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15.xml.rels" ContentType="application/vnd.openxmlformats-package.relationship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14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首页" sheetId="1" state="visible" r:id="rId3"/>
    <sheet name="使用说明" sheetId="2" state="visible" r:id="rId4"/>
    <sheet name="参数设置" sheetId="3" state="visible" r:id="rId5"/>
    <sheet name="会计科目表" sheetId="4" state="visible" r:id="rId6"/>
    <sheet name="记账规则" sheetId="5" state="visible" r:id="rId7"/>
    <sheet name="商品档案" sheetId="6" state="visible" r:id="rId8"/>
    <sheet name="往来单位" sheetId="7" state="visible" r:id="rId9"/>
    <sheet name="资金账户" sheetId="8" state="visible" r:id="rId10"/>
    <sheet name="期初余额" sheetId="9" state="visible" r:id="rId11"/>
    <sheet name="购销流水" sheetId="10" state="visible" r:id="rId12"/>
    <sheet name="资金流水" sheetId="11" state="visible" r:id="rId13"/>
    <sheet name="生产加工" sheetId="12" state="visible" r:id="rId14"/>
    <sheet name="其他分录" sheetId="13" state="visible" r:id="rId15"/>
    <sheet name="记账分录" sheetId="14" state="visible" r:id="rId16"/>
    <sheet name="科目余额表" sheetId="15" state="visible" r:id="rId17"/>
    <sheet name="农业-资产负债表" sheetId="16" state="visible" r:id="rId18"/>
    <sheet name="农业-利润表" sheetId="17" state="visible" r:id="rId19"/>
    <sheet name="木业-资产负债表" sheetId="18" state="visible" r:id="rId20"/>
    <sheet name="木业-利润表" sheetId="19" state="visible" r:id="rId21"/>
    <sheet name="科技-资产负债表" sheetId="20" state="visible" r:id="rId22"/>
    <sheet name="科技-利润表" sheetId="21" state="visible" r:id="rId23"/>
    <sheet name="三公司合并报表" sheetId="22" state="visible" r:id="rId24"/>
    <sheet name="进销存台账" sheetId="23" state="visible" r:id="rId25"/>
    <sheet name="收发存查询" sheetId="24" state="visible" r:id="rId26"/>
    <sheet name="往来台账" sheetId="25" state="visible" r:id="rId27"/>
    <sheet name="税费台账" sheetId="26" state="visible" r:id="rId28"/>
    <sheet name="费用统计" sheetId="27" state="visible" r:id="rId29"/>
    <sheet name="内部交易核对" sheetId="28" state="visible" r:id="rId30"/>
    <sheet name="校验中心" sheetId="29" state="visible" r:id="rId31"/>
  </sheets>
  <definedNames>
    <definedName function="false" hidden="false" localSheetId="3" name="_xlnm.Print_Titles" vbProcedure="false">会计科目表!$5:$5</definedName>
    <definedName function="false" hidden="false" localSheetId="12" name="_xlnm.Print_Titles" vbProcedure="false">其他分录!$5:$5</definedName>
    <definedName function="false" hidden="false" localSheetId="16" name="_xlnm.Print_Area" vbProcedure="false">'农业-利润表'!$A$1:$C$22</definedName>
    <definedName function="false" hidden="false" localSheetId="15" name="_xlnm.Print_Area" vbProcedure="false">'农业-资产负债表'!$A$1:$G$25</definedName>
    <definedName function="false" hidden="false" localSheetId="5" name="_xlnm.Print_Titles" vbProcedure="false">商品档案!$5:$5</definedName>
    <definedName function="false" hidden="false" localSheetId="6" name="_xlnm.Print_Titles" vbProcedure="false">往来单位!$5:$5</definedName>
    <definedName function="false" hidden="false" localSheetId="24" name="_xlnm.Print_Titles" vbProcedure="false">往来台账!$5:$6</definedName>
    <definedName function="false" hidden="true" localSheetId="24" name="_xlnm._FilterDatabase" vbProcedure="false">往来台账!$A$5:$L$86</definedName>
    <definedName function="false" hidden="false" localSheetId="23" name="_xlnm.Print_Titles" vbProcedure="false">收发存查询!$5:$6</definedName>
    <definedName function="false" hidden="true" localSheetId="23" name="_xlnm._FilterDatabase" vbProcedure="false">收发存查询!$A$5:$N$66</definedName>
    <definedName function="false" hidden="false" localSheetId="8" name="_xlnm.Print_Titles" vbProcedure="false">期初余额!$5:$5</definedName>
    <definedName function="false" hidden="false" localSheetId="18" name="_xlnm.Print_Area" vbProcedure="false">'木业-利润表'!$A$1:$C$22</definedName>
    <definedName function="false" hidden="false" localSheetId="17" name="_xlnm.Print_Area" vbProcedure="false">'木业-资产负债表'!$A$1:$G$25</definedName>
    <definedName function="false" hidden="false" localSheetId="28" name="_xlnm.Print_Titles" vbProcedure="false">校验中心!$5:$5</definedName>
    <definedName function="false" hidden="false" localSheetId="11" name="_xlnm.Print_Titles" vbProcedure="false">生产加工!$5:$5</definedName>
    <definedName function="false" hidden="false" localSheetId="20" name="_xlnm.Print_Area" vbProcedure="false">'科技-利润表'!$A$1:$C$22</definedName>
    <definedName function="false" hidden="false" localSheetId="19" name="_xlnm.Print_Area" vbProcedure="false">'科技-资产负债表'!$A$1:$G$25</definedName>
    <definedName function="false" hidden="false" localSheetId="14" name="_xlnm.Print_Titles" vbProcedure="false">科目余额表!$5:$6</definedName>
    <definedName function="false" hidden="true" localSheetId="14" name="_xlnm._FilterDatabase" vbProcedure="false">科目余额表!$A$5:$P$246</definedName>
    <definedName function="false" hidden="false" localSheetId="25" name="_xlnm.Print_Titles" vbProcedure="false">税费台账!$5:$5</definedName>
    <definedName function="false" hidden="false" localSheetId="13" name="_xlnm.Print_Titles" vbProcedure="false">记账分录!$5:$5</definedName>
    <definedName function="false" hidden="true" localSheetId="13" name="_xlnm._FilterDatabase" vbProcedure="false">记账分录!$A$5:$P$5505</definedName>
    <definedName function="false" hidden="false" localSheetId="9" name="_xlnm.Print_Titles" vbProcedure="false">购销流水!$5:$5</definedName>
    <definedName function="false" hidden="false" localSheetId="26" name="_xlnm.Print_Titles" vbProcedure="false">费用统计!$5:$6</definedName>
    <definedName function="false" hidden="true" localSheetId="26" name="_xlnm._FilterDatabase" vbProcedure="false">费用统计!$A$5:$F$66</definedName>
    <definedName function="false" hidden="false" localSheetId="10" name="_xlnm.Print_Titles" vbProcedure="false">资金流水!$5:$5</definedName>
    <definedName function="false" hidden="false" localSheetId="7" name="_xlnm.Print_Titles" vbProcedure="false">资金账户!$5:$5</definedName>
    <definedName function="false" hidden="false" localSheetId="22" name="_xlnm.Print_Titles" vbProcedure="false">进销存台账!$5:$5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<sst xmlns="http://schemas.openxmlformats.org/spreadsheetml/2006/main" count="8061" uniqueCount="948">
  <si>
    <r>
      <rPr>
        <b val="true"/>
        <sz val="15"/>
        <color rgb="FF1F3864"/>
        <rFont val="WenQuanYi Zen Hei"/>
        <family val="2"/>
      </rPr>
      <t xml:space="preserve">三公司财务账套 </t>
    </r>
    <r>
      <rPr>
        <b val="true"/>
        <sz val="15"/>
        <color rgb="FF1F3864"/>
        <rFont val="微软雅黑"/>
        <family val="0"/>
        <charset val="1"/>
      </rPr>
      <t xml:space="preserve">· 2026 </t>
    </r>
    <r>
      <rPr>
        <b val="true"/>
        <sz val="15"/>
        <color rgb="FF1F3864"/>
        <rFont val="WenQuanYi Zen Hei"/>
        <family val="2"/>
      </rPr>
      <t xml:space="preserve">年</t>
    </r>
  </si>
  <si>
    <r>
      <rPr>
        <sz val="8"/>
        <color rgb="FF808080"/>
        <rFont val="WenQuanYi Zen Hei"/>
        <family val="2"/>
      </rPr>
      <t xml:space="preserve">农业基地 </t>
    </r>
    <r>
      <rPr>
        <sz val="8"/>
        <color rgb="FF808080"/>
        <rFont val="微软雅黑"/>
        <family val="0"/>
        <charset val="1"/>
      </rPr>
      <t xml:space="preserve">/ </t>
    </r>
    <r>
      <rPr>
        <sz val="8"/>
        <color rgb="FF808080"/>
        <rFont val="WenQuanYi Zen Hei"/>
        <family val="2"/>
      </rPr>
      <t xml:space="preserve">木业 </t>
    </r>
    <r>
      <rPr>
        <sz val="8"/>
        <color rgb="FF808080"/>
        <rFont val="微软雅黑"/>
        <family val="0"/>
        <charset val="1"/>
      </rPr>
      <t xml:space="preserve">/ </t>
    </r>
    <r>
      <rPr>
        <sz val="8"/>
        <color rgb="FF808080"/>
        <rFont val="WenQuanYi Zen Hei"/>
        <family val="2"/>
      </rPr>
      <t xml:space="preserve">科技，一套表三家账。录【购销流水】【资金流水】【生产加工】【其他分录】四张表，报表自己出。一年一套：把【参数设置】的会计年度改成下一年，另存一个文件就是新账。</t>
    </r>
  </si>
  <si>
    <t xml:space="preserve">会计年度</t>
  </si>
  <si>
    <t xml:space="preserve">本年凭证数</t>
  </si>
  <si>
    <t xml:space="preserve">一、三家公司关键数（口径＝各报表页当前选的期间，默认整年）</t>
  </si>
  <si>
    <t xml:space="preserve">指　标</t>
  </si>
  <si>
    <t xml:space="preserve">农业基地公司</t>
  </si>
  <si>
    <t xml:space="preserve">木业公司</t>
  </si>
  <si>
    <t xml:space="preserve">科技公司</t>
  </si>
  <si>
    <t xml:space="preserve">三家合计</t>
  </si>
  <si>
    <t xml:space="preserve">账户余额</t>
  </si>
  <si>
    <t xml:space="preserve">营业收入</t>
  </si>
  <si>
    <t xml:space="preserve">账实核对</t>
  </si>
  <si>
    <t xml:space="preserve">营业成本</t>
  </si>
  <si>
    <t xml:space="preserve">内部交易</t>
  </si>
  <si>
    <t xml:space="preserve">毛利</t>
  </si>
  <si>
    <t xml:space="preserve">合并后收入</t>
  </si>
  <si>
    <t xml:space="preserve">营业利润</t>
  </si>
  <si>
    <t xml:space="preserve">合并后净利</t>
  </si>
  <si>
    <t xml:space="preserve">利润总额</t>
  </si>
  <si>
    <t xml:space="preserve">净利润</t>
  </si>
  <si>
    <t xml:space="preserve">资产总计</t>
  </si>
  <si>
    <t xml:space="preserve">货币资金</t>
  </si>
  <si>
    <t xml:space="preserve">存货</t>
  </si>
  <si>
    <t xml:space="preserve">应收账款</t>
  </si>
  <si>
    <t xml:space="preserve">应付账款</t>
  </si>
  <si>
    <t xml:space="preserve">负债合计</t>
  </si>
  <si>
    <t xml:space="preserve">所有者权益</t>
  </si>
  <si>
    <t xml:space="preserve">毛利率</t>
  </si>
  <si>
    <t xml:space="preserve">二、常用入口</t>
  </si>
  <si>
    <t xml:space="preserve">① 每天录这四张</t>
  </si>
  <si>
    <t xml:space="preserve">② 先建好档案</t>
  </si>
  <si>
    <t xml:space="preserve">③ 出报表</t>
  </si>
  <si>
    <t xml:space="preserve">④ 查台账</t>
  </si>
  <si>
    <t xml:space="preserve">⑤ 对数</t>
  </si>
  <si>
    <t xml:space="preserve">三、表格容量（快满了就去【生成脚本】把容量数字改大重跑，或直接新开一年）</t>
  </si>
  <si>
    <t xml:space="preserve">购销流水</t>
  </si>
  <si>
    <t xml:space="preserve">资金流水</t>
  </si>
  <si>
    <t xml:space="preserve">生产加工</t>
  </si>
  <si>
    <t xml:space="preserve">其他分录</t>
  </si>
  <si>
    <t xml:space="preserve">商品档案</t>
  </si>
  <si>
    <t xml:space="preserve">往来单位</t>
  </si>
  <si>
    <t xml:space="preserve">使用说明</t>
  </si>
  <si>
    <t xml:space="preserve">照着这个顺序走一遍，这套表就能自己跑起来。</t>
  </si>
  <si>
    <t xml:space="preserve">主题</t>
  </si>
  <si>
    <t xml:space="preserve">说　明</t>
  </si>
  <si>
    <t xml:space="preserve">一、这套表怎么转</t>
  </si>
  <si>
    <t xml:space="preserve">四张录入表</t>
  </si>
  <si>
    <t xml:space="preserve">【购销流水】进货卖货（只管货和票，一律挂应收应付）｜【资金流水】所有账户的收支｜【生产加工】领料、加工费、产成品入库｜【其他分录】折旧摊销计提结转。</t>
  </si>
  <si>
    <t xml:space="preserve">自动往下走</t>
  </si>
  <si>
    <t xml:space="preserve">四张表 →【记账分录】按【记账规则】展开成借贷 →【科目余额表】→ 三家的资产负债表、利润表和【三公司合并报表】。中间不用你手工做凭证。</t>
  </si>
  <si>
    <t xml:space="preserve">一年一套</t>
  </si>
  <si>
    <t xml:space="preserve">【参数设置】把会计年度改成新的一年，把四张录入表的数据清掉，再把上年各表的期末数抄到【期初余额】，就是新一年的账。建议每年另存一个文件。</t>
  </si>
  <si>
    <t xml:space="preserve">二、先把档案建好</t>
  </si>
  <si>
    <t xml:space="preserve">参数设置</t>
  </si>
  <si>
    <t xml:space="preserve">会计年度、附加税率、所得税率，以及「费用项目」清单（资金流水和其他分录的下拉就取这一列）。</t>
  </si>
  <si>
    <r>
      <rPr>
        <sz val="9"/>
        <rFont val="WenQuanYi Zen Hei"/>
        <family val="2"/>
      </rPr>
      <t xml:space="preserve">三家的料和成品。存货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收入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成本科目决定这个商品记到哪个科目。税率一列只是开票时选哪一档的提醒，内账含税核算，不参与计算。</t>
    </r>
  </si>
  <si>
    <t xml:space="preserve">客户、供应商、农户，以及三家公司互相。标了「是否内部＝是」的，购销流水会认成内部交易，合并报表按它抵销。</t>
  </si>
  <si>
    <t xml:space="preserve">资金账户</t>
  </si>
  <si>
    <t xml:space="preserve">实际开了几个户就登几个。几家公司共用一个账号也照登，账户余额按账户算，账务按公司各记各的。</t>
  </si>
  <si>
    <t xml:space="preserve">期初余额</t>
  </si>
  <si>
    <t xml:space="preserve">左边科目年初余额（借贷各一列），中间存货年初数量金额，右边往来按单位拆。三块都有对账提示。</t>
  </si>
  <si>
    <r>
      <rPr>
        <b val="true"/>
        <sz val="9"/>
        <rFont val="WenQuanYi Zen Hei"/>
        <family val="2"/>
      </rPr>
      <t xml:space="preserve">会计科目表 </t>
    </r>
    <r>
      <rPr>
        <b val="true"/>
        <sz val="9"/>
        <rFont val="微软雅黑"/>
        <family val="0"/>
        <charset val="1"/>
      </rPr>
      <t xml:space="preserve">/ </t>
    </r>
    <r>
      <rPr>
        <b val="true"/>
        <sz val="9"/>
        <rFont val="WenQuanYi Zen Hei"/>
        <family val="2"/>
      </rPr>
      <t xml:space="preserve">记账规则</t>
    </r>
  </si>
  <si>
    <t xml:space="preserve">一般不用动。要加科目就照格式加一行，「报表项目」必须用报表上已有的项目名。要改某类业务的借贷走向，就去【记账规则】改那一行。</t>
  </si>
  <si>
    <t xml:space="preserve">三、日常录入</t>
  </si>
  <si>
    <r>
      <rPr>
        <sz val="9"/>
        <rFont val="WenQuanYi Zen Hei"/>
        <family val="2"/>
      </rPr>
      <t xml:space="preserve">选公司、业务类型、往来单位、商品编码，填数量和</t>
    </r>
    <r>
      <rPr>
        <sz val="9"/>
        <rFont val="微软雅黑"/>
        <family val="0"/>
        <charset val="1"/>
      </rPr>
      <t xml:space="preserve">**</t>
    </r>
    <r>
      <rPr>
        <sz val="9"/>
        <rFont val="WenQuanYi Zen Hei"/>
        <family val="2"/>
      </rPr>
      <t xml:space="preserve">含税单价</t>
    </r>
    <r>
      <rPr>
        <sz val="9"/>
        <rFont val="微软雅黑"/>
        <family val="0"/>
        <charset val="1"/>
      </rPr>
      <t xml:space="preserve">**</t>
    </r>
    <r>
      <rPr>
        <sz val="9"/>
        <rFont val="WenQuanYi Zen Hei"/>
        <family val="2"/>
      </rPr>
      <t xml:space="preserve">即可，金额＝数量</t>
    </r>
    <r>
      <rPr>
        <sz val="9"/>
        <rFont val="微软雅黑"/>
        <family val="0"/>
        <charset val="1"/>
      </rPr>
      <t xml:space="preserve">×</t>
    </r>
    <r>
      <rPr>
        <sz val="9"/>
        <rFont val="WenQuanYi Zen Hei"/>
        <family val="2"/>
      </rPr>
      <t xml:space="preserve">单价，不拆税。退货用「销售退回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采购退回」，数量填正数。</t>
    </r>
  </si>
  <si>
    <t xml:space="preserve">向农户收购原木</t>
  </si>
  <si>
    <r>
      <rPr>
        <sz val="9"/>
        <rFont val="WenQuanYi Zen Hei"/>
        <family val="2"/>
      </rPr>
      <t xml:space="preserve">往来单位选那个农户，发票类型选「收购发票」，单价就填实际收购价。内账含税核算，收购价全额进原材料成本，不再拆 </t>
    </r>
    <r>
      <rPr>
        <sz val="9"/>
        <rFont val="微软雅黑"/>
        <family val="0"/>
        <charset val="1"/>
      </rPr>
      <t xml:space="preserve">9% </t>
    </r>
    <r>
      <rPr>
        <sz val="9"/>
        <rFont val="WenQuanYi Zen Hei"/>
        <family val="2"/>
      </rPr>
      <t xml:space="preserve">进项——能不能抵扣是外账报税的事，内账只看实际付了多少钱。</t>
    </r>
  </si>
  <si>
    <r>
      <rPr>
        <sz val="9"/>
        <rFont val="WenQuanYi Zen Hei"/>
        <family val="2"/>
      </rPr>
      <t xml:space="preserve">收支混在一张表上按时间顺序录：收进来填「收入金额」，付出去填「支出金额」，金额都是含税实收实付数，右边「账户余额」逐行滚出来。业务类型决定对方科目怎么走，规则里写「</t>
    </r>
    <r>
      <rPr>
        <sz val="9"/>
        <rFont val="微软雅黑"/>
        <family val="0"/>
        <charset val="1"/>
      </rPr>
      <t xml:space="preserve">@</t>
    </r>
    <r>
      <rPr>
        <sz val="9"/>
        <rFont val="WenQuanYi Zen Hei"/>
        <family val="2"/>
      </rPr>
      <t xml:space="preserve">对方」的才要你自己选对方科目。收付货款记得选往来单位，这样【往来台账】才冲得掉；「关联单号」写对应的购销流水序号，日后好核销。</t>
    </r>
  </si>
  <si>
    <t xml:space="preserve">几家共用一个账号</t>
  </si>
  <si>
    <t xml:space="preserve">共用账户在【资金账户】里「使用公司」写清楚。资金流水每一行照样选自己的公司，所以账户余额是这个账号的真实余额，而各公司账上的银行存款是各自的——【资金账户】底下有一行「账实对账」把两边加总对上。</t>
  </si>
  <si>
    <t xml:space="preserve">一个批次号一次加工：先记「领用投入」和「加工费用」，再记「产成品入库」。产出行不用填金额，本批投入合计会按「权重」自动分摊；一批只有一个产出，权重留空就行。</t>
  </si>
  <si>
    <r>
      <rPr>
        <sz val="9"/>
        <rFont val="WenQuanYi Zen Hei"/>
        <family val="2"/>
      </rPr>
      <t xml:space="preserve">折旧、摊销、计提工资、计提房租，一借一贷。一借多贷拆成几行。</t>
    </r>
    <r>
      <rPr>
        <sz val="9"/>
        <rFont val="微软雅黑"/>
        <family val="0"/>
        <charset val="1"/>
      </rPr>
      <t xml:space="preserve">**</t>
    </r>
    <r>
      <rPr>
        <sz val="9"/>
        <rFont val="WenQuanYi Zen Hei"/>
        <family val="2"/>
      </rPr>
      <t xml:space="preserve">税不在这里计提</t>
    </r>
    <r>
      <rPr>
        <sz val="9"/>
        <rFont val="微软雅黑"/>
        <family val="0"/>
        <charset val="1"/>
      </rPr>
      <t xml:space="preserve">**——</t>
    </r>
    <r>
      <rPr>
        <sz val="9"/>
        <rFont val="WenQuanYi Zen Hei"/>
        <family val="2"/>
      </rPr>
      <t xml:space="preserve">内账按实缴，交税那天在【资金流水】记一笔就行。也不用做「结转本年利润」，报表会自动把损益结进未分配利润，你自己再结一次会重复。</t>
    </r>
  </si>
  <si>
    <t xml:space="preserve">四、看报表</t>
  </si>
  <si>
    <t xml:space="preserve">按起止日期筛选</t>
  </si>
  <si>
    <r>
      <rPr>
        <sz val="9"/>
        <rFont val="WenQuanYi Zen Hei"/>
        <family val="2"/>
      </rPr>
      <t xml:space="preserve">所有汇总和查询表第 </t>
    </r>
    <r>
      <rPr>
        <sz val="9"/>
        <rFont val="微软雅黑"/>
        <family val="0"/>
        <charset val="1"/>
      </rPr>
      <t xml:space="preserve">3 </t>
    </r>
    <r>
      <rPr>
        <sz val="9"/>
        <rFont val="WenQuanYi Zen Hei"/>
        <family val="2"/>
      </rPr>
      <t xml:space="preserve">行都有「年度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起始日期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截止日期」。都留空＝全部期间；只填年度＝整年；填了起止就按起止。录入表和明细表不筛选，全部显示。</t>
    </r>
  </si>
  <si>
    <t xml:space="preserve">资产负债表</t>
  </si>
  <si>
    <t xml:space="preserve">年初数取期初余额表；期末数算到截止日期。未分配利润＝年初未分配＋本年净利润。最后一行「平衡校验」必须是 √。</t>
  </si>
  <si>
    <t xml:space="preserve">利润表</t>
  </si>
  <si>
    <t xml:space="preserve">「本期金额」是起止区间的发生额，「本年累计」是年初到截止日的累计。下面附毛利率和净利率。</t>
  </si>
  <si>
    <t xml:space="preserve">合并报表</t>
  </si>
  <si>
    <r>
      <rPr>
        <sz val="9"/>
        <rFont val="WenQuanYi Zen Hei"/>
        <family val="2"/>
      </rPr>
      <t xml:space="preserve">三家单体＋小计＋内部抵销＝合并数。内部销售收入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成本、内部应收应付自动抵；「未实现内部存货利润」要你自己估一个填进去（上面有算法），不填按 </t>
    </r>
    <r>
      <rPr>
        <sz val="9"/>
        <rFont val="微软雅黑"/>
        <family val="0"/>
        <charset val="1"/>
      </rPr>
      <t xml:space="preserve">0</t>
    </r>
    <r>
      <rPr>
        <sz val="9"/>
        <rFont val="WenQuanYi Zen Hei"/>
        <family val="2"/>
      </rPr>
      <t xml:space="preserve">。</t>
    </r>
  </si>
  <si>
    <r>
      <rPr>
        <b val="true"/>
        <sz val="9"/>
        <rFont val="WenQuanYi Zen Hei"/>
        <family val="2"/>
      </rPr>
      <t xml:space="preserve">进销存台账 </t>
    </r>
    <r>
      <rPr>
        <b val="true"/>
        <sz val="9"/>
        <rFont val="微软雅黑"/>
        <family val="0"/>
        <charset val="1"/>
      </rPr>
      <t xml:space="preserve">/ </t>
    </r>
    <r>
      <rPr>
        <b val="true"/>
        <sz val="9"/>
        <rFont val="WenQuanYi Zen Hei"/>
        <family val="2"/>
      </rPr>
      <t xml:space="preserve">收发存查询</t>
    </r>
  </si>
  <si>
    <t xml:space="preserve">【进销存台账】是全年口径、成本基准表，加权平均单价就在这张表上算，购销结转成本和生产领用都按它取价，所以它不随日期筛选变。要看某段时间的收发存，用【收发存查询】。</t>
  </si>
  <si>
    <r>
      <rPr>
        <b val="true"/>
        <sz val="9"/>
        <rFont val="WenQuanYi Zen Hei"/>
        <family val="2"/>
      </rPr>
      <t xml:space="preserve">往来台账 </t>
    </r>
    <r>
      <rPr>
        <b val="true"/>
        <sz val="9"/>
        <rFont val="微软雅黑"/>
        <family val="0"/>
        <charset val="1"/>
      </rPr>
      <t xml:space="preserve">/ </t>
    </r>
    <r>
      <rPr>
        <b val="true"/>
        <sz val="9"/>
        <rFont val="WenQuanYi Zen Hei"/>
        <family val="2"/>
      </rPr>
      <t xml:space="preserve">税费台账 </t>
    </r>
    <r>
      <rPr>
        <b val="true"/>
        <sz val="9"/>
        <rFont val="微软雅黑"/>
        <family val="0"/>
        <charset val="1"/>
      </rPr>
      <t xml:space="preserve">/ </t>
    </r>
    <r>
      <rPr>
        <b val="true"/>
        <sz val="9"/>
        <rFont val="WenQuanYi Zen Hei"/>
        <family val="2"/>
      </rPr>
      <t xml:space="preserve">费用统计</t>
    </r>
  </si>
  <si>
    <t xml:space="preserve">往来台账按公司看每家客户供应商的应收应付；税费台账按公司按月按税种列实缴税费和税负率；费用统计上半张按费用项目、下半张按会计科目。</t>
  </si>
  <si>
    <t xml:space="preserve">五、几个口径说明</t>
  </si>
  <si>
    <t xml:space="preserve">存货计价</t>
  </si>
  <si>
    <r>
      <rPr>
        <sz val="9"/>
        <rFont val="WenQuanYi Zen Hei"/>
        <family val="2"/>
      </rPr>
      <t xml:space="preserve">全年加权平均（含税口径）：单价＝（期初金额＋采购入库金额＋生产入库金额）</t>
    </r>
    <r>
      <rPr>
        <sz val="9"/>
        <rFont val="微软雅黑"/>
        <family val="0"/>
        <charset val="1"/>
      </rPr>
      <t xml:space="preserve">÷ </t>
    </r>
    <r>
      <rPr>
        <sz val="9"/>
        <rFont val="WenQuanYi Zen Hei"/>
        <family val="2"/>
      </rPr>
      <t xml:space="preserve">对应数量。不含出库，所以不会循环引用。年中看的成本是按全年均价倒推的，和逐笔移动平均会有小差异。</t>
    </r>
  </si>
  <si>
    <r>
      <rPr>
        <b val="true"/>
        <sz val="9"/>
        <rFont val="WenQuanYi Zen Hei"/>
        <family val="2"/>
      </rPr>
      <t xml:space="preserve">含税核算 </t>
    </r>
    <r>
      <rPr>
        <b val="true"/>
        <sz val="9"/>
        <rFont val="微软雅黑"/>
        <family val="0"/>
        <charset val="1"/>
      </rPr>
      <t xml:space="preserve">/ </t>
    </r>
    <r>
      <rPr>
        <b val="true"/>
        <sz val="9"/>
        <rFont val="WenQuanYi Zen Hei"/>
        <family val="2"/>
      </rPr>
      <t xml:space="preserve">实交税费</t>
    </r>
  </si>
  <si>
    <r>
      <rPr>
        <sz val="9"/>
        <rFont val="WenQuanYi Zen Hei"/>
        <family val="2"/>
      </rPr>
      <t xml:space="preserve">这是内账，全部含税：卖多少钱记多少收入，进货花多少钱记多少成本，费用付多少记多少，一律不拆进项销项，科目表里也没有进项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销项税额。税走【资金流水】的「缴纳税费」——交增值税、附加税、印花税、个税进「税金及附加」，交企业所得税进「所得税费用」，费用项目里选具体税种，【税费台账】按月按税种摊开、给出全年税负率。内部交易两边都是同一个含税金额，所以【内部交易核对】要求分毫不差。</t>
    </r>
  </si>
  <si>
    <t xml:space="preserve">税率参数只是参考</t>
  </si>
  <si>
    <r>
      <rPr>
        <sz val="9"/>
        <rFont val="WenQuanYi Zen Hei"/>
        <family val="2"/>
      </rPr>
      <t xml:space="preserve">【参数设置】上的附加税率和所得税率不参与任何计算，只是你自己估税时的提醒。实际交了多少，就在【资金流水】记多少。农林牧渔里的林木种植所得免征企业所得税、自产农产品销售免征增值税，所以农业基地公司示例里全年税费是 </t>
    </r>
    <r>
      <rPr>
        <sz val="9"/>
        <rFont val="微软雅黑"/>
        <family val="0"/>
        <charset val="1"/>
      </rPr>
      <t xml:space="preserve">0</t>
    </r>
    <r>
      <rPr>
        <sz val="9"/>
        <rFont val="WenQuanYi Zen Hei"/>
        <family val="2"/>
      </rPr>
      <t xml:space="preserve">。</t>
    </r>
  </si>
  <si>
    <t xml:space="preserve">示例数据</t>
  </si>
  <si>
    <r>
      <rPr>
        <sz val="9"/>
        <rFont val="WenQuanYi Zen Hei"/>
        <family val="2"/>
      </rPr>
      <t xml:space="preserve">四张录入表里都放了示例（购销 </t>
    </r>
    <r>
      <rPr>
        <sz val="9"/>
        <rFont val="微软雅黑"/>
        <family val="0"/>
        <charset val="1"/>
      </rPr>
      <t xml:space="preserve">20 </t>
    </r>
    <r>
      <rPr>
        <sz val="9"/>
        <rFont val="WenQuanYi Zen Hei"/>
        <family val="2"/>
      </rPr>
      <t xml:space="preserve">条、资金 </t>
    </r>
    <r>
      <rPr>
        <sz val="9"/>
        <rFont val="微软雅黑"/>
        <family val="0"/>
        <charset val="1"/>
      </rPr>
      <t xml:space="preserve">34 </t>
    </r>
    <r>
      <rPr>
        <sz val="9"/>
        <rFont val="WenQuanYi Zen Hei"/>
        <family val="2"/>
      </rPr>
      <t xml:space="preserve">条、生产 </t>
    </r>
    <r>
      <rPr>
        <sz val="9"/>
        <rFont val="微软雅黑"/>
        <family val="0"/>
        <charset val="1"/>
      </rPr>
      <t xml:space="preserve">36 </t>
    </r>
    <r>
      <rPr>
        <sz val="9"/>
        <rFont val="WenQuanYi Zen Hei"/>
        <family val="2"/>
      </rPr>
      <t xml:space="preserve">条、其他分录 </t>
    </r>
    <r>
      <rPr>
        <sz val="9"/>
        <rFont val="微软雅黑"/>
        <family val="0"/>
        <charset val="1"/>
      </rPr>
      <t xml:space="preserve">10 </t>
    </r>
    <r>
      <rPr>
        <sz val="9"/>
        <rFont val="WenQuanYi Zen Hei"/>
        <family val="2"/>
      </rPr>
      <t xml:space="preserve">条），专门用来现场验公式。正式用之前，把这些行整行删掉即可，【期初余额】和【商品档案】里的示例也一并换成你自己的。</t>
    </r>
  </si>
  <si>
    <t xml:space="preserve">一年一套表：先把下面的会计年度改成本年度，再另存为新文件，就是新一年的账。这套表是内账口径——全部含税核算、税按实缴进费用，右边有说明。</t>
  </si>
  <si>
    <t xml:space="preserve">期初日期</t>
  </si>
  <si>
    <t xml:space="preserve">期末日期</t>
  </si>
  <si>
    <t xml:space="preserve">附加税率（参考）</t>
  </si>
  <si>
    <t xml:space="preserve">所得税率（参考）</t>
  </si>
  <si>
    <t xml:space="preserve">说明</t>
  </si>
  <si>
    <r>
      <rPr>
        <sz val="8"/>
        <color rgb="FF808080"/>
        <rFont val="WenQuanYi Zen Hei"/>
        <family val="2"/>
      </rPr>
      <t xml:space="preserve">本账套是内账：收入成本费用一律含税核算，税按实际缴纳当期计入费用，不计提、不拆进项销项。这两个税率只是算税时给你参考用（附加税＝城建 </t>
    </r>
    <r>
      <rPr>
        <sz val="8"/>
        <color rgb="FF808080"/>
        <rFont val="微软雅黑"/>
        <family val="0"/>
        <charset val="1"/>
      </rPr>
      <t xml:space="preserve">7%</t>
    </r>
    <r>
      <rPr>
        <sz val="8"/>
        <color rgb="FF808080"/>
        <rFont val="WenQuanYi Zen Hei"/>
        <family val="2"/>
      </rPr>
      <t xml:space="preserve">＋教育费附加 </t>
    </r>
    <r>
      <rPr>
        <sz val="8"/>
        <color rgb="FF808080"/>
        <rFont val="微软雅黑"/>
        <family val="0"/>
        <charset val="1"/>
      </rPr>
      <t xml:space="preserve">3%</t>
    </r>
    <r>
      <rPr>
        <sz val="8"/>
        <color rgb="FF808080"/>
        <rFont val="WenQuanYi Zen Hei"/>
        <family val="2"/>
      </rPr>
      <t xml:space="preserve">＋地方教育附加 </t>
    </r>
    <r>
      <rPr>
        <sz val="8"/>
        <color rgb="FF808080"/>
        <rFont val="微软雅黑"/>
        <family val="0"/>
        <charset val="1"/>
      </rPr>
      <t xml:space="preserve">2%</t>
    </r>
    <r>
      <rPr>
        <sz val="8"/>
        <color rgb="FF808080"/>
        <rFont val="WenQuanYi Zen Hei"/>
        <family val="2"/>
      </rPr>
      <t xml:space="preserve">；所得税按小微实际税负 </t>
    </r>
    <r>
      <rPr>
        <sz val="8"/>
        <color rgb="FF808080"/>
        <rFont val="微软雅黑"/>
        <family val="0"/>
        <charset val="1"/>
      </rPr>
      <t xml:space="preserve">5%</t>
    </r>
    <r>
      <rPr>
        <sz val="8"/>
        <color rgb="FF808080"/>
        <rFont val="WenQuanYi Zen Hei"/>
        <family val="2"/>
      </rPr>
      <t xml:space="preserve">），表里的任何计算都不用它们。农林牧渔中的林木种植所得免征企业所得税、自产农产品销售免征增值税，农业基地公司示例里就没有税。</t>
    </r>
  </si>
  <si>
    <t xml:space="preserve">一、三家公司</t>
  </si>
  <si>
    <t xml:space="preserve">简称（各表都用这个）</t>
  </si>
  <si>
    <t xml:space="preserve">公司全称</t>
  </si>
  <si>
    <t xml:space="preserve">纳税人身份</t>
  </si>
  <si>
    <t xml:space="preserve">主营业务</t>
  </si>
  <si>
    <t xml:space="preserve">农业</t>
  </si>
  <si>
    <t xml:space="preserve">一般纳税人</t>
  </si>
  <si>
    <t xml:space="preserve">林木种植（原木）、艾草种植，自产农产品免征增值税</t>
  </si>
  <si>
    <t xml:space="preserve">木业</t>
  </si>
  <si>
    <t xml:space="preserve">收购原木加工板材、模板、方料并销售</t>
  </si>
  <si>
    <t xml:space="preserve">科技</t>
  </si>
  <si>
    <t xml:space="preserve">收购干艾草提取艾草精油及衍生品并销售</t>
  </si>
  <si>
    <r>
      <rPr>
        <b val="true"/>
        <sz val="10"/>
        <color rgb="FF1F4E79"/>
        <rFont val="WenQuanYi Zen Hei"/>
        <family val="2"/>
      </rPr>
      <t xml:space="preserve">二、费用项目（资金流水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生产加工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其他分录 的「费用项目」下拉就是这一列）</t>
    </r>
  </si>
  <si>
    <t xml:space="preserve">费用项目</t>
  </si>
  <si>
    <t xml:space="preserve">默认归集科目</t>
  </si>
  <si>
    <t xml:space="preserve">本年合计（三家）</t>
  </si>
  <si>
    <t xml:space="preserve">办公费</t>
  </si>
  <si>
    <t xml:space="preserve">管理费用</t>
  </si>
  <si>
    <t xml:space="preserve">内账口径（这套表的核心约定）：</t>
  </si>
  <si>
    <t xml:space="preserve">差旅费</t>
  </si>
  <si>
    <t xml:space="preserve">含税核算</t>
  </si>
  <si>
    <r>
      <rPr>
        <sz val="9"/>
        <rFont val="WenQuanYi Zen Hei"/>
        <family val="2"/>
      </rPr>
      <t xml:space="preserve">收入、成本、费用一律按实际成交的含税金额入账，不拆进项销项，也不设进项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销项科目</t>
    </r>
  </si>
  <si>
    <t xml:space="preserve">业务招待费</t>
  </si>
  <si>
    <t xml:space="preserve">实交税费</t>
  </si>
  <si>
    <t xml:space="preserve">增值税、附加税、所得税、个税都在实际缴纳那个月，按缴的钱直接进费用</t>
  </si>
  <si>
    <t xml:space="preserve">水电费</t>
  </si>
  <si>
    <t xml:space="preserve">缴税怎么录</t>
  </si>
  <si>
    <t xml:space="preserve">【资金流水】选「缴纳税费」→ 对方科目选税金及附加或所得税费用 → 费用项目选税种</t>
  </si>
  <si>
    <t xml:space="preserve">燃料动力费</t>
  </si>
  <si>
    <t xml:space="preserve">生产成本</t>
  </si>
  <si>
    <t xml:space="preserve">不计提税金</t>
  </si>
  <si>
    <t xml:space="preserve">不做「计提应交税费」的分录，资产负债表上也就没有应交税费余额（期初有欠税除外）</t>
  </si>
  <si>
    <t xml:space="preserve">房租物业</t>
  </si>
  <si>
    <t xml:space="preserve">开票税率</t>
  </si>
  <si>
    <t xml:space="preserve">商品档案上的税率只用来提醒开票时选哪一档，不参与任何计算</t>
  </si>
  <si>
    <t xml:space="preserve">工资薪金</t>
  </si>
  <si>
    <t xml:space="preserve">应付职工薪酬</t>
  </si>
  <si>
    <t xml:space="preserve">社保公积金</t>
  </si>
  <si>
    <t xml:space="preserve">折旧费</t>
  </si>
  <si>
    <t xml:space="preserve">摊销费</t>
  </si>
  <si>
    <t xml:space="preserve">修理维护费</t>
  </si>
  <si>
    <t xml:space="preserve">低值易耗品</t>
  </si>
  <si>
    <t xml:space="preserve">运输费</t>
  </si>
  <si>
    <t xml:space="preserve">销售费用</t>
  </si>
  <si>
    <t xml:space="preserve">广告推广费</t>
  </si>
  <si>
    <t xml:space="preserve">平台服务费</t>
  </si>
  <si>
    <t xml:space="preserve">包装费</t>
  </si>
  <si>
    <t xml:space="preserve">检测认证费</t>
  </si>
  <si>
    <t xml:space="preserve">咨询服务费</t>
  </si>
  <si>
    <t xml:space="preserve">利息支出</t>
  </si>
  <si>
    <t xml:space="preserve">财务费用</t>
  </si>
  <si>
    <t xml:space="preserve">银行手续费</t>
  </si>
  <si>
    <t xml:space="preserve">保险费</t>
  </si>
  <si>
    <t xml:space="preserve">林地管护费</t>
  </si>
  <si>
    <t xml:space="preserve">采伐运输费</t>
  </si>
  <si>
    <t xml:space="preserve">研发材料费</t>
  </si>
  <si>
    <t xml:space="preserve">研发费用</t>
  </si>
  <si>
    <t xml:space="preserve">增值税</t>
  </si>
  <si>
    <t xml:space="preserve">税金及附加</t>
  </si>
  <si>
    <t xml:space="preserve">城建税及附加</t>
  </si>
  <si>
    <t xml:space="preserve">印花税</t>
  </si>
  <si>
    <t xml:space="preserve">企业所得税</t>
  </si>
  <si>
    <t xml:space="preserve">所得税费用</t>
  </si>
  <si>
    <t xml:space="preserve">个人所得税</t>
  </si>
  <si>
    <t xml:space="preserve">其他</t>
  </si>
  <si>
    <t xml:space="preserve">会计科目表</t>
  </si>
  <si>
    <r>
      <rPr>
        <sz val="8"/>
        <color rgb="FF808080"/>
        <rFont val="WenQuanYi Zen Hei"/>
        <family val="2"/>
      </rPr>
      <t xml:space="preserve">报表就是按「报表项目」这一列汇总出来的。加科目照着填一行即可；「余额方向」决定期末余额怎么算，「报表项目」必须用资产负债表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利润表上已有的项目名。</t>
    </r>
  </si>
  <si>
    <t xml:space="preserve">科目编码</t>
  </si>
  <si>
    <t xml:space="preserve">科目名称</t>
  </si>
  <si>
    <t xml:space="preserve">科目类别</t>
  </si>
  <si>
    <t xml:space="preserve">余额方向</t>
  </si>
  <si>
    <t xml:space="preserve">所属报表</t>
  </si>
  <si>
    <t xml:space="preserve">报表项目</t>
  </si>
  <si>
    <t xml:space="preserve">往来核算</t>
  </si>
  <si>
    <t xml:space="preserve">本年借方发生</t>
  </si>
  <si>
    <t xml:space="preserve">本年贷方发生</t>
  </si>
  <si>
    <t xml:space="preserve">备注</t>
  </si>
  <si>
    <t xml:space="preserve">1001</t>
  </si>
  <si>
    <t xml:space="preserve">库存现金</t>
  </si>
  <si>
    <t xml:space="preserve">资产</t>
  </si>
  <si>
    <t xml:space="preserve">借</t>
  </si>
  <si>
    <t xml:space="preserve">否</t>
  </si>
  <si>
    <t xml:space="preserve">1002</t>
  </si>
  <si>
    <t xml:space="preserve">银行存款</t>
  </si>
  <si>
    <t xml:space="preserve">1012</t>
  </si>
  <si>
    <t xml:space="preserve">其他货币资金</t>
  </si>
  <si>
    <t xml:space="preserve">1122</t>
  </si>
  <si>
    <t xml:space="preserve">是</t>
  </si>
  <si>
    <t xml:space="preserve">1123</t>
  </si>
  <si>
    <t xml:space="preserve">预付账款</t>
  </si>
  <si>
    <t xml:space="preserve">预付款项</t>
  </si>
  <si>
    <t xml:space="preserve">1221</t>
  </si>
  <si>
    <t xml:space="preserve">其他应收款</t>
  </si>
  <si>
    <t xml:space="preserve">1403</t>
  </si>
  <si>
    <t xml:space="preserve">原材料</t>
  </si>
  <si>
    <t xml:space="preserve">1405</t>
  </si>
  <si>
    <t xml:space="preserve">库存商品</t>
  </si>
  <si>
    <t xml:space="preserve">1411</t>
  </si>
  <si>
    <t xml:space="preserve">周转材料</t>
  </si>
  <si>
    <t xml:space="preserve">1501</t>
  </si>
  <si>
    <t xml:space="preserve">成本</t>
  </si>
  <si>
    <t xml:space="preserve">1601</t>
  </si>
  <si>
    <t xml:space="preserve">固定资产</t>
  </si>
  <si>
    <t xml:space="preserve">固定资产原价</t>
  </si>
  <si>
    <t xml:space="preserve">1602</t>
  </si>
  <si>
    <t xml:space="preserve">累计折旧</t>
  </si>
  <si>
    <t xml:space="preserve">贷</t>
  </si>
  <si>
    <t xml:space="preserve">1621</t>
  </si>
  <si>
    <t xml:space="preserve">生产性生物资产</t>
  </si>
  <si>
    <t xml:space="preserve">生产性生物资产原价</t>
  </si>
  <si>
    <t xml:space="preserve">1622</t>
  </si>
  <si>
    <t xml:space="preserve">生物资产累计折旧</t>
  </si>
  <si>
    <t xml:space="preserve">1701</t>
  </si>
  <si>
    <t xml:space="preserve">无形资产</t>
  </si>
  <si>
    <t xml:space="preserve">无形资产原价</t>
  </si>
  <si>
    <t xml:space="preserve">1702</t>
  </si>
  <si>
    <t xml:space="preserve">累计摊销</t>
  </si>
  <si>
    <t xml:space="preserve">1801</t>
  </si>
  <si>
    <t xml:space="preserve">长期待摊费用</t>
  </si>
  <si>
    <t xml:space="preserve">2001</t>
  </si>
  <si>
    <t xml:space="preserve">短期借款</t>
  </si>
  <si>
    <t xml:space="preserve">负债</t>
  </si>
  <si>
    <t xml:space="preserve">2202</t>
  </si>
  <si>
    <t xml:space="preserve">2203</t>
  </si>
  <si>
    <t xml:space="preserve">预收账款</t>
  </si>
  <si>
    <t xml:space="preserve">预收款项</t>
  </si>
  <si>
    <t xml:space="preserve">2211</t>
  </si>
  <si>
    <t xml:space="preserve">2221</t>
  </si>
  <si>
    <t xml:space="preserve">应交税费</t>
  </si>
  <si>
    <t xml:space="preserve">2241</t>
  </si>
  <si>
    <t xml:space="preserve">其他应付款</t>
  </si>
  <si>
    <t xml:space="preserve">2501</t>
  </si>
  <si>
    <t xml:space="preserve">长期借款</t>
  </si>
  <si>
    <t xml:space="preserve">4001</t>
  </si>
  <si>
    <t xml:space="preserve">实收资本</t>
  </si>
  <si>
    <t xml:space="preserve">权益</t>
  </si>
  <si>
    <t xml:space="preserve">4002</t>
  </si>
  <si>
    <t xml:space="preserve">资本公积</t>
  </si>
  <si>
    <t xml:space="preserve">4101</t>
  </si>
  <si>
    <t xml:space="preserve">盈余公积</t>
  </si>
  <si>
    <t xml:space="preserve">4104</t>
  </si>
  <si>
    <t xml:space="preserve">未分配利润</t>
  </si>
  <si>
    <t xml:space="preserve">6001</t>
  </si>
  <si>
    <t xml:space="preserve">主营业务收入</t>
  </si>
  <si>
    <r>
      <rPr>
        <sz val="9"/>
        <color rgb="FF0000C0"/>
        <rFont val="WenQuanYi Zen Hei"/>
        <family val="2"/>
      </rPr>
      <t xml:space="preserve">损益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收入</t>
    </r>
  </si>
  <si>
    <t xml:space="preserve">6051</t>
  </si>
  <si>
    <t xml:space="preserve">其他业务收入</t>
  </si>
  <si>
    <t xml:space="preserve">6111</t>
  </si>
  <si>
    <t xml:space="preserve">投资收益</t>
  </si>
  <si>
    <t xml:space="preserve">6301</t>
  </si>
  <si>
    <t xml:space="preserve">营业外收入</t>
  </si>
  <si>
    <t xml:space="preserve">6401</t>
  </si>
  <si>
    <t xml:space="preserve">主营业务成本</t>
  </si>
  <si>
    <r>
      <rPr>
        <sz val="9"/>
        <color rgb="FF0000C0"/>
        <rFont val="WenQuanYi Zen Hei"/>
        <family val="2"/>
      </rPr>
      <t xml:space="preserve">损益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费用</t>
    </r>
  </si>
  <si>
    <t xml:space="preserve">6402</t>
  </si>
  <si>
    <t xml:space="preserve">其他业务成本</t>
  </si>
  <si>
    <t xml:space="preserve">6403</t>
  </si>
  <si>
    <t xml:space="preserve">6601</t>
  </si>
  <si>
    <t xml:space="preserve">6602</t>
  </si>
  <si>
    <t xml:space="preserve">6603</t>
  </si>
  <si>
    <t xml:space="preserve">6604</t>
  </si>
  <si>
    <t xml:space="preserve">6711</t>
  </si>
  <si>
    <t xml:space="preserve">营业外支出</t>
  </si>
  <si>
    <t xml:space="preserve">6801</t>
  </si>
  <si>
    <t xml:space="preserve">记账规则（业务类型 → 借贷分录）</t>
  </si>
  <si>
    <r>
      <rPr>
        <sz val="8"/>
        <color rgb="FF808080"/>
        <rFont val="WenQuanYi Zen Hei"/>
        <family val="2"/>
      </rPr>
      <t xml:space="preserve">录入表只填业务，借贷两条腿由这张表决定。科目里的 </t>
    </r>
    <r>
      <rPr>
        <sz val="8"/>
        <color rgb="FF808080"/>
        <rFont val="微软雅黑"/>
        <family val="0"/>
        <charset val="1"/>
      </rPr>
      <t xml:space="preserve">@ </t>
    </r>
    <r>
      <rPr>
        <sz val="8"/>
        <color rgb="FF808080"/>
        <rFont val="WenQuanYi Zen Hei"/>
        <family val="2"/>
      </rPr>
      <t xml:space="preserve">是占位符：</t>
    </r>
    <r>
      <rPr>
        <sz val="8"/>
        <color rgb="FF808080"/>
        <rFont val="微软雅黑"/>
        <family val="0"/>
        <charset val="1"/>
      </rPr>
      <t xml:space="preserve">@</t>
    </r>
    <r>
      <rPr>
        <sz val="8"/>
        <color rgb="FF808080"/>
        <rFont val="WenQuanYi Zen Hei"/>
        <family val="2"/>
      </rPr>
      <t xml:space="preserve">结算＝按结算方式取（挂账→应收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应付、现金→库存现金、银行→银行存款）；</t>
    </r>
    <r>
      <rPr>
        <sz val="8"/>
        <color rgb="FF808080"/>
        <rFont val="微软雅黑"/>
        <family val="0"/>
        <charset val="1"/>
      </rPr>
      <t xml:space="preserve">@</t>
    </r>
    <r>
      <rPr>
        <sz val="8"/>
        <color rgb="FF808080"/>
        <rFont val="WenQuanYi Zen Hei"/>
        <family val="2"/>
      </rPr>
      <t xml:space="preserve">存货</t>
    </r>
    <r>
      <rPr>
        <sz val="8"/>
        <color rgb="FF808080"/>
        <rFont val="微软雅黑"/>
        <family val="0"/>
        <charset val="1"/>
      </rPr>
      <t xml:space="preserve">/@</t>
    </r>
    <r>
      <rPr>
        <sz val="8"/>
        <color rgb="FF808080"/>
        <rFont val="WenQuanYi Zen Hei"/>
        <family val="2"/>
      </rPr>
      <t xml:space="preserve">收入</t>
    </r>
    <r>
      <rPr>
        <sz val="8"/>
        <color rgb="FF808080"/>
        <rFont val="微软雅黑"/>
        <family val="0"/>
        <charset val="1"/>
      </rPr>
      <t xml:space="preserve">/@</t>
    </r>
    <r>
      <rPr>
        <sz val="8"/>
        <color rgb="FF808080"/>
        <rFont val="WenQuanYi Zen Hei"/>
        <family val="2"/>
      </rPr>
      <t xml:space="preserve">成本＝按商品档案该商品设的科目取；</t>
    </r>
    <r>
      <rPr>
        <sz val="8"/>
        <color rgb="FF808080"/>
        <rFont val="微软雅黑"/>
        <family val="0"/>
        <charset val="1"/>
      </rPr>
      <t xml:space="preserve">@</t>
    </r>
    <r>
      <rPr>
        <sz val="8"/>
        <color rgb="FF808080"/>
        <rFont val="WenQuanYi Zen Hei"/>
        <family val="2"/>
      </rPr>
      <t xml:space="preserve">账户＝资金流水那行选的账户；</t>
    </r>
    <r>
      <rPr>
        <sz val="8"/>
        <color rgb="FF808080"/>
        <rFont val="微软雅黑"/>
        <family val="0"/>
        <charset val="1"/>
      </rPr>
      <t xml:space="preserve">@</t>
    </r>
    <r>
      <rPr>
        <sz val="8"/>
        <color rgb="FF808080"/>
        <rFont val="WenQuanYi Zen Hei"/>
        <family val="2"/>
      </rPr>
      <t xml:space="preserve">对方＝那行填的对方科目。看不惯哪条改哪条，改完全表立刻跟着变。</t>
    </r>
  </si>
  <si>
    <r>
      <rPr>
        <b val="true"/>
        <sz val="10"/>
        <color rgb="FF1F4E79"/>
        <rFont val="WenQuanYi Zen Hei"/>
        <family val="2"/>
      </rPr>
      <t xml:space="preserve">一、购销流水（</t>
    </r>
    <r>
      <rPr>
        <b val="true"/>
        <sz val="10"/>
        <color rgb="FF1F4E79"/>
        <rFont val="微软雅黑"/>
        <family val="0"/>
        <charset val="1"/>
      </rPr>
      <t xml:space="preserve">4 </t>
    </r>
    <r>
      <rPr>
        <b val="true"/>
        <sz val="10"/>
        <color rgb="FF1F4E79"/>
        <rFont val="WenQuanYi Zen Hei"/>
        <family val="2"/>
      </rPr>
      <t xml:space="preserve">条腿：结算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收入或存货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结转成本借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结转成本贷）</t>
    </r>
  </si>
  <si>
    <t xml:space="preserve">业务类型</t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</si>
  <si>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1 </t>
    </r>
    <r>
      <rPr>
        <b val="true"/>
        <sz val="9"/>
        <color rgb="FFFFFFFF"/>
        <rFont val="WenQuanYi Zen Hei"/>
        <family val="2"/>
      </rPr>
      <t xml:space="preserve">科目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</si>
  <si>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1 </t>
    </r>
    <r>
      <rPr>
        <b val="true"/>
        <sz val="9"/>
        <color rgb="FFFFFFFF"/>
        <rFont val="WenQuanYi Zen Hei"/>
        <family val="2"/>
      </rPr>
      <t xml:space="preserve">借贷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</si>
  <si>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1 </t>
    </r>
    <r>
      <rPr>
        <b val="true"/>
        <sz val="9"/>
        <color rgb="FFFFFFFF"/>
        <rFont val="WenQuanYi Zen Hei"/>
        <family val="2"/>
      </rPr>
      <t xml:space="preserve">取值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</si>
  <si>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2 </t>
    </r>
    <r>
      <rPr>
        <b val="true"/>
        <sz val="9"/>
        <color rgb="FFFFFFFF"/>
        <rFont val="WenQuanYi Zen Hei"/>
        <family val="2"/>
      </rPr>
      <t xml:space="preserve">科目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</si>
  <si>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2 </t>
    </r>
    <r>
      <rPr>
        <b val="true"/>
        <sz val="9"/>
        <color rgb="FFFFFFFF"/>
        <rFont val="WenQuanYi Zen Hei"/>
        <family val="2"/>
      </rPr>
      <t xml:space="preserve">借贷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</si>
  <si>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2 </t>
    </r>
    <r>
      <rPr>
        <b val="true"/>
        <sz val="9"/>
        <color rgb="FFFFFFFF"/>
        <rFont val="WenQuanYi Zen Hei"/>
        <family val="2"/>
      </rPr>
      <t xml:space="preserve">取值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</si>
  <si>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3 </t>
    </r>
    <r>
      <rPr>
        <b val="true"/>
        <sz val="9"/>
        <color rgb="FFFFFFFF"/>
        <rFont val="WenQuanYi Zen Hei"/>
        <family val="2"/>
      </rPr>
      <t xml:space="preserve">科目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</si>
  <si>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3 </t>
    </r>
    <r>
      <rPr>
        <b val="true"/>
        <sz val="9"/>
        <color rgb="FFFFFFFF"/>
        <rFont val="WenQuanYi Zen Hei"/>
        <family val="2"/>
      </rPr>
      <t xml:space="preserve">借贷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</si>
  <si>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3 </t>
    </r>
    <r>
      <rPr>
        <b val="true"/>
        <sz val="9"/>
        <color rgb="FFFFFFFF"/>
        <rFont val="WenQuanYi Zen Hei"/>
        <family val="2"/>
      </rPr>
      <t xml:space="preserve">取值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</si>
  <si>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4 </t>
    </r>
    <r>
      <rPr>
        <b val="true"/>
        <sz val="9"/>
        <color rgb="FFFFFFFF"/>
        <rFont val="WenQuanYi Zen Hei"/>
        <family val="2"/>
      </rPr>
      <t xml:space="preserve">科目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</si>
  <si>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4 </t>
    </r>
    <r>
      <rPr>
        <b val="true"/>
        <sz val="9"/>
        <color rgb="FFFFFFFF"/>
        <rFont val="WenQuanYi Zen Hei"/>
        <family val="2"/>
      </rPr>
      <t xml:space="preserve">借贷</t>
    </r>
  </si>
  <si>
    <r>
      <rPr>
        <b val="true"/>
        <sz val="9"/>
        <color rgb="FFFFFFFF"/>
        <rFont val="WenQuanYi Zen Hei"/>
        <family val="2"/>
      </rPr>
      <t xml:space="preserve">腿</t>
    </r>
    <r>
      <rPr>
        <b val="true"/>
        <sz val="9"/>
        <color rgb="FFFFFFFF"/>
        <rFont val="微软雅黑"/>
        <family val="0"/>
        <charset val="1"/>
      </rPr>
      <t xml:space="preserve">4 </t>
    </r>
    <r>
      <rPr>
        <b val="true"/>
        <sz val="9"/>
        <color rgb="FFFFFFFF"/>
        <rFont val="WenQuanYi Zen Hei"/>
        <family val="2"/>
      </rPr>
      <t xml:space="preserve">取值</t>
    </r>
  </si>
  <si>
    <t xml:space="preserve">销售出库</t>
  </si>
  <si>
    <t xml:space="preserve">按含税金额确认收入，同时结转销售成本</t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</si>
  <si>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结算</t>
    </r>
  </si>
  <si>
    <t xml:space="preserve">金额</t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</si>
  <si>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收入</t>
    </r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</si>
  <si>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成本</t>
    </r>
  </si>
  <si>
    <t xml:space="preserve">成本金额</t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</si>
  <si>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存货</t>
    </r>
  </si>
  <si>
    <t xml:space="preserve">采购入库</t>
  </si>
  <si>
    <t xml:space="preserve">按含税金额直接进存货，不拆进项</t>
  </si>
  <si>
    <t xml:space="preserve">销售退回</t>
  </si>
  <si>
    <t xml:space="preserve">客户退货，收入与成本同时冲回</t>
  </si>
  <si>
    <t xml:space="preserve">采购退回</t>
  </si>
  <si>
    <t xml:space="preserve">退货给供应商，按含税金额冲存货</t>
  </si>
  <si>
    <r>
      <rPr>
        <b val="true"/>
        <sz val="10"/>
        <color rgb="FF1F4E79"/>
        <rFont val="WenQuanYi Zen Hei"/>
        <family val="2"/>
      </rPr>
      <t xml:space="preserve">二、资金流水（</t>
    </r>
    <r>
      <rPr>
        <b val="true"/>
        <sz val="10"/>
        <color rgb="FF1F4E79"/>
        <rFont val="微软雅黑"/>
        <family val="0"/>
        <charset val="1"/>
      </rPr>
      <t xml:space="preserve">2 </t>
    </r>
    <r>
      <rPr>
        <b val="true"/>
        <sz val="10"/>
        <color rgb="FF1F4E79"/>
        <rFont val="WenQuanYi Zen Hei"/>
        <family val="2"/>
      </rPr>
      <t xml:space="preserve">条腿：账户 </t>
    </r>
    <r>
      <rPr>
        <b val="true"/>
        <sz val="10"/>
        <color rgb="FF1F4E79"/>
        <rFont val="微软雅黑"/>
        <family val="0"/>
        <charset val="1"/>
      </rPr>
      <t xml:space="preserve">/ </t>
    </r>
    <r>
      <rPr>
        <b val="true"/>
        <sz val="10"/>
        <color rgb="FF1F4E79"/>
        <rFont val="WenQuanYi Zen Hei"/>
        <family val="2"/>
      </rPr>
      <t xml:space="preserve">对方）</t>
    </r>
  </si>
  <si>
    <t xml:space="preserve">收客户货款</t>
  </si>
  <si>
    <t xml:space="preserve">收回应收账款</t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</si>
  <si>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账户</t>
    </r>
  </si>
  <si>
    <t xml:space="preserve">付供应商货款</t>
  </si>
  <si>
    <t xml:space="preserve">支付应付账款</t>
  </si>
  <si>
    <t xml:space="preserve">收预收款</t>
  </si>
  <si>
    <t xml:space="preserve">客户预付货款</t>
  </si>
  <si>
    <t xml:space="preserve">付预付款</t>
  </si>
  <si>
    <t xml:space="preserve">预付供应商货款</t>
  </si>
  <si>
    <t xml:space="preserve">收其他应收款</t>
  </si>
  <si>
    <r>
      <rPr>
        <sz val="9"/>
        <rFont val="WenQuanYi Zen Hei"/>
        <family val="2"/>
      </rPr>
      <t xml:space="preserve">收回借出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代垫款</t>
    </r>
  </si>
  <si>
    <t xml:space="preserve">借出代垫款</t>
  </si>
  <si>
    <t xml:space="preserve">借出或代垫款项</t>
  </si>
  <si>
    <t xml:space="preserve">收往来借入款</t>
  </si>
  <si>
    <r>
      <rPr>
        <sz val="9"/>
        <rFont val="WenQuanYi Zen Hei"/>
        <family val="2"/>
      </rPr>
      <t xml:space="preserve">收到关联方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个人借入</t>
    </r>
  </si>
  <si>
    <t xml:space="preserve">付其他应付款</t>
  </si>
  <si>
    <r>
      <rPr>
        <sz val="9"/>
        <rFont val="WenQuanYi Zen Hei"/>
        <family val="2"/>
      </rPr>
      <t xml:space="preserve">归还关联方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个人借入</t>
    </r>
  </si>
  <si>
    <t xml:space="preserve">费用支出</t>
  </si>
  <si>
    <t xml:space="preserve">付费用，含税全额进费用科目</t>
  </si>
  <si>
    <r>
      <rPr>
        <sz val="9"/>
        <color rgb="FF0000C0"/>
        <rFont val="微软雅黑"/>
        <family val="0"/>
        <charset val="1"/>
      </rPr>
      <t xml:space="preserve">@</t>
    </r>
    <r>
      <rPr>
        <sz val="9"/>
        <color rgb="FF0000C0"/>
        <rFont val="WenQuanYi Zen Hei"/>
        <family val="2"/>
      </rPr>
      <t xml:space="preserve">对方</t>
    </r>
  </si>
  <si>
    <t xml:space="preserve">缴纳税费</t>
  </si>
  <si>
    <t xml:space="preserve">实际缴的税当期进费用</t>
  </si>
  <si>
    <t xml:space="preserve">现销收款</t>
  </si>
  <si>
    <t xml:space="preserve">不开票或即收即开的收入（含税）</t>
  </si>
  <si>
    <t xml:space="preserve">其他收入</t>
  </si>
  <si>
    <t xml:space="preserve">补贴、废料等其他收入（含税）</t>
  </si>
  <si>
    <t xml:space="preserve">购置固定资产</t>
  </si>
  <si>
    <t xml:space="preserve">买设备，含税全额进固定资产</t>
  </si>
  <si>
    <t xml:space="preserve">发放工资</t>
  </si>
  <si>
    <t xml:space="preserve">冲减已计提的应付职工薪酬</t>
  </si>
  <si>
    <t xml:space="preserve">收到借款</t>
  </si>
  <si>
    <r>
      <rPr>
        <sz val="9"/>
        <rFont val="WenQuanYi Zen Hei"/>
        <family val="2"/>
      </rPr>
      <t xml:space="preserve">银行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股东借款到账</t>
    </r>
  </si>
  <si>
    <t xml:space="preserve">归还借款</t>
  </si>
  <si>
    <t xml:space="preserve">还本金</t>
  </si>
  <si>
    <t xml:space="preserve">支付利息</t>
  </si>
  <si>
    <t xml:space="preserve">还利息</t>
  </si>
  <si>
    <t xml:space="preserve">股东投入</t>
  </si>
  <si>
    <t xml:space="preserve">实收资本到账</t>
  </si>
  <si>
    <t xml:space="preserve">账户互转</t>
  </si>
  <si>
    <t xml:space="preserve">现金与银行之间调拨</t>
  </si>
  <si>
    <t xml:space="preserve">其他支出</t>
  </si>
  <si>
    <t xml:space="preserve">营业外支出等</t>
  </si>
  <si>
    <r>
      <rPr>
        <b val="true"/>
        <sz val="10"/>
        <color rgb="FF1F4E79"/>
        <rFont val="WenQuanYi Zen Hei"/>
        <family val="2"/>
      </rPr>
      <t xml:space="preserve">三、生产加工（</t>
    </r>
    <r>
      <rPr>
        <b val="true"/>
        <sz val="10"/>
        <color rgb="FF1F4E79"/>
        <rFont val="微软雅黑"/>
        <family val="0"/>
        <charset val="1"/>
      </rPr>
      <t xml:space="preserve">2 </t>
    </r>
    <r>
      <rPr>
        <b val="true"/>
        <sz val="10"/>
        <color rgb="FF1F4E79"/>
        <rFont val="WenQuanYi Zen Hei"/>
        <family val="2"/>
      </rPr>
      <t xml:space="preserve">条腿）</t>
    </r>
  </si>
  <si>
    <t xml:space="preserve">领用投入</t>
  </si>
  <si>
    <t xml:space="preserve">领原料进车间，按加权平均成本出库</t>
  </si>
  <si>
    <t xml:space="preserve">记账金额</t>
  </si>
  <si>
    <t xml:space="preserve">加工费用</t>
  </si>
  <si>
    <r>
      <rPr>
        <sz val="9"/>
        <rFont val="WenQuanYi Zen Hei"/>
        <family val="2"/>
      </rPr>
      <t xml:space="preserve">人工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能耗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折旧等计入本批成本</t>
    </r>
  </si>
  <si>
    <t xml:space="preserve">产成品入库</t>
  </si>
  <si>
    <t xml:space="preserve">本批投入合计按权重分摊到产出</t>
  </si>
  <si>
    <t xml:space="preserve">四、其他分录</t>
  </si>
  <si>
    <t xml:space="preserve">没有规则表——直接在【其他分录】里填借方科目、贷方科目和金额，一借一贷。一借多贷就拆成几行写。</t>
  </si>
  <si>
    <r>
      <rPr>
        <sz val="8"/>
        <color rgb="FF808080"/>
        <rFont val="WenQuanYi Zen Hei"/>
        <family val="2"/>
      </rPr>
      <t xml:space="preserve">三家公司的料和成品都登在这里，用「所属公司」分开。存货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收入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成本科目决定这个商品的分录进哪个科目。内账是含税核算，「开票参考税率」只是登记开票时用哪档，不参与任何计算。</t>
    </r>
  </si>
  <si>
    <t xml:space="preserve">商品编码</t>
  </si>
  <si>
    <t xml:space="preserve">商品名称</t>
  </si>
  <si>
    <t xml:space="preserve">规格型号</t>
  </si>
  <si>
    <t xml:space="preserve">单位</t>
  </si>
  <si>
    <t xml:space="preserve">所属公司</t>
  </si>
  <si>
    <t xml:space="preserve">存货类别</t>
  </si>
  <si>
    <t xml:space="preserve">存货科目</t>
  </si>
  <si>
    <t xml:space="preserve">收入科目</t>
  </si>
  <si>
    <t xml:space="preserve">成本科目</t>
  </si>
  <si>
    <t xml:space="preserve">开票参考税率</t>
  </si>
  <si>
    <t xml:space="preserve">本年结存金额</t>
  </si>
  <si>
    <t xml:space="preserve">校验</t>
  </si>
  <si>
    <t xml:space="preserve">NY01</t>
  </si>
  <si>
    <t xml:space="preserve">原木</t>
  </si>
  <si>
    <r>
      <rPr>
        <sz val="9"/>
        <color rgb="FF0000C0"/>
        <rFont val="WenQuanYi Zen Hei"/>
        <family val="2"/>
      </rPr>
      <t xml:space="preserve">杉木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松木 </t>
    </r>
    <r>
      <rPr>
        <sz val="9"/>
        <color rgb="FF0000C0"/>
        <rFont val="微软雅黑"/>
        <family val="0"/>
        <charset val="1"/>
      </rPr>
      <t xml:space="preserve">4m</t>
    </r>
  </si>
  <si>
    <t xml:space="preserve">立方米</t>
  </si>
  <si>
    <t xml:space="preserve">产成品</t>
  </si>
  <si>
    <t xml:space="preserve">自产林木采伐，销售免征增值税</t>
  </si>
  <si>
    <t xml:space="preserve">NY02</t>
  </si>
  <si>
    <t xml:space="preserve">湿艾草</t>
  </si>
  <si>
    <t xml:space="preserve">鲜艾草</t>
  </si>
  <si>
    <t xml:space="preserve">公斤</t>
  </si>
  <si>
    <t xml:space="preserve">半成品</t>
  </si>
  <si>
    <t xml:space="preserve">采收后未烘干，用于烘制干艾草</t>
  </si>
  <si>
    <t xml:space="preserve">NY03</t>
  </si>
  <si>
    <t xml:space="preserve">干艾草</t>
  </si>
  <si>
    <r>
      <rPr>
        <sz val="9"/>
        <color rgb="FF0000C0"/>
        <rFont val="WenQuanYi Zen Hei"/>
        <family val="2"/>
      </rPr>
      <t xml:space="preserve">含水率≤</t>
    </r>
    <r>
      <rPr>
        <sz val="9"/>
        <color rgb="FF0000C0"/>
        <rFont val="微软雅黑"/>
        <family val="0"/>
        <charset val="1"/>
      </rPr>
      <t xml:space="preserve">12%</t>
    </r>
  </si>
  <si>
    <t xml:space="preserve">自产农产品，销售免征增值税</t>
  </si>
  <si>
    <t xml:space="preserve">NY04</t>
  </si>
  <si>
    <t xml:space="preserve">树苗</t>
  </si>
  <si>
    <t xml:space="preserve">杉木苗</t>
  </si>
  <si>
    <t xml:space="preserve">株</t>
  </si>
  <si>
    <t xml:space="preserve">外购苗木免税</t>
  </si>
  <si>
    <t xml:space="preserve">NY05</t>
  </si>
  <si>
    <t xml:space="preserve">肥料</t>
  </si>
  <si>
    <t xml:space="preserve">复合肥</t>
  </si>
  <si>
    <t xml:space="preserve">吨</t>
  </si>
  <si>
    <t xml:space="preserve">化肥免征增值税</t>
  </si>
  <si>
    <t xml:space="preserve">NY06</t>
  </si>
  <si>
    <t xml:space="preserve">农药</t>
  </si>
  <si>
    <t xml:space="preserve">农药免征增值税</t>
  </si>
  <si>
    <t xml:space="preserve">MY01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</si>
  <si>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木制品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木板</t>
    </r>
  </si>
  <si>
    <t xml:space="preserve">1220×2440×18mm</t>
  </si>
  <si>
    <t xml:space="preserve">张</t>
  </si>
  <si>
    <t xml:space="preserve">开票品名按税盘选</t>
  </si>
  <si>
    <t xml:space="preserve">MY02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</si>
  <si>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木制品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模板</t>
    </r>
  </si>
  <si>
    <t xml:space="preserve">1220×2440×15mm</t>
  </si>
  <si>
    <t xml:space="preserve">MY03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</si>
  <si>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木制品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方料</t>
    </r>
  </si>
  <si>
    <t xml:space="preserve">MY04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</si>
  <si>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木制品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建筑方料</t>
    </r>
  </si>
  <si>
    <t xml:space="preserve">MY05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</si>
  <si>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木制品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包装箱板材</t>
    </r>
  </si>
  <si>
    <t xml:space="preserve">MY06</t>
  </si>
  <si>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林业产品</t>
    </r>
    <r>
      <rPr>
        <sz val="9"/>
        <color rgb="FF0000C0"/>
        <rFont val="微软雅黑"/>
        <family val="0"/>
        <charset val="1"/>
      </rPr>
      <t xml:space="preserve">*</t>
    </r>
    <r>
      <rPr>
        <sz val="9"/>
        <color rgb="FF0000C0"/>
        <rFont val="WenQuanYi Zen Hei"/>
        <family val="2"/>
      </rPr>
      <t xml:space="preserve">建筑木方料</t>
    </r>
  </si>
  <si>
    <r>
      <rPr>
        <sz val="9"/>
        <color rgb="FF0000C0"/>
        <rFont val="WenQuanYi Zen Hei"/>
        <family val="2"/>
      </rPr>
      <t xml:space="preserve">初级林产品开票按 </t>
    </r>
    <r>
      <rPr>
        <sz val="9"/>
        <color rgb="FF0000C0"/>
        <rFont val="微软雅黑"/>
        <family val="0"/>
        <charset val="1"/>
      </rPr>
      <t xml:space="preserve">9%</t>
    </r>
  </si>
  <si>
    <t xml:space="preserve">MY07</t>
  </si>
  <si>
    <r>
      <rPr>
        <sz val="9"/>
        <color rgb="FF0000C0"/>
        <rFont val="WenQuanYi Zen Hei"/>
        <family val="2"/>
      </rPr>
      <t xml:space="preserve">外购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内购 </t>
    </r>
    <r>
      <rPr>
        <sz val="9"/>
        <color rgb="FF0000C0"/>
        <rFont val="微软雅黑"/>
        <family val="0"/>
        <charset val="1"/>
      </rPr>
      <t xml:space="preserve">4m</t>
    </r>
  </si>
  <si>
    <t xml:space="preserve">向农业基地公司和农户收购</t>
  </si>
  <si>
    <t xml:space="preserve">MY08</t>
  </si>
  <si>
    <t xml:space="preserve">胶水</t>
  </si>
  <si>
    <t xml:space="preserve">脲醛胶</t>
  </si>
  <si>
    <t xml:space="preserve">MY09</t>
  </si>
  <si>
    <t xml:space="preserve">木屑边角料</t>
  </si>
  <si>
    <t xml:space="preserve">副产品</t>
  </si>
  <si>
    <t xml:space="preserve">KJ01</t>
  </si>
  <si>
    <t xml:space="preserve">艾草精油原液</t>
  </si>
  <si>
    <r>
      <rPr>
        <sz val="9"/>
        <color rgb="FF0000C0"/>
        <rFont val="微软雅黑"/>
        <family val="0"/>
        <charset val="1"/>
      </rPr>
      <t xml:space="preserve">10kg/</t>
    </r>
    <r>
      <rPr>
        <sz val="9"/>
        <color rgb="FF0000C0"/>
        <rFont val="WenQuanYi Zen Hei"/>
        <family val="2"/>
      </rPr>
      <t xml:space="preserve">桶</t>
    </r>
  </si>
  <si>
    <t xml:space="preserve">提取后待灌装</t>
  </si>
  <si>
    <t xml:space="preserve">KJ02</t>
  </si>
  <si>
    <r>
      <rPr>
        <sz val="9"/>
        <color rgb="FF0000C0"/>
        <rFont val="WenQuanYi Zen Hei"/>
        <family val="2"/>
      </rPr>
      <t xml:space="preserve">艾草精油</t>
    </r>
    <r>
      <rPr>
        <sz val="9"/>
        <color rgb="FF0000C0"/>
        <rFont val="微软雅黑"/>
        <family val="0"/>
        <charset val="1"/>
      </rPr>
      <t xml:space="preserve">10ml</t>
    </r>
  </si>
  <si>
    <r>
      <rPr>
        <sz val="9"/>
        <color rgb="FF0000C0"/>
        <rFont val="微软雅黑"/>
        <family val="0"/>
        <charset val="1"/>
      </rPr>
      <t xml:space="preserve">10ml/</t>
    </r>
    <r>
      <rPr>
        <sz val="9"/>
        <color rgb="FF0000C0"/>
        <rFont val="WenQuanYi Zen Hei"/>
        <family val="2"/>
      </rPr>
      <t xml:space="preserve">瓶</t>
    </r>
  </si>
  <si>
    <t xml:space="preserve">瓶</t>
  </si>
  <si>
    <t xml:space="preserve">KJ03</t>
  </si>
  <si>
    <r>
      <rPr>
        <sz val="9"/>
        <color rgb="FF0000C0"/>
        <rFont val="WenQuanYi Zen Hei"/>
        <family val="2"/>
      </rPr>
      <t xml:space="preserve">艾草精油</t>
    </r>
    <r>
      <rPr>
        <sz val="9"/>
        <color rgb="FF0000C0"/>
        <rFont val="微软雅黑"/>
        <family val="0"/>
        <charset val="1"/>
      </rPr>
      <t xml:space="preserve">30ml</t>
    </r>
  </si>
  <si>
    <r>
      <rPr>
        <sz val="9"/>
        <color rgb="FF0000C0"/>
        <rFont val="微软雅黑"/>
        <family val="0"/>
        <charset val="1"/>
      </rPr>
      <t xml:space="preserve">30ml/</t>
    </r>
    <r>
      <rPr>
        <sz val="9"/>
        <color rgb="FF0000C0"/>
        <rFont val="WenQuanYi Zen Hei"/>
        <family val="2"/>
      </rPr>
      <t xml:space="preserve">瓶</t>
    </r>
  </si>
  <si>
    <t xml:space="preserve">KJ04</t>
  </si>
  <si>
    <t xml:space="preserve">艾草纯露</t>
  </si>
  <si>
    <r>
      <rPr>
        <sz val="9"/>
        <color rgb="FF0000C0"/>
        <rFont val="微软雅黑"/>
        <family val="0"/>
        <charset val="1"/>
      </rPr>
      <t xml:space="preserve">100ml/</t>
    </r>
    <r>
      <rPr>
        <sz val="9"/>
        <color rgb="FF0000C0"/>
        <rFont val="WenQuanYi Zen Hei"/>
        <family val="2"/>
      </rPr>
      <t xml:space="preserve">瓶</t>
    </r>
  </si>
  <si>
    <t xml:space="preserve">蒸馏水相</t>
  </si>
  <si>
    <t xml:space="preserve">KJ05</t>
  </si>
  <si>
    <t xml:space="preserve">艾草精油皂</t>
  </si>
  <si>
    <r>
      <rPr>
        <sz val="9"/>
        <color rgb="FF0000C0"/>
        <rFont val="微软雅黑"/>
        <family val="0"/>
        <charset val="1"/>
      </rPr>
      <t xml:space="preserve">100g/</t>
    </r>
    <r>
      <rPr>
        <sz val="9"/>
        <color rgb="FF0000C0"/>
        <rFont val="WenQuanYi Zen Hei"/>
        <family val="2"/>
      </rPr>
      <t xml:space="preserve">块</t>
    </r>
  </si>
  <si>
    <t xml:space="preserve">块</t>
  </si>
  <si>
    <t xml:space="preserve">KJ06</t>
  </si>
  <si>
    <t xml:space="preserve">艾草精油膏</t>
  </si>
  <si>
    <r>
      <rPr>
        <sz val="9"/>
        <color rgb="FF0000C0"/>
        <rFont val="微软雅黑"/>
        <family val="0"/>
        <charset val="1"/>
      </rPr>
      <t xml:space="preserve">20g/</t>
    </r>
    <r>
      <rPr>
        <sz val="9"/>
        <color rgb="FF0000C0"/>
        <rFont val="WenQuanYi Zen Hei"/>
        <family val="2"/>
      </rPr>
      <t xml:space="preserve">盒</t>
    </r>
  </si>
  <si>
    <t xml:space="preserve">盒</t>
  </si>
  <si>
    <t xml:space="preserve">KJ07</t>
  </si>
  <si>
    <t xml:space="preserve">艾草香薰</t>
  </si>
  <si>
    <t xml:space="preserve">KJ08</t>
  </si>
  <si>
    <t xml:space="preserve">向农业基地公司收购</t>
  </si>
  <si>
    <t xml:space="preserve">KJ09</t>
  </si>
  <si>
    <t xml:space="preserve">包装瓶</t>
  </si>
  <si>
    <r>
      <rPr>
        <sz val="9"/>
        <color rgb="FF0000C0"/>
        <rFont val="微软雅黑"/>
        <family val="0"/>
        <charset val="1"/>
      </rPr>
      <t xml:space="preserve">10ml </t>
    </r>
    <r>
      <rPr>
        <sz val="9"/>
        <color rgb="FF0000C0"/>
        <rFont val="WenQuanYi Zen Hei"/>
        <family val="2"/>
      </rPr>
      <t xml:space="preserve">玻璃瓶</t>
    </r>
  </si>
  <si>
    <t xml:space="preserve">个</t>
  </si>
  <si>
    <t xml:space="preserve">KJ10</t>
  </si>
  <si>
    <t xml:space="preserve">纸盒</t>
  </si>
  <si>
    <t xml:space="preserve">客户、供应商、以及三家公司互相之间。「是否内部」标「是」的，购销流水会自动认成内部交易，合并报表按它抵销。</t>
  </si>
  <si>
    <t xml:space="preserve">单位名称</t>
  </si>
  <si>
    <t xml:space="preserve">类型</t>
  </si>
  <si>
    <t xml:space="preserve">是否内部</t>
  </si>
  <si>
    <t xml:space="preserve">本年应收发生</t>
  </si>
  <si>
    <t xml:space="preserve">本年应付发生</t>
  </si>
  <si>
    <t xml:space="preserve">期末应收余额</t>
  </si>
  <si>
    <t xml:space="preserve">期末应付余额</t>
  </si>
  <si>
    <t xml:space="preserve">内部关联</t>
  </si>
  <si>
    <t xml:space="preserve">本账套三家之一</t>
  </si>
  <si>
    <t xml:space="preserve">鑫隆建材</t>
  </si>
  <si>
    <t xml:space="preserve">客户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</si>
  <si>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板材</t>
    </r>
  </si>
  <si>
    <t xml:space="preserve">中建八局项目部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</si>
  <si>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模板</t>
    </r>
  </si>
  <si>
    <t xml:space="preserve">顺达包装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</si>
  <si>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包装箱板材</t>
    </r>
  </si>
  <si>
    <t xml:space="preserve">恒诚建筑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</si>
  <si>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建筑木方料</t>
    </r>
  </si>
  <si>
    <t xml:space="preserve">恒信木材行</t>
  </si>
  <si>
    <r>
      <rPr>
        <sz val="9"/>
        <color rgb="FF0000C0"/>
        <rFont val="WenQuanYi Zen Hei"/>
        <family val="2"/>
      </rPr>
      <t xml:space="preserve">农业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原木</t>
    </r>
  </si>
  <si>
    <t xml:space="preserve">安康艾制品厂</t>
  </si>
  <si>
    <r>
      <rPr>
        <sz val="9"/>
        <color rgb="FF0000C0"/>
        <rFont val="WenQuanYi Zen Hei"/>
        <family val="2"/>
      </rPr>
      <t xml:space="preserve">农业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干艾草</t>
    </r>
  </si>
  <si>
    <t xml:space="preserve">康养电商</t>
  </si>
  <si>
    <r>
      <rPr>
        <sz val="9"/>
        <color rgb="FF0000C0"/>
        <rFont val="WenQuanYi Zen Hei"/>
        <family val="2"/>
      </rPr>
      <t xml:space="preserve">科技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精油</t>
    </r>
  </si>
  <si>
    <t xml:space="preserve">美悦日化</t>
  </si>
  <si>
    <r>
      <rPr>
        <sz val="9"/>
        <color rgb="FF0000C0"/>
        <rFont val="WenQuanYi Zen Hei"/>
        <family val="2"/>
      </rPr>
      <t xml:space="preserve">科技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纯露</t>
    </r>
  </si>
  <si>
    <t xml:space="preserve">张德富（农户）</t>
  </si>
  <si>
    <t xml:space="preserve">供应商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</si>
  <si>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向农户收购原木，开农产品收购发票</t>
    </r>
  </si>
  <si>
    <t xml:space="preserve">李长生（农户）</t>
  </si>
  <si>
    <t xml:space="preserve">农户散户（合并登记）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</si>
  <si>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零星农户收购，按收购清单合并入账</t>
    </r>
  </si>
  <si>
    <t xml:space="preserve">县农资公司</t>
  </si>
  <si>
    <r>
      <rPr>
        <sz val="9"/>
        <color rgb="FF0000C0"/>
        <rFont val="WenQuanYi Zen Hei"/>
        <family val="2"/>
      </rPr>
      <t xml:space="preserve">农业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化肥农药</t>
    </r>
  </si>
  <si>
    <t xml:space="preserve">林业苗圃</t>
  </si>
  <si>
    <r>
      <rPr>
        <sz val="9"/>
        <color rgb="FF0000C0"/>
        <rFont val="WenQuanYi Zen Hei"/>
        <family val="2"/>
      </rPr>
      <t xml:space="preserve">农业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树苗</t>
    </r>
  </si>
  <si>
    <t xml:space="preserve">华鑫化工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</si>
  <si>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胶水</t>
    </r>
  </si>
  <si>
    <t xml:space="preserve">晶诚玻璃</t>
  </si>
  <si>
    <r>
      <rPr>
        <sz val="9"/>
        <color rgb="FF0000C0"/>
        <rFont val="WenQuanYi Zen Hei"/>
        <family val="2"/>
      </rPr>
      <t xml:space="preserve">科技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包装瓶</t>
    </r>
  </si>
  <si>
    <t xml:space="preserve">瑞丰纸品</t>
  </si>
  <si>
    <r>
      <rPr>
        <sz val="9"/>
        <color rgb="FF0000C0"/>
        <rFont val="WenQuanYi Zen Hei"/>
        <family val="2"/>
      </rPr>
      <t xml:space="preserve">科技 </t>
    </r>
    <r>
      <rPr>
        <sz val="9"/>
        <color rgb="FF0000C0"/>
        <rFont val="微软雅黑"/>
        <family val="0"/>
        <charset val="1"/>
      </rPr>
      <t xml:space="preserve">· </t>
    </r>
    <r>
      <rPr>
        <sz val="9"/>
        <color rgb="FF0000C0"/>
        <rFont val="WenQuanYi Zen Hei"/>
        <family val="2"/>
      </rPr>
      <t xml:space="preserve">纸盒</t>
    </r>
  </si>
  <si>
    <t xml:space="preserve">国网供电所</t>
  </si>
  <si>
    <t xml:space="preserve">水电</t>
  </si>
  <si>
    <t xml:space="preserve">天成广告</t>
  </si>
  <si>
    <t xml:space="preserve">推广服务</t>
  </si>
  <si>
    <t xml:space="preserve">税务局</t>
  </si>
  <si>
    <t xml:space="preserve">申报缴税</t>
  </si>
  <si>
    <t xml:space="preserve">农商银行</t>
  </si>
  <si>
    <t xml:space="preserve">借款开户行</t>
  </si>
  <si>
    <t xml:space="preserve">几家公司共用几个账号，就按实际开的户登在这里。「对应科目」决定这个账户在账上走库存现金还是银行存款；共用账户照样在【资金流水】里按公司分别记账，账户余额是账户的，科目余额是各公司自己的，两边在下面对账。</t>
  </si>
  <si>
    <t xml:space="preserve">账户编码</t>
  </si>
  <si>
    <t xml:space="preserve">账户名称</t>
  </si>
  <si>
    <r>
      <rPr>
        <b val="true"/>
        <sz val="9"/>
        <color rgb="FFFFFFFF"/>
        <rFont val="WenQuanYi Zen Hei"/>
        <family val="2"/>
      </rPr>
      <t xml:space="preserve">开户行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说明</t>
    </r>
  </si>
  <si>
    <t xml:space="preserve">账号</t>
  </si>
  <si>
    <t xml:space="preserve">账户类型</t>
  </si>
  <si>
    <t xml:space="preserve">对应科目</t>
  </si>
  <si>
    <t xml:space="preserve">使用公司</t>
  </si>
  <si>
    <t xml:space="preserve">本期收入</t>
  </si>
  <si>
    <t xml:space="preserve">本期支出</t>
  </si>
  <si>
    <t xml:space="preserve">期末余额</t>
  </si>
  <si>
    <t xml:space="preserve">X01</t>
  </si>
  <si>
    <r>
      <rPr>
        <sz val="9"/>
        <color rgb="FF0000C0"/>
        <rFont val="WenQuanYi Zen Hei"/>
        <family val="2"/>
      </rPr>
      <t xml:space="preserve">现金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总部</t>
    </r>
  </si>
  <si>
    <t xml:space="preserve">出纳保管的备用金，三家共用一个钱箱</t>
  </si>
  <si>
    <t xml:space="preserve">—</t>
  </si>
  <si>
    <t xml:space="preserve">现金</t>
  </si>
  <si>
    <t xml:space="preserve">三家共用</t>
  </si>
  <si>
    <t xml:space="preserve">Y01</t>
  </si>
  <si>
    <r>
      <rPr>
        <sz val="9"/>
        <color rgb="FF0000C0"/>
        <rFont val="WenQuanYi Zen Hei"/>
        <family val="2"/>
      </rPr>
      <t xml:space="preserve">农商银行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基本户</t>
    </r>
  </si>
  <si>
    <t xml:space="preserve">农业基地公司基本户</t>
  </si>
  <si>
    <t xml:space="preserve">62×××××××××1001</t>
  </si>
  <si>
    <t xml:space="preserve">银行</t>
  </si>
  <si>
    <t xml:space="preserve">Y02</t>
  </si>
  <si>
    <r>
      <rPr>
        <sz val="9"/>
        <color rgb="FF0000C0"/>
        <rFont val="WenQuanYi Zen Hei"/>
        <family val="2"/>
      </rPr>
      <t xml:space="preserve">工商银行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基本户</t>
    </r>
  </si>
  <si>
    <t xml:space="preserve">木业公司基本户</t>
  </si>
  <si>
    <t xml:space="preserve">62×××××××××2002</t>
  </si>
  <si>
    <t xml:space="preserve">Y03</t>
  </si>
  <si>
    <r>
      <rPr>
        <sz val="9"/>
        <color rgb="FF0000C0"/>
        <rFont val="WenQuanYi Zen Hei"/>
        <family val="2"/>
      </rPr>
      <t xml:space="preserve">建设银行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基本户</t>
    </r>
  </si>
  <si>
    <t xml:space="preserve">科技公司基本户</t>
  </si>
  <si>
    <t xml:space="preserve">62×××××××××3003</t>
  </si>
  <si>
    <t xml:space="preserve">Y04</t>
  </si>
  <si>
    <r>
      <rPr>
        <sz val="9"/>
        <color rgb="FF0000C0"/>
        <rFont val="WenQuanYi Zen Hei"/>
        <family val="2"/>
      </rPr>
      <t xml:space="preserve">农商银行</t>
    </r>
    <r>
      <rPr>
        <sz val="9"/>
        <color rgb="FF0000C0"/>
        <rFont val="微软雅黑"/>
        <family val="0"/>
        <charset val="1"/>
      </rPr>
      <t xml:space="preserve">-</t>
    </r>
    <r>
      <rPr>
        <sz val="9"/>
        <color rgb="FF0000C0"/>
        <rFont val="WenQuanYi Zen Hei"/>
        <family val="2"/>
      </rPr>
      <t xml:space="preserve">共用户</t>
    </r>
  </si>
  <si>
    <t xml:space="preserve">木业、科技共用的收款户，按公司分别记账</t>
  </si>
  <si>
    <t xml:space="preserve">62×××××××××4004</t>
  </si>
  <si>
    <r>
      <rPr>
        <sz val="9"/>
        <color rgb="FF0000C0"/>
        <rFont val="WenQuanYi Zen Hei"/>
        <family val="2"/>
      </rPr>
      <t xml:space="preserve">木业 </t>
    </r>
    <r>
      <rPr>
        <sz val="9"/>
        <color rgb="FF0000C0"/>
        <rFont val="微软雅黑"/>
        <family val="0"/>
        <charset val="1"/>
      </rPr>
      <t xml:space="preserve">/ </t>
    </r>
    <r>
      <rPr>
        <sz val="9"/>
        <color rgb="FF0000C0"/>
        <rFont val="WenQuanYi Zen Hei"/>
        <family val="2"/>
      </rPr>
      <t xml:space="preserve">科技</t>
    </r>
  </si>
  <si>
    <t xml:space="preserve">合  计</t>
  </si>
  <si>
    <t xml:space="preserve">全部账户</t>
  </si>
  <si>
    <t xml:space="preserve">账实对账</t>
  </si>
  <si>
    <t xml:space="preserve">全部账户余额合计，应当等于三家公司「库存现金＋银行存款」的科目余额合计。共用账户会让某一家的账面银行存款对不上单个账号，但三家加总一定对得上。</t>
  </si>
  <si>
    <t xml:space="preserve">账户余额合计</t>
  </si>
  <si>
    <t xml:space="preserve">三家科目余额合计</t>
  </si>
  <si>
    <r>
      <rPr>
        <b val="true"/>
        <sz val="15"/>
        <color rgb="FF1F3864"/>
        <rFont val="WenQuanYi Zen Hei"/>
        <family val="2"/>
      </rPr>
      <t xml:space="preserve">期初余额（</t>
    </r>
    <r>
      <rPr>
        <b val="true"/>
        <sz val="15"/>
        <color rgb="FF1F3864"/>
        <rFont val="微软雅黑"/>
        <family val="0"/>
        <charset val="1"/>
      </rPr>
      <t xml:space="preserve">2026-01-01</t>
    </r>
    <r>
      <rPr>
        <b val="true"/>
        <sz val="15"/>
        <color rgb="FF1F3864"/>
        <rFont val="WenQuanYi Zen Hei"/>
        <family val="2"/>
      </rPr>
      <t xml:space="preserve">）</t>
    </r>
  </si>
  <si>
    <t xml:space="preserve">左边填各公司的科目年初余额（借贷各一列），右边填存货的年初数量和金额。两边要对得上：右边某公司「库存商品」的金额合计，必须等于左边该公司库存商品的借方余额，下面有校验。</t>
  </si>
  <si>
    <t xml:space="preserve">公司</t>
  </si>
  <si>
    <t xml:space="preserve">借方余额</t>
  </si>
  <si>
    <t xml:space="preserve">贷方余额</t>
  </si>
  <si>
    <t xml:space="preserve">期初数量</t>
  </si>
  <si>
    <t xml:space="preserve">期初金额</t>
  </si>
  <si>
    <t xml:space="preserve">期初单价</t>
  </si>
  <si>
    <t xml:space="preserve">年初应收</t>
  </si>
  <si>
    <t xml:space="preserve">年初应付</t>
  </si>
  <si>
    <t xml:space="preserve">存货两边对账</t>
  </si>
  <si>
    <r>
      <rPr>
        <sz val="8"/>
        <color rgb="FF808080"/>
        <rFont val="WenQuanYi Zen Hei"/>
        <family val="2"/>
      </rPr>
      <t xml:space="preserve">右边存货金额合计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左边「原材料 </t>
    </r>
    <r>
      <rPr>
        <sz val="8"/>
        <color rgb="FF808080"/>
        <rFont val="微软雅黑"/>
        <family val="0"/>
        <charset val="1"/>
      </rPr>
      <t xml:space="preserve">+ </t>
    </r>
    <r>
      <rPr>
        <sz val="8"/>
        <color rgb="FF808080"/>
        <rFont val="WenQuanYi Zen Hei"/>
        <family val="2"/>
      </rPr>
      <t xml:space="preserve">库存商品」借方余额</t>
    </r>
  </si>
  <si>
    <t xml:space="preserve">往来两边对账</t>
  </si>
  <si>
    <r>
      <rPr>
        <sz val="8"/>
        <color rgb="FF808080"/>
        <rFont val="WenQuanYi Zen Hei"/>
        <family val="2"/>
      </rPr>
      <t xml:space="preserve">按单位拆的年初应收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应付合计，要等于左边该公司应收账款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应付账款的余额</t>
    </r>
  </si>
  <si>
    <t xml:space="preserve">借贷平衡</t>
  </si>
  <si>
    <r>
      <rPr>
        <sz val="8"/>
        <color rgb="FF808080"/>
        <rFont val="WenQuanYi Zen Hei"/>
        <family val="2"/>
      </rPr>
      <t xml:space="preserve">借方合计 </t>
    </r>
    <r>
      <rPr>
        <sz val="8"/>
        <color rgb="FF808080"/>
        <rFont val="微软雅黑"/>
        <family val="0"/>
        <charset val="1"/>
      </rPr>
      <t xml:space="preserve">/ </t>
    </r>
    <r>
      <rPr>
        <sz val="8"/>
        <color rgb="FF808080"/>
        <rFont val="WenQuanYi Zen Hei"/>
        <family val="2"/>
      </rPr>
      <t xml:space="preserve">贷方合计</t>
    </r>
  </si>
  <si>
    <r>
      <rPr>
        <b val="true"/>
        <sz val="15"/>
        <color rgb="FF1F3864"/>
        <rFont val="WenQuanYi Zen Hei"/>
        <family val="2"/>
      </rPr>
      <t xml:space="preserve">购销流水（录入表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全部行都显示）</t>
    </r>
  </si>
  <si>
    <r>
      <rPr>
        <sz val="8"/>
        <color rgb="FF808080"/>
        <rFont val="WenQuanYi Zen Hei"/>
        <family val="2"/>
      </rPr>
      <t xml:space="preserve">进货、卖货都在这一张表上，用「公司」列分开。</t>
    </r>
    <r>
      <rPr>
        <sz val="8"/>
        <color rgb="FF808080"/>
        <rFont val="微软雅黑"/>
        <family val="0"/>
        <charset val="1"/>
      </rPr>
      <t xml:space="preserve">**</t>
    </r>
    <r>
      <rPr>
        <sz val="8"/>
        <color rgb="FF808080"/>
        <rFont val="WenQuanYi Zen Hei"/>
        <family val="2"/>
      </rPr>
      <t xml:space="preserve">内账含税核算</t>
    </r>
    <r>
      <rPr>
        <sz val="8"/>
        <color rgb="FF808080"/>
        <rFont val="微软雅黑"/>
        <family val="0"/>
        <charset val="1"/>
      </rPr>
      <t xml:space="preserve">**</t>
    </r>
    <r>
      <rPr>
        <sz val="8"/>
        <color rgb="FF808080"/>
        <rFont val="WenQuanYi Zen Hei"/>
        <family val="2"/>
      </rPr>
      <t xml:space="preserve">：单价填实际成交的含税价，金额＝数量</t>
    </r>
    <r>
      <rPr>
        <sz val="8"/>
        <color rgb="FF808080"/>
        <rFont val="微软雅黑"/>
        <family val="0"/>
        <charset val="1"/>
      </rPr>
      <t xml:space="preserve">×</t>
    </r>
    <r>
      <rPr>
        <sz val="8"/>
        <color rgb="FF808080"/>
        <rFont val="WenQuanYi Zen Hei"/>
        <family val="2"/>
      </rPr>
      <t xml:space="preserve">单价，不拆进项销项，收入和成本都是含税数。这里只管货和票，一律挂应收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应付；收钱付钱到【资金流水】记一笔，账户余额和往来才对得上。退货用「销售退回 </t>
    </r>
    <r>
      <rPr>
        <sz val="8"/>
        <color rgb="FF808080"/>
        <rFont val="微软雅黑"/>
        <family val="0"/>
        <charset val="1"/>
      </rPr>
      <t xml:space="preserve">/ </t>
    </r>
    <r>
      <rPr>
        <sz val="8"/>
        <color rgb="FF808080"/>
        <rFont val="WenQuanYi Zen Hei"/>
        <family val="2"/>
      </rPr>
      <t xml:space="preserve">采购退回」，数量照正数填。向农户收购原木：往来单位选那个农户，发票类型选「收购发票」，单价就填收购价。</t>
    </r>
  </si>
  <si>
    <t xml:space="preserve">序号</t>
  </si>
  <si>
    <t xml:space="preserve">日期</t>
  </si>
  <si>
    <t xml:space="preserve">数量</t>
  </si>
  <si>
    <t xml:space="preserve">含税单价</t>
  </si>
  <si>
    <t xml:space="preserve">发票类型</t>
  </si>
  <si>
    <t xml:space="preserve">发票号码</t>
  </si>
  <si>
    <t xml:space="preserve">摘要</t>
  </si>
  <si>
    <t xml:space="preserve">金额（含税）</t>
  </si>
  <si>
    <t xml:space="preserve">结算科目</t>
  </si>
  <si>
    <t xml:space="preserve">成本单价</t>
  </si>
  <si>
    <t xml:space="preserve">内部</t>
  </si>
  <si>
    <t xml:space="preserve">年度</t>
  </si>
  <si>
    <t xml:space="preserve">所属月份</t>
  </si>
  <si>
    <t xml:space="preserve">免税发票</t>
  </si>
  <si>
    <t xml:space="preserve">春季复合肥</t>
  </si>
  <si>
    <t xml:space="preserve">0260001</t>
  </si>
  <si>
    <t xml:space="preserve">销售原木（内部交易）</t>
  </si>
  <si>
    <t xml:space="preserve">0260002</t>
  </si>
  <si>
    <t xml:space="preserve">销售干艾草（内部交易）</t>
  </si>
  <si>
    <t xml:space="preserve">0260003</t>
  </si>
  <si>
    <t xml:space="preserve">销售原木</t>
  </si>
  <si>
    <t xml:space="preserve">0260004</t>
  </si>
  <si>
    <t xml:space="preserve">销售干艾草</t>
  </si>
  <si>
    <t xml:space="preserve">专票</t>
  </si>
  <si>
    <t xml:space="preserve">04121880</t>
  </si>
  <si>
    <t xml:space="preserve">收购发票</t>
  </si>
  <si>
    <t xml:space="preserve">SG26001</t>
  </si>
  <si>
    <t xml:space="preserve">SG26002</t>
  </si>
  <si>
    <t xml:space="preserve">收购原木（内部交易）</t>
  </si>
  <si>
    <t xml:space="preserve">SG26003</t>
  </si>
  <si>
    <t xml:space="preserve">07080231</t>
  </si>
  <si>
    <t xml:space="preserve">木板</t>
  </si>
  <si>
    <t xml:space="preserve">08060477</t>
  </si>
  <si>
    <t xml:space="preserve">模板</t>
  </si>
  <si>
    <t xml:space="preserve">08220512</t>
  </si>
  <si>
    <t xml:space="preserve">包装箱板材</t>
  </si>
  <si>
    <t xml:space="preserve">09030688</t>
  </si>
  <si>
    <t xml:space="preserve">建筑木方料</t>
  </si>
  <si>
    <t xml:space="preserve">05180912</t>
  </si>
  <si>
    <t xml:space="preserve">05180913</t>
  </si>
  <si>
    <t xml:space="preserve">包装纸盒</t>
  </si>
  <si>
    <t xml:space="preserve">SG26004</t>
  </si>
  <si>
    <t xml:space="preserve">收购干艾草（内部交易）</t>
  </si>
  <si>
    <t xml:space="preserve">08101177</t>
  </si>
  <si>
    <r>
      <rPr>
        <sz val="9"/>
        <color rgb="FF0000C0"/>
        <rFont val="WenQuanYi Zen Hei"/>
        <family val="2"/>
      </rPr>
      <t xml:space="preserve">艾草精油 </t>
    </r>
    <r>
      <rPr>
        <sz val="9"/>
        <color rgb="FF0000C0"/>
        <rFont val="微软雅黑"/>
        <family val="0"/>
        <charset val="1"/>
      </rPr>
      <t xml:space="preserve">10ml</t>
    </r>
  </si>
  <si>
    <t xml:space="preserve">08301203</t>
  </si>
  <si>
    <t xml:space="preserve">09081290</t>
  </si>
  <si>
    <r>
      <rPr>
        <b val="true"/>
        <sz val="15"/>
        <color rgb="FF1F3864"/>
        <rFont val="WenQuanYi Zen Hei"/>
        <family val="2"/>
      </rPr>
      <t xml:space="preserve">资金流水（录入表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收支混排、逐行结出账户余额）</t>
    </r>
  </si>
  <si>
    <r>
      <rPr>
        <sz val="8"/>
        <color rgb="FF808080"/>
        <rFont val="WenQuanYi Zen Hei"/>
        <family val="2"/>
      </rPr>
      <t xml:space="preserve">所有账户的收支都按发生顺序记在这一张表上：收进来的填「收入金额」，付出去的填「支出金额」，右边「账户余额」按账户逐行滚出来——几家公司共用一个账号也没关系，余额是按账户算的，账是按「公司」列各记各的。金额一律填实际收付的含税金额，不拆税。按日期先后往下录，余额才有意义（录反了校验列会提示）。收付货款选好「往来单位」，就自动冲【往来台账】里那家的应收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应付；交税选「缴纳税费」，对方科目选税金及附加或所得税费用、费用项目选税种，当期直接进费用。</t>
    </r>
  </si>
  <si>
    <t xml:space="preserve">账户</t>
  </si>
  <si>
    <t xml:space="preserve">对方科目</t>
  </si>
  <si>
    <t xml:space="preserve">收入金额</t>
  </si>
  <si>
    <t xml:space="preserve">支出金额</t>
  </si>
  <si>
    <t xml:space="preserve">关联单号</t>
  </si>
  <si>
    <t xml:space="preserve">账户科目</t>
  </si>
  <si>
    <t xml:space="preserve">收支</t>
  </si>
  <si>
    <t xml:space="preserve">支付上年结存货款</t>
  </si>
  <si>
    <t xml:space="preserve">股东增资</t>
  </si>
  <si>
    <t xml:space="preserve">流动资金借款</t>
  </si>
  <si>
    <t xml:space="preserve">支付杉木苗款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</si>
  <si>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2</t>
    </r>
  </si>
  <si>
    <t xml:space="preserve">办公用品</t>
  </si>
  <si>
    <t xml:space="preserve">支付胶水款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</si>
  <si>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7</t>
    </r>
  </si>
  <si>
    <t xml:space="preserve">付农户原木收购款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</si>
  <si>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8</t>
    </r>
  </si>
  <si>
    <t xml:space="preserve">支付包装瓶款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</si>
  <si>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15</t>
    </r>
  </si>
  <si>
    <t xml:space="preserve">支付纸盒款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</si>
  <si>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16</t>
    </r>
  </si>
  <si>
    <t xml:space="preserve">收木业公司原木款（内部）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</si>
  <si>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3</t>
    </r>
  </si>
  <si>
    <t xml:space="preserve">付农业基地原木款（内部）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</si>
  <si>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9</t>
    </r>
  </si>
  <si>
    <t xml:space="preserve">电商推广</t>
  </si>
  <si>
    <t xml:space="preserve">收木板货款（进共用户）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</si>
  <si>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11</t>
    </r>
  </si>
  <si>
    <t xml:space="preserve">发放已计提工资</t>
  </si>
  <si>
    <t xml:space="preserve">短期借款利息</t>
  </si>
  <si>
    <t xml:space="preserve">厂区水电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</si>
  <si>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10</t>
    </r>
  </si>
  <si>
    <t xml:space="preserve">收精油货款（进共用户）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</si>
  <si>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18</t>
    </r>
  </si>
  <si>
    <t xml:space="preserve">发放车间及管理人员工资</t>
  </si>
  <si>
    <t xml:space="preserve">收原木货款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</si>
  <si>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5</t>
    </r>
  </si>
  <si>
    <t xml:space="preserve">收包装箱板材货款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</si>
  <si>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13</t>
    </r>
  </si>
  <si>
    <t xml:space="preserve">发放上年计提工资</t>
  </si>
  <si>
    <t xml:space="preserve">申报缴纳增值税</t>
  </si>
  <si>
    <t xml:space="preserve">零星用品</t>
  </si>
  <si>
    <t xml:space="preserve">收科技公司干艾草款（内部）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</si>
  <si>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17</t>
    </r>
  </si>
  <si>
    <t xml:space="preserve">付农业基地干艾草款（内部）</t>
  </si>
  <si>
    <t xml:space="preserve">发放三季度工资</t>
  </si>
  <si>
    <t xml:space="preserve">收纯露货款</t>
  </si>
  <si>
    <r>
      <rPr>
        <sz val="9"/>
        <color rgb="FF0000C0"/>
        <rFont val="WenQuanYi Zen Hei"/>
        <family val="2"/>
      </rPr>
      <t xml:space="preserve">购销 </t>
    </r>
    <r>
      <rPr>
        <sz val="9"/>
        <color rgb="FF0000C0"/>
        <rFont val="微软雅黑"/>
        <family val="0"/>
        <charset val="1"/>
      </rPr>
      <t xml:space="preserve">19</t>
    </r>
  </si>
  <si>
    <t xml:space="preserve">林区巡查差旅</t>
  </si>
  <si>
    <t xml:space="preserve">缴纳城建税及教育费附加</t>
  </si>
  <si>
    <t xml:space="preserve">预缴企业所得税</t>
  </si>
  <si>
    <r>
      <rPr>
        <b val="true"/>
        <sz val="15"/>
        <color rgb="FF1F3864"/>
        <rFont val="WenQuanYi Zen Hei"/>
        <family val="2"/>
      </rPr>
      <t xml:space="preserve">生产加工（录入表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全部行都显示）</t>
    </r>
  </si>
  <si>
    <r>
      <rPr>
        <sz val="8"/>
        <color rgb="FF808080"/>
        <rFont val="WenQuanYi Zen Hei"/>
        <family val="2"/>
      </rPr>
      <t xml:space="preserve">一个批次号 </t>
    </r>
    <r>
      <rPr>
        <sz val="8"/>
        <color rgb="FF808080"/>
        <rFont val="微软雅黑"/>
        <family val="0"/>
        <charset val="1"/>
      </rPr>
      <t xml:space="preserve">= </t>
    </r>
    <r>
      <rPr>
        <sz val="8"/>
        <color rgb="FF808080"/>
        <rFont val="WenQuanYi Zen Hei"/>
        <family val="2"/>
      </rPr>
      <t xml:space="preserve">一次加工。同一批次里：「领用投入」按加权平均成本自动出库，「加工费用」填金额和对方科目（人工先挂应付职工薪酬、折旧挂累计折旧），「产成品入库」不填金额——本批全部投入按「权重」自动分摊到产出。一批只有一个产出，权重留空即可；一批两个产出，就照价值比例填 </t>
    </r>
    <r>
      <rPr>
        <sz val="8"/>
        <color rgb="FF808080"/>
        <rFont val="微软雅黑"/>
        <family val="0"/>
        <charset val="1"/>
      </rPr>
      <t xml:space="preserve">3 </t>
    </r>
    <r>
      <rPr>
        <sz val="8"/>
        <color rgb="FF808080"/>
        <rFont val="WenQuanYi Zen Hei"/>
        <family val="2"/>
      </rPr>
      <t xml:space="preserve">和 </t>
    </r>
    <r>
      <rPr>
        <sz val="8"/>
        <color rgb="FF808080"/>
        <rFont val="微软雅黑"/>
        <family val="0"/>
        <charset val="1"/>
      </rPr>
      <t xml:space="preserve">1 </t>
    </r>
    <r>
      <rPr>
        <sz val="8"/>
        <color rgb="FF808080"/>
        <rFont val="WenQuanYi Zen Hei"/>
        <family val="2"/>
      </rPr>
      <t xml:space="preserve">这样。</t>
    </r>
  </si>
  <si>
    <t xml:space="preserve">批次号</t>
  </si>
  <si>
    <t xml:space="preserve">加工费金额</t>
  </si>
  <si>
    <t xml:space="preserve">权重</t>
  </si>
  <si>
    <t xml:space="preserve">投入金额</t>
  </si>
  <si>
    <t xml:space="preserve">产出成本</t>
  </si>
  <si>
    <t xml:space="preserve">权重实际</t>
  </si>
  <si>
    <t xml:space="preserve">累计权重</t>
  </si>
  <si>
    <t xml:space="preserve">NY-01</t>
  </si>
  <si>
    <t xml:space="preserve">造林苗木</t>
  </si>
  <si>
    <t xml:space="preserve">林地施肥</t>
  </si>
  <si>
    <t xml:space="preserve">造林抚育及采伐人工</t>
  </si>
  <si>
    <t xml:space="preserve">原木入库</t>
  </si>
  <si>
    <t xml:space="preserve">NY-02</t>
  </si>
  <si>
    <t xml:space="preserve">艾草地施肥</t>
  </si>
  <si>
    <t xml:space="preserve">艾草采收人工</t>
  </si>
  <si>
    <t xml:space="preserve">湿艾草入库</t>
  </si>
  <si>
    <t xml:space="preserve">NY-03</t>
  </si>
  <si>
    <t xml:space="preserve">湿艾草投入烘干</t>
  </si>
  <si>
    <t xml:space="preserve">烘干燃料电费</t>
  </si>
  <si>
    <t xml:space="preserve">干艾草入库</t>
  </si>
  <si>
    <t xml:space="preserve">MY-01</t>
  </si>
  <si>
    <t xml:space="preserve">原木开料</t>
  </si>
  <si>
    <t xml:space="preserve">车间人工</t>
  </si>
  <si>
    <t xml:space="preserve">车间设备折旧</t>
  </si>
  <si>
    <t xml:space="preserve">木板入库</t>
  </si>
  <si>
    <t xml:space="preserve">MY-02</t>
  </si>
  <si>
    <r>
      <rPr>
        <sz val="9"/>
        <color rgb="FF0000C0"/>
        <rFont val="WenQuanYi Zen Hei"/>
        <family val="2"/>
      </rPr>
      <t xml:space="preserve">模板入库（一批两产出，按权重 </t>
    </r>
    <r>
      <rPr>
        <sz val="9"/>
        <color rgb="FF0000C0"/>
        <rFont val="微软雅黑"/>
        <family val="0"/>
        <charset val="1"/>
      </rPr>
      <t xml:space="preserve">3 </t>
    </r>
    <r>
      <rPr>
        <sz val="9"/>
        <color rgb="FF0000C0"/>
        <rFont val="WenQuanYi Zen Hei"/>
        <family val="2"/>
      </rPr>
      <t xml:space="preserve">分摊）</t>
    </r>
  </si>
  <si>
    <r>
      <rPr>
        <sz val="9"/>
        <color rgb="FF0000C0"/>
        <rFont val="WenQuanYi Zen Hei"/>
        <family val="2"/>
      </rPr>
      <t xml:space="preserve">建筑木方料入库（权重 </t>
    </r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）</t>
    </r>
  </si>
  <si>
    <t xml:space="preserve">MY-03</t>
  </si>
  <si>
    <t xml:space="preserve">包装箱板材入库</t>
  </si>
  <si>
    <t xml:space="preserve">KJ-01</t>
  </si>
  <si>
    <t xml:space="preserve">干艾草投料</t>
  </si>
  <si>
    <t xml:space="preserve">提取人工及能耗</t>
  </si>
  <si>
    <t xml:space="preserve">精油原液入库</t>
  </si>
  <si>
    <t xml:space="preserve">KJ-02</t>
  </si>
  <si>
    <t xml:space="preserve">原液投料</t>
  </si>
  <si>
    <t xml:space="preserve">玻璃瓶</t>
  </si>
  <si>
    <t xml:space="preserve">灌装人工</t>
  </si>
  <si>
    <r>
      <rPr>
        <sz val="9"/>
        <color rgb="FF0000C0"/>
        <rFont val="微软雅黑"/>
        <family val="0"/>
        <charset val="1"/>
      </rPr>
      <t xml:space="preserve">10ml </t>
    </r>
    <r>
      <rPr>
        <sz val="9"/>
        <color rgb="FF0000C0"/>
        <rFont val="WenQuanYi Zen Hei"/>
        <family val="2"/>
      </rPr>
      <t xml:space="preserve">精油入库</t>
    </r>
  </si>
  <si>
    <t xml:space="preserve">KJ-03</t>
  </si>
  <si>
    <t xml:space="preserve">干艾草蒸馏</t>
  </si>
  <si>
    <t xml:space="preserve">蒸馏人工及能耗</t>
  </si>
  <si>
    <t xml:space="preserve">纯露入库</t>
  </si>
  <si>
    <t xml:space="preserve">KJ-04</t>
  </si>
  <si>
    <t xml:space="preserve">皂基及加工</t>
  </si>
  <si>
    <t xml:space="preserve">精油皂入库</t>
  </si>
  <si>
    <r>
      <rPr>
        <b val="true"/>
        <sz val="15"/>
        <color rgb="FF1F3864"/>
        <rFont val="WenQuanYi Zen Hei"/>
        <family val="2"/>
      </rPr>
      <t xml:space="preserve">其他分录（录入表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全部行都显示）</t>
    </r>
  </si>
  <si>
    <t xml:space="preserve">计提折旧摊销、计提税金、计提工资、结转——凡是不动钱也不动货的分录都写这里，一借一贷。一借多贷就拆成几行。</t>
  </si>
  <si>
    <t xml:space="preserve">借方科目</t>
  </si>
  <si>
    <t xml:space="preserve">贷方科目</t>
  </si>
  <si>
    <t xml:space="preserve">计提林木（生产性生物资产）折旧</t>
  </si>
  <si>
    <t xml:space="preserve">摊销林权及土地使用权</t>
  </si>
  <si>
    <t xml:space="preserve">计提固定资产折旧</t>
  </si>
  <si>
    <t xml:space="preserve">计提管理人员工资</t>
  </si>
  <si>
    <t xml:space="preserve">计提社保公积金</t>
  </si>
  <si>
    <t xml:space="preserve">计提固定资产折旧（车间以外）</t>
  </si>
  <si>
    <t xml:space="preserve">计提厂房租金</t>
  </si>
  <si>
    <t xml:space="preserve">摊销无形资产</t>
  </si>
  <si>
    <t xml:space="preserve">计提电商平台年费</t>
  </si>
  <si>
    <r>
      <rPr>
        <b val="true"/>
        <sz val="15"/>
        <color rgb="FF1F3864"/>
        <rFont val="WenQuanYi Zen Hei"/>
        <family val="2"/>
      </rPr>
      <t xml:space="preserve">记账分录（自动生成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不要手工改）</t>
    </r>
  </si>
  <si>
    <t xml:space="preserve">空白行已隐藏。新增数据或换了查询区间后，点一下 数据 → 筛选 → 重新应用，行数就跟着变</t>
  </si>
  <si>
    <t xml:space="preserve">来源表</t>
  </si>
  <si>
    <t xml:space="preserve">源行</t>
  </si>
  <si>
    <t xml:space="preserve">腿</t>
  </si>
  <si>
    <t xml:space="preserve">借方金额</t>
  </si>
  <si>
    <t xml:space="preserve">贷方金额</t>
  </si>
  <si>
    <t xml:space="preserve">规则科目</t>
  </si>
  <si>
    <t xml:space="preserve">借贷</t>
  </si>
  <si>
    <t xml:space="preserve">取值</t>
  </si>
  <si>
    <t xml:space="preserve">有</t>
  </si>
  <si>
    <t xml:space="preserve">科目余额表</t>
  </si>
  <si>
    <t xml:space="preserve">起始日期</t>
  </si>
  <si>
    <t xml:space="preserve">截止日期</t>
  </si>
  <si>
    <t xml:space="preserve">当前取数</t>
  </si>
  <si>
    <t xml:space="preserve">类别</t>
  </si>
  <si>
    <t xml:space="preserve">方向</t>
  </si>
  <si>
    <t xml:space="preserve">年初余额</t>
  </si>
  <si>
    <t xml:space="preserve">本期借方</t>
  </si>
  <si>
    <t xml:space="preserve">本期贷方</t>
  </si>
  <si>
    <t xml:space="preserve">本期发生净额</t>
  </si>
  <si>
    <t xml:space="preserve">本年借方</t>
  </si>
  <si>
    <t xml:space="preserve">本年贷方</t>
  </si>
  <si>
    <t xml:space="preserve">本年发生净额</t>
  </si>
  <si>
    <r>
      <rPr>
        <b val="true"/>
        <sz val="15"/>
        <color rgb="FF1F3864"/>
        <rFont val="WenQuanYi Zen Hei"/>
        <family val="2"/>
      </rPr>
      <t xml:space="preserve">农业基地公司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资产负债表</t>
    </r>
  </si>
  <si>
    <t xml:space="preserve">「年初数」取期初余额表，「期末数」按下面的截止日期算到那一天。未分配利润＝年初未分配利润＋本年净利润（报表自动结转，不用自己做结转损益分录）。</t>
  </si>
  <si>
    <t xml:space="preserve">年初数</t>
  </si>
  <si>
    <t xml:space="preserve">期末数</t>
  </si>
  <si>
    <t xml:space="preserve">负债和所有者权益</t>
  </si>
  <si>
    <t xml:space="preserve">流动资产：</t>
  </si>
  <si>
    <t xml:space="preserve">流动负债：</t>
  </si>
  <si>
    <t xml:space="preserve">　　货币资金</t>
  </si>
  <si>
    <t xml:space="preserve">　　短期借款</t>
  </si>
  <si>
    <t xml:space="preserve">　　应收账款</t>
  </si>
  <si>
    <t xml:space="preserve">　　应付账款</t>
  </si>
  <si>
    <t xml:space="preserve">　　预付款项</t>
  </si>
  <si>
    <t xml:space="preserve">　　预收款项</t>
  </si>
  <si>
    <t xml:space="preserve">　　其他应收款</t>
  </si>
  <si>
    <t xml:space="preserve">　　应付职工薪酬</t>
  </si>
  <si>
    <t xml:space="preserve">　　存货</t>
  </si>
  <si>
    <t xml:space="preserve">　　应交税费</t>
  </si>
  <si>
    <t xml:space="preserve">流动资产合计</t>
  </si>
  <si>
    <t xml:space="preserve">　　其他应付款</t>
  </si>
  <si>
    <t xml:space="preserve">非流动资产：</t>
  </si>
  <si>
    <t xml:space="preserve">流动负债合计</t>
  </si>
  <si>
    <t xml:space="preserve">　　固定资产原价</t>
  </si>
  <si>
    <t xml:space="preserve">非流动负债：</t>
  </si>
  <si>
    <t xml:space="preserve">　　减：累计折旧</t>
  </si>
  <si>
    <t xml:space="preserve">　　长期借款</t>
  </si>
  <si>
    <t xml:space="preserve">　　固定资产净值</t>
  </si>
  <si>
    <t xml:space="preserve">　　生产性生物资产原价</t>
  </si>
  <si>
    <t xml:space="preserve">所有者权益：</t>
  </si>
  <si>
    <t xml:space="preserve">　　减：生物资产累计折旧</t>
  </si>
  <si>
    <t xml:space="preserve">　　实收资本</t>
  </si>
  <si>
    <t xml:space="preserve">　　生产性生物资产净值</t>
  </si>
  <si>
    <t xml:space="preserve">　　资本公积</t>
  </si>
  <si>
    <t xml:space="preserve">　　无形资产原价</t>
  </si>
  <si>
    <t xml:space="preserve">　　盈余公积</t>
  </si>
  <si>
    <t xml:space="preserve">　　减：累计摊销</t>
  </si>
  <si>
    <t xml:space="preserve">　　未分配利润</t>
  </si>
  <si>
    <t xml:space="preserve">　　无形资产净值</t>
  </si>
  <si>
    <t xml:space="preserve">所有者权益合计</t>
  </si>
  <si>
    <t xml:space="preserve">　　长期待摊费用</t>
  </si>
  <si>
    <t xml:space="preserve">负债和所有者权益总计</t>
  </si>
  <si>
    <t xml:space="preserve">非流动资产合计</t>
  </si>
  <si>
    <t xml:space="preserve">　</t>
  </si>
  <si>
    <t xml:space="preserve">平衡校验（资产总计 − 负债和所有者权益）</t>
  </si>
  <si>
    <r>
      <rPr>
        <b val="true"/>
        <sz val="15"/>
        <color rgb="FF1F3864"/>
        <rFont val="WenQuanYi Zen Hei"/>
        <family val="2"/>
      </rPr>
      <t xml:space="preserve">农业基地公司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利润表</t>
    </r>
  </si>
  <si>
    <t xml:space="preserve">「本期金额」＝起止日期区间内的发生额；「本年累计」＝年初到截止日期的累计。只填年度不填起止，两列一样。</t>
  </si>
  <si>
    <t xml:space="preserve">项　目</t>
  </si>
  <si>
    <t xml:space="preserve">本期金额</t>
  </si>
  <si>
    <t xml:space="preserve">本年累计</t>
  </si>
  <si>
    <t xml:space="preserve">一、营业收入</t>
  </si>
  <si>
    <t xml:space="preserve">　　减：营业成本</t>
  </si>
  <si>
    <t xml:space="preserve">　　　　税金及附加</t>
  </si>
  <si>
    <t xml:space="preserve">　　　　销售费用</t>
  </si>
  <si>
    <t xml:space="preserve">　　　　管理费用</t>
  </si>
  <si>
    <t xml:space="preserve">　　　　研发费用</t>
  </si>
  <si>
    <t xml:space="preserve">　　　　财务费用</t>
  </si>
  <si>
    <t xml:space="preserve">　　加：投资收益</t>
  </si>
  <si>
    <t xml:space="preserve">二、营业利润</t>
  </si>
  <si>
    <t xml:space="preserve">　　加：营业外收入</t>
  </si>
  <si>
    <t xml:space="preserve">　　减：营业外支出</t>
  </si>
  <si>
    <t xml:space="preserve">三、利润总额</t>
  </si>
  <si>
    <t xml:space="preserve">　　减：所得税费用</t>
  </si>
  <si>
    <t xml:space="preserve">四、净利润</t>
  </si>
  <si>
    <r>
      <rPr>
        <b val="true"/>
        <sz val="10"/>
        <color rgb="FF1F4E79"/>
        <rFont val="WenQuanYi Zen Hei"/>
        <family val="2"/>
      </rPr>
      <t xml:space="preserve">毛利率（营业收入−营业成本）</t>
    </r>
    <r>
      <rPr>
        <b val="true"/>
        <sz val="10"/>
        <color rgb="FF1F4E79"/>
        <rFont val="微软雅黑"/>
        <family val="0"/>
        <charset val="1"/>
      </rPr>
      <t xml:space="preserve">÷ </t>
    </r>
    <r>
      <rPr>
        <b val="true"/>
        <sz val="10"/>
        <color rgb="FF1F4E79"/>
        <rFont val="WenQuanYi Zen Hei"/>
        <family val="2"/>
      </rPr>
      <t xml:space="preserve">营业收入</t>
    </r>
  </si>
  <si>
    <r>
      <rPr>
        <b val="true"/>
        <sz val="10"/>
        <color rgb="FF1F4E79"/>
        <rFont val="WenQuanYi Zen Hei"/>
        <family val="2"/>
      </rPr>
      <t xml:space="preserve">净利率　净利润 </t>
    </r>
    <r>
      <rPr>
        <b val="true"/>
        <sz val="10"/>
        <color rgb="FF1F4E79"/>
        <rFont val="微软雅黑"/>
        <family val="0"/>
        <charset val="1"/>
      </rPr>
      <t xml:space="preserve">÷ </t>
    </r>
    <r>
      <rPr>
        <b val="true"/>
        <sz val="10"/>
        <color rgb="FF1F4E79"/>
        <rFont val="WenQuanYi Zen Hei"/>
        <family val="2"/>
      </rPr>
      <t xml:space="preserve">营业收入</t>
    </r>
  </si>
  <si>
    <r>
      <rPr>
        <b val="true"/>
        <sz val="15"/>
        <color rgb="FF1F3864"/>
        <rFont val="WenQuanYi Zen Hei"/>
        <family val="2"/>
      </rPr>
      <t xml:space="preserve">木业公司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资产负债表</t>
    </r>
  </si>
  <si>
    <r>
      <rPr>
        <b val="true"/>
        <sz val="15"/>
        <color rgb="FF1F3864"/>
        <rFont val="WenQuanYi Zen Hei"/>
        <family val="2"/>
      </rPr>
      <t xml:space="preserve">木业公司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利润表</t>
    </r>
  </si>
  <si>
    <r>
      <rPr>
        <b val="true"/>
        <sz val="15"/>
        <color rgb="FF1F3864"/>
        <rFont val="WenQuanYi Zen Hei"/>
        <family val="2"/>
      </rPr>
      <t xml:space="preserve">科技公司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资产负债表</t>
    </r>
  </si>
  <si>
    <r>
      <rPr>
        <b val="true"/>
        <sz val="15"/>
        <color rgb="FF1F3864"/>
        <rFont val="WenQuanYi Zen Hei"/>
        <family val="2"/>
      </rPr>
      <t xml:space="preserve">科技公司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利润表</t>
    </r>
  </si>
  <si>
    <t xml:space="preserve">三公司合并报表（含内部交易抵销）</t>
  </si>
  <si>
    <r>
      <rPr>
        <sz val="8"/>
        <color rgb="FF808080"/>
        <rFont val="WenQuanYi Zen Hei"/>
        <family val="2"/>
      </rPr>
      <t xml:space="preserve">三家单体数＋小计＋内部抵销＝合并数。内部抵销里，内部销售收入和对应成本、内部应收应付是自动算的；「未实现内部存货利润」需要你自己估一个数填进去（下面有算法提示），不填就按 </t>
    </r>
    <r>
      <rPr>
        <sz val="8"/>
        <color rgb="FF808080"/>
        <rFont val="微软雅黑"/>
        <family val="0"/>
        <charset val="1"/>
      </rPr>
      <t xml:space="preserve">0 </t>
    </r>
    <r>
      <rPr>
        <sz val="8"/>
        <color rgb="FF808080"/>
        <rFont val="WenQuanYi Zen Hei"/>
        <family val="2"/>
      </rPr>
      <t xml:space="preserve">算。</t>
    </r>
  </si>
  <si>
    <t xml:space="preserve">未实现内部存货利润</t>
  </si>
  <si>
    <r>
      <rPr>
        <sz val="8"/>
        <color rgb="FF808080"/>
        <rFont val="WenQuanYi Zen Hei"/>
        <family val="2"/>
      </rPr>
      <t xml:space="preserve">＝期末还压在买方仓库里的、从内部买来的存货 </t>
    </r>
    <r>
      <rPr>
        <sz val="8"/>
        <color rgb="FF808080"/>
        <rFont val="微软雅黑"/>
        <family val="0"/>
        <charset val="1"/>
      </rPr>
      <t xml:space="preserve">× </t>
    </r>
    <r>
      <rPr>
        <sz val="8"/>
        <color rgb="FF808080"/>
        <rFont val="WenQuanYi Zen Hei"/>
        <family val="2"/>
      </rPr>
      <t xml:space="preserve">卖方在这批货上的毛利率。例：木业年末剩的原木是从农业买的，农业卖原木毛利率 </t>
    </r>
    <r>
      <rPr>
        <sz val="8"/>
        <color rgb="FF808080"/>
        <rFont val="微软雅黑"/>
        <family val="0"/>
        <charset val="1"/>
      </rPr>
      <t xml:space="preserve">50%</t>
    </r>
    <r>
      <rPr>
        <sz val="8"/>
        <color rgb="FF808080"/>
        <rFont val="WenQuanYi Zen Hei"/>
        <family val="2"/>
      </rPr>
      <t xml:space="preserve">，剩 </t>
    </r>
    <r>
      <rPr>
        <sz val="8"/>
        <color rgb="FF808080"/>
        <rFont val="微软雅黑"/>
        <family val="0"/>
        <charset val="1"/>
      </rPr>
      <t xml:space="preserve">125 </t>
    </r>
    <r>
      <rPr>
        <sz val="8"/>
        <color rgb="FF808080"/>
        <rFont val="WenQuanYi Zen Hei"/>
        <family val="2"/>
      </rPr>
      <t xml:space="preserve">方</t>
    </r>
    <r>
      <rPr>
        <sz val="8"/>
        <color rgb="FF808080"/>
        <rFont val="微软雅黑"/>
        <family val="0"/>
        <charset val="1"/>
      </rPr>
      <t xml:space="preserve">×938 </t>
    </r>
    <r>
      <rPr>
        <sz val="8"/>
        <color rgb="FF808080"/>
        <rFont val="WenQuanYi Zen Hei"/>
        <family val="2"/>
      </rPr>
      <t xml:space="preserve">元＝</t>
    </r>
    <r>
      <rPr>
        <sz val="8"/>
        <color rgb="FF808080"/>
        <rFont val="微软雅黑"/>
        <family val="0"/>
        <charset val="1"/>
      </rPr>
      <t xml:space="preserve">11.7 </t>
    </r>
    <r>
      <rPr>
        <sz val="8"/>
        <color rgb="FF808080"/>
        <rFont val="WenQuanYi Zen Hei"/>
        <family val="2"/>
      </rPr>
      <t xml:space="preserve">万，就填 </t>
    </r>
    <r>
      <rPr>
        <sz val="8"/>
        <color rgb="FF808080"/>
        <rFont val="微软雅黑"/>
        <family val="0"/>
        <charset val="1"/>
      </rPr>
      <t xml:space="preserve">11.7 </t>
    </r>
    <r>
      <rPr>
        <sz val="8"/>
        <color rgb="FF808080"/>
        <rFont val="WenQuanYi Zen Hei"/>
        <family val="2"/>
      </rPr>
      <t xml:space="preserve">万</t>
    </r>
    <r>
      <rPr>
        <sz val="8"/>
        <color rgb="FF808080"/>
        <rFont val="微软雅黑"/>
        <family val="0"/>
        <charset val="1"/>
      </rPr>
      <t xml:space="preserve">×50%≈5.9 </t>
    </r>
    <r>
      <rPr>
        <sz val="8"/>
        <color rgb="FF808080"/>
        <rFont val="WenQuanYi Zen Hei"/>
        <family val="2"/>
      </rPr>
      <t xml:space="preserve">万。不做合并报送的话，留 </t>
    </r>
    <r>
      <rPr>
        <sz val="8"/>
        <color rgb="FF808080"/>
        <rFont val="微软雅黑"/>
        <family val="0"/>
        <charset val="1"/>
      </rPr>
      <t xml:space="preserve">0 </t>
    </r>
    <r>
      <rPr>
        <sz val="8"/>
        <color rgb="FF808080"/>
        <rFont val="WenQuanYi Zen Hei"/>
        <family val="2"/>
      </rPr>
      <t xml:space="preserve">也行。</t>
    </r>
  </si>
  <si>
    <t xml:space="preserve">利润表项目</t>
  </si>
  <si>
    <t xml:space="preserve">小计</t>
  </si>
  <si>
    <t xml:space="preserve">内部抵销</t>
  </si>
  <si>
    <t xml:space="preserve">合并数</t>
  </si>
  <si>
    <t xml:space="preserve">资产负债表项目</t>
  </si>
  <si>
    <t xml:space="preserve">　货币资金</t>
  </si>
  <si>
    <t xml:space="preserve">　应收账款</t>
  </si>
  <si>
    <t xml:space="preserve">　预付款项</t>
  </si>
  <si>
    <t xml:space="preserve">　其他应收款</t>
  </si>
  <si>
    <t xml:space="preserve">　存货</t>
  </si>
  <si>
    <t xml:space="preserve">　固定资产净值</t>
  </si>
  <si>
    <t xml:space="preserve">　生产性生物资产净值</t>
  </si>
  <si>
    <t xml:space="preserve">　无形资产净值</t>
  </si>
  <si>
    <t xml:space="preserve">　长期待摊费用</t>
  </si>
  <si>
    <t xml:space="preserve">　短期借款</t>
  </si>
  <si>
    <t xml:space="preserve">　应付账款</t>
  </si>
  <si>
    <t xml:space="preserve">　预收款项</t>
  </si>
  <si>
    <t xml:space="preserve">　应付职工薪酬</t>
  </si>
  <si>
    <t xml:space="preserve">　应交税费</t>
  </si>
  <si>
    <t xml:space="preserve">　其他应付款</t>
  </si>
  <si>
    <t xml:space="preserve">　长期借款</t>
  </si>
  <si>
    <t xml:space="preserve">　实收资本</t>
  </si>
  <si>
    <t xml:space="preserve">　资本公积</t>
  </si>
  <si>
    <t xml:space="preserve">　盈余公积</t>
  </si>
  <si>
    <t xml:space="preserve">　未分配利润</t>
  </si>
  <si>
    <t xml:space="preserve">内部交易抵销明细</t>
  </si>
  <si>
    <t xml:space="preserve">内部销售收入（含税）</t>
  </si>
  <si>
    <t xml:space="preserve">内部应收余额</t>
  </si>
  <si>
    <t xml:space="preserve">内部应付余额</t>
  </si>
  <si>
    <r>
      <rPr>
        <sz val="9"/>
        <rFont val="WenQuanYi Zen Hei"/>
        <family val="2"/>
      </rPr>
      <t xml:space="preserve">未实现内部存货利润（手工填，上面 </t>
    </r>
    <r>
      <rPr>
        <sz val="9"/>
        <rFont val="微软雅黑"/>
        <family val="0"/>
        <charset val="1"/>
      </rPr>
      <t xml:space="preserve">B5</t>
    </r>
    <r>
      <rPr>
        <sz val="9"/>
        <rFont val="WenQuanYi Zen Hei"/>
        <family val="2"/>
      </rPr>
      <t xml:space="preserve">）</t>
    </r>
  </si>
  <si>
    <r>
      <rPr>
        <b val="true"/>
        <sz val="15"/>
        <color rgb="FF1F3864"/>
        <rFont val="WenQuanYi Zen Hei"/>
        <family val="2"/>
      </rPr>
      <t xml:space="preserve">进销存台账（全年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成本基准表）</t>
    </r>
  </si>
  <si>
    <r>
      <rPr>
        <sz val="8"/>
        <color rgb="FF808080"/>
        <rFont val="WenQuanYi Zen Hei"/>
        <family val="2"/>
      </rPr>
      <t xml:space="preserve">这张表不随日期筛选变——「加权平均单价」是全年口径，购销流水结转销售成本、生产加工领用出库，都按这一列取价。要看某个区间的收发存，用【收发存查询】。加权平均单价 ＝（期初金额＋采购入库金额＋生产入库金额）</t>
    </r>
    <r>
      <rPr>
        <sz val="8"/>
        <color rgb="FF808080"/>
        <rFont val="微软雅黑"/>
        <family val="0"/>
        <charset val="1"/>
      </rPr>
      <t xml:space="preserve">÷ </t>
    </r>
    <r>
      <rPr>
        <sz val="8"/>
        <color rgb="FF808080"/>
        <rFont val="WenQuanYi Zen Hei"/>
        <family val="2"/>
      </rPr>
      <t xml:space="preserve">对应数量，不含出库，不会循环引用。</t>
    </r>
  </si>
  <si>
    <t xml:space="preserve">采购入库数量</t>
  </si>
  <si>
    <t xml:space="preserve">采购入库金额</t>
  </si>
  <si>
    <t xml:space="preserve">生产入库数量</t>
  </si>
  <si>
    <t xml:space="preserve">生产入库金额</t>
  </si>
  <si>
    <t xml:space="preserve">加权平均单价</t>
  </si>
  <si>
    <t xml:space="preserve">销售出库数量</t>
  </si>
  <si>
    <t xml:space="preserve">销售出库金额</t>
  </si>
  <si>
    <t xml:space="preserve">生产领用数量</t>
  </si>
  <si>
    <t xml:space="preserve">生产领用金额</t>
  </si>
  <si>
    <t xml:space="preserve">结存数量</t>
  </si>
  <si>
    <t xml:space="preserve">结存单价</t>
  </si>
  <si>
    <t xml:space="preserve">结存金额</t>
  </si>
  <si>
    <t xml:space="preserve">收发存查询（按起止日期）</t>
  </si>
  <si>
    <t xml:space="preserve">本期入库数量</t>
  </si>
  <si>
    <t xml:space="preserve">本期入库金额</t>
  </si>
  <si>
    <t xml:space="preserve">本期出库数量</t>
  </si>
  <si>
    <t xml:space="preserve">本期出库金额</t>
  </si>
  <si>
    <t xml:space="preserve">期末数量</t>
  </si>
  <si>
    <t xml:space="preserve">期末金额</t>
  </si>
  <si>
    <r>
      <rPr>
        <b val="true"/>
        <sz val="15"/>
        <color rgb="FF1F3864"/>
        <rFont val="WenQuanYi Zen Hei"/>
        <family val="2"/>
      </rPr>
      <t xml:space="preserve">往来台账（应收 </t>
    </r>
    <r>
      <rPr>
        <b val="true"/>
        <sz val="15"/>
        <color rgb="FF1F3864"/>
        <rFont val="微软雅黑"/>
        <family val="0"/>
        <charset val="1"/>
      </rPr>
      <t xml:space="preserve">/ </t>
    </r>
    <r>
      <rPr>
        <b val="true"/>
        <sz val="15"/>
        <color rgb="FF1F3864"/>
        <rFont val="WenQuanYi Zen Hei"/>
        <family val="2"/>
      </rPr>
      <t xml:space="preserve">应付）</t>
    </r>
  </si>
  <si>
    <t xml:space="preserve">选择公司</t>
  </si>
  <si>
    <t xml:space="preserve">本期应收发生</t>
  </si>
  <si>
    <t xml:space="preserve">本期收款</t>
  </si>
  <si>
    <t xml:space="preserve">期末应收</t>
  </si>
  <si>
    <t xml:space="preserve">本期应付发生</t>
  </si>
  <si>
    <t xml:space="preserve">本期付款</t>
  </si>
  <si>
    <t xml:space="preserve">期末应付</t>
  </si>
  <si>
    <t xml:space="preserve">净往来（收−付）</t>
  </si>
  <si>
    <r>
      <rPr>
        <b val="true"/>
        <sz val="15"/>
        <color rgb="FF1F3864"/>
        <rFont val="WenQuanYi Zen Hei"/>
        <family val="2"/>
      </rPr>
      <t xml:space="preserve">税费台账（分月实缴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全年）</t>
    </r>
  </si>
  <si>
    <t xml:space="preserve">内账按实交税费计入费用：这张表就是【资金流水】里「缴纳税费」那些行，按公司、按月、按税种摊开。税种取的是那一行选的「费用项目」。右边放了当月含税收入，合计行给出全年税负率。这张表不随日期筛选变，看的就是全年十二个月。</t>
  </si>
  <si>
    <t xml:space="preserve">月份</t>
  </si>
  <si>
    <t xml:space="preserve">其他税费</t>
  </si>
  <si>
    <t xml:space="preserve">本月合计</t>
  </si>
  <si>
    <t xml:space="preserve">本月含税收入</t>
  </si>
  <si>
    <t xml:space="preserve">全年合计</t>
  </si>
  <si>
    <t xml:space="preserve">口径</t>
  </si>
  <si>
    <t xml:space="preserve">内账不计提应交税费，也不拆进项销项——交多少就是多少，缴的当月直接进「税金及附加」或「所得税费用」。想看应交未交，那是外账口径，本表不做。</t>
  </si>
  <si>
    <t xml:space="preserve">费用统计（按起止日期）</t>
  </si>
  <si>
    <t xml:space="preserve">按会计科目（本期发生额）</t>
  </si>
  <si>
    <t xml:space="preserve">会计科目</t>
  </si>
  <si>
    <t xml:space="preserve">内部交易核对</t>
  </si>
  <si>
    <r>
      <rPr>
        <sz val="8"/>
        <color rgb="FF808080"/>
        <rFont val="WenQuanYi Zen Hei"/>
        <family val="2"/>
      </rPr>
      <t xml:space="preserve">三家之间买卖的，卖方开多少、买方入多少必须一样——内账含税核算，两边都是同一个含税金额，差一分都要查。右边再对一次期末内部往来（卖方应收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买方应付）。</t>
    </r>
  </si>
  <si>
    <t xml:space="preserve">卖方公司</t>
  </si>
  <si>
    <t xml:space="preserve">买方公司</t>
  </si>
  <si>
    <t xml:space="preserve">卖方开票金额（含税）</t>
  </si>
  <si>
    <t xml:space="preserve">买方入账金额（含税）</t>
  </si>
  <si>
    <t xml:space="preserve">购销差额</t>
  </si>
  <si>
    <t xml:space="preserve">期末卖方应收</t>
  </si>
  <si>
    <t xml:space="preserve">期末买方应付</t>
  </si>
  <si>
    <t xml:space="preserve">往来差额</t>
  </si>
  <si>
    <t xml:space="preserve">结论</t>
  </si>
  <si>
    <t xml:space="preserve">校验中心</t>
  </si>
  <si>
    <t xml:space="preserve">这张表自己告诉你数对不对。全绿就可以出报表；有红的先把红的改掉。涉及报表的几项，取的是各报表页当前选的期间，默认是整年。</t>
  </si>
  <si>
    <t xml:space="preserve">检查项</t>
  </si>
  <si>
    <t xml:space="preserve">左值</t>
  </si>
  <si>
    <t xml:space="preserve">右值</t>
  </si>
  <si>
    <t xml:space="preserve">结果</t>
  </si>
  <si>
    <t xml:space="preserve">期初借贷是否平衡</t>
  </si>
  <si>
    <t xml:space="preserve">期初余额表借方合计应等于贷方合计</t>
  </si>
  <si>
    <t xml:space="preserve">期初存货金额是否对上科目</t>
  </si>
  <si>
    <r>
      <rPr>
        <sz val="8"/>
        <color rgb="FF808080"/>
        <rFont val="WenQuanYi Zen Hei"/>
        <family val="2"/>
      </rPr>
      <t xml:space="preserve">右边存货明细金额合计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左边原材料＋库存商品借方余额</t>
    </r>
  </si>
  <si>
    <t xml:space="preserve">期初应收是否对上科目</t>
  </si>
  <si>
    <r>
      <rPr>
        <sz val="8"/>
        <color rgb="FF808080"/>
        <rFont val="WenQuanYi Zen Hei"/>
        <family val="2"/>
      </rPr>
      <t xml:space="preserve">按单位拆的年初应收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应收账款科目</t>
    </r>
  </si>
  <si>
    <t xml:space="preserve">期初应付是否对上科目</t>
  </si>
  <si>
    <r>
      <rPr>
        <sz val="8"/>
        <color rgb="FF808080"/>
        <rFont val="WenQuanYi Zen Hei"/>
        <family val="2"/>
      </rPr>
      <t xml:space="preserve">按单位拆的年初应付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应付账款科目</t>
    </r>
  </si>
  <si>
    <t xml:space="preserve">本年试算平衡（借＝贷）</t>
  </si>
  <si>
    <t xml:space="preserve">记账分录里这家公司的借方合计应等于贷方合计</t>
  </si>
  <si>
    <t xml:space="preserve">资产 ＝ 负债＋所有者权益</t>
  </si>
  <si>
    <t xml:space="preserve">取该公司资产负债表当前期末数</t>
  </si>
  <si>
    <t xml:space="preserve">利润表净利 ＝ 收入−成本−费用</t>
  </si>
  <si>
    <r>
      <rPr>
        <sz val="8"/>
        <color rgb="FF808080"/>
        <rFont val="WenQuanYi Zen Hei"/>
        <family val="2"/>
      </rPr>
      <t xml:space="preserve">利润表本年累计净利 </t>
    </r>
    <r>
      <rPr>
        <sz val="8"/>
        <color rgb="FF808080"/>
        <rFont val="微软雅黑"/>
        <family val="0"/>
        <charset val="1"/>
      </rPr>
      <t xml:space="preserve">vs </t>
    </r>
    <r>
      <rPr>
        <sz val="8"/>
        <color rgb="FF808080"/>
        <rFont val="WenQuanYi Zen Hei"/>
        <family val="2"/>
      </rPr>
      <t xml:space="preserve">按损益类科目直接算</t>
    </r>
  </si>
  <si>
    <t xml:space="preserve">账户余额合计 ＝ 三家货币资金</t>
  </si>
  <si>
    <t xml:space="preserve">全部</t>
  </si>
  <si>
    <t xml:space="preserve">所有账户余额加总，应等于三家库存现金＋银行存款</t>
  </si>
  <si>
    <t xml:space="preserve">三家试算平衡（借＝贷）</t>
  </si>
  <si>
    <t xml:space="preserve">整本账的借贷合计</t>
  </si>
  <si>
    <t xml:space="preserve">购销流水有没有报错行</t>
  </si>
  <si>
    <r>
      <rPr>
        <sz val="8"/>
        <color rgb="FF808080"/>
        <rFont val="WenQuanYi Zen Hei"/>
        <family val="2"/>
      </rPr>
      <t xml:space="preserve">校验列不是 </t>
    </r>
    <r>
      <rPr>
        <sz val="8"/>
        <color rgb="FF808080"/>
        <rFont val="微软雅黑"/>
        <family val="0"/>
        <charset val="1"/>
      </rPr>
      <t xml:space="preserve">OK </t>
    </r>
    <r>
      <rPr>
        <sz val="8"/>
        <color rgb="FF808080"/>
        <rFont val="WenQuanYi Zen Hei"/>
        <family val="2"/>
      </rPr>
      <t xml:space="preserve">的行数，应为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</si>
  <si>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资金流水有没有报错行</t>
  </si>
  <si>
    <t xml:space="preserve">生产加工有没有报错行</t>
  </si>
  <si>
    <t xml:space="preserve">其他分录有没有报错行</t>
  </si>
  <si>
    <t xml:space="preserve">期初余额有没有报错行</t>
  </si>
  <si>
    <r>
      <rPr>
        <sz val="8"/>
        <color rgb="FF808080"/>
        <rFont val="WenQuanYi Zen Hei"/>
        <family val="2"/>
      </rPr>
      <t xml:space="preserve">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</si>
  <si>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基础档案有没有报错行</t>
  </si>
  <si>
    <r>
      <rPr>
        <sz val="8"/>
        <color rgb="FF808080"/>
        <rFont val="WenQuanYi Zen Hei"/>
        <family val="2"/>
      </rPr>
      <t xml:space="preserve">商品档案＋往来单位＋资金账户，应为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</si>
  <si>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存货有没有负结存</t>
  </si>
  <si>
    <r>
      <rPr>
        <sz val="8"/>
        <color rgb="FF808080"/>
        <rFont val="WenQuanYi Zen Hei"/>
        <family val="2"/>
      </rPr>
      <t xml:space="preserve">结存数量或金额为负的品种数，应为 </t>
    </r>
    <r>
      <rPr>
        <sz val="8"/>
        <color rgb="FF808080"/>
        <rFont val="微软雅黑"/>
        <family val="0"/>
        <charset val="1"/>
      </rPr>
      <t xml:space="preserve">0</t>
    </r>
    <r>
      <rPr>
        <sz val="8"/>
        <color rgb="FF808080"/>
        <rFont val="WenQuanYi Zen Hei"/>
        <family val="2"/>
      </rPr>
      <t xml:space="preserve">；有就是卖多了或领多了</t>
    </r>
  </si>
  <si>
    <t xml:space="preserve">内部交易两边对不对得上</t>
  </si>
  <si>
    <r>
      <rPr>
        <sz val="8"/>
        <color rgb="FF808080"/>
        <rFont val="WenQuanYi Zen Hei"/>
        <family val="2"/>
      </rPr>
      <t xml:space="preserve">开票额与入账额、往来余额对不上的对数，应为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</si>
  <si>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销售有没有漏结转成本</t>
  </si>
  <si>
    <r>
      <rPr>
        <sz val="8"/>
        <color rgb="FF808080"/>
        <rFont val="WenQuanYi Zen Hei"/>
        <family val="2"/>
      </rPr>
      <t xml:space="preserve">有销售但成本金额算出来是 </t>
    </r>
    <r>
      <rPr>
        <sz val="8"/>
        <color rgb="FF808080"/>
        <rFont val="微软雅黑"/>
        <family val="0"/>
        <charset val="1"/>
      </rPr>
      <t xml:space="preserve">0 </t>
    </r>
    <r>
      <rPr>
        <sz val="8"/>
        <color rgb="FF808080"/>
        <rFont val="WenQuanYi Zen Hei"/>
        <family val="2"/>
      </rPr>
      <t xml:space="preserve">的行数，一般是存货没入库</t>
    </r>
  </si>
  <si>
    <t xml:space="preserve">会计科目有没有漏配报表项目</t>
  </si>
  <si>
    <r>
      <rPr>
        <sz val="8"/>
        <color rgb="FF808080"/>
        <rFont val="WenQuanYi Zen Hei"/>
        <family val="2"/>
      </rPr>
      <t xml:space="preserve">报表项目留空的科目，报表会取不到它，应为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</si>
  <si>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有没有账户余额透支</t>
  </si>
  <si>
    <r>
      <rPr>
        <sz val="8"/>
        <color rgb="FF808080"/>
        <rFont val="WenQuanYi Zen Hei"/>
        <family val="2"/>
      </rPr>
      <t xml:space="preserve">期末余额为负的账户数，应为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</si>
  <si>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生产成本有没有挂着没结转</t>
  </si>
  <si>
    <r>
      <rPr>
        <sz val="8"/>
        <color rgb="FF808080"/>
        <rFont val="WenQuanYi Zen Hei"/>
        <family val="2"/>
      </rPr>
      <t xml:space="preserve">三家生产成本科目的期末余额；批次全部结转完应为 </t>
    </r>
    <r>
      <rPr>
        <sz val="8"/>
        <color rgb="FF808080"/>
        <rFont val="微软雅黑"/>
        <family val="0"/>
        <charset val="1"/>
      </rPr>
      <t xml:space="preserve">0</t>
    </r>
    <r>
      <rPr>
        <sz val="8"/>
        <color rgb="FF808080"/>
        <rFont val="WenQuanYi Zen Hei"/>
        <family val="2"/>
      </rPr>
      <t xml:space="preserve">，还有在产品就不为 </t>
    </r>
    <r>
      <rPr>
        <sz val="8"/>
        <color rgb="FF808080"/>
        <rFont val="微软雅黑"/>
        <family val="0"/>
        <charset val="1"/>
      </rPr>
      <t xml:space="preserve">0</t>
    </r>
  </si>
  <si>
    <t xml:space="preserve">汇总</t>
  </si>
  <si>
    <t xml:space="preserve">左边是通过数，中间是未通过数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</si>
</sst>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#,##0.00;[RED]\-#,##0.00;\-"/>
    <numFmt numFmtId="168" formatCode="0.00%"/>
    <numFmt numFmtId="169" formatCode="yyyy\-mm\-dd"/>
    <numFmt numFmtId="170" formatCode="#,##0.###;[RED]\-#,##0.###;\-"/>
    <numFmt numFmtId="171" formatCode="#,##0.0000"/>
    <numFmt numFmtId="172" formatCode="#,##0.##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WenQuanYi Zen Hei"/>
      <family val="2"/>
    </font>
    <font>
      <b val="true"/>
      <sz val="15"/>
      <color rgb="FF1F3864"/>
      <name val="微软雅黑"/>
      <family val="0"/>
      <charset val="1"/>
    </font>
    <font>
      <sz val="8"/>
      <color rgb="FF808080"/>
      <name val="WenQuanYi Zen Hei"/>
      <family val="2"/>
    </font>
    <font>
      <sz val="8"/>
      <color rgb="FF808080"/>
      <name val="微软雅黑"/>
      <family val="0"/>
      <charset val="1"/>
    </font>
    <font>
      <b val="true"/>
      <sz val="10"/>
      <color rgb="FF1F4E79"/>
      <name val="WenQuanYi Zen Hei"/>
      <family val="2"/>
    </font>
    <font>
      <b val="true"/>
      <sz val="16"/>
      <color rgb="FF1F3864"/>
      <name val="微软雅黑"/>
      <family val="0"/>
      <charset val="1"/>
    </font>
    <font>
      <b val="true"/>
      <sz val="9"/>
      <name val="WenQuanYi Zen Hei"/>
      <family val="2"/>
    </font>
    <font>
      <b val="true"/>
      <sz val="9"/>
      <color rgb="FFFFFFFF"/>
      <name val="WenQuanYi Zen Hei"/>
      <family val="2"/>
    </font>
    <font>
      <sz val="9"/>
      <name val="WenQuanYi Zen Hei"/>
      <family val="2"/>
    </font>
    <font>
      <sz val="9"/>
      <name val="微软雅黑"/>
      <family val="0"/>
      <charset val="1"/>
    </font>
    <font>
      <b val="true"/>
      <sz val="9"/>
      <name val="微软雅黑"/>
      <family val="0"/>
      <charset val="1"/>
    </font>
    <font>
      <b val="true"/>
      <u val="single"/>
      <sz val="9"/>
      <color rgb="FF0563C1"/>
      <name val="WenQuanYi Zen Hei"/>
      <family val="2"/>
    </font>
    <font>
      <b val="true"/>
      <sz val="12"/>
      <color rgb="FF0000C0"/>
      <name val="微软雅黑"/>
      <family val="0"/>
      <charset val="1"/>
    </font>
    <font>
      <sz val="9"/>
      <color rgb="FF0000C0"/>
      <name val="微软雅黑"/>
      <family val="0"/>
      <charset val="1"/>
    </font>
    <font>
      <sz val="9"/>
      <color rgb="FF0000C0"/>
      <name val="WenQuanYi Zen Hei"/>
      <family val="2"/>
    </font>
    <font>
      <sz val="9"/>
      <color rgb="FF006100"/>
      <name val="微软雅黑"/>
      <family val="0"/>
      <charset val="1"/>
    </font>
    <font>
      <b val="true"/>
      <sz val="10"/>
      <color rgb="FF1F4E79"/>
      <name val="微软雅黑"/>
      <family val="0"/>
      <charset val="1"/>
    </font>
    <font>
      <b val="true"/>
      <sz val="9"/>
      <color rgb="FFFFFFFF"/>
      <name val="微软雅黑"/>
      <family val="0"/>
      <charset val="1"/>
    </font>
    <font>
      <sz val="9"/>
      <color rgb="FF006100"/>
      <name val="WenQuanYi Zen Hei"/>
      <family val="2"/>
    </font>
    <font>
      <b val="true"/>
      <sz val="9"/>
      <color rgb="FF1F3864"/>
      <name val="WenQuanYi Zen Hei"/>
      <family val="2"/>
    </font>
    <font>
      <b val="true"/>
      <sz val="10"/>
      <color rgb="FF0000C0"/>
      <name val="微软雅黑"/>
      <family val="0"/>
      <charset val="1"/>
    </font>
    <font>
      <b val="true"/>
      <sz val="10"/>
      <color rgb="FF0000C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F2F6FC"/>
        <bgColor rgb="FFEFEFEF"/>
      </patternFill>
    </fill>
    <fill>
      <patternFill patternType="solid">
        <fgColor rgb="FFE2EFDA"/>
        <bgColor rgb="FFEFEFEF"/>
      </patternFill>
    </fill>
    <fill>
      <patternFill patternType="solid">
        <fgColor rgb="FF2F5597"/>
        <bgColor rgb="FF1F4E79"/>
      </patternFill>
    </fill>
    <fill>
      <patternFill patternType="solid">
        <fgColor rgb="FFDDEBF7"/>
        <bgColor rgb="FFD6E4F0"/>
      </patternFill>
    </fill>
    <fill>
      <patternFill patternType="solid">
        <fgColor rgb="FFFFF7E0"/>
        <bgColor rgb="FFF2F6FC"/>
      </patternFill>
    </fill>
    <fill>
      <patternFill patternType="solid">
        <fgColor rgb="FFEFEFEF"/>
        <bgColor rgb="FFF2F6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 diagonalUp="false" diagonalDown="false"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CE4E4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0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808080"/>
      <rgbColor rgb="FFA6A6A6"/>
      <rgbColor rgb="FF993366"/>
      <rgbColor rgb="FFFFF7E0"/>
      <rgbColor rgb="FFDDEBF7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2EFDA"/>
      <rgbColor rgb="FFEFEFEF"/>
      <rgbColor rgb="FF99CCFF"/>
      <rgbColor rgb="FFFF99CC"/>
      <rgbColor rgb="FFCC99FF"/>
      <rgbColor rgb="FFFCE4E4"/>
      <rgbColor rgb="FF2F5597"/>
      <rgbColor rgb="FF33CCCC"/>
      <rgbColor rgb="FF99CC00"/>
      <rgbColor rgb="FFFFCC00"/>
      <rgbColor rgb="FFFF9900"/>
      <rgbColor rgb="FFED7D31"/>
      <rgbColor rgb="FF7F7F7F"/>
      <rgbColor rgb="FF9E9E9E"/>
      <rgbColor rgb="FF1F3864"/>
      <rgbColor rgb="FF70AD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  <col collapsed="false" customWidth="true" hidden="false" outlineLevel="0" max="6" min="6" style="0" width="4"/>
    <col collapsed="false" customWidth="true" hidden="false" outlineLevel="0" max="7" min="7" style="0" width="2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4" t="n">
        <f aca="false">参数设置!$B$5</f>
        <v>2026</v>
      </c>
      <c r="C4" s="3" t="s">
        <v>3</v>
      </c>
      <c r="D4" s="5" t="n">
        <f aca="false">COUNTIF(记账分录!$P$6:$P$5505,"有")</f>
        <v>222</v>
      </c>
      <c r="E4" s="6" t="str">
        <f aca="false">IF(校验中心!$E$42=0,"√ 全部校验通过，可以出报表","✗ 校验中心还有 "&amp;校验中心!$E$42&amp;" 项没过，先去【校验中心】看红色那几行")</f>
        <v>√ 全部校验通过，可以出报表</v>
      </c>
      <c r="F4" s="6"/>
      <c r="G4" s="6"/>
      <c r="H4" s="6"/>
    </row>
    <row r="6" customFormat="false" ht="15" hidden="false" customHeight="true" outlineLevel="0" collapsed="false">
      <c r="A6" s="7" t="s">
        <v>4</v>
      </c>
      <c r="B6" s="7"/>
      <c r="C6" s="7"/>
      <c r="D6" s="7"/>
      <c r="E6" s="7"/>
      <c r="F6" s="7"/>
      <c r="G6" s="7"/>
      <c r="H6" s="7"/>
    </row>
    <row r="7" customFormat="false" ht="30" hidden="false" customHeight="true" outlineLevel="0" collapsed="false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G7" s="3" t="s">
        <v>10</v>
      </c>
      <c r="H7" s="9" t="n">
        <f aca="false">资金账户!$K$27</f>
        <v>1274240</v>
      </c>
    </row>
    <row r="8" customFormat="false" ht="15" hidden="false" customHeight="false" outlineLevel="0" collapsed="false">
      <c r="A8" s="10" t="s">
        <v>11</v>
      </c>
      <c r="B8" s="11" t="n">
        <f aca="false">'农业-利润表'!$C$6</f>
        <v>329000</v>
      </c>
      <c r="C8" s="11" t="n">
        <f aca="false">'木业-利润表'!$C$6</f>
        <v>582000</v>
      </c>
      <c r="D8" s="11" t="n">
        <f aca="false">'科技-利润表'!$C$6</f>
        <v>444750</v>
      </c>
      <c r="E8" s="12" t="n">
        <f aca="false">SUM(B8:D8)</f>
        <v>1355750</v>
      </c>
      <c r="G8" s="3" t="s">
        <v>12</v>
      </c>
      <c r="H8" s="13" t="str">
        <f aca="false">资金账户!$G$30</f>
        <v>√ 账实一致</v>
      </c>
    </row>
    <row r="9" customFormat="false" ht="15" hidden="false" customHeight="false" outlineLevel="0" collapsed="false">
      <c r="A9" s="10" t="s">
        <v>13</v>
      </c>
      <c r="B9" s="11" t="n">
        <f aca="false">'农业-利润表'!$C$7</f>
        <v>177927.62</v>
      </c>
      <c r="C9" s="11" t="n">
        <f aca="false">'木业-利润表'!$C$7</f>
        <v>366029.05</v>
      </c>
      <c r="D9" s="11" t="n">
        <f aca="false">'科技-利润表'!$C$7</f>
        <v>138396.43</v>
      </c>
      <c r="E9" s="12" t="n">
        <f aca="false">SUM(B9:D9)</f>
        <v>682353.1</v>
      </c>
      <c r="G9" s="3" t="s">
        <v>14</v>
      </c>
      <c r="H9" s="13" t="str">
        <f aca="false">IF(COUNTIF(内部交易核对!$I$6:$I$11,"✗*")=0,"√ 三家之间对得上","✗ 有 "&amp;COUNTIF(内部交易核对!$I$6:$I$11,"✗*")&amp;" 对对不上")</f>
        <v>√ 三家之间对得上</v>
      </c>
    </row>
    <row r="10" customFormat="false" ht="15" hidden="false" customHeight="false" outlineLevel="0" collapsed="false">
      <c r="A10" s="14" t="s">
        <v>15</v>
      </c>
      <c r="B10" s="12" t="n">
        <f aca="false">B8-B9</f>
        <v>151072.38</v>
      </c>
      <c r="C10" s="12" t="n">
        <f aca="false">C8-C9</f>
        <v>215970.95</v>
      </c>
      <c r="D10" s="12" t="n">
        <f aca="false">D8-D9</f>
        <v>306353.57</v>
      </c>
      <c r="E10" s="12" t="n">
        <f aca="false">SUM(B10:D10)</f>
        <v>673396.9</v>
      </c>
      <c r="G10" s="3" t="s">
        <v>16</v>
      </c>
      <c r="H10" s="15" t="n">
        <f aca="false">三公司合并报表!$G$8</f>
        <v>1110750</v>
      </c>
    </row>
    <row r="11" customFormat="false" ht="15" hidden="false" customHeight="false" outlineLevel="0" collapsed="false">
      <c r="A11" s="10" t="s">
        <v>17</v>
      </c>
      <c r="B11" s="11" t="n">
        <f aca="false">'农业-利润表'!$C$14</f>
        <v>22072.38</v>
      </c>
      <c r="C11" s="11" t="n">
        <f aca="false">'木业-利润表'!$C$14</f>
        <v>71150.95</v>
      </c>
      <c r="D11" s="11" t="n">
        <f aca="false">'科技-利润表'!$C$14</f>
        <v>169693.57</v>
      </c>
      <c r="E11" s="12" t="n">
        <f aca="false">SUM(B11:D11)</f>
        <v>262916.9</v>
      </c>
      <c r="G11" s="3" t="s">
        <v>18</v>
      </c>
      <c r="H11" s="15" t="n">
        <f aca="false">三公司合并报表!$G$21</f>
        <v>244916.9</v>
      </c>
    </row>
    <row r="12" customFormat="false" ht="15" hidden="false" customHeight="false" outlineLevel="0" collapsed="false">
      <c r="A12" s="10" t="s">
        <v>19</v>
      </c>
      <c r="B12" s="11" t="n">
        <f aca="false">'农业-利润表'!$C$17</f>
        <v>22072.38</v>
      </c>
      <c r="C12" s="11" t="n">
        <f aca="false">'木业-利润表'!$C$17</f>
        <v>71150.95</v>
      </c>
      <c r="D12" s="11" t="n">
        <f aca="false">'科技-利润表'!$C$17</f>
        <v>169693.57</v>
      </c>
      <c r="E12" s="12" t="n">
        <f aca="false">SUM(B12:D12)</f>
        <v>262916.9</v>
      </c>
    </row>
    <row r="13" customFormat="false" ht="15" hidden="false" customHeight="false" outlineLevel="0" collapsed="false">
      <c r="A13" s="14" t="s">
        <v>20</v>
      </c>
      <c r="B13" s="12" t="n">
        <f aca="false">'农业-利润表'!$C$19</f>
        <v>22072.38</v>
      </c>
      <c r="C13" s="12" t="n">
        <f aca="false">'木业-利润表'!$C$19</f>
        <v>65150.95</v>
      </c>
      <c r="D13" s="12" t="n">
        <f aca="false">'科技-利润表'!$C$19</f>
        <v>157693.57</v>
      </c>
      <c r="E13" s="12" t="n">
        <f aca="false">SUM(B13:D13)</f>
        <v>244916.9</v>
      </c>
    </row>
    <row r="14" customFormat="false" ht="15" hidden="false" customHeight="false" outlineLevel="0" collapsed="false">
      <c r="A14" s="14" t="s">
        <v>21</v>
      </c>
      <c r="B14" s="12" t="n">
        <f aca="false">'农业-资产负债表'!$C$25</f>
        <v>2310272.38</v>
      </c>
      <c r="C14" s="12" t="n">
        <f aca="false">'木业-资产负债表'!$C$25</f>
        <v>1686400.95</v>
      </c>
      <c r="D14" s="12" t="n">
        <f aca="false">'科技-资产负债表'!$C$25</f>
        <v>1267433.57</v>
      </c>
      <c r="E14" s="12" t="n">
        <f aca="false">SUM(B14:D14)</f>
        <v>5264106.9</v>
      </c>
    </row>
    <row r="15" customFormat="false" ht="15" hidden="false" customHeight="false" outlineLevel="0" collapsed="false">
      <c r="A15" s="10" t="s">
        <v>22</v>
      </c>
      <c r="B15" s="11" t="n">
        <f aca="false">'农业-资产负债表'!$C$7</f>
        <v>319200</v>
      </c>
      <c r="C15" s="11" t="n">
        <f aca="false">'木业-资产负债表'!$C$7</f>
        <v>420380</v>
      </c>
      <c r="D15" s="11" t="n">
        <f aca="false">'科技-资产负债表'!$C$7</f>
        <v>534660</v>
      </c>
      <c r="E15" s="12" t="n">
        <f aca="false">SUM(B15:D15)</f>
        <v>1274240</v>
      </c>
    </row>
    <row r="16" customFormat="false" ht="15" hidden="false" customHeight="false" outlineLevel="0" collapsed="false">
      <c r="A16" s="10" t="s">
        <v>23</v>
      </c>
      <c r="B16" s="11" t="n">
        <f aca="false">'农业-资产负债表'!$C$11</f>
        <v>68072.38</v>
      </c>
      <c r="C16" s="11" t="n">
        <f aca="false">'木业-资产负债表'!$C$11</f>
        <v>212020.95</v>
      </c>
      <c r="D16" s="11" t="n">
        <f aca="false">'科技-资产负债表'!$C$11</f>
        <v>124023.57</v>
      </c>
      <c r="E16" s="12" t="n">
        <f aca="false">SUM(B16:D16)</f>
        <v>404116.9</v>
      </c>
    </row>
    <row r="17" customFormat="false" ht="15" hidden="false" customHeight="false" outlineLevel="0" collapsed="false">
      <c r="A17" s="10" t="s">
        <v>24</v>
      </c>
      <c r="B17" s="11" t="n">
        <f aca="false">'农业-资产负债表'!$C$8</f>
        <v>73000</v>
      </c>
      <c r="C17" s="11" t="n">
        <f aca="false">'木业-资产负债表'!$C$8</f>
        <v>368000</v>
      </c>
      <c r="D17" s="11" t="n">
        <f aca="false">'科技-资产负债表'!$C$8</f>
        <v>202750</v>
      </c>
      <c r="E17" s="12" t="n">
        <f aca="false">SUM(B17:D17)</f>
        <v>643750</v>
      </c>
    </row>
    <row r="18" customFormat="false" ht="15" hidden="false" customHeight="false" outlineLevel="0" collapsed="false">
      <c r="A18" s="10" t="s">
        <v>25</v>
      </c>
      <c r="B18" s="11" t="n">
        <f aca="false">'农业-资产负债表'!$G$8</f>
        <v>48200</v>
      </c>
      <c r="C18" s="11" t="n">
        <f aca="false">'木业-资产负债表'!$G$8</f>
        <v>127000</v>
      </c>
      <c r="D18" s="11" t="n">
        <f aca="false">'科技-资产负债表'!$G$8</f>
        <v>61000</v>
      </c>
      <c r="E18" s="12" t="n">
        <f aca="false">SUM(B18:D18)</f>
        <v>236200</v>
      </c>
    </row>
    <row r="19" customFormat="false" ht="15" hidden="false" customHeight="false" outlineLevel="0" collapsed="false">
      <c r="A19" s="10" t="s">
        <v>26</v>
      </c>
      <c r="B19" s="11" t="n">
        <f aca="false">'农业-资产负债表'!$G$16</f>
        <v>328200</v>
      </c>
      <c r="C19" s="11" t="n">
        <f aca="false">'木业-资产负债表'!$G$16</f>
        <v>620000</v>
      </c>
      <c r="D19" s="11" t="n">
        <f aca="false">'科技-资产负债表'!$G$16</f>
        <v>90600</v>
      </c>
      <c r="E19" s="12" t="n">
        <f aca="false">SUM(B19:D19)</f>
        <v>1038800</v>
      </c>
    </row>
    <row r="20" customFormat="false" ht="15" hidden="false" customHeight="false" outlineLevel="0" collapsed="false">
      <c r="A20" s="10" t="s">
        <v>27</v>
      </c>
      <c r="B20" s="11" t="n">
        <f aca="false">'农业-资产负债表'!$G$22</f>
        <v>1982072.38</v>
      </c>
      <c r="C20" s="11" t="n">
        <f aca="false">'木业-资产负债表'!$G$22</f>
        <v>1066400.95</v>
      </c>
      <c r="D20" s="11" t="n">
        <f aca="false">'科技-资产负债表'!$G$22</f>
        <v>1176833.57</v>
      </c>
      <c r="E20" s="12" t="n">
        <f aca="false">SUM(B20:D20)</f>
        <v>4225306.9</v>
      </c>
    </row>
    <row r="21" customFormat="false" ht="15" hidden="false" customHeight="false" outlineLevel="0" collapsed="false">
      <c r="A21" s="14" t="s">
        <v>28</v>
      </c>
      <c r="B21" s="16" t="n">
        <f aca="false">IF(ROUND(B8,2)=0,"—",B10/B8)</f>
        <v>0.459186565349544</v>
      </c>
      <c r="C21" s="16" t="n">
        <f aca="false">IF(ROUND(C8,2)=0,"—",C10/C8)</f>
        <v>0.37108410652921</v>
      </c>
      <c r="D21" s="16" t="n">
        <f aca="false">IF(ROUND(D8,2)=0,"—",D10/D8)</f>
        <v>0.688821967397414</v>
      </c>
      <c r="E21" s="16" t="n">
        <f aca="false">IF(ROUND(E8,2)=0,"—",E10/E8)</f>
        <v>0.496696957403651</v>
      </c>
    </row>
    <row r="23" customFormat="false" ht="15" hidden="false" customHeight="true" outlineLevel="0" collapsed="false">
      <c r="A23" s="7" t="s">
        <v>29</v>
      </c>
      <c r="B23" s="7"/>
      <c r="C23" s="7"/>
      <c r="D23" s="7"/>
      <c r="E23" s="7"/>
    </row>
    <row r="24" customFormat="false" ht="15" hidden="false" customHeight="false" outlineLevel="0" collapsed="false">
      <c r="A24" s="14" t="s">
        <v>30</v>
      </c>
      <c r="B24" s="17" t="str">
        <f aca="false">HYPERLINK("#'购销流水'!A1","购销流水")</f>
        <v>购销流水</v>
      </c>
      <c r="C24" s="17" t="str">
        <f aca="false">HYPERLINK("#'资金流水'!A1","资金流水")</f>
        <v>资金流水</v>
      </c>
      <c r="D24" s="17" t="str">
        <f aca="false">HYPERLINK("#'生产加工'!A1","生产加工")</f>
        <v>生产加工</v>
      </c>
      <c r="E24" s="17" t="str">
        <f aca="false">HYPERLINK("#'其他分录'!A1","其他分录")</f>
        <v>其他分录</v>
      </c>
    </row>
    <row r="25" customFormat="false" ht="15" hidden="false" customHeight="false" outlineLevel="0" collapsed="false">
      <c r="A25" s="14" t="s">
        <v>31</v>
      </c>
      <c r="B25" s="17" t="str">
        <f aca="false">HYPERLINK("#'参数设置'!A1","参数设置")</f>
        <v>参数设置</v>
      </c>
      <c r="C25" s="17" t="str">
        <f aca="false">HYPERLINK("#'商品档案'!A1","商品档案")</f>
        <v>商品档案</v>
      </c>
      <c r="D25" s="17" t="str">
        <f aca="false">HYPERLINK("#'往来单位'!A1","往来单位")</f>
        <v>往来单位</v>
      </c>
      <c r="E25" s="17" t="str">
        <f aca="false">HYPERLINK("#'资金账户'!A1","资金账户")</f>
        <v>资金账户</v>
      </c>
    </row>
    <row r="26" customFormat="false" ht="15" hidden="false" customHeight="false" outlineLevel="0" collapsed="false">
      <c r="A26" s="18"/>
      <c r="B26" s="17" t="str">
        <f aca="false">HYPERLINK("#'期初余额'!A1","期初余额")</f>
        <v>期初余额</v>
      </c>
      <c r="C26" s="17" t="str">
        <f aca="false">HYPERLINK("#'会计科目表'!A1","会计科目表")</f>
        <v>会计科目表</v>
      </c>
      <c r="D26" s="17" t="str">
        <f aca="false">HYPERLINK("#'记账规则'!A1","记账规则")</f>
        <v>记账规则</v>
      </c>
      <c r="E26" s="19"/>
    </row>
    <row r="27" customFormat="false" ht="15" hidden="false" customHeight="false" outlineLevel="0" collapsed="false">
      <c r="A27" s="14" t="s">
        <v>32</v>
      </c>
      <c r="B27" s="17" t="str">
        <f aca="false">HYPERLINK("#'农业-资产负债表'!A1","农业-资产负债表")</f>
        <v>农业-资产负债表</v>
      </c>
      <c r="C27" s="17" t="str">
        <f aca="false">HYPERLINK("#'农业-利润表'!A1","农业-利润表")</f>
        <v>农业-利润表</v>
      </c>
      <c r="D27" s="17" t="str">
        <f aca="false">HYPERLINK("#'木业-资产负债表'!A1","木业-资产负债表")</f>
        <v>木业-资产负债表</v>
      </c>
      <c r="E27" s="17" t="str">
        <f aca="false">HYPERLINK("#'木业-利润表'!A1","木业-利润表")</f>
        <v>木业-利润表</v>
      </c>
    </row>
    <row r="28" customFormat="false" ht="15" hidden="false" customHeight="false" outlineLevel="0" collapsed="false">
      <c r="A28" s="18"/>
      <c r="B28" s="17" t="str">
        <f aca="false">HYPERLINK("#'科技-资产负债表'!A1","科技-资产负债表")</f>
        <v>科技-资产负债表</v>
      </c>
      <c r="C28" s="17" t="str">
        <f aca="false">HYPERLINK("#'科技-利润表'!A1","科技-利润表")</f>
        <v>科技-利润表</v>
      </c>
      <c r="D28" s="17" t="str">
        <f aca="false">HYPERLINK("#'三公司合并报表'!A1","三公司合并报表")</f>
        <v>三公司合并报表</v>
      </c>
      <c r="E28" s="19"/>
    </row>
    <row r="29" customFormat="false" ht="15" hidden="false" customHeight="false" outlineLevel="0" collapsed="false">
      <c r="A29" s="14" t="s">
        <v>33</v>
      </c>
      <c r="B29" s="17" t="str">
        <f aca="false">HYPERLINK("#'科目余额表'!A1","科目余额表")</f>
        <v>科目余额表</v>
      </c>
      <c r="C29" s="17" t="str">
        <f aca="false">HYPERLINK("#'记账分录'!A1","记账分录")</f>
        <v>记账分录</v>
      </c>
      <c r="D29" s="17" t="str">
        <f aca="false">HYPERLINK("#'进销存台账'!A1","进销存台账")</f>
        <v>进销存台账</v>
      </c>
      <c r="E29" s="17" t="str">
        <f aca="false">HYPERLINK("#'收发存查询'!A1","收发存查询")</f>
        <v>收发存查询</v>
      </c>
    </row>
    <row r="30" customFormat="false" ht="15" hidden="false" customHeight="false" outlineLevel="0" collapsed="false">
      <c r="A30" s="18"/>
      <c r="B30" s="17" t="str">
        <f aca="false">HYPERLINK("#'往来台账'!A1","往来台账")</f>
        <v>往来台账</v>
      </c>
      <c r="C30" s="17" t="str">
        <f aca="false">HYPERLINK("#'税费台账'!A1","税费台账")</f>
        <v>税费台账</v>
      </c>
      <c r="D30" s="17" t="str">
        <f aca="false">HYPERLINK("#'费用统计'!A1","费用统计")</f>
        <v>费用统计</v>
      </c>
      <c r="E30" s="17" t="str">
        <f aca="false">HYPERLINK("#'内部交易核对'!A1","内部交易核对")</f>
        <v>内部交易核对</v>
      </c>
    </row>
    <row r="31" customFormat="false" ht="15" hidden="false" customHeight="false" outlineLevel="0" collapsed="false">
      <c r="A31" s="14" t="s">
        <v>34</v>
      </c>
      <c r="B31" s="17" t="str">
        <f aca="false">HYPERLINK("#'校验中心'!A1","校验中心")</f>
        <v>校验中心</v>
      </c>
      <c r="C31" s="17" t="str">
        <f aca="false">HYPERLINK("#'使用说明'!A1","使用说明")</f>
        <v>使用说明</v>
      </c>
      <c r="D31" s="19"/>
      <c r="E31" s="19"/>
    </row>
    <row r="33" customFormat="false" ht="15" hidden="false" customHeight="true" outlineLevel="0" collapsed="false">
      <c r="A33" s="7" t="s">
        <v>35</v>
      </c>
      <c r="B33" s="7"/>
      <c r="C33" s="7"/>
      <c r="D33" s="7"/>
      <c r="E33" s="7"/>
    </row>
    <row r="34" customFormat="false" ht="15" hidden="false" customHeight="false" outlineLevel="0" collapsed="false">
      <c r="A34" s="10" t="s">
        <v>36</v>
      </c>
      <c r="B34" s="20" t="n">
        <f aca="false">COUNT(购销流水!$B$6:$B$805)</f>
        <v>20</v>
      </c>
      <c r="C34" s="21" t="n">
        <v>800</v>
      </c>
      <c r="D34" s="22" t="n">
        <f aca="false">IF($C34=0,"",$B34/$C34)</f>
        <v>0.025</v>
      </c>
      <c r="E34" s="23" t="str">
        <f aca="false">IF($B34/$C34&gt;0.9,"✗ 快满了","√ 够用")</f>
        <v>√ 够用</v>
      </c>
    </row>
    <row r="35" customFormat="false" ht="15" hidden="false" customHeight="false" outlineLevel="0" collapsed="false">
      <c r="A35" s="10" t="s">
        <v>37</v>
      </c>
      <c r="B35" s="20" t="n">
        <f aca="false">COUNT(资金流水!$B$6:$B$605)</f>
        <v>34</v>
      </c>
      <c r="C35" s="21" t="n">
        <v>600</v>
      </c>
      <c r="D35" s="22" t="n">
        <f aca="false">IF($C35=0,"",$B35/$C35)</f>
        <v>0.0566666666666667</v>
      </c>
      <c r="E35" s="23" t="str">
        <f aca="false">IF($B35/$C35&gt;0.9,"✗ 快满了","√ 够用")</f>
        <v>√ 够用</v>
      </c>
    </row>
    <row r="36" customFormat="false" ht="15" hidden="false" customHeight="false" outlineLevel="0" collapsed="false">
      <c r="A36" s="10" t="s">
        <v>38</v>
      </c>
      <c r="B36" s="20" t="n">
        <f aca="false">COUNT(生产加工!$B$6:$B$305)</f>
        <v>36</v>
      </c>
      <c r="C36" s="21" t="n">
        <v>300</v>
      </c>
      <c r="D36" s="22" t="n">
        <f aca="false">IF($C36=0,"",$B36/$C36)</f>
        <v>0.12</v>
      </c>
      <c r="E36" s="23" t="str">
        <f aca="false">IF($B36/$C36&gt;0.9,"✗ 快满了","√ 够用")</f>
        <v>√ 够用</v>
      </c>
    </row>
    <row r="37" customFormat="false" ht="15" hidden="false" customHeight="false" outlineLevel="0" collapsed="false">
      <c r="A37" s="10" t="s">
        <v>39</v>
      </c>
      <c r="B37" s="20" t="n">
        <f aca="false">COUNT(其他分录!$B$6:$B$255)</f>
        <v>10</v>
      </c>
      <c r="C37" s="21" t="n">
        <v>250</v>
      </c>
      <c r="D37" s="22" t="n">
        <f aca="false">IF($C37=0,"",$B37/$C37)</f>
        <v>0.04</v>
      </c>
      <c r="E37" s="23" t="str">
        <f aca="false">IF($B37/$C37&gt;0.9,"✗ 快满了","√ 够用")</f>
        <v>√ 够用</v>
      </c>
    </row>
    <row r="38" customFormat="false" ht="15" hidden="false" customHeight="false" outlineLevel="0" collapsed="false">
      <c r="A38" s="10" t="s">
        <v>40</v>
      </c>
      <c r="B38" s="20" t="n">
        <f aca="false">COUNTA(商品档案!$A$6:$A$65)</f>
        <v>25</v>
      </c>
      <c r="C38" s="21" t="n">
        <v>60</v>
      </c>
      <c r="D38" s="22" t="n">
        <f aca="false">IF($C38=0,"",$B38/$C38)</f>
        <v>0.416666666666667</v>
      </c>
      <c r="E38" s="23" t="str">
        <f aca="false">IF($B38/$C38&gt;0.9,"✗ 快满了","√ 够用")</f>
        <v>√ 够用</v>
      </c>
    </row>
    <row r="39" customFormat="false" ht="15" hidden="false" customHeight="false" outlineLevel="0" collapsed="false">
      <c r="A39" s="10" t="s">
        <v>41</v>
      </c>
      <c r="B39" s="20" t="n">
        <f aca="false">COUNTA(往来单位!$A$6:$A$85)</f>
        <v>23</v>
      </c>
      <c r="C39" s="21" t="n">
        <v>80</v>
      </c>
      <c r="D39" s="22" t="n">
        <f aca="false">IF($C39=0,"",$B39/$C39)</f>
        <v>0.2875</v>
      </c>
      <c r="E39" s="23" t="str">
        <f aca="false">IF($B39/$C39&gt;0.9,"✗ 快满了","√ 够用")</f>
        <v>√ 够用</v>
      </c>
    </row>
  </sheetData>
  <mergeCells count="6">
    <mergeCell ref="A1:H1"/>
    <mergeCell ref="A2:H2"/>
    <mergeCell ref="E4:H4"/>
    <mergeCell ref="A6:H6"/>
    <mergeCell ref="A23:E23"/>
    <mergeCell ref="A33:E33"/>
  </mergeCells>
  <conditionalFormatting sqref="E34">
    <cfRule type="expression" priority="2" aboveAverage="0" equalAverage="0" bottom="0" percent="0" rank="0" text="" dxfId="0">
      <formula>LEFT($E34,1)="✗"</formula>
    </cfRule>
  </conditionalFormatting>
  <conditionalFormatting sqref="E35">
    <cfRule type="expression" priority="3" aboveAverage="0" equalAverage="0" bottom="0" percent="0" rank="0" text="" dxfId="0">
      <formula>LEFT($E35,1)="✗"</formula>
    </cfRule>
  </conditionalFormatting>
  <conditionalFormatting sqref="E36">
    <cfRule type="expression" priority="4" aboveAverage="0" equalAverage="0" bottom="0" percent="0" rank="0" text="" dxfId="0">
      <formula>LEFT($E36,1)="✗"</formula>
    </cfRule>
  </conditionalFormatting>
  <conditionalFormatting sqref="E37">
    <cfRule type="expression" priority="5" aboveAverage="0" equalAverage="0" bottom="0" percent="0" rank="0" text="" dxfId="0">
      <formula>LEFT($E37,1)="✗"</formula>
    </cfRule>
  </conditionalFormatting>
  <conditionalFormatting sqref="E38">
    <cfRule type="expression" priority="6" aboveAverage="0" equalAverage="0" bottom="0" percent="0" rank="0" text="" dxfId="0">
      <formula>LEFT($E38,1)="✗"</formula>
    </cfRule>
  </conditionalFormatting>
  <conditionalFormatting sqref="E39">
    <cfRule type="expression" priority="7" aboveAverage="0" equalAverage="0" bottom="0" percent="0" rank="0" text="" dxfId="0">
      <formula>LEFT($E39,1)="✗"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0"/>
  </cols>
  <sheetData>
    <row r="1" customFormat="false" ht="25.5" hidden="false" customHeight="true" outlineLevel="0" collapsed="false">
      <c r="A1" s="1" t="s">
        <v>42</v>
      </c>
      <c r="B1" s="1"/>
      <c r="C1" s="1"/>
    </row>
    <row r="2" customFormat="false" ht="15" hidden="false" customHeight="true" outlineLevel="0" collapsed="false">
      <c r="A2" s="2" t="s">
        <v>43</v>
      </c>
      <c r="B2" s="2"/>
      <c r="C2" s="2"/>
    </row>
    <row r="5" customFormat="false" ht="30" hidden="false" customHeight="true" outlineLevel="0" collapsed="false">
      <c r="A5" s="8"/>
      <c r="B5" s="8" t="s">
        <v>44</v>
      </c>
      <c r="C5" s="8" t="s">
        <v>45</v>
      </c>
    </row>
    <row r="6" customFormat="false" ht="21.75" hidden="false" customHeight="true" outlineLevel="0" collapsed="false">
      <c r="A6" s="24" t="s">
        <v>46</v>
      </c>
      <c r="B6" s="24"/>
      <c r="C6" s="24"/>
    </row>
    <row r="7" customFormat="false" ht="33.75" hidden="false" customHeight="true" outlineLevel="0" collapsed="false">
      <c r="A7" s="25"/>
      <c r="B7" s="26" t="s">
        <v>47</v>
      </c>
      <c r="C7" s="10" t="s">
        <v>48</v>
      </c>
    </row>
    <row r="8" customFormat="false" ht="33.75" hidden="false" customHeight="true" outlineLevel="0" collapsed="false">
      <c r="A8" s="25"/>
      <c r="B8" s="26" t="s">
        <v>49</v>
      </c>
      <c r="C8" s="10" t="s">
        <v>50</v>
      </c>
    </row>
    <row r="9" customFormat="false" ht="33.75" hidden="false" customHeight="true" outlineLevel="0" collapsed="false">
      <c r="A9" s="25"/>
      <c r="B9" s="26" t="s">
        <v>51</v>
      </c>
      <c r="C9" s="10" t="s">
        <v>52</v>
      </c>
    </row>
    <row r="10" customFormat="false" ht="21.75" hidden="false" customHeight="true" outlineLevel="0" collapsed="false">
      <c r="A10" s="24" t="s">
        <v>53</v>
      </c>
      <c r="B10" s="24"/>
      <c r="C10" s="24"/>
    </row>
    <row r="11" customFormat="false" ht="33.75" hidden="false" customHeight="true" outlineLevel="0" collapsed="false">
      <c r="A11" s="25"/>
      <c r="B11" s="26" t="s">
        <v>54</v>
      </c>
      <c r="C11" s="10" t="s">
        <v>55</v>
      </c>
    </row>
    <row r="12" customFormat="false" ht="33.75" hidden="false" customHeight="true" outlineLevel="0" collapsed="false">
      <c r="A12" s="25"/>
      <c r="B12" s="26" t="s">
        <v>40</v>
      </c>
      <c r="C12" s="10" t="s">
        <v>56</v>
      </c>
    </row>
    <row r="13" customFormat="false" ht="33.75" hidden="false" customHeight="true" outlineLevel="0" collapsed="false">
      <c r="A13" s="25"/>
      <c r="B13" s="26" t="s">
        <v>41</v>
      </c>
      <c r="C13" s="10" t="s">
        <v>57</v>
      </c>
    </row>
    <row r="14" customFormat="false" ht="33.75" hidden="false" customHeight="true" outlineLevel="0" collapsed="false">
      <c r="A14" s="25"/>
      <c r="B14" s="26" t="s">
        <v>58</v>
      </c>
      <c r="C14" s="10" t="s">
        <v>59</v>
      </c>
    </row>
    <row r="15" customFormat="false" ht="33.75" hidden="false" customHeight="true" outlineLevel="0" collapsed="false">
      <c r="A15" s="25"/>
      <c r="B15" s="26" t="s">
        <v>60</v>
      </c>
      <c r="C15" s="10" t="s">
        <v>61</v>
      </c>
    </row>
    <row r="16" customFormat="false" ht="33.75" hidden="false" customHeight="true" outlineLevel="0" collapsed="false">
      <c r="A16" s="25"/>
      <c r="B16" s="26" t="s">
        <v>62</v>
      </c>
      <c r="C16" s="10" t="s">
        <v>63</v>
      </c>
    </row>
    <row r="17" customFormat="false" ht="21.75" hidden="false" customHeight="true" outlineLevel="0" collapsed="false">
      <c r="A17" s="24" t="s">
        <v>64</v>
      </c>
      <c r="B17" s="24"/>
      <c r="C17" s="24"/>
    </row>
    <row r="18" customFormat="false" ht="33.75" hidden="false" customHeight="true" outlineLevel="0" collapsed="false">
      <c r="A18" s="25"/>
      <c r="B18" s="26" t="s">
        <v>36</v>
      </c>
      <c r="C18" s="10" t="s">
        <v>65</v>
      </c>
    </row>
    <row r="19" customFormat="false" ht="33.75" hidden="false" customHeight="true" outlineLevel="0" collapsed="false">
      <c r="A19" s="25"/>
      <c r="B19" s="26" t="s">
        <v>66</v>
      </c>
      <c r="C19" s="10" t="s">
        <v>67</v>
      </c>
    </row>
    <row r="20" customFormat="false" ht="33.75" hidden="false" customHeight="true" outlineLevel="0" collapsed="false">
      <c r="A20" s="25"/>
      <c r="B20" s="26" t="s">
        <v>37</v>
      </c>
      <c r="C20" s="10" t="s">
        <v>68</v>
      </c>
    </row>
    <row r="21" customFormat="false" ht="33.75" hidden="false" customHeight="true" outlineLevel="0" collapsed="false">
      <c r="A21" s="25"/>
      <c r="B21" s="26" t="s">
        <v>69</v>
      </c>
      <c r="C21" s="10" t="s">
        <v>70</v>
      </c>
    </row>
    <row r="22" customFormat="false" ht="33.75" hidden="false" customHeight="true" outlineLevel="0" collapsed="false">
      <c r="A22" s="25"/>
      <c r="B22" s="26" t="s">
        <v>38</v>
      </c>
      <c r="C22" s="10" t="s">
        <v>71</v>
      </c>
    </row>
    <row r="23" customFormat="false" ht="33.75" hidden="false" customHeight="true" outlineLevel="0" collapsed="false">
      <c r="A23" s="25"/>
      <c r="B23" s="26" t="s">
        <v>39</v>
      </c>
      <c r="C23" s="10" t="s">
        <v>72</v>
      </c>
    </row>
    <row r="24" customFormat="false" ht="21.75" hidden="false" customHeight="true" outlineLevel="0" collapsed="false">
      <c r="A24" s="24" t="s">
        <v>73</v>
      </c>
      <c r="B24" s="24"/>
      <c r="C24" s="24"/>
    </row>
    <row r="25" customFormat="false" ht="33.75" hidden="false" customHeight="true" outlineLevel="0" collapsed="false">
      <c r="A25" s="25"/>
      <c r="B25" s="26" t="s">
        <v>74</v>
      </c>
      <c r="C25" s="10" t="s">
        <v>75</v>
      </c>
    </row>
    <row r="26" customFormat="false" ht="33.75" hidden="false" customHeight="true" outlineLevel="0" collapsed="false">
      <c r="A26" s="25"/>
      <c r="B26" s="26" t="s">
        <v>76</v>
      </c>
      <c r="C26" s="10" t="s">
        <v>77</v>
      </c>
    </row>
    <row r="27" customFormat="false" ht="33.75" hidden="false" customHeight="true" outlineLevel="0" collapsed="false">
      <c r="A27" s="25"/>
      <c r="B27" s="26" t="s">
        <v>78</v>
      </c>
      <c r="C27" s="10" t="s">
        <v>79</v>
      </c>
    </row>
    <row r="28" customFormat="false" ht="33.75" hidden="false" customHeight="true" outlineLevel="0" collapsed="false">
      <c r="A28" s="25"/>
      <c r="B28" s="26" t="s">
        <v>80</v>
      </c>
      <c r="C28" s="10" t="s">
        <v>81</v>
      </c>
    </row>
    <row r="29" customFormat="false" ht="33.75" hidden="false" customHeight="true" outlineLevel="0" collapsed="false">
      <c r="A29" s="25"/>
      <c r="B29" s="26" t="s">
        <v>82</v>
      </c>
      <c r="C29" s="10" t="s">
        <v>83</v>
      </c>
    </row>
    <row r="30" customFormat="false" ht="33.75" hidden="false" customHeight="true" outlineLevel="0" collapsed="false">
      <c r="A30" s="25"/>
      <c r="B30" s="26" t="s">
        <v>84</v>
      </c>
      <c r="C30" s="10" t="s">
        <v>85</v>
      </c>
    </row>
    <row r="31" customFormat="false" ht="21.75" hidden="false" customHeight="true" outlineLevel="0" collapsed="false">
      <c r="A31" s="24" t="s">
        <v>86</v>
      </c>
      <c r="B31" s="24"/>
      <c r="C31" s="24"/>
    </row>
    <row r="32" customFormat="false" ht="33.75" hidden="false" customHeight="true" outlineLevel="0" collapsed="false">
      <c r="A32" s="25"/>
      <c r="B32" s="26" t="s">
        <v>87</v>
      </c>
      <c r="C32" s="10" t="s">
        <v>88</v>
      </c>
    </row>
    <row r="33" customFormat="false" ht="33.75" hidden="false" customHeight="true" outlineLevel="0" collapsed="false">
      <c r="A33" s="25"/>
      <c r="B33" s="26" t="s">
        <v>89</v>
      </c>
      <c r="C33" s="10" t="s">
        <v>90</v>
      </c>
    </row>
    <row r="34" customFormat="false" ht="33.75" hidden="false" customHeight="true" outlineLevel="0" collapsed="false">
      <c r="A34" s="25"/>
      <c r="B34" s="26" t="s">
        <v>91</v>
      </c>
      <c r="C34" s="10" t="s">
        <v>92</v>
      </c>
    </row>
    <row r="35" customFormat="false" ht="33.75" hidden="false" customHeight="true" outlineLevel="0" collapsed="false">
      <c r="A35" s="25"/>
      <c r="B35" s="26" t="s">
        <v>93</v>
      </c>
      <c r="C35" s="10" t="s">
        <v>94</v>
      </c>
    </row>
  </sheetData>
  <mergeCells count="7">
    <mergeCell ref="A1:C1"/>
    <mergeCell ref="A2:C2"/>
    <mergeCell ref="A6:C6"/>
    <mergeCell ref="A10:C10"/>
    <mergeCell ref="A17:C17"/>
    <mergeCell ref="A24:C24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9" min="5" style="0" width="14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15" hidden="false" customHeight="false" outlineLevel="0" collapsed="false">
      <c r="A5" s="3" t="s">
        <v>2</v>
      </c>
      <c r="B5" s="27" t="n">
        <v>2026</v>
      </c>
      <c r="C5" s="3" t="s">
        <v>96</v>
      </c>
      <c r="D5" s="28" t="n">
        <f aca="false">DATE($B$5,1,1)</f>
        <v>46023</v>
      </c>
      <c r="E5" s="3" t="s">
        <v>97</v>
      </c>
      <c r="F5" s="28" t="n">
        <f aca="false">DATE($B$5,12,31)</f>
        <v>46387</v>
      </c>
      <c r="G5" s="3" t="s">
        <v>98</v>
      </c>
      <c r="H5" s="29" t="n">
        <v>0.12</v>
      </c>
      <c r="I5" s="3" t="s">
        <v>99</v>
      </c>
      <c r="J5" s="29" t="n">
        <v>0.05</v>
      </c>
    </row>
    <row r="6" customFormat="false" ht="22.35" hidden="false" customHeight="true" outlineLevel="0" collapsed="false">
      <c r="A6" s="30" t="s">
        <v>100</v>
      </c>
      <c r="B6" s="2" t="s">
        <v>101</v>
      </c>
      <c r="C6" s="2"/>
      <c r="D6" s="2"/>
      <c r="E6" s="2"/>
      <c r="F6" s="2"/>
      <c r="G6" s="2"/>
      <c r="H6" s="2"/>
      <c r="I6" s="2"/>
      <c r="J6" s="2"/>
    </row>
    <row r="8" customFormat="false" ht="15" hidden="false" customHeight="true" outlineLevel="0" collapsed="false">
      <c r="A8" s="7" t="s">
        <v>102</v>
      </c>
      <c r="B8" s="7"/>
      <c r="C8" s="7"/>
      <c r="D8" s="7"/>
      <c r="E8" s="7"/>
      <c r="F8" s="7"/>
      <c r="G8" s="7"/>
      <c r="H8" s="7"/>
      <c r="I8" s="7"/>
      <c r="J8" s="7"/>
    </row>
    <row r="9" customFormat="false" ht="30" hidden="false" customHeight="true" outlineLevel="0" collapsed="false">
      <c r="A9" s="8" t="s">
        <v>103</v>
      </c>
      <c r="B9" s="8" t="s">
        <v>104</v>
      </c>
      <c r="C9" s="8" t="s">
        <v>105</v>
      </c>
      <c r="D9" s="8" t="s">
        <v>106</v>
      </c>
      <c r="E9" s="8"/>
      <c r="F9" s="8"/>
      <c r="G9" s="8"/>
      <c r="H9" s="8"/>
      <c r="I9" s="8"/>
    </row>
    <row r="10" customFormat="false" ht="15" hidden="false" customHeight="true" outlineLevel="0" collapsed="false">
      <c r="A10" s="31" t="s">
        <v>107</v>
      </c>
      <c r="B10" s="32" t="s">
        <v>6</v>
      </c>
      <c r="C10" s="33" t="s">
        <v>108</v>
      </c>
      <c r="D10" s="10" t="s">
        <v>109</v>
      </c>
      <c r="E10" s="10"/>
      <c r="F10" s="10"/>
      <c r="G10" s="10"/>
      <c r="H10" s="10"/>
      <c r="I10" s="10"/>
      <c r="J10" s="34" t="n">
        <f aca="false">COUNTIFS(记账分录!$F$6:$F$5505,$A10)</f>
        <v>70</v>
      </c>
    </row>
    <row r="11" customFormat="false" ht="15" hidden="false" customHeight="true" outlineLevel="0" collapsed="false">
      <c r="A11" s="31" t="s">
        <v>110</v>
      </c>
      <c r="B11" s="32" t="s">
        <v>7</v>
      </c>
      <c r="C11" s="33" t="s">
        <v>108</v>
      </c>
      <c r="D11" s="10" t="s">
        <v>111</v>
      </c>
      <c r="E11" s="10"/>
      <c r="F11" s="10"/>
      <c r="G11" s="10"/>
      <c r="H11" s="10"/>
      <c r="I11" s="10"/>
      <c r="J11" s="34" t="n">
        <f aca="false">COUNTIFS(记账分录!$F$6:$F$5505,$A11)</f>
        <v>76</v>
      </c>
    </row>
    <row r="12" customFormat="false" ht="15" hidden="false" customHeight="true" outlineLevel="0" collapsed="false">
      <c r="A12" s="31" t="s">
        <v>112</v>
      </c>
      <c r="B12" s="32" t="s">
        <v>8</v>
      </c>
      <c r="C12" s="33" t="s">
        <v>108</v>
      </c>
      <c r="D12" s="10" t="s">
        <v>113</v>
      </c>
      <c r="E12" s="10"/>
      <c r="F12" s="10"/>
      <c r="G12" s="10"/>
      <c r="H12" s="10"/>
      <c r="I12" s="10"/>
      <c r="J12" s="34" t="n">
        <f aca="false">COUNTIFS(记账分录!$F$6:$F$5505,$A12)</f>
        <v>76</v>
      </c>
    </row>
    <row r="14" customFormat="false" ht="15" hidden="false" customHeight="true" outlineLevel="0" collapsed="false">
      <c r="A14" s="7" t="s">
        <v>114</v>
      </c>
      <c r="B14" s="7"/>
      <c r="C14" s="7"/>
      <c r="D14" s="7"/>
      <c r="E14" s="7"/>
      <c r="F14" s="7"/>
      <c r="G14" s="7"/>
      <c r="H14" s="7"/>
      <c r="I14" s="7"/>
      <c r="J14" s="7"/>
    </row>
    <row r="15" customFormat="false" ht="30" hidden="false" customHeight="true" outlineLevel="0" collapsed="false">
      <c r="A15" s="8" t="s">
        <v>115</v>
      </c>
      <c r="B15" s="8" t="s">
        <v>116</v>
      </c>
      <c r="C15" s="8" t="s">
        <v>117</v>
      </c>
      <c r="D15" s="8"/>
    </row>
    <row r="16" customFormat="false" ht="26.85" hidden="false" customHeight="false" outlineLevel="0" collapsed="false">
      <c r="A16" s="33" t="s">
        <v>118</v>
      </c>
      <c r="B16" s="33" t="s">
        <v>119</v>
      </c>
      <c r="C16" s="35" t="n">
        <f aca="false">IF($A16="","",费用统计!$E$7)</f>
        <v>3200</v>
      </c>
      <c r="D16" s="35"/>
      <c r="F16" s="36" t="s">
        <v>120</v>
      </c>
    </row>
    <row r="17" customFormat="false" ht="15" hidden="false" customHeight="true" outlineLevel="0" collapsed="false">
      <c r="A17" s="33" t="s">
        <v>121</v>
      </c>
      <c r="B17" s="33" t="s">
        <v>119</v>
      </c>
      <c r="C17" s="35" t="n">
        <f aca="false">IF($A17="","",费用统计!$E$8)</f>
        <v>1800</v>
      </c>
      <c r="D17" s="35"/>
      <c r="F17" s="31" t="s">
        <v>122</v>
      </c>
      <c r="G17" s="37" t="s">
        <v>123</v>
      </c>
      <c r="H17" s="37"/>
      <c r="I17" s="37"/>
      <c r="J17" s="37"/>
    </row>
    <row r="18" customFormat="false" ht="15" hidden="false" customHeight="true" outlineLevel="0" collapsed="false">
      <c r="A18" s="33" t="s">
        <v>124</v>
      </c>
      <c r="B18" s="33" t="s">
        <v>119</v>
      </c>
      <c r="C18" s="35" t="n">
        <f aca="false">IF($A18="","",费用统计!$E$9)</f>
        <v>0</v>
      </c>
      <c r="D18" s="35"/>
      <c r="F18" s="31" t="s">
        <v>125</v>
      </c>
      <c r="G18" s="37" t="s">
        <v>126</v>
      </c>
      <c r="H18" s="37"/>
      <c r="I18" s="37"/>
      <c r="J18" s="37"/>
    </row>
    <row r="19" customFormat="false" ht="15" hidden="false" customHeight="true" outlineLevel="0" collapsed="false">
      <c r="A19" s="33" t="s">
        <v>127</v>
      </c>
      <c r="B19" s="33" t="s">
        <v>119</v>
      </c>
      <c r="C19" s="35" t="n">
        <f aca="false">IF($A19="","",费用统计!$E$10)</f>
        <v>8600</v>
      </c>
      <c r="D19" s="35"/>
      <c r="F19" s="31" t="s">
        <v>128</v>
      </c>
      <c r="G19" s="37" t="s">
        <v>129</v>
      </c>
      <c r="H19" s="37"/>
      <c r="I19" s="37"/>
      <c r="J19" s="37"/>
    </row>
    <row r="20" customFormat="false" ht="15" hidden="false" customHeight="true" outlineLevel="0" collapsed="false">
      <c r="A20" s="33" t="s">
        <v>130</v>
      </c>
      <c r="B20" s="33" t="s">
        <v>131</v>
      </c>
      <c r="C20" s="35" t="n">
        <f aca="false">IF($A20="","",费用统计!$E$11)</f>
        <v>14000</v>
      </c>
      <c r="D20" s="35"/>
      <c r="F20" s="31" t="s">
        <v>132</v>
      </c>
      <c r="G20" s="37" t="s">
        <v>133</v>
      </c>
      <c r="H20" s="37"/>
      <c r="I20" s="37"/>
      <c r="J20" s="37"/>
    </row>
    <row r="21" customFormat="false" ht="15" hidden="false" customHeight="true" outlineLevel="0" collapsed="false">
      <c r="A21" s="33" t="s">
        <v>134</v>
      </c>
      <c r="B21" s="33" t="s">
        <v>119</v>
      </c>
      <c r="C21" s="35" t="n">
        <f aca="false">IF($A21="","",费用统计!$E$12)</f>
        <v>24000</v>
      </c>
      <c r="D21" s="35"/>
      <c r="F21" s="31" t="s">
        <v>135</v>
      </c>
      <c r="G21" s="37" t="s">
        <v>136</v>
      </c>
      <c r="H21" s="37"/>
      <c r="I21" s="37"/>
      <c r="J21" s="37"/>
    </row>
    <row r="22" customFormat="false" ht="15" hidden="false" customHeight="false" outlineLevel="0" collapsed="false">
      <c r="A22" s="33" t="s">
        <v>137</v>
      </c>
      <c r="B22" s="33" t="s">
        <v>138</v>
      </c>
      <c r="C22" s="35" t="n">
        <f aca="false">IF($A22="","",费用统计!$E$13)</f>
        <v>280000</v>
      </c>
      <c r="D22" s="35"/>
    </row>
    <row r="23" customFormat="false" ht="15" hidden="false" customHeight="false" outlineLevel="0" collapsed="false">
      <c r="A23" s="33" t="s">
        <v>139</v>
      </c>
      <c r="B23" s="33" t="s">
        <v>119</v>
      </c>
      <c r="C23" s="35" t="n">
        <f aca="false">IF($A23="","",费用统计!$E$14)</f>
        <v>12000</v>
      </c>
      <c r="D23" s="35"/>
    </row>
    <row r="24" customFormat="false" ht="15" hidden="false" customHeight="false" outlineLevel="0" collapsed="false">
      <c r="A24" s="33" t="s">
        <v>140</v>
      </c>
      <c r="B24" s="33" t="s">
        <v>119</v>
      </c>
      <c r="C24" s="35" t="n">
        <f aca="false">IF($A24="","",费用统计!$E$15)</f>
        <v>196000</v>
      </c>
      <c r="D24" s="35"/>
    </row>
    <row r="25" customFormat="false" ht="15" hidden="false" customHeight="false" outlineLevel="0" collapsed="false">
      <c r="A25" s="33" t="s">
        <v>141</v>
      </c>
      <c r="B25" s="33" t="s">
        <v>119</v>
      </c>
      <c r="C25" s="35" t="n">
        <f aca="false">IF($A25="","",费用统计!$E$16)</f>
        <v>30000</v>
      </c>
      <c r="D25" s="35"/>
    </row>
    <row r="26" customFormat="false" ht="15" hidden="false" customHeight="false" outlineLevel="0" collapsed="false">
      <c r="A26" s="33" t="s">
        <v>142</v>
      </c>
      <c r="B26" s="33" t="s">
        <v>119</v>
      </c>
      <c r="C26" s="35" t="n">
        <f aca="false">IF($A26="","",费用统计!$E$17)</f>
        <v>0</v>
      </c>
      <c r="D26" s="35"/>
    </row>
    <row r="27" customFormat="false" ht="15" hidden="false" customHeight="false" outlineLevel="0" collapsed="false">
      <c r="A27" s="33" t="s">
        <v>143</v>
      </c>
      <c r="B27" s="33" t="s">
        <v>119</v>
      </c>
      <c r="C27" s="35" t="n">
        <f aca="false">IF($A27="","",费用统计!$E$18)</f>
        <v>860</v>
      </c>
      <c r="D27" s="35"/>
    </row>
    <row r="28" customFormat="false" ht="15" hidden="false" customHeight="false" outlineLevel="0" collapsed="false">
      <c r="A28" s="33" t="s">
        <v>144</v>
      </c>
      <c r="B28" s="33" t="s">
        <v>145</v>
      </c>
      <c r="C28" s="35" t="n">
        <f aca="false">IF($A28="","",费用统计!$E$19)</f>
        <v>0</v>
      </c>
      <c r="D28" s="35"/>
    </row>
    <row r="29" customFormat="false" ht="15" hidden="false" customHeight="false" outlineLevel="0" collapsed="false">
      <c r="A29" s="33" t="s">
        <v>146</v>
      </c>
      <c r="B29" s="33" t="s">
        <v>145</v>
      </c>
      <c r="C29" s="35" t="n">
        <f aca="false">IF($A29="","",费用统计!$E$20)</f>
        <v>26500</v>
      </c>
      <c r="D29" s="35"/>
    </row>
    <row r="30" customFormat="false" ht="15" hidden="false" customHeight="false" outlineLevel="0" collapsed="false">
      <c r="A30" s="33" t="s">
        <v>147</v>
      </c>
      <c r="B30" s="33" t="s">
        <v>145</v>
      </c>
      <c r="C30" s="35" t="n">
        <f aca="false">IF($A30="","",费用统计!$E$21)</f>
        <v>9600</v>
      </c>
      <c r="D30" s="35"/>
    </row>
    <row r="31" customFormat="false" ht="15" hidden="false" customHeight="false" outlineLevel="0" collapsed="false">
      <c r="A31" s="33" t="s">
        <v>148</v>
      </c>
      <c r="B31" s="33" t="s">
        <v>145</v>
      </c>
      <c r="C31" s="35" t="n">
        <f aca="false">IF($A31="","",费用统计!$E$22)</f>
        <v>0</v>
      </c>
      <c r="D31" s="35"/>
    </row>
    <row r="32" customFormat="false" ht="15" hidden="false" customHeight="false" outlineLevel="0" collapsed="false">
      <c r="A32" s="33" t="s">
        <v>149</v>
      </c>
      <c r="B32" s="33" t="s">
        <v>119</v>
      </c>
      <c r="C32" s="35" t="n">
        <f aca="false">IF($A32="","",费用统计!$E$23)</f>
        <v>0</v>
      </c>
      <c r="D32" s="35"/>
    </row>
    <row r="33" customFormat="false" ht="15" hidden="false" customHeight="false" outlineLevel="0" collapsed="false">
      <c r="A33" s="33" t="s">
        <v>150</v>
      </c>
      <c r="B33" s="33" t="s">
        <v>119</v>
      </c>
      <c r="C33" s="35" t="n">
        <f aca="false">IF($A33="","",费用统计!$E$24)</f>
        <v>0</v>
      </c>
      <c r="D33" s="35"/>
    </row>
    <row r="34" customFormat="false" ht="15" hidden="false" customHeight="false" outlineLevel="0" collapsed="false">
      <c r="A34" s="33" t="s">
        <v>151</v>
      </c>
      <c r="B34" s="33" t="s">
        <v>152</v>
      </c>
      <c r="C34" s="35" t="n">
        <f aca="false">IF($A34="","",费用统计!$E$25)</f>
        <v>6000</v>
      </c>
      <c r="D34" s="35"/>
    </row>
    <row r="35" customFormat="false" ht="15" hidden="false" customHeight="false" outlineLevel="0" collapsed="false">
      <c r="A35" s="33" t="s">
        <v>153</v>
      </c>
      <c r="B35" s="33" t="s">
        <v>152</v>
      </c>
      <c r="C35" s="35" t="n">
        <f aca="false">IF($A35="","",费用统计!$E$26)</f>
        <v>0</v>
      </c>
      <c r="D35" s="35"/>
    </row>
    <row r="36" customFormat="false" ht="15" hidden="false" customHeight="false" outlineLevel="0" collapsed="false">
      <c r="A36" s="33" t="s">
        <v>154</v>
      </c>
      <c r="B36" s="33" t="s">
        <v>119</v>
      </c>
      <c r="C36" s="35" t="n">
        <f aca="false">IF($A36="","",费用统计!$E$27)</f>
        <v>0</v>
      </c>
      <c r="D36" s="35"/>
    </row>
    <row r="37" customFormat="false" ht="15" hidden="false" customHeight="false" outlineLevel="0" collapsed="false">
      <c r="A37" s="33" t="s">
        <v>155</v>
      </c>
      <c r="B37" s="33" t="s">
        <v>131</v>
      </c>
      <c r="C37" s="35" t="n">
        <f aca="false">IF($A37="","",费用统计!$E$28)</f>
        <v>0</v>
      </c>
      <c r="D37" s="35"/>
    </row>
    <row r="38" customFormat="false" ht="15" hidden="false" customHeight="false" outlineLevel="0" collapsed="false">
      <c r="A38" s="33" t="s">
        <v>156</v>
      </c>
      <c r="B38" s="33" t="s">
        <v>131</v>
      </c>
      <c r="C38" s="35" t="n">
        <f aca="false">IF($A38="","",费用统计!$E$29)</f>
        <v>25000</v>
      </c>
      <c r="D38" s="35"/>
    </row>
    <row r="39" customFormat="false" ht="15" hidden="false" customHeight="false" outlineLevel="0" collapsed="false">
      <c r="A39" s="33" t="s">
        <v>157</v>
      </c>
      <c r="B39" s="33" t="s">
        <v>158</v>
      </c>
      <c r="C39" s="35" t="n">
        <f aca="false">IF($A39="","",费用统计!$E$30)</f>
        <v>0</v>
      </c>
      <c r="D39" s="35"/>
    </row>
    <row r="40" customFormat="false" ht="15" hidden="false" customHeight="false" outlineLevel="0" collapsed="false">
      <c r="A40" s="33" t="s">
        <v>159</v>
      </c>
      <c r="B40" s="33" t="s">
        <v>160</v>
      </c>
      <c r="C40" s="35" t="n">
        <f aca="false">IF($A40="","",费用统计!$E$31)</f>
        <v>0</v>
      </c>
      <c r="D40" s="35"/>
    </row>
    <row r="41" customFormat="false" ht="15" hidden="false" customHeight="false" outlineLevel="0" collapsed="false">
      <c r="A41" s="33" t="s">
        <v>161</v>
      </c>
      <c r="B41" s="33" t="s">
        <v>160</v>
      </c>
      <c r="C41" s="35" t="n">
        <f aca="false">IF($A41="","",费用统计!$E$32)</f>
        <v>0</v>
      </c>
      <c r="D41" s="35"/>
    </row>
    <row r="42" customFormat="false" ht="15" hidden="false" customHeight="false" outlineLevel="0" collapsed="false">
      <c r="A42" s="33" t="s">
        <v>162</v>
      </c>
      <c r="B42" s="33" t="s">
        <v>160</v>
      </c>
      <c r="C42" s="35" t="n">
        <f aca="false">IF($A42="","",费用统计!$E$33)</f>
        <v>0</v>
      </c>
      <c r="D42" s="35"/>
    </row>
    <row r="43" customFormat="false" ht="15" hidden="false" customHeight="false" outlineLevel="0" collapsed="false">
      <c r="A43" s="33" t="s">
        <v>163</v>
      </c>
      <c r="B43" s="33" t="s">
        <v>164</v>
      </c>
      <c r="C43" s="35" t="n">
        <f aca="false">IF($A43="","",费用统计!$E$34)</f>
        <v>0</v>
      </c>
      <c r="D43" s="35"/>
    </row>
    <row r="44" customFormat="false" ht="15" hidden="false" customHeight="false" outlineLevel="0" collapsed="false">
      <c r="A44" s="33" t="s">
        <v>165</v>
      </c>
      <c r="B44" s="33" t="s">
        <v>160</v>
      </c>
      <c r="C44" s="35" t="n">
        <f aca="false">IF($A44="","",费用统计!$E$35)</f>
        <v>0</v>
      </c>
      <c r="D44" s="35"/>
    </row>
    <row r="45" customFormat="false" ht="15" hidden="false" customHeight="false" outlineLevel="0" collapsed="false">
      <c r="A45" s="33" t="s">
        <v>166</v>
      </c>
      <c r="B45" s="33" t="s">
        <v>119</v>
      </c>
      <c r="C45" s="35" t="n">
        <f aca="false">IF($A45="","",费用统计!$E$36)</f>
        <v>0</v>
      </c>
      <c r="D45" s="35"/>
    </row>
    <row r="46" customFormat="false" ht="15" hidden="false" customHeight="false" outlineLevel="0" collapsed="false">
      <c r="A46" s="33"/>
      <c r="B46" s="33"/>
      <c r="C46" s="38"/>
      <c r="D46" s="38"/>
    </row>
    <row r="47" customFormat="false" ht="15" hidden="false" customHeight="false" outlineLevel="0" collapsed="false">
      <c r="A47" s="33"/>
      <c r="B47" s="33"/>
      <c r="C47" s="38"/>
      <c r="D47" s="38"/>
    </row>
    <row r="48" customFormat="false" ht="15" hidden="false" customHeight="false" outlineLevel="0" collapsed="false">
      <c r="A48" s="33"/>
      <c r="B48" s="33"/>
      <c r="C48" s="38"/>
      <c r="D48" s="38"/>
    </row>
    <row r="49" customFormat="false" ht="15" hidden="false" customHeight="false" outlineLevel="0" collapsed="false">
      <c r="A49" s="33"/>
      <c r="B49" s="33"/>
      <c r="C49" s="38"/>
      <c r="D49" s="38"/>
    </row>
    <row r="50" customFormat="false" ht="15" hidden="false" customHeight="false" outlineLevel="0" collapsed="false">
      <c r="A50" s="33"/>
      <c r="B50" s="33"/>
      <c r="C50" s="38"/>
      <c r="D50" s="38"/>
    </row>
    <row r="51" customFormat="false" ht="15" hidden="false" customHeight="false" outlineLevel="0" collapsed="false">
      <c r="A51" s="33"/>
      <c r="B51" s="33"/>
      <c r="C51" s="38"/>
      <c r="D51" s="38"/>
    </row>
    <row r="52" customFormat="false" ht="15" hidden="false" customHeight="false" outlineLevel="0" collapsed="false">
      <c r="A52" s="33"/>
      <c r="B52" s="33"/>
      <c r="C52" s="38"/>
      <c r="D52" s="38"/>
    </row>
    <row r="53" customFormat="false" ht="15" hidden="false" customHeight="false" outlineLevel="0" collapsed="false">
      <c r="A53" s="33"/>
      <c r="B53" s="33"/>
      <c r="C53" s="38"/>
      <c r="D53" s="38"/>
    </row>
    <row r="54" customFormat="false" ht="15" hidden="false" customHeight="false" outlineLevel="0" collapsed="false">
      <c r="A54" s="33"/>
      <c r="B54" s="33"/>
      <c r="C54" s="38"/>
      <c r="D54" s="38"/>
    </row>
    <row r="55" customFormat="false" ht="15" hidden="false" customHeight="false" outlineLevel="0" collapsed="false">
      <c r="A55" s="33"/>
      <c r="B55" s="33"/>
      <c r="C55" s="38"/>
      <c r="D55" s="38"/>
    </row>
    <row r="56" customFormat="false" ht="15" hidden="false" customHeight="false" outlineLevel="0" collapsed="false">
      <c r="A56" s="33"/>
      <c r="B56" s="33"/>
      <c r="C56" s="38"/>
      <c r="D56" s="38"/>
    </row>
    <row r="57" customFormat="false" ht="15" hidden="false" customHeight="false" outlineLevel="0" collapsed="false">
      <c r="A57" s="33"/>
      <c r="B57" s="33"/>
      <c r="C57" s="38"/>
      <c r="D57" s="38"/>
    </row>
    <row r="58" customFormat="false" ht="15" hidden="false" customHeight="false" outlineLevel="0" collapsed="false">
      <c r="A58" s="33"/>
      <c r="B58" s="33"/>
      <c r="C58" s="38"/>
      <c r="D58" s="38"/>
    </row>
    <row r="59" customFormat="false" ht="15" hidden="false" customHeight="false" outlineLevel="0" collapsed="false">
      <c r="A59" s="33"/>
      <c r="B59" s="33"/>
      <c r="C59" s="38"/>
      <c r="D59" s="38"/>
    </row>
    <row r="60" customFormat="false" ht="15" hidden="false" customHeight="false" outlineLevel="0" collapsed="false">
      <c r="A60" s="33"/>
      <c r="B60" s="33"/>
      <c r="C60" s="38"/>
      <c r="D60" s="38"/>
    </row>
    <row r="61" customFormat="false" ht="15" hidden="false" customHeight="false" outlineLevel="0" collapsed="false">
      <c r="A61" s="33"/>
      <c r="B61" s="33"/>
      <c r="C61" s="38"/>
      <c r="D61" s="38"/>
    </row>
    <row r="62" customFormat="false" ht="15" hidden="false" customHeight="false" outlineLevel="0" collapsed="false">
      <c r="A62" s="33"/>
      <c r="B62" s="33"/>
      <c r="C62" s="38"/>
      <c r="D62" s="38"/>
    </row>
    <row r="63" customFormat="false" ht="15" hidden="false" customHeight="false" outlineLevel="0" collapsed="false">
      <c r="A63" s="33"/>
      <c r="B63" s="33"/>
      <c r="C63" s="38"/>
      <c r="D63" s="38"/>
    </row>
    <row r="64" customFormat="false" ht="15" hidden="false" customHeight="false" outlineLevel="0" collapsed="false">
      <c r="A64" s="33"/>
      <c r="B64" s="33"/>
      <c r="C64" s="38"/>
      <c r="D64" s="38"/>
    </row>
    <row r="65" customFormat="false" ht="15" hidden="false" customHeight="false" outlineLevel="0" collapsed="false">
      <c r="A65" s="33"/>
      <c r="B65" s="33"/>
      <c r="C65" s="38"/>
      <c r="D65" s="38"/>
    </row>
    <row r="66" customFormat="false" ht="15" hidden="false" customHeight="false" outlineLevel="0" collapsed="false">
      <c r="A66" s="33"/>
      <c r="B66" s="33"/>
      <c r="C66" s="38"/>
      <c r="D66" s="38"/>
    </row>
    <row r="67" customFormat="false" ht="15" hidden="false" customHeight="false" outlineLevel="0" collapsed="false">
      <c r="A67" s="33"/>
      <c r="B67" s="33"/>
      <c r="C67" s="38"/>
      <c r="D67" s="38"/>
    </row>
    <row r="68" customFormat="false" ht="15" hidden="false" customHeight="false" outlineLevel="0" collapsed="false">
      <c r="A68" s="33"/>
      <c r="B68" s="33"/>
      <c r="C68" s="38"/>
      <c r="D68" s="38"/>
    </row>
    <row r="69" customFormat="false" ht="15" hidden="false" customHeight="false" outlineLevel="0" collapsed="false">
      <c r="A69" s="33"/>
      <c r="B69" s="33"/>
      <c r="C69" s="38"/>
      <c r="D69" s="38"/>
    </row>
    <row r="70" customFormat="false" ht="15" hidden="false" customHeight="false" outlineLevel="0" collapsed="false">
      <c r="A70" s="33"/>
      <c r="B70" s="33"/>
      <c r="C70" s="38"/>
      <c r="D70" s="38"/>
    </row>
    <row r="71" customFormat="false" ht="15" hidden="false" customHeight="false" outlineLevel="0" collapsed="false">
      <c r="A71" s="33"/>
      <c r="B71" s="33"/>
      <c r="C71" s="38"/>
      <c r="D71" s="38"/>
    </row>
    <row r="72" customFormat="false" ht="15" hidden="false" customHeight="false" outlineLevel="0" collapsed="false">
      <c r="A72" s="33"/>
      <c r="B72" s="33"/>
      <c r="C72" s="38"/>
      <c r="D72" s="38"/>
    </row>
    <row r="73" customFormat="false" ht="15" hidden="false" customHeight="false" outlineLevel="0" collapsed="false">
      <c r="A73" s="33"/>
      <c r="B73" s="33"/>
      <c r="C73" s="38"/>
      <c r="D73" s="38"/>
    </row>
    <row r="74" customFormat="false" ht="15" hidden="false" customHeight="false" outlineLevel="0" collapsed="false">
      <c r="A74" s="33"/>
      <c r="B74" s="33"/>
      <c r="C74" s="38"/>
      <c r="D74" s="38"/>
    </row>
    <row r="75" customFormat="false" ht="15" hidden="false" customHeight="false" outlineLevel="0" collapsed="false">
      <c r="A75" s="33"/>
      <c r="B75" s="33"/>
      <c r="C75" s="38"/>
      <c r="D75" s="38"/>
    </row>
  </sheetData>
  <mergeCells count="75">
    <mergeCell ref="A1:J1"/>
    <mergeCell ref="A2:J2"/>
    <mergeCell ref="B6:J6"/>
    <mergeCell ref="A8:J8"/>
    <mergeCell ref="D9:I9"/>
    <mergeCell ref="D10:I10"/>
    <mergeCell ref="D11:I11"/>
    <mergeCell ref="D12:I12"/>
    <mergeCell ref="A14:J14"/>
    <mergeCell ref="C15:D15"/>
    <mergeCell ref="C16:D16"/>
    <mergeCell ref="C17:D17"/>
    <mergeCell ref="G17:J17"/>
    <mergeCell ref="C18:D18"/>
    <mergeCell ref="G18:J18"/>
    <mergeCell ref="C19:D19"/>
    <mergeCell ref="G19:J19"/>
    <mergeCell ref="C20:D20"/>
    <mergeCell ref="G20:J20"/>
    <mergeCell ref="C21:D21"/>
    <mergeCell ref="G21:J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0" hidden="false" customHeight="true" outlineLevel="0" collapsed="false">
      <c r="A5" s="8" t="s">
        <v>169</v>
      </c>
      <c r="B5" s="8" t="s">
        <v>170</v>
      </c>
      <c r="C5" s="8" t="s">
        <v>171</v>
      </c>
      <c r="D5" s="8" t="s">
        <v>172</v>
      </c>
      <c r="E5" s="8" t="s">
        <v>173</v>
      </c>
      <c r="F5" s="8" t="s">
        <v>174</v>
      </c>
      <c r="G5" s="8" t="s">
        <v>175</v>
      </c>
      <c r="H5" s="8" t="s">
        <v>176</v>
      </c>
      <c r="I5" s="8" t="s">
        <v>177</v>
      </c>
      <c r="J5" s="8" t="s">
        <v>178</v>
      </c>
    </row>
    <row r="6" customFormat="false" ht="15" hidden="false" customHeight="false" outlineLevel="0" collapsed="false">
      <c r="A6" s="39" t="s">
        <v>179</v>
      </c>
      <c r="B6" s="32" t="s">
        <v>180</v>
      </c>
      <c r="C6" s="33" t="s">
        <v>181</v>
      </c>
      <c r="D6" s="33" t="s">
        <v>182</v>
      </c>
      <c r="E6" s="33" t="s">
        <v>76</v>
      </c>
      <c r="F6" s="32" t="s">
        <v>22</v>
      </c>
      <c r="G6" s="33" t="s">
        <v>183</v>
      </c>
      <c r="H6" s="40" t="n">
        <f aca="false">IF($B6="","",SUMIFS(记账分录!$I$6:$I$5505,记账分录!$H$6:$H$5505,$B6))</f>
        <v>0</v>
      </c>
      <c r="I6" s="40" t="n">
        <f aca="false">IF($B6="","",SUMIFS(记账分录!$J$6:$J$5505,记账分录!$H$6:$H$5505,$B6))</f>
        <v>2660</v>
      </c>
      <c r="J6" s="32"/>
    </row>
    <row r="7" customFormat="false" ht="15" hidden="false" customHeight="false" outlineLevel="0" collapsed="false">
      <c r="A7" s="39" t="s">
        <v>184</v>
      </c>
      <c r="B7" s="32" t="s">
        <v>185</v>
      </c>
      <c r="C7" s="33" t="s">
        <v>181</v>
      </c>
      <c r="D7" s="33" t="s">
        <v>182</v>
      </c>
      <c r="E7" s="33" t="s">
        <v>76</v>
      </c>
      <c r="F7" s="32" t="s">
        <v>22</v>
      </c>
      <c r="G7" s="33" t="s">
        <v>183</v>
      </c>
      <c r="H7" s="40" t="n">
        <f aca="false">IF($B7="","",SUMIFS(记账分录!$I$6:$I$5505,记账分录!$H$6:$H$5505,$B7))</f>
        <v>1206000</v>
      </c>
      <c r="I7" s="40" t="n">
        <f aca="false">IF($B7="","",SUMIFS(记账分录!$J$6:$J$5505,记账分录!$H$6:$H$5505,$B7))</f>
        <v>699100</v>
      </c>
      <c r="J7" s="32"/>
    </row>
    <row r="8" customFormat="false" ht="15" hidden="false" customHeight="false" outlineLevel="0" collapsed="false">
      <c r="A8" s="39" t="s">
        <v>186</v>
      </c>
      <c r="B8" s="32" t="s">
        <v>187</v>
      </c>
      <c r="C8" s="33" t="s">
        <v>181</v>
      </c>
      <c r="D8" s="33" t="s">
        <v>182</v>
      </c>
      <c r="E8" s="33" t="s">
        <v>76</v>
      </c>
      <c r="F8" s="32" t="s">
        <v>22</v>
      </c>
      <c r="G8" s="33" t="s">
        <v>183</v>
      </c>
      <c r="H8" s="40" t="n">
        <f aca="false">IF($B8="","",SUMIFS(记账分录!$I$6:$I$5505,记账分录!$H$6:$H$5505,$B8))</f>
        <v>0</v>
      </c>
      <c r="I8" s="40" t="n">
        <f aca="false">IF($B8="","",SUMIFS(记账分录!$J$6:$J$5505,记账分录!$H$6:$H$5505,$B8))</f>
        <v>0</v>
      </c>
      <c r="J8" s="32"/>
    </row>
    <row r="9" customFormat="false" ht="15" hidden="false" customHeight="false" outlineLevel="0" collapsed="false">
      <c r="A9" s="39" t="s">
        <v>188</v>
      </c>
      <c r="B9" s="32" t="s">
        <v>24</v>
      </c>
      <c r="C9" s="33" t="s">
        <v>181</v>
      </c>
      <c r="D9" s="33" t="s">
        <v>182</v>
      </c>
      <c r="E9" s="33" t="s">
        <v>76</v>
      </c>
      <c r="F9" s="32" t="s">
        <v>24</v>
      </c>
      <c r="G9" s="33" t="s">
        <v>189</v>
      </c>
      <c r="H9" s="40" t="n">
        <f aca="false">IF($B9="","",SUMIFS(记账分录!$I$6:$I$5505,记账分录!$H$6:$H$5505,$B9))</f>
        <v>1355750</v>
      </c>
      <c r="I9" s="40" t="n">
        <f aca="false">IF($B9="","",SUMIFS(记账分录!$J$6:$J$5505,记账分录!$H$6:$H$5505,$B9))</f>
        <v>956000</v>
      </c>
      <c r="J9" s="32"/>
    </row>
    <row r="10" customFormat="false" ht="15" hidden="false" customHeight="false" outlineLevel="0" collapsed="false">
      <c r="A10" s="39" t="s">
        <v>190</v>
      </c>
      <c r="B10" s="32" t="s">
        <v>191</v>
      </c>
      <c r="C10" s="33" t="s">
        <v>181</v>
      </c>
      <c r="D10" s="33" t="s">
        <v>182</v>
      </c>
      <c r="E10" s="33" t="s">
        <v>76</v>
      </c>
      <c r="F10" s="32" t="s">
        <v>192</v>
      </c>
      <c r="G10" s="33" t="s">
        <v>189</v>
      </c>
      <c r="H10" s="40" t="n">
        <f aca="false">IF($B10="","",SUMIFS(记账分录!$I$6:$I$5505,记账分录!$H$6:$H$5505,$B10))</f>
        <v>0</v>
      </c>
      <c r="I10" s="40" t="n">
        <f aca="false">IF($B10="","",SUMIFS(记账分录!$J$6:$J$5505,记账分录!$H$6:$H$5505,$B10))</f>
        <v>0</v>
      </c>
      <c r="J10" s="32"/>
    </row>
    <row r="11" customFormat="false" ht="15" hidden="false" customHeight="false" outlineLevel="0" collapsed="false">
      <c r="A11" s="39" t="s">
        <v>193</v>
      </c>
      <c r="B11" s="32" t="s">
        <v>194</v>
      </c>
      <c r="C11" s="33" t="s">
        <v>181</v>
      </c>
      <c r="D11" s="33" t="s">
        <v>182</v>
      </c>
      <c r="E11" s="33" t="s">
        <v>76</v>
      </c>
      <c r="F11" s="32" t="s">
        <v>194</v>
      </c>
      <c r="G11" s="33" t="s">
        <v>189</v>
      </c>
      <c r="H11" s="40" t="n">
        <f aca="false">IF($B11="","",SUMIFS(记账分录!$I$6:$I$5505,记账分录!$H$6:$H$5505,$B11))</f>
        <v>0</v>
      </c>
      <c r="I11" s="40" t="n">
        <f aca="false">IF($B11="","",SUMIFS(记账分录!$J$6:$J$5505,记账分录!$H$6:$H$5505,$B11))</f>
        <v>0</v>
      </c>
      <c r="J11" s="32"/>
    </row>
    <row r="12" customFormat="false" ht="15" hidden="false" customHeight="false" outlineLevel="0" collapsed="false">
      <c r="A12" s="39" t="s">
        <v>195</v>
      </c>
      <c r="B12" s="32" t="s">
        <v>196</v>
      </c>
      <c r="C12" s="33" t="s">
        <v>181</v>
      </c>
      <c r="D12" s="33" t="s">
        <v>182</v>
      </c>
      <c r="E12" s="33" t="s">
        <v>76</v>
      </c>
      <c r="F12" s="32" t="s">
        <v>23</v>
      </c>
      <c r="G12" s="33" t="s">
        <v>183</v>
      </c>
      <c r="H12" s="40" t="n">
        <f aca="false">IF($B12="","",SUMIFS(记账分录!$I$6:$I$5505,记账分录!$H$6:$H$5505,$B12))</f>
        <v>401080</v>
      </c>
      <c r="I12" s="40" t="n">
        <f aca="false">IF($B12="","",SUMIFS(记账分录!$J$6:$J$5505,记账分录!$H$6:$H$5505,$B12))</f>
        <v>340766.29</v>
      </c>
      <c r="J12" s="32"/>
    </row>
    <row r="13" customFormat="false" ht="15" hidden="false" customHeight="false" outlineLevel="0" collapsed="false">
      <c r="A13" s="39" t="s">
        <v>197</v>
      </c>
      <c r="B13" s="32" t="s">
        <v>198</v>
      </c>
      <c r="C13" s="33" t="s">
        <v>181</v>
      </c>
      <c r="D13" s="33" t="s">
        <v>182</v>
      </c>
      <c r="E13" s="33" t="s">
        <v>76</v>
      </c>
      <c r="F13" s="32" t="s">
        <v>23</v>
      </c>
      <c r="G13" s="33" t="s">
        <v>183</v>
      </c>
      <c r="H13" s="40" t="n">
        <f aca="false">IF($B13="","",SUMIFS(记账分录!$I$6:$I$5505,记账分录!$H$6:$H$5505,$B13))</f>
        <v>751441.01</v>
      </c>
      <c r="I13" s="40" t="n">
        <f aca="false">IF($B13="","",SUMIFS(记账分录!$J$6:$J$5505,记账分录!$H$6:$H$5505,$B13))</f>
        <v>792027.82</v>
      </c>
      <c r="J13" s="32"/>
    </row>
    <row r="14" customFormat="false" ht="15" hidden="false" customHeight="false" outlineLevel="0" collapsed="false">
      <c r="A14" s="39" t="s">
        <v>199</v>
      </c>
      <c r="B14" s="32" t="s">
        <v>200</v>
      </c>
      <c r="C14" s="33" t="s">
        <v>181</v>
      </c>
      <c r="D14" s="33" t="s">
        <v>182</v>
      </c>
      <c r="E14" s="33" t="s">
        <v>76</v>
      </c>
      <c r="F14" s="32" t="s">
        <v>23</v>
      </c>
      <c r="G14" s="33" t="s">
        <v>183</v>
      </c>
      <c r="H14" s="40" t="n">
        <f aca="false">IF($B14="","",SUMIFS(记账分录!$I$6:$I$5505,记账分录!$H$6:$H$5505,$B14))</f>
        <v>0</v>
      </c>
      <c r="I14" s="40" t="n">
        <f aca="false">IF($B14="","",SUMIFS(记账分录!$J$6:$J$5505,记账分录!$H$6:$H$5505,$B14))</f>
        <v>0</v>
      </c>
      <c r="J14" s="32"/>
    </row>
    <row r="15" customFormat="false" ht="15" hidden="false" customHeight="false" outlineLevel="0" collapsed="false">
      <c r="A15" s="39" t="s">
        <v>201</v>
      </c>
      <c r="B15" s="32" t="s">
        <v>131</v>
      </c>
      <c r="C15" s="33" t="s">
        <v>202</v>
      </c>
      <c r="D15" s="33" t="s">
        <v>182</v>
      </c>
      <c r="E15" s="33" t="s">
        <v>76</v>
      </c>
      <c r="F15" s="32" t="s">
        <v>23</v>
      </c>
      <c r="G15" s="33" t="s">
        <v>183</v>
      </c>
      <c r="H15" s="40" t="n">
        <f aca="false">IF($B15="","",SUMIFS(记账分录!$I$6:$I$5505,记账分录!$H$6:$H$5505,$B15))</f>
        <v>751441.01</v>
      </c>
      <c r="I15" s="40" t="n">
        <f aca="false">IF($B15="","",SUMIFS(记账分录!$J$6:$J$5505,记账分录!$H$6:$H$5505,$B15))</f>
        <v>751441.01</v>
      </c>
      <c r="J15" s="32"/>
    </row>
    <row r="16" customFormat="false" ht="15" hidden="false" customHeight="false" outlineLevel="0" collapsed="false">
      <c r="A16" s="39" t="s">
        <v>203</v>
      </c>
      <c r="B16" s="32" t="s">
        <v>204</v>
      </c>
      <c r="C16" s="33" t="s">
        <v>181</v>
      </c>
      <c r="D16" s="33" t="s">
        <v>182</v>
      </c>
      <c r="E16" s="33" t="s">
        <v>76</v>
      </c>
      <c r="F16" s="32" t="s">
        <v>205</v>
      </c>
      <c r="G16" s="33" t="s">
        <v>183</v>
      </c>
      <c r="H16" s="40" t="n">
        <f aca="false">IF($B16="","",SUMIFS(记账分录!$I$6:$I$5505,记账分录!$H$6:$H$5505,$B16))</f>
        <v>0</v>
      </c>
      <c r="I16" s="40" t="n">
        <f aca="false">IF($B16="","",SUMIFS(记账分录!$J$6:$J$5505,记账分录!$H$6:$H$5505,$B16))</f>
        <v>0</v>
      </c>
      <c r="J16" s="32"/>
    </row>
    <row r="17" customFormat="false" ht="15" hidden="false" customHeight="false" outlineLevel="0" collapsed="false">
      <c r="A17" s="39" t="s">
        <v>206</v>
      </c>
      <c r="B17" s="32" t="s">
        <v>207</v>
      </c>
      <c r="C17" s="33" t="s">
        <v>181</v>
      </c>
      <c r="D17" s="33" t="s">
        <v>208</v>
      </c>
      <c r="E17" s="33" t="s">
        <v>76</v>
      </c>
      <c r="F17" s="32" t="s">
        <v>207</v>
      </c>
      <c r="G17" s="33" t="s">
        <v>183</v>
      </c>
      <c r="H17" s="40" t="n">
        <f aca="false">IF($B17="","",SUMIFS(记账分录!$I$6:$I$5505,记账分录!$H$6:$H$5505,$B17))</f>
        <v>0</v>
      </c>
      <c r="I17" s="40" t="n">
        <f aca="false">IF($B17="","",SUMIFS(记账分录!$J$6:$J$5505,记账分录!$H$6:$H$5505,$B17))</f>
        <v>176000</v>
      </c>
      <c r="J17" s="32"/>
    </row>
    <row r="18" customFormat="false" ht="15" hidden="false" customHeight="false" outlineLevel="0" collapsed="false">
      <c r="A18" s="39" t="s">
        <v>209</v>
      </c>
      <c r="B18" s="32" t="s">
        <v>210</v>
      </c>
      <c r="C18" s="33" t="s">
        <v>181</v>
      </c>
      <c r="D18" s="33" t="s">
        <v>182</v>
      </c>
      <c r="E18" s="33" t="s">
        <v>76</v>
      </c>
      <c r="F18" s="32" t="s">
        <v>211</v>
      </c>
      <c r="G18" s="33" t="s">
        <v>183</v>
      </c>
      <c r="H18" s="40" t="n">
        <f aca="false">IF($B18="","",SUMIFS(记账分录!$I$6:$I$5505,记账分录!$H$6:$H$5505,$B18))</f>
        <v>0</v>
      </c>
      <c r="I18" s="40" t="n">
        <f aca="false">IF($B18="","",SUMIFS(记账分录!$J$6:$J$5505,记账分录!$H$6:$H$5505,$B18))</f>
        <v>0</v>
      </c>
      <c r="J18" s="32"/>
    </row>
    <row r="19" customFormat="false" ht="15" hidden="false" customHeight="false" outlineLevel="0" collapsed="false">
      <c r="A19" s="39" t="s">
        <v>212</v>
      </c>
      <c r="B19" s="32" t="s">
        <v>213</v>
      </c>
      <c r="C19" s="33" t="s">
        <v>181</v>
      </c>
      <c r="D19" s="33" t="s">
        <v>208</v>
      </c>
      <c r="E19" s="33" t="s">
        <v>76</v>
      </c>
      <c r="F19" s="32" t="s">
        <v>213</v>
      </c>
      <c r="G19" s="33" t="s">
        <v>183</v>
      </c>
      <c r="H19" s="40" t="n">
        <f aca="false">IF($B19="","",SUMIFS(记账分录!$I$6:$I$5505,记账分录!$H$6:$H$5505,$B19))</f>
        <v>0</v>
      </c>
      <c r="I19" s="40" t="n">
        <f aca="false">IF($B19="","",SUMIFS(记账分录!$J$6:$J$5505,记账分录!$H$6:$H$5505,$B19))</f>
        <v>20000</v>
      </c>
      <c r="J19" s="32"/>
    </row>
    <row r="20" customFormat="false" ht="15" hidden="false" customHeight="false" outlineLevel="0" collapsed="false">
      <c r="A20" s="39" t="s">
        <v>214</v>
      </c>
      <c r="B20" s="32" t="s">
        <v>215</v>
      </c>
      <c r="C20" s="33" t="s">
        <v>181</v>
      </c>
      <c r="D20" s="33" t="s">
        <v>182</v>
      </c>
      <c r="E20" s="33" t="s">
        <v>76</v>
      </c>
      <c r="F20" s="32" t="s">
        <v>216</v>
      </c>
      <c r="G20" s="33" t="s">
        <v>183</v>
      </c>
      <c r="H20" s="40" t="n">
        <f aca="false">IF($B20="","",SUMIFS(记账分录!$I$6:$I$5505,记账分录!$H$6:$H$5505,$B20))</f>
        <v>0</v>
      </c>
      <c r="I20" s="40" t="n">
        <f aca="false">IF($B20="","",SUMIFS(记账分录!$J$6:$J$5505,记账分录!$H$6:$H$5505,$B20))</f>
        <v>0</v>
      </c>
      <c r="J20" s="32"/>
    </row>
    <row r="21" customFormat="false" ht="15" hidden="false" customHeight="false" outlineLevel="0" collapsed="false">
      <c r="A21" s="39" t="s">
        <v>217</v>
      </c>
      <c r="B21" s="32" t="s">
        <v>218</v>
      </c>
      <c r="C21" s="33" t="s">
        <v>181</v>
      </c>
      <c r="D21" s="33" t="s">
        <v>208</v>
      </c>
      <c r="E21" s="33" t="s">
        <v>76</v>
      </c>
      <c r="F21" s="32" t="s">
        <v>218</v>
      </c>
      <c r="G21" s="33" t="s">
        <v>183</v>
      </c>
      <c r="H21" s="40" t="n">
        <f aca="false">IF($B21="","",SUMIFS(记账分录!$I$6:$I$5505,记账分录!$H$6:$H$5505,$B21))</f>
        <v>0</v>
      </c>
      <c r="I21" s="40" t="n">
        <f aca="false">IF($B21="","",SUMIFS(记账分录!$J$6:$J$5505,记账分录!$H$6:$H$5505,$B21))</f>
        <v>30000</v>
      </c>
      <c r="J21" s="32"/>
    </row>
    <row r="22" customFormat="false" ht="15" hidden="false" customHeight="false" outlineLevel="0" collapsed="false">
      <c r="A22" s="39" t="s">
        <v>219</v>
      </c>
      <c r="B22" s="32" t="s">
        <v>220</v>
      </c>
      <c r="C22" s="33" t="s">
        <v>181</v>
      </c>
      <c r="D22" s="33" t="s">
        <v>182</v>
      </c>
      <c r="E22" s="33" t="s">
        <v>76</v>
      </c>
      <c r="F22" s="32" t="s">
        <v>220</v>
      </c>
      <c r="G22" s="33" t="s">
        <v>183</v>
      </c>
      <c r="H22" s="40" t="n">
        <f aca="false">IF($B22="","",SUMIFS(记账分录!$I$6:$I$5505,记账分录!$H$6:$H$5505,$B22))</f>
        <v>0</v>
      </c>
      <c r="I22" s="40" t="n">
        <f aca="false">IF($B22="","",SUMIFS(记账分录!$J$6:$J$5505,记账分录!$H$6:$H$5505,$B22))</f>
        <v>0</v>
      </c>
      <c r="J22" s="32"/>
    </row>
    <row r="23" customFormat="false" ht="15" hidden="false" customHeight="false" outlineLevel="0" collapsed="false">
      <c r="A23" s="39" t="s">
        <v>221</v>
      </c>
      <c r="B23" s="32" t="s">
        <v>222</v>
      </c>
      <c r="C23" s="33" t="s">
        <v>223</v>
      </c>
      <c r="D23" s="33" t="s">
        <v>208</v>
      </c>
      <c r="E23" s="33" t="s">
        <v>76</v>
      </c>
      <c r="F23" s="32" t="s">
        <v>222</v>
      </c>
      <c r="G23" s="33" t="s">
        <v>183</v>
      </c>
      <c r="H23" s="40" t="n">
        <f aca="false">IF($B23="","",SUMIFS(记账分录!$I$6:$I$5505,记账分录!$H$6:$H$5505,$B23))</f>
        <v>0</v>
      </c>
      <c r="I23" s="40" t="n">
        <f aca="false">IF($B23="","",SUMIFS(记账分录!$J$6:$J$5505,记账分录!$H$6:$H$5505,$B23))</f>
        <v>150000</v>
      </c>
      <c r="J23" s="32"/>
    </row>
    <row r="24" customFormat="false" ht="15" hidden="false" customHeight="false" outlineLevel="0" collapsed="false">
      <c r="A24" s="39" t="s">
        <v>224</v>
      </c>
      <c r="B24" s="32" t="s">
        <v>25</v>
      </c>
      <c r="C24" s="33" t="s">
        <v>223</v>
      </c>
      <c r="D24" s="33" t="s">
        <v>208</v>
      </c>
      <c r="E24" s="33" t="s">
        <v>76</v>
      </c>
      <c r="F24" s="32" t="s">
        <v>25</v>
      </c>
      <c r="G24" s="33" t="s">
        <v>189</v>
      </c>
      <c r="H24" s="40" t="n">
        <f aca="false">IF($B24="","",SUMIFS(记账分录!$I$6:$I$5505,记账分录!$H$6:$H$5505,$B24))</f>
        <v>371880</v>
      </c>
      <c r="I24" s="40" t="n">
        <f aca="false">IF($B24="","",SUMIFS(记账分录!$J$6:$J$5505,记账分录!$H$6:$H$5505,$B24))</f>
        <v>440080</v>
      </c>
      <c r="J24" s="32"/>
    </row>
    <row r="25" customFormat="false" ht="15" hidden="false" customHeight="false" outlineLevel="0" collapsed="false">
      <c r="A25" s="39" t="s">
        <v>225</v>
      </c>
      <c r="B25" s="32" t="s">
        <v>226</v>
      </c>
      <c r="C25" s="33" t="s">
        <v>223</v>
      </c>
      <c r="D25" s="33" t="s">
        <v>208</v>
      </c>
      <c r="E25" s="33" t="s">
        <v>76</v>
      </c>
      <c r="F25" s="32" t="s">
        <v>227</v>
      </c>
      <c r="G25" s="33" t="s">
        <v>189</v>
      </c>
      <c r="H25" s="40" t="n">
        <f aca="false">IF($B25="","",SUMIFS(记账分录!$I$6:$I$5505,记账分录!$H$6:$H$5505,$B25))</f>
        <v>0</v>
      </c>
      <c r="I25" s="40" t="n">
        <f aca="false">IF($B25="","",SUMIFS(记账分录!$J$6:$J$5505,记账分录!$H$6:$H$5505,$B25))</f>
        <v>0</v>
      </c>
      <c r="J25" s="32"/>
    </row>
    <row r="26" customFormat="false" ht="15" hidden="false" customHeight="false" outlineLevel="0" collapsed="false">
      <c r="A26" s="39" t="s">
        <v>228</v>
      </c>
      <c r="B26" s="32" t="s">
        <v>138</v>
      </c>
      <c r="C26" s="33" t="s">
        <v>223</v>
      </c>
      <c r="D26" s="33" t="s">
        <v>208</v>
      </c>
      <c r="E26" s="33" t="s">
        <v>76</v>
      </c>
      <c r="F26" s="32" t="s">
        <v>138</v>
      </c>
      <c r="G26" s="33" t="s">
        <v>183</v>
      </c>
      <c r="H26" s="40" t="n">
        <f aca="false">IF($B26="","",SUMIFS(记账分录!$I$6:$I$5505,记账分录!$H$6:$H$5505,$B26))</f>
        <v>191000</v>
      </c>
      <c r="I26" s="40" t="n">
        <f aca="false">IF($B26="","",SUMIFS(记账分录!$J$6:$J$5505,记账分录!$H$6:$H$5505,$B26))</f>
        <v>280000</v>
      </c>
      <c r="J26" s="32"/>
    </row>
    <row r="27" customFormat="false" ht="15" hidden="false" customHeight="false" outlineLevel="0" collapsed="false">
      <c r="A27" s="39" t="s">
        <v>229</v>
      </c>
      <c r="B27" s="32" t="s">
        <v>230</v>
      </c>
      <c r="C27" s="33" t="s">
        <v>223</v>
      </c>
      <c r="D27" s="33" t="s">
        <v>208</v>
      </c>
      <c r="E27" s="33" t="s">
        <v>76</v>
      </c>
      <c r="F27" s="32" t="s">
        <v>230</v>
      </c>
      <c r="G27" s="33" t="s">
        <v>183</v>
      </c>
      <c r="H27" s="40" t="n">
        <f aca="false">IF($B27="","",SUMIFS(记账分录!$I$6:$I$5505,记账分录!$H$6:$H$5505,$B27))</f>
        <v>0</v>
      </c>
      <c r="I27" s="40" t="n">
        <f aca="false">IF($B27="","",SUMIFS(记账分录!$J$6:$J$5505,记账分录!$H$6:$H$5505,$B27))</f>
        <v>0</v>
      </c>
      <c r="J27" s="32"/>
    </row>
    <row r="28" customFormat="false" ht="15" hidden="false" customHeight="false" outlineLevel="0" collapsed="false">
      <c r="A28" s="39" t="s">
        <v>231</v>
      </c>
      <c r="B28" s="32" t="s">
        <v>232</v>
      </c>
      <c r="C28" s="33" t="s">
        <v>223</v>
      </c>
      <c r="D28" s="33" t="s">
        <v>208</v>
      </c>
      <c r="E28" s="33" t="s">
        <v>76</v>
      </c>
      <c r="F28" s="32" t="s">
        <v>232</v>
      </c>
      <c r="G28" s="33" t="s">
        <v>189</v>
      </c>
      <c r="H28" s="40" t="n">
        <f aca="false">IF($B28="","",SUMIFS(记账分录!$I$6:$I$5505,记账分录!$H$6:$H$5505,$B28))</f>
        <v>0</v>
      </c>
      <c r="I28" s="40" t="n">
        <f aca="false">IF($B28="","",SUMIFS(记账分录!$J$6:$J$5505,记账分录!$H$6:$H$5505,$B28))</f>
        <v>45600</v>
      </c>
      <c r="J28" s="32"/>
    </row>
    <row r="29" customFormat="false" ht="15" hidden="false" customHeight="false" outlineLevel="0" collapsed="false">
      <c r="A29" s="39" t="s">
        <v>233</v>
      </c>
      <c r="B29" s="32" t="s">
        <v>234</v>
      </c>
      <c r="C29" s="33" t="s">
        <v>223</v>
      </c>
      <c r="D29" s="33" t="s">
        <v>208</v>
      </c>
      <c r="E29" s="33" t="s">
        <v>76</v>
      </c>
      <c r="F29" s="32" t="s">
        <v>234</v>
      </c>
      <c r="G29" s="33" t="s">
        <v>183</v>
      </c>
      <c r="H29" s="40" t="n">
        <f aca="false">IF($B29="","",SUMIFS(记账分录!$I$6:$I$5505,记账分录!$H$6:$H$5505,$B29))</f>
        <v>0</v>
      </c>
      <c r="I29" s="40" t="n">
        <f aca="false">IF($B29="","",SUMIFS(记账分录!$J$6:$J$5505,记账分录!$H$6:$H$5505,$B29))</f>
        <v>0</v>
      </c>
      <c r="J29" s="32"/>
    </row>
    <row r="30" customFormat="false" ht="15" hidden="false" customHeight="false" outlineLevel="0" collapsed="false">
      <c r="A30" s="39" t="s">
        <v>235</v>
      </c>
      <c r="B30" s="32" t="s">
        <v>236</v>
      </c>
      <c r="C30" s="33" t="s">
        <v>237</v>
      </c>
      <c r="D30" s="33" t="s">
        <v>208</v>
      </c>
      <c r="E30" s="33" t="s">
        <v>76</v>
      </c>
      <c r="F30" s="32" t="s">
        <v>236</v>
      </c>
      <c r="G30" s="33" t="s">
        <v>183</v>
      </c>
      <c r="H30" s="40" t="n">
        <f aca="false">IF($B30="","",SUMIFS(记账分录!$I$6:$I$5505,记账分录!$H$6:$H$5505,$B30))</f>
        <v>0</v>
      </c>
      <c r="I30" s="40" t="n">
        <f aca="false">IF($B30="","",SUMIFS(记账分录!$J$6:$J$5505,记账分录!$H$6:$H$5505,$B30))</f>
        <v>100000</v>
      </c>
      <c r="J30" s="32"/>
    </row>
    <row r="31" customFormat="false" ht="15" hidden="false" customHeight="false" outlineLevel="0" collapsed="false">
      <c r="A31" s="39" t="s">
        <v>238</v>
      </c>
      <c r="B31" s="32" t="s">
        <v>239</v>
      </c>
      <c r="C31" s="33" t="s">
        <v>237</v>
      </c>
      <c r="D31" s="33" t="s">
        <v>208</v>
      </c>
      <c r="E31" s="33" t="s">
        <v>76</v>
      </c>
      <c r="F31" s="32" t="s">
        <v>239</v>
      </c>
      <c r="G31" s="33" t="s">
        <v>183</v>
      </c>
      <c r="H31" s="40" t="n">
        <f aca="false">IF($B31="","",SUMIFS(记账分录!$I$6:$I$5505,记账分录!$H$6:$H$5505,$B31))</f>
        <v>0</v>
      </c>
      <c r="I31" s="40" t="n">
        <f aca="false">IF($B31="","",SUMIFS(记账分录!$J$6:$J$5505,记账分录!$H$6:$H$5505,$B31))</f>
        <v>0</v>
      </c>
      <c r="J31" s="32"/>
    </row>
    <row r="32" customFormat="false" ht="15" hidden="false" customHeight="false" outlineLevel="0" collapsed="false">
      <c r="A32" s="39" t="s">
        <v>240</v>
      </c>
      <c r="B32" s="32" t="s">
        <v>241</v>
      </c>
      <c r="C32" s="33" t="s">
        <v>237</v>
      </c>
      <c r="D32" s="33" t="s">
        <v>208</v>
      </c>
      <c r="E32" s="33" t="s">
        <v>76</v>
      </c>
      <c r="F32" s="32" t="s">
        <v>241</v>
      </c>
      <c r="G32" s="33" t="s">
        <v>183</v>
      </c>
      <c r="H32" s="40" t="n">
        <f aca="false">IF($B32="","",SUMIFS(记账分录!$I$6:$I$5505,记账分录!$H$6:$H$5505,$B32))</f>
        <v>0</v>
      </c>
      <c r="I32" s="40" t="n">
        <f aca="false">IF($B32="","",SUMIFS(记账分录!$J$6:$J$5505,记账分录!$H$6:$H$5505,$B32))</f>
        <v>0</v>
      </c>
      <c r="J32" s="32"/>
    </row>
    <row r="33" customFormat="false" ht="15" hidden="false" customHeight="false" outlineLevel="0" collapsed="false">
      <c r="A33" s="39" t="s">
        <v>242</v>
      </c>
      <c r="B33" s="32" t="s">
        <v>243</v>
      </c>
      <c r="C33" s="33" t="s">
        <v>237</v>
      </c>
      <c r="D33" s="33" t="s">
        <v>208</v>
      </c>
      <c r="E33" s="33" t="s">
        <v>76</v>
      </c>
      <c r="F33" s="32" t="s">
        <v>243</v>
      </c>
      <c r="G33" s="33" t="s">
        <v>183</v>
      </c>
      <c r="H33" s="40" t="n">
        <f aca="false">IF($B33="","",SUMIFS(记账分录!$I$6:$I$5505,记账分录!$H$6:$H$5505,$B33))</f>
        <v>0</v>
      </c>
      <c r="I33" s="40" t="n">
        <f aca="false">IF($B33="","",SUMIFS(记账分录!$J$6:$J$5505,记账分录!$H$6:$H$5505,$B33))</f>
        <v>0</v>
      </c>
      <c r="J33" s="32"/>
    </row>
    <row r="34" customFormat="false" ht="15" hidden="false" customHeight="false" outlineLevel="0" collapsed="false">
      <c r="A34" s="39" t="s">
        <v>244</v>
      </c>
      <c r="B34" s="32" t="s">
        <v>245</v>
      </c>
      <c r="C34" s="33" t="s">
        <v>246</v>
      </c>
      <c r="D34" s="33" t="s">
        <v>208</v>
      </c>
      <c r="E34" s="33" t="s">
        <v>78</v>
      </c>
      <c r="F34" s="32" t="s">
        <v>11</v>
      </c>
      <c r="G34" s="33" t="s">
        <v>183</v>
      </c>
      <c r="H34" s="40" t="n">
        <f aca="false">IF($B34="","",SUMIFS(记账分录!$I$6:$I$5505,记账分录!$H$6:$H$5505,$B34))</f>
        <v>0</v>
      </c>
      <c r="I34" s="40" t="n">
        <f aca="false">IF($B34="","",SUMIFS(记账分录!$J$6:$J$5505,记账分录!$H$6:$H$5505,$B34))</f>
        <v>1355750</v>
      </c>
      <c r="J34" s="32"/>
    </row>
    <row r="35" customFormat="false" ht="15" hidden="false" customHeight="false" outlineLevel="0" collapsed="false">
      <c r="A35" s="39" t="s">
        <v>247</v>
      </c>
      <c r="B35" s="32" t="s">
        <v>248</v>
      </c>
      <c r="C35" s="33" t="s">
        <v>246</v>
      </c>
      <c r="D35" s="33" t="s">
        <v>208</v>
      </c>
      <c r="E35" s="33" t="s">
        <v>78</v>
      </c>
      <c r="F35" s="32" t="s">
        <v>11</v>
      </c>
      <c r="G35" s="33" t="s">
        <v>183</v>
      </c>
      <c r="H35" s="40" t="n">
        <f aca="false">IF($B35="","",SUMIFS(记账分录!$I$6:$I$5505,记账分录!$H$6:$H$5505,$B35))</f>
        <v>0</v>
      </c>
      <c r="I35" s="40" t="n">
        <f aca="false">IF($B35="","",SUMIFS(记账分录!$J$6:$J$5505,记账分录!$H$6:$H$5505,$B35))</f>
        <v>0</v>
      </c>
      <c r="J35" s="32"/>
    </row>
    <row r="36" customFormat="false" ht="15" hidden="false" customHeight="false" outlineLevel="0" collapsed="false">
      <c r="A36" s="39" t="s">
        <v>249</v>
      </c>
      <c r="B36" s="32" t="s">
        <v>250</v>
      </c>
      <c r="C36" s="33" t="s">
        <v>246</v>
      </c>
      <c r="D36" s="33" t="s">
        <v>208</v>
      </c>
      <c r="E36" s="33" t="s">
        <v>78</v>
      </c>
      <c r="F36" s="32" t="s">
        <v>250</v>
      </c>
      <c r="G36" s="33" t="s">
        <v>183</v>
      </c>
      <c r="H36" s="40" t="n">
        <f aca="false">IF($B36="","",SUMIFS(记账分录!$I$6:$I$5505,记账分录!$H$6:$H$5505,$B36))</f>
        <v>0</v>
      </c>
      <c r="I36" s="40" t="n">
        <f aca="false">IF($B36="","",SUMIFS(记账分录!$J$6:$J$5505,记账分录!$H$6:$H$5505,$B36))</f>
        <v>0</v>
      </c>
      <c r="J36" s="32"/>
    </row>
    <row r="37" customFormat="false" ht="15" hidden="false" customHeight="false" outlineLevel="0" collapsed="false">
      <c r="A37" s="39" t="s">
        <v>251</v>
      </c>
      <c r="B37" s="32" t="s">
        <v>252</v>
      </c>
      <c r="C37" s="33" t="s">
        <v>246</v>
      </c>
      <c r="D37" s="33" t="s">
        <v>208</v>
      </c>
      <c r="E37" s="33" t="s">
        <v>78</v>
      </c>
      <c r="F37" s="32" t="s">
        <v>252</v>
      </c>
      <c r="G37" s="33" t="s">
        <v>183</v>
      </c>
      <c r="H37" s="40" t="n">
        <f aca="false">IF($B37="","",SUMIFS(记账分录!$I$6:$I$5505,记账分录!$H$6:$H$5505,$B37))</f>
        <v>0</v>
      </c>
      <c r="I37" s="40" t="n">
        <f aca="false">IF($B37="","",SUMIFS(记账分录!$J$6:$J$5505,记账分录!$H$6:$H$5505,$B37))</f>
        <v>0</v>
      </c>
      <c r="J37" s="32"/>
    </row>
    <row r="38" customFormat="false" ht="15" hidden="false" customHeight="false" outlineLevel="0" collapsed="false">
      <c r="A38" s="39" t="s">
        <v>253</v>
      </c>
      <c r="B38" s="32" t="s">
        <v>254</v>
      </c>
      <c r="C38" s="33" t="s">
        <v>255</v>
      </c>
      <c r="D38" s="33" t="s">
        <v>182</v>
      </c>
      <c r="E38" s="33" t="s">
        <v>78</v>
      </c>
      <c r="F38" s="32" t="s">
        <v>13</v>
      </c>
      <c r="G38" s="33" t="s">
        <v>183</v>
      </c>
      <c r="H38" s="40" t="n">
        <f aca="false">IF($B38="","",SUMIFS(记账分录!$I$6:$I$5505,记账分录!$H$6:$H$5505,$B38))</f>
        <v>682353.1</v>
      </c>
      <c r="I38" s="40" t="n">
        <f aca="false">IF($B38="","",SUMIFS(记账分录!$J$6:$J$5505,记账分录!$H$6:$H$5505,$B38))</f>
        <v>0</v>
      </c>
      <c r="J38" s="32"/>
    </row>
    <row r="39" customFormat="false" ht="15" hidden="false" customHeight="false" outlineLevel="0" collapsed="false">
      <c r="A39" s="39" t="s">
        <v>256</v>
      </c>
      <c r="B39" s="32" t="s">
        <v>257</v>
      </c>
      <c r="C39" s="33" t="s">
        <v>255</v>
      </c>
      <c r="D39" s="33" t="s">
        <v>182</v>
      </c>
      <c r="E39" s="33" t="s">
        <v>78</v>
      </c>
      <c r="F39" s="32" t="s">
        <v>13</v>
      </c>
      <c r="G39" s="33" t="s">
        <v>183</v>
      </c>
      <c r="H39" s="40" t="n">
        <f aca="false">IF($B39="","",SUMIFS(记账分录!$I$6:$I$5505,记账分录!$H$6:$H$5505,$B39))</f>
        <v>0</v>
      </c>
      <c r="I39" s="40" t="n">
        <f aca="false">IF($B39="","",SUMIFS(记账分录!$J$6:$J$5505,记账分录!$H$6:$H$5505,$B39))</f>
        <v>0</v>
      </c>
      <c r="J39" s="32"/>
    </row>
    <row r="40" customFormat="false" ht="15" hidden="false" customHeight="false" outlineLevel="0" collapsed="false">
      <c r="A40" s="39" t="s">
        <v>258</v>
      </c>
      <c r="B40" s="32" t="s">
        <v>160</v>
      </c>
      <c r="C40" s="33" t="s">
        <v>255</v>
      </c>
      <c r="D40" s="33" t="s">
        <v>182</v>
      </c>
      <c r="E40" s="33" t="s">
        <v>78</v>
      </c>
      <c r="F40" s="32" t="s">
        <v>160</v>
      </c>
      <c r="G40" s="33" t="s">
        <v>183</v>
      </c>
      <c r="H40" s="40" t="n">
        <f aca="false">IF($B40="","",SUMIFS(记账分录!$I$6:$I$5505,记账分录!$H$6:$H$5505,$B40))</f>
        <v>73920</v>
      </c>
      <c r="I40" s="40" t="n">
        <f aca="false">IF($B40="","",SUMIFS(记账分录!$J$6:$J$5505,记账分录!$H$6:$H$5505,$B40))</f>
        <v>0</v>
      </c>
      <c r="J40" s="32"/>
    </row>
    <row r="41" customFormat="false" ht="15" hidden="false" customHeight="false" outlineLevel="0" collapsed="false">
      <c r="A41" s="39" t="s">
        <v>259</v>
      </c>
      <c r="B41" s="32" t="s">
        <v>145</v>
      </c>
      <c r="C41" s="33" t="s">
        <v>255</v>
      </c>
      <c r="D41" s="33" t="s">
        <v>182</v>
      </c>
      <c r="E41" s="33" t="s">
        <v>78</v>
      </c>
      <c r="F41" s="32" t="s">
        <v>145</v>
      </c>
      <c r="G41" s="33" t="s">
        <v>183</v>
      </c>
      <c r="H41" s="40" t="n">
        <f aca="false">IF($B41="","",SUMIFS(记账分录!$I$6:$I$5505,记账分录!$H$6:$H$5505,$B41))</f>
        <v>36100</v>
      </c>
      <c r="I41" s="40" t="n">
        <f aca="false">IF($B41="","",SUMIFS(记账分录!$J$6:$J$5505,记账分录!$H$6:$H$5505,$B41))</f>
        <v>0</v>
      </c>
      <c r="J41" s="32"/>
    </row>
    <row r="42" customFormat="false" ht="15" hidden="false" customHeight="false" outlineLevel="0" collapsed="false">
      <c r="A42" s="39" t="s">
        <v>260</v>
      </c>
      <c r="B42" s="32" t="s">
        <v>119</v>
      </c>
      <c r="C42" s="33" t="s">
        <v>255</v>
      </c>
      <c r="D42" s="33" t="s">
        <v>182</v>
      </c>
      <c r="E42" s="33" t="s">
        <v>78</v>
      </c>
      <c r="F42" s="32" t="s">
        <v>119</v>
      </c>
      <c r="G42" s="33" t="s">
        <v>183</v>
      </c>
      <c r="H42" s="40" t="n">
        <f aca="false">IF($B42="","",SUMIFS(记账分录!$I$6:$I$5505,记账分录!$H$6:$H$5505,$B42))</f>
        <v>294460</v>
      </c>
      <c r="I42" s="40" t="n">
        <f aca="false">IF($B42="","",SUMIFS(记账分录!$J$6:$J$5505,记账分录!$H$6:$H$5505,$B42))</f>
        <v>0</v>
      </c>
      <c r="J42" s="32"/>
    </row>
    <row r="43" customFormat="false" ht="15" hidden="false" customHeight="false" outlineLevel="0" collapsed="false">
      <c r="A43" s="39" t="s">
        <v>261</v>
      </c>
      <c r="B43" s="32" t="s">
        <v>152</v>
      </c>
      <c r="C43" s="33" t="s">
        <v>255</v>
      </c>
      <c r="D43" s="33" t="s">
        <v>182</v>
      </c>
      <c r="E43" s="33" t="s">
        <v>78</v>
      </c>
      <c r="F43" s="32" t="s">
        <v>152</v>
      </c>
      <c r="G43" s="33" t="s">
        <v>183</v>
      </c>
      <c r="H43" s="40" t="n">
        <f aca="false">IF($B43="","",SUMIFS(记账分录!$I$6:$I$5505,记账分录!$H$6:$H$5505,$B43))</f>
        <v>6000</v>
      </c>
      <c r="I43" s="40" t="n">
        <f aca="false">IF($B43="","",SUMIFS(记账分录!$J$6:$J$5505,记账分录!$H$6:$H$5505,$B43))</f>
        <v>0</v>
      </c>
      <c r="J43" s="32"/>
    </row>
    <row r="44" customFormat="false" ht="15" hidden="false" customHeight="false" outlineLevel="0" collapsed="false">
      <c r="A44" s="39" t="s">
        <v>262</v>
      </c>
      <c r="B44" s="32" t="s">
        <v>158</v>
      </c>
      <c r="C44" s="33" t="s">
        <v>255</v>
      </c>
      <c r="D44" s="33" t="s">
        <v>182</v>
      </c>
      <c r="E44" s="33" t="s">
        <v>78</v>
      </c>
      <c r="F44" s="32" t="s">
        <v>158</v>
      </c>
      <c r="G44" s="33" t="s">
        <v>183</v>
      </c>
      <c r="H44" s="40" t="n">
        <f aca="false">IF($B44="","",SUMIFS(记账分录!$I$6:$I$5505,记账分录!$H$6:$H$5505,$B44))</f>
        <v>0</v>
      </c>
      <c r="I44" s="40" t="n">
        <f aca="false">IF($B44="","",SUMIFS(记账分录!$J$6:$J$5505,记账分录!$H$6:$H$5505,$B44))</f>
        <v>0</v>
      </c>
      <c r="J44" s="32"/>
    </row>
    <row r="45" customFormat="false" ht="15" hidden="false" customHeight="false" outlineLevel="0" collapsed="false">
      <c r="A45" s="39" t="s">
        <v>263</v>
      </c>
      <c r="B45" s="32" t="s">
        <v>264</v>
      </c>
      <c r="C45" s="33" t="s">
        <v>255</v>
      </c>
      <c r="D45" s="33" t="s">
        <v>182</v>
      </c>
      <c r="E45" s="33" t="s">
        <v>78</v>
      </c>
      <c r="F45" s="32" t="s">
        <v>264</v>
      </c>
      <c r="G45" s="33" t="s">
        <v>183</v>
      </c>
      <c r="H45" s="40" t="n">
        <f aca="false">IF($B45="","",SUMIFS(记账分录!$I$6:$I$5505,记账分录!$H$6:$H$5505,$B45))</f>
        <v>0</v>
      </c>
      <c r="I45" s="40" t="n">
        <f aca="false">IF($B45="","",SUMIFS(记账分录!$J$6:$J$5505,记账分录!$H$6:$H$5505,$B45))</f>
        <v>0</v>
      </c>
      <c r="J45" s="32"/>
    </row>
    <row r="46" customFormat="false" ht="15" hidden="false" customHeight="false" outlineLevel="0" collapsed="false">
      <c r="A46" s="39" t="s">
        <v>265</v>
      </c>
      <c r="B46" s="32" t="s">
        <v>164</v>
      </c>
      <c r="C46" s="33" t="s">
        <v>255</v>
      </c>
      <c r="D46" s="33" t="s">
        <v>182</v>
      </c>
      <c r="E46" s="33" t="s">
        <v>78</v>
      </c>
      <c r="F46" s="32" t="s">
        <v>164</v>
      </c>
      <c r="G46" s="33" t="s">
        <v>183</v>
      </c>
      <c r="H46" s="40" t="n">
        <f aca="false">IF($B46="","",SUMIFS(记账分录!$I$6:$I$5505,记账分录!$H$6:$H$5505,$B46))</f>
        <v>18000</v>
      </c>
      <c r="I46" s="40" t="n">
        <f aca="false">IF($B46="","",SUMIFS(记账分录!$J$6:$J$5505,记账分录!$H$6:$H$5505,$B46))</f>
        <v>0</v>
      </c>
      <c r="J46" s="32"/>
    </row>
    <row r="47" customFormat="false" ht="15" hidden="false" customHeight="false" outlineLevel="0" collapsed="false">
      <c r="A47" s="39"/>
      <c r="B47" s="39"/>
      <c r="C47" s="33"/>
      <c r="D47" s="33"/>
      <c r="E47" s="33"/>
      <c r="F47" s="39"/>
      <c r="G47" s="33"/>
      <c r="H47" s="40" t="str">
        <f aca="false">IF($B47="","",SUMIFS(记账分录!$I$6:$I$5505,记账分录!$H$6:$H$5505,$B47))</f>
        <v/>
      </c>
      <c r="I47" s="40" t="str">
        <f aca="false">IF($B47="","",SUMIFS(记账分录!$J$6:$J$5505,记账分录!$H$6:$H$5505,$B47))</f>
        <v/>
      </c>
      <c r="J47" s="32"/>
    </row>
    <row r="48" customFormat="false" ht="15" hidden="false" customHeight="false" outlineLevel="0" collapsed="false">
      <c r="A48" s="39"/>
      <c r="B48" s="39"/>
      <c r="C48" s="33"/>
      <c r="D48" s="33"/>
      <c r="E48" s="33"/>
      <c r="F48" s="39"/>
      <c r="G48" s="33"/>
      <c r="H48" s="40" t="str">
        <f aca="false">IF($B48="","",SUMIFS(记账分录!$I$6:$I$5505,记账分录!$H$6:$H$5505,$B48))</f>
        <v/>
      </c>
      <c r="I48" s="40" t="str">
        <f aca="false">IF($B48="","",SUMIFS(记账分录!$J$6:$J$5505,记账分录!$H$6:$H$5505,$B48))</f>
        <v/>
      </c>
      <c r="J48" s="32"/>
    </row>
    <row r="49" customFormat="false" ht="15" hidden="false" customHeight="false" outlineLevel="0" collapsed="false">
      <c r="A49" s="39"/>
      <c r="B49" s="39"/>
      <c r="C49" s="33"/>
      <c r="D49" s="33"/>
      <c r="E49" s="33"/>
      <c r="F49" s="39"/>
      <c r="G49" s="33"/>
      <c r="H49" s="40" t="str">
        <f aca="false">IF($B49="","",SUMIFS(记账分录!$I$6:$I$5505,记账分录!$H$6:$H$5505,$B49))</f>
        <v/>
      </c>
      <c r="I49" s="40" t="str">
        <f aca="false">IF($B49="","",SUMIFS(记账分录!$J$6:$J$5505,记账分录!$H$6:$H$5505,$B49))</f>
        <v/>
      </c>
      <c r="J49" s="32"/>
    </row>
    <row r="50" customFormat="false" ht="15" hidden="false" customHeight="false" outlineLevel="0" collapsed="false">
      <c r="A50" s="39"/>
      <c r="B50" s="39"/>
      <c r="C50" s="33"/>
      <c r="D50" s="33"/>
      <c r="E50" s="33"/>
      <c r="F50" s="39"/>
      <c r="G50" s="33"/>
      <c r="H50" s="40" t="str">
        <f aca="false">IF($B50="","",SUMIFS(记账分录!$I$6:$I$5505,记账分录!$H$6:$H$5505,$B50))</f>
        <v/>
      </c>
      <c r="I50" s="40" t="str">
        <f aca="false">IF($B50="","",SUMIFS(记账分录!$J$6:$J$5505,记账分录!$H$6:$H$5505,$B50))</f>
        <v/>
      </c>
      <c r="J50" s="32"/>
    </row>
    <row r="51" customFormat="false" ht="15" hidden="false" customHeight="false" outlineLevel="0" collapsed="false">
      <c r="A51" s="39"/>
      <c r="B51" s="39"/>
      <c r="C51" s="33"/>
      <c r="D51" s="33"/>
      <c r="E51" s="33"/>
      <c r="F51" s="39"/>
      <c r="G51" s="33"/>
      <c r="H51" s="40" t="str">
        <f aca="false">IF($B51="","",SUMIFS(记账分录!$I$6:$I$5505,记账分录!$H$6:$H$5505,$B51))</f>
        <v/>
      </c>
      <c r="I51" s="40" t="str">
        <f aca="false">IF($B51="","",SUMIFS(记账分录!$J$6:$J$5505,记账分录!$H$6:$H$5505,$B51))</f>
        <v/>
      </c>
      <c r="J51" s="32"/>
    </row>
    <row r="52" customFormat="false" ht="15" hidden="false" customHeight="false" outlineLevel="0" collapsed="false">
      <c r="A52" s="39"/>
      <c r="B52" s="39"/>
      <c r="C52" s="33"/>
      <c r="D52" s="33"/>
      <c r="E52" s="33"/>
      <c r="F52" s="39"/>
      <c r="G52" s="33"/>
      <c r="H52" s="40" t="str">
        <f aca="false">IF($B52="","",SUMIFS(记账分录!$I$6:$I$5505,记账分录!$H$6:$H$5505,$B52))</f>
        <v/>
      </c>
      <c r="I52" s="40" t="str">
        <f aca="false">IF($B52="","",SUMIFS(记账分录!$J$6:$J$5505,记账分录!$H$6:$H$5505,$B52))</f>
        <v/>
      </c>
      <c r="J52" s="32"/>
    </row>
    <row r="53" customFormat="false" ht="15" hidden="false" customHeight="false" outlineLevel="0" collapsed="false">
      <c r="A53" s="39"/>
      <c r="B53" s="39"/>
      <c r="C53" s="33"/>
      <c r="D53" s="33"/>
      <c r="E53" s="33"/>
      <c r="F53" s="39"/>
      <c r="G53" s="33"/>
      <c r="H53" s="40" t="str">
        <f aca="false">IF($B53="","",SUMIFS(记账分录!$I$6:$I$5505,记账分录!$H$6:$H$5505,$B53))</f>
        <v/>
      </c>
      <c r="I53" s="40" t="str">
        <f aca="false">IF($B53="","",SUMIFS(记账分录!$J$6:$J$5505,记账分录!$H$6:$H$5505,$B53))</f>
        <v/>
      </c>
      <c r="J53" s="32"/>
    </row>
    <row r="54" customFormat="false" ht="15" hidden="false" customHeight="false" outlineLevel="0" collapsed="false">
      <c r="A54" s="39"/>
      <c r="B54" s="39"/>
      <c r="C54" s="33"/>
      <c r="D54" s="33"/>
      <c r="E54" s="33"/>
      <c r="F54" s="39"/>
      <c r="G54" s="33"/>
      <c r="H54" s="40" t="str">
        <f aca="false">IF($B54="","",SUMIFS(记账分录!$I$6:$I$5505,记账分录!$H$6:$H$5505,$B54))</f>
        <v/>
      </c>
      <c r="I54" s="40" t="str">
        <f aca="false">IF($B54="","",SUMIFS(记账分录!$J$6:$J$5505,记账分录!$H$6:$H$5505,$B54))</f>
        <v/>
      </c>
      <c r="J54" s="32"/>
    </row>
    <row r="55" customFormat="false" ht="15" hidden="false" customHeight="false" outlineLevel="0" collapsed="false">
      <c r="A55" s="39"/>
      <c r="B55" s="39"/>
      <c r="C55" s="33"/>
      <c r="D55" s="33"/>
      <c r="E55" s="33"/>
      <c r="F55" s="39"/>
      <c r="G55" s="33"/>
      <c r="H55" s="40" t="str">
        <f aca="false">IF($B55="","",SUMIFS(记账分录!$I$6:$I$5505,记账分录!$H$6:$H$5505,$B55))</f>
        <v/>
      </c>
      <c r="I55" s="40" t="str">
        <f aca="false">IF($B55="","",SUMIFS(记账分录!$J$6:$J$5505,记账分录!$H$6:$H$5505,$B55))</f>
        <v/>
      </c>
      <c r="J55" s="32"/>
    </row>
    <row r="56" customFormat="false" ht="15" hidden="false" customHeight="false" outlineLevel="0" collapsed="false">
      <c r="A56" s="39"/>
      <c r="B56" s="39"/>
      <c r="C56" s="33"/>
      <c r="D56" s="33"/>
      <c r="E56" s="33"/>
      <c r="F56" s="39"/>
      <c r="G56" s="33"/>
      <c r="H56" s="40" t="str">
        <f aca="false">IF($B56="","",SUMIFS(记账分录!$I$6:$I$5505,记账分录!$H$6:$H$5505,$B56))</f>
        <v/>
      </c>
      <c r="I56" s="40" t="str">
        <f aca="false">IF($B56="","",SUMIFS(记账分录!$J$6:$J$5505,记账分录!$H$6:$H$5505,$B56))</f>
        <v/>
      </c>
      <c r="J56" s="32"/>
    </row>
    <row r="57" customFormat="false" ht="15" hidden="false" customHeight="false" outlineLevel="0" collapsed="false">
      <c r="A57" s="39"/>
      <c r="B57" s="39"/>
      <c r="C57" s="33"/>
      <c r="D57" s="33"/>
      <c r="E57" s="33"/>
      <c r="F57" s="39"/>
      <c r="G57" s="33"/>
      <c r="H57" s="40" t="str">
        <f aca="false">IF($B57="","",SUMIFS(记账分录!$I$6:$I$5505,记账分录!$H$6:$H$5505,$B57))</f>
        <v/>
      </c>
      <c r="I57" s="40" t="str">
        <f aca="false">IF($B57="","",SUMIFS(记账分录!$J$6:$J$5505,记账分录!$H$6:$H$5505,$B57))</f>
        <v/>
      </c>
      <c r="J57" s="32"/>
    </row>
    <row r="58" customFormat="false" ht="15" hidden="false" customHeight="false" outlineLevel="0" collapsed="false">
      <c r="A58" s="39"/>
      <c r="B58" s="39"/>
      <c r="C58" s="33"/>
      <c r="D58" s="33"/>
      <c r="E58" s="33"/>
      <c r="F58" s="39"/>
      <c r="G58" s="33"/>
      <c r="H58" s="40" t="str">
        <f aca="false">IF($B58="","",SUMIFS(记账分录!$I$6:$I$5505,记账分录!$H$6:$H$5505,$B58))</f>
        <v/>
      </c>
      <c r="I58" s="40" t="str">
        <f aca="false">IF($B58="","",SUMIFS(记账分录!$J$6:$J$5505,记账分录!$H$6:$H$5505,$B58))</f>
        <v/>
      </c>
      <c r="J58" s="32"/>
    </row>
    <row r="59" customFormat="false" ht="15" hidden="false" customHeight="false" outlineLevel="0" collapsed="false">
      <c r="A59" s="39"/>
      <c r="B59" s="39"/>
      <c r="C59" s="33"/>
      <c r="D59" s="33"/>
      <c r="E59" s="33"/>
      <c r="F59" s="39"/>
      <c r="G59" s="33"/>
      <c r="H59" s="40" t="str">
        <f aca="false">IF($B59="","",SUMIFS(记账分录!$I$6:$I$5505,记账分录!$H$6:$H$5505,$B59))</f>
        <v/>
      </c>
      <c r="I59" s="40" t="str">
        <f aca="false">IF($B59="","",SUMIFS(记账分录!$J$6:$J$5505,记账分录!$H$6:$H$5505,$B59))</f>
        <v/>
      </c>
      <c r="J59" s="32"/>
    </row>
    <row r="60" customFormat="false" ht="15" hidden="false" customHeight="false" outlineLevel="0" collapsed="false">
      <c r="A60" s="39"/>
      <c r="B60" s="39"/>
      <c r="C60" s="33"/>
      <c r="D60" s="33"/>
      <c r="E60" s="33"/>
      <c r="F60" s="39"/>
      <c r="G60" s="33"/>
      <c r="H60" s="40" t="str">
        <f aca="false">IF($B60="","",SUMIFS(记账分录!$I$6:$I$5505,记账分录!$H$6:$H$5505,$B60))</f>
        <v/>
      </c>
      <c r="I60" s="40" t="str">
        <f aca="false">IF($B60="","",SUMIFS(记账分录!$J$6:$J$5505,记账分录!$H$6:$H$5505,$B60))</f>
        <v/>
      </c>
      <c r="J60" s="32"/>
    </row>
    <row r="61" customFormat="false" ht="15" hidden="false" customHeight="false" outlineLevel="0" collapsed="false">
      <c r="A61" s="39"/>
      <c r="B61" s="39"/>
      <c r="C61" s="33"/>
      <c r="D61" s="33"/>
      <c r="E61" s="33"/>
      <c r="F61" s="39"/>
      <c r="G61" s="33"/>
      <c r="H61" s="40" t="str">
        <f aca="false">IF($B61="","",SUMIFS(记账分录!$I$6:$I$5505,记账分录!$H$6:$H$5505,$B61))</f>
        <v/>
      </c>
      <c r="I61" s="40" t="str">
        <f aca="false">IF($B61="","",SUMIFS(记账分录!$J$6:$J$5505,记账分录!$H$6:$H$5505,$B61))</f>
        <v/>
      </c>
      <c r="J61" s="32"/>
    </row>
    <row r="62" customFormat="false" ht="15" hidden="false" customHeight="false" outlineLevel="0" collapsed="false">
      <c r="A62" s="39"/>
      <c r="B62" s="39"/>
      <c r="C62" s="33"/>
      <c r="D62" s="33"/>
      <c r="E62" s="33"/>
      <c r="F62" s="39"/>
      <c r="G62" s="33"/>
      <c r="H62" s="40" t="str">
        <f aca="false">IF($B62="","",SUMIFS(记账分录!$I$6:$I$5505,记账分录!$H$6:$H$5505,$B62))</f>
        <v/>
      </c>
      <c r="I62" s="40" t="str">
        <f aca="false">IF($B62="","",SUMIFS(记账分录!$J$6:$J$5505,记账分录!$H$6:$H$5505,$B62))</f>
        <v/>
      </c>
      <c r="J62" s="32"/>
    </row>
    <row r="63" customFormat="false" ht="15" hidden="false" customHeight="false" outlineLevel="0" collapsed="false">
      <c r="A63" s="39"/>
      <c r="B63" s="39"/>
      <c r="C63" s="33"/>
      <c r="D63" s="33"/>
      <c r="E63" s="33"/>
      <c r="F63" s="39"/>
      <c r="G63" s="33"/>
      <c r="H63" s="40" t="str">
        <f aca="false">IF($B63="","",SUMIFS(记账分录!$I$6:$I$5505,记账分录!$H$6:$H$5505,$B63))</f>
        <v/>
      </c>
      <c r="I63" s="40" t="str">
        <f aca="false">IF($B63="","",SUMIFS(记账分录!$J$6:$J$5505,记账分录!$H$6:$H$5505,$B63))</f>
        <v/>
      </c>
      <c r="J63" s="32"/>
    </row>
    <row r="64" customFormat="false" ht="15" hidden="false" customHeight="false" outlineLevel="0" collapsed="false">
      <c r="A64" s="39"/>
      <c r="B64" s="39"/>
      <c r="C64" s="33"/>
      <c r="D64" s="33"/>
      <c r="E64" s="33"/>
      <c r="F64" s="39"/>
      <c r="G64" s="33"/>
      <c r="H64" s="40" t="str">
        <f aca="false">IF($B64="","",SUMIFS(记账分录!$I$6:$I$5505,记账分录!$H$6:$H$5505,$B64))</f>
        <v/>
      </c>
      <c r="I64" s="40" t="str">
        <f aca="false">IF($B64="","",SUMIFS(记账分录!$J$6:$J$5505,记账分录!$H$6:$H$5505,$B64))</f>
        <v/>
      </c>
      <c r="J64" s="32"/>
    </row>
    <row r="65" customFormat="false" ht="15" hidden="false" customHeight="false" outlineLevel="0" collapsed="false">
      <c r="A65" s="39"/>
      <c r="B65" s="39"/>
      <c r="C65" s="33"/>
      <c r="D65" s="33"/>
      <c r="E65" s="33"/>
      <c r="F65" s="39"/>
      <c r="G65" s="33"/>
      <c r="H65" s="40" t="str">
        <f aca="false">IF($B65="","",SUMIFS(记账分录!$I$6:$I$5505,记账分录!$H$6:$H$5505,$B65))</f>
        <v/>
      </c>
      <c r="I65" s="40" t="str">
        <f aca="false">IF($B65="","",SUMIFS(记账分录!$J$6:$J$5505,记账分录!$H$6:$H$5505,$B65))</f>
        <v/>
      </c>
      <c r="J65" s="32"/>
    </row>
    <row r="66" customFormat="false" ht="15" hidden="false" customHeight="false" outlineLevel="0" collapsed="false">
      <c r="A66" s="39"/>
      <c r="B66" s="39"/>
      <c r="C66" s="33"/>
      <c r="D66" s="33"/>
      <c r="E66" s="33"/>
      <c r="F66" s="39"/>
      <c r="G66" s="33"/>
      <c r="H66" s="40" t="str">
        <f aca="false">IF($B66="","",SUMIFS(记账分录!$I$6:$I$5505,记账分录!$H$6:$H$5505,$B66))</f>
        <v/>
      </c>
      <c r="I66" s="40" t="str">
        <f aca="false">IF($B66="","",SUMIFS(记账分录!$J$6:$J$5505,记账分录!$H$6:$H$5505,$B66))</f>
        <v/>
      </c>
      <c r="J66" s="32"/>
    </row>
    <row r="67" customFormat="false" ht="15" hidden="false" customHeight="false" outlineLevel="0" collapsed="false">
      <c r="A67" s="39"/>
      <c r="B67" s="39"/>
      <c r="C67" s="33"/>
      <c r="D67" s="33"/>
      <c r="E67" s="33"/>
      <c r="F67" s="39"/>
      <c r="G67" s="33"/>
      <c r="H67" s="40" t="str">
        <f aca="false">IF($B67="","",SUMIFS(记账分录!$I$6:$I$5505,记账分录!$H$6:$H$5505,$B67))</f>
        <v/>
      </c>
      <c r="I67" s="40" t="str">
        <f aca="false">IF($B67="","",SUMIFS(记账分录!$J$6:$J$5505,记账分录!$H$6:$H$5505,$B67))</f>
        <v/>
      </c>
      <c r="J67" s="32"/>
    </row>
    <row r="68" customFormat="false" ht="15" hidden="false" customHeight="false" outlineLevel="0" collapsed="false">
      <c r="A68" s="39"/>
      <c r="B68" s="39"/>
      <c r="C68" s="33"/>
      <c r="D68" s="33"/>
      <c r="E68" s="33"/>
      <c r="F68" s="39"/>
      <c r="G68" s="33"/>
      <c r="H68" s="40" t="str">
        <f aca="false">IF($B68="","",SUMIFS(记账分录!$I$6:$I$5505,记账分录!$H$6:$H$5505,$B68))</f>
        <v/>
      </c>
      <c r="I68" s="40" t="str">
        <f aca="false">IF($B68="","",SUMIFS(记账分录!$J$6:$J$5505,记账分录!$H$6:$H$5505,$B68))</f>
        <v/>
      </c>
      <c r="J68" s="32"/>
    </row>
    <row r="69" customFormat="false" ht="15" hidden="false" customHeight="false" outlineLevel="0" collapsed="false">
      <c r="A69" s="39"/>
      <c r="B69" s="39"/>
      <c r="C69" s="33"/>
      <c r="D69" s="33"/>
      <c r="E69" s="33"/>
      <c r="F69" s="39"/>
      <c r="G69" s="33"/>
      <c r="H69" s="40" t="str">
        <f aca="false">IF($B69="","",SUMIFS(记账分录!$I$6:$I$5505,记账分录!$H$6:$H$5505,$B69))</f>
        <v/>
      </c>
      <c r="I69" s="40" t="str">
        <f aca="false">IF($B69="","",SUMIFS(记账分录!$J$6:$J$5505,记账分录!$H$6:$H$5505,$B69))</f>
        <v/>
      </c>
      <c r="J69" s="32"/>
    </row>
    <row r="70" customFormat="false" ht="15" hidden="false" customHeight="false" outlineLevel="0" collapsed="false">
      <c r="A70" s="39"/>
      <c r="B70" s="39"/>
      <c r="C70" s="33"/>
      <c r="D70" s="33"/>
      <c r="E70" s="33"/>
      <c r="F70" s="39"/>
      <c r="G70" s="33"/>
      <c r="H70" s="40" t="str">
        <f aca="false">IF($B70="","",SUMIFS(记账分录!$I$6:$I$5505,记账分录!$H$6:$H$5505,$B70))</f>
        <v/>
      </c>
      <c r="I70" s="40" t="str">
        <f aca="false">IF($B70="","",SUMIFS(记账分录!$J$6:$J$5505,记账分录!$H$6:$H$5505,$B70))</f>
        <v/>
      </c>
      <c r="J70" s="32"/>
    </row>
    <row r="71" customFormat="false" ht="15" hidden="false" customHeight="false" outlineLevel="0" collapsed="false">
      <c r="A71" s="39"/>
      <c r="B71" s="39"/>
      <c r="C71" s="33"/>
      <c r="D71" s="33"/>
      <c r="E71" s="33"/>
      <c r="F71" s="39"/>
      <c r="G71" s="33"/>
      <c r="H71" s="40" t="str">
        <f aca="false">IF($B71="","",SUMIFS(记账分录!$I$6:$I$5505,记账分录!$H$6:$H$5505,$B71))</f>
        <v/>
      </c>
      <c r="I71" s="40" t="str">
        <f aca="false">IF($B71="","",SUMIFS(记账分录!$J$6:$J$5505,记账分录!$H$6:$H$5505,$B71))</f>
        <v/>
      </c>
      <c r="J71" s="32"/>
    </row>
    <row r="72" customFormat="false" ht="15" hidden="false" customHeight="false" outlineLevel="0" collapsed="false">
      <c r="A72" s="39"/>
      <c r="B72" s="39"/>
      <c r="C72" s="33"/>
      <c r="D72" s="33"/>
      <c r="E72" s="33"/>
      <c r="F72" s="39"/>
      <c r="G72" s="33"/>
      <c r="H72" s="40" t="str">
        <f aca="false">IF($B72="","",SUMIFS(记账分录!$I$6:$I$5505,记账分录!$H$6:$H$5505,$B72))</f>
        <v/>
      </c>
      <c r="I72" s="40" t="str">
        <f aca="false">IF($B72="","",SUMIFS(记账分录!$J$6:$J$5505,记账分录!$H$6:$H$5505,$B72))</f>
        <v/>
      </c>
      <c r="J72" s="32"/>
    </row>
    <row r="73" customFormat="false" ht="15" hidden="false" customHeight="false" outlineLevel="0" collapsed="false">
      <c r="A73" s="39"/>
      <c r="B73" s="39"/>
      <c r="C73" s="33"/>
      <c r="D73" s="33"/>
      <c r="E73" s="33"/>
      <c r="F73" s="39"/>
      <c r="G73" s="33"/>
      <c r="H73" s="40" t="str">
        <f aca="false">IF($B73="","",SUMIFS(记账分录!$I$6:$I$5505,记账分录!$H$6:$H$5505,$B73))</f>
        <v/>
      </c>
      <c r="I73" s="40" t="str">
        <f aca="false">IF($B73="","",SUMIFS(记账分录!$J$6:$J$5505,记账分录!$H$6:$H$5505,$B73))</f>
        <v/>
      </c>
      <c r="J73" s="32"/>
    </row>
    <row r="74" customFormat="false" ht="15" hidden="false" customHeight="false" outlineLevel="0" collapsed="false">
      <c r="A74" s="39"/>
      <c r="B74" s="39"/>
      <c r="C74" s="33"/>
      <c r="D74" s="33"/>
      <c r="E74" s="33"/>
      <c r="F74" s="39"/>
      <c r="G74" s="33"/>
      <c r="H74" s="40" t="str">
        <f aca="false">IF($B74="","",SUMIFS(记账分录!$I$6:$I$5505,记账分录!$H$6:$H$5505,$B74))</f>
        <v/>
      </c>
      <c r="I74" s="40" t="str">
        <f aca="false">IF($B74="","",SUMIFS(记账分录!$J$6:$J$5505,记账分录!$H$6:$H$5505,$B74))</f>
        <v/>
      </c>
      <c r="J74" s="32"/>
    </row>
    <row r="75" customFormat="false" ht="15" hidden="false" customHeight="false" outlineLevel="0" collapsed="false">
      <c r="A75" s="39"/>
      <c r="B75" s="39"/>
      <c r="C75" s="33"/>
      <c r="D75" s="33"/>
      <c r="E75" s="33"/>
      <c r="F75" s="39"/>
      <c r="G75" s="33"/>
      <c r="H75" s="40" t="str">
        <f aca="false">IF($B75="","",SUMIFS(记账分录!$I$6:$I$5505,记账分录!$H$6:$H$5505,$B75))</f>
        <v/>
      </c>
      <c r="I75" s="40" t="str">
        <f aca="false">IF($B75="","",SUMIFS(记账分录!$J$6:$J$5505,记账分录!$H$6:$H$5505,$B75))</f>
        <v/>
      </c>
      <c r="J75" s="32"/>
    </row>
    <row r="76" customFormat="false" ht="15" hidden="false" customHeight="false" outlineLevel="0" collapsed="false">
      <c r="A76" s="39"/>
      <c r="B76" s="39"/>
      <c r="C76" s="33"/>
      <c r="D76" s="33"/>
      <c r="E76" s="33"/>
      <c r="F76" s="39"/>
      <c r="G76" s="33"/>
      <c r="H76" s="40" t="str">
        <f aca="false">IF($B76="","",SUMIFS(记账分录!$I$6:$I$5505,记账分录!$H$6:$H$5505,$B76))</f>
        <v/>
      </c>
      <c r="I76" s="40" t="str">
        <f aca="false">IF($B76="","",SUMIFS(记账分录!$J$6:$J$5505,记账分录!$H$6:$H$5505,$B76))</f>
        <v/>
      </c>
      <c r="J76" s="32"/>
    </row>
    <row r="77" customFormat="false" ht="15" hidden="false" customHeight="false" outlineLevel="0" collapsed="false">
      <c r="A77" s="39"/>
      <c r="B77" s="39"/>
      <c r="C77" s="33"/>
      <c r="D77" s="33"/>
      <c r="E77" s="33"/>
      <c r="F77" s="39"/>
      <c r="G77" s="33"/>
      <c r="H77" s="40" t="str">
        <f aca="false">IF($B77="","",SUMIFS(记账分录!$I$6:$I$5505,记账分录!$H$6:$H$5505,$B77))</f>
        <v/>
      </c>
      <c r="I77" s="40" t="str">
        <f aca="false">IF($B77="","",SUMIFS(记账分录!$J$6:$J$5505,记账分录!$H$6:$H$5505,$B77))</f>
        <v/>
      </c>
      <c r="J77" s="32"/>
    </row>
    <row r="78" customFormat="false" ht="15" hidden="false" customHeight="false" outlineLevel="0" collapsed="false">
      <c r="A78" s="39"/>
      <c r="B78" s="39"/>
      <c r="C78" s="33"/>
      <c r="D78" s="33"/>
      <c r="E78" s="33"/>
      <c r="F78" s="39"/>
      <c r="G78" s="33"/>
      <c r="H78" s="40" t="str">
        <f aca="false">IF($B78="","",SUMIFS(记账分录!$I$6:$I$5505,记账分录!$H$6:$H$5505,$B78))</f>
        <v/>
      </c>
      <c r="I78" s="40" t="str">
        <f aca="false">IF($B78="","",SUMIFS(记账分录!$J$6:$J$5505,记账分录!$H$6:$H$5505,$B78))</f>
        <v/>
      </c>
      <c r="J78" s="32"/>
    </row>
    <row r="79" customFormat="false" ht="15" hidden="false" customHeight="false" outlineLevel="0" collapsed="false">
      <c r="A79" s="39"/>
      <c r="B79" s="39"/>
      <c r="C79" s="33"/>
      <c r="D79" s="33"/>
      <c r="E79" s="33"/>
      <c r="F79" s="39"/>
      <c r="G79" s="33"/>
      <c r="H79" s="40" t="str">
        <f aca="false">IF($B79="","",SUMIFS(记账分录!$I$6:$I$5505,记账分录!$H$6:$H$5505,$B79))</f>
        <v/>
      </c>
      <c r="I79" s="40" t="str">
        <f aca="false">IF($B79="","",SUMIFS(记账分录!$J$6:$J$5505,记账分录!$H$6:$H$5505,$B79))</f>
        <v/>
      </c>
      <c r="J79" s="32"/>
    </row>
    <row r="80" customFormat="false" ht="15" hidden="false" customHeight="false" outlineLevel="0" collapsed="false">
      <c r="A80" s="39"/>
      <c r="B80" s="39"/>
      <c r="C80" s="33"/>
      <c r="D80" s="33"/>
      <c r="E80" s="33"/>
      <c r="F80" s="39"/>
      <c r="G80" s="33"/>
      <c r="H80" s="40" t="str">
        <f aca="false">IF($B80="","",SUMIFS(记账分录!$I$6:$I$5505,记账分录!$H$6:$H$5505,$B80))</f>
        <v/>
      </c>
      <c r="I80" s="40" t="str">
        <f aca="false">IF($B80="","",SUMIFS(记账分录!$J$6:$J$5505,记账分录!$H$6:$H$5505,$B80))</f>
        <v/>
      </c>
      <c r="J80" s="32"/>
    </row>
    <row r="81" customFormat="false" ht="15" hidden="false" customHeight="false" outlineLevel="0" collapsed="false">
      <c r="A81" s="39"/>
      <c r="B81" s="39"/>
      <c r="C81" s="33"/>
      <c r="D81" s="33"/>
      <c r="E81" s="33"/>
      <c r="F81" s="39"/>
      <c r="G81" s="33"/>
      <c r="H81" s="40" t="str">
        <f aca="false">IF($B81="","",SUMIFS(记账分录!$I$6:$I$5505,记账分录!$H$6:$H$5505,$B81))</f>
        <v/>
      </c>
      <c r="I81" s="40" t="str">
        <f aca="false">IF($B81="","",SUMIFS(记账分录!$J$6:$J$5505,记账分录!$H$6:$H$5505,$B81))</f>
        <v/>
      </c>
      <c r="J81" s="32"/>
    </row>
    <row r="82" customFormat="false" ht="15" hidden="false" customHeight="false" outlineLevel="0" collapsed="false">
      <c r="A82" s="39"/>
      <c r="B82" s="39"/>
      <c r="C82" s="33"/>
      <c r="D82" s="33"/>
      <c r="E82" s="33"/>
      <c r="F82" s="39"/>
      <c r="G82" s="33"/>
      <c r="H82" s="40" t="str">
        <f aca="false">IF($B82="","",SUMIFS(记账分录!$I$6:$I$5505,记账分录!$H$6:$H$5505,$B82))</f>
        <v/>
      </c>
      <c r="I82" s="40" t="str">
        <f aca="false">IF($B82="","",SUMIFS(记账分录!$J$6:$J$5505,记账分录!$H$6:$H$5505,$B82))</f>
        <v/>
      </c>
      <c r="J82" s="32"/>
    </row>
    <row r="83" customFormat="false" ht="15" hidden="false" customHeight="false" outlineLevel="0" collapsed="false">
      <c r="A83" s="39"/>
      <c r="B83" s="39"/>
      <c r="C83" s="33"/>
      <c r="D83" s="33"/>
      <c r="E83" s="33"/>
      <c r="F83" s="39"/>
      <c r="G83" s="33"/>
      <c r="H83" s="40" t="str">
        <f aca="false">IF($B83="","",SUMIFS(记账分录!$I$6:$I$5505,记账分录!$H$6:$H$5505,$B83))</f>
        <v/>
      </c>
      <c r="I83" s="40" t="str">
        <f aca="false">IF($B83="","",SUMIFS(记账分录!$J$6:$J$5505,记账分录!$H$6:$H$5505,$B83))</f>
        <v/>
      </c>
      <c r="J83" s="32"/>
    </row>
    <row r="84" customFormat="false" ht="15" hidden="false" customHeight="false" outlineLevel="0" collapsed="false">
      <c r="A84" s="39"/>
      <c r="B84" s="39"/>
      <c r="C84" s="33"/>
      <c r="D84" s="33"/>
      <c r="E84" s="33"/>
      <c r="F84" s="39"/>
      <c r="G84" s="33"/>
      <c r="H84" s="40" t="str">
        <f aca="false">IF($B84="","",SUMIFS(记账分录!$I$6:$I$5505,记账分录!$H$6:$H$5505,$B84))</f>
        <v/>
      </c>
      <c r="I84" s="40" t="str">
        <f aca="false">IF($B84="","",SUMIFS(记账分录!$J$6:$J$5505,记账分录!$H$6:$H$5505,$B84))</f>
        <v/>
      </c>
      <c r="J84" s="32"/>
    </row>
    <row r="85" customFormat="false" ht="15" hidden="false" customHeight="false" outlineLevel="0" collapsed="false">
      <c r="A85" s="39"/>
      <c r="B85" s="39"/>
      <c r="C85" s="33"/>
      <c r="D85" s="33"/>
      <c r="E85" s="33"/>
      <c r="F85" s="39"/>
      <c r="G85" s="33"/>
      <c r="H85" s="40" t="str">
        <f aca="false">IF($B85="","",SUMIFS(记账分录!$I$6:$I$5505,记账分录!$H$6:$H$5505,$B85))</f>
        <v/>
      </c>
      <c r="I85" s="40" t="str">
        <f aca="false">IF($B85="","",SUMIFS(记账分录!$J$6:$J$5505,记账分录!$H$6:$H$5505,$B85))</f>
        <v/>
      </c>
      <c r="J85" s="32"/>
    </row>
  </sheetData>
  <mergeCells count="2">
    <mergeCell ref="A1:J1"/>
    <mergeCell ref="A2:J2"/>
  </mergeCells>
  <dataValidations count="4">
    <dataValidation allowBlank="true" error="必须选择下拉中已维护的值，手工输入会导致取数错位" errorStyle="stop" errorTitle="请从下拉中选择" operator="between" showDropDown="false" showErrorMessage="true" showInputMessage="false" sqref="C6:C85" type="list">
      <formula1>"资产,负债,权益,成本,损益-收入,损益-费用"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85" type="list">
      <formula1>"借,贷"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85" type="list">
      <formula1>"资产负债表,利润表"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G6:G85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14" min="3" style="0" width="15"/>
  </cols>
  <sheetData>
    <row r="1" customFormat="false" ht="25.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7" t="s">
        <v>268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30" hidden="false" customHeight="true" outlineLevel="0" collapsed="false">
      <c r="A5" s="8" t="s">
        <v>269</v>
      </c>
      <c r="B5" s="8" t="s">
        <v>100</v>
      </c>
      <c r="C5" s="8" t="s">
        <v>270</v>
      </c>
      <c r="D5" s="8" t="s">
        <v>271</v>
      </c>
      <c r="E5" s="8" t="s">
        <v>272</v>
      </c>
      <c r="F5" s="8" t="s">
        <v>273</v>
      </c>
      <c r="G5" s="8" t="s">
        <v>274</v>
      </c>
      <c r="H5" s="8" t="s">
        <v>275</v>
      </c>
      <c r="I5" s="8" t="s">
        <v>276</v>
      </c>
      <c r="J5" s="8" t="s">
        <v>277</v>
      </c>
      <c r="K5" s="8" t="s">
        <v>278</v>
      </c>
      <c r="L5" s="8" t="s">
        <v>279</v>
      </c>
      <c r="M5" s="8" t="s">
        <v>280</v>
      </c>
      <c r="N5" s="8" t="s">
        <v>281</v>
      </c>
    </row>
    <row r="6" customFormat="false" ht="15" hidden="false" customHeight="false" outlineLevel="0" collapsed="false">
      <c r="A6" s="31" t="s">
        <v>282</v>
      </c>
      <c r="B6" s="10" t="s">
        <v>283</v>
      </c>
      <c r="C6" s="39" t="s">
        <v>284</v>
      </c>
      <c r="D6" s="33" t="s">
        <v>182</v>
      </c>
      <c r="E6" s="33" t="s">
        <v>285</v>
      </c>
      <c r="F6" s="39" t="s">
        <v>286</v>
      </c>
      <c r="G6" s="33" t="s">
        <v>208</v>
      </c>
      <c r="H6" s="33" t="s">
        <v>285</v>
      </c>
      <c r="I6" s="39" t="s">
        <v>287</v>
      </c>
      <c r="J6" s="33" t="s">
        <v>182</v>
      </c>
      <c r="K6" s="33" t="s">
        <v>288</v>
      </c>
      <c r="L6" s="39" t="s">
        <v>289</v>
      </c>
      <c r="M6" s="33" t="s">
        <v>208</v>
      </c>
      <c r="N6" s="33" t="s">
        <v>288</v>
      </c>
    </row>
    <row r="7" customFormat="false" ht="15" hidden="false" customHeight="false" outlineLevel="0" collapsed="false">
      <c r="A7" s="31" t="s">
        <v>290</v>
      </c>
      <c r="B7" s="10" t="s">
        <v>291</v>
      </c>
      <c r="C7" s="39" t="s">
        <v>284</v>
      </c>
      <c r="D7" s="33" t="s">
        <v>208</v>
      </c>
      <c r="E7" s="33" t="s">
        <v>285</v>
      </c>
      <c r="F7" s="39" t="s">
        <v>289</v>
      </c>
      <c r="G7" s="33" t="s">
        <v>182</v>
      </c>
      <c r="H7" s="33" t="s">
        <v>285</v>
      </c>
      <c r="I7" s="39"/>
      <c r="J7" s="39"/>
      <c r="K7" s="39"/>
      <c r="L7" s="39"/>
      <c r="M7" s="39"/>
      <c r="N7" s="39"/>
    </row>
    <row r="8" customFormat="false" ht="15" hidden="false" customHeight="false" outlineLevel="0" collapsed="false">
      <c r="A8" s="31" t="s">
        <v>292</v>
      </c>
      <c r="B8" s="10" t="s">
        <v>293</v>
      </c>
      <c r="C8" s="39" t="s">
        <v>284</v>
      </c>
      <c r="D8" s="33" t="s">
        <v>208</v>
      </c>
      <c r="E8" s="33" t="s">
        <v>285</v>
      </c>
      <c r="F8" s="39" t="s">
        <v>286</v>
      </c>
      <c r="G8" s="33" t="s">
        <v>182</v>
      </c>
      <c r="H8" s="33" t="s">
        <v>285</v>
      </c>
      <c r="I8" s="39" t="s">
        <v>287</v>
      </c>
      <c r="J8" s="33" t="s">
        <v>208</v>
      </c>
      <c r="K8" s="33" t="s">
        <v>288</v>
      </c>
      <c r="L8" s="39" t="s">
        <v>289</v>
      </c>
      <c r="M8" s="33" t="s">
        <v>182</v>
      </c>
      <c r="N8" s="33" t="s">
        <v>288</v>
      </c>
    </row>
    <row r="9" customFormat="false" ht="15" hidden="false" customHeight="false" outlineLevel="0" collapsed="false">
      <c r="A9" s="31" t="s">
        <v>294</v>
      </c>
      <c r="B9" s="10" t="s">
        <v>295</v>
      </c>
      <c r="C9" s="39" t="s">
        <v>284</v>
      </c>
      <c r="D9" s="33" t="s">
        <v>182</v>
      </c>
      <c r="E9" s="33" t="s">
        <v>285</v>
      </c>
      <c r="F9" s="39" t="s">
        <v>289</v>
      </c>
      <c r="G9" s="33" t="s">
        <v>208</v>
      </c>
      <c r="H9" s="33" t="s">
        <v>285</v>
      </c>
      <c r="I9" s="39"/>
      <c r="J9" s="39"/>
      <c r="K9" s="39"/>
      <c r="L9" s="39"/>
      <c r="M9" s="39"/>
      <c r="N9" s="39"/>
    </row>
    <row r="11" customFormat="false" ht="15" hidden="false" customHeight="true" outlineLevel="0" collapsed="false">
      <c r="A11" s="7" t="s">
        <v>296</v>
      </c>
      <c r="B11" s="7"/>
      <c r="C11" s="7"/>
      <c r="D11" s="7"/>
      <c r="E11" s="7"/>
      <c r="F11" s="7"/>
      <c r="G11" s="7"/>
      <c r="H11" s="7"/>
    </row>
    <row r="12" customFormat="false" ht="30" hidden="false" customHeight="true" outlineLevel="0" collapsed="false">
      <c r="A12" s="8" t="s">
        <v>269</v>
      </c>
      <c r="B12" s="8" t="s">
        <v>100</v>
      </c>
      <c r="C12" s="8" t="s">
        <v>270</v>
      </c>
      <c r="D12" s="8" t="s">
        <v>271</v>
      </c>
      <c r="E12" s="8" t="s">
        <v>272</v>
      </c>
      <c r="F12" s="8" t="s">
        <v>273</v>
      </c>
      <c r="G12" s="8" t="s">
        <v>274</v>
      </c>
      <c r="H12" s="8" t="s">
        <v>275</v>
      </c>
    </row>
    <row r="13" customFormat="false" ht="15" hidden="false" customHeight="false" outlineLevel="0" collapsed="false">
      <c r="A13" s="31" t="s">
        <v>297</v>
      </c>
      <c r="B13" s="10" t="s">
        <v>298</v>
      </c>
      <c r="C13" s="39" t="s">
        <v>299</v>
      </c>
      <c r="D13" s="33" t="s">
        <v>182</v>
      </c>
      <c r="E13" s="33" t="s">
        <v>285</v>
      </c>
      <c r="F13" s="33" t="s">
        <v>24</v>
      </c>
      <c r="G13" s="33" t="s">
        <v>208</v>
      </c>
      <c r="H13" s="33" t="s">
        <v>285</v>
      </c>
    </row>
    <row r="14" customFormat="false" ht="15" hidden="false" customHeight="false" outlineLevel="0" collapsed="false">
      <c r="A14" s="31" t="s">
        <v>300</v>
      </c>
      <c r="B14" s="10" t="s">
        <v>301</v>
      </c>
      <c r="C14" s="39" t="s">
        <v>299</v>
      </c>
      <c r="D14" s="33" t="s">
        <v>208</v>
      </c>
      <c r="E14" s="33" t="s">
        <v>285</v>
      </c>
      <c r="F14" s="33" t="s">
        <v>25</v>
      </c>
      <c r="G14" s="33" t="s">
        <v>182</v>
      </c>
      <c r="H14" s="33" t="s">
        <v>285</v>
      </c>
    </row>
    <row r="15" customFormat="false" ht="15" hidden="false" customHeight="false" outlineLevel="0" collapsed="false">
      <c r="A15" s="31" t="s">
        <v>302</v>
      </c>
      <c r="B15" s="10" t="s">
        <v>303</v>
      </c>
      <c r="C15" s="39" t="s">
        <v>299</v>
      </c>
      <c r="D15" s="33" t="s">
        <v>182</v>
      </c>
      <c r="E15" s="33" t="s">
        <v>285</v>
      </c>
      <c r="F15" s="33" t="s">
        <v>226</v>
      </c>
      <c r="G15" s="33" t="s">
        <v>208</v>
      </c>
      <c r="H15" s="33" t="s">
        <v>285</v>
      </c>
    </row>
    <row r="16" customFormat="false" ht="15" hidden="false" customHeight="false" outlineLevel="0" collapsed="false">
      <c r="A16" s="31" t="s">
        <v>304</v>
      </c>
      <c r="B16" s="10" t="s">
        <v>305</v>
      </c>
      <c r="C16" s="39" t="s">
        <v>299</v>
      </c>
      <c r="D16" s="33" t="s">
        <v>208</v>
      </c>
      <c r="E16" s="33" t="s">
        <v>285</v>
      </c>
      <c r="F16" s="33" t="s">
        <v>191</v>
      </c>
      <c r="G16" s="33" t="s">
        <v>182</v>
      </c>
      <c r="H16" s="33" t="s">
        <v>285</v>
      </c>
    </row>
    <row r="17" customFormat="false" ht="15" hidden="false" customHeight="false" outlineLevel="0" collapsed="false">
      <c r="A17" s="31" t="s">
        <v>306</v>
      </c>
      <c r="B17" s="10" t="s">
        <v>307</v>
      </c>
      <c r="C17" s="39" t="s">
        <v>299</v>
      </c>
      <c r="D17" s="33" t="s">
        <v>182</v>
      </c>
      <c r="E17" s="33" t="s">
        <v>285</v>
      </c>
      <c r="F17" s="33" t="s">
        <v>194</v>
      </c>
      <c r="G17" s="33" t="s">
        <v>208</v>
      </c>
      <c r="H17" s="33" t="s">
        <v>285</v>
      </c>
    </row>
    <row r="18" customFormat="false" ht="15" hidden="false" customHeight="false" outlineLevel="0" collapsed="false">
      <c r="A18" s="31" t="s">
        <v>308</v>
      </c>
      <c r="B18" s="10" t="s">
        <v>309</v>
      </c>
      <c r="C18" s="39" t="s">
        <v>299</v>
      </c>
      <c r="D18" s="33" t="s">
        <v>208</v>
      </c>
      <c r="E18" s="33" t="s">
        <v>285</v>
      </c>
      <c r="F18" s="33" t="s">
        <v>194</v>
      </c>
      <c r="G18" s="33" t="s">
        <v>182</v>
      </c>
      <c r="H18" s="33" t="s">
        <v>285</v>
      </c>
    </row>
    <row r="19" customFormat="false" ht="15" hidden="false" customHeight="false" outlineLevel="0" collapsed="false">
      <c r="A19" s="31" t="s">
        <v>310</v>
      </c>
      <c r="B19" s="10" t="s">
        <v>311</v>
      </c>
      <c r="C19" s="39" t="s">
        <v>299</v>
      </c>
      <c r="D19" s="33" t="s">
        <v>182</v>
      </c>
      <c r="E19" s="33" t="s">
        <v>285</v>
      </c>
      <c r="F19" s="33" t="s">
        <v>232</v>
      </c>
      <c r="G19" s="33" t="s">
        <v>208</v>
      </c>
      <c r="H19" s="33" t="s">
        <v>285</v>
      </c>
    </row>
    <row r="20" customFormat="false" ht="15" hidden="false" customHeight="false" outlineLevel="0" collapsed="false">
      <c r="A20" s="31" t="s">
        <v>312</v>
      </c>
      <c r="B20" s="10" t="s">
        <v>313</v>
      </c>
      <c r="C20" s="39" t="s">
        <v>299</v>
      </c>
      <c r="D20" s="33" t="s">
        <v>208</v>
      </c>
      <c r="E20" s="33" t="s">
        <v>285</v>
      </c>
      <c r="F20" s="33" t="s">
        <v>232</v>
      </c>
      <c r="G20" s="33" t="s">
        <v>182</v>
      </c>
      <c r="H20" s="33" t="s">
        <v>285</v>
      </c>
    </row>
    <row r="21" customFormat="false" ht="15" hidden="false" customHeight="false" outlineLevel="0" collapsed="false">
      <c r="A21" s="31" t="s">
        <v>314</v>
      </c>
      <c r="B21" s="10" t="s">
        <v>315</v>
      </c>
      <c r="C21" s="39" t="s">
        <v>299</v>
      </c>
      <c r="D21" s="33" t="s">
        <v>208</v>
      </c>
      <c r="E21" s="33" t="s">
        <v>285</v>
      </c>
      <c r="F21" s="39" t="s">
        <v>316</v>
      </c>
      <c r="G21" s="33" t="s">
        <v>182</v>
      </c>
      <c r="H21" s="33" t="s">
        <v>285</v>
      </c>
    </row>
    <row r="22" customFormat="false" ht="15" hidden="false" customHeight="false" outlineLevel="0" collapsed="false">
      <c r="A22" s="31" t="s">
        <v>317</v>
      </c>
      <c r="B22" s="10" t="s">
        <v>318</v>
      </c>
      <c r="C22" s="39" t="s">
        <v>299</v>
      </c>
      <c r="D22" s="33" t="s">
        <v>208</v>
      </c>
      <c r="E22" s="33" t="s">
        <v>285</v>
      </c>
      <c r="F22" s="39" t="s">
        <v>316</v>
      </c>
      <c r="G22" s="33" t="s">
        <v>182</v>
      </c>
      <c r="H22" s="33" t="s">
        <v>285</v>
      </c>
    </row>
    <row r="23" customFormat="false" ht="15" hidden="false" customHeight="false" outlineLevel="0" collapsed="false">
      <c r="A23" s="31" t="s">
        <v>319</v>
      </c>
      <c r="B23" s="10" t="s">
        <v>320</v>
      </c>
      <c r="C23" s="39" t="s">
        <v>299</v>
      </c>
      <c r="D23" s="33" t="s">
        <v>182</v>
      </c>
      <c r="E23" s="33" t="s">
        <v>285</v>
      </c>
      <c r="F23" s="39" t="s">
        <v>316</v>
      </c>
      <c r="G23" s="33" t="s">
        <v>208</v>
      </c>
      <c r="H23" s="33" t="s">
        <v>285</v>
      </c>
    </row>
    <row r="24" customFormat="false" ht="15" hidden="false" customHeight="false" outlineLevel="0" collapsed="false">
      <c r="A24" s="31" t="s">
        <v>321</v>
      </c>
      <c r="B24" s="10" t="s">
        <v>322</v>
      </c>
      <c r="C24" s="39" t="s">
        <v>299</v>
      </c>
      <c r="D24" s="33" t="s">
        <v>182</v>
      </c>
      <c r="E24" s="33" t="s">
        <v>285</v>
      </c>
      <c r="F24" s="39" t="s">
        <v>316</v>
      </c>
      <c r="G24" s="33" t="s">
        <v>208</v>
      </c>
      <c r="H24" s="33" t="s">
        <v>285</v>
      </c>
    </row>
    <row r="25" customFormat="false" ht="15" hidden="false" customHeight="false" outlineLevel="0" collapsed="false">
      <c r="A25" s="31" t="s">
        <v>323</v>
      </c>
      <c r="B25" s="10" t="s">
        <v>324</v>
      </c>
      <c r="C25" s="39" t="s">
        <v>299</v>
      </c>
      <c r="D25" s="33" t="s">
        <v>208</v>
      </c>
      <c r="E25" s="33" t="s">
        <v>285</v>
      </c>
      <c r="F25" s="39" t="s">
        <v>316</v>
      </c>
      <c r="G25" s="33" t="s">
        <v>182</v>
      </c>
      <c r="H25" s="33" t="s">
        <v>285</v>
      </c>
    </row>
    <row r="26" customFormat="false" ht="15" hidden="false" customHeight="false" outlineLevel="0" collapsed="false">
      <c r="A26" s="31" t="s">
        <v>325</v>
      </c>
      <c r="B26" s="10" t="s">
        <v>326</v>
      </c>
      <c r="C26" s="39" t="s">
        <v>299</v>
      </c>
      <c r="D26" s="33" t="s">
        <v>208</v>
      </c>
      <c r="E26" s="33" t="s">
        <v>285</v>
      </c>
      <c r="F26" s="33" t="s">
        <v>138</v>
      </c>
      <c r="G26" s="33" t="s">
        <v>182</v>
      </c>
      <c r="H26" s="33" t="s">
        <v>285</v>
      </c>
    </row>
    <row r="27" customFormat="false" ht="15" hidden="false" customHeight="false" outlineLevel="0" collapsed="false">
      <c r="A27" s="31" t="s">
        <v>327</v>
      </c>
      <c r="B27" s="10" t="s">
        <v>328</v>
      </c>
      <c r="C27" s="39" t="s">
        <v>299</v>
      </c>
      <c r="D27" s="33" t="s">
        <v>182</v>
      </c>
      <c r="E27" s="33" t="s">
        <v>285</v>
      </c>
      <c r="F27" s="39" t="s">
        <v>316</v>
      </c>
      <c r="G27" s="33" t="s">
        <v>208</v>
      </c>
      <c r="H27" s="33" t="s">
        <v>285</v>
      </c>
    </row>
    <row r="28" customFormat="false" ht="15" hidden="false" customHeight="false" outlineLevel="0" collapsed="false">
      <c r="A28" s="31" t="s">
        <v>329</v>
      </c>
      <c r="B28" s="10" t="s">
        <v>330</v>
      </c>
      <c r="C28" s="39" t="s">
        <v>299</v>
      </c>
      <c r="D28" s="33" t="s">
        <v>208</v>
      </c>
      <c r="E28" s="33" t="s">
        <v>285</v>
      </c>
      <c r="F28" s="39" t="s">
        <v>316</v>
      </c>
      <c r="G28" s="33" t="s">
        <v>182</v>
      </c>
      <c r="H28" s="33" t="s">
        <v>285</v>
      </c>
    </row>
    <row r="29" customFormat="false" ht="15" hidden="false" customHeight="false" outlineLevel="0" collapsed="false">
      <c r="A29" s="31" t="s">
        <v>331</v>
      </c>
      <c r="B29" s="10" t="s">
        <v>332</v>
      </c>
      <c r="C29" s="39" t="s">
        <v>299</v>
      </c>
      <c r="D29" s="33" t="s">
        <v>208</v>
      </c>
      <c r="E29" s="33" t="s">
        <v>285</v>
      </c>
      <c r="F29" s="33" t="s">
        <v>152</v>
      </c>
      <c r="G29" s="33" t="s">
        <v>182</v>
      </c>
      <c r="H29" s="33" t="s">
        <v>285</v>
      </c>
    </row>
    <row r="30" customFormat="false" ht="15" hidden="false" customHeight="false" outlineLevel="0" collapsed="false">
      <c r="A30" s="31" t="s">
        <v>333</v>
      </c>
      <c r="B30" s="10" t="s">
        <v>334</v>
      </c>
      <c r="C30" s="39" t="s">
        <v>299</v>
      </c>
      <c r="D30" s="33" t="s">
        <v>182</v>
      </c>
      <c r="E30" s="33" t="s">
        <v>285</v>
      </c>
      <c r="F30" s="33" t="s">
        <v>236</v>
      </c>
      <c r="G30" s="33" t="s">
        <v>208</v>
      </c>
      <c r="H30" s="33" t="s">
        <v>285</v>
      </c>
    </row>
    <row r="31" customFormat="false" ht="15" hidden="false" customHeight="false" outlineLevel="0" collapsed="false">
      <c r="A31" s="31" t="s">
        <v>335</v>
      </c>
      <c r="B31" s="10" t="s">
        <v>336</v>
      </c>
      <c r="C31" s="39" t="s">
        <v>299</v>
      </c>
      <c r="D31" s="33" t="s">
        <v>182</v>
      </c>
      <c r="E31" s="33" t="s">
        <v>285</v>
      </c>
      <c r="F31" s="39" t="s">
        <v>316</v>
      </c>
      <c r="G31" s="33" t="s">
        <v>208</v>
      </c>
      <c r="H31" s="33" t="s">
        <v>285</v>
      </c>
    </row>
    <row r="32" customFormat="false" ht="15" hidden="false" customHeight="false" outlineLevel="0" collapsed="false">
      <c r="A32" s="31" t="s">
        <v>337</v>
      </c>
      <c r="B32" s="10" t="s">
        <v>338</v>
      </c>
      <c r="C32" s="39" t="s">
        <v>299</v>
      </c>
      <c r="D32" s="33" t="s">
        <v>208</v>
      </c>
      <c r="E32" s="33" t="s">
        <v>285</v>
      </c>
      <c r="F32" s="39" t="s">
        <v>316</v>
      </c>
      <c r="G32" s="33" t="s">
        <v>182</v>
      </c>
      <c r="H32" s="33" t="s">
        <v>285</v>
      </c>
    </row>
    <row r="34" customFormat="false" ht="15" hidden="false" customHeight="true" outlineLevel="0" collapsed="false">
      <c r="A34" s="7" t="s">
        <v>339</v>
      </c>
      <c r="B34" s="7"/>
      <c r="C34" s="7"/>
      <c r="D34" s="7"/>
      <c r="E34" s="7"/>
      <c r="F34" s="7"/>
      <c r="G34" s="7"/>
      <c r="H34" s="7"/>
    </row>
    <row r="35" customFormat="false" ht="30" hidden="false" customHeight="true" outlineLevel="0" collapsed="false">
      <c r="A35" s="8" t="s">
        <v>269</v>
      </c>
      <c r="B35" s="8" t="s">
        <v>100</v>
      </c>
      <c r="C35" s="8" t="s">
        <v>270</v>
      </c>
      <c r="D35" s="8" t="s">
        <v>271</v>
      </c>
      <c r="E35" s="8" t="s">
        <v>272</v>
      </c>
      <c r="F35" s="8" t="s">
        <v>273</v>
      </c>
      <c r="G35" s="8" t="s">
        <v>274</v>
      </c>
      <c r="H35" s="8" t="s">
        <v>275</v>
      </c>
    </row>
    <row r="36" customFormat="false" ht="15" hidden="false" customHeight="false" outlineLevel="0" collapsed="false">
      <c r="A36" s="31" t="s">
        <v>340</v>
      </c>
      <c r="B36" s="10" t="s">
        <v>341</v>
      </c>
      <c r="C36" s="33" t="s">
        <v>131</v>
      </c>
      <c r="D36" s="33" t="s">
        <v>182</v>
      </c>
      <c r="E36" s="33" t="s">
        <v>342</v>
      </c>
      <c r="F36" s="39" t="s">
        <v>289</v>
      </c>
      <c r="G36" s="33" t="s">
        <v>208</v>
      </c>
      <c r="H36" s="33" t="s">
        <v>342</v>
      </c>
    </row>
    <row r="37" customFormat="false" ht="15" hidden="false" customHeight="false" outlineLevel="0" collapsed="false">
      <c r="A37" s="31" t="s">
        <v>343</v>
      </c>
      <c r="B37" s="10" t="s">
        <v>344</v>
      </c>
      <c r="C37" s="33" t="s">
        <v>131</v>
      </c>
      <c r="D37" s="33" t="s">
        <v>182</v>
      </c>
      <c r="E37" s="33" t="s">
        <v>342</v>
      </c>
      <c r="F37" s="39" t="s">
        <v>316</v>
      </c>
      <c r="G37" s="33" t="s">
        <v>208</v>
      </c>
      <c r="H37" s="33" t="s">
        <v>342</v>
      </c>
    </row>
    <row r="38" customFormat="false" ht="15" hidden="false" customHeight="false" outlineLevel="0" collapsed="false">
      <c r="A38" s="31" t="s">
        <v>345</v>
      </c>
      <c r="B38" s="10" t="s">
        <v>346</v>
      </c>
      <c r="C38" s="39" t="s">
        <v>289</v>
      </c>
      <c r="D38" s="33" t="s">
        <v>182</v>
      </c>
      <c r="E38" s="33" t="s">
        <v>342</v>
      </c>
      <c r="F38" s="33" t="s">
        <v>131</v>
      </c>
      <c r="G38" s="33" t="s">
        <v>208</v>
      </c>
      <c r="H38" s="33" t="s">
        <v>342</v>
      </c>
    </row>
    <row r="40" customFormat="false" ht="15" hidden="false" customHeight="true" outlineLevel="0" collapsed="false">
      <c r="A40" s="3" t="s">
        <v>347</v>
      </c>
      <c r="B40" s="37" t="s">
        <v>348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</sheetData>
  <mergeCells count="6">
    <mergeCell ref="A1:N1"/>
    <mergeCell ref="A2:N2"/>
    <mergeCell ref="A4:N4"/>
    <mergeCell ref="A11:H11"/>
    <mergeCell ref="A34:H34"/>
    <mergeCell ref="B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13"/>
    <col collapsed="false" customWidth="true" hidden="false" outlineLevel="0" max="13" min="13" style="0" width="10"/>
  </cols>
  <sheetData>
    <row r="1" customFormat="false" ht="25.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349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0" hidden="false" customHeight="true" outlineLevel="0" collapsed="false">
      <c r="A5" s="8" t="s">
        <v>350</v>
      </c>
      <c r="B5" s="8" t="s">
        <v>351</v>
      </c>
      <c r="C5" s="8" t="s">
        <v>352</v>
      </c>
      <c r="D5" s="8" t="s">
        <v>353</v>
      </c>
      <c r="E5" s="8" t="s">
        <v>354</v>
      </c>
      <c r="F5" s="8" t="s">
        <v>355</v>
      </c>
      <c r="G5" s="8" t="s">
        <v>356</v>
      </c>
      <c r="H5" s="8" t="s">
        <v>357</v>
      </c>
      <c r="I5" s="8" t="s">
        <v>358</v>
      </c>
      <c r="J5" s="8" t="s">
        <v>359</v>
      </c>
      <c r="K5" s="8" t="s">
        <v>178</v>
      </c>
      <c r="L5" s="8" t="s">
        <v>360</v>
      </c>
      <c r="M5" s="8" t="s">
        <v>361</v>
      </c>
    </row>
    <row r="6" customFormat="false" ht="15" hidden="false" customHeight="false" outlineLevel="0" collapsed="false">
      <c r="A6" s="39" t="s">
        <v>362</v>
      </c>
      <c r="B6" s="32" t="s">
        <v>363</v>
      </c>
      <c r="C6" s="32" t="s">
        <v>364</v>
      </c>
      <c r="D6" s="33" t="s">
        <v>365</v>
      </c>
      <c r="E6" s="33" t="s">
        <v>107</v>
      </c>
      <c r="F6" s="33" t="s">
        <v>366</v>
      </c>
      <c r="G6" s="33" t="s">
        <v>198</v>
      </c>
      <c r="H6" s="33" t="s">
        <v>245</v>
      </c>
      <c r="I6" s="33" t="s">
        <v>254</v>
      </c>
      <c r="J6" s="29" t="n">
        <v>0</v>
      </c>
      <c r="K6" s="32" t="s">
        <v>367</v>
      </c>
      <c r="L6" s="40" t="n">
        <f aca="false">IF($A6="","",SUMIFS(进销存台账!$U$6:$U$65,进销存台账!$B$6:$B$65,$A6,进销存台账!$A$6:$A$65,$E6))</f>
        <v>41322.22</v>
      </c>
      <c r="M6" s="25" t="str">
        <f aca="false">IF($A6="","",IF(COUNTIF($A$6:$A$65,$A6)&gt;1,"编码重复",IF($B6="","缺名称",IF(COUNTIF(会计科目表!$B$6:$B$85,$G6)=0,"存货科目不存在",IF(AND($F6&lt;&gt;"原材料",COUNTIF(会计科目表!$B$6:$B$85,$H6)=0),"收入科目不存在","OK")))))</f>
        <v>OK</v>
      </c>
    </row>
    <row r="7" customFormat="false" ht="15" hidden="false" customHeight="false" outlineLevel="0" collapsed="false">
      <c r="A7" s="39" t="s">
        <v>368</v>
      </c>
      <c r="B7" s="32" t="s">
        <v>369</v>
      </c>
      <c r="C7" s="32" t="s">
        <v>370</v>
      </c>
      <c r="D7" s="33" t="s">
        <v>371</v>
      </c>
      <c r="E7" s="33" t="s">
        <v>107</v>
      </c>
      <c r="F7" s="33" t="s">
        <v>372</v>
      </c>
      <c r="G7" s="33" t="s">
        <v>198</v>
      </c>
      <c r="H7" s="33" t="s">
        <v>245</v>
      </c>
      <c r="I7" s="33" t="s">
        <v>254</v>
      </c>
      <c r="J7" s="29" t="n">
        <v>0</v>
      </c>
      <c r="K7" s="32" t="s">
        <v>373</v>
      </c>
      <c r="L7" s="40" t="n">
        <f aca="false">IF($A7="","",SUMIFS(进销存台账!$U$6:$U$65,进销存台账!$B$6:$B$65,$A7,进销存台账!$A$6:$A$65,$E7))</f>
        <v>0</v>
      </c>
      <c r="M7" s="25" t="str">
        <f aca="false">IF($A7="","",IF(COUNTIF($A$6:$A$65,$A7)&gt;1,"编码重复",IF($B7="","缺名称",IF(COUNTIF(会计科目表!$B$6:$B$85,$G7)=0,"存货科目不存在",IF(AND($F7&lt;&gt;"原材料",COUNTIF(会计科目表!$B$6:$B$85,$H7)=0),"收入科目不存在","OK")))))</f>
        <v>OK</v>
      </c>
    </row>
    <row r="8" customFormat="false" ht="15" hidden="false" customHeight="false" outlineLevel="0" collapsed="false">
      <c r="A8" s="39" t="s">
        <v>374</v>
      </c>
      <c r="B8" s="32" t="s">
        <v>375</v>
      </c>
      <c r="C8" s="32" t="s">
        <v>376</v>
      </c>
      <c r="D8" s="33" t="s">
        <v>371</v>
      </c>
      <c r="E8" s="33" t="s">
        <v>107</v>
      </c>
      <c r="F8" s="33" t="s">
        <v>366</v>
      </c>
      <c r="G8" s="33" t="s">
        <v>198</v>
      </c>
      <c r="H8" s="33" t="s">
        <v>245</v>
      </c>
      <c r="I8" s="33" t="s">
        <v>254</v>
      </c>
      <c r="J8" s="29" t="n">
        <v>0</v>
      </c>
      <c r="K8" s="32" t="s">
        <v>377</v>
      </c>
      <c r="L8" s="40" t="n">
        <f aca="false">IF($A8="","",SUMIFS(进销存台账!$U$6:$U$65,进销存台账!$B$6:$B$65,$A8,进销存台账!$A$6:$A$65,$E8))</f>
        <v>14527.94</v>
      </c>
      <c r="M8" s="25" t="str">
        <f aca="false">IF($A8="","",IF(COUNTIF($A$6:$A$65,$A8)&gt;1,"编码重复",IF($B8="","缺名称",IF(COUNTIF(会计科目表!$B$6:$B$85,$G8)=0,"存货科目不存在",IF(AND($F8&lt;&gt;"原材料",COUNTIF(会计科目表!$B$6:$B$85,$H8)=0),"收入科目不存在","OK")))))</f>
        <v>OK</v>
      </c>
    </row>
    <row r="9" customFormat="false" ht="15" hidden="false" customHeight="false" outlineLevel="0" collapsed="false">
      <c r="A9" s="39" t="s">
        <v>378</v>
      </c>
      <c r="B9" s="32" t="s">
        <v>379</v>
      </c>
      <c r="C9" s="32" t="s">
        <v>380</v>
      </c>
      <c r="D9" s="33" t="s">
        <v>381</v>
      </c>
      <c r="E9" s="33" t="s">
        <v>107</v>
      </c>
      <c r="F9" s="33" t="s">
        <v>196</v>
      </c>
      <c r="G9" s="33" t="s">
        <v>196</v>
      </c>
      <c r="H9" s="33"/>
      <c r="I9" s="33"/>
      <c r="J9" s="29" t="n">
        <v>0</v>
      </c>
      <c r="K9" s="32" t="s">
        <v>382</v>
      </c>
      <c r="L9" s="40" t="n">
        <f aca="false">IF($A9="","",SUMIFS(进销存台账!$U$6:$U$65,进销存台账!$B$6:$B$65,$A9,进销存台账!$A$6:$A$65,$E9))</f>
        <v>0</v>
      </c>
      <c r="M9" s="25" t="str">
        <f aca="false">IF($A9="","",IF(COUNTIF($A$6:$A$65,$A9)&gt;1,"编码重复",IF($B9="","缺名称",IF(COUNTIF(会计科目表!$B$6:$B$85,$G9)=0,"存货科目不存在",IF(AND($F9&lt;&gt;"原材料",COUNTIF(会计科目表!$B$6:$B$85,$H9)=0),"收入科目不存在","OK")))))</f>
        <v>OK</v>
      </c>
    </row>
    <row r="10" customFormat="false" ht="15" hidden="false" customHeight="false" outlineLevel="0" collapsed="false">
      <c r="A10" s="39" t="s">
        <v>383</v>
      </c>
      <c r="B10" s="32" t="s">
        <v>384</v>
      </c>
      <c r="C10" s="32" t="s">
        <v>385</v>
      </c>
      <c r="D10" s="33" t="s">
        <v>386</v>
      </c>
      <c r="E10" s="33" t="s">
        <v>107</v>
      </c>
      <c r="F10" s="33" t="s">
        <v>196</v>
      </c>
      <c r="G10" s="33" t="s">
        <v>196</v>
      </c>
      <c r="H10" s="33"/>
      <c r="I10" s="33"/>
      <c r="J10" s="29" t="n">
        <v>0</v>
      </c>
      <c r="K10" s="32" t="s">
        <v>387</v>
      </c>
      <c r="L10" s="40" t="n">
        <f aca="false">IF($A10="","",SUMIFS(进销存台账!$U$6:$U$65,进销存台账!$B$6:$B$65,$A10,进销存台账!$A$6:$A$65,$E10))</f>
        <v>11222.22</v>
      </c>
      <c r="M10" s="25" t="str">
        <f aca="false">IF($A10="","",IF(COUNTIF($A$6:$A$65,$A10)&gt;1,"编码重复",IF($B10="","缺名称",IF(COUNTIF(会计科目表!$B$6:$B$85,$G10)=0,"存货科目不存在",IF(AND($F10&lt;&gt;"原材料",COUNTIF(会计科目表!$B$6:$B$85,$H10)=0),"收入科目不存在","OK")))))</f>
        <v>OK</v>
      </c>
    </row>
    <row r="11" customFormat="false" ht="15" hidden="false" customHeight="false" outlineLevel="0" collapsed="false">
      <c r="A11" s="39" t="s">
        <v>388</v>
      </c>
      <c r="B11" s="32" t="s">
        <v>389</v>
      </c>
      <c r="C11" s="39"/>
      <c r="D11" s="33" t="s">
        <v>371</v>
      </c>
      <c r="E11" s="33" t="s">
        <v>107</v>
      </c>
      <c r="F11" s="33" t="s">
        <v>196</v>
      </c>
      <c r="G11" s="33" t="s">
        <v>196</v>
      </c>
      <c r="H11" s="33"/>
      <c r="I11" s="33"/>
      <c r="J11" s="29" t="n">
        <v>0</v>
      </c>
      <c r="K11" s="32" t="s">
        <v>390</v>
      </c>
      <c r="L11" s="40" t="n">
        <f aca="false">IF($A11="","",SUMIFS(进销存台账!$U$6:$U$65,进销存台账!$B$6:$B$65,$A11,进销存台账!$A$6:$A$65,$E11))</f>
        <v>1000</v>
      </c>
      <c r="M11" s="25" t="str">
        <f aca="false">IF($A11="","",IF(COUNTIF($A$6:$A$65,$A11)&gt;1,"编码重复",IF($B11="","缺名称",IF(COUNTIF(会计科目表!$B$6:$B$85,$G11)=0,"存货科目不存在",IF(AND($F11&lt;&gt;"原材料",COUNTIF(会计科目表!$B$6:$B$85,$H11)=0),"收入科目不存在","OK")))))</f>
        <v>OK</v>
      </c>
    </row>
    <row r="12" customFormat="false" ht="15" hidden="false" customHeight="false" outlineLevel="0" collapsed="false">
      <c r="A12" s="39" t="s">
        <v>391</v>
      </c>
      <c r="B12" s="41" t="s">
        <v>392</v>
      </c>
      <c r="C12" s="41" t="s">
        <v>393</v>
      </c>
      <c r="D12" s="33" t="s">
        <v>394</v>
      </c>
      <c r="E12" s="33" t="s">
        <v>110</v>
      </c>
      <c r="F12" s="33" t="s">
        <v>366</v>
      </c>
      <c r="G12" s="33" t="s">
        <v>198</v>
      </c>
      <c r="H12" s="33" t="s">
        <v>245</v>
      </c>
      <c r="I12" s="33" t="s">
        <v>254</v>
      </c>
      <c r="J12" s="29" t="n">
        <v>0.13</v>
      </c>
      <c r="K12" s="32" t="s">
        <v>395</v>
      </c>
      <c r="L12" s="40" t="n">
        <f aca="false">IF($A12="","",SUMIFS(进销存台账!$U$6:$U$65,进销存台账!$B$6:$B$65,$A12,进销存台账!$A$6:$A$65,$E12))</f>
        <v>39699.9</v>
      </c>
      <c r="M12" s="25" t="str">
        <f aca="false">IF($A12="","",IF(COUNTIF($A$6:$A$65,$A12)&gt;1,"编码重复",IF($B12="","缺名称",IF(COUNTIF(会计科目表!$B$6:$B$85,$G12)=0,"存货科目不存在",IF(AND($F12&lt;&gt;"原材料",COUNTIF(会计科目表!$B$6:$B$85,$H12)=0),"收入科目不存在","OK")))))</f>
        <v>OK</v>
      </c>
    </row>
    <row r="13" customFormat="false" ht="15" hidden="false" customHeight="false" outlineLevel="0" collapsed="false">
      <c r="A13" s="39" t="s">
        <v>396</v>
      </c>
      <c r="B13" s="41" t="s">
        <v>397</v>
      </c>
      <c r="C13" s="41" t="s">
        <v>398</v>
      </c>
      <c r="D13" s="33" t="s">
        <v>394</v>
      </c>
      <c r="E13" s="33" t="s">
        <v>110</v>
      </c>
      <c r="F13" s="33" t="s">
        <v>366</v>
      </c>
      <c r="G13" s="33" t="s">
        <v>198</v>
      </c>
      <c r="H13" s="33" t="s">
        <v>245</v>
      </c>
      <c r="I13" s="33" t="s">
        <v>254</v>
      </c>
      <c r="J13" s="29" t="n">
        <v>0.13</v>
      </c>
      <c r="K13" s="39"/>
      <c r="L13" s="40" t="n">
        <f aca="false">IF($A13="","",SUMIFS(进销存台账!$U$6:$U$65,进销存台账!$B$6:$B$65,$A13,进销存台账!$A$6:$A$65,$E13))</f>
        <v>18904.11</v>
      </c>
      <c r="M13" s="25" t="str">
        <f aca="false">IF($A13="","",IF(COUNTIF($A$6:$A$65,$A13)&gt;1,"编码重复",IF($B13="","缺名称",IF(COUNTIF(会计科目表!$B$6:$B$85,$G13)=0,"存货科目不存在",IF(AND($F13&lt;&gt;"原材料",COUNTIF(会计科目表!$B$6:$B$85,$H13)=0),"收入科目不存在","OK")))))</f>
        <v>OK</v>
      </c>
    </row>
    <row r="14" customFormat="false" ht="15" hidden="false" customHeight="false" outlineLevel="0" collapsed="false">
      <c r="A14" s="39" t="s">
        <v>399</v>
      </c>
      <c r="B14" s="41" t="s">
        <v>400</v>
      </c>
      <c r="C14" s="39"/>
      <c r="D14" s="33" t="s">
        <v>365</v>
      </c>
      <c r="E14" s="33" t="s">
        <v>110</v>
      </c>
      <c r="F14" s="33" t="s">
        <v>366</v>
      </c>
      <c r="G14" s="33" t="s">
        <v>198</v>
      </c>
      <c r="H14" s="33" t="s">
        <v>245</v>
      </c>
      <c r="I14" s="33" t="s">
        <v>254</v>
      </c>
      <c r="J14" s="29" t="n">
        <v>0.13</v>
      </c>
      <c r="K14" s="39"/>
      <c r="L14" s="40" t="n">
        <f aca="false">IF($A14="","",SUMIFS(进销存台账!$U$6:$U$65,进销存台账!$B$6:$B$65,$A14,进销存台账!$A$6:$A$65,$E14))</f>
        <v>0</v>
      </c>
      <c r="M14" s="25" t="str">
        <f aca="false">IF($A14="","",IF(COUNTIF($A$6:$A$65,$A14)&gt;1,"编码重复",IF($B14="","缺名称",IF(COUNTIF(会计科目表!$B$6:$B$85,$G14)=0,"存货科目不存在",IF(AND($F14&lt;&gt;"原材料",COUNTIF(会计科目表!$B$6:$B$85,$H14)=0),"收入科目不存在","OK")))))</f>
        <v>OK</v>
      </c>
    </row>
    <row r="15" customFormat="false" ht="15" hidden="false" customHeight="false" outlineLevel="0" collapsed="false">
      <c r="A15" s="39" t="s">
        <v>401</v>
      </c>
      <c r="B15" s="41" t="s">
        <v>402</v>
      </c>
      <c r="C15" s="39"/>
      <c r="D15" s="33" t="s">
        <v>365</v>
      </c>
      <c r="E15" s="33" t="s">
        <v>110</v>
      </c>
      <c r="F15" s="33" t="s">
        <v>366</v>
      </c>
      <c r="G15" s="33" t="s">
        <v>198</v>
      </c>
      <c r="H15" s="33" t="s">
        <v>245</v>
      </c>
      <c r="I15" s="33" t="s">
        <v>254</v>
      </c>
      <c r="J15" s="29" t="n">
        <v>0.13</v>
      </c>
      <c r="K15" s="39"/>
      <c r="L15" s="40" t="n">
        <f aca="false">IF($A15="","",SUMIFS(进销存台账!$U$6:$U$65,进销存台账!$B$6:$B$65,$A15,进销存台账!$A$6:$A$65,$E15))</f>
        <v>0</v>
      </c>
      <c r="M15" s="25" t="str">
        <f aca="false">IF($A15="","",IF(COUNTIF($A$6:$A$65,$A15)&gt;1,"编码重复",IF($B15="","缺名称",IF(COUNTIF(会计科目表!$B$6:$B$85,$G15)=0,"存货科目不存在",IF(AND($F15&lt;&gt;"原材料",COUNTIF(会计科目表!$B$6:$B$85,$H15)=0),"收入科目不存在","OK")))))</f>
        <v>OK</v>
      </c>
    </row>
    <row r="16" customFormat="false" ht="15" hidden="false" customHeight="false" outlineLevel="0" collapsed="false">
      <c r="A16" s="39" t="s">
        <v>403</v>
      </c>
      <c r="B16" s="41" t="s">
        <v>404</v>
      </c>
      <c r="C16" s="39"/>
      <c r="D16" s="33" t="s">
        <v>365</v>
      </c>
      <c r="E16" s="33" t="s">
        <v>110</v>
      </c>
      <c r="F16" s="33" t="s">
        <v>366</v>
      </c>
      <c r="G16" s="33" t="s">
        <v>198</v>
      </c>
      <c r="H16" s="33" t="s">
        <v>245</v>
      </c>
      <c r="I16" s="33" t="s">
        <v>254</v>
      </c>
      <c r="J16" s="29" t="n">
        <v>0.13</v>
      </c>
      <c r="K16" s="39"/>
      <c r="L16" s="40" t="n">
        <f aca="false">IF($A16="","",SUMIFS(进销存台账!$U$6:$U$65,进销存台账!$B$6:$B$65,$A16,进销存台账!$A$6:$A$65,$E16))</f>
        <v>4476.54</v>
      </c>
      <c r="M16" s="25" t="str">
        <f aca="false">IF($A16="","",IF(COUNTIF($A$6:$A$65,$A16)&gt;1,"编码重复",IF($B16="","缺名称",IF(COUNTIF(会计科目表!$B$6:$B$85,$G16)=0,"存货科目不存在",IF(AND($F16&lt;&gt;"原材料",COUNTIF(会计科目表!$B$6:$B$85,$H16)=0),"收入科目不存在","OK")))))</f>
        <v>OK</v>
      </c>
    </row>
    <row r="17" customFormat="false" ht="15" hidden="false" customHeight="false" outlineLevel="0" collapsed="false">
      <c r="A17" s="39" t="s">
        <v>405</v>
      </c>
      <c r="B17" s="41" t="s">
        <v>406</v>
      </c>
      <c r="C17" s="39"/>
      <c r="D17" s="33" t="s">
        <v>365</v>
      </c>
      <c r="E17" s="33" t="s">
        <v>110</v>
      </c>
      <c r="F17" s="33" t="s">
        <v>366</v>
      </c>
      <c r="G17" s="33" t="s">
        <v>198</v>
      </c>
      <c r="H17" s="33" t="s">
        <v>245</v>
      </c>
      <c r="I17" s="33" t="s">
        <v>254</v>
      </c>
      <c r="J17" s="29" t="n">
        <v>0.09</v>
      </c>
      <c r="K17" s="32" t="s">
        <v>407</v>
      </c>
      <c r="L17" s="40" t="n">
        <f aca="false">IF($A17="","",SUMIFS(进销存台账!$U$6:$U$65,进销存台账!$B$6:$B$65,$A17,进销存台账!$A$6:$A$65,$E17))</f>
        <v>4789.04</v>
      </c>
      <c r="M17" s="25" t="str">
        <f aca="false">IF($A17="","",IF(COUNTIF($A$6:$A$65,$A17)&gt;1,"编码重复",IF($B17="","缺名称",IF(COUNTIF(会计科目表!$B$6:$B$85,$G17)=0,"存货科目不存在",IF(AND($F17&lt;&gt;"原材料",COUNTIF(会计科目表!$B$6:$B$85,$H17)=0),"收入科目不存在","OK")))))</f>
        <v>OK</v>
      </c>
    </row>
    <row r="18" customFormat="false" ht="15" hidden="false" customHeight="false" outlineLevel="0" collapsed="false">
      <c r="A18" s="39" t="s">
        <v>408</v>
      </c>
      <c r="B18" s="32" t="s">
        <v>363</v>
      </c>
      <c r="C18" s="32" t="s">
        <v>409</v>
      </c>
      <c r="D18" s="33" t="s">
        <v>365</v>
      </c>
      <c r="E18" s="33" t="s">
        <v>110</v>
      </c>
      <c r="F18" s="33" t="s">
        <v>196</v>
      </c>
      <c r="G18" s="33" t="s">
        <v>196</v>
      </c>
      <c r="H18" s="33"/>
      <c r="I18" s="33"/>
      <c r="J18" s="29" t="n">
        <v>0.09</v>
      </c>
      <c r="K18" s="32" t="s">
        <v>410</v>
      </c>
      <c r="L18" s="40" t="n">
        <f aca="false">IF($A18="","",SUMIFS(进销存台账!$U$6:$U$65,进销存台账!$B$6:$B$65,$A18,进销存台账!$A$6:$A$65,$E18))</f>
        <v>126301.36</v>
      </c>
      <c r="M18" s="25" t="str">
        <f aca="false">IF($A18="","",IF(COUNTIF($A$6:$A$65,$A18)&gt;1,"编码重复",IF($B18="","缺名称",IF(COUNTIF(会计科目表!$B$6:$B$85,$G18)=0,"存货科目不存在",IF(AND($F18&lt;&gt;"原材料",COUNTIF(会计科目表!$B$6:$B$85,$H18)=0),"收入科目不存在","OK")))))</f>
        <v>OK</v>
      </c>
    </row>
    <row r="19" customFormat="false" ht="15" hidden="false" customHeight="false" outlineLevel="0" collapsed="false">
      <c r="A19" s="39" t="s">
        <v>411</v>
      </c>
      <c r="B19" s="32" t="s">
        <v>412</v>
      </c>
      <c r="C19" s="32" t="s">
        <v>413</v>
      </c>
      <c r="D19" s="33" t="s">
        <v>371</v>
      </c>
      <c r="E19" s="33" t="s">
        <v>110</v>
      </c>
      <c r="F19" s="33" t="s">
        <v>196</v>
      </c>
      <c r="G19" s="33" t="s">
        <v>196</v>
      </c>
      <c r="H19" s="33"/>
      <c r="I19" s="33"/>
      <c r="J19" s="29" t="n">
        <v>0.13</v>
      </c>
      <c r="K19" s="39"/>
      <c r="L19" s="40" t="n">
        <f aca="false">IF($A19="","",SUMIFS(进销存台账!$U$6:$U$65,进销存台账!$B$6:$B$65,$A19,进销存台账!$A$6:$A$65,$E19))</f>
        <v>17850</v>
      </c>
      <c r="M19" s="25" t="str">
        <f aca="false">IF($A19="","",IF(COUNTIF($A$6:$A$65,$A19)&gt;1,"编码重复",IF($B19="","缺名称",IF(COUNTIF(会计科目表!$B$6:$B$85,$G19)=0,"存货科目不存在",IF(AND($F19&lt;&gt;"原材料",COUNTIF(会计科目表!$B$6:$B$85,$H19)=0),"收入科目不存在","OK")))))</f>
        <v>OK</v>
      </c>
    </row>
    <row r="20" customFormat="false" ht="15" hidden="false" customHeight="false" outlineLevel="0" collapsed="false">
      <c r="A20" s="39" t="s">
        <v>414</v>
      </c>
      <c r="B20" s="32" t="s">
        <v>415</v>
      </c>
      <c r="C20" s="39"/>
      <c r="D20" s="33" t="s">
        <v>386</v>
      </c>
      <c r="E20" s="33" t="s">
        <v>110</v>
      </c>
      <c r="F20" s="33" t="s">
        <v>366</v>
      </c>
      <c r="G20" s="33" t="s">
        <v>198</v>
      </c>
      <c r="H20" s="33" t="s">
        <v>248</v>
      </c>
      <c r="I20" s="33" t="s">
        <v>257</v>
      </c>
      <c r="J20" s="29" t="n">
        <v>0.13</v>
      </c>
      <c r="K20" s="32" t="s">
        <v>416</v>
      </c>
      <c r="L20" s="40" t="n">
        <f aca="false">IF($A20="","",SUMIFS(进销存台账!$U$6:$U$65,进销存台账!$B$6:$B$65,$A20,进销存台账!$A$6:$A$65,$E20))</f>
        <v>0</v>
      </c>
      <c r="M20" s="25" t="str">
        <f aca="false">IF($A20="","",IF(COUNTIF($A$6:$A$65,$A20)&gt;1,"编码重复",IF($B20="","缺名称",IF(COUNTIF(会计科目表!$B$6:$B$85,$G20)=0,"存货科目不存在",IF(AND($F20&lt;&gt;"原材料",COUNTIF(会计科目表!$B$6:$B$85,$H20)=0),"收入科目不存在","OK")))))</f>
        <v>OK</v>
      </c>
    </row>
    <row r="21" customFormat="false" ht="15" hidden="false" customHeight="false" outlineLevel="0" collapsed="false">
      <c r="A21" s="39" t="s">
        <v>417</v>
      </c>
      <c r="B21" s="32" t="s">
        <v>418</v>
      </c>
      <c r="C21" s="41" t="s">
        <v>419</v>
      </c>
      <c r="D21" s="33" t="s">
        <v>371</v>
      </c>
      <c r="E21" s="33" t="s">
        <v>112</v>
      </c>
      <c r="F21" s="33" t="s">
        <v>372</v>
      </c>
      <c r="G21" s="33" t="s">
        <v>198</v>
      </c>
      <c r="H21" s="33" t="s">
        <v>245</v>
      </c>
      <c r="I21" s="33" t="s">
        <v>254</v>
      </c>
      <c r="J21" s="29" t="n">
        <v>0.13</v>
      </c>
      <c r="K21" s="32" t="s">
        <v>420</v>
      </c>
      <c r="L21" s="40" t="n">
        <f aca="false">IF($A21="","",SUMIFS(进销存台账!$U$6:$U$65,进销存台账!$B$6:$B$65,$A21,进销存台账!$A$6:$A$65,$E21))</f>
        <v>79941.44</v>
      </c>
      <c r="M21" s="25" t="str">
        <f aca="false">IF($A21="","",IF(COUNTIF($A$6:$A$65,$A21)&gt;1,"编码重复",IF($B21="","缺名称",IF(COUNTIF(会计科目表!$B$6:$B$85,$G21)=0,"存货科目不存在",IF(AND($F21&lt;&gt;"原材料",COUNTIF(会计科目表!$B$6:$B$85,$H21)=0),"收入科目不存在","OK")))))</f>
        <v>OK</v>
      </c>
    </row>
    <row r="22" customFormat="false" ht="15" hidden="false" customHeight="false" outlineLevel="0" collapsed="false">
      <c r="A22" s="39" t="s">
        <v>421</v>
      </c>
      <c r="B22" s="32" t="s">
        <v>422</v>
      </c>
      <c r="C22" s="41" t="s">
        <v>423</v>
      </c>
      <c r="D22" s="33" t="s">
        <v>424</v>
      </c>
      <c r="E22" s="33" t="s">
        <v>112</v>
      </c>
      <c r="F22" s="33" t="s">
        <v>366</v>
      </c>
      <c r="G22" s="33" t="s">
        <v>198</v>
      </c>
      <c r="H22" s="33" t="s">
        <v>245</v>
      </c>
      <c r="I22" s="33" t="s">
        <v>254</v>
      </c>
      <c r="J22" s="29" t="n">
        <v>0.13</v>
      </c>
      <c r="K22" s="39"/>
      <c r="L22" s="40" t="n">
        <f aca="false">IF($A22="","",SUMIFS(进销存台账!$U$6:$U$65,进销存台账!$B$6:$B$65,$A22,进销存台账!$A$6:$A$65,$E22))</f>
        <v>13113.51</v>
      </c>
      <c r="M22" s="25" t="str">
        <f aca="false">IF($A22="","",IF(COUNTIF($A$6:$A$65,$A22)&gt;1,"编码重复",IF($B22="","缺名称",IF(COUNTIF(会计科目表!$B$6:$B$85,$G22)=0,"存货科目不存在",IF(AND($F22&lt;&gt;"原材料",COUNTIF(会计科目表!$B$6:$B$85,$H22)=0),"收入科目不存在","OK")))))</f>
        <v>OK</v>
      </c>
    </row>
    <row r="23" customFormat="false" ht="15" hidden="false" customHeight="false" outlineLevel="0" collapsed="false">
      <c r="A23" s="39" t="s">
        <v>425</v>
      </c>
      <c r="B23" s="32" t="s">
        <v>426</v>
      </c>
      <c r="C23" s="41" t="s">
        <v>427</v>
      </c>
      <c r="D23" s="33" t="s">
        <v>424</v>
      </c>
      <c r="E23" s="33" t="s">
        <v>112</v>
      </c>
      <c r="F23" s="33" t="s">
        <v>366</v>
      </c>
      <c r="G23" s="33" t="s">
        <v>198</v>
      </c>
      <c r="H23" s="33" t="s">
        <v>245</v>
      </c>
      <c r="I23" s="33" t="s">
        <v>254</v>
      </c>
      <c r="J23" s="29" t="n">
        <v>0.13</v>
      </c>
      <c r="K23" s="39"/>
      <c r="L23" s="40" t="n">
        <f aca="false">IF($A23="","",SUMIFS(进销存台账!$U$6:$U$65,进销存台账!$B$6:$B$65,$A23,进销存台账!$A$6:$A$65,$E23))</f>
        <v>0</v>
      </c>
      <c r="M23" s="25" t="str">
        <f aca="false">IF($A23="","",IF(COUNTIF($A$6:$A$65,$A23)&gt;1,"编码重复",IF($B23="","缺名称",IF(COUNTIF(会计科目表!$B$6:$B$85,$G23)=0,"存货科目不存在",IF(AND($F23&lt;&gt;"原材料",COUNTIF(会计科目表!$B$6:$B$85,$H23)=0),"收入科目不存在","OK")))))</f>
        <v>OK</v>
      </c>
    </row>
    <row r="24" customFormat="false" ht="15" hidden="false" customHeight="false" outlineLevel="0" collapsed="false">
      <c r="A24" s="39" t="s">
        <v>428</v>
      </c>
      <c r="B24" s="32" t="s">
        <v>429</v>
      </c>
      <c r="C24" s="41" t="s">
        <v>430</v>
      </c>
      <c r="D24" s="33" t="s">
        <v>424</v>
      </c>
      <c r="E24" s="33" t="s">
        <v>112</v>
      </c>
      <c r="F24" s="33" t="s">
        <v>366</v>
      </c>
      <c r="G24" s="33" t="s">
        <v>198</v>
      </c>
      <c r="H24" s="33" t="s">
        <v>245</v>
      </c>
      <c r="I24" s="33" t="s">
        <v>254</v>
      </c>
      <c r="J24" s="29" t="n">
        <v>0.13</v>
      </c>
      <c r="K24" s="32" t="s">
        <v>431</v>
      </c>
      <c r="L24" s="40" t="n">
        <f aca="false">IF($A24="","",SUMIFS(进销存台账!$U$6:$U$65,进销存台账!$B$6:$B$65,$A24,进销存台账!$A$6:$A$65,$E24))</f>
        <v>2475.52</v>
      </c>
      <c r="M24" s="25" t="str">
        <f aca="false">IF($A24="","",IF(COUNTIF($A$6:$A$65,$A24)&gt;1,"编码重复",IF($B24="","缺名称",IF(COUNTIF(会计科目表!$B$6:$B$85,$G24)=0,"存货科目不存在",IF(AND($F24&lt;&gt;"原材料",COUNTIF(会计科目表!$B$6:$B$85,$H24)=0),"收入科目不存在","OK")))))</f>
        <v>OK</v>
      </c>
    </row>
    <row r="25" customFormat="false" ht="15" hidden="false" customHeight="false" outlineLevel="0" collapsed="false">
      <c r="A25" s="39" t="s">
        <v>432</v>
      </c>
      <c r="B25" s="32" t="s">
        <v>433</v>
      </c>
      <c r="C25" s="41" t="s">
        <v>434</v>
      </c>
      <c r="D25" s="33" t="s">
        <v>435</v>
      </c>
      <c r="E25" s="33" t="s">
        <v>112</v>
      </c>
      <c r="F25" s="33" t="s">
        <v>366</v>
      </c>
      <c r="G25" s="33" t="s">
        <v>198</v>
      </c>
      <c r="H25" s="33" t="s">
        <v>245</v>
      </c>
      <c r="I25" s="33" t="s">
        <v>254</v>
      </c>
      <c r="J25" s="29" t="n">
        <v>0.13</v>
      </c>
      <c r="K25" s="39"/>
      <c r="L25" s="40" t="n">
        <f aca="false">IF($A25="","",SUMIFS(进销存台账!$U$6:$U$65,进销存台账!$B$6:$B$65,$A25,进销存台账!$A$6:$A$65,$E25))</f>
        <v>2362.97</v>
      </c>
      <c r="M25" s="25" t="str">
        <f aca="false">IF($A25="","",IF(COUNTIF($A$6:$A$65,$A25)&gt;1,"编码重复",IF($B25="","缺名称",IF(COUNTIF(会计科目表!$B$6:$B$85,$G25)=0,"存货科目不存在",IF(AND($F25&lt;&gt;"原材料",COUNTIF(会计科目表!$B$6:$B$85,$H25)=0),"收入科目不存在","OK")))))</f>
        <v>OK</v>
      </c>
    </row>
    <row r="26" customFormat="false" ht="15" hidden="false" customHeight="false" outlineLevel="0" collapsed="false">
      <c r="A26" s="39" t="s">
        <v>436</v>
      </c>
      <c r="B26" s="32" t="s">
        <v>437</v>
      </c>
      <c r="C26" s="41" t="s">
        <v>438</v>
      </c>
      <c r="D26" s="33" t="s">
        <v>439</v>
      </c>
      <c r="E26" s="33" t="s">
        <v>112</v>
      </c>
      <c r="F26" s="33" t="s">
        <v>366</v>
      </c>
      <c r="G26" s="33" t="s">
        <v>198</v>
      </c>
      <c r="H26" s="33" t="s">
        <v>245</v>
      </c>
      <c r="I26" s="33" t="s">
        <v>254</v>
      </c>
      <c r="J26" s="29" t="n">
        <v>0.13</v>
      </c>
      <c r="K26" s="39"/>
      <c r="L26" s="40" t="n">
        <f aca="false">IF($A26="","",SUMIFS(进销存台账!$U$6:$U$65,进销存台账!$B$6:$B$65,$A26,进销存台账!$A$6:$A$65,$E26))</f>
        <v>0</v>
      </c>
      <c r="M26" s="25" t="str">
        <f aca="false">IF($A26="","",IF(COUNTIF($A$6:$A$65,$A26)&gt;1,"编码重复",IF($B26="","缺名称",IF(COUNTIF(会计科目表!$B$6:$B$85,$G26)=0,"存货科目不存在",IF(AND($F26&lt;&gt;"原材料",COUNTIF(会计科目表!$B$6:$B$85,$H26)=0),"收入科目不存在","OK")))))</f>
        <v>OK</v>
      </c>
    </row>
    <row r="27" customFormat="false" ht="15" hidden="false" customHeight="false" outlineLevel="0" collapsed="false">
      <c r="A27" s="39" t="s">
        <v>440</v>
      </c>
      <c r="B27" s="32" t="s">
        <v>441</v>
      </c>
      <c r="C27" s="39"/>
      <c r="D27" s="33" t="s">
        <v>439</v>
      </c>
      <c r="E27" s="33" t="s">
        <v>112</v>
      </c>
      <c r="F27" s="33" t="s">
        <v>366</v>
      </c>
      <c r="G27" s="33" t="s">
        <v>198</v>
      </c>
      <c r="H27" s="33" t="s">
        <v>245</v>
      </c>
      <c r="I27" s="33" t="s">
        <v>254</v>
      </c>
      <c r="J27" s="29" t="n">
        <v>0.13</v>
      </c>
      <c r="K27" s="39"/>
      <c r="L27" s="40" t="n">
        <f aca="false">IF($A27="","",SUMIFS(进销存台账!$U$6:$U$65,进销存台账!$B$6:$B$65,$A27,进销存台账!$A$6:$A$65,$E27))</f>
        <v>0</v>
      </c>
      <c r="M27" s="25" t="str">
        <f aca="false">IF($A27="","",IF(COUNTIF($A$6:$A$65,$A27)&gt;1,"编码重复",IF($B27="","缺名称",IF(COUNTIF(会计科目表!$B$6:$B$85,$G27)=0,"存货科目不存在",IF(AND($F27&lt;&gt;"原材料",COUNTIF(会计科目表!$B$6:$B$85,$H27)=0),"收入科目不存在","OK")))))</f>
        <v>OK</v>
      </c>
    </row>
    <row r="28" customFormat="false" ht="15" hidden="false" customHeight="false" outlineLevel="0" collapsed="false">
      <c r="A28" s="39" t="s">
        <v>442</v>
      </c>
      <c r="B28" s="32" t="s">
        <v>375</v>
      </c>
      <c r="C28" s="32" t="s">
        <v>376</v>
      </c>
      <c r="D28" s="33" t="s">
        <v>371</v>
      </c>
      <c r="E28" s="33" t="s">
        <v>112</v>
      </c>
      <c r="F28" s="33" t="s">
        <v>196</v>
      </c>
      <c r="G28" s="33" t="s">
        <v>196</v>
      </c>
      <c r="H28" s="33"/>
      <c r="I28" s="33"/>
      <c r="J28" s="29" t="n">
        <v>0.09</v>
      </c>
      <c r="K28" s="32" t="s">
        <v>443</v>
      </c>
      <c r="L28" s="40" t="n">
        <f aca="false">IF($A28="","",SUMIFS(进销存台账!$U$6:$U$65,进销存台账!$B$6:$B$65,$A28,进销存台账!$A$6:$A$65,$E28))</f>
        <v>2690.91</v>
      </c>
      <c r="M28" s="25" t="str">
        <f aca="false">IF($A28="","",IF(COUNTIF($A$6:$A$65,$A28)&gt;1,"编码重复",IF($B28="","缺名称",IF(COUNTIF(会计科目表!$B$6:$B$85,$G28)=0,"存货科目不存在",IF(AND($F28&lt;&gt;"原材料",COUNTIF(会计科目表!$B$6:$B$85,$H28)=0),"收入科目不存在","OK")))))</f>
        <v>OK</v>
      </c>
    </row>
    <row r="29" customFormat="false" ht="15" hidden="false" customHeight="false" outlineLevel="0" collapsed="false">
      <c r="A29" s="39" t="s">
        <v>444</v>
      </c>
      <c r="B29" s="32" t="s">
        <v>445</v>
      </c>
      <c r="C29" s="41" t="s">
        <v>446</v>
      </c>
      <c r="D29" s="33" t="s">
        <v>447</v>
      </c>
      <c r="E29" s="33" t="s">
        <v>112</v>
      </c>
      <c r="F29" s="33" t="s">
        <v>196</v>
      </c>
      <c r="G29" s="33" t="s">
        <v>196</v>
      </c>
      <c r="H29" s="33"/>
      <c r="I29" s="33"/>
      <c r="J29" s="29" t="n">
        <v>0.13</v>
      </c>
      <c r="K29" s="39"/>
      <c r="L29" s="40" t="n">
        <f aca="false">IF($A29="","",SUMIFS(进销存台账!$U$6:$U$65,进销存台账!$B$6:$B$65,$A29,进销存台账!$A$6:$A$65,$E29))</f>
        <v>18742.86</v>
      </c>
      <c r="M29" s="25" t="str">
        <f aca="false">IF($A29="","",IF(COUNTIF($A$6:$A$65,$A29)&gt;1,"编码重复",IF($B29="","缺名称",IF(COUNTIF(会计科目表!$B$6:$B$85,$G29)=0,"存货科目不存在",IF(AND($F29&lt;&gt;"原材料",COUNTIF(会计科目表!$B$6:$B$85,$H29)=0),"收入科目不存在","OK")))))</f>
        <v>OK</v>
      </c>
    </row>
    <row r="30" customFormat="false" ht="15" hidden="false" customHeight="false" outlineLevel="0" collapsed="false">
      <c r="A30" s="39" t="s">
        <v>448</v>
      </c>
      <c r="B30" s="32" t="s">
        <v>449</v>
      </c>
      <c r="C30" s="39"/>
      <c r="D30" s="33" t="s">
        <v>447</v>
      </c>
      <c r="E30" s="33" t="s">
        <v>112</v>
      </c>
      <c r="F30" s="33" t="s">
        <v>196</v>
      </c>
      <c r="G30" s="33" t="s">
        <v>196</v>
      </c>
      <c r="H30" s="33"/>
      <c r="I30" s="33"/>
      <c r="J30" s="29" t="n">
        <v>0.13</v>
      </c>
      <c r="K30" s="39"/>
      <c r="L30" s="40" t="n">
        <f aca="false">IF($A30="","",SUMIFS(进销存台账!$U$6:$U$65,进销存台账!$B$6:$B$65,$A30,进销存台账!$A$6:$A$65,$E30))</f>
        <v>4696.36</v>
      </c>
      <c r="M30" s="25" t="str">
        <f aca="false">IF($A30="","",IF(COUNTIF($A$6:$A$65,$A30)&gt;1,"编码重复",IF($B30="","缺名称",IF(COUNTIF(会计科目表!$B$6:$B$85,$G30)=0,"存货科目不存在",IF(AND($F30&lt;&gt;"原材料",COUNTIF(会计科目表!$B$6:$B$85,$H30)=0),"收入科目不存在","OK")))))</f>
        <v>OK</v>
      </c>
    </row>
    <row r="31" customFormat="false" ht="15" hidden="false" customHeight="false" outlineLevel="0" collapsed="false">
      <c r="A31" s="39"/>
      <c r="B31" s="39"/>
      <c r="C31" s="39"/>
      <c r="D31" s="39"/>
      <c r="E31" s="33"/>
      <c r="F31" s="33"/>
      <c r="G31" s="33"/>
      <c r="H31" s="33"/>
      <c r="I31" s="33"/>
      <c r="J31" s="29"/>
      <c r="K31" s="39"/>
      <c r="L31" s="40" t="str">
        <f aca="false">IF($A31="","",SUMIFS(进销存台账!$U$6:$U$65,进销存台账!$B$6:$B$65,$A31,进销存台账!$A$6:$A$65,$E31))</f>
        <v/>
      </c>
      <c r="M31" s="25" t="str">
        <f aca="false">IF($A31="","",IF(COUNTIF($A$6:$A$65,$A31)&gt;1,"编码重复",IF($B31="","缺名称",IF(COUNTIF(会计科目表!$B$6:$B$85,$G31)=0,"存货科目不存在",IF(AND($F31&lt;&gt;"原材料",COUNTIF(会计科目表!$B$6:$B$85,$H31)=0),"收入科目不存在","OK")))))</f>
        <v/>
      </c>
    </row>
    <row r="32" customFormat="false" ht="15" hidden="false" customHeight="false" outlineLevel="0" collapsed="false">
      <c r="A32" s="39"/>
      <c r="B32" s="39"/>
      <c r="C32" s="39"/>
      <c r="D32" s="39"/>
      <c r="E32" s="33"/>
      <c r="F32" s="33"/>
      <c r="G32" s="33"/>
      <c r="H32" s="33"/>
      <c r="I32" s="33"/>
      <c r="J32" s="29"/>
      <c r="K32" s="39"/>
      <c r="L32" s="40" t="str">
        <f aca="false">IF($A32="","",SUMIFS(进销存台账!$U$6:$U$65,进销存台账!$B$6:$B$65,$A32,进销存台账!$A$6:$A$65,$E32))</f>
        <v/>
      </c>
      <c r="M32" s="25" t="str">
        <f aca="false">IF($A32="","",IF(COUNTIF($A$6:$A$65,$A32)&gt;1,"编码重复",IF($B32="","缺名称",IF(COUNTIF(会计科目表!$B$6:$B$85,$G32)=0,"存货科目不存在",IF(AND($F32&lt;&gt;"原材料",COUNTIF(会计科目表!$B$6:$B$85,$H32)=0),"收入科目不存在","OK")))))</f>
        <v/>
      </c>
    </row>
    <row r="33" customFormat="false" ht="15" hidden="false" customHeight="false" outlineLevel="0" collapsed="false">
      <c r="A33" s="39"/>
      <c r="B33" s="39"/>
      <c r="C33" s="39"/>
      <c r="D33" s="39"/>
      <c r="E33" s="33"/>
      <c r="F33" s="33"/>
      <c r="G33" s="33"/>
      <c r="H33" s="33"/>
      <c r="I33" s="33"/>
      <c r="J33" s="29"/>
      <c r="K33" s="39"/>
      <c r="L33" s="40" t="str">
        <f aca="false">IF($A33="","",SUMIFS(进销存台账!$U$6:$U$65,进销存台账!$B$6:$B$65,$A33,进销存台账!$A$6:$A$65,$E33))</f>
        <v/>
      </c>
      <c r="M33" s="25" t="str">
        <f aca="false">IF($A33="","",IF(COUNTIF($A$6:$A$65,$A33)&gt;1,"编码重复",IF($B33="","缺名称",IF(COUNTIF(会计科目表!$B$6:$B$85,$G33)=0,"存货科目不存在",IF(AND($F33&lt;&gt;"原材料",COUNTIF(会计科目表!$B$6:$B$85,$H33)=0),"收入科目不存在","OK")))))</f>
        <v/>
      </c>
    </row>
    <row r="34" customFormat="false" ht="15" hidden="false" customHeight="false" outlineLevel="0" collapsed="false">
      <c r="A34" s="39"/>
      <c r="B34" s="39"/>
      <c r="C34" s="39"/>
      <c r="D34" s="39"/>
      <c r="E34" s="33"/>
      <c r="F34" s="33"/>
      <c r="G34" s="33"/>
      <c r="H34" s="33"/>
      <c r="I34" s="33"/>
      <c r="J34" s="29"/>
      <c r="K34" s="39"/>
      <c r="L34" s="40" t="str">
        <f aca="false">IF($A34="","",SUMIFS(进销存台账!$U$6:$U$65,进销存台账!$B$6:$B$65,$A34,进销存台账!$A$6:$A$65,$E34))</f>
        <v/>
      </c>
      <c r="M34" s="25" t="str">
        <f aca="false">IF($A34="","",IF(COUNTIF($A$6:$A$65,$A34)&gt;1,"编码重复",IF($B34="","缺名称",IF(COUNTIF(会计科目表!$B$6:$B$85,$G34)=0,"存货科目不存在",IF(AND($F34&lt;&gt;"原材料",COUNTIF(会计科目表!$B$6:$B$85,$H34)=0),"收入科目不存在","OK")))))</f>
        <v/>
      </c>
    </row>
    <row r="35" customFormat="false" ht="15" hidden="false" customHeight="false" outlineLevel="0" collapsed="false">
      <c r="A35" s="39"/>
      <c r="B35" s="39"/>
      <c r="C35" s="39"/>
      <c r="D35" s="39"/>
      <c r="E35" s="33"/>
      <c r="F35" s="33"/>
      <c r="G35" s="33"/>
      <c r="H35" s="33"/>
      <c r="I35" s="33"/>
      <c r="J35" s="29"/>
      <c r="K35" s="39"/>
      <c r="L35" s="40" t="str">
        <f aca="false">IF($A35="","",SUMIFS(进销存台账!$U$6:$U$65,进销存台账!$B$6:$B$65,$A35,进销存台账!$A$6:$A$65,$E35))</f>
        <v/>
      </c>
      <c r="M35" s="25" t="str">
        <f aca="false">IF($A35="","",IF(COUNTIF($A$6:$A$65,$A35)&gt;1,"编码重复",IF($B35="","缺名称",IF(COUNTIF(会计科目表!$B$6:$B$85,$G35)=0,"存货科目不存在",IF(AND($F35&lt;&gt;"原材料",COUNTIF(会计科目表!$B$6:$B$85,$H35)=0),"收入科目不存在","OK")))))</f>
        <v/>
      </c>
    </row>
    <row r="36" customFormat="false" ht="15" hidden="false" customHeight="false" outlineLevel="0" collapsed="false">
      <c r="A36" s="39"/>
      <c r="B36" s="39"/>
      <c r="C36" s="39"/>
      <c r="D36" s="39"/>
      <c r="E36" s="33"/>
      <c r="F36" s="33"/>
      <c r="G36" s="33"/>
      <c r="H36" s="33"/>
      <c r="I36" s="33"/>
      <c r="J36" s="29"/>
      <c r="K36" s="39"/>
      <c r="L36" s="40" t="str">
        <f aca="false">IF($A36="","",SUMIFS(进销存台账!$U$6:$U$65,进销存台账!$B$6:$B$65,$A36,进销存台账!$A$6:$A$65,$E36))</f>
        <v/>
      </c>
      <c r="M36" s="25" t="str">
        <f aca="false">IF($A36="","",IF(COUNTIF($A$6:$A$65,$A36)&gt;1,"编码重复",IF($B36="","缺名称",IF(COUNTIF(会计科目表!$B$6:$B$85,$G36)=0,"存货科目不存在",IF(AND($F36&lt;&gt;"原材料",COUNTIF(会计科目表!$B$6:$B$85,$H36)=0),"收入科目不存在","OK")))))</f>
        <v/>
      </c>
    </row>
    <row r="37" customFormat="false" ht="15" hidden="false" customHeight="false" outlineLevel="0" collapsed="false">
      <c r="A37" s="39"/>
      <c r="B37" s="39"/>
      <c r="C37" s="39"/>
      <c r="D37" s="39"/>
      <c r="E37" s="33"/>
      <c r="F37" s="33"/>
      <c r="G37" s="33"/>
      <c r="H37" s="33"/>
      <c r="I37" s="33"/>
      <c r="J37" s="29"/>
      <c r="K37" s="39"/>
      <c r="L37" s="40" t="str">
        <f aca="false">IF($A37="","",SUMIFS(进销存台账!$U$6:$U$65,进销存台账!$B$6:$B$65,$A37,进销存台账!$A$6:$A$65,$E37))</f>
        <v/>
      </c>
      <c r="M37" s="25" t="str">
        <f aca="false">IF($A37="","",IF(COUNTIF($A$6:$A$65,$A37)&gt;1,"编码重复",IF($B37="","缺名称",IF(COUNTIF(会计科目表!$B$6:$B$85,$G37)=0,"存货科目不存在",IF(AND($F37&lt;&gt;"原材料",COUNTIF(会计科目表!$B$6:$B$85,$H37)=0),"收入科目不存在","OK")))))</f>
        <v/>
      </c>
    </row>
    <row r="38" customFormat="false" ht="15" hidden="false" customHeight="false" outlineLevel="0" collapsed="false">
      <c r="A38" s="39"/>
      <c r="B38" s="39"/>
      <c r="C38" s="39"/>
      <c r="D38" s="39"/>
      <c r="E38" s="33"/>
      <c r="F38" s="33"/>
      <c r="G38" s="33"/>
      <c r="H38" s="33"/>
      <c r="I38" s="33"/>
      <c r="J38" s="29"/>
      <c r="K38" s="39"/>
      <c r="L38" s="40" t="str">
        <f aca="false">IF($A38="","",SUMIFS(进销存台账!$U$6:$U$65,进销存台账!$B$6:$B$65,$A38,进销存台账!$A$6:$A$65,$E38))</f>
        <v/>
      </c>
      <c r="M38" s="25" t="str">
        <f aca="false">IF($A38="","",IF(COUNTIF($A$6:$A$65,$A38)&gt;1,"编码重复",IF($B38="","缺名称",IF(COUNTIF(会计科目表!$B$6:$B$85,$G38)=0,"存货科目不存在",IF(AND($F38&lt;&gt;"原材料",COUNTIF(会计科目表!$B$6:$B$85,$H38)=0),"收入科目不存在","OK")))))</f>
        <v/>
      </c>
    </row>
    <row r="39" customFormat="false" ht="15" hidden="false" customHeight="false" outlineLevel="0" collapsed="false">
      <c r="A39" s="39"/>
      <c r="B39" s="39"/>
      <c r="C39" s="39"/>
      <c r="D39" s="39"/>
      <c r="E39" s="33"/>
      <c r="F39" s="33"/>
      <c r="G39" s="33"/>
      <c r="H39" s="33"/>
      <c r="I39" s="33"/>
      <c r="J39" s="29"/>
      <c r="K39" s="39"/>
      <c r="L39" s="40" t="str">
        <f aca="false">IF($A39="","",SUMIFS(进销存台账!$U$6:$U$65,进销存台账!$B$6:$B$65,$A39,进销存台账!$A$6:$A$65,$E39))</f>
        <v/>
      </c>
      <c r="M39" s="25" t="str">
        <f aca="false">IF($A39="","",IF(COUNTIF($A$6:$A$65,$A39)&gt;1,"编码重复",IF($B39="","缺名称",IF(COUNTIF(会计科目表!$B$6:$B$85,$G39)=0,"存货科目不存在",IF(AND($F39&lt;&gt;"原材料",COUNTIF(会计科目表!$B$6:$B$85,$H39)=0),"收入科目不存在","OK")))))</f>
        <v/>
      </c>
    </row>
    <row r="40" customFormat="false" ht="15" hidden="false" customHeight="false" outlineLevel="0" collapsed="false">
      <c r="A40" s="39"/>
      <c r="B40" s="39"/>
      <c r="C40" s="39"/>
      <c r="D40" s="39"/>
      <c r="E40" s="33"/>
      <c r="F40" s="33"/>
      <c r="G40" s="33"/>
      <c r="H40" s="33"/>
      <c r="I40" s="33"/>
      <c r="J40" s="29"/>
      <c r="K40" s="39"/>
      <c r="L40" s="40" t="str">
        <f aca="false">IF($A40="","",SUMIFS(进销存台账!$U$6:$U$65,进销存台账!$B$6:$B$65,$A40,进销存台账!$A$6:$A$65,$E40))</f>
        <v/>
      </c>
      <c r="M40" s="25" t="str">
        <f aca="false">IF($A40="","",IF(COUNTIF($A$6:$A$65,$A40)&gt;1,"编码重复",IF($B40="","缺名称",IF(COUNTIF(会计科目表!$B$6:$B$85,$G40)=0,"存货科目不存在",IF(AND($F40&lt;&gt;"原材料",COUNTIF(会计科目表!$B$6:$B$85,$H40)=0),"收入科目不存在","OK")))))</f>
        <v/>
      </c>
    </row>
    <row r="41" customFormat="false" ht="15" hidden="false" customHeight="false" outlineLevel="0" collapsed="false">
      <c r="A41" s="39"/>
      <c r="B41" s="39"/>
      <c r="C41" s="39"/>
      <c r="D41" s="39"/>
      <c r="E41" s="33"/>
      <c r="F41" s="33"/>
      <c r="G41" s="33"/>
      <c r="H41" s="33"/>
      <c r="I41" s="33"/>
      <c r="J41" s="29"/>
      <c r="K41" s="39"/>
      <c r="L41" s="40" t="str">
        <f aca="false">IF($A41="","",SUMIFS(进销存台账!$U$6:$U$65,进销存台账!$B$6:$B$65,$A41,进销存台账!$A$6:$A$65,$E41))</f>
        <v/>
      </c>
      <c r="M41" s="25" t="str">
        <f aca="false">IF($A41="","",IF(COUNTIF($A$6:$A$65,$A41)&gt;1,"编码重复",IF($B41="","缺名称",IF(COUNTIF(会计科目表!$B$6:$B$85,$G41)=0,"存货科目不存在",IF(AND($F41&lt;&gt;"原材料",COUNTIF(会计科目表!$B$6:$B$85,$H41)=0),"收入科目不存在","OK")))))</f>
        <v/>
      </c>
    </row>
    <row r="42" customFormat="false" ht="15" hidden="false" customHeight="false" outlineLevel="0" collapsed="false">
      <c r="A42" s="39"/>
      <c r="B42" s="39"/>
      <c r="C42" s="39"/>
      <c r="D42" s="39"/>
      <c r="E42" s="33"/>
      <c r="F42" s="33"/>
      <c r="G42" s="33"/>
      <c r="H42" s="33"/>
      <c r="I42" s="33"/>
      <c r="J42" s="29"/>
      <c r="K42" s="39"/>
      <c r="L42" s="40" t="str">
        <f aca="false">IF($A42="","",SUMIFS(进销存台账!$U$6:$U$65,进销存台账!$B$6:$B$65,$A42,进销存台账!$A$6:$A$65,$E42))</f>
        <v/>
      </c>
      <c r="M42" s="25" t="str">
        <f aca="false">IF($A42="","",IF(COUNTIF($A$6:$A$65,$A42)&gt;1,"编码重复",IF($B42="","缺名称",IF(COUNTIF(会计科目表!$B$6:$B$85,$G42)=0,"存货科目不存在",IF(AND($F42&lt;&gt;"原材料",COUNTIF(会计科目表!$B$6:$B$85,$H42)=0),"收入科目不存在","OK")))))</f>
        <v/>
      </c>
    </row>
    <row r="43" customFormat="false" ht="15" hidden="false" customHeight="false" outlineLevel="0" collapsed="false">
      <c r="A43" s="39"/>
      <c r="B43" s="39"/>
      <c r="C43" s="39"/>
      <c r="D43" s="39"/>
      <c r="E43" s="33"/>
      <c r="F43" s="33"/>
      <c r="G43" s="33"/>
      <c r="H43" s="33"/>
      <c r="I43" s="33"/>
      <c r="J43" s="29"/>
      <c r="K43" s="39"/>
      <c r="L43" s="40" t="str">
        <f aca="false">IF($A43="","",SUMIFS(进销存台账!$U$6:$U$65,进销存台账!$B$6:$B$65,$A43,进销存台账!$A$6:$A$65,$E43))</f>
        <v/>
      </c>
      <c r="M43" s="25" t="str">
        <f aca="false">IF($A43="","",IF(COUNTIF($A$6:$A$65,$A43)&gt;1,"编码重复",IF($B43="","缺名称",IF(COUNTIF(会计科目表!$B$6:$B$85,$G43)=0,"存货科目不存在",IF(AND($F43&lt;&gt;"原材料",COUNTIF(会计科目表!$B$6:$B$85,$H43)=0),"收入科目不存在","OK")))))</f>
        <v/>
      </c>
    </row>
    <row r="44" customFormat="false" ht="15" hidden="false" customHeight="false" outlineLevel="0" collapsed="false">
      <c r="A44" s="39"/>
      <c r="B44" s="39"/>
      <c r="C44" s="39"/>
      <c r="D44" s="39"/>
      <c r="E44" s="33"/>
      <c r="F44" s="33"/>
      <c r="G44" s="33"/>
      <c r="H44" s="33"/>
      <c r="I44" s="33"/>
      <c r="J44" s="29"/>
      <c r="K44" s="39"/>
      <c r="L44" s="40" t="str">
        <f aca="false">IF($A44="","",SUMIFS(进销存台账!$U$6:$U$65,进销存台账!$B$6:$B$65,$A44,进销存台账!$A$6:$A$65,$E44))</f>
        <v/>
      </c>
      <c r="M44" s="25" t="str">
        <f aca="false">IF($A44="","",IF(COUNTIF($A$6:$A$65,$A44)&gt;1,"编码重复",IF($B44="","缺名称",IF(COUNTIF(会计科目表!$B$6:$B$85,$G44)=0,"存货科目不存在",IF(AND($F44&lt;&gt;"原材料",COUNTIF(会计科目表!$B$6:$B$85,$H44)=0),"收入科目不存在","OK")))))</f>
        <v/>
      </c>
    </row>
    <row r="45" customFormat="false" ht="15" hidden="false" customHeight="false" outlineLevel="0" collapsed="false">
      <c r="A45" s="39"/>
      <c r="B45" s="39"/>
      <c r="C45" s="39"/>
      <c r="D45" s="39"/>
      <c r="E45" s="33"/>
      <c r="F45" s="33"/>
      <c r="G45" s="33"/>
      <c r="H45" s="33"/>
      <c r="I45" s="33"/>
      <c r="J45" s="29"/>
      <c r="K45" s="39"/>
      <c r="L45" s="40" t="str">
        <f aca="false">IF($A45="","",SUMIFS(进销存台账!$U$6:$U$65,进销存台账!$B$6:$B$65,$A45,进销存台账!$A$6:$A$65,$E45))</f>
        <v/>
      </c>
      <c r="M45" s="25" t="str">
        <f aca="false">IF($A45="","",IF(COUNTIF($A$6:$A$65,$A45)&gt;1,"编码重复",IF($B45="","缺名称",IF(COUNTIF(会计科目表!$B$6:$B$85,$G45)=0,"存货科目不存在",IF(AND($F45&lt;&gt;"原材料",COUNTIF(会计科目表!$B$6:$B$85,$H45)=0),"收入科目不存在","OK")))))</f>
        <v/>
      </c>
    </row>
    <row r="46" customFormat="false" ht="15" hidden="false" customHeight="false" outlineLevel="0" collapsed="false">
      <c r="A46" s="39"/>
      <c r="B46" s="39"/>
      <c r="C46" s="39"/>
      <c r="D46" s="39"/>
      <c r="E46" s="33"/>
      <c r="F46" s="33"/>
      <c r="G46" s="33"/>
      <c r="H46" s="33"/>
      <c r="I46" s="33"/>
      <c r="J46" s="29"/>
      <c r="K46" s="39"/>
      <c r="L46" s="40" t="str">
        <f aca="false">IF($A46="","",SUMIFS(进销存台账!$U$6:$U$65,进销存台账!$B$6:$B$65,$A46,进销存台账!$A$6:$A$65,$E46))</f>
        <v/>
      </c>
      <c r="M46" s="25" t="str">
        <f aca="false">IF($A46="","",IF(COUNTIF($A$6:$A$65,$A46)&gt;1,"编码重复",IF($B46="","缺名称",IF(COUNTIF(会计科目表!$B$6:$B$85,$G46)=0,"存货科目不存在",IF(AND($F46&lt;&gt;"原材料",COUNTIF(会计科目表!$B$6:$B$85,$H46)=0),"收入科目不存在","OK")))))</f>
        <v/>
      </c>
    </row>
    <row r="47" customFormat="false" ht="15" hidden="false" customHeight="false" outlineLevel="0" collapsed="false">
      <c r="A47" s="39"/>
      <c r="B47" s="39"/>
      <c r="C47" s="39"/>
      <c r="D47" s="39"/>
      <c r="E47" s="33"/>
      <c r="F47" s="33"/>
      <c r="G47" s="33"/>
      <c r="H47" s="33"/>
      <c r="I47" s="33"/>
      <c r="J47" s="29"/>
      <c r="K47" s="39"/>
      <c r="L47" s="40" t="str">
        <f aca="false">IF($A47="","",SUMIFS(进销存台账!$U$6:$U$65,进销存台账!$B$6:$B$65,$A47,进销存台账!$A$6:$A$65,$E47))</f>
        <v/>
      </c>
      <c r="M47" s="25" t="str">
        <f aca="false">IF($A47="","",IF(COUNTIF($A$6:$A$65,$A47)&gt;1,"编码重复",IF($B47="","缺名称",IF(COUNTIF(会计科目表!$B$6:$B$85,$G47)=0,"存货科目不存在",IF(AND($F47&lt;&gt;"原材料",COUNTIF(会计科目表!$B$6:$B$85,$H47)=0),"收入科目不存在","OK")))))</f>
        <v/>
      </c>
    </row>
    <row r="48" customFormat="false" ht="15" hidden="false" customHeight="false" outlineLevel="0" collapsed="false">
      <c r="A48" s="39"/>
      <c r="B48" s="39"/>
      <c r="C48" s="39"/>
      <c r="D48" s="39"/>
      <c r="E48" s="33"/>
      <c r="F48" s="33"/>
      <c r="G48" s="33"/>
      <c r="H48" s="33"/>
      <c r="I48" s="33"/>
      <c r="J48" s="29"/>
      <c r="K48" s="39"/>
      <c r="L48" s="40" t="str">
        <f aca="false">IF($A48="","",SUMIFS(进销存台账!$U$6:$U$65,进销存台账!$B$6:$B$65,$A48,进销存台账!$A$6:$A$65,$E48))</f>
        <v/>
      </c>
      <c r="M48" s="25" t="str">
        <f aca="false">IF($A48="","",IF(COUNTIF($A$6:$A$65,$A48)&gt;1,"编码重复",IF($B48="","缺名称",IF(COUNTIF(会计科目表!$B$6:$B$85,$G48)=0,"存货科目不存在",IF(AND($F48&lt;&gt;"原材料",COUNTIF(会计科目表!$B$6:$B$85,$H48)=0),"收入科目不存在","OK")))))</f>
        <v/>
      </c>
    </row>
    <row r="49" customFormat="false" ht="15" hidden="false" customHeight="false" outlineLevel="0" collapsed="false">
      <c r="A49" s="39"/>
      <c r="B49" s="39"/>
      <c r="C49" s="39"/>
      <c r="D49" s="39"/>
      <c r="E49" s="33"/>
      <c r="F49" s="33"/>
      <c r="G49" s="33"/>
      <c r="H49" s="33"/>
      <c r="I49" s="33"/>
      <c r="J49" s="29"/>
      <c r="K49" s="39"/>
      <c r="L49" s="40" t="str">
        <f aca="false">IF($A49="","",SUMIFS(进销存台账!$U$6:$U$65,进销存台账!$B$6:$B$65,$A49,进销存台账!$A$6:$A$65,$E49))</f>
        <v/>
      </c>
      <c r="M49" s="25" t="str">
        <f aca="false">IF($A49="","",IF(COUNTIF($A$6:$A$65,$A49)&gt;1,"编码重复",IF($B49="","缺名称",IF(COUNTIF(会计科目表!$B$6:$B$85,$G49)=0,"存货科目不存在",IF(AND($F49&lt;&gt;"原材料",COUNTIF(会计科目表!$B$6:$B$85,$H49)=0),"收入科目不存在","OK")))))</f>
        <v/>
      </c>
    </row>
    <row r="50" customFormat="false" ht="15" hidden="false" customHeight="false" outlineLevel="0" collapsed="false">
      <c r="A50" s="39"/>
      <c r="B50" s="39"/>
      <c r="C50" s="39"/>
      <c r="D50" s="39"/>
      <c r="E50" s="33"/>
      <c r="F50" s="33"/>
      <c r="G50" s="33"/>
      <c r="H50" s="33"/>
      <c r="I50" s="33"/>
      <c r="J50" s="29"/>
      <c r="K50" s="39"/>
      <c r="L50" s="40" t="str">
        <f aca="false">IF($A50="","",SUMIFS(进销存台账!$U$6:$U$65,进销存台账!$B$6:$B$65,$A50,进销存台账!$A$6:$A$65,$E50))</f>
        <v/>
      </c>
      <c r="M50" s="25" t="str">
        <f aca="false">IF($A50="","",IF(COUNTIF($A$6:$A$65,$A50)&gt;1,"编码重复",IF($B50="","缺名称",IF(COUNTIF(会计科目表!$B$6:$B$85,$G50)=0,"存货科目不存在",IF(AND($F50&lt;&gt;"原材料",COUNTIF(会计科目表!$B$6:$B$85,$H50)=0),"收入科目不存在","OK")))))</f>
        <v/>
      </c>
    </row>
    <row r="51" customFormat="false" ht="15" hidden="false" customHeight="false" outlineLevel="0" collapsed="false">
      <c r="A51" s="39"/>
      <c r="B51" s="39"/>
      <c r="C51" s="39"/>
      <c r="D51" s="39"/>
      <c r="E51" s="33"/>
      <c r="F51" s="33"/>
      <c r="G51" s="33"/>
      <c r="H51" s="33"/>
      <c r="I51" s="33"/>
      <c r="J51" s="29"/>
      <c r="K51" s="39"/>
      <c r="L51" s="40" t="str">
        <f aca="false">IF($A51="","",SUMIFS(进销存台账!$U$6:$U$65,进销存台账!$B$6:$B$65,$A51,进销存台账!$A$6:$A$65,$E51))</f>
        <v/>
      </c>
      <c r="M51" s="25" t="str">
        <f aca="false">IF($A51="","",IF(COUNTIF($A$6:$A$65,$A51)&gt;1,"编码重复",IF($B51="","缺名称",IF(COUNTIF(会计科目表!$B$6:$B$85,$G51)=0,"存货科目不存在",IF(AND($F51&lt;&gt;"原材料",COUNTIF(会计科目表!$B$6:$B$85,$H51)=0),"收入科目不存在","OK")))))</f>
        <v/>
      </c>
    </row>
    <row r="52" customFormat="false" ht="15" hidden="false" customHeight="false" outlineLevel="0" collapsed="false">
      <c r="A52" s="39"/>
      <c r="B52" s="39"/>
      <c r="C52" s="39"/>
      <c r="D52" s="39"/>
      <c r="E52" s="33"/>
      <c r="F52" s="33"/>
      <c r="G52" s="33"/>
      <c r="H52" s="33"/>
      <c r="I52" s="33"/>
      <c r="J52" s="29"/>
      <c r="K52" s="39"/>
      <c r="L52" s="40" t="str">
        <f aca="false">IF($A52="","",SUMIFS(进销存台账!$U$6:$U$65,进销存台账!$B$6:$B$65,$A52,进销存台账!$A$6:$A$65,$E52))</f>
        <v/>
      </c>
      <c r="M52" s="25" t="str">
        <f aca="false">IF($A52="","",IF(COUNTIF($A$6:$A$65,$A52)&gt;1,"编码重复",IF($B52="","缺名称",IF(COUNTIF(会计科目表!$B$6:$B$85,$G52)=0,"存货科目不存在",IF(AND($F52&lt;&gt;"原材料",COUNTIF(会计科目表!$B$6:$B$85,$H52)=0),"收入科目不存在","OK")))))</f>
        <v/>
      </c>
    </row>
    <row r="53" customFormat="false" ht="15" hidden="false" customHeight="false" outlineLevel="0" collapsed="false">
      <c r="A53" s="39"/>
      <c r="B53" s="39"/>
      <c r="C53" s="39"/>
      <c r="D53" s="39"/>
      <c r="E53" s="33"/>
      <c r="F53" s="33"/>
      <c r="G53" s="33"/>
      <c r="H53" s="33"/>
      <c r="I53" s="33"/>
      <c r="J53" s="29"/>
      <c r="K53" s="39"/>
      <c r="L53" s="40" t="str">
        <f aca="false">IF($A53="","",SUMIFS(进销存台账!$U$6:$U$65,进销存台账!$B$6:$B$65,$A53,进销存台账!$A$6:$A$65,$E53))</f>
        <v/>
      </c>
      <c r="M53" s="25" t="str">
        <f aca="false">IF($A53="","",IF(COUNTIF($A$6:$A$65,$A53)&gt;1,"编码重复",IF($B53="","缺名称",IF(COUNTIF(会计科目表!$B$6:$B$85,$G53)=0,"存货科目不存在",IF(AND($F53&lt;&gt;"原材料",COUNTIF(会计科目表!$B$6:$B$85,$H53)=0),"收入科目不存在","OK")))))</f>
        <v/>
      </c>
    </row>
    <row r="54" customFormat="false" ht="15" hidden="false" customHeight="false" outlineLevel="0" collapsed="false">
      <c r="A54" s="39"/>
      <c r="B54" s="39"/>
      <c r="C54" s="39"/>
      <c r="D54" s="39"/>
      <c r="E54" s="33"/>
      <c r="F54" s="33"/>
      <c r="G54" s="33"/>
      <c r="H54" s="33"/>
      <c r="I54" s="33"/>
      <c r="J54" s="29"/>
      <c r="K54" s="39"/>
      <c r="L54" s="40" t="str">
        <f aca="false">IF($A54="","",SUMIFS(进销存台账!$U$6:$U$65,进销存台账!$B$6:$B$65,$A54,进销存台账!$A$6:$A$65,$E54))</f>
        <v/>
      </c>
      <c r="M54" s="25" t="str">
        <f aca="false">IF($A54="","",IF(COUNTIF($A$6:$A$65,$A54)&gt;1,"编码重复",IF($B54="","缺名称",IF(COUNTIF(会计科目表!$B$6:$B$85,$G54)=0,"存货科目不存在",IF(AND($F54&lt;&gt;"原材料",COUNTIF(会计科目表!$B$6:$B$85,$H54)=0),"收入科目不存在","OK")))))</f>
        <v/>
      </c>
    </row>
    <row r="55" customFormat="false" ht="15" hidden="false" customHeight="false" outlineLevel="0" collapsed="false">
      <c r="A55" s="39"/>
      <c r="B55" s="39"/>
      <c r="C55" s="39"/>
      <c r="D55" s="39"/>
      <c r="E55" s="33"/>
      <c r="F55" s="33"/>
      <c r="G55" s="33"/>
      <c r="H55" s="33"/>
      <c r="I55" s="33"/>
      <c r="J55" s="29"/>
      <c r="K55" s="39"/>
      <c r="L55" s="40" t="str">
        <f aca="false">IF($A55="","",SUMIFS(进销存台账!$U$6:$U$65,进销存台账!$B$6:$B$65,$A55,进销存台账!$A$6:$A$65,$E55))</f>
        <v/>
      </c>
      <c r="M55" s="25" t="str">
        <f aca="false">IF($A55="","",IF(COUNTIF($A$6:$A$65,$A55)&gt;1,"编码重复",IF($B55="","缺名称",IF(COUNTIF(会计科目表!$B$6:$B$85,$G55)=0,"存货科目不存在",IF(AND($F55&lt;&gt;"原材料",COUNTIF(会计科目表!$B$6:$B$85,$H55)=0),"收入科目不存在","OK")))))</f>
        <v/>
      </c>
    </row>
    <row r="56" customFormat="false" ht="15" hidden="false" customHeight="false" outlineLevel="0" collapsed="false">
      <c r="A56" s="39"/>
      <c r="B56" s="39"/>
      <c r="C56" s="39"/>
      <c r="D56" s="39"/>
      <c r="E56" s="33"/>
      <c r="F56" s="33"/>
      <c r="G56" s="33"/>
      <c r="H56" s="33"/>
      <c r="I56" s="33"/>
      <c r="J56" s="29"/>
      <c r="K56" s="39"/>
      <c r="L56" s="40" t="str">
        <f aca="false">IF($A56="","",SUMIFS(进销存台账!$U$6:$U$65,进销存台账!$B$6:$B$65,$A56,进销存台账!$A$6:$A$65,$E56))</f>
        <v/>
      </c>
      <c r="M56" s="25" t="str">
        <f aca="false">IF($A56="","",IF(COUNTIF($A$6:$A$65,$A56)&gt;1,"编码重复",IF($B56="","缺名称",IF(COUNTIF(会计科目表!$B$6:$B$85,$G56)=0,"存货科目不存在",IF(AND($F56&lt;&gt;"原材料",COUNTIF(会计科目表!$B$6:$B$85,$H56)=0),"收入科目不存在","OK")))))</f>
        <v/>
      </c>
    </row>
    <row r="57" customFormat="false" ht="15" hidden="false" customHeight="false" outlineLevel="0" collapsed="false">
      <c r="A57" s="39"/>
      <c r="B57" s="39"/>
      <c r="C57" s="39"/>
      <c r="D57" s="39"/>
      <c r="E57" s="33"/>
      <c r="F57" s="33"/>
      <c r="G57" s="33"/>
      <c r="H57" s="33"/>
      <c r="I57" s="33"/>
      <c r="J57" s="29"/>
      <c r="K57" s="39"/>
      <c r="L57" s="40" t="str">
        <f aca="false">IF($A57="","",SUMIFS(进销存台账!$U$6:$U$65,进销存台账!$B$6:$B$65,$A57,进销存台账!$A$6:$A$65,$E57))</f>
        <v/>
      </c>
      <c r="M57" s="25" t="str">
        <f aca="false">IF($A57="","",IF(COUNTIF($A$6:$A$65,$A57)&gt;1,"编码重复",IF($B57="","缺名称",IF(COUNTIF(会计科目表!$B$6:$B$85,$G57)=0,"存货科目不存在",IF(AND($F57&lt;&gt;"原材料",COUNTIF(会计科目表!$B$6:$B$85,$H57)=0),"收入科目不存在","OK")))))</f>
        <v/>
      </c>
    </row>
    <row r="58" customFormat="false" ht="15" hidden="false" customHeight="false" outlineLevel="0" collapsed="false">
      <c r="A58" s="39"/>
      <c r="B58" s="39"/>
      <c r="C58" s="39"/>
      <c r="D58" s="39"/>
      <c r="E58" s="33"/>
      <c r="F58" s="33"/>
      <c r="G58" s="33"/>
      <c r="H58" s="33"/>
      <c r="I58" s="33"/>
      <c r="J58" s="29"/>
      <c r="K58" s="39"/>
      <c r="L58" s="40" t="str">
        <f aca="false">IF($A58="","",SUMIFS(进销存台账!$U$6:$U$65,进销存台账!$B$6:$B$65,$A58,进销存台账!$A$6:$A$65,$E58))</f>
        <v/>
      </c>
      <c r="M58" s="25" t="str">
        <f aca="false">IF($A58="","",IF(COUNTIF($A$6:$A$65,$A58)&gt;1,"编码重复",IF($B58="","缺名称",IF(COUNTIF(会计科目表!$B$6:$B$85,$G58)=0,"存货科目不存在",IF(AND($F58&lt;&gt;"原材料",COUNTIF(会计科目表!$B$6:$B$85,$H58)=0),"收入科目不存在","OK")))))</f>
        <v/>
      </c>
    </row>
    <row r="59" customFormat="false" ht="15" hidden="false" customHeight="false" outlineLevel="0" collapsed="false">
      <c r="A59" s="39"/>
      <c r="B59" s="39"/>
      <c r="C59" s="39"/>
      <c r="D59" s="39"/>
      <c r="E59" s="33"/>
      <c r="F59" s="33"/>
      <c r="G59" s="33"/>
      <c r="H59" s="33"/>
      <c r="I59" s="33"/>
      <c r="J59" s="29"/>
      <c r="K59" s="39"/>
      <c r="L59" s="40" t="str">
        <f aca="false">IF($A59="","",SUMIFS(进销存台账!$U$6:$U$65,进销存台账!$B$6:$B$65,$A59,进销存台账!$A$6:$A$65,$E59))</f>
        <v/>
      </c>
      <c r="M59" s="25" t="str">
        <f aca="false">IF($A59="","",IF(COUNTIF($A$6:$A$65,$A59)&gt;1,"编码重复",IF($B59="","缺名称",IF(COUNTIF(会计科目表!$B$6:$B$85,$G59)=0,"存货科目不存在",IF(AND($F59&lt;&gt;"原材料",COUNTIF(会计科目表!$B$6:$B$85,$H59)=0),"收入科目不存在","OK")))))</f>
        <v/>
      </c>
    </row>
    <row r="60" customFormat="false" ht="15" hidden="false" customHeight="false" outlineLevel="0" collapsed="false">
      <c r="A60" s="39"/>
      <c r="B60" s="39"/>
      <c r="C60" s="39"/>
      <c r="D60" s="39"/>
      <c r="E60" s="33"/>
      <c r="F60" s="33"/>
      <c r="G60" s="33"/>
      <c r="H60" s="33"/>
      <c r="I60" s="33"/>
      <c r="J60" s="29"/>
      <c r="K60" s="39"/>
      <c r="L60" s="40" t="str">
        <f aca="false">IF($A60="","",SUMIFS(进销存台账!$U$6:$U$65,进销存台账!$B$6:$B$65,$A60,进销存台账!$A$6:$A$65,$E60))</f>
        <v/>
      </c>
      <c r="M60" s="25" t="str">
        <f aca="false">IF($A60="","",IF(COUNTIF($A$6:$A$65,$A60)&gt;1,"编码重复",IF($B60="","缺名称",IF(COUNTIF(会计科目表!$B$6:$B$85,$G60)=0,"存货科目不存在",IF(AND($F60&lt;&gt;"原材料",COUNTIF(会计科目表!$B$6:$B$85,$H60)=0),"收入科目不存在","OK")))))</f>
        <v/>
      </c>
    </row>
    <row r="61" customFormat="false" ht="15" hidden="false" customHeight="false" outlineLevel="0" collapsed="false">
      <c r="A61" s="39"/>
      <c r="B61" s="39"/>
      <c r="C61" s="39"/>
      <c r="D61" s="39"/>
      <c r="E61" s="33"/>
      <c r="F61" s="33"/>
      <c r="G61" s="33"/>
      <c r="H61" s="33"/>
      <c r="I61" s="33"/>
      <c r="J61" s="29"/>
      <c r="K61" s="39"/>
      <c r="L61" s="40" t="str">
        <f aca="false">IF($A61="","",SUMIFS(进销存台账!$U$6:$U$65,进销存台账!$B$6:$B$65,$A61,进销存台账!$A$6:$A$65,$E61))</f>
        <v/>
      </c>
      <c r="M61" s="25" t="str">
        <f aca="false">IF($A61="","",IF(COUNTIF($A$6:$A$65,$A61)&gt;1,"编码重复",IF($B61="","缺名称",IF(COUNTIF(会计科目表!$B$6:$B$85,$G61)=0,"存货科目不存在",IF(AND($F61&lt;&gt;"原材料",COUNTIF(会计科目表!$B$6:$B$85,$H61)=0),"收入科目不存在","OK")))))</f>
        <v/>
      </c>
    </row>
    <row r="62" customFormat="false" ht="15" hidden="false" customHeight="false" outlineLevel="0" collapsed="false">
      <c r="A62" s="39"/>
      <c r="B62" s="39"/>
      <c r="C62" s="39"/>
      <c r="D62" s="39"/>
      <c r="E62" s="33"/>
      <c r="F62" s="33"/>
      <c r="G62" s="33"/>
      <c r="H62" s="33"/>
      <c r="I62" s="33"/>
      <c r="J62" s="29"/>
      <c r="K62" s="39"/>
      <c r="L62" s="40" t="str">
        <f aca="false">IF($A62="","",SUMIFS(进销存台账!$U$6:$U$65,进销存台账!$B$6:$B$65,$A62,进销存台账!$A$6:$A$65,$E62))</f>
        <v/>
      </c>
      <c r="M62" s="25" t="str">
        <f aca="false">IF($A62="","",IF(COUNTIF($A$6:$A$65,$A62)&gt;1,"编码重复",IF($B62="","缺名称",IF(COUNTIF(会计科目表!$B$6:$B$85,$G62)=0,"存货科目不存在",IF(AND($F62&lt;&gt;"原材料",COUNTIF(会计科目表!$B$6:$B$85,$H62)=0),"收入科目不存在","OK")))))</f>
        <v/>
      </c>
    </row>
    <row r="63" customFormat="false" ht="15" hidden="false" customHeight="false" outlineLevel="0" collapsed="false">
      <c r="A63" s="39"/>
      <c r="B63" s="39"/>
      <c r="C63" s="39"/>
      <c r="D63" s="39"/>
      <c r="E63" s="33"/>
      <c r="F63" s="33"/>
      <c r="G63" s="33"/>
      <c r="H63" s="33"/>
      <c r="I63" s="33"/>
      <c r="J63" s="29"/>
      <c r="K63" s="39"/>
      <c r="L63" s="40" t="str">
        <f aca="false">IF($A63="","",SUMIFS(进销存台账!$U$6:$U$65,进销存台账!$B$6:$B$65,$A63,进销存台账!$A$6:$A$65,$E63))</f>
        <v/>
      </c>
      <c r="M63" s="25" t="str">
        <f aca="false">IF($A63="","",IF(COUNTIF($A$6:$A$65,$A63)&gt;1,"编码重复",IF($B63="","缺名称",IF(COUNTIF(会计科目表!$B$6:$B$85,$G63)=0,"存货科目不存在",IF(AND($F63&lt;&gt;"原材料",COUNTIF(会计科目表!$B$6:$B$85,$H63)=0),"收入科目不存在","OK")))))</f>
        <v/>
      </c>
    </row>
    <row r="64" customFormat="false" ht="15" hidden="false" customHeight="false" outlineLevel="0" collapsed="false">
      <c r="A64" s="39"/>
      <c r="B64" s="39"/>
      <c r="C64" s="39"/>
      <c r="D64" s="39"/>
      <c r="E64" s="33"/>
      <c r="F64" s="33"/>
      <c r="G64" s="33"/>
      <c r="H64" s="33"/>
      <c r="I64" s="33"/>
      <c r="J64" s="29"/>
      <c r="K64" s="39"/>
      <c r="L64" s="40" t="str">
        <f aca="false">IF($A64="","",SUMIFS(进销存台账!$U$6:$U$65,进销存台账!$B$6:$B$65,$A64,进销存台账!$A$6:$A$65,$E64))</f>
        <v/>
      </c>
      <c r="M64" s="25" t="str">
        <f aca="false">IF($A64="","",IF(COUNTIF($A$6:$A$65,$A64)&gt;1,"编码重复",IF($B64="","缺名称",IF(COUNTIF(会计科目表!$B$6:$B$85,$G64)=0,"存货科目不存在",IF(AND($F64&lt;&gt;"原材料",COUNTIF(会计科目表!$B$6:$B$85,$H64)=0),"收入科目不存在","OK")))))</f>
        <v/>
      </c>
    </row>
    <row r="65" customFormat="false" ht="15" hidden="false" customHeight="false" outlineLevel="0" collapsed="false">
      <c r="A65" s="39"/>
      <c r="B65" s="39"/>
      <c r="C65" s="39"/>
      <c r="D65" s="39"/>
      <c r="E65" s="33"/>
      <c r="F65" s="33"/>
      <c r="G65" s="33"/>
      <c r="H65" s="33"/>
      <c r="I65" s="33"/>
      <c r="J65" s="29"/>
      <c r="K65" s="39"/>
      <c r="L65" s="40" t="str">
        <f aca="false">IF($A65="","",SUMIFS(进销存台账!$U$6:$U$65,进销存台账!$B$6:$B$65,$A65,进销存台账!$A$6:$A$65,$E65))</f>
        <v/>
      </c>
      <c r="M65" s="25" t="str">
        <f aca="false">IF($A65="","",IF(COUNTIF($A$6:$A$65,$A65)&gt;1,"编码重复",IF($B65="","缺名称",IF(COUNTIF(会计科目表!$B$6:$B$85,$G65)=0,"存货科目不存在",IF(AND($F65&lt;&gt;"原材料",COUNTIF(会计科目表!$B$6:$B$85,$H65)=0),"收入科目不存在","OK")))))</f>
        <v/>
      </c>
    </row>
  </sheetData>
  <mergeCells count="2">
    <mergeCell ref="A1:M1"/>
    <mergeCell ref="A2:M2"/>
  </mergeCells>
  <conditionalFormatting sqref="M6:M65">
    <cfRule type="expression" priority="2" aboveAverage="0" equalAverage="0" bottom="0" percent="0" rank="0" text="" dxfId="0">
      <formula>AND($M6&lt;&gt;"",$M6&lt;&gt;"OK")</formula>
    </cfRule>
  </conditionalFormatting>
  <dataValidations count="5">
    <dataValidation allowBlank="true" error="必须选择下拉中已维护的值，手工输入会导致取数错位" errorStyle="stop" errorTitle="请从下拉中选择" operator="between" showDropDown="false" showErrorMessage="true" showInputMessage="false" sqref="E6:E6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65" type="list">
      <formula1>"原材料,半成品,产成品,周转材料"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G6:G6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6:H6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6:I65" type="list">
      <formula1>会计科目表!$B$6:$B$85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8" min="5" style="0" width="14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450</v>
      </c>
      <c r="B2" s="2"/>
      <c r="C2" s="2"/>
      <c r="D2" s="2"/>
      <c r="E2" s="2"/>
      <c r="F2" s="2"/>
      <c r="G2" s="2"/>
      <c r="H2" s="2"/>
      <c r="I2" s="2"/>
    </row>
    <row r="5" customFormat="false" ht="30" hidden="false" customHeight="true" outlineLevel="0" collapsed="false">
      <c r="A5" s="8" t="s">
        <v>451</v>
      </c>
      <c r="B5" s="8" t="s">
        <v>452</v>
      </c>
      <c r="C5" s="8" t="s">
        <v>100</v>
      </c>
      <c r="D5" s="8" t="s">
        <v>453</v>
      </c>
      <c r="E5" s="8" t="s">
        <v>454</v>
      </c>
      <c r="F5" s="8" t="s">
        <v>455</v>
      </c>
      <c r="G5" s="8" t="s">
        <v>456</v>
      </c>
      <c r="H5" s="8" t="s">
        <v>457</v>
      </c>
      <c r="I5" s="8" t="s">
        <v>361</v>
      </c>
    </row>
    <row r="6" customFormat="false" ht="15" hidden="false" customHeight="false" outlineLevel="0" collapsed="false">
      <c r="A6" s="32" t="s">
        <v>6</v>
      </c>
      <c r="B6" s="33" t="s">
        <v>458</v>
      </c>
      <c r="C6" s="32" t="s">
        <v>459</v>
      </c>
      <c r="D6" s="33" t="s">
        <v>189</v>
      </c>
      <c r="E6" s="40" t="n">
        <f aca="false">IF($A6="","",SUMIFS(记账分录!$I$6:$I$5505,记账分录!$H$6:$H$5505,"应收账款",记账分录!$K$6:$K$5505,$A6))</f>
        <v>0</v>
      </c>
      <c r="F6" s="40" t="n">
        <f aca="false">IF($A6="","",SUMIFS(记账分录!$J$6:$J$5505,记账分录!$H$6:$H$5505,"应付账款",记账分录!$K$6:$K$5505,$A6))</f>
        <v>245000</v>
      </c>
      <c r="G6" s="42" t="n">
        <f aca="false">IF($A6="","",$E6-SUMIFS(记账分录!$J$6:$J$5505,记账分录!$H$6:$H$5505,"应收账款",记账分录!$K$6:$K$5505,$A6))</f>
        <v>0</v>
      </c>
      <c r="H6" s="42" t="n">
        <f aca="false">IF($A6="","",$F6-SUMIFS(记账分录!$I$6:$I$5505,记账分录!$H$6:$H$5505,"应付账款",记账分录!$K$6:$K$5505,$A6))</f>
        <v>55000</v>
      </c>
      <c r="I6" s="25" t="str">
        <f aca="false">IF($A6="","",IF(COUNTIF($A$6:$A$85,$A6)&gt;1,"名称重复","OK"))</f>
        <v>OK</v>
      </c>
    </row>
    <row r="7" customFormat="false" ht="15" hidden="false" customHeight="false" outlineLevel="0" collapsed="false">
      <c r="A7" s="32" t="s">
        <v>7</v>
      </c>
      <c r="B7" s="33" t="s">
        <v>458</v>
      </c>
      <c r="C7" s="32" t="s">
        <v>459</v>
      </c>
      <c r="D7" s="33" t="s">
        <v>189</v>
      </c>
      <c r="E7" s="40" t="n">
        <f aca="false">IF($A7="","",SUMIFS(记账分录!$I$6:$I$5505,记账分录!$H$6:$H$5505,"应收账款",记账分录!$K$6:$K$5505,$A7))</f>
        <v>189000</v>
      </c>
      <c r="F7" s="40" t="n">
        <f aca="false">IF($A7="","",SUMIFS(记账分录!$J$6:$J$5505,记账分录!$H$6:$H$5505,"应付账款",记账分录!$K$6:$K$5505,$A7))</f>
        <v>0</v>
      </c>
      <c r="G7" s="42" t="n">
        <f aca="false">IF($A7="","",$E7-SUMIFS(记账分录!$J$6:$J$5505,记账分录!$H$6:$H$5505,"应收账款",记账分录!$K$6:$K$5505,$A7))</f>
        <v>39000</v>
      </c>
      <c r="H7" s="42" t="n">
        <f aca="false">IF($A7="","",$F7-SUMIFS(记账分录!$I$6:$I$5505,记账分录!$H$6:$H$5505,"应付账款",记账分录!$K$6:$K$5505,$A7))</f>
        <v>0</v>
      </c>
      <c r="I7" s="25" t="str">
        <f aca="false">IF($A7="","",IF(COUNTIF($A$6:$A$85,$A7)&gt;1,"名称重复","OK"))</f>
        <v>OK</v>
      </c>
    </row>
    <row r="8" customFormat="false" ht="15" hidden="false" customHeight="false" outlineLevel="0" collapsed="false">
      <c r="A8" s="32" t="s">
        <v>8</v>
      </c>
      <c r="B8" s="33" t="s">
        <v>458</v>
      </c>
      <c r="C8" s="32" t="s">
        <v>459</v>
      </c>
      <c r="D8" s="33" t="s">
        <v>189</v>
      </c>
      <c r="E8" s="40" t="n">
        <f aca="false">IF($A8="","",SUMIFS(记账分录!$I$6:$I$5505,记账分录!$H$6:$H$5505,"应收账款",记账分录!$K$6:$K$5505,$A8))</f>
        <v>56000</v>
      </c>
      <c r="F8" s="40" t="n">
        <f aca="false">IF($A8="","",SUMIFS(记账分录!$J$6:$J$5505,记账分录!$H$6:$H$5505,"应付账款",记账分录!$K$6:$K$5505,$A8))</f>
        <v>0</v>
      </c>
      <c r="G8" s="42" t="n">
        <f aca="false">IF($A8="","",$E8-SUMIFS(记账分录!$J$6:$J$5505,记账分录!$H$6:$H$5505,"应收账款",记账分录!$K$6:$K$5505,$A8))</f>
        <v>16000</v>
      </c>
      <c r="H8" s="42" t="n">
        <f aca="false">IF($A8="","",$F8-SUMIFS(记账分录!$I$6:$I$5505,记账分录!$H$6:$H$5505,"应付账款",记账分录!$K$6:$K$5505,$A8))</f>
        <v>0</v>
      </c>
      <c r="I8" s="25" t="str">
        <f aca="false">IF($A8="","",IF(COUNTIF($A$6:$A$85,$A8)&gt;1,"名称重复","OK"))</f>
        <v>OK</v>
      </c>
    </row>
    <row r="9" customFormat="false" ht="15" hidden="false" customHeight="false" outlineLevel="0" collapsed="false">
      <c r="A9" s="32" t="s">
        <v>460</v>
      </c>
      <c r="B9" s="33" t="s">
        <v>461</v>
      </c>
      <c r="C9" s="32" t="s">
        <v>462</v>
      </c>
      <c r="D9" s="33" t="s">
        <v>183</v>
      </c>
      <c r="E9" s="40" t="n">
        <f aca="false">IF($A9="","",SUMIFS(记账分录!$I$6:$I$5505,记账分录!$H$6:$H$5505,"应收账款",记账分录!$K$6:$K$5505,$A9))</f>
        <v>363000</v>
      </c>
      <c r="F9" s="40" t="n">
        <f aca="false">IF($A9="","",SUMIFS(记账分录!$J$6:$J$5505,记账分录!$H$6:$H$5505,"应付账款",记账分录!$K$6:$K$5505,$A9))</f>
        <v>0</v>
      </c>
      <c r="G9" s="42" t="n">
        <f aca="false">IF($A9="","",$E9-SUMIFS(记账分录!$J$6:$J$5505,记账分录!$H$6:$H$5505,"应收账款",记账分录!$K$6:$K$5505,$A9))</f>
        <v>63000</v>
      </c>
      <c r="H9" s="42" t="n">
        <f aca="false">IF($A9="","",$F9-SUMIFS(记账分录!$I$6:$I$5505,记账分录!$H$6:$H$5505,"应付账款",记账分录!$K$6:$K$5505,$A9))</f>
        <v>0</v>
      </c>
      <c r="I9" s="25" t="str">
        <f aca="false">IF($A9="","",IF(COUNTIF($A$6:$A$85,$A9)&gt;1,"名称重复","OK"))</f>
        <v>OK</v>
      </c>
    </row>
    <row r="10" customFormat="false" ht="15" hidden="false" customHeight="false" outlineLevel="0" collapsed="false">
      <c r="A10" s="32" t="s">
        <v>463</v>
      </c>
      <c r="B10" s="33" t="s">
        <v>461</v>
      </c>
      <c r="C10" s="32" t="s">
        <v>464</v>
      </c>
      <c r="D10" s="33" t="s">
        <v>183</v>
      </c>
      <c r="E10" s="40" t="n">
        <f aca="false">IF($A10="","",SUMIFS(记账分录!$I$6:$I$5505,记账分录!$H$6:$H$5505,"应收账款",记账分录!$K$6:$K$5505,$A10))</f>
        <v>105000</v>
      </c>
      <c r="F10" s="40" t="n">
        <f aca="false">IF($A10="","",SUMIFS(记账分录!$J$6:$J$5505,记账分录!$H$6:$H$5505,"应付账款",记账分录!$K$6:$K$5505,$A10))</f>
        <v>0</v>
      </c>
      <c r="G10" s="42" t="n">
        <f aca="false">IF($A10="","",$E10-SUMIFS(记账分录!$J$6:$J$5505,记账分录!$H$6:$H$5505,"应收账款",记账分录!$K$6:$K$5505,$A10))</f>
        <v>105000</v>
      </c>
      <c r="H10" s="42" t="n">
        <f aca="false">IF($A10="","",$F10-SUMIFS(记账分录!$I$6:$I$5505,记账分录!$H$6:$H$5505,"应付账款",记账分录!$K$6:$K$5505,$A10))</f>
        <v>0</v>
      </c>
      <c r="I10" s="25" t="str">
        <f aca="false">IF($A10="","",IF(COUNTIF($A$6:$A$85,$A10)&gt;1,"名称重复","OK"))</f>
        <v>OK</v>
      </c>
    </row>
    <row r="11" customFormat="false" ht="15" hidden="false" customHeight="false" outlineLevel="0" collapsed="false">
      <c r="A11" s="32" t="s">
        <v>465</v>
      </c>
      <c r="B11" s="33" t="s">
        <v>461</v>
      </c>
      <c r="C11" s="32" t="s">
        <v>466</v>
      </c>
      <c r="D11" s="33" t="s">
        <v>183</v>
      </c>
      <c r="E11" s="40" t="n">
        <f aca="false">IF($A11="","",SUMIFS(记账分录!$I$6:$I$5505,记账分录!$H$6:$H$5505,"应收账款",记账分录!$K$6:$K$5505,$A11))</f>
        <v>92250</v>
      </c>
      <c r="F11" s="40" t="n">
        <f aca="false">IF($A11="","",SUMIFS(记账分录!$J$6:$J$5505,记账分录!$H$6:$H$5505,"应付账款",记账分录!$K$6:$K$5505,$A11))</f>
        <v>0</v>
      </c>
      <c r="G11" s="42" t="n">
        <f aca="false">IF($A11="","",$E11-SUMIFS(记账分录!$J$6:$J$5505,记账分录!$H$6:$H$5505,"应收账款",记账分录!$K$6:$K$5505,$A11))</f>
        <v>22250</v>
      </c>
      <c r="H11" s="42" t="n">
        <f aca="false">IF($A11="","",$F11-SUMIFS(记账分录!$I$6:$I$5505,记账分录!$H$6:$H$5505,"应付账款",记账分录!$K$6:$K$5505,$A11))</f>
        <v>0</v>
      </c>
      <c r="I11" s="25" t="str">
        <f aca="false">IF($A11="","",IF(COUNTIF($A$6:$A$85,$A11)&gt;1,"名称重复","OK"))</f>
        <v>OK</v>
      </c>
    </row>
    <row r="12" customFormat="false" ht="15" hidden="false" customHeight="false" outlineLevel="0" collapsed="false">
      <c r="A12" s="32" t="s">
        <v>467</v>
      </c>
      <c r="B12" s="33" t="s">
        <v>461</v>
      </c>
      <c r="C12" s="32" t="s">
        <v>468</v>
      </c>
      <c r="D12" s="33" t="s">
        <v>183</v>
      </c>
      <c r="E12" s="40" t="n">
        <f aca="false">IF($A12="","",SUMIFS(记账分录!$I$6:$I$5505,记账分录!$H$6:$H$5505,"应收账款",记账分录!$K$6:$K$5505,$A12))</f>
        <v>21750</v>
      </c>
      <c r="F12" s="40" t="n">
        <f aca="false">IF($A12="","",SUMIFS(记账分录!$J$6:$J$5505,记账分录!$H$6:$H$5505,"应付账款",记账分录!$K$6:$K$5505,$A12))</f>
        <v>0</v>
      </c>
      <c r="G12" s="42" t="n">
        <f aca="false">IF($A12="","",$E12-SUMIFS(记账分录!$J$6:$J$5505,记账分录!$H$6:$H$5505,"应收账款",记账分录!$K$6:$K$5505,$A12))</f>
        <v>21750</v>
      </c>
      <c r="H12" s="42" t="n">
        <f aca="false">IF($A12="","",$F12-SUMIFS(记账分录!$I$6:$I$5505,记账分录!$H$6:$H$5505,"应付账款",记账分录!$K$6:$K$5505,$A12))</f>
        <v>0</v>
      </c>
      <c r="I12" s="25" t="str">
        <f aca="false">IF($A12="","",IF(COUNTIF($A$6:$A$85,$A12)&gt;1,"名称重复","OK"))</f>
        <v>OK</v>
      </c>
    </row>
    <row r="13" customFormat="false" ht="15" hidden="false" customHeight="false" outlineLevel="0" collapsed="false">
      <c r="A13" s="32" t="s">
        <v>469</v>
      </c>
      <c r="B13" s="33" t="s">
        <v>461</v>
      </c>
      <c r="C13" s="32" t="s">
        <v>470</v>
      </c>
      <c r="D13" s="33" t="s">
        <v>183</v>
      </c>
      <c r="E13" s="40" t="n">
        <f aca="false">IF($A13="","",SUMIFS(记账分录!$I$6:$I$5505,记账分录!$H$6:$H$5505,"应收账款",记账分录!$K$6:$K$5505,$A13))</f>
        <v>66000</v>
      </c>
      <c r="F13" s="40" t="n">
        <f aca="false">IF($A13="","",SUMIFS(记账分录!$J$6:$J$5505,记账分录!$H$6:$H$5505,"应付账款",记账分录!$K$6:$K$5505,$A13))</f>
        <v>0</v>
      </c>
      <c r="G13" s="42" t="n">
        <f aca="false">IF($A13="","",$E13-SUMIFS(记账分录!$J$6:$J$5505,记账分录!$H$6:$H$5505,"应收账款",记账分录!$K$6:$K$5505,$A13))</f>
        <v>0</v>
      </c>
      <c r="H13" s="42" t="n">
        <f aca="false">IF($A13="","",$F13-SUMIFS(记账分录!$I$6:$I$5505,记账分录!$H$6:$H$5505,"应付账款",记账分录!$K$6:$K$5505,$A13))</f>
        <v>0</v>
      </c>
      <c r="I13" s="25" t="str">
        <f aca="false">IF($A13="","",IF(COUNTIF($A$6:$A$85,$A13)&gt;1,"名称重复","OK"))</f>
        <v>OK</v>
      </c>
    </row>
    <row r="14" customFormat="false" ht="15" hidden="false" customHeight="false" outlineLevel="0" collapsed="false">
      <c r="A14" s="32" t="s">
        <v>471</v>
      </c>
      <c r="B14" s="33" t="s">
        <v>461</v>
      </c>
      <c r="C14" s="32" t="s">
        <v>472</v>
      </c>
      <c r="D14" s="33" t="s">
        <v>183</v>
      </c>
      <c r="E14" s="40" t="n">
        <f aca="false">IF($A14="","",SUMIFS(记账分录!$I$6:$I$5505,记账分录!$H$6:$H$5505,"应收账款",记账分录!$K$6:$K$5505,$A14))</f>
        <v>18000</v>
      </c>
      <c r="F14" s="40" t="n">
        <f aca="false">IF($A14="","",SUMIFS(记账分录!$J$6:$J$5505,记账分录!$H$6:$H$5505,"应付账款",记账分录!$K$6:$K$5505,$A14))</f>
        <v>0</v>
      </c>
      <c r="G14" s="42" t="n">
        <f aca="false">IF($A14="","",$E14-SUMIFS(记账分录!$J$6:$J$5505,记账分录!$H$6:$H$5505,"应收账款",记账分录!$K$6:$K$5505,$A14))</f>
        <v>18000</v>
      </c>
      <c r="H14" s="42" t="n">
        <f aca="false">IF($A14="","",$F14-SUMIFS(记账分录!$I$6:$I$5505,记账分录!$H$6:$H$5505,"应付账款",记账分录!$K$6:$K$5505,$A14))</f>
        <v>0</v>
      </c>
      <c r="I14" s="25" t="str">
        <f aca="false">IF($A14="","",IF(COUNTIF($A$6:$A$85,$A14)&gt;1,"名称重复","OK"))</f>
        <v>OK</v>
      </c>
    </row>
    <row r="15" customFormat="false" ht="15" hidden="false" customHeight="false" outlineLevel="0" collapsed="false">
      <c r="A15" s="32" t="s">
        <v>473</v>
      </c>
      <c r="B15" s="33" t="s">
        <v>461</v>
      </c>
      <c r="C15" s="32" t="s">
        <v>474</v>
      </c>
      <c r="D15" s="33" t="s">
        <v>183</v>
      </c>
      <c r="E15" s="40" t="n">
        <f aca="false">IF($A15="","",SUMIFS(记账分录!$I$6:$I$5505,记账分录!$H$6:$H$5505,"应收账款",记账分录!$K$6:$K$5505,$A15))</f>
        <v>324750</v>
      </c>
      <c r="F15" s="40" t="n">
        <f aca="false">IF($A15="","",SUMIFS(记账分录!$J$6:$J$5505,记账分录!$H$6:$H$5505,"应付账款",记账分录!$K$6:$K$5505,$A15))</f>
        <v>0</v>
      </c>
      <c r="G15" s="42" t="n">
        <f aca="false">IF($A15="","",$E15-SUMIFS(记账分录!$J$6:$J$5505,记账分录!$H$6:$H$5505,"应收账款",记账分录!$K$6:$K$5505,$A15))</f>
        <v>84750</v>
      </c>
      <c r="H15" s="42" t="n">
        <f aca="false">IF($A15="","",$F15-SUMIFS(记账分录!$I$6:$I$5505,记账分录!$H$6:$H$5505,"应付账款",记账分录!$K$6:$K$5505,$A15))</f>
        <v>0</v>
      </c>
      <c r="I15" s="25" t="str">
        <f aca="false">IF($A15="","",IF(COUNTIF($A$6:$A$85,$A15)&gt;1,"名称重复","OK"))</f>
        <v>OK</v>
      </c>
    </row>
    <row r="16" customFormat="false" ht="15" hidden="false" customHeight="false" outlineLevel="0" collapsed="false">
      <c r="A16" s="32" t="s">
        <v>475</v>
      </c>
      <c r="B16" s="33" t="s">
        <v>461</v>
      </c>
      <c r="C16" s="32" t="s">
        <v>476</v>
      </c>
      <c r="D16" s="33" t="s">
        <v>183</v>
      </c>
      <c r="E16" s="40" t="n">
        <f aca="false">IF($A16="","",SUMIFS(记账分录!$I$6:$I$5505,记账分录!$H$6:$H$5505,"应收账款",记账分录!$K$6:$K$5505,$A16))</f>
        <v>120000</v>
      </c>
      <c r="F16" s="40" t="n">
        <f aca="false">IF($A16="","",SUMIFS(记账分录!$J$6:$J$5505,记账分录!$H$6:$H$5505,"应付账款",记账分录!$K$6:$K$5505,$A16))</f>
        <v>0</v>
      </c>
      <c r="G16" s="42" t="n">
        <f aca="false">IF($A16="","",$E16-SUMIFS(记账分录!$J$6:$J$5505,记账分录!$H$6:$H$5505,"应收账款",记账分录!$K$6:$K$5505,$A16))</f>
        <v>30000</v>
      </c>
      <c r="H16" s="42" t="n">
        <f aca="false">IF($A16="","",$F16-SUMIFS(记账分录!$I$6:$I$5505,记账分录!$H$6:$H$5505,"应付账款",记账分录!$K$6:$K$5505,$A16))</f>
        <v>0</v>
      </c>
      <c r="I16" s="25" t="str">
        <f aca="false">IF($A16="","",IF(COUNTIF($A$6:$A$85,$A16)&gt;1,"名称重复","OK"))</f>
        <v>OK</v>
      </c>
    </row>
    <row r="17" customFormat="false" ht="25.35" hidden="false" customHeight="false" outlineLevel="0" collapsed="false">
      <c r="A17" s="32" t="s">
        <v>477</v>
      </c>
      <c r="B17" s="33" t="s">
        <v>478</v>
      </c>
      <c r="C17" s="32" t="s">
        <v>479</v>
      </c>
      <c r="D17" s="33" t="s">
        <v>183</v>
      </c>
      <c r="E17" s="40" t="n">
        <f aca="false">IF($A17="","",SUMIFS(记账分录!$I$6:$I$5505,记账分录!$H$6:$H$5505,"应收账款",记账分录!$K$6:$K$5505,$A17))</f>
        <v>0</v>
      </c>
      <c r="F17" s="40" t="n">
        <f aca="false">IF($A17="","",SUMIFS(记账分录!$J$6:$J$5505,记账分录!$H$6:$H$5505,"应付账款",记账分录!$K$6:$K$5505,$A17))</f>
        <v>58800</v>
      </c>
      <c r="G17" s="42" t="n">
        <f aca="false">IF($A17="","",$E17-SUMIFS(记账分录!$J$6:$J$5505,记账分录!$H$6:$H$5505,"应收账款",记账分录!$K$6:$K$5505,$A17))</f>
        <v>0</v>
      </c>
      <c r="H17" s="42" t="n">
        <f aca="false">IF($A17="","",$F17-SUMIFS(记账分录!$I$6:$I$5505,记账分录!$H$6:$H$5505,"应付账款",记账分录!$K$6:$K$5505,$A17))</f>
        <v>0</v>
      </c>
      <c r="I17" s="25" t="str">
        <f aca="false">IF($A17="","",IF(COUNTIF($A$6:$A$85,$A17)&gt;1,"名称重复","OK"))</f>
        <v>OK</v>
      </c>
    </row>
    <row r="18" customFormat="false" ht="25.35" hidden="false" customHeight="false" outlineLevel="0" collapsed="false">
      <c r="A18" s="32" t="s">
        <v>480</v>
      </c>
      <c r="B18" s="33" t="s">
        <v>478</v>
      </c>
      <c r="C18" s="32" t="s">
        <v>479</v>
      </c>
      <c r="D18" s="33" t="s">
        <v>183</v>
      </c>
      <c r="E18" s="40" t="n">
        <f aca="false">IF($A18="","",SUMIFS(记账分录!$I$6:$I$5505,记账分录!$H$6:$H$5505,"应收账款",记账分录!$K$6:$K$5505,$A18))</f>
        <v>0</v>
      </c>
      <c r="F18" s="40" t="n">
        <f aca="false">IF($A18="","",SUMIFS(记账分录!$J$6:$J$5505,记账分录!$H$6:$H$5505,"应付账款",记账分录!$K$6:$K$5505,$A18))</f>
        <v>45000</v>
      </c>
      <c r="G18" s="42" t="n">
        <f aca="false">IF($A18="","",$E18-SUMIFS(记账分录!$J$6:$J$5505,记账分录!$H$6:$H$5505,"应收账款",记账分录!$K$6:$K$5505,$A18))</f>
        <v>0</v>
      </c>
      <c r="H18" s="42" t="n">
        <f aca="false">IF($A18="","",$F18-SUMIFS(记账分录!$I$6:$I$5505,记账分录!$H$6:$H$5505,"应付账款",记账分录!$K$6:$K$5505,$A18))</f>
        <v>0</v>
      </c>
      <c r="I18" s="25" t="str">
        <f aca="false">IF($A18="","",IF(COUNTIF($A$6:$A$85,$A18)&gt;1,"名称重复","OK"))</f>
        <v>OK</v>
      </c>
    </row>
    <row r="19" customFormat="false" ht="25.35" hidden="false" customHeight="false" outlineLevel="0" collapsed="false">
      <c r="A19" s="32" t="s">
        <v>481</v>
      </c>
      <c r="B19" s="33" t="s">
        <v>478</v>
      </c>
      <c r="C19" s="32" t="s">
        <v>482</v>
      </c>
      <c r="D19" s="33" t="s">
        <v>183</v>
      </c>
      <c r="E19" s="40" t="n">
        <f aca="false">IF($A19="","",SUMIFS(记账分录!$I$6:$I$5505,记账分录!$H$6:$H$5505,"应收账款",记账分录!$K$6:$K$5505,$A19))</f>
        <v>0</v>
      </c>
      <c r="F19" s="40" t="n">
        <f aca="false">IF($A19="","",SUMIFS(记账分录!$J$6:$J$5505,记账分录!$H$6:$H$5505,"应付账款",记账分录!$K$6:$K$5505,$A19))</f>
        <v>0</v>
      </c>
      <c r="G19" s="42" t="n">
        <f aca="false">IF($A19="","",$E19-SUMIFS(记账分录!$J$6:$J$5505,记账分录!$H$6:$H$5505,"应收账款",记账分录!$K$6:$K$5505,$A19))</f>
        <v>0</v>
      </c>
      <c r="H19" s="42" t="n">
        <f aca="false">IF($A19="","",$F19-SUMIFS(记账分录!$I$6:$I$5505,记账分录!$H$6:$H$5505,"应付账款",记账分录!$K$6:$K$5505,$A19))</f>
        <v>0</v>
      </c>
      <c r="I19" s="25" t="str">
        <f aca="false">IF($A19="","",IF(COUNTIF($A$6:$A$85,$A19)&gt;1,"名称重复","OK"))</f>
        <v>OK</v>
      </c>
    </row>
    <row r="20" customFormat="false" ht="15" hidden="false" customHeight="false" outlineLevel="0" collapsed="false">
      <c r="A20" s="32" t="s">
        <v>483</v>
      </c>
      <c r="B20" s="33" t="s">
        <v>478</v>
      </c>
      <c r="C20" s="32" t="s">
        <v>484</v>
      </c>
      <c r="D20" s="33" t="s">
        <v>183</v>
      </c>
      <c r="E20" s="40" t="n">
        <f aca="false">IF($A20="","",SUMIFS(记账分录!$I$6:$I$5505,记账分录!$H$6:$H$5505,"应收账款",记账分录!$K$6:$K$5505,$A20))</f>
        <v>0</v>
      </c>
      <c r="F20" s="40" t="n">
        <f aca="false">IF($A20="","",SUMIFS(记账分录!$J$6:$J$5505,记账分录!$H$6:$H$5505,"应付账款",记账分录!$K$6:$K$5505,$A20))</f>
        <v>9200</v>
      </c>
      <c r="G20" s="42" t="n">
        <f aca="false">IF($A20="","",$E20-SUMIFS(记账分录!$J$6:$J$5505,记账分录!$H$6:$H$5505,"应收账款",记账分录!$K$6:$K$5505,$A20))</f>
        <v>0</v>
      </c>
      <c r="H20" s="42" t="n">
        <f aca="false">IF($A20="","",$F20-SUMIFS(记账分录!$I$6:$I$5505,记账分录!$H$6:$H$5505,"应付账款",记账分录!$K$6:$K$5505,$A20))</f>
        <v>-25800</v>
      </c>
      <c r="I20" s="25" t="str">
        <f aca="false">IF($A20="","",IF(COUNTIF($A$6:$A$85,$A20)&gt;1,"名称重复","OK"))</f>
        <v>OK</v>
      </c>
    </row>
    <row r="21" customFormat="false" ht="15" hidden="false" customHeight="false" outlineLevel="0" collapsed="false">
      <c r="A21" s="32" t="s">
        <v>485</v>
      </c>
      <c r="B21" s="33" t="s">
        <v>478</v>
      </c>
      <c r="C21" s="32" t="s">
        <v>486</v>
      </c>
      <c r="D21" s="33" t="s">
        <v>183</v>
      </c>
      <c r="E21" s="40" t="n">
        <f aca="false">IF($A21="","",SUMIFS(记账分录!$I$6:$I$5505,记账分录!$H$6:$H$5505,"应收账款",记账分录!$K$6:$K$5505,$A21))</f>
        <v>0</v>
      </c>
      <c r="F21" s="40" t="n">
        <f aca="false">IF($A21="","",SUMIFS(记账分录!$J$6:$J$5505,记账分录!$H$6:$H$5505,"应付账款",记账分录!$K$6:$K$5505,$A21))</f>
        <v>7800</v>
      </c>
      <c r="G21" s="42" t="n">
        <f aca="false">IF($A21="","",$E21-SUMIFS(记账分录!$J$6:$J$5505,记账分录!$H$6:$H$5505,"应收账款",记账分录!$K$6:$K$5505,$A21))</f>
        <v>0</v>
      </c>
      <c r="H21" s="42" t="n">
        <f aca="false">IF($A21="","",$F21-SUMIFS(记账分录!$I$6:$I$5505,记账分录!$H$6:$H$5505,"应付账款",记账分录!$K$6:$K$5505,$A21))</f>
        <v>0</v>
      </c>
      <c r="I21" s="25" t="str">
        <f aca="false">IF($A21="","",IF(COUNTIF($A$6:$A$85,$A21)&gt;1,"名称重复","OK"))</f>
        <v>OK</v>
      </c>
    </row>
    <row r="22" customFormat="false" ht="15" hidden="false" customHeight="false" outlineLevel="0" collapsed="false">
      <c r="A22" s="32" t="s">
        <v>487</v>
      </c>
      <c r="B22" s="33" t="s">
        <v>478</v>
      </c>
      <c r="C22" s="32" t="s">
        <v>488</v>
      </c>
      <c r="D22" s="33" t="s">
        <v>183</v>
      </c>
      <c r="E22" s="40" t="n">
        <f aca="false">IF($A22="","",SUMIFS(记账分录!$I$6:$I$5505,记账分录!$H$6:$H$5505,"应收账款",记账分录!$K$6:$K$5505,$A22))</f>
        <v>0</v>
      </c>
      <c r="F22" s="40" t="n">
        <f aca="false">IF($A22="","",SUMIFS(记账分录!$J$6:$J$5505,记账分录!$H$6:$H$5505,"应付账款",记账分录!$K$6:$K$5505,$A22))</f>
        <v>12000</v>
      </c>
      <c r="G22" s="42" t="n">
        <f aca="false">IF($A22="","",$E22-SUMIFS(记账分录!$J$6:$J$5505,记账分录!$H$6:$H$5505,"应收账款",记账分录!$K$6:$K$5505,$A22))</f>
        <v>0</v>
      </c>
      <c r="H22" s="42" t="n">
        <f aca="false">IF($A22="","",$F22-SUMIFS(记账分录!$I$6:$I$5505,记账分录!$H$6:$H$5505,"应付账款",记账分录!$K$6:$K$5505,$A22))</f>
        <v>0</v>
      </c>
      <c r="I22" s="25" t="str">
        <f aca="false">IF($A22="","",IF(COUNTIF($A$6:$A$85,$A22)&gt;1,"名称重复","OK"))</f>
        <v>OK</v>
      </c>
    </row>
    <row r="23" customFormat="false" ht="15" hidden="false" customHeight="false" outlineLevel="0" collapsed="false">
      <c r="A23" s="32" t="s">
        <v>489</v>
      </c>
      <c r="B23" s="33" t="s">
        <v>478</v>
      </c>
      <c r="C23" s="32" t="s">
        <v>490</v>
      </c>
      <c r="D23" s="33" t="s">
        <v>183</v>
      </c>
      <c r="E23" s="40" t="n">
        <f aca="false">IF($A23="","",SUMIFS(记账分录!$I$6:$I$5505,记账分录!$H$6:$H$5505,"应收账款",记账分录!$K$6:$K$5505,$A23))</f>
        <v>0</v>
      </c>
      <c r="F23" s="40" t="n">
        <f aca="false">IF($A23="","",SUMIFS(记账分录!$J$6:$J$5505,记账分录!$H$6:$H$5505,"应付账款",记账分录!$K$6:$K$5505,$A23))</f>
        <v>19200</v>
      </c>
      <c r="G23" s="42" t="n">
        <f aca="false">IF($A23="","",$E23-SUMIFS(记账分录!$J$6:$J$5505,记账分录!$H$6:$H$5505,"应收账款",记账分录!$K$6:$K$5505,$A23))</f>
        <v>0</v>
      </c>
      <c r="H23" s="42" t="n">
        <f aca="false">IF($A23="","",$F23-SUMIFS(记账分录!$I$6:$I$5505,记账分录!$H$6:$H$5505,"应付账款",记账分录!$K$6:$K$5505,$A23))</f>
        <v>0</v>
      </c>
      <c r="I23" s="25" t="str">
        <f aca="false">IF($A23="","",IF(COUNTIF($A$6:$A$85,$A23)&gt;1,"名称重复","OK"))</f>
        <v>OK</v>
      </c>
    </row>
    <row r="24" customFormat="false" ht="15" hidden="false" customHeight="false" outlineLevel="0" collapsed="false">
      <c r="A24" s="32" t="s">
        <v>491</v>
      </c>
      <c r="B24" s="33" t="s">
        <v>478</v>
      </c>
      <c r="C24" s="32" t="s">
        <v>492</v>
      </c>
      <c r="D24" s="33" t="s">
        <v>183</v>
      </c>
      <c r="E24" s="40" t="n">
        <f aca="false">IF($A24="","",SUMIFS(记账分录!$I$6:$I$5505,记账分录!$H$6:$H$5505,"应收账款",记账分录!$K$6:$K$5505,$A24))</f>
        <v>0</v>
      </c>
      <c r="F24" s="40" t="n">
        <f aca="false">IF($A24="","",SUMIFS(记账分录!$J$6:$J$5505,记账分录!$H$6:$H$5505,"应付账款",记账分录!$K$6:$K$5505,$A24))</f>
        <v>4080</v>
      </c>
      <c r="G24" s="42" t="n">
        <f aca="false">IF($A24="","",$E24-SUMIFS(记账分录!$J$6:$J$5505,记账分录!$H$6:$H$5505,"应收账款",记账分录!$K$6:$K$5505,$A24))</f>
        <v>0</v>
      </c>
      <c r="H24" s="42" t="n">
        <f aca="false">IF($A24="","",$F24-SUMIFS(记账分录!$I$6:$I$5505,记账分录!$H$6:$H$5505,"应付账款",记账分录!$K$6:$K$5505,$A24))</f>
        <v>0</v>
      </c>
      <c r="I24" s="25" t="str">
        <f aca="false">IF($A24="","",IF(COUNTIF($A$6:$A$85,$A24)&gt;1,"名称重复","OK"))</f>
        <v>OK</v>
      </c>
    </row>
    <row r="25" customFormat="false" ht="15" hidden="false" customHeight="false" outlineLevel="0" collapsed="false">
      <c r="A25" s="32" t="s">
        <v>493</v>
      </c>
      <c r="B25" s="33" t="s">
        <v>478</v>
      </c>
      <c r="C25" s="32" t="s">
        <v>494</v>
      </c>
      <c r="D25" s="33" t="s">
        <v>183</v>
      </c>
      <c r="E25" s="40" t="n">
        <f aca="false">IF($A25="","",SUMIFS(记账分录!$I$6:$I$5505,记账分录!$H$6:$H$5505,"应收账款",记账分录!$K$6:$K$5505,$A25))</f>
        <v>0</v>
      </c>
      <c r="F25" s="40" t="n">
        <f aca="false">IF($A25="","",SUMIFS(记账分录!$J$6:$J$5505,记账分录!$H$6:$H$5505,"应付账款",记账分录!$K$6:$K$5505,$A25))</f>
        <v>0</v>
      </c>
      <c r="G25" s="42" t="n">
        <f aca="false">IF($A25="","",$E25-SUMIFS(记账分录!$J$6:$J$5505,记账分录!$H$6:$H$5505,"应收账款",记账分录!$K$6:$K$5505,$A25))</f>
        <v>0</v>
      </c>
      <c r="H25" s="42" t="n">
        <f aca="false">IF($A25="","",$F25-SUMIFS(记账分录!$I$6:$I$5505,记账分录!$H$6:$H$5505,"应付账款",记账分录!$K$6:$K$5505,$A25))</f>
        <v>0</v>
      </c>
      <c r="I25" s="25" t="str">
        <f aca="false">IF($A25="","",IF(COUNTIF($A$6:$A$85,$A25)&gt;1,"名称重复","OK"))</f>
        <v>OK</v>
      </c>
    </row>
    <row r="26" customFormat="false" ht="15" hidden="false" customHeight="false" outlineLevel="0" collapsed="false">
      <c r="A26" s="32" t="s">
        <v>495</v>
      </c>
      <c r="B26" s="33" t="s">
        <v>478</v>
      </c>
      <c r="C26" s="32" t="s">
        <v>496</v>
      </c>
      <c r="D26" s="33" t="s">
        <v>183</v>
      </c>
      <c r="E26" s="40" t="n">
        <f aca="false">IF($A26="","",SUMIFS(记账分录!$I$6:$I$5505,记账分录!$H$6:$H$5505,"应收账款",记账分录!$K$6:$K$5505,$A26))</f>
        <v>0</v>
      </c>
      <c r="F26" s="40" t="n">
        <f aca="false">IF($A26="","",SUMIFS(记账分录!$J$6:$J$5505,记账分录!$H$6:$H$5505,"应付账款",记账分录!$K$6:$K$5505,$A26))</f>
        <v>0</v>
      </c>
      <c r="G26" s="42" t="n">
        <f aca="false">IF($A26="","",$E26-SUMIFS(记账分录!$J$6:$J$5505,记账分录!$H$6:$H$5505,"应收账款",记账分录!$K$6:$K$5505,$A26))</f>
        <v>0</v>
      </c>
      <c r="H26" s="42" t="n">
        <f aca="false">IF($A26="","",$F26-SUMIFS(记账分录!$I$6:$I$5505,记账分录!$H$6:$H$5505,"应付账款",记账分录!$K$6:$K$5505,$A26))</f>
        <v>0</v>
      </c>
      <c r="I26" s="25" t="str">
        <f aca="false">IF($A26="","",IF(COUNTIF($A$6:$A$85,$A26)&gt;1,"名称重复","OK"))</f>
        <v>OK</v>
      </c>
    </row>
    <row r="27" customFormat="false" ht="15" hidden="false" customHeight="false" outlineLevel="0" collapsed="false">
      <c r="A27" s="32" t="s">
        <v>497</v>
      </c>
      <c r="B27" s="33" t="s">
        <v>166</v>
      </c>
      <c r="C27" s="32" t="s">
        <v>498</v>
      </c>
      <c r="D27" s="33" t="s">
        <v>183</v>
      </c>
      <c r="E27" s="40" t="n">
        <f aca="false">IF($A27="","",SUMIFS(记账分录!$I$6:$I$5505,记账分录!$H$6:$H$5505,"应收账款",记账分录!$K$6:$K$5505,$A27))</f>
        <v>0</v>
      </c>
      <c r="F27" s="40" t="n">
        <f aca="false">IF($A27="","",SUMIFS(记账分录!$J$6:$J$5505,记账分录!$H$6:$H$5505,"应付账款",记账分录!$K$6:$K$5505,$A27))</f>
        <v>0</v>
      </c>
      <c r="G27" s="42" t="n">
        <f aca="false">IF($A27="","",$E27-SUMIFS(记账分录!$J$6:$J$5505,记账分录!$H$6:$H$5505,"应收账款",记账分录!$K$6:$K$5505,$A27))</f>
        <v>0</v>
      </c>
      <c r="H27" s="42" t="n">
        <f aca="false">IF($A27="","",$F27-SUMIFS(记账分录!$I$6:$I$5505,记账分录!$H$6:$H$5505,"应付账款",记账分录!$K$6:$K$5505,$A27))</f>
        <v>0</v>
      </c>
      <c r="I27" s="25" t="str">
        <f aca="false">IF($A27="","",IF(COUNTIF($A$6:$A$85,$A27)&gt;1,"名称重复","OK"))</f>
        <v>OK</v>
      </c>
    </row>
    <row r="28" customFormat="false" ht="15" hidden="false" customHeight="false" outlineLevel="0" collapsed="false">
      <c r="A28" s="32" t="s">
        <v>499</v>
      </c>
      <c r="B28" s="33" t="s">
        <v>166</v>
      </c>
      <c r="C28" s="32" t="s">
        <v>500</v>
      </c>
      <c r="D28" s="33" t="s">
        <v>183</v>
      </c>
      <c r="E28" s="40" t="n">
        <f aca="false">IF($A28="","",SUMIFS(记账分录!$I$6:$I$5505,记账分录!$H$6:$H$5505,"应收账款",记账分录!$K$6:$K$5505,$A28))</f>
        <v>0</v>
      </c>
      <c r="F28" s="40" t="n">
        <f aca="false">IF($A28="","",SUMIFS(记账分录!$J$6:$J$5505,记账分录!$H$6:$H$5505,"应付账款",记账分录!$K$6:$K$5505,$A28))</f>
        <v>0</v>
      </c>
      <c r="G28" s="42" t="n">
        <f aca="false">IF($A28="","",$E28-SUMIFS(记账分录!$J$6:$J$5505,记账分录!$H$6:$H$5505,"应收账款",记账分录!$K$6:$K$5505,$A28))</f>
        <v>0</v>
      </c>
      <c r="H28" s="42" t="n">
        <f aca="false">IF($A28="","",$F28-SUMIFS(记账分录!$I$6:$I$5505,记账分录!$H$6:$H$5505,"应付账款",记账分录!$K$6:$K$5505,$A28))</f>
        <v>0</v>
      </c>
      <c r="I28" s="25" t="str">
        <f aca="false">IF($A28="","",IF(COUNTIF($A$6:$A$85,$A28)&gt;1,"名称重复","OK"))</f>
        <v>OK</v>
      </c>
    </row>
    <row r="29" customFormat="false" ht="15" hidden="false" customHeight="false" outlineLevel="0" collapsed="false">
      <c r="A29" s="39"/>
      <c r="B29" s="33"/>
      <c r="C29" s="39"/>
      <c r="D29" s="33"/>
      <c r="E29" s="40" t="str">
        <f aca="false">IF($A29="","",SUMIFS(记账分录!$I$6:$I$5505,记账分录!$H$6:$H$5505,"应收账款",记账分录!$K$6:$K$5505,$A29))</f>
        <v/>
      </c>
      <c r="F29" s="40" t="str">
        <f aca="false">IF($A29="","",SUMIFS(记账分录!$J$6:$J$5505,记账分录!$H$6:$H$5505,"应付账款",记账分录!$K$6:$K$5505,$A29))</f>
        <v/>
      </c>
      <c r="G29" s="42" t="str">
        <f aca="false">IF($A29="","",$E29-SUMIFS(记账分录!$J$6:$J$5505,记账分录!$H$6:$H$5505,"应收账款",记账分录!$K$6:$K$5505,$A29))</f>
        <v/>
      </c>
      <c r="H29" s="42" t="str">
        <f aca="false">IF($A29="","",$F29-SUMIFS(记账分录!$I$6:$I$5505,记账分录!$H$6:$H$5505,"应付账款",记账分录!$K$6:$K$5505,$A29))</f>
        <v/>
      </c>
      <c r="I29" s="25" t="str">
        <f aca="false">IF($A29="","",IF(COUNTIF($A$6:$A$85,$A29)&gt;1,"名称重复","OK"))</f>
        <v/>
      </c>
    </row>
    <row r="30" customFormat="false" ht="15" hidden="false" customHeight="false" outlineLevel="0" collapsed="false">
      <c r="A30" s="39"/>
      <c r="B30" s="33"/>
      <c r="C30" s="39"/>
      <c r="D30" s="33"/>
      <c r="E30" s="40" t="str">
        <f aca="false">IF($A30="","",SUMIFS(记账分录!$I$6:$I$5505,记账分录!$H$6:$H$5505,"应收账款",记账分录!$K$6:$K$5505,$A30))</f>
        <v/>
      </c>
      <c r="F30" s="40" t="str">
        <f aca="false">IF($A30="","",SUMIFS(记账分录!$J$6:$J$5505,记账分录!$H$6:$H$5505,"应付账款",记账分录!$K$6:$K$5505,$A30))</f>
        <v/>
      </c>
      <c r="G30" s="42" t="str">
        <f aca="false">IF($A30="","",$E30-SUMIFS(记账分录!$J$6:$J$5505,记账分录!$H$6:$H$5505,"应收账款",记账分录!$K$6:$K$5505,$A30))</f>
        <v/>
      </c>
      <c r="H30" s="42" t="str">
        <f aca="false">IF($A30="","",$F30-SUMIFS(记账分录!$I$6:$I$5505,记账分录!$H$6:$H$5505,"应付账款",记账分录!$K$6:$K$5505,$A30))</f>
        <v/>
      </c>
      <c r="I30" s="25" t="str">
        <f aca="false">IF($A30="","",IF(COUNTIF($A$6:$A$85,$A30)&gt;1,"名称重复","OK"))</f>
        <v/>
      </c>
    </row>
    <row r="31" customFormat="false" ht="15" hidden="false" customHeight="false" outlineLevel="0" collapsed="false">
      <c r="A31" s="39"/>
      <c r="B31" s="33"/>
      <c r="C31" s="39"/>
      <c r="D31" s="33"/>
      <c r="E31" s="40" t="str">
        <f aca="false">IF($A31="","",SUMIFS(记账分录!$I$6:$I$5505,记账分录!$H$6:$H$5505,"应收账款",记账分录!$K$6:$K$5505,$A31))</f>
        <v/>
      </c>
      <c r="F31" s="40" t="str">
        <f aca="false">IF($A31="","",SUMIFS(记账分录!$J$6:$J$5505,记账分录!$H$6:$H$5505,"应付账款",记账分录!$K$6:$K$5505,$A31))</f>
        <v/>
      </c>
      <c r="G31" s="42" t="str">
        <f aca="false">IF($A31="","",$E31-SUMIFS(记账分录!$J$6:$J$5505,记账分录!$H$6:$H$5505,"应收账款",记账分录!$K$6:$K$5505,$A31))</f>
        <v/>
      </c>
      <c r="H31" s="42" t="str">
        <f aca="false">IF($A31="","",$F31-SUMIFS(记账分录!$I$6:$I$5505,记账分录!$H$6:$H$5505,"应付账款",记账分录!$K$6:$K$5505,$A31))</f>
        <v/>
      </c>
      <c r="I31" s="25" t="str">
        <f aca="false">IF($A31="","",IF(COUNTIF($A$6:$A$85,$A31)&gt;1,"名称重复","OK"))</f>
        <v/>
      </c>
    </row>
    <row r="32" customFormat="false" ht="15" hidden="false" customHeight="false" outlineLevel="0" collapsed="false">
      <c r="A32" s="39"/>
      <c r="B32" s="33"/>
      <c r="C32" s="39"/>
      <c r="D32" s="33"/>
      <c r="E32" s="40" t="str">
        <f aca="false">IF($A32="","",SUMIFS(记账分录!$I$6:$I$5505,记账分录!$H$6:$H$5505,"应收账款",记账分录!$K$6:$K$5505,$A32))</f>
        <v/>
      </c>
      <c r="F32" s="40" t="str">
        <f aca="false">IF($A32="","",SUMIFS(记账分录!$J$6:$J$5505,记账分录!$H$6:$H$5505,"应付账款",记账分录!$K$6:$K$5505,$A32))</f>
        <v/>
      </c>
      <c r="G32" s="42" t="str">
        <f aca="false">IF($A32="","",$E32-SUMIFS(记账分录!$J$6:$J$5505,记账分录!$H$6:$H$5505,"应收账款",记账分录!$K$6:$K$5505,$A32))</f>
        <v/>
      </c>
      <c r="H32" s="42" t="str">
        <f aca="false">IF($A32="","",$F32-SUMIFS(记账分录!$I$6:$I$5505,记账分录!$H$6:$H$5505,"应付账款",记账分录!$K$6:$K$5505,$A32))</f>
        <v/>
      </c>
      <c r="I32" s="25" t="str">
        <f aca="false">IF($A32="","",IF(COUNTIF($A$6:$A$85,$A32)&gt;1,"名称重复","OK"))</f>
        <v/>
      </c>
    </row>
    <row r="33" customFormat="false" ht="15" hidden="false" customHeight="false" outlineLevel="0" collapsed="false">
      <c r="A33" s="39"/>
      <c r="B33" s="33"/>
      <c r="C33" s="39"/>
      <c r="D33" s="33"/>
      <c r="E33" s="40" t="str">
        <f aca="false">IF($A33="","",SUMIFS(记账分录!$I$6:$I$5505,记账分录!$H$6:$H$5505,"应收账款",记账分录!$K$6:$K$5505,$A33))</f>
        <v/>
      </c>
      <c r="F33" s="40" t="str">
        <f aca="false">IF($A33="","",SUMIFS(记账分录!$J$6:$J$5505,记账分录!$H$6:$H$5505,"应付账款",记账分录!$K$6:$K$5505,$A33))</f>
        <v/>
      </c>
      <c r="G33" s="42" t="str">
        <f aca="false">IF($A33="","",$E33-SUMIFS(记账分录!$J$6:$J$5505,记账分录!$H$6:$H$5505,"应收账款",记账分录!$K$6:$K$5505,$A33))</f>
        <v/>
      </c>
      <c r="H33" s="42" t="str">
        <f aca="false">IF($A33="","",$F33-SUMIFS(记账分录!$I$6:$I$5505,记账分录!$H$6:$H$5505,"应付账款",记账分录!$K$6:$K$5505,$A33))</f>
        <v/>
      </c>
      <c r="I33" s="25" t="str">
        <f aca="false">IF($A33="","",IF(COUNTIF($A$6:$A$85,$A33)&gt;1,"名称重复","OK"))</f>
        <v/>
      </c>
    </row>
    <row r="34" customFormat="false" ht="15" hidden="false" customHeight="false" outlineLevel="0" collapsed="false">
      <c r="A34" s="39"/>
      <c r="B34" s="33"/>
      <c r="C34" s="39"/>
      <c r="D34" s="33"/>
      <c r="E34" s="40" t="str">
        <f aca="false">IF($A34="","",SUMIFS(记账分录!$I$6:$I$5505,记账分录!$H$6:$H$5505,"应收账款",记账分录!$K$6:$K$5505,$A34))</f>
        <v/>
      </c>
      <c r="F34" s="40" t="str">
        <f aca="false">IF($A34="","",SUMIFS(记账分录!$J$6:$J$5505,记账分录!$H$6:$H$5505,"应付账款",记账分录!$K$6:$K$5505,$A34))</f>
        <v/>
      </c>
      <c r="G34" s="42" t="str">
        <f aca="false">IF($A34="","",$E34-SUMIFS(记账分录!$J$6:$J$5505,记账分录!$H$6:$H$5505,"应收账款",记账分录!$K$6:$K$5505,$A34))</f>
        <v/>
      </c>
      <c r="H34" s="42" t="str">
        <f aca="false">IF($A34="","",$F34-SUMIFS(记账分录!$I$6:$I$5505,记账分录!$H$6:$H$5505,"应付账款",记账分录!$K$6:$K$5505,$A34))</f>
        <v/>
      </c>
      <c r="I34" s="25" t="str">
        <f aca="false">IF($A34="","",IF(COUNTIF($A$6:$A$85,$A34)&gt;1,"名称重复","OK"))</f>
        <v/>
      </c>
    </row>
    <row r="35" customFormat="false" ht="15" hidden="false" customHeight="false" outlineLevel="0" collapsed="false">
      <c r="A35" s="39"/>
      <c r="B35" s="33"/>
      <c r="C35" s="39"/>
      <c r="D35" s="33"/>
      <c r="E35" s="40" t="str">
        <f aca="false">IF($A35="","",SUMIFS(记账分录!$I$6:$I$5505,记账分录!$H$6:$H$5505,"应收账款",记账分录!$K$6:$K$5505,$A35))</f>
        <v/>
      </c>
      <c r="F35" s="40" t="str">
        <f aca="false">IF($A35="","",SUMIFS(记账分录!$J$6:$J$5505,记账分录!$H$6:$H$5505,"应付账款",记账分录!$K$6:$K$5505,$A35))</f>
        <v/>
      </c>
      <c r="G35" s="42" t="str">
        <f aca="false">IF($A35="","",$E35-SUMIFS(记账分录!$J$6:$J$5505,记账分录!$H$6:$H$5505,"应收账款",记账分录!$K$6:$K$5505,$A35))</f>
        <v/>
      </c>
      <c r="H35" s="42" t="str">
        <f aca="false">IF($A35="","",$F35-SUMIFS(记账分录!$I$6:$I$5505,记账分录!$H$6:$H$5505,"应付账款",记账分录!$K$6:$K$5505,$A35))</f>
        <v/>
      </c>
      <c r="I35" s="25" t="str">
        <f aca="false">IF($A35="","",IF(COUNTIF($A$6:$A$85,$A35)&gt;1,"名称重复","OK"))</f>
        <v/>
      </c>
    </row>
    <row r="36" customFormat="false" ht="15" hidden="false" customHeight="false" outlineLevel="0" collapsed="false">
      <c r="A36" s="39"/>
      <c r="B36" s="33"/>
      <c r="C36" s="39"/>
      <c r="D36" s="33"/>
      <c r="E36" s="40" t="str">
        <f aca="false">IF($A36="","",SUMIFS(记账分录!$I$6:$I$5505,记账分录!$H$6:$H$5505,"应收账款",记账分录!$K$6:$K$5505,$A36))</f>
        <v/>
      </c>
      <c r="F36" s="40" t="str">
        <f aca="false">IF($A36="","",SUMIFS(记账分录!$J$6:$J$5505,记账分录!$H$6:$H$5505,"应付账款",记账分录!$K$6:$K$5505,$A36))</f>
        <v/>
      </c>
      <c r="G36" s="42" t="str">
        <f aca="false">IF($A36="","",$E36-SUMIFS(记账分录!$J$6:$J$5505,记账分录!$H$6:$H$5505,"应收账款",记账分录!$K$6:$K$5505,$A36))</f>
        <v/>
      </c>
      <c r="H36" s="42" t="str">
        <f aca="false">IF($A36="","",$F36-SUMIFS(记账分录!$I$6:$I$5505,记账分录!$H$6:$H$5505,"应付账款",记账分录!$K$6:$K$5505,$A36))</f>
        <v/>
      </c>
      <c r="I36" s="25" t="str">
        <f aca="false">IF($A36="","",IF(COUNTIF($A$6:$A$85,$A36)&gt;1,"名称重复","OK"))</f>
        <v/>
      </c>
    </row>
    <row r="37" customFormat="false" ht="15" hidden="false" customHeight="false" outlineLevel="0" collapsed="false">
      <c r="A37" s="39"/>
      <c r="B37" s="33"/>
      <c r="C37" s="39"/>
      <c r="D37" s="33"/>
      <c r="E37" s="40" t="str">
        <f aca="false">IF($A37="","",SUMIFS(记账分录!$I$6:$I$5505,记账分录!$H$6:$H$5505,"应收账款",记账分录!$K$6:$K$5505,$A37))</f>
        <v/>
      </c>
      <c r="F37" s="40" t="str">
        <f aca="false">IF($A37="","",SUMIFS(记账分录!$J$6:$J$5505,记账分录!$H$6:$H$5505,"应付账款",记账分录!$K$6:$K$5505,$A37))</f>
        <v/>
      </c>
      <c r="G37" s="42" t="str">
        <f aca="false">IF($A37="","",$E37-SUMIFS(记账分录!$J$6:$J$5505,记账分录!$H$6:$H$5505,"应收账款",记账分录!$K$6:$K$5505,$A37))</f>
        <v/>
      </c>
      <c r="H37" s="42" t="str">
        <f aca="false">IF($A37="","",$F37-SUMIFS(记账分录!$I$6:$I$5505,记账分录!$H$6:$H$5505,"应付账款",记账分录!$K$6:$K$5505,$A37))</f>
        <v/>
      </c>
      <c r="I37" s="25" t="str">
        <f aca="false">IF($A37="","",IF(COUNTIF($A$6:$A$85,$A37)&gt;1,"名称重复","OK"))</f>
        <v/>
      </c>
    </row>
    <row r="38" customFormat="false" ht="15" hidden="false" customHeight="false" outlineLevel="0" collapsed="false">
      <c r="A38" s="39"/>
      <c r="B38" s="33"/>
      <c r="C38" s="39"/>
      <c r="D38" s="33"/>
      <c r="E38" s="40" t="str">
        <f aca="false">IF($A38="","",SUMIFS(记账分录!$I$6:$I$5505,记账分录!$H$6:$H$5505,"应收账款",记账分录!$K$6:$K$5505,$A38))</f>
        <v/>
      </c>
      <c r="F38" s="40" t="str">
        <f aca="false">IF($A38="","",SUMIFS(记账分录!$J$6:$J$5505,记账分录!$H$6:$H$5505,"应付账款",记账分录!$K$6:$K$5505,$A38))</f>
        <v/>
      </c>
      <c r="G38" s="42" t="str">
        <f aca="false">IF($A38="","",$E38-SUMIFS(记账分录!$J$6:$J$5505,记账分录!$H$6:$H$5505,"应收账款",记账分录!$K$6:$K$5505,$A38))</f>
        <v/>
      </c>
      <c r="H38" s="42" t="str">
        <f aca="false">IF($A38="","",$F38-SUMIFS(记账分录!$I$6:$I$5505,记账分录!$H$6:$H$5505,"应付账款",记账分录!$K$6:$K$5505,$A38))</f>
        <v/>
      </c>
      <c r="I38" s="25" t="str">
        <f aca="false">IF($A38="","",IF(COUNTIF($A$6:$A$85,$A38)&gt;1,"名称重复","OK"))</f>
        <v/>
      </c>
    </row>
    <row r="39" customFormat="false" ht="15" hidden="false" customHeight="false" outlineLevel="0" collapsed="false">
      <c r="A39" s="39"/>
      <c r="B39" s="33"/>
      <c r="C39" s="39"/>
      <c r="D39" s="33"/>
      <c r="E39" s="40" t="str">
        <f aca="false">IF($A39="","",SUMIFS(记账分录!$I$6:$I$5505,记账分录!$H$6:$H$5505,"应收账款",记账分录!$K$6:$K$5505,$A39))</f>
        <v/>
      </c>
      <c r="F39" s="40" t="str">
        <f aca="false">IF($A39="","",SUMIFS(记账分录!$J$6:$J$5505,记账分录!$H$6:$H$5505,"应付账款",记账分录!$K$6:$K$5505,$A39))</f>
        <v/>
      </c>
      <c r="G39" s="42" t="str">
        <f aca="false">IF($A39="","",$E39-SUMIFS(记账分录!$J$6:$J$5505,记账分录!$H$6:$H$5505,"应收账款",记账分录!$K$6:$K$5505,$A39))</f>
        <v/>
      </c>
      <c r="H39" s="42" t="str">
        <f aca="false">IF($A39="","",$F39-SUMIFS(记账分录!$I$6:$I$5505,记账分录!$H$6:$H$5505,"应付账款",记账分录!$K$6:$K$5505,$A39))</f>
        <v/>
      </c>
      <c r="I39" s="25" t="str">
        <f aca="false">IF($A39="","",IF(COUNTIF($A$6:$A$85,$A39)&gt;1,"名称重复","OK"))</f>
        <v/>
      </c>
    </row>
    <row r="40" customFormat="false" ht="15" hidden="false" customHeight="false" outlineLevel="0" collapsed="false">
      <c r="A40" s="39"/>
      <c r="B40" s="33"/>
      <c r="C40" s="39"/>
      <c r="D40" s="33"/>
      <c r="E40" s="40" t="str">
        <f aca="false">IF($A40="","",SUMIFS(记账分录!$I$6:$I$5505,记账分录!$H$6:$H$5505,"应收账款",记账分录!$K$6:$K$5505,$A40))</f>
        <v/>
      </c>
      <c r="F40" s="40" t="str">
        <f aca="false">IF($A40="","",SUMIFS(记账分录!$J$6:$J$5505,记账分录!$H$6:$H$5505,"应付账款",记账分录!$K$6:$K$5505,$A40))</f>
        <v/>
      </c>
      <c r="G40" s="42" t="str">
        <f aca="false">IF($A40="","",$E40-SUMIFS(记账分录!$J$6:$J$5505,记账分录!$H$6:$H$5505,"应收账款",记账分录!$K$6:$K$5505,$A40))</f>
        <v/>
      </c>
      <c r="H40" s="42" t="str">
        <f aca="false">IF($A40="","",$F40-SUMIFS(记账分录!$I$6:$I$5505,记账分录!$H$6:$H$5505,"应付账款",记账分录!$K$6:$K$5505,$A40))</f>
        <v/>
      </c>
      <c r="I40" s="25" t="str">
        <f aca="false">IF($A40="","",IF(COUNTIF($A$6:$A$85,$A40)&gt;1,"名称重复","OK"))</f>
        <v/>
      </c>
    </row>
    <row r="41" customFormat="false" ht="15" hidden="false" customHeight="false" outlineLevel="0" collapsed="false">
      <c r="A41" s="39"/>
      <c r="B41" s="33"/>
      <c r="C41" s="39"/>
      <c r="D41" s="33"/>
      <c r="E41" s="40" t="str">
        <f aca="false">IF($A41="","",SUMIFS(记账分录!$I$6:$I$5505,记账分录!$H$6:$H$5505,"应收账款",记账分录!$K$6:$K$5505,$A41))</f>
        <v/>
      </c>
      <c r="F41" s="40" t="str">
        <f aca="false">IF($A41="","",SUMIFS(记账分录!$J$6:$J$5505,记账分录!$H$6:$H$5505,"应付账款",记账分录!$K$6:$K$5505,$A41))</f>
        <v/>
      </c>
      <c r="G41" s="42" t="str">
        <f aca="false">IF($A41="","",$E41-SUMIFS(记账分录!$J$6:$J$5505,记账分录!$H$6:$H$5505,"应收账款",记账分录!$K$6:$K$5505,$A41))</f>
        <v/>
      </c>
      <c r="H41" s="42" t="str">
        <f aca="false">IF($A41="","",$F41-SUMIFS(记账分录!$I$6:$I$5505,记账分录!$H$6:$H$5505,"应付账款",记账分录!$K$6:$K$5505,$A41))</f>
        <v/>
      </c>
      <c r="I41" s="25" t="str">
        <f aca="false">IF($A41="","",IF(COUNTIF($A$6:$A$85,$A41)&gt;1,"名称重复","OK"))</f>
        <v/>
      </c>
    </row>
    <row r="42" customFormat="false" ht="15" hidden="false" customHeight="false" outlineLevel="0" collapsed="false">
      <c r="A42" s="39"/>
      <c r="B42" s="33"/>
      <c r="C42" s="39"/>
      <c r="D42" s="33"/>
      <c r="E42" s="40" t="str">
        <f aca="false">IF($A42="","",SUMIFS(记账分录!$I$6:$I$5505,记账分录!$H$6:$H$5505,"应收账款",记账分录!$K$6:$K$5505,$A42))</f>
        <v/>
      </c>
      <c r="F42" s="40" t="str">
        <f aca="false">IF($A42="","",SUMIFS(记账分录!$J$6:$J$5505,记账分录!$H$6:$H$5505,"应付账款",记账分录!$K$6:$K$5505,$A42))</f>
        <v/>
      </c>
      <c r="G42" s="42" t="str">
        <f aca="false">IF($A42="","",$E42-SUMIFS(记账分录!$J$6:$J$5505,记账分录!$H$6:$H$5505,"应收账款",记账分录!$K$6:$K$5505,$A42))</f>
        <v/>
      </c>
      <c r="H42" s="42" t="str">
        <f aca="false">IF($A42="","",$F42-SUMIFS(记账分录!$I$6:$I$5505,记账分录!$H$6:$H$5505,"应付账款",记账分录!$K$6:$K$5505,$A42))</f>
        <v/>
      </c>
      <c r="I42" s="25" t="str">
        <f aca="false">IF($A42="","",IF(COUNTIF($A$6:$A$85,$A42)&gt;1,"名称重复","OK"))</f>
        <v/>
      </c>
    </row>
    <row r="43" customFormat="false" ht="15" hidden="false" customHeight="false" outlineLevel="0" collapsed="false">
      <c r="A43" s="39"/>
      <c r="B43" s="33"/>
      <c r="C43" s="39"/>
      <c r="D43" s="33"/>
      <c r="E43" s="40" t="str">
        <f aca="false">IF($A43="","",SUMIFS(记账分录!$I$6:$I$5505,记账分录!$H$6:$H$5505,"应收账款",记账分录!$K$6:$K$5505,$A43))</f>
        <v/>
      </c>
      <c r="F43" s="40" t="str">
        <f aca="false">IF($A43="","",SUMIFS(记账分录!$J$6:$J$5505,记账分录!$H$6:$H$5505,"应付账款",记账分录!$K$6:$K$5505,$A43))</f>
        <v/>
      </c>
      <c r="G43" s="42" t="str">
        <f aca="false">IF($A43="","",$E43-SUMIFS(记账分录!$J$6:$J$5505,记账分录!$H$6:$H$5505,"应收账款",记账分录!$K$6:$K$5505,$A43))</f>
        <v/>
      </c>
      <c r="H43" s="42" t="str">
        <f aca="false">IF($A43="","",$F43-SUMIFS(记账分录!$I$6:$I$5505,记账分录!$H$6:$H$5505,"应付账款",记账分录!$K$6:$K$5505,$A43))</f>
        <v/>
      </c>
      <c r="I43" s="25" t="str">
        <f aca="false">IF($A43="","",IF(COUNTIF($A$6:$A$85,$A43)&gt;1,"名称重复","OK"))</f>
        <v/>
      </c>
    </row>
    <row r="44" customFormat="false" ht="15" hidden="false" customHeight="false" outlineLevel="0" collapsed="false">
      <c r="A44" s="39"/>
      <c r="B44" s="33"/>
      <c r="C44" s="39"/>
      <c r="D44" s="33"/>
      <c r="E44" s="40" t="str">
        <f aca="false">IF($A44="","",SUMIFS(记账分录!$I$6:$I$5505,记账分录!$H$6:$H$5505,"应收账款",记账分录!$K$6:$K$5505,$A44))</f>
        <v/>
      </c>
      <c r="F44" s="40" t="str">
        <f aca="false">IF($A44="","",SUMIFS(记账分录!$J$6:$J$5505,记账分录!$H$6:$H$5505,"应付账款",记账分录!$K$6:$K$5505,$A44))</f>
        <v/>
      </c>
      <c r="G44" s="42" t="str">
        <f aca="false">IF($A44="","",$E44-SUMIFS(记账分录!$J$6:$J$5505,记账分录!$H$6:$H$5505,"应收账款",记账分录!$K$6:$K$5505,$A44))</f>
        <v/>
      </c>
      <c r="H44" s="42" t="str">
        <f aca="false">IF($A44="","",$F44-SUMIFS(记账分录!$I$6:$I$5505,记账分录!$H$6:$H$5505,"应付账款",记账分录!$K$6:$K$5505,$A44))</f>
        <v/>
      </c>
      <c r="I44" s="25" t="str">
        <f aca="false">IF($A44="","",IF(COUNTIF($A$6:$A$85,$A44)&gt;1,"名称重复","OK"))</f>
        <v/>
      </c>
    </row>
    <row r="45" customFormat="false" ht="15" hidden="false" customHeight="false" outlineLevel="0" collapsed="false">
      <c r="A45" s="39"/>
      <c r="B45" s="33"/>
      <c r="C45" s="39"/>
      <c r="D45" s="33"/>
      <c r="E45" s="40" t="str">
        <f aca="false">IF($A45="","",SUMIFS(记账分录!$I$6:$I$5505,记账分录!$H$6:$H$5505,"应收账款",记账分录!$K$6:$K$5505,$A45))</f>
        <v/>
      </c>
      <c r="F45" s="40" t="str">
        <f aca="false">IF($A45="","",SUMIFS(记账分录!$J$6:$J$5505,记账分录!$H$6:$H$5505,"应付账款",记账分录!$K$6:$K$5505,$A45))</f>
        <v/>
      </c>
      <c r="G45" s="42" t="str">
        <f aca="false">IF($A45="","",$E45-SUMIFS(记账分录!$J$6:$J$5505,记账分录!$H$6:$H$5505,"应收账款",记账分录!$K$6:$K$5505,$A45))</f>
        <v/>
      </c>
      <c r="H45" s="42" t="str">
        <f aca="false">IF($A45="","",$F45-SUMIFS(记账分录!$I$6:$I$5505,记账分录!$H$6:$H$5505,"应付账款",记账分录!$K$6:$K$5505,$A45))</f>
        <v/>
      </c>
      <c r="I45" s="25" t="str">
        <f aca="false">IF($A45="","",IF(COUNTIF($A$6:$A$85,$A45)&gt;1,"名称重复","OK"))</f>
        <v/>
      </c>
    </row>
    <row r="46" customFormat="false" ht="15" hidden="false" customHeight="false" outlineLevel="0" collapsed="false">
      <c r="A46" s="39"/>
      <c r="B46" s="33"/>
      <c r="C46" s="39"/>
      <c r="D46" s="33"/>
      <c r="E46" s="40" t="str">
        <f aca="false">IF($A46="","",SUMIFS(记账分录!$I$6:$I$5505,记账分录!$H$6:$H$5505,"应收账款",记账分录!$K$6:$K$5505,$A46))</f>
        <v/>
      </c>
      <c r="F46" s="40" t="str">
        <f aca="false">IF($A46="","",SUMIFS(记账分录!$J$6:$J$5505,记账分录!$H$6:$H$5505,"应付账款",记账分录!$K$6:$K$5505,$A46))</f>
        <v/>
      </c>
      <c r="G46" s="42" t="str">
        <f aca="false">IF($A46="","",$E46-SUMIFS(记账分录!$J$6:$J$5505,记账分录!$H$6:$H$5505,"应收账款",记账分录!$K$6:$K$5505,$A46))</f>
        <v/>
      </c>
      <c r="H46" s="42" t="str">
        <f aca="false">IF($A46="","",$F46-SUMIFS(记账分录!$I$6:$I$5505,记账分录!$H$6:$H$5505,"应付账款",记账分录!$K$6:$K$5505,$A46))</f>
        <v/>
      </c>
      <c r="I46" s="25" t="str">
        <f aca="false">IF($A46="","",IF(COUNTIF($A$6:$A$85,$A46)&gt;1,"名称重复","OK"))</f>
        <v/>
      </c>
    </row>
    <row r="47" customFormat="false" ht="15" hidden="false" customHeight="false" outlineLevel="0" collapsed="false">
      <c r="A47" s="39"/>
      <c r="B47" s="33"/>
      <c r="C47" s="39"/>
      <c r="D47" s="33"/>
      <c r="E47" s="40" t="str">
        <f aca="false">IF($A47="","",SUMIFS(记账分录!$I$6:$I$5505,记账分录!$H$6:$H$5505,"应收账款",记账分录!$K$6:$K$5505,$A47))</f>
        <v/>
      </c>
      <c r="F47" s="40" t="str">
        <f aca="false">IF($A47="","",SUMIFS(记账分录!$J$6:$J$5505,记账分录!$H$6:$H$5505,"应付账款",记账分录!$K$6:$K$5505,$A47))</f>
        <v/>
      </c>
      <c r="G47" s="42" t="str">
        <f aca="false">IF($A47="","",$E47-SUMIFS(记账分录!$J$6:$J$5505,记账分录!$H$6:$H$5505,"应收账款",记账分录!$K$6:$K$5505,$A47))</f>
        <v/>
      </c>
      <c r="H47" s="42" t="str">
        <f aca="false">IF($A47="","",$F47-SUMIFS(记账分录!$I$6:$I$5505,记账分录!$H$6:$H$5505,"应付账款",记账分录!$K$6:$K$5505,$A47))</f>
        <v/>
      </c>
      <c r="I47" s="25" t="str">
        <f aca="false">IF($A47="","",IF(COUNTIF($A$6:$A$85,$A47)&gt;1,"名称重复","OK"))</f>
        <v/>
      </c>
    </row>
    <row r="48" customFormat="false" ht="15" hidden="false" customHeight="false" outlineLevel="0" collapsed="false">
      <c r="A48" s="39"/>
      <c r="B48" s="33"/>
      <c r="C48" s="39"/>
      <c r="D48" s="33"/>
      <c r="E48" s="40" t="str">
        <f aca="false">IF($A48="","",SUMIFS(记账分录!$I$6:$I$5505,记账分录!$H$6:$H$5505,"应收账款",记账分录!$K$6:$K$5505,$A48))</f>
        <v/>
      </c>
      <c r="F48" s="40" t="str">
        <f aca="false">IF($A48="","",SUMIFS(记账分录!$J$6:$J$5505,记账分录!$H$6:$H$5505,"应付账款",记账分录!$K$6:$K$5505,$A48))</f>
        <v/>
      </c>
      <c r="G48" s="42" t="str">
        <f aca="false">IF($A48="","",$E48-SUMIFS(记账分录!$J$6:$J$5505,记账分录!$H$6:$H$5505,"应收账款",记账分录!$K$6:$K$5505,$A48))</f>
        <v/>
      </c>
      <c r="H48" s="42" t="str">
        <f aca="false">IF($A48="","",$F48-SUMIFS(记账分录!$I$6:$I$5505,记账分录!$H$6:$H$5505,"应付账款",记账分录!$K$6:$K$5505,$A48))</f>
        <v/>
      </c>
      <c r="I48" s="25" t="str">
        <f aca="false">IF($A48="","",IF(COUNTIF($A$6:$A$85,$A48)&gt;1,"名称重复","OK"))</f>
        <v/>
      </c>
    </row>
    <row r="49" customFormat="false" ht="15" hidden="false" customHeight="false" outlineLevel="0" collapsed="false">
      <c r="A49" s="39"/>
      <c r="B49" s="33"/>
      <c r="C49" s="39"/>
      <c r="D49" s="33"/>
      <c r="E49" s="40" t="str">
        <f aca="false">IF($A49="","",SUMIFS(记账分录!$I$6:$I$5505,记账分录!$H$6:$H$5505,"应收账款",记账分录!$K$6:$K$5505,$A49))</f>
        <v/>
      </c>
      <c r="F49" s="40" t="str">
        <f aca="false">IF($A49="","",SUMIFS(记账分录!$J$6:$J$5505,记账分录!$H$6:$H$5505,"应付账款",记账分录!$K$6:$K$5505,$A49))</f>
        <v/>
      </c>
      <c r="G49" s="42" t="str">
        <f aca="false">IF($A49="","",$E49-SUMIFS(记账分录!$J$6:$J$5505,记账分录!$H$6:$H$5505,"应收账款",记账分录!$K$6:$K$5505,$A49))</f>
        <v/>
      </c>
      <c r="H49" s="42" t="str">
        <f aca="false">IF($A49="","",$F49-SUMIFS(记账分录!$I$6:$I$5505,记账分录!$H$6:$H$5505,"应付账款",记账分录!$K$6:$K$5505,$A49))</f>
        <v/>
      </c>
      <c r="I49" s="25" t="str">
        <f aca="false">IF($A49="","",IF(COUNTIF($A$6:$A$85,$A49)&gt;1,"名称重复","OK"))</f>
        <v/>
      </c>
    </row>
    <row r="50" customFormat="false" ht="15" hidden="false" customHeight="false" outlineLevel="0" collapsed="false">
      <c r="A50" s="39"/>
      <c r="B50" s="33"/>
      <c r="C50" s="39"/>
      <c r="D50" s="33"/>
      <c r="E50" s="40" t="str">
        <f aca="false">IF($A50="","",SUMIFS(记账分录!$I$6:$I$5505,记账分录!$H$6:$H$5505,"应收账款",记账分录!$K$6:$K$5505,$A50))</f>
        <v/>
      </c>
      <c r="F50" s="40" t="str">
        <f aca="false">IF($A50="","",SUMIFS(记账分录!$J$6:$J$5505,记账分录!$H$6:$H$5505,"应付账款",记账分录!$K$6:$K$5505,$A50))</f>
        <v/>
      </c>
      <c r="G50" s="42" t="str">
        <f aca="false">IF($A50="","",$E50-SUMIFS(记账分录!$J$6:$J$5505,记账分录!$H$6:$H$5505,"应收账款",记账分录!$K$6:$K$5505,$A50))</f>
        <v/>
      </c>
      <c r="H50" s="42" t="str">
        <f aca="false">IF($A50="","",$F50-SUMIFS(记账分录!$I$6:$I$5505,记账分录!$H$6:$H$5505,"应付账款",记账分录!$K$6:$K$5505,$A50))</f>
        <v/>
      </c>
      <c r="I50" s="25" t="str">
        <f aca="false">IF($A50="","",IF(COUNTIF($A$6:$A$85,$A50)&gt;1,"名称重复","OK"))</f>
        <v/>
      </c>
    </row>
    <row r="51" customFormat="false" ht="15" hidden="false" customHeight="false" outlineLevel="0" collapsed="false">
      <c r="A51" s="39"/>
      <c r="B51" s="33"/>
      <c r="C51" s="39"/>
      <c r="D51" s="33"/>
      <c r="E51" s="40" t="str">
        <f aca="false">IF($A51="","",SUMIFS(记账分录!$I$6:$I$5505,记账分录!$H$6:$H$5505,"应收账款",记账分录!$K$6:$K$5505,$A51))</f>
        <v/>
      </c>
      <c r="F51" s="40" t="str">
        <f aca="false">IF($A51="","",SUMIFS(记账分录!$J$6:$J$5505,记账分录!$H$6:$H$5505,"应付账款",记账分录!$K$6:$K$5505,$A51))</f>
        <v/>
      </c>
      <c r="G51" s="42" t="str">
        <f aca="false">IF($A51="","",$E51-SUMIFS(记账分录!$J$6:$J$5505,记账分录!$H$6:$H$5505,"应收账款",记账分录!$K$6:$K$5505,$A51))</f>
        <v/>
      </c>
      <c r="H51" s="42" t="str">
        <f aca="false">IF($A51="","",$F51-SUMIFS(记账分录!$I$6:$I$5505,记账分录!$H$6:$H$5505,"应付账款",记账分录!$K$6:$K$5505,$A51))</f>
        <v/>
      </c>
      <c r="I51" s="25" t="str">
        <f aca="false">IF($A51="","",IF(COUNTIF($A$6:$A$85,$A51)&gt;1,"名称重复","OK"))</f>
        <v/>
      </c>
    </row>
    <row r="52" customFormat="false" ht="15" hidden="false" customHeight="false" outlineLevel="0" collapsed="false">
      <c r="A52" s="39"/>
      <c r="B52" s="33"/>
      <c r="C52" s="39"/>
      <c r="D52" s="33"/>
      <c r="E52" s="40" t="str">
        <f aca="false">IF($A52="","",SUMIFS(记账分录!$I$6:$I$5505,记账分录!$H$6:$H$5505,"应收账款",记账分录!$K$6:$K$5505,$A52))</f>
        <v/>
      </c>
      <c r="F52" s="40" t="str">
        <f aca="false">IF($A52="","",SUMIFS(记账分录!$J$6:$J$5505,记账分录!$H$6:$H$5505,"应付账款",记账分录!$K$6:$K$5505,$A52))</f>
        <v/>
      </c>
      <c r="G52" s="42" t="str">
        <f aca="false">IF($A52="","",$E52-SUMIFS(记账分录!$J$6:$J$5505,记账分录!$H$6:$H$5505,"应收账款",记账分录!$K$6:$K$5505,$A52))</f>
        <v/>
      </c>
      <c r="H52" s="42" t="str">
        <f aca="false">IF($A52="","",$F52-SUMIFS(记账分录!$I$6:$I$5505,记账分录!$H$6:$H$5505,"应付账款",记账分录!$K$6:$K$5505,$A52))</f>
        <v/>
      </c>
      <c r="I52" s="25" t="str">
        <f aca="false">IF($A52="","",IF(COUNTIF($A$6:$A$85,$A52)&gt;1,"名称重复","OK"))</f>
        <v/>
      </c>
    </row>
    <row r="53" customFormat="false" ht="15" hidden="false" customHeight="false" outlineLevel="0" collapsed="false">
      <c r="A53" s="39"/>
      <c r="B53" s="33"/>
      <c r="C53" s="39"/>
      <c r="D53" s="33"/>
      <c r="E53" s="40" t="str">
        <f aca="false">IF($A53="","",SUMIFS(记账分录!$I$6:$I$5505,记账分录!$H$6:$H$5505,"应收账款",记账分录!$K$6:$K$5505,$A53))</f>
        <v/>
      </c>
      <c r="F53" s="40" t="str">
        <f aca="false">IF($A53="","",SUMIFS(记账分录!$J$6:$J$5505,记账分录!$H$6:$H$5505,"应付账款",记账分录!$K$6:$K$5505,$A53))</f>
        <v/>
      </c>
      <c r="G53" s="42" t="str">
        <f aca="false">IF($A53="","",$E53-SUMIFS(记账分录!$J$6:$J$5505,记账分录!$H$6:$H$5505,"应收账款",记账分录!$K$6:$K$5505,$A53))</f>
        <v/>
      </c>
      <c r="H53" s="42" t="str">
        <f aca="false">IF($A53="","",$F53-SUMIFS(记账分录!$I$6:$I$5505,记账分录!$H$6:$H$5505,"应付账款",记账分录!$K$6:$K$5505,$A53))</f>
        <v/>
      </c>
      <c r="I53" s="25" t="str">
        <f aca="false">IF($A53="","",IF(COUNTIF($A$6:$A$85,$A53)&gt;1,"名称重复","OK"))</f>
        <v/>
      </c>
    </row>
    <row r="54" customFormat="false" ht="15" hidden="false" customHeight="false" outlineLevel="0" collapsed="false">
      <c r="A54" s="39"/>
      <c r="B54" s="33"/>
      <c r="C54" s="39"/>
      <c r="D54" s="33"/>
      <c r="E54" s="40" t="str">
        <f aca="false">IF($A54="","",SUMIFS(记账分录!$I$6:$I$5505,记账分录!$H$6:$H$5505,"应收账款",记账分录!$K$6:$K$5505,$A54))</f>
        <v/>
      </c>
      <c r="F54" s="40" t="str">
        <f aca="false">IF($A54="","",SUMIFS(记账分录!$J$6:$J$5505,记账分录!$H$6:$H$5505,"应付账款",记账分录!$K$6:$K$5505,$A54))</f>
        <v/>
      </c>
      <c r="G54" s="42" t="str">
        <f aca="false">IF($A54="","",$E54-SUMIFS(记账分录!$J$6:$J$5505,记账分录!$H$6:$H$5505,"应收账款",记账分录!$K$6:$K$5505,$A54))</f>
        <v/>
      </c>
      <c r="H54" s="42" t="str">
        <f aca="false">IF($A54="","",$F54-SUMIFS(记账分录!$I$6:$I$5505,记账分录!$H$6:$H$5505,"应付账款",记账分录!$K$6:$K$5505,$A54))</f>
        <v/>
      </c>
      <c r="I54" s="25" t="str">
        <f aca="false">IF($A54="","",IF(COUNTIF($A$6:$A$85,$A54)&gt;1,"名称重复","OK"))</f>
        <v/>
      </c>
    </row>
    <row r="55" customFormat="false" ht="15" hidden="false" customHeight="false" outlineLevel="0" collapsed="false">
      <c r="A55" s="39"/>
      <c r="B55" s="33"/>
      <c r="C55" s="39"/>
      <c r="D55" s="33"/>
      <c r="E55" s="40" t="str">
        <f aca="false">IF($A55="","",SUMIFS(记账分录!$I$6:$I$5505,记账分录!$H$6:$H$5505,"应收账款",记账分录!$K$6:$K$5505,$A55))</f>
        <v/>
      </c>
      <c r="F55" s="40" t="str">
        <f aca="false">IF($A55="","",SUMIFS(记账分录!$J$6:$J$5505,记账分录!$H$6:$H$5505,"应付账款",记账分录!$K$6:$K$5505,$A55))</f>
        <v/>
      </c>
      <c r="G55" s="42" t="str">
        <f aca="false">IF($A55="","",$E55-SUMIFS(记账分录!$J$6:$J$5505,记账分录!$H$6:$H$5505,"应收账款",记账分录!$K$6:$K$5505,$A55))</f>
        <v/>
      </c>
      <c r="H55" s="42" t="str">
        <f aca="false">IF($A55="","",$F55-SUMIFS(记账分录!$I$6:$I$5505,记账分录!$H$6:$H$5505,"应付账款",记账分录!$K$6:$K$5505,$A55))</f>
        <v/>
      </c>
      <c r="I55" s="25" t="str">
        <f aca="false">IF($A55="","",IF(COUNTIF($A$6:$A$85,$A55)&gt;1,"名称重复","OK"))</f>
        <v/>
      </c>
    </row>
    <row r="56" customFormat="false" ht="15" hidden="false" customHeight="false" outlineLevel="0" collapsed="false">
      <c r="A56" s="39"/>
      <c r="B56" s="33"/>
      <c r="C56" s="39"/>
      <c r="D56" s="33"/>
      <c r="E56" s="40" t="str">
        <f aca="false">IF($A56="","",SUMIFS(记账分录!$I$6:$I$5505,记账分录!$H$6:$H$5505,"应收账款",记账分录!$K$6:$K$5505,$A56))</f>
        <v/>
      </c>
      <c r="F56" s="40" t="str">
        <f aca="false">IF($A56="","",SUMIFS(记账分录!$J$6:$J$5505,记账分录!$H$6:$H$5505,"应付账款",记账分录!$K$6:$K$5505,$A56))</f>
        <v/>
      </c>
      <c r="G56" s="42" t="str">
        <f aca="false">IF($A56="","",$E56-SUMIFS(记账分录!$J$6:$J$5505,记账分录!$H$6:$H$5505,"应收账款",记账分录!$K$6:$K$5505,$A56))</f>
        <v/>
      </c>
      <c r="H56" s="42" t="str">
        <f aca="false">IF($A56="","",$F56-SUMIFS(记账分录!$I$6:$I$5505,记账分录!$H$6:$H$5505,"应付账款",记账分录!$K$6:$K$5505,$A56))</f>
        <v/>
      </c>
      <c r="I56" s="25" t="str">
        <f aca="false">IF($A56="","",IF(COUNTIF($A$6:$A$85,$A56)&gt;1,"名称重复","OK"))</f>
        <v/>
      </c>
    </row>
    <row r="57" customFormat="false" ht="15" hidden="false" customHeight="false" outlineLevel="0" collapsed="false">
      <c r="A57" s="39"/>
      <c r="B57" s="33"/>
      <c r="C57" s="39"/>
      <c r="D57" s="33"/>
      <c r="E57" s="40" t="str">
        <f aca="false">IF($A57="","",SUMIFS(记账分录!$I$6:$I$5505,记账分录!$H$6:$H$5505,"应收账款",记账分录!$K$6:$K$5505,$A57))</f>
        <v/>
      </c>
      <c r="F57" s="40" t="str">
        <f aca="false">IF($A57="","",SUMIFS(记账分录!$J$6:$J$5505,记账分录!$H$6:$H$5505,"应付账款",记账分录!$K$6:$K$5505,$A57))</f>
        <v/>
      </c>
      <c r="G57" s="42" t="str">
        <f aca="false">IF($A57="","",$E57-SUMIFS(记账分录!$J$6:$J$5505,记账分录!$H$6:$H$5505,"应收账款",记账分录!$K$6:$K$5505,$A57))</f>
        <v/>
      </c>
      <c r="H57" s="42" t="str">
        <f aca="false">IF($A57="","",$F57-SUMIFS(记账分录!$I$6:$I$5505,记账分录!$H$6:$H$5505,"应付账款",记账分录!$K$6:$K$5505,$A57))</f>
        <v/>
      </c>
      <c r="I57" s="25" t="str">
        <f aca="false">IF($A57="","",IF(COUNTIF($A$6:$A$85,$A57)&gt;1,"名称重复","OK"))</f>
        <v/>
      </c>
    </row>
    <row r="58" customFormat="false" ht="15" hidden="false" customHeight="false" outlineLevel="0" collapsed="false">
      <c r="A58" s="39"/>
      <c r="B58" s="33"/>
      <c r="C58" s="39"/>
      <c r="D58" s="33"/>
      <c r="E58" s="40" t="str">
        <f aca="false">IF($A58="","",SUMIFS(记账分录!$I$6:$I$5505,记账分录!$H$6:$H$5505,"应收账款",记账分录!$K$6:$K$5505,$A58))</f>
        <v/>
      </c>
      <c r="F58" s="40" t="str">
        <f aca="false">IF($A58="","",SUMIFS(记账分录!$J$6:$J$5505,记账分录!$H$6:$H$5505,"应付账款",记账分录!$K$6:$K$5505,$A58))</f>
        <v/>
      </c>
      <c r="G58" s="42" t="str">
        <f aca="false">IF($A58="","",$E58-SUMIFS(记账分录!$J$6:$J$5505,记账分录!$H$6:$H$5505,"应收账款",记账分录!$K$6:$K$5505,$A58))</f>
        <v/>
      </c>
      <c r="H58" s="42" t="str">
        <f aca="false">IF($A58="","",$F58-SUMIFS(记账分录!$I$6:$I$5505,记账分录!$H$6:$H$5505,"应付账款",记账分录!$K$6:$K$5505,$A58))</f>
        <v/>
      </c>
      <c r="I58" s="25" t="str">
        <f aca="false">IF($A58="","",IF(COUNTIF($A$6:$A$85,$A58)&gt;1,"名称重复","OK"))</f>
        <v/>
      </c>
    </row>
    <row r="59" customFormat="false" ht="15" hidden="false" customHeight="false" outlineLevel="0" collapsed="false">
      <c r="A59" s="39"/>
      <c r="B59" s="33"/>
      <c r="C59" s="39"/>
      <c r="D59" s="33"/>
      <c r="E59" s="40" t="str">
        <f aca="false">IF($A59="","",SUMIFS(记账分录!$I$6:$I$5505,记账分录!$H$6:$H$5505,"应收账款",记账分录!$K$6:$K$5505,$A59))</f>
        <v/>
      </c>
      <c r="F59" s="40" t="str">
        <f aca="false">IF($A59="","",SUMIFS(记账分录!$J$6:$J$5505,记账分录!$H$6:$H$5505,"应付账款",记账分录!$K$6:$K$5505,$A59))</f>
        <v/>
      </c>
      <c r="G59" s="42" t="str">
        <f aca="false">IF($A59="","",$E59-SUMIFS(记账分录!$J$6:$J$5505,记账分录!$H$6:$H$5505,"应收账款",记账分录!$K$6:$K$5505,$A59))</f>
        <v/>
      </c>
      <c r="H59" s="42" t="str">
        <f aca="false">IF($A59="","",$F59-SUMIFS(记账分录!$I$6:$I$5505,记账分录!$H$6:$H$5505,"应付账款",记账分录!$K$6:$K$5505,$A59))</f>
        <v/>
      </c>
      <c r="I59" s="25" t="str">
        <f aca="false">IF($A59="","",IF(COUNTIF($A$6:$A$85,$A59)&gt;1,"名称重复","OK"))</f>
        <v/>
      </c>
    </row>
    <row r="60" customFormat="false" ht="15" hidden="false" customHeight="false" outlineLevel="0" collapsed="false">
      <c r="A60" s="39"/>
      <c r="B60" s="33"/>
      <c r="C60" s="39"/>
      <c r="D60" s="33"/>
      <c r="E60" s="40" t="str">
        <f aca="false">IF($A60="","",SUMIFS(记账分录!$I$6:$I$5505,记账分录!$H$6:$H$5505,"应收账款",记账分录!$K$6:$K$5505,$A60))</f>
        <v/>
      </c>
      <c r="F60" s="40" t="str">
        <f aca="false">IF($A60="","",SUMIFS(记账分录!$J$6:$J$5505,记账分录!$H$6:$H$5505,"应付账款",记账分录!$K$6:$K$5505,$A60))</f>
        <v/>
      </c>
      <c r="G60" s="42" t="str">
        <f aca="false">IF($A60="","",$E60-SUMIFS(记账分录!$J$6:$J$5505,记账分录!$H$6:$H$5505,"应收账款",记账分录!$K$6:$K$5505,$A60))</f>
        <v/>
      </c>
      <c r="H60" s="42" t="str">
        <f aca="false">IF($A60="","",$F60-SUMIFS(记账分录!$I$6:$I$5505,记账分录!$H$6:$H$5505,"应付账款",记账分录!$K$6:$K$5505,$A60))</f>
        <v/>
      </c>
      <c r="I60" s="25" t="str">
        <f aca="false">IF($A60="","",IF(COUNTIF($A$6:$A$85,$A60)&gt;1,"名称重复","OK"))</f>
        <v/>
      </c>
    </row>
    <row r="61" customFormat="false" ht="15" hidden="false" customHeight="false" outlineLevel="0" collapsed="false">
      <c r="A61" s="39"/>
      <c r="B61" s="33"/>
      <c r="C61" s="39"/>
      <c r="D61" s="33"/>
      <c r="E61" s="40" t="str">
        <f aca="false">IF($A61="","",SUMIFS(记账分录!$I$6:$I$5505,记账分录!$H$6:$H$5505,"应收账款",记账分录!$K$6:$K$5505,$A61))</f>
        <v/>
      </c>
      <c r="F61" s="40" t="str">
        <f aca="false">IF($A61="","",SUMIFS(记账分录!$J$6:$J$5505,记账分录!$H$6:$H$5505,"应付账款",记账分录!$K$6:$K$5505,$A61))</f>
        <v/>
      </c>
      <c r="G61" s="42" t="str">
        <f aca="false">IF($A61="","",$E61-SUMIFS(记账分录!$J$6:$J$5505,记账分录!$H$6:$H$5505,"应收账款",记账分录!$K$6:$K$5505,$A61))</f>
        <v/>
      </c>
      <c r="H61" s="42" t="str">
        <f aca="false">IF($A61="","",$F61-SUMIFS(记账分录!$I$6:$I$5505,记账分录!$H$6:$H$5505,"应付账款",记账分录!$K$6:$K$5505,$A61))</f>
        <v/>
      </c>
      <c r="I61" s="25" t="str">
        <f aca="false">IF($A61="","",IF(COUNTIF($A$6:$A$85,$A61)&gt;1,"名称重复","OK"))</f>
        <v/>
      </c>
    </row>
    <row r="62" customFormat="false" ht="15" hidden="false" customHeight="false" outlineLevel="0" collapsed="false">
      <c r="A62" s="39"/>
      <c r="B62" s="33"/>
      <c r="C62" s="39"/>
      <c r="D62" s="33"/>
      <c r="E62" s="40" t="str">
        <f aca="false">IF($A62="","",SUMIFS(记账分录!$I$6:$I$5505,记账分录!$H$6:$H$5505,"应收账款",记账分录!$K$6:$K$5505,$A62))</f>
        <v/>
      </c>
      <c r="F62" s="40" t="str">
        <f aca="false">IF($A62="","",SUMIFS(记账分录!$J$6:$J$5505,记账分录!$H$6:$H$5505,"应付账款",记账分录!$K$6:$K$5505,$A62))</f>
        <v/>
      </c>
      <c r="G62" s="42" t="str">
        <f aca="false">IF($A62="","",$E62-SUMIFS(记账分录!$J$6:$J$5505,记账分录!$H$6:$H$5505,"应收账款",记账分录!$K$6:$K$5505,$A62))</f>
        <v/>
      </c>
      <c r="H62" s="42" t="str">
        <f aca="false">IF($A62="","",$F62-SUMIFS(记账分录!$I$6:$I$5505,记账分录!$H$6:$H$5505,"应付账款",记账分录!$K$6:$K$5505,$A62))</f>
        <v/>
      </c>
      <c r="I62" s="25" t="str">
        <f aca="false">IF($A62="","",IF(COUNTIF($A$6:$A$85,$A62)&gt;1,"名称重复","OK"))</f>
        <v/>
      </c>
    </row>
    <row r="63" customFormat="false" ht="15" hidden="false" customHeight="false" outlineLevel="0" collapsed="false">
      <c r="A63" s="39"/>
      <c r="B63" s="33"/>
      <c r="C63" s="39"/>
      <c r="D63" s="33"/>
      <c r="E63" s="40" t="str">
        <f aca="false">IF($A63="","",SUMIFS(记账分录!$I$6:$I$5505,记账分录!$H$6:$H$5505,"应收账款",记账分录!$K$6:$K$5505,$A63))</f>
        <v/>
      </c>
      <c r="F63" s="40" t="str">
        <f aca="false">IF($A63="","",SUMIFS(记账分录!$J$6:$J$5505,记账分录!$H$6:$H$5505,"应付账款",记账分录!$K$6:$K$5505,$A63))</f>
        <v/>
      </c>
      <c r="G63" s="42" t="str">
        <f aca="false">IF($A63="","",$E63-SUMIFS(记账分录!$J$6:$J$5505,记账分录!$H$6:$H$5505,"应收账款",记账分录!$K$6:$K$5505,$A63))</f>
        <v/>
      </c>
      <c r="H63" s="42" t="str">
        <f aca="false">IF($A63="","",$F63-SUMIFS(记账分录!$I$6:$I$5505,记账分录!$H$6:$H$5505,"应付账款",记账分录!$K$6:$K$5505,$A63))</f>
        <v/>
      </c>
      <c r="I63" s="25" t="str">
        <f aca="false">IF($A63="","",IF(COUNTIF($A$6:$A$85,$A63)&gt;1,"名称重复","OK"))</f>
        <v/>
      </c>
    </row>
    <row r="64" customFormat="false" ht="15" hidden="false" customHeight="false" outlineLevel="0" collapsed="false">
      <c r="A64" s="39"/>
      <c r="B64" s="33"/>
      <c r="C64" s="39"/>
      <c r="D64" s="33"/>
      <c r="E64" s="40" t="str">
        <f aca="false">IF($A64="","",SUMIFS(记账分录!$I$6:$I$5505,记账分录!$H$6:$H$5505,"应收账款",记账分录!$K$6:$K$5505,$A64))</f>
        <v/>
      </c>
      <c r="F64" s="40" t="str">
        <f aca="false">IF($A64="","",SUMIFS(记账分录!$J$6:$J$5505,记账分录!$H$6:$H$5505,"应付账款",记账分录!$K$6:$K$5505,$A64))</f>
        <v/>
      </c>
      <c r="G64" s="42" t="str">
        <f aca="false">IF($A64="","",$E64-SUMIFS(记账分录!$J$6:$J$5505,记账分录!$H$6:$H$5505,"应收账款",记账分录!$K$6:$K$5505,$A64))</f>
        <v/>
      </c>
      <c r="H64" s="42" t="str">
        <f aca="false">IF($A64="","",$F64-SUMIFS(记账分录!$I$6:$I$5505,记账分录!$H$6:$H$5505,"应付账款",记账分录!$K$6:$K$5505,$A64))</f>
        <v/>
      </c>
      <c r="I64" s="25" t="str">
        <f aca="false">IF($A64="","",IF(COUNTIF($A$6:$A$85,$A64)&gt;1,"名称重复","OK"))</f>
        <v/>
      </c>
    </row>
    <row r="65" customFormat="false" ht="15" hidden="false" customHeight="false" outlineLevel="0" collapsed="false">
      <c r="A65" s="39"/>
      <c r="B65" s="33"/>
      <c r="C65" s="39"/>
      <c r="D65" s="33"/>
      <c r="E65" s="40" t="str">
        <f aca="false">IF($A65="","",SUMIFS(记账分录!$I$6:$I$5505,记账分录!$H$6:$H$5505,"应收账款",记账分录!$K$6:$K$5505,$A65))</f>
        <v/>
      </c>
      <c r="F65" s="40" t="str">
        <f aca="false">IF($A65="","",SUMIFS(记账分录!$J$6:$J$5505,记账分录!$H$6:$H$5505,"应付账款",记账分录!$K$6:$K$5505,$A65))</f>
        <v/>
      </c>
      <c r="G65" s="42" t="str">
        <f aca="false">IF($A65="","",$E65-SUMIFS(记账分录!$J$6:$J$5505,记账分录!$H$6:$H$5505,"应收账款",记账分录!$K$6:$K$5505,$A65))</f>
        <v/>
      </c>
      <c r="H65" s="42" t="str">
        <f aca="false">IF($A65="","",$F65-SUMIFS(记账分录!$I$6:$I$5505,记账分录!$H$6:$H$5505,"应付账款",记账分录!$K$6:$K$5505,$A65))</f>
        <v/>
      </c>
      <c r="I65" s="25" t="str">
        <f aca="false">IF($A65="","",IF(COUNTIF($A$6:$A$85,$A65)&gt;1,"名称重复","OK"))</f>
        <v/>
      </c>
    </row>
    <row r="66" customFormat="false" ht="15" hidden="false" customHeight="false" outlineLevel="0" collapsed="false">
      <c r="A66" s="39"/>
      <c r="B66" s="33"/>
      <c r="C66" s="39"/>
      <c r="D66" s="33"/>
      <c r="E66" s="40" t="str">
        <f aca="false">IF($A66="","",SUMIFS(记账分录!$I$6:$I$5505,记账分录!$H$6:$H$5505,"应收账款",记账分录!$K$6:$K$5505,$A66))</f>
        <v/>
      </c>
      <c r="F66" s="40" t="str">
        <f aca="false">IF($A66="","",SUMIFS(记账分录!$J$6:$J$5505,记账分录!$H$6:$H$5505,"应付账款",记账分录!$K$6:$K$5505,$A66))</f>
        <v/>
      </c>
      <c r="G66" s="42" t="str">
        <f aca="false">IF($A66="","",$E66-SUMIFS(记账分录!$J$6:$J$5505,记账分录!$H$6:$H$5505,"应收账款",记账分录!$K$6:$K$5505,$A66))</f>
        <v/>
      </c>
      <c r="H66" s="42" t="str">
        <f aca="false">IF($A66="","",$F66-SUMIFS(记账分录!$I$6:$I$5505,记账分录!$H$6:$H$5505,"应付账款",记账分录!$K$6:$K$5505,$A66))</f>
        <v/>
      </c>
      <c r="I66" s="25" t="str">
        <f aca="false">IF($A66="","",IF(COUNTIF($A$6:$A$85,$A66)&gt;1,"名称重复","OK"))</f>
        <v/>
      </c>
    </row>
    <row r="67" customFormat="false" ht="15" hidden="false" customHeight="false" outlineLevel="0" collapsed="false">
      <c r="A67" s="39"/>
      <c r="B67" s="33"/>
      <c r="C67" s="39"/>
      <c r="D67" s="33"/>
      <c r="E67" s="40" t="str">
        <f aca="false">IF($A67="","",SUMIFS(记账分录!$I$6:$I$5505,记账分录!$H$6:$H$5505,"应收账款",记账分录!$K$6:$K$5505,$A67))</f>
        <v/>
      </c>
      <c r="F67" s="40" t="str">
        <f aca="false">IF($A67="","",SUMIFS(记账分录!$J$6:$J$5505,记账分录!$H$6:$H$5505,"应付账款",记账分录!$K$6:$K$5505,$A67))</f>
        <v/>
      </c>
      <c r="G67" s="42" t="str">
        <f aca="false">IF($A67="","",$E67-SUMIFS(记账分录!$J$6:$J$5505,记账分录!$H$6:$H$5505,"应收账款",记账分录!$K$6:$K$5505,$A67))</f>
        <v/>
      </c>
      <c r="H67" s="42" t="str">
        <f aca="false">IF($A67="","",$F67-SUMIFS(记账分录!$I$6:$I$5505,记账分录!$H$6:$H$5505,"应付账款",记账分录!$K$6:$K$5505,$A67))</f>
        <v/>
      </c>
      <c r="I67" s="25" t="str">
        <f aca="false">IF($A67="","",IF(COUNTIF($A$6:$A$85,$A67)&gt;1,"名称重复","OK"))</f>
        <v/>
      </c>
    </row>
    <row r="68" customFormat="false" ht="15" hidden="false" customHeight="false" outlineLevel="0" collapsed="false">
      <c r="A68" s="39"/>
      <c r="B68" s="33"/>
      <c r="C68" s="39"/>
      <c r="D68" s="33"/>
      <c r="E68" s="40" t="str">
        <f aca="false">IF($A68="","",SUMIFS(记账分录!$I$6:$I$5505,记账分录!$H$6:$H$5505,"应收账款",记账分录!$K$6:$K$5505,$A68))</f>
        <v/>
      </c>
      <c r="F68" s="40" t="str">
        <f aca="false">IF($A68="","",SUMIFS(记账分录!$J$6:$J$5505,记账分录!$H$6:$H$5505,"应付账款",记账分录!$K$6:$K$5505,$A68))</f>
        <v/>
      </c>
      <c r="G68" s="42" t="str">
        <f aca="false">IF($A68="","",$E68-SUMIFS(记账分录!$J$6:$J$5505,记账分录!$H$6:$H$5505,"应收账款",记账分录!$K$6:$K$5505,$A68))</f>
        <v/>
      </c>
      <c r="H68" s="42" t="str">
        <f aca="false">IF($A68="","",$F68-SUMIFS(记账分录!$I$6:$I$5505,记账分录!$H$6:$H$5505,"应付账款",记账分录!$K$6:$K$5505,$A68))</f>
        <v/>
      </c>
      <c r="I68" s="25" t="str">
        <f aca="false">IF($A68="","",IF(COUNTIF($A$6:$A$85,$A68)&gt;1,"名称重复","OK"))</f>
        <v/>
      </c>
    </row>
    <row r="69" customFormat="false" ht="15" hidden="false" customHeight="false" outlineLevel="0" collapsed="false">
      <c r="A69" s="39"/>
      <c r="B69" s="33"/>
      <c r="C69" s="39"/>
      <c r="D69" s="33"/>
      <c r="E69" s="40" t="str">
        <f aca="false">IF($A69="","",SUMIFS(记账分录!$I$6:$I$5505,记账分录!$H$6:$H$5505,"应收账款",记账分录!$K$6:$K$5505,$A69))</f>
        <v/>
      </c>
      <c r="F69" s="40" t="str">
        <f aca="false">IF($A69="","",SUMIFS(记账分录!$J$6:$J$5505,记账分录!$H$6:$H$5505,"应付账款",记账分录!$K$6:$K$5505,$A69))</f>
        <v/>
      </c>
      <c r="G69" s="42" t="str">
        <f aca="false">IF($A69="","",$E69-SUMIFS(记账分录!$J$6:$J$5505,记账分录!$H$6:$H$5505,"应收账款",记账分录!$K$6:$K$5505,$A69))</f>
        <v/>
      </c>
      <c r="H69" s="42" t="str">
        <f aca="false">IF($A69="","",$F69-SUMIFS(记账分录!$I$6:$I$5505,记账分录!$H$6:$H$5505,"应付账款",记账分录!$K$6:$K$5505,$A69))</f>
        <v/>
      </c>
      <c r="I69" s="25" t="str">
        <f aca="false">IF($A69="","",IF(COUNTIF($A$6:$A$85,$A69)&gt;1,"名称重复","OK"))</f>
        <v/>
      </c>
    </row>
    <row r="70" customFormat="false" ht="15" hidden="false" customHeight="false" outlineLevel="0" collapsed="false">
      <c r="A70" s="39"/>
      <c r="B70" s="33"/>
      <c r="C70" s="39"/>
      <c r="D70" s="33"/>
      <c r="E70" s="40" t="str">
        <f aca="false">IF($A70="","",SUMIFS(记账分录!$I$6:$I$5505,记账分录!$H$6:$H$5505,"应收账款",记账分录!$K$6:$K$5505,$A70))</f>
        <v/>
      </c>
      <c r="F70" s="40" t="str">
        <f aca="false">IF($A70="","",SUMIFS(记账分录!$J$6:$J$5505,记账分录!$H$6:$H$5505,"应付账款",记账分录!$K$6:$K$5505,$A70))</f>
        <v/>
      </c>
      <c r="G70" s="42" t="str">
        <f aca="false">IF($A70="","",$E70-SUMIFS(记账分录!$J$6:$J$5505,记账分录!$H$6:$H$5505,"应收账款",记账分录!$K$6:$K$5505,$A70))</f>
        <v/>
      </c>
      <c r="H70" s="42" t="str">
        <f aca="false">IF($A70="","",$F70-SUMIFS(记账分录!$I$6:$I$5505,记账分录!$H$6:$H$5505,"应付账款",记账分录!$K$6:$K$5505,$A70))</f>
        <v/>
      </c>
      <c r="I70" s="25" t="str">
        <f aca="false">IF($A70="","",IF(COUNTIF($A$6:$A$85,$A70)&gt;1,"名称重复","OK"))</f>
        <v/>
      </c>
    </row>
    <row r="71" customFormat="false" ht="15" hidden="false" customHeight="false" outlineLevel="0" collapsed="false">
      <c r="A71" s="39"/>
      <c r="B71" s="33"/>
      <c r="C71" s="39"/>
      <c r="D71" s="33"/>
      <c r="E71" s="40" t="str">
        <f aca="false">IF($A71="","",SUMIFS(记账分录!$I$6:$I$5505,记账分录!$H$6:$H$5505,"应收账款",记账分录!$K$6:$K$5505,$A71))</f>
        <v/>
      </c>
      <c r="F71" s="40" t="str">
        <f aca="false">IF($A71="","",SUMIFS(记账分录!$J$6:$J$5505,记账分录!$H$6:$H$5505,"应付账款",记账分录!$K$6:$K$5505,$A71))</f>
        <v/>
      </c>
      <c r="G71" s="42" t="str">
        <f aca="false">IF($A71="","",$E71-SUMIFS(记账分录!$J$6:$J$5505,记账分录!$H$6:$H$5505,"应收账款",记账分录!$K$6:$K$5505,$A71))</f>
        <v/>
      </c>
      <c r="H71" s="42" t="str">
        <f aca="false">IF($A71="","",$F71-SUMIFS(记账分录!$I$6:$I$5505,记账分录!$H$6:$H$5505,"应付账款",记账分录!$K$6:$K$5505,$A71))</f>
        <v/>
      </c>
      <c r="I71" s="25" t="str">
        <f aca="false">IF($A71="","",IF(COUNTIF($A$6:$A$85,$A71)&gt;1,"名称重复","OK"))</f>
        <v/>
      </c>
    </row>
    <row r="72" customFormat="false" ht="15" hidden="false" customHeight="false" outlineLevel="0" collapsed="false">
      <c r="A72" s="39"/>
      <c r="B72" s="33"/>
      <c r="C72" s="39"/>
      <c r="D72" s="33"/>
      <c r="E72" s="40" t="str">
        <f aca="false">IF($A72="","",SUMIFS(记账分录!$I$6:$I$5505,记账分录!$H$6:$H$5505,"应收账款",记账分录!$K$6:$K$5505,$A72))</f>
        <v/>
      </c>
      <c r="F72" s="40" t="str">
        <f aca="false">IF($A72="","",SUMIFS(记账分录!$J$6:$J$5505,记账分录!$H$6:$H$5505,"应付账款",记账分录!$K$6:$K$5505,$A72))</f>
        <v/>
      </c>
      <c r="G72" s="42" t="str">
        <f aca="false">IF($A72="","",$E72-SUMIFS(记账分录!$J$6:$J$5505,记账分录!$H$6:$H$5505,"应收账款",记账分录!$K$6:$K$5505,$A72))</f>
        <v/>
      </c>
      <c r="H72" s="42" t="str">
        <f aca="false">IF($A72="","",$F72-SUMIFS(记账分录!$I$6:$I$5505,记账分录!$H$6:$H$5505,"应付账款",记账分录!$K$6:$K$5505,$A72))</f>
        <v/>
      </c>
      <c r="I72" s="25" t="str">
        <f aca="false">IF($A72="","",IF(COUNTIF($A$6:$A$85,$A72)&gt;1,"名称重复","OK"))</f>
        <v/>
      </c>
    </row>
    <row r="73" customFormat="false" ht="15" hidden="false" customHeight="false" outlineLevel="0" collapsed="false">
      <c r="A73" s="39"/>
      <c r="B73" s="33"/>
      <c r="C73" s="39"/>
      <c r="D73" s="33"/>
      <c r="E73" s="40" t="str">
        <f aca="false">IF($A73="","",SUMIFS(记账分录!$I$6:$I$5505,记账分录!$H$6:$H$5505,"应收账款",记账分录!$K$6:$K$5505,$A73))</f>
        <v/>
      </c>
      <c r="F73" s="40" t="str">
        <f aca="false">IF($A73="","",SUMIFS(记账分录!$J$6:$J$5505,记账分录!$H$6:$H$5505,"应付账款",记账分录!$K$6:$K$5505,$A73))</f>
        <v/>
      </c>
      <c r="G73" s="42" t="str">
        <f aca="false">IF($A73="","",$E73-SUMIFS(记账分录!$J$6:$J$5505,记账分录!$H$6:$H$5505,"应收账款",记账分录!$K$6:$K$5505,$A73))</f>
        <v/>
      </c>
      <c r="H73" s="42" t="str">
        <f aca="false">IF($A73="","",$F73-SUMIFS(记账分录!$I$6:$I$5505,记账分录!$H$6:$H$5505,"应付账款",记账分录!$K$6:$K$5505,$A73))</f>
        <v/>
      </c>
      <c r="I73" s="25" t="str">
        <f aca="false">IF($A73="","",IF(COUNTIF($A$6:$A$85,$A73)&gt;1,"名称重复","OK"))</f>
        <v/>
      </c>
    </row>
    <row r="74" customFormat="false" ht="15" hidden="false" customHeight="false" outlineLevel="0" collapsed="false">
      <c r="A74" s="39"/>
      <c r="B74" s="33"/>
      <c r="C74" s="39"/>
      <c r="D74" s="33"/>
      <c r="E74" s="40" t="str">
        <f aca="false">IF($A74="","",SUMIFS(记账分录!$I$6:$I$5505,记账分录!$H$6:$H$5505,"应收账款",记账分录!$K$6:$K$5505,$A74))</f>
        <v/>
      </c>
      <c r="F74" s="40" t="str">
        <f aca="false">IF($A74="","",SUMIFS(记账分录!$J$6:$J$5505,记账分录!$H$6:$H$5505,"应付账款",记账分录!$K$6:$K$5505,$A74))</f>
        <v/>
      </c>
      <c r="G74" s="42" t="str">
        <f aca="false">IF($A74="","",$E74-SUMIFS(记账分录!$J$6:$J$5505,记账分录!$H$6:$H$5505,"应收账款",记账分录!$K$6:$K$5505,$A74))</f>
        <v/>
      </c>
      <c r="H74" s="42" t="str">
        <f aca="false">IF($A74="","",$F74-SUMIFS(记账分录!$I$6:$I$5505,记账分录!$H$6:$H$5505,"应付账款",记账分录!$K$6:$K$5505,$A74))</f>
        <v/>
      </c>
      <c r="I74" s="25" t="str">
        <f aca="false">IF($A74="","",IF(COUNTIF($A$6:$A$85,$A74)&gt;1,"名称重复","OK"))</f>
        <v/>
      </c>
    </row>
    <row r="75" customFormat="false" ht="15" hidden="false" customHeight="false" outlineLevel="0" collapsed="false">
      <c r="A75" s="39"/>
      <c r="B75" s="33"/>
      <c r="C75" s="39"/>
      <c r="D75" s="33"/>
      <c r="E75" s="40" t="str">
        <f aca="false">IF($A75="","",SUMIFS(记账分录!$I$6:$I$5505,记账分录!$H$6:$H$5505,"应收账款",记账分录!$K$6:$K$5505,$A75))</f>
        <v/>
      </c>
      <c r="F75" s="40" t="str">
        <f aca="false">IF($A75="","",SUMIFS(记账分录!$J$6:$J$5505,记账分录!$H$6:$H$5505,"应付账款",记账分录!$K$6:$K$5505,$A75))</f>
        <v/>
      </c>
      <c r="G75" s="42" t="str">
        <f aca="false">IF($A75="","",$E75-SUMIFS(记账分录!$J$6:$J$5505,记账分录!$H$6:$H$5505,"应收账款",记账分录!$K$6:$K$5505,$A75))</f>
        <v/>
      </c>
      <c r="H75" s="42" t="str">
        <f aca="false">IF($A75="","",$F75-SUMIFS(记账分录!$I$6:$I$5505,记账分录!$H$6:$H$5505,"应付账款",记账分录!$K$6:$K$5505,$A75))</f>
        <v/>
      </c>
      <c r="I75" s="25" t="str">
        <f aca="false">IF($A75="","",IF(COUNTIF($A$6:$A$85,$A75)&gt;1,"名称重复","OK"))</f>
        <v/>
      </c>
    </row>
    <row r="76" customFormat="false" ht="15" hidden="false" customHeight="false" outlineLevel="0" collapsed="false">
      <c r="A76" s="39"/>
      <c r="B76" s="33"/>
      <c r="C76" s="39"/>
      <c r="D76" s="33"/>
      <c r="E76" s="40" t="str">
        <f aca="false">IF($A76="","",SUMIFS(记账分录!$I$6:$I$5505,记账分录!$H$6:$H$5505,"应收账款",记账分录!$K$6:$K$5505,$A76))</f>
        <v/>
      </c>
      <c r="F76" s="40" t="str">
        <f aca="false">IF($A76="","",SUMIFS(记账分录!$J$6:$J$5505,记账分录!$H$6:$H$5505,"应付账款",记账分录!$K$6:$K$5505,$A76))</f>
        <v/>
      </c>
      <c r="G76" s="42" t="str">
        <f aca="false">IF($A76="","",$E76-SUMIFS(记账分录!$J$6:$J$5505,记账分录!$H$6:$H$5505,"应收账款",记账分录!$K$6:$K$5505,$A76))</f>
        <v/>
      </c>
      <c r="H76" s="42" t="str">
        <f aca="false">IF($A76="","",$F76-SUMIFS(记账分录!$I$6:$I$5505,记账分录!$H$6:$H$5505,"应付账款",记账分录!$K$6:$K$5505,$A76))</f>
        <v/>
      </c>
      <c r="I76" s="25" t="str">
        <f aca="false">IF($A76="","",IF(COUNTIF($A$6:$A$85,$A76)&gt;1,"名称重复","OK"))</f>
        <v/>
      </c>
    </row>
    <row r="77" customFormat="false" ht="15" hidden="false" customHeight="false" outlineLevel="0" collapsed="false">
      <c r="A77" s="39"/>
      <c r="B77" s="33"/>
      <c r="C77" s="39"/>
      <c r="D77" s="33"/>
      <c r="E77" s="40" t="str">
        <f aca="false">IF($A77="","",SUMIFS(记账分录!$I$6:$I$5505,记账分录!$H$6:$H$5505,"应收账款",记账分录!$K$6:$K$5505,$A77))</f>
        <v/>
      </c>
      <c r="F77" s="40" t="str">
        <f aca="false">IF($A77="","",SUMIFS(记账分录!$J$6:$J$5505,记账分录!$H$6:$H$5505,"应付账款",记账分录!$K$6:$K$5505,$A77))</f>
        <v/>
      </c>
      <c r="G77" s="42" t="str">
        <f aca="false">IF($A77="","",$E77-SUMIFS(记账分录!$J$6:$J$5505,记账分录!$H$6:$H$5505,"应收账款",记账分录!$K$6:$K$5505,$A77))</f>
        <v/>
      </c>
      <c r="H77" s="42" t="str">
        <f aca="false">IF($A77="","",$F77-SUMIFS(记账分录!$I$6:$I$5505,记账分录!$H$6:$H$5505,"应付账款",记账分录!$K$6:$K$5505,$A77))</f>
        <v/>
      </c>
      <c r="I77" s="25" t="str">
        <f aca="false">IF($A77="","",IF(COUNTIF($A$6:$A$85,$A77)&gt;1,"名称重复","OK"))</f>
        <v/>
      </c>
    </row>
    <row r="78" customFormat="false" ht="15" hidden="false" customHeight="false" outlineLevel="0" collapsed="false">
      <c r="A78" s="39"/>
      <c r="B78" s="33"/>
      <c r="C78" s="39"/>
      <c r="D78" s="33"/>
      <c r="E78" s="40" t="str">
        <f aca="false">IF($A78="","",SUMIFS(记账分录!$I$6:$I$5505,记账分录!$H$6:$H$5505,"应收账款",记账分录!$K$6:$K$5505,$A78))</f>
        <v/>
      </c>
      <c r="F78" s="40" t="str">
        <f aca="false">IF($A78="","",SUMIFS(记账分录!$J$6:$J$5505,记账分录!$H$6:$H$5505,"应付账款",记账分录!$K$6:$K$5505,$A78))</f>
        <v/>
      </c>
      <c r="G78" s="42" t="str">
        <f aca="false">IF($A78="","",$E78-SUMIFS(记账分录!$J$6:$J$5505,记账分录!$H$6:$H$5505,"应收账款",记账分录!$K$6:$K$5505,$A78))</f>
        <v/>
      </c>
      <c r="H78" s="42" t="str">
        <f aca="false">IF($A78="","",$F78-SUMIFS(记账分录!$I$6:$I$5505,记账分录!$H$6:$H$5505,"应付账款",记账分录!$K$6:$K$5505,$A78))</f>
        <v/>
      </c>
      <c r="I78" s="25" t="str">
        <f aca="false">IF($A78="","",IF(COUNTIF($A$6:$A$85,$A78)&gt;1,"名称重复","OK"))</f>
        <v/>
      </c>
    </row>
    <row r="79" customFormat="false" ht="15" hidden="false" customHeight="false" outlineLevel="0" collapsed="false">
      <c r="A79" s="39"/>
      <c r="B79" s="33"/>
      <c r="C79" s="39"/>
      <c r="D79" s="33"/>
      <c r="E79" s="40" t="str">
        <f aca="false">IF($A79="","",SUMIFS(记账分录!$I$6:$I$5505,记账分录!$H$6:$H$5505,"应收账款",记账分录!$K$6:$K$5505,$A79))</f>
        <v/>
      </c>
      <c r="F79" s="40" t="str">
        <f aca="false">IF($A79="","",SUMIFS(记账分录!$J$6:$J$5505,记账分录!$H$6:$H$5505,"应付账款",记账分录!$K$6:$K$5505,$A79))</f>
        <v/>
      </c>
      <c r="G79" s="42" t="str">
        <f aca="false">IF($A79="","",$E79-SUMIFS(记账分录!$J$6:$J$5505,记账分录!$H$6:$H$5505,"应收账款",记账分录!$K$6:$K$5505,$A79))</f>
        <v/>
      </c>
      <c r="H79" s="42" t="str">
        <f aca="false">IF($A79="","",$F79-SUMIFS(记账分录!$I$6:$I$5505,记账分录!$H$6:$H$5505,"应付账款",记账分录!$K$6:$K$5505,$A79))</f>
        <v/>
      </c>
      <c r="I79" s="25" t="str">
        <f aca="false">IF($A79="","",IF(COUNTIF($A$6:$A$85,$A79)&gt;1,"名称重复","OK"))</f>
        <v/>
      </c>
    </row>
    <row r="80" customFormat="false" ht="15" hidden="false" customHeight="false" outlineLevel="0" collapsed="false">
      <c r="A80" s="39"/>
      <c r="B80" s="33"/>
      <c r="C80" s="39"/>
      <c r="D80" s="33"/>
      <c r="E80" s="40" t="str">
        <f aca="false">IF($A80="","",SUMIFS(记账分录!$I$6:$I$5505,记账分录!$H$6:$H$5505,"应收账款",记账分录!$K$6:$K$5505,$A80))</f>
        <v/>
      </c>
      <c r="F80" s="40" t="str">
        <f aca="false">IF($A80="","",SUMIFS(记账分录!$J$6:$J$5505,记账分录!$H$6:$H$5505,"应付账款",记账分录!$K$6:$K$5505,$A80))</f>
        <v/>
      </c>
      <c r="G80" s="42" t="str">
        <f aca="false">IF($A80="","",$E80-SUMIFS(记账分录!$J$6:$J$5505,记账分录!$H$6:$H$5505,"应收账款",记账分录!$K$6:$K$5505,$A80))</f>
        <v/>
      </c>
      <c r="H80" s="42" t="str">
        <f aca="false">IF($A80="","",$F80-SUMIFS(记账分录!$I$6:$I$5505,记账分录!$H$6:$H$5505,"应付账款",记账分录!$K$6:$K$5505,$A80))</f>
        <v/>
      </c>
      <c r="I80" s="25" t="str">
        <f aca="false">IF($A80="","",IF(COUNTIF($A$6:$A$85,$A80)&gt;1,"名称重复","OK"))</f>
        <v/>
      </c>
    </row>
    <row r="81" customFormat="false" ht="15" hidden="false" customHeight="false" outlineLevel="0" collapsed="false">
      <c r="A81" s="39"/>
      <c r="B81" s="33"/>
      <c r="C81" s="39"/>
      <c r="D81" s="33"/>
      <c r="E81" s="40" t="str">
        <f aca="false">IF($A81="","",SUMIFS(记账分录!$I$6:$I$5505,记账分录!$H$6:$H$5505,"应收账款",记账分录!$K$6:$K$5505,$A81))</f>
        <v/>
      </c>
      <c r="F81" s="40" t="str">
        <f aca="false">IF($A81="","",SUMIFS(记账分录!$J$6:$J$5505,记账分录!$H$6:$H$5505,"应付账款",记账分录!$K$6:$K$5505,$A81))</f>
        <v/>
      </c>
      <c r="G81" s="42" t="str">
        <f aca="false">IF($A81="","",$E81-SUMIFS(记账分录!$J$6:$J$5505,记账分录!$H$6:$H$5505,"应收账款",记账分录!$K$6:$K$5505,$A81))</f>
        <v/>
      </c>
      <c r="H81" s="42" t="str">
        <f aca="false">IF($A81="","",$F81-SUMIFS(记账分录!$I$6:$I$5505,记账分录!$H$6:$H$5505,"应付账款",记账分录!$K$6:$K$5505,$A81))</f>
        <v/>
      </c>
      <c r="I81" s="25" t="str">
        <f aca="false">IF($A81="","",IF(COUNTIF($A$6:$A$85,$A81)&gt;1,"名称重复","OK"))</f>
        <v/>
      </c>
    </row>
    <row r="82" customFormat="false" ht="15" hidden="false" customHeight="false" outlineLevel="0" collapsed="false">
      <c r="A82" s="39"/>
      <c r="B82" s="33"/>
      <c r="C82" s="39"/>
      <c r="D82" s="33"/>
      <c r="E82" s="40" t="str">
        <f aca="false">IF($A82="","",SUMIFS(记账分录!$I$6:$I$5505,记账分录!$H$6:$H$5505,"应收账款",记账分录!$K$6:$K$5505,$A82))</f>
        <v/>
      </c>
      <c r="F82" s="40" t="str">
        <f aca="false">IF($A82="","",SUMIFS(记账分录!$J$6:$J$5505,记账分录!$H$6:$H$5505,"应付账款",记账分录!$K$6:$K$5505,$A82))</f>
        <v/>
      </c>
      <c r="G82" s="42" t="str">
        <f aca="false">IF($A82="","",$E82-SUMIFS(记账分录!$J$6:$J$5505,记账分录!$H$6:$H$5505,"应收账款",记账分录!$K$6:$K$5505,$A82))</f>
        <v/>
      </c>
      <c r="H82" s="42" t="str">
        <f aca="false">IF($A82="","",$F82-SUMIFS(记账分录!$I$6:$I$5505,记账分录!$H$6:$H$5505,"应付账款",记账分录!$K$6:$K$5505,$A82))</f>
        <v/>
      </c>
      <c r="I82" s="25" t="str">
        <f aca="false">IF($A82="","",IF(COUNTIF($A$6:$A$85,$A82)&gt;1,"名称重复","OK"))</f>
        <v/>
      </c>
    </row>
    <row r="83" customFormat="false" ht="15" hidden="false" customHeight="false" outlineLevel="0" collapsed="false">
      <c r="A83" s="39"/>
      <c r="B83" s="33"/>
      <c r="C83" s="39"/>
      <c r="D83" s="33"/>
      <c r="E83" s="40" t="str">
        <f aca="false">IF($A83="","",SUMIFS(记账分录!$I$6:$I$5505,记账分录!$H$6:$H$5505,"应收账款",记账分录!$K$6:$K$5505,$A83))</f>
        <v/>
      </c>
      <c r="F83" s="40" t="str">
        <f aca="false">IF($A83="","",SUMIFS(记账分录!$J$6:$J$5505,记账分录!$H$6:$H$5505,"应付账款",记账分录!$K$6:$K$5505,$A83))</f>
        <v/>
      </c>
      <c r="G83" s="42" t="str">
        <f aca="false">IF($A83="","",$E83-SUMIFS(记账分录!$J$6:$J$5505,记账分录!$H$6:$H$5505,"应收账款",记账分录!$K$6:$K$5505,$A83))</f>
        <v/>
      </c>
      <c r="H83" s="42" t="str">
        <f aca="false">IF($A83="","",$F83-SUMIFS(记账分录!$I$6:$I$5505,记账分录!$H$6:$H$5505,"应付账款",记账分录!$K$6:$K$5505,$A83))</f>
        <v/>
      </c>
      <c r="I83" s="25" t="str">
        <f aca="false">IF($A83="","",IF(COUNTIF($A$6:$A$85,$A83)&gt;1,"名称重复","OK"))</f>
        <v/>
      </c>
    </row>
    <row r="84" customFormat="false" ht="15" hidden="false" customHeight="false" outlineLevel="0" collapsed="false">
      <c r="A84" s="39"/>
      <c r="B84" s="33"/>
      <c r="C84" s="39"/>
      <c r="D84" s="33"/>
      <c r="E84" s="40" t="str">
        <f aca="false">IF($A84="","",SUMIFS(记账分录!$I$6:$I$5505,记账分录!$H$6:$H$5505,"应收账款",记账分录!$K$6:$K$5505,$A84))</f>
        <v/>
      </c>
      <c r="F84" s="40" t="str">
        <f aca="false">IF($A84="","",SUMIFS(记账分录!$J$6:$J$5505,记账分录!$H$6:$H$5505,"应付账款",记账分录!$K$6:$K$5505,$A84))</f>
        <v/>
      </c>
      <c r="G84" s="42" t="str">
        <f aca="false">IF($A84="","",$E84-SUMIFS(记账分录!$J$6:$J$5505,记账分录!$H$6:$H$5505,"应收账款",记账分录!$K$6:$K$5505,$A84))</f>
        <v/>
      </c>
      <c r="H84" s="42" t="str">
        <f aca="false">IF($A84="","",$F84-SUMIFS(记账分录!$I$6:$I$5505,记账分录!$H$6:$H$5505,"应付账款",记账分录!$K$6:$K$5505,$A84))</f>
        <v/>
      </c>
      <c r="I84" s="25" t="str">
        <f aca="false">IF($A84="","",IF(COUNTIF($A$6:$A$85,$A84)&gt;1,"名称重复","OK"))</f>
        <v/>
      </c>
    </row>
    <row r="85" customFormat="false" ht="15" hidden="false" customHeight="false" outlineLevel="0" collapsed="false">
      <c r="A85" s="39"/>
      <c r="B85" s="33"/>
      <c r="C85" s="39"/>
      <c r="D85" s="33"/>
      <c r="E85" s="40" t="str">
        <f aca="false">IF($A85="","",SUMIFS(记账分录!$I$6:$I$5505,记账分录!$H$6:$H$5505,"应收账款",记账分录!$K$6:$K$5505,$A85))</f>
        <v/>
      </c>
      <c r="F85" s="40" t="str">
        <f aca="false">IF($A85="","",SUMIFS(记账分录!$J$6:$J$5505,记账分录!$H$6:$H$5505,"应付账款",记账分录!$K$6:$K$5505,$A85))</f>
        <v/>
      </c>
      <c r="G85" s="42" t="str">
        <f aca="false">IF($A85="","",$E85-SUMIFS(记账分录!$J$6:$J$5505,记账分录!$H$6:$H$5505,"应收账款",记账分录!$K$6:$K$5505,$A85))</f>
        <v/>
      </c>
      <c r="H85" s="42" t="str">
        <f aca="false">IF($A85="","",$F85-SUMIFS(记账分录!$I$6:$I$5505,记账分录!$H$6:$H$5505,"应付账款",记账分录!$K$6:$K$5505,$A85))</f>
        <v/>
      </c>
      <c r="I85" s="25" t="str">
        <f aca="false">IF($A85="","",IF(COUNTIF($A$6:$A$85,$A85)&gt;1,"名称重复","OK"))</f>
        <v/>
      </c>
    </row>
  </sheetData>
  <mergeCells count="2">
    <mergeCell ref="A1:I1"/>
    <mergeCell ref="A2:I2"/>
  </mergeCells>
  <dataValidations count="2">
    <dataValidation allowBlank="true" error="必须选择下拉中已维护的值，手工输入会导致取数错位" errorStyle="stop" errorTitle="请从下拉中选择" operator="between" showDropDown="false" showErrorMessage="true" showInputMessage="false" sqref="B6:B85" type="list">
      <formula1>"客户,供应商,客户兼供应商,内部关联,其他"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85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11" min="8" style="0" width="15"/>
    <col collapsed="false" customWidth="true" hidden="false" outlineLevel="0" max="12" min="12" style="0" width="11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501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0" hidden="false" customHeight="true" outlineLevel="0" collapsed="false">
      <c r="A5" s="8" t="s">
        <v>502</v>
      </c>
      <c r="B5" s="8" t="s">
        <v>503</v>
      </c>
      <c r="C5" s="8" t="s">
        <v>504</v>
      </c>
      <c r="D5" s="8" t="s">
        <v>505</v>
      </c>
      <c r="E5" s="8" t="s">
        <v>506</v>
      </c>
      <c r="F5" s="8" t="s">
        <v>507</v>
      </c>
      <c r="G5" s="8" t="s">
        <v>508</v>
      </c>
      <c r="H5" s="8" t="s">
        <v>60</v>
      </c>
      <c r="I5" s="8" t="s">
        <v>509</v>
      </c>
      <c r="J5" s="8" t="s">
        <v>510</v>
      </c>
      <c r="K5" s="8" t="s">
        <v>511</v>
      </c>
      <c r="L5" s="8" t="s">
        <v>361</v>
      </c>
    </row>
    <row r="6" customFormat="false" ht="15" hidden="false" customHeight="false" outlineLevel="0" collapsed="false">
      <c r="A6" s="39" t="s">
        <v>512</v>
      </c>
      <c r="B6" s="33" t="s">
        <v>513</v>
      </c>
      <c r="C6" s="32" t="s">
        <v>514</v>
      </c>
      <c r="D6" s="41" t="s">
        <v>515</v>
      </c>
      <c r="E6" s="33" t="s">
        <v>516</v>
      </c>
      <c r="F6" s="33" t="s">
        <v>180</v>
      </c>
      <c r="G6" s="32" t="s">
        <v>517</v>
      </c>
      <c r="H6" s="43" t="n">
        <v>10000</v>
      </c>
      <c r="I6" s="40" t="n">
        <f aca="false">IF($B6="","",SUMIFS(资金流水!$I$6:$I$605,资金流水!$D$6:$D$605,$B6))</f>
        <v>0</v>
      </c>
      <c r="J6" s="40" t="n">
        <f aca="false">IF($B6="","",SUMIFS(资金流水!$J$6:$J$605,资金流水!$D$6:$D$605,$B6))</f>
        <v>2660</v>
      </c>
      <c r="K6" s="42" t="n">
        <f aca="false">IF($B6="","",ROUND(N($H6)+$I6-$J6,2))</f>
        <v>7340</v>
      </c>
      <c r="L6" s="25" t="str">
        <f aca="false">IF($B6="","",IF(COUNTIF($B$6:$B$25,$B6)&gt;1,"账户名称重复",IF(ISNA(MATCH($F6,会计科目表!$B$6:$B$85,0)),"对应科目不存在",IF($K6&lt;0,"✗ 期末余额为负","OK"))))</f>
        <v>OK</v>
      </c>
    </row>
    <row r="7" customFormat="false" ht="15" hidden="false" customHeight="false" outlineLevel="0" collapsed="false">
      <c r="A7" s="39" t="s">
        <v>518</v>
      </c>
      <c r="B7" s="33" t="s">
        <v>519</v>
      </c>
      <c r="C7" s="32" t="s">
        <v>520</v>
      </c>
      <c r="D7" s="41" t="s">
        <v>521</v>
      </c>
      <c r="E7" s="33" t="s">
        <v>522</v>
      </c>
      <c r="F7" s="33" t="s">
        <v>185</v>
      </c>
      <c r="G7" s="32" t="s">
        <v>107</v>
      </c>
      <c r="H7" s="43" t="n">
        <v>180000</v>
      </c>
      <c r="I7" s="40" t="n">
        <f aca="false">IF($B7="","",SUMIFS(资金流水!$I$6:$I$605,资金流水!$D$6:$D$605,$B7))</f>
        <v>256000</v>
      </c>
      <c r="J7" s="40" t="n">
        <f aca="false">IF($B7="","",SUMIFS(资金流水!$J$6:$J$605,资金流水!$D$6:$D$605,$B7))</f>
        <v>120000</v>
      </c>
      <c r="K7" s="42" t="n">
        <f aca="false">IF($B7="","",ROUND(N($H7)+$I7-$J7,2))</f>
        <v>316000</v>
      </c>
      <c r="L7" s="25" t="str">
        <f aca="false">IF($B7="","",IF(COUNTIF($B$6:$B$25,$B7)&gt;1,"账户名称重复",IF(ISNA(MATCH($F7,会计科目表!$B$6:$B$85,0)),"对应科目不存在",IF($K7&lt;0,"✗ 期末余额为负","OK"))))</f>
        <v>OK</v>
      </c>
    </row>
    <row r="8" customFormat="false" ht="15" hidden="false" customHeight="false" outlineLevel="0" collapsed="false">
      <c r="A8" s="39" t="s">
        <v>523</v>
      </c>
      <c r="B8" s="33" t="s">
        <v>524</v>
      </c>
      <c r="C8" s="32" t="s">
        <v>525</v>
      </c>
      <c r="D8" s="41" t="s">
        <v>526</v>
      </c>
      <c r="E8" s="33" t="s">
        <v>522</v>
      </c>
      <c r="F8" s="33" t="s">
        <v>185</v>
      </c>
      <c r="G8" s="32" t="s">
        <v>110</v>
      </c>
      <c r="H8" s="43" t="n">
        <v>260000</v>
      </c>
      <c r="I8" s="40" t="n">
        <f aca="false">IF($B8="","",SUMIFS(资金流水!$I$6:$I$605,资金流水!$D$6:$D$605,$B8))</f>
        <v>220000</v>
      </c>
      <c r="J8" s="40" t="n">
        <f aca="false">IF($B8="","",SUMIFS(资金流水!$J$6:$J$605,资金流水!$D$6:$D$605,$B8))</f>
        <v>311760</v>
      </c>
      <c r="K8" s="42" t="n">
        <f aca="false">IF($B8="","",ROUND(N($H8)+$I8-$J8,2))</f>
        <v>168240</v>
      </c>
      <c r="L8" s="25" t="str">
        <f aca="false">IF($B8="","",IF(COUNTIF($B$6:$B$25,$B8)&gt;1,"账户名称重复",IF(ISNA(MATCH($F8,会计科目表!$B$6:$B$85,0)),"对应科目不存在",IF($K8&lt;0,"✗ 期末余额为负","OK"))))</f>
        <v>OK</v>
      </c>
    </row>
    <row r="9" customFormat="false" ht="15" hidden="false" customHeight="false" outlineLevel="0" collapsed="false">
      <c r="A9" s="39" t="s">
        <v>527</v>
      </c>
      <c r="B9" s="33" t="s">
        <v>528</v>
      </c>
      <c r="C9" s="32" t="s">
        <v>529</v>
      </c>
      <c r="D9" s="41" t="s">
        <v>530</v>
      </c>
      <c r="E9" s="33" t="s">
        <v>522</v>
      </c>
      <c r="F9" s="33" t="s">
        <v>185</v>
      </c>
      <c r="G9" s="32" t="s">
        <v>112</v>
      </c>
      <c r="H9" s="43" t="n">
        <v>320000</v>
      </c>
      <c r="I9" s="40" t="n">
        <f aca="false">IF($B9="","",SUMIFS(资金流水!$I$6:$I$605,资金流水!$D$6:$D$605,$B9))</f>
        <v>190000</v>
      </c>
      <c r="J9" s="40" t="n">
        <f aca="false">IF($B9="","",SUMIFS(资金流水!$J$6:$J$605,资金流水!$D$6:$D$605,$B9))</f>
        <v>162340</v>
      </c>
      <c r="K9" s="42" t="n">
        <f aca="false">IF($B9="","",ROUND(N($H9)+$I9-$J9,2))</f>
        <v>347660</v>
      </c>
      <c r="L9" s="25" t="str">
        <f aca="false">IF($B9="","",IF(COUNTIF($B$6:$B$25,$B9)&gt;1,"账户名称重复",IF(ISNA(MATCH($F9,会计科目表!$B$6:$B$85,0)),"对应科目不存在",IF($K9&lt;0,"✗ 期末余额为负","OK"))))</f>
        <v>OK</v>
      </c>
    </row>
    <row r="10" customFormat="false" ht="15" hidden="false" customHeight="false" outlineLevel="0" collapsed="false">
      <c r="A10" s="39" t="s">
        <v>531</v>
      </c>
      <c r="B10" s="33" t="s">
        <v>532</v>
      </c>
      <c r="C10" s="32" t="s">
        <v>533</v>
      </c>
      <c r="D10" s="41" t="s">
        <v>534</v>
      </c>
      <c r="E10" s="33" t="s">
        <v>522</v>
      </c>
      <c r="F10" s="33" t="s">
        <v>185</v>
      </c>
      <c r="G10" s="32" t="s">
        <v>535</v>
      </c>
      <c r="H10" s="43" t="n">
        <v>0</v>
      </c>
      <c r="I10" s="40" t="n">
        <f aca="false">IF($B10="","",SUMIFS(资金流水!$I$6:$I$605,资金流水!$D$6:$D$605,$B10))</f>
        <v>540000</v>
      </c>
      <c r="J10" s="40" t="n">
        <f aca="false">IF($B10="","",SUMIFS(资金流水!$J$6:$J$605,资金流水!$D$6:$D$605,$B10))</f>
        <v>105000</v>
      </c>
      <c r="K10" s="42" t="n">
        <f aca="false">IF($B10="","",ROUND(N($H10)+$I10-$J10,2))</f>
        <v>435000</v>
      </c>
      <c r="L10" s="25" t="str">
        <f aca="false">IF($B10="","",IF(COUNTIF($B$6:$B$25,$B10)&gt;1,"账户名称重复",IF(ISNA(MATCH($F10,会计科目表!$B$6:$B$85,0)),"对应科目不存在",IF($K10&lt;0,"✗ 期末余额为负","OK"))))</f>
        <v>OK</v>
      </c>
    </row>
    <row r="11" customFormat="false" ht="15" hidden="false" customHeight="false" outlineLevel="0" collapsed="false">
      <c r="A11" s="41"/>
      <c r="B11" s="41"/>
      <c r="C11" s="41"/>
      <c r="D11" s="41"/>
      <c r="E11" s="41"/>
      <c r="F11" s="41"/>
      <c r="G11" s="41"/>
      <c r="H11" s="43"/>
      <c r="I11" s="40" t="str">
        <f aca="false">IF($B11="","",SUMIFS(资金流水!$I$6:$I$605,资金流水!$D$6:$D$605,$B11))</f>
        <v/>
      </c>
      <c r="J11" s="40" t="str">
        <f aca="false">IF($B11="","",SUMIFS(资金流水!$J$6:$J$605,资金流水!$D$6:$D$605,$B11))</f>
        <v/>
      </c>
      <c r="K11" s="42" t="str">
        <f aca="false">IF($B11="","",ROUND(N($H11)+$I11-$J11,2))</f>
        <v/>
      </c>
      <c r="L11" s="25" t="str">
        <f aca="false">IF($B11="","",IF(COUNTIF($B$6:$B$25,$B11)&gt;1,"账户名称重复",IF(ISNA(MATCH($F11,会计科目表!$B$6:$B$85,0)),"对应科目不存在",IF($K11&lt;0,"✗ 期末余额为负","OK"))))</f>
        <v/>
      </c>
    </row>
    <row r="12" customFormat="false" ht="15" hidden="false" customHeight="false" outlineLevel="0" collapsed="false">
      <c r="A12" s="41"/>
      <c r="B12" s="41"/>
      <c r="C12" s="41"/>
      <c r="D12" s="41"/>
      <c r="E12" s="41"/>
      <c r="F12" s="41"/>
      <c r="G12" s="41"/>
      <c r="H12" s="43"/>
      <c r="I12" s="40" t="str">
        <f aca="false">IF($B12="","",SUMIFS(资金流水!$I$6:$I$605,资金流水!$D$6:$D$605,$B12))</f>
        <v/>
      </c>
      <c r="J12" s="40" t="str">
        <f aca="false">IF($B12="","",SUMIFS(资金流水!$J$6:$J$605,资金流水!$D$6:$D$605,$B12))</f>
        <v/>
      </c>
      <c r="K12" s="42" t="str">
        <f aca="false">IF($B12="","",ROUND(N($H12)+$I12-$J12,2))</f>
        <v/>
      </c>
      <c r="L12" s="25" t="str">
        <f aca="false">IF($B12="","",IF(COUNTIF($B$6:$B$25,$B12)&gt;1,"账户名称重复",IF(ISNA(MATCH($F12,会计科目表!$B$6:$B$85,0)),"对应科目不存在",IF($K12&lt;0,"✗ 期末余额为负","OK"))))</f>
        <v/>
      </c>
    </row>
    <row r="13" customFormat="false" ht="15" hidden="false" customHeight="false" outlineLevel="0" collapsed="false">
      <c r="A13" s="41"/>
      <c r="B13" s="41"/>
      <c r="C13" s="41"/>
      <c r="D13" s="41"/>
      <c r="E13" s="41"/>
      <c r="F13" s="41"/>
      <c r="G13" s="41"/>
      <c r="H13" s="43"/>
      <c r="I13" s="40" t="str">
        <f aca="false">IF($B13="","",SUMIFS(资金流水!$I$6:$I$605,资金流水!$D$6:$D$605,$B13))</f>
        <v/>
      </c>
      <c r="J13" s="40" t="str">
        <f aca="false">IF($B13="","",SUMIFS(资金流水!$J$6:$J$605,资金流水!$D$6:$D$605,$B13))</f>
        <v/>
      </c>
      <c r="K13" s="42" t="str">
        <f aca="false">IF($B13="","",ROUND(N($H13)+$I13-$J13,2))</f>
        <v/>
      </c>
      <c r="L13" s="25" t="str">
        <f aca="false">IF($B13="","",IF(COUNTIF($B$6:$B$25,$B13)&gt;1,"账户名称重复",IF(ISNA(MATCH($F13,会计科目表!$B$6:$B$85,0)),"对应科目不存在",IF($K13&lt;0,"✗ 期末余额为负","OK"))))</f>
        <v/>
      </c>
    </row>
    <row r="14" customFormat="false" ht="15" hidden="false" customHeight="false" outlineLevel="0" collapsed="false">
      <c r="A14" s="41"/>
      <c r="B14" s="41"/>
      <c r="C14" s="41"/>
      <c r="D14" s="41"/>
      <c r="E14" s="41"/>
      <c r="F14" s="41"/>
      <c r="G14" s="41"/>
      <c r="H14" s="43"/>
      <c r="I14" s="40" t="str">
        <f aca="false">IF($B14="","",SUMIFS(资金流水!$I$6:$I$605,资金流水!$D$6:$D$605,$B14))</f>
        <v/>
      </c>
      <c r="J14" s="40" t="str">
        <f aca="false">IF($B14="","",SUMIFS(资金流水!$J$6:$J$605,资金流水!$D$6:$D$605,$B14))</f>
        <v/>
      </c>
      <c r="K14" s="42" t="str">
        <f aca="false">IF($B14="","",ROUND(N($H14)+$I14-$J14,2))</f>
        <v/>
      </c>
      <c r="L14" s="25" t="str">
        <f aca="false">IF($B14="","",IF(COUNTIF($B$6:$B$25,$B14)&gt;1,"账户名称重复",IF(ISNA(MATCH($F14,会计科目表!$B$6:$B$85,0)),"对应科目不存在",IF($K14&lt;0,"✗ 期末余额为负","OK"))))</f>
        <v/>
      </c>
    </row>
    <row r="15" customFormat="false" ht="15" hidden="false" customHeight="false" outlineLevel="0" collapsed="false">
      <c r="A15" s="41"/>
      <c r="B15" s="41"/>
      <c r="C15" s="41"/>
      <c r="D15" s="41"/>
      <c r="E15" s="41"/>
      <c r="F15" s="41"/>
      <c r="G15" s="41"/>
      <c r="H15" s="43"/>
      <c r="I15" s="40" t="str">
        <f aca="false">IF($B15="","",SUMIFS(资金流水!$I$6:$I$605,资金流水!$D$6:$D$605,$B15))</f>
        <v/>
      </c>
      <c r="J15" s="40" t="str">
        <f aca="false">IF($B15="","",SUMIFS(资金流水!$J$6:$J$605,资金流水!$D$6:$D$605,$B15))</f>
        <v/>
      </c>
      <c r="K15" s="42" t="str">
        <f aca="false">IF($B15="","",ROUND(N($H15)+$I15-$J15,2))</f>
        <v/>
      </c>
      <c r="L15" s="25" t="str">
        <f aca="false">IF($B15="","",IF(COUNTIF($B$6:$B$25,$B15)&gt;1,"账户名称重复",IF(ISNA(MATCH($F15,会计科目表!$B$6:$B$85,0)),"对应科目不存在",IF($K15&lt;0,"✗ 期末余额为负","OK"))))</f>
        <v/>
      </c>
    </row>
    <row r="16" customFormat="false" ht="15" hidden="false" customHeight="false" outlineLevel="0" collapsed="false">
      <c r="A16" s="41"/>
      <c r="B16" s="41"/>
      <c r="C16" s="41"/>
      <c r="D16" s="41"/>
      <c r="E16" s="41"/>
      <c r="F16" s="41"/>
      <c r="G16" s="41"/>
      <c r="H16" s="43"/>
      <c r="I16" s="40" t="str">
        <f aca="false">IF($B16="","",SUMIFS(资金流水!$I$6:$I$605,资金流水!$D$6:$D$605,$B16))</f>
        <v/>
      </c>
      <c r="J16" s="40" t="str">
        <f aca="false">IF($B16="","",SUMIFS(资金流水!$J$6:$J$605,资金流水!$D$6:$D$605,$B16))</f>
        <v/>
      </c>
      <c r="K16" s="42" t="str">
        <f aca="false">IF($B16="","",ROUND(N($H16)+$I16-$J16,2))</f>
        <v/>
      </c>
      <c r="L16" s="25" t="str">
        <f aca="false">IF($B16="","",IF(COUNTIF($B$6:$B$25,$B16)&gt;1,"账户名称重复",IF(ISNA(MATCH($F16,会计科目表!$B$6:$B$85,0)),"对应科目不存在",IF($K16&lt;0,"✗ 期末余额为负","OK"))))</f>
        <v/>
      </c>
    </row>
    <row r="17" customFormat="false" ht="15" hidden="false" customHeight="false" outlineLevel="0" collapsed="false">
      <c r="A17" s="41"/>
      <c r="B17" s="41"/>
      <c r="C17" s="41"/>
      <c r="D17" s="41"/>
      <c r="E17" s="41"/>
      <c r="F17" s="41"/>
      <c r="G17" s="41"/>
      <c r="H17" s="43"/>
      <c r="I17" s="40" t="str">
        <f aca="false">IF($B17="","",SUMIFS(资金流水!$I$6:$I$605,资金流水!$D$6:$D$605,$B17))</f>
        <v/>
      </c>
      <c r="J17" s="40" t="str">
        <f aca="false">IF($B17="","",SUMIFS(资金流水!$J$6:$J$605,资金流水!$D$6:$D$605,$B17))</f>
        <v/>
      </c>
      <c r="K17" s="42" t="str">
        <f aca="false">IF($B17="","",ROUND(N($H17)+$I17-$J17,2))</f>
        <v/>
      </c>
      <c r="L17" s="25" t="str">
        <f aca="false">IF($B17="","",IF(COUNTIF($B$6:$B$25,$B17)&gt;1,"账户名称重复",IF(ISNA(MATCH($F17,会计科目表!$B$6:$B$85,0)),"对应科目不存在",IF($K17&lt;0,"✗ 期末余额为负","OK"))))</f>
        <v/>
      </c>
    </row>
    <row r="18" customFormat="false" ht="15" hidden="false" customHeight="false" outlineLevel="0" collapsed="false">
      <c r="A18" s="41"/>
      <c r="B18" s="41"/>
      <c r="C18" s="41"/>
      <c r="D18" s="41"/>
      <c r="E18" s="41"/>
      <c r="F18" s="41"/>
      <c r="G18" s="41"/>
      <c r="H18" s="43"/>
      <c r="I18" s="40" t="str">
        <f aca="false">IF($B18="","",SUMIFS(资金流水!$I$6:$I$605,资金流水!$D$6:$D$605,$B18))</f>
        <v/>
      </c>
      <c r="J18" s="40" t="str">
        <f aca="false">IF($B18="","",SUMIFS(资金流水!$J$6:$J$605,资金流水!$D$6:$D$605,$B18))</f>
        <v/>
      </c>
      <c r="K18" s="42" t="str">
        <f aca="false">IF($B18="","",ROUND(N($H18)+$I18-$J18,2))</f>
        <v/>
      </c>
      <c r="L18" s="25" t="str">
        <f aca="false">IF($B18="","",IF(COUNTIF($B$6:$B$25,$B18)&gt;1,"账户名称重复",IF(ISNA(MATCH($F18,会计科目表!$B$6:$B$85,0)),"对应科目不存在",IF($K18&lt;0,"✗ 期末余额为负","OK"))))</f>
        <v/>
      </c>
    </row>
    <row r="19" customFormat="false" ht="15" hidden="false" customHeight="false" outlineLevel="0" collapsed="false">
      <c r="A19" s="41"/>
      <c r="B19" s="41"/>
      <c r="C19" s="41"/>
      <c r="D19" s="41"/>
      <c r="E19" s="41"/>
      <c r="F19" s="41"/>
      <c r="G19" s="41"/>
      <c r="H19" s="43"/>
      <c r="I19" s="40" t="str">
        <f aca="false">IF($B19="","",SUMIFS(资金流水!$I$6:$I$605,资金流水!$D$6:$D$605,$B19))</f>
        <v/>
      </c>
      <c r="J19" s="40" t="str">
        <f aca="false">IF($B19="","",SUMIFS(资金流水!$J$6:$J$605,资金流水!$D$6:$D$605,$B19))</f>
        <v/>
      </c>
      <c r="K19" s="42" t="str">
        <f aca="false">IF($B19="","",ROUND(N($H19)+$I19-$J19,2))</f>
        <v/>
      </c>
      <c r="L19" s="25" t="str">
        <f aca="false">IF($B19="","",IF(COUNTIF($B$6:$B$25,$B19)&gt;1,"账户名称重复",IF(ISNA(MATCH($F19,会计科目表!$B$6:$B$85,0)),"对应科目不存在",IF($K19&lt;0,"✗ 期末余额为负","OK"))))</f>
        <v/>
      </c>
    </row>
    <row r="20" customFormat="false" ht="15" hidden="false" customHeight="false" outlineLevel="0" collapsed="false">
      <c r="A20" s="41"/>
      <c r="B20" s="41"/>
      <c r="C20" s="41"/>
      <c r="D20" s="41"/>
      <c r="E20" s="41"/>
      <c r="F20" s="41"/>
      <c r="G20" s="41"/>
      <c r="H20" s="43"/>
      <c r="I20" s="40" t="str">
        <f aca="false">IF($B20="","",SUMIFS(资金流水!$I$6:$I$605,资金流水!$D$6:$D$605,$B20))</f>
        <v/>
      </c>
      <c r="J20" s="40" t="str">
        <f aca="false">IF($B20="","",SUMIFS(资金流水!$J$6:$J$605,资金流水!$D$6:$D$605,$B20))</f>
        <v/>
      </c>
      <c r="K20" s="42" t="str">
        <f aca="false">IF($B20="","",ROUND(N($H20)+$I20-$J20,2))</f>
        <v/>
      </c>
      <c r="L20" s="25" t="str">
        <f aca="false">IF($B20="","",IF(COUNTIF($B$6:$B$25,$B20)&gt;1,"账户名称重复",IF(ISNA(MATCH($F20,会计科目表!$B$6:$B$85,0)),"对应科目不存在",IF($K20&lt;0,"✗ 期末余额为负","OK"))))</f>
        <v/>
      </c>
    </row>
    <row r="21" customFormat="false" ht="15" hidden="false" customHeight="false" outlineLevel="0" collapsed="false">
      <c r="A21" s="41"/>
      <c r="B21" s="41"/>
      <c r="C21" s="41"/>
      <c r="D21" s="41"/>
      <c r="E21" s="41"/>
      <c r="F21" s="41"/>
      <c r="G21" s="41"/>
      <c r="H21" s="43"/>
      <c r="I21" s="40" t="str">
        <f aca="false">IF($B21="","",SUMIFS(资金流水!$I$6:$I$605,资金流水!$D$6:$D$605,$B21))</f>
        <v/>
      </c>
      <c r="J21" s="40" t="str">
        <f aca="false">IF($B21="","",SUMIFS(资金流水!$J$6:$J$605,资金流水!$D$6:$D$605,$B21))</f>
        <v/>
      </c>
      <c r="K21" s="42" t="str">
        <f aca="false">IF($B21="","",ROUND(N($H21)+$I21-$J21,2))</f>
        <v/>
      </c>
      <c r="L21" s="25" t="str">
        <f aca="false">IF($B21="","",IF(COUNTIF($B$6:$B$25,$B21)&gt;1,"账户名称重复",IF(ISNA(MATCH($F21,会计科目表!$B$6:$B$85,0)),"对应科目不存在",IF($K21&lt;0,"✗ 期末余额为负","OK"))))</f>
        <v/>
      </c>
    </row>
    <row r="22" customFormat="false" ht="15" hidden="false" customHeight="false" outlineLevel="0" collapsed="false">
      <c r="A22" s="41"/>
      <c r="B22" s="41"/>
      <c r="C22" s="41"/>
      <c r="D22" s="41"/>
      <c r="E22" s="41"/>
      <c r="F22" s="41"/>
      <c r="G22" s="41"/>
      <c r="H22" s="43"/>
      <c r="I22" s="40" t="str">
        <f aca="false">IF($B22="","",SUMIFS(资金流水!$I$6:$I$605,资金流水!$D$6:$D$605,$B22))</f>
        <v/>
      </c>
      <c r="J22" s="40" t="str">
        <f aca="false">IF($B22="","",SUMIFS(资金流水!$J$6:$J$605,资金流水!$D$6:$D$605,$B22))</f>
        <v/>
      </c>
      <c r="K22" s="42" t="str">
        <f aca="false">IF($B22="","",ROUND(N($H22)+$I22-$J22,2))</f>
        <v/>
      </c>
      <c r="L22" s="25" t="str">
        <f aca="false">IF($B22="","",IF(COUNTIF($B$6:$B$25,$B22)&gt;1,"账户名称重复",IF(ISNA(MATCH($F22,会计科目表!$B$6:$B$85,0)),"对应科目不存在",IF($K22&lt;0,"✗ 期末余额为负","OK"))))</f>
        <v/>
      </c>
    </row>
    <row r="23" customFormat="false" ht="15" hidden="false" customHeight="false" outlineLevel="0" collapsed="false">
      <c r="A23" s="41"/>
      <c r="B23" s="41"/>
      <c r="C23" s="41"/>
      <c r="D23" s="41"/>
      <c r="E23" s="41"/>
      <c r="F23" s="41"/>
      <c r="G23" s="41"/>
      <c r="H23" s="43"/>
      <c r="I23" s="40" t="str">
        <f aca="false">IF($B23="","",SUMIFS(资金流水!$I$6:$I$605,资金流水!$D$6:$D$605,$B23))</f>
        <v/>
      </c>
      <c r="J23" s="40" t="str">
        <f aca="false">IF($B23="","",SUMIFS(资金流水!$J$6:$J$605,资金流水!$D$6:$D$605,$B23))</f>
        <v/>
      </c>
      <c r="K23" s="42" t="str">
        <f aca="false">IF($B23="","",ROUND(N($H23)+$I23-$J23,2))</f>
        <v/>
      </c>
      <c r="L23" s="25" t="str">
        <f aca="false">IF($B23="","",IF(COUNTIF($B$6:$B$25,$B23)&gt;1,"账户名称重复",IF(ISNA(MATCH($F23,会计科目表!$B$6:$B$85,0)),"对应科目不存在",IF($K23&lt;0,"✗ 期末余额为负","OK"))))</f>
        <v/>
      </c>
    </row>
    <row r="24" customFormat="false" ht="15" hidden="false" customHeight="false" outlineLevel="0" collapsed="false">
      <c r="A24" s="41"/>
      <c r="B24" s="41"/>
      <c r="C24" s="41"/>
      <c r="D24" s="41"/>
      <c r="E24" s="41"/>
      <c r="F24" s="41"/>
      <c r="G24" s="41"/>
      <c r="H24" s="43"/>
      <c r="I24" s="40" t="str">
        <f aca="false">IF($B24="","",SUMIFS(资金流水!$I$6:$I$605,资金流水!$D$6:$D$605,$B24))</f>
        <v/>
      </c>
      <c r="J24" s="40" t="str">
        <f aca="false">IF($B24="","",SUMIFS(资金流水!$J$6:$J$605,资金流水!$D$6:$D$605,$B24))</f>
        <v/>
      </c>
      <c r="K24" s="42" t="str">
        <f aca="false">IF($B24="","",ROUND(N($H24)+$I24-$J24,2))</f>
        <v/>
      </c>
      <c r="L24" s="25" t="str">
        <f aca="false">IF($B24="","",IF(COUNTIF($B$6:$B$25,$B24)&gt;1,"账户名称重复",IF(ISNA(MATCH($F24,会计科目表!$B$6:$B$85,0)),"对应科目不存在",IF($K24&lt;0,"✗ 期末余额为负","OK"))))</f>
        <v/>
      </c>
    </row>
    <row r="25" customFormat="false" ht="15" hidden="false" customHeight="false" outlineLevel="0" collapsed="false">
      <c r="A25" s="41"/>
      <c r="B25" s="41"/>
      <c r="C25" s="41"/>
      <c r="D25" s="41"/>
      <c r="E25" s="41"/>
      <c r="F25" s="41"/>
      <c r="G25" s="41"/>
      <c r="H25" s="43"/>
      <c r="I25" s="40" t="str">
        <f aca="false">IF($B25="","",SUMIFS(资金流水!$I$6:$I$605,资金流水!$D$6:$D$605,$B25))</f>
        <v/>
      </c>
      <c r="J25" s="40" t="str">
        <f aca="false">IF($B25="","",SUMIFS(资金流水!$J$6:$J$605,资金流水!$D$6:$D$605,$B25))</f>
        <v/>
      </c>
      <c r="K25" s="42" t="str">
        <f aca="false">IF($B25="","",ROUND(N($H25)+$I25-$J25,2))</f>
        <v/>
      </c>
      <c r="L25" s="25" t="str">
        <f aca="false">IF($B25="","",IF(COUNTIF($B$6:$B$25,$B25)&gt;1,"账户名称重复",IF(ISNA(MATCH($F25,会计科目表!$B$6:$B$85,0)),"对应科目不存在",IF($K25&lt;0,"✗ 期末余额为负","OK"))))</f>
        <v/>
      </c>
    </row>
    <row r="27" customFormat="false" ht="15" hidden="false" customHeight="true" outlineLevel="0" collapsed="false">
      <c r="A27" s="31" t="s">
        <v>536</v>
      </c>
      <c r="B27" s="44" t="s">
        <v>537</v>
      </c>
      <c r="C27" s="44"/>
      <c r="D27" s="44"/>
      <c r="E27" s="44"/>
      <c r="F27" s="44"/>
      <c r="G27" s="44"/>
      <c r="H27" s="12" t="n">
        <f aca="false">SUM(H$6:H$25)</f>
        <v>770000</v>
      </c>
      <c r="I27" s="12" t="n">
        <f aca="false">SUM(I$6:I$25)</f>
        <v>1206000</v>
      </c>
      <c r="J27" s="12" t="n">
        <f aca="false">SUM(J$6:J$25)</f>
        <v>701760</v>
      </c>
      <c r="K27" s="12" t="n">
        <f aca="false">SUM(K$6:K$25)</f>
        <v>1274240</v>
      </c>
      <c r="L27" s="31"/>
    </row>
    <row r="29" customFormat="false" ht="15" hidden="false" customHeight="true" outlineLevel="0" collapsed="false">
      <c r="A29" s="3" t="s">
        <v>538</v>
      </c>
      <c r="B29" s="45" t="s">
        <v>539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customFormat="false" ht="15" hidden="false" customHeight="false" outlineLevel="0" collapsed="false">
      <c r="A30" s="31" t="s">
        <v>540</v>
      </c>
      <c r="B30" s="46" t="n">
        <f aca="false">$K$27</f>
        <v>1274240</v>
      </c>
      <c r="C30" s="46"/>
      <c r="D30" s="31" t="s">
        <v>541</v>
      </c>
      <c r="E30" s="46" t="n">
        <f aca="false">SUMIFS(科目余额表!$L$7:$L$246,科目余额表!$A$7:$A$246,参数设置!$A$10,科目余额表!$C$7:$C$246,"库存现金")+SUMIFS(科目余额表!$L$7:$L$246,科目余额表!$A$7:$A$246,参数设置!$A$10,科目余额表!$C$7:$C$246,"银行存款")+SUMIFS(科目余额表!$L$7:$L$246,科目余额表!$A$7:$A$246,参数设置!$A$11,科目余额表!$C$7:$C$246,"库存现金")+SUMIFS(科目余额表!$L$7:$L$246,科目余额表!$A$7:$A$246,参数设置!$A$11,科目余额表!$C$7:$C$246,"银行存款")+SUMIFS(科目余额表!$L$7:$L$246,科目余额表!$A$7:$A$246,参数设置!$A$12,科目余额表!$C$7:$C$246,"库存现金")+SUMIFS(科目余额表!$L$7:$L$246,科目余额表!$A$7:$A$246,参数设置!$A$12,科目余额表!$C$7:$C$246,"银行存款")</f>
        <v>1274240</v>
      </c>
      <c r="F30" s="46"/>
      <c r="G30" s="47" t="str">
        <f aca="false">IF(ROUND($B$30-$E$30,2)=0,"√ 账实一致","✗ 差 "&amp;TEXT($B$30-$E$30,"#,##0.00")&amp;"　（多半是购销或其他分录直接动了现金/银行，没走资金流水）")</f>
        <v>√ 账实一致</v>
      </c>
      <c r="H30" s="47"/>
      <c r="I30" s="47"/>
      <c r="J30" s="47"/>
      <c r="K30" s="47"/>
      <c r="L30" s="47"/>
    </row>
  </sheetData>
  <mergeCells count="7">
    <mergeCell ref="A1:L1"/>
    <mergeCell ref="A2:L2"/>
    <mergeCell ref="B27:G27"/>
    <mergeCell ref="B29:L29"/>
    <mergeCell ref="B30:C30"/>
    <mergeCell ref="E30:F30"/>
    <mergeCell ref="G30:L30"/>
  </mergeCells>
  <conditionalFormatting sqref="L6">
    <cfRule type="expression" priority="2" aboveAverage="0" equalAverage="0" bottom="0" percent="0" rank="0" text="" dxfId="0">
      <formula>AND($L6&lt;&gt;"",$L6&lt;&gt;"OK")</formula>
    </cfRule>
  </conditionalFormatting>
  <conditionalFormatting sqref="L7">
    <cfRule type="expression" priority="3" aboveAverage="0" equalAverage="0" bottom="0" percent="0" rank="0" text="" dxfId="0">
      <formula>AND($L7&lt;&gt;"",$L7&lt;&gt;"OK")</formula>
    </cfRule>
  </conditionalFormatting>
  <conditionalFormatting sqref="L8">
    <cfRule type="expression" priority="4" aboveAverage="0" equalAverage="0" bottom="0" percent="0" rank="0" text="" dxfId="0">
      <formula>AND($L8&lt;&gt;"",$L8&lt;&gt;"OK")</formula>
    </cfRule>
  </conditionalFormatting>
  <conditionalFormatting sqref="L9">
    <cfRule type="expression" priority="5" aboveAverage="0" equalAverage="0" bottom="0" percent="0" rank="0" text="" dxfId="0">
      <formula>AND($L9&lt;&gt;"",$L9&lt;&gt;"OK")</formula>
    </cfRule>
  </conditionalFormatting>
  <conditionalFormatting sqref="L10">
    <cfRule type="expression" priority="6" aboveAverage="0" equalAverage="0" bottom="0" percent="0" rank="0" text="" dxfId="0">
      <formula>AND($L10&lt;&gt;"",$L10&lt;&gt;"OK")</formula>
    </cfRule>
  </conditionalFormatting>
  <conditionalFormatting sqref="L11">
    <cfRule type="expression" priority="7" aboveAverage="0" equalAverage="0" bottom="0" percent="0" rank="0" text="" dxfId="0">
      <formula>AND($L11&lt;&gt;"",$L11&lt;&gt;"OK")</formula>
    </cfRule>
  </conditionalFormatting>
  <conditionalFormatting sqref="L12">
    <cfRule type="expression" priority="8" aboveAverage="0" equalAverage="0" bottom="0" percent="0" rank="0" text="" dxfId="0">
      <formula>AND($L12&lt;&gt;"",$L12&lt;&gt;"OK")</formula>
    </cfRule>
  </conditionalFormatting>
  <conditionalFormatting sqref="L13">
    <cfRule type="expression" priority="9" aboveAverage="0" equalAverage="0" bottom="0" percent="0" rank="0" text="" dxfId="0">
      <formula>AND($L13&lt;&gt;"",$L13&lt;&gt;"OK")</formula>
    </cfRule>
  </conditionalFormatting>
  <conditionalFormatting sqref="L14">
    <cfRule type="expression" priority="10" aboveAverage="0" equalAverage="0" bottom="0" percent="0" rank="0" text="" dxfId="0">
      <formula>AND($L14&lt;&gt;"",$L14&lt;&gt;"OK")</formula>
    </cfRule>
  </conditionalFormatting>
  <conditionalFormatting sqref="L15">
    <cfRule type="expression" priority="11" aboveAverage="0" equalAverage="0" bottom="0" percent="0" rank="0" text="" dxfId="0">
      <formula>AND($L15&lt;&gt;"",$L15&lt;&gt;"OK")</formula>
    </cfRule>
  </conditionalFormatting>
  <conditionalFormatting sqref="L16">
    <cfRule type="expression" priority="12" aboveAverage="0" equalAverage="0" bottom="0" percent="0" rank="0" text="" dxfId="0">
      <formula>AND($L16&lt;&gt;"",$L16&lt;&gt;"OK")</formula>
    </cfRule>
  </conditionalFormatting>
  <conditionalFormatting sqref="L17">
    <cfRule type="expression" priority="13" aboveAverage="0" equalAverage="0" bottom="0" percent="0" rank="0" text="" dxfId="0">
      <formula>AND($L17&lt;&gt;"",$L17&lt;&gt;"OK")</formula>
    </cfRule>
  </conditionalFormatting>
  <conditionalFormatting sqref="L18">
    <cfRule type="expression" priority="14" aboveAverage="0" equalAverage="0" bottom="0" percent="0" rank="0" text="" dxfId="0">
      <formula>AND($L18&lt;&gt;"",$L18&lt;&gt;"OK")</formula>
    </cfRule>
  </conditionalFormatting>
  <conditionalFormatting sqref="L19">
    <cfRule type="expression" priority="15" aboveAverage="0" equalAverage="0" bottom="0" percent="0" rank="0" text="" dxfId="0">
      <formula>AND($L19&lt;&gt;"",$L19&lt;&gt;"OK")</formula>
    </cfRule>
  </conditionalFormatting>
  <conditionalFormatting sqref="L20">
    <cfRule type="expression" priority="16" aboveAverage="0" equalAverage="0" bottom="0" percent="0" rank="0" text="" dxfId="0">
      <formula>AND($L20&lt;&gt;"",$L20&lt;&gt;"OK")</formula>
    </cfRule>
  </conditionalFormatting>
  <conditionalFormatting sqref="L21">
    <cfRule type="expression" priority="17" aboveAverage="0" equalAverage="0" bottom="0" percent="0" rank="0" text="" dxfId="0">
      <formula>AND($L21&lt;&gt;"",$L21&lt;&gt;"OK")</formula>
    </cfRule>
  </conditionalFormatting>
  <conditionalFormatting sqref="L22">
    <cfRule type="expression" priority="18" aboveAverage="0" equalAverage="0" bottom="0" percent="0" rank="0" text="" dxfId="0">
      <formula>AND($L22&lt;&gt;"",$L22&lt;&gt;"OK")</formula>
    </cfRule>
  </conditionalFormatting>
  <conditionalFormatting sqref="L23">
    <cfRule type="expression" priority="19" aboveAverage="0" equalAverage="0" bottom="0" percent="0" rank="0" text="" dxfId="0">
      <formula>AND($L23&lt;&gt;"",$L23&lt;&gt;"OK")</formula>
    </cfRule>
  </conditionalFormatting>
  <conditionalFormatting sqref="L24">
    <cfRule type="expression" priority="20" aboveAverage="0" equalAverage="0" bottom="0" percent="0" rank="0" text="" dxfId="0">
      <formula>AND($L24&lt;&gt;"",$L24&lt;&gt;"OK")</formula>
    </cfRule>
  </conditionalFormatting>
  <conditionalFormatting sqref="L25">
    <cfRule type="expression" priority="21" aboveAverage="0" equalAverage="0" bottom="0" percent="0" rank="0" text="" dxfId="0">
      <formula>AND($L25&lt;&gt;"",$L25&lt;&gt;"OK")</formula>
    </cfRule>
  </conditionalFormatting>
  <conditionalFormatting sqref="G30">
    <cfRule type="expression" priority="22" aboveAverage="0" equalAverage="0" bottom="0" percent="0" rank="0" text="" dxfId="0">
      <formula>LEFT($G$30,1)="✗"</formula>
    </cfRule>
  </conditionalFormatting>
  <dataValidations count="2">
    <dataValidation allowBlank="true" error="必须选择下拉中已维护的值，手工输入会导致取数错位" errorStyle="stop" errorTitle="请从下拉中选择" operator="between" showDropDown="false" showErrorMessage="true" showInputMessage="false" sqref="E6:E25" type="list">
      <formula1>"现金,银行,其他货币资金"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25" type="list">
      <formula1>会计科目表!$B$6:$B$85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T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3"/>
    <col collapsed="false" customWidth="true" hidden="false" outlineLevel="0" max="16" min="16" style="0" width="10"/>
    <col collapsed="false" customWidth="true" hidden="false" outlineLevel="0" max="17" min="17" style="0" width="22"/>
    <col collapsed="false" customWidth="true" hidden="false" outlineLevel="0" max="19" min="18" style="0" width="15"/>
    <col collapsed="false" customWidth="true" hidden="false" outlineLevel="0" max="20" min="20" style="0" width="11"/>
  </cols>
  <sheetData>
    <row r="1" customFormat="false" ht="25.5" hidden="false" customHeight="true" outlineLevel="0" collapsed="false">
      <c r="A1" s="1" t="s">
        <v>542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543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0" hidden="false" customHeight="true" outlineLevel="0" collapsed="false">
      <c r="A5" s="8" t="s">
        <v>544</v>
      </c>
      <c r="B5" s="8" t="s">
        <v>170</v>
      </c>
      <c r="C5" s="8" t="s">
        <v>545</v>
      </c>
      <c r="D5" s="8" t="s">
        <v>546</v>
      </c>
      <c r="E5" s="8" t="s">
        <v>178</v>
      </c>
      <c r="F5" s="8" t="s">
        <v>361</v>
      </c>
      <c r="H5" s="8" t="s">
        <v>544</v>
      </c>
      <c r="I5" s="8" t="s">
        <v>350</v>
      </c>
      <c r="J5" s="8" t="s">
        <v>351</v>
      </c>
      <c r="K5" s="8" t="s">
        <v>547</v>
      </c>
      <c r="L5" s="8" t="s">
        <v>548</v>
      </c>
      <c r="M5" s="8" t="s">
        <v>549</v>
      </c>
      <c r="N5" s="8" t="s">
        <v>361</v>
      </c>
      <c r="P5" s="8" t="s">
        <v>544</v>
      </c>
      <c r="Q5" s="8" t="s">
        <v>41</v>
      </c>
      <c r="R5" s="8" t="s">
        <v>550</v>
      </c>
      <c r="S5" s="8" t="s">
        <v>551</v>
      </c>
      <c r="T5" s="8" t="s">
        <v>361</v>
      </c>
    </row>
    <row r="6" customFormat="false" ht="15" hidden="false" customHeight="false" outlineLevel="0" collapsed="false">
      <c r="A6" s="33" t="s">
        <v>107</v>
      </c>
      <c r="B6" s="32" t="s">
        <v>180</v>
      </c>
      <c r="C6" s="43" t="n">
        <v>5000</v>
      </c>
      <c r="D6" s="43"/>
      <c r="E6" s="41"/>
      <c r="F6" s="25" t="str">
        <f aca="false">IF(AND($A6="",$B6=""),"",IF(SUMPRODUCT(($B$6:$B$185=$B6)*($A$6:$A$185=$A6))&gt;1,"同公司同科目重复",IF(ISNA(MATCH($B6,会计科目表!$B$6:$B$85,0)),"科目不存在",IF(AND(N($C6)&lt;&gt;0,N($D6)&lt;&gt;0),"借贷不能同时有数","OK"))))</f>
        <v>OK</v>
      </c>
      <c r="H6" s="33" t="s">
        <v>107</v>
      </c>
      <c r="I6" s="39" t="s">
        <v>362</v>
      </c>
      <c r="J6" s="48" t="str">
        <f aca="false">IF($I6="","",IFERROR(INDEX(商品档案!$B$6:$B$65,MATCH($I6,商品档案!$A$6:$A$65,0)),""))</f>
        <v>原木</v>
      </c>
      <c r="K6" s="49" t="n">
        <v>120</v>
      </c>
      <c r="L6" s="43" t="n">
        <v>60000</v>
      </c>
      <c r="M6" s="50" t="n">
        <f aca="false">IF(N($K6)=0,"",ROUND(N($L6)/N($K6),4))</f>
        <v>500</v>
      </c>
      <c r="N6" s="25" t="str">
        <f aca="false">IF($I6="","",IF(ISNA(MATCH($I6,商品档案!$A$6:$A$65,0)),"商品不存在",IF(IFERROR(INDEX(商品档案!$E$6:$E$65,MATCH($I6,商品档案!$A$6:$A$65,0)),"")&lt;&gt;$H6,"商品不属于该公司","OK")))</f>
        <v>OK</v>
      </c>
      <c r="P6" s="33" t="s">
        <v>107</v>
      </c>
      <c r="Q6" s="32" t="s">
        <v>483</v>
      </c>
      <c r="R6" s="43"/>
      <c r="S6" s="43" t="n">
        <v>35000</v>
      </c>
      <c r="T6" s="25" t="str">
        <f aca="false">IF($Q6="","",IF(ISNA(MATCH($Q6,往来单位!$A$6:$A$85,0)),"单位未建档","OK"))</f>
        <v>OK</v>
      </c>
    </row>
    <row r="7" customFormat="false" ht="15" hidden="false" customHeight="false" outlineLevel="0" collapsed="false">
      <c r="A7" s="33" t="s">
        <v>107</v>
      </c>
      <c r="B7" s="32" t="s">
        <v>185</v>
      </c>
      <c r="C7" s="43" t="n">
        <v>180000</v>
      </c>
      <c r="D7" s="43"/>
      <c r="E7" s="41"/>
      <c r="F7" s="25" t="str">
        <f aca="false">IF(AND($A7="",$B7=""),"",IF(SUMPRODUCT(($B$6:$B$185=$B7)*($A$6:$A$185=$A7))&gt;1,"同公司同科目重复",IF(ISNA(MATCH($B7,会计科目表!$B$6:$B$85,0)),"科目不存在",IF(AND(N($C7)&lt;&gt;0,N($D7)&lt;&gt;0),"借贷不能同时有数","OK"))))</f>
        <v>OK</v>
      </c>
      <c r="H7" s="33" t="s">
        <v>107</v>
      </c>
      <c r="I7" s="39" t="s">
        <v>374</v>
      </c>
      <c r="J7" s="48" t="str">
        <f aca="false">IF($I7="","",IFERROR(INDEX(商品档案!$B$6:$B$65,MATCH($I7,商品档案!$A$6:$A$65,0)),""))</f>
        <v>干艾草</v>
      </c>
      <c r="K7" s="49" t="n">
        <v>2000</v>
      </c>
      <c r="L7" s="43" t="n">
        <v>18000</v>
      </c>
      <c r="M7" s="50" t="n">
        <f aca="false">IF(N($K7)=0,"",ROUND(N($L7)/N($K7),4))</f>
        <v>9</v>
      </c>
      <c r="N7" s="25" t="str">
        <f aca="false">IF($I7="","",IF(ISNA(MATCH($I7,商品档案!$A$6:$A$65,0)),"商品不存在",IF(IFERROR(INDEX(商品档案!$E$6:$E$65,MATCH($I7,商品档案!$A$6:$A$65,0)),"")&lt;&gt;$H7,"商品不属于该公司","OK")))</f>
        <v>OK</v>
      </c>
      <c r="P7" s="33" t="s">
        <v>110</v>
      </c>
      <c r="Q7" s="32" t="s">
        <v>460</v>
      </c>
      <c r="R7" s="43" t="n">
        <v>156000</v>
      </c>
      <c r="S7" s="43"/>
      <c r="T7" s="25" t="str">
        <f aca="false">IF($Q7="","",IF(ISNA(MATCH($Q7,往来单位!$A$6:$A$85,0)),"单位未建档","OK"))</f>
        <v>OK</v>
      </c>
    </row>
    <row r="8" customFormat="false" ht="15" hidden="false" customHeight="false" outlineLevel="0" collapsed="false">
      <c r="A8" s="33" t="s">
        <v>107</v>
      </c>
      <c r="B8" s="32" t="s">
        <v>196</v>
      </c>
      <c r="C8" s="43" t="n">
        <v>12000</v>
      </c>
      <c r="D8" s="43"/>
      <c r="E8" s="41"/>
      <c r="F8" s="25" t="str">
        <f aca="false">IF(AND($A8="",$B8=""),"",IF(SUMPRODUCT(($B$6:$B$185=$B8)*($A$6:$A$185=$A8))&gt;1,"同公司同科目重复",IF(ISNA(MATCH($B8,会计科目表!$B$6:$B$85,0)),"科目不存在",IF(AND(N($C8)&lt;&gt;0,N($D8)&lt;&gt;0),"借贷不能同时有数","OK"))))</f>
        <v>OK</v>
      </c>
      <c r="H8" s="33" t="s">
        <v>107</v>
      </c>
      <c r="I8" s="39" t="s">
        <v>383</v>
      </c>
      <c r="J8" s="48" t="str">
        <f aca="false">IF($I8="","",IFERROR(INDEX(商品档案!$B$6:$B$65,MATCH($I8,商品档案!$A$6:$A$65,0)),""))</f>
        <v>肥料</v>
      </c>
      <c r="K8" s="49" t="n">
        <v>10</v>
      </c>
      <c r="L8" s="43" t="n">
        <v>11000</v>
      </c>
      <c r="M8" s="50" t="n">
        <f aca="false">IF(N($K8)=0,"",ROUND(N($L8)/N($K8),4))</f>
        <v>1100</v>
      </c>
      <c r="N8" s="25" t="str">
        <f aca="false">IF($I8="","",IF(ISNA(MATCH($I8,商品档案!$A$6:$A$65,0)),"商品不存在",IF(IFERROR(INDEX(商品档案!$E$6:$E$65,MATCH($I8,商品档案!$A$6:$A$65,0)),"")&lt;&gt;$H8,"商品不属于该公司","OK")))</f>
        <v>OK</v>
      </c>
      <c r="P8" s="33" t="s">
        <v>110</v>
      </c>
      <c r="Q8" s="32" t="s">
        <v>487</v>
      </c>
      <c r="R8" s="43"/>
      <c r="S8" s="43" t="n">
        <v>88000</v>
      </c>
      <c r="T8" s="25" t="str">
        <f aca="false">IF($Q8="","",IF(ISNA(MATCH($Q8,往来单位!$A$6:$A$85,0)),"单位未建档","OK"))</f>
        <v>OK</v>
      </c>
    </row>
    <row r="9" customFormat="false" ht="15" hidden="false" customHeight="false" outlineLevel="0" collapsed="false">
      <c r="A9" s="33" t="s">
        <v>107</v>
      </c>
      <c r="B9" s="32" t="s">
        <v>198</v>
      </c>
      <c r="C9" s="43" t="n">
        <v>78000</v>
      </c>
      <c r="D9" s="43"/>
      <c r="E9" s="41"/>
      <c r="F9" s="25" t="str">
        <f aca="false">IF(AND($A9="",$B9=""),"",IF(SUMPRODUCT(($B$6:$B$185=$B9)*($A$6:$A$185=$A9))&gt;1,"同公司同科目重复",IF(ISNA(MATCH($B9,会计科目表!$B$6:$B$85,0)),"科目不存在",IF(AND(N($C9)&lt;&gt;0,N($D9)&lt;&gt;0),"借贷不能同时有数","OK"))))</f>
        <v>OK</v>
      </c>
      <c r="H9" s="33" t="s">
        <v>107</v>
      </c>
      <c r="I9" s="39" t="s">
        <v>388</v>
      </c>
      <c r="J9" s="48" t="str">
        <f aca="false">IF($I9="","",IFERROR(INDEX(商品档案!$B$6:$B$65,MATCH($I9,商品档案!$A$6:$A$65,0)),""))</f>
        <v>农药</v>
      </c>
      <c r="K9" s="49" t="n">
        <v>100</v>
      </c>
      <c r="L9" s="43" t="n">
        <v>1000</v>
      </c>
      <c r="M9" s="50" t="n">
        <f aca="false">IF(N($K9)=0,"",ROUND(N($L9)/N($K9),4))</f>
        <v>10</v>
      </c>
      <c r="N9" s="25" t="str">
        <f aca="false">IF($I9="","",IF(ISNA(MATCH($I9,商品档案!$A$6:$A$65,0)),"商品不存在",IF(IFERROR(INDEX(商品档案!$E$6:$E$65,MATCH($I9,商品档案!$A$6:$A$65,0)),"")&lt;&gt;$H9,"商品不属于该公司","OK")))</f>
        <v>OK</v>
      </c>
      <c r="P9" s="33" t="s">
        <v>112</v>
      </c>
      <c r="Q9" s="32" t="s">
        <v>473</v>
      </c>
      <c r="R9" s="43" t="n">
        <v>88000</v>
      </c>
      <c r="S9" s="43"/>
      <c r="T9" s="25" t="str">
        <f aca="false">IF($Q9="","",IF(ISNA(MATCH($Q9,往来单位!$A$6:$A$85,0)),"单位未建档","OK"))</f>
        <v>OK</v>
      </c>
    </row>
    <row r="10" customFormat="false" ht="15" hidden="false" customHeight="false" outlineLevel="0" collapsed="false">
      <c r="A10" s="33" t="s">
        <v>107</v>
      </c>
      <c r="B10" s="32" t="s">
        <v>210</v>
      </c>
      <c r="C10" s="43" t="n">
        <v>600000</v>
      </c>
      <c r="D10" s="43"/>
      <c r="E10" s="41"/>
      <c r="F10" s="25" t="str">
        <f aca="false">IF(AND($A10="",$B10=""),"",IF(SUMPRODUCT(($B$6:$B$185=$B10)*($A$6:$A$185=$A10))&gt;1,"同公司同科目重复",IF(ISNA(MATCH($B10,会计科目表!$B$6:$B$85,0)),"科目不存在",IF(AND(N($C10)&lt;&gt;0,N($D10)&lt;&gt;0),"借贷不能同时有数","OK"))))</f>
        <v>OK</v>
      </c>
      <c r="H10" s="33" t="s">
        <v>110</v>
      </c>
      <c r="I10" s="39" t="s">
        <v>408</v>
      </c>
      <c r="J10" s="48" t="str">
        <f aca="false">IF($I10="","",IFERROR(INDEX(商品档案!$B$6:$B$65,MATCH($I10,商品档案!$A$6:$A$65,0)),""))</f>
        <v>原木</v>
      </c>
      <c r="K10" s="49" t="n">
        <v>80</v>
      </c>
      <c r="L10" s="43" t="n">
        <v>76000</v>
      </c>
      <c r="M10" s="50" t="n">
        <f aca="false">IF(N($K10)=0,"",ROUND(N($L10)/N($K10),4))</f>
        <v>950</v>
      </c>
      <c r="N10" s="25" t="str">
        <f aca="false">IF($I10="","",IF(ISNA(MATCH($I10,商品档案!$A$6:$A$65,0)),"商品不存在",IF(IFERROR(INDEX(商品档案!$E$6:$E$65,MATCH($I10,商品档案!$A$6:$A$65,0)),"")&lt;&gt;$H10,"商品不属于该公司","OK")))</f>
        <v>OK</v>
      </c>
      <c r="P10" s="33" t="s">
        <v>112</v>
      </c>
      <c r="Q10" s="32" t="s">
        <v>489</v>
      </c>
      <c r="R10" s="43"/>
      <c r="S10" s="43" t="n">
        <v>45000</v>
      </c>
      <c r="T10" s="25" t="str">
        <f aca="false">IF($Q10="","",IF(ISNA(MATCH($Q10,往来单位!$A$6:$A$85,0)),"单位未建档","OK"))</f>
        <v>OK</v>
      </c>
    </row>
    <row r="11" customFormat="false" ht="15" hidden="false" customHeight="false" outlineLevel="0" collapsed="false">
      <c r="A11" s="33" t="s">
        <v>107</v>
      </c>
      <c r="B11" s="32" t="s">
        <v>213</v>
      </c>
      <c r="C11" s="43"/>
      <c r="D11" s="43" t="n">
        <v>40000</v>
      </c>
      <c r="E11" s="41"/>
      <c r="F11" s="25" t="str">
        <f aca="false">IF(AND($A11="",$B11=""),"",IF(SUMPRODUCT(($B$6:$B$185=$B11)*($A$6:$A$185=$A11))&gt;1,"同公司同科目重复",IF(ISNA(MATCH($B11,会计科目表!$B$6:$B$85,0)),"科目不存在",IF(AND(N($C11)&lt;&gt;0,N($D11)&lt;&gt;0),"借贷不能同时有数","OK"))))</f>
        <v>OK</v>
      </c>
      <c r="H11" s="33" t="s">
        <v>110</v>
      </c>
      <c r="I11" s="39" t="s">
        <v>411</v>
      </c>
      <c r="J11" s="48" t="str">
        <f aca="false">IF($I11="","",IFERROR(INDEX(商品档案!$B$6:$B$65,MATCH($I11,商品档案!$A$6:$A$65,0)),""))</f>
        <v>胶水</v>
      </c>
      <c r="K11" s="49" t="n">
        <v>300</v>
      </c>
      <c r="L11" s="43" t="n">
        <v>5850</v>
      </c>
      <c r="M11" s="50" t="n">
        <f aca="false">IF(N($K11)=0,"",ROUND(N($L11)/N($K11),4))</f>
        <v>19.5</v>
      </c>
      <c r="N11" s="25" t="str">
        <f aca="false">IF($I11="","",IF(ISNA(MATCH($I11,商品档案!$A$6:$A$65,0)),"商品不存在",IF(IFERROR(INDEX(商品档案!$E$6:$E$65,MATCH($I11,商品档案!$A$6:$A$65,0)),"")&lt;&gt;$H11,"商品不属于该公司","OK")))</f>
        <v>OK</v>
      </c>
      <c r="P11" s="41"/>
      <c r="Q11" s="32"/>
      <c r="R11" s="43"/>
      <c r="S11" s="43"/>
      <c r="T11" s="25" t="str">
        <f aca="false">IF($Q11="","",IF(ISNA(MATCH($Q11,往来单位!$A$6:$A$85,0)),"单位未建档","OK"))</f>
        <v/>
      </c>
    </row>
    <row r="12" customFormat="false" ht="15" hidden="false" customHeight="false" outlineLevel="0" collapsed="false">
      <c r="A12" s="33" t="s">
        <v>107</v>
      </c>
      <c r="B12" s="32" t="s">
        <v>215</v>
      </c>
      <c r="C12" s="43" t="n">
        <v>1200000</v>
      </c>
      <c r="D12" s="43"/>
      <c r="E12" s="41"/>
      <c r="F12" s="25" t="str">
        <f aca="false">IF(AND($A12="",$B12=""),"",IF(SUMPRODUCT(($B$6:$B$185=$B12)*($A$6:$A$185=$A12))&gt;1,"同公司同科目重复",IF(ISNA(MATCH($B12,会计科目表!$B$6:$B$85,0)),"科目不存在",IF(AND(N($C12)&lt;&gt;0,N($D12)&lt;&gt;0),"借贷不能同时有数","OK"))))</f>
        <v>OK</v>
      </c>
      <c r="H12" s="33" t="s">
        <v>110</v>
      </c>
      <c r="I12" s="39" t="s">
        <v>391</v>
      </c>
      <c r="J12" s="48" t="str">
        <f aca="false">IF($I12="","",IFERROR(INDEX(商品档案!$B$6:$B$65,MATCH($I12,商品档案!$A$6:$A$65,0)),""))</f>
        <v>*木制品*木板</v>
      </c>
      <c r="K12" s="49" t="n">
        <v>800</v>
      </c>
      <c r="L12" s="43" t="n">
        <v>76800</v>
      </c>
      <c r="M12" s="50" t="n">
        <f aca="false">IF(N($K12)=0,"",ROUND(N($L12)/N($K12),4))</f>
        <v>96</v>
      </c>
      <c r="N12" s="25" t="str">
        <f aca="false">IF($I12="","",IF(ISNA(MATCH($I12,商品档案!$A$6:$A$65,0)),"商品不存在",IF(IFERROR(INDEX(商品档案!$E$6:$E$65,MATCH($I12,商品档案!$A$6:$A$65,0)),"")&lt;&gt;$H12,"商品不属于该公司","OK")))</f>
        <v>OK</v>
      </c>
      <c r="P12" s="41"/>
      <c r="Q12" s="32"/>
      <c r="R12" s="43"/>
      <c r="S12" s="43"/>
      <c r="T12" s="25" t="str">
        <f aca="false">IF($Q12="","",IF(ISNA(MATCH($Q12,往来单位!$A$6:$A$85,0)),"单位未建档","OK"))</f>
        <v/>
      </c>
    </row>
    <row r="13" customFormat="false" ht="15" hidden="false" customHeight="false" outlineLevel="0" collapsed="false">
      <c r="A13" s="33" t="s">
        <v>107</v>
      </c>
      <c r="B13" s="32" t="s">
        <v>218</v>
      </c>
      <c r="C13" s="43"/>
      <c r="D13" s="43" t="n">
        <v>48000</v>
      </c>
      <c r="E13" s="41"/>
      <c r="F13" s="25" t="str">
        <f aca="false">IF(AND($A13="",$B13=""),"",IF(SUMPRODUCT(($B$6:$B$185=$B13)*($A$6:$A$185=$A13))&gt;1,"同公司同科目重复",IF(ISNA(MATCH($B13,会计科目表!$B$6:$B$85,0)),"科目不存在",IF(AND(N($C13)&lt;&gt;0,N($D13)&lt;&gt;0),"借贷不能同时有数","OK"))))</f>
        <v>OK</v>
      </c>
      <c r="H13" s="33" t="s">
        <v>110</v>
      </c>
      <c r="I13" s="39" t="s">
        <v>396</v>
      </c>
      <c r="J13" s="48" t="str">
        <f aca="false">IF($I13="","",IFERROR(INDEX(商品档案!$B$6:$B$65,MATCH($I13,商品档案!$A$6:$A$65,0)),""))</f>
        <v>*木制品*模板</v>
      </c>
      <c r="K13" s="49" t="n">
        <v>300</v>
      </c>
      <c r="L13" s="43" t="n">
        <v>27600</v>
      </c>
      <c r="M13" s="50" t="n">
        <f aca="false">IF(N($K13)=0,"",ROUND(N($L13)/N($K13),4))</f>
        <v>92</v>
      </c>
      <c r="N13" s="25" t="str">
        <f aca="false">IF($I13="","",IF(ISNA(MATCH($I13,商品档案!$A$6:$A$65,0)),"商品不存在",IF(IFERROR(INDEX(商品档案!$E$6:$E$65,MATCH($I13,商品档案!$A$6:$A$65,0)),"")&lt;&gt;$H13,"商品不属于该公司","OK")))</f>
        <v>OK</v>
      </c>
      <c r="P13" s="41"/>
      <c r="Q13" s="32"/>
      <c r="R13" s="43"/>
      <c r="S13" s="43"/>
      <c r="T13" s="25" t="str">
        <f aca="false">IF($Q13="","",IF(ISNA(MATCH($Q13,往来单位!$A$6:$A$85,0)),"单位未建档","OK"))</f>
        <v/>
      </c>
    </row>
    <row r="14" customFormat="false" ht="15" hidden="false" customHeight="false" outlineLevel="0" collapsed="false">
      <c r="A14" s="33" t="s">
        <v>107</v>
      </c>
      <c r="B14" s="32" t="s">
        <v>204</v>
      </c>
      <c r="C14" s="43" t="n">
        <v>260000</v>
      </c>
      <c r="D14" s="43"/>
      <c r="E14" s="41"/>
      <c r="F14" s="25" t="str">
        <f aca="false">IF(AND($A14="",$B14=""),"",IF(SUMPRODUCT(($B$6:$B$185=$B14)*($A$6:$A$185=$A14))&gt;1,"同公司同科目重复",IF(ISNA(MATCH($B14,会计科目表!$B$6:$B$85,0)),"科目不存在",IF(AND(N($C14)&lt;&gt;0,N($D14)&lt;&gt;0),"借贷不能同时有数","OK"))))</f>
        <v>OK</v>
      </c>
      <c r="H14" s="33" t="s">
        <v>112</v>
      </c>
      <c r="I14" s="39" t="s">
        <v>442</v>
      </c>
      <c r="J14" s="48" t="str">
        <f aca="false">IF($I14="","",IFERROR(INDEX(商品档案!$B$6:$B$65,MATCH($I14,商品档案!$A$6:$A$65,0)),""))</f>
        <v>干艾草</v>
      </c>
      <c r="K14" s="49" t="n">
        <v>1500</v>
      </c>
      <c r="L14" s="43" t="n">
        <v>18000</v>
      </c>
      <c r="M14" s="50" t="n">
        <f aca="false">IF(N($K14)=0,"",ROUND(N($L14)/N($K14),4))</f>
        <v>12</v>
      </c>
      <c r="N14" s="25" t="str">
        <f aca="false">IF($I14="","",IF(ISNA(MATCH($I14,商品档案!$A$6:$A$65,0)),"商品不存在",IF(IFERROR(INDEX(商品档案!$E$6:$E$65,MATCH($I14,商品档案!$A$6:$A$65,0)),"")&lt;&gt;$H14,"商品不属于该公司","OK")))</f>
        <v>OK</v>
      </c>
      <c r="P14" s="41"/>
      <c r="Q14" s="32"/>
      <c r="R14" s="43"/>
      <c r="S14" s="43"/>
      <c r="T14" s="25" t="str">
        <f aca="false">IF($Q14="","",IF(ISNA(MATCH($Q14,往来单位!$A$6:$A$85,0)),"单位未建档","OK"))</f>
        <v/>
      </c>
    </row>
    <row r="15" customFormat="false" ht="15" hidden="false" customHeight="false" outlineLevel="0" collapsed="false">
      <c r="A15" s="33" t="s">
        <v>107</v>
      </c>
      <c r="B15" s="32" t="s">
        <v>207</v>
      </c>
      <c r="C15" s="43"/>
      <c r="D15" s="43" t="n">
        <v>52000</v>
      </c>
      <c r="E15" s="41"/>
      <c r="F15" s="25" t="str">
        <f aca="false">IF(AND($A15="",$B15=""),"",IF(SUMPRODUCT(($B$6:$B$185=$B15)*($A$6:$A$185=$A15))&gt;1,"同公司同科目重复",IF(ISNA(MATCH($B15,会计科目表!$B$6:$B$85,0)),"科目不存在",IF(AND(N($C15)&lt;&gt;0,N($D15)&lt;&gt;0),"借贷不能同时有数","OK"))))</f>
        <v>OK</v>
      </c>
      <c r="H15" s="33" t="s">
        <v>112</v>
      </c>
      <c r="I15" s="39" t="s">
        <v>444</v>
      </c>
      <c r="J15" s="48" t="str">
        <f aca="false">IF($I15="","",IFERROR(INDEX(商品档案!$B$6:$B$65,MATCH($I15,商品档案!$A$6:$A$65,0)),""))</f>
        <v>包装瓶</v>
      </c>
      <c r="K15" s="49" t="n">
        <v>8000</v>
      </c>
      <c r="L15" s="43" t="n">
        <v>7040</v>
      </c>
      <c r="M15" s="50" t="n">
        <f aca="false">IF(N($K15)=0,"",ROUND(N($L15)/N($K15),4))</f>
        <v>0.88</v>
      </c>
      <c r="N15" s="25" t="str">
        <f aca="false">IF($I15="","",IF(ISNA(MATCH($I15,商品档案!$A$6:$A$65,0)),"商品不存在",IF(IFERROR(INDEX(商品档案!$E$6:$E$65,MATCH($I15,商品档案!$A$6:$A$65,0)),"")&lt;&gt;$H15,"商品不属于该公司","OK")))</f>
        <v>OK</v>
      </c>
      <c r="P15" s="41"/>
      <c r="Q15" s="32"/>
      <c r="R15" s="43"/>
      <c r="S15" s="43"/>
      <c r="T15" s="25" t="str">
        <f aca="false">IF($Q15="","",IF(ISNA(MATCH($Q15,往来单位!$A$6:$A$85,0)),"单位未建档","OK"))</f>
        <v/>
      </c>
    </row>
    <row r="16" customFormat="false" ht="15" hidden="false" customHeight="false" outlineLevel="0" collapsed="false">
      <c r="A16" s="33" t="s">
        <v>107</v>
      </c>
      <c r="B16" s="32" t="s">
        <v>25</v>
      </c>
      <c r="C16" s="43"/>
      <c r="D16" s="43" t="n">
        <v>35000</v>
      </c>
      <c r="E16" s="41"/>
      <c r="F16" s="25" t="str">
        <f aca="false">IF(AND($A16="",$B16=""),"",IF(SUMPRODUCT(($B$6:$B$185=$B16)*($A$6:$A$185=$A16))&gt;1,"同公司同科目重复",IF(ISNA(MATCH($B16,会计科目表!$B$6:$B$85,0)),"科目不存在",IF(AND(N($C16)&lt;&gt;0,N($D16)&lt;&gt;0),"借贷不能同时有数","OK"))))</f>
        <v>OK</v>
      </c>
      <c r="H16" s="33" t="s">
        <v>112</v>
      </c>
      <c r="I16" s="39" t="s">
        <v>448</v>
      </c>
      <c r="J16" s="48" t="str">
        <f aca="false">IF($I16="","",IFERROR(INDEX(商品档案!$B$6:$B$65,MATCH($I16,商品档案!$A$6:$A$65,0)),""))</f>
        <v>纸盒</v>
      </c>
      <c r="K16" s="49" t="n">
        <v>10000</v>
      </c>
      <c r="L16" s="43" t="n">
        <v>3300</v>
      </c>
      <c r="M16" s="50" t="n">
        <f aca="false">IF(N($K16)=0,"",ROUND(N($L16)/N($K16),4))</f>
        <v>0.33</v>
      </c>
      <c r="N16" s="25" t="str">
        <f aca="false">IF($I16="","",IF(ISNA(MATCH($I16,商品档案!$A$6:$A$65,0)),"商品不存在",IF(IFERROR(INDEX(商品档案!$E$6:$E$65,MATCH($I16,商品档案!$A$6:$A$65,0)),"")&lt;&gt;$H16,"商品不属于该公司","OK")))</f>
        <v>OK</v>
      </c>
      <c r="P16" s="41"/>
      <c r="Q16" s="32"/>
      <c r="R16" s="43"/>
      <c r="S16" s="43"/>
      <c r="T16" s="25" t="str">
        <f aca="false">IF($Q16="","",IF(ISNA(MATCH($Q16,往来单位!$A$6:$A$85,0)),"单位未建档","OK"))</f>
        <v/>
      </c>
    </row>
    <row r="17" customFormat="false" ht="15" hidden="false" customHeight="false" outlineLevel="0" collapsed="false">
      <c r="A17" s="33" t="s">
        <v>107</v>
      </c>
      <c r="B17" s="32" t="s">
        <v>222</v>
      </c>
      <c r="C17" s="43"/>
      <c r="D17" s="43" t="n">
        <v>200000</v>
      </c>
      <c r="E17" s="41"/>
      <c r="F17" s="25" t="str">
        <f aca="false">IF(AND($A17="",$B17=""),"",IF(SUMPRODUCT(($B$6:$B$185=$B17)*($A$6:$A$185=$A17))&gt;1,"同公司同科目重复",IF(ISNA(MATCH($B17,会计科目表!$B$6:$B$85,0)),"科目不存在",IF(AND(N($C17)&lt;&gt;0,N($D17)&lt;&gt;0),"借贷不能同时有数","OK"))))</f>
        <v>OK</v>
      </c>
      <c r="H17" s="33" t="s">
        <v>112</v>
      </c>
      <c r="I17" s="39" t="s">
        <v>417</v>
      </c>
      <c r="J17" s="48" t="str">
        <f aca="false">IF($I17="","",IFERROR(INDEX(商品档案!$B$6:$B$65,MATCH($I17,商品档案!$A$6:$A$65,0)),""))</f>
        <v>艾草精油原液</v>
      </c>
      <c r="K17" s="49" t="n">
        <v>60</v>
      </c>
      <c r="L17" s="43" t="n">
        <v>66000</v>
      </c>
      <c r="M17" s="50" t="n">
        <f aca="false">IF(N($K17)=0,"",ROUND(N($L17)/N($K17),4))</f>
        <v>1100</v>
      </c>
      <c r="N17" s="25" t="str">
        <f aca="false">IF($I17="","",IF(ISNA(MATCH($I17,商品档案!$A$6:$A$65,0)),"商品不存在",IF(IFERROR(INDEX(商品档案!$E$6:$E$65,MATCH($I17,商品档案!$A$6:$A$65,0)),"")&lt;&gt;$H17,"商品不属于该公司","OK")))</f>
        <v>OK</v>
      </c>
      <c r="P17" s="41"/>
      <c r="Q17" s="32"/>
      <c r="R17" s="43"/>
      <c r="S17" s="43"/>
      <c r="T17" s="25" t="str">
        <f aca="false">IF($Q17="","",IF(ISNA(MATCH($Q17,往来单位!$A$6:$A$85,0)),"单位未建档","OK"))</f>
        <v/>
      </c>
    </row>
    <row r="18" customFormat="false" ht="15" hidden="false" customHeight="false" outlineLevel="0" collapsed="false">
      <c r="A18" s="33" t="s">
        <v>107</v>
      </c>
      <c r="B18" s="32" t="s">
        <v>236</v>
      </c>
      <c r="C18" s="43"/>
      <c r="D18" s="43" t="n">
        <v>1800000</v>
      </c>
      <c r="E18" s="41"/>
      <c r="F18" s="25" t="str">
        <f aca="false">IF(AND($A18="",$B18=""),"",IF(SUMPRODUCT(($B$6:$B$185=$B18)*($A$6:$A$185=$A18))&gt;1,"同公司同科目重复",IF(ISNA(MATCH($B18,会计科目表!$B$6:$B$85,0)),"科目不存在",IF(AND(N($C18)&lt;&gt;0,N($D18)&lt;&gt;0),"借贷不能同时有数","OK"))))</f>
        <v>OK</v>
      </c>
      <c r="H18" s="33" t="s">
        <v>112</v>
      </c>
      <c r="I18" s="39" t="s">
        <v>421</v>
      </c>
      <c r="J18" s="48" t="str">
        <f aca="false">IF($I18="","",IFERROR(INDEX(商品档案!$B$6:$B$65,MATCH($I18,商品档案!$A$6:$A$65,0)),""))</f>
        <v>艾草精油10ml</v>
      </c>
      <c r="K18" s="49" t="n">
        <v>1200</v>
      </c>
      <c r="L18" s="43" t="n">
        <v>13800</v>
      </c>
      <c r="M18" s="50" t="n">
        <f aca="false">IF(N($K18)=0,"",ROUND(N($L18)/N($K18),4))</f>
        <v>11.5</v>
      </c>
      <c r="N18" s="25" t="str">
        <f aca="false">IF($I18="","",IF(ISNA(MATCH($I18,商品档案!$A$6:$A$65,0)),"商品不存在",IF(IFERROR(INDEX(商品档案!$E$6:$E$65,MATCH($I18,商品档案!$A$6:$A$65,0)),"")&lt;&gt;$H18,"商品不属于该公司","OK")))</f>
        <v>OK</v>
      </c>
      <c r="P18" s="41"/>
      <c r="Q18" s="32"/>
      <c r="R18" s="43"/>
      <c r="S18" s="43"/>
      <c r="T18" s="25" t="str">
        <f aca="false">IF($Q18="","",IF(ISNA(MATCH($Q18,往来单位!$A$6:$A$85,0)),"单位未建档","OK"))</f>
        <v/>
      </c>
    </row>
    <row r="19" customFormat="false" ht="15" hidden="false" customHeight="false" outlineLevel="0" collapsed="false">
      <c r="A19" s="33" t="s">
        <v>107</v>
      </c>
      <c r="B19" s="32" t="s">
        <v>243</v>
      </c>
      <c r="C19" s="43"/>
      <c r="D19" s="43" t="n">
        <v>160000</v>
      </c>
      <c r="E19" s="41"/>
      <c r="F19" s="25" t="str">
        <f aca="false">IF(AND($A19="",$B19=""),"",IF(SUMPRODUCT(($B$6:$B$185=$B19)*($A$6:$A$185=$A19))&gt;1,"同公司同科目重复",IF(ISNA(MATCH($B19,会计科目表!$B$6:$B$85,0)),"科目不存在",IF(AND(N($C19)&lt;&gt;0,N($D19)&lt;&gt;0),"借贷不能同时有数","OK"))))</f>
        <v>OK</v>
      </c>
      <c r="H19" s="33"/>
      <c r="I19" s="39"/>
      <c r="J19" s="48" t="str">
        <f aca="false">IF($I19="","",IFERROR(INDEX(商品档案!$B$6:$B$65,MATCH($I19,商品档案!$A$6:$A$65,0)),""))</f>
        <v/>
      </c>
      <c r="K19" s="49"/>
      <c r="L19" s="43"/>
      <c r="M19" s="50" t="str">
        <f aca="false">IF(N($K19)=0,"",ROUND(N($L19)/N($K19),4))</f>
        <v/>
      </c>
      <c r="N19" s="25" t="str">
        <f aca="false">IF($I19="","",IF(ISNA(MATCH($I19,商品档案!$A$6:$A$65,0)),"商品不存在",IF(IFERROR(INDEX(商品档案!$E$6:$E$65,MATCH($I19,商品档案!$A$6:$A$65,0)),"")&lt;&gt;$H19,"商品不属于该公司","OK")))</f>
        <v/>
      </c>
      <c r="P19" s="41"/>
      <c r="Q19" s="32"/>
      <c r="R19" s="43"/>
      <c r="S19" s="43"/>
      <c r="T19" s="25" t="str">
        <f aca="false">IF($Q19="","",IF(ISNA(MATCH($Q19,往来单位!$A$6:$A$85,0)),"单位未建档","OK"))</f>
        <v/>
      </c>
    </row>
    <row r="20" customFormat="false" ht="15" hidden="false" customHeight="false" outlineLevel="0" collapsed="false">
      <c r="A20" s="33" t="s">
        <v>110</v>
      </c>
      <c r="B20" s="32" t="s">
        <v>180</v>
      </c>
      <c r="C20" s="43" t="n">
        <v>3000</v>
      </c>
      <c r="D20" s="43"/>
      <c r="E20" s="41"/>
      <c r="F20" s="25" t="str">
        <f aca="false">IF(AND($A20="",$B20=""),"",IF(SUMPRODUCT(($B$6:$B$185=$B20)*($A$6:$A$185=$A20))&gt;1,"同公司同科目重复",IF(ISNA(MATCH($B20,会计科目表!$B$6:$B$85,0)),"科目不存在",IF(AND(N($C20)&lt;&gt;0,N($D20)&lt;&gt;0),"借贷不能同时有数","OK"))))</f>
        <v>OK</v>
      </c>
      <c r="H20" s="33"/>
      <c r="I20" s="39"/>
      <c r="J20" s="48" t="str">
        <f aca="false">IF($I20="","",IFERROR(INDEX(商品档案!$B$6:$B$65,MATCH($I20,商品档案!$A$6:$A$65,0)),""))</f>
        <v/>
      </c>
      <c r="K20" s="49"/>
      <c r="L20" s="43"/>
      <c r="M20" s="50" t="str">
        <f aca="false">IF(N($K20)=0,"",ROUND(N($L20)/N($K20),4))</f>
        <v/>
      </c>
      <c r="N20" s="25" t="str">
        <f aca="false">IF($I20="","",IF(ISNA(MATCH($I20,商品档案!$A$6:$A$65,0)),"商品不存在",IF(IFERROR(INDEX(商品档案!$E$6:$E$65,MATCH($I20,商品档案!$A$6:$A$65,0)),"")&lt;&gt;$H20,"商品不属于该公司","OK")))</f>
        <v/>
      </c>
      <c r="P20" s="41"/>
      <c r="Q20" s="32"/>
      <c r="R20" s="43"/>
      <c r="S20" s="43"/>
      <c r="T20" s="25" t="str">
        <f aca="false">IF($Q20="","",IF(ISNA(MATCH($Q20,往来单位!$A$6:$A$85,0)),"单位未建档","OK"))</f>
        <v/>
      </c>
    </row>
    <row r="21" customFormat="false" ht="15" hidden="false" customHeight="false" outlineLevel="0" collapsed="false">
      <c r="A21" s="33" t="s">
        <v>110</v>
      </c>
      <c r="B21" s="32" t="s">
        <v>185</v>
      </c>
      <c r="C21" s="43" t="n">
        <v>260000</v>
      </c>
      <c r="D21" s="43"/>
      <c r="E21" s="41"/>
      <c r="F21" s="25" t="str">
        <f aca="false">IF(AND($A21="",$B21=""),"",IF(SUMPRODUCT(($B$6:$B$185=$B21)*($A$6:$A$185=$A21))&gt;1,"同公司同科目重复",IF(ISNA(MATCH($B21,会计科目表!$B$6:$B$85,0)),"科目不存在",IF(AND(N($C21)&lt;&gt;0,N($D21)&lt;&gt;0),"借贷不能同时有数","OK"))))</f>
        <v>OK</v>
      </c>
      <c r="H21" s="33"/>
      <c r="I21" s="39"/>
      <c r="J21" s="48" t="str">
        <f aca="false">IF($I21="","",IFERROR(INDEX(商品档案!$B$6:$B$65,MATCH($I21,商品档案!$A$6:$A$65,0)),""))</f>
        <v/>
      </c>
      <c r="K21" s="49"/>
      <c r="L21" s="43"/>
      <c r="M21" s="50" t="str">
        <f aca="false">IF(N($K21)=0,"",ROUND(N($L21)/N($K21),4))</f>
        <v/>
      </c>
      <c r="N21" s="25" t="str">
        <f aca="false">IF($I21="","",IF(ISNA(MATCH($I21,商品档案!$A$6:$A$65,0)),"商品不存在",IF(IFERROR(INDEX(商品档案!$E$6:$E$65,MATCH($I21,商品档案!$A$6:$A$65,0)),"")&lt;&gt;$H21,"商品不属于该公司","OK")))</f>
        <v/>
      </c>
      <c r="P21" s="41"/>
      <c r="Q21" s="32"/>
      <c r="R21" s="43"/>
      <c r="S21" s="43"/>
      <c r="T21" s="25" t="str">
        <f aca="false">IF($Q21="","",IF(ISNA(MATCH($Q21,往来单位!$A$6:$A$85,0)),"单位未建档","OK"))</f>
        <v/>
      </c>
    </row>
    <row r="22" customFormat="false" ht="15" hidden="false" customHeight="false" outlineLevel="0" collapsed="false">
      <c r="A22" s="33" t="s">
        <v>110</v>
      </c>
      <c r="B22" s="32" t="s">
        <v>24</v>
      </c>
      <c r="C22" s="43" t="n">
        <v>156000</v>
      </c>
      <c r="D22" s="43"/>
      <c r="E22" s="41"/>
      <c r="F22" s="25" t="str">
        <f aca="false">IF(AND($A22="",$B22=""),"",IF(SUMPRODUCT(($B$6:$B$185=$B22)*($A$6:$A$185=$A22))&gt;1,"同公司同科目重复",IF(ISNA(MATCH($B22,会计科目表!$B$6:$B$85,0)),"科目不存在",IF(AND(N($C22)&lt;&gt;0,N($D22)&lt;&gt;0),"借贷不能同时有数","OK"))))</f>
        <v>OK</v>
      </c>
      <c r="H22" s="33"/>
      <c r="I22" s="39"/>
      <c r="J22" s="48" t="str">
        <f aca="false">IF($I22="","",IFERROR(INDEX(商品档案!$B$6:$B$65,MATCH($I22,商品档案!$A$6:$A$65,0)),""))</f>
        <v/>
      </c>
      <c r="K22" s="49"/>
      <c r="L22" s="43"/>
      <c r="M22" s="50" t="str">
        <f aca="false">IF(N($K22)=0,"",ROUND(N($L22)/N($K22),4))</f>
        <v/>
      </c>
      <c r="N22" s="25" t="str">
        <f aca="false">IF($I22="","",IF(ISNA(MATCH($I22,商品档案!$A$6:$A$65,0)),"商品不存在",IF(IFERROR(INDEX(商品档案!$E$6:$E$65,MATCH($I22,商品档案!$A$6:$A$65,0)),"")&lt;&gt;$H22,"商品不属于该公司","OK")))</f>
        <v/>
      </c>
      <c r="P22" s="41"/>
      <c r="Q22" s="32"/>
      <c r="R22" s="43"/>
      <c r="S22" s="43"/>
      <c r="T22" s="25" t="str">
        <f aca="false">IF($Q22="","",IF(ISNA(MATCH($Q22,往来单位!$A$6:$A$85,0)),"单位未建档","OK"))</f>
        <v/>
      </c>
    </row>
    <row r="23" customFormat="false" ht="15" hidden="false" customHeight="false" outlineLevel="0" collapsed="false">
      <c r="A23" s="33" t="s">
        <v>110</v>
      </c>
      <c r="B23" s="32" t="s">
        <v>196</v>
      </c>
      <c r="C23" s="43" t="n">
        <v>81850</v>
      </c>
      <c r="D23" s="43"/>
      <c r="E23" s="41"/>
      <c r="F23" s="25" t="str">
        <f aca="false">IF(AND($A23="",$B23=""),"",IF(SUMPRODUCT(($B$6:$B$185=$B23)*($A$6:$A$185=$A23))&gt;1,"同公司同科目重复",IF(ISNA(MATCH($B23,会计科目表!$B$6:$B$85,0)),"科目不存在",IF(AND(N($C23)&lt;&gt;0,N($D23)&lt;&gt;0),"借贷不能同时有数","OK"))))</f>
        <v>OK</v>
      </c>
      <c r="H23" s="33"/>
      <c r="I23" s="39"/>
      <c r="J23" s="48" t="str">
        <f aca="false">IF($I23="","",IFERROR(INDEX(商品档案!$B$6:$B$65,MATCH($I23,商品档案!$A$6:$A$65,0)),""))</f>
        <v/>
      </c>
      <c r="K23" s="49"/>
      <c r="L23" s="43"/>
      <c r="M23" s="50" t="str">
        <f aca="false">IF(N($K23)=0,"",ROUND(N($L23)/N($K23),4))</f>
        <v/>
      </c>
      <c r="N23" s="25" t="str">
        <f aca="false">IF($I23="","",IF(ISNA(MATCH($I23,商品档案!$A$6:$A$65,0)),"商品不存在",IF(IFERROR(INDEX(商品档案!$E$6:$E$65,MATCH($I23,商品档案!$A$6:$A$65,0)),"")&lt;&gt;$H23,"商品不属于该公司","OK")))</f>
        <v/>
      </c>
      <c r="P23" s="41"/>
      <c r="Q23" s="32"/>
      <c r="R23" s="43"/>
      <c r="S23" s="43"/>
      <c r="T23" s="25" t="str">
        <f aca="false">IF($Q23="","",IF(ISNA(MATCH($Q23,往来单位!$A$6:$A$85,0)),"单位未建档","OK"))</f>
        <v/>
      </c>
    </row>
    <row r="24" customFormat="false" ht="15" hidden="false" customHeight="false" outlineLevel="0" collapsed="false">
      <c r="A24" s="33" t="s">
        <v>110</v>
      </c>
      <c r="B24" s="32" t="s">
        <v>198</v>
      </c>
      <c r="C24" s="43" t="n">
        <v>104400</v>
      </c>
      <c r="D24" s="43"/>
      <c r="E24" s="41"/>
      <c r="F24" s="25" t="str">
        <f aca="false">IF(AND($A24="",$B24=""),"",IF(SUMPRODUCT(($B$6:$B$185=$B24)*($A$6:$A$185=$A24))&gt;1,"同公司同科目重复",IF(ISNA(MATCH($B24,会计科目表!$B$6:$B$85,0)),"科目不存在",IF(AND(N($C24)&lt;&gt;0,N($D24)&lt;&gt;0),"借贷不能同时有数","OK"))))</f>
        <v>OK</v>
      </c>
      <c r="H24" s="33"/>
      <c r="I24" s="39"/>
      <c r="J24" s="48" t="str">
        <f aca="false">IF($I24="","",IFERROR(INDEX(商品档案!$B$6:$B$65,MATCH($I24,商品档案!$A$6:$A$65,0)),""))</f>
        <v/>
      </c>
      <c r="K24" s="49"/>
      <c r="L24" s="43"/>
      <c r="M24" s="50" t="str">
        <f aca="false">IF(N($K24)=0,"",ROUND(N($L24)/N($K24),4))</f>
        <v/>
      </c>
      <c r="N24" s="25" t="str">
        <f aca="false">IF($I24="","",IF(ISNA(MATCH($I24,商品档案!$A$6:$A$65,0)),"商品不存在",IF(IFERROR(INDEX(商品档案!$E$6:$E$65,MATCH($I24,商品档案!$A$6:$A$65,0)),"")&lt;&gt;$H24,"商品不属于该公司","OK")))</f>
        <v/>
      </c>
      <c r="P24" s="41"/>
      <c r="Q24" s="32"/>
      <c r="R24" s="43"/>
      <c r="S24" s="43"/>
      <c r="T24" s="25" t="str">
        <f aca="false">IF($Q24="","",IF(ISNA(MATCH($Q24,往来单位!$A$6:$A$85,0)),"单位未建档","OK"))</f>
        <v/>
      </c>
    </row>
    <row r="25" customFormat="false" ht="15" hidden="false" customHeight="false" outlineLevel="0" collapsed="false">
      <c r="A25" s="33" t="s">
        <v>110</v>
      </c>
      <c r="B25" s="32" t="s">
        <v>204</v>
      </c>
      <c r="C25" s="43" t="n">
        <v>980000</v>
      </c>
      <c r="D25" s="43"/>
      <c r="E25" s="41"/>
      <c r="F25" s="25" t="str">
        <f aca="false">IF(AND($A25="",$B25=""),"",IF(SUMPRODUCT(($B$6:$B$185=$B25)*($A$6:$A$185=$A25))&gt;1,"同公司同科目重复",IF(ISNA(MATCH($B25,会计科目表!$B$6:$B$85,0)),"科目不存在",IF(AND(N($C25)&lt;&gt;0,N($D25)&lt;&gt;0),"借贷不能同时有数","OK"))))</f>
        <v>OK</v>
      </c>
      <c r="H25" s="33"/>
      <c r="I25" s="39"/>
      <c r="J25" s="48" t="str">
        <f aca="false">IF($I25="","",IFERROR(INDEX(商品档案!$B$6:$B$65,MATCH($I25,商品档案!$A$6:$A$65,0)),""))</f>
        <v/>
      </c>
      <c r="K25" s="49"/>
      <c r="L25" s="43"/>
      <c r="M25" s="50" t="str">
        <f aca="false">IF(N($K25)=0,"",ROUND(N($L25)/N($K25),4))</f>
        <v/>
      </c>
      <c r="N25" s="25" t="str">
        <f aca="false">IF($I25="","",IF(ISNA(MATCH($I25,商品档案!$A$6:$A$65,0)),"商品不存在",IF(IFERROR(INDEX(商品档案!$E$6:$E$65,MATCH($I25,商品档案!$A$6:$A$65,0)),"")&lt;&gt;$H25,"商品不属于该公司","OK")))</f>
        <v/>
      </c>
      <c r="P25" s="41"/>
      <c r="Q25" s="32"/>
      <c r="R25" s="43"/>
      <c r="S25" s="43"/>
      <c r="T25" s="25" t="str">
        <f aca="false">IF($Q25="","",IF(ISNA(MATCH($Q25,往来单位!$A$6:$A$85,0)),"单位未建档","OK"))</f>
        <v/>
      </c>
    </row>
    <row r="26" customFormat="false" ht="15" hidden="false" customHeight="false" outlineLevel="0" collapsed="false">
      <c r="A26" s="33" t="s">
        <v>110</v>
      </c>
      <c r="B26" s="32" t="s">
        <v>207</v>
      </c>
      <c r="C26" s="43"/>
      <c r="D26" s="43" t="n">
        <v>196000</v>
      </c>
      <c r="E26" s="41"/>
      <c r="F26" s="25" t="str">
        <f aca="false">IF(AND($A26="",$B26=""),"",IF(SUMPRODUCT(($B$6:$B$185=$B26)*($A$6:$A$185=$A26))&gt;1,"同公司同科目重复",IF(ISNA(MATCH($B26,会计科目表!$B$6:$B$85,0)),"科目不存在",IF(AND(N($C26)&lt;&gt;0,N($D26)&lt;&gt;0),"借贷不能同时有数","OK"))))</f>
        <v>OK</v>
      </c>
      <c r="H26" s="33"/>
      <c r="I26" s="39"/>
      <c r="J26" s="48" t="str">
        <f aca="false">IF($I26="","",IFERROR(INDEX(商品档案!$B$6:$B$65,MATCH($I26,商品档案!$A$6:$A$65,0)),""))</f>
        <v/>
      </c>
      <c r="K26" s="49"/>
      <c r="L26" s="43"/>
      <c r="M26" s="50" t="str">
        <f aca="false">IF(N($K26)=0,"",ROUND(N($L26)/N($K26),4))</f>
        <v/>
      </c>
      <c r="N26" s="25" t="str">
        <f aca="false">IF($I26="","",IF(ISNA(MATCH($I26,商品档案!$A$6:$A$65,0)),"商品不存在",IF(IFERROR(INDEX(商品档案!$E$6:$E$65,MATCH($I26,商品档案!$A$6:$A$65,0)),"")&lt;&gt;$H26,"商品不属于该公司","OK")))</f>
        <v/>
      </c>
      <c r="P26" s="41"/>
      <c r="Q26" s="32"/>
      <c r="R26" s="43"/>
      <c r="S26" s="43"/>
      <c r="T26" s="25" t="str">
        <f aca="false">IF($Q26="","",IF(ISNA(MATCH($Q26,往来单位!$A$6:$A$85,0)),"单位未建档","OK"))</f>
        <v/>
      </c>
    </row>
    <row r="27" customFormat="false" ht="15" hidden="false" customHeight="false" outlineLevel="0" collapsed="false">
      <c r="A27" s="33" t="s">
        <v>110</v>
      </c>
      <c r="B27" s="32" t="s">
        <v>25</v>
      </c>
      <c r="C27" s="43"/>
      <c r="D27" s="43" t="n">
        <v>88000</v>
      </c>
      <c r="E27" s="41"/>
      <c r="F27" s="25" t="str">
        <f aca="false">IF(AND($A27="",$B27=""),"",IF(SUMPRODUCT(($B$6:$B$185=$B27)*($A$6:$A$185=$A27))&gt;1,"同公司同科目重复",IF(ISNA(MATCH($B27,会计科目表!$B$6:$B$85,0)),"科目不存在",IF(AND(N($C27)&lt;&gt;0,N($D27)&lt;&gt;0),"借贷不能同时有数","OK"))))</f>
        <v>OK</v>
      </c>
      <c r="H27" s="33"/>
      <c r="I27" s="39"/>
      <c r="J27" s="48" t="str">
        <f aca="false">IF($I27="","",IFERROR(INDEX(商品档案!$B$6:$B$65,MATCH($I27,商品档案!$A$6:$A$65,0)),""))</f>
        <v/>
      </c>
      <c r="K27" s="49"/>
      <c r="L27" s="43"/>
      <c r="M27" s="50" t="str">
        <f aca="false">IF(N($K27)=0,"",ROUND(N($L27)/N($K27),4))</f>
        <v/>
      </c>
      <c r="N27" s="25" t="str">
        <f aca="false">IF($I27="","",IF(ISNA(MATCH($I27,商品档案!$A$6:$A$65,0)),"商品不存在",IF(IFERROR(INDEX(商品档案!$E$6:$E$65,MATCH($I27,商品档案!$A$6:$A$65,0)),"")&lt;&gt;$H27,"商品不属于该公司","OK")))</f>
        <v/>
      </c>
      <c r="P27" s="41"/>
      <c r="Q27" s="32"/>
      <c r="R27" s="43"/>
      <c r="S27" s="43"/>
      <c r="T27" s="25" t="str">
        <f aca="false">IF($Q27="","",IF(ISNA(MATCH($Q27,往来单位!$A$6:$A$85,0)),"单位未建档","OK"))</f>
        <v/>
      </c>
    </row>
    <row r="28" customFormat="false" ht="15" hidden="false" customHeight="false" outlineLevel="0" collapsed="false">
      <c r="A28" s="33" t="s">
        <v>110</v>
      </c>
      <c r="B28" s="32" t="s">
        <v>222</v>
      </c>
      <c r="C28" s="43"/>
      <c r="D28" s="43" t="n">
        <v>300000</v>
      </c>
      <c r="E28" s="41"/>
      <c r="F28" s="25" t="str">
        <f aca="false">IF(AND($A28="",$B28=""),"",IF(SUMPRODUCT(($B$6:$B$185=$B28)*($A$6:$A$185=$A28))&gt;1,"同公司同科目重复",IF(ISNA(MATCH($B28,会计科目表!$B$6:$B$85,0)),"科目不存在",IF(AND(N($C28)&lt;&gt;0,N($D28)&lt;&gt;0),"借贷不能同时有数","OK"))))</f>
        <v>OK</v>
      </c>
      <c r="H28" s="33"/>
      <c r="I28" s="39"/>
      <c r="J28" s="48" t="str">
        <f aca="false">IF($I28="","",IFERROR(INDEX(商品档案!$B$6:$B$65,MATCH($I28,商品档案!$A$6:$A$65,0)),""))</f>
        <v/>
      </c>
      <c r="K28" s="49"/>
      <c r="L28" s="43"/>
      <c r="M28" s="50" t="str">
        <f aca="false">IF(N($K28)=0,"",ROUND(N($L28)/N($K28),4))</f>
        <v/>
      </c>
      <c r="N28" s="25" t="str">
        <f aca="false">IF($I28="","",IF(ISNA(MATCH($I28,商品档案!$A$6:$A$65,0)),"商品不存在",IF(IFERROR(INDEX(商品档案!$E$6:$E$65,MATCH($I28,商品档案!$A$6:$A$65,0)),"")&lt;&gt;$H28,"商品不属于该公司","OK")))</f>
        <v/>
      </c>
      <c r="P28" s="41"/>
      <c r="Q28" s="32"/>
      <c r="R28" s="43"/>
      <c r="S28" s="43"/>
      <c r="T28" s="25" t="str">
        <f aca="false">IF($Q28="","",IF(ISNA(MATCH($Q28,往来单位!$A$6:$A$85,0)),"单位未建档","OK"))</f>
        <v/>
      </c>
    </row>
    <row r="29" customFormat="false" ht="15" hidden="false" customHeight="false" outlineLevel="0" collapsed="false">
      <c r="A29" s="33" t="s">
        <v>110</v>
      </c>
      <c r="B29" s="32" t="s">
        <v>236</v>
      </c>
      <c r="C29" s="43"/>
      <c r="D29" s="43" t="n">
        <v>800000</v>
      </c>
      <c r="E29" s="41"/>
      <c r="F29" s="25" t="str">
        <f aca="false">IF(AND($A29="",$B29=""),"",IF(SUMPRODUCT(($B$6:$B$185=$B29)*($A$6:$A$185=$A29))&gt;1,"同公司同科目重复",IF(ISNA(MATCH($B29,会计科目表!$B$6:$B$85,0)),"科目不存在",IF(AND(N($C29)&lt;&gt;0,N($D29)&lt;&gt;0),"借贷不能同时有数","OK"))))</f>
        <v>OK</v>
      </c>
      <c r="H29" s="33"/>
      <c r="I29" s="39"/>
      <c r="J29" s="48" t="str">
        <f aca="false">IF($I29="","",IFERROR(INDEX(商品档案!$B$6:$B$65,MATCH($I29,商品档案!$A$6:$A$65,0)),""))</f>
        <v/>
      </c>
      <c r="K29" s="49"/>
      <c r="L29" s="43"/>
      <c r="M29" s="50" t="str">
        <f aca="false">IF(N($K29)=0,"",ROUND(N($L29)/N($K29),4))</f>
        <v/>
      </c>
      <c r="N29" s="25" t="str">
        <f aca="false">IF($I29="","",IF(ISNA(MATCH($I29,商品档案!$A$6:$A$65,0)),"商品不存在",IF(IFERROR(INDEX(商品档案!$E$6:$E$65,MATCH($I29,商品档案!$A$6:$A$65,0)),"")&lt;&gt;$H29,"商品不属于该公司","OK")))</f>
        <v/>
      </c>
      <c r="P29" s="41"/>
      <c r="Q29" s="32"/>
      <c r="R29" s="43"/>
      <c r="S29" s="43"/>
      <c r="T29" s="25" t="str">
        <f aca="false">IF($Q29="","",IF(ISNA(MATCH($Q29,往来单位!$A$6:$A$85,0)),"单位未建档","OK"))</f>
        <v/>
      </c>
    </row>
    <row r="30" customFormat="false" ht="15" hidden="false" customHeight="false" outlineLevel="0" collapsed="false">
      <c r="A30" s="33" t="s">
        <v>110</v>
      </c>
      <c r="B30" s="32" t="s">
        <v>243</v>
      </c>
      <c r="C30" s="43"/>
      <c r="D30" s="43" t="n">
        <v>201250</v>
      </c>
      <c r="E30" s="41"/>
      <c r="F30" s="25" t="str">
        <f aca="false">IF(AND($A30="",$B30=""),"",IF(SUMPRODUCT(($B$6:$B$185=$B30)*($A$6:$A$185=$A30))&gt;1,"同公司同科目重复",IF(ISNA(MATCH($B30,会计科目表!$B$6:$B$85,0)),"科目不存在",IF(AND(N($C30)&lt;&gt;0,N($D30)&lt;&gt;0),"借贷不能同时有数","OK"))))</f>
        <v>OK</v>
      </c>
      <c r="H30" s="33"/>
      <c r="I30" s="39"/>
      <c r="J30" s="48" t="str">
        <f aca="false">IF($I30="","",IFERROR(INDEX(商品档案!$B$6:$B$65,MATCH($I30,商品档案!$A$6:$A$65,0)),""))</f>
        <v/>
      </c>
      <c r="K30" s="49"/>
      <c r="L30" s="43"/>
      <c r="M30" s="50" t="str">
        <f aca="false">IF(N($K30)=0,"",ROUND(N($L30)/N($K30),4))</f>
        <v/>
      </c>
      <c r="N30" s="25" t="str">
        <f aca="false">IF($I30="","",IF(ISNA(MATCH($I30,商品档案!$A$6:$A$65,0)),"商品不存在",IF(IFERROR(INDEX(商品档案!$E$6:$E$65,MATCH($I30,商品档案!$A$6:$A$65,0)),"")&lt;&gt;$H30,"商品不属于该公司","OK")))</f>
        <v/>
      </c>
      <c r="P30" s="41"/>
      <c r="Q30" s="32"/>
      <c r="R30" s="43"/>
      <c r="S30" s="43"/>
      <c r="T30" s="25" t="str">
        <f aca="false">IF($Q30="","",IF(ISNA(MATCH($Q30,往来单位!$A$6:$A$85,0)),"单位未建档","OK"))</f>
        <v/>
      </c>
    </row>
    <row r="31" customFormat="false" ht="15" hidden="false" customHeight="false" outlineLevel="0" collapsed="false">
      <c r="A31" s="33" t="s">
        <v>112</v>
      </c>
      <c r="B31" s="32" t="s">
        <v>180</v>
      </c>
      <c r="C31" s="43" t="n">
        <v>2000</v>
      </c>
      <c r="D31" s="43"/>
      <c r="E31" s="41"/>
      <c r="F31" s="25" t="str">
        <f aca="false">IF(AND($A31="",$B31=""),"",IF(SUMPRODUCT(($B$6:$B$185=$B31)*($A$6:$A$185=$A31))&gt;1,"同公司同科目重复",IF(ISNA(MATCH($B31,会计科目表!$B$6:$B$85,0)),"科目不存在",IF(AND(N($C31)&lt;&gt;0,N($D31)&lt;&gt;0),"借贷不能同时有数","OK"))))</f>
        <v>OK</v>
      </c>
      <c r="H31" s="33"/>
      <c r="I31" s="39"/>
      <c r="J31" s="48" t="str">
        <f aca="false">IF($I31="","",IFERROR(INDEX(商品档案!$B$6:$B$65,MATCH($I31,商品档案!$A$6:$A$65,0)),""))</f>
        <v/>
      </c>
      <c r="K31" s="49"/>
      <c r="L31" s="43"/>
      <c r="M31" s="50" t="str">
        <f aca="false">IF(N($K31)=0,"",ROUND(N($L31)/N($K31),4))</f>
        <v/>
      </c>
      <c r="N31" s="25" t="str">
        <f aca="false">IF($I31="","",IF(ISNA(MATCH($I31,商品档案!$A$6:$A$65,0)),"商品不存在",IF(IFERROR(INDEX(商品档案!$E$6:$E$65,MATCH($I31,商品档案!$A$6:$A$65,0)),"")&lt;&gt;$H31,"商品不属于该公司","OK")))</f>
        <v/>
      </c>
      <c r="P31" s="41"/>
      <c r="Q31" s="32"/>
      <c r="R31" s="43"/>
      <c r="S31" s="43"/>
      <c r="T31" s="25" t="str">
        <f aca="false">IF($Q31="","",IF(ISNA(MATCH($Q31,往来单位!$A$6:$A$85,0)),"单位未建档","OK"))</f>
        <v/>
      </c>
    </row>
    <row r="32" customFormat="false" ht="15" hidden="false" customHeight="false" outlineLevel="0" collapsed="false">
      <c r="A32" s="33" t="s">
        <v>112</v>
      </c>
      <c r="B32" s="32" t="s">
        <v>185</v>
      </c>
      <c r="C32" s="43" t="n">
        <v>320000</v>
      </c>
      <c r="D32" s="43"/>
      <c r="E32" s="41"/>
      <c r="F32" s="25" t="str">
        <f aca="false">IF(AND($A32="",$B32=""),"",IF(SUMPRODUCT(($B$6:$B$185=$B32)*($A$6:$A$185=$A32))&gt;1,"同公司同科目重复",IF(ISNA(MATCH($B32,会计科目表!$B$6:$B$85,0)),"科目不存在",IF(AND(N($C32)&lt;&gt;0,N($D32)&lt;&gt;0),"借贷不能同时有数","OK"))))</f>
        <v>OK</v>
      </c>
      <c r="H32" s="33"/>
      <c r="I32" s="39"/>
      <c r="J32" s="48" t="str">
        <f aca="false">IF($I32="","",IFERROR(INDEX(商品档案!$B$6:$B$65,MATCH($I32,商品档案!$A$6:$A$65,0)),""))</f>
        <v/>
      </c>
      <c r="K32" s="49"/>
      <c r="L32" s="43"/>
      <c r="M32" s="50" t="str">
        <f aca="false">IF(N($K32)=0,"",ROUND(N($L32)/N($K32),4))</f>
        <v/>
      </c>
      <c r="N32" s="25" t="str">
        <f aca="false">IF($I32="","",IF(ISNA(MATCH($I32,商品档案!$A$6:$A$65,0)),"商品不存在",IF(IFERROR(INDEX(商品档案!$E$6:$E$65,MATCH($I32,商品档案!$A$6:$A$65,0)),"")&lt;&gt;$H32,"商品不属于该公司","OK")))</f>
        <v/>
      </c>
      <c r="P32" s="41"/>
      <c r="Q32" s="32"/>
      <c r="R32" s="43"/>
      <c r="S32" s="43"/>
      <c r="T32" s="25" t="str">
        <f aca="false">IF($Q32="","",IF(ISNA(MATCH($Q32,往来单位!$A$6:$A$85,0)),"单位未建档","OK"))</f>
        <v/>
      </c>
    </row>
    <row r="33" customFormat="false" ht="15" hidden="false" customHeight="false" outlineLevel="0" collapsed="false">
      <c r="A33" s="33" t="s">
        <v>112</v>
      </c>
      <c r="B33" s="32" t="s">
        <v>24</v>
      </c>
      <c r="C33" s="43" t="n">
        <v>88000</v>
      </c>
      <c r="D33" s="43"/>
      <c r="E33" s="41"/>
      <c r="F33" s="25" t="str">
        <f aca="false">IF(AND($A33="",$B33=""),"",IF(SUMPRODUCT(($B$6:$B$185=$B33)*($A$6:$A$185=$A33))&gt;1,"同公司同科目重复",IF(ISNA(MATCH($B33,会计科目表!$B$6:$B$85,0)),"科目不存在",IF(AND(N($C33)&lt;&gt;0,N($D33)&lt;&gt;0),"借贷不能同时有数","OK"))))</f>
        <v>OK</v>
      </c>
      <c r="H33" s="33"/>
      <c r="I33" s="39"/>
      <c r="J33" s="48" t="str">
        <f aca="false">IF($I33="","",IFERROR(INDEX(商品档案!$B$6:$B$65,MATCH($I33,商品档案!$A$6:$A$65,0)),""))</f>
        <v/>
      </c>
      <c r="K33" s="49"/>
      <c r="L33" s="43"/>
      <c r="M33" s="50" t="str">
        <f aca="false">IF(N($K33)=0,"",ROUND(N($L33)/N($K33),4))</f>
        <v/>
      </c>
      <c r="N33" s="25" t="str">
        <f aca="false">IF($I33="","",IF(ISNA(MATCH($I33,商品档案!$A$6:$A$65,0)),"商品不存在",IF(IFERROR(INDEX(商品档案!$E$6:$E$65,MATCH($I33,商品档案!$A$6:$A$65,0)),"")&lt;&gt;$H33,"商品不属于该公司","OK")))</f>
        <v/>
      </c>
      <c r="P33" s="41"/>
      <c r="Q33" s="32"/>
      <c r="R33" s="43"/>
      <c r="S33" s="43"/>
      <c r="T33" s="25" t="str">
        <f aca="false">IF($Q33="","",IF(ISNA(MATCH($Q33,往来单位!$A$6:$A$85,0)),"单位未建档","OK"))</f>
        <v/>
      </c>
    </row>
    <row r="34" customFormat="false" ht="15" hidden="false" customHeight="false" outlineLevel="0" collapsed="false">
      <c r="A34" s="33" t="s">
        <v>112</v>
      </c>
      <c r="B34" s="32" t="s">
        <v>196</v>
      </c>
      <c r="C34" s="43" t="n">
        <v>28340</v>
      </c>
      <c r="D34" s="43"/>
      <c r="E34" s="41"/>
      <c r="F34" s="25" t="str">
        <f aca="false">IF(AND($A34="",$B34=""),"",IF(SUMPRODUCT(($B$6:$B$185=$B34)*($A$6:$A$185=$A34))&gt;1,"同公司同科目重复",IF(ISNA(MATCH($B34,会计科目表!$B$6:$B$85,0)),"科目不存在",IF(AND(N($C34)&lt;&gt;0,N($D34)&lt;&gt;0),"借贷不能同时有数","OK"))))</f>
        <v>OK</v>
      </c>
      <c r="H34" s="33"/>
      <c r="I34" s="39"/>
      <c r="J34" s="48" t="str">
        <f aca="false">IF($I34="","",IFERROR(INDEX(商品档案!$B$6:$B$65,MATCH($I34,商品档案!$A$6:$A$65,0)),""))</f>
        <v/>
      </c>
      <c r="K34" s="49"/>
      <c r="L34" s="43"/>
      <c r="M34" s="50" t="str">
        <f aca="false">IF(N($K34)=0,"",ROUND(N($L34)/N($K34),4))</f>
        <v/>
      </c>
      <c r="N34" s="25" t="str">
        <f aca="false">IF($I34="","",IF(ISNA(MATCH($I34,商品档案!$A$6:$A$65,0)),"商品不存在",IF(IFERROR(INDEX(商品档案!$E$6:$E$65,MATCH($I34,商品档案!$A$6:$A$65,0)),"")&lt;&gt;$H34,"商品不属于该公司","OK")))</f>
        <v/>
      </c>
      <c r="P34" s="41"/>
      <c r="Q34" s="32"/>
      <c r="R34" s="43"/>
      <c r="S34" s="43"/>
      <c r="T34" s="25" t="str">
        <f aca="false">IF($Q34="","",IF(ISNA(MATCH($Q34,往来单位!$A$6:$A$85,0)),"单位未建档","OK"))</f>
        <v/>
      </c>
    </row>
    <row r="35" customFormat="false" ht="15" hidden="false" customHeight="false" outlineLevel="0" collapsed="false">
      <c r="A35" s="33" t="s">
        <v>112</v>
      </c>
      <c r="B35" s="32" t="s">
        <v>198</v>
      </c>
      <c r="C35" s="43" t="n">
        <v>79800</v>
      </c>
      <c r="D35" s="43"/>
      <c r="E35" s="41"/>
      <c r="F35" s="25" t="str">
        <f aca="false">IF(AND($A35="",$B35=""),"",IF(SUMPRODUCT(($B$6:$B$185=$B35)*($A$6:$A$185=$A35))&gt;1,"同公司同科目重复",IF(ISNA(MATCH($B35,会计科目表!$B$6:$B$85,0)),"科目不存在",IF(AND(N($C35)&lt;&gt;0,N($D35)&lt;&gt;0),"借贷不能同时有数","OK"))))</f>
        <v>OK</v>
      </c>
      <c r="H35" s="33"/>
      <c r="I35" s="39"/>
      <c r="J35" s="48" t="str">
        <f aca="false">IF($I35="","",IFERROR(INDEX(商品档案!$B$6:$B$65,MATCH($I35,商品档案!$A$6:$A$65,0)),""))</f>
        <v/>
      </c>
      <c r="K35" s="49"/>
      <c r="L35" s="43"/>
      <c r="M35" s="50" t="str">
        <f aca="false">IF(N($K35)=0,"",ROUND(N($L35)/N($K35),4))</f>
        <v/>
      </c>
      <c r="N35" s="25" t="str">
        <f aca="false">IF($I35="","",IF(ISNA(MATCH($I35,商品档案!$A$6:$A$65,0)),"商品不存在",IF(IFERROR(INDEX(商品档案!$E$6:$E$65,MATCH($I35,商品档案!$A$6:$A$65,0)),"")&lt;&gt;$H35,"商品不属于该公司","OK")))</f>
        <v/>
      </c>
      <c r="P35" s="41"/>
      <c r="Q35" s="32"/>
      <c r="R35" s="43"/>
      <c r="S35" s="43"/>
      <c r="T35" s="25" t="str">
        <f aca="false">IF($Q35="","",IF(ISNA(MATCH($Q35,往来单位!$A$6:$A$85,0)),"单位未建档","OK"))</f>
        <v/>
      </c>
    </row>
    <row r="36" customFormat="false" ht="15" hidden="false" customHeight="false" outlineLevel="0" collapsed="false">
      <c r="A36" s="33" t="s">
        <v>112</v>
      </c>
      <c r="B36" s="32" t="s">
        <v>204</v>
      </c>
      <c r="C36" s="43" t="n">
        <v>520000</v>
      </c>
      <c r="D36" s="43"/>
      <c r="E36" s="41"/>
      <c r="F36" s="25" t="str">
        <f aca="false">IF(AND($A36="",$B36=""),"",IF(SUMPRODUCT(($B$6:$B$185=$B36)*($A$6:$A$185=$A36))&gt;1,"同公司同科目重复",IF(ISNA(MATCH($B36,会计科目表!$B$6:$B$85,0)),"科目不存在",IF(AND(N($C36)&lt;&gt;0,N($D36)&lt;&gt;0),"借贷不能同时有数","OK"))))</f>
        <v>OK</v>
      </c>
      <c r="H36" s="33"/>
      <c r="I36" s="39"/>
      <c r="J36" s="48" t="str">
        <f aca="false">IF($I36="","",IFERROR(INDEX(商品档案!$B$6:$B$65,MATCH($I36,商品档案!$A$6:$A$65,0)),""))</f>
        <v/>
      </c>
      <c r="K36" s="49"/>
      <c r="L36" s="43"/>
      <c r="M36" s="50" t="str">
        <f aca="false">IF(N($K36)=0,"",ROUND(N($L36)/N($K36),4))</f>
        <v/>
      </c>
      <c r="N36" s="25" t="str">
        <f aca="false">IF($I36="","",IF(ISNA(MATCH($I36,商品档案!$A$6:$A$65,0)),"商品不存在",IF(IFERROR(INDEX(商品档案!$E$6:$E$65,MATCH($I36,商品档案!$A$6:$A$65,0)),"")&lt;&gt;$H36,"商品不属于该公司","OK")))</f>
        <v/>
      </c>
      <c r="P36" s="41"/>
      <c r="Q36" s="32"/>
      <c r="R36" s="43"/>
      <c r="S36" s="43"/>
      <c r="T36" s="25" t="str">
        <f aca="false">IF($Q36="","",IF(ISNA(MATCH($Q36,往来单位!$A$6:$A$85,0)),"单位未建档","OK"))</f>
        <v/>
      </c>
    </row>
    <row r="37" customFormat="false" ht="15" hidden="false" customHeight="false" outlineLevel="0" collapsed="false">
      <c r="A37" s="33" t="s">
        <v>112</v>
      </c>
      <c r="B37" s="32" t="s">
        <v>207</v>
      </c>
      <c r="C37" s="43"/>
      <c r="D37" s="43" t="n">
        <v>104000</v>
      </c>
      <c r="E37" s="41"/>
      <c r="F37" s="25" t="str">
        <f aca="false">IF(AND($A37="",$B37=""),"",IF(SUMPRODUCT(($B$6:$B$185=$B37)*($A$6:$A$185=$A37))&gt;1,"同公司同科目重复",IF(ISNA(MATCH($B37,会计科目表!$B$6:$B$85,0)),"科目不存在",IF(AND(N($C37)&lt;&gt;0,N($D37)&lt;&gt;0),"借贷不能同时有数","OK"))))</f>
        <v>OK</v>
      </c>
      <c r="H37" s="33"/>
      <c r="I37" s="39"/>
      <c r="J37" s="48" t="str">
        <f aca="false">IF($I37="","",IFERROR(INDEX(商品档案!$B$6:$B$65,MATCH($I37,商品档案!$A$6:$A$65,0)),""))</f>
        <v/>
      </c>
      <c r="K37" s="49"/>
      <c r="L37" s="43"/>
      <c r="M37" s="50" t="str">
        <f aca="false">IF(N($K37)=0,"",ROUND(N($L37)/N($K37),4))</f>
        <v/>
      </c>
      <c r="N37" s="25" t="str">
        <f aca="false">IF($I37="","",IF(ISNA(MATCH($I37,商品档案!$A$6:$A$65,0)),"商品不存在",IF(IFERROR(INDEX(商品档案!$E$6:$E$65,MATCH($I37,商品档案!$A$6:$A$65,0)),"")&lt;&gt;$H37,"商品不属于该公司","OK")))</f>
        <v/>
      </c>
      <c r="P37" s="41"/>
      <c r="Q37" s="32"/>
      <c r="R37" s="43"/>
      <c r="S37" s="43"/>
      <c r="T37" s="25" t="str">
        <f aca="false">IF($Q37="","",IF(ISNA(MATCH($Q37,往来单位!$A$6:$A$85,0)),"单位未建档","OK"))</f>
        <v/>
      </c>
    </row>
    <row r="38" customFormat="false" ht="15" hidden="false" customHeight="false" outlineLevel="0" collapsed="false">
      <c r="A38" s="33" t="s">
        <v>112</v>
      </c>
      <c r="B38" s="32" t="s">
        <v>215</v>
      </c>
      <c r="C38" s="43" t="n">
        <v>60000</v>
      </c>
      <c r="D38" s="43"/>
      <c r="E38" s="41"/>
      <c r="F38" s="25" t="str">
        <f aca="false">IF(AND($A38="",$B38=""),"",IF(SUMPRODUCT(($B$6:$B$185=$B38)*($A$6:$A$185=$A38))&gt;1,"同公司同科目重复",IF(ISNA(MATCH($B38,会计科目表!$B$6:$B$85,0)),"科目不存在",IF(AND(N($C38)&lt;&gt;0,N($D38)&lt;&gt;0),"借贷不能同时有数","OK"))))</f>
        <v>OK</v>
      </c>
      <c r="H38" s="33"/>
      <c r="I38" s="39"/>
      <c r="J38" s="48" t="str">
        <f aca="false">IF($I38="","",IFERROR(INDEX(商品档案!$B$6:$B$65,MATCH($I38,商品档案!$A$6:$A$65,0)),""))</f>
        <v/>
      </c>
      <c r="K38" s="49"/>
      <c r="L38" s="43"/>
      <c r="M38" s="50" t="str">
        <f aca="false">IF(N($K38)=0,"",ROUND(N($L38)/N($K38),4))</f>
        <v/>
      </c>
      <c r="N38" s="25" t="str">
        <f aca="false">IF($I38="","",IF(ISNA(MATCH($I38,商品档案!$A$6:$A$65,0)),"商品不存在",IF(IFERROR(INDEX(商品档案!$E$6:$E$65,MATCH($I38,商品档案!$A$6:$A$65,0)),"")&lt;&gt;$H38,"商品不属于该公司","OK")))</f>
        <v/>
      </c>
      <c r="P38" s="41"/>
      <c r="Q38" s="32"/>
      <c r="R38" s="43"/>
      <c r="S38" s="43"/>
      <c r="T38" s="25" t="str">
        <f aca="false">IF($Q38="","",IF(ISNA(MATCH($Q38,往来单位!$A$6:$A$85,0)),"单位未建档","OK"))</f>
        <v/>
      </c>
    </row>
    <row r="39" customFormat="false" ht="15" hidden="false" customHeight="false" outlineLevel="0" collapsed="false">
      <c r="A39" s="33" t="s">
        <v>112</v>
      </c>
      <c r="B39" s="32" t="s">
        <v>218</v>
      </c>
      <c r="C39" s="43"/>
      <c r="D39" s="43" t="n">
        <v>12000</v>
      </c>
      <c r="E39" s="41"/>
      <c r="F39" s="25" t="str">
        <f aca="false">IF(AND($A39="",$B39=""),"",IF(SUMPRODUCT(($B$6:$B$185=$B39)*($A$6:$A$185=$A39))&gt;1,"同公司同科目重复",IF(ISNA(MATCH($B39,会计科目表!$B$6:$B$85,0)),"科目不存在",IF(AND(N($C39)&lt;&gt;0,N($D39)&lt;&gt;0),"借贷不能同时有数","OK"))))</f>
        <v>OK</v>
      </c>
      <c r="H39" s="33"/>
      <c r="I39" s="39"/>
      <c r="J39" s="48" t="str">
        <f aca="false">IF($I39="","",IFERROR(INDEX(商品档案!$B$6:$B$65,MATCH($I39,商品档案!$A$6:$A$65,0)),""))</f>
        <v/>
      </c>
      <c r="K39" s="49"/>
      <c r="L39" s="43"/>
      <c r="M39" s="50" t="str">
        <f aca="false">IF(N($K39)=0,"",ROUND(N($L39)/N($K39),4))</f>
        <v/>
      </c>
      <c r="N39" s="25" t="str">
        <f aca="false">IF($I39="","",IF(ISNA(MATCH($I39,商品档案!$A$6:$A$65,0)),"商品不存在",IF(IFERROR(INDEX(商品档案!$E$6:$E$65,MATCH($I39,商品档案!$A$6:$A$65,0)),"")&lt;&gt;$H39,"商品不属于该公司","OK")))</f>
        <v/>
      </c>
      <c r="P39" s="41"/>
      <c r="Q39" s="32"/>
      <c r="R39" s="43"/>
      <c r="S39" s="43"/>
      <c r="T39" s="25" t="str">
        <f aca="false">IF($Q39="","",IF(ISNA(MATCH($Q39,往来单位!$A$6:$A$85,0)),"单位未建档","OK"))</f>
        <v/>
      </c>
    </row>
    <row r="40" customFormat="false" ht="15" hidden="false" customHeight="false" outlineLevel="0" collapsed="false">
      <c r="A40" s="33" t="s">
        <v>112</v>
      </c>
      <c r="B40" s="32" t="s">
        <v>25</v>
      </c>
      <c r="C40" s="43"/>
      <c r="D40" s="43" t="n">
        <v>45000</v>
      </c>
      <c r="E40" s="41"/>
      <c r="F40" s="25" t="str">
        <f aca="false">IF(AND($A40="",$B40=""),"",IF(SUMPRODUCT(($B$6:$B$185=$B40)*($A$6:$A$185=$A40))&gt;1,"同公司同科目重复",IF(ISNA(MATCH($B40,会计科目表!$B$6:$B$85,0)),"科目不存在",IF(AND(N($C40)&lt;&gt;0,N($D40)&lt;&gt;0),"借贷不能同时有数","OK"))))</f>
        <v>OK</v>
      </c>
      <c r="H40" s="33"/>
      <c r="I40" s="39"/>
      <c r="J40" s="48" t="str">
        <f aca="false">IF($I40="","",IFERROR(INDEX(商品档案!$B$6:$B$65,MATCH($I40,商品档案!$A$6:$A$65,0)),""))</f>
        <v/>
      </c>
      <c r="K40" s="49"/>
      <c r="L40" s="43"/>
      <c r="M40" s="50" t="str">
        <f aca="false">IF(N($K40)=0,"",ROUND(N($L40)/N($K40),4))</f>
        <v/>
      </c>
      <c r="N40" s="25" t="str">
        <f aca="false">IF($I40="","",IF(ISNA(MATCH($I40,商品档案!$A$6:$A$65,0)),"商品不存在",IF(IFERROR(INDEX(商品档案!$E$6:$E$65,MATCH($I40,商品档案!$A$6:$A$65,0)),"")&lt;&gt;$H40,"商品不属于该公司","OK")))</f>
        <v/>
      </c>
      <c r="P40" s="41"/>
      <c r="Q40" s="32"/>
      <c r="R40" s="43"/>
      <c r="S40" s="43"/>
      <c r="T40" s="25" t="str">
        <f aca="false">IF($Q40="","",IF(ISNA(MATCH($Q40,往来单位!$A$6:$A$85,0)),"单位未建档","OK"))</f>
        <v/>
      </c>
    </row>
    <row r="41" customFormat="false" ht="15" hidden="false" customHeight="false" outlineLevel="0" collapsed="false">
      <c r="A41" s="33" t="s">
        <v>112</v>
      </c>
      <c r="B41" s="32" t="s">
        <v>138</v>
      </c>
      <c r="C41" s="43"/>
      <c r="D41" s="43" t="n">
        <v>18000</v>
      </c>
      <c r="E41" s="41"/>
      <c r="F41" s="25" t="str">
        <f aca="false">IF(AND($A41="",$B41=""),"",IF(SUMPRODUCT(($B$6:$B$185=$B41)*($A$6:$A$185=$A41))&gt;1,"同公司同科目重复",IF(ISNA(MATCH($B41,会计科目表!$B$6:$B$85,0)),"科目不存在",IF(AND(N($C41)&lt;&gt;0,N($D41)&lt;&gt;0),"借贷不能同时有数","OK"))))</f>
        <v>OK</v>
      </c>
      <c r="H41" s="33"/>
      <c r="I41" s="39"/>
      <c r="J41" s="48" t="str">
        <f aca="false">IF($I41="","",IFERROR(INDEX(商品档案!$B$6:$B$65,MATCH($I41,商品档案!$A$6:$A$65,0)),""))</f>
        <v/>
      </c>
      <c r="K41" s="49"/>
      <c r="L41" s="43"/>
      <c r="M41" s="50" t="str">
        <f aca="false">IF(N($K41)=0,"",ROUND(N($L41)/N($K41),4))</f>
        <v/>
      </c>
      <c r="N41" s="25" t="str">
        <f aca="false">IF($I41="","",IF(ISNA(MATCH($I41,商品档案!$A$6:$A$65,0)),"商品不存在",IF(IFERROR(INDEX(商品档案!$E$6:$E$65,MATCH($I41,商品档案!$A$6:$A$65,0)),"")&lt;&gt;$H41,"商品不属于该公司","OK")))</f>
        <v/>
      </c>
      <c r="P41" s="41"/>
      <c r="Q41" s="32"/>
      <c r="R41" s="43"/>
      <c r="S41" s="43"/>
      <c r="T41" s="25" t="str">
        <f aca="false">IF($Q41="","",IF(ISNA(MATCH($Q41,往来单位!$A$6:$A$85,0)),"单位未建档","OK"))</f>
        <v/>
      </c>
    </row>
    <row r="42" customFormat="false" ht="15" hidden="false" customHeight="false" outlineLevel="0" collapsed="false">
      <c r="A42" s="33" t="s">
        <v>112</v>
      </c>
      <c r="B42" s="32" t="s">
        <v>236</v>
      </c>
      <c r="C42" s="43"/>
      <c r="D42" s="43" t="n">
        <v>700000</v>
      </c>
      <c r="E42" s="41"/>
      <c r="F42" s="25" t="str">
        <f aca="false">IF(AND($A42="",$B42=""),"",IF(SUMPRODUCT(($B$6:$B$185=$B42)*($A$6:$A$185=$A42))&gt;1,"同公司同科目重复",IF(ISNA(MATCH($B42,会计科目表!$B$6:$B$85,0)),"科目不存在",IF(AND(N($C42)&lt;&gt;0,N($D42)&lt;&gt;0),"借贷不能同时有数","OK"))))</f>
        <v>OK</v>
      </c>
      <c r="H42" s="33"/>
      <c r="I42" s="39"/>
      <c r="J42" s="48" t="str">
        <f aca="false">IF($I42="","",IFERROR(INDEX(商品档案!$B$6:$B$65,MATCH($I42,商品档案!$A$6:$A$65,0)),""))</f>
        <v/>
      </c>
      <c r="K42" s="49"/>
      <c r="L42" s="43"/>
      <c r="M42" s="50" t="str">
        <f aca="false">IF(N($K42)=0,"",ROUND(N($L42)/N($K42),4))</f>
        <v/>
      </c>
      <c r="N42" s="25" t="str">
        <f aca="false">IF($I42="","",IF(ISNA(MATCH($I42,商品档案!$A$6:$A$65,0)),"商品不存在",IF(IFERROR(INDEX(商品档案!$E$6:$E$65,MATCH($I42,商品档案!$A$6:$A$65,0)),"")&lt;&gt;$H42,"商品不属于该公司","OK")))</f>
        <v/>
      </c>
      <c r="P42" s="41"/>
      <c r="Q42" s="32"/>
      <c r="R42" s="43"/>
      <c r="S42" s="43"/>
      <c r="T42" s="25" t="str">
        <f aca="false">IF($Q42="","",IF(ISNA(MATCH($Q42,往来单位!$A$6:$A$85,0)),"单位未建档","OK"))</f>
        <v/>
      </c>
    </row>
    <row r="43" customFormat="false" ht="15" hidden="false" customHeight="false" outlineLevel="0" collapsed="false">
      <c r="A43" s="33" t="s">
        <v>112</v>
      </c>
      <c r="B43" s="32" t="s">
        <v>243</v>
      </c>
      <c r="C43" s="43"/>
      <c r="D43" s="43" t="n">
        <v>219140</v>
      </c>
      <c r="E43" s="41"/>
      <c r="F43" s="25" t="str">
        <f aca="false">IF(AND($A43="",$B43=""),"",IF(SUMPRODUCT(($B$6:$B$185=$B43)*($A$6:$A$185=$A43))&gt;1,"同公司同科目重复",IF(ISNA(MATCH($B43,会计科目表!$B$6:$B$85,0)),"科目不存在",IF(AND(N($C43)&lt;&gt;0,N($D43)&lt;&gt;0),"借贷不能同时有数","OK"))))</f>
        <v>OK</v>
      </c>
      <c r="H43" s="33"/>
      <c r="I43" s="39"/>
      <c r="J43" s="48" t="str">
        <f aca="false">IF($I43="","",IFERROR(INDEX(商品档案!$B$6:$B$65,MATCH($I43,商品档案!$A$6:$A$65,0)),""))</f>
        <v/>
      </c>
      <c r="K43" s="49"/>
      <c r="L43" s="43"/>
      <c r="M43" s="50" t="str">
        <f aca="false">IF(N($K43)=0,"",ROUND(N($L43)/N($K43),4))</f>
        <v/>
      </c>
      <c r="N43" s="25" t="str">
        <f aca="false">IF($I43="","",IF(ISNA(MATCH($I43,商品档案!$A$6:$A$65,0)),"商品不存在",IF(IFERROR(INDEX(商品档案!$E$6:$E$65,MATCH($I43,商品档案!$A$6:$A$65,0)),"")&lt;&gt;$H43,"商品不属于该公司","OK")))</f>
        <v/>
      </c>
      <c r="P43" s="41"/>
      <c r="Q43" s="32"/>
      <c r="R43" s="43"/>
      <c r="S43" s="43"/>
      <c r="T43" s="25" t="str">
        <f aca="false">IF($Q43="","",IF(ISNA(MATCH($Q43,往来单位!$A$6:$A$85,0)),"单位未建档","OK"))</f>
        <v/>
      </c>
    </row>
    <row r="44" customFormat="false" ht="15" hidden="false" customHeight="false" outlineLevel="0" collapsed="false">
      <c r="A44" s="41"/>
      <c r="B44" s="32"/>
      <c r="C44" s="43"/>
      <c r="D44" s="43"/>
      <c r="E44" s="41"/>
      <c r="F44" s="25" t="str">
        <f aca="false">IF(AND($A44="",$B44=""),"",IF(SUMPRODUCT(($B$6:$B$185=$B44)*($A$6:$A$185=$A44))&gt;1,"同公司同科目重复",IF(ISNA(MATCH($B44,会计科目表!$B$6:$B$85,0)),"科目不存在",IF(AND(N($C44)&lt;&gt;0,N($D44)&lt;&gt;0),"借贷不能同时有数","OK"))))</f>
        <v/>
      </c>
      <c r="H44" s="33"/>
      <c r="I44" s="39"/>
      <c r="J44" s="48" t="str">
        <f aca="false">IF($I44="","",IFERROR(INDEX(商品档案!$B$6:$B$65,MATCH($I44,商品档案!$A$6:$A$65,0)),""))</f>
        <v/>
      </c>
      <c r="K44" s="49"/>
      <c r="L44" s="43"/>
      <c r="M44" s="50" t="str">
        <f aca="false">IF(N($K44)=0,"",ROUND(N($L44)/N($K44),4))</f>
        <v/>
      </c>
      <c r="N44" s="25" t="str">
        <f aca="false">IF($I44="","",IF(ISNA(MATCH($I44,商品档案!$A$6:$A$65,0)),"商品不存在",IF(IFERROR(INDEX(商品档案!$E$6:$E$65,MATCH($I44,商品档案!$A$6:$A$65,0)),"")&lt;&gt;$H44,"商品不属于该公司","OK")))</f>
        <v/>
      </c>
      <c r="P44" s="41"/>
      <c r="Q44" s="32"/>
      <c r="R44" s="43"/>
      <c r="S44" s="43"/>
      <c r="T44" s="25" t="str">
        <f aca="false">IF($Q44="","",IF(ISNA(MATCH($Q44,往来单位!$A$6:$A$85,0)),"单位未建档","OK"))</f>
        <v/>
      </c>
    </row>
    <row r="45" customFormat="false" ht="15" hidden="false" customHeight="false" outlineLevel="0" collapsed="false">
      <c r="A45" s="41"/>
      <c r="B45" s="32"/>
      <c r="C45" s="43"/>
      <c r="D45" s="43"/>
      <c r="E45" s="41"/>
      <c r="F45" s="25" t="str">
        <f aca="false">IF(AND($A45="",$B45=""),"",IF(SUMPRODUCT(($B$6:$B$185=$B45)*($A$6:$A$185=$A45))&gt;1,"同公司同科目重复",IF(ISNA(MATCH($B45,会计科目表!$B$6:$B$85,0)),"科目不存在",IF(AND(N($C45)&lt;&gt;0,N($D45)&lt;&gt;0),"借贷不能同时有数","OK"))))</f>
        <v/>
      </c>
      <c r="H45" s="33"/>
      <c r="I45" s="39"/>
      <c r="J45" s="48" t="str">
        <f aca="false">IF($I45="","",IFERROR(INDEX(商品档案!$B$6:$B$65,MATCH($I45,商品档案!$A$6:$A$65,0)),""))</f>
        <v/>
      </c>
      <c r="K45" s="49"/>
      <c r="L45" s="43"/>
      <c r="M45" s="50" t="str">
        <f aca="false">IF(N($K45)=0,"",ROUND(N($L45)/N($K45),4))</f>
        <v/>
      </c>
      <c r="N45" s="25" t="str">
        <f aca="false">IF($I45="","",IF(ISNA(MATCH($I45,商品档案!$A$6:$A$65,0)),"商品不存在",IF(IFERROR(INDEX(商品档案!$E$6:$E$65,MATCH($I45,商品档案!$A$6:$A$65,0)),"")&lt;&gt;$H45,"商品不属于该公司","OK")))</f>
        <v/>
      </c>
      <c r="P45" s="41"/>
      <c r="Q45" s="32"/>
      <c r="R45" s="43"/>
      <c r="S45" s="43"/>
      <c r="T45" s="25" t="str">
        <f aca="false">IF($Q45="","",IF(ISNA(MATCH($Q45,往来单位!$A$6:$A$85,0)),"单位未建档","OK"))</f>
        <v/>
      </c>
    </row>
    <row r="46" customFormat="false" ht="15" hidden="false" customHeight="false" outlineLevel="0" collapsed="false">
      <c r="A46" s="41"/>
      <c r="B46" s="32"/>
      <c r="C46" s="43"/>
      <c r="D46" s="43"/>
      <c r="E46" s="41"/>
      <c r="F46" s="25" t="str">
        <f aca="false">IF(AND($A46="",$B46=""),"",IF(SUMPRODUCT(($B$6:$B$185=$B46)*($A$6:$A$185=$A46))&gt;1,"同公司同科目重复",IF(ISNA(MATCH($B46,会计科目表!$B$6:$B$85,0)),"科目不存在",IF(AND(N($C46)&lt;&gt;0,N($D46)&lt;&gt;0),"借贷不能同时有数","OK"))))</f>
        <v/>
      </c>
      <c r="H46" s="33"/>
      <c r="I46" s="39"/>
      <c r="J46" s="48" t="str">
        <f aca="false">IF($I46="","",IFERROR(INDEX(商品档案!$B$6:$B$65,MATCH($I46,商品档案!$A$6:$A$65,0)),""))</f>
        <v/>
      </c>
      <c r="K46" s="49"/>
      <c r="L46" s="43"/>
      <c r="M46" s="50" t="str">
        <f aca="false">IF(N($K46)=0,"",ROUND(N($L46)/N($K46),4))</f>
        <v/>
      </c>
      <c r="N46" s="25" t="str">
        <f aca="false">IF($I46="","",IF(ISNA(MATCH($I46,商品档案!$A$6:$A$65,0)),"商品不存在",IF(IFERROR(INDEX(商品档案!$E$6:$E$65,MATCH($I46,商品档案!$A$6:$A$65,0)),"")&lt;&gt;$H46,"商品不属于该公司","OK")))</f>
        <v/>
      </c>
      <c r="P46" s="41"/>
      <c r="Q46" s="32"/>
      <c r="R46" s="43"/>
      <c r="S46" s="43"/>
      <c r="T46" s="25" t="str">
        <f aca="false">IF($Q46="","",IF(ISNA(MATCH($Q46,往来单位!$A$6:$A$85,0)),"单位未建档","OK"))</f>
        <v/>
      </c>
    </row>
    <row r="47" customFormat="false" ht="15" hidden="false" customHeight="false" outlineLevel="0" collapsed="false">
      <c r="A47" s="41"/>
      <c r="B47" s="32"/>
      <c r="C47" s="43"/>
      <c r="D47" s="43"/>
      <c r="E47" s="41"/>
      <c r="F47" s="25" t="str">
        <f aca="false">IF(AND($A47="",$B47=""),"",IF(SUMPRODUCT(($B$6:$B$185=$B47)*($A$6:$A$185=$A47))&gt;1,"同公司同科目重复",IF(ISNA(MATCH($B47,会计科目表!$B$6:$B$85,0)),"科目不存在",IF(AND(N($C47)&lt;&gt;0,N($D47)&lt;&gt;0),"借贷不能同时有数","OK"))))</f>
        <v/>
      </c>
      <c r="H47" s="33"/>
      <c r="I47" s="39"/>
      <c r="J47" s="48" t="str">
        <f aca="false">IF($I47="","",IFERROR(INDEX(商品档案!$B$6:$B$65,MATCH($I47,商品档案!$A$6:$A$65,0)),""))</f>
        <v/>
      </c>
      <c r="K47" s="49"/>
      <c r="L47" s="43"/>
      <c r="M47" s="50" t="str">
        <f aca="false">IF(N($K47)=0,"",ROUND(N($L47)/N($K47),4))</f>
        <v/>
      </c>
      <c r="N47" s="25" t="str">
        <f aca="false">IF($I47="","",IF(ISNA(MATCH($I47,商品档案!$A$6:$A$65,0)),"商品不存在",IF(IFERROR(INDEX(商品档案!$E$6:$E$65,MATCH($I47,商品档案!$A$6:$A$65,0)),"")&lt;&gt;$H47,"商品不属于该公司","OK")))</f>
        <v/>
      </c>
      <c r="P47" s="41"/>
      <c r="Q47" s="32"/>
      <c r="R47" s="43"/>
      <c r="S47" s="43"/>
      <c r="T47" s="25" t="str">
        <f aca="false">IF($Q47="","",IF(ISNA(MATCH($Q47,往来单位!$A$6:$A$85,0)),"单位未建档","OK"))</f>
        <v/>
      </c>
    </row>
    <row r="48" customFormat="false" ht="15" hidden="false" customHeight="false" outlineLevel="0" collapsed="false">
      <c r="A48" s="41"/>
      <c r="B48" s="32"/>
      <c r="C48" s="43"/>
      <c r="D48" s="43"/>
      <c r="E48" s="41"/>
      <c r="F48" s="25" t="str">
        <f aca="false">IF(AND($A48="",$B48=""),"",IF(SUMPRODUCT(($B$6:$B$185=$B48)*($A$6:$A$185=$A48))&gt;1,"同公司同科目重复",IF(ISNA(MATCH($B48,会计科目表!$B$6:$B$85,0)),"科目不存在",IF(AND(N($C48)&lt;&gt;0,N($D48)&lt;&gt;0),"借贷不能同时有数","OK"))))</f>
        <v/>
      </c>
      <c r="H48" s="33"/>
      <c r="I48" s="39"/>
      <c r="J48" s="48" t="str">
        <f aca="false">IF($I48="","",IFERROR(INDEX(商品档案!$B$6:$B$65,MATCH($I48,商品档案!$A$6:$A$65,0)),""))</f>
        <v/>
      </c>
      <c r="K48" s="49"/>
      <c r="L48" s="43"/>
      <c r="M48" s="50" t="str">
        <f aca="false">IF(N($K48)=0,"",ROUND(N($L48)/N($K48),4))</f>
        <v/>
      </c>
      <c r="N48" s="25" t="str">
        <f aca="false">IF($I48="","",IF(ISNA(MATCH($I48,商品档案!$A$6:$A$65,0)),"商品不存在",IF(IFERROR(INDEX(商品档案!$E$6:$E$65,MATCH($I48,商品档案!$A$6:$A$65,0)),"")&lt;&gt;$H48,"商品不属于该公司","OK")))</f>
        <v/>
      </c>
      <c r="P48" s="41"/>
      <c r="Q48" s="32"/>
      <c r="R48" s="43"/>
      <c r="S48" s="43"/>
      <c r="T48" s="25" t="str">
        <f aca="false">IF($Q48="","",IF(ISNA(MATCH($Q48,往来单位!$A$6:$A$85,0)),"单位未建档","OK"))</f>
        <v/>
      </c>
    </row>
    <row r="49" customFormat="false" ht="15" hidden="false" customHeight="false" outlineLevel="0" collapsed="false">
      <c r="A49" s="41"/>
      <c r="B49" s="32"/>
      <c r="C49" s="43"/>
      <c r="D49" s="43"/>
      <c r="E49" s="41"/>
      <c r="F49" s="25" t="str">
        <f aca="false">IF(AND($A49="",$B49=""),"",IF(SUMPRODUCT(($B$6:$B$185=$B49)*($A$6:$A$185=$A49))&gt;1,"同公司同科目重复",IF(ISNA(MATCH($B49,会计科目表!$B$6:$B$85,0)),"科目不存在",IF(AND(N($C49)&lt;&gt;0,N($D49)&lt;&gt;0),"借贷不能同时有数","OK"))))</f>
        <v/>
      </c>
      <c r="H49" s="33"/>
      <c r="I49" s="39"/>
      <c r="J49" s="48" t="str">
        <f aca="false">IF($I49="","",IFERROR(INDEX(商品档案!$B$6:$B$65,MATCH($I49,商品档案!$A$6:$A$65,0)),""))</f>
        <v/>
      </c>
      <c r="K49" s="49"/>
      <c r="L49" s="43"/>
      <c r="M49" s="50" t="str">
        <f aca="false">IF(N($K49)=0,"",ROUND(N($L49)/N($K49),4))</f>
        <v/>
      </c>
      <c r="N49" s="25" t="str">
        <f aca="false">IF($I49="","",IF(ISNA(MATCH($I49,商品档案!$A$6:$A$65,0)),"商品不存在",IF(IFERROR(INDEX(商品档案!$E$6:$E$65,MATCH($I49,商品档案!$A$6:$A$65,0)),"")&lt;&gt;$H49,"商品不属于该公司","OK")))</f>
        <v/>
      </c>
      <c r="P49" s="41"/>
      <c r="Q49" s="32"/>
      <c r="R49" s="43"/>
      <c r="S49" s="43"/>
      <c r="T49" s="25" t="str">
        <f aca="false">IF($Q49="","",IF(ISNA(MATCH($Q49,往来单位!$A$6:$A$85,0)),"单位未建档","OK"))</f>
        <v/>
      </c>
    </row>
    <row r="50" customFormat="false" ht="15" hidden="false" customHeight="false" outlineLevel="0" collapsed="false">
      <c r="A50" s="41"/>
      <c r="B50" s="32"/>
      <c r="C50" s="43"/>
      <c r="D50" s="43"/>
      <c r="E50" s="41"/>
      <c r="F50" s="25" t="str">
        <f aca="false">IF(AND($A50="",$B50=""),"",IF(SUMPRODUCT(($B$6:$B$185=$B50)*($A$6:$A$185=$A50))&gt;1,"同公司同科目重复",IF(ISNA(MATCH($B50,会计科目表!$B$6:$B$85,0)),"科目不存在",IF(AND(N($C50)&lt;&gt;0,N($D50)&lt;&gt;0),"借贷不能同时有数","OK"))))</f>
        <v/>
      </c>
      <c r="H50" s="33"/>
      <c r="I50" s="39"/>
      <c r="J50" s="48" t="str">
        <f aca="false">IF($I50="","",IFERROR(INDEX(商品档案!$B$6:$B$65,MATCH($I50,商品档案!$A$6:$A$65,0)),""))</f>
        <v/>
      </c>
      <c r="K50" s="49"/>
      <c r="L50" s="43"/>
      <c r="M50" s="50" t="str">
        <f aca="false">IF(N($K50)=0,"",ROUND(N($L50)/N($K50),4))</f>
        <v/>
      </c>
      <c r="N50" s="25" t="str">
        <f aca="false">IF($I50="","",IF(ISNA(MATCH($I50,商品档案!$A$6:$A$65,0)),"商品不存在",IF(IFERROR(INDEX(商品档案!$E$6:$E$65,MATCH($I50,商品档案!$A$6:$A$65,0)),"")&lt;&gt;$H50,"商品不属于该公司","OK")))</f>
        <v/>
      </c>
      <c r="P50" s="41"/>
      <c r="Q50" s="32"/>
      <c r="R50" s="43"/>
      <c r="S50" s="43"/>
      <c r="T50" s="25" t="str">
        <f aca="false">IF($Q50="","",IF(ISNA(MATCH($Q50,往来单位!$A$6:$A$85,0)),"单位未建档","OK"))</f>
        <v/>
      </c>
    </row>
    <row r="51" customFormat="false" ht="15" hidden="false" customHeight="false" outlineLevel="0" collapsed="false">
      <c r="A51" s="41"/>
      <c r="B51" s="32"/>
      <c r="C51" s="43"/>
      <c r="D51" s="43"/>
      <c r="E51" s="41"/>
      <c r="F51" s="25" t="str">
        <f aca="false">IF(AND($A51="",$B51=""),"",IF(SUMPRODUCT(($B$6:$B$185=$B51)*($A$6:$A$185=$A51))&gt;1,"同公司同科目重复",IF(ISNA(MATCH($B51,会计科目表!$B$6:$B$85,0)),"科目不存在",IF(AND(N($C51)&lt;&gt;0,N($D51)&lt;&gt;0),"借贷不能同时有数","OK"))))</f>
        <v/>
      </c>
      <c r="H51" s="33"/>
      <c r="I51" s="39"/>
      <c r="J51" s="48" t="str">
        <f aca="false">IF($I51="","",IFERROR(INDEX(商品档案!$B$6:$B$65,MATCH($I51,商品档案!$A$6:$A$65,0)),""))</f>
        <v/>
      </c>
      <c r="K51" s="49"/>
      <c r="L51" s="43"/>
      <c r="M51" s="50" t="str">
        <f aca="false">IF(N($K51)=0,"",ROUND(N($L51)/N($K51),4))</f>
        <v/>
      </c>
      <c r="N51" s="25" t="str">
        <f aca="false">IF($I51="","",IF(ISNA(MATCH($I51,商品档案!$A$6:$A$65,0)),"商品不存在",IF(IFERROR(INDEX(商品档案!$E$6:$E$65,MATCH($I51,商品档案!$A$6:$A$65,0)),"")&lt;&gt;$H51,"商品不属于该公司","OK")))</f>
        <v/>
      </c>
      <c r="P51" s="41"/>
      <c r="Q51" s="32"/>
      <c r="R51" s="43"/>
      <c r="S51" s="43"/>
      <c r="T51" s="25" t="str">
        <f aca="false">IF($Q51="","",IF(ISNA(MATCH($Q51,往来单位!$A$6:$A$85,0)),"单位未建档","OK"))</f>
        <v/>
      </c>
    </row>
    <row r="52" customFormat="false" ht="15" hidden="false" customHeight="false" outlineLevel="0" collapsed="false">
      <c r="A52" s="41"/>
      <c r="B52" s="32"/>
      <c r="C52" s="43"/>
      <c r="D52" s="43"/>
      <c r="E52" s="41"/>
      <c r="F52" s="25" t="str">
        <f aca="false">IF(AND($A52="",$B52=""),"",IF(SUMPRODUCT(($B$6:$B$185=$B52)*($A$6:$A$185=$A52))&gt;1,"同公司同科目重复",IF(ISNA(MATCH($B52,会计科目表!$B$6:$B$85,0)),"科目不存在",IF(AND(N($C52)&lt;&gt;0,N($D52)&lt;&gt;0),"借贷不能同时有数","OK"))))</f>
        <v/>
      </c>
      <c r="H52" s="33"/>
      <c r="I52" s="39"/>
      <c r="J52" s="48" t="str">
        <f aca="false">IF($I52="","",IFERROR(INDEX(商品档案!$B$6:$B$65,MATCH($I52,商品档案!$A$6:$A$65,0)),""))</f>
        <v/>
      </c>
      <c r="K52" s="49"/>
      <c r="L52" s="43"/>
      <c r="M52" s="50" t="str">
        <f aca="false">IF(N($K52)=0,"",ROUND(N($L52)/N($K52),4))</f>
        <v/>
      </c>
      <c r="N52" s="25" t="str">
        <f aca="false">IF($I52="","",IF(ISNA(MATCH($I52,商品档案!$A$6:$A$65,0)),"商品不存在",IF(IFERROR(INDEX(商品档案!$E$6:$E$65,MATCH($I52,商品档案!$A$6:$A$65,0)),"")&lt;&gt;$H52,"商品不属于该公司","OK")))</f>
        <v/>
      </c>
      <c r="P52" s="41"/>
      <c r="Q52" s="32"/>
      <c r="R52" s="43"/>
      <c r="S52" s="43"/>
      <c r="T52" s="25" t="str">
        <f aca="false">IF($Q52="","",IF(ISNA(MATCH($Q52,往来单位!$A$6:$A$85,0)),"单位未建档","OK"))</f>
        <v/>
      </c>
    </row>
    <row r="53" customFormat="false" ht="15" hidden="false" customHeight="false" outlineLevel="0" collapsed="false">
      <c r="A53" s="41"/>
      <c r="B53" s="32"/>
      <c r="C53" s="43"/>
      <c r="D53" s="43"/>
      <c r="E53" s="41"/>
      <c r="F53" s="25" t="str">
        <f aca="false">IF(AND($A53="",$B53=""),"",IF(SUMPRODUCT(($B$6:$B$185=$B53)*($A$6:$A$185=$A53))&gt;1,"同公司同科目重复",IF(ISNA(MATCH($B53,会计科目表!$B$6:$B$85,0)),"科目不存在",IF(AND(N($C53)&lt;&gt;0,N($D53)&lt;&gt;0),"借贷不能同时有数","OK"))))</f>
        <v/>
      </c>
      <c r="H53" s="33"/>
      <c r="I53" s="39"/>
      <c r="J53" s="48" t="str">
        <f aca="false">IF($I53="","",IFERROR(INDEX(商品档案!$B$6:$B$65,MATCH($I53,商品档案!$A$6:$A$65,0)),""))</f>
        <v/>
      </c>
      <c r="K53" s="49"/>
      <c r="L53" s="43"/>
      <c r="M53" s="50" t="str">
        <f aca="false">IF(N($K53)=0,"",ROUND(N($L53)/N($K53),4))</f>
        <v/>
      </c>
      <c r="N53" s="25" t="str">
        <f aca="false">IF($I53="","",IF(ISNA(MATCH($I53,商品档案!$A$6:$A$65,0)),"商品不存在",IF(IFERROR(INDEX(商品档案!$E$6:$E$65,MATCH($I53,商品档案!$A$6:$A$65,0)),"")&lt;&gt;$H53,"商品不属于该公司","OK")))</f>
        <v/>
      </c>
      <c r="P53" s="41"/>
      <c r="Q53" s="32"/>
      <c r="R53" s="43"/>
      <c r="S53" s="43"/>
      <c r="T53" s="25" t="str">
        <f aca="false">IF($Q53="","",IF(ISNA(MATCH($Q53,往来单位!$A$6:$A$85,0)),"单位未建档","OK"))</f>
        <v/>
      </c>
    </row>
    <row r="54" customFormat="false" ht="15" hidden="false" customHeight="false" outlineLevel="0" collapsed="false">
      <c r="A54" s="41"/>
      <c r="B54" s="32"/>
      <c r="C54" s="43"/>
      <c r="D54" s="43"/>
      <c r="E54" s="41"/>
      <c r="F54" s="25" t="str">
        <f aca="false">IF(AND($A54="",$B54=""),"",IF(SUMPRODUCT(($B$6:$B$185=$B54)*($A$6:$A$185=$A54))&gt;1,"同公司同科目重复",IF(ISNA(MATCH($B54,会计科目表!$B$6:$B$85,0)),"科目不存在",IF(AND(N($C54)&lt;&gt;0,N($D54)&lt;&gt;0),"借贷不能同时有数","OK"))))</f>
        <v/>
      </c>
      <c r="H54" s="33"/>
      <c r="I54" s="39"/>
      <c r="J54" s="48" t="str">
        <f aca="false">IF($I54="","",IFERROR(INDEX(商品档案!$B$6:$B$65,MATCH($I54,商品档案!$A$6:$A$65,0)),""))</f>
        <v/>
      </c>
      <c r="K54" s="49"/>
      <c r="L54" s="43"/>
      <c r="M54" s="50" t="str">
        <f aca="false">IF(N($K54)=0,"",ROUND(N($L54)/N($K54),4))</f>
        <v/>
      </c>
      <c r="N54" s="25" t="str">
        <f aca="false">IF($I54="","",IF(ISNA(MATCH($I54,商品档案!$A$6:$A$65,0)),"商品不存在",IF(IFERROR(INDEX(商品档案!$E$6:$E$65,MATCH($I54,商品档案!$A$6:$A$65,0)),"")&lt;&gt;$H54,"商品不属于该公司","OK")))</f>
        <v/>
      </c>
      <c r="P54" s="41"/>
      <c r="Q54" s="32"/>
      <c r="R54" s="43"/>
      <c r="S54" s="43"/>
      <c r="T54" s="25" t="str">
        <f aca="false">IF($Q54="","",IF(ISNA(MATCH($Q54,往来单位!$A$6:$A$85,0)),"单位未建档","OK"))</f>
        <v/>
      </c>
    </row>
    <row r="55" customFormat="false" ht="15" hidden="false" customHeight="false" outlineLevel="0" collapsed="false">
      <c r="A55" s="41"/>
      <c r="B55" s="32"/>
      <c r="C55" s="43"/>
      <c r="D55" s="43"/>
      <c r="E55" s="41"/>
      <c r="F55" s="25" t="str">
        <f aca="false">IF(AND($A55="",$B55=""),"",IF(SUMPRODUCT(($B$6:$B$185=$B55)*($A$6:$A$185=$A55))&gt;1,"同公司同科目重复",IF(ISNA(MATCH($B55,会计科目表!$B$6:$B$85,0)),"科目不存在",IF(AND(N($C55)&lt;&gt;0,N($D55)&lt;&gt;0),"借贷不能同时有数","OK"))))</f>
        <v/>
      </c>
      <c r="H55" s="33"/>
      <c r="I55" s="39"/>
      <c r="J55" s="48" t="str">
        <f aca="false">IF($I55="","",IFERROR(INDEX(商品档案!$B$6:$B$65,MATCH($I55,商品档案!$A$6:$A$65,0)),""))</f>
        <v/>
      </c>
      <c r="K55" s="49"/>
      <c r="L55" s="43"/>
      <c r="M55" s="50" t="str">
        <f aca="false">IF(N($K55)=0,"",ROUND(N($L55)/N($K55),4))</f>
        <v/>
      </c>
      <c r="N55" s="25" t="str">
        <f aca="false">IF($I55="","",IF(ISNA(MATCH($I55,商品档案!$A$6:$A$65,0)),"商品不存在",IF(IFERROR(INDEX(商品档案!$E$6:$E$65,MATCH($I55,商品档案!$A$6:$A$65,0)),"")&lt;&gt;$H55,"商品不属于该公司","OK")))</f>
        <v/>
      </c>
      <c r="P55" s="41"/>
      <c r="Q55" s="32"/>
      <c r="R55" s="43"/>
      <c r="S55" s="43"/>
      <c r="T55" s="25" t="str">
        <f aca="false">IF($Q55="","",IF(ISNA(MATCH($Q55,往来单位!$A$6:$A$85,0)),"单位未建档","OK"))</f>
        <v/>
      </c>
    </row>
    <row r="56" customFormat="false" ht="15" hidden="false" customHeight="false" outlineLevel="0" collapsed="false">
      <c r="A56" s="41"/>
      <c r="B56" s="32"/>
      <c r="C56" s="43"/>
      <c r="D56" s="43"/>
      <c r="E56" s="41"/>
      <c r="F56" s="25" t="str">
        <f aca="false">IF(AND($A56="",$B56=""),"",IF(SUMPRODUCT(($B$6:$B$185=$B56)*($A$6:$A$185=$A56))&gt;1,"同公司同科目重复",IF(ISNA(MATCH($B56,会计科目表!$B$6:$B$85,0)),"科目不存在",IF(AND(N($C56)&lt;&gt;0,N($D56)&lt;&gt;0),"借贷不能同时有数","OK"))))</f>
        <v/>
      </c>
      <c r="H56" s="33"/>
      <c r="I56" s="39"/>
      <c r="J56" s="48" t="str">
        <f aca="false">IF($I56="","",IFERROR(INDEX(商品档案!$B$6:$B$65,MATCH($I56,商品档案!$A$6:$A$65,0)),""))</f>
        <v/>
      </c>
      <c r="K56" s="49"/>
      <c r="L56" s="43"/>
      <c r="M56" s="50" t="str">
        <f aca="false">IF(N($K56)=0,"",ROUND(N($L56)/N($K56),4))</f>
        <v/>
      </c>
      <c r="N56" s="25" t="str">
        <f aca="false">IF($I56="","",IF(ISNA(MATCH($I56,商品档案!$A$6:$A$65,0)),"商品不存在",IF(IFERROR(INDEX(商品档案!$E$6:$E$65,MATCH($I56,商品档案!$A$6:$A$65,0)),"")&lt;&gt;$H56,"商品不属于该公司","OK")))</f>
        <v/>
      </c>
      <c r="P56" s="41"/>
      <c r="Q56" s="32"/>
      <c r="R56" s="43"/>
      <c r="S56" s="43"/>
      <c r="T56" s="25" t="str">
        <f aca="false">IF($Q56="","",IF(ISNA(MATCH($Q56,往来单位!$A$6:$A$85,0)),"单位未建档","OK"))</f>
        <v/>
      </c>
    </row>
    <row r="57" customFormat="false" ht="15" hidden="false" customHeight="false" outlineLevel="0" collapsed="false">
      <c r="A57" s="41"/>
      <c r="B57" s="32"/>
      <c r="C57" s="43"/>
      <c r="D57" s="43"/>
      <c r="E57" s="41"/>
      <c r="F57" s="25" t="str">
        <f aca="false">IF(AND($A57="",$B57=""),"",IF(SUMPRODUCT(($B$6:$B$185=$B57)*($A$6:$A$185=$A57))&gt;1,"同公司同科目重复",IF(ISNA(MATCH($B57,会计科目表!$B$6:$B$85,0)),"科目不存在",IF(AND(N($C57)&lt;&gt;0,N($D57)&lt;&gt;0),"借贷不能同时有数","OK"))))</f>
        <v/>
      </c>
      <c r="H57" s="33"/>
      <c r="I57" s="39"/>
      <c r="J57" s="48" t="str">
        <f aca="false">IF($I57="","",IFERROR(INDEX(商品档案!$B$6:$B$65,MATCH($I57,商品档案!$A$6:$A$65,0)),""))</f>
        <v/>
      </c>
      <c r="K57" s="49"/>
      <c r="L57" s="43"/>
      <c r="M57" s="50" t="str">
        <f aca="false">IF(N($K57)=0,"",ROUND(N($L57)/N($K57),4))</f>
        <v/>
      </c>
      <c r="N57" s="25" t="str">
        <f aca="false">IF($I57="","",IF(ISNA(MATCH($I57,商品档案!$A$6:$A$65,0)),"商品不存在",IF(IFERROR(INDEX(商品档案!$E$6:$E$65,MATCH($I57,商品档案!$A$6:$A$65,0)),"")&lt;&gt;$H57,"商品不属于该公司","OK")))</f>
        <v/>
      </c>
      <c r="P57" s="41"/>
      <c r="Q57" s="32"/>
      <c r="R57" s="43"/>
      <c r="S57" s="43"/>
      <c r="T57" s="25" t="str">
        <f aca="false">IF($Q57="","",IF(ISNA(MATCH($Q57,往来单位!$A$6:$A$85,0)),"单位未建档","OK"))</f>
        <v/>
      </c>
    </row>
    <row r="58" customFormat="false" ht="15" hidden="false" customHeight="false" outlineLevel="0" collapsed="false">
      <c r="A58" s="41"/>
      <c r="B58" s="32"/>
      <c r="C58" s="43"/>
      <c r="D58" s="43"/>
      <c r="E58" s="41"/>
      <c r="F58" s="25" t="str">
        <f aca="false">IF(AND($A58="",$B58=""),"",IF(SUMPRODUCT(($B$6:$B$185=$B58)*($A$6:$A$185=$A58))&gt;1,"同公司同科目重复",IF(ISNA(MATCH($B58,会计科目表!$B$6:$B$85,0)),"科目不存在",IF(AND(N($C58)&lt;&gt;0,N($D58)&lt;&gt;0),"借贷不能同时有数","OK"))))</f>
        <v/>
      </c>
      <c r="H58" s="33"/>
      <c r="I58" s="39"/>
      <c r="J58" s="48" t="str">
        <f aca="false">IF($I58="","",IFERROR(INDEX(商品档案!$B$6:$B$65,MATCH($I58,商品档案!$A$6:$A$65,0)),""))</f>
        <v/>
      </c>
      <c r="K58" s="49"/>
      <c r="L58" s="43"/>
      <c r="M58" s="50" t="str">
        <f aca="false">IF(N($K58)=0,"",ROUND(N($L58)/N($K58),4))</f>
        <v/>
      </c>
      <c r="N58" s="25" t="str">
        <f aca="false">IF($I58="","",IF(ISNA(MATCH($I58,商品档案!$A$6:$A$65,0)),"商品不存在",IF(IFERROR(INDEX(商品档案!$E$6:$E$65,MATCH($I58,商品档案!$A$6:$A$65,0)),"")&lt;&gt;$H58,"商品不属于该公司","OK")))</f>
        <v/>
      </c>
      <c r="P58" s="41"/>
      <c r="Q58" s="32"/>
      <c r="R58" s="43"/>
      <c r="S58" s="43"/>
      <c r="T58" s="25" t="str">
        <f aca="false">IF($Q58="","",IF(ISNA(MATCH($Q58,往来单位!$A$6:$A$85,0)),"单位未建档","OK"))</f>
        <v/>
      </c>
    </row>
    <row r="59" customFormat="false" ht="15" hidden="false" customHeight="false" outlineLevel="0" collapsed="false">
      <c r="A59" s="41"/>
      <c r="B59" s="32"/>
      <c r="C59" s="43"/>
      <c r="D59" s="43"/>
      <c r="E59" s="41"/>
      <c r="F59" s="25" t="str">
        <f aca="false">IF(AND($A59="",$B59=""),"",IF(SUMPRODUCT(($B$6:$B$185=$B59)*($A$6:$A$185=$A59))&gt;1,"同公司同科目重复",IF(ISNA(MATCH($B59,会计科目表!$B$6:$B$85,0)),"科目不存在",IF(AND(N($C59)&lt;&gt;0,N($D59)&lt;&gt;0),"借贷不能同时有数","OK"))))</f>
        <v/>
      </c>
      <c r="H59" s="33"/>
      <c r="I59" s="39"/>
      <c r="J59" s="48" t="str">
        <f aca="false">IF($I59="","",IFERROR(INDEX(商品档案!$B$6:$B$65,MATCH($I59,商品档案!$A$6:$A$65,0)),""))</f>
        <v/>
      </c>
      <c r="K59" s="49"/>
      <c r="L59" s="43"/>
      <c r="M59" s="50" t="str">
        <f aca="false">IF(N($K59)=0,"",ROUND(N($L59)/N($K59),4))</f>
        <v/>
      </c>
      <c r="N59" s="25" t="str">
        <f aca="false">IF($I59="","",IF(ISNA(MATCH($I59,商品档案!$A$6:$A$65,0)),"商品不存在",IF(IFERROR(INDEX(商品档案!$E$6:$E$65,MATCH($I59,商品档案!$A$6:$A$65,0)),"")&lt;&gt;$H59,"商品不属于该公司","OK")))</f>
        <v/>
      </c>
      <c r="P59" s="41"/>
      <c r="Q59" s="32"/>
      <c r="R59" s="43"/>
      <c r="S59" s="43"/>
      <c r="T59" s="25" t="str">
        <f aca="false">IF($Q59="","",IF(ISNA(MATCH($Q59,往来单位!$A$6:$A$85,0)),"单位未建档","OK"))</f>
        <v/>
      </c>
    </row>
    <row r="60" customFormat="false" ht="15" hidden="false" customHeight="false" outlineLevel="0" collapsed="false">
      <c r="A60" s="41"/>
      <c r="B60" s="32"/>
      <c r="C60" s="43"/>
      <c r="D60" s="43"/>
      <c r="E60" s="41"/>
      <c r="F60" s="25" t="str">
        <f aca="false">IF(AND($A60="",$B60=""),"",IF(SUMPRODUCT(($B$6:$B$185=$B60)*($A$6:$A$185=$A60))&gt;1,"同公司同科目重复",IF(ISNA(MATCH($B60,会计科目表!$B$6:$B$85,0)),"科目不存在",IF(AND(N($C60)&lt;&gt;0,N($D60)&lt;&gt;0),"借贷不能同时有数","OK"))))</f>
        <v/>
      </c>
      <c r="H60" s="33"/>
      <c r="I60" s="39"/>
      <c r="J60" s="48" t="str">
        <f aca="false">IF($I60="","",IFERROR(INDEX(商品档案!$B$6:$B$65,MATCH($I60,商品档案!$A$6:$A$65,0)),""))</f>
        <v/>
      </c>
      <c r="K60" s="49"/>
      <c r="L60" s="43"/>
      <c r="M60" s="50" t="str">
        <f aca="false">IF(N($K60)=0,"",ROUND(N($L60)/N($K60),4))</f>
        <v/>
      </c>
      <c r="N60" s="25" t="str">
        <f aca="false">IF($I60="","",IF(ISNA(MATCH($I60,商品档案!$A$6:$A$65,0)),"商品不存在",IF(IFERROR(INDEX(商品档案!$E$6:$E$65,MATCH($I60,商品档案!$A$6:$A$65,0)),"")&lt;&gt;$H60,"商品不属于该公司","OK")))</f>
        <v/>
      </c>
      <c r="P60" s="41"/>
      <c r="Q60" s="32"/>
      <c r="R60" s="43"/>
      <c r="S60" s="43"/>
      <c r="T60" s="25" t="str">
        <f aca="false">IF($Q60="","",IF(ISNA(MATCH($Q60,往来单位!$A$6:$A$85,0)),"单位未建档","OK"))</f>
        <v/>
      </c>
    </row>
    <row r="61" customFormat="false" ht="15" hidden="false" customHeight="false" outlineLevel="0" collapsed="false">
      <c r="A61" s="41"/>
      <c r="B61" s="32"/>
      <c r="C61" s="43"/>
      <c r="D61" s="43"/>
      <c r="E61" s="41"/>
      <c r="F61" s="25" t="str">
        <f aca="false">IF(AND($A61="",$B61=""),"",IF(SUMPRODUCT(($B$6:$B$185=$B61)*($A$6:$A$185=$A61))&gt;1,"同公司同科目重复",IF(ISNA(MATCH($B61,会计科目表!$B$6:$B$85,0)),"科目不存在",IF(AND(N($C61)&lt;&gt;0,N($D61)&lt;&gt;0),"借贷不能同时有数","OK"))))</f>
        <v/>
      </c>
      <c r="H61" s="33"/>
      <c r="I61" s="39"/>
      <c r="J61" s="48" t="str">
        <f aca="false">IF($I61="","",IFERROR(INDEX(商品档案!$B$6:$B$65,MATCH($I61,商品档案!$A$6:$A$65,0)),""))</f>
        <v/>
      </c>
      <c r="K61" s="49"/>
      <c r="L61" s="43"/>
      <c r="M61" s="50" t="str">
        <f aca="false">IF(N($K61)=0,"",ROUND(N($L61)/N($K61),4))</f>
        <v/>
      </c>
      <c r="N61" s="25" t="str">
        <f aca="false">IF($I61="","",IF(ISNA(MATCH($I61,商品档案!$A$6:$A$65,0)),"商品不存在",IF(IFERROR(INDEX(商品档案!$E$6:$E$65,MATCH($I61,商品档案!$A$6:$A$65,0)),"")&lt;&gt;$H61,"商品不属于该公司","OK")))</f>
        <v/>
      </c>
      <c r="P61" s="41"/>
      <c r="Q61" s="32"/>
      <c r="R61" s="43"/>
      <c r="S61" s="43"/>
      <c r="T61" s="25" t="str">
        <f aca="false">IF($Q61="","",IF(ISNA(MATCH($Q61,往来单位!$A$6:$A$85,0)),"单位未建档","OK"))</f>
        <v/>
      </c>
    </row>
    <row r="62" customFormat="false" ht="15" hidden="false" customHeight="false" outlineLevel="0" collapsed="false">
      <c r="A62" s="41"/>
      <c r="B62" s="32"/>
      <c r="C62" s="43"/>
      <c r="D62" s="43"/>
      <c r="E62" s="41"/>
      <c r="F62" s="25" t="str">
        <f aca="false">IF(AND($A62="",$B62=""),"",IF(SUMPRODUCT(($B$6:$B$185=$B62)*($A$6:$A$185=$A62))&gt;1,"同公司同科目重复",IF(ISNA(MATCH($B62,会计科目表!$B$6:$B$85,0)),"科目不存在",IF(AND(N($C62)&lt;&gt;0,N($D62)&lt;&gt;0),"借贷不能同时有数","OK"))))</f>
        <v/>
      </c>
      <c r="H62" s="33"/>
      <c r="I62" s="39"/>
      <c r="J62" s="48" t="str">
        <f aca="false">IF($I62="","",IFERROR(INDEX(商品档案!$B$6:$B$65,MATCH($I62,商品档案!$A$6:$A$65,0)),""))</f>
        <v/>
      </c>
      <c r="K62" s="49"/>
      <c r="L62" s="43"/>
      <c r="M62" s="50" t="str">
        <f aca="false">IF(N($K62)=0,"",ROUND(N($L62)/N($K62),4))</f>
        <v/>
      </c>
      <c r="N62" s="25" t="str">
        <f aca="false">IF($I62="","",IF(ISNA(MATCH($I62,商品档案!$A$6:$A$65,0)),"商品不存在",IF(IFERROR(INDEX(商品档案!$E$6:$E$65,MATCH($I62,商品档案!$A$6:$A$65,0)),"")&lt;&gt;$H62,"商品不属于该公司","OK")))</f>
        <v/>
      </c>
      <c r="P62" s="41"/>
      <c r="Q62" s="32"/>
      <c r="R62" s="43"/>
      <c r="S62" s="43"/>
      <c r="T62" s="25" t="str">
        <f aca="false">IF($Q62="","",IF(ISNA(MATCH($Q62,往来单位!$A$6:$A$85,0)),"单位未建档","OK"))</f>
        <v/>
      </c>
    </row>
    <row r="63" customFormat="false" ht="15" hidden="false" customHeight="false" outlineLevel="0" collapsed="false">
      <c r="A63" s="41"/>
      <c r="B63" s="32"/>
      <c r="C63" s="43"/>
      <c r="D63" s="43"/>
      <c r="E63" s="41"/>
      <c r="F63" s="25" t="str">
        <f aca="false">IF(AND($A63="",$B63=""),"",IF(SUMPRODUCT(($B$6:$B$185=$B63)*($A$6:$A$185=$A63))&gt;1,"同公司同科目重复",IF(ISNA(MATCH($B63,会计科目表!$B$6:$B$85,0)),"科目不存在",IF(AND(N($C63)&lt;&gt;0,N($D63)&lt;&gt;0),"借贷不能同时有数","OK"))))</f>
        <v/>
      </c>
      <c r="H63" s="33"/>
      <c r="I63" s="39"/>
      <c r="J63" s="48" t="str">
        <f aca="false">IF($I63="","",IFERROR(INDEX(商品档案!$B$6:$B$65,MATCH($I63,商品档案!$A$6:$A$65,0)),""))</f>
        <v/>
      </c>
      <c r="K63" s="49"/>
      <c r="L63" s="43"/>
      <c r="M63" s="50" t="str">
        <f aca="false">IF(N($K63)=0,"",ROUND(N($L63)/N($K63),4))</f>
        <v/>
      </c>
      <c r="N63" s="25" t="str">
        <f aca="false">IF($I63="","",IF(ISNA(MATCH($I63,商品档案!$A$6:$A$65,0)),"商品不存在",IF(IFERROR(INDEX(商品档案!$E$6:$E$65,MATCH($I63,商品档案!$A$6:$A$65,0)),"")&lt;&gt;$H63,"商品不属于该公司","OK")))</f>
        <v/>
      </c>
      <c r="P63" s="41"/>
      <c r="Q63" s="32"/>
      <c r="R63" s="43"/>
      <c r="S63" s="43"/>
      <c r="T63" s="25" t="str">
        <f aca="false">IF($Q63="","",IF(ISNA(MATCH($Q63,往来单位!$A$6:$A$85,0)),"单位未建档","OK"))</f>
        <v/>
      </c>
    </row>
    <row r="64" customFormat="false" ht="15" hidden="false" customHeight="false" outlineLevel="0" collapsed="false">
      <c r="A64" s="41"/>
      <c r="B64" s="32"/>
      <c r="C64" s="43"/>
      <c r="D64" s="43"/>
      <c r="E64" s="41"/>
      <c r="F64" s="25" t="str">
        <f aca="false">IF(AND($A64="",$B64=""),"",IF(SUMPRODUCT(($B$6:$B$185=$B64)*($A$6:$A$185=$A64))&gt;1,"同公司同科目重复",IF(ISNA(MATCH($B64,会计科目表!$B$6:$B$85,0)),"科目不存在",IF(AND(N($C64)&lt;&gt;0,N($D64)&lt;&gt;0),"借贷不能同时有数","OK"))))</f>
        <v/>
      </c>
      <c r="H64" s="33"/>
      <c r="I64" s="39"/>
      <c r="J64" s="48" t="str">
        <f aca="false">IF($I64="","",IFERROR(INDEX(商品档案!$B$6:$B$65,MATCH($I64,商品档案!$A$6:$A$65,0)),""))</f>
        <v/>
      </c>
      <c r="K64" s="49"/>
      <c r="L64" s="43"/>
      <c r="M64" s="50" t="str">
        <f aca="false">IF(N($K64)=0,"",ROUND(N($L64)/N($K64),4))</f>
        <v/>
      </c>
      <c r="N64" s="25" t="str">
        <f aca="false">IF($I64="","",IF(ISNA(MATCH($I64,商品档案!$A$6:$A$65,0)),"商品不存在",IF(IFERROR(INDEX(商品档案!$E$6:$E$65,MATCH($I64,商品档案!$A$6:$A$65,0)),"")&lt;&gt;$H64,"商品不属于该公司","OK")))</f>
        <v/>
      </c>
      <c r="P64" s="41"/>
      <c r="Q64" s="32"/>
      <c r="R64" s="43"/>
      <c r="S64" s="43"/>
      <c r="T64" s="25" t="str">
        <f aca="false">IF($Q64="","",IF(ISNA(MATCH($Q64,往来单位!$A$6:$A$85,0)),"单位未建档","OK"))</f>
        <v/>
      </c>
    </row>
    <row r="65" customFormat="false" ht="15" hidden="false" customHeight="false" outlineLevel="0" collapsed="false">
      <c r="A65" s="41"/>
      <c r="B65" s="32"/>
      <c r="C65" s="43"/>
      <c r="D65" s="43"/>
      <c r="E65" s="41"/>
      <c r="F65" s="25" t="str">
        <f aca="false">IF(AND($A65="",$B65=""),"",IF(SUMPRODUCT(($B$6:$B$185=$B65)*($A$6:$A$185=$A65))&gt;1,"同公司同科目重复",IF(ISNA(MATCH($B65,会计科目表!$B$6:$B$85,0)),"科目不存在",IF(AND(N($C65)&lt;&gt;0,N($D65)&lt;&gt;0),"借贷不能同时有数","OK"))))</f>
        <v/>
      </c>
      <c r="H65" s="33"/>
      <c r="I65" s="39"/>
      <c r="J65" s="48" t="str">
        <f aca="false">IF($I65="","",IFERROR(INDEX(商品档案!$B$6:$B$65,MATCH($I65,商品档案!$A$6:$A$65,0)),""))</f>
        <v/>
      </c>
      <c r="K65" s="49"/>
      <c r="L65" s="43"/>
      <c r="M65" s="50" t="str">
        <f aca="false">IF(N($K65)=0,"",ROUND(N($L65)/N($K65),4))</f>
        <v/>
      </c>
      <c r="N65" s="25" t="str">
        <f aca="false">IF($I65="","",IF(ISNA(MATCH($I65,商品档案!$A$6:$A$65,0)),"商品不存在",IF(IFERROR(INDEX(商品档案!$E$6:$E$65,MATCH($I65,商品档案!$A$6:$A$65,0)),"")&lt;&gt;$H65,"商品不属于该公司","OK")))</f>
        <v/>
      </c>
      <c r="P65" s="41"/>
      <c r="Q65" s="32"/>
      <c r="R65" s="43"/>
      <c r="S65" s="43"/>
      <c r="T65" s="25" t="str">
        <f aca="false">IF($Q65="","",IF(ISNA(MATCH($Q65,往来单位!$A$6:$A$85,0)),"单位未建档","OK"))</f>
        <v/>
      </c>
    </row>
    <row r="66" customFormat="false" ht="15" hidden="false" customHeight="false" outlineLevel="0" collapsed="false">
      <c r="A66" s="41"/>
      <c r="B66" s="32"/>
      <c r="C66" s="43"/>
      <c r="D66" s="43"/>
      <c r="E66" s="41"/>
      <c r="F66" s="25" t="str">
        <f aca="false">IF(AND($A66="",$B66=""),"",IF(SUMPRODUCT(($B$6:$B$185=$B66)*($A$6:$A$185=$A66))&gt;1,"同公司同科目重复",IF(ISNA(MATCH($B66,会计科目表!$B$6:$B$85,0)),"科目不存在",IF(AND(N($C66)&lt;&gt;0,N($D66)&lt;&gt;0),"借贷不能同时有数","OK"))))</f>
        <v/>
      </c>
    </row>
    <row r="67" customFormat="false" ht="15" hidden="false" customHeight="false" outlineLevel="0" collapsed="false">
      <c r="A67" s="41"/>
      <c r="B67" s="32"/>
      <c r="C67" s="43"/>
      <c r="D67" s="43"/>
      <c r="E67" s="41"/>
      <c r="F67" s="25" t="str">
        <f aca="false">IF(AND($A67="",$B67=""),"",IF(SUMPRODUCT(($B$6:$B$185=$B67)*($A$6:$A$185=$A67))&gt;1,"同公司同科目重复",IF(ISNA(MATCH($B67,会计科目表!$B$6:$B$85,0)),"科目不存在",IF(AND(N($C67)&lt;&gt;0,N($D67)&lt;&gt;0),"借贷不能同时有数","OK"))))</f>
        <v/>
      </c>
    </row>
    <row r="68" customFormat="false" ht="15" hidden="false" customHeight="false" outlineLevel="0" collapsed="false">
      <c r="A68" s="41"/>
      <c r="B68" s="32"/>
      <c r="C68" s="43"/>
      <c r="D68" s="43"/>
      <c r="E68" s="41"/>
      <c r="F68" s="25" t="str">
        <f aca="false">IF(AND($A68="",$B68=""),"",IF(SUMPRODUCT(($B$6:$B$185=$B68)*($A$6:$A$185=$A68))&gt;1,"同公司同科目重复",IF(ISNA(MATCH($B68,会计科目表!$B$6:$B$85,0)),"科目不存在",IF(AND(N($C68)&lt;&gt;0,N($D68)&lt;&gt;0),"借贷不能同时有数","OK"))))</f>
        <v/>
      </c>
    </row>
    <row r="69" customFormat="false" ht="15" hidden="false" customHeight="false" outlineLevel="0" collapsed="false">
      <c r="A69" s="41"/>
      <c r="B69" s="32"/>
      <c r="C69" s="43"/>
      <c r="D69" s="43"/>
      <c r="E69" s="41"/>
      <c r="F69" s="25" t="str">
        <f aca="false">IF(AND($A69="",$B69=""),"",IF(SUMPRODUCT(($B$6:$B$185=$B69)*($A$6:$A$185=$A69))&gt;1,"同公司同科目重复",IF(ISNA(MATCH($B69,会计科目表!$B$6:$B$85,0)),"科目不存在",IF(AND(N($C69)&lt;&gt;0,N($D69)&lt;&gt;0),"借贷不能同时有数","OK"))))</f>
        <v/>
      </c>
    </row>
    <row r="70" customFormat="false" ht="15" hidden="false" customHeight="false" outlineLevel="0" collapsed="false">
      <c r="A70" s="41"/>
      <c r="B70" s="32"/>
      <c r="C70" s="43"/>
      <c r="D70" s="43"/>
      <c r="E70" s="41"/>
      <c r="F70" s="25" t="str">
        <f aca="false">IF(AND($A70="",$B70=""),"",IF(SUMPRODUCT(($B$6:$B$185=$B70)*($A$6:$A$185=$A70))&gt;1,"同公司同科目重复",IF(ISNA(MATCH($B70,会计科目表!$B$6:$B$85,0)),"科目不存在",IF(AND(N($C70)&lt;&gt;0,N($D70)&lt;&gt;0),"借贷不能同时有数","OK"))))</f>
        <v/>
      </c>
    </row>
    <row r="71" customFormat="false" ht="15" hidden="false" customHeight="false" outlineLevel="0" collapsed="false">
      <c r="A71" s="41"/>
      <c r="B71" s="32"/>
      <c r="C71" s="43"/>
      <c r="D71" s="43"/>
      <c r="E71" s="41"/>
      <c r="F71" s="25" t="str">
        <f aca="false">IF(AND($A71="",$B71=""),"",IF(SUMPRODUCT(($B$6:$B$185=$B71)*($A$6:$A$185=$A71))&gt;1,"同公司同科目重复",IF(ISNA(MATCH($B71,会计科目表!$B$6:$B$85,0)),"科目不存在",IF(AND(N($C71)&lt;&gt;0,N($D71)&lt;&gt;0),"借贷不能同时有数","OK"))))</f>
        <v/>
      </c>
    </row>
    <row r="72" customFormat="false" ht="15" hidden="false" customHeight="false" outlineLevel="0" collapsed="false">
      <c r="A72" s="41"/>
      <c r="B72" s="32"/>
      <c r="C72" s="43"/>
      <c r="D72" s="43"/>
      <c r="E72" s="41"/>
      <c r="F72" s="25" t="str">
        <f aca="false">IF(AND($A72="",$B72=""),"",IF(SUMPRODUCT(($B$6:$B$185=$B72)*($A$6:$A$185=$A72))&gt;1,"同公司同科目重复",IF(ISNA(MATCH($B72,会计科目表!$B$6:$B$85,0)),"科目不存在",IF(AND(N($C72)&lt;&gt;0,N($D72)&lt;&gt;0),"借贷不能同时有数","OK"))))</f>
        <v/>
      </c>
    </row>
    <row r="73" customFormat="false" ht="15" hidden="false" customHeight="false" outlineLevel="0" collapsed="false">
      <c r="A73" s="41"/>
      <c r="B73" s="32"/>
      <c r="C73" s="43"/>
      <c r="D73" s="43"/>
      <c r="E73" s="41"/>
      <c r="F73" s="25" t="str">
        <f aca="false">IF(AND($A73="",$B73=""),"",IF(SUMPRODUCT(($B$6:$B$185=$B73)*($A$6:$A$185=$A73))&gt;1,"同公司同科目重复",IF(ISNA(MATCH($B73,会计科目表!$B$6:$B$85,0)),"科目不存在",IF(AND(N($C73)&lt;&gt;0,N($D73)&lt;&gt;0),"借贷不能同时有数","OK"))))</f>
        <v/>
      </c>
    </row>
    <row r="74" customFormat="false" ht="15" hidden="false" customHeight="false" outlineLevel="0" collapsed="false">
      <c r="A74" s="41"/>
      <c r="B74" s="32"/>
      <c r="C74" s="43"/>
      <c r="D74" s="43"/>
      <c r="E74" s="41"/>
      <c r="F74" s="25" t="str">
        <f aca="false">IF(AND($A74="",$B74=""),"",IF(SUMPRODUCT(($B$6:$B$185=$B74)*($A$6:$A$185=$A74))&gt;1,"同公司同科目重复",IF(ISNA(MATCH($B74,会计科目表!$B$6:$B$85,0)),"科目不存在",IF(AND(N($C74)&lt;&gt;0,N($D74)&lt;&gt;0),"借贷不能同时有数","OK"))))</f>
        <v/>
      </c>
    </row>
    <row r="75" customFormat="false" ht="15" hidden="false" customHeight="false" outlineLevel="0" collapsed="false">
      <c r="A75" s="41"/>
      <c r="B75" s="32"/>
      <c r="C75" s="43"/>
      <c r="D75" s="43"/>
      <c r="E75" s="41"/>
      <c r="F75" s="25" t="str">
        <f aca="false">IF(AND($A75="",$B75=""),"",IF(SUMPRODUCT(($B$6:$B$185=$B75)*($A$6:$A$185=$A75))&gt;1,"同公司同科目重复",IF(ISNA(MATCH($B75,会计科目表!$B$6:$B$85,0)),"科目不存在",IF(AND(N($C75)&lt;&gt;0,N($D75)&lt;&gt;0),"借贷不能同时有数","OK"))))</f>
        <v/>
      </c>
    </row>
    <row r="76" customFormat="false" ht="15" hidden="false" customHeight="false" outlineLevel="0" collapsed="false">
      <c r="A76" s="41"/>
      <c r="B76" s="32"/>
      <c r="C76" s="43"/>
      <c r="D76" s="43"/>
      <c r="E76" s="41"/>
      <c r="F76" s="25" t="str">
        <f aca="false">IF(AND($A76="",$B76=""),"",IF(SUMPRODUCT(($B$6:$B$185=$B76)*($A$6:$A$185=$A76))&gt;1,"同公司同科目重复",IF(ISNA(MATCH($B76,会计科目表!$B$6:$B$85,0)),"科目不存在",IF(AND(N($C76)&lt;&gt;0,N($D76)&lt;&gt;0),"借贷不能同时有数","OK"))))</f>
        <v/>
      </c>
    </row>
    <row r="77" customFormat="false" ht="15" hidden="false" customHeight="false" outlineLevel="0" collapsed="false">
      <c r="A77" s="41"/>
      <c r="B77" s="32"/>
      <c r="C77" s="43"/>
      <c r="D77" s="43"/>
      <c r="E77" s="41"/>
      <c r="F77" s="25" t="str">
        <f aca="false">IF(AND($A77="",$B77=""),"",IF(SUMPRODUCT(($B$6:$B$185=$B77)*($A$6:$A$185=$A77))&gt;1,"同公司同科目重复",IF(ISNA(MATCH($B77,会计科目表!$B$6:$B$85,0)),"科目不存在",IF(AND(N($C77)&lt;&gt;0,N($D77)&lt;&gt;0),"借贷不能同时有数","OK"))))</f>
        <v/>
      </c>
    </row>
    <row r="78" customFormat="false" ht="15" hidden="false" customHeight="false" outlineLevel="0" collapsed="false">
      <c r="A78" s="41"/>
      <c r="B78" s="32"/>
      <c r="C78" s="43"/>
      <c r="D78" s="43"/>
      <c r="E78" s="41"/>
      <c r="F78" s="25" t="str">
        <f aca="false">IF(AND($A78="",$B78=""),"",IF(SUMPRODUCT(($B$6:$B$185=$B78)*($A$6:$A$185=$A78))&gt;1,"同公司同科目重复",IF(ISNA(MATCH($B78,会计科目表!$B$6:$B$85,0)),"科目不存在",IF(AND(N($C78)&lt;&gt;0,N($D78)&lt;&gt;0),"借贷不能同时有数","OK"))))</f>
        <v/>
      </c>
    </row>
    <row r="79" customFormat="false" ht="15" hidden="false" customHeight="false" outlineLevel="0" collapsed="false">
      <c r="A79" s="41"/>
      <c r="B79" s="32"/>
      <c r="C79" s="43"/>
      <c r="D79" s="43"/>
      <c r="E79" s="41"/>
      <c r="F79" s="25" t="str">
        <f aca="false">IF(AND($A79="",$B79=""),"",IF(SUMPRODUCT(($B$6:$B$185=$B79)*($A$6:$A$185=$A79))&gt;1,"同公司同科目重复",IF(ISNA(MATCH($B79,会计科目表!$B$6:$B$85,0)),"科目不存在",IF(AND(N($C79)&lt;&gt;0,N($D79)&lt;&gt;0),"借贷不能同时有数","OK"))))</f>
        <v/>
      </c>
    </row>
    <row r="80" customFormat="false" ht="15" hidden="false" customHeight="false" outlineLevel="0" collapsed="false">
      <c r="A80" s="41"/>
      <c r="B80" s="32"/>
      <c r="C80" s="43"/>
      <c r="D80" s="43"/>
      <c r="E80" s="41"/>
      <c r="F80" s="25" t="str">
        <f aca="false">IF(AND($A80="",$B80=""),"",IF(SUMPRODUCT(($B$6:$B$185=$B80)*($A$6:$A$185=$A80))&gt;1,"同公司同科目重复",IF(ISNA(MATCH($B80,会计科目表!$B$6:$B$85,0)),"科目不存在",IF(AND(N($C80)&lt;&gt;0,N($D80)&lt;&gt;0),"借贷不能同时有数","OK"))))</f>
        <v/>
      </c>
    </row>
    <row r="81" customFormat="false" ht="15" hidden="false" customHeight="false" outlineLevel="0" collapsed="false">
      <c r="A81" s="41"/>
      <c r="B81" s="32"/>
      <c r="C81" s="43"/>
      <c r="D81" s="43"/>
      <c r="E81" s="41"/>
      <c r="F81" s="25" t="str">
        <f aca="false">IF(AND($A81="",$B81=""),"",IF(SUMPRODUCT(($B$6:$B$185=$B81)*($A$6:$A$185=$A81))&gt;1,"同公司同科目重复",IF(ISNA(MATCH($B81,会计科目表!$B$6:$B$85,0)),"科目不存在",IF(AND(N($C81)&lt;&gt;0,N($D81)&lt;&gt;0),"借贷不能同时有数","OK"))))</f>
        <v/>
      </c>
    </row>
    <row r="82" customFormat="false" ht="15" hidden="false" customHeight="false" outlineLevel="0" collapsed="false">
      <c r="A82" s="41"/>
      <c r="B82" s="32"/>
      <c r="C82" s="43"/>
      <c r="D82" s="43"/>
      <c r="E82" s="41"/>
      <c r="F82" s="25" t="str">
        <f aca="false">IF(AND($A82="",$B82=""),"",IF(SUMPRODUCT(($B$6:$B$185=$B82)*($A$6:$A$185=$A82))&gt;1,"同公司同科目重复",IF(ISNA(MATCH($B82,会计科目表!$B$6:$B$85,0)),"科目不存在",IF(AND(N($C82)&lt;&gt;0,N($D82)&lt;&gt;0),"借贷不能同时有数","OK"))))</f>
        <v/>
      </c>
    </row>
    <row r="83" customFormat="false" ht="15" hidden="false" customHeight="false" outlineLevel="0" collapsed="false">
      <c r="A83" s="41"/>
      <c r="B83" s="32"/>
      <c r="C83" s="43"/>
      <c r="D83" s="43"/>
      <c r="E83" s="41"/>
      <c r="F83" s="25" t="str">
        <f aca="false">IF(AND($A83="",$B83=""),"",IF(SUMPRODUCT(($B$6:$B$185=$B83)*($A$6:$A$185=$A83))&gt;1,"同公司同科目重复",IF(ISNA(MATCH($B83,会计科目表!$B$6:$B$85,0)),"科目不存在",IF(AND(N($C83)&lt;&gt;0,N($D83)&lt;&gt;0),"借贷不能同时有数","OK"))))</f>
        <v/>
      </c>
    </row>
    <row r="84" customFormat="false" ht="15" hidden="false" customHeight="false" outlineLevel="0" collapsed="false">
      <c r="A84" s="41"/>
      <c r="B84" s="32"/>
      <c r="C84" s="43"/>
      <c r="D84" s="43"/>
      <c r="E84" s="41"/>
      <c r="F84" s="25" t="str">
        <f aca="false">IF(AND($A84="",$B84=""),"",IF(SUMPRODUCT(($B$6:$B$185=$B84)*($A$6:$A$185=$A84))&gt;1,"同公司同科目重复",IF(ISNA(MATCH($B84,会计科目表!$B$6:$B$85,0)),"科目不存在",IF(AND(N($C84)&lt;&gt;0,N($D84)&lt;&gt;0),"借贷不能同时有数","OK"))))</f>
        <v/>
      </c>
    </row>
    <row r="85" customFormat="false" ht="15" hidden="false" customHeight="false" outlineLevel="0" collapsed="false">
      <c r="A85" s="41"/>
      <c r="B85" s="32"/>
      <c r="C85" s="43"/>
      <c r="D85" s="43"/>
      <c r="E85" s="41"/>
      <c r="F85" s="25" t="str">
        <f aca="false">IF(AND($A85="",$B85=""),"",IF(SUMPRODUCT(($B$6:$B$185=$B85)*($A$6:$A$185=$A85))&gt;1,"同公司同科目重复",IF(ISNA(MATCH($B85,会计科目表!$B$6:$B$85,0)),"科目不存在",IF(AND(N($C85)&lt;&gt;0,N($D85)&lt;&gt;0),"借贷不能同时有数","OK"))))</f>
        <v/>
      </c>
    </row>
    <row r="86" customFormat="false" ht="15" hidden="false" customHeight="false" outlineLevel="0" collapsed="false">
      <c r="A86" s="41"/>
      <c r="B86" s="32"/>
      <c r="C86" s="43"/>
      <c r="D86" s="43"/>
      <c r="E86" s="41"/>
      <c r="F86" s="25" t="str">
        <f aca="false">IF(AND($A86="",$B86=""),"",IF(SUMPRODUCT(($B$6:$B$185=$B86)*($A$6:$A$185=$A86))&gt;1,"同公司同科目重复",IF(ISNA(MATCH($B86,会计科目表!$B$6:$B$85,0)),"科目不存在",IF(AND(N($C86)&lt;&gt;0,N($D86)&lt;&gt;0),"借贷不能同时有数","OK"))))</f>
        <v/>
      </c>
    </row>
    <row r="87" customFormat="false" ht="15" hidden="false" customHeight="false" outlineLevel="0" collapsed="false">
      <c r="A87" s="41"/>
      <c r="B87" s="32"/>
      <c r="C87" s="43"/>
      <c r="D87" s="43"/>
      <c r="E87" s="41"/>
      <c r="F87" s="25" t="str">
        <f aca="false">IF(AND($A87="",$B87=""),"",IF(SUMPRODUCT(($B$6:$B$185=$B87)*($A$6:$A$185=$A87))&gt;1,"同公司同科目重复",IF(ISNA(MATCH($B87,会计科目表!$B$6:$B$85,0)),"科目不存在",IF(AND(N($C87)&lt;&gt;0,N($D87)&lt;&gt;0),"借贷不能同时有数","OK"))))</f>
        <v/>
      </c>
    </row>
    <row r="88" customFormat="false" ht="15" hidden="false" customHeight="false" outlineLevel="0" collapsed="false">
      <c r="A88" s="41"/>
      <c r="B88" s="32"/>
      <c r="C88" s="43"/>
      <c r="D88" s="43"/>
      <c r="E88" s="41"/>
      <c r="F88" s="25" t="str">
        <f aca="false">IF(AND($A88="",$B88=""),"",IF(SUMPRODUCT(($B$6:$B$185=$B88)*($A$6:$A$185=$A88))&gt;1,"同公司同科目重复",IF(ISNA(MATCH($B88,会计科目表!$B$6:$B$85,0)),"科目不存在",IF(AND(N($C88)&lt;&gt;0,N($D88)&lt;&gt;0),"借贷不能同时有数","OK"))))</f>
        <v/>
      </c>
    </row>
    <row r="89" customFormat="false" ht="15" hidden="false" customHeight="false" outlineLevel="0" collapsed="false">
      <c r="A89" s="41"/>
      <c r="B89" s="32"/>
      <c r="C89" s="43"/>
      <c r="D89" s="43"/>
      <c r="E89" s="41"/>
      <c r="F89" s="25" t="str">
        <f aca="false">IF(AND($A89="",$B89=""),"",IF(SUMPRODUCT(($B$6:$B$185=$B89)*($A$6:$A$185=$A89))&gt;1,"同公司同科目重复",IF(ISNA(MATCH($B89,会计科目表!$B$6:$B$85,0)),"科目不存在",IF(AND(N($C89)&lt;&gt;0,N($D89)&lt;&gt;0),"借贷不能同时有数","OK"))))</f>
        <v/>
      </c>
    </row>
    <row r="90" customFormat="false" ht="15" hidden="false" customHeight="false" outlineLevel="0" collapsed="false">
      <c r="A90" s="41"/>
      <c r="B90" s="32"/>
      <c r="C90" s="43"/>
      <c r="D90" s="43"/>
      <c r="E90" s="41"/>
      <c r="F90" s="25" t="str">
        <f aca="false">IF(AND($A90="",$B90=""),"",IF(SUMPRODUCT(($B$6:$B$185=$B90)*($A$6:$A$185=$A90))&gt;1,"同公司同科目重复",IF(ISNA(MATCH($B90,会计科目表!$B$6:$B$85,0)),"科目不存在",IF(AND(N($C90)&lt;&gt;0,N($D90)&lt;&gt;0),"借贷不能同时有数","OK"))))</f>
        <v/>
      </c>
    </row>
    <row r="91" customFormat="false" ht="15" hidden="false" customHeight="false" outlineLevel="0" collapsed="false">
      <c r="A91" s="41"/>
      <c r="B91" s="32"/>
      <c r="C91" s="43"/>
      <c r="D91" s="43"/>
      <c r="E91" s="41"/>
      <c r="F91" s="25" t="str">
        <f aca="false">IF(AND($A91="",$B91=""),"",IF(SUMPRODUCT(($B$6:$B$185=$B91)*($A$6:$A$185=$A91))&gt;1,"同公司同科目重复",IF(ISNA(MATCH($B91,会计科目表!$B$6:$B$85,0)),"科目不存在",IF(AND(N($C91)&lt;&gt;0,N($D91)&lt;&gt;0),"借贷不能同时有数","OK"))))</f>
        <v/>
      </c>
    </row>
    <row r="92" customFormat="false" ht="15" hidden="false" customHeight="false" outlineLevel="0" collapsed="false">
      <c r="A92" s="41"/>
      <c r="B92" s="32"/>
      <c r="C92" s="43"/>
      <c r="D92" s="43"/>
      <c r="E92" s="41"/>
      <c r="F92" s="25" t="str">
        <f aca="false">IF(AND($A92="",$B92=""),"",IF(SUMPRODUCT(($B$6:$B$185=$B92)*($A$6:$A$185=$A92))&gt;1,"同公司同科目重复",IF(ISNA(MATCH($B92,会计科目表!$B$6:$B$85,0)),"科目不存在",IF(AND(N($C92)&lt;&gt;0,N($D92)&lt;&gt;0),"借贷不能同时有数","OK"))))</f>
        <v/>
      </c>
    </row>
    <row r="93" customFormat="false" ht="15" hidden="false" customHeight="false" outlineLevel="0" collapsed="false">
      <c r="A93" s="41"/>
      <c r="B93" s="32"/>
      <c r="C93" s="43"/>
      <c r="D93" s="43"/>
      <c r="E93" s="41"/>
      <c r="F93" s="25" t="str">
        <f aca="false">IF(AND($A93="",$B93=""),"",IF(SUMPRODUCT(($B$6:$B$185=$B93)*($A$6:$A$185=$A93))&gt;1,"同公司同科目重复",IF(ISNA(MATCH($B93,会计科目表!$B$6:$B$85,0)),"科目不存在",IF(AND(N($C93)&lt;&gt;0,N($D93)&lt;&gt;0),"借贷不能同时有数","OK"))))</f>
        <v/>
      </c>
    </row>
    <row r="94" customFormat="false" ht="15" hidden="false" customHeight="false" outlineLevel="0" collapsed="false">
      <c r="A94" s="41"/>
      <c r="B94" s="32"/>
      <c r="C94" s="43"/>
      <c r="D94" s="43"/>
      <c r="E94" s="41"/>
      <c r="F94" s="25" t="str">
        <f aca="false">IF(AND($A94="",$B94=""),"",IF(SUMPRODUCT(($B$6:$B$185=$B94)*($A$6:$A$185=$A94))&gt;1,"同公司同科目重复",IF(ISNA(MATCH($B94,会计科目表!$B$6:$B$85,0)),"科目不存在",IF(AND(N($C94)&lt;&gt;0,N($D94)&lt;&gt;0),"借贷不能同时有数","OK"))))</f>
        <v/>
      </c>
    </row>
    <row r="95" customFormat="false" ht="15" hidden="false" customHeight="false" outlineLevel="0" collapsed="false">
      <c r="A95" s="41"/>
      <c r="B95" s="32"/>
      <c r="C95" s="43"/>
      <c r="D95" s="43"/>
      <c r="E95" s="41"/>
      <c r="F95" s="25" t="str">
        <f aca="false">IF(AND($A95="",$B95=""),"",IF(SUMPRODUCT(($B$6:$B$185=$B95)*($A$6:$A$185=$A95))&gt;1,"同公司同科目重复",IF(ISNA(MATCH($B95,会计科目表!$B$6:$B$85,0)),"科目不存在",IF(AND(N($C95)&lt;&gt;0,N($D95)&lt;&gt;0),"借贷不能同时有数","OK"))))</f>
        <v/>
      </c>
    </row>
    <row r="96" customFormat="false" ht="15" hidden="false" customHeight="false" outlineLevel="0" collapsed="false">
      <c r="A96" s="41"/>
      <c r="B96" s="32"/>
      <c r="C96" s="43"/>
      <c r="D96" s="43"/>
      <c r="E96" s="41"/>
      <c r="F96" s="25" t="str">
        <f aca="false">IF(AND($A96="",$B96=""),"",IF(SUMPRODUCT(($B$6:$B$185=$B96)*($A$6:$A$185=$A96))&gt;1,"同公司同科目重复",IF(ISNA(MATCH($B96,会计科目表!$B$6:$B$85,0)),"科目不存在",IF(AND(N($C96)&lt;&gt;0,N($D96)&lt;&gt;0),"借贷不能同时有数","OK"))))</f>
        <v/>
      </c>
    </row>
    <row r="97" customFormat="false" ht="15" hidden="false" customHeight="false" outlineLevel="0" collapsed="false">
      <c r="A97" s="41"/>
      <c r="B97" s="32"/>
      <c r="C97" s="43"/>
      <c r="D97" s="43"/>
      <c r="E97" s="41"/>
      <c r="F97" s="25" t="str">
        <f aca="false">IF(AND($A97="",$B97=""),"",IF(SUMPRODUCT(($B$6:$B$185=$B97)*($A$6:$A$185=$A97))&gt;1,"同公司同科目重复",IF(ISNA(MATCH($B97,会计科目表!$B$6:$B$85,0)),"科目不存在",IF(AND(N($C97)&lt;&gt;0,N($D97)&lt;&gt;0),"借贷不能同时有数","OK"))))</f>
        <v/>
      </c>
    </row>
    <row r="98" customFormat="false" ht="15" hidden="false" customHeight="false" outlineLevel="0" collapsed="false">
      <c r="A98" s="41"/>
      <c r="B98" s="32"/>
      <c r="C98" s="43"/>
      <c r="D98" s="43"/>
      <c r="E98" s="41"/>
      <c r="F98" s="25" t="str">
        <f aca="false">IF(AND($A98="",$B98=""),"",IF(SUMPRODUCT(($B$6:$B$185=$B98)*($A$6:$A$185=$A98))&gt;1,"同公司同科目重复",IF(ISNA(MATCH($B98,会计科目表!$B$6:$B$85,0)),"科目不存在",IF(AND(N($C98)&lt;&gt;0,N($D98)&lt;&gt;0),"借贷不能同时有数","OK"))))</f>
        <v/>
      </c>
    </row>
    <row r="99" customFormat="false" ht="15" hidden="false" customHeight="false" outlineLevel="0" collapsed="false">
      <c r="A99" s="41"/>
      <c r="B99" s="32"/>
      <c r="C99" s="43"/>
      <c r="D99" s="43"/>
      <c r="E99" s="41"/>
      <c r="F99" s="25" t="str">
        <f aca="false">IF(AND($A99="",$B99=""),"",IF(SUMPRODUCT(($B$6:$B$185=$B99)*($A$6:$A$185=$A99))&gt;1,"同公司同科目重复",IF(ISNA(MATCH($B99,会计科目表!$B$6:$B$85,0)),"科目不存在",IF(AND(N($C99)&lt;&gt;0,N($D99)&lt;&gt;0),"借贷不能同时有数","OK"))))</f>
        <v/>
      </c>
    </row>
    <row r="100" customFormat="false" ht="15" hidden="false" customHeight="false" outlineLevel="0" collapsed="false">
      <c r="A100" s="41"/>
      <c r="B100" s="32"/>
      <c r="C100" s="43"/>
      <c r="D100" s="43"/>
      <c r="E100" s="41"/>
      <c r="F100" s="25" t="str">
        <f aca="false">IF(AND($A100="",$B100=""),"",IF(SUMPRODUCT(($B$6:$B$185=$B100)*($A$6:$A$185=$A100))&gt;1,"同公司同科目重复",IF(ISNA(MATCH($B100,会计科目表!$B$6:$B$85,0)),"科目不存在",IF(AND(N($C100)&lt;&gt;0,N($D100)&lt;&gt;0),"借贷不能同时有数","OK"))))</f>
        <v/>
      </c>
    </row>
    <row r="101" customFormat="false" ht="15" hidden="false" customHeight="false" outlineLevel="0" collapsed="false">
      <c r="A101" s="41"/>
      <c r="B101" s="32"/>
      <c r="C101" s="43"/>
      <c r="D101" s="43"/>
      <c r="E101" s="41"/>
      <c r="F101" s="25" t="str">
        <f aca="false">IF(AND($A101="",$B101=""),"",IF(SUMPRODUCT(($B$6:$B$185=$B101)*($A$6:$A$185=$A101))&gt;1,"同公司同科目重复",IF(ISNA(MATCH($B101,会计科目表!$B$6:$B$85,0)),"科目不存在",IF(AND(N($C101)&lt;&gt;0,N($D101)&lt;&gt;0),"借贷不能同时有数","OK"))))</f>
        <v/>
      </c>
    </row>
    <row r="102" customFormat="false" ht="15" hidden="false" customHeight="false" outlineLevel="0" collapsed="false">
      <c r="A102" s="41"/>
      <c r="B102" s="32"/>
      <c r="C102" s="43"/>
      <c r="D102" s="43"/>
      <c r="E102" s="41"/>
      <c r="F102" s="25" t="str">
        <f aca="false">IF(AND($A102="",$B102=""),"",IF(SUMPRODUCT(($B$6:$B$185=$B102)*($A$6:$A$185=$A102))&gt;1,"同公司同科目重复",IF(ISNA(MATCH($B102,会计科目表!$B$6:$B$85,0)),"科目不存在",IF(AND(N($C102)&lt;&gt;0,N($D102)&lt;&gt;0),"借贷不能同时有数","OK"))))</f>
        <v/>
      </c>
    </row>
    <row r="103" customFormat="false" ht="15" hidden="false" customHeight="false" outlineLevel="0" collapsed="false">
      <c r="A103" s="41"/>
      <c r="B103" s="32"/>
      <c r="C103" s="43"/>
      <c r="D103" s="43"/>
      <c r="E103" s="41"/>
      <c r="F103" s="25" t="str">
        <f aca="false">IF(AND($A103="",$B103=""),"",IF(SUMPRODUCT(($B$6:$B$185=$B103)*($A$6:$A$185=$A103))&gt;1,"同公司同科目重复",IF(ISNA(MATCH($B103,会计科目表!$B$6:$B$85,0)),"科目不存在",IF(AND(N($C103)&lt;&gt;0,N($D103)&lt;&gt;0),"借贷不能同时有数","OK"))))</f>
        <v/>
      </c>
    </row>
    <row r="104" customFormat="false" ht="15" hidden="false" customHeight="false" outlineLevel="0" collapsed="false">
      <c r="A104" s="41"/>
      <c r="B104" s="32"/>
      <c r="C104" s="43"/>
      <c r="D104" s="43"/>
      <c r="E104" s="41"/>
      <c r="F104" s="25" t="str">
        <f aca="false">IF(AND($A104="",$B104=""),"",IF(SUMPRODUCT(($B$6:$B$185=$B104)*($A$6:$A$185=$A104))&gt;1,"同公司同科目重复",IF(ISNA(MATCH($B104,会计科目表!$B$6:$B$85,0)),"科目不存在",IF(AND(N($C104)&lt;&gt;0,N($D104)&lt;&gt;0),"借贷不能同时有数","OK"))))</f>
        <v/>
      </c>
    </row>
    <row r="105" customFormat="false" ht="15" hidden="false" customHeight="false" outlineLevel="0" collapsed="false">
      <c r="A105" s="41"/>
      <c r="B105" s="32"/>
      <c r="C105" s="43"/>
      <c r="D105" s="43"/>
      <c r="E105" s="41"/>
      <c r="F105" s="25" t="str">
        <f aca="false">IF(AND($A105="",$B105=""),"",IF(SUMPRODUCT(($B$6:$B$185=$B105)*($A$6:$A$185=$A105))&gt;1,"同公司同科目重复",IF(ISNA(MATCH($B105,会计科目表!$B$6:$B$85,0)),"科目不存在",IF(AND(N($C105)&lt;&gt;0,N($D105)&lt;&gt;0),"借贷不能同时有数","OK"))))</f>
        <v/>
      </c>
    </row>
    <row r="106" customFormat="false" ht="15" hidden="false" customHeight="false" outlineLevel="0" collapsed="false">
      <c r="A106" s="41"/>
      <c r="B106" s="32"/>
      <c r="C106" s="43"/>
      <c r="D106" s="43"/>
      <c r="E106" s="41"/>
      <c r="F106" s="25" t="str">
        <f aca="false">IF(AND($A106="",$B106=""),"",IF(SUMPRODUCT(($B$6:$B$185=$B106)*($A$6:$A$185=$A106))&gt;1,"同公司同科目重复",IF(ISNA(MATCH($B106,会计科目表!$B$6:$B$85,0)),"科目不存在",IF(AND(N($C106)&lt;&gt;0,N($D106)&lt;&gt;0),"借贷不能同时有数","OK"))))</f>
        <v/>
      </c>
    </row>
    <row r="107" customFormat="false" ht="15" hidden="false" customHeight="false" outlineLevel="0" collapsed="false">
      <c r="A107" s="41"/>
      <c r="B107" s="32"/>
      <c r="C107" s="43"/>
      <c r="D107" s="43"/>
      <c r="E107" s="41"/>
      <c r="F107" s="25" t="str">
        <f aca="false">IF(AND($A107="",$B107=""),"",IF(SUMPRODUCT(($B$6:$B$185=$B107)*($A$6:$A$185=$A107))&gt;1,"同公司同科目重复",IF(ISNA(MATCH($B107,会计科目表!$B$6:$B$85,0)),"科目不存在",IF(AND(N($C107)&lt;&gt;0,N($D107)&lt;&gt;0),"借贷不能同时有数","OK"))))</f>
        <v/>
      </c>
    </row>
    <row r="108" customFormat="false" ht="15" hidden="false" customHeight="false" outlineLevel="0" collapsed="false">
      <c r="A108" s="41"/>
      <c r="B108" s="32"/>
      <c r="C108" s="43"/>
      <c r="D108" s="43"/>
      <c r="E108" s="41"/>
      <c r="F108" s="25" t="str">
        <f aca="false">IF(AND($A108="",$B108=""),"",IF(SUMPRODUCT(($B$6:$B$185=$B108)*($A$6:$A$185=$A108))&gt;1,"同公司同科目重复",IF(ISNA(MATCH($B108,会计科目表!$B$6:$B$85,0)),"科目不存在",IF(AND(N($C108)&lt;&gt;0,N($D108)&lt;&gt;0),"借贷不能同时有数","OK"))))</f>
        <v/>
      </c>
    </row>
    <row r="109" customFormat="false" ht="15" hidden="false" customHeight="false" outlineLevel="0" collapsed="false">
      <c r="A109" s="41"/>
      <c r="B109" s="32"/>
      <c r="C109" s="43"/>
      <c r="D109" s="43"/>
      <c r="E109" s="41"/>
      <c r="F109" s="25" t="str">
        <f aca="false">IF(AND($A109="",$B109=""),"",IF(SUMPRODUCT(($B$6:$B$185=$B109)*($A$6:$A$185=$A109))&gt;1,"同公司同科目重复",IF(ISNA(MATCH($B109,会计科目表!$B$6:$B$85,0)),"科目不存在",IF(AND(N($C109)&lt;&gt;0,N($D109)&lt;&gt;0),"借贷不能同时有数","OK"))))</f>
        <v/>
      </c>
    </row>
    <row r="110" customFormat="false" ht="15" hidden="false" customHeight="false" outlineLevel="0" collapsed="false">
      <c r="A110" s="41"/>
      <c r="B110" s="32"/>
      <c r="C110" s="43"/>
      <c r="D110" s="43"/>
      <c r="E110" s="41"/>
      <c r="F110" s="25" t="str">
        <f aca="false">IF(AND($A110="",$B110=""),"",IF(SUMPRODUCT(($B$6:$B$185=$B110)*($A$6:$A$185=$A110))&gt;1,"同公司同科目重复",IF(ISNA(MATCH($B110,会计科目表!$B$6:$B$85,0)),"科目不存在",IF(AND(N($C110)&lt;&gt;0,N($D110)&lt;&gt;0),"借贷不能同时有数","OK"))))</f>
        <v/>
      </c>
    </row>
    <row r="111" customFormat="false" ht="15" hidden="false" customHeight="false" outlineLevel="0" collapsed="false">
      <c r="A111" s="41"/>
      <c r="B111" s="32"/>
      <c r="C111" s="43"/>
      <c r="D111" s="43"/>
      <c r="E111" s="41"/>
      <c r="F111" s="25" t="str">
        <f aca="false">IF(AND($A111="",$B111=""),"",IF(SUMPRODUCT(($B$6:$B$185=$B111)*($A$6:$A$185=$A111))&gt;1,"同公司同科目重复",IF(ISNA(MATCH($B111,会计科目表!$B$6:$B$85,0)),"科目不存在",IF(AND(N($C111)&lt;&gt;0,N($D111)&lt;&gt;0),"借贷不能同时有数","OK"))))</f>
        <v/>
      </c>
    </row>
    <row r="112" customFormat="false" ht="15" hidden="false" customHeight="false" outlineLevel="0" collapsed="false">
      <c r="A112" s="41"/>
      <c r="B112" s="32"/>
      <c r="C112" s="43"/>
      <c r="D112" s="43"/>
      <c r="E112" s="41"/>
      <c r="F112" s="25" t="str">
        <f aca="false">IF(AND($A112="",$B112=""),"",IF(SUMPRODUCT(($B$6:$B$185=$B112)*($A$6:$A$185=$A112))&gt;1,"同公司同科目重复",IF(ISNA(MATCH($B112,会计科目表!$B$6:$B$85,0)),"科目不存在",IF(AND(N($C112)&lt;&gt;0,N($D112)&lt;&gt;0),"借贷不能同时有数","OK"))))</f>
        <v/>
      </c>
    </row>
    <row r="113" customFormat="false" ht="15" hidden="false" customHeight="false" outlineLevel="0" collapsed="false">
      <c r="A113" s="41"/>
      <c r="B113" s="32"/>
      <c r="C113" s="43"/>
      <c r="D113" s="43"/>
      <c r="E113" s="41"/>
      <c r="F113" s="25" t="str">
        <f aca="false">IF(AND($A113="",$B113=""),"",IF(SUMPRODUCT(($B$6:$B$185=$B113)*($A$6:$A$185=$A113))&gt;1,"同公司同科目重复",IF(ISNA(MATCH($B113,会计科目表!$B$6:$B$85,0)),"科目不存在",IF(AND(N($C113)&lt;&gt;0,N($D113)&lt;&gt;0),"借贷不能同时有数","OK"))))</f>
        <v/>
      </c>
    </row>
    <row r="114" customFormat="false" ht="15" hidden="false" customHeight="false" outlineLevel="0" collapsed="false">
      <c r="A114" s="41"/>
      <c r="B114" s="32"/>
      <c r="C114" s="43"/>
      <c r="D114" s="43"/>
      <c r="E114" s="41"/>
      <c r="F114" s="25" t="str">
        <f aca="false">IF(AND($A114="",$B114=""),"",IF(SUMPRODUCT(($B$6:$B$185=$B114)*($A$6:$A$185=$A114))&gt;1,"同公司同科目重复",IF(ISNA(MATCH($B114,会计科目表!$B$6:$B$85,0)),"科目不存在",IF(AND(N($C114)&lt;&gt;0,N($D114)&lt;&gt;0),"借贷不能同时有数","OK"))))</f>
        <v/>
      </c>
    </row>
    <row r="115" customFormat="false" ht="15" hidden="false" customHeight="false" outlineLevel="0" collapsed="false">
      <c r="A115" s="41"/>
      <c r="B115" s="32"/>
      <c r="C115" s="43"/>
      <c r="D115" s="43"/>
      <c r="E115" s="41"/>
      <c r="F115" s="25" t="str">
        <f aca="false">IF(AND($A115="",$B115=""),"",IF(SUMPRODUCT(($B$6:$B$185=$B115)*($A$6:$A$185=$A115))&gt;1,"同公司同科目重复",IF(ISNA(MATCH($B115,会计科目表!$B$6:$B$85,0)),"科目不存在",IF(AND(N($C115)&lt;&gt;0,N($D115)&lt;&gt;0),"借贷不能同时有数","OK"))))</f>
        <v/>
      </c>
    </row>
    <row r="116" customFormat="false" ht="15" hidden="false" customHeight="false" outlineLevel="0" collapsed="false">
      <c r="A116" s="41"/>
      <c r="B116" s="32"/>
      <c r="C116" s="43"/>
      <c r="D116" s="43"/>
      <c r="E116" s="41"/>
      <c r="F116" s="25" t="str">
        <f aca="false">IF(AND($A116="",$B116=""),"",IF(SUMPRODUCT(($B$6:$B$185=$B116)*($A$6:$A$185=$A116))&gt;1,"同公司同科目重复",IF(ISNA(MATCH($B116,会计科目表!$B$6:$B$85,0)),"科目不存在",IF(AND(N($C116)&lt;&gt;0,N($D116)&lt;&gt;0),"借贷不能同时有数","OK"))))</f>
        <v/>
      </c>
    </row>
    <row r="117" customFormat="false" ht="15" hidden="false" customHeight="false" outlineLevel="0" collapsed="false">
      <c r="A117" s="41"/>
      <c r="B117" s="32"/>
      <c r="C117" s="43"/>
      <c r="D117" s="43"/>
      <c r="E117" s="41"/>
      <c r="F117" s="25" t="str">
        <f aca="false">IF(AND($A117="",$B117=""),"",IF(SUMPRODUCT(($B$6:$B$185=$B117)*($A$6:$A$185=$A117))&gt;1,"同公司同科目重复",IF(ISNA(MATCH($B117,会计科目表!$B$6:$B$85,0)),"科目不存在",IF(AND(N($C117)&lt;&gt;0,N($D117)&lt;&gt;0),"借贷不能同时有数","OK"))))</f>
        <v/>
      </c>
    </row>
    <row r="118" customFormat="false" ht="15" hidden="false" customHeight="false" outlineLevel="0" collapsed="false">
      <c r="A118" s="41"/>
      <c r="B118" s="32"/>
      <c r="C118" s="43"/>
      <c r="D118" s="43"/>
      <c r="E118" s="41"/>
      <c r="F118" s="25" t="str">
        <f aca="false">IF(AND($A118="",$B118=""),"",IF(SUMPRODUCT(($B$6:$B$185=$B118)*($A$6:$A$185=$A118))&gt;1,"同公司同科目重复",IF(ISNA(MATCH($B118,会计科目表!$B$6:$B$85,0)),"科目不存在",IF(AND(N($C118)&lt;&gt;0,N($D118)&lt;&gt;0),"借贷不能同时有数","OK"))))</f>
        <v/>
      </c>
    </row>
    <row r="119" customFormat="false" ht="15" hidden="false" customHeight="false" outlineLevel="0" collapsed="false">
      <c r="A119" s="41"/>
      <c r="B119" s="32"/>
      <c r="C119" s="43"/>
      <c r="D119" s="43"/>
      <c r="E119" s="41"/>
      <c r="F119" s="25" t="str">
        <f aca="false">IF(AND($A119="",$B119=""),"",IF(SUMPRODUCT(($B$6:$B$185=$B119)*($A$6:$A$185=$A119))&gt;1,"同公司同科目重复",IF(ISNA(MATCH($B119,会计科目表!$B$6:$B$85,0)),"科目不存在",IF(AND(N($C119)&lt;&gt;0,N($D119)&lt;&gt;0),"借贷不能同时有数","OK"))))</f>
        <v/>
      </c>
    </row>
    <row r="120" customFormat="false" ht="15" hidden="false" customHeight="false" outlineLevel="0" collapsed="false">
      <c r="A120" s="41"/>
      <c r="B120" s="32"/>
      <c r="C120" s="43"/>
      <c r="D120" s="43"/>
      <c r="E120" s="41"/>
      <c r="F120" s="25" t="str">
        <f aca="false">IF(AND($A120="",$B120=""),"",IF(SUMPRODUCT(($B$6:$B$185=$B120)*($A$6:$A$185=$A120))&gt;1,"同公司同科目重复",IF(ISNA(MATCH($B120,会计科目表!$B$6:$B$85,0)),"科目不存在",IF(AND(N($C120)&lt;&gt;0,N($D120)&lt;&gt;0),"借贷不能同时有数","OK"))))</f>
        <v/>
      </c>
    </row>
    <row r="121" customFormat="false" ht="15" hidden="false" customHeight="false" outlineLevel="0" collapsed="false">
      <c r="A121" s="41"/>
      <c r="B121" s="32"/>
      <c r="C121" s="43"/>
      <c r="D121" s="43"/>
      <c r="E121" s="41"/>
      <c r="F121" s="25" t="str">
        <f aca="false">IF(AND($A121="",$B121=""),"",IF(SUMPRODUCT(($B$6:$B$185=$B121)*($A$6:$A$185=$A121))&gt;1,"同公司同科目重复",IF(ISNA(MATCH($B121,会计科目表!$B$6:$B$85,0)),"科目不存在",IF(AND(N($C121)&lt;&gt;0,N($D121)&lt;&gt;0),"借贷不能同时有数","OK"))))</f>
        <v/>
      </c>
    </row>
    <row r="122" customFormat="false" ht="15" hidden="false" customHeight="false" outlineLevel="0" collapsed="false">
      <c r="A122" s="41"/>
      <c r="B122" s="32"/>
      <c r="C122" s="43"/>
      <c r="D122" s="43"/>
      <c r="E122" s="41"/>
      <c r="F122" s="25" t="str">
        <f aca="false">IF(AND($A122="",$B122=""),"",IF(SUMPRODUCT(($B$6:$B$185=$B122)*($A$6:$A$185=$A122))&gt;1,"同公司同科目重复",IF(ISNA(MATCH($B122,会计科目表!$B$6:$B$85,0)),"科目不存在",IF(AND(N($C122)&lt;&gt;0,N($D122)&lt;&gt;0),"借贷不能同时有数","OK"))))</f>
        <v/>
      </c>
    </row>
    <row r="123" customFormat="false" ht="15" hidden="false" customHeight="false" outlineLevel="0" collapsed="false">
      <c r="A123" s="41"/>
      <c r="B123" s="32"/>
      <c r="C123" s="43"/>
      <c r="D123" s="43"/>
      <c r="E123" s="41"/>
      <c r="F123" s="25" t="str">
        <f aca="false">IF(AND($A123="",$B123=""),"",IF(SUMPRODUCT(($B$6:$B$185=$B123)*($A$6:$A$185=$A123))&gt;1,"同公司同科目重复",IF(ISNA(MATCH($B123,会计科目表!$B$6:$B$85,0)),"科目不存在",IF(AND(N($C123)&lt;&gt;0,N($D123)&lt;&gt;0),"借贷不能同时有数","OK"))))</f>
        <v/>
      </c>
    </row>
    <row r="124" customFormat="false" ht="15" hidden="false" customHeight="false" outlineLevel="0" collapsed="false">
      <c r="A124" s="41"/>
      <c r="B124" s="32"/>
      <c r="C124" s="43"/>
      <c r="D124" s="43"/>
      <c r="E124" s="41"/>
      <c r="F124" s="25" t="str">
        <f aca="false">IF(AND($A124="",$B124=""),"",IF(SUMPRODUCT(($B$6:$B$185=$B124)*($A$6:$A$185=$A124))&gt;1,"同公司同科目重复",IF(ISNA(MATCH($B124,会计科目表!$B$6:$B$85,0)),"科目不存在",IF(AND(N($C124)&lt;&gt;0,N($D124)&lt;&gt;0),"借贷不能同时有数","OK"))))</f>
        <v/>
      </c>
    </row>
    <row r="125" customFormat="false" ht="15" hidden="false" customHeight="false" outlineLevel="0" collapsed="false">
      <c r="A125" s="41"/>
      <c r="B125" s="32"/>
      <c r="C125" s="43"/>
      <c r="D125" s="43"/>
      <c r="E125" s="41"/>
      <c r="F125" s="25" t="str">
        <f aca="false">IF(AND($A125="",$B125=""),"",IF(SUMPRODUCT(($B$6:$B$185=$B125)*($A$6:$A$185=$A125))&gt;1,"同公司同科目重复",IF(ISNA(MATCH($B125,会计科目表!$B$6:$B$85,0)),"科目不存在",IF(AND(N($C125)&lt;&gt;0,N($D125)&lt;&gt;0),"借贷不能同时有数","OK"))))</f>
        <v/>
      </c>
    </row>
    <row r="126" customFormat="false" ht="15" hidden="false" customHeight="false" outlineLevel="0" collapsed="false">
      <c r="A126" s="41"/>
      <c r="B126" s="32"/>
      <c r="C126" s="43"/>
      <c r="D126" s="43"/>
      <c r="E126" s="41"/>
      <c r="F126" s="25" t="str">
        <f aca="false">IF(AND($A126="",$B126=""),"",IF(SUMPRODUCT(($B$6:$B$185=$B126)*($A$6:$A$185=$A126))&gt;1,"同公司同科目重复",IF(ISNA(MATCH($B126,会计科目表!$B$6:$B$85,0)),"科目不存在",IF(AND(N($C126)&lt;&gt;0,N($D126)&lt;&gt;0),"借贷不能同时有数","OK"))))</f>
        <v/>
      </c>
    </row>
    <row r="127" customFormat="false" ht="15" hidden="false" customHeight="false" outlineLevel="0" collapsed="false">
      <c r="A127" s="41"/>
      <c r="B127" s="32"/>
      <c r="C127" s="43"/>
      <c r="D127" s="43"/>
      <c r="E127" s="41"/>
      <c r="F127" s="25" t="str">
        <f aca="false">IF(AND($A127="",$B127=""),"",IF(SUMPRODUCT(($B$6:$B$185=$B127)*($A$6:$A$185=$A127))&gt;1,"同公司同科目重复",IF(ISNA(MATCH($B127,会计科目表!$B$6:$B$85,0)),"科目不存在",IF(AND(N($C127)&lt;&gt;0,N($D127)&lt;&gt;0),"借贷不能同时有数","OK"))))</f>
        <v/>
      </c>
    </row>
    <row r="128" customFormat="false" ht="15" hidden="false" customHeight="false" outlineLevel="0" collapsed="false">
      <c r="A128" s="41"/>
      <c r="B128" s="32"/>
      <c r="C128" s="43"/>
      <c r="D128" s="43"/>
      <c r="E128" s="41"/>
      <c r="F128" s="25" t="str">
        <f aca="false">IF(AND($A128="",$B128=""),"",IF(SUMPRODUCT(($B$6:$B$185=$B128)*($A$6:$A$185=$A128))&gt;1,"同公司同科目重复",IF(ISNA(MATCH($B128,会计科目表!$B$6:$B$85,0)),"科目不存在",IF(AND(N($C128)&lt;&gt;0,N($D128)&lt;&gt;0),"借贷不能同时有数","OK"))))</f>
        <v/>
      </c>
    </row>
    <row r="129" customFormat="false" ht="15" hidden="false" customHeight="false" outlineLevel="0" collapsed="false">
      <c r="A129" s="41"/>
      <c r="B129" s="32"/>
      <c r="C129" s="43"/>
      <c r="D129" s="43"/>
      <c r="E129" s="41"/>
      <c r="F129" s="25" t="str">
        <f aca="false">IF(AND($A129="",$B129=""),"",IF(SUMPRODUCT(($B$6:$B$185=$B129)*($A$6:$A$185=$A129))&gt;1,"同公司同科目重复",IF(ISNA(MATCH($B129,会计科目表!$B$6:$B$85,0)),"科目不存在",IF(AND(N($C129)&lt;&gt;0,N($D129)&lt;&gt;0),"借贷不能同时有数","OK"))))</f>
        <v/>
      </c>
    </row>
    <row r="130" customFormat="false" ht="15" hidden="false" customHeight="false" outlineLevel="0" collapsed="false">
      <c r="A130" s="41"/>
      <c r="B130" s="32"/>
      <c r="C130" s="43"/>
      <c r="D130" s="43"/>
      <c r="E130" s="41"/>
      <c r="F130" s="25" t="str">
        <f aca="false">IF(AND($A130="",$B130=""),"",IF(SUMPRODUCT(($B$6:$B$185=$B130)*($A$6:$A$185=$A130))&gt;1,"同公司同科目重复",IF(ISNA(MATCH($B130,会计科目表!$B$6:$B$85,0)),"科目不存在",IF(AND(N($C130)&lt;&gt;0,N($D130)&lt;&gt;0),"借贷不能同时有数","OK"))))</f>
        <v/>
      </c>
    </row>
    <row r="131" customFormat="false" ht="15" hidden="false" customHeight="false" outlineLevel="0" collapsed="false">
      <c r="A131" s="41"/>
      <c r="B131" s="32"/>
      <c r="C131" s="43"/>
      <c r="D131" s="43"/>
      <c r="E131" s="41"/>
      <c r="F131" s="25" t="str">
        <f aca="false">IF(AND($A131="",$B131=""),"",IF(SUMPRODUCT(($B$6:$B$185=$B131)*($A$6:$A$185=$A131))&gt;1,"同公司同科目重复",IF(ISNA(MATCH($B131,会计科目表!$B$6:$B$85,0)),"科目不存在",IF(AND(N($C131)&lt;&gt;0,N($D131)&lt;&gt;0),"借贷不能同时有数","OK"))))</f>
        <v/>
      </c>
    </row>
    <row r="132" customFormat="false" ht="15" hidden="false" customHeight="false" outlineLevel="0" collapsed="false">
      <c r="A132" s="41"/>
      <c r="B132" s="32"/>
      <c r="C132" s="43"/>
      <c r="D132" s="43"/>
      <c r="E132" s="41"/>
      <c r="F132" s="25" t="str">
        <f aca="false">IF(AND($A132="",$B132=""),"",IF(SUMPRODUCT(($B$6:$B$185=$B132)*($A$6:$A$185=$A132))&gt;1,"同公司同科目重复",IF(ISNA(MATCH($B132,会计科目表!$B$6:$B$85,0)),"科目不存在",IF(AND(N($C132)&lt;&gt;0,N($D132)&lt;&gt;0),"借贷不能同时有数","OK"))))</f>
        <v/>
      </c>
    </row>
    <row r="133" customFormat="false" ht="15" hidden="false" customHeight="false" outlineLevel="0" collapsed="false">
      <c r="A133" s="41"/>
      <c r="B133" s="32"/>
      <c r="C133" s="43"/>
      <c r="D133" s="43"/>
      <c r="E133" s="41"/>
      <c r="F133" s="25" t="str">
        <f aca="false">IF(AND($A133="",$B133=""),"",IF(SUMPRODUCT(($B$6:$B$185=$B133)*($A$6:$A$185=$A133))&gt;1,"同公司同科目重复",IF(ISNA(MATCH($B133,会计科目表!$B$6:$B$85,0)),"科目不存在",IF(AND(N($C133)&lt;&gt;0,N($D133)&lt;&gt;0),"借贷不能同时有数","OK"))))</f>
        <v/>
      </c>
    </row>
    <row r="134" customFormat="false" ht="15" hidden="false" customHeight="false" outlineLevel="0" collapsed="false">
      <c r="A134" s="41"/>
      <c r="B134" s="32"/>
      <c r="C134" s="43"/>
      <c r="D134" s="43"/>
      <c r="E134" s="41"/>
      <c r="F134" s="25" t="str">
        <f aca="false">IF(AND($A134="",$B134=""),"",IF(SUMPRODUCT(($B$6:$B$185=$B134)*($A$6:$A$185=$A134))&gt;1,"同公司同科目重复",IF(ISNA(MATCH($B134,会计科目表!$B$6:$B$85,0)),"科目不存在",IF(AND(N($C134)&lt;&gt;0,N($D134)&lt;&gt;0),"借贷不能同时有数","OK"))))</f>
        <v/>
      </c>
    </row>
    <row r="135" customFormat="false" ht="15" hidden="false" customHeight="false" outlineLevel="0" collapsed="false">
      <c r="A135" s="41"/>
      <c r="B135" s="32"/>
      <c r="C135" s="43"/>
      <c r="D135" s="43"/>
      <c r="E135" s="41"/>
      <c r="F135" s="25" t="str">
        <f aca="false">IF(AND($A135="",$B135=""),"",IF(SUMPRODUCT(($B$6:$B$185=$B135)*($A$6:$A$185=$A135))&gt;1,"同公司同科目重复",IF(ISNA(MATCH($B135,会计科目表!$B$6:$B$85,0)),"科目不存在",IF(AND(N($C135)&lt;&gt;0,N($D135)&lt;&gt;0),"借贷不能同时有数","OK"))))</f>
        <v/>
      </c>
    </row>
    <row r="136" customFormat="false" ht="15" hidden="false" customHeight="false" outlineLevel="0" collapsed="false">
      <c r="A136" s="41"/>
      <c r="B136" s="32"/>
      <c r="C136" s="43"/>
      <c r="D136" s="43"/>
      <c r="E136" s="41"/>
      <c r="F136" s="25" t="str">
        <f aca="false">IF(AND($A136="",$B136=""),"",IF(SUMPRODUCT(($B$6:$B$185=$B136)*($A$6:$A$185=$A136))&gt;1,"同公司同科目重复",IF(ISNA(MATCH($B136,会计科目表!$B$6:$B$85,0)),"科目不存在",IF(AND(N($C136)&lt;&gt;0,N($D136)&lt;&gt;0),"借贷不能同时有数","OK"))))</f>
        <v/>
      </c>
    </row>
    <row r="137" customFormat="false" ht="15" hidden="false" customHeight="false" outlineLevel="0" collapsed="false">
      <c r="A137" s="41"/>
      <c r="B137" s="32"/>
      <c r="C137" s="43"/>
      <c r="D137" s="43"/>
      <c r="E137" s="41"/>
      <c r="F137" s="25" t="str">
        <f aca="false">IF(AND($A137="",$B137=""),"",IF(SUMPRODUCT(($B$6:$B$185=$B137)*($A$6:$A$185=$A137))&gt;1,"同公司同科目重复",IF(ISNA(MATCH($B137,会计科目表!$B$6:$B$85,0)),"科目不存在",IF(AND(N($C137)&lt;&gt;0,N($D137)&lt;&gt;0),"借贷不能同时有数","OK"))))</f>
        <v/>
      </c>
    </row>
    <row r="138" customFormat="false" ht="15" hidden="false" customHeight="false" outlineLevel="0" collapsed="false">
      <c r="A138" s="41"/>
      <c r="B138" s="32"/>
      <c r="C138" s="43"/>
      <c r="D138" s="43"/>
      <c r="E138" s="41"/>
      <c r="F138" s="25" t="str">
        <f aca="false">IF(AND($A138="",$B138=""),"",IF(SUMPRODUCT(($B$6:$B$185=$B138)*($A$6:$A$185=$A138))&gt;1,"同公司同科目重复",IF(ISNA(MATCH($B138,会计科目表!$B$6:$B$85,0)),"科目不存在",IF(AND(N($C138)&lt;&gt;0,N($D138)&lt;&gt;0),"借贷不能同时有数","OK"))))</f>
        <v/>
      </c>
    </row>
    <row r="139" customFormat="false" ht="15" hidden="false" customHeight="false" outlineLevel="0" collapsed="false">
      <c r="A139" s="41"/>
      <c r="B139" s="32"/>
      <c r="C139" s="43"/>
      <c r="D139" s="43"/>
      <c r="E139" s="41"/>
      <c r="F139" s="25" t="str">
        <f aca="false">IF(AND($A139="",$B139=""),"",IF(SUMPRODUCT(($B$6:$B$185=$B139)*($A$6:$A$185=$A139))&gt;1,"同公司同科目重复",IF(ISNA(MATCH($B139,会计科目表!$B$6:$B$85,0)),"科目不存在",IF(AND(N($C139)&lt;&gt;0,N($D139)&lt;&gt;0),"借贷不能同时有数","OK"))))</f>
        <v/>
      </c>
    </row>
    <row r="140" customFormat="false" ht="15" hidden="false" customHeight="false" outlineLevel="0" collapsed="false">
      <c r="A140" s="41"/>
      <c r="B140" s="32"/>
      <c r="C140" s="43"/>
      <c r="D140" s="43"/>
      <c r="E140" s="41"/>
      <c r="F140" s="25" t="str">
        <f aca="false">IF(AND($A140="",$B140=""),"",IF(SUMPRODUCT(($B$6:$B$185=$B140)*($A$6:$A$185=$A140))&gt;1,"同公司同科目重复",IF(ISNA(MATCH($B140,会计科目表!$B$6:$B$85,0)),"科目不存在",IF(AND(N($C140)&lt;&gt;0,N($D140)&lt;&gt;0),"借贷不能同时有数","OK"))))</f>
        <v/>
      </c>
    </row>
    <row r="141" customFormat="false" ht="15" hidden="false" customHeight="false" outlineLevel="0" collapsed="false">
      <c r="A141" s="41"/>
      <c r="B141" s="32"/>
      <c r="C141" s="43"/>
      <c r="D141" s="43"/>
      <c r="E141" s="41"/>
      <c r="F141" s="25" t="str">
        <f aca="false">IF(AND($A141="",$B141=""),"",IF(SUMPRODUCT(($B$6:$B$185=$B141)*($A$6:$A$185=$A141))&gt;1,"同公司同科目重复",IF(ISNA(MATCH($B141,会计科目表!$B$6:$B$85,0)),"科目不存在",IF(AND(N($C141)&lt;&gt;0,N($D141)&lt;&gt;0),"借贷不能同时有数","OK"))))</f>
        <v/>
      </c>
    </row>
    <row r="142" customFormat="false" ht="15" hidden="false" customHeight="false" outlineLevel="0" collapsed="false">
      <c r="A142" s="41"/>
      <c r="B142" s="32"/>
      <c r="C142" s="43"/>
      <c r="D142" s="43"/>
      <c r="E142" s="41"/>
      <c r="F142" s="25" t="str">
        <f aca="false">IF(AND($A142="",$B142=""),"",IF(SUMPRODUCT(($B$6:$B$185=$B142)*($A$6:$A$185=$A142))&gt;1,"同公司同科目重复",IF(ISNA(MATCH($B142,会计科目表!$B$6:$B$85,0)),"科目不存在",IF(AND(N($C142)&lt;&gt;0,N($D142)&lt;&gt;0),"借贷不能同时有数","OK"))))</f>
        <v/>
      </c>
    </row>
    <row r="143" customFormat="false" ht="15" hidden="false" customHeight="false" outlineLevel="0" collapsed="false">
      <c r="A143" s="41"/>
      <c r="B143" s="32"/>
      <c r="C143" s="43"/>
      <c r="D143" s="43"/>
      <c r="E143" s="41"/>
      <c r="F143" s="25" t="str">
        <f aca="false">IF(AND($A143="",$B143=""),"",IF(SUMPRODUCT(($B$6:$B$185=$B143)*($A$6:$A$185=$A143))&gt;1,"同公司同科目重复",IF(ISNA(MATCH($B143,会计科目表!$B$6:$B$85,0)),"科目不存在",IF(AND(N($C143)&lt;&gt;0,N($D143)&lt;&gt;0),"借贷不能同时有数","OK"))))</f>
        <v/>
      </c>
    </row>
    <row r="144" customFormat="false" ht="15" hidden="false" customHeight="false" outlineLevel="0" collapsed="false">
      <c r="A144" s="41"/>
      <c r="B144" s="32"/>
      <c r="C144" s="43"/>
      <c r="D144" s="43"/>
      <c r="E144" s="41"/>
      <c r="F144" s="25" t="str">
        <f aca="false">IF(AND($A144="",$B144=""),"",IF(SUMPRODUCT(($B$6:$B$185=$B144)*($A$6:$A$185=$A144))&gt;1,"同公司同科目重复",IF(ISNA(MATCH($B144,会计科目表!$B$6:$B$85,0)),"科目不存在",IF(AND(N($C144)&lt;&gt;0,N($D144)&lt;&gt;0),"借贷不能同时有数","OK"))))</f>
        <v/>
      </c>
    </row>
    <row r="145" customFormat="false" ht="15" hidden="false" customHeight="false" outlineLevel="0" collapsed="false">
      <c r="A145" s="41"/>
      <c r="B145" s="32"/>
      <c r="C145" s="43"/>
      <c r="D145" s="43"/>
      <c r="E145" s="41"/>
      <c r="F145" s="25" t="str">
        <f aca="false">IF(AND($A145="",$B145=""),"",IF(SUMPRODUCT(($B$6:$B$185=$B145)*($A$6:$A$185=$A145))&gt;1,"同公司同科目重复",IF(ISNA(MATCH($B145,会计科目表!$B$6:$B$85,0)),"科目不存在",IF(AND(N($C145)&lt;&gt;0,N($D145)&lt;&gt;0),"借贷不能同时有数","OK"))))</f>
        <v/>
      </c>
    </row>
    <row r="146" customFormat="false" ht="15" hidden="false" customHeight="false" outlineLevel="0" collapsed="false">
      <c r="A146" s="41"/>
      <c r="B146" s="32"/>
      <c r="C146" s="43"/>
      <c r="D146" s="43"/>
      <c r="E146" s="41"/>
      <c r="F146" s="25" t="str">
        <f aca="false">IF(AND($A146="",$B146=""),"",IF(SUMPRODUCT(($B$6:$B$185=$B146)*($A$6:$A$185=$A146))&gt;1,"同公司同科目重复",IF(ISNA(MATCH($B146,会计科目表!$B$6:$B$85,0)),"科目不存在",IF(AND(N($C146)&lt;&gt;0,N($D146)&lt;&gt;0),"借贷不能同时有数","OK"))))</f>
        <v/>
      </c>
    </row>
    <row r="147" customFormat="false" ht="15" hidden="false" customHeight="false" outlineLevel="0" collapsed="false">
      <c r="A147" s="41"/>
      <c r="B147" s="32"/>
      <c r="C147" s="43"/>
      <c r="D147" s="43"/>
      <c r="E147" s="41"/>
      <c r="F147" s="25" t="str">
        <f aca="false">IF(AND($A147="",$B147=""),"",IF(SUMPRODUCT(($B$6:$B$185=$B147)*($A$6:$A$185=$A147))&gt;1,"同公司同科目重复",IF(ISNA(MATCH($B147,会计科目表!$B$6:$B$85,0)),"科目不存在",IF(AND(N($C147)&lt;&gt;0,N($D147)&lt;&gt;0),"借贷不能同时有数","OK"))))</f>
        <v/>
      </c>
    </row>
    <row r="148" customFormat="false" ht="15" hidden="false" customHeight="false" outlineLevel="0" collapsed="false">
      <c r="A148" s="41"/>
      <c r="B148" s="32"/>
      <c r="C148" s="43"/>
      <c r="D148" s="43"/>
      <c r="E148" s="41"/>
      <c r="F148" s="25" t="str">
        <f aca="false">IF(AND($A148="",$B148=""),"",IF(SUMPRODUCT(($B$6:$B$185=$B148)*($A$6:$A$185=$A148))&gt;1,"同公司同科目重复",IF(ISNA(MATCH($B148,会计科目表!$B$6:$B$85,0)),"科目不存在",IF(AND(N($C148)&lt;&gt;0,N($D148)&lt;&gt;0),"借贷不能同时有数","OK"))))</f>
        <v/>
      </c>
    </row>
    <row r="149" customFormat="false" ht="15" hidden="false" customHeight="false" outlineLevel="0" collapsed="false">
      <c r="A149" s="41"/>
      <c r="B149" s="32"/>
      <c r="C149" s="43"/>
      <c r="D149" s="43"/>
      <c r="E149" s="41"/>
      <c r="F149" s="25" t="str">
        <f aca="false">IF(AND($A149="",$B149=""),"",IF(SUMPRODUCT(($B$6:$B$185=$B149)*($A$6:$A$185=$A149))&gt;1,"同公司同科目重复",IF(ISNA(MATCH($B149,会计科目表!$B$6:$B$85,0)),"科目不存在",IF(AND(N($C149)&lt;&gt;0,N($D149)&lt;&gt;0),"借贷不能同时有数","OK"))))</f>
        <v/>
      </c>
    </row>
    <row r="150" customFormat="false" ht="15" hidden="false" customHeight="false" outlineLevel="0" collapsed="false">
      <c r="A150" s="41"/>
      <c r="B150" s="32"/>
      <c r="C150" s="43"/>
      <c r="D150" s="43"/>
      <c r="E150" s="41"/>
      <c r="F150" s="25" t="str">
        <f aca="false">IF(AND($A150="",$B150=""),"",IF(SUMPRODUCT(($B$6:$B$185=$B150)*($A$6:$A$185=$A150))&gt;1,"同公司同科目重复",IF(ISNA(MATCH($B150,会计科目表!$B$6:$B$85,0)),"科目不存在",IF(AND(N($C150)&lt;&gt;0,N($D150)&lt;&gt;0),"借贷不能同时有数","OK"))))</f>
        <v/>
      </c>
    </row>
    <row r="151" customFormat="false" ht="15" hidden="false" customHeight="false" outlineLevel="0" collapsed="false">
      <c r="A151" s="41"/>
      <c r="B151" s="32"/>
      <c r="C151" s="43"/>
      <c r="D151" s="43"/>
      <c r="E151" s="41"/>
      <c r="F151" s="25" t="str">
        <f aca="false">IF(AND($A151="",$B151=""),"",IF(SUMPRODUCT(($B$6:$B$185=$B151)*($A$6:$A$185=$A151))&gt;1,"同公司同科目重复",IF(ISNA(MATCH($B151,会计科目表!$B$6:$B$85,0)),"科目不存在",IF(AND(N($C151)&lt;&gt;0,N($D151)&lt;&gt;0),"借贷不能同时有数","OK"))))</f>
        <v/>
      </c>
    </row>
    <row r="152" customFormat="false" ht="15" hidden="false" customHeight="false" outlineLevel="0" collapsed="false">
      <c r="A152" s="41"/>
      <c r="B152" s="32"/>
      <c r="C152" s="43"/>
      <c r="D152" s="43"/>
      <c r="E152" s="41"/>
      <c r="F152" s="25" t="str">
        <f aca="false">IF(AND($A152="",$B152=""),"",IF(SUMPRODUCT(($B$6:$B$185=$B152)*($A$6:$A$185=$A152))&gt;1,"同公司同科目重复",IF(ISNA(MATCH($B152,会计科目表!$B$6:$B$85,0)),"科目不存在",IF(AND(N($C152)&lt;&gt;0,N($D152)&lt;&gt;0),"借贷不能同时有数","OK"))))</f>
        <v/>
      </c>
    </row>
    <row r="153" customFormat="false" ht="15" hidden="false" customHeight="false" outlineLevel="0" collapsed="false">
      <c r="A153" s="41"/>
      <c r="B153" s="32"/>
      <c r="C153" s="43"/>
      <c r="D153" s="43"/>
      <c r="E153" s="41"/>
      <c r="F153" s="25" t="str">
        <f aca="false">IF(AND($A153="",$B153=""),"",IF(SUMPRODUCT(($B$6:$B$185=$B153)*($A$6:$A$185=$A153))&gt;1,"同公司同科目重复",IF(ISNA(MATCH($B153,会计科目表!$B$6:$B$85,0)),"科目不存在",IF(AND(N($C153)&lt;&gt;0,N($D153)&lt;&gt;0),"借贷不能同时有数","OK"))))</f>
        <v/>
      </c>
    </row>
    <row r="154" customFormat="false" ht="15" hidden="false" customHeight="false" outlineLevel="0" collapsed="false">
      <c r="A154" s="41"/>
      <c r="B154" s="32"/>
      <c r="C154" s="43"/>
      <c r="D154" s="43"/>
      <c r="E154" s="41"/>
      <c r="F154" s="25" t="str">
        <f aca="false">IF(AND($A154="",$B154=""),"",IF(SUMPRODUCT(($B$6:$B$185=$B154)*($A$6:$A$185=$A154))&gt;1,"同公司同科目重复",IF(ISNA(MATCH($B154,会计科目表!$B$6:$B$85,0)),"科目不存在",IF(AND(N($C154)&lt;&gt;0,N($D154)&lt;&gt;0),"借贷不能同时有数","OK"))))</f>
        <v/>
      </c>
    </row>
    <row r="155" customFormat="false" ht="15" hidden="false" customHeight="false" outlineLevel="0" collapsed="false">
      <c r="A155" s="41"/>
      <c r="B155" s="32"/>
      <c r="C155" s="43"/>
      <c r="D155" s="43"/>
      <c r="E155" s="41"/>
      <c r="F155" s="25" t="str">
        <f aca="false">IF(AND($A155="",$B155=""),"",IF(SUMPRODUCT(($B$6:$B$185=$B155)*($A$6:$A$185=$A155))&gt;1,"同公司同科目重复",IF(ISNA(MATCH($B155,会计科目表!$B$6:$B$85,0)),"科目不存在",IF(AND(N($C155)&lt;&gt;0,N($D155)&lt;&gt;0),"借贷不能同时有数","OK"))))</f>
        <v/>
      </c>
    </row>
    <row r="156" customFormat="false" ht="15" hidden="false" customHeight="false" outlineLevel="0" collapsed="false">
      <c r="A156" s="41"/>
      <c r="B156" s="32"/>
      <c r="C156" s="43"/>
      <c r="D156" s="43"/>
      <c r="E156" s="41"/>
      <c r="F156" s="25" t="str">
        <f aca="false">IF(AND($A156="",$B156=""),"",IF(SUMPRODUCT(($B$6:$B$185=$B156)*($A$6:$A$185=$A156))&gt;1,"同公司同科目重复",IF(ISNA(MATCH($B156,会计科目表!$B$6:$B$85,0)),"科目不存在",IF(AND(N($C156)&lt;&gt;0,N($D156)&lt;&gt;0),"借贷不能同时有数","OK"))))</f>
        <v/>
      </c>
    </row>
    <row r="157" customFormat="false" ht="15" hidden="false" customHeight="false" outlineLevel="0" collapsed="false">
      <c r="A157" s="41"/>
      <c r="B157" s="32"/>
      <c r="C157" s="43"/>
      <c r="D157" s="43"/>
      <c r="E157" s="41"/>
      <c r="F157" s="25" t="str">
        <f aca="false">IF(AND($A157="",$B157=""),"",IF(SUMPRODUCT(($B$6:$B$185=$B157)*($A$6:$A$185=$A157))&gt;1,"同公司同科目重复",IF(ISNA(MATCH($B157,会计科目表!$B$6:$B$85,0)),"科目不存在",IF(AND(N($C157)&lt;&gt;0,N($D157)&lt;&gt;0),"借贷不能同时有数","OK"))))</f>
        <v/>
      </c>
    </row>
    <row r="158" customFormat="false" ht="15" hidden="false" customHeight="false" outlineLevel="0" collapsed="false">
      <c r="A158" s="41"/>
      <c r="B158" s="32"/>
      <c r="C158" s="43"/>
      <c r="D158" s="43"/>
      <c r="E158" s="41"/>
      <c r="F158" s="25" t="str">
        <f aca="false">IF(AND($A158="",$B158=""),"",IF(SUMPRODUCT(($B$6:$B$185=$B158)*($A$6:$A$185=$A158))&gt;1,"同公司同科目重复",IF(ISNA(MATCH($B158,会计科目表!$B$6:$B$85,0)),"科目不存在",IF(AND(N($C158)&lt;&gt;0,N($D158)&lt;&gt;0),"借贷不能同时有数","OK"))))</f>
        <v/>
      </c>
    </row>
    <row r="159" customFormat="false" ht="15" hidden="false" customHeight="false" outlineLevel="0" collapsed="false">
      <c r="A159" s="41"/>
      <c r="B159" s="32"/>
      <c r="C159" s="43"/>
      <c r="D159" s="43"/>
      <c r="E159" s="41"/>
      <c r="F159" s="25" t="str">
        <f aca="false">IF(AND($A159="",$B159=""),"",IF(SUMPRODUCT(($B$6:$B$185=$B159)*($A$6:$A$185=$A159))&gt;1,"同公司同科目重复",IF(ISNA(MATCH($B159,会计科目表!$B$6:$B$85,0)),"科目不存在",IF(AND(N($C159)&lt;&gt;0,N($D159)&lt;&gt;0),"借贷不能同时有数","OK"))))</f>
        <v/>
      </c>
    </row>
    <row r="160" customFormat="false" ht="15" hidden="false" customHeight="false" outlineLevel="0" collapsed="false">
      <c r="A160" s="41"/>
      <c r="B160" s="32"/>
      <c r="C160" s="43"/>
      <c r="D160" s="43"/>
      <c r="E160" s="41"/>
      <c r="F160" s="25" t="str">
        <f aca="false">IF(AND($A160="",$B160=""),"",IF(SUMPRODUCT(($B$6:$B$185=$B160)*($A$6:$A$185=$A160))&gt;1,"同公司同科目重复",IF(ISNA(MATCH($B160,会计科目表!$B$6:$B$85,0)),"科目不存在",IF(AND(N($C160)&lt;&gt;0,N($D160)&lt;&gt;0),"借贷不能同时有数","OK"))))</f>
        <v/>
      </c>
    </row>
    <row r="161" customFormat="false" ht="15" hidden="false" customHeight="false" outlineLevel="0" collapsed="false">
      <c r="A161" s="41"/>
      <c r="B161" s="32"/>
      <c r="C161" s="43"/>
      <c r="D161" s="43"/>
      <c r="E161" s="41"/>
      <c r="F161" s="25" t="str">
        <f aca="false">IF(AND($A161="",$B161=""),"",IF(SUMPRODUCT(($B$6:$B$185=$B161)*($A$6:$A$185=$A161))&gt;1,"同公司同科目重复",IF(ISNA(MATCH($B161,会计科目表!$B$6:$B$85,0)),"科目不存在",IF(AND(N($C161)&lt;&gt;0,N($D161)&lt;&gt;0),"借贷不能同时有数","OK"))))</f>
        <v/>
      </c>
    </row>
    <row r="162" customFormat="false" ht="15" hidden="false" customHeight="false" outlineLevel="0" collapsed="false">
      <c r="A162" s="41"/>
      <c r="B162" s="32"/>
      <c r="C162" s="43"/>
      <c r="D162" s="43"/>
      <c r="E162" s="41"/>
      <c r="F162" s="25" t="str">
        <f aca="false">IF(AND($A162="",$B162=""),"",IF(SUMPRODUCT(($B$6:$B$185=$B162)*($A$6:$A$185=$A162))&gt;1,"同公司同科目重复",IF(ISNA(MATCH($B162,会计科目表!$B$6:$B$85,0)),"科目不存在",IF(AND(N($C162)&lt;&gt;0,N($D162)&lt;&gt;0),"借贷不能同时有数","OK"))))</f>
        <v/>
      </c>
    </row>
    <row r="163" customFormat="false" ht="15" hidden="false" customHeight="false" outlineLevel="0" collapsed="false">
      <c r="A163" s="41"/>
      <c r="B163" s="32"/>
      <c r="C163" s="43"/>
      <c r="D163" s="43"/>
      <c r="E163" s="41"/>
      <c r="F163" s="25" t="str">
        <f aca="false">IF(AND($A163="",$B163=""),"",IF(SUMPRODUCT(($B$6:$B$185=$B163)*($A$6:$A$185=$A163))&gt;1,"同公司同科目重复",IF(ISNA(MATCH($B163,会计科目表!$B$6:$B$85,0)),"科目不存在",IF(AND(N($C163)&lt;&gt;0,N($D163)&lt;&gt;0),"借贷不能同时有数","OK"))))</f>
        <v/>
      </c>
    </row>
    <row r="164" customFormat="false" ht="15" hidden="false" customHeight="false" outlineLevel="0" collapsed="false">
      <c r="A164" s="41"/>
      <c r="B164" s="32"/>
      <c r="C164" s="43"/>
      <c r="D164" s="43"/>
      <c r="E164" s="41"/>
      <c r="F164" s="25" t="str">
        <f aca="false">IF(AND($A164="",$B164=""),"",IF(SUMPRODUCT(($B$6:$B$185=$B164)*($A$6:$A$185=$A164))&gt;1,"同公司同科目重复",IF(ISNA(MATCH($B164,会计科目表!$B$6:$B$85,0)),"科目不存在",IF(AND(N($C164)&lt;&gt;0,N($D164)&lt;&gt;0),"借贷不能同时有数","OK"))))</f>
        <v/>
      </c>
    </row>
    <row r="165" customFormat="false" ht="15" hidden="false" customHeight="false" outlineLevel="0" collapsed="false">
      <c r="A165" s="41"/>
      <c r="B165" s="32"/>
      <c r="C165" s="43"/>
      <c r="D165" s="43"/>
      <c r="E165" s="41"/>
      <c r="F165" s="25" t="str">
        <f aca="false">IF(AND($A165="",$B165=""),"",IF(SUMPRODUCT(($B$6:$B$185=$B165)*($A$6:$A$185=$A165))&gt;1,"同公司同科目重复",IF(ISNA(MATCH($B165,会计科目表!$B$6:$B$85,0)),"科目不存在",IF(AND(N($C165)&lt;&gt;0,N($D165)&lt;&gt;0),"借贷不能同时有数","OK"))))</f>
        <v/>
      </c>
    </row>
    <row r="166" customFormat="false" ht="15" hidden="false" customHeight="false" outlineLevel="0" collapsed="false">
      <c r="A166" s="41"/>
      <c r="B166" s="32"/>
      <c r="C166" s="43"/>
      <c r="D166" s="43"/>
      <c r="E166" s="41"/>
      <c r="F166" s="25" t="str">
        <f aca="false">IF(AND($A166="",$B166=""),"",IF(SUMPRODUCT(($B$6:$B$185=$B166)*($A$6:$A$185=$A166))&gt;1,"同公司同科目重复",IF(ISNA(MATCH($B166,会计科目表!$B$6:$B$85,0)),"科目不存在",IF(AND(N($C166)&lt;&gt;0,N($D166)&lt;&gt;0),"借贷不能同时有数","OK"))))</f>
        <v/>
      </c>
    </row>
    <row r="167" customFormat="false" ht="15" hidden="false" customHeight="false" outlineLevel="0" collapsed="false">
      <c r="A167" s="41"/>
      <c r="B167" s="32"/>
      <c r="C167" s="43"/>
      <c r="D167" s="43"/>
      <c r="E167" s="41"/>
      <c r="F167" s="25" t="str">
        <f aca="false">IF(AND($A167="",$B167=""),"",IF(SUMPRODUCT(($B$6:$B$185=$B167)*($A$6:$A$185=$A167))&gt;1,"同公司同科目重复",IF(ISNA(MATCH($B167,会计科目表!$B$6:$B$85,0)),"科目不存在",IF(AND(N($C167)&lt;&gt;0,N($D167)&lt;&gt;0),"借贷不能同时有数","OK"))))</f>
        <v/>
      </c>
    </row>
    <row r="168" customFormat="false" ht="15" hidden="false" customHeight="false" outlineLevel="0" collapsed="false">
      <c r="A168" s="41"/>
      <c r="B168" s="32"/>
      <c r="C168" s="43"/>
      <c r="D168" s="43"/>
      <c r="E168" s="41"/>
      <c r="F168" s="25" t="str">
        <f aca="false">IF(AND($A168="",$B168=""),"",IF(SUMPRODUCT(($B$6:$B$185=$B168)*($A$6:$A$185=$A168))&gt;1,"同公司同科目重复",IF(ISNA(MATCH($B168,会计科目表!$B$6:$B$85,0)),"科目不存在",IF(AND(N($C168)&lt;&gt;0,N($D168)&lt;&gt;0),"借贷不能同时有数","OK"))))</f>
        <v/>
      </c>
    </row>
    <row r="169" customFormat="false" ht="15" hidden="false" customHeight="false" outlineLevel="0" collapsed="false">
      <c r="A169" s="41"/>
      <c r="B169" s="32"/>
      <c r="C169" s="43"/>
      <c r="D169" s="43"/>
      <c r="E169" s="41"/>
      <c r="F169" s="25" t="str">
        <f aca="false">IF(AND($A169="",$B169=""),"",IF(SUMPRODUCT(($B$6:$B$185=$B169)*($A$6:$A$185=$A169))&gt;1,"同公司同科目重复",IF(ISNA(MATCH($B169,会计科目表!$B$6:$B$85,0)),"科目不存在",IF(AND(N($C169)&lt;&gt;0,N($D169)&lt;&gt;0),"借贷不能同时有数","OK"))))</f>
        <v/>
      </c>
    </row>
    <row r="170" customFormat="false" ht="15" hidden="false" customHeight="false" outlineLevel="0" collapsed="false">
      <c r="A170" s="41"/>
      <c r="B170" s="32"/>
      <c r="C170" s="43"/>
      <c r="D170" s="43"/>
      <c r="E170" s="41"/>
      <c r="F170" s="25" t="str">
        <f aca="false">IF(AND($A170="",$B170=""),"",IF(SUMPRODUCT(($B$6:$B$185=$B170)*($A$6:$A$185=$A170))&gt;1,"同公司同科目重复",IF(ISNA(MATCH($B170,会计科目表!$B$6:$B$85,0)),"科目不存在",IF(AND(N($C170)&lt;&gt;0,N($D170)&lt;&gt;0),"借贷不能同时有数","OK"))))</f>
        <v/>
      </c>
    </row>
    <row r="171" customFormat="false" ht="15" hidden="false" customHeight="false" outlineLevel="0" collapsed="false">
      <c r="A171" s="41"/>
      <c r="B171" s="32"/>
      <c r="C171" s="43"/>
      <c r="D171" s="43"/>
      <c r="E171" s="41"/>
      <c r="F171" s="25" t="str">
        <f aca="false">IF(AND($A171="",$B171=""),"",IF(SUMPRODUCT(($B$6:$B$185=$B171)*($A$6:$A$185=$A171))&gt;1,"同公司同科目重复",IF(ISNA(MATCH($B171,会计科目表!$B$6:$B$85,0)),"科目不存在",IF(AND(N($C171)&lt;&gt;0,N($D171)&lt;&gt;0),"借贷不能同时有数","OK"))))</f>
        <v/>
      </c>
    </row>
    <row r="172" customFormat="false" ht="15" hidden="false" customHeight="false" outlineLevel="0" collapsed="false">
      <c r="A172" s="41"/>
      <c r="B172" s="32"/>
      <c r="C172" s="43"/>
      <c r="D172" s="43"/>
      <c r="E172" s="41"/>
      <c r="F172" s="25" t="str">
        <f aca="false">IF(AND($A172="",$B172=""),"",IF(SUMPRODUCT(($B$6:$B$185=$B172)*($A$6:$A$185=$A172))&gt;1,"同公司同科目重复",IF(ISNA(MATCH($B172,会计科目表!$B$6:$B$85,0)),"科目不存在",IF(AND(N($C172)&lt;&gt;0,N($D172)&lt;&gt;0),"借贷不能同时有数","OK"))))</f>
        <v/>
      </c>
    </row>
    <row r="173" customFormat="false" ht="15" hidden="false" customHeight="false" outlineLevel="0" collapsed="false">
      <c r="A173" s="41"/>
      <c r="B173" s="32"/>
      <c r="C173" s="43"/>
      <c r="D173" s="43"/>
      <c r="E173" s="41"/>
      <c r="F173" s="25" t="str">
        <f aca="false">IF(AND($A173="",$B173=""),"",IF(SUMPRODUCT(($B$6:$B$185=$B173)*($A$6:$A$185=$A173))&gt;1,"同公司同科目重复",IF(ISNA(MATCH($B173,会计科目表!$B$6:$B$85,0)),"科目不存在",IF(AND(N($C173)&lt;&gt;0,N($D173)&lt;&gt;0),"借贷不能同时有数","OK"))))</f>
        <v/>
      </c>
    </row>
    <row r="174" customFormat="false" ht="15" hidden="false" customHeight="false" outlineLevel="0" collapsed="false">
      <c r="A174" s="41"/>
      <c r="B174" s="32"/>
      <c r="C174" s="43"/>
      <c r="D174" s="43"/>
      <c r="E174" s="41"/>
      <c r="F174" s="25" t="str">
        <f aca="false">IF(AND($A174="",$B174=""),"",IF(SUMPRODUCT(($B$6:$B$185=$B174)*($A$6:$A$185=$A174))&gt;1,"同公司同科目重复",IF(ISNA(MATCH($B174,会计科目表!$B$6:$B$85,0)),"科目不存在",IF(AND(N($C174)&lt;&gt;0,N($D174)&lt;&gt;0),"借贷不能同时有数","OK"))))</f>
        <v/>
      </c>
    </row>
    <row r="175" customFormat="false" ht="15" hidden="false" customHeight="false" outlineLevel="0" collapsed="false">
      <c r="A175" s="41"/>
      <c r="B175" s="32"/>
      <c r="C175" s="43"/>
      <c r="D175" s="43"/>
      <c r="E175" s="41"/>
      <c r="F175" s="25" t="str">
        <f aca="false">IF(AND($A175="",$B175=""),"",IF(SUMPRODUCT(($B$6:$B$185=$B175)*($A$6:$A$185=$A175))&gt;1,"同公司同科目重复",IF(ISNA(MATCH($B175,会计科目表!$B$6:$B$85,0)),"科目不存在",IF(AND(N($C175)&lt;&gt;0,N($D175)&lt;&gt;0),"借贷不能同时有数","OK"))))</f>
        <v/>
      </c>
    </row>
    <row r="176" customFormat="false" ht="15" hidden="false" customHeight="false" outlineLevel="0" collapsed="false">
      <c r="A176" s="41"/>
      <c r="B176" s="32"/>
      <c r="C176" s="43"/>
      <c r="D176" s="43"/>
      <c r="E176" s="41"/>
      <c r="F176" s="25" t="str">
        <f aca="false">IF(AND($A176="",$B176=""),"",IF(SUMPRODUCT(($B$6:$B$185=$B176)*($A$6:$A$185=$A176))&gt;1,"同公司同科目重复",IF(ISNA(MATCH($B176,会计科目表!$B$6:$B$85,0)),"科目不存在",IF(AND(N($C176)&lt;&gt;0,N($D176)&lt;&gt;0),"借贷不能同时有数","OK"))))</f>
        <v/>
      </c>
    </row>
    <row r="177" customFormat="false" ht="15" hidden="false" customHeight="false" outlineLevel="0" collapsed="false">
      <c r="A177" s="41"/>
      <c r="B177" s="32"/>
      <c r="C177" s="43"/>
      <c r="D177" s="43"/>
      <c r="E177" s="41"/>
      <c r="F177" s="25" t="str">
        <f aca="false">IF(AND($A177="",$B177=""),"",IF(SUMPRODUCT(($B$6:$B$185=$B177)*($A$6:$A$185=$A177))&gt;1,"同公司同科目重复",IF(ISNA(MATCH($B177,会计科目表!$B$6:$B$85,0)),"科目不存在",IF(AND(N($C177)&lt;&gt;0,N($D177)&lt;&gt;0),"借贷不能同时有数","OK"))))</f>
        <v/>
      </c>
    </row>
    <row r="178" customFormat="false" ht="15" hidden="false" customHeight="false" outlineLevel="0" collapsed="false">
      <c r="A178" s="41"/>
      <c r="B178" s="32"/>
      <c r="C178" s="43"/>
      <c r="D178" s="43"/>
      <c r="E178" s="41"/>
      <c r="F178" s="25" t="str">
        <f aca="false">IF(AND($A178="",$B178=""),"",IF(SUMPRODUCT(($B$6:$B$185=$B178)*($A$6:$A$185=$A178))&gt;1,"同公司同科目重复",IF(ISNA(MATCH($B178,会计科目表!$B$6:$B$85,0)),"科目不存在",IF(AND(N($C178)&lt;&gt;0,N($D178)&lt;&gt;0),"借贷不能同时有数","OK"))))</f>
        <v/>
      </c>
    </row>
    <row r="179" customFormat="false" ht="15" hidden="false" customHeight="false" outlineLevel="0" collapsed="false">
      <c r="A179" s="41"/>
      <c r="B179" s="32"/>
      <c r="C179" s="43"/>
      <c r="D179" s="43"/>
      <c r="E179" s="41"/>
      <c r="F179" s="25" t="str">
        <f aca="false">IF(AND($A179="",$B179=""),"",IF(SUMPRODUCT(($B$6:$B$185=$B179)*($A$6:$A$185=$A179))&gt;1,"同公司同科目重复",IF(ISNA(MATCH($B179,会计科目表!$B$6:$B$85,0)),"科目不存在",IF(AND(N($C179)&lt;&gt;0,N($D179)&lt;&gt;0),"借贷不能同时有数","OK"))))</f>
        <v/>
      </c>
    </row>
    <row r="180" customFormat="false" ht="15" hidden="false" customHeight="false" outlineLevel="0" collapsed="false">
      <c r="A180" s="41"/>
      <c r="B180" s="32"/>
      <c r="C180" s="43"/>
      <c r="D180" s="43"/>
      <c r="E180" s="41"/>
      <c r="F180" s="25" t="str">
        <f aca="false">IF(AND($A180="",$B180=""),"",IF(SUMPRODUCT(($B$6:$B$185=$B180)*($A$6:$A$185=$A180))&gt;1,"同公司同科目重复",IF(ISNA(MATCH($B180,会计科目表!$B$6:$B$85,0)),"科目不存在",IF(AND(N($C180)&lt;&gt;0,N($D180)&lt;&gt;0),"借贷不能同时有数","OK"))))</f>
        <v/>
      </c>
    </row>
    <row r="181" customFormat="false" ht="15" hidden="false" customHeight="false" outlineLevel="0" collapsed="false">
      <c r="A181" s="41"/>
      <c r="B181" s="32"/>
      <c r="C181" s="43"/>
      <c r="D181" s="43"/>
      <c r="E181" s="41"/>
      <c r="F181" s="25" t="str">
        <f aca="false">IF(AND($A181="",$B181=""),"",IF(SUMPRODUCT(($B$6:$B$185=$B181)*($A$6:$A$185=$A181))&gt;1,"同公司同科目重复",IF(ISNA(MATCH($B181,会计科目表!$B$6:$B$85,0)),"科目不存在",IF(AND(N($C181)&lt;&gt;0,N($D181)&lt;&gt;0),"借贷不能同时有数","OK"))))</f>
        <v/>
      </c>
    </row>
    <row r="182" customFormat="false" ht="15" hidden="false" customHeight="false" outlineLevel="0" collapsed="false">
      <c r="A182" s="41"/>
      <c r="B182" s="32"/>
      <c r="C182" s="43"/>
      <c r="D182" s="43"/>
      <c r="E182" s="41"/>
      <c r="F182" s="25" t="str">
        <f aca="false">IF(AND($A182="",$B182=""),"",IF(SUMPRODUCT(($B$6:$B$185=$B182)*($A$6:$A$185=$A182))&gt;1,"同公司同科目重复",IF(ISNA(MATCH($B182,会计科目表!$B$6:$B$85,0)),"科目不存在",IF(AND(N($C182)&lt;&gt;0,N($D182)&lt;&gt;0),"借贷不能同时有数","OK"))))</f>
        <v/>
      </c>
    </row>
    <row r="183" customFormat="false" ht="15" hidden="false" customHeight="false" outlineLevel="0" collapsed="false">
      <c r="A183" s="41"/>
      <c r="B183" s="32"/>
      <c r="C183" s="43"/>
      <c r="D183" s="43"/>
      <c r="E183" s="41"/>
      <c r="F183" s="25" t="str">
        <f aca="false">IF(AND($A183="",$B183=""),"",IF(SUMPRODUCT(($B$6:$B$185=$B183)*($A$6:$A$185=$A183))&gt;1,"同公司同科目重复",IF(ISNA(MATCH($B183,会计科目表!$B$6:$B$85,0)),"科目不存在",IF(AND(N($C183)&lt;&gt;0,N($D183)&lt;&gt;0),"借贷不能同时有数","OK"))))</f>
        <v/>
      </c>
    </row>
    <row r="184" customFormat="false" ht="15" hidden="false" customHeight="false" outlineLevel="0" collapsed="false">
      <c r="A184" s="41"/>
      <c r="B184" s="32"/>
      <c r="C184" s="43"/>
      <c r="D184" s="43"/>
      <c r="E184" s="41"/>
      <c r="F184" s="25" t="str">
        <f aca="false">IF(AND($A184="",$B184=""),"",IF(SUMPRODUCT(($B$6:$B$185=$B184)*($A$6:$A$185=$A184))&gt;1,"同公司同科目重复",IF(ISNA(MATCH($B184,会计科目表!$B$6:$B$85,0)),"科目不存在",IF(AND(N($C184)&lt;&gt;0,N($D184)&lt;&gt;0),"借贷不能同时有数","OK"))))</f>
        <v/>
      </c>
    </row>
    <row r="185" customFormat="false" ht="15" hidden="false" customHeight="false" outlineLevel="0" collapsed="false">
      <c r="A185" s="41"/>
      <c r="B185" s="32"/>
      <c r="C185" s="43"/>
      <c r="D185" s="43"/>
      <c r="E185" s="41"/>
      <c r="F185" s="25" t="str">
        <f aca="false">IF(AND($A185="",$B185=""),"",IF(SUMPRODUCT(($B$6:$B$185=$B185)*($A$6:$A$185=$A185))&gt;1,"同公司同科目重复",IF(ISNA(MATCH($B185,会计科目表!$B$6:$B$85,0)),"科目不存在",IF(AND(N($C185)&lt;&gt;0,N($D185)&lt;&gt;0),"借贷不能同时有数","OK"))))</f>
        <v/>
      </c>
    </row>
    <row r="187" customFormat="false" ht="15" hidden="false" customHeight="true" outlineLevel="0" collapsed="false">
      <c r="H187" s="3" t="s">
        <v>552</v>
      </c>
      <c r="I187" s="45" t="s">
        <v>553</v>
      </c>
      <c r="J187" s="45"/>
      <c r="K187" s="45"/>
      <c r="L187" s="45"/>
      <c r="M187" s="45"/>
      <c r="N187" s="45"/>
      <c r="P187" s="3" t="s">
        <v>554</v>
      </c>
      <c r="Q187" s="45" t="s">
        <v>555</v>
      </c>
      <c r="R187" s="45"/>
      <c r="S187" s="45"/>
      <c r="T187" s="45"/>
    </row>
    <row r="188" customFormat="false" ht="15" hidden="false" customHeight="false" outlineLevel="0" collapsed="false">
      <c r="H188" s="31" t="s">
        <v>107</v>
      </c>
      <c r="I188" s="40" t="n">
        <f aca="false">SUMIFS($L$6:$L$65,$H$6:$H$65,$H188)</f>
        <v>90000</v>
      </c>
      <c r="J188" s="35" t="n">
        <f aca="false">SUMIFS($C$6:$C$185,$A$6:$A$185,$H188,$B$6:$B$185,"原材料")+SUMIFS($C$6:$C$185,$A$6:$A$185,$H188,$B$6:$B$185,"库存商品")</f>
        <v>90000</v>
      </c>
      <c r="K188" s="35"/>
      <c r="L188" s="47" t="str">
        <f aca="false">IF(ROUND($I188-$J188,2)=0,"√ 一致","✗ 差 "&amp;TEXT($I188-$J188,"#,##0.00"))</f>
        <v>√ 一致</v>
      </c>
      <c r="M188" s="47"/>
      <c r="N188" s="47"/>
      <c r="P188" s="31" t="s">
        <v>107</v>
      </c>
      <c r="Q188" s="40" t="n">
        <f aca="false">SUMIFS($R$6:$R$65,$P$6:$P$65,$P188)-SUMIFS($C$6:$C$185,$A$6:$A$185,$P188,$B$6:$B$185,"应收账款")</f>
        <v>0</v>
      </c>
      <c r="R188" s="26" t="str">
        <f aca="false">IF(ROUND($Q188,2)=0,"√ 应收一致" ,"✗ 差 "&amp;TEXT($Q188,"#,##0.00"))</f>
        <v>√ 应收一致</v>
      </c>
      <c r="S188" s="40" t="n">
        <f aca="false">SUMIFS($S$6:$S$65,$P$6:$P$65,$P188)-SUMIFS($D$6:$D$185,$A$6:$A$185,$P188,$B$6:$B$185,"应付账款")</f>
        <v>0</v>
      </c>
      <c r="T188" s="26" t="str">
        <f aca="false">IF(ROUND($S188,2)=0,"√ 应付一致","✗ 差 "&amp;TEXT($S188,"#,##0.00"))</f>
        <v>√ 应付一致</v>
      </c>
    </row>
    <row r="189" customFormat="false" ht="15" hidden="false" customHeight="false" outlineLevel="0" collapsed="false">
      <c r="H189" s="31" t="s">
        <v>110</v>
      </c>
      <c r="I189" s="40" t="n">
        <f aca="false">SUMIFS($L$6:$L$65,$H$6:$H$65,$H189)</f>
        <v>186250</v>
      </c>
      <c r="J189" s="35" t="n">
        <f aca="false">SUMIFS($C$6:$C$185,$A$6:$A$185,$H189,$B$6:$B$185,"原材料")+SUMIFS($C$6:$C$185,$A$6:$A$185,$H189,$B$6:$B$185,"库存商品")</f>
        <v>186250</v>
      </c>
      <c r="K189" s="35"/>
      <c r="L189" s="47" t="str">
        <f aca="false">IF(ROUND($I189-$J189,2)=0,"√ 一致","✗ 差 "&amp;TEXT($I189-$J189,"#,##0.00"))</f>
        <v>√ 一致</v>
      </c>
      <c r="M189" s="47"/>
      <c r="N189" s="47"/>
      <c r="P189" s="31" t="s">
        <v>110</v>
      </c>
      <c r="Q189" s="40" t="n">
        <f aca="false">SUMIFS($R$6:$R$65,$P$6:$P$65,$P189)-SUMIFS($C$6:$C$185,$A$6:$A$185,$P189,$B$6:$B$185,"应收账款")</f>
        <v>0</v>
      </c>
      <c r="R189" s="26" t="str">
        <f aca="false">IF(ROUND($Q189,2)=0,"√ 应收一致" ,"✗ 差 "&amp;TEXT($Q189,"#,##0.00"))</f>
        <v>√ 应收一致</v>
      </c>
      <c r="S189" s="40" t="n">
        <f aca="false">SUMIFS($S$6:$S$65,$P$6:$P$65,$P189)-SUMIFS($D$6:$D$185,$A$6:$A$185,$P189,$B$6:$B$185,"应付账款")</f>
        <v>0</v>
      </c>
      <c r="T189" s="26" t="str">
        <f aca="false">IF(ROUND($S189,2)=0,"√ 应付一致","✗ 差 "&amp;TEXT($S189,"#,##0.00"))</f>
        <v>√ 应付一致</v>
      </c>
    </row>
    <row r="190" customFormat="false" ht="15" hidden="false" customHeight="false" outlineLevel="0" collapsed="false">
      <c r="H190" s="31" t="s">
        <v>112</v>
      </c>
      <c r="I190" s="40" t="n">
        <f aca="false">SUMIFS($L$6:$L$65,$H$6:$H$65,$H190)</f>
        <v>108140</v>
      </c>
      <c r="J190" s="35" t="n">
        <f aca="false">SUMIFS($C$6:$C$185,$A$6:$A$185,$H190,$B$6:$B$185,"原材料")+SUMIFS($C$6:$C$185,$A$6:$A$185,$H190,$B$6:$B$185,"库存商品")</f>
        <v>108140</v>
      </c>
      <c r="K190" s="35"/>
      <c r="L190" s="47" t="str">
        <f aca="false">IF(ROUND($I190-$J190,2)=0,"√ 一致","✗ 差 "&amp;TEXT($I190-$J190,"#,##0.00"))</f>
        <v>√ 一致</v>
      </c>
      <c r="M190" s="47"/>
      <c r="N190" s="47"/>
      <c r="P190" s="31" t="s">
        <v>112</v>
      </c>
      <c r="Q190" s="40" t="n">
        <f aca="false">SUMIFS($R$6:$R$65,$P$6:$P$65,$P190)-SUMIFS($C$6:$C$185,$A$6:$A$185,$P190,$B$6:$B$185,"应收账款")</f>
        <v>0</v>
      </c>
      <c r="R190" s="26" t="str">
        <f aca="false">IF(ROUND($Q190,2)=0,"√ 应收一致" ,"✗ 差 "&amp;TEXT($Q190,"#,##0.00"))</f>
        <v>√ 应收一致</v>
      </c>
      <c r="S190" s="40" t="n">
        <f aca="false">SUMIFS($S$6:$S$65,$P$6:$P$65,$P190)-SUMIFS($D$6:$D$185,$A$6:$A$185,$P190,$B$6:$B$185,"应付账款")</f>
        <v>0</v>
      </c>
      <c r="T190" s="26" t="str">
        <f aca="false">IF(ROUND($S190,2)=0,"√ 应付一致","✗ 差 "&amp;TEXT($S190,"#,##0.00"))</f>
        <v>√ 应付一致</v>
      </c>
    </row>
    <row r="192" customFormat="false" ht="15" hidden="false" customHeight="false" outlineLevel="0" collapsed="false">
      <c r="A192" s="3" t="s">
        <v>556</v>
      </c>
    </row>
    <row r="193" customFormat="false" ht="15" hidden="false" customHeight="false" outlineLevel="0" collapsed="false">
      <c r="A193" s="31" t="s">
        <v>107</v>
      </c>
      <c r="B193" s="51" t="s">
        <v>557</v>
      </c>
      <c r="C193" s="42" t="n">
        <f aca="false">SUMIFS($C$6:$C$185,$A$6:$A$185,$A193)</f>
        <v>2335000</v>
      </c>
      <c r="D193" s="42" t="n">
        <f aca="false">SUMIFS($D$6:$D$185,$A$6:$A$185,$A193)</f>
        <v>2335000</v>
      </c>
      <c r="E193" s="26" t="str">
        <f aca="false">IF(ROUND($C193-$D193,2)=0,"√ 借贷平衡","✗ 差 "&amp;TEXT($C193-$D193,"#,##0.00"))</f>
        <v>√ 借贷平衡</v>
      </c>
    </row>
    <row r="194" customFormat="false" ht="15" hidden="false" customHeight="false" outlineLevel="0" collapsed="false">
      <c r="A194" s="31" t="s">
        <v>110</v>
      </c>
      <c r="B194" s="51" t="s">
        <v>557</v>
      </c>
      <c r="C194" s="42" t="n">
        <f aca="false">SUMIFS($C$6:$C$185,$A$6:$A$185,$A194)</f>
        <v>1585250</v>
      </c>
      <c r="D194" s="42" t="n">
        <f aca="false">SUMIFS($D$6:$D$185,$A$6:$A$185,$A194)</f>
        <v>1585250</v>
      </c>
      <c r="E194" s="26" t="str">
        <f aca="false">IF(ROUND($C194-$D194,2)=0,"√ 借贷平衡","✗ 差 "&amp;TEXT($C194-$D194,"#,##0.00"))</f>
        <v>√ 借贷平衡</v>
      </c>
    </row>
    <row r="195" customFormat="false" ht="15" hidden="false" customHeight="false" outlineLevel="0" collapsed="false">
      <c r="A195" s="31" t="s">
        <v>112</v>
      </c>
      <c r="B195" s="51" t="s">
        <v>557</v>
      </c>
      <c r="C195" s="42" t="n">
        <f aca="false">SUMIFS($C$6:$C$185,$A$6:$A$185,$A195)</f>
        <v>1098140</v>
      </c>
      <c r="D195" s="42" t="n">
        <f aca="false">SUMIFS($D$6:$D$185,$A$6:$A$185,$A195)</f>
        <v>1098140</v>
      </c>
      <c r="E195" s="26" t="str">
        <f aca="false">IF(ROUND($C195-$D195,2)=0,"√ 借贷平衡","✗ 差 "&amp;TEXT($C195-$D195,"#,##0.00"))</f>
        <v>√ 借贷平衡</v>
      </c>
    </row>
  </sheetData>
  <mergeCells count="10">
    <mergeCell ref="A1:N1"/>
    <mergeCell ref="A2:N2"/>
    <mergeCell ref="I187:N187"/>
    <mergeCell ref="Q187:T187"/>
    <mergeCell ref="J188:K188"/>
    <mergeCell ref="L188:N188"/>
    <mergeCell ref="J189:K189"/>
    <mergeCell ref="L189:N189"/>
    <mergeCell ref="J190:K190"/>
    <mergeCell ref="L190:N190"/>
  </mergeCells>
  <conditionalFormatting sqref="L188">
    <cfRule type="expression" priority="2" aboveAverage="0" equalAverage="0" bottom="0" percent="0" rank="0" text="" dxfId="0">
      <formula>LEFT($L188,1)="✗"</formula>
    </cfRule>
  </conditionalFormatting>
  <conditionalFormatting sqref="L189">
    <cfRule type="expression" priority="3" aboveAverage="0" equalAverage="0" bottom="0" percent="0" rank="0" text="" dxfId="0">
      <formula>LEFT($L189,1)="✗"</formula>
    </cfRule>
  </conditionalFormatting>
  <conditionalFormatting sqref="L190">
    <cfRule type="expression" priority="4" aboveAverage="0" equalAverage="0" bottom="0" percent="0" rank="0" text="" dxfId="0">
      <formula>LEFT($L190,1)="✗"</formula>
    </cfRule>
  </conditionalFormatting>
  <conditionalFormatting sqref="E193">
    <cfRule type="expression" priority="5" aboveAverage="0" equalAverage="0" bottom="0" percent="0" rank="0" text="" dxfId="0">
      <formula>LEFT($E193,1)="✗"</formula>
    </cfRule>
  </conditionalFormatting>
  <conditionalFormatting sqref="E194">
    <cfRule type="expression" priority="6" aboveAverage="0" equalAverage="0" bottom="0" percent="0" rank="0" text="" dxfId="0">
      <formula>LEFT($E194,1)="✗"</formula>
    </cfRule>
  </conditionalFormatting>
  <conditionalFormatting sqref="E195">
    <cfRule type="expression" priority="7" aboveAverage="0" equalAverage="0" bottom="0" percent="0" rank="0" text="" dxfId="0">
      <formula>LEFT($E195,1)="✗"</formula>
    </cfRule>
  </conditionalFormatting>
  <dataValidations count="6">
    <dataValidation allowBlank="true" error="必须选择下拉中已维护的值，手工输入会导致取数错位" errorStyle="stop" errorTitle="请从下拉中选择" operator="between" showDropDown="false" showErrorMessage="true" showInputMessage="false" sqref="A6:A18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B6:B18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6:H6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6:I65" type="list">
      <formula1>商品档案!$A$6:$A$65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P6:P6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Q6:Q65" type="list">
      <formula1>往来单位!$A$6:$A$85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Z8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8"/>
    <col collapsed="false" customWidth="true" hidden="false" outlineLevel="0" max="25" min="25" style="0" width="7"/>
    <col collapsed="false" customWidth="true" hidden="false" outlineLevel="0" max="26" min="26" style="0" width="10"/>
  </cols>
  <sheetData>
    <row r="1" customFormat="false" ht="25.5" hidden="false" customHeight="true" outlineLevel="0" collapsed="false">
      <c r="A1" s="1" t="s">
        <v>558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2" t="s">
        <v>559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5" customFormat="false" ht="30" hidden="false" customHeight="true" outlineLevel="0" collapsed="false">
      <c r="A5" s="8" t="s">
        <v>560</v>
      </c>
      <c r="B5" s="8" t="s">
        <v>561</v>
      </c>
      <c r="C5" s="8" t="s">
        <v>544</v>
      </c>
      <c r="D5" s="8" t="s">
        <v>269</v>
      </c>
      <c r="E5" s="8" t="s">
        <v>41</v>
      </c>
      <c r="F5" s="8" t="s">
        <v>350</v>
      </c>
      <c r="G5" s="8" t="s">
        <v>351</v>
      </c>
      <c r="H5" s="8" t="s">
        <v>352</v>
      </c>
      <c r="I5" s="8" t="s">
        <v>353</v>
      </c>
      <c r="J5" s="8" t="s">
        <v>562</v>
      </c>
      <c r="K5" s="8" t="s">
        <v>563</v>
      </c>
      <c r="L5" s="8" t="s">
        <v>564</v>
      </c>
      <c r="M5" s="8" t="s">
        <v>565</v>
      </c>
      <c r="N5" s="8" t="s">
        <v>566</v>
      </c>
      <c r="O5" s="8" t="s">
        <v>178</v>
      </c>
      <c r="P5" s="8" t="s">
        <v>361</v>
      </c>
      <c r="Q5" s="52" t="s">
        <v>567</v>
      </c>
      <c r="R5" s="52" t="s">
        <v>568</v>
      </c>
      <c r="S5" s="52" t="s">
        <v>356</v>
      </c>
      <c r="T5" s="52" t="s">
        <v>357</v>
      </c>
      <c r="U5" s="52" t="s">
        <v>358</v>
      </c>
      <c r="V5" s="52" t="s">
        <v>569</v>
      </c>
      <c r="W5" s="52" t="s">
        <v>288</v>
      </c>
      <c r="X5" s="52" t="s">
        <v>570</v>
      </c>
      <c r="Y5" s="52" t="s">
        <v>571</v>
      </c>
      <c r="Z5" s="52" t="s">
        <v>572</v>
      </c>
    </row>
    <row r="6" customFormat="false" ht="15" hidden="false" customHeight="false" outlineLevel="0" collapsed="false">
      <c r="A6" s="53" t="n">
        <f aca="false">IF($B6="","",ROW()-5)</f>
        <v>1</v>
      </c>
      <c r="B6" s="54" t="n">
        <v>46063</v>
      </c>
      <c r="C6" s="33" t="s">
        <v>107</v>
      </c>
      <c r="D6" s="33" t="s">
        <v>290</v>
      </c>
      <c r="E6" s="32" t="s">
        <v>483</v>
      </c>
      <c r="F6" s="39" t="s">
        <v>383</v>
      </c>
      <c r="G6" s="48" t="str">
        <f aca="false">IF($F6="","",IFERROR(INDEX(商品档案!$B$6:$B$65,MATCH($F6,商品档案!$A$6:$A$65,0)),""))</f>
        <v>肥料</v>
      </c>
      <c r="H6" s="48" t="str">
        <f aca="false">IF($F6="","",IFERROR(INDEX(商品档案!$C$6:$C$65,MATCH($F6,商品档案!$A$6:$A$65,0)),""))</f>
        <v>复合肥</v>
      </c>
      <c r="I6" s="55" t="str">
        <f aca="false">IF($F6="","",IFERROR(INDEX(商品档案!$D$6:$D$65,MATCH($F6,商品档案!$A$6:$A$65,0)),""))</f>
        <v>吨</v>
      </c>
      <c r="J6" s="49" t="n">
        <v>8</v>
      </c>
      <c r="K6" s="56" t="n">
        <v>1150</v>
      </c>
      <c r="L6" s="33" t="s">
        <v>573</v>
      </c>
      <c r="M6" s="39"/>
      <c r="N6" s="32" t="s">
        <v>574</v>
      </c>
      <c r="O6" s="41"/>
      <c r="P6" s="25" t="str">
        <f aca="false">IF(AND($B6="",$D6="",$F6=""),"",IF(NOT(ISNUMBER($B6)),"日期无效",IF(ISNA(MATCH($C6,参数设置!$A$10:$A$12,0)),"公司无效",IF(ISNA(MATCH($D6,记账规则!$A$6:$A$9,0)),"业务类型无效",IF(ISNA(MATCH($F6,商品档案!$A$6:$A$65,0)),"商品编码无效",IF(IFERROR(INDEX(商品档案!$E$6:$E$65,MATCH($F6,商品档案!$A$6:$A$65,0)),"")&lt;&gt;$C6,"商品不属于该公司",IF(AND($E6&lt;&gt;"",ISNA(MATCH($E6,往来单位!$A$6:$A$85,0))),"往来单位未建档",IF(N($J6)=0,"数量为 0",IF(N($K6)=0,"单价为 0",IF(AND(LEFT($D6,2)="销售",$U6=""),"该商品没设成本科目",IF(YEAR($B6)&lt;&gt;参数设置!$B$5,"不在本会计年度","OK")))))))))))</f>
        <v>OK</v>
      </c>
      <c r="Q6" s="57" t="n">
        <f aca="false">IF($F6="","",ROUND(N($J6)*N($K6),2))</f>
        <v>9200</v>
      </c>
      <c r="R6" s="58" t="str">
        <f aca="false">IF($D6="","",IF(LEFT($D6,2)="销售","应收账款","应付账款"))</f>
        <v>应付账款</v>
      </c>
      <c r="S6" s="58" t="str">
        <f aca="false">IF($F6="","",IFERROR(INDEX(商品档案!$G$6:$G$65,MATCH($F6,商品档案!$A$6:$A$65,0)),""))</f>
        <v>原材料</v>
      </c>
      <c r="T6" s="58" t="n">
        <f aca="false">IF($F6="","",IFERROR(INDEX(商品档案!$H$6:$H$65,MATCH($F6,商品档案!$A$6:$A$65,0)),""))</f>
        <v>0</v>
      </c>
      <c r="U6" s="58" t="n">
        <f aca="false">IF($F6="","",IFERROR(INDEX(商品档案!$I$6:$I$65,MATCH($F6,商品档案!$A$6:$A$65,0)),""))</f>
        <v>0</v>
      </c>
      <c r="V6" s="59" t="n">
        <f aca="false">IF($F6="","",SUMIFS(进销存台账!$N$6:$N$65,进销存台账!$A$6:$A$65,$C6,进销存台账!$B$6:$B$65,$F6))</f>
        <v>1122.22222222222</v>
      </c>
      <c r="W6" s="60" t="n">
        <f aca="false">IF(OR($D6="销售出库",$D6="销售退回"),ROUND(N($J6)*N($V6),2),0)</f>
        <v>0</v>
      </c>
      <c r="X6" s="58" t="str">
        <f aca="false">IF($E6="","",IFERROR(INDEX(往来单位!$D$6:$D$85,MATCH($E6,往来单位!$A$6:$A$85,0)),"否"))</f>
        <v>否</v>
      </c>
      <c r="Y6" s="61" t="n">
        <f aca="false">IF($B6="","",YEAR($B6))</f>
        <v>2026</v>
      </c>
      <c r="Z6" s="58" t="str">
        <f aca="false">IF($B6="","",TEXT($B6,"yyyy-mm"))</f>
        <v>2026-02</v>
      </c>
    </row>
    <row r="7" customFormat="false" ht="15" hidden="false" customHeight="false" outlineLevel="0" collapsed="false">
      <c r="A7" s="53" t="n">
        <f aca="false">IF($B7="","",ROW()-5)</f>
        <v>2</v>
      </c>
      <c r="B7" s="54" t="n">
        <v>46086</v>
      </c>
      <c r="C7" s="33" t="s">
        <v>107</v>
      </c>
      <c r="D7" s="33" t="s">
        <v>290</v>
      </c>
      <c r="E7" s="32" t="s">
        <v>485</v>
      </c>
      <c r="F7" s="39" t="s">
        <v>378</v>
      </c>
      <c r="G7" s="48" t="str">
        <f aca="false">IF($F7="","",IFERROR(INDEX(商品档案!$B$6:$B$65,MATCH($F7,商品档案!$A$6:$A$65,0)),""))</f>
        <v>树苗</v>
      </c>
      <c r="H7" s="48" t="str">
        <f aca="false">IF($F7="","",IFERROR(INDEX(商品档案!$C$6:$C$65,MATCH($F7,商品档案!$A$6:$A$65,0)),""))</f>
        <v>杉木苗</v>
      </c>
      <c r="I7" s="55" t="str">
        <f aca="false">IF($F7="","",IFERROR(INDEX(商品档案!$D$6:$D$65,MATCH($F7,商品档案!$A$6:$A$65,0)),""))</f>
        <v>株</v>
      </c>
      <c r="J7" s="49" t="n">
        <v>3000</v>
      </c>
      <c r="K7" s="56" t="n">
        <v>2.6</v>
      </c>
      <c r="L7" s="33" t="s">
        <v>573</v>
      </c>
      <c r="M7" s="39"/>
      <c r="N7" s="32" t="s">
        <v>380</v>
      </c>
      <c r="O7" s="41"/>
      <c r="P7" s="25" t="str">
        <f aca="false">IF(AND($B7="",$D7="",$F7=""),"",IF(NOT(ISNUMBER($B7)),"日期无效",IF(ISNA(MATCH($C7,参数设置!$A$10:$A$12,0)),"公司无效",IF(ISNA(MATCH($D7,记账规则!$A$6:$A$9,0)),"业务类型无效",IF(ISNA(MATCH($F7,商品档案!$A$6:$A$65,0)),"商品编码无效",IF(IFERROR(INDEX(商品档案!$E$6:$E$65,MATCH($F7,商品档案!$A$6:$A$65,0)),"")&lt;&gt;$C7,"商品不属于该公司",IF(AND($E7&lt;&gt;"",ISNA(MATCH($E7,往来单位!$A$6:$A$85,0))),"往来单位未建档",IF(N($J7)=0,"数量为 0",IF(N($K7)=0,"单价为 0",IF(AND(LEFT($D7,2)="销售",$U7=""),"该商品没设成本科目",IF(YEAR($B7)&lt;&gt;参数设置!$B$5,"不在本会计年度","OK")))))))))))</f>
        <v>OK</v>
      </c>
      <c r="Q7" s="57" t="n">
        <f aca="false">IF($F7="","",ROUND(N($J7)*N($K7),2))</f>
        <v>7800</v>
      </c>
      <c r="R7" s="58" t="str">
        <f aca="false">IF($D7="","",IF(LEFT($D7,2)="销售","应收账款","应付账款"))</f>
        <v>应付账款</v>
      </c>
      <c r="S7" s="58" t="str">
        <f aca="false">IF($F7="","",IFERROR(INDEX(商品档案!$G$6:$G$65,MATCH($F7,商品档案!$A$6:$A$65,0)),""))</f>
        <v>原材料</v>
      </c>
      <c r="T7" s="58" t="n">
        <f aca="false">IF($F7="","",IFERROR(INDEX(商品档案!$H$6:$H$65,MATCH($F7,商品档案!$A$6:$A$65,0)),""))</f>
        <v>0</v>
      </c>
      <c r="U7" s="58" t="n">
        <f aca="false">IF($F7="","",IFERROR(INDEX(商品档案!$I$6:$I$65,MATCH($F7,商品档案!$A$6:$A$65,0)),""))</f>
        <v>0</v>
      </c>
      <c r="V7" s="59" t="n">
        <f aca="false">IF($F7="","",SUMIFS(进销存台账!$N$6:$N$65,进销存台账!$A$6:$A$65,$C7,进销存台账!$B$6:$B$65,$F7))</f>
        <v>2.6</v>
      </c>
      <c r="W7" s="60" t="n">
        <f aca="false">IF(OR($D7="销售出库",$D7="销售退回"),ROUND(N($J7)*N($V7),2),0)</f>
        <v>0</v>
      </c>
      <c r="X7" s="58" t="str">
        <f aca="false">IF($E7="","",IFERROR(INDEX(往来单位!$D$6:$D$85,MATCH($E7,往来单位!$A$6:$A$85,0)),"否"))</f>
        <v>否</v>
      </c>
      <c r="Y7" s="61" t="n">
        <f aca="false">IF($B7="","",YEAR($B7))</f>
        <v>2026</v>
      </c>
      <c r="Z7" s="58" t="str">
        <f aca="false">IF($B7="","",TEXT($B7,"yyyy-mm"))</f>
        <v>2026-03</v>
      </c>
    </row>
    <row r="8" customFormat="false" ht="15" hidden="false" customHeight="false" outlineLevel="0" collapsed="false">
      <c r="A8" s="53" t="n">
        <f aca="false">IF($B8="","",ROW()-5)</f>
        <v>3</v>
      </c>
      <c r="B8" s="54" t="n">
        <v>46193</v>
      </c>
      <c r="C8" s="33" t="s">
        <v>107</v>
      </c>
      <c r="D8" s="33" t="s">
        <v>282</v>
      </c>
      <c r="E8" s="32" t="s">
        <v>7</v>
      </c>
      <c r="F8" s="39" t="s">
        <v>362</v>
      </c>
      <c r="G8" s="48" t="str">
        <f aca="false">IF($F8="","",IFERROR(INDEX(商品档案!$B$6:$B$65,MATCH($F8,商品档案!$A$6:$A$65,0)),""))</f>
        <v>原木</v>
      </c>
      <c r="H8" s="48" t="str">
        <f aca="false">IF($F8="","",IFERROR(INDEX(商品档案!$C$6:$C$65,MATCH($F8,商品档案!$A$6:$A$65,0)),""))</f>
        <v>杉木/松木 4m</v>
      </c>
      <c r="I8" s="55" t="str">
        <f aca="false">IF($F8="","",IFERROR(INDEX(商品档案!$D$6:$D$65,MATCH($F8,商品档案!$A$6:$A$65,0)),""))</f>
        <v>立方米</v>
      </c>
      <c r="J8" s="49" t="n">
        <v>180</v>
      </c>
      <c r="K8" s="56" t="n">
        <v>1050</v>
      </c>
      <c r="L8" s="33" t="s">
        <v>573</v>
      </c>
      <c r="M8" s="39" t="s">
        <v>575</v>
      </c>
      <c r="N8" s="32" t="s">
        <v>576</v>
      </c>
      <c r="O8" s="41"/>
      <c r="P8" s="25" t="str">
        <f aca="false">IF(AND($B8="",$D8="",$F8=""),"",IF(NOT(ISNUMBER($B8)),"日期无效",IF(ISNA(MATCH($C8,参数设置!$A$10:$A$12,0)),"公司无效",IF(ISNA(MATCH($D8,记账规则!$A$6:$A$9,0)),"业务类型无效",IF(ISNA(MATCH($F8,商品档案!$A$6:$A$65,0)),"商品编码无效",IF(IFERROR(INDEX(商品档案!$E$6:$E$65,MATCH($F8,商品档案!$A$6:$A$65,0)),"")&lt;&gt;$C8,"商品不属于该公司",IF(AND($E8&lt;&gt;"",ISNA(MATCH($E8,往来单位!$A$6:$A$85,0))),"往来单位未建档",IF(N($J8)=0,"数量为 0",IF(N($K8)=0,"单价为 0",IF(AND(LEFT($D8,2)="销售",$U8=""),"该商品没设成本科目",IF(YEAR($B8)&lt;&gt;参数设置!$B$5,"不在本会计年度","OK")))))))))))</f>
        <v>OK</v>
      </c>
      <c r="Q8" s="57" t="n">
        <f aca="false">IF($F8="","",ROUND(N($J8)*N($K8),2))</f>
        <v>189000</v>
      </c>
      <c r="R8" s="58" t="str">
        <f aca="false">IF($D8="","",IF(LEFT($D8,2)="销售","应收账款","应付账款"))</f>
        <v>应收账款</v>
      </c>
      <c r="S8" s="58" t="str">
        <f aca="false">IF($F8="","",IFERROR(INDEX(商品档案!$G$6:$G$65,MATCH($F8,商品档案!$A$6:$A$65,0)),""))</f>
        <v>库存商品</v>
      </c>
      <c r="T8" s="58" t="str">
        <f aca="false">IF($F8="","",IFERROR(INDEX(商品档案!$H$6:$H$65,MATCH($F8,商品档案!$A$6:$A$65,0)),""))</f>
        <v>主营业务收入</v>
      </c>
      <c r="U8" s="58" t="str">
        <f aca="false">IF($F8="","",IFERROR(INDEX(商品档案!$I$6:$I$65,MATCH($F8,商品档案!$A$6:$A$65,0)),""))</f>
        <v>主营业务成本</v>
      </c>
      <c r="V8" s="59" t="n">
        <f aca="false">IF($F8="","",SUMIFS(进销存台账!$N$6:$N$65,进销存台账!$A$6:$A$65,$C8,进销存台账!$B$6:$B$65,$F8))</f>
        <v>516.52778125</v>
      </c>
      <c r="W8" s="60" t="n">
        <f aca="false">IF(OR($D8="销售出库",$D8="销售退回"),ROUND(N($J8)*N($V8),2),0)</f>
        <v>92975</v>
      </c>
      <c r="X8" s="58" t="str">
        <f aca="false">IF($E8="","",IFERROR(INDEX(往来单位!$D$6:$D$85,MATCH($E8,往来单位!$A$6:$A$85,0)),"否"))</f>
        <v>是</v>
      </c>
      <c r="Y8" s="61" t="n">
        <f aca="false">IF($B8="","",YEAR($B8))</f>
        <v>2026</v>
      </c>
      <c r="Z8" s="58" t="str">
        <f aca="false">IF($B8="","",TEXT($B8,"yyyy-mm"))</f>
        <v>2026-06</v>
      </c>
    </row>
    <row r="9" customFormat="false" ht="15" hidden="false" customHeight="false" outlineLevel="0" collapsed="false">
      <c r="A9" s="53" t="n">
        <f aca="false">IF($B9="","",ROW()-5)</f>
        <v>4</v>
      </c>
      <c r="B9" s="54" t="n">
        <v>46218</v>
      </c>
      <c r="C9" s="33" t="s">
        <v>107</v>
      </c>
      <c r="D9" s="33" t="s">
        <v>282</v>
      </c>
      <c r="E9" s="32" t="s">
        <v>8</v>
      </c>
      <c r="F9" s="39" t="s">
        <v>374</v>
      </c>
      <c r="G9" s="48" t="str">
        <f aca="false">IF($F9="","",IFERROR(INDEX(商品档案!$B$6:$B$65,MATCH($F9,商品档案!$A$6:$A$65,0)),""))</f>
        <v>干艾草</v>
      </c>
      <c r="H9" s="48" t="str">
        <f aca="false">IF($F9="","",IFERROR(INDEX(商品档案!$C$6:$C$65,MATCH($F9,商品档案!$A$6:$A$65,0)),""))</f>
        <v>含水率≤12%</v>
      </c>
      <c r="I9" s="55" t="str">
        <f aca="false">IF($F9="","",IFERROR(INDEX(商品档案!$D$6:$D$65,MATCH($F9,商品档案!$A$6:$A$65,0)),""))</f>
        <v>公斤</v>
      </c>
      <c r="J9" s="49" t="n">
        <v>4000</v>
      </c>
      <c r="K9" s="56" t="n">
        <v>14</v>
      </c>
      <c r="L9" s="33" t="s">
        <v>573</v>
      </c>
      <c r="M9" s="39" t="s">
        <v>577</v>
      </c>
      <c r="N9" s="32" t="s">
        <v>578</v>
      </c>
      <c r="O9" s="41"/>
      <c r="P9" s="25" t="str">
        <f aca="false">IF(AND($B9="",$D9="",$F9=""),"",IF(NOT(ISNUMBER($B9)),"日期无效",IF(ISNA(MATCH($C9,参数设置!$A$10:$A$12,0)),"公司无效",IF(ISNA(MATCH($D9,记账规则!$A$6:$A$9,0)),"业务类型无效",IF(ISNA(MATCH($F9,商品档案!$A$6:$A$65,0)),"商品编码无效",IF(IFERROR(INDEX(商品档案!$E$6:$E$65,MATCH($F9,商品档案!$A$6:$A$65,0)),"")&lt;&gt;$C9,"商品不属于该公司",IF(AND($E9&lt;&gt;"",ISNA(MATCH($E9,往来单位!$A$6:$A$85,0))),"往来单位未建档",IF(N($J9)=0,"数量为 0",IF(N($K9)=0,"单价为 0",IF(AND(LEFT($D9,2)="销售",$U9=""),"该商品没设成本科目",IF(YEAR($B9)&lt;&gt;参数设置!$B$5,"不在本会计年度","OK")))))))))))</f>
        <v>OK</v>
      </c>
      <c r="Q9" s="57" t="n">
        <f aca="false">IF($F9="","",ROUND(N($J9)*N($K9),2))</f>
        <v>56000</v>
      </c>
      <c r="R9" s="58" t="str">
        <f aca="false">IF($D9="","",IF(LEFT($D9,2)="销售","应收账款","应付账款"))</f>
        <v>应收账款</v>
      </c>
      <c r="S9" s="58" t="str">
        <f aca="false">IF($F9="","",IFERROR(INDEX(商品档案!$G$6:$G$65,MATCH($F9,商品档案!$A$6:$A$65,0)),""))</f>
        <v>库存商品</v>
      </c>
      <c r="T9" s="58" t="str">
        <f aca="false">IF($F9="","",IFERROR(INDEX(商品档案!$H$6:$H$65,MATCH($F9,商品档案!$A$6:$A$65,0)),""))</f>
        <v>主营业务收入</v>
      </c>
      <c r="U9" s="58" t="str">
        <f aca="false">IF($F9="","",IFERROR(INDEX(商品档案!$I$6:$I$65,MATCH($F9,商品档案!$A$6:$A$65,0)),""))</f>
        <v>主营业务成本</v>
      </c>
      <c r="V9" s="59" t="n">
        <f aca="false">IF($F9="","",SUMIFS(进销存台账!$N$6:$N$65,进销存台账!$A$6:$A$65,$C9,进销存台账!$B$6:$B$65,$F9))</f>
        <v>10.3771045454545</v>
      </c>
      <c r="W9" s="60" t="n">
        <f aca="false">IF(OR($D9="销售出库",$D9="销售退回"),ROUND(N($J9)*N($V9),2),0)</f>
        <v>41508.42</v>
      </c>
      <c r="X9" s="58" t="str">
        <f aca="false">IF($E9="","",IFERROR(INDEX(往来单位!$D$6:$D$85,MATCH($E9,往来单位!$A$6:$A$85,0)),"否"))</f>
        <v>是</v>
      </c>
      <c r="Y9" s="61" t="n">
        <f aca="false">IF($B9="","",YEAR($B9))</f>
        <v>2026</v>
      </c>
      <c r="Z9" s="58" t="str">
        <f aca="false">IF($B9="","",TEXT($B9,"yyyy-mm"))</f>
        <v>2026-07</v>
      </c>
    </row>
    <row r="10" customFormat="false" ht="15" hidden="false" customHeight="false" outlineLevel="0" collapsed="false">
      <c r="A10" s="53" t="n">
        <f aca="false">IF($B10="","",ROW()-5)</f>
        <v>5</v>
      </c>
      <c r="B10" s="54" t="n">
        <v>46262</v>
      </c>
      <c r="C10" s="33" t="s">
        <v>107</v>
      </c>
      <c r="D10" s="33" t="s">
        <v>282</v>
      </c>
      <c r="E10" s="32" t="s">
        <v>469</v>
      </c>
      <c r="F10" s="39" t="s">
        <v>362</v>
      </c>
      <c r="G10" s="48" t="str">
        <f aca="false">IF($F10="","",IFERROR(INDEX(商品档案!$B$6:$B$65,MATCH($F10,商品档案!$A$6:$A$65,0)),""))</f>
        <v>原木</v>
      </c>
      <c r="H10" s="48" t="str">
        <f aca="false">IF($F10="","",IFERROR(INDEX(商品档案!$C$6:$C$65,MATCH($F10,商品档案!$A$6:$A$65,0)),""))</f>
        <v>杉木/松木 4m</v>
      </c>
      <c r="I10" s="55" t="str">
        <f aca="false">IF($F10="","",IFERROR(INDEX(商品档案!$D$6:$D$65,MATCH($F10,商品档案!$A$6:$A$65,0)),""))</f>
        <v>立方米</v>
      </c>
      <c r="J10" s="49" t="n">
        <v>60</v>
      </c>
      <c r="K10" s="56" t="n">
        <v>1100</v>
      </c>
      <c r="L10" s="33" t="s">
        <v>573</v>
      </c>
      <c r="M10" s="39" t="s">
        <v>579</v>
      </c>
      <c r="N10" s="32" t="s">
        <v>580</v>
      </c>
      <c r="O10" s="41"/>
      <c r="P10" s="25" t="str">
        <f aca="false">IF(AND($B10="",$D10="",$F10=""),"",IF(NOT(ISNUMBER($B10)),"日期无效",IF(ISNA(MATCH($C10,参数设置!$A$10:$A$12,0)),"公司无效",IF(ISNA(MATCH($D10,记账规则!$A$6:$A$9,0)),"业务类型无效",IF(ISNA(MATCH($F10,商品档案!$A$6:$A$65,0)),"商品编码无效",IF(IFERROR(INDEX(商品档案!$E$6:$E$65,MATCH($F10,商品档案!$A$6:$A$65,0)),"")&lt;&gt;$C10,"商品不属于该公司",IF(AND($E10&lt;&gt;"",ISNA(MATCH($E10,往来单位!$A$6:$A$85,0))),"往来单位未建档",IF(N($J10)=0,"数量为 0",IF(N($K10)=0,"单价为 0",IF(AND(LEFT($D10,2)="销售",$U10=""),"该商品没设成本科目",IF(YEAR($B10)&lt;&gt;参数设置!$B$5,"不在本会计年度","OK")))))))))))</f>
        <v>OK</v>
      </c>
      <c r="Q10" s="57" t="n">
        <f aca="false">IF($F10="","",ROUND(N($J10)*N($K10),2))</f>
        <v>66000</v>
      </c>
      <c r="R10" s="58" t="str">
        <f aca="false">IF($D10="","",IF(LEFT($D10,2)="销售","应收账款","应付账款"))</f>
        <v>应收账款</v>
      </c>
      <c r="S10" s="58" t="str">
        <f aca="false">IF($F10="","",IFERROR(INDEX(商品档案!$G$6:$G$65,MATCH($F10,商品档案!$A$6:$A$65,0)),""))</f>
        <v>库存商品</v>
      </c>
      <c r="T10" s="58" t="str">
        <f aca="false">IF($F10="","",IFERROR(INDEX(商品档案!$H$6:$H$65,MATCH($F10,商品档案!$A$6:$A$65,0)),""))</f>
        <v>主营业务收入</v>
      </c>
      <c r="U10" s="58" t="str">
        <f aca="false">IF($F10="","",IFERROR(INDEX(商品档案!$I$6:$I$65,MATCH($F10,商品档案!$A$6:$A$65,0)),""))</f>
        <v>主营业务成本</v>
      </c>
      <c r="V10" s="59" t="n">
        <f aca="false">IF($F10="","",SUMIFS(进销存台账!$N$6:$N$65,进销存台账!$A$6:$A$65,$C10,进销存台账!$B$6:$B$65,$F10))</f>
        <v>516.52778125</v>
      </c>
      <c r="W10" s="60" t="n">
        <f aca="false">IF(OR($D10="销售出库",$D10="销售退回"),ROUND(N($J10)*N($V10),2),0)</f>
        <v>30991.67</v>
      </c>
      <c r="X10" s="58" t="str">
        <f aca="false">IF($E10="","",IFERROR(INDEX(往来单位!$D$6:$D$85,MATCH($E10,往来单位!$A$6:$A$85,0)),"否"))</f>
        <v>否</v>
      </c>
      <c r="Y10" s="61" t="n">
        <f aca="false">IF($B10="","",YEAR($B10))</f>
        <v>2026</v>
      </c>
      <c r="Z10" s="58" t="str">
        <f aca="false">IF($B10="","",TEXT($B10,"yyyy-mm"))</f>
        <v>2026-08</v>
      </c>
    </row>
    <row r="11" customFormat="false" ht="15" hidden="false" customHeight="false" outlineLevel="0" collapsed="false">
      <c r="A11" s="53" t="n">
        <f aca="false">IF($B11="","",ROW()-5)</f>
        <v>6</v>
      </c>
      <c r="B11" s="54" t="n">
        <v>46270</v>
      </c>
      <c r="C11" s="33" t="s">
        <v>107</v>
      </c>
      <c r="D11" s="33" t="s">
        <v>282</v>
      </c>
      <c r="E11" s="32" t="s">
        <v>471</v>
      </c>
      <c r="F11" s="39" t="s">
        <v>374</v>
      </c>
      <c r="G11" s="48" t="str">
        <f aca="false">IF($F11="","",IFERROR(INDEX(商品档案!$B$6:$B$65,MATCH($F11,商品档案!$A$6:$A$65,0)),""))</f>
        <v>干艾草</v>
      </c>
      <c r="H11" s="48" t="str">
        <f aca="false">IF($F11="","",IFERROR(INDEX(商品档案!$C$6:$C$65,MATCH($F11,商品档案!$A$6:$A$65,0)),""))</f>
        <v>含水率≤12%</v>
      </c>
      <c r="I11" s="55" t="str">
        <f aca="false">IF($F11="","",IFERROR(INDEX(商品档案!$D$6:$D$65,MATCH($F11,商品档案!$A$6:$A$65,0)),""))</f>
        <v>公斤</v>
      </c>
      <c r="J11" s="49" t="n">
        <v>1200</v>
      </c>
      <c r="K11" s="56" t="n">
        <v>15</v>
      </c>
      <c r="L11" s="33" t="s">
        <v>573</v>
      </c>
      <c r="M11" s="39" t="s">
        <v>581</v>
      </c>
      <c r="N11" s="32" t="s">
        <v>582</v>
      </c>
      <c r="O11" s="41"/>
      <c r="P11" s="25" t="str">
        <f aca="false">IF(AND($B11="",$D11="",$F11=""),"",IF(NOT(ISNUMBER($B11)),"日期无效",IF(ISNA(MATCH($C11,参数设置!$A$10:$A$12,0)),"公司无效",IF(ISNA(MATCH($D11,记账规则!$A$6:$A$9,0)),"业务类型无效",IF(ISNA(MATCH($F11,商品档案!$A$6:$A$65,0)),"商品编码无效",IF(IFERROR(INDEX(商品档案!$E$6:$E$65,MATCH($F11,商品档案!$A$6:$A$65,0)),"")&lt;&gt;$C11,"商品不属于该公司",IF(AND($E11&lt;&gt;"",ISNA(MATCH($E11,往来单位!$A$6:$A$85,0))),"往来单位未建档",IF(N($J11)=0,"数量为 0",IF(N($K11)=0,"单价为 0",IF(AND(LEFT($D11,2)="销售",$U11=""),"该商品没设成本科目",IF(YEAR($B11)&lt;&gt;参数设置!$B$5,"不在本会计年度","OK")))))))))))</f>
        <v>OK</v>
      </c>
      <c r="Q11" s="57" t="n">
        <f aca="false">IF($F11="","",ROUND(N($J11)*N($K11),2))</f>
        <v>18000</v>
      </c>
      <c r="R11" s="58" t="str">
        <f aca="false">IF($D11="","",IF(LEFT($D11,2)="销售","应收账款","应付账款"))</f>
        <v>应收账款</v>
      </c>
      <c r="S11" s="58" t="str">
        <f aca="false">IF($F11="","",IFERROR(INDEX(商品档案!$G$6:$G$65,MATCH($F11,商品档案!$A$6:$A$65,0)),""))</f>
        <v>库存商品</v>
      </c>
      <c r="T11" s="58" t="str">
        <f aca="false">IF($F11="","",IFERROR(INDEX(商品档案!$H$6:$H$65,MATCH($F11,商品档案!$A$6:$A$65,0)),""))</f>
        <v>主营业务收入</v>
      </c>
      <c r="U11" s="58" t="str">
        <f aca="false">IF($F11="","",IFERROR(INDEX(商品档案!$I$6:$I$65,MATCH($F11,商品档案!$A$6:$A$65,0)),""))</f>
        <v>主营业务成本</v>
      </c>
      <c r="V11" s="59" t="n">
        <f aca="false">IF($F11="","",SUMIFS(进销存台账!$N$6:$N$65,进销存台账!$A$6:$A$65,$C11,进销存台账!$B$6:$B$65,$F11))</f>
        <v>10.3771045454545</v>
      </c>
      <c r="W11" s="60" t="n">
        <f aca="false">IF(OR($D11="销售出库",$D11="销售退回"),ROUND(N($J11)*N($V11),2),0)</f>
        <v>12452.53</v>
      </c>
      <c r="X11" s="58" t="str">
        <f aca="false">IF($E11="","",IFERROR(INDEX(往来单位!$D$6:$D$85,MATCH($E11,往来单位!$A$6:$A$85,0)),"否"))</f>
        <v>否</v>
      </c>
      <c r="Y11" s="61" t="n">
        <f aca="false">IF($B11="","",YEAR($B11))</f>
        <v>2026</v>
      </c>
      <c r="Z11" s="58" t="str">
        <f aca="false">IF($B11="","",TEXT($B11,"yyyy-mm"))</f>
        <v>2026-09</v>
      </c>
    </row>
    <row r="12" customFormat="false" ht="15" hidden="false" customHeight="false" outlineLevel="0" collapsed="false">
      <c r="A12" s="53" t="n">
        <f aca="false">IF($B12="","",ROW()-5)</f>
        <v>7</v>
      </c>
      <c r="B12" s="54" t="n">
        <v>46124</v>
      </c>
      <c r="C12" s="33" t="s">
        <v>110</v>
      </c>
      <c r="D12" s="33" t="s">
        <v>290</v>
      </c>
      <c r="E12" s="32" t="s">
        <v>487</v>
      </c>
      <c r="F12" s="39" t="s">
        <v>411</v>
      </c>
      <c r="G12" s="48" t="str">
        <f aca="false">IF($F12="","",IFERROR(INDEX(商品档案!$B$6:$B$65,MATCH($F12,商品档案!$A$6:$A$65,0)),""))</f>
        <v>胶水</v>
      </c>
      <c r="H12" s="48" t="str">
        <f aca="false">IF($F12="","",IFERROR(INDEX(商品档案!$C$6:$C$65,MATCH($F12,商品档案!$A$6:$A$65,0)),""))</f>
        <v>脲醛胶</v>
      </c>
      <c r="I12" s="55" t="str">
        <f aca="false">IF($F12="","",IFERROR(INDEX(商品档案!$D$6:$D$65,MATCH($F12,商品档案!$A$6:$A$65,0)),""))</f>
        <v>公斤</v>
      </c>
      <c r="J12" s="49" t="n">
        <v>600</v>
      </c>
      <c r="K12" s="56" t="n">
        <v>20</v>
      </c>
      <c r="L12" s="33" t="s">
        <v>583</v>
      </c>
      <c r="M12" s="39" t="s">
        <v>584</v>
      </c>
      <c r="N12" s="32" t="s">
        <v>413</v>
      </c>
      <c r="O12" s="41"/>
      <c r="P12" s="25" t="str">
        <f aca="false">IF(AND($B12="",$D12="",$F12=""),"",IF(NOT(ISNUMBER($B12)),"日期无效",IF(ISNA(MATCH($C12,参数设置!$A$10:$A$12,0)),"公司无效",IF(ISNA(MATCH($D12,记账规则!$A$6:$A$9,0)),"业务类型无效",IF(ISNA(MATCH($F12,商品档案!$A$6:$A$65,0)),"商品编码无效",IF(IFERROR(INDEX(商品档案!$E$6:$E$65,MATCH($F12,商品档案!$A$6:$A$65,0)),"")&lt;&gt;$C12,"商品不属于该公司",IF(AND($E12&lt;&gt;"",ISNA(MATCH($E12,往来单位!$A$6:$A$85,0))),"往来单位未建档",IF(N($J12)=0,"数量为 0",IF(N($K12)=0,"单价为 0",IF(AND(LEFT($D12,2)="销售",$U12=""),"该商品没设成本科目",IF(YEAR($B12)&lt;&gt;参数设置!$B$5,"不在本会计年度","OK")))))))))))</f>
        <v>OK</v>
      </c>
      <c r="Q12" s="57" t="n">
        <f aca="false">IF($F12="","",ROUND(N($J12)*N($K12),2))</f>
        <v>12000</v>
      </c>
      <c r="R12" s="58" t="str">
        <f aca="false">IF($D12="","",IF(LEFT($D12,2)="销售","应收账款","应付账款"))</f>
        <v>应付账款</v>
      </c>
      <c r="S12" s="58" t="str">
        <f aca="false">IF($F12="","",IFERROR(INDEX(商品档案!$G$6:$G$65,MATCH($F12,商品档案!$A$6:$A$65,0)),""))</f>
        <v>原材料</v>
      </c>
      <c r="T12" s="58" t="n">
        <f aca="false">IF($F12="","",IFERROR(INDEX(商品档案!$H$6:$H$65,MATCH($F12,商品档案!$A$6:$A$65,0)),""))</f>
        <v>0</v>
      </c>
      <c r="U12" s="58" t="n">
        <f aca="false">IF($F12="","",IFERROR(INDEX(商品档案!$I$6:$I$65,MATCH($F12,商品档案!$A$6:$A$65,0)),""))</f>
        <v>0</v>
      </c>
      <c r="V12" s="59" t="n">
        <f aca="false">IF($F12="","",SUMIFS(进销存台账!$N$6:$N$65,进销存台账!$A$6:$A$65,$C12,进销存台账!$B$6:$B$65,$F12))</f>
        <v>19.8333333333333</v>
      </c>
      <c r="W12" s="60" t="n">
        <f aca="false">IF(OR($D12="销售出库",$D12="销售退回"),ROUND(N($J12)*N($V12),2),0)</f>
        <v>0</v>
      </c>
      <c r="X12" s="58" t="str">
        <f aca="false">IF($E12="","",IFERROR(INDEX(往来单位!$D$6:$D$85,MATCH($E12,往来单位!$A$6:$A$85,0)),"否"))</f>
        <v>否</v>
      </c>
      <c r="Y12" s="61" t="n">
        <f aca="false">IF($B12="","",YEAR($B12))</f>
        <v>2026</v>
      </c>
      <c r="Z12" s="58" t="str">
        <f aca="false">IF($B12="","",TEXT($B12,"yyyy-mm"))</f>
        <v>2026-04</v>
      </c>
    </row>
    <row r="13" customFormat="false" ht="15" hidden="false" customHeight="false" outlineLevel="0" collapsed="false">
      <c r="A13" s="53" t="n">
        <f aca="false">IF($B13="","",ROW()-5)</f>
        <v>8</v>
      </c>
      <c r="B13" s="54" t="n">
        <v>46154</v>
      </c>
      <c r="C13" s="33" t="s">
        <v>110</v>
      </c>
      <c r="D13" s="33" t="s">
        <v>290</v>
      </c>
      <c r="E13" s="32" t="s">
        <v>477</v>
      </c>
      <c r="F13" s="39" t="s">
        <v>408</v>
      </c>
      <c r="G13" s="48" t="str">
        <f aca="false">IF($F13="","",IFERROR(INDEX(商品档案!$B$6:$B$65,MATCH($F13,商品档案!$A$6:$A$65,0)),""))</f>
        <v>原木</v>
      </c>
      <c r="H13" s="48" t="str">
        <f aca="false">IF($F13="","",IFERROR(INDEX(商品档案!$C$6:$C$65,MATCH($F13,商品档案!$A$6:$A$65,0)),""))</f>
        <v>外购/内购 4m</v>
      </c>
      <c r="I13" s="55" t="str">
        <f aca="false">IF($F13="","",IFERROR(INDEX(商品档案!$D$6:$D$65,MATCH($F13,商品档案!$A$6:$A$65,0)),""))</f>
        <v>立方米</v>
      </c>
      <c r="J13" s="49" t="n">
        <v>60</v>
      </c>
      <c r="K13" s="56" t="n">
        <v>980</v>
      </c>
      <c r="L13" s="33" t="s">
        <v>585</v>
      </c>
      <c r="M13" s="39" t="s">
        <v>586</v>
      </c>
      <c r="N13" s="32" t="s">
        <v>66</v>
      </c>
      <c r="O13" s="41"/>
      <c r="P13" s="25" t="str">
        <f aca="false">IF(AND($B13="",$D13="",$F13=""),"",IF(NOT(ISNUMBER($B13)),"日期无效",IF(ISNA(MATCH($C13,参数设置!$A$10:$A$12,0)),"公司无效",IF(ISNA(MATCH($D13,记账规则!$A$6:$A$9,0)),"业务类型无效",IF(ISNA(MATCH($F13,商品档案!$A$6:$A$65,0)),"商品编码无效",IF(IFERROR(INDEX(商品档案!$E$6:$E$65,MATCH($F13,商品档案!$A$6:$A$65,0)),"")&lt;&gt;$C13,"商品不属于该公司",IF(AND($E13&lt;&gt;"",ISNA(MATCH($E13,往来单位!$A$6:$A$85,0))),"往来单位未建档",IF(N($J13)=0,"数量为 0",IF(N($K13)=0,"单价为 0",IF(AND(LEFT($D13,2)="销售",$U13=""),"该商品没设成本科目",IF(YEAR($B13)&lt;&gt;参数设置!$B$5,"不在本会计年度","OK")))))))))))</f>
        <v>OK</v>
      </c>
      <c r="Q13" s="57" t="n">
        <f aca="false">IF($F13="","",ROUND(N($J13)*N($K13),2))</f>
        <v>58800</v>
      </c>
      <c r="R13" s="58" t="str">
        <f aca="false">IF($D13="","",IF(LEFT($D13,2)="销售","应收账款","应付账款"))</f>
        <v>应付账款</v>
      </c>
      <c r="S13" s="58" t="str">
        <f aca="false">IF($F13="","",IFERROR(INDEX(商品档案!$G$6:$G$65,MATCH($F13,商品档案!$A$6:$A$65,0)),""))</f>
        <v>原材料</v>
      </c>
      <c r="T13" s="58" t="n">
        <f aca="false">IF($F13="","",IFERROR(INDEX(商品档案!$H$6:$H$65,MATCH($F13,商品档案!$A$6:$A$65,0)),""))</f>
        <v>0</v>
      </c>
      <c r="U13" s="58" t="n">
        <f aca="false">IF($F13="","",IFERROR(INDEX(商品档案!$I$6:$I$65,MATCH($F13,商品档案!$A$6:$A$65,0)),""))</f>
        <v>0</v>
      </c>
      <c r="V13" s="59" t="n">
        <f aca="false">IF($F13="","",SUMIFS(进销存台账!$N$6:$N$65,进销存台账!$A$6:$A$65,$C13,进销存台账!$B$6:$B$65,$F13))</f>
        <v>1010.41095890411</v>
      </c>
      <c r="W13" s="60" t="n">
        <f aca="false">IF(OR($D13="销售出库",$D13="销售退回"),ROUND(N($J13)*N($V13),2),0)</f>
        <v>0</v>
      </c>
      <c r="X13" s="58" t="str">
        <f aca="false">IF($E13="","",IFERROR(INDEX(往来单位!$D$6:$D$85,MATCH($E13,往来单位!$A$6:$A$85,0)),"否"))</f>
        <v>否</v>
      </c>
      <c r="Y13" s="61" t="n">
        <f aca="false">IF($B13="","",YEAR($B13))</f>
        <v>2026</v>
      </c>
      <c r="Z13" s="58" t="str">
        <f aca="false">IF($B13="","",TEXT($B13,"yyyy-mm"))</f>
        <v>2026-05</v>
      </c>
    </row>
    <row r="14" customFormat="false" ht="15" hidden="false" customHeight="false" outlineLevel="0" collapsed="false">
      <c r="A14" s="53" t="n">
        <f aca="false">IF($B14="","",ROW()-5)</f>
        <v>9</v>
      </c>
      <c r="B14" s="54" t="n">
        <v>46193</v>
      </c>
      <c r="C14" s="33" t="s">
        <v>110</v>
      </c>
      <c r="D14" s="33" t="s">
        <v>290</v>
      </c>
      <c r="E14" s="32" t="s">
        <v>6</v>
      </c>
      <c r="F14" s="39" t="s">
        <v>408</v>
      </c>
      <c r="G14" s="48" t="str">
        <f aca="false">IF($F14="","",IFERROR(INDEX(商品档案!$B$6:$B$65,MATCH($F14,商品档案!$A$6:$A$65,0)),""))</f>
        <v>原木</v>
      </c>
      <c r="H14" s="48" t="str">
        <f aca="false">IF($F14="","",IFERROR(INDEX(商品档案!$C$6:$C$65,MATCH($F14,商品档案!$A$6:$A$65,0)),""))</f>
        <v>外购/内购 4m</v>
      </c>
      <c r="I14" s="55" t="str">
        <f aca="false">IF($F14="","",IFERROR(INDEX(商品档案!$D$6:$D$65,MATCH($F14,商品档案!$A$6:$A$65,0)),""))</f>
        <v>立方米</v>
      </c>
      <c r="J14" s="49" t="n">
        <v>180</v>
      </c>
      <c r="K14" s="56" t="n">
        <v>1050</v>
      </c>
      <c r="L14" s="33" t="s">
        <v>585</v>
      </c>
      <c r="M14" s="39" t="s">
        <v>587</v>
      </c>
      <c r="N14" s="32" t="s">
        <v>588</v>
      </c>
      <c r="O14" s="41"/>
      <c r="P14" s="25" t="str">
        <f aca="false">IF(AND($B14="",$D14="",$F14=""),"",IF(NOT(ISNUMBER($B14)),"日期无效",IF(ISNA(MATCH($C14,参数设置!$A$10:$A$12,0)),"公司无效",IF(ISNA(MATCH($D14,记账规则!$A$6:$A$9,0)),"业务类型无效",IF(ISNA(MATCH($F14,商品档案!$A$6:$A$65,0)),"商品编码无效",IF(IFERROR(INDEX(商品档案!$E$6:$E$65,MATCH($F14,商品档案!$A$6:$A$65,0)),"")&lt;&gt;$C14,"商品不属于该公司",IF(AND($E14&lt;&gt;"",ISNA(MATCH($E14,往来单位!$A$6:$A$85,0))),"往来单位未建档",IF(N($J14)=0,"数量为 0",IF(N($K14)=0,"单价为 0",IF(AND(LEFT($D14,2)="销售",$U14=""),"该商品没设成本科目",IF(YEAR($B14)&lt;&gt;参数设置!$B$5,"不在本会计年度","OK")))))))))))</f>
        <v>OK</v>
      </c>
      <c r="Q14" s="57" t="n">
        <f aca="false">IF($F14="","",ROUND(N($J14)*N($K14),2))</f>
        <v>189000</v>
      </c>
      <c r="R14" s="58" t="str">
        <f aca="false">IF($D14="","",IF(LEFT($D14,2)="销售","应收账款","应付账款"))</f>
        <v>应付账款</v>
      </c>
      <c r="S14" s="58" t="str">
        <f aca="false">IF($F14="","",IFERROR(INDEX(商品档案!$G$6:$G$65,MATCH($F14,商品档案!$A$6:$A$65,0)),""))</f>
        <v>原材料</v>
      </c>
      <c r="T14" s="58" t="n">
        <f aca="false">IF($F14="","",IFERROR(INDEX(商品档案!$H$6:$H$65,MATCH($F14,商品档案!$A$6:$A$65,0)),""))</f>
        <v>0</v>
      </c>
      <c r="U14" s="58" t="n">
        <f aca="false">IF($F14="","",IFERROR(INDEX(商品档案!$I$6:$I$65,MATCH($F14,商品档案!$A$6:$A$65,0)),""))</f>
        <v>0</v>
      </c>
      <c r="V14" s="59" t="n">
        <f aca="false">IF($F14="","",SUMIFS(进销存台账!$N$6:$N$65,进销存台账!$A$6:$A$65,$C14,进销存台账!$B$6:$B$65,$F14))</f>
        <v>1010.41095890411</v>
      </c>
      <c r="W14" s="60" t="n">
        <f aca="false">IF(OR($D14="销售出库",$D14="销售退回"),ROUND(N($J14)*N($V14),2),0)</f>
        <v>0</v>
      </c>
      <c r="X14" s="58" t="str">
        <f aca="false">IF($E14="","",IFERROR(INDEX(往来单位!$D$6:$D$85,MATCH($E14,往来单位!$A$6:$A$85,0)),"否"))</f>
        <v>是</v>
      </c>
      <c r="Y14" s="61" t="n">
        <f aca="false">IF($B14="","",YEAR($B14))</f>
        <v>2026</v>
      </c>
      <c r="Z14" s="58" t="str">
        <f aca="false">IF($B14="","",TEXT($B14,"yyyy-mm"))</f>
        <v>2026-06</v>
      </c>
    </row>
    <row r="15" customFormat="false" ht="15" hidden="false" customHeight="false" outlineLevel="0" collapsed="false">
      <c r="A15" s="53" t="n">
        <f aca="false">IF($B15="","",ROW()-5)</f>
        <v>10</v>
      </c>
      <c r="B15" s="54" t="n">
        <v>46252</v>
      </c>
      <c r="C15" s="33" t="s">
        <v>110</v>
      </c>
      <c r="D15" s="33" t="s">
        <v>290</v>
      </c>
      <c r="E15" s="32" t="s">
        <v>480</v>
      </c>
      <c r="F15" s="39" t="s">
        <v>408</v>
      </c>
      <c r="G15" s="48" t="str">
        <f aca="false">IF($F15="","",IFERROR(INDEX(商品档案!$B$6:$B$65,MATCH($F15,商品档案!$A$6:$A$65,0)),""))</f>
        <v>原木</v>
      </c>
      <c r="H15" s="48" t="str">
        <f aca="false">IF($F15="","",IFERROR(INDEX(商品档案!$C$6:$C$65,MATCH($F15,商品档案!$A$6:$A$65,0)),""))</f>
        <v>外购/内购 4m</v>
      </c>
      <c r="I15" s="55" t="str">
        <f aca="false">IF($F15="","",IFERROR(INDEX(商品档案!$D$6:$D$65,MATCH($F15,商品档案!$A$6:$A$65,0)),""))</f>
        <v>立方米</v>
      </c>
      <c r="J15" s="49" t="n">
        <v>45</v>
      </c>
      <c r="K15" s="56" t="n">
        <v>1000</v>
      </c>
      <c r="L15" s="33" t="s">
        <v>585</v>
      </c>
      <c r="M15" s="39" t="s">
        <v>589</v>
      </c>
      <c r="N15" s="32" t="s">
        <v>66</v>
      </c>
      <c r="O15" s="41"/>
      <c r="P15" s="25" t="str">
        <f aca="false">IF(AND($B15="",$D15="",$F15=""),"",IF(NOT(ISNUMBER($B15)),"日期无效",IF(ISNA(MATCH($C15,参数设置!$A$10:$A$12,0)),"公司无效",IF(ISNA(MATCH($D15,记账规则!$A$6:$A$9,0)),"业务类型无效",IF(ISNA(MATCH($F15,商品档案!$A$6:$A$65,0)),"商品编码无效",IF(IFERROR(INDEX(商品档案!$E$6:$E$65,MATCH($F15,商品档案!$A$6:$A$65,0)),"")&lt;&gt;$C15,"商品不属于该公司",IF(AND($E15&lt;&gt;"",ISNA(MATCH($E15,往来单位!$A$6:$A$85,0))),"往来单位未建档",IF(N($J15)=0,"数量为 0",IF(N($K15)=0,"单价为 0",IF(AND(LEFT($D15,2)="销售",$U15=""),"该商品没设成本科目",IF(YEAR($B15)&lt;&gt;参数设置!$B$5,"不在本会计年度","OK")))))))))))</f>
        <v>OK</v>
      </c>
      <c r="Q15" s="57" t="n">
        <f aca="false">IF($F15="","",ROUND(N($J15)*N($K15),2))</f>
        <v>45000</v>
      </c>
      <c r="R15" s="58" t="str">
        <f aca="false">IF($D15="","",IF(LEFT($D15,2)="销售","应收账款","应付账款"))</f>
        <v>应付账款</v>
      </c>
      <c r="S15" s="58" t="str">
        <f aca="false">IF($F15="","",IFERROR(INDEX(商品档案!$G$6:$G$65,MATCH($F15,商品档案!$A$6:$A$65,0)),""))</f>
        <v>原材料</v>
      </c>
      <c r="T15" s="58" t="n">
        <f aca="false">IF($F15="","",IFERROR(INDEX(商品档案!$H$6:$H$65,MATCH($F15,商品档案!$A$6:$A$65,0)),""))</f>
        <v>0</v>
      </c>
      <c r="U15" s="58" t="n">
        <f aca="false">IF($F15="","",IFERROR(INDEX(商品档案!$I$6:$I$65,MATCH($F15,商品档案!$A$6:$A$65,0)),""))</f>
        <v>0</v>
      </c>
      <c r="V15" s="59" t="n">
        <f aca="false">IF($F15="","",SUMIFS(进销存台账!$N$6:$N$65,进销存台账!$A$6:$A$65,$C15,进销存台账!$B$6:$B$65,$F15))</f>
        <v>1010.41095890411</v>
      </c>
      <c r="W15" s="60" t="n">
        <f aca="false">IF(OR($D15="销售出库",$D15="销售退回"),ROUND(N($J15)*N($V15),2),0)</f>
        <v>0</v>
      </c>
      <c r="X15" s="58" t="str">
        <f aca="false">IF($E15="","",IFERROR(INDEX(往来单位!$D$6:$D$85,MATCH($E15,往来单位!$A$6:$A$85,0)),"否"))</f>
        <v>否</v>
      </c>
      <c r="Y15" s="61" t="n">
        <f aca="false">IF($B15="","",YEAR($B15))</f>
        <v>2026</v>
      </c>
      <c r="Z15" s="58" t="str">
        <f aca="false">IF($B15="","",TEXT($B15,"yyyy-mm"))</f>
        <v>2026-08</v>
      </c>
    </row>
    <row r="16" customFormat="false" ht="15" hidden="false" customHeight="false" outlineLevel="0" collapsed="false">
      <c r="A16" s="53" t="n">
        <f aca="false">IF($B16="","",ROW()-5)</f>
        <v>11</v>
      </c>
      <c r="B16" s="54" t="n">
        <v>46211</v>
      </c>
      <c r="C16" s="33" t="s">
        <v>110</v>
      </c>
      <c r="D16" s="33" t="s">
        <v>282</v>
      </c>
      <c r="E16" s="32" t="s">
        <v>460</v>
      </c>
      <c r="F16" s="39" t="s">
        <v>391</v>
      </c>
      <c r="G16" s="48" t="str">
        <f aca="false">IF($F16="","",IFERROR(INDEX(商品档案!$B$6:$B$65,MATCH($F16,商品档案!$A$6:$A$65,0)),""))</f>
        <v>*木制品*木板</v>
      </c>
      <c r="H16" s="48" t="str">
        <f aca="false">IF($F16="","",IFERROR(INDEX(商品档案!$C$6:$C$65,MATCH($F16,商品档案!$A$6:$A$65,0)),""))</f>
        <v>1220×2440×18mm</v>
      </c>
      <c r="I16" s="55" t="str">
        <f aca="false">IF($F16="","",IFERROR(INDEX(商品档案!$D$6:$D$65,MATCH($F16,商品档案!$A$6:$A$65,0)),""))</f>
        <v>张</v>
      </c>
      <c r="J16" s="49" t="n">
        <v>2200</v>
      </c>
      <c r="K16" s="56" t="n">
        <v>165</v>
      </c>
      <c r="L16" s="33" t="s">
        <v>583</v>
      </c>
      <c r="M16" s="39" t="s">
        <v>590</v>
      </c>
      <c r="N16" s="32" t="s">
        <v>591</v>
      </c>
      <c r="O16" s="41"/>
      <c r="P16" s="25" t="str">
        <f aca="false">IF(AND($B16="",$D16="",$F16=""),"",IF(NOT(ISNUMBER($B16)),"日期无效",IF(ISNA(MATCH($C16,参数设置!$A$10:$A$12,0)),"公司无效",IF(ISNA(MATCH($D16,记账规则!$A$6:$A$9,0)),"业务类型无效",IF(ISNA(MATCH($F16,商品档案!$A$6:$A$65,0)),"商品编码无效",IF(IFERROR(INDEX(商品档案!$E$6:$E$65,MATCH($F16,商品档案!$A$6:$A$65,0)),"")&lt;&gt;$C16,"商品不属于该公司",IF(AND($E16&lt;&gt;"",ISNA(MATCH($E16,往来单位!$A$6:$A$85,0))),"往来单位未建档",IF(N($J16)=0,"数量为 0",IF(N($K16)=0,"单价为 0",IF(AND(LEFT($D16,2)="销售",$U16=""),"该商品没设成本科目",IF(YEAR($B16)&lt;&gt;参数设置!$B$5,"不在本会计年度","OK")))))))))))</f>
        <v>OK</v>
      </c>
      <c r="Q16" s="57" t="n">
        <f aca="false">IF($F16="","",ROUND(N($J16)*N($K16),2))</f>
        <v>363000</v>
      </c>
      <c r="R16" s="58" t="str">
        <f aca="false">IF($D16="","",IF(LEFT($D16,2)="销售","应收账款","应付账款"))</f>
        <v>应收账款</v>
      </c>
      <c r="S16" s="58" t="str">
        <f aca="false">IF($F16="","",IFERROR(INDEX(商品档案!$G$6:$G$65,MATCH($F16,商品档案!$A$6:$A$65,0)),""))</f>
        <v>库存商品</v>
      </c>
      <c r="T16" s="58" t="str">
        <f aca="false">IF($F16="","",IFERROR(INDEX(商品档案!$H$6:$H$65,MATCH($F16,商品档案!$A$6:$A$65,0)),""))</f>
        <v>主营业务收入</v>
      </c>
      <c r="U16" s="58" t="str">
        <f aca="false">IF($F16="","",IFERROR(INDEX(商品档案!$I$6:$I$65,MATCH($F16,商品档案!$A$6:$A$65,0)),""))</f>
        <v>主营业务成本</v>
      </c>
      <c r="V16" s="59" t="n">
        <f aca="false">IF($F16="","",SUMIFS(进销存台账!$N$6:$N$65,进销存台账!$A$6:$A$65,$C16,进销存台账!$B$6:$B$65,$F16))</f>
        <v>99.2497384615385</v>
      </c>
      <c r="W16" s="60" t="n">
        <f aca="false">IF(OR($D16="销售出库",$D16="销售退回"),ROUND(N($J16)*N($V16),2),0)</f>
        <v>218349.42</v>
      </c>
      <c r="X16" s="58" t="str">
        <f aca="false">IF($E16="","",IFERROR(INDEX(往来单位!$D$6:$D$85,MATCH($E16,往来单位!$A$6:$A$85,0)),"否"))</f>
        <v>否</v>
      </c>
      <c r="Y16" s="61" t="n">
        <f aca="false">IF($B16="","",YEAR($B16))</f>
        <v>2026</v>
      </c>
      <c r="Z16" s="58" t="str">
        <f aca="false">IF($B16="","",TEXT($B16,"yyyy-mm"))</f>
        <v>2026-07</v>
      </c>
    </row>
    <row r="17" customFormat="false" ht="15" hidden="false" customHeight="false" outlineLevel="0" collapsed="false">
      <c r="A17" s="53" t="n">
        <f aca="false">IF($B17="","",ROW()-5)</f>
        <v>12</v>
      </c>
      <c r="B17" s="54" t="n">
        <v>46240</v>
      </c>
      <c r="C17" s="33" t="s">
        <v>110</v>
      </c>
      <c r="D17" s="33" t="s">
        <v>282</v>
      </c>
      <c r="E17" s="32" t="s">
        <v>463</v>
      </c>
      <c r="F17" s="39" t="s">
        <v>396</v>
      </c>
      <c r="G17" s="48" t="str">
        <f aca="false">IF($F17="","",IFERROR(INDEX(商品档案!$B$6:$B$65,MATCH($F17,商品档案!$A$6:$A$65,0)),""))</f>
        <v>*木制品*模板</v>
      </c>
      <c r="H17" s="48" t="str">
        <f aca="false">IF($F17="","",IFERROR(INDEX(商品档案!$C$6:$C$65,MATCH($F17,商品档案!$A$6:$A$65,0)),""))</f>
        <v>1220×2440×15mm</v>
      </c>
      <c r="I17" s="55" t="str">
        <f aca="false">IF($F17="","",IFERROR(INDEX(商品档案!$D$6:$D$65,MATCH($F17,商品档案!$A$6:$A$65,0)),""))</f>
        <v>张</v>
      </c>
      <c r="J17" s="49" t="n">
        <v>700</v>
      </c>
      <c r="K17" s="56" t="n">
        <v>150</v>
      </c>
      <c r="L17" s="33" t="s">
        <v>583</v>
      </c>
      <c r="M17" s="39" t="s">
        <v>592</v>
      </c>
      <c r="N17" s="32" t="s">
        <v>593</v>
      </c>
      <c r="O17" s="41"/>
      <c r="P17" s="25" t="str">
        <f aca="false">IF(AND($B17="",$D17="",$F17=""),"",IF(NOT(ISNUMBER($B17)),"日期无效",IF(ISNA(MATCH($C17,参数设置!$A$10:$A$12,0)),"公司无效",IF(ISNA(MATCH($D17,记账规则!$A$6:$A$9,0)),"业务类型无效",IF(ISNA(MATCH($F17,商品档案!$A$6:$A$65,0)),"商品编码无效",IF(IFERROR(INDEX(商品档案!$E$6:$E$65,MATCH($F17,商品档案!$A$6:$A$65,0)),"")&lt;&gt;$C17,"商品不属于该公司",IF(AND($E17&lt;&gt;"",ISNA(MATCH($E17,往来单位!$A$6:$A$85,0))),"往来单位未建档",IF(N($J17)=0,"数量为 0",IF(N($K17)=0,"单价为 0",IF(AND(LEFT($D17,2)="销售",$U17=""),"该商品没设成本科目",IF(YEAR($B17)&lt;&gt;参数设置!$B$5,"不在本会计年度","OK")))))))))))</f>
        <v>OK</v>
      </c>
      <c r="Q17" s="57" t="n">
        <f aca="false">IF($F17="","",ROUND(N($J17)*N($K17),2))</f>
        <v>105000</v>
      </c>
      <c r="R17" s="58" t="str">
        <f aca="false">IF($D17="","",IF(LEFT($D17,2)="销售","应收账款","应付账款"))</f>
        <v>应收账款</v>
      </c>
      <c r="S17" s="58" t="str">
        <f aca="false">IF($F17="","",IFERROR(INDEX(商品档案!$G$6:$G$65,MATCH($F17,商品档案!$A$6:$A$65,0)),""))</f>
        <v>库存商品</v>
      </c>
      <c r="T17" s="58" t="str">
        <f aca="false">IF($F17="","",IFERROR(INDEX(商品档案!$H$6:$H$65,MATCH($F17,商品档案!$A$6:$A$65,0)),""))</f>
        <v>主营业务收入</v>
      </c>
      <c r="U17" s="58" t="str">
        <f aca="false">IF($F17="","",IFERROR(INDEX(商品档案!$I$6:$I$65,MATCH($F17,商品档案!$A$6:$A$65,0)),""))</f>
        <v>主营业务成本</v>
      </c>
      <c r="V17" s="59" t="n">
        <f aca="false">IF($F17="","",SUMIFS(进销存台账!$N$6:$N$65,进销存台账!$A$6:$A$65,$C17,进销存台账!$B$6:$B$65,$F17))</f>
        <v>94.5205555555556</v>
      </c>
      <c r="W17" s="60" t="n">
        <f aca="false">IF(OR($D17="销售出库",$D17="销售退回"),ROUND(N($J17)*N($V17),2),0)</f>
        <v>66164.39</v>
      </c>
      <c r="X17" s="58" t="str">
        <f aca="false">IF($E17="","",IFERROR(INDEX(往来单位!$D$6:$D$85,MATCH($E17,往来单位!$A$6:$A$85,0)),"否"))</f>
        <v>否</v>
      </c>
      <c r="Y17" s="61" t="n">
        <f aca="false">IF($B17="","",YEAR($B17))</f>
        <v>2026</v>
      </c>
      <c r="Z17" s="58" t="str">
        <f aca="false">IF($B17="","",TEXT($B17,"yyyy-mm"))</f>
        <v>2026-08</v>
      </c>
    </row>
    <row r="18" customFormat="false" ht="15" hidden="false" customHeight="false" outlineLevel="0" collapsed="false">
      <c r="A18" s="53" t="n">
        <f aca="false">IF($B18="","",ROW()-5)</f>
        <v>13</v>
      </c>
      <c r="B18" s="54" t="n">
        <v>46256</v>
      </c>
      <c r="C18" s="33" t="s">
        <v>110</v>
      </c>
      <c r="D18" s="33" t="s">
        <v>282</v>
      </c>
      <c r="E18" s="32" t="s">
        <v>465</v>
      </c>
      <c r="F18" s="39" t="s">
        <v>403</v>
      </c>
      <c r="G18" s="48" t="str">
        <f aca="false">IF($F18="","",IFERROR(INDEX(商品档案!$B$6:$B$65,MATCH($F18,商品档案!$A$6:$A$65,0)),""))</f>
        <v>*木制品*包装箱板材</v>
      </c>
      <c r="H18" s="48" t="n">
        <f aca="false">IF($F18="","",IFERROR(INDEX(商品档案!$C$6:$C$65,MATCH($F18,商品档案!$A$6:$A$65,0)),""))</f>
        <v>0</v>
      </c>
      <c r="I18" s="55" t="str">
        <f aca="false">IF($F18="","",IFERROR(INDEX(商品档案!$D$6:$D$65,MATCH($F18,商品档案!$A$6:$A$65,0)),""))</f>
        <v>立方米</v>
      </c>
      <c r="J18" s="49" t="n">
        <v>45</v>
      </c>
      <c r="K18" s="56" t="n">
        <v>2050</v>
      </c>
      <c r="L18" s="33" t="s">
        <v>583</v>
      </c>
      <c r="M18" s="39" t="s">
        <v>594</v>
      </c>
      <c r="N18" s="32" t="s">
        <v>595</v>
      </c>
      <c r="O18" s="41"/>
      <c r="P18" s="25" t="str">
        <f aca="false">IF(AND($B18="",$D18="",$F18=""),"",IF(NOT(ISNUMBER($B18)),"日期无效",IF(ISNA(MATCH($C18,参数设置!$A$10:$A$12,0)),"公司无效",IF(ISNA(MATCH($D18,记账规则!$A$6:$A$9,0)),"业务类型无效",IF(ISNA(MATCH($F18,商品档案!$A$6:$A$65,0)),"商品编码无效",IF(IFERROR(INDEX(商品档案!$E$6:$E$65,MATCH($F18,商品档案!$A$6:$A$65,0)),"")&lt;&gt;$C18,"商品不属于该公司",IF(AND($E18&lt;&gt;"",ISNA(MATCH($E18,往来单位!$A$6:$A$85,0))),"往来单位未建档",IF(N($J18)=0,"数量为 0",IF(N($K18)=0,"单价为 0",IF(AND(LEFT($D18,2)="销售",$U18=""),"该商品没设成本科目",IF(YEAR($B18)&lt;&gt;参数设置!$B$5,"不在本会计年度","OK")))))))))))</f>
        <v>OK</v>
      </c>
      <c r="Q18" s="57" t="n">
        <f aca="false">IF($F18="","",ROUND(N($J18)*N($K18),2))</f>
        <v>92250</v>
      </c>
      <c r="R18" s="58" t="str">
        <f aca="false">IF($D18="","",IF(LEFT($D18,2)="销售","应收账款","应付账款"))</f>
        <v>应收账款</v>
      </c>
      <c r="S18" s="58" t="str">
        <f aca="false">IF($F18="","",IFERROR(INDEX(商品档案!$G$6:$G$65,MATCH($F18,商品档案!$A$6:$A$65,0)),""))</f>
        <v>库存商品</v>
      </c>
      <c r="T18" s="58" t="str">
        <f aca="false">IF($F18="","",IFERROR(INDEX(商品档案!$H$6:$H$65,MATCH($F18,商品档案!$A$6:$A$65,0)),""))</f>
        <v>主营业务收入</v>
      </c>
      <c r="U18" s="58" t="str">
        <f aca="false">IF($F18="","",IFERROR(INDEX(商品档案!$I$6:$I$65,MATCH($F18,商品档案!$A$6:$A$65,0)),""))</f>
        <v>主营业务成本</v>
      </c>
      <c r="V18" s="59" t="n">
        <f aca="false">IF($F18="","",SUMIFS(进销存台账!$N$6:$N$65,进销存台账!$A$6:$A$65,$C18,进销存台账!$B$6:$B$65,$F18))</f>
        <v>1492.18041666667</v>
      </c>
      <c r="W18" s="60" t="n">
        <f aca="false">IF(OR($D18="销售出库",$D18="销售退回"),ROUND(N($J18)*N($V18),2),0)</f>
        <v>67148.12</v>
      </c>
      <c r="X18" s="58" t="str">
        <f aca="false">IF($E18="","",IFERROR(INDEX(往来单位!$D$6:$D$85,MATCH($E18,往来单位!$A$6:$A$85,0)),"否"))</f>
        <v>否</v>
      </c>
      <c r="Y18" s="61" t="n">
        <f aca="false">IF($B18="","",YEAR($B18))</f>
        <v>2026</v>
      </c>
      <c r="Z18" s="58" t="str">
        <f aca="false">IF($B18="","",TEXT($B18,"yyyy-mm"))</f>
        <v>2026-08</v>
      </c>
    </row>
    <row r="19" customFormat="false" ht="15" hidden="false" customHeight="false" outlineLevel="0" collapsed="false">
      <c r="A19" s="53" t="n">
        <f aca="false">IF($B19="","",ROW()-5)</f>
        <v>14</v>
      </c>
      <c r="B19" s="54" t="n">
        <v>46268</v>
      </c>
      <c r="C19" s="33" t="s">
        <v>110</v>
      </c>
      <c r="D19" s="33" t="s">
        <v>282</v>
      </c>
      <c r="E19" s="32" t="s">
        <v>467</v>
      </c>
      <c r="F19" s="39" t="s">
        <v>405</v>
      </c>
      <c r="G19" s="48" t="str">
        <f aca="false">IF($F19="","",IFERROR(INDEX(商品档案!$B$6:$B$65,MATCH($F19,商品档案!$A$6:$A$65,0)),""))</f>
        <v>*林业产品*建筑木方料</v>
      </c>
      <c r="H19" s="48" t="n">
        <f aca="false">IF($F19="","",IFERROR(INDEX(商品档案!$C$6:$C$65,MATCH($F19,商品档案!$A$6:$A$65,0)),""))</f>
        <v>0</v>
      </c>
      <c r="I19" s="55" t="str">
        <f aca="false">IF($F19="","",IFERROR(INDEX(商品档案!$D$6:$D$65,MATCH($F19,商品档案!$A$6:$A$65,0)),""))</f>
        <v>立方米</v>
      </c>
      <c r="J19" s="49" t="n">
        <v>15</v>
      </c>
      <c r="K19" s="56" t="n">
        <v>1450</v>
      </c>
      <c r="L19" s="33" t="s">
        <v>583</v>
      </c>
      <c r="M19" s="39" t="s">
        <v>596</v>
      </c>
      <c r="N19" s="32" t="s">
        <v>597</v>
      </c>
      <c r="O19" s="41"/>
      <c r="P19" s="25" t="str">
        <f aca="false">IF(AND($B19="",$D19="",$F19=""),"",IF(NOT(ISNUMBER($B19)),"日期无效",IF(ISNA(MATCH($C19,参数设置!$A$10:$A$12,0)),"公司无效",IF(ISNA(MATCH($D19,记账规则!$A$6:$A$9,0)),"业务类型无效",IF(ISNA(MATCH($F19,商品档案!$A$6:$A$65,0)),"商品编码无效",IF(IFERROR(INDEX(商品档案!$E$6:$E$65,MATCH($F19,商品档案!$A$6:$A$65,0)),"")&lt;&gt;$C19,"商品不属于该公司",IF(AND($E19&lt;&gt;"",ISNA(MATCH($E19,往来单位!$A$6:$A$85,0))),"往来单位未建档",IF(N($J19)=0,"数量为 0",IF(N($K19)=0,"单价为 0",IF(AND(LEFT($D19,2)="销售",$U19=""),"该商品没设成本科目",IF(YEAR($B19)&lt;&gt;参数设置!$B$5,"不在本会计年度","OK")))))))))))</f>
        <v>OK</v>
      </c>
      <c r="Q19" s="57" t="n">
        <f aca="false">IF($F19="","",ROUND(N($J19)*N($K19),2))</f>
        <v>21750</v>
      </c>
      <c r="R19" s="58" t="str">
        <f aca="false">IF($D19="","",IF(LEFT($D19,2)="销售","应收账款","应付账款"))</f>
        <v>应收账款</v>
      </c>
      <c r="S19" s="58" t="str">
        <f aca="false">IF($F19="","",IFERROR(INDEX(商品档案!$G$6:$G$65,MATCH($F19,商品档案!$A$6:$A$65,0)),""))</f>
        <v>库存商品</v>
      </c>
      <c r="T19" s="58" t="str">
        <f aca="false">IF($F19="","",IFERROR(INDEX(商品档案!$H$6:$H$65,MATCH($F19,商品档案!$A$6:$A$65,0)),""))</f>
        <v>主营业务收入</v>
      </c>
      <c r="U19" s="58" t="str">
        <f aca="false">IF($F19="","",IFERROR(INDEX(商品档案!$I$6:$I$65,MATCH($F19,商品档案!$A$6:$A$65,0)),""))</f>
        <v>主营业务成本</v>
      </c>
      <c r="V19" s="59" t="n">
        <f aca="false">IF($F19="","",SUMIFS(进销存台账!$N$6:$N$65,进销存台账!$A$6:$A$65,$C19,进销存台账!$B$6:$B$65,$F19))</f>
        <v>957.808</v>
      </c>
      <c r="W19" s="60" t="n">
        <f aca="false">IF(OR($D19="销售出库",$D19="销售退回"),ROUND(N($J19)*N($V19),2),0)</f>
        <v>14367.12</v>
      </c>
      <c r="X19" s="58" t="str">
        <f aca="false">IF($E19="","",IFERROR(INDEX(往来单位!$D$6:$D$85,MATCH($E19,往来单位!$A$6:$A$85,0)),"否"))</f>
        <v>否</v>
      </c>
      <c r="Y19" s="61" t="n">
        <f aca="false">IF($B19="","",YEAR($B19))</f>
        <v>2026</v>
      </c>
      <c r="Z19" s="58" t="str">
        <f aca="false">IF($B19="","",TEXT($B19,"yyyy-mm"))</f>
        <v>2026-09</v>
      </c>
    </row>
    <row r="20" customFormat="false" ht="15" hidden="false" customHeight="false" outlineLevel="0" collapsed="false">
      <c r="A20" s="53" t="n">
        <f aca="false">IF($B20="","",ROW()-5)</f>
        <v>15</v>
      </c>
      <c r="B20" s="54" t="n">
        <v>46160</v>
      </c>
      <c r="C20" s="33" t="s">
        <v>112</v>
      </c>
      <c r="D20" s="33" t="s">
        <v>290</v>
      </c>
      <c r="E20" s="32" t="s">
        <v>489</v>
      </c>
      <c r="F20" s="39" t="s">
        <v>444</v>
      </c>
      <c r="G20" s="48" t="str">
        <f aca="false">IF($F20="","",IFERROR(INDEX(商品档案!$B$6:$B$65,MATCH($F20,商品档案!$A$6:$A$65,0)),""))</f>
        <v>包装瓶</v>
      </c>
      <c r="H20" s="48" t="str">
        <f aca="false">IF($F20="","",IFERROR(INDEX(商品档案!$C$6:$C$65,MATCH($F20,商品档案!$A$6:$A$65,0)),""))</f>
        <v>10ml 玻璃瓶</v>
      </c>
      <c r="I20" s="55" t="str">
        <f aca="false">IF($F20="","",IFERROR(INDEX(商品档案!$D$6:$D$65,MATCH($F20,商品档案!$A$6:$A$65,0)),""))</f>
        <v>个</v>
      </c>
      <c r="J20" s="49" t="n">
        <v>20000</v>
      </c>
      <c r="K20" s="56" t="n">
        <v>0.96</v>
      </c>
      <c r="L20" s="33" t="s">
        <v>583</v>
      </c>
      <c r="M20" s="39" t="s">
        <v>598</v>
      </c>
      <c r="N20" s="41" t="s">
        <v>446</v>
      </c>
      <c r="O20" s="41"/>
      <c r="P20" s="25" t="str">
        <f aca="false">IF(AND($B20="",$D20="",$F20=""),"",IF(NOT(ISNUMBER($B20)),"日期无效",IF(ISNA(MATCH($C20,参数设置!$A$10:$A$12,0)),"公司无效",IF(ISNA(MATCH($D20,记账规则!$A$6:$A$9,0)),"业务类型无效",IF(ISNA(MATCH($F20,商品档案!$A$6:$A$65,0)),"商品编码无效",IF(IFERROR(INDEX(商品档案!$E$6:$E$65,MATCH($F20,商品档案!$A$6:$A$65,0)),"")&lt;&gt;$C20,"商品不属于该公司",IF(AND($E20&lt;&gt;"",ISNA(MATCH($E20,往来单位!$A$6:$A$85,0))),"往来单位未建档",IF(N($J20)=0,"数量为 0",IF(N($K20)=0,"单价为 0",IF(AND(LEFT($D20,2)="销售",$U20=""),"该商品没设成本科目",IF(YEAR($B20)&lt;&gt;参数设置!$B$5,"不在本会计年度","OK")))))))))))</f>
        <v>OK</v>
      </c>
      <c r="Q20" s="57" t="n">
        <f aca="false">IF($F20="","",ROUND(N($J20)*N($K20),2))</f>
        <v>19200</v>
      </c>
      <c r="R20" s="58" t="str">
        <f aca="false">IF($D20="","",IF(LEFT($D20,2)="销售","应收账款","应付账款"))</f>
        <v>应付账款</v>
      </c>
      <c r="S20" s="58" t="str">
        <f aca="false">IF($F20="","",IFERROR(INDEX(商品档案!$G$6:$G$65,MATCH($F20,商品档案!$A$6:$A$65,0)),""))</f>
        <v>原材料</v>
      </c>
      <c r="T20" s="58" t="n">
        <f aca="false">IF($F20="","",IFERROR(INDEX(商品档案!$H$6:$H$65,MATCH($F20,商品档案!$A$6:$A$65,0)),""))</f>
        <v>0</v>
      </c>
      <c r="U20" s="58" t="n">
        <f aca="false">IF($F20="","",IFERROR(INDEX(商品档案!$I$6:$I$65,MATCH($F20,商品档案!$A$6:$A$65,0)),""))</f>
        <v>0</v>
      </c>
      <c r="V20" s="59" t="n">
        <f aca="false">IF($F20="","",SUMIFS(进销存台账!$N$6:$N$65,进销存台账!$A$6:$A$65,$C20,进销存台账!$B$6:$B$65,$F20))</f>
        <v>0.937142857142857</v>
      </c>
      <c r="W20" s="60" t="n">
        <f aca="false">IF(OR($D20="销售出库",$D20="销售退回"),ROUND(N($J20)*N($V20),2),0)</f>
        <v>0</v>
      </c>
      <c r="X20" s="58" t="str">
        <f aca="false">IF($E20="","",IFERROR(INDEX(往来单位!$D$6:$D$85,MATCH($E20,往来单位!$A$6:$A$85,0)),"否"))</f>
        <v>否</v>
      </c>
      <c r="Y20" s="61" t="n">
        <f aca="false">IF($B20="","",YEAR($B20))</f>
        <v>2026</v>
      </c>
      <c r="Z20" s="58" t="str">
        <f aca="false">IF($B20="","",TEXT($B20,"yyyy-mm"))</f>
        <v>2026-05</v>
      </c>
    </row>
    <row r="21" customFormat="false" ht="15" hidden="false" customHeight="false" outlineLevel="0" collapsed="false">
      <c r="A21" s="53" t="n">
        <f aca="false">IF($B21="","",ROW()-5)</f>
        <v>16</v>
      </c>
      <c r="B21" s="54" t="n">
        <v>46160</v>
      </c>
      <c r="C21" s="33" t="s">
        <v>112</v>
      </c>
      <c r="D21" s="33" t="s">
        <v>290</v>
      </c>
      <c r="E21" s="32" t="s">
        <v>491</v>
      </c>
      <c r="F21" s="39" t="s">
        <v>448</v>
      </c>
      <c r="G21" s="48" t="str">
        <f aca="false">IF($F21="","",IFERROR(INDEX(商品档案!$B$6:$B$65,MATCH($F21,商品档案!$A$6:$A$65,0)),""))</f>
        <v>纸盒</v>
      </c>
      <c r="H21" s="48" t="n">
        <f aca="false">IF($F21="","",IFERROR(INDEX(商品档案!$C$6:$C$65,MATCH($F21,商品档案!$A$6:$A$65,0)),""))</f>
        <v>0</v>
      </c>
      <c r="I21" s="55" t="str">
        <f aca="false">IF($F21="","",IFERROR(INDEX(商品档案!$D$6:$D$65,MATCH($F21,商品档案!$A$6:$A$65,0)),""))</f>
        <v>个</v>
      </c>
      <c r="J21" s="49" t="n">
        <v>12000</v>
      </c>
      <c r="K21" s="56" t="n">
        <v>0.34</v>
      </c>
      <c r="L21" s="33" t="s">
        <v>583</v>
      </c>
      <c r="M21" s="39" t="s">
        <v>599</v>
      </c>
      <c r="N21" s="32" t="s">
        <v>600</v>
      </c>
      <c r="O21" s="41"/>
      <c r="P21" s="25" t="str">
        <f aca="false">IF(AND($B21="",$D21="",$F21=""),"",IF(NOT(ISNUMBER($B21)),"日期无效",IF(ISNA(MATCH($C21,参数设置!$A$10:$A$12,0)),"公司无效",IF(ISNA(MATCH($D21,记账规则!$A$6:$A$9,0)),"业务类型无效",IF(ISNA(MATCH($F21,商品档案!$A$6:$A$65,0)),"商品编码无效",IF(IFERROR(INDEX(商品档案!$E$6:$E$65,MATCH($F21,商品档案!$A$6:$A$65,0)),"")&lt;&gt;$C21,"商品不属于该公司",IF(AND($E21&lt;&gt;"",ISNA(MATCH($E21,往来单位!$A$6:$A$85,0))),"往来单位未建档",IF(N($J21)=0,"数量为 0",IF(N($K21)=0,"单价为 0",IF(AND(LEFT($D21,2)="销售",$U21=""),"该商品没设成本科目",IF(YEAR($B21)&lt;&gt;参数设置!$B$5,"不在本会计年度","OK")))))))))))</f>
        <v>OK</v>
      </c>
      <c r="Q21" s="57" t="n">
        <f aca="false">IF($F21="","",ROUND(N($J21)*N($K21),2))</f>
        <v>4080</v>
      </c>
      <c r="R21" s="58" t="str">
        <f aca="false">IF($D21="","",IF(LEFT($D21,2)="销售","应收账款","应付账款"))</f>
        <v>应付账款</v>
      </c>
      <c r="S21" s="58" t="str">
        <f aca="false">IF($F21="","",IFERROR(INDEX(商品档案!$G$6:$G$65,MATCH($F21,商品档案!$A$6:$A$65,0)),""))</f>
        <v>原材料</v>
      </c>
      <c r="T21" s="58" t="n">
        <f aca="false">IF($F21="","",IFERROR(INDEX(商品档案!$H$6:$H$65,MATCH($F21,商品档案!$A$6:$A$65,0)),""))</f>
        <v>0</v>
      </c>
      <c r="U21" s="58" t="n">
        <f aca="false">IF($F21="","",IFERROR(INDEX(商品档案!$I$6:$I$65,MATCH($F21,商品档案!$A$6:$A$65,0)),""))</f>
        <v>0</v>
      </c>
      <c r="V21" s="59" t="n">
        <f aca="false">IF($F21="","",SUMIFS(进销存台账!$N$6:$N$65,进销存台账!$A$6:$A$65,$C21,进销存台账!$B$6:$B$65,$F21))</f>
        <v>0.335454545454545</v>
      </c>
      <c r="W21" s="60" t="n">
        <f aca="false">IF(OR($D21="销售出库",$D21="销售退回"),ROUND(N($J21)*N($V21),2),0)</f>
        <v>0</v>
      </c>
      <c r="X21" s="58" t="str">
        <f aca="false">IF($E21="","",IFERROR(INDEX(往来单位!$D$6:$D$85,MATCH($E21,往来单位!$A$6:$A$85,0)),"否"))</f>
        <v>否</v>
      </c>
      <c r="Y21" s="61" t="n">
        <f aca="false">IF($B21="","",YEAR($B21))</f>
        <v>2026</v>
      </c>
      <c r="Z21" s="58" t="str">
        <f aca="false">IF($B21="","",TEXT($B21,"yyyy-mm"))</f>
        <v>2026-05</v>
      </c>
    </row>
    <row r="22" customFormat="false" ht="15" hidden="false" customHeight="false" outlineLevel="0" collapsed="false">
      <c r="A22" s="53" t="n">
        <f aca="false">IF($B22="","",ROW()-5)</f>
        <v>17</v>
      </c>
      <c r="B22" s="54" t="n">
        <v>46218</v>
      </c>
      <c r="C22" s="33" t="s">
        <v>112</v>
      </c>
      <c r="D22" s="33" t="s">
        <v>290</v>
      </c>
      <c r="E22" s="32" t="s">
        <v>6</v>
      </c>
      <c r="F22" s="39" t="s">
        <v>442</v>
      </c>
      <c r="G22" s="48" t="str">
        <f aca="false">IF($F22="","",IFERROR(INDEX(商品档案!$B$6:$B$65,MATCH($F22,商品档案!$A$6:$A$65,0)),""))</f>
        <v>干艾草</v>
      </c>
      <c r="H22" s="48" t="str">
        <f aca="false">IF($F22="","",IFERROR(INDEX(商品档案!$C$6:$C$65,MATCH($F22,商品档案!$A$6:$A$65,0)),""))</f>
        <v>含水率≤12%</v>
      </c>
      <c r="I22" s="55" t="str">
        <f aca="false">IF($F22="","",IFERROR(INDEX(商品档案!$D$6:$D$65,MATCH($F22,商品档案!$A$6:$A$65,0)),""))</f>
        <v>公斤</v>
      </c>
      <c r="J22" s="49" t="n">
        <v>4000</v>
      </c>
      <c r="K22" s="56" t="n">
        <v>14</v>
      </c>
      <c r="L22" s="33" t="s">
        <v>585</v>
      </c>
      <c r="M22" s="39" t="s">
        <v>601</v>
      </c>
      <c r="N22" s="32" t="s">
        <v>602</v>
      </c>
      <c r="O22" s="41"/>
      <c r="P22" s="25" t="str">
        <f aca="false">IF(AND($B22="",$D22="",$F22=""),"",IF(NOT(ISNUMBER($B22)),"日期无效",IF(ISNA(MATCH($C22,参数设置!$A$10:$A$12,0)),"公司无效",IF(ISNA(MATCH($D22,记账规则!$A$6:$A$9,0)),"业务类型无效",IF(ISNA(MATCH($F22,商品档案!$A$6:$A$65,0)),"商品编码无效",IF(IFERROR(INDEX(商品档案!$E$6:$E$65,MATCH($F22,商品档案!$A$6:$A$65,0)),"")&lt;&gt;$C22,"商品不属于该公司",IF(AND($E22&lt;&gt;"",ISNA(MATCH($E22,往来单位!$A$6:$A$85,0))),"往来单位未建档",IF(N($J22)=0,"数量为 0",IF(N($K22)=0,"单价为 0",IF(AND(LEFT($D22,2)="销售",$U22=""),"该商品没设成本科目",IF(YEAR($B22)&lt;&gt;参数设置!$B$5,"不在本会计年度","OK")))))))))))</f>
        <v>OK</v>
      </c>
      <c r="Q22" s="57" t="n">
        <f aca="false">IF($F22="","",ROUND(N($J22)*N($K22),2))</f>
        <v>56000</v>
      </c>
      <c r="R22" s="58" t="str">
        <f aca="false">IF($D22="","",IF(LEFT($D22,2)="销售","应收账款","应付账款"))</f>
        <v>应付账款</v>
      </c>
      <c r="S22" s="58" t="str">
        <f aca="false">IF($F22="","",IFERROR(INDEX(商品档案!$G$6:$G$65,MATCH($F22,商品档案!$A$6:$A$65,0)),""))</f>
        <v>原材料</v>
      </c>
      <c r="T22" s="58" t="n">
        <f aca="false">IF($F22="","",IFERROR(INDEX(商品档案!$H$6:$H$65,MATCH($F22,商品档案!$A$6:$A$65,0)),""))</f>
        <v>0</v>
      </c>
      <c r="U22" s="58" t="n">
        <f aca="false">IF($F22="","",IFERROR(INDEX(商品档案!$I$6:$I$65,MATCH($F22,商品档案!$A$6:$A$65,0)),""))</f>
        <v>0</v>
      </c>
      <c r="V22" s="59" t="n">
        <f aca="false">IF($F22="","",SUMIFS(进销存台账!$N$6:$N$65,进销存台账!$A$6:$A$65,$C22,进销存台账!$B$6:$B$65,$F22))</f>
        <v>13.4545454545455</v>
      </c>
      <c r="W22" s="60" t="n">
        <f aca="false">IF(OR($D22="销售出库",$D22="销售退回"),ROUND(N($J22)*N($V22),2),0)</f>
        <v>0</v>
      </c>
      <c r="X22" s="58" t="str">
        <f aca="false">IF($E22="","",IFERROR(INDEX(往来单位!$D$6:$D$85,MATCH($E22,往来单位!$A$6:$A$85,0)),"否"))</f>
        <v>是</v>
      </c>
      <c r="Y22" s="61" t="n">
        <f aca="false">IF($B22="","",YEAR($B22))</f>
        <v>2026</v>
      </c>
      <c r="Z22" s="58" t="str">
        <f aca="false">IF($B22="","",TEXT($B22,"yyyy-mm"))</f>
        <v>2026-07</v>
      </c>
    </row>
    <row r="23" customFormat="false" ht="15" hidden="false" customHeight="false" outlineLevel="0" collapsed="false">
      <c r="A23" s="53" t="n">
        <f aca="false">IF($B23="","",ROW()-5)</f>
        <v>18</v>
      </c>
      <c r="B23" s="54" t="n">
        <v>46244</v>
      </c>
      <c r="C23" s="33" t="s">
        <v>112</v>
      </c>
      <c r="D23" s="33" t="s">
        <v>282</v>
      </c>
      <c r="E23" s="32" t="s">
        <v>473</v>
      </c>
      <c r="F23" s="39" t="s">
        <v>421</v>
      </c>
      <c r="G23" s="48" t="str">
        <f aca="false">IF($F23="","",IFERROR(INDEX(商品档案!$B$6:$B$65,MATCH($F23,商品档案!$A$6:$A$65,0)),""))</f>
        <v>艾草精油10ml</v>
      </c>
      <c r="H23" s="48" t="str">
        <f aca="false">IF($F23="","",IFERROR(INDEX(商品档案!$C$6:$C$65,MATCH($F23,商品档案!$A$6:$A$65,0)),""))</f>
        <v>10ml/瓶</v>
      </c>
      <c r="I23" s="55" t="str">
        <f aca="false">IF($F23="","",IFERROR(INDEX(商品档案!$D$6:$D$65,MATCH($F23,商品档案!$A$6:$A$65,0)),""))</f>
        <v>瓶</v>
      </c>
      <c r="J23" s="49" t="n">
        <v>8000</v>
      </c>
      <c r="K23" s="56" t="n">
        <v>33</v>
      </c>
      <c r="L23" s="33" t="s">
        <v>583</v>
      </c>
      <c r="M23" s="39" t="s">
        <v>603</v>
      </c>
      <c r="N23" s="32" t="s">
        <v>604</v>
      </c>
      <c r="O23" s="41"/>
      <c r="P23" s="25" t="str">
        <f aca="false">IF(AND($B23="",$D23="",$F23=""),"",IF(NOT(ISNUMBER($B23)),"日期无效",IF(ISNA(MATCH($C23,参数设置!$A$10:$A$12,0)),"公司无效",IF(ISNA(MATCH($D23,记账规则!$A$6:$A$9,0)),"业务类型无效",IF(ISNA(MATCH($F23,商品档案!$A$6:$A$65,0)),"商品编码无效",IF(IFERROR(INDEX(商品档案!$E$6:$E$65,MATCH($F23,商品档案!$A$6:$A$65,0)),"")&lt;&gt;$C23,"商品不属于该公司",IF(AND($E23&lt;&gt;"",ISNA(MATCH($E23,往来单位!$A$6:$A$85,0))),"往来单位未建档",IF(N($J23)=0,"数量为 0",IF(N($K23)=0,"单价为 0",IF(AND(LEFT($D23,2)="销售",$U23=""),"该商品没设成本科目",IF(YEAR($B23)&lt;&gt;参数设置!$B$5,"不在本会计年度","OK")))))))))))</f>
        <v>OK</v>
      </c>
      <c r="Q23" s="57" t="n">
        <f aca="false">IF($F23="","",ROUND(N($J23)*N($K23),2))</f>
        <v>264000</v>
      </c>
      <c r="R23" s="58" t="str">
        <f aca="false">IF($D23="","",IF(LEFT($D23,2)="销售","应收账款","应付账款"))</f>
        <v>应收账款</v>
      </c>
      <c r="S23" s="58" t="str">
        <f aca="false">IF($F23="","",IFERROR(INDEX(商品档案!$G$6:$G$65,MATCH($F23,商品档案!$A$6:$A$65,0)),""))</f>
        <v>库存商品</v>
      </c>
      <c r="T23" s="58" t="str">
        <f aca="false">IF($F23="","",IFERROR(INDEX(商品档案!$H$6:$H$65,MATCH($F23,商品档案!$A$6:$A$65,0)),""))</f>
        <v>主营业务收入</v>
      </c>
      <c r="U23" s="58" t="str">
        <f aca="false">IF($F23="","",IFERROR(INDEX(商品档案!$I$6:$I$65,MATCH($F23,商品档案!$A$6:$A$65,0)),""))</f>
        <v>主营业务成本</v>
      </c>
      <c r="V23" s="59" t="n">
        <f aca="false">IF($F23="","",SUMIFS(进销存台账!$N$6:$N$65,进销存台账!$A$6:$A$65,$C23,进销存台账!$B$6:$B$65,$F23))</f>
        <v>10.927927173913</v>
      </c>
      <c r="W23" s="60" t="n">
        <f aca="false">IF(OR($D23="销售出库",$D23="销售退回"),ROUND(N($J23)*N($V23),2),0)</f>
        <v>87423.42</v>
      </c>
      <c r="X23" s="58" t="str">
        <f aca="false">IF($E23="","",IFERROR(INDEX(往来单位!$D$6:$D$85,MATCH($E23,往来单位!$A$6:$A$85,0)),"否"))</f>
        <v>否</v>
      </c>
      <c r="Y23" s="61" t="n">
        <f aca="false">IF($B23="","",YEAR($B23))</f>
        <v>2026</v>
      </c>
      <c r="Z23" s="58" t="str">
        <f aca="false">IF($B23="","",TEXT($B23,"yyyy-mm"))</f>
        <v>2026-08</v>
      </c>
    </row>
    <row r="24" customFormat="false" ht="15" hidden="false" customHeight="false" outlineLevel="0" collapsed="false">
      <c r="A24" s="53" t="n">
        <f aca="false">IF($B24="","",ROW()-5)</f>
        <v>19</v>
      </c>
      <c r="B24" s="54" t="n">
        <v>46264</v>
      </c>
      <c r="C24" s="33" t="s">
        <v>112</v>
      </c>
      <c r="D24" s="33" t="s">
        <v>282</v>
      </c>
      <c r="E24" s="32" t="s">
        <v>475</v>
      </c>
      <c r="F24" s="39" t="s">
        <v>428</v>
      </c>
      <c r="G24" s="48" t="str">
        <f aca="false">IF($F24="","",IFERROR(INDEX(商品档案!$B$6:$B$65,MATCH($F24,商品档案!$A$6:$A$65,0)),""))</f>
        <v>艾草纯露</v>
      </c>
      <c r="H24" s="48" t="str">
        <f aca="false">IF($F24="","",IFERROR(INDEX(商品档案!$C$6:$C$65,MATCH($F24,商品档案!$A$6:$A$65,0)),""))</f>
        <v>100ml/瓶</v>
      </c>
      <c r="I24" s="55" t="str">
        <f aca="false">IF($F24="","",IFERROR(INDEX(商品档案!$D$6:$D$65,MATCH($F24,商品档案!$A$6:$A$65,0)),""))</f>
        <v>瓶</v>
      </c>
      <c r="J24" s="49" t="n">
        <v>6000</v>
      </c>
      <c r="K24" s="56" t="n">
        <v>20</v>
      </c>
      <c r="L24" s="33" t="s">
        <v>583</v>
      </c>
      <c r="M24" s="39" t="s">
        <v>605</v>
      </c>
      <c r="N24" s="32" t="s">
        <v>429</v>
      </c>
      <c r="O24" s="41"/>
      <c r="P24" s="25" t="str">
        <f aca="false">IF(AND($B24="",$D24="",$F24=""),"",IF(NOT(ISNUMBER($B24)),"日期无效",IF(ISNA(MATCH($C24,参数设置!$A$10:$A$12,0)),"公司无效",IF(ISNA(MATCH($D24,记账规则!$A$6:$A$9,0)),"业务类型无效",IF(ISNA(MATCH($F24,商品档案!$A$6:$A$65,0)),"商品编码无效",IF(IFERROR(INDEX(商品档案!$E$6:$E$65,MATCH($F24,商品档案!$A$6:$A$65,0)),"")&lt;&gt;$C24,"商品不属于该公司",IF(AND($E24&lt;&gt;"",ISNA(MATCH($E24,往来单位!$A$6:$A$85,0))),"往来单位未建档",IF(N($J24)=0,"数量为 0",IF(N($K24)=0,"单价为 0",IF(AND(LEFT($D24,2)="销售",$U24=""),"该商品没设成本科目",IF(YEAR($B24)&lt;&gt;参数设置!$B$5,"不在本会计年度","OK")))))))))))</f>
        <v>OK</v>
      </c>
      <c r="Q24" s="57" t="n">
        <f aca="false">IF($F24="","",ROUND(N($J24)*N($K24),2))</f>
        <v>120000</v>
      </c>
      <c r="R24" s="58" t="str">
        <f aca="false">IF($D24="","",IF(LEFT($D24,2)="销售","应收账款","应付账款"))</f>
        <v>应收账款</v>
      </c>
      <c r="S24" s="58" t="str">
        <f aca="false">IF($F24="","",IFERROR(INDEX(商品档案!$G$6:$G$65,MATCH($F24,商品档案!$A$6:$A$65,0)),""))</f>
        <v>库存商品</v>
      </c>
      <c r="T24" s="58" t="str">
        <f aca="false">IF($F24="","",IFERROR(INDEX(商品档案!$H$6:$H$65,MATCH($F24,商品档案!$A$6:$A$65,0)),""))</f>
        <v>主营业务收入</v>
      </c>
      <c r="U24" s="58" t="str">
        <f aca="false">IF($F24="","",IFERROR(INDEX(商品档案!$I$6:$I$65,MATCH($F24,商品档案!$A$6:$A$65,0)),""))</f>
        <v>主营业务成本</v>
      </c>
      <c r="V24" s="59" t="n">
        <f aca="false">IF($F24="","",SUMIFS(进销存台账!$N$6:$N$65,进销存台账!$A$6:$A$65,$C24,进销存台账!$B$6:$B$65,$F24))</f>
        <v>4.95104923076923</v>
      </c>
      <c r="W24" s="60" t="n">
        <f aca="false">IF(OR($D24="销售出库",$D24="销售退回"),ROUND(N($J24)*N($V24),2),0)</f>
        <v>29706.3</v>
      </c>
      <c r="X24" s="58" t="str">
        <f aca="false">IF($E24="","",IFERROR(INDEX(往来单位!$D$6:$D$85,MATCH($E24,往来单位!$A$6:$A$85,0)),"否"))</f>
        <v>否</v>
      </c>
      <c r="Y24" s="61" t="n">
        <f aca="false">IF($B24="","",YEAR($B24))</f>
        <v>2026</v>
      </c>
      <c r="Z24" s="58" t="str">
        <f aca="false">IF($B24="","",TEXT($B24,"yyyy-mm"))</f>
        <v>2026-08</v>
      </c>
    </row>
    <row r="25" customFormat="false" ht="15" hidden="false" customHeight="false" outlineLevel="0" collapsed="false">
      <c r="A25" s="53" t="n">
        <f aca="false">IF($B25="","",ROW()-5)</f>
        <v>20</v>
      </c>
      <c r="B25" s="54" t="n">
        <v>46273</v>
      </c>
      <c r="C25" s="33" t="s">
        <v>112</v>
      </c>
      <c r="D25" s="33" t="s">
        <v>282</v>
      </c>
      <c r="E25" s="32" t="s">
        <v>473</v>
      </c>
      <c r="F25" s="39" t="s">
        <v>432</v>
      </c>
      <c r="G25" s="48" t="str">
        <f aca="false">IF($F25="","",IFERROR(INDEX(商品档案!$B$6:$B$65,MATCH($F25,商品档案!$A$6:$A$65,0)),""))</f>
        <v>艾草精油皂</v>
      </c>
      <c r="H25" s="48" t="str">
        <f aca="false">IF($F25="","",IFERROR(INDEX(商品档案!$C$6:$C$65,MATCH($F25,商品档案!$A$6:$A$65,0)),""))</f>
        <v>100g/块</v>
      </c>
      <c r="I25" s="55" t="str">
        <f aca="false">IF($F25="","",IFERROR(INDEX(商品档案!$D$6:$D$65,MATCH($F25,商品档案!$A$6:$A$65,0)),""))</f>
        <v>块</v>
      </c>
      <c r="J25" s="49" t="n">
        <v>4500</v>
      </c>
      <c r="K25" s="56" t="n">
        <v>13.5</v>
      </c>
      <c r="L25" s="33" t="s">
        <v>583</v>
      </c>
      <c r="M25" s="39" t="s">
        <v>606</v>
      </c>
      <c r="N25" s="32" t="s">
        <v>433</v>
      </c>
      <c r="O25" s="41"/>
      <c r="P25" s="25" t="str">
        <f aca="false">IF(AND($B25="",$D25="",$F25=""),"",IF(NOT(ISNUMBER($B25)),"日期无效",IF(ISNA(MATCH($C25,参数设置!$A$10:$A$12,0)),"公司无效",IF(ISNA(MATCH($D25,记账规则!$A$6:$A$9,0)),"业务类型无效",IF(ISNA(MATCH($F25,商品档案!$A$6:$A$65,0)),"商品编码无效",IF(IFERROR(INDEX(商品档案!$E$6:$E$65,MATCH($F25,商品档案!$A$6:$A$65,0)),"")&lt;&gt;$C25,"商品不属于该公司",IF(AND($E25&lt;&gt;"",ISNA(MATCH($E25,往来单位!$A$6:$A$85,0))),"往来单位未建档",IF(N($J25)=0,"数量为 0",IF(N($K25)=0,"单价为 0",IF(AND(LEFT($D25,2)="销售",$U25=""),"该商品没设成本科目",IF(YEAR($B25)&lt;&gt;参数设置!$B$5,"不在本会计年度","OK")))))))))))</f>
        <v>OK</v>
      </c>
      <c r="Q25" s="57" t="n">
        <f aca="false">IF($F25="","",ROUND(N($J25)*N($K25),2))</f>
        <v>60750</v>
      </c>
      <c r="R25" s="58" t="str">
        <f aca="false">IF($D25="","",IF(LEFT($D25,2)="销售","应收账款","应付账款"))</f>
        <v>应收账款</v>
      </c>
      <c r="S25" s="58" t="str">
        <f aca="false">IF($F25="","",IFERROR(INDEX(商品档案!$G$6:$G$65,MATCH($F25,商品档案!$A$6:$A$65,0)),""))</f>
        <v>库存商品</v>
      </c>
      <c r="T25" s="58" t="str">
        <f aca="false">IF($F25="","",IFERROR(INDEX(商品档案!$H$6:$H$65,MATCH($F25,商品档案!$A$6:$A$65,0)),""))</f>
        <v>主营业务收入</v>
      </c>
      <c r="U25" s="58" t="str">
        <f aca="false">IF($F25="","",IFERROR(INDEX(商品档案!$I$6:$I$65,MATCH($F25,商品档案!$A$6:$A$65,0)),""))</f>
        <v>主营业务成本</v>
      </c>
      <c r="V25" s="59" t="n">
        <f aca="false">IF($F25="","",SUMIFS(进销存台账!$N$6:$N$65,进销存台账!$A$6:$A$65,$C25,进销存台账!$B$6:$B$65,$F25))</f>
        <v>4.725936</v>
      </c>
      <c r="W25" s="60" t="n">
        <f aca="false">IF(OR($D25="销售出库",$D25="销售退回"),ROUND(N($J25)*N($V25),2),0)</f>
        <v>21266.71</v>
      </c>
      <c r="X25" s="58" t="str">
        <f aca="false">IF($E25="","",IFERROR(INDEX(往来单位!$D$6:$D$85,MATCH($E25,往来单位!$A$6:$A$85,0)),"否"))</f>
        <v>否</v>
      </c>
      <c r="Y25" s="61" t="n">
        <f aca="false">IF($B25="","",YEAR($B25))</f>
        <v>2026</v>
      </c>
      <c r="Z25" s="58" t="str">
        <f aca="false">IF($B25="","",TEXT($B25,"yyyy-mm"))</f>
        <v>2026-09</v>
      </c>
    </row>
    <row r="26" customFormat="false" ht="15" hidden="false" customHeight="false" outlineLevel="0" collapsed="false">
      <c r="A26" s="53" t="str">
        <f aca="false">IF($B26="","",ROW()-5)</f>
        <v/>
      </c>
      <c r="B26" s="54"/>
      <c r="C26" s="33"/>
      <c r="D26" s="33"/>
      <c r="E26" s="32"/>
      <c r="F26" s="39"/>
      <c r="G26" s="48" t="str">
        <f aca="false">IF($F26="","",IFERROR(INDEX(商品档案!$B$6:$B$65,MATCH($F26,商品档案!$A$6:$A$65,0)),""))</f>
        <v/>
      </c>
      <c r="H26" s="48" t="str">
        <f aca="false">IF($F26="","",IFERROR(INDEX(商品档案!$C$6:$C$65,MATCH($F26,商品档案!$A$6:$A$65,0)),""))</f>
        <v/>
      </c>
      <c r="I26" s="55" t="str">
        <f aca="false">IF($F26="","",IFERROR(INDEX(商品档案!$D$6:$D$65,MATCH($F26,商品档案!$A$6:$A$65,0)),""))</f>
        <v/>
      </c>
      <c r="J26" s="49"/>
      <c r="K26" s="56"/>
      <c r="L26" s="33"/>
      <c r="M26" s="39"/>
      <c r="N26" s="41"/>
      <c r="O26" s="41"/>
      <c r="P26" s="25" t="str">
        <f aca="false">IF(AND($B26="",$D26="",$F26=""),"",IF(NOT(ISNUMBER($B26)),"日期无效",IF(ISNA(MATCH($C26,参数设置!$A$10:$A$12,0)),"公司无效",IF(ISNA(MATCH($D26,记账规则!$A$6:$A$9,0)),"业务类型无效",IF(ISNA(MATCH($F26,商品档案!$A$6:$A$65,0)),"商品编码无效",IF(IFERROR(INDEX(商品档案!$E$6:$E$65,MATCH($F26,商品档案!$A$6:$A$65,0)),"")&lt;&gt;$C26,"商品不属于该公司",IF(AND($E26&lt;&gt;"",ISNA(MATCH($E26,往来单位!$A$6:$A$85,0))),"往来单位未建档",IF(N($J26)=0,"数量为 0",IF(N($K26)=0,"单价为 0",IF(AND(LEFT($D26,2)="销售",$U26=""),"该商品没设成本科目",IF(YEAR($B26)&lt;&gt;参数设置!$B$5,"不在本会计年度","OK")))))))))))</f>
        <v/>
      </c>
      <c r="Q26" s="57" t="str">
        <f aca="false">IF($F26="","",ROUND(N($J26)*N($K26),2))</f>
        <v/>
      </c>
      <c r="R26" s="58" t="str">
        <f aca="false">IF($D26="","",IF(LEFT($D26,2)="销售","应收账款","应付账款"))</f>
        <v/>
      </c>
      <c r="S26" s="58" t="str">
        <f aca="false">IF($F26="","",IFERROR(INDEX(商品档案!$G$6:$G$65,MATCH($F26,商品档案!$A$6:$A$65,0)),""))</f>
        <v/>
      </c>
      <c r="T26" s="58" t="str">
        <f aca="false">IF($F26="","",IFERROR(INDEX(商品档案!$H$6:$H$65,MATCH($F26,商品档案!$A$6:$A$65,0)),""))</f>
        <v/>
      </c>
      <c r="U26" s="58" t="str">
        <f aca="false">IF($F26="","",IFERROR(INDEX(商品档案!$I$6:$I$65,MATCH($F26,商品档案!$A$6:$A$65,0)),""))</f>
        <v/>
      </c>
      <c r="V26" s="59" t="str">
        <f aca="false">IF($F26="","",SUMIFS(进销存台账!$N$6:$N$65,进销存台账!$A$6:$A$65,$C26,进销存台账!$B$6:$B$65,$F26))</f>
        <v/>
      </c>
      <c r="W26" s="60" t="n">
        <f aca="false">IF(OR($D26="销售出库",$D26="销售退回"),ROUND(N($J26)*N($V26),2),0)</f>
        <v>0</v>
      </c>
      <c r="X26" s="58" t="str">
        <f aca="false">IF($E26="","",IFERROR(INDEX(往来单位!$D$6:$D$85,MATCH($E26,往来单位!$A$6:$A$85,0)),"否"))</f>
        <v/>
      </c>
      <c r="Y26" s="61" t="str">
        <f aca="false">IF($B26="","",YEAR($B26))</f>
        <v/>
      </c>
      <c r="Z26" s="58" t="str">
        <f aca="false">IF($B26="","",TEXT($B26,"yyyy-mm"))</f>
        <v/>
      </c>
    </row>
    <row r="27" customFormat="false" ht="15" hidden="false" customHeight="false" outlineLevel="0" collapsed="false">
      <c r="A27" s="53" t="str">
        <f aca="false">IF($B27="","",ROW()-5)</f>
        <v/>
      </c>
      <c r="B27" s="54"/>
      <c r="C27" s="33"/>
      <c r="D27" s="33"/>
      <c r="E27" s="32"/>
      <c r="F27" s="39"/>
      <c r="G27" s="48" t="str">
        <f aca="false">IF($F27="","",IFERROR(INDEX(商品档案!$B$6:$B$65,MATCH($F27,商品档案!$A$6:$A$65,0)),""))</f>
        <v/>
      </c>
      <c r="H27" s="48" t="str">
        <f aca="false">IF($F27="","",IFERROR(INDEX(商品档案!$C$6:$C$65,MATCH($F27,商品档案!$A$6:$A$65,0)),""))</f>
        <v/>
      </c>
      <c r="I27" s="55" t="str">
        <f aca="false">IF($F27="","",IFERROR(INDEX(商品档案!$D$6:$D$65,MATCH($F27,商品档案!$A$6:$A$65,0)),""))</f>
        <v/>
      </c>
      <c r="J27" s="49"/>
      <c r="K27" s="56"/>
      <c r="L27" s="33"/>
      <c r="M27" s="39"/>
      <c r="N27" s="41"/>
      <c r="O27" s="41"/>
      <c r="P27" s="25" t="str">
        <f aca="false">IF(AND($B27="",$D27="",$F27=""),"",IF(NOT(ISNUMBER($B27)),"日期无效",IF(ISNA(MATCH($C27,参数设置!$A$10:$A$12,0)),"公司无效",IF(ISNA(MATCH($D27,记账规则!$A$6:$A$9,0)),"业务类型无效",IF(ISNA(MATCH($F27,商品档案!$A$6:$A$65,0)),"商品编码无效",IF(IFERROR(INDEX(商品档案!$E$6:$E$65,MATCH($F27,商品档案!$A$6:$A$65,0)),"")&lt;&gt;$C27,"商品不属于该公司",IF(AND($E27&lt;&gt;"",ISNA(MATCH($E27,往来单位!$A$6:$A$85,0))),"往来单位未建档",IF(N($J27)=0,"数量为 0",IF(N($K27)=0,"单价为 0",IF(AND(LEFT($D27,2)="销售",$U27=""),"该商品没设成本科目",IF(YEAR($B27)&lt;&gt;参数设置!$B$5,"不在本会计年度","OK")))))))))))</f>
        <v/>
      </c>
      <c r="Q27" s="57" t="str">
        <f aca="false">IF($F27="","",ROUND(N($J27)*N($K27),2))</f>
        <v/>
      </c>
      <c r="R27" s="58" t="str">
        <f aca="false">IF($D27="","",IF(LEFT($D27,2)="销售","应收账款","应付账款"))</f>
        <v/>
      </c>
      <c r="S27" s="58" t="str">
        <f aca="false">IF($F27="","",IFERROR(INDEX(商品档案!$G$6:$G$65,MATCH($F27,商品档案!$A$6:$A$65,0)),""))</f>
        <v/>
      </c>
      <c r="T27" s="58" t="str">
        <f aca="false">IF($F27="","",IFERROR(INDEX(商品档案!$H$6:$H$65,MATCH($F27,商品档案!$A$6:$A$65,0)),""))</f>
        <v/>
      </c>
      <c r="U27" s="58" t="str">
        <f aca="false">IF($F27="","",IFERROR(INDEX(商品档案!$I$6:$I$65,MATCH($F27,商品档案!$A$6:$A$65,0)),""))</f>
        <v/>
      </c>
      <c r="V27" s="59" t="str">
        <f aca="false">IF($F27="","",SUMIFS(进销存台账!$N$6:$N$65,进销存台账!$A$6:$A$65,$C27,进销存台账!$B$6:$B$65,$F27))</f>
        <v/>
      </c>
      <c r="W27" s="60" t="n">
        <f aca="false">IF(OR($D27="销售出库",$D27="销售退回"),ROUND(N($J27)*N($V27),2),0)</f>
        <v>0</v>
      </c>
      <c r="X27" s="58" t="str">
        <f aca="false">IF($E27="","",IFERROR(INDEX(往来单位!$D$6:$D$85,MATCH($E27,往来单位!$A$6:$A$85,0)),"否"))</f>
        <v/>
      </c>
      <c r="Y27" s="61" t="str">
        <f aca="false">IF($B27="","",YEAR($B27))</f>
        <v/>
      </c>
      <c r="Z27" s="58" t="str">
        <f aca="false">IF($B27="","",TEXT($B27,"yyyy-mm"))</f>
        <v/>
      </c>
    </row>
    <row r="28" customFormat="false" ht="15" hidden="false" customHeight="false" outlineLevel="0" collapsed="false">
      <c r="A28" s="53" t="str">
        <f aca="false">IF($B28="","",ROW()-5)</f>
        <v/>
      </c>
      <c r="B28" s="54"/>
      <c r="C28" s="33"/>
      <c r="D28" s="33"/>
      <c r="E28" s="32"/>
      <c r="F28" s="39"/>
      <c r="G28" s="48" t="str">
        <f aca="false">IF($F28="","",IFERROR(INDEX(商品档案!$B$6:$B$65,MATCH($F28,商品档案!$A$6:$A$65,0)),""))</f>
        <v/>
      </c>
      <c r="H28" s="48" t="str">
        <f aca="false">IF($F28="","",IFERROR(INDEX(商品档案!$C$6:$C$65,MATCH($F28,商品档案!$A$6:$A$65,0)),""))</f>
        <v/>
      </c>
      <c r="I28" s="55" t="str">
        <f aca="false">IF($F28="","",IFERROR(INDEX(商品档案!$D$6:$D$65,MATCH($F28,商品档案!$A$6:$A$65,0)),""))</f>
        <v/>
      </c>
      <c r="J28" s="49"/>
      <c r="K28" s="56"/>
      <c r="L28" s="33"/>
      <c r="M28" s="39"/>
      <c r="N28" s="41"/>
      <c r="O28" s="41"/>
      <c r="P28" s="25" t="str">
        <f aca="false">IF(AND($B28="",$D28="",$F28=""),"",IF(NOT(ISNUMBER($B28)),"日期无效",IF(ISNA(MATCH($C28,参数设置!$A$10:$A$12,0)),"公司无效",IF(ISNA(MATCH($D28,记账规则!$A$6:$A$9,0)),"业务类型无效",IF(ISNA(MATCH($F28,商品档案!$A$6:$A$65,0)),"商品编码无效",IF(IFERROR(INDEX(商品档案!$E$6:$E$65,MATCH($F28,商品档案!$A$6:$A$65,0)),"")&lt;&gt;$C28,"商品不属于该公司",IF(AND($E28&lt;&gt;"",ISNA(MATCH($E28,往来单位!$A$6:$A$85,0))),"往来单位未建档",IF(N($J28)=0,"数量为 0",IF(N($K28)=0,"单价为 0",IF(AND(LEFT($D28,2)="销售",$U28=""),"该商品没设成本科目",IF(YEAR($B28)&lt;&gt;参数设置!$B$5,"不在本会计年度","OK")))))))))))</f>
        <v/>
      </c>
      <c r="Q28" s="57" t="str">
        <f aca="false">IF($F28="","",ROUND(N($J28)*N($K28),2))</f>
        <v/>
      </c>
      <c r="R28" s="58" t="str">
        <f aca="false">IF($D28="","",IF(LEFT($D28,2)="销售","应收账款","应付账款"))</f>
        <v/>
      </c>
      <c r="S28" s="58" t="str">
        <f aca="false">IF($F28="","",IFERROR(INDEX(商品档案!$G$6:$G$65,MATCH($F28,商品档案!$A$6:$A$65,0)),""))</f>
        <v/>
      </c>
      <c r="T28" s="58" t="str">
        <f aca="false">IF($F28="","",IFERROR(INDEX(商品档案!$H$6:$H$65,MATCH($F28,商品档案!$A$6:$A$65,0)),""))</f>
        <v/>
      </c>
      <c r="U28" s="58" t="str">
        <f aca="false">IF($F28="","",IFERROR(INDEX(商品档案!$I$6:$I$65,MATCH($F28,商品档案!$A$6:$A$65,0)),""))</f>
        <v/>
      </c>
      <c r="V28" s="59" t="str">
        <f aca="false">IF($F28="","",SUMIFS(进销存台账!$N$6:$N$65,进销存台账!$A$6:$A$65,$C28,进销存台账!$B$6:$B$65,$F28))</f>
        <v/>
      </c>
      <c r="W28" s="60" t="n">
        <f aca="false">IF(OR($D28="销售出库",$D28="销售退回"),ROUND(N($J28)*N($V28),2),0)</f>
        <v>0</v>
      </c>
      <c r="X28" s="58" t="str">
        <f aca="false">IF($E28="","",IFERROR(INDEX(往来单位!$D$6:$D$85,MATCH($E28,往来单位!$A$6:$A$85,0)),"否"))</f>
        <v/>
      </c>
      <c r="Y28" s="61" t="str">
        <f aca="false">IF($B28="","",YEAR($B28))</f>
        <v/>
      </c>
      <c r="Z28" s="58" t="str">
        <f aca="false">IF($B28="","",TEXT($B28,"yyyy-mm"))</f>
        <v/>
      </c>
    </row>
    <row r="29" customFormat="false" ht="15" hidden="false" customHeight="false" outlineLevel="0" collapsed="false">
      <c r="A29" s="53" t="str">
        <f aca="false">IF($B29="","",ROW()-5)</f>
        <v/>
      </c>
      <c r="B29" s="54"/>
      <c r="C29" s="33"/>
      <c r="D29" s="33"/>
      <c r="E29" s="32"/>
      <c r="F29" s="39"/>
      <c r="G29" s="48" t="str">
        <f aca="false">IF($F29="","",IFERROR(INDEX(商品档案!$B$6:$B$65,MATCH($F29,商品档案!$A$6:$A$65,0)),""))</f>
        <v/>
      </c>
      <c r="H29" s="48" t="str">
        <f aca="false">IF($F29="","",IFERROR(INDEX(商品档案!$C$6:$C$65,MATCH($F29,商品档案!$A$6:$A$65,0)),""))</f>
        <v/>
      </c>
      <c r="I29" s="55" t="str">
        <f aca="false">IF($F29="","",IFERROR(INDEX(商品档案!$D$6:$D$65,MATCH($F29,商品档案!$A$6:$A$65,0)),""))</f>
        <v/>
      </c>
      <c r="J29" s="49"/>
      <c r="K29" s="56"/>
      <c r="L29" s="33"/>
      <c r="M29" s="39"/>
      <c r="N29" s="41"/>
      <c r="O29" s="41"/>
      <c r="P29" s="25" t="str">
        <f aca="false">IF(AND($B29="",$D29="",$F29=""),"",IF(NOT(ISNUMBER($B29)),"日期无效",IF(ISNA(MATCH($C29,参数设置!$A$10:$A$12,0)),"公司无效",IF(ISNA(MATCH($D29,记账规则!$A$6:$A$9,0)),"业务类型无效",IF(ISNA(MATCH($F29,商品档案!$A$6:$A$65,0)),"商品编码无效",IF(IFERROR(INDEX(商品档案!$E$6:$E$65,MATCH($F29,商品档案!$A$6:$A$65,0)),"")&lt;&gt;$C29,"商品不属于该公司",IF(AND($E29&lt;&gt;"",ISNA(MATCH($E29,往来单位!$A$6:$A$85,0))),"往来单位未建档",IF(N($J29)=0,"数量为 0",IF(N($K29)=0,"单价为 0",IF(AND(LEFT($D29,2)="销售",$U29=""),"该商品没设成本科目",IF(YEAR($B29)&lt;&gt;参数设置!$B$5,"不在本会计年度","OK")))))))))))</f>
        <v/>
      </c>
      <c r="Q29" s="57" t="str">
        <f aca="false">IF($F29="","",ROUND(N($J29)*N($K29),2))</f>
        <v/>
      </c>
      <c r="R29" s="58" t="str">
        <f aca="false">IF($D29="","",IF(LEFT($D29,2)="销售","应收账款","应付账款"))</f>
        <v/>
      </c>
      <c r="S29" s="58" t="str">
        <f aca="false">IF($F29="","",IFERROR(INDEX(商品档案!$G$6:$G$65,MATCH($F29,商品档案!$A$6:$A$65,0)),""))</f>
        <v/>
      </c>
      <c r="T29" s="58" t="str">
        <f aca="false">IF($F29="","",IFERROR(INDEX(商品档案!$H$6:$H$65,MATCH($F29,商品档案!$A$6:$A$65,0)),""))</f>
        <v/>
      </c>
      <c r="U29" s="58" t="str">
        <f aca="false">IF($F29="","",IFERROR(INDEX(商品档案!$I$6:$I$65,MATCH($F29,商品档案!$A$6:$A$65,0)),""))</f>
        <v/>
      </c>
      <c r="V29" s="59" t="str">
        <f aca="false">IF($F29="","",SUMIFS(进销存台账!$N$6:$N$65,进销存台账!$A$6:$A$65,$C29,进销存台账!$B$6:$B$65,$F29))</f>
        <v/>
      </c>
      <c r="W29" s="60" t="n">
        <f aca="false">IF(OR($D29="销售出库",$D29="销售退回"),ROUND(N($J29)*N($V29),2),0)</f>
        <v>0</v>
      </c>
      <c r="X29" s="58" t="str">
        <f aca="false">IF($E29="","",IFERROR(INDEX(往来单位!$D$6:$D$85,MATCH($E29,往来单位!$A$6:$A$85,0)),"否"))</f>
        <v/>
      </c>
      <c r="Y29" s="61" t="str">
        <f aca="false">IF($B29="","",YEAR($B29))</f>
        <v/>
      </c>
      <c r="Z29" s="58" t="str">
        <f aca="false">IF($B29="","",TEXT($B29,"yyyy-mm"))</f>
        <v/>
      </c>
    </row>
    <row r="30" customFormat="false" ht="15" hidden="false" customHeight="false" outlineLevel="0" collapsed="false">
      <c r="A30" s="53" t="str">
        <f aca="false">IF($B30="","",ROW()-5)</f>
        <v/>
      </c>
      <c r="B30" s="54"/>
      <c r="C30" s="33"/>
      <c r="D30" s="33"/>
      <c r="E30" s="32"/>
      <c r="F30" s="39"/>
      <c r="G30" s="48" t="str">
        <f aca="false">IF($F30="","",IFERROR(INDEX(商品档案!$B$6:$B$65,MATCH($F30,商品档案!$A$6:$A$65,0)),""))</f>
        <v/>
      </c>
      <c r="H30" s="48" t="str">
        <f aca="false">IF($F30="","",IFERROR(INDEX(商品档案!$C$6:$C$65,MATCH($F30,商品档案!$A$6:$A$65,0)),""))</f>
        <v/>
      </c>
      <c r="I30" s="55" t="str">
        <f aca="false">IF($F30="","",IFERROR(INDEX(商品档案!$D$6:$D$65,MATCH($F30,商品档案!$A$6:$A$65,0)),""))</f>
        <v/>
      </c>
      <c r="J30" s="49"/>
      <c r="K30" s="56"/>
      <c r="L30" s="33"/>
      <c r="M30" s="39"/>
      <c r="N30" s="41"/>
      <c r="O30" s="41"/>
      <c r="P30" s="25" t="str">
        <f aca="false">IF(AND($B30="",$D30="",$F30=""),"",IF(NOT(ISNUMBER($B30)),"日期无效",IF(ISNA(MATCH($C30,参数设置!$A$10:$A$12,0)),"公司无效",IF(ISNA(MATCH($D30,记账规则!$A$6:$A$9,0)),"业务类型无效",IF(ISNA(MATCH($F30,商品档案!$A$6:$A$65,0)),"商品编码无效",IF(IFERROR(INDEX(商品档案!$E$6:$E$65,MATCH($F30,商品档案!$A$6:$A$65,0)),"")&lt;&gt;$C30,"商品不属于该公司",IF(AND($E30&lt;&gt;"",ISNA(MATCH($E30,往来单位!$A$6:$A$85,0))),"往来单位未建档",IF(N($J30)=0,"数量为 0",IF(N($K30)=0,"单价为 0",IF(AND(LEFT($D30,2)="销售",$U30=""),"该商品没设成本科目",IF(YEAR($B30)&lt;&gt;参数设置!$B$5,"不在本会计年度","OK")))))))))))</f>
        <v/>
      </c>
      <c r="Q30" s="57" t="str">
        <f aca="false">IF($F30="","",ROUND(N($J30)*N($K30),2))</f>
        <v/>
      </c>
      <c r="R30" s="58" t="str">
        <f aca="false">IF($D30="","",IF(LEFT($D30,2)="销售","应收账款","应付账款"))</f>
        <v/>
      </c>
      <c r="S30" s="58" t="str">
        <f aca="false">IF($F30="","",IFERROR(INDEX(商品档案!$G$6:$G$65,MATCH($F30,商品档案!$A$6:$A$65,0)),""))</f>
        <v/>
      </c>
      <c r="T30" s="58" t="str">
        <f aca="false">IF($F30="","",IFERROR(INDEX(商品档案!$H$6:$H$65,MATCH($F30,商品档案!$A$6:$A$65,0)),""))</f>
        <v/>
      </c>
      <c r="U30" s="58" t="str">
        <f aca="false">IF($F30="","",IFERROR(INDEX(商品档案!$I$6:$I$65,MATCH($F30,商品档案!$A$6:$A$65,0)),""))</f>
        <v/>
      </c>
      <c r="V30" s="59" t="str">
        <f aca="false">IF($F30="","",SUMIFS(进销存台账!$N$6:$N$65,进销存台账!$A$6:$A$65,$C30,进销存台账!$B$6:$B$65,$F30))</f>
        <v/>
      </c>
      <c r="W30" s="60" t="n">
        <f aca="false">IF(OR($D30="销售出库",$D30="销售退回"),ROUND(N($J30)*N($V30),2),0)</f>
        <v>0</v>
      </c>
      <c r="X30" s="58" t="str">
        <f aca="false">IF($E30="","",IFERROR(INDEX(往来单位!$D$6:$D$85,MATCH($E30,往来单位!$A$6:$A$85,0)),"否"))</f>
        <v/>
      </c>
      <c r="Y30" s="61" t="str">
        <f aca="false">IF($B30="","",YEAR($B30))</f>
        <v/>
      </c>
      <c r="Z30" s="58" t="str">
        <f aca="false">IF($B30="","",TEXT($B30,"yyyy-mm"))</f>
        <v/>
      </c>
    </row>
    <row r="31" customFormat="false" ht="15" hidden="false" customHeight="false" outlineLevel="0" collapsed="false">
      <c r="A31" s="53" t="str">
        <f aca="false">IF($B31="","",ROW()-5)</f>
        <v/>
      </c>
      <c r="B31" s="54"/>
      <c r="C31" s="33"/>
      <c r="D31" s="33"/>
      <c r="E31" s="32"/>
      <c r="F31" s="39"/>
      <c r="G31" s="48" t="str">
        <f aca="false">IF($F31="","",IFERROR(INDEX(商品档案!$B$6:$B$65,MATCH($F31,商品档案!$A$6:$A$65,0)),""))</f>
        <v/>
      </c>
      <c r="H31" s="48" t="str">
        <f aca="false">IF($F31="","",IFERROR(INDEX(商品档案!$C$6:$C$65,MATCH($F31,商品档案!$A$6:$A$65,0)),""))</f>
        <v/>
      </c>
      <c r="I31" s="55" t="str">
        <f aca="false">IF($F31="","",IFERROR(INDEX(商品档案!$D$6:$D$65,MATCH($F31,商品档案!$A$6:$A$65,0)),""))</f>
        <v/>
      </c>
      <c r="J31" s="49"/>
      <c r="K31" s="56"/>
      <c r="L31" s="33"/>
      <c r="M31" s="39"/>
      <c r="N31" s="41"/>
      <c r="O31" s="41"/>
      <c r="P31" s="25" t="str">
        <f aca="false">IF(AND($B31="",$D31="",$F31=""),"",IF(NOT(ISNUMBER($B31)),"日期无效",IF(ISNA(MATCH($C31,参数设置!$A$10:$A$12,0)),"公司无效",IF(ISNA(MATCH($D31,记账规则!$A$6:$A$9,0)),"业务类型无效",IF(ISNA(MATCH($F31,商品档案!$A$6:$A$65,0)),"商品编码无效",IF(IFERROR(INDEX(商品档案!$E$6:$E$65,MATCH($F31,商品档案!$A$6:$A$65,0)),"")&lt;&gt;$C31,"商品不属于该公司",IF(AND($E31&lt;&gt;"",ISNA(MATCH($E31,往来单位!$A$6:$A$85,0))),"往来单位未建档",IF(N($J31)=0,"数量为 0",IF(N($K31)=0,"单价为 0",IF(AND(LEFT($D31,2)="销售",$U31=""),"该商品没设成本科目",IF(YEAR($B31)&lt;&gt;参数设置!$B$5,"不在本会计年度","OK")))))))))))</f>
        <v/>
      </c>
      <c r="Q31" s="57" t="str">
        <f aca="false">IF($F31="","",ROUND(N($J31)*N($K31),2))</f>
        <v/>
      </c>
      <c r="R31" s="58" t="str">
        <f aca="false">IF($D31="","",IF(LEFT($D31,2)="销售","应收账款","应付账款"))</f>
        <v/>
      </c>
      <c r="S31" s="58" t="str">
        <f aca="false">IF($F31="","",IFERROR(INDEX(商品档案!$G$6:$G$65,MATCH($F31,商品档案!$A$6:$A$65,0)),""))</f>
        <v/>
      </c>
      <c r="T31" s="58" t="str">
        <f aca="false">IF($F31="","",IFERROR(INDEX(商品档案!$H$6:$H$65,MATCH($F31,商品档案!$A$6:$A$65,0)),""))</f>
        <v/>
      </c>
      <c r="U31" s="58" t="str">
        <f aca="false">IF($F31="","",IFERROR(INDEX(商品档案!$I$6:$I$65,MATCH($F31,商品档案!$A$6:$A$65,0)),""))</f>
        <v/>
      </c>
      <c r="V31" s="59" t="str">
        <f aca="false">IF($F31="","",SUMIFS(进销存台账!$N$6:$N$65,进销存台账!$A$6:$A$65,$C31,进销存台账!$B$6:$B$65,$F31))</f>
        <v/>
      </c>
      <c r="W31" s="60" t="n">
        <f aca="false">IF(OR($D31="销售出库",$D31="销售退回"),ROUND(N($J31)*N($V31),2),0)</f>
        <v>0</v>
      </c>
      <c r="X31" s="58" t="str">
        <f aca="false">IF($E31="","",IFERROR(INDEX(往来单位!$D$6:$D$85,MATCH($E31,往来单位!$A$6:$A$85,0)),"否"))</f>
        <v/>
      </c>
      <c r="Y31" s="61" t="str">
        <f aca="false">IF($B31="","",YEAR($B31))</f>
        <v/>
      </c>
      <c r="Z31" s="58" t="str">
        <f aca="false">IF($B31="","",TEXT($B31,"yyyy-mm"))</f>
        <v/>
      </c>
    </row>
    <row r="32" customFormat="false" ht="15" hidden="false" customHeight="false" outlineLevel="0" collapsed="false">
      <c r="A32" s="53" t="str">
        <f aca="false">IF($B32="","",ROW()-5)</f>
        <v/>
      </c>
      <c r="B32" s="54"/>
      <c r="C32" s="33"/>
      <c r="D32" s="33"/>
      <c r="E32" s="32"/>
      <c r="F32" s="39"/>
      <c r="G32" s="48" t="str">
        <f aca="false">IF($F32="","",IFERROR(INDEX(商品档案!$B$6:$B$65,MATCH($F32,商品档案!$A$6:$A$65,0)),""))</f>
        <v/>
      </c>
      <c r="H32" s="48" t="str">
        <f aca="false">IF($F32="","",IFERROR(INDEX(商品档案!$C$6:$C$65,MATCH($F32,商品档案!$A$6:$A$65,0)),""))</f>
        <v/>
      </c>
      <c r="I32" s="55" t="str">
        <f aca="false">IF($F32="","",IFERROR(INDEX(商品档案!$D$6:$D$65,MATCH($F32,商品档案!$A$6:$A$65,0)),""))</f>
        <v/>
      </c>
      <c r="J32" s="49"/>
      <c r="K32" s="56"/>
      <c r="L32" s="33"/>
      <c r="M32" s="39"/>
      <c r="N32" s="41"/>
      <c r="O32" s="41"/>
      <c r="P32" s="25" t="str">
        <f aca="false">IF(AND($B32="",$D32="",$F32=""),"",IF(NOT(ISNUMBER($B32)),"日期无效",IF(ISNA(MATCH($C32,参数设置!$A$10:$A$12,0)),"公司无效",IF(ISNA(MATCH($D32,记账规则!$A$6:$A$9,0)),"业务类型无效",IF(ISNA(MATCH($F32,商品档案!$A$6:$A$65,0)),"商品编码无效",IF(IFERROR(INDEX(商品档案!$E$6:$E$65,MATCH($F32,商品档案!$A$6:$A$65,0)),"")&lt;&gt;$C32,"商品不属于该公司",IF(AND($E32&lt;&gt;"",ISNA(MATCH($E32,往来单位!$A$6:$A$85,0))),"往来单位未建档",IF(N($J32)=0,"数量为 0",IF(N($K32)=0,"单价为 0",IF(AND(LEFT($D32,2)="销售",$U32=""),"该商品没设成本科目",IF(YEAR($B32)&lt;&gt;参数设置!$B$5,"不在本会计年度","OK")))))))))))</f>
        <v/>
      </c>
      <c r="Q32" s="57" t="str">
        <f aca="false">IF($F32="","",ROUND(N($J32)*N($K32),2))</f>
        <v/>
      </c>
      <c r="R32" s="58" t="str">
        <f aca="false">IF($D32="","",IF(LEFT($D32,2)="销售","应收账款","应付账款"))</f>
        <v/>
      </c>
      <c r="S32" s="58" t="str">
        <f aca="false">IF($F32="","",IFERROR(INDEX(商品档案!$G$6:$G$65,MATCH($F32,商品档案!$A$6:$A$65,0)),""))</f>
        <v/>
      </c>
      <c r="T32" s="58" t="str">
        <f aca="false">IF($F32="","",IFERROR(INDEX(商品档案!$H$6:$H$65,MATCH($F32,商品档案!$A$6:$A$65,0)),""))</f>
        <v/>
      </c>
      <c r="U32" s="58" t="str">
        <f aca="false">IF($F32="","",IFERROR(INDEX(商品档案!$I$6:$I$65,MATCH($F32,商品档案!$A$6:$A$65,0)),""))</f>
        <v/>
      </c>
      <c r="V32" s="59" t="str">
        <f aca="false">IF($F32="","",SUMIFS(进销存台账!$N$6:$N$65,进销存台账!$A$6:$A$65,$C32,进销存台账!$B$6:$B$65,$F32))</f>
        <v/>
      </c>
      <c r="W32" s="60" t="n">
        <f aca="false">IF(OR($D32="销售出库",$D32="销售退回"),ROUND(N($J32)*N($V32),2),0)</f>
        <v>0</v>
      </c>
      <c r="X32" s="58" t="str">
        <f aca="false">IF($E32="","",IFERROR(INDEX(往来单位!$D$6:$D$85,MATCH($E32,往来单位!$A$6:$A$85,0)),"否"))</f>
        <v/>
      </c>
      <c r="Y32" s="61" t="str">
        <f aca="false">IF($B32="","",YEAR($B32))</f>
        <v/>
      </c>
      <c r="Z32" s="58" t="str">
        <f aca="false">IF($B32="","",TEXT($B32,"yyyy-mm"))</f>
        <v/>
      </c>
    </row>
    <row r="33" customFormat="false" ht="15" hidden="false" customHeight="false" outlineLevel="0" collapsed="false">
      <c r="A33" s="53" t="str">
        <f aca="false">IF($B33="","",ROW()-5)</f>
        <v/>
      </c>
      <c r="B33" s="54"/>
      <c r="C33" s="33"/>
      <c r="D33" s="33"/>
      <c r="E33" s="32"/>
      <c r="F33" s="39"/>
      <c r="G33" s="48" t="str">
        <f aca="false">IF($F33="","",IFERROR(INDEX(商品档案!$B$6:$B$65,MATCH($F33,商品档案!$A$6:$A$65,0)),""))</f>
        <v/>
      </c>
      <c r="H33" s="48" t="str">
        <f aca="false">IF($F33="","",IFERROR(INDEX(商品档案!$C$6:$C$65,MATCH($F33,商品档案!$A$6:$A$65,0)),""))</f>
        <v/>
      </c>
      <c r="I33" s="55" t="str">
        <f aca="false">IF($F33="","",IFERROR(INDEX(商品档案!$D$6:$D$65,MATCH($F33,商品档案!$A$6:$A$65,0)),""))</f>
        <v/>
      </c>
      <c r="J33" s="49"/>
      <c r="K33" s="56"/>
      <c r="L33" s="33"/>
      <c r="M33" s="39"/>
      <c r="N33" s="41"/>
      <c r="O33" s="41"/>
      <c r="P33" s="25" t="str">
        <f aca="false">IF(AND($B33="",$D33="",$F33=""),"",IF(NOT(ISNUMBER($B33)),"日期无效",IF(ISNA(MATCH($C33,参数设置!$A$10:$A$12,0)),"公司无效",IF(ISNA(MATCH($D33,记账规则!$A$6:$A$9,0)),"业务类型无效",IF(ISNA(MATCH($F33,商品档案!$A$6:$A$65,0)),"商品编码无效",IF(IFERROR(INDEX(商品档案!$E$6:$E$65,MATCH($F33,商品档案!$A$6:$A$65,0)),"")&lt;&gt;$C33,"商品不属于该公司",IF(AND($E33&lt;&gt;"",ISNA(MATCH($E33,往来单位!$A$6:$A$85,0))),"往来单位未建档",IF(N($J33)=0,"数量为 0",IF(N($K33)=0,"单价为 0",IF(AND(LEFT($D33,2)="销售",$U33=""),"该商品没设成本科目",IF(YEAR($B33)&lt;&gt;参数设置!$B$5,"不在本会计年度","OK")))))))))))</f>
        <v/>
      </c>
      <c r="Q33" s="57" t="str">
        <f aca="false">IF($F33="","",ROUND(N($J33)*N($K33),2))</f>
        <v/>
      </c>
      <c r="R33" s="58" t="str">
        <f aca="false">IF($D33="","",IF(LEFT($D33,2)="销售","应收账款","应付账款"))</f>
        <v/>
      </c>
      <c r="S33" s="58" t="str">
        <f aca="false">IF($F33="","",IFERROR(INDEX(商品档案!$G$6:$G$65,MATCH($F33,商品档案!$A$6:$A$65,0)),""))</f>
        <v/>
      </c>
      <c r="T33" s="58" t="str">
        <f aca="false">IF($F33="","",IFERROR(INDEX(商品档案!$H$6:$H$65,MATCH($F33,商品档案!$A$6:$A$65,0)),""))</f>
        <v/>
      </c>
      <c r="U33" s="58" t="str">
        <f aca="false">IF($F33="","",IFERROR(INDEX(商品档案!$I$6:$I$65,MATCH($F33,商品档案!$A$6:$A$65,0)),""))</f>
        <v/>
      </c>
      <c r="V33" s="59" t="str">
        <f aca="false">IF($F33="","",SUMIFS(进销存台账!$N$6:$N$65,进销存台账!$A$6:$A$65,$C33,进销存台账!$B$6:$B$65,$F33))</f>
        <v/>
      </c>
      <c r="W33" s="60" t="n">
        <f aca="false">IF(OR($D33="销售出库",$D33="销售退回"),ROUND(N($J33)*N($V33),2),0)</f>
        <v>0</v>
      </c>
      <c r="X33" s="58" t="str">
        <f aca="false">IF($E33="","",IFERROR(INDEX(往来单位!$D$6:$D$85,MATCH($E33,往来单位!$A$6:$A$85,0)),"否"))</f>
        <v/>
      </c>
      <c r="Y33" s="61" t="str">
        <f aca="false">IF($B33="","",YEAR($B33))</f>
        <v/>
      </c>
      <c r="Z33" s="58" t="str">
        <f aca="false">IF($B33="","",TEXT($B33,"yyyy-mm"))</f>
        <v/>
      </c>
    </row>
    <row r="34" customFormat="false" ht="15" hidden="false" customHeight="false" outlineLevel="0" collapsed="false">
      <c r="A34" s="53" t="str">
        <f aca="false">IF($B34="","",ROW()-5)</f>
        <v/>
      </c>
      <c r="B34" s="54"/>
      <c r="C34" s="33"/>
      <c r="D34" s="33"/>
      <c r="E34" s="32"/>
      <c r="F34" s="39"/>
      <c r="G34" s="48" t="str">
        <f aca="false">IF($F34="","",IFERROR(INDEX(商品档案!$B$6:$B$65,MATCH($F34,商品档案!$A$6:$A$65,0)),""))</f>
        <v/>
      </c>
      <c r="H34" s="48" t="str">
        <f aca="false">IF($F34="","",IFERROR(INDEX(商品档案!$C$6:$C$65,MATCH($F34,商品档案!$A$6:$A$65,0)),""))</f>
        <v/>
      </c>
      <c r="I34" s="55" t="str">
        <f aca="false">IF($F34="","",IFERROR(INDEX(商品档案!$D$6:$D$65,MATCH($F34,商品档案!$A$6:$A$65,0)),""))</f>
        <v/>
      </c>
      <c r="J34" s="49"/>
      <c r="K34" s="56"/>
      <c r="L34" s="33"/>
      <c r="M34" s="39"/>
      <c r="N34" s="41"/>
      <c r="O34" s="41"/>
      <c r="P34" s="25" t="str">
        <f aca="false">IF(AND($B34="",$D34="",$F34=""),"",IF(NOT(ISNUMBER($B34)),"日期无效",IF(ISNA(MATCH($C34,参数设置!$A$10:$A$12,0)),"公司无效",IF(ISNA(MATCH($D34,记账规则!$A$6:$A$9,0)),"业务类型无效",IF(ISNA(MATCH($F34,商品档案!$A$6:$A$65,0)),"商品编码无效",IF(IFERROR(INDEX(商品档案!$E$6:$E$65,MATCH($F34,商品档案!$A$6:$A$65,0)),"")&lt;&gt;$C34,"商品不属于该公司",IF(AND($E34&lt;&gt;"",ISNA(MATCH($E34,往来单位!$A$6:$A$85,0))),"往来单位未建档",IF(N($J34)=0,"数量为 0",IF(N($K34)=0,"单价为 0",IF(AND(LEFT($D34,2)="销售",$U34=""),"该商品没设成本科目",IF(YEAR($B34)&lt;&gt;参数设置!$B$5,"不在本会计年度","OK")))))))))))</f>
        <v/>
      </c>
      <c r="Q34" s="57" t="str">
        <f aca="false">IF($F34="","",ROUND(N($J34)*N($K34),2))</f>
        <v/>
      </c>
      <c r="R34" s="58" t="str">
        <f aca="false">IF($D34="","",IF(LEFT($D34,2)="销售","应收账款","应付账款"))</f>
        <v/>
      </c>
      <c r="S34" s="58" t="str">
        <f aca="false">IF($F34="","",IFERROR(INDEX(商品档案!$G$6:$G$65,MATCH($F34,商品档案!$A$6:$A$65,0)),""))</f>
        <v/>
      </c>
      <c r="T34" s="58" t="str">
        <f aca="false">IF($F34="","",IFERROR(INDEX(商品档案!$H$6:$H$65,MATCH($F34,商品档案!$A$6:$A$65,0)),""))</f>
        <v/>
      </c>
      <c r="U34" s="58" t="str">
        <f aca="false">IF($F34="","",IFERROR(INDEX(商品档案!$I$6:$I$65,MATCH($F34,商品档案!$A$6:$A$65,0)),""))</f>
        <v/>
      </c>
      <c r="V34" s="59" t="str">
        <f aca="false">IF($F34="","",SUMIFS(进销存台账!$N$6:$N$65,进销存台账!$A$6:$A$65,$C34,进销存台账!$B$6:$B$65,$F34))</f>
        <v/>
      </c>
      <c r="W34" s="60" t="n">
        <f aca="false">IF(OR($D34="销售出库",$D34="销售退回"),ROUND(N($J34)*N($V34),2),0)</f>
        <v>0</v>
      </c>
      <c r="X34" s="58" t="str">
        <f aca="false">IF($E34="","",IFERROR(INDEX(往来单位!$D$6:$D$85,MATCH($E34,往来单位!$A$6:$A$85,0)),"否"))</f>
        <v/>
      </c>
      <c r="Y34" s="61" t="str">
        <f aca="false">IF($B34="","",YEAR($B34))</f>
        <v/>
      </c>
      <c r="Z34" s="58" t="str">
        <f aca="false">IF($B34="","",TEXT($B34,"yyyy-mm"))</f>
        <v/>
      </c>
    </row>
    <row r="35" customFormat="false" ht="15" hidden="false" customHeight="false" outlineLevel="0" collapsed="false">
      <c r="A35" s="53" t="str">
        <f aca="false">IF($B35="","",ROW()-5)</f>
        <v/>
      </c>
      <c r="B35" s="54"/>
      <c r="C35" s="33"/>
      <c r="D35" s="33"/>
      <c r="E35" s="32"/>
      <c r="F35" s="39"/>
      <c r="G35" s="48" t="str">
        <f aca="false">IF($F35="","",IFERROR(INDEX(商品档案!$B$6:$B$65,MATCH($F35,商品档案!$A$6:$A$65,0)),""))</f>
        <v/>
      </c>
      <c r="H35" s="48" t="str">
        <f aca="false">IF($F35="","",IFERROR(INDEX(商品档案!$C$6:$C$65,MATCH($F35,商品档案!$A$6:$A$65,0)),""))</f>
        <v/>
      </c>
      <c r="I35" s="55" t="str">
        <f aca="false">IF($F35="","",IFERROR(INDEX(商品档案!$D$6:$D$65,MATCH($F35,商品档案!$A$6:$A$65,0)),""))</f>
        <v/>
      </c>
      <c r="J35" s="49"/>
      <c r="K35" s="56"/>
      <c r="L35" s="33"/>
      <c r="M35" s="39"/>
      <c r="N35" s="41"/>
      <c r="O35" s="41"/>
      <c r="P35" s="25" t="str">
        <f aca="false">IF(AND($B35="",$D35="",$F35=""),"",IF(NOT(ISNUMBER($B35)),"日期无效",IF(ISNA(MATCH($C35,参数设置!$A$10:$A$12,0)),"公司无效",IF(ISNA(MATCH($D35,记账规则!$A$6:$A$9,0)),"业务类型无效",IF(ISNA(MATCH($F35,商品档案!$A$6:$A$65,0)),"商品编码无效",IF(IFERROR(INDEX(商品档案!$E$6:$E$65,MATCH($F35,商品档案!$A$6:$A$65,0)),"")&lt;&gt;$C35,"商品不属于该公司",IF(AND($E35&lt;&gt;"",ISNA(MATCH($E35,往来单位!$A$6:$A$85,0))),"往来单位未建档",IF(N($J35)=0,"数量为 0",IF(N($K35)=0,"单价为 0",IF(AND(LEFT($D35,2)="销售",$U35=""),"该商品没设成本科目",IF(YEAR($B35)&lt;&gt;参数设置!$B$5,"不在本会计年度","OK")))))))))))</f>
        <v/>
      </c>
      <c r="Q35" s="57" t="str">
        <f aca="false">IF($F35="","",ROUND(N($J35)*N($K35),2))</f>
        <v/>
      </c>
      <c r="R35" s="58" t="str">
        <f aca="false">IF($D35="","",IF(LEFT($D35,2)="销售","应收账款","应付账款"))</f>
        <v/>
      </c>
      <c r="S35" s="58" t="str">
        <f aca="false">IF($F35="","",IFERROR(INDEX(商品档案!$G$6:$G$65,MATCH($F35,商品档案!$A$6:$A$65,0)),""))</f>
        <v/>
      </c>
      <c r="T35" s="58" t="str">
        <f aca="false">IF($F35="","",IFERROR(INDEX(商品档案!$H$6:$H$65,MATCH($F35,商品档案!$A$6:$A$65,0)),""))</f>
        <v/>
      </c>
      <c r="U35" s="58" t="str">
        <f aca="false">IF($F35="","",IFERROR(INDEX(商品档案!$I$6:$I$65,MATCH($F35,商品档案!$A$6:$A$65,0)),""))</f>
        <v/>
      </c>
      <c r="V35" s="59" t="str">
        <f aca="false">IF($F35="","",SUMIFS(进销存台账!$N$6:$N$65,进销存台账!$A$6:$A$65,$C35,进销存台账!$B$6:$B$65,$F35))</f>
        <v/>
      </c>
      <c r="W35" s="60" t="n">
        <f aca="false">IF(OR($D35="销售出库",$D35="销售退回"),ROUND(N($J35)*N($V35),2),0)</f>
        <v>0</v>
      </c>
      <c r="X35" s="58" t="str">
        <f aca="false">IF($E35="","",IFERROR(INDEX(往来单位!$D$6:$D$85,MATCH($E35,往来单位!$A$6:$A$85,0)),"否"))</f>
        <v/>
      </c>
      <c r="Y35" s="61" t="str">
        <f aca="false">IF($B35="","",YEAR($B35))</f>
        <v/>
      </c>
      <c r="Z35" s="58" t="str">
        <f aca="false">IF($B35="","",TEXT($B35,"yyyy-mm"))</f>
        <v/>
      </c>
    </row>
    <row r="36" customFormat="false" ht="15" hidden="false" customHeight="false" outlineLevel="0" collapsed="false">
      <c r="A36" s="53" t="str">
        <f aca="false">IF($B36="","",ROW()-5)</f>
        <v/>
      </c>
      <c r="B36" s="54"/>
      <c r="C36" s="33"/>
      <c r="D36" s="33"/>
      <c r="E36" s="32"/>
      <c r="F36" s="39"/>
      <c r="G36" s="48" t="str">
        <f aca="false">IF($F36="","",IFERROR(INDEX(商品档案!$B$6:$B$65,MATCH($F36,商品档案!$A$6:$A$65,0)),""))</f>
        <v/>
      </c>
      <c r="H36" s="48" t="str">
        <f aca="false">IF($F36="","",IFERROR(INDEX(商品档案!$C$6:$C$65,MATCH($F36,商品档案!$A$6:$A$65,0)),""))</f>
        <v/>
      </c>
      <c r="I36" s="55" t="str">
        <f aca="false">IF($F36="","",IFERROR(INDEX(商品档案!$D$6:$D$65,MATCH($F36,商品档案!$A$6:$A$65,0)),""))</f>
        <v/>
      </c>
      <c r="J36" s="49"/>
      <c r="K36" s="56"/>
      <c r="L36" s="33"/>
      <c r="M36" s="39"/>
      <c r="N36" s="41"/>
      <c r="O36" s="41"/>
      <c r="P36" s="25" t="str">
        <f aca="false">IF(AND($B36="",$D36="",$F36=""),"",IF(NOT(ISNUMBER($B36)),"日期无效",IF(ISNA(MATCH($C36,参数设置!$A$10:$A$12,0)),"公司无效",IF(ISNA(MATCH($D36,记账规则!$A$6:$A$9,0)),"业务类型无效",IF(ISNA(MATCH($F36,商品档案!$A$6:$A$65,0)),"商品编码无效",IF(IFERROR(INDEX(商品档案!$E$6:$E$65,MATCH($F36,商品档案!$A$6:$A$65,0)),"")&lt;&gt;$C36,"商品不属于该公司",IF(AND($E36&lt;&gt;"",ISNA(MATCH($E36,往来单位!$A$6:$A$85,0))),"往来单位未建档",IF(N($J36)=0,"数量为 0",IF(N($K36)=0,"单价为 0",IF(AND(LEFT($D36,2)="销售",$U36=""),"该商品没设成本科目",IF(YEAR($B36)&lt;&gt;参数设置!$B$5,"不在本会计年度","OK")))))))))))</f>
        <v/>
      </c>
      <c r="Q36" s="57" t="str">
        <f aca="false">IF($F36="","",ROUND(N($J36)*N($K36),2))</f>
        <v/>
      </c>
      <c r="R36" s="58" t="str">
        <f aca="false">IF($D36="","",IF(LEFT($D36,2)="销售","应收账款","应付账款"))</f>
        <v/>
      </c>
      <c r="S36" s="58" t="str">
        <f aca="false">IF($F36="","",IFERROR(INDEX(商品档案!$G$6:$G$65,MATCH($F36,商品档案!$A$6:$A$65,0)),""))</f>
        <v/>
      </c>
      <c r="T36" s="58" t="str">
        <f aca="false">IF($F36="","",IFERROR(INDEX(商品档案!$H$6:$H$65,MATCH($F36,商品档案!$A$6:$A$65,0)),""))</f>
        <v/>
      </c>
      <c r="U36" s="58" t="str">
        <f aca="false">IF($F36="","",IFERROR(INDEX(商品档案!$I$6:$I$65,MATCH($F36,商品档案!$A$6:$A$65,0)),""))</f>
        <v/>
      </c>
      <c r="V36" s="59" t="str">
        <f aca="false">IF($F36="","",SUMIFS(进销存台账!$N$6:$N$65,进销存台账!$A$6:$A$65,$C36,进销存台账!$B$6:$B$65,$F36))</f>
        <v/>
      </c>
      <c r="W36" s="60" t="n">
        <f aca="false">IF(OR($D36="销售出库",$D36="销售退回"),ROUND(N($J36)*N($V36),2),0)</f>
        <v>0</v>
      </c>
      <c r="X36" s="58" t="str">
        <f aca="false">IF($E36="","",IFERROR(INDEX(往来单位!$D$6:$D$85,MATCH($E36,往来单位!$A$6:$A$85,0)),"否"))</f>
        <v/>
      </c>
      <c r="Y36" s="61" t="str">
        <f aca="false">IF($B36="","",YEAR($B36))</f>
        <v/>
      </c>
      <c r="Z36" s="58" t="str">
        <f aca="false">IF($B36="","",TEXT($B36,"yyyy-mm"))</f>
        <v/>
      </c>
    </row>
    <row r="37" customFormat="false" ht="15" hidden="false" customHeight="false" outlineLevel="0" collapsed="false">
      <c r="A37" s="53" t="str">
        <f aca="false">IF($B37="","",ROW()-5)</f>
        <v/>
      </c>
      <c r="B37" s="54"/>
      <c r="C37" s="33"/>
      <c r="D37" s="33"/>
      <c r="E37" s="32"/>
      <c r="F37" s="39"/>
      <c r="G37" s="48" t="str">
        <f aca="false">IF($F37="","",IFERROR(INDEX(商品档案!$B$6:$B$65,MATCH($F37,商品档案!$A$6:$A$65,0)),""))</f>
        <v/>
      </c>
      <c r="H37" s="48" t="str">
        <f aca="false">IF($F37="","",IFERROR(INDEX(商品档案!$C$6:$C$65,MATCH($F37,商品档案!$A$6:$A$65,0)),""))</f>
        <v/>
      </c>
      <c r="I37" s="55" t="str">
        <f aca="false">IF($F37="","",IFERROR(INDEX(商品档案!$D$6:$D$65,MATCH($F37,商品档案!$A$6:$A$65,0)),""))</f>
        <v/>
      </c>
      <c r="J37" s="49"/>
      <c r="K37" s="56"/>
      <c r="L37" s="33"/>
      <c r="M37" s="39"/>
      <c r="N37" s="41"/>
      <c r="O37" s="41"/>
      <c r="P37" s="25" t="str">
        <f aca="false">IF(AND($B37="",$D37="",$F37=""),"",IF(NOT(ISNUMBER($B37)),"日期无效",IF(ISNA(MATCH($C37,参数设置!$A$10:$A$12,0)),"公司无效",IF(ISNA(MATCH($D37,记账规则!$A$6:$A$9,0)),"业务类型无效",IF(ISNA(MATCH($F37,商品档案!$A$6:$A$65,0)),"商品编码无效",IF(IFERROR(INDEX(商品档案!$E$6:$E$65,MATCH($F37,商品档案!$A$6:$A$65,0)),"")&lt;&gt;$C37,"商品不属于该公司",IF(AND($E37&lt;&gt;"",ISNA(MATCH($E37,往来单位!$A$6:$A$85,0))),"往来单位未建档",IF(N($J37)=0,"数量为 0",IF(N($K37)=0,"单价为 0",IF(AND(LEFT($D37,2)="销售",$U37=""),"该商品没设成本科目",IF(YEAR($B37)&lt;&gt;参数设置!$B$5,"不在本会计年度","OK")))))))))))</f>
        <v/>
      </c>
      <c r="Q37" s="57" t="str">
        <f aca="false">IF($F37="","",ROUND(N($J37)*N($K37),2))</f>
        <v/>
      </c>
      <c r="R37" s="58" t="str">
        <f aca="false">IF($D37="","",IF(LEFT($D37,2)="销售","应收账款","应付账款"))</f>
        <v/>
      </c>
      <c r="S37" s="58" t="str">
        <f aca="false">IF($F37="","",IFERROR(INDEX(商品档案!$G$6:$G$65,MATCH($F37,商品档案!$A$6:$A$65,0)),""))</f>
        <v/>
      </c>
      <c r="T37" s="58" t="str">
        <f aca="false">IF($F37="","",IFERROR(INDEX(商品档案!$H$6:$H$65,MATCH($F37,商品档案!$A$6:$A$65,0)),""))</f>
        <v/>
      </c>
      <c r="U37" s="58" t="str">
        <f aca="false">IF($F37="","",IFERROR(INDEX(商品档案!$I$6:$I$65,MATCH($F37,商品档案!$A$6:$A$65,0)),""))</f>
        <v/>
      </c>
      <c r="V37" s="59" t="str">
        <f aca="false">IF($F37="","",SUMIFS(进销存台账!$N$6:$N$65,进销存台账!$A$6:$A$65,$C37,进销存台账!$B$6:$B$65,$F37))</f>
        <v/>
      </c>
      <c r="W37" s="60" t="n">
        <f aca="false">IF(OR($D37="销售出库",$D37="销售退回"),ROUND(N($J37)*N($V37),2),0)</f>
        <v>0</v>
      </c>
      <c r="X37" s="58" t="str">
        <f aca="false">IF($E37="","",IFERROR(INDEX(往来单位!$D$6:$D$85,MATCH($E37,往来单位!$A$6:$A$85,0)),"否"))</f>
        <v/>
      </c>
      <c r="Y37" s="61" t="str">
        <f aca="false">IF($B37="","",YEAR($B37))</f>
        <v/>
      </c>
      <c r="Z37" s="58" t="str">
        <f aca="false">IF($B37="","",TEXT($B37,"yyyy-mm"))</f>
        <v/>
      </c>
    </row>
    <row r="38" customFormat="false" ht="15" hidden="false" customHeight="false" outlineLevel="0" collapsed="false">
      <c r="A38" s="53" t="str">
        <f aca="false">IF($B38="","",ROW()-5)</f>
        <v/>
      </c>
      <c r="B38" s="54"/>
      <c r="C38" s="33"/>
      <c r="D38" s="33"/>
      <c r="E38" s="32"/>
      <c r="F38" s="39"/>
      <c r="G38" s="48" t="str">
        <f aca="false">IF($F38="","",IFERROR(INDEX(商品档案!$B$6:$B$65,MATCH($F38,商品档案!$A$6:$A$65,0)),""))</f>
        <v/>
      </c>
      <c r="H38" s="48" t="str">
        <f aca="false">IF($F38="","",IFERROR(INDEX(商品档案!$C$6:$C$65,MATCH($F38,商品档案!$A$6:$A$65,0)),""))</f>
        <v/>
      </c>
      <c r="I38" s="55" t="str">
        <f aca="false">IF($F38="","",IFERROR(INDEX(商品档案!$D$6:$D$65,MATCH($F38,商品档案!$A$6:$A$65,0)),""))</f>
        <v/>
      </c>
      <c r="J38" s="49"/>
      <c r="K38" s="56"/>
      <c r="L38" s="33"/>
      <c r="M38" s="39"/>
      <c r="N38" s="41"/>
      <c r="O38" s="41"/>
      <c r="P38" s="25" t="str">
        <f aca="false">IF(AND($B38="",$D38="",$F38=""),"",IF(NOT(ISNUMBER($B38)),"日期无效",IF(ISNA(MATCH($C38,参数设置!$A$10:$A$12,0)),"公司无效",IF(ISNA(MATCH($D38,记账规则!$A$6:$A$9,0)),"业务类型无效",IF(ISNA(MATCH($F38,商品档案!$A$6:$A$65,0)),"商品编码无效",IF(IFERROR(INDEX(商品档案!$E$6:$E$65,MATCH($F38,商品档案!$A$6:$A$65,0)),"")&lt;&gt;$C38,"商品不属于该公司",IF(AND($E38&lt;&gt;"",ISNA(MATCH($E38,往来单位!$A$6:$A$85,0))),"往来单位未建档",IF(N($J38)=0,"数量为 0",IF(N($K38)=0,"单价为 0",IF(AND(LEFT($D38,2)="销售",$U38=""),"该商品没设成本科目",IF(YEAR($B38)&lt;&gt;参数设置!$B$5,"不在本会计年度","OK")))))))))))</f>
        <v/>
      </c>
      <c r="Q38" s="57" t="str">
        <f aca="false">IF($F38="","",ROUND(N($J38)*N($K38),2))</f>
        <v/>
      </c>
      <c r="R38" s="58" t="str">
        <f aca="false">IF($D38="","",IF(LEFT($D38,2)="销售","应收账款","应付账款"))</f>
        <v/>
      </c>
      <c r="S38" s="58" t="str">
        <f aca="false">IF($F38="","",IFERROR(INDEX(商品档案!$G$6:$G$65,MATCH($F38,商品档案!$A$6:$A$65,0)),""))</f>
        <v/>
      </c>
      <c r="T38" s="58" t="str">
        <f aca="false">IF($F38="","",IFERROR(INDEX(商品档案!$H$6:$H$65,MATCH($F38,商品档案!$A$6:$A$65,0)),""))</f>
        <v/>
      </c>
      <c r="U38" s="58" t="str">
        <f aca="false">IF($F38="","",IFERROR(INDEX(商品档案!$I$6:$I$65,MATCH($F38,商品档案!$A$6:$A$65,0)),""))</f>
        <v/>
      </c>
      <c r="V38" s="59" t="str">
        <f aca="false">IF($F38="","",SUMIFS(进销存台账!$N$6:$N$65,进销存台账!$A$6:$A$65,$C38,进销存台账!$B$6:$B$65,$F38))</f>
        <v/>
      </c>
      <c r="W38" s="60" t="n">
        <f aca="false">IF(OR($D38="销售出库",$D38="销售退回"),ROUND(N($J38)*N($V38),2),0)</f>
        <v>0</v>
      </c>
      <c r="X38" s="58" t="str">
        <f aca="false">IF($E38="","",IFERROR(INDEX(往来单位!$D$6:$D$85,MATCH($E38,往来单位!$A$6:$A$85,0)),"否"))</f>
        <v/>
      </c>
      <c r="Y38" s="61" t="str">
        <f aca="false">IF($B38="","",YEAR($B38))</f>
        <v/>
      </c>
      <c r="Z38" s="58" t="str">
        <f aca="false">IF($B38="","",TEXT($B38,"yyyy-mm"))</f>
        <v/>
      </c>
    </row>
    <row r="39" customFormat="false" ht="15" hidden="false" customHeight="false" outlineLevel="0" collapsed="false">
      <c r="A39" s="53" t="str">
        <f aca="false">IF($B39="","",ROW()-5)</f>
        <v/>
      </c>
      <c r="B39" s="54"/>
      <c r="C39" s="33"/>
      <c r="D39" s="33"/>
      <c r="E39" s="32"/>
      <c r="F39" s="39"/>
      <c r="G39" s="48" t="str">
        <f aca="false">IF($F39="","",IFERROR(INDEX(商品档案!$B$6:$B$65,MATCH($F39,商品档案!$A$6:$A$65,0)),""))</f>
        <v/>
      </c>
      <c r="H39" s="48" t="str">
        <f aca="false">IF($F39="","",IFERROR(INDEX(商品档案!$C$6:$C$65,MATCH($F39,商品档案!$A$6:$A$65,0)),""))</f>
        <v/>
      </c>
      <c r="I39" s="55" t="str">
        <f aca="false">IF($F39="","",IFERROR(INDEX(商品档案!$D$6:$D$65,MATCH($F39,商品档案!$A$6:$A$65,0)),""))</f>
        <v/>
      </c>
      <c r="J39" s="49"/>
      <c r="K39" s="56"/>
      <c r="L39" s="33"/>
      <c r="M39" s="39"/>
      <c r="N39" s="41"/>
      <c r="O39" s="41"/>
      <c r="P39" s="25" t="str">
        <f aca="false">IF(AND($B39="",$D39="",$F39=""),"",IF(NOT(ISNUMBER($B39)),"日期无效",IF(ISNA(MATCH($C39,参数设置!$A$10:$A$12,0)),"公司无效",IF(ISNA(MATCH($D39,记账规则!$A$6:$A$9,0)),"业务类型无效",IF(ISNA(MATCH($F39,商品档案!$A$6:$A$65,0)),"商品编码无效",IF(IFERROR(INDEX(商品档案!$E$6:$E$65,MATCH($F39,商品档案!$A$6:$A$65,0)),"")&lt;&gt;$C39,"商品不属于该公司",IF(AND($E39&lt;&gt;"",ISNA(MATCH($E39,往来单位!$A$6:$A$85,0))),"往来单位未建档",IF(N($J39)=0,"数量为 0",IF(N($K39)=0,"单价为 0",IF(AND(LEFT($D39,2)="销售",$U39=""),"该商品没设成本科目",IF(YEAR($B39)&lt;&gt;参数设置!$B$5,"不在本会计年度","OK")))))))))))</f>
        <v/>
      </c>
      <c r="Q39" s="57" t="str">
        <f aca="false">IF($F39="","",ROUND(N($J39)*N($K39),2))</f>
        <v/>
      </c>
      <c r="R39" s="58" t="str">
        <f aca="false">IF($D39="","",IF(LEFT($D39,2)="销售","应收账款","应付账款"))</f>
        <v/>
      </c>
      <c r="S39" s="58" t="str">
        <f aca="false">IF($F39="","",IFERROR(INDEX(商品档案!$G$6:$G$65,MATCH($F39,商品档案!$A$6:$A$65,0)),""))</f>
        <v/>
      </c>
      <c r="T39" s="58" t="str">
        <f aca="false">IF($F39="","",IFERROR(INDEX(商品档案!$H$6:$H$65,MATCH($F39,商品档案!$A$6:$A$65,0)),""))</f>
        <v/>
      </c>
      <c r="U39" s="58" t="str">
        <f aca="false">IF($F39="","",IFERROR(INDEX(商品档案!$I$6:$I$65,MATCH($F39,商品档案!$A$6:$A$65,0)),""))</f>
        <v/>
      </c>
      <c r="V39" s="59" t="str">
        <f aca="false">IF($F39="","",SUMIFS(进销存台账!$N$6:$N$65,进销存台账!$A$6:$A$65,$C39,进销存台账!$B$6:$B$65,$F39))</f>
        <v/>
      </c>
      <c r="W39" s="60" t="n">
        <f aca="false">IF(OR($D39="销售出库",$D39="销售退回"),ROUND(N($J39)*N($V39),2),0)</f>
        <v>0</v>
      </c>
      <c r="X39" s="58" t="str">
        <f aca="false">IF($E39="","",IFERROR(INDEX(往来单位!$D$6:$D$85,MATCH($E39,往来单位!$A$6:$A$85,0)),"否"))</f>
        <v/>
      </c>
      <c r="Y39" s="61" t="str">
        <f aca="false">IF($B39="","",YEAR($B39))</f>
        <v/>
      </c>
      <c r="Z39" s="58" t="str">
        <f aca="false">IF($B39="","",TEXT($B39,"yyyy-mm"))</f>
        <v/>
      </c>
    </row>
    <row r="40" customFormat="false" ht="15" hidden="false" customHeight="false" outlineLevel="0" collapsed="false">
      <c r="A40" s="53" t="str">
        <f aca="false">IF($B40="","",ROW()-5)</f>
        <v/>
      </c>
      <c r="B40" s="54"/>
      <c r="C40" s="33"/>
      <c r="D40" s="33"/>
      <c r="E40" s="32"/>
      <c r="F40" s="39"/>
      <c r="G40" s="48" t="str">
        <f aca="false">IF($F40="","",IFERROR(INDEX(商品档案!$B$6:$B$65,MATCH($F40,商品档案!$A$6:$A$65,0)),""))</f>
        <v/>
      </c>
      <c r="H40" s="48" t="str">
        <f aca="false">IF($F40="","",IFERROR(INDEX(商品档案!$C$6:$C$65,MATCH($F40,商品档案!$A$6:$A$65,0)),""))</f>
        <v/>
      </c>
      <c r="I40" s="55" t="str">
        <f aca="false">IF($F40="","",IFERROR(INDEX(商品档案!$D$6:$D$65,MATCH($F40,商品档案!$A$6:$A$65,0)),""))</f>
        <v/>
      </c>
      <c r="J40" s="49"/>
      <c r="K40" s="56"/>
      <c r="L40" s="33"/>
      <c r="M40" s="39"/>
      <c r="N40" s="41"/>
      <c r="O40" s="41"/>
      <c r="P40" s="25" t="str">
        <f aca="false">IF(AND($B40="",$D40="",$F40=""),"",IF(NOT(ISNUMBER($B40)),"日期无效",IF(ISNA(MATCH($C40,参数设置!$A$10:$A$12,0)),"公司无效",IF(ISNA(MATCH($D40,记账规则!$A$6:$A$9,0)),"业务类型无效",IF(ISNA(MATCH($F40,商品档案!$A$6:$A$65,0)),"商品编码无效",IF(IFERROR(INDEX(商品档案!$E$6:$E$65,MATCH($F40,商品档案!$A$6:$A$65,0)),"")&lt;&gt;$C40,"商品不属于该公司",IF(AND($E40&lt;&gt;"",ISNA(MATCH($E40,往来单位!$A$6:$A$85,0))),"往来单位未建档",IF(N($J40)=0,"数量为 0",IF(N($K40)=0,"单价为 0",IF(AND(LEFT($D40,2)="销售",$U40=""),"该商品没设成本科目",IF(YEAR($B40)&lt;&gt;参数设置!$B$5,"不在本会计年度","OK")))))))))))</f>
        <v/>
      </c>
      <c r="Q40" s="57" t="str">
        <f aca="false">IF($F40="","",ROUND(N($J40)*N($K40),2))</f>
        <v/>
      </c>
      <c r="R40" s="58" t="str">
        <f aca="false">IF($D40="","",IF(LEFT($D40,2)="销售","应收账款","应付账款"))</f>
        <v/>
      </c>
      <c r="S40" s="58" t="str">
        <f aca="false">IF($F40="","",IFERROR(INDEX(商品档案!$G$6:$G$65,MATCH($F40,商品档案!$A$6:$A$65,0)),""))</f>
        <v/>
      </c>
      <c r="T40" s="58" t="str">
        <f aca="false">IF($F40="","",IFERROR(INDEX(商品档案!$H$6:$H$65,MATCH($F40,商品档案!$A$6:$A$65,0)),""))</f>
        <v/>
      </c>
      <c r="U40" s="58" t="str">
        <f aca="false">IF($F40="","",IFERROR(INDEX(商品档案!$I$6:$I$65,MATCH($F40,商品档案!$A$6:$A$65,0)),""))</f>
        <v/>
      </c>
      <c r="V40" s="59" t="str">
        <f aca="false">IF($F40="","",SUMIFS(进销存台账!$N$6:$N$65,进销存台账!$A$6:$A$65,$C40,进销存台账!$B$6:$B$65,$F40))</f>
        <v/>
      </c>
      <c r="W40" s="60" t="n">
        <f aca="false">IF(OR($D40="销售出库",$D40="销售退回"),ROUND(N($J40)*N($V40),2),0)</f>
        <v>0</v>
      </c>
      <c r="X40" s="58" t="str">
        <f aca="false">IF($E40="","",IFERROR(INDEX(往来单位!$D$6:$D$85,MATCH($E40,往来单位!$A$6:$A$85,0)),"否"))</f>
        <v/>
      </c>
      <c r="Y40" s="61" t="str">
        <f aca="false">IF($B40="","",YEAR($B40))</f>
        <v/>
      </c>
      <c r="Z40" s="58" t="str">
        <f aca="false">IF($B40="","",TEXT($B40,"yyyy-mm"))</f>
        <v/>
      </c>
    </row>
    <row r="41" customFormat="false" ht="15" hidden="false" customHeight="false" outlineLevel="0" collapsed="false">
      <c r="A41" s="53" t="str">
        <f aca="false">IF($B41="","",ROW()-5)</f>
        <v/>
      </c>
      <c r="B41" s="54"/>
      <c r="C41" s="33"/>
      <c r="D41" s="33"/>
      <c r="E41" s="32"/>
      <c r="F41" s="39"/>
      <c r="G41" s="48" t="str">
        <f aca="false">IF($F41="","",IFERROR(INDEX(商品档案!$B$6:$B$65,MATCH($F41,商品档案!$A$6:$A$65,0)),""))</f>
        <v/>
      </c>
      <c r="H41" s="48" t="str">
        <f aca="false">IF($F41="","",IFERROR(INDEX(商品档案!$C$6:$C$65,MATCH($F41,商品档案!$A$6:$A$65,0)),""))</f>
        <v/>
      </c>
      <c r="I41" s="55" t="str">
        <f aca="false">IF($F41="","",IFERROR(INDEX(商品档案!$D$6:$D$65,MATCH($F41,商品档案!$A$6:$A$65,0)),""))</f>
        <v/>
      </c>
      <c r="J41" s="49"/>
      <c r="K41" s="56"/>
      <c r="L41" s="33"/>
      <c r="M41" s="39"/>
      <c r="N41" s="41"/>
      <c r="O41" s="41"/>
      <c r="P41" s="25" t="str">
        <f aca="false">IF(AND($B41="",$D41="",$F41=""),"",IF(NOT(ISNUMBER($B41)),"日期无效",IF(ISNA(MATCH($C41,参数设置!$A$10:$A$12,0)),"公司无效",IF(ISNA(MATCH($D41,记账规则!$A$6:$A$9,0)),"业务类型无效",IF(ISNA(MATCH($F41,商品档案!$A$6:$A$65,0)),"商品编码无效",IF(IFERROR(INDEX(商品档案!$E$6:$E$65,MATCH($F41,商品档案!$A$6:$A$65,0)),"")&lt;&gt;$C41,"商品不属于该公司",IF(AND($E41&lt;&gt;"",ISNA(MATCH($E41,往来单位!$A$6:$A$85,0))),"往来单位未建档",IF(N($J41)=0,"数量为 0",IF(N($K41)=0,"单价为 0",IF(AND(LEFT($D41,2)="销售",$U41=""),"该商品没设成本科目",IF(YEAR($B41)&lt;&gt;参数设置!$B$5,"不在本会计年度","OK")))))))))))</f>
        <v/>
      </c>
      <c r="Q41" s="57" t="str">
        <f aca="false">IF($F41="","",ROUND(N($J41)*N($K41),2))</f>
        <v/>
      </c>
      <c r="R41" s="58" t="str">
        <f aca="false">IF($D41="","",IF(LEFT($D41,2)="销售","应收账款","应付账款"))</f>
        <v/>
      </c>
      <c r="S41" s="58" t="str">
        <f aca="false">IF($F41="","",IFERROR(INDEX(商品档案!$G$6:$G$65,MATCH($F41,商品档案!$A$6:$A$65,0)),""))</f>
        <v/>
      </c>
      <c r="T41" s="58" t="str">
        <f aca="false">IF($F41="","",IFERROR(INDEX(商品档案!$H$6:$H$65,MATCH($F41,商品档案!$A$6:$A$65,0)),""))</f>
        <v/>
      </c>
      <c r="U41" s="58" t="str">
        <f aca="false">IF($F41="","",IFERROR(INDEX(商品档案!$I$6:$I$65,MATCH($F41,商品档案!$A$6:$A$65,0)),""))</f>
        <v/>
      </c>
      <c r="V41" s="59" t="str">
        <f aca="false">IF($F41="","",SUMIFS(进销存台账!$N$6:$N$65,进销存台账!$A$6:$A$65,$C41,进销存台账!$B$6:$B$65,$F41))</f>
        <v/>
      </c>
      <c r="W41" s="60" t="n">
        <f aca="false">IF(OR($D41="销售出库",$D41="销售退回"),ROUND(N($J41)*N($V41),2),0)</f>
        <v>0</v>
      </c>
      <c r="X41" s="58" t="str">
        <f aca="false">IF($E41="","",IFERROR(INDEX(往来单位!$D$6:$D$85,MATCH($E41,往来单位!$A$6:$A$85,0)),"否"))</f>
        <v/>
      </c>
      <c r="Y41" s="61" t="str">
        <f aca="false">IF($B41="","",YEAR($B41))</f>
        <v/>
      </c>
      <c r="Z41" s="58" t="str">
        <f aca="false">IF($B41="","",TEXT($B41,"yyyy-mm"))</f>
        <v/>
      </c>
    </row>
    <row r="42" customFormat="false" ht="15" hidden="false" customHeight="false" outlineLevel="0" collapsed="false">
      <c r="A42" s="53" t="str">
        <f aca="false">IF($B42="","",ROW()-5)</f>
        <v/>
      </c>
      <c r="B42" s="54"/>
      <c r="C42" s="33"/>
      <c r="D42" s="33"/>
      <c r="E42" s="32"/>
      <c r="F42" s="39"/>
      <c r="G42" s="48" t="str">
        <f aca="false">IF($F42="","",IFERROR(INDEX(商品档案!$B$6:$B$65,MATCH($F42,商品档案!$A$6:$A$65,0)),""))</f>
        <v/>
      </c>
      <c r="H42" s="48" t="str">
        <f aca="false">IF($F42="","",IFERROR(INDEX(商品档案!$C$6:$C$65,MATCH($F42,商品档案!$A$6:$A$65,0)),""))</f>
        <v/>
      </c>
      <c r="I42" s="55" t="str">
        <f aca="false">IF($F42="","",IFERROR(INDEX(商品档案!$D$6:$D$65,MATCH($F42,商品档案!$A$6:$A$65,0)),""))</f>
        <v/>
      </c>
      <c r="J42" s="49"/>
      <c r="K42" s="56"/>
      <c r="L42" s="33"/>
      <c r="M42" s="39"/>
      <c r="N42" s="41"/>
      <c r="O42" s="41"/>
      <c r="P42" s="25" t="str">
        <f aca="false">IF(AND($B42="",$D42="",$F42=""),"",IF(NOT(ISNUMBER($B42)),"日期无效",IF(ISNA(MATCH($C42,参数设置!$A$10:$A$12,0)),"公司无效",IF(ISNA(MATCH($D42,记账规则!$A$6:$A$9,0)),"业务类型无效",IF(ISNA(MATCH($F42,商品档案!$A$6:$A$65,0)),"商品编码无效",IF(IFERROR(INDEX(商品档案!$E$6:$E$65,MATCH($F42,商品档案!$A$6:$A$65,0)),"")&lt;&gt;$C42,"商品不属于该公司",IF(AND($E42&lt;&gt;"",ISNA(MATCH($E42,往来单位!$A$6:$A$85,0))),"往来单位未建档",IF(N($J42)=0,"数量为 0",IF(N($K42)=0,"单价为 0",IF(AND(LEFT($D42,2)="销售",$U42=""),"该商品没设成本科目",IF(YEAR($B42)&lt;&gt;参数设置!$B$5,"不在本会计年度","OK")))))))))))</f>
        <v/>
      </c>
      <c r="Q42" s="57" t="str">
        <f aca="false">IF($F42="","",ROUND(N($J42)*N($K42),2))</f>
        <v/>
      </c>
      <c r="R42" s="58" t="str">
        <f aca="false">IF($D42="","",IF(LEFT($D42,2)="销售","应收账款","应付账款"))</f>
        <v/>
      </c>
      <c r="S42" s="58" t="str">
        <f aca="false">IF($F42="","",IFERROR(INDEX(商品档案!$G$6:$G$65,MATCH($F42,商品档案!$A$6:$A$65,0)),""))</f>
        <v/>
      </c>
      <c r="T42" s="58" t="str">
        <f aca="false">IF($F42="","",IFERROR(INDEX(商品档案!$H$6:$H$65,MATCH($F42,商品档案!$A$6:$A$65,0)),""))</f>
        <v/>
      </c>
      <c r="U42" s="58" t="str">
        <f aca="false">IF($F42="","",IFERROR(INDEX(商品档案!$I$6:$I$65,MATCH($F42,商品档案!$A$6:$A$65,0)),""))</f>
        <v/>
      </c>
      <c r="V42" s="59" t="str">
        <f aca="false">IF($F42="","",SUMIFS(进销存台账!$N$6:$N$65,进销存台账!$A$6:$A$65,$C42,进销存台账!$B$6:$B$65,$F42))</f>
        <v/>
      </c>
      <c r="W42" s="60" t="n">
        <f aca="false">IF(OR($D42="销售出库",$D42="销售退回"),ROUND(N($J42)*N($V42),2),0)</f>
        <v>0</v>
      </c>
      <c r="X42" s="58" t="str">
        <f aca="false">IF($E42="","",IFERROR(INDEX(往来单位!$D$6:$D$85,MATCH($E42,往来单位!$A$6:$A$85,0)),"否"))</f>
        <v/>
      </c>
      <c r="Y42" s="61" t="str">
        <f aca="false">IF($B42="","",YEAR($B42))</f>
        <v/>
      </c>
      <c r="Z42" s="58" t="str">
        <f aca="false">IF($B42="","",TEXT($B42,"yyyy-mm"))</f>
        <v/>
      </c>
    </row>
    <row r="43" customFormat="false" ht="15" hidden="false" customHeight="false" outlineLevel="0" collapsed="false">
      <c r="A43" s="53" t="str">
        <f aca="false">IF($B43="","",ROW()-5)</f>
        <v/>
      </c>
      <c r="B43" s="54"/>
      <c r="C43" s="33"/>
      <c r="D43" s="33"/>
      <c r="E43" s="32"/>
      <c r="F43" s="39"/>
      <c r="G43" s="48" t="str">
        <f aca="false">IF($F43="","",IFERROR(INDEX(商品档案!$B$6:$B$65,MATCH($F43,商品档案!$A$6:$A$65,0)),""))</f>
        <v/>
      </c>
      <c r="H43" s="48" t="str">
        <f aca="false">IF($F43="","",IFERROR(INDEX(商品档案!$C$6:$C$65,MATCH($F43,商品档案!$A$6:$A$65,0)),""))</f>
        <v/>
      </c>
      <c r="I43" s="55" t="str">
        <f aca="false">IF($F43="","",IFERROR(INDEX(商品档案!$D$6:$D$65,MATCH($F43,商品档案!$A$6:$A$65,0)),""))</f>
        <v/>
      </c>
      <c r="J43" s="49"/>
      <c r="K43" s="56"/>
      <c r="L43" s="33"/>
      <c r="M43" s="39"/>
      <c r="N43" s="41"/>
      <c r="O43" s="41"/>
      <c r="P43" s="25" t="str">
        <f aca="false">IF(AND($B43="",$D43="",$F43=""),"",IF(NOT(ISNUMBER($B43)),"日期无效",IF(ISNA(MATCH($C43,参数设置!$A$10:$A$12,0)),"公司无效",IF(ISNA(MATCH($D43,记账规则!$A$6:$A$9,0)),"业务类型无效",IF(ISNA(MATCH($F43,商品档案!$A$6:$A$65,0)),"商品编码无效",IF(IFERROR(INDEX(商品档案!$E$6:$E$65,MATCH($F43,商品档案!$A$6:$A$65,0)),"")&lt;&gt;$C43,"商品不属于该公司",IF(AND($E43&lt;&gt;"",ISNA(MATCH($E43,往来单位!$A$6:$A$85,0))),"往来单位未建档",IF(N($J43)=0,"数量为 0",IF(N($K43)=0,"单价为 0",IF(AND(LEFT($D43,2)="销售",$U43=""),"该商品没设成本科目",IF(YEAR($B43)&lt;&gt;参数设置!$B$5,"不在本会计年度","OK")))))))))))</f>
        <v/>
      </c>
      <c r="Q43" s="57" t="str">
        <f aca="false">IF($F43="","",ROUND(N($J43)*N($K43),2))</f>
        <v/>
      </c>
      <c r="R43" s="58" t="str">
        <f aca="false">IF($D43="","",IF(LEFT($D43,2)="销售","应收账款","应付账款"))</f>
        <v/>
      </c>
      <c r="S43" s="58" t="str">
        <f aca="false">IF($F43="","",IFERROR(INDEX(商品档案!$G$6:$G$65,MATCH($F43,商品档案!$A$6:$A$65,0)),""))</f>
        <v/>
      </c>
      <c r="T43" s="58" t="str">
        <f aca="false">IF($F43="","",IFERROR(INDEX(商品档案!$H$6:$H$65,MATCH($F43,商品档案!$A$6:$A$65,0)),""))</f>
        <v/>
      </c>
      <c r="U43" s="58" t="str">
        <f aca="false">IF($F43="","",IFERROR(INDEX(商品档案!$I$6:$I$65,MATCH($F43,商品档案!$A$6:$A$65,0)),""))</f>
        <v/>
      </c>
      <c r="V43" s="59" t="str">
        <f aca="false">IF($F43="","",SUMIFS(进销存台账!$N$6:$N$65,进销存台账!$A$6:$A$65,$C43,进销存台账!$B$6:$B$65,$F43))</f>
        <v/>
      </c>
      <c r="W43" s="60" t="n">
        <f aca="false">IF(OR($D43="销售出库",$D43="销售退回"),ROUND(N($J43)*N($V43),2),0)</f>
        <v>0</v>
      </c>
      <c r="X43" s="58" t="str">
        <f aca="false">IF($E43="","",IFERROR(INDEX(往来单位!$D$6:$D$85,MATCH($E43,往来单位!$A$6:$A$85,0)),"否"))</f>
        <v/>
      </c>
      <c r="Y43" s="61" t="str">
        <f aca="false">IF($B43="","",YEAR($B43))</f>
        <v/>
      </c>
      <c r="Z43" s="58" t="str">
        <f aca="false">IF($B43="","",TEXT($B43,"yyyy-mm"))</f>
        <v/>
      </c>
    </row>
    <row r="44" customFormat="false" ht="15" hidden="false" customHeight="false" outlineLevel="0" collapsed="false">
      <c r="A44" s="53" t="str">
        <f aca="false">IF($B44="","",ROW()-5)</f>
        <v/>
      </c>
      <c r="B44" s="54"/>
      <c r="C44" s="33"/>
      <c r="D44" s="33"/>
      <c r="E44" s="32"/>
      <c r="F44" s="39"/>
      <c r="G44" s="48" t="str">
        <f aca="false">IF($F44="","",IFERROR(INDEX(商品档案!$B$6:$B$65,MATCH($F44,商品档案!$A$6:$A$65,0)),""))</f>
        <v/>
      </c>
      <c r="H44" s="48" t="str">
        <f aca="false">IF($F44="","",IFERROR(INDEX(商品档案!$C$6:$C$65,MATCH($F44,商品档案!$A$6:$A$65,0)),""))</f>
        <v/>
      </c>
      <c r="I44" s="55" t="str">
        <f aca="false">IF($F44="","",IFERROR(INDEX(商品档案!$D$6:$D$65,MATCH($F44,商品档案!$A$6:$A$65,0)),""))</f>
        <v/>
      </c>
      <c r="J44" s="49"/>
      <c r="K44" s="56"/>
      <c r="L44" s="33"/>
      <c r="M44" s="39"/>
      <c r="N44" s="41"/>
      <c r="O44" s="41"/>
      <c r="P44" s="25" t="str">
        <f aca="false">IF(AND($B44="",$D44="",$F44=""),"",IF(NOT(ISNUMBER($B44)),"日期无效",IF(ISNA(MATCH($C44,参数设置!$A$10:$A$12,0)),"公司无效",IF(ISNA(MATCH($D44,记账规则!$A$6:$A$9,0)),"业务类型无效",IF(ISNA(MATCH($F44,商品档案!$A$6:$A$65,0)),"商品编码无效",IF(IFERROR(INDEX(商品档案!$E$6:$E$65,MATCH($F44,商品档案!$A$6:$A$65,0)),"")&lt;&gt;$C44,"商品不属于该公司",IF(AND($E44&lt;&gt;"",ISNA(MATCH($E44,往来单位!$A$6:$A$85,0))),"往来单位未建档",IF(N($J44)=0,"数量为 0",IF(N($K44)=0,"单价为 0",IF(AND(LEFT($D44,2)="销售",$U44=""),"该商品没设成本科目",IF(YEAR($B44)&lt;&gt;参数设置!$B$5,"不在本会计年度","OK")))))))))))</f>
        <v/>
      </c>
      <c r="Q44" s="57" t="str">
        <f aca="false">IF($F44="","",ROUND(N($J44)*N($K44),2))</f>
        <v/>
      </c>
      <c r="R44" s="58" t="str">
        <f aca="false">IF($D44="","",IF(LEFT($D44,2)="销售","应收账款","应付账款"))</f>
        <v/>
      </c>
      <c r="S44" s="58" t="str">
        <f aca="false">IF($F44="","",IFERROR(INDEX(商品档案!$G$6:$G$65,MATCH($F44,商品档案!$A$6:$A$65,0)),""))</f>
        <v/>
      </c>
      <c r="T44" s="58" t="str">
        <f aca="false">IF($F44="","",IFERROR(INDEX(商品档案!$H$6:$H$65,MATCH($F44,商品档案!$A$6:$A$65,0)),""))</f>
        <v/>
      </c>
      <c r="U44" s="58" t="str">
        <f aca="false">IF($F44="","",IFERROR(INDEX(商品档案!$I$6:$I$65,MATCH($F44,商品档案!$A$6:$A$65,0)),""))</f>
        <v/>
      </c>
      <c r="V44" s="59" t="str">
        <f aca="false">IF($F44="","",SUMIFS(进销存台账!$N$6:$N$65,进销存台账!$A$6:$A$65,$C44,进销存台账!$B$6:$B$65,$F44))</f>
        <v/>
      </c>
      <c r="W44" s="60" t="n">
        <f aca="false">IF(OR($D44="销售出库",$D44="销售退回"),ROUND(N($J44)*N($V44),2),0)</f>
        <v>0</v>
      </c>
      <c r="X44" s="58" t="str">
        <f aca="false">IF($E44="","",IFERROR(INDEX(往来单位!$D$6:$D$85,MATCH($E44,往来单位!$A$6:$A$85,0)),"否"))</f>
        <v/>
      </c>
      <c r="Y44" s="61" t="str">
        <f aca="false">IF($B44="","",YEAR($B44))</f>
        <v/>
      </c>
      <c r="Z44" s="58" t="str">
        <f aca="false">IF($B44="","",TEXT($B44,"yyyy-mm"))</f>
        <v/>
      </c>
    </row>
    <row r="45" customFormat="false" ht="15" hidden="false" customHeight="false" outlineLevel="0" collapsed="false">
      <c r="A45" s="53" t="str">
        <f aca="false">IF($B45="","",ROW()-5)</f>
        <v/>
      </c>
      <c r="B45" s="54"/>
      <c r="C45" s="33"/>
      <c r="D45" s="33"/>
      <c r="E45" s="32"/>
      <c r="F45" s="39"/>
      <c r="G45" s="48" t="str">
        <f aca="false">IF($F45="","",IFERROR(INDEX(商品档案!$B$6:$B$65,MATCH($F45,商品档案!$A$6:$A$65,0)),""))</f>
        <v/>
      </c>
      <c r="H45" s="48" t="str">
        <f aca="false">IF($F45="","",IFERROR(INDEX(商品档案!$C$6:$C$65,MATCH($F45,商品档案!$A$6:$A$65,0)),""))</f>
        <v/>
      </c>
      <c r="I45" s="55" t="str">
        <f aca="false">IF($F45="","",IFERROR(INDEX(商品档案!$D$6:$D$65,MATCH($F45,商品档案!$A$6:$A$65,0)),""))</f>
        <v/>
      </c>
      <c r="J45" s="49"/>
      <c r="K45" s="56"/>
      <c r="L45" s="33"/>
      <c r="M45" s="39"/>
      <c r="N45" s="41"/>
      <c r="O45" s="41"/>
      <c r="P45" s="25" t="str">
        <f aca="false">IF(AND($B45="",$D45="",$F45=""),"",IF(NOT(ISNUMBER($B45)),"日期无效",IF(ISNA(MATCH($C45,参数设置!$A$10:$A$12,0)),"公司无效",IF(ISNA(MATCH($D45,记账规则!$A$6:$A$9,0)),"业务类型无效",IF(ISNA(MATCH($F45,商品档案!$A$6:$A$65,0)),"商品编码无效",IF(IFERROR(INDEX(商品档案!$E$6:$E$65,MATCH($F45,商品档案!$A$6:$A$65,0)),"")&lt;&gt;$C45,"商品不属于该公司",IF(AND($E45&lt;&gt;"",ISNA(MATCH($E45,往来单位!$A$6:$A$85,0))),"往来单位未建档",IF(N($J45)=0,"数量为 0",IF(N($K45)=0,"单价为 0",IF(AND(LEFT($D45,2)="销售",$U45=""),"该商品没设成本科目",IF(YEAR($B45)&lt;&gt;参数设置!$B$5,"不在本会计年度","OK")))))))))))</f>
        <v/>
      </c>
      <c r="Q45" s="57" t="str">
        <f aca="false">IF($F45="","",ROUND(N($J45)*N($K45),2))</f>
        <v/>
      </c>
      <c r="R45" s="58" t="str">
        <f aca="false">IF($D45="","",IF(LEFT($D45,2)="销售","应收账款","应付账款"))</f>
        <v/>
      </c>
      <c r="S45" s="58" t="str">
        <f aca="false">IF($F45="","",IFERROR(INDEX(商品档案!$G$6:$G$65,MATCH($F45,商品档案!$A$6:$A$65,0)),""))</f>
        <v/>
      </c>
      <c r="T45" s="58" t="str">
        <f aca="false">IF($F45="","",IFERROR(INDEX(商品档案!$H$6:$H$65,MATCH($F45,商品档案!$A$6:$A$65,0)),""))</f>
        <v/>
      </c>
      <c r="U45" s="58" t="str">
        <f aca="false">IF($F45="","",IFERROR(INDEX(商品档案!$I$6:$I$65,MATCH($F45,商品档案!$A$6:$A$65,0)),""))</f>
        <v/>
      </c>
      <c r="V45" s="59" t="str">
        <f aca="false">IF($F45="","",SUMIFS(进销存台账!$N$6:$N$65,进销存台账!$A$6:$A$65,$C45,进销存台账!$B$6:$B$65,$F45))</f>
        <v/>
      </c>
      <c r="W45" s="60" t="n">
        <f aca="false">IF(OR($D45="销售出库",$D45="销售退回"),ROUND(N($J45)*N($V45),2),0)</f>
        <v>0</v>
      </c>
      <c r="X45" s="58" t="str">
        <f aca="false">IF($E45="","",IFERROR(INDEX(往来单位!$D$6:$D$85,MATCH($E45,往来单位!$A$6:$A$85,0)),"否"))</f>
        <v/>
      </c>
      <c r="Y45" s="61" t="str">
        <f aca="false">IF($B45="","",YEAR($B45))</f>
        <v/>
      </c>
      <c r="Z45" s="58" t="str">
        <f aca="false">IF($B45="","",TEXT($B45,"yyyy-mm"))</f>
        <v/>
      </c>
    </row>
    <row r="46" customFormat="false" ht="15" hidden="false" customHeight="false" outlineLevel="0" collapsed="false">
      <c r="A46" s="53" t="str">
        <f aca="false">IF($B46="","",ROW()-5)</f>
        <v/>
      </c>
      <c r="B46" s="54"/>
      <c r="C46" s="33"/>
      <c r="D46" s="33"/>
      <c r="E46" s="32"/>
      <c r="F46" s="39"/>
      <c r="G46" s="48" t="str">
        <f aca="false">IF($F46="","",IFERROR(INDEX(商品档案!$B$6:$B$65,MATCH($F46,商品档案!$A$6:$A$65,0)),""))</f>
        <v/>
      </c>
      <c r="H46" s="48" t="str">
        <f aca="false">IF($F46="","",IFERROR(INDEX(商品档案!$C$6:$C$65,MATCH($F46,商品档案!$A$6:$A$65,0)),""))</f>
        <v/>
      </c>
      <c r="I46" s="55" t="str">
        <f aca="false">IF($F46="","",IFERROR(INDEX(商品档案!$D$6:$D$65,MATCH($F46,商品档案!$A$6:$A$65,0)),""))</f>
        <v/>
      </c>
      <c r="J46" s="49"/>
      <c r="K46" s="56"/>
      <c r="L46" s="33"/>
      <c r="M46" s="39"/>
      <c r="N46" s="41"/>
      <c r="O46" s="41"/>
      <c r="P46" s="25" t="str">
        <f aca="false">IF(AND($B46="",$D46="",$F46=""),"",IF(NOT(ISNUMBER($B46)),"日期无效",IF(ISNA(MATCH($C46,参数设置!$A$10:$A$12,0)),"公司无效",IF(ISNA(MATCH($D46,记账规则!$A$6:$A$9,0)),"业务类型无效",IF(ISNA(MATCH($F46,商品档案!$A$6:$A$65,0)),"商品编码无效",IF(IFERROR(INDEX(商品档案!$E$6:$E$65,MATCH($F46,商品档案!$A$6:$A$65,0)),"")&lt;&gt;$C46,"商品不属于该公司",IF(AND($E46&lt;&gt;"",ISNA(MATCH($E46,往来单位!$A$6:$A$85,0))),"往来单位未建档",IF(N($J46)=0,"数量为 0",IF(N($K46)=0,"单价为 0",IF(AND(LEFT($D46,2)="销售",$U46=""),"该商品没设成本科目",IF(YEAR($B46)&lt;&gt;参数设置!$B$5,"不在本会计年度","OK")))))))))))</f>
        <v/>
      </c>
      <c r="Q46" s="57" t="str">
        <f aca="false">IF($F46="","",ROUND(N($J46)*N($K46),2))</f>
        <v/>
      </c>
      <c r="R46" s="58" t="str">
        <f aca="false">IF($D46="","",IF(LEFT($D46,2)="销售","应收账款","应付账款"))</f>
        <v/>
      </c>
      <c r="S46" s="58" t="str">
        <f aca="false">IF($F46="","",IFERROR(INDEX(商品档案!$G$6:$G$65,MATCH($F46,商品档案!$A$6:$A$65,0)),""))</f>
        <v/>
      </c>
      <c r="T46" s="58" t="str">
        <f aca="false">IF($F46="","",IFERROR(INDEX(商品档案!$H$6:$H$65,MATCH($F46,商品档案!$A$6:$A$65,0)),""))</f>
        <v/>
      </c>
      <c r="U46" s="58" t="str">
        <f aca="false">IF($F46="","",IFERROR(INDEX(商品档案!$I$6:$I$65,MATCH($F46,商品档案!$A$6:$A$65,0)),""))</f>
        <v/>
      </c>
      <c r="V46" s="59" t="str">
        <f aca="false">IF($F46="","",SUMIFS(进销存台账!$N$6:$N$65,进销存台账!$A$6:$A$65,$C46,进销存台账!$B$6:$B$65,$F46))</f>
        <v/>
      </c>
      <c r="W46" s="60" t="n">
        <f aca="false">IF(OR($D46="销售出库",$D46="销售退回"),ROUND(N($J46)*N($V46),2),0)</f>
        <v>0</v>
      </c>
      <c r="X46" s="58" t="str">
        <f aca="false">IF($E46="","",IFERROR(INDEX(往来单位!$D$6:$D$85,MATCH($E46,往来单位!$A$6:$A$85,0)),"否"))</f>
        <v/>
      </c>
      <c r="Y46" s="61" t="str">
        <f aca="false">IF($B46="","",YEAR($B46))</f>
        <v/>
      </c>
      <c r="Z46" s="58" t="str">
        <f aca="false">IF($B46="","",TEXT($B46,"yyyy-mm"))</f>
        <v/>
      </c>
    </row>
    <row r="47" customFormat="false" ht="15" hidden="false" customHeight="false" outlineLevel="0" collapsed="false">
      <c r="A47" s="53" t="str">
        <f aca="false">IF($B47="","",ROW()-5)</f>
        <v/>
      </c>
      <c r="B47" s="54"/>
      <c r="C47" s="33"/>
      <c r="D47" s="33"/>
      <c r="E47" s="32"/>
      <c r="F47" s="39"/>
      <c r="G47" s="48" t="str">
        <f aca="false">IF($F47="","",IFERROR(INDEX(商品档案!$B$6:$B$65,MATCH($F47,商品档案!$A$6:$A$65,0)),""))</f>
        <v/>
      </c>
      <c r="H47" s="48" t="str">
        <f aca="false">IF($F47="","",IFERROR(INDEX(商品档案!$C$6:$C$65,MATCH($F47,商品档案!$A$6:$A$65,0)),""))</f>
        <v/>
      </c>
      <c r="I47" s="55" t="str">
        <f aca="false">IF($F47="","",IFERROR(INDEX(商品档案!$D$6:$D$65,MATCH($F47,商品档案!$A$6:$A$65,0)),""))</f>
        <v/>
      </c>
      <c r="J47" s="49"/>
      <c r="K47" s="56"/>
      <c r="L47" s="33"/>
      <c r="M47" s="39"/>
      <c r="N47" s="41"/>
      <c r="O47" s="41"/>
      <c r="P47" s="25" t="str">
        <f aca="false">IF(AND($B47="",$D47="",$F47=""),"",IF(NOT(ISNUMBER($B47)),"日期无效",IF(ISNA(MATCH($C47,参数设置!$A$10:$A$12,0)),"公司无效",IF(ISNA(MATCH($D47,记账规则!$A$6:$A$9,0)),"业务类型无效",IF(ISNA(MATCH($F47,商品档案!$A$6:$A$65,0)),"商品编码无效",IF(IFERROR(INDEX(商品档案!$E$6:$E$65,MATCH($F47,商品档案!$A$6:$A$65,0)),"")&lt;&gt;$C47,"商品不属于该公司",IF(AND($E47&lt;&gt;"",ISNA(MATCH($E47,往来单位!$A$6:$A$85,0))),"往来单位未建档",IF(N($J47)=0,"数量为 0",IF(N($K47)=0,"单价为 0",IF(AND(LEFT($D47,2)="销售",$U47=""),"该商品没设成本科目",IF(YEAR($B47)&lt;&gt;参数设置!$B$5,"不在本会计年度","OK")))))))))))</f>
        <v/>
      </c>
      <c r="Q47" s="57" t="str">
        <f aca="false">IF($F47="","",ROUND(N($J47)*N($K47),2))</f>
        <v/>
      </c>
      <c r="R47" s="58" t="str">
        <f aca="false">IF($D47="","",IF(LEFT($D47,2)="销售","应收账款","应付账款"))</f>
        <v/>
      </c>
      <c r="S47" s="58" t="str">
        <f aca="false">IF($F47="","",IFERROR(INDEX(商品档案!$G$6:$G$65,MATCH($F47,商品档案!$A$6:$A$65,0)),""))</f>
        <v/>
      </c>
      <c r="T47" s="58" t="str">
        <f aca="false">IF($F47="","",IFERROR(INDEX(商品档案!$H$6:$H$65,MATCH($F47,商品档案!$A$6:$A$65,0)),""))</f>
        <v/>
      </c>
      <c r="U47" s="58" t="str">
        <f aca="false">IF($F47="","",IFERROR(INDEX(商品档案!$I$6:$I$65,MATCH($F47,商品档案!$A$6:$A$65,0)),""))</f>
        <v/>
      </c>
      <c r="V47" s="59" t="str">
        <f aca="false">IF($F47="","",SUMIFS(进销存台账!$N$6:$N$65,进销存台账!$A$6:$A$65,$C47,进销存台账!$B$6:$B$65,$F47))</f>
        <v/>
      </c>
      <c r="W47" s="60" t="n">
        <f aca="false">IF(OR($D47="销售出库",$D47="销售退回"),ROUND(N($J47)*N($V47),2),0)</f>
        <v>0</v>
      </c>
      <c r="X47" s="58" t="str">
        <f aca="false">IF($E47="","",IFERROR(INDEX(往来单位!$D$6:$D$85,MATCH($E47,往来单位!$A$6:$A$85,0)),"否"))</f>
        <v/>
      </c>
      <c r="Y47" s="61" t="str">
        <f aca="false">IF($B47="","",YEAR($B47))</f>
        <v/>
      </c>
      <c r="Z47" s="58" t="str">
        <f aca="false">IF($B47="","",TEXT($B47,"yyyy-mm"))</f>
        <v/>
      </c>
    </row>
    <row r="48" customFormat="false" ht="15" hidden="false" customHeight="false" outlineLevel="0" collapsed="false">
      <c r="A48" s="53" t="str">
        <f aca="false">IF($B48="","",ROW()-5)</f>
        <v/>
      </c>
      <c r="B48" s="54"/>
      <c r="C48" s="33"/>
      <c r="D48" s="33"/>
      <c r="E48" s="32"/>
      <c r="F48" s="39"/>
      <c r="G48" s="48" t="str">
        <f aca="false">IF($F48="","",IFERROR(INDEX(商品档案!$B$6:$B$65,MATCH($F48,商品档案!$A$6:$A$65,0)),""))</f>
        <v/>
      </c>
      <c r="H48" s="48" t="str">
        <f aca="false">IF($F48="","",IFERROR(INDEX(商品档案!$C$6:$C$65,MATCH($F48,商品档案!$A$6:$A$65,0)),""))</f>
        <v/>
      </c>
      <c r="I48" s="55" t="str">
        <f aca="false">IF($F48="","",IFERROR(INDEX(商品档案!$D$6:$D$65,MATCH($F48,商品档案!$A$6:$A$65,0)),""))</f>
        <v/>
      </c>
      <c r="J48" s="49"/>
      <c r="K48" s="56"/>
      <c r="L48" s="33"/>
      <c r="M48" s="39"/>
      <c r="N48" s="41"/>
      <c r="O48" s="41"/>
      <c r="P48" s="25" t="str">
        <f aca="false">IF(AND($B48="",$D48="",$F48=""),"",IF(NOT(ISNUMBER($B48)),"日期无效",IF(ISNA(MATCH($C48,参数设置!$A$10:$A$12,0)),"公司无效",IF(ISNA(MATCH($D48,记账规则!$A$6:$A$9,0)),"业务类型无效",IF(ISNA(MATCH($F48,商品档案!$A$6:$A$65,0)),"商品编码无效",IF(IFERROR(INDEX(商品档案!$E$6:$E$65,MATCH($F48,商品档案!$A$6:$A$65,0)),"")&lt;&gt;$C48,"商品不属于该公司",IF(AND($E48&lt;&gt;"",ISNA(MATCH($E48,往来单位!$A$6:$A$85,0))),"往来单位未建档",IF(N($J48)=0,"数量为 0",IF(N($K48)=0,"单价为 0",IF(AND(LEFT($D48,2)="销售",$U48=""),"该商品没设成本科目",IF(YEAR($B48)&lt;&gt;参数设置!$B$5,"不在本会计年度","OK")))))))))))</f>
        <v/>
      </c>
      <c r="Q48" s="57" t="str">
        <f aca="false">IF($F48="","",ROUND(N($J48)*N($K48),2))</f>
        <v/>
      </c>
      <c r="R48" s="58" t="str">
        <f aca="false">IF($D48="","",IF(LEFT($D48,2)="销售","应收账款","应付账款"))</f>
        <v/>
      </c>
      <c r="S48" s="58" t="str">
        <f aca="false">IF($F48="","",IFERROR(INDEX(商品档案!$G$6:$G$65,MATCH($F48,商品档案!$A$6:$A$65,0)),""))</f>
        <v/>
      </c>
      <c r="T48" s="58" t="str">
        <f aca="false">IF($F48="","",IFERROR(INDEX(商品档案!$H$6:$H$65,MATCH($F48,商品档案!$A$6:$A$65,0)),""))</f>
        <v/>
      </c>
      <c r="U48" s="58" t="str">
        <f aca="false">IF($F48="","",IFERROR(INDEX(商品档案!$I$6:$I$65,MATCH($F48,商品档案!$A$6:$A$65,0)),""))</f>
        <v/>
      </c>
      <c r="V48" s="59" t="str">
        <f aca="false">IF($F48="","",SUMIFS(进销存台账!$N$6:$N$65,进销存台账!$A$6:$A$65,$C48,进销存台账!$B$6:$B$65,$F48))</f>
        <v/>
      </c>
      <c r="W48" s="60" t="n">
        <f aca="false">IF(OR($D48="销售出库",$D48="销售退回"),ROUND(N($J48)*N($V48),2),0)</f>
        <v>0</v>
      </c>
      <c r="X48" s="58" t="str">
        <f aca="false">IF($E48="","",IFERROR(INDEX(往来单位!$D$6:$D$85,MATCH($E48,往来单位!$A$6:$A$85,0)),"否"))</f>
        <v/>
      </c>
      <c r="Y48" s="61" t="str">
        <f aca="false">IF($B48="","",YEAR($B48))</f>
        <v/>
      </c>
      <c r="Z48" s="58" t="str">
        <f aca="false">IF($B48="","",TEXT($B48,"yyyy-mm"))</f>
        <v/>
      </c>
    </row>
    <row r="49" customFormat="false" ht="15" hidden="false" customHeight="false" outlineLevel="0" collapsed="false">
      <c r="A49" s="53" t="str">
        <f aca="false">IF($B49="","",ROW()-5)</f>
        <v/>
      </c>
      <c r="B49" s="54"/>
      <c r="C49" s="33"/>
      <c r="D49" s="33"/>
      <c r="E49" s="32"/>
      <c r="F49" s="39"/>
      <c r="G49" s="48" t="str">
        <f aca="false">IF($F49="","",IFERROR(INDEX(商品档案!$B$6:$B$65,MATCH($F49,商品档案!$A$6:$A$65,0)),""))</f>
        <v/>
      </c>
      <c r="H49" s="48" t="str">
        <f aca="false">IF($F49="","",IFERROR(INDEX(商品档案!$C$6:$C$65,MATCH($F49,商品档案!$A$6:$A$65,0)),""))</f>
        <v/>
      </c>
      <c r="I49" s="55" t="str">
        <f aca="false">IF($F49="","",IFERROR(INDEX(商品档案!$D$6:$D$65,MATCH($F49,商品档案!$A$6:$A$65,0)),""))</f>
        <v/>
      </c>
      <c r="J49" s="49"/>
      <c r="K49" s="56"/>
      <c r="L49" s="33"/>
      <c r="M49" s="39"/>
      <c r="N49" s="41"/>
      <c r="O49" s="41"/>
      <c r="P49" s="25" t="str">
        <f aca="false">IF(AND($B49="",$D49="",$F49=""),"",IF(NOT(ISNUMBER($B49)),"日期无效",IF(ISNA(MATCH($C49,参数设置!$A$10:$A$12,0)),"公司无效",IF(ISNA(MATCH($D49,记账规则!$A$6:$A$9,0)),"业务类型无效",IF(ISNA(MATCH($F49,商品档案!$A$6:$A$65,0)),"商品编码无效",IF(IFERROR(INDEX(商品档案!$E$6:$E$65,MATCH($F49,商品档案!$A$6:$A$65,0)),"")&lt;&gt;$C49,"商品不属于该公司",IF(AND($E49&lt;&gt;"",ISNA(MATCH($E49,往来单位!$A$6:$A$85,0))),"往来单位未建档",IF(N($J49)=0,"数量为 0",IF(N($K49)=0,"单价为 0",IF(AND(LEFT($D49,2)="销售",$U49=""),"该商品没设成本科目",IF(YEAR($B49)&lt;&gt;参数设置!$B$5,"不在本会计年度","OK")))))))))))</f>
        <v/>
      </c>
      <c r="Q49" s="57" t="str">
        <f aca="false">IF($F49="","",ROUND(N($J49)*N($K49),2))</f>
        <v/>
      </c>
      <c r="R49" s="58" t="str">
        <f aca="false">IF($D49="","",IF(LEFT($D49,2)="销售","应收账款","应付账款"))</f>
        <v/>
      </c>
      <c r="S49" s="58" t="str">
        <f aca="false">IF($F49="","",IFERROR(INDEX(商品档案!$G$6:$G$65,MATCH($F49,商品档案!$A$6:$A$65,0)),""))</f>
        <v/>
      </c>
      <c r="T49" s="58" t="str">
        <f aca="false">IF($F49="","",IFERROR(INDEX(商品档案!$H$6:$H$65,MATCH($F49,商品档案!$A$6:$A$65,0)),""))</f>
        <v/>
      </c>
      <c r="U49" s="58" t="str">
        <f aca="false">IF($F49="","",IFERROR(INDEX(商品档案!$I$6:$I$65,MATCH($F49,商品档案!$A$6:$A$65,0)),""))</f>
        <v/>
      </c>
      <c r="V49" s="59" t="str">
        <f aca="false">IF($F49="","",SUMIFS(进销存台账!$N$6:$N$65,进销存台账!$A$6:$A$65,$C49,进销存台账!$B$6:$B$65,$F49))</f>
        <v/>
      </c>
      <c r="W49" s="60" t="n">
        <f aca="false">IF(OR($D49="销售出库",$D49="销售退回"),ROUND(N($J49)*N($V49),2),0)</f>
        <v>0</v>
      </c>
      <c r="X49" s="58" t="str">
        <f aca="false">IF($E49="","",IFERROR(INDEX(往来单位!$D$6:$D$85,MATCH($E49,往来单位!$A$6:$A$85,0)),"否"))</f>
        <v/>
      </c>
      <c r="Y49" s="61" t="str">
        <f aca="false">IF($B49="","",YEAR($B49))</f>
        <v/>
      </c>
      <c r="Z49" s="58" t="str">
        <f aca="false">IF($B49="","",TEXT($B49,"yyyy-mm"))</f>
        <v/>
      </c>
    </row>
    <row r="50" customFormat="false" ht="15" hidden="false" customHeight="false" outlineLevel="0" collapsed="false">
      <c r="A50" s="53" t="str">
        <f aca="false">IF($B50="","",ROW()-5)</f>
        <v/>
      </c>
      <c r="B50" s="54"/>
      <c r="C50" s="33"/>
      <c r="D50" s="33"/>
      <c r="E50" s="32"/>
      <c r="F50" s="39"/>
      <c r="G50" s="48" t="str">
        <f aca="false">IF($F50="","",IFERROR(INDEX(商品档案!$B$6:$B$65,MATCH($F50,商品档案!$A$6:$A$65,0)),""))</f>
        <v/>
      </c>
      <c r="H50" s="48" t="str">
        <f aca="false">IF($F50="","",IFERROR(INDEX(商品档案!$C$6:$C$65,MATCH($F50,商品档案!$A$6:$A$65,0)),""))</f>
        <v/>
      </c>
      <c r="I50" s="55" t="str">
        <f aca="false">IF($F50="","",IFERROR(INDEX(商品档案!$D$6:$D$65,MATCH($F50,商品档案!$A$6:$A$65,0)),""))</f>
        <v/>
      </c>
      <c r="J50" s="49"/>
      <c r="K50" s="56"/>
      <c r="L50" s="33"/>
      <c r="M50" s="39"/>
      <c r="N50" s="41"/>
      <c r="O50" s="41"/>
      <c r="P50" s="25" t="str">
        <f aca="false">IF(AND($B50="",$D50="",$F50=""),"",IF(NOT(ISNUMBER($B50)),"日期无效",IF(ISNA(MATCH($C50,参数设置!$A$10:$A$12,0)),"公司无效",IF(ISNA(MATCH($D50,记账规则!$A$6:$A$9,0)),"业务类型无效",IF(ISNA(MATCH($F50,商品档案!$A$6:$A$65,0)),"商品编码无效",IF(IFERROR(INDEX(商品档案!$E$6:$E$65,MATCH($F50,商品档案!$A$6:$A$65,0)),"")&lt;&gt;$C50,"商品不属于该公司",IF(AND($E50&lt;&gt;"",ISNA(MATCH($E50,往来单位!$A$6:$A$85,0))),"往来单位未建档",IF(N($J50)=0,"数量为 0",IF(N($K50)=0,"单价为 0",IF(AND(LEFT($D50,2)="销售",$U50=""),"该商品没设成本科目",IF(YEAR($B50)&lt;&gt;参数设置!$B$5,"不在本会计年度","OK")))))))))))</f>
        <v/>
      </c>
      <c r="Q50" s="57" t="str">
        <f aca="false">IF($F50="","",ROUND(N($J50)*N($K50),2))</f>
        <v/>
      </c>
      <c r="R50" s="58" t="str">
        <f aca="false">IF($D50="","",IF(LEFT($D50,2)="销售","应收账款","应付账款"))</f>
        <v/>
      </c>
      <c r="S50" s="58" t="str">
        <f aca="false">IF($F50="","",IFERROR(INDEX(商品档案!$G$6:$G$65,MATCH($F50,商品档案!$A$6:$A$65,0)),""))</f>
        <v/>
      </c>
      <c r="T50" s="58" t="str">
        <f aca="false">IF($F50="","",IFERROR(INDEX(商品档案!$H$6:$H$65,MATCH($F50,商品档案!$A$6:$A$65,0)),""))</f>
        <v/>
      </c>
      <c r="U50" s="58" t="str">
        <f aca="false">IF($F50="","",IFERROR(INDEX(商品档案!$I$6:$I$65,MATCH($F50,商品档案!$A$6:$A$65,0)),""))</f>
        <v/>
      </c>
      <c r="V50" s="59" t="str">
        <f aca="false">IF($F50="","",SUMIFS(进销存台账!$N$6:$N$65,进销存台账!$A$6:$A$65,$C50,进销存台账!$B$6:$B$65,$F50))</f>
        <v/>
      </c>
      <c r="W50" s="60" t="n">
        <f aca="false">IF(OR($D50="销售出库",$D50="销售退回"),ROUND(N($J50)*N($V50),2),0)</f>
        <v>0</v>
      </c>
      <c r="X50" s="58" t="str">
        <f aca="false">IF($E50="","",IFERROR(INDEX(往来单位!$D$6:$D$85,MATCH($E50,往来单位!$A$6:$A$85,0)),"否"))</f>
        <v/>
      </c>
      <c r="Y50" s="61" t="str">
        <f aca="false">IF($B50="","",YEAR($B50))</f>
        <v/>
      </c>
      <c r="Z50" s="58" t="str">
        <f aca="false">IF($B50="","",TEXT($B50,"yyyy-mm"))</f>
        <v/>
      </c>
    </row>
    <row r="51" customFormat="false" ht="15" hidden="false" customHeight="false" outlineLevel="0" collapsed="false">
      <c r="A51" s="53" t="str">
        <f aca="false">IF($B51="","",ROW()-5)</f>
        <v/>
      </c>
      <c r="B51" s="54"/>
      <c r="C51" s="33"/>
      <c r="D51" s="33"/>
      <c r="E51" s="32"/>
      <c r="F51" s="39"/>
      <c r="G51" s="48" t="str">
        <f aca="false">IF($F51="","",IFERROR(INDEX(商品档案!$B$6:$B$65,MATCH($F51,商品档案!$A$6:$A$65,0)),""))</f>
        <v/>
      </c>
      <c r="H51" s="48" t="str">
        <f aca="false">IF($F51="","",IFERROR(INDEX(商品档案!$C$6:$C$65,MATCH($F51,商品档案!$A$6:$A$65,0)),""))</f>
        <v/>
      </c>
      <c r="I51" s="55" t="str">
        <f aca="false">IF($F51="","",IFERROR(INDEX(商品档案!$D$6:$D$65,MATCH($F51,商品档案!$A$6:$A$65,0)),""))</f>
        <v/>
      </c>
      <c r="J51" s="49"/>
      <c r="K51" s="56"/>
      <c r="L51" s="33"/>
      <c r="M51" s="39"/>
      <c r="N51" s="41"/>
      <c r="O51" s="41"/>
      <c r="P51" s="25" t="str">
        <f aca="false">IF(AND($B51="",$D51="",$F51=""),"",IF(NOT(ISNUMBER($B51)),"日期无效",IF(ISNA(MATCH($C51,参数设置!$A$10:$A$12,0)),"公司无效",IF(ISNA(MATCH($D51,记账规则!$A$6:$A$9,0)),"业务类型无效",IF(ISNA(MATCH($F51,商品档案!$A$6:$A$65,0)),"商品编码无效",IF(IFERROR(INDEX(商品档案!$E$6:$E$65,MATCH($F51,商品档案!$A$6:$A$65,0)),"")&lt;&gt;$C51,"商品不属于该公司",IF(AND($E51&lt;&gt;"",ISNA(MATCH($E51,往来单位!$A$6:$A$85,0))),"往来单位未建档",IF(N($J51)=0,"数量为 0",IF(N($K51)=0,"单价为 0",IF(AND(LEFT($D51,2)="销售",$U51=""),"该商品没设成本科目",IF(YEAR($B51)&lt;&gt;参数设置!$B$5,"不在本会计年度","OK")))))))))))</f>
        <v/>
      </c>
      <c r="Q51" s="57" t="str">
        <f aca="false">IF($F51="","",ROUND(N($J51)*N($K51),2))</f>
        <v/>
      </c>
      <c r="R51" s="58" t="str">
        <f aca="false">IF($D51="","",IF(LEFT($D51,2)="销售","应收账款","应付账款"))</f>
        <v/>
      </c>
      <c r="S51" s="58" t="str">
        <f aca="false">IF($F51="","",IFERROR(INDEX(商品档案!$G$6:$G$65,MATCH($F51,商品档案!$A$6:$A$65,0)),""))</f>
        <v/>
      </c>
      <c r="T51" s="58" t="str">
        <f aca="false">IF($F51="","",IFERROR(INDEX(商品档案!$H$6:$H$65,MATCH($F51,商品档案!$A$6:$A$65,0)),""))</f>
        <v/>
      </c>
      <c r="U51" s="58" t="str">
        <f aca="false">IF($F51="","",IFERROR(INDEX(商品档案!$I$6:$I$65,MATCH($F51,商品档案!$A$6:$A$65,0)),""))</f>
        <v/>
      </c>
      <c r="V51" s="59" t="str">
        <f aca="false">IF($F51="","",SUMIFS(进销存台账!$N$6:$N$65,进销存台账!$A$6:$A$65,$C51,进销存台账!$B$6:$B$65,$F51))</f>
        <v/>
      </c>
      <c r="W51" s="60" t="n">
        <f aca="false">IF(OR($D51="销售出库",$D51="销售退回"),ROUND(N($J51)*N($V51),2),0)</f>
        <v>0</v>
      </c>
      <c r="X51" s="58" t="str">
        <f aca="false">IF($E51="","",IFERROR(INDEX(往来单位!$D$6:$D$85,MATCH($E51,往来单位!$A$6:$A$85,0)),"否"))</f>
        <v/>
      </c>
      <c r="Y51" s="61" t="str">
        <f aca="false">IF($B51="","",YEAR($B51))</f>
        <v/>
      </c>
      <c r="Z51" s="58" t="str">
        <f aca="false">IF($B51="","",TEXT($B51,"yyyy-mm"))</f>
        <v/>
      </c>
    </row>
    <row r="52" customFormat="false" ht="15" hidden="false" customHeight="false" outlineLevel="0" collapsed="false">
      <c r="A52" s="53" t="str">
        <f aca="false">IF($B52="","",ROW()-5)</f>
        <v/>
      </c>
      <c r="B52" s="54"/>
      <c r="C52" s="33"/>
      <c r="D52" s="33"/>
      <c r="E52" s="32"/>
      <c r="F52" s="39"/>
      <c r="G52" s="48" t="str">
        <f aca="false">IF($F52="","",IFERROR(INDEX(商品档案!$B$6:$B$65,MATCH($F52,商品档案!$A$6:$A$65,0)),""))</f>
        <v/>
      </c>
      <c r="H52" s="48" t="str">
        <f aca="false">IF($F52="","",IFERROR(INDEX(商品档案!$C$6:$C$65,MATCH($F52,商品档案!$A$6:$A$65,0)),""))</f>
        <v/>
      </c>
      <c r="I52" s="55" t="str">
        <f aca="false">IF($F52="","",IFERROR(INDEX(商品档案!$D$6:$D$65,MATCH($F52,商品档案!$A$6:$A$65,0)),""))</f>
        <v/>
      </c>
      <c r="J52" s="49"/>
      <c r="K52" s="56"/>
      <c r="L52" s="33"/>
      <c r="M52" s="39"/>
      <c r="N52" s="41"/>
      <c r="O52" s="41"/>
      <c r="P52" s="25" t="str">
        <f aca="false">IF(AND($B52="",$D52="",$F52=""),"",IF(NOT(ISNUMBER($B52)),"日期无效",IF(ISNA(MATCH($C52,参数设置!$A$10:$A$12,0)),"公司无效",IF(ISNA(MATCH($D52,记账规则!$A$6:$A$9,0)),"业务类型无效",IF(ISNA(MATCH($F52,商品档案!$A$6:$A$65,0)),"商品编码无效",IF(IFERROR(INDEX(商品档案!$E$6:$E$65,MATCH($F52,商品档案!$A$6:$A$65,0)),"")&lt;&gt;$C52,"商品不属于该公司",IF(AND($E52&lt;&gt;"",ISNA(MATCH($E52,往来单位!$A$6:$A$85,0))),"往来单位未建档",IF(N($J52)=0,"数量为 0",IF(N($K52)=0,"单价为 0",IF(AND(LEFT($D52,2)="销售",$U52=""),"该商品没设成本科目",IF(YEAR($B52)&lt;&gt;参数设置!$B$5,"不在本会计年度","OK")))))))))))</f>
        <v/>
      </c>
      <c r="Q52" s="57" t="str">
        <f aca="false">IF($F52="","",ROUND(N($J52)*N($K52),2))</f>
        <v/>
      </c>
      <c r="R52" s="58" t="str">
        <f aca="false">IF($D52="","",IF(LEFT($D52,2)="销售","应收账款","应付账款"))</f>
        <v/>
      </c>
      <c r="S52" s="58" t="str">
        <f aca="false">IF($F52="","",IFERROR(INDEX(商品档案!$G$6:$G$65,MATCH($F52,商品档案!$A$6:$A$65,0)),""))</f>
        <v/>
      </c>
      <c r="T52" s="58" t="str">
        <f aca="false">IF($F52="","",IFERROR(INDEX(商品档案!$H$6:$H$65,MATCH($F52,商品档案!$A$6:$A$65,0)),""))</f>
        <v/>
      </c>
      <c r="U52" s="58" t="str">
        <f aca="false">IF($F52="","",IFERROR(INDEX(商品档案!$I$6:$I$65,MATCH($F52,商品档案!$A$6:$A$65,0)),""))</f>
        <v/>
      </c>
      <c r="V52" s="59" t="str">
        <f aca="false">IF($F52="","",SUMIFS(进销存台账!$N$6:$N$65,进销存台账!$A$6:$A$65,$C52,进销存台账!$B$6:$B$65,$F52))</f>
        <v/>
      </c>
      <c r="W52" s="60" t="n">
        <f aca="false">IF(OR($D52="销售出库",$D52="销售退回"),ROUND(N($J52)*N($V52),2),0)</f>
        <v>0</v>
      </c>
      <c r="X52" s="58" t="str">
        <f aca="false">IF($E52="","",IFERROR(INDEX(往来单位!$D$6:$D$85,MATCH($E52,往来单位!$A$6:$A$85,0)),"否"))</f>
        <v/>
      </c>
      <c r="Y52" s="61" t="str">
        <f aca="false">IF($B52="","",YEAR($B52))</f>
        <v/>
      </c>
      <c r="Z52" s="58" t="str">
        <f aca="false">IF($B52="","",TEXT($B52,"yyyy-mm"))</f>
        <v/>
      </c>
    </row>
    <row r="53" customFormat="false" ht="15" hidden="false" customHeight="false" outlineLevel="0" collapsed="false">
      <c r="A53" s="53" t="str">
        <f aca="false">IF($B53="","",ROW()-5)</f>
        <v/>
      </c>
      <c r="B53" s="54"/>
      <c r="C53" s="33"/>
      <c r="D53" s="33"/>
      <c r="E53" s="32"/>
      <c r="F53" s="39"/>
      <c r="G53" s="48" t="str">
        <f aca="false">IF($F53="","",IFERROR(INDEX(商品档案!$B$6:$B$65,MATCH($F53,商品档案!$A$6:$A$65,0)),""))</f>
        <v/>
      </c>
      <c r="H53" s="48" t="str">
        <f aca="false">IF($F53="","",IFERROR(INDEX(商品档案!$C$6:$C$65,MATCH($F53,商品档案!$A$6:$A$65,0)),""))</f>
        <v/>
      </c>
      <c r="I53" s="55" t="str">
        <f aca="false">IF($F53="","",IFERROR(INDEX(商品档案!$D$6:$D$65,MATCH($F53,商品档案!$A$6:$A$65,0)),""))</f>
        <v/>
      </c>
      <c r="J53" s="49"/>
      <c r="K53" s="56"/>
      <c r="L53" s="33"/>
      <c r="M53" s="39"/>
      <c r="N53" s="41"/>
      <c r="O53" s="41"/>
      <c r="P53" s="25" t="str">
        <f aca="false">IF(AND($B53="",$D53="",$F53=""),"",IF(NOT(ISNUMBER($B53)),"日期无效",IF(ISNA(MATCH($C53,参数设置!$A$10:$A$12,0)),"公司无效",IF(ISNA(MATCH($D53,记账规则!$A$6:$A$9,0)),"业务类型无效",IF(ISNA(MATCH($F53,商品档案!$A$6:$A$65,0)),"商品编码无效",IF(IFERROR(INDEX(商品档案!$E$6:$E$65,MATCH($F53,商品档案!$A$6:$A$65,0)),"")&lt;&gt;$C53,"商品不属于该公司",IF(AND($E53&lt;&gt;"",ISNA(MATCH($E53,往来单位!$A$6:$A$85,0))),"往来单位未建档",IF(N($J53)=0,"数量为 0",IF(N($K53)=0,"单价为 0",IF(AND(LEFT($D53,2)="销售",$U53=""),"该商品没设成本科目",IF(YEAR($B53)&lt;&gt;参数设置!$B$5,"不在本会计年度","OK")))))))))))</f>
        <v/>
      </c>
      <c r="Q53" s="57" t="str">
        <f aca="false">IF($F53="","",ROUND(N($J53)*N($K53),2))</f>
        <v/>
      </c>
      <c r="R53" s="58" t="str">
        <f aca="false">IF($D53="","",IF(LEFT($D53,2)="销售","应收账款","应付账款"))</f>
        <v/>
      </c>
      <c r="S53" s="58" t="str">
        <f aca="false">IF($F53="","",IFERROR(INDEX(商品档案!$G$6:$G$65,MATCH($F53,商品档案!$A$6:$A$65,0)),""))</f>
        <v/>
      </c>
      <c r="T53" s="58" t="str">
        <f aca="false">IF($F53="","",IFERROR(INDEX(商品档案!$H$6:$H$65,MATCH($F53,商品档案!$A$6:$A$65,0)),""))</f>
        <v/>
      </c>
      <c r="U53" s="58" t="str">
        <f aca="false">IF($F53="","",IFERROR(INDEX(商品档案!$I$6:$I$65,MATCH($F53,商品档案!$A$6:$A$65,0)),""))</f>
        <v/>
      </c>
      <c r="V53" s="59" t="str">
        <f aca="false">IF($F53="","",SUMIFS(进销存台账!$N$6:$N$65,进销存台账!$A$6:$A$65,$C53,进销存台账!$B$6:$B$65,$F53))</f>
        <v/>
      </c>
      <c r="W53" s="60" t="n">
        <f aca="false">IF(OR($D53="销售出库",$D53="销售退回"),ROUND(N($J53)*N($V53),2),0)</f>
        <v>0</v>
      </c>
      <c r="X53" s="58" t="str">
        <f aca="false">IF($E53="","",IFERROR(INDEX(往来单位!$D$6:$D$85,MATCH($E53,往来单位!$A$6:$A$85,0)),"否"))</f>
        <v/>
      </c>
      <c r="Y53" s="61" t="str">
        <f aca="false">IF($B53="","",YEAR($B53))</f>
        <v/>
      </c>
      <c r="Z53" s="58" t="str">
        <f aca="false">IF($B53="","",TEXT($B53,"yyyy-mm"))</f>
        <v/>
      </c>
    </row>
    <row r="54" customFormat="false" ht="15" hidden="false" customHeight="false" outlineLevel="0" collapsed="false">
      <c r="A54" s="53" t="str">
        <f aca="false">IF($B54="","",ROW()-5)</f>
        <v/>
      </c>
      <c r="B54" s="54"/>
      <c r="C54" s="33"/>
      <c r="D54" s="33"/>
      <c r="E54" s="32"/>
      <c r="F54" s="39"/>
      <c r="G54" s="48" t="str">
        <f aca="false">IF($F54="","",IFERROR(INDEX(商品档案!$B$6:$B$65,MATCH($F54,商品档案!$A$6:$A$65,0)),""))</f>
        <v/>
      </c>
      <c r="H54" s="48" t="str">
        <f aca="false">IF($F54="","",IFERROR(INDEX(商品档案!$C$6:$C$65,MATCH($F54,商品档案!$A$6:$A$65,0)),""))</f>
        <v/>
      </c>
      <c r="I54" s="55" t="str">
        <f aca="false">IF($F54="","",IFERROR(INDEX(商品档案!$D$6:$D$65,MATCH($F54,商品档案!$A$6:$A$65,0)),""))</f>
        <v/>
      </c>
      <c r="J54" s="49"/>
      <c r="K54" s="56"/>
      <c r="L54" s="33"/>
      <c r="M54" s="39"/>
      <c r="N54" s="41"/>
      <c r="O54" s="41"/>
      <c r="P54" s="25" t="str">
        <f aca="false">IF(AND($B54="",$D54="",$F54=""),"",IF(NOT(ISNUMBER($B54)),"日期无效",IF(ISNA(MATCH($C54,参数设置!$A$10:$A$12,0)),"公司无效",IF(ISNA(MATCH($D54,记账规则!$A$6:$A$9,0)),"业务类型无效",IF(ISNA(MATCH($F54,商品档案!$A$6:$A$65,0)),"商品编码无效",IF(IFERROR(INDEX(商品档案!$E$6:$E$65,MATCH($F54,商品档案!$A$6:$A$65,0)),"")&lt;&gt;$C54,"商品不属于该公司",IF(AND($E54&lt;&gt;"",ISNA(MATCH($E54,往来单位!$A$6:$A$85,0))),"往来单位未建档",IF(N($J54)=0,"数量为 0",IF(N($K54)=0,"单价为 0",IF(AND(LEFT($D54,2)="销售",$U54=""),"该商品没设成本科目",IF(YEAR($B54)&lt;&gt;参数设置!$B$5,"不在本会计年度","OK")))))))))))</f>
        <v/>
      </c>
      <c r="Q54" s="57" t="str">
        <f aca="false">IF($F54="","",ROUND(N($J54)*N($K54),2))</f>
        <v/>
      </c>
      <c r="R54" s="58" t="str">
        <f aca="false">IF($D54="","",IF(LEFT($D54,2)="销售","应收账款","应付账款"))</f>
        <v/>
      </c>
      <c r="S54" s="58" t="str">
        <f aca="false">IF($F54="","",IFERROR(INDEX(商品档案!$G$6:$G$65,MATCH($F54,商品档案!$A$6:$A$65,0)),""))</f>
        <v/>
      </c>
      <c r="T54" s="58" t="str">
        <f aca="false">IF($F54="","",IFERROR(INDEX(商品档案!$H$6:$H$65,MATCH($F54,商品档案!$A$6:$A$65,0)),""))</f>
        <v/>
      </c>
      <c r="U54" s="58" t="str">
        <f aca="false">IF($F54="","",IFERROR(INDEX(商品档案!$I$6:$I$65,MATCH($F54,商品档案!$A$6:$A$65,0)),""))</f>
        <v/>
      </c>
      <c r="V54" s="59" t="str">
        <f aca="false">IF($F54="","",SUMIFS(进销存台账!$N$6:$N$65,进销存台账!$A$6:$A$65,$C54,进销存台账!$B$6:$B$65,$F54))</f>
        <v/>
      </c>
      <c r="W54" s="60" t="n">
        <f aca="false">IF(OR($D54="销售出库",$D54="销售退回"),ROUND(N($J54)*N($V54),2),0)</f>
        <v>0</v>
      </c>
      <c r="X54" s="58" t="str">
        <f aca="false">IF($E54="","",IFERROR(INDEX(往来单位!$D$6:$D$85,MATCH($E54,往来单位!$A$6:$A$85,0)),"否"))</f>
        <v/>
      </c>
      <c r="Y54" s="61" t="str">
        <f aca="false">IF($B54="","",YEAR($B54))</f>
        <v/>
      </c>
      <c r="Z54" s="58" t="str">
        <f aca="false">IF($B54="","",TEXT($B54,"yyyy-mm"))</f>
        <v/>
      </c>
    </row>
    <row r="55" customFormat="false" ht="15" hidden="false" customHeight="false" outlineLevel="0" collapsed="false">
      <c r="A55" s="53" t="str">
        <f aca="false">IF($B55="","",ROW()-5)</f>
        <v/>
      </c>
      <c r="B55" s="54"/>
      <c r="C55" s="33"/>
      <c r="D55" s="33"/>
      <c r="E55" s="32"/>
      <c r="F55" s="39"/>
      <c r="G55" s="48" t="str">
        <f aca="false">IF($F55="","",IFERROR(INDEX(商品档案!$B$6:$B$65,MATCH($F55,商品档案!$A$6:$A$65,0)),""))</f>
        <v/>
      </c>
      <c r="H55" s="48" t="str">
        <f aca="false">IF($F55="","",IFERROR(INDEX(商品档案!$C$6:$C$65,MATCH($F55,商品档案!$A$6:$A$65,0)),""))</f>
        <v/>
      </c>
      <c r="I55" s="55" t="str">
        <f aca="false">IF($F55="","",IFERROR(INDEX(商品档案!$D$6:$D$65,MATCH($F55,商品档案!$A$6:$A$65,0)),""))</f>
        <v/>
      </c>
      <c r="J55" s="49"/>
      <c r="K55" s="56"/>
      <c r="L55" s="33"/>
      <c r="M55" s="39"/>
      <c r="N55" s="41"/>
      <c r="O55" s="41"/>
      <c r="P55" s="25" t="str">
        <f aca="false">IF(AND($B55="",$D55="",$F55=""),"",IF(NOT(ISNUMBER($B55)),"日期无效",IF(ISNA(MATCH($C55,参数设置!$A$10:$A$12,0)),"公司无效",IF(ISNA(MATCH($D55,记账规则!$A$6:$A$9,0)),"业务类型无效",IF(ISNA(MATCH($F55,商品档案!$A$6:$A$65,0)),"商品编码无效",IF(IFERROR(INDEX(商品档案!$E$6:$E$65,MATCH($F55,商品档案!$A$6:$A$65,0)),"")&lt;&gt;$C55,"商品不属于该公司",IF(AND($E55&lt;&gt;"",ISNA(MATCH($E55,往来单位!$A$6:$A$85,0))),"往来单位未建档",IF(N($J55)=0,"数量为 0",IF(N($K55)=0,"单价为 0",IF(AND(LEFT($D55,2)="销售",$U55=""),"该商品没设成本科目",IF(YEAR($B55)&lt;&gt;参数设置!$B$5,"不在本会计年度","OK")))))))))))</f>
        <v/>
      </c>
      <c r="Q55" s="57" t="str">
        <f aca="false">IF($F55="","",ROUND(N($J55)*N($K55),2))</f>
        <v/>
      </c>
      <c r="R55" s="58" t="str">
        <f aca="false">IF($D55="","",IF(LEFT($D55,2)="销售","应收账款","应付账款"))</f>
        <v/>
      </c>
      <c r="S55" s="58" t="str">
        <f aca="false">IF($F55="","",IFERROR(INDEX(商品档案!$G$6:$G$65,MATCH($F55,商品档案!$A$6:$A$65,0)),""))</f>
        <v/>
      </c>
      <c r="T55" s="58" t="str">
        <f aca="false">IF($F55="","",IFERROR(INDEX(商品档案!$H$6:$H$65,MATCH($F55,商品档案!$A$6:$A$65,0)),""))</f>
        <v/>
      </c>
      <c r="U55" s="58" t="str">
        <f aca="false">IF($F55="","",IFERROR(INDEX(商品档案!$I$6:$I$65,MATCH($F55,商品档案!$A$6:$A$65,0)),""))</f>
        <v/>
      </c>
      <c r="V55" s="59" t="str">
        <f aca="false">IF($F55="","",SUMIFS(进销存台账!$N$6:$N$65,进销存台账!$A$6:$A$65,$C55,进销存台账!$B$6:$B$65,$F55))</f>
        <v/>
      </c>
      <c r="W55" s="60" t="n">
        <f aca="false">IF(OR($D55="销售出库",$D55="销售退回"),ROUND(N($J55)*N($V55),2),0)</f>
        <v>0</v>
      </c>
      <c r="X55" s="58" t="str">
        <f aca="false">IF($E55="","",IFERROR(INDEX(往来单位!$D$6:$D$85,MATCH($E55,往来单位!$A$6:$A$85,0)),"否"))</f>
        <v/>
      </c>
      <c r="Y55" s="61" t="str">
        <f aca="false">IF($B55="","",YEAR($B55))</f>
        <v/>
      </c>
      <c r="Z55" s="58" t="str">
        <f aca="false">IF($B55="","",TEXT($B55,"yyyy-mm"))</f>
        <v/>
      </c>
    </row>
    <row r="56" customFormat="false" ht="15" hidden="false" customHeight="false" outlineLevel="0" collapsed="false">
      <c r="A56" s="53" t="str">
        <f aca="false">IF($B56="","",ROW()-5)</f>
        <v/>
      </c>
      <c r="B56" s="54"/>
      <c r="C56" s="33"/>
      <c r="D56" s="33"/>
      <c r="E56" s="32"/>
      <c r="F56" s="39"/>
      <c r="G56" s="48" t="str">
        <f aca="false">IF($F56="","",IFERROR(INDEX(商品档案!$B$6:$B$65,MATCH($F56,商品档案!$A$6:$A$65,0)),""))</f>
        <v/>
      </c>
      <c r="H56" s="48" t="str">
        <f aca="false">IF($F56="","",IFERROR(INDEX(商品档案!$C$6:$C$65,MATCH($F56,商品档案!$A$6:$A$65,0)),""))</f>
        <v/>
      </c>
      <c r="I56" s="55" t="str">
        <f aca="false">IF($F56="","",IFERROR(INDEX(商品档案!$D$6:$D$65,MATCH($F56,商品档案!$A$6:$A$65,0)),""))</f>
        <v/>
      </c>
      <c r="J56" s="49"/>
      <c r="K56" s="56"/>
      <c r="L56" s="33"/>
      <c r="M56" s="39"/>
      <c r="N56" s="41"/>
      <c r="O56" s="41"/>
      <c r="P56" s="25" t="str">
        <f aca="false">IF(AND($B56="",$D56="",$F56=""),"",IF(NOT(ISNUMBER($B56)),"日期无效",IF(ISNA(MATCH($C56,参数设置!$A$10:$A$12,0)),"公司无效",IF(ISNA(MATCH($D56,记账规则!$A$6:$A$9,0)),"业务类型无效",IF(ISNA(MATCH($F56,商品档案!$A$6:$A$65,0)),"商品编码无效",IF(IFERROR(INDEX(商品档案!$E$6:$E$65,MATCH($F56,商品档案!$A$6:$A$65,0)),"")&lt;&gt;$C56,"商品不属于该公司",IF(AND($E56&lt;&gt;"",ISNA(MATCH($E56,往来单位!$A$6:$A$85,0))),"往来单位未建档",IF(N($J56)=0,"数量为 0",IF(N($K56)=0,"单价为 0",IF(AND(LEFT($D56,2)="销售",$U56=""),"该商品没设成本科目",IF(YEAR($B56)&lt;&gt;参数设置!$B$5,"不在本会计年度","OK")))))))))))</f>
        <v/>
      </c>
      <c r="Q56" s="57" t="str">
        <f aca="false">IF($F56="","",ROUND(N($J56)*N($K56),2))</f>
        <v/>
      </c>
      <c r="R56" s="58" t="str">
        <f aca="false">IF($D56="","",IF(LEFT($D56,2)="销售","应收账款","应付账款"))</f>
        <v/>
      </c>
      <c r="S56" s="58" t="str">
        <f aca="false">IF($F56="","",IFERROR(INDEX(商品档案!$G$6:$G$65,MATCH($F56,商品档案!$A$6:$A$65,0)),""))</f>
        <v/>
      </c>
      <c r="T56" s="58" t="str">
        <f aca="false">IF($F56="","",IFERROR(INDEX(商品档案!$H$6:$H$65,MATCH($F56,商品档案!$A$6:$A$65,0)),""))</f>
        <v/>
      </c>
      <c r="U56" s="58" t="str">
        <f aca="false">IF($F56="","",IFERROR(INDEX(商品档案!$I$6:$I$65,MATCH($F56,商品档案!$A$6:$A$65,0)),""))</f>
        <v/>
      </c>
      <c r="V56" s="59" t="str">
        <f aca="false">IF($F56="","",SUMIFS(进销存台账!$N$6:$N$65,进销存台账!$A$6:$A$65,$C56,进销存台账!$B$6:$B$65,$F56))</f>
        <v/>
      </c>
      <c r="W56" s="60" t="n">
        <f aca="false">IF(OR($D56="销售出库",$D56="销售退回"),ROUND(N($J56)*N($V56),2),0)</f>
        <v>0</v>
      </c>
      <c r="X56" s="58" t="str">
        <f aca="false">IF($E56="","",IFERROR(INDEX(往来单位!$D$6:$D$85,MATCH($E56,往来单位!$A$6:$A$85,0)),"否"))</f>
        <v/>
      </c>
      <c r="Y56" s="61" t="str">
        <f aca="false">IF($B56="","",YEAR($B56))</f>
        <v/>
      </c>
      <c r="Z56" s="58" t="str">
        <f aca="false">IF($B56="","",TEXT($B56,"yyyy-mm"))</f>
        <v/>
      </c>
    </row>
    <row r="57" customFormat="false" ht="15" hidden="false" customHeight="false" outlineLevel="0" collapsed="false">
      <c r="A57" s="53" t="str">
        <f aca="false">IF($B57="","",ROW()-5)</f>
        <v/>
      </c>
      <c r="B57" s="54"/>
      <c r="C57" s="33"/>
      <c r="D57" s="33"/>
      <c r="E57" s="32"/>
      <c r="F57" s="39"/>
      <c r="G57" s="48" t="str">
        <f aca="false">IF($F57="","",IFERROR(INDEX(商品档案!$B$6:$B$65,MATCH($F57,商品档案!$A$6:$A$65,0)),""))</f>
        <v/>
      </c>
      <c r="H57" s="48" t="str">
        <f aca="false">IF($F57="","",IFERROR(INDEX(商品档案!$C$6:$C$65,MATCH($F57,商品档案!$A$6:$A$65,0)),""))</f>
        <v/>
      </c>
      <c r="I57" s="55" t="str">
        <f aca="false">IF($F57="","",IFERROR(INDEX(商品档案!$D$6:$D$65,MATCH($F57,商品档案!$A$6:$A$65,0)),""))</f>
        <v/>
      </c>
      <c r="J57" s="49"/>
      <c r="K57" s="56"/>
      <c r="L57" s="33"/>
      <c r="M57" s="39"/>
      <c r="N57" s="41"/>
      <c r="O57" s="41"/>
      <c r="P57" s="25" t="str">
        <f aca="false">IF(AND($B57="",$D57="",$F57=""),"",IF(NOT(ISNUMBER($B57)),"日期无效",IF(ISNA(MATCH($C57,参数设置!$A$10:$A$12,0)),"公司无效",IF(ISNA(MATCH($D57,记账规则!$A$6:$A$9,0)),"业务类型无效",IF(ISNA(MATCH($F57,商品档案!$A$6:$A$65,0)),"商品编码无效",IF(IFERROR(INDEX(商品档案!$E$6:$E$65,MATCH($F57,商品档案!$A$6:$A$65,0)),"")&lt;&gt;$C57,"商品不属于该公司",IF(AND($E57&lt;&gt;"",ISNA(MATCH($E57,往来单位!$A$6:$A$85,0))),"往来单位未建档",IF(N($J57)=0,"数量为 0",IF(N($K57)=0,"单价为 0",IF(AND(LEFT($D57,2)="销售",$U57=""),"该商品没设成本科目",IF(YEAR($B57)&lt;&gt;参数设置!$B$5,"不在本会计年度","OK")))))))))))</f>
        <v/>
      </c>
      <c r="Q57" s="57" t="str">
        <f aca="false">IF($F57="","",ROUND(N($J57)*N($K57),2))</f>
        <v/>
      </c>
      <c r="R57" s="58" t="str">
        <f aca="false">IF($D57="","",IF(LEFT($D57,2)="销售","应收账款","应付账款"))</f>
        <v/>
      </c>
      <c r="S57" s="58" t="str">
        <f aca="false">IF($F57="","",IFERROR(INDEX(商品档案!$G$6:$G$65,MATCH($F57,商品档案!$A$6:$A$65,0)),""))</f>
        <v/>
      </c>
      <c r="T57" s="58" t="str">
        <f aca="false">IF($F57="","",IFERROR(INDEX(商品档案!$H$6:$H$65,MATCH($F57,商品档案!$A$6:$A$65,0)),""))</f>
        <v/>
      </c>
      <c r="U57" s="58" t="str">
        <f aca="false">IF($F57="","",IFERROR(INDEX(商品档案!$I$6:$I$65,MATCH($F57,商品档案!$A$6:$A$65,0)),""))</f>
        <v/>
      </c>
      <c r="V57" s="59" t="str">
        <f aca="false">IF($F57="","",SUMIFS(进销存台账!$N$6:$N$65,进销存台账!$A$6:$A$65,$C57,进销存台账!$B$6:$B$65,$F57))</f>
        <v/>
      </c>
      <c r="W57" s="60" t="n">
        <f aca="false">IF(OR($D57="销售出库",$D57="销售退回"),ROUND(N($J57)*N($V57),2),0)</f>
        <v>0</v>
      </c>
      <c r="X57" s="58" t="str">
        <f aca="false">IF($E57="","",IFERROR(INDEX(往来单位!$D$6:$D$85,MATCH($E57,往来单位!$A$6:$A$85,0)),"否"))</f>
        <v/>
      </c>
      <c r="Y57" s="61" t="str">
        <f aca="false">IF($B57="","",YEAR($B57))</f>
        <v/>
      </c>
      <c r="Z57" s="58" t="str">
        <f aca="false">IF($B57="","",TEXT($B57,"yyyy-mm"))</f>
        <v/>
      </c>
    </row>
    <row r="58" customFormat="false" ht="15" hidden="false" customHeight="false" outlineLevel="0" collapsed="false">
      <c r="A58" s="53" t="str">
        <f aca="false">IF($B58="","",ROW()-5)</f>
        <v/>
      </c>
      <c r="B58" s="54"/>
      <c r="C58" s="33"/>
      <c r="D58" s="33"/>
      <c r="E58" s="32"/>
      <c r="F58" s="39"/>
      <c r="G58" s="48" t="str">
        <f aca="false">IF($F58="","",IFERROR(INDEX(商品档案!$B$6:$B$65,MATCH($F58,商品档案!$A$6:$A$65,0)),""))</f>
        <v/>
      </c>
      <c r="H58" s="48" t="str">
        <f aca="false">IF($F58="","",IFERROR(INDEX(商品档案!$C$6:$C$65,MATCH($F58,商品档案!$A$6:$A$65,0)),""))</f>
        <v/>
      </c>
      <c r="I58" s="55" t="str">
        <f aca="false">IF($F58="","",IFERROR(INDEX(商品档案!$D$6:$D$65,MATCH($F58,商品档案!$A$6:$A$65,0)),""))</f>
        <v/>
      </c>
      <c r="J58" s="49"/>
      <c r="K58" s="56"/>
      <c r="L58" s="33"/>
      <c r="M58" s="39"/>
      <c r="N58" s="41"/>
      <c r="O58" s="41"/>
      <c r="P58" s="25" t="str">
        <f aca="false">IF(AND($B58="",$D58="",$F58=""),"",IF(NOT(ISNUMBER($B58)),"日期无效",IF(ISNA(MATCH($C58,参数设置!$A$10:$A$12,0)),"公司无效",IF(ISNA(MATCH($D58,记账规则!$A$6:$A$9,0)),"业务类型无效",IF(ISNA(MATCH($F58,商品档案!$A$6:$A$65,0)),"商品编码无效",IF(IFERROR(INDEX(商品档案!$E$6:$E$65,MATCH($F58,商品档案!$A$6:$A$65,0)),"")&lt;&gt;$C58,"商品不属于该公司",IF(AND($E58&lt;&gt;"",ISNA(MATCH($E58,往来单位!$A$6:$A$85,0))),"往来单位未建档",IF(N($J58)=0,"数量为 0",IF(N($K58)=0,"单价为 0",IF(AND(LEFT($D58,2)="销售",$U58=""),"该商品没设成本科目",IF(YEAR($B58)&lt;&gt;参数设置!$B$5,"不在本会计年度","OK")))))))))))</f>
        <v/>
      </c>
      <c r="Q58" s="57" t="str">
        <f aca="false">IF($F58="","",ROUND(N($J58)*N($K58),2))</f>
        <v/>
      </c>
      <c r="R58" s="58" t="str">
        <f aca="false">IF($D58="","",IF(LEFT($D58,2)="销售","应收账款","应付账款"))</f>
        <v/>
      </c>
      <c r="S58" s="58" t="str">
        <f aca="false">IF($F58="","",IFERROR(INDEX(商品档案!$G$6:$G$65,MATCH($F58,商品档案!$A$6:$A$65,0)),""))</f>
        <v/>
      </c>
      <c r="T58" s="58" t="str">
        <f aca="false">IF($F58="","",IFERROR(INDEX(商品档案!$H$6:$H$65,MATCH($F58,商品档案!$A$6:$A$65,0)),""))</f>
        <v/>
      </c>
      <c r="U58" s="58" t="str">
        <f aca="false">IF($F58="","",IFERROR(INDEX(商品档案!$I$6:$I$65,MATCH($F58,商品档案!$A$6:$A$65,0)),""))</f>
        <v/>
      </c>
      <c r="V58" s="59" t="str">
        <f aca="false">IF($F58="","",SUMIFS(进销存台账!$N$6:$N$65,进销存台账!$A$6:$A$65,$C58,进销存台账!$B$6:$B$65,$F58))</f>
        <v/>
      </c>
      <c r="W58" s="60" t="n">
        <f aca="false">IF(OR($D58="销售出库",$D58="销售退回"),ROUND(N($J58)*N($V58),2),0)</f>
        <v>0</v>
      </c>
      <c r="X58" s="58" t="str">
        <f aca="false">IF($E58="","",IFERROR(INDEX(往来单位!$D$6:$D$85,MATCH($E58,往来单位!$A$6:$A$85,0)),"否"))</f>
        <v/>
      </c>
      <c r="Y58" s="61" t="str">
        <f aca="false">IF($B58="","",YEAR($B58))</f>
        <v/>
      </c>
      <c r="Z58" s="58" t="str">
        <f aca="false">IF($B58="","",TEXT($B58,"yyyy-mm"))</f>
        <v/>
      </c>
    </row>
    <row r="59" customFormat="false" ht="15" hidden="false" customHeight="false" outlineLevel="0" collapsed="false">
      <c r="A59" s="53" t="str">
        <f aca="false">IF($B59="","",ROW()-5)</f>
        <v/>
      </c>
      <c r="B59" s="54"/>
      <c r="C59" s="33"/>
      <c r="D59" s="33"/>
      <c r="E59" s="32"/>
      <c r="F59" s="39"/>
      <c r="G59" s="48" t="str">
        <f aca="false">IF($F59="","",IFERROR(INDEX(商品档案!$B$6:$B$65,MATCH($F59,商品档案!$A$6:$A$65,0)),""))</f>
        <v/>
      </c>
      <c r="H59" s="48" t="str">
        <f aca="false">IF($F59="","",IFERROR(INDEX(商品档案!$C$6:$C$65,MATCH($F59,商品档案!$A$6:$A$65,0)),""))</f>
        <v/>
      </c>
      <c r="I59" s="55" t="str">
        <f aca="false">IF($F59="","",IFERROR(INDEX(商品档案!$D$6:$D$65,MATCH($F59,商品档案!$A$6:$A$65,0)),""))</f>
        <v/>
      </c>
      <c r="J59" s="49"/>
      <c r="K59" s="56"/>
      <c r="L59" s="33"/>
      <c r="M59" s="39"/>
      <c r="N59" s="41"/>
      <c r="O59" s="41"/>
      <c r="P59" s="25" t="str">
        <f aca="false">IF(AND($B59="",$D59="",$F59=""),"",IF(NOT(ISNUMBER($B59)),"日期无效",IF(ISNA(MATCH($C59,参数设置!$A$10:$A$12,0)),"公司无效",IF(ISNA(MATCH($D59,记账规则!$A$6:$A$9,0)),"业务类型无效",IF(ISNA(MATCH($F59,商品档案!$A$6:$A$65,0)),"商品编码无效",IF(IFERROR(INDEX(商品档案!$E$6:$E$65,MATCH($F59,商品档案!$A$6:$A$65,0)),"")&lt;&gt;$C59,"商品不属于该公司",IF(AND($E59&lt;&gt;"",ISNA(MATCH($E59,往来单位!$A$6:$A$85,0))),"往来单位未建档",IF(N($J59)=0,"数量为 0",IF(N($K59)=0,"单价为 0",IF(AND(LEFT($D59,2)="销售",$U59=""),"该商品没设成本科目",IF(YEAR($B59)&lt;&gt;参数设置!$B$5,"不在本会计年度","OK")))))))))))</f>
        <v/>
      </c>
      <c r="Q59" s="57" t="str">
        <f aca="false">IF($F59="","",ROUND(N($J59)*N($K59),2))</f>
        <v/>
      </c>
      <c r="R59" s="58" t="str">
        <f aca="false">IF($D59="","",IF(LEFT($D59,2)="销售","应收账款","应付账款"))</f>
        <v/>
      </c>
      <c r="S59" s="58" t="str">
        <f aca="false">IF($F59="","",IFERROR(INDEX(商品档案!$G$6:$G$65,MATCH($F59,商品档案!$A$6:$A$65,0)),""))</f>
        <v/>
      </c>
      <c r="T59" s="58" t="str">
        <f aca="false">IF($F59="","",IFERROR(INDEX(商品档案!$H$6:$H$65,MATCH($F59,商品档案!$A$6:$A$65,0)),""))</f>
        <v/>
      </c>
      <c r="U59" s="58" t="str">
        <f aca="false">IF($F59="","",IFERROR(INDEX(商品档案!$I$6:$I$65,MATCH($F59,商品档案!$A$6:$A$65,0)),""))</f>
        <v/>
      </c>
      <c r="V59" s="59" t="str">
        <f aca="false">IF($F59="","",SUMIFS(进销存台账!$N$6:$N$65,进销存台账!$A$6:$A$65,$C59,进销存台账!$B$6:$B$65,$F59))</f>
        <v/>
      </c>
      <c r="W59" s="60" t="n">
        <f aca="false">IF(OR($D59="销售出库",$D59="销售退回"),ROUND(N($J59)*N($V59),2),0)</f>
        <v>0</v>
      </c>
      <c r="X59" s="58" t="str">
        <f aca="false">IF($E59="","",IFERROR(INDEX(往来单位!$D$6:$D$85,MATCH($E59,往来单位!$A$6:$A$85,0)),"否"))</f>
        <v/>
      </c>
      <c r="Y59" s="61" t="str">
        <f aca="false">IF($B59="","",YEAR($B59))</f>
        <v/>
      </c>
      <c r="Z59" s="58" t="str">
        <f aca="false">IF($B59="","",TEXT($B59,"yyyy-mm"))</f>
        <v/>
      </c>
    </row>
    <row r="60" customFormat="false" ht="15" hidden="false" customHeight="false" outlineLevel="0" collapsed="false">
      <c r="A60" s="53" t="str">
        <f aca="false">IF($B60="","",ROW()-5)</f>
        <v/>
      </c>
      <c r="B60" s="54"/>
      <c r="C60" s="33"/>
      <c r="D60" s="33"/>
      <c r="E60" s="32"/>
      <c r="F60" s="39"/>
      <c r="G60" s="48" t="str">
        <f aca="false">IF($F60="","",IFERROR(INDEX(商品档案!$B$6:$B$65,MATCH($F60,商品档案!$A$6:$A$65,0)),""))</f>
        <v/>
      </c>
      <c r="H60" s="48" t="str">
        <f aca="false">IF($F60="","",IFERROR(INDEX(商品档案!$C$6:$C$65,MATCH($F60,商品档案!$A$6:$A$65,0)),""))</f>
        <v/>
      </c>
      <c r="I60" s="55" t="str">
        <f aca="false">IF($F60="","",IFERROR(INDEX(商品档案!$D$6:$D$65,MATCH($F60,商品档案!$A$6:$A$65,0)),""))</f>
        <v/>
      </c>
      <c r="J60" s="49"/>
      <c r="K60" s="56"/>
      <c r="L60" s="33"/>
      <c r="M60" s="39"/>
      <c r="N60" s="41"/>
      <c r="O60" s="41"/>
      <c r="P60" s="25" t="str">
        <f aca="false">IF(AND($B60="",$D60="",$F60=""),"",IF(NOT(ISNUMBER($B60)),"日期无效",IF(ISNA(MATCH($C60,参数设置!$A$10:$A$12,0)),"公司无效",IF(ISNA(MATCH($D60,记账规则!$A$6:$A$9,0)),"业务类型无效",IF(ISNA(MATCH($F60,商品档案!$A$6:$A$65,0)),"商品编码无效",IF(IFERROR(INDEX(商品档案!$E$6:$E$65,MATCH($F60,商品档案!$A$6:$A$65,0)),"")&lt;&gt;$C60,"商品不属于该公司",IF(AND($E60&lt;&gt;"",ISNA(MATCH($E60,往来单位!$A$6:$A$85,0))),"往来单位未建档",IF(N($J60)=0,"数量为 0",IF(N($K60)=0,"单价为 0",IF(AND(LEFT($D60,2)="销售",$U60=""),"该商品没设成本科目",IF(YEAR($B60)&lt;&gt;参数设置!$B$5,"不在本会计年度","OK")))))))))))</f>
        <v/>
      </c>
      <c r="Q60" s="57" t="str">
        <f aca="false">IF($F60="","",ROUND(N($J60)*N($K60),2))</f>
        <v/>
      </c>
      <c r="R60" s="58" t="str">
        <f aca="false">IF($D60="","",IF(LEFT($D60,2)="销售","应收账款","应付账款"))</f>
        <v/>
      </c>
      <c r="S60" s="58" t="str">
        <f aca="false">IF($F60="","",IFERROR(INDEX(商品档案!$G$6:$G$65,MATCH($F60,商品档案!$A$6:$A$65,0)),""))</f>
        <v/>
      </c>
      <c r="T60" s="58" t="str">
        <f aca="false">IF($F60="","",IFERROR(INDEX(商品档案!$H$6:$H$65,MATCH($F60,商品档案!$A$6:$A$65,0)),""))</f>
        <v/>
      </c>
      <c r="U60" s="58" t="str">
        <f aca="false">IF($F60="","",IFERROR(INDEX(商品档案!$I$6:$I$65,MATCH($F60,商品档案!$A$6:$A$65,0)),""))</f>
        <v/>
      </c>
      <c r="V60" s="59" t="str">
        <f aca="false">IF($F60="","",SUMIFS(进销存台账!$N$6:$N$65,进销存台账!$A$6:$A$65,$C60,进销存台账!$B$6:$B$65,$F60))</f>
        <v/>
      </c>
      <c r="W60" s="60" t="n">
        <f aca="false">IF(OR($D60="销售出库",$D60="销售退回"),ROUND(N($J60)*N($V60),2),0)</f>
        <v>0</v>
      </c>
      <c r="X60" s="58" t="str">
        <f aca="false">IF($E60="","",IFERROR(INDEX(往来单位!$D$6:$D$85,MATCH($E60,往来单位!$A$6:$A$85,0)),"否"))</f>
        <v/>
      </c>
      <c r="Y60" s="61" t="str">
        <f aca="false">IF($B60="","",YEAR($B60))</f>
        <v/>
      </c>
      <c r="Z60" s="58" t="str">
        <f aca="false">IF($B60="","",TEXT($B60,"yyyy-mm"))</f>
        <v/>
      </c>
    </row>
    <row r="61" customFormat="false" ht="15" hidden="false" customHeight="false" outlineLevel="0" collapsed="false">
      <c r="A61" s="53" t="str">
        <f aca="false">IF($B61="","",ROW()-5)</f>
        <v/>
      </c>
      <c r="B61" s="54"/>
      <c r="C61" s="33"/>
      <c r="D61" s="33"/>
      <c r="E61" s="32"/>
      <c r="F61" s="39"/>
      <c r="G61" s="48" t="str">
        <f aca="false">IF($F61="","",IFERROR(INDEX(商品档案!$B$6:$B$65,MATCH($F61,商品档案!$A$6:$A$65,0)),""))</f>
        <v/>
      </c>
      <c r="H61" s="48" t="str">
        <f aca="false">IF($F61="","",IFERROR(INDEX(商品档案!$C$6:$C$65,MATCH($F61,商品档案!$A$6:$A$65,0)),""))</f>
        <v/>
      </c>
      <c r="I61" s="55" t="str">
        <f aca="false">IF($F61="","",IFERROR(INDEX(商品档案!$D$6:$D$65,MATCH($F61,商品档案!$A$6:$A$65,0)),""))</f>
        <v/>
      </c>
      <c r="J61" s="49"/>
      <c r="K61" s="56"/>
      <c r="L61" s="33"/>
      <c r="M61" s="39"/>
      <c r="N61" s="41"/>
      <c r="O61" s="41"/>
      <c r="P61" s="25" t="str">
        <f aca="false">IF(AND($B61="",$D61="",$F61=""),"",IF(NOT(ISNUMBER($B61)),"日期无效",IF(ISNA(MATCH($C61,参数设置!$A$10:$A$12,0)),"公司无效",IF(ISNA(MATCH($D61,记账规则!$A$6:$A$9,0)),"业务类型无效",IF(ISNA(MATCH($F61,商品档案!$A$6:$A$65,0)),"商品编码无效",IF(IFERROR(INDEX(商品档案!$E$6:$E$65,MATCH($F61,商品档案!$A$6:$A$65,0)),"")&lt;&gt;$C61,"商品不属于该公司",IF(AND($E61&lt;&gt;"",ISNA(MATCH($E61,往来单位!$A$6:$A$85,0))),"往来单位未建档",IF(N($J61)=0,"数量为 0",IF(N($K61)=0,"单价为 0",IF(AND(LEFT($D61,2)="销售",$U61=""),"该商品没设成本科目",IF(YEAR($B61)&lt;&gt;参数设置!$B$5,"不在本会计年度","OK")))))))))))</f>
        <v/>
      </c>
      <c r="Q61" s="57" t="str">
        <f aca="false">IF($F61="","",ROUND(N($J61)*N($K61),2))</f>
        <v/>
      </c>
      <c r="R61" s="58" t="str">
        <f aca="false">IF($D61="","",IF(LEFT($D61,2)="销售","应收账款","应付账款"))</f>
        <v/>
      </c>
      <c r="S61" s="58" t="str">
        <f aca="false">IF($F61="","",IFERROR(INDEX(商品档案!$G$6:$G$65,MATCH($F61,商品档案!$A$6:$A$65,0)),""))</f>
        <v/>
      </c>
      <c r="T61" s="58" t="str">
        <f aca="false">IF($F61="","",IFERROR(INDEX(商品档案!$H$6:$H$65,MATCH($F61,商品档案!$A$6:$A$65,0)),""))</f>
        <v/>
      </c>
      <c r="U61" s="58" t="str">
        <f aca="false">IF($F61="","",IFERROR(INDEX(商品档案!$I$6:$I$65,MATCH($F61,商品档案!$A$6:$A$65,0)),""))</f>
        <v/>
      </c>
      <c r="V61" s="59" t="str">
        <f aca="false">IF($F61="","",SUMIFS(进销存台账!$N$6:$N$65,进销存台账!$A$6:$A$65,$C61,进销存台账!$B$6:$B$65,$F61))</f>
        <v/>
      </c>
      <c r="W61" s="60" t="n">
        <f aca="false">IF(OR($D61="销售出库",$D61="销售退回"),ROUND(N($J61)*N($V61),2),0)</f>
        <v>0</v>
      </c>
      <c r="X61" s="58" t="str">
        <f aca="false">IF($E61="","",IFERROR(INDEX(往来单位!$D$6:$D$85,MATCH($E61,往来单位!$A$6:$A$85,0)),"否"))</f>
        <v/>
      </c>
      <c r="Y61" s="61" t="str">
        <f aca="false">IF($B61="","",YEAR($B61))</f>
        <v/>
      </c>
      <c r="Z61" s="58" t="str">
        <f aca="false">IF($B61="","",TEXT($B61,"yyyy-mm"))</f>
        <v/>
      </c>
    </row>
    <row r="62" customFormat="false" ht="15" hidden="false" customHeight="false" outlineLevel="0" collapsed="false">
      <c r="A62" s="53" t="str">
        <f aca="false">IF($B62="","",ROW()-5)</f>
        <v/>
      </c>
      <c r="B62" s="54"/>
      <c r="C62" s="33"/>
      <c r="D62" s="33"/>
      <c r="E62" s="32"/>
      <c r="F62" s="39"/>
      <c r="G62" s="48" t="str">
        <f aca="false">IF($F62="","",IFERROR(INDEX(商品档案!$B$6:$B$65,MATCH($F62,商品档案!$A$6:$A$65,0)),""))</f>
        <v/>
      </c>
      <c r="H62" s="48" t="str">
        <f aca="false">IF($F62="","",IFERROR(INDEX(商品档案!$C$6:$C$65,MATCH($F62,商品档案!$A$6:$A$65,0)),""))</f>
        <v/>
      </c>
      <c r="I62" s="55" t="str">
        <f aca="false">IF($F62="","",IFERROR(INDEX(商品档案!$D$6:$D$65,MATCH($F62,商品档案!$A$6:$A$65,0)),""))</f>
        <v/>
      </c>
      <c r="J62" s="49"/>
      <c r="K62" s="56"/>
      <c r="L62" s="33"/>
      <c r="M62" s="39"/>
      <c r="N62" s="41"/>
      <c r="O62" s="41"/>
      <c r="P62" s="25" t="str">
        <f aca="false">IF(AND($B62="",$D62="",$F62=""),"",IF(NOT(ISNUMBER($B62)),"日期无效",IF(ISNA(MATCH($C62,参数设置!$A$10:$A$12,0)),"公司无效",IF(ISNA(MATCH($D62,记账规则!$A$6:$A$9,0)),"业务类型无效",IF(ISNA(MATCH($F62,商品档案!$A$6:$A$65,0)),"商品编码无效",IF(IFERROR(INDEX(商品档案!$E$6:$E$65,MATCH($F62,商品档案!$A$6:$A$65,0)),"")&lt;&gt;$C62,"商品不属于该公司",IF(AND($E62&lt;&gt;"",ISNA(MATCH($E62,往来单位!$A$6:$A$85,0))),"往来单位未建档",IF(N($J62)=0,"数量为 0",IF(N($K62)=0,"单价为 0",IF(AND(LEFT($D62,2)="销售",$U62=""),"该商品没设成本科目",IF(YEAR($B62)&lt;&gt;参数设置!$B$5,"不在本会计年度","OK")))))))))))</f>
        <v/>
      </c>
      <c r="Q62" s="57" t="str">
        <f aca="false">IF($F62="","",ROUND(N($J62)*N($K62),2))</f>
        <v/>
      </c>
      <c r="R62" s="58" t="str">
        <f aca="false">IF($D62="","",IF(LEFT($D62,2)="销售","应收账款","应付账款"))</f>
        <v/>
      </c>
      <c r="S62" s="58" t="str">
        <f aca="false">IF($F62="","",IFERROR(INDEX(商品档案!$G$6:$G$65,MATCH($F62,商品档案!$A$6:$A$65,0)),""))</f>
        <v/>
      </c>
      <c r="T62" s="58" t="str">
        <f aca="false">IF($F62="","",IFERROR(INDEX(商品档案!$H$6:$H$65,MATCH($F62,商品档案!$A$6:$A$65,0)),""))</f>
        <v/>
      </c>
      <c r="U62" s="58" t="str">
        <f aca="false">IF($F62="","",IFERROR(INDEX(商品档案!$I$6:$I$65,MATCH($F62,商品档案!$A$6:$A$65,0)),""))</f>
        <v/>
      </c>
      <c r="V62" s="59" t="str">
        <f aca="false">IF($F62="","",SUMIFS(进销存台账!$N$6:$N$65,进销存台账!$A$6:$A$65,$C62,进销存台账!$B$6:$B$65,$F62))</f>
        <v/>
      </c>
      <c r="W62" s="60" t="n">
        <f aca="false">IF(OR($D62="销售出库",$D62="销售退回"),ROUND(N($J62)*N($V62),2),0)</f>
        <v>0</v>
      </c>
      <c r="X62" s="58" t="str">
        <f aca="false">IF($E62="","",IFERROR(INDEX(往来单位!$D$6:$D$85,MATCH($E62,往来单位!$A$6:$A$85,0)),"否"))</f>
        <v/>
      </c>
      <c r="Y62" s="61" t="str">
        <f aca="false">IF($B62="","",YEAR($B62))</f>
        <v/>
      </c>
      <c r="Z62" s="58" t="str">
        <f aca="false">IF($B62="","",TEXT($B62,"yyyy-mm"))</f>
        <v/>
      </c>
    </row>
    <row r="63" customFormat="false" ht="15" hidden="false" customHeight="false" outlineLevel="0" collapsed="false">
      <c r="A63" s="53" t="str">
        <f aca="false">IF($B63="","",ROW()-5)</f>
        <v/>
      </c>
      <c r="B63" s="54"/>
      <c r="C63" s="33"/>
      <c r="D63" s="33"/>
      <c r="E63" s="32"/>
      <c r="F63" s="39"/>
      <c r="G63" s="48" t="str">
        <f aca="false">IF($F63="","",IFERROR(INDEX(商品档案!$B$6:$B$65,MATCH($F63,商品档案!$A$6:$A$65,0)),""))</f>
        <v/>
      </c>
      <c r="H63" s="48" t="str">
        <f aca="false">IF($F63="","",IFERROR(INDEX(商品档案!$C$6:$C$65,MATCH($F63,商品档案!$A$6:$A$65,0)),""))</f>
        <v/>
      </c>
      <c r="I63" s="55" t="str">
        <f aca="false">IF($F63="","",IFERROR(INDEX(商品档案!$D$6:$D$65,MATCH($F63,商品档案!$A$6:$A$65,0)),""))</f>
        <v/>
      </c>
      <c r="J63" s="49"/>
      <c r="K63" s="56"/>
      <c r="L63" s="33"/>
      <c r="M63" s="39"/>
      <c r="N63" s="41"/>
      <c r="O63" s="41"/>
      <c r="P63" s="25" t="str">
        <f aca="false">IF(AND($B63="",$D63="",$F63=""),"",IF(NOT(ISNUMBER($B63)),"日期无效",IF(ISNA(MATCH($C63,参数设置!$A$10:$A$12,0)),"公司无效",IF(ISNA(MATCH($D63,记账规则!$A$6:$A$9,0)),"业务类型无效",IF(ISNA(MATCH($F63,商品档案!$A$6:$A$65,0)),"商品编码无效",IF(IFERROR(INDEX(商品档案!$E$6:$E$65,MATCH($F63,商品档案!$A$6:$A$65,0)),"")&lt;&gt;$C63,"商品不属于该公司",IF(AND($E63&lt;&gt;"",ISNA(MATCH($E63,往来单位!$A$6:$A$85,0))),"往来单位未建档",IF(N($J63)=0,"数量为 0",IF(N($K63)=0,"单价为 0",IF(AND(LEFT($D63,2)="销售",$U63=""),"该商品没设成本科目",IF(YEAR($B63)&lt;&gt;参数设置!$B$5,"不在本会计年度","OK")))))))))))</f>
        <v/>
      </c>
      <c r="Q63" s="57" t="str">
        <f aca="false">IF($F63="","",ROUND(N($J63)*N($K63),2))</f>
        <v/>
      </c>
      <c r="R63" s="58" t="str">
        <f aca="false">IF($D63="","",IF(LEFT($D63,2)="销售","应收账款","应付账款"))</f>
        <v/>
      </c>
      <c r="S63" s="58" t="str">
        <f aca="false">IF($F63="","",IFERROR(INDEX(商品档案!$G$6:$G$65,MATCH($F63,商品档案!$A$6:$A$65,0)),""))</f>
        <v/>
      </c>
      <c r="T63" s="58" t="str">
        <f aca="false">IF($F63="","",IFERROR(INDEX(商品档案!$H$6:$H$65,MATCH($F63,商品档案!$A$6:$A$65,0)),""))</f>
        <v/>
      </c>
      <c r="U63" s="58" t="str">
        <f aca="false">IF($F63="","",IFERROR(INDEX(商品档案!$I$6:$I$65,MATCH($F63,商品档案!$A$6:$A$65,0)),""))</f>
        <v/>
      </c>
      <c r="V63" s="59" t="str">
        <f aca="false">IF($F63="","",SUMIFS(进销存台账!$N$6:$N$65,进销存台账!$A$6:$A$65,$C63,进销存台账!$B$6:$B$65,$F63))</f>
        <v/>
      </c>
      <c r="W63" s="60" t="n">
        <f aca="false">IF(OR($D63="销售出库",$D63="销售退回"),ROUND(N($J63)*N($V63),2),0)</f>
        <v>0</v>
      </c>
      <c r="X63" s="58" t="str">
        <f aca="false">IF($E63="","",IFERROR(INDEX(往来单位!$D$6:$D$85,MATCH($E63,往来单位!$A$6:$A$85,0)),"否"))</f>
        <v/>
      </c>
      <c r="Y63" s="61" t="str">
        <f aca="false">IF($B63="","",YEAR($B63))</f>
        <v/>
      </c>
      <c r="Z63" s="58" t="str">
        <f aca="false">IF($B63="","",TEXT($B63,"yyyy-mm"))</f>
        <v/>
      </c>
    </row>
    <row r="64" customFormat="false" ht="15" hidden="false" customHeight="false" outlineLevel="0" collapsed="false">
      <c r="A64" s="53" t="str">
        <f aca="false">IF($B64="","",ROW()-5)</f>
        <v/>
      </c>
      <c r="B64" s="54"/>
      <c r="C64" s="33"/>
      <c r="D64" s="33"/>
      <c r="E64" s="32"/>
      <c r="F64" s="39"/>
      <c r="G64" s="48" t="str">
        <f aca="false">IF($F64="","",IFERROR(INDEX(商品档案!$B$6:$B$65,MATCH($F64,商品档案!$A$6:$A$65,0)),""))</f>
        <v/>
      </c>
      <c r="H64" s="48" t="str">
        <f aca="false">IF($F64="","",IFERROR(INDEX(商品档案!$C$6:$C$65,MATCH($F64,商品档案!$A$6:$A$65,0)),""))</f>
        <v/>
      </c>
      <c r="I64" s="55" t="str">
        <f aca="false">IF($F64="","",IFERROR(INDEX(商品档案!$D$6:$D$65,MATCH($F64,商品档案!$A$6:$A$65,0)),""))</f>
        <v/>
      </c>
      <c r="J64" s="49"/>
      <c r="K64" s="56"/>
      <c r="L64" s="33"/>
      <c r="M64" s="39"/>
      <c r="N64" s="41"/>
      <c r="O64" s="41"/>
      <c r="P64" s="25" t="str">
        <f aca="false">IF(AND($B64="",$D64="",$F64=""),"",IF(NOT(ISNUMBER($B64)),"日期无效",IF(ISNA(MATCH($C64,参数设置!$A$10:$A$12,0)),"公司无效",IF(ISNA(MATCH($D64,记账规则!$A$6:$A$9,0)),"业务类型无效",IF(ISNA(MATCH($F64,商品档案!$A$6:$A$65,0)),"商品编码无效",IF(IFERROR(INDEX(商品档案!$E$6:$E$65,MATCH($F64,商品档案!$A$6:$A$65,0)),"")&lt;&gt;$C64,"商品不属于该公司",IF(AND($E64&lt;&gt;"",ISNA(MATCH($E64,往来单位!$A$6:$A$85,0))),"往来单位未建档",IF(N($J64)=0,"数量为 0",IF(N($K64)=0,"单价为 0",IF(AND(LEFT($D64,2)="销售",$U64=""),"该商品没设成本科目",IF(YEAR($B64)&lt;&gt;参数设置!$B$5,"不在本会计年度","OK")))))))))))</f>
        <v/>
      </c>
      <c r="Q64" s="57" t="str">
        <f aca="false">IF($F64="","",ROUND(N($J64)*N($K64),2))</f>
        <v/>
      </c>
      <c r="R64" s="58" t="str">
        <f aca="false">IF($D64="","",IF(LEFT($D64,2)="销售","应收账款","应付账款"))</f>
        <v/>
      </c>
      <c r="S64" s="58" t="str">
        <f aca="false">IF($F64="","",IFERROR(INDEX(商品档案!$G$6:$G$65,MATCH($F64,商品档案!$A$6:$A$65,0)),""))</f>
        <v/>
      </c>
      <c r="T64" s="58" t="str">
        <f aca="false">IF($F64="","",IFERROR(INDEX(商品档案!$H$6:$H$65,MATCH($F64,商品档案!$A$6:$A$65,0)),""))</f>
        <v/>
      </c>
      <c r="U64" s="58" t="str">
        <f aca="false">IF($F64="","",IFERROR(INDEX(商品档案!$I$6:$I$65,MATCH($F64,商品档案!$A$6:$A$65,0)),""))</f>
        <v/>
      </c>
      <c r="V64" s="59" t="str">
        <f aca="false">IF($F64="","",SUMIFS(进销存台账!$N$6:$N$65,进销存台账!$A$6:$A$65,$C64,进销存台账!$B$6:$B$65,$F64))</f>
        <v/>
      </c>
      <c r="W64" s="60" t="n">
        <f aca="false">IF(OR($D64="销售出库",$D64="销售退回"),ROUND(N($J64)*N($V64),2),0)</f>
        <v>0</v>
      </c>
      <c r="X64" s="58" t="str">
        <f aca="false">IF($E64="","",IFERROR(INDEX(往来单位!$D$6:$D$85,MATCH($E64,往来单位!$A$6:$A$85,0)),"否"))</f>
        <v/>
      </c>
      <c r="Y64" s="61" t="str">
        <f aca="false">IF($B64="","",YEAR($B64))</f>
        <v/>
      </c>
      <c r="Z64" s="58" t="str">
        <f aca="false">IF($B64="","",TEXT($B64,"yyyy-mm"))</f>
        <v/>
      </c>
    </row>
    <row r="65" customFormat="false" ht="15" hidden="false" customHeight="false" outlineLevel="0" collapsed="false">
      <c r="A65" s="53" t="str">
        <f aca="false">IF($B65="","",ROW()-5)</f>
        <v/>
      </c>
      <c r="B65" s="54"/>
      <c r="C65" s="33"/>
      <c r="D65" s="33"/>
      <c r="E65" s="32"/>
      <c r="F65" s="39"/>
      <c r="G65" s="48" t="str">
        <f aca="false">IF($F65="","",IFERROR(INDEX(商品档案!$B$6:$B$65,MATCH($F65,商品档案!$A$6:$A$65,0)),""))</f>
        <v/>
      </c>
      <c r="H65" s="48" t="str">
        <f aca="false">IF($F65="","",IFERROR(INDEX(商品档案!$C$6:$C$65,MATCH($F65,商品档案!$A$6:$A$65,0)),""))</f>
        <v/>
      </c>
      <c r="I65" s="55" t="str">
        <f aca="false">IF($F65="","",IFERROR(INDEX(商品档案!$D$6:$D$65,MATCH($F65,商品档案!$A$6:$A$65,0)),""))</f>
        <v/>
      </c>
      <c r="J65" s="49"/>
      <c r="K65" s="56"/>
      <c r="L65" s="33"/>
      <c r="M65" s="39"/>
      <c r="N65" s="41"/>
      <c r="O65" s="41"/>
      <c r="P65" s="25" t="str">
        <f aca="false">IF(AND($B65="",$D65="",$F65=""),"",IF(NOT(ISNUMBER($B65)),"日期无效",IF(ISNA(MATCH($C65,参数设置!$A$10:$A$12,0)),"公司无效",IF(ISNA(MATCH($D65,记账规则!$A$6:$A$9,0)),"业务类型无效",IF(ISNA(MATCH($F65,商品档案!$A$6:$A$65,0)),"商品编码无效",IF(IFERROR(INDEX(商品档案!$E$6:$E$65,MATCH($F65,商品档案!$A$6:$A$65,0)),"")&lt;&gt;$C65,"商品不属于该公司",IF(AND($E65&lt;&gt;"",ISNA(MATCH($E65,往来单位!$A$6:$A$85,0))),"往来单位未建档",IF(N($J65)=0,"数量为 0",IF(N($K65)=0,"单价为 0",IF(AND(LEFT($D65,2)="销售",$U65=""),"该商品没设成本科目",IF(YEAR($B65)&lt;&gt;参数设置!$B$5,"不在本会计年度","OK")))))))))))</f>
        <v/>
      </c>
      <c r="Q65" s="57" t="str">
        <f aca="false">IF($F65="","",ROUND(N($J65)*N($K65),2))</f>
        <v/>
      </c>
      <c r="R65" s="58" t="str">
        <f aca="false">IF($D65="","",IF(LEFT($D65,2)="销售","应收账款","应付账款"))</f>
        <v/>
      </c>
      <c r="S65" s="58" t="str">
        <f aca="false">IF($F65="","",IFERROR(INDEX(商品档案!$G$6:$G$65,MATCH($F65,商品档案!$A$6:$A$65,0)),""))</f>
        <v/>
      </c>
      <c r="T65" s="58" t="str">
        <f aca="false">IF($F65="","",IFERROR(INDEX(商品档案!$H$6:$H$65,MATCH($F65,商品档案!$A$6:$A$65,0)),""))</f>
        <v/>
      </c>
      <c r="U65" s="58" t="str">
        <f aca="false">IF($F65="","",IFERROR(INDEX(商品档案!$I$6:$I$65,MATCH($F65,商品档案!$A$6:$A$65,0)),""))</f>
        <v/>
      </c>
      <c r="V65" s="59" t="str">
        <f aca="false">IF($F65="","",SUMIFS(进销存台账!$N$6:$N$65,进销存台账!$A$6:$A$65,$C65,进销存台账!$B$6:$B$65,$F65))</f>
        <v/>
      </c>
      <c r="W65" s="60" t="n">
        <f aca="false">IF(OR($D65="销售出库",$D65="销售退回"),ROUND(N($J65)*N($V65),2),0)</f>
        <v>0</v>
      </c>
      <c r="X65" s="58" t="str">
        <f aca="false">IF($E65="","",IFERROR(INDEX(往来单位!$D$6:$D$85,MATCH($E65,往来单位!$A$6:$A$85,0)),"否"))</f>
        <v/>
      </c>
      <c r="Y65" s="61" t="str">
        <f aca="false">IF($B65="","",YEAR($B65))</f>
        <v/>
      </c>
      <c r="Z65" s="58" t="str">
        <f aca="false">IF($B65="","",TEXT($B65,"yyyy-mm"))</f>
        <v/>
      </c>
    </row>
    <row r="66" customFormat="false" ht="15" hidden="false" customHeight="false" outlineLevel="0" collapsed="false">
      <c r="A66" s="53" t="str">
        <f aca="false">IF($B66="","",ROW()-5)</f>
        <v/>
      </c>
      <c r="B66" s="54"/>
      <c r="C66" s="33"/>
      <c r="D66" s="33"/>
      <c r="E66" s="32"/>
      <c r="F66" s="39"/>
      <c r="G66" s="48" t="str">
        <f aca="false">IF($F66="","",IFERROR(INDEX(商品档案!$B$6:$B$65,MATCH($F66,商品档案!$A$6:$A$65,0)),""))</f>
        <v/>
      </c>
      <c r="H66" s="48" t="str">
        <f aca="false">IF($F66="","",IFERROR(INDEX(商品档案!$C$6:$C$65,MATCH($F66,商品档案!$A$6:$A$65,0)),""))</f>
        <v/>
      </c>
      <c r="I66" s="55" t="str">
        <f aca="false">IF($F66="","",IFERROR(INDEX(商品档案!$D$6:$D$65,MATCH($F66,商品档案!$A$6:$A$65,0)),""))</f>
        <v/>
      </c>
      <c r="J66" s="49"/>
      <c r="K66" s="56"/>
      <c r="L66" s="33"/>
      <c r="M66" s="39"/>
      <c r="N66" s="41"/>
      <c r="O66" s="41"/>
      <c r="P66" s="25" t="str">
        <f aca="false">IF(AND($B66="",$D66="",$F66=""),"",IF(NOT(ISNUMBER($B66)),"日期无效",IF(ISNA(MATCH($C66,参数设置!$A$10:$A$12,0)),"公司无效",IF(ISNA(MATCH($D66,记账规则!$A$6:$A$9,0)),"业务类型无效",IF(ISNA(MATCH($F66,商品档案!$A$6:$A$65,0)),"商品编码无效",IF(IFERROR(INDEX(商品档案!$E$6:$E$65,MATCH($F66,商品档案!$A$6:$A$65,0)),"")&lt;&gt;$C66,"商品不属于该公司",IF(AND($E66&lt;&gt;"",ISNA(MATCH($E66,往来单位!$A$6:$A$85,0))),"往来单位未建档",IF(N($J66)=0,"数量为 0",IF(N($K66)=0,"单价为 0",IF(AND(LEFT($D66,2)="销售",$U66=""),"该商品没设成本科目",IF(YEAR($B66)&lt;&gt;参数设置!$B$5,"不在本会计年度","OK")))))))))))</f>
        <v/>
      </c>
      <c r="Q66" s="57" t="str">
        <f aca="false">IF($F66="","",ROUND(N($J66)*N($K66),2))</f>
        <v/>
      </c>
      <c r="R66" s="58" t="str">
        <f aca="false">IF($D66="","",IF(LEFT($D66,2)="销售","应收账款","应付账款"))</f>
        <v/>
      </c>
      <c r="S66" s="58" t="str">
        <f aca="false">IF($F66="","",IFERROR(INDEX(商品档案!$G$6:$G$65,MATCH($F66,商品档案!$A$6:$A$65,0)),""))</f>
        <v/>
      </c>
      <c r="T66" s="58" t="str">
        <f aca="false">IF($F66="","",IFERROR(INDEX(商品档案!$H$6:$H$65,MATCH($F66,商品档案!$A$6:$A$65,0)),""))</f>
        <v/>
      </c>
      <c r="U66" s="58" t="str">
        <f aca="false">IF($F66="","",IFERROR(INDEX(商品档案!$I$6:$I$65,MATCH($F66,商品档案!$A$6:$A$65,0)),""))</f>
        <v/>
      </c>
      <c r="V66" s="59" t="str">
        <f aca="false">IF($F66="","",SUMIFS(进销存台账!$N$6:$N$65,进销存台账!$A$6:$A$65,$C66,进销存台账!$B$6:$B$65,$F66))</f>
        <v/>
      </c>
      <c r="W66" s="60" t="n">
        <f aca="false">IF(OR($D66="销售出库",$D66="销售退回"),ROUND(N($J66)*N($V66),2),0)</f>
        <v>0</v>
      </c>
      <c r="X66" s="58" t="str">
        <f aca="false">IF($E66="","",IFERROR(INDEX(往来单位!$D$6:$D$85,MATCH($E66,往来单位!$A$6:$A$85,0)),"否"))</f>
        <v/>
      </c>
      <c r="Y66" s="61" t="str">
        <f aca="false">IF($B66="","",YEAR($B66))</f>
        <v/>
      </c>
      <c r="Z66" s="58" t="str">
        <f aca="false">IF($B66="","",TEXT($B66,"yyyy-mm"))</f>
        <v/>
      </c>
    </row>
    <row r="67" customFormat="false" ht="15" hidden="false" customHeight="false" outlineLevel="0" collapsed="false">
      <c r="A67" s="53" t="str">
        <f aca="false">IF($B67="","",ROW()-5)</f>
        <v/>
      </c>
      <c r="B67" s="54"/>
      <c r="C67" s="33"/>
      <c r="D67" s="33"/>
      <c r="E67" s="32"/>
      <c r="F67" s="39"/>
      <c r="G67" s="48" t="str">
        <f aca="false">IF($F67="","",IFERROR(INDEX(商品档案!$B$6:$B$65,MATCH($F67,商品档案!$A$6:$A$65,0)),""))</f>
        <v/>
      </c>
      <c r="H67" s="48" t="str">
        <f aca="false">IF($F67="","",IFERROR(INDEX(商品档案!$C$6:$C$65,MATCH($F67,商品档案!$A$6:$A$65,0)),""))</f>
        <v/>
      </c>
      <c r="I67" s="55" t="str">
        <f aca="false">IF($F67="","",IFERROR(INDEX(商品档案!$D$6:$D$65,MATCH($F67,商品档案!$A$6:$A$65,0)),""))</f>
        <v/>
      </c>
      <c r="J67" s="49"/>
      <c r="K67" s="56"/>
      <c r="L67" s="33"/>
      <c r="M67" s="39"/>
      <c r="N67" s="41"/>
      <c r="O67" s="41"/>
      <c r="P67" s="25" t="str">
        <f aca="false">IF(AND($B67="",$D67="",$F67=""),"",IF(NOT(ISNUMBER($B67)),"日期无效",IF(ISNA(MATCH($C67,参数设置!$A$10:$A$12,0)),"公司无效",IF(ISNA(MATCH($D67,记账规则!$A$6:$A$9,0)),"业务类型无效",IF(ISNA(MATCH($F67,商品档案!$A$6:$A$65,0)),"商品编码无效",IF(IFERROR(INDEX(商品档案!$E$6:$E$65,MATCH($F67,商品档案!$A$6:$A$65,0)),"")&lt;&gt;$C67,"商品不属于该公司",IF(AND($E67&lt;&gt;"",ISNA(MATCH($E67,往来单位!$A$6:$A$85,0))),"往来单位未建档",IF(N($J67)=0,"数量为 0",IF(N($K67)=0,"单价为 0",IF(AND(LEFT($D67,2)="销售",$U67=""),"该商品没设成本科目",IF(YEAR($B67)&lt;&gt;参数设置!$B$5,"不在本会计年度","OK")))))))))))</f>
        <v/>
      </c>
      <c r="Q67" s="57" t="str">
        <f aca="false">IF($F67="","",ROUND(N($J67)*N($K67),2))</f>
        <v/>
      </c>
      <c r="R67" s="58" t="str">
        <f aca="false">IF($D67="","",IF(LEFT($D67,2)="销售","应收账款","应付账款"))</f>
        <v/>
      </c>
      <c r="S67" s="58" t="str">
        <f aca="false">IF($F67="","",IFERROR(INDEX(商品档案!$G$6:$G$65,MATCH($F67,商品档案!$A$6:$A$65,0)),""))</f>
        <v/>
      </c>
      <c r="T67" s="58" t="str">
        <f aca="false">IF($F67="","",IFERROR(INDEX(商品档案!$H$6:$H$65,MATCH($F67,商品档案!$A$6:$A$65,0)),""))</f>
        <v/>
      </c>
      <c r="U67" s="58" t="str">
        <f aca="false">IF($F67="","",IFERROR(INDEX(商品档案!$I$6:$I$65,MATCH($F67,商品档案!$A$6:$A$65,0)),""))</f>
        <v/>
      </c>
      <c r="V67" s="59" t="str">
        <f aca="false">IF($F67="","",SUMIFS(进销存台账!$N$6:$N$65,进销存台账!$A$6:$A$65,$C67,进销存台账!$B$6:$B$65,$F67))</f>
        <v/>
      </c>
      <c r="W67" s="60" t="n">
        <f aca="false">IF(OR($D67="销售出库",$D67="销售退回"),ROUND(N($J67)*N($V67),2),0)</f>
        <v>0</v>
      </c>
      <c r="X67" s="58" t="str">
        <f aca="false">IF($E67="","",IFERROR(INDEX(往来单位!$D$6:$D$85,MATCH($E67,往来单位!$A$6:$A$85,0)),"否"))</f>
        <v/>
      </c>
      <c r="Y67" s="61" t="str">
        <f aca="false">IF($B67="","",YEAR($B67))</f>
        <v/>
      </c>
      <c r="Z67" s="58" t="str">
        <f aca="false">IF($B67="","",TEXT($B67,"yyyy-mm"))</f>
        <v/>
      </c>
    </row>
    <row r="68" customFormat="false" ht="15" hidden="false" customHeight="false" outlineLevel="0" collapsed="false">
      <c r="A68" s="53" t="str">
        <f aca="false">IF($B68="","",ROW()-5)</f>
        <v/>
      </c>
      <c r="B68" s="54"/>
      <c r="C68" s="33"/>
      <c r="D68" s="33"/>
      <c r="E68" s="32"/>
      <c r="F68" s="39"/>
      <c r="G68" s="48" t="str">
        <f aca="false">IF($F68="","",IFERROR(INDEX(商品档案!$B$6:$B$65,MATCH($F68,商品档案!$A$6:$A$65,0)),""))</f>
        <v/>
      </c>
      <c r="H68" s="48" t="str">
        <f aca="false">IF($F68="","",IFERROR(INDEX(商品档案!$C$6:$C$65,MATCH($F68,商品档案!$A$6:$A$65,0)),""))</f>
        <v/>
      </c>
      <c r="I68" s="55" t="str">
        <f aca="false">IF($F68="","",IFERROR(INDEX(商品档案!$D$6:$D$65,MATCH($F68,商品档案!$A$6:$A$65,0)),""))</f>
        <v/>
      </c>
      <c r="J68" s="49"/>
      <c r="K68" s="56"/>
      <c r="L68" s="33"/>
      <c r="M68" s="39"/>
      <c r="N68" s="41"/>
      <c r="O68" s="41"/>
      <c r="P68" s="25" t="str">
        <f aca="false">IF(AND($B68="",$D68="",$F68=""),"",IF(NOT(ISNUMBER($B68)),"日期无效",IF(ISNA(MATCH($C68,参数设置!$A$10:$A$12,0)),"公司无效",IF(ISNA(MATCH($D68,记账规则!$A$6:$A$9,0)),"业务类型无效",IF(ISNA(MATCH($F68,商品档案!$A$6:$A$65,0)),"商品编码无效",IF(IFERROR(INDEX(商品档案!$E$6:$E$65,MATCH($F68,商品档案!$A$6:$A$65,0)),"")&lt;&gt;$C68,"商品不属于该公司",IF(AND($E68&lt;&gt;"",ISNA(MATCH($E68,往来单位!$A$6:$A$85,0))),"往来单位未建档",IF(N($J68)=0,"数量为 0",IF(N($K68)=0,"单价为 0",IF(AND(LEFT($D68,2)="销售",$U68=""),"该商品没设成本科目",IF(YEAR($B68)&lt;&gt;参数设置!$B$5,"不在本会计年度","OK")))))))))))</f>
        <v/>
      </c>
      <c r="Q68" s="57" t="str">
        <f aca="false">IF($F68="","",ROUND(N($J68)*N($K68),2))</f>
        <v/>
      </c>
      <c r="R68" s="58" t="str">
        <f aca="false">IF($D68="","",IF(LEFT($D68,2)="销售","应收账款","应付账款"))</f>
        <v/>
      </c>
      <c r="S68" s="58" t="str">
        <f aca="false">IF($F68="","",IFERROR(INDEX(商品档案!$G$6:$G$65,MATCH($F68,商品档案!$A$6:$A$65,0)),""))</f>
        <v/>
      </c>
      <c r="T68" s="58" t="str">
        <f aca="false">IF($F68="","",IFERROR(INDEX(商品档案!$H$6:$H$65,MATCH($F68,商品档案!$A$6:$A$65,0)),""))</f>
        <v/>
      </c>
      <c r="U68" s="58" t="str">
        <f aca="false">IF($F68="","",IFERROR(INDEX(商品档案!$I$6:$I$65,MATCH($F68,商品档案!$A$6:$A$65,0)),""))</f>
        <v/>
      </c>
      <c r="V68" s="59" t="str">
        <f aca="false">IF($F68="","",SUMIFS(进销存台账!$N$6:$N$65,进销存台账!$A$6:$A$65,$C68,进销存台账!$B$6:$B$65,$F68))</f>
        <v/>
      </c>
      <c r="W68" s="60" t="n">
        <f aca="false">IF(OR($D68="销售出库",$D68="销售退回"),ROUND(N($J68)*N($V68),2),0)</f>
        <v>0</v>
      </c>
      <c r="X68" s="58" t="str">
        <f aca="false">IF($E68="","",IFERROR(INDEX(往来单位!$D$6:$D$85,MATCH($E68,往来单位!$A$6:$A$85,0)),"否"))</f>
        <v/>
      </c>
      <c r="Y68" s="61" t="str">
        <f aca="false">IF($B68="","",YEAR($B68))</f>
        <v/>
      </c>
      <c r="Z68" s="58" t="str">
        <f aca="false">IF($B68="","",TEXT($B68,"yyyy-mm"))</f>
        <v/>
      </c>
    </row>
    <row r="69" customFormat="false" ht="15" hidden="false" customHeight="false" outlineLevel="0" collapsed="false">
      <c r="A69" s="53" t="str">
        <f aca="false">IF($B69="","",ROW()-5)</f>
        <v/>
      </c>
      <c r="B69" s="54"/>
      <c r="C69" s="33"/>
      <c r="D69" s="33"/>
      <c r="E69" s="32"/>
      <c r="F69" s="39"/>
      <c r="G69" s="48" t="str">
        <f aca="false">IF($F69="","",IFERROR(INDEX(商品档案!$B$6:$B$65,MATCH($F69,商品档案!$A$6:$A$65,0)),""))</f>
        <v/>
      </c>
      <c r="H69" s="48" t="str">
        <f aca="false">IF($F69="","",IFERROR(INDEX(商品档案!$C$6:$C$65,MATCH($F69,商品档案!$A$6:$A$65,0)),""))</f>
        <v/>
      </c>
      <c r="I69" s="55" t="str">
        <f aca="false">IF($F69="","",IFERROR(INDEX(商品档案!$D$6:$D$65,MATCH($F69,商品档案!$A$6:$A$65,0)),""))</f>
        <v/>
      </c>
      <c r="J69" s="49"/>
      <c r="K69" s="56"/>
      <c r="L69" s="33"/>
      <c r="M69" s="39"/>
      <c r="N69" s="41"/>
      <c r="O69" s="41"/>
      <c r="P69" s="25" t="str">
        <f aca="false">IF(AND($B69="",$D69="",$F69=""),"",IF(NOT(ISNUMBER($B69)),"日期无效",IF(ISNA(MATCH($C69,参数设置!$A$10:$A$12,0)),"公司无效",IF(ISNA(MATCH($D69,记账规则!$A$6:$A$9,0)),"业务类型无效",IF(ISNA(MATCH($F69,商品档案!$A$6:$A$65,0)),"商品编码无效",IF(IFERROR(INDEX(商品档案!$E$6:$E$65,MATCH($F69,商品档案!$A$6:$A$65,0)),"")&lt;&gt;$C69,"商品不属于该公司",IF(AND($E69&lt;&gt;"",ISNA(MATCH($E69,往来单位!$A$6:$A$85,0))),"往来单位未建档",IF(N($J69)=0,"数量为 0",IF(N($K69)=0,"单价为 0",IF(AND(LEFT($D69,2)="销售",$U69=""),"该商品没设成本科目",IF(YEAR($B69)&lt;&gt;参数设置!$B$5,"不在本会计年度","OK")))))))))))</f>
        <v/>
      </c>
      <c r="Q69" s="57" t="str">
        <f aca="false">IF($F69="","",ROUND(N($J69)*N($K69),2))</f>
        <v/>
      </c>
      <c r="R69" s="58" t="str">
        <f aca="false">IF($D69="","",IF(LEFT($D69,2)="销售","应收账款","应付账款"))</f>
        <v/>
      </c>
      <c r="S69" s="58" t="str">
        <f aca="false">IF($F69="","",IFERROR(INDEX(商品档案!$G$6:$G$65,MATCH($F69,商品档案!$A$6:$A$65,0)),""))</f>
        <v/>
      </c>
      <c r="T69" s="58" t="str">
        <f aca="false">IF($F69="","",IFERROR(INDEX(商品档案!$H$6:$H$65,MATCH($F69,商品档案!$A$6:$A$65,0)),""))</f>
        <v/>
      </c>
      <c r="U69" s="58" t="str">
        <f aca="false">IF($F69="","",IFERROR(INDEX(商品档案!$I$6:$I$65,MATCH($F69,商品档案!$A$6:$A$65,0)),""))</f>
        <v/>
      </c>
      <c r="V69" s="59" t="str">
        <f aca="false">IF($F69="","",SUMIFS(进销存台账!$N$6:$N$65,进销存台账!$A$6:$A$65,$C69,进销存台账!$B$6:$B$65,$F69))</f>
        <v/>
      </c>
      <c r="W69" s="60" t="n">
        <f aca="false">IF(OR($D69="销售出库",$D69="销售退回"),ROUND(N($J69)*N($V69),2),0)</f>
        <v>0</v>
      </c>
      <c r="X69" s="58" t="str">
        <f aca="false">IF($E69="","",IFERROR(INDEX(往来单位!$D$6:$D$85,MATCH($E69,往来单位!$A$6:$A$85,0)),"否"))</f>
        <v/>
      </c>
      <c r="Y69" s="61" t="str">
        <f aca="false">IF($B69="","",YEAR($B69))</f>
        <v/>
      </c>
      <c r="Z69" s="58" t="str">
        <f aca="false">IF($B69="","",TEXT($B69,"yyyy-mm"))</f>
        <v/>
      </c>
    </row>
    <row r="70" customFormat="false" ht="15" hidden="false" customHeight="false" outlineLevel="0" collapsed="false">
      <c r="A70" s="53" t="str">
        <f aca="false">IF($B70="","",ROW()-5)</f>
        <v/>
      </c>
      <c r="B70" s="54"/>
      <c r="C70" s="33"/>
      <c r="D70" s="33"/>
      <c r="E70" s="32"/>
      <c r="F70" s="39"/>
      <c r="G70" s="48" t="str">
        <f aca="false">IF($F70="","",IFERROR(INDEX(商品档案!$B$6:$B$65,MATCH($F70,商品档案!$A$6:$A$65,0)),""))</f>
        <v/>
      </c>
      <c r="H70" s="48" t="str">
        <f aca="false">IF($F70="","",IFERROR(INDEX(商品档案!$C$6:$C$65,MATCH($F70,商品档案!$A$6:$A$65,0)),""))</f>
        <v/>
      </c>
      <c r="I70" s="55" t="str">
        <f aca="false">IF($F70="","",IFERROR(INDEX(商品档案!$D$6:$D$65,MATCH($F70,商品档案!$A$6:$A$65,0)),""))</f>
        <v/>
      </c>
      <c r="J70" s="49"/>
      <c r="K70" s="56"/>
      <c r="L70" s="33"/>
      <c r="M70" s="39"/>
      <c r="N70" s="41"/>
      <c r="O70" s="41"/>
      <c r="P70" s="25" t="str">
        <f aca="false">IF(AND($B70="",$D70="",$F70=""),"",IF(NOT(ISNUMBER($B70)),"日期无效",IF(ISNA(MATCH($C70,参数设置!$A$10:$A$12,0)),"公司无效",IF(ISNA(MATCH($D70,记账规则!$A$6:$A$9,0)),"业务类型无效",IF(ISNA(MATCH($F70,商品档案!$A$6:$A$65,0)),"商品编码无效",IF(IFERROR(INDEX(商品档案!$E$6:$E$65,MATCH($F70,商品档案!$A$6:$A$65,0)),"")&lt;&gt;$C70,"商品不属于该公司",IF(AND($E70&lt;&gt;"",ISNA(MATCH($E70,往来单位!$A$6:$A$85,0))),"往来单位未建档",IF(N($J70)=0,"数量为 0",IF(N($K70)=0,"单价为 0",IF(AND(LEFT($D70,2)="销售",$U70=""),"该商品没设成本科目",IF(YEAR($B70)&lt;&gt;参数设置!$B$5,"不在本会计年度","OK")))))))))))</f>
        <v/>
      </c>
      <c r="Q70" s="57" t="str">
        <f aca="false">IF($F70="","",ROUND(N($J70)*N($K70),2))</f>
        <v/>
      </c>
      <c r="R70" s="58" t="str">
        <f aca="false">IF($D70="","",IF(LEFT($D70,2)="销售","应收账款","应付账款"))</f>
        <v/>
      </c>
      <c r="S70" s="58" t="str">
        <f aca="false">IF($F70="","",IFERROR(INDEX(商品档案!$G$6:$G$65,MATCH($F70,商品档案!$A$6:$A$65,0)),""))</f>
        <v/>
      </c>
      <c r="T70" s="58" t="str">
        <f aca="false">IF($F70="","",IFERROR(INDEX(商品档案!$H$6:$H$65,MATCH($F70,商品档案!$A$6:$A$65,0)),""))</f>
        <v/>
      </c>
      <c r="U70" s="58" t="str">
        <f aca="false">IF($F70="","",IFERROR(INDEX(商品档案!$I$6:$I$65,MATCH($F70,商品档案!$A$6:$A$65,0)),""))</f>
        <v/>
      </c>
      <c r="V70" s="59" t="str">
        <f aca="false">IF($F70="","",SUMIFS(进销存台账!$N$6:$N$65,进销存台账!$A$6:$A$65,$C70,进销存台账!$B$6:$B$65,$F70))</f>
        <v/>
      </c>
      <c r="W70" s="60" t="n">
        <f aca="false">IF(OR($D70="销售出库",$D70="销售退回"),ROUND(N($J70)*N($V70),2),0)</f>
        <v>0</v>
      </c>
      <c r="X70" s="58" t="str">
        <f aca="false">IF($E70="","",IFERROR(INDEX(往来单位!$D$6:$D$85,MATCH($E70,往来单位!$A$6:$A$85,0)),"否"))</f>
        <v/>
      </c>
      <c r="Y70" s="61" t="str">
        <f aca="false">IF($B70="","",YEAR($B70))</f>
        <v/>
      </c>
      <c r="Z70" s="58" t="str">
        <f aca="false">IF($B70="","",TEXT($B70,"yyyy-mm"))</f>
        <v/>
      </c>
    </row>
    <row r="71" customFormat="false" ht="15" hidden="false" customHeight="false" outlineLevel="0" collapsed="false">
      <c r="A71" s="53" t="str">
        <f aca="false">IF($B71="","",ROW()-5)</f>
        <v/>
      </c>
      <c r="B71" s="54"/>
      <c r="C71" s="33"/>
      <c r="D71" s="33"/>
      <c r="E71" s="32"/>
      <c r="F71" s="39"/>
      <c r="G71" s="48" t="str">
        <f aca="false">IF($F71="","",IFERROR(INDEX(商品档案!$B$6:$B$65,MATCH($F71,商品档案!$A$6:$A$65,0)),""))</f>
        <v/>
      </c>
      <c r="H71" s="48" t="str">
        <f aca="false">IF($F71="","",IFERROR(INDEX(商品档案!$C$6:$C$65,MATCH($F71,商品档案!$A$6:$A$65,0)),""))</f>
        <v/>
      </c>
      <c r="I71" s="55" t="str">
        <f aca="false">IF($F71="","",IFERROR(INDEX(商品档案!$D$6:$D$65,MATCH($F71,商品档案!$A$6:$A$65,0)),""))</f>
        <v/>
      </c>
      <c r="J71" s="49"/>
      <c r="K71" s="56"/>
      <c r="L71" s="33"/>
      <c r="M71" s="39"/>
      <c r="N71" s="41"/>
      <c r="O71" s="41"/>
      <c r="P71" s="25" t="str">
        <f aca="false">IF(AND($B71="",$D71="",$F71=""),"",IF(NOT(ISNUMBER($B71)),"日期无效",IF(ISNA(MATCH($C71,参数设置!$A$10:$A$12,0)),"公司无效",IF(ISNA(MATCH($D71,记账规则!$A$6:$A$9,0)),"业务类型无效",IF(ISNA(MATCH($F71,商品档案!$A$6:$A$65,0)),"商品编码无效",IF(IFERROR(INDEX(商品档案!$E$6:$E$65,MATCH($F71,商品档案!$A$6:$A$65,0)),"")&lt;&gt;$C71,"商品不属于该公司",IF(AND($E71&lt;&gt;"",ISNA(MATCH($E71,往来单位!$A$6:$A$85,0))),"往来单位未建档",IF(N($J71)=0,"数量为 0",IF(N($K71)=0,"单价为 0",IF(AND(LEFT($D71,2)="销售",$U71=""),"该商品没设成本科目",IF(YEAR($B71)&lt;&gt;参数设置!$B$5,"不在本会计年度","OK")))))))))))</f>
        <v/>
      </c>
      <c r="Q71" s="57" t="str">
        <f aca="false">IF($F71="","",ROUND(N($J71)*N($K71),2))</f>
        <v/>
      </c>
      <c r="R71" s="58" t="str">
        <f aca="false">IF($D71="","",IF(LEFT($D71,2)="销售","应收账款","应付账款"))</f>
        <v/>
      </c>
      <c r="S71" s="58" t="str">
        <f aca="false">IF($F71="","",IFERROR(INDEX(商品档案!$G$6:$G$65,MATCH($F71,商品档案!$A$6:$A$65,0)),""))</f>
        <v/>
      </c>
      <c r="T71" s="58" t="str">
        <f aca="false">IF($F71="","",IFERROR(INDEX(商品档案!$H$6:$H$65,MATCH($F71,商品档案!$A$6:$A$65,0)),""))</f>
        <v/>
      </c>
      <c r="U71" s="58" t="str">
        <f aca="false">IF($F71="","",IFERROR(INDEX(商品档案!$I$6:$I$65,MATCH($F71,商品档案!$A$6:$A$65,0)),""))</f>
        <v/>
      </c>
      <c r="V71" s="59" t="str">
        <f aca="false">IF($F71="","",SUMIFS(进销存台账!$N$6:$N$65,进销存台账!$A$6:$A$65,$C71,进销存台账!$B$6:$B$65,$F71))</f>
        <v/>
      </c>
      <c r="W71" s="60" t="n">
        <f aca="false">IF(OR($D71="销售出库",$D71="销售退回"),ROUND(N($J71)*N($V71),2),0)</f>
        <v>0</v>
      </c>
      <c r="X71" s="58" t="str">
        <f aca="false">IF($E71="","",IFERROR(INDEX(往来单位!$D$6:$D$85,MATCH($E71,往来单位!$A$6:$A$85,0)),"否"))</f>
        <v/>
      </c>
      <c r="Y71" s="61" t="str">
        <f aca="false">IF($B71="","",YEAR($B71))</f>
        <v/>
      </c>
      <c r="Z71" s="58" t="str">
        <f aca="false">IF($B71="","",TEXT($B71,"yyyy-mm"))</f>
        <v/>
      </c>
    </row>
    <row r="72" customFormat="false" ht="15" hidden="false" customHeight="false" outlineLevel="0" collapsed="false">
      <c r="A72" s="53" t="str">
        <f aca="false">IF($B72="","",ROW()-5)</f>
        <v/>
      </c>
      <c r="B72" s="54"/>
      <c r="C72" s="33"/>
      <c r="D72" s="33"/>
      <c r="E72" s="32"/>
      <c r="F72" s="39"/>
      <c r="G72" s="48" t="str">
        <f aca="false">IF($F72="","",IFERROR(INDEX(商品档案!$B$6:$B$65,MATCH($F72,商品档案!$A$6:$A$65,0)),""))</f>
        <v/>
      </c>
      <c r="H72" s="48" t="str">
        <f aca="false">IF($F72="","",IFERROR(INDEX(商品档案!$C$6:$C$65,MATCH($F72,商品档案!$A$6:$A$65,0)),""))</f>
        <v/>
      </c>
      <c r="I72" s="55" t="str">
        <f aca="false">IF($F72="","",IFERROR(INDEX(商品档案!$D$6:$D$65,MATCH($F72,商品档案!$A$6:$A$65,0)),""))</f>
        <v/>
      </c>
      <c r="J72" s="49"/>
      <c r="K72" s="56"/>
      <c r="L72" s="33"/>
      <c r="M72" s="39"/>
      <c r="N72" s="41"/>
      <c r="O72" s="41"/>
      <c r="P72" s="25" t="str">
        <f aca="false">IF(AND($B72="",$D72="",$F72=""),"",IF(NOT(ISNUMBER($B72)),"日期无效",IF(ISNA(MATCH($C72,参数设置!$A$10:$A$12,0)),"公司无效",IF(ISNA(MATCH($D72,记账规则!$A$6:$A$9,0)),"业务类型无效",IF(ISNA(MATCH($F72,商品档案!$A$6:$A$65,0)),"商品编码无效",IF(IFERROR(INDEX(商品档案!$E$6:$E$65,MATCH($F72,商品档案!$A$6:$A$65,0)),"")&lt;&gt;$C72,"商品不属于该公司",IF(AND($E72&lt;&gt;"",ISNA(MATCH($E72,往来单位!$A$6:$A$85,0))),"往来单位未建档",IF(N($J72)=0,"数量为 0",IF(N($K72)=0,"单价为 0",IF(AND(LEFT($D72,2)="销售",$U72=""),"该商品没设成本科目",IF(YEAR($B72)&lt;&gt;参数设置!$B$5,"不在本会计年度","OK")))))))))))</f>
        <v/>
      </c>
      <c r="Q72" s="57" t="str">
        <f aca="false">IF($F72="","",ROUND(N($J72)*N($K72),2))</f>
        <v/>
      </c>
      <c r="R72" s="58" t="str">
        <f aca="false">IF($D72="","",IF(LEFT($D72,2)="销售","应收账款","应付账款"))</f>
        <v/>
      </c>
      <c r="S72" s="58" t="str">
        <f aca="false">IF($F72="","",IFERROR(INDEX(商品档案!$G$6:$G$65,MATCH($F72,商品档案!$A$6:$A$65,0)),""))</f>
        <v/>
      </c>
      <c r="T72" s="58" t="str">
        <f aca="false">IF($F72="","",IFERROR(INDEX(商品档案!$H$6:$H$65,MATCH($F72,商品档案!$A$6:$A$65,0)),""))</f>
        <v/>
      </c>
      <c r="U72" s="58" t="str">
        <f aca="false">IF($F72="","",IFERROR(INDEX(商品档案!$I$6:$I$65,MATCH($F72,商品档案!$A$6:$A$65,0)),""))</f>
        <v/>
      </c>
      <c r="V72" s="59" t="str">
        <f aca="false">IF($F72="","",SUMIFS(进销存台账!$N$6:$N$65,进销存台账!$A$6:$A$65,$C72,进销存台账!$B$6:$B$65,$F72))</f>
        <v/>
      </c>
      <c r="W72" s="60" t="n">
        <f aca="false">IF(OR($D72="销售出库",$D72="销售退回"),ROUND(N($J72)*N($V72),2),0)</f>
        <v>0</v>
      </c>
      <c r="X72" s="58" t="str">
        <f aca="false">IF($E72="","",IFERROR(INDEX(往来单位!$D$6:$D$85,MATCH($E72,往来单位!$A$6:$A$85,0)),"否"))</f>
        <v/>
      </c>
      <c r="Y72" s="61" t="str">
        <f aca="false">IF($B72="","",YEAR($B72))</f>
        <v/>
      </c>
      <c r="Z72" s="58" t="str">
        <f aca="false">IF($B72="","",TEXT($B72,"yyyy-mm"))</f>
        <v/>
      </c>
    </row>
    <row r="73" customFormat="false" ht="15" hidden="false" customHeight="false" outlineLevel="0" collapsed="false">
      <c r="A73" s="53" t="str">
        <f aca="false">IF($B73="","",ROW()-5)</f>
        <v/>
      </c>
      <c r="B73" s="54"/>
      <c r="C73" s="33"/>
      <c r="D73" s="33"/>
      <c r="E73" s="32"/>
      <c r="F73" s="39"/>
      <c r="G73" s="48" t="str">
        <f aca="false">IF($F73="","",IFERROR(INDEX(商品档案!$B$6:$B$65,MATCH($F73,商品档案!$A$6:$A$65,0)),""))</f>
        <v/>
      </c>
      <c r="H73" s="48" t="str">
        <f aca="false">IF($F73="","",IFERROR(INDEX(商品档案!$C$6:$C$65,MATCH($F73,商品档案!$A$6:$A$65,0)),""))</f>
        <v/>
      </c>
      <c r="I73" s="55" t="str">
        <f aca="false">IF($F73="","",IFERROR(INDEX(商品档案!$D$6:$D$65,MATCH($F73,商品档案!$A$6:$A$65,0)),""))</f>
        <v/>
      </c>
      <c r="J73" s="49"/>
      <c r="K73" s="56"/>
      <c r="L73" s="33"/>
      <c r="M73" s="39"/>
      <c r="N73" s="41"/>
      <c r="O73" s="41"/>
      <c r="P73" s="25" t="str">
        <f aca="false">IF(AND($B73="",$D73="",$F73=""),"",IF(NOT(ISNUMBER($B73)),"日期无效",IF(ISNA(MATCH($C73,参数设置!$A$10:$A$12,0)),"公司无效",IF(ISNA(MATCH($D73,记账规则!$A$6:$A$9,0)),"业务类型无效",IF(ISNA(MATCH($F73,商品档案!$A$6:$A$65,0)),"商品编码无效",IF(IFERROR(INDEX(商品档案!$E$6:$E$65,MATCH($F73,商品档案!$A$6:$A$65,0)),"")&lt;&gt;$C73,"商品不属于该公司",IF(AND($E73&lt;&gt;"",ISNA(MATCH($E73,往来单位!$A$6:$A$85,0))),"往来单位未建档",IF(N($J73)=0,"数量为 0",IF(N($K73)=0,"单价为 0",IF(AND(LEFT($D73,2)="销售",$U73=""),"该商品没设成本科目",IF(YEAR($B73)&lt;&gt;参数设置!$B$5,"不在本会计年度","OK")))))))))))</f>
        <v/>
      </c>
      <c r="Q73" s="57" t="str">
        <f aca="false">IF($F73="","",ROUND(N($J73)*N($K73),2))</f>
        <v/>
      </c>
      <c r="R73" s="58" t="str">
        <f aca="false">IF($D73="","",IF(LEFT($D73,2)="销售","应收账款","应付账款"))</f>
        <v/>
      </c>
      <c r="S73" s="58" t="str">
        <f aca="false">IF($F73="","",IFERROR(INDEX(商品档案!$G$6:$G$65,MATCH($F73,商品档案!$A$6:$A$65,0)),""))</f>
        <v/>
      </c>
      <c r="T73" s="58" t="str">
        <f aca="false">IF($F73="","",IFERROR(INDEX(商品档案!$H$6:$H$65,MATCH($F73,商品档案!$A$6:$A$65,0)),""))</f>
        <v/>
      </c>
      <c r="U73" s="58" t="str">
        <f aca="false">IF($F73="","",IFERROR(INDEX(商品档案!$I$6:$I$65,MATCH($F73,商品档案!$A$6:$A$65,0)),""))</f>
        <v/>
      </c>
      <c r="V73" s="59" t="str">
        <f aca="false">IF($F73="","",SUMIFS(进销存台账!$N$6:$N$65,进销存台账!$A$6:$A$65,$C73,进销存台账!$B$6:$B$65,$F73))</f>
        <v/>
      </c>
      <c r="W73" s="60" t="n">
        <f aca="false">IF(OR($D73="销售出库",$D73="销售退回"),ROUND(N($J73)*N($V73),2),0)</f>
        <v>0</v>
      </c>
      <c r="X73" s="58" t="str">
        <f aca="false">IF($E73="","",IFERROR(INDEX(往来单位!$D$6:$D$85,MATCH($E73,往来单位!$A$6:$A$85,0)),"否"))</f>
        <v/>
      </c>
      <c r="Y73" s="61" t="str">
        <f aca="false">IF($B73="","",YEAR($B73))</f>
        <v/>
      </c>
      <c r="Z73" s="58" t="str">
        <f aca="false">IF($B73="","",TEXT($B73,"yyyy-mm"))</f>
        <v/>
      </c>
    </row>
    <row r="74" customFormat="false" ht="15" hidden="false" customHeight="false" outlineLevel="0" collapsed="false">
      <c r="A74" s="53" t="str">
        <f aca="false">IF($B74="","",ROW()-5)</f>
        <v/>
      </c>
      <c r="B74" s="54"/>
      <c r="C74" s="33"/>
      <c r="D74" s="33"/>
      <c r="E74" s="32"/>
      <c r="F74" s="39"/>
      <c r="G74" s="48" t="str">
        <f aca="false">IF($F74="","",IFERROR(INDEX(商品档案!$B$6:$B$65,MATCH($F74,商品档案!$A$6:$A$65,0)),""))</f>
        <v/>
      </c>
      <c r="H74" s="48" t="str">
        <f aca="false">IF($F74="","",IFERROR(INDEX(商品档案!$C$6:$C$65,MATCH($F74,商品档案!$A$6:$A$65,0)),""))</f>
        <v/>
      </c>
      <c r="I74" s="55" t="str">
        <f aca="false">IF($F74="","",IFERROR(INDEX(商品档案!$D$6:$D$65,MATCH($F74,商品档案!$A$6:$A$65,0)),""))</f>
        <v/>
      </c>
      <c r="J74" s="49"/>
      <c r="K74" s="56"/>
      <c r="L74" s="33"/>
      <c r="M74" s="39"/>
      <c r="N74" s="41"/>
      <c r="O74" s="41"/>
      <c r="P74" s="25" t="str">
        <f aca="false">IF(AND($B74="",$D74="",$F74=""),"",IF(NOT(ISNUMBER($B74)),"日期无效",IF(ISNA(MATCH($C74,参数设置!$A$10:$A$12,0)),"公司无效",IF(ISNA(MATCH($D74,记账规则!$A$6:$A$9,0)),"业务类型无效",IF(ISNA(MATCH($F74,商品档案!$A$6:$A$65,0)),"商品编码无效",IF(IFERROR(INDEX(商品档案!$E$6:$E$65,MATCH($F74,商品档案!$A$6:$A$65,0)),"")&lt;&gt;$C74,"商品不属于该公司",IF(AND($E74&lt;&gt;"",ISNA(MATCH($E74,往来单位!$A$6:$A$85,0))),"往来单位未建档",IF(N($J74)=0,"数量为 0",IF(N($K74)=0,"单价为 0",IF(AND(LEFT($D74,2)="销售",$U74=""),"该商品没设成本科目",IF(YEAR($B74)&lt;&gt;参数设置!$B$5,"不在本会计年度","OK")))))))))))</f>
        <v/>
      </c>
      <c r="Q74" s="57" t="str">
        <f aca="false">IF($F74="","",ROUND(N($J74)*N($K74),2))</f>
        <v/>
      </c>
      <c r="R74" s="58" t="str">
        <f aca="false">IF($D74="","",IF(LEFT($D74,2)="销售","应收账款","应付账款"))</f>
        <v/>
      </c>
      <c r="S74" s="58" t="str">
        <f aca="false">IF($F74="","",IFERROR(INDEX(商品档案!$G$6:$G$65,MATCH($F74,商品档案!$A$6:$A$65,0)),""))</f>
        <v/>
      </c>
      <c r="T74" s="58" t="str">
        <f aca="false">IF($F74="","",IFERROR(INDEX(商品档案!$H$6:$H$65,MATCH($F74,商品档案!$A$6:$A$65,0)),""))</f>
        <v/>
      </c>
      <c r="U74" s="58" t="str">
        <f aca="false">IF($F74="","",IFERROR(INDEX(商品档案!$I$6:$I$65,MATCH($F74,商品档案!$A$6:$A$65,0)),""))</f>
        <v/>
      </c>
      <c r="V74" s="59" t="str">
        <f aca="false">IF($F74="","",SUMIFS(进销存台账!$N$6:$N$65,进销存台账!$A$6:$A$65,$C74,进销存台账!$B$6:$B$65,$F74))</f>
        <v/>
      </c>
      <c r="W74" s="60" t="n">
        <f aca="false">IF(OR($D74="销售出库",$D74="销售退回"),ROUND(N($J74)*N($V74),2),0)</f>
        <v>0</v>
      </c>
      <c r="X74" s="58" t="str">
        <f aca="false">IF($E74="","",IFERROR(INDEX(往来单位!$D$6:$D$85,MATCH($E74,往来单位!$A$6:$A$85,0)),"否"))</f>
        <v/>
      </c>
      <c r="Y74" s="61" t="str">
        <f aca="false">IF($B74="","",YEAR($B74))</f>
        <v/>
      </c>
      <c r="Z74" s="58" t="str">
        <f aca="false">IF($B74="","",TEXT($B74,"yyyy-mm"))</f>
        <v/>
      </c>
    </row>
    <row r="75" customFormat="false" ht="15" hidden="false" customHeight="false" outlineLevel="0" collapsed="false">
      <c r="A75" s="53" t="str">
        <f aca="false">IF($B75="","",ROW()-5)</f>
        <v/>
      </c>
      <c r="B75" s="54"/>
      <c r="C75" s="33"/>
      <c r="D75" s="33"/>
      <c r="E75" s="32"/>
      <c r="F75" s="39"/>
      <c r="G75" s="48" t="str">
        <f aca="false">IF($F75="","",IFERROR(INDEX(商品档案!$B$6:$B$65,MATCH($F75,商品档案!$A$6:$A$65,0)),""))</f>
        <v/>
      </c>
      <c r="H75" s="48" t="str">
        <f aca="false">IF($F75="","",IFERROR(INDEX(商品档案!$C$6:$C$65,MATCH($F75,商品档案!$A$6:$A$65,0)),""))</f>
        <v/>
      </c>
      <c r="I75" s="55" t="str">
        <f aca="false">IF($F75="","",IFERROR(INDEX(商品档案!$D$6:$D$65,MATCH($F75,商品档案!$A$6:$A$65,0)),""))</f>
        <v/>
      </c>
      <c r="J75" s="49"/>
      <c r="K75" s="56"/>
      <c r="L75" s="33"/>
      <c r="M75" s="39"/>
      <c r="N75" s="41"/>
      <c r="O75" s="41"/>
      <c r="P75" s="25" t="str">
        <f aca="false">IF(AND($B75="",$D75="",$F75=""),"",IF(NOT(ISNUMBER($B75)),"日期无效",IF(ISNA(MATCH($C75,参数设置!$A$10:$A$12,0)),"公司无效",IF(ISNA(MATCH($D75,记账规则!$A$6:$A$9,0)),"业务类型无效",IF(ISNA(MATCH($F75,商品档案!$A$6:$A$65,0)),"商品编码无效",IF(IFERROR(INDEX(商品档案!$E$6:$E$65,MATCH($F75,商品档案!$A$6:$A$65,0)),"")&lt;&gt;$C75,"商品不属于该公司",IF(AND($E75&lt;&gt;"",ISNA(MATCH($E75,往来单位!$A$6:$A$85,0))),"往来单位未建档",IF(N($J75)=0,"数量为 0",IF(N($K75)=0,"单价为 0",IF(AND(LEFT($D75,2)="销售",$U75=""),"该商品没设成本科目",IF(YEAR($B75)&lt;&gt;参数设置!$B$5,"不在本会计年度","OK")))))))))))</f>
        <v/>
      </c>
      <c r="Q75" s="57" t="str">
        <f aca="false">IF($F75="","",ROUND(N($J75)*N($K75),2))</f>
        <v/>
      </c>
      <c r="R75" s="58" t="str">
        <f aca="false">IF($D75="","",IF(LEFT($D75,2)="销售","应收账款","应付账款"))</f>
        <v/>
      </c>
      <c r="S75" s="58" t="str">
        <f aca="false">IF($F75="","",IFERROR(INDEX(商品档案!$G$6:$G$65,MATCH($F75,商品档案!$A$6:$A$65,0)),""))</f>
        <v/>
      </c>
      <c r="T75" s="58" t="str">
        <f aca="false">IF($F75="","",IFERROR(INDEX(商品档案!$H$6:$H$65,MATCH($F75,商品档案!$A$6:$A$65,0)),""))</f>
        <v/>
      </c>
      <c r="U75" s="58" t="str">
        <f aca="false">IF($F75="","",IFERROR(INDEX(商品档案!$I$6:$I$65,MATCH($F75,商品档案!$A$6:$A$65,0)),""))</f>
        <v/>
      </c>
      <c r="V75" s="59" t="str">
        <f aca="false">IF($F75="","",SUMIFS(进销存台账!$N$6:$N$65,进销存台账!$A$6:$A$65,$C75,进销存台账!$B$6:$B$65,$F75))</f>
        <v/>
      </c>
      <c r="W75" s="60" t="n">
        <f aca="false">IF(OR($D75="销售出库",$D75="销售退回"),ROUND(N($J75)*N($V75),2),0)</f>
        <v>0</v>
      </c>
      <c r="X75" s="58" t="str">
        <f aca="false">IF($E75="","",IFERROR(INDEX(往来单位!$D$6:$D$85,MATCH($E75,往来单位!$A$6:$A$85,0)),"否"))</f>
        <v/>
      </c>
      <c r="Y75" s="61" t="str">
        <f aca="false">IF($B75="","",YEAR($B75))</f>
        <v/>
      </c>
      <c r="Z75" s="58" t="str">
        <f aca="false">IF($B75="","",TEXT($B75,"yyyy-mm"))</f>
        <v/>
      </c>
    </row>
    <row r="76" customFormat="false" ht="15" hidden="false" customHeight="false" outlineLevel="0" collapsed="false">
      <c r="A76" s="53" t="str">
        <f aca="false">IF($B76="","",ROW()-5)</f>
        <v/>
      </c>
      <c r="B76" s="54"/>
      <c r="C76" s="33"/>
      <c r="D76" s="33"/>
      <c r="E76" s="32"/>
      <c r="F76" s="39"/>
      <c r="G76" s="48" t="str">
        <f aca="false">IF($F76="","",IFERROR(INDEX(商品档案!$B$6:$B$65,MATCH($F76,商品档案!$A$6:$A$65,0)),""))</f>
        <v/>
      </c>
      <c r="H76" s="48" t="str">
        <f aca="false">IF($F76="","",IFERROR(INDEX(商品档案!$C$6:$C$65,MATCH($F76,商品档案!$A$6:$A$65,0)),""))</f>
        <v/>
      </c>
      <c r="I76" s="55" t="str">
        <f aca="false">IF($F76="","",IFERROR(INDEX(商品档案!$D$6:$D$65,MATCH($F76,商品档案!$A$6:$A$65,0)),""))</f>
        <v/>
      </c>
      <c r="J76" s="49"/>
      <c r="K76" s="56"/>
      <c r="L76" s="33"/>
      <c r="M76" s="39"/>
      <c r="N76" s="41"/>
      <c r="O76" s="41"/>
      <c r="P76" s="25" t="str">
        <f aca="false">IF(AND($B76="",$D76="",$F76=""),"",IF(NOT(ISNUMBER($B76)),"日期无效",IF(ISNA(MATCH($C76,参数设置!$A$10:$A$12,0)),"公司无效",IF(ISNA(MATCH($D76,记账规则!$A$6:$A$9,0)),"业务类型无效",IF(ISNA(MATCH($F76,商品档案!$A$6:$A$65,0)),"商品编码无效",IF(IFERROR(INDEX(商品档案!$E$6:$E$65,MATCH($F76,商品档案!$A$6:$A$65,0)),"")&lt;&gt;$C76,"商品不属于该公司",IF(AND($E76&lt;&gt;"",ISNA(MATCH($E76,往来单位!$A$6:$A$85,0))),"往来单位未建档",IF(N($J76)=0,"数量为 0",IF(N($K76)=0,"单价为 0",IF(AND(LEFT($D76,2)="销售",$U76=""),"该商品没设成本科目",IF(YEAR($B76)&lt;&gt;参数设置!$B$5,"不在本会计年度","OK")))))))))))</f>
        <v/>
      </c>
      <c r="Q76" s="57" t="str">
        <f aca="false">IF($F76="","",ROUND(N($J76)*N($K76),2))</f>
        <v/>
      </c>
      <c r="R76" s="58" t="str">
        <f aca="false">IF($D76="","",IF(LEFT($D76,2)="销售","应收账款","应付账款"))</f>
        <v/>
      </c>
      <c r="S76" s="58" t="str">
        <f aca="false">IF($F76="","",IFERROR(INDEX(商品档案!$G$6:$G$65,MATCH($F76,商品档案!$A$6:$A$65,0)),""))</f>
        <v/>
      </c>
      <c r="T76" s="58" t="str">
        <f aca="false">IF($F76="","",IFERROR(INDEX(商品档案!$H$6:$H$65,MATCH($F76,商品档案!$A$6:$A$65,0)),""))</f>
        <v/>
      </c>
      <c r="U76" s="58" t="str">
        <f aca="false">IF($F76="","",IFERROR(INDEX(商品档案!$I$6:$I$65,MATCH($F76,商品档案!$A$6:$A$65,0)),""))</f>
        <v/>
      </c>
      <c r="V76" s="59" t="str">
        <f aca="false">IF($F76="","",SUMIFS(进销存台账!$N$6:$N$65,进销存台账!$A$6:$A$65,$C76,进销存台账!$B$6:$B$65,$F76))</f>
        <v/>
      </c>
      <c r="W76" s="60" t="n">
        <f aca="false">IF(OR($D76="销售出库",$D76="销售退回"),ROUND(N($J76)*N($V76),2),0)</f>
        <v>0</v>
      </c>
      <c r="X76" s="58" t="str">
        <f aca="false">IF($E76="","",IFERROR(INDEX(往来单位!$D$6:$D$85,MATCH($E76,往来单位!$A$6:$A$85,0)),"否"))</f>
        <v/>
      </c>
      <c r="Y76" s="61" t="str">
        <f aca="false">IF($B76="","",YEAR($B76))</f>
        <v/>
      </c>
      <c r="Z76" s="58" t="str">
        <f aca="false">IF($B76="","",TEXT($B76,"yyyy-mm"))</f>
        <v/>
      </c>
    </row>
    <row r="77" customFormat="false" ht="15" hidden="false" customHeight="false" outlineLevel="0" collapsed="false">
      <c r="A77" s="53" t="str">
        <f aca="false">IF($B77="","",ROW()-5)</f>
        <v/>
      </c>
      <c r="B77" s="54"/>
      <c r="C77" s="33"/>
      <c r="D77" s="33"/>
      <c r="E77" s="32"/>
      <c r="F77" s="39"/>
      <c r="G77" s="48" t="str">
        <f aca="false">IF($F77="","",IFERROR(INDEX(商品档案!$B$6:$B$65,MATCH($F77,商品档案!$A$6:$A$65,0)),""))</f>
        <v/>
      </c>
      <c r="H77" s="48" t="str">
        <f aca="false">IF($F77="","",IFERROR(INDEX(商品档案!$C$6:$C$65,MATCH($F77,商品档案!$A$6:$A$65,0)),""))</f>
        <v/>
      </c>
      <c r="I77" s="55" t="str">
        <f aca="false">IF($F77="","",IFERROR(INDEX(商品档案!$D$6:$D$65,MATCH($F77,商品档案!$A$6:$A$65,0)),""))</f>
        <v/>
      </c>
      <c r="J77" s="49"/>
      <c r="K77" s="56"/>
      <c r="L77" s="33"/>
      <c r="M77" s="39"/>
      <c r="N77" s="41"/>
      <c r="O77" s="41"/>
      <c r="P77" s="25" t="str">
        <f aca="false">IF(AND($B77="",$D77="",$F77=""),"",IF(NOT(ISNUMBER($B77)),"日期无效",IF(ISNA(MATCH($C77,参数设置!$A$10:$A$12,0)),"公司无效",IF(ISNA(MATCH($D77,记账规则!$A$6:$A$9,0)),"业务类型无效",IF(ISNA(MATCH($F77,商品档案!$A$6:$A$65,0)),"商品编码无效",IF(IFERROR(INDEX(商品档案!$E$6:$E$65,MATCH($F77,商品档案!$A$6:$A$65,0)),"")&lt;&gt;$C77,"商品不属于该公司",IF(AND($E77&lt;&gt;"",ISNA(MATCH($E77,往来单位!$A$6:$A$85,0))),"往来单位未建档",IF(N($J77)=0,"数量为 0",IF(N($K77)=0,"单价为 0",IF(AND(LEFT($D77,2)="销售",$U77=""),"该商品没设成本科目",IF(YEAR($B77)&lt;&gt;参数设置!$B$5,"不在本会计年度","OK")))))))))))</f>
        <v/>
      </c>
      <c r="Q77" s="57" t="str">
        <f aca="false">IF($F77="","",ROUND(N($J77)*N($K77),2))</f>
        <v/>
      </c>
      <c r="R77" s="58" t="str">
        <f aca="false">IF($D77="","",IF(LEFT($D77,2)="销售","应收账款","应付账款"))</f>
        <v/>
      </c>
      <c r="S77" s="58" t="str">
        <f aca="false">IF($F77="","",IFERROR(INDEX(商品档案!$G$6:$G$65,MATCH($F77,商品档案!$A$6:$A$65,0)),""))</f>
        <v/>
      </c>
      <c r="T77" s="58" t="str">
        <f aca="false">IF($F77="","",IFERROR(INDEX(商品档案!$H$6:$H$65,MATCH($F77,商品档案!$A$6:$A$65,0)),""))</f>
        <v/>
      </c>
      <c r="U77" s="58" t="str">
        <f aca="false">IF($F77="","",IFERROR(INDEX(商品档案!$I$6:$I$65,MATCH($F77,商品档案!$A$6:$A$65,0)),""))</f>
        <v/>
      </c>
      <c r="V77" s="59" t="str">
        <f aca="false">IF($F77="","",SUMIFS(进销存台账!$N$6:$N$65,进销存台账!$A$6:$A$65,$C77,进销存台账!$B$6:$B$65,$F77))</f>
        <v/>
      </c>
      <c r="W77" s="60" t="n">
        <f aca="false">IF(OR($D77="销售出库",$D77="销售退回"),ROUND(N($J77)*N($V77),2),0)</f>
        <v>0</v>
      </c>
      <c r="X77" s="58" t="str">
        <f aca="false">IF($E77="","",IFERROR(INDEX(往来单位!$D$6:$D$85,MATCH($E77,往来单位!$A$6:$A$85,0)),"否"))</f>
        <v/>
      </c>
      <c r="Y77" s="61" t="str">
        <f aca="false">IF($B77="","",YEAR($B77))</f>
        <v/>
      </c>
      <c r="Z77" s="58" t="str">
        <f aca="false">IF($B77="","",TEXT($B77,"yyyy-mm"))</f>
        <v/>
      </c>
    </row>
    <row r="78" customFormat="false" ht="15" hidden="false" customHeight="false" outlineLevel="0" collapsed="false">
      <c r="A78" s="53" t="str">
        <f aca="false">IF($B78="","",ROW()-5)</f>
        <v/>
      </c>
      <c r="B78" s="54"/>
      <c r="C78" s="33"/>
      <c r="D78" s="33"/>
      <c r="E78" s="32"/>
      <c r="F78" s="39"/>
      <c r="G78" s="48" t="str">
        <f aca="false">IF($F78="","",IFERROR(INDEX(商品档案!$B$6:$B$65,MATCH($F78,商品档案!$A$6:$A$65,0)),""))</f>
        <v/>
      </c>
      <c r="H78" s="48" t="str">
        <f aca="false">IF($F78="","",IFERROR(INDEX(商品档案!$C$6:$C$65,MATCH($F78,商品档案!$A$6:$A$65,0)),""))</f>
        <v/>
      </c>
      <c r="I78" s="55" t="str">
        <f aca="false">IF($F78="","",IFERROR(INDEX(商品档案!$D$6:$D$65,MATCH($F78,商品档案!$A$6:$A$65,0)),""))</f>
        <v/>
      </c>
      <c r="J78" s="49"/>
      <c r="K78" s="56"/>
      <c r="L78" s="33"/>
      <c r="M78" s="39"/>
      <c r="N78" s="41"/>
      <c r="O78" s="41"/>
      <c r="P78" s="25" t="str">
        <f aca="false">IF(AND($B78="",$D78="",$F78=""),"",IF(NOT(ISNUMBER($B78)),"日期无效",IF(ISNA(MATCH($C78,参数设置!$A$10:$A$12,0)),"公司无效",IF(ISNA(MATCH($D78,记账规则!$A$6:$A$9,0)),"业务类型无效",IF(ISNA(MATCH($F78,商品档案!$A$6:$A$65,0)),"商品编码无效",IF(IFERROR(INDEX(商品档案!$E$6:$E$65,MATCH($F78,商品档案!$A$6:$A$65,0)),"")&lt;&gt;$C78,"商品不属于该公司",IF(AND($E78&lt;&gt;"",ISNA(MATCH($E78,往来单位!$A$6:$A$85,0))),"往来单位未建档",IF(N($J78)=0,"数量为 0",IF(N($K78)=0,"单价为 0",IF(AND(LEFT($D78,2)="销售",$U78=""),"该商品没设成本科目",IF(YEAR($B78)&lt;&gt;参数设置!$B$5,"不在本会计年度","OK")))))))))))</f>
        <v/>
      </c>
      <c r="Q78" s="57" t="str">
        <f aca="false">IF($F78="","",ROUND(N($J78)*N($K78),2))</f>
        <v/>
      </c>
      <c r="R78" s="58" t="str">
        <f aca="false">IF($D78="","",IF(LEFT($D78,2)="销售","应收账款","应付账款"))</f>
        <v/>
      </c>
      <c r="S78" s="58" t="str">
        <f aca="false">IF($F78="","",IFERROR(INDEX(商品档案!$G$6:$G$65,MATCH($F78,商品档案!$A$6:$A$65,0)),""))</f>
        <v/>
      </c>
      <c r="T78" s="58" t="str">
        <f aca="false">IF($F78="","",IFERROR(INDEX(商品档案!$H$6:$H$65,MATCH($F78,商品档案!$A$6:$A$65,0)),""))</f>
        <v/>
      </c>
      <c r="U78" s="58" t="str">
        <f aca="false">IF($F78="","",IFERROR(INDEX(商品档案!$I$6:$I$65,MATCH($F78,商品档案!$A$6:$A$65,0)),""))</f>
        <v/>
      </c>
      <c r="V78" s="59" t="str">
        <f aca="false">IF($F78="","",SUMIFS(进销存台账!$N$6:$N$65,进销存台账!$A$6:$A$65,$C78,进销存台账!$B$6:$B$65,$F78))</f>
        <v/>
      </c>
      <c r="W78" s="60" t="n">
        <f aca="false">IF(OR($D78="销售出库",$D78="销售退回"),ROUND(N($J78)*N($V78),2),0)</f>
        <v>0</v>
      </c>
      <c r="X78" s="58" t="str">
        <f aca="false">IF($E78="","",IFERROR(INDEX(往来单位!$D$6:$D$85,MATCH($E78,往来单位!$A$6:$A$85,0)),"否"))</f>
        <v/>
      </c>
      <c r="Y78" s="61" t="str">
        <f aca="false">IF($B78="","",YEAR($B78))</f>
        <v/>
      </c>
      <c r="Z78" s="58" t="str">
        <f aca="false">IF($B78="","",TEXT($B78,"yyyy-mm"))</f>
        <v/>
      </c>
    </row>
    <row r="79" customFormat="false" ht="15" hidden="false" customHeight="false" outlineLevel="0" collapsed="false">
      <c r="A79" s="53" t="str">
        <f aca="false">IF($B79="","",ROW()-5)</f>
        <v/>
      </c>
      <c r="B79" s="54"/>
      <c r="C79" s="33"/>
      <c r="D79" s="33"/>
      <c r="E79" s="32"/>
      <c r="F79" s="39"/>
      <c r="G79" s="48" t="str">
        <f aca="false">IF($F79="","",IFERROR(INDEX(商品档案!$B$6:$B$65,MATCH($F79,商品档案!$A$6:$A$65,0)),""))</f>
        <v/>
      </c>
      <c r="H79" s="48" t="str">
        <f aca="false">IF($F79="","",IFERROR(INDEX(商品档案!$C$6:$C$65,MATCH($F79,商品档案!$A$6:$A$65,0)),""))</f>
        <v/>
      </c>
      <c r="I79" s="55" t="str">
        <f aca="false">IF($F79="","",IFERROR(INDEX(商品档案!$D$6:$D$65,MATCH($F79,商品档案!$A$6:$A$65,0)),""))</f>
        <v/>
      </c>
      <c r="J79" s="49"/>
      <c r="K79" s="56"/>
      <c r="L79" s="33"/>
      <c r="M79" s="39"/>
      <c r="N79" s="41"/>
      <c r="O79" s="41"/>
      <c r="P79" s="25" t="str">
        <f aca="false">IF(AND($B79="",$D79="",$F79=""),"",IF(NOT(ISNUMBER($B79)),"日期无效",IF(ISNA(MATCH($C79,参数设置!$A$10:$A$12,0)),"公司无效",IF(ISNA(MATCH($D79,记账规则!$A$6:$A$9,0)),"业务类型无效",IF(ISNA(MATCH($F79,商品档案!$A$6:$A$65,0)),"商品编码无效",IF(IFERROR(INDEX(商品档案!$E$6:$E$65,MATCH($F79,商品档案!$A$6:$A$65,0)),"")&lt;&gt;$C79,"商品不属于该公司",IF(AND($E79&lt;&gt;"",ISNA(MATCH($E79,往来单位!$A$6:$A$85,0))),"往来单位未建档",IF(N($J79)=0,"数量为 0",IF(N($K79)=0,"单价为 0",IF(AND(LEFT($D79,2)="销售",$U79=""),"该商品没设成本科目",IF(YEAR($B79)&lt;&gt;参数设置!$B$5,"不在本会计年度","OK")))))))))))</f>
        <v/>
      </c>
      <c r="Q79" s="57" t="str">
        <f aca="false">IF($F79="","",ROUND(N($J79)*N($K79),2))</f>
        <v/>
      </c>
      <c r="R79" s="58" t="str">
        <f aca="false">IF($D79="","",IF(LEFT($D79,2)="销售","应收账款","应付账款"))</f>
        <v/>
      </c>
      <c r="S79" s="58" t="str">
        <f aca="false">IF($F79="","",IFERROR(INDEX(商品档案!$G$6:$G$65,MATCH($F79,商品档案!$A$6:$A$65,0)),""))</f>
        <v/>
      </c>
      <c r="T79" s="58" t="str">
        <f aca="false">IF($F79="","",IFERROR(INDEX(商品档案!$H$6:$H$65,MATCH($F79,商品档案!$A$6:$A$65,0)),""))</f>
        <v/>
      </c>
      <c r="U79" s="58" t="str">
        <f aca="false">IF($F79="","",IFERROR(INDEX(商品档案!$I$6:$I$65,MATCH($F79,商品档案!$A$6:$A$65,0)),""))</f>
        <v/>
      </c>
      <c r="V79" s="59" t="str">
        <f aca="false">IF($F79="","",SUMIFS(进销存台账!$N$6:$N$65,进销存台账!$A$6:$A$65,$C79,进销存台账!$B$6:$B$65,$F79))</f>
        <v/>
      </c>
      <c r="W79" s="60" t="n">
        <f aca="false">IF(OR($D79="销售出库",$D79="销售退回"),ROUND(N($J79)*N($V79),2),0)</f>
        <v>0</v>
      </c>
      <c r="X79" s="58" t="str">
        <f aca="false">IF($E79="","",IFERROR(INDEX(往来单位!$D$6:$D$85,MATCH($E79,往来单位!$A$6:$A$85,0)),"否"))</f>
        <v/>
      </c>
      <c r="Y79" s="61" t="str">
        <f aca="false">IF($B79="","",YEAR($B79))</f>
        <v/>
      </c>
      <c r="Z79" s="58" t="str">
        <f aca="false">IF($B79="","",TEXT($B79,"yyyy-mm"))</f>
        <v/>
      </c>
    </row>
    <row r="80" customFormat="false" ht="15" hidden="false" customHeight="false" outlineLevel="0" collapsed="false">
      <c r="A80" s="53" t="str">
        <f aca="false">IF($B80="","",ROW()-5)</f>
        <v/>
      </c>
      <c r="B80" s="54"/>
      <c r="C80" s="33"/>
      <c r="D80" s="33"/>
      <c r="E80" s="32"/>
      <c r="F80" s="39"/>
      <c r="G80" s="48" t="str">
        <f aca="false">IF($F80="","",IFERROR(INDEX(商品档案!$B$6:$B$65,MATCH($F80,商品档案!$A$6:$A$65,0)),""))</f>
        <v/>
      </c>
      <c r="H80" s="48" t="str">
        <f aca="false">IF($F80="","",IFERROR(INDEX(商品档案!$C$6:$C$65,MATCH($F80,商品档案!$A$6:$A$65,0)),""))</f>
        <v/>
      </c>
      <c r="I80" s="55" t="str">
        <f aca="false">IF($F80="","",IFERROR(INDEX(商品档案!$D$6:$D$65,MATCH($F80,商品档案!$A$6:$A$65,0)),""))</f>
        <v/>
      </c>
      <c r="J80" s="49"/>
      <c r="K80" s="56"/>
      <c r="L80" s="33"/>
      <c r="M80" s="39"/>
      <c r="N80" s="41"/>
      <c r="O80" s="41"/>
      <c r="P80" s="25" t="str">
        <f aca="false">IF(AND($B80="",$D80="",$F80=""),"",IF(NOT(ISNUMBER($B80)),"日期无效",IF(ISNA(MATCH($C80,参数设置!$A$10:$A$12,0)),"公司无效",IF(ISNA(MATCH($D80,记账规则!$A$6:$A$9,0)),"业务类型无效",IF(ISNA(MATCH($F80,商品档案!$A$6:$A$65,0)),"商品编码无效",IF(IFERROR(INDEX(商品档案!$E$6:$E$65,MATCH($F80,商品档案!$A$6:$A$65,0)),"")&lt;&gt;$C80,"商品不属于该公司",IF(AND($E80&lt;&gt;"",ISNA(MATCH($E80,往来单位!$A$6:$A$85,0))),"往来单位未建档",IF(N($J80)=0,"数量为 0",IF(N($K80)=0,"单价为 0",IF(AND(LEFT($D80,2)="销售",$U80=""),"该商品没设成本科目",IF(YEAR($B80)&lt;&gt;参数设置!$B$5,"不在本会计年度","OK")))))))))))</f>
        <v/>
      </c>
      <c r="Q80" s="57" t="str">
        <f aca="false">IF($F80="","",ROUND(N($J80)*N($K80),2))</f>
        <v/>
      </c>
      <c r="R80" s="58" t="str">
        <f aca="false">IF($D80="","",IF(LEFT($D80,2)="销售","应收账款","应付账款"))</f>
        <v/>
      </c>
      <c r="S80" s="58" t="str">
        <f aca="false">IF($F80="","",IFERROR(INDEX(商品档案!$G$6:$G$65,MATCH($F80,商品档案!$A$6:$A$65,0)),""))</f>
        <v/>
      </c>
      <c r="T80" s="58" t="str">
        <f aca="false">IF($F80="","",IFERROR(INDEX(商品档案!$H$6:$H$65,MATCH($F80,商品档案!$A$6:$A$65,0)),""))</f>
        <v/>
      </c>
      <c r="U80" s="58" t="str">
        <f aca="false">IF($F80="","",IFERROR(INDEX(商品档案!$I$6:$I$65,MATCH($F80,商品档案!$A$6:$A$65,0)),""))</f>
        <v/>
      </c>
      <c r="V80" s="59" t="str">
        <f aca="false">IF($F80="","",SUMIFS(进销存台账!$N$6:$N$65,进销存台账!$A$6:$A$65,$C80,进销存台账!$B$6:$B$65,$F80))</f>
        <v/>
      </c>
      <c r="W80" s="60" t="n">
        <f aca="false">IF(OR($D80="销售出库",$D80="销售退回"),ROUND(N($J80)*N($V80),2),0)</f>
        <v>0</v>
      </c>
      <c r="X80" s="58" t="str">
        <f aca="false">IF($E80="","",IFERROR(INDEX(往来单位!$D$6:$D$85,MATCH($E80,往来单位!$A$6:$A$85,0)),"否"))</f>
        <v/>
      </c>
      <c r="Y80" s="61" t="str">
        <f aca="false">IF($B80="","",YEAR($B80))</f>
        <v/>
      </c>
      <c r="Z80" s="58" t="str">
        <f aca="false">IF($B80="","",TEXT($B80,"yyyy-mm"))</f>
        <v/>
      </c>
    </row>
    <row r="81" customFormat="false" ht="15" hidden="false" customHeight="false" outlineLevel="0" collapsed="false">
      <c r="A81" s="53" t="str">
        <f aca="false">IF($B81="","",ROW()-5)</f>
        <v/>
      </c>
      <c r="B81" s="54"/>
      <c r="C81" s="33"/>
      <c r="D81" s="33"/>
      <c r="E81" s="32"/>
      <c r="F81" s="39"/>
      <c r="G81" s="48" t="str">
        <f aca="false">IF($F81="","",IFERROR(INDEX(商品档案!$B$6:$B$65,MATCH($F81,商品档案!$A$6:$A$65,0)),""))</f>
        <v/>
      </c>
      <c r="H81" s="48" t="str">
        <f aca="false">IF($F81="","",IFERROR(INDEX(商品档案!$C$6:$C$65,MATCH($F81,商品档案!$A$6:$A$65,0)),""))</f>
        <v/>
      </c>
      <c r="I81" s="55" t="str">
        <f aca="false">IF($F81="","",IFERROR(INDEX(商品档案!$D$6:$D$65,MATCH($F81,商品档案!$A$6:$A$65,0)),""))</f>
        <v/>
      </c>
      <c r="J81" s="49"/>
      <c r="K81" s="56"/>
      <c r="L81" s="33"/>
      <c r="M81" s="39"/>
      <c r="N81" s="41"/>
      <c r="O81" s="41"/>
      <c r="P81" s="25" t="str">
        <f aca="false">IF(AND($B81="",$D81="",$F81=""),"",IF(NOT(ISNUMBER($B81)),"日期无效",IF(ISNA(MATCH($C81,参数设置!$A$10:$A$12,0)),"公司无效",IF(ISNA(MATCH($D81,记账规则!$A$6:$A$9,0)),"业务类型无效",IF(ISNA(MATCH($F81,商品档案!$A$6:$A$65,0)),"商品编码无效",IF(IFERROR(INDEX(商品档案!$E$6:$E$65,MATCH($F81,商品档案!$A$6:$A$65,0)),"")&lt;&gt;$C81,"商品不属于该公司",IF(AND($E81&lt;&gt;"",ISNA(MATCH($E81,往来单位!$A$6:$A$85,0))),"往来单位未建档",IF(N($J81)=0,"数量为 0",IF(N($K81)=0,"单价为 0",IF(AND(LEFT($D81,2)="销售",$U81=""),"该商品没设成本科目",IF(YEAR($B81)&lt;&gt;参数设置!$B$5,"不在本会计年度","OK")))))))))))</f>
        <v/>
      </c>
      <c r="Q81" s="57" t="str">
        <f aca="false">IF($F81="","",ROUND(N($J81)*N($K81),2))</f>
        <v/>
      </c>
      <c r="R81" s="58" t="str">
        <f aca="false">IF($D81="","",IF(LEFT($D81,2)="销售","应收账款","应付账款"))</f>
        <v/>
      </c>
      <c r="S81" s="58" t="str">
        <f aca="false">IF($F81="","",IFERROR(INDEX(商品档案!$G$6:$G$65,MATCH($F81,商品档案!$A$6:$A$65,0)),""))</f>
        <v/>
      </c>
      <c r="T81" s="58" t="str">
        <f aca="false">IF($F81="","",IFERROR(INDEX(商品档案!$H$6:$H$65,MATCH($F81,商品档案!$A$6:$A$65,0)),""))</f>
        <v/>
      </c>
      <c r="U81" s="58" t="str">
        <f aca="false">IF($F81="","",IFERROR(INDEX(商品档案!$I$6:$I$65,MATCH($F81,商品档案!$A$6:$A$65,0)),""))</f>
        <v/>
      </c>
      <c r="V81" s="59" t="str">
        <f aca="false">IF($F81="","",SUMIFS(进销存台账!$N$6:$N$65,进销存台账!$A$6:$A$65,$C81,进销存台账!$B$6:$B$65,$F81))</f>
        <v/>
      </c>
      <c r="W81" s="60" t="n">
        <f aca="false">IF(OR($D81="销售出库",$D81="销售退回"),ROUND(N($J81)*N($V81),2),0)</f>
        <v>0</v>
      </c>
      <c r="X81" s="58" t="str">
        <f aca="false">IF($E81="","",IFERROR(INDEX(往来单位!$D$6:$D$85,MATCH($E81,往来单位!$A$6:$A$85,0)),"否"))</f>
        <v/>
      </c>
      <c r="Y81" s="61" t="str">
        <f aca="false">IF($B81="","",YEAR($B81))</f>
        <v/>
      </c>
      <c r="Z81" s="58" t="str">
        <f aca="false">IF($B81="","",TEXT($B81,"yyyy-mm"))</f>
        <v/>
      </c>
    </row>
    <row r="82" customFormat="false" ht="15" hidden="false" customHeight="false" outlineLevel="0" collapsed="false">
      <c r="A82" s="53" t="str">
        <f aca="false">IF($B82="","",ROW()-5)</f>
        <v/>
      </c>
      <c r="B82" s="54"/>
      <c r="C82" s="33"/>
      <c r="D82" s="33"/>
      <c r="E82" s="32"/>
      <c r="F82" s="39"/>
      <c r="G82" s="48" t="str">
        <f aca="false">IF($F82="","",IFERROR(INDEX(商品档案!$B$6:$B$65,MATCH($F82,商品档案!$A$6:$A$65,0)),""))</f>
        <v/>
      </c>
      <c r="H82" s="48" t="str">
        <f aca="false">IF($F82="","",IFERROR(INDEX(商品档案!$C$6:$C$65,MATCH($F82,商品档案!$A$6:$A$65,0)),""))</f>
        <v/>
      </c>
      <c r="I82" s="55" t="str">
        <f aca="false">IF($F82="","",IFERROR(INDEX(商品档案!$D$6:$D$65,MATCH($F82,商品档案!$A$6:$A$65,0)),""))</f>
        <v/>
      </c>
      <c r="J82" s="49"/>
      <c r="K82" s="56"/>
      <c r="L82" s="33"/>
      <c r="M82" s="39"/>
      <c r="N82" s="41"/>
      <c r="O82" s="41"/>
      <c r="P82" s="25" t="str">
        <f aca="false">IF(AND($B82="",$D82="",$F82=""),"",IF(NOT(ISNUMBER($B82)),"日期无效",IF(ISNA(MATCH($C82,参数设置!$A$10:$A$12,0)),"公司无效",IF(ISNA(MATCH($D82,记账规则!$A$6:$A$9,0)),"业务类型无效",IF(ISNA(MATCH($F82,商品档案!$A$6:$A$65,0)),"商品编码无效",IF(IFERROR(INDEX(商品档案!$E$6:$E$65,MATCH($F82,商品档案!$A$6:$A$65,0)),"")&lt;&gt;$C82,"商品不属于该公司",IF(AND($E82&lt;&gt;"",ISNA(MATCH($E82,往来单位!$A$6:$A$85,0))),"往来单位未建档",IF(N($J82)=0,"数量为 0",IF(N($K82)=0,"单价为 0",IF(AND(LEFT($D82,2)="销售",$U82=""),"该商品没设成本科目",IF(YEAR($B82)&lt;&gt;参数设置!$B$5,"不在本会计年度","OK")))))))))))</f>
        <v/>
      </c>
      <c r="Q82" s="57" t="str">
        <f aca="false">IF($F82="","",ROUND(N($J82)*N($K82),2))</f>
        <v/>
      </c>
      <c r="R82" s="58" t="str">
        <f aca="false">IF($D82="","",IF(LEFT($D82,2)="销售","应收账款","应付账款"))</f>
        <v/>
      </c>
      <c r="S82" s="58" t="str">
        <f aca="false">IF($F82="","",IFERROR(INDEX(商品档案!$G$6:$G$65,MATCH($F82,商品档案!$A$6:$A$65,0)),""))</f>
        <v/>
      </c>
      <c r="T82" s="58" t="str">
        <f aca="false">IF($F82="","",IFERROR(INDEX(商品档案!$H$6:$H$65,MATCH($F82,商品档案!$A$6:$A$65,0)),""))</f>
        <v/>
      </c>
      <c r="U82" s="58" t="str">
        <f aca="false">IF($F82="","",IFERROR(INDEX(商品档案!$I$6:$I$65,MATCH($F82,商品档案!$A$6:$A$65,0)),""))</f>
        <v/>
      </c>
      <c r="V82" s="59" t="str">
        <f aca="false">IF($F82="","",SUMIFS(进销存台账!$N$6:$N$65,进销存台账!$A$6:$A$65,$C82,进销存台账!$B$6:$B$65,$F82))</f>
        <v/>
      </c>
      <c r="W82" s="60" t="n">
        <f aca="false">IF(OR($D82="销售出库",$D82="销售退回"),ROUND(N($J82)*N($V82),2),0)</f>
        <v>0</v>
      </c>
      <c r="X82" s="58" t="str">
        <f aca="false">IF($E82="","",IFERROR(INDEX(往来单位!$D$6:$D$85,MATCH($E82,往来单位!$A$6:$A$85,0)),"否"))</f>
        <v/>
      </c>
      <c r="Y82" s="61" t="str">
        <f aca="false">IF($B82="","",YEAR($B82))</f>
        <v/>
      </c>
      <c r="Z82" s="58" t="str">
        <f aca="false">IF($B82="","",TEXT($B82,"yyyy-mm"))</f>
        <v/>
      </c>
    </row>
    <row r="83" customFormat="false" ht="15" hidden="false" customHeight="false" outlineLevel="0" collapsed="false">
      <c r="A83" s="53" t="str">
        <f aca="false">IF($B83="","",ROW()-5)</f>
        <v/>
      </c>
      <c r="B83" s="54"/>
      <c r="C83" s="33"/>
      <c r="D83" s="33"/>
      <c r="E83" s="32"/>
      <c r="F83" s="39"/>
      <c r="G83" s="48" t="str">
        <f aca="false">IF($F83="","",IFERROR(INDEX(商品档案!$B$6:$B$65,MATCH($F83,商品档案!$A$6:$A$65,0)),""))</f>
        <v/>
      </c>
      <c r="H83" s="48" t="str">
        <f aca="false">IF($F83="","",IFERROR(INDEX(商品档案!$C$6:$C$65,MATCH($F83,商品档案!$A$6:$A$65,0)),""))</f>
        <v/>
      </c>
      <c r="I83" s="55" t="str">
        <f aca="false">IF($F83="","",IFERROR(INDEX(商品档案!$D$6:$D$65,MATCH($F83,商品档案!$A$6:$A$65,0)),""))</f>
        <v/>
      </c>
      <c r="J83" s="49"/>
      <c r="K83" s="56"/>
      <c r="L83" s="33"/>
      <c r="M83" s="39"/>
      <c r="N83" s="41"/>
      <c r="O83" s="41"/>
      <c r="P83" s="25" t="str">
        <f aca="false">IF(AND($B83="",$D83="",$F83=""),"",IF(NOT(ISNUMBER($B83)),"日期无效",IF(ISNA(MATCH($C83,参数设置!$A$10:$A$12,0)),"公司无效",IF(ISNA(MATCH($D83,记账规则!$A$6:$A$9,0)),"业务类型无效",IF(ISNA(MATCH($F83,商品档案!$A$6:$A$65,0)),"商品编码无效",IF(IFERROR(INDEX(商品档案!$E$6:$E$65,MATCH($F83,商品档案!$A$6:$A$65,0)),"")&lt;&gt;$C83,"商品不属于该公司",IF(AND($E83&lt;&gt;"",ISNA(MATCH($E83,往来单位!$A$6:$A$85,0))),"往来单位未建档",IF(N($J83)=0,"数量为 0",IF(N($K83)=0,"单价为 0",IF(AND(LEFT($D83,2)="销售",$U83=""),"该商品没设成本科目",IF(YEAR($B83)&lt;&gt;参数设置!$B$5,"不在本会计年度","OK")))))))))))</f>
        <v/>
      </c>
      <c r="Q83" s="57" t="str">
        <f aca="false">IF($F83="","",ROUND(N($J83)*N($K83),2))</f>
        <v/>
      </c>
      <c r="R83" s="58" t="str">
        <f aca="false">IF($D83="","",IF(LEFT($D83,2)="销售","应收账款","应付账款"))</f>
        <v/>
      </c>
      <c r="S83" s="58" t="str">
        <f aca="false">IF($F83="","",IFERROR(INDEX(商品档案!$G$6:$G$65,MATCH($F83,商品档案!$A$6:$A$65,0)),""))</f>
        <v/>
      </c>
      <c r="T83" s="58" t="str">
        <f aca="false">IF($F83="","",IFERROR(INDEX(商品档案!$H$6:$H$65,MATCH($F83,商品档案!$A$6:$A$65,0)),""))</f>
        <v/>
      </c>
      <c r="U83" s="58" t="str">
        <f aca="false">IF($F83="","",IFERROR(INDEX(商品档案!$I$6:$I$65,MATCH($F83,商品档案!$A$6:$A$65,0)),""))</f>
        <v/>
      </c>
      <c r="V83" s="59" t="str">
        <f aca="false">IF($F83="","",SUMIFS(进销存台账!$N$6:$N$65,进销存台账!$A$6:$A$65,$C83,进销存台账!$B$6:$B$65,$F83))</f>
        <v/>
      </c>
      <c r="W83" s="60" t="n">
        <f aca="false">IF(OR($D83="销售出库",$D83="销售退回"),ROUND(N($J83)*N($V83),2),0)</f>
        <v>0</v>
      </c>
      <c r="X83" s="58" t="str">
        <f aca="false">IF($E83="","",IFERROR(INDEX(往来单位!$D$6:$D$85,MATCH($E83,往来单位!$A$6:$A$85,0)),"否"))</f>
        <v/>
      </c>
      <c r="Y83" s="61" t="str">
        <f aca="false">IF($B83="","",YEAR($B83))</f>
        <v/>
      </c>
      <c r="Z83" s="58" t="str">
        <f aca="false">IF($B83="","",TEXT($B83,"yyyy-mm"))</f>
        <v/>
      </c>
    </row>
    <row r="84" customFormat="false" ht="15" hidden="false" customHeight="false" outlineLevel="0" collapsed="false">
      <c r="A84" s="53" t="str">
        <f aca="false">IF($B84="","",ROW()-5)</f>
        <v/>
      </c>
      <c r="B84" s="54"/>
      <c r="C84" s="33"/>
      <c r="D84" s="33"/>
      <c r="E84" s="32"/>
      <c r="F84" s="39"/>
      <c r="G84" s="48" t="str">
        <f aca="false">IF($F84="","",IFERROR(INDEX(商品档案!$B$6:$B$65,MATCH($F84,商品档案!$A$6:$A$65,0)),""))</f>
        <v/>
      </c>
      <c r="H84" s="48" t="str">
        <f aca="false">IF($F84="","",IFERROR(INDEX(商品档案!$C$6:$C$65,MATCH($F84,商品档案!$A$6:$A$65,0)),""))</f>
        <v/>
      </c>
      <c r="I84" s="55" t="str">
        <f aca="false">IF($F84="","",IFERROR(INDEX(商品档案!$D$6:$D$65,MATCH($F84,商品档案!$A$6:$A$65,0)),""))</f>
        <v/>
      </c>
      <c r="J84" s="49"/>
      <c r="K84" s="56"/>
      <c r="L84" s="33"/>
      <c r="M84" s="39"/>
      <c r="N84" s="41"/>
      <c r="O84" s="41"/>
      <c r="P84" s="25" t="str">
        <f aca="false">IF(AND($B84="",$D84="",$F84=""),"",IF(NOT(ISNUMBER($B84)),"日期无效",IF(ISNA(MATCH($C84,参数设置!$A$10:$A$12,0)),"公司无效",IF(ISNA(MATCH($D84,记账规则!$A$6:$A$9,0)),"业务类型无效",IF(ISNA(MATCH($F84,商品档案!$A$6:$A$65,0)),"商品编码无效",IF(IFERROR(INDEX(商品档案!$E$6:$E$65,MATCH($F84,商品档案!$A$6:$A$65,0)),"")&lt;&gt;$C84,"商品不属于该公司",IF(AND($E84&lt;&gt;"",ISNA(MATCH($E84,往来单位!$A$6:$A$85,0))),"往来单位未建档",IF(N($J84)=0,"数量为 0",IF(N($K84)=0,"单价为 0",IF(AND(LEFT($D84,2)="销售",$U84=""),"该商品没设成本科目",IF(YEAR($B84)&lt;&gt;参数设置!$B$5,"不在本会计年度","OK")))))))))))</f>
        <v/>
      </c>
      <c r="Q84" s="57" t="str">
        <f aca="false">IF($F84="","",ROUND(N($J84)*N($K84),2))</f>
        <v/>
      </c>
      <c r="R84" s="58" t="str">
        <f aca="false">IF($D84="","",IF(LEFT($D84,2)="销售","应收账款","应付账款"))</f>
        <v/>
      </c>
      <c r="S84" s="58" t="str">
        <f aca="false">IF($F84="","",IFERROR(INDEX(商品档案!$G$6:$G$65,MATCH($F84,商品档案!$A$6:$A$65,0)),""))</f>
        <v/>
      </c>
      <c r="T84" s="58" t="str">
        <f aca="false">IF($F84="","",IFERROR(INDEX(商品档案!$H$6:$H$65,MATCH($F84,商品档案!$A$6:$A$65,0)),""))</f>
        <v/>
      </c>
      <c r="U84" s="58" t="str">
        <f aca="false">IF($F84="","",IFERROR(INDEX(商品档案!$I$6:$I$65,MATCH($F84,商品档案!$A$6:$A$65,0)),""))</f>
        <v/>
      </c>
      <c r="V84" s="59" t="str">
        <f aca="false">IF($F84="","",SUMIFS(进销存台账!$N$6:$N$65,进销存台账!$A$6:$A$65,$C84,进销存台账!$B$6:$B$65,$F84))</f>
        <v/>
      </c>
      <c r="W84" s="60" t="n">
        <f aca="false">IF(OR($D84="销售出库",$D84="销售退回"),ROUND(N($J84)*N($V84),2),0)</f>
        <v>0</v>
      </c>
      <c r="X84" s="58" t="str">
        <f aca="false">IF($E84="","",IFERROR(INDEX(往来单位!$D$6:$D$85,MATCH($E84,往来单位!$A$6:$A$85,0)),"否"))</f>
        <v/>
      </c>
      <c r="Y84" s="61" t="str">
        <f aca="false">IF($B84="","",YEAR($B84))</f>
        <v/>
      </c>
      <c r="Z84" s="58" t="str">
        <f aca="false">IF($B84="","",TEXT($B84,"yyyy-mm"))</f>
        <v/>
      </c>
    </row>
    <row r="85" customFormat="false" ht="15" hidden="false" customHeight="false" outlineLevel="0" collapsed="false">
      <c r="A85" s="53" t="str">
        <f aca="false">IF($B85="","",ROW()-5)</f>
        <v/>
      </c>
      <c r="B85" s="54"/>
      <c r="C85" s="33"/>
      <c r="D85" s="33"/>
      <c r="E85" s="32"/>
      <c r="F85" s="39"/>
      <c r="G85" s="48" t="str">
        <f aca="false">IF($F85="","",IFERROR(INDEX(商品档案!$B$6:$B$65,MATCH($F85,商品档案!$A$6:$A$65,0)),""))</f>
        <v/>
      </c>
      <c r="H85" s="48" t="str">
        <f aca="false">IF($F85="","",IFERROR(INDEX(商品档案!$C$6:$C$65,MATCH($F85,商品档案!$A$6:$A$65,0)),""))</f>
        <v/>
      </c>
      <c r="I85" s="55" t="str">
        <f aca="false">IF($F85="","",IFERROR(INDEX(商品档案!$D$6:$D$65,MATCH($F85,商品档案!$A$6:$A$65,0)),""))</f>
        <v/>
      </c>
      <c r="J85" s="49"/>
      <c r="K85" s="56"/>
      <c r="L85" s="33"/>
      <c r="M85" s="39"/>
      <c r="N85" s="41"/>
      <c r="O85" s="41"/>
      <c r="P85" s="25" t="str">
        <f aca="false">IF(AND($B85="",$D85="",$F85=""),"",IF(NOT(ISNUMBER($B85)),"日期无效",IF(ISNA(MATCH($C85,参数设置!$A$10:$A$12,0)),"公司无效",IF(ISNA(MATCH($D85,记账规则!$A$6:$A$9,0)),"业务类型无效",IF(ISNA(MATCH($F85,商品档案!$A$6:$A$65,0)),"商品编码无效",IF(IFERROR(INDEX(商品档案!$E$6:$E$65,MATCH($F85,商品档案!$A$6:$A$65,0)),"")&lt;&gt;$C85,"商品不属于该公司",IF(AND($E85&lt;&gt;"",ISNA(MATCH($E85,往来单位!$A$6:$A$85,0))),"往来单位未建档",IF(N($J85)=0,"数量为 0",IF(N($K85)=0,"单价为 0",IF(AND(LEFT($D85,2)="销售",$U85=""),"该商品没设成本科目",IF(YEAR($B85)&lt;&gt;参数设置!$B$5,"不在本会计年度","OK")))))))))))</f>
        <v/>
      </c>
      <c r="Q85" s="57" t="str">
        <f aca="false">IF($F85="","",ROUND(N($J85)*N($K85),2))</f>
        <v/>
      </c>
      <c r="R85" s="58" t="str">
        <f aca="false">IF($D85="","",IF(LEFT($D85,2)="销售","应收账款","应付账款"))</f>
        <v/>
      </c>
      <c r="S85" s="58" t="str">
        <f aca="false">IF($F85="","",IFERROR(INDEX(商品档案!$G$6:$G$65,MATCH($F85,商品档案!$A$6:$A$65,0)),""))</f>
        <v/>
      </c>
      <c r="T85" s="58" t="str">
        <f aca="false">IF($F85="","",IFERROR(INDEX(商品档案!$H$6:$H$65,MATCH($F85,商品档案!$A$6:$A$65,0)),""))</f>
        <v/>
      </c>
      <c r="U85" s="58" t="str">
        <f aca="false">IF($F85="","",IFERROR(INDEX(商品档案!$I$6:$I$65,MATCH($F85,商品档案!$A$6:$A$65,0)),""))</f>
        <v/>
      </c>
      <c r="V85" s="59" t="str">
        <f aca="false">IF($F85="","",SUMIFS(进销存台账!$N$6:$N$65,进销存台账!$A$6:$A$65,$C85,进销存台账!$B$6:$B$65,$F85))</f>
        <v/>
      </c>
      <c r="W85" s="60" t="n">
        <f aca="false">IF(OR($D85="销售出库",$D85="销售退回"),ROUND(N($J85)*N($V85),2),0)</f>
        <v>0</v>
      </c>
      <c r="X85" s="58" t="str">
        <f aca="false">IF($E85="","",IFERROR(INDEX(往来单位!$D$6:$D$85,MATCH($E85,往来单位!$A$6:$A$85,0)),"否"))</f>
        <v/>
      </c>
      <c r="Y85" s="61" t="str">
        <f aca="false">IF($B85="","",YEAR($B85))</f>
        <v/>
      </c>
      <c r="Z85" s="58" t="str">
        <f aca="false">IF($B85="","",TEXT($B85,"yyyy-mm"))</f>
        <v/>
      </c>
    </row>
    <row r="86" customFormat="false" ht="15" hidden="false" customHeight="false" outlineLevel="0" collapsed="false">
      <c r="A86" s="53" t="str">
        <f aca="false">IF($B86="","",ROW()-5)</f>
        <v/>
      </c>
      <c r="B86" s="54"/>
      <c r="C86" s="33"/>
      <c r="D86" s="33"/>
      <c r="E86" s="32"/>
      <c r="F86" s="39"/>
      <c r="G86" s="48" t="str">
        <f aca="false">IF($F86="","",IFERROR(INDEX(商品档案!$B$6:$B$65,MATCH($F86,商品档案!$A$6:$A$65,0)),""))</f>
        <v/>
      </c>
      <c r="H86" s="48" t="str">
        <f aca="false">IF($F86="","",IFERROR(INDEX(商品档案!$C$6:$C$65,MATCH($F86,商品档案!$A$6:$A$65,0)),""))</f>
        <v/>
      </c>
      <c r="I86" s="55" t="str">
        <f aca="false">IF($F86="","",IFERROR(INDEX(商品档案!$D$6:$D$65,MATCH($F86,商品档案!$A$6:$A$65,0)),""))</f>
        <v/>
      </c>
      <c r="J86" s="49"/>
      <c r="K86" s="56"/>
      <c r="L86" s="33"/>
      <c r="M86" s="39"/>
      <c r="N86" s="41"/>
      <c r="O86" s="41"/>
      <c r="P86" s="25" t="str">
        <f aca="false">IF(AND($B86="",$D86="",$F86=""),"",IF(NOT(ISNUMBER($B86)),"日期无效",IF(ISNA(MATCH($C86,参数设置!$A$10:$A$12,0)),"公司无效",IF(ISNA(MATCH($D86,记账规则!$A$6:$A$9,0)),"业务类型无效",IF(ISNA(MATCH($F86,商品档案!$A$6:$A$65,0)),"商品编码无效",IF(IFERROR(INDEX(商品档案!$E$6:$E$65,MATCH($F86,商品档案!$A$6:$A$65,0)),"")&lt;&gt;$C86,"商品不属于该公司",IF(AND($E86&lt;&gt;"",ISNA(MATCH($E86,往来单位!$A$6:$A$85,0))),"往来单位未建档",IF(N($J86)=0,"数量为 0",IF(N($K86)=0,"单价为 0",IF(AND(LEFT($D86,2)="销售",$U86=""),"该商品没设成本科目",IF(YEAR($B86)&lt;&gt;参数设置!$B$5,"不在本会计年度","OK")))))))))))</f>
        <v/>
      </c>
      <c r="Q86" s="57" t="str">
        <f aca="false">IF($F86="","",ROUND(N($J86)*N($K86),2))</f>
        <v/>
      </c>
      <c r="R86" s="58" t="str">
        <f aca="false">IF($D86="","",IF(LEFT($D86,2)="销售","应收账款","应付账款"))</f>
        <v/>
      </c>
      <c r="S86" s="58" t="str">
        <f aca="false">IF($F86="","",IFERROR(INDEX(商品档案!$G$6:$G$65,MATCH($F86,商品档案!$A$6:$A$65,0)),""))</f>
        <v/>
      </c>
      <c r="T86" s="58" t="str">
        <f aca="false">IF($F86="","",IFERROR(INDEX(商品档案!$H$6:$H$65,MATCH($F86,商品档案!$A$6:$A$65,0)),""))</f>
        <v/>
      </c>
      <c r="U86" s="58" t="str">
        <f aca="false">IF($F86="","",IFERROR(INDEX(商品档案!$I$6:$I$65,MATCH($F86,商品档案!$A$6:$A$65,0)),""))</f>
        <v/>
      </c>
      <c r="V86" s="59" t="str">
        <f aca="false">IF($F86="","",SUMIFS(进销存台账!$N$6:$N$65,进销存台账!$A$6:$A$65,$C86,进销存台账!$B$6:$B$65,$F86))</f>
        <v/>
      </c>
      <c r="W86" s="60" t="n">
        <f aca="false">IF(OR($D86="销售出库",$D86="销售退回"),ROUND(N($J86)*N($V86),2),0)</f>
        <v>0</v>
      </c>
      <c r="X86" s="58" t="str">
        <f aca="false">IF($E86="","",IFERROR(INDEX(往来单位!$D$6:$D$85,MATCH($E86,往来单位!$A$6:$A$85,0)),"否"))</f>
        <v/>
      </c>
      <c r="Y86" s="61" t="str">
        <f aca="false">IF($B86="","",YEAR($B86))</f>
        <v/>
      </c>
      <c r="Z86" s="58" t="str">
        <f aca="false">IF($B86="","",TEXT($B86,"yyyy-mm"))</f>
        <v/>
      </c>
    </row>
    <row r="87" customFormat="false" ht="15" hidden="false" customHeight="false" outlineLevel="0" collapsed="false">
      <c r="A87" s="53" t="str">
        <f aca="false">IF($B87="","",ROW()-5)</f>
        <v/>
      </c>
      <c r="B87" s="54"/>
      <c r="C87" s="33"/>
      <c r="D87" s="33"/>
      <c r="E87" s="32"/>
      <c r="F87" s="39"/>
      <c r="G87" s="48" t="str">
        <f aca="false">IF($F87="","",IFERROR(INDEX(商品档案!$B$6:$B$65,MATCH($F87,商品档案!$A$6:$A$65,0)),""))</f>
        <v/>
      </c>
      <c r="H87" s="48" t="str">
        <f aca="false">IF($F87="","",IFERROR(INDEX(商品档案!$C$6:$C$65,MATCH($F87,商品档案!$A$6:$A$65,0)),""))</f>
        <v/>
      </c>
      <c r="I87" s="55" t="str">
        <f aca="false">IF($F87="","",IFERROR(INDEX(商品档案!$D$6:$D$65,MATCH($F87,商品档案!$A$6:$A$65,0)),""))</f>
        <v/>
      </c>
      <c r="J87" s="49"/>
      <c r="K87" s="56"/>
      <c r="L87" s="33"/>
      <c r="M87" s="39"/>
      <c r="N87" s="41"/>
      <c r="O87" s="41"/>
      <c r="P87" s="25" t="str">
        <f aca="false">IF(AND($B87="",$D87="",$F87=""),"",IF(NOT(ISNUMBER($B87)),"日期无效",IF(ISNA(MATCH($C87,参数设置!$A$10:$A$12,0)),"公司无效",IF(ISNA(MATCH($D87,记账规则!$A$6:$A$9,0)),"业务类型无效",IF(ISNA(MATCH($F87,商品档案!$A$6:$A$65,0)),"商品编码无效",IF(IFERROR(INDEX(商品档案!$E$6:$E$65,MATCH($F87,商品档案!$A$6:$A$65,0)),"")&lt;&gt;$C87,"商品不属于该公司",IF(AND($E87&lt;&gt;"",ISNA(MATCH($E87,往来单位!$A$6:$A$85,0))),"往来单位未建档",IF(N($J87)=0,"数量为 0",IF(N($K87)=0,"单价为 0",IF(AND(LEFT($D87,2)="销售",$U87=""),"该商品没设成本科目",IF(YEAR($B87)&lt;&gt;参数设置!$B$5,"不在本会计年度","OK")))))))))))</f>
        <v/>
      </c>
      <c r="Q87" s="57" t="str">
        <f aca="false">IF($F87="","",ROUND(N($J87)*N($K87),2))</f>
        <v/>
      </c>
      <c r="R87" s="58" t="str">
        <f aca="false">IF($D87="","",IF(LEFT($D87,2)="销售","应收账款","应付账款"))</f>
        <v/>
      </c>
      <c r="S87" s="58" t="str">
        <f aca="false">IF($F87="","",IFERROR(INDEX(商品档案!$G$6:$G$65,MATCH($F87,商品档案!$A$6:$A$65,0)),""))</f>
        <v/>
      </c>
      <c r="T87" s="58" t="str">
        <f aca="false">IF($F87="","",IFERROR(INDEX(商品档案!$H$6:$H$65,MATCH($F87,商品档案!$A$6:$A$65,0)),""))</f>
        <v/>
      </c>
      <c r="U87" s="58" t="str">
        <f aca="false">IF($F87="","",IFERROR(INDEX(商品档案!$I$6:$I$65,MATCH($F87,商品档案!$A$6:$A$65,0)),""))</f>
        <v/>
      </c>
      <c r="V87" s="59" t="str">
        <f aca="false">IF($F87="","",SUMIFS(进销存台账!$N$6:$N$65,进销存台账!$A$6:$A$65,$C87,进销存台账!$B$6:$B$65,$F87))</f>
        <v/>
      </c>
      <c r="W87" s="60" t="n">
        <f aca="false">IF(OR($D87="销售出库",$D87="销售退回"),ROUND(N($J87)*N($V87),2),0)</f>
        <v>0</v>
      </c>
      <c r="X87" s="58" t="str">
        <f aca="false">IF($E87="","",IFERROR(INDEX(往来单位!$D$6:$D$85,MATCH($E87,往来单位!$A$6:$A$85,0)),"否"))</f>
        <v/>
      </c>
      <c r="Y87" s="61" t="str">
        <f aca="false">IF($B87="","",YEAR($B87))</f>
        <v/>
      </c>
      <c r="Z87" s="58" t="str">
        <f aca="false">IF($B87="","",TEXT($B87,"yyyy-mm"))</f>
        <v/>
      </c>
    </row>
    <row r="88" customFormat="false" ht="15" hidden="false" customHeight="false" outlineLevel="0" collapsed="false">
      <c r="A88" s="53" t="str">
        <f aca="false">IF($B88="","",ROW()-5)</f>
        <v/>
      </c>
      <c r="B88" s="54"/>
      <c r="C88" s="33"/>
      <c r="D88" s="33"/>
      <c r="E88" s="32"/>
      <c r="F88" s="39"/>
      <c r="G88" s="48" t="str">
        <f aca="false">IF($F88="","",IFERROR(INDEX(商品档案!$B$6:$B$65,MATCH($F88,商品档案!$A$6:$A$65,0)),""))</f>
        <v/>
      </c>
      <c r="H88" s="48" t="str">
        <f aca="false">IF($F88="","",IFERROR(INDEX(商品档案!$C$6:$C$65,MATCH($F88,商品档案!$A$6:$A$65,0)),""))</f>
        <v/>
      </c>
      <c r="I88" s="55" t="str">
        <f aca="false">IF($F88="","",IFERROR(INDEX(商品档案!$D$6:$D$65,MATCH($F88,商品档案!$A$6:$A$65,0)),""))</f>
        <v/>
      </c>
      <c r="J88" s="49"/>
      <c r="K88" s="56"/>
      <c r="L88" s="33"/>
      <c r="M88" s="39"/>
      <c r="N88" s="41"/>
      <c r="O88" s="41"/>
      <c r="P88" s="25" t="str">
        <f aca="false">IF(AND($B88="",$D88="",$F88=""),"",IF(NOT(ISNUMBER($B88)),"日期无效",IF(ISNA(MATCH($C88,参数设置!$A$10:$A$12,0)),"公司无效",IF(ISNA(MATCH($D88,记账规则!$A$6:$A$9,0)),"业务类型无效",IF(ISNA(MATCH($F88,商品档案!$A$6:$A$65,0)),"商品编码无效",IF(IFERROR(INDEX(商品档案!$E$6:$E$65,MATCH($F88,商品档案!$A$6:$A$65,0)),"")&lt;&gt;$C88,"商品不属于该公司",IF(AND($E88&lt;&gt;"",ISNA(MATCH($E88,往来单位!$A$6:$A$85,0))),"往来单位未建档",IF(N($J88)=0,"数量为 0",IF(N($K88)=0,"单价为 0",IF(AND(LEFT($D88,2)="销售",$U88=""),"该商品没设成本科目",IF(YEAR($B88)&lt;&gt;参数设置!$B$5,"不在本会计年度","OK")))))))))))</f>
        <v/>
      </c>
      <c r="Q88" s="57" t="str">
        <f aca="false">IF($F88="","",ROUND(N($J88)*N($K88),2))</f>
        <v/>
      </c>
      <c r="R88" s="58" t="str">
        <f aca="false">IF($D88="","",IF(LEFT($D88,2)="销售","应收账款","应付账款"))</f>
        <v/>
      </c>
      <c r="S88" s="58" t="str">
        <f aca="false">IF($F88="","",IFERROR(INDEX(商品档案!$G$6:$G$65,MATCH($F88,商品档案!$A$6:$A$65,0)),""))</f>
        <v/>
      </c>
      <c r="T88" s="58" t="str">
        <f aca="false">IF($F88="","",IFERROR(INDEX(商品档案!$H$6:$H$65,MATCH($F88,商品档案!$A$6:$A$65,0)),""))</f>
        <v/>
      </c>
      <c r="U88" s="58" t="str">
        <f aca="false">IF($F88="","",IFERROR(INDEX(商品档案!$I$6:$I$65,MATCH($F88,商品档案!$A$6:$A$65,0)),""))</f>
        <v/>
      </c>
      <c r="V88" s="59" t="str">
        <f aca="false">IF($F88="","",SUMIFS(进销存台账!$N$6:$N$65,进销存台账!$A$6:$A$65,$C88,进销存台账!$B$6:$B$65,$F88))</f>
        <v/>
      </c>
      <c r="W88" s="60" t="n">
        <f aca="false">IF(OR($D88="销售出库",$D88="销售退回"),ROUND(N($J88)*N($V88),2),0)</f>
        <v>0</v>
      </c>
      <c r="X88" s="58" t="str">
        <f aca="false">IF($E88="","",IFERROR(INDEX(往来单位!$D$6:$D$85,MATCH($E88,往来单位!$A$6:$A$85,0)),"否"))</f>
        <v/>
      </c>
      <c r="Y88" s="61" t="str">
        <f aca="false">IF($B88="","",YEAR($B88))</f>
        <v/>
      </c>
      <c r="Z88" s="58" t="str">
        <f aca="false">IF($B88="","",TEXT($B88,"yyyy-mm"))</f>
        <v/>
      </c>
    </row>
    <row r="89" customFormat="false" ht="15" hidden="false" customHeight="false" outlineLevel="0" collapsed="false">
      <c r="A89" s="53" t="str">
        <f aca="false">IF($B89="","",ROW()-5)</f>
        <v/>
      </c>
      <c r="B89" s="54"/>
      <c r="C89" s="33"/>
      <c r="D89" s="33"/>
      <c r="E89" s="32"/>
      <c r="F89" s="39"/>
      <c r="G89" s="48" t="str">
        <f aca="false">IF($F89="","",IFERROR(INDEX(商品档案!$B$6:$B$65,MATCH($F89,商品档案!$A$6:$A$65,0)),""))</f>
        <v/>
      </c>
      <c r="H89" s="48" t="str">
        <f aca="false">IF($F89="","",IFERROR(INDEX(商品档案!$C$6:$C$65,MATCH($F89,商品档案!$A$6:$A$65,0)),""))</f>
        <v/>
      </c>
      <c r="I89" s="55" t="str">
        <f aca="false">IF($F89="","",IFERROR(INDEX(商品档案!$D$6:$D$65,MATCH($F89,商品档案!$A$6:$A$65,0)),""))</f>
        <v/>
      </c>
      <c r="J89" s="49"/>
      <c r="K89" s="56"/>
      <c r="L89" s="33"/>
      <c r="M89" s="39"/>
      <c r="N89" s="41"/>
      <c r="O89" s="41"/>
      <c r="P89" s="25" t="str">
        <f aca="false">IF(AND($B89="",$D89="",$F89=""),"",IF(NOT(ISNUMBER($B89)),"日期无效",IF(ISNA(MATCH($C89,参数设置!$A$10:$A$12,0)),"公司无效",IF(ISNA(MATCH($D89,记账规则!$A$6:$A$9,0)),"业务类型无效",IF(ISNA(MATCH($F89,商品档案!$A$6:$A$65,0)),"商品编码无效",IF(IFERROR(INDEX(商品档案!$E$6:$E$65,MATCH($F89,商品档案!$A$6:$A$65,0)),"")&lt;&gt;$C89,"商品不属于该公司",IF(AND($E89&lt;&gt;"",ISNA(MATCH($E89,往来单位!$A$6:$A$85,0))),"往来单位未建档",IF(N($J89)=0,"数量为 0",IF(N($K89)=0,"单价为 0",IF(AND(LEFT($D89,2)="销售",$U89=""),"该商品没设成本科目",IF(YEAR($B89)&lt;&gt;参数设置!$B$5,"不在本会计年度","OK")))))))))))</f>
        <v/>
      </c>
      <c r="Q89" s="57" t="str">
        <f aca="false">IF($F89="","",ROUND(N($J89)*N($K89),2))</f>
        <v/>
      </c>
      <c r="R89" s="58" t="str">
        <f aca="false">IF($D89="","",IF(LEFT($D89,2)="销售","应收账款","应付账款"))</f>
        <v/>
      </c>
      <c r="S89" s="58" t="str">
        <f aca="false">IF($F89="","",IFERROR(INDEX(商品档案!$G$6:$G$65,MATCH($F89,商品档案!$A$6:$A$65,0)),""))</f>
        <v/>
      </c>
      <c r="T89" s="58" t="str">
        <f aca="false">IF($F89="","",IFERROR(INDEX(商品档案!$H$6:$H$65,MATCH($F89,商品档案!$A$6:$A$65,0)),""))</f>
        <v/>
      </c>
      <c r="U89" s="58" t="str">
        <f aca="false">IF($F89="","",IFERROR(INDEX(商品档案!$I$6:$I$65,MATCH($F89,商品档案!$A$6:$A$65,0)),""))</f>
        <v/>
      </c>
      <c r="V89" s="59" t="str">
        <f aca="false">IF($F89="","",SUMIFS(进销存台账!$N$6:$N$65,进销存台账!$A$6:$A$65,$C89,进销存台账!$B$6:$B$65,$F89))</f>
        <v/>
      </c>
      <c r="W89" s="60" t="n">
        <f aca="false">IF(OR($D89="销售出库",$D89="销售退回"),ROUND(N($J89)*N($V89),2),0)</f>
        <v>0</v>
      </c>
      <c r="X89" s="58" t="str">
        <f aca="false">IF($E89="","",IFERROR(INDEX(往来单位!$D$6:$D$85,MATCH($E89,往来单位!$A$6:$A$85,0)),"否"))</f>
        <v/>
      </c>
      <c r="Y89" s="61" t="str">
        <f aca="false">IF($B89="","",YEAR($B89))</f>
        <v/>
      </c>
      <c r="Z89" s="58" t="str">
        <f aca="false">IF($B89="","",TEXT($B89,"yyyy-mm"))</f>
        <v/>
      </c>
    </row>
    <row r="90" customFormat="false" ht="15" hidden="false" customHeight="false" outlineLevel="0" collapsed="false">
      <c r="A90" s="53" t="str">
        <f aca="false">IF($B90="","",ROW()-5)</f>
        <v/>
      </c>
      <c r="B90" s="54"/>
      <c r="C90" s="33"/>
      <c r="D90" s="33"/>
      <c r="E90" s="32"/>
      <c r="F90" s="39"/>
      <c r="G90" s="48" t="str">
        <f aca="false">IF($F90="","",IFERROR(INDEX(商品档案!$B$6:$B$65,MATCH($F90,商品档案!$A$6:$A$65,0)),""))</f>
        <v/>
      </c>
      <c r="H90" s="48" t="str">
        <f aca="false">IF($F90="","",IFERROR(INDEX(商品档案!$C$6:$C$65,MATCH($F90,商品档案!$A$6:$A$65,0)),""))</f>
        <v/>
      </c>
      <c r="I90" s="55" t="str">
        <f aca="false">IF($F90="","",IFERROR(INDEX(商品档案!$D$6:$D$65,MATCH($F90,商品档案!$A$6:$A$65,0)),""))</f>
        <v/>
      </c>
      <c r="J90" s="49"/>
      <c r="K90" s="56"/>
      <c r="L90" s="33"/>
      <c r="M90" s="39"/>
      <c r="N90" s="41"/>
      <c r="O90" s="41"/>
      <c r="P90" s="25" t="str">
        <f aca="false">IF(AND($B90="",$D90="",$F90=""),"",IF(NOT(ISNUMBER($B90)),"日期无效",IF(ISNA(MATCH($C90,参数设置!$A$10:$A$12,0)),"公司无效",IF(ISNA(MATCH($D90,记账规则!$A$6:$A$9,0)),"业务类型无效",IF(ISNA(MATCH($F90,商品档案!$A$6:$A$65,0)),"商品编码无效",IF(IFERROR(INDEX(商品档案!$E$6:$E$65,MATCH($F90,商品档案!$A$6:$A$65,0)),"")&lt;&gt;$C90,"商品不属于该公司",IF(AND($E90&lt;&gt;"",ISNA(MATCH($E90,往来单位!$A$6:$A$85,0))),"往来单位未建档",IF(N($J90)=0,"数量为 0",IF(N($K90)=0,"单价为 0",IF(AND(LEFT($D90,2)="销售",$U90=""),"该商品没设成本科目",IF(YEAR($B90)&lt;&gt;参数设置!$B$5,"不在本会计年度","OK")))))))))))</f>
        <v/>
      </c>
      <c r="Q90" s="57" t="str">
        <f aca="false">IF($F90="","",ROUND(N($J90)*N($K90),2))</f>
        <v/>
      </c>
      <c r="R90" s="58" t="str">
        <f aca="false">IF($D90="","",IF(LEFT($D90,2)="销售","应收账款","应付账款"))</f>
        <v/>
      </c>
      <c r="S90" s="58" t="str">
        <f aca="false">IF($F90="","",IFERROR(INDEX(商品档案!$G$6:$G$65,MATCH($F90,商品档案!$A$6:$A$65,0)),""))</f>
        <v/>
      </c>
      <c r="T90" s="58" t="str">
        <f aca="false">IF($F90="","",IFERROR(INDEX(商品档案!$H$6:$H$65,MATCH($F90,商品档案!$A$6:$A$65,0)),""))</f>
        <v/>
      </c>
      <c r="U90" s="58" t="str">
        <f aca="false">IF($F90="","",IFERROR(INDEX(商品档案!$I$6:$I$65,MATCH($F90,商品档案!$A$6:$A$65,0)),""))</f>
        <v/>
      </c>
      <c r="V90" s="59" t="str">
        <f aca="false">IF($F90="","",SUMIFS(进销存台账!$N$6:$N$65,进销存台账!$A$6:$A$65,$C90,进销存台账!$B$6:$B$65,$F90))</f>
        <v/>
      </c>
      <c r="W90" s="60" t="n">
        <f aca="false">IF(OR($D90="销售出库",$D90="销售退回"),ROUND(N($J90)*N($V90),2),0)</f>
        <v>0</v>
      </c>
      <c r="X90" s="58" t="str">
        <f aca="false">IF($E90="","",IFERROR(INDEX(往来单位!$D$6:$D$85,MATCH($E90,往来单位!$A$6:$A$85,0)),"否"))</f>
        <v/>
      </c>
      <c r="Y90" s="61" t="str">
        <f aca="false">IF($B90="","",YEAR($B90))</f>
        <v/>
      </c>
      <c r="Z90" s="58" t="str">
        <f aca="false">IF($B90="","",TEXT($B90,"yyyy-mm"))</f>
        <v/>
      </c>
    </row>
    <row r="91" customFormat="false" ht="15" hidden="false" customHeight="false" outlineLevel="0" collapsed="false">
      <c r="A91" s="53" t="str">
        <f aca="false">IF($B91="","",ROW()-5)</f>
        <v/>
      </c>
      <c r="B91" s="54"/>
      <c r="C91" s="33"/>
      <c r="D91" s="33"/>
      <c r="E91" s="32"/>
      <c r="F91" s="39"/>
      <c r="G91" s="48" t="str">
        <f aca="false">IF($F91="","",IFERROR(INDEX(商品档案!$B$6:$B$65,MATCH($F91,商品档案!$A$6:$A$65,0)),""))</f>
        <v/>
      </c>
      <c r="H91" s="48" t="str">
        <f aca="false">IF($F91="","",IFERROR(INDEX(商品档案!$C$6:$C$65,MATCH($F91,商品档案!$A$6:$A$65,0)),""))</f>
        <v/>
      </c>
      <c r="I91" s="55" t="str">
        <f aca="false">IF($F91="","",IFERROR(INDEX(商品档案!$D$6:$D$65,MATCH($F91,商品档案!$A$6:$A$65,0)),""))</f>
        <v/>
      </c>
      <c r="J91" s="49"/>
      <c r="K91" s="56"/>
      <c r="L91" s="33"/>
      <c r="M91" s="39"/>
      <c r="N91" s="41"/>
      <c r="O91" s="41"/>
      <c r="P91" s="25" t="str">
        <f aca="false">IF(AND($B91="",$D91="",$F91=""),"",IF(NOT(ISNUMBER($B91)),"日期无效",IF(ISNA(MATCH($C91,参数设置!$A$10:$A$12,0)),"公司无效",IF(ISNA(MATCH($D91,记账规则!$A$6:$A$9,0)),"业务类型无效",IF(ISNA(MATCH($F91,商品档案!$A$6:$A$65,0)),"商品编码无效",IF(IFERROR(INDEX(商品档案!$E$6:$E$65,MATCH($F91,商品档案!$A$6:$A$65,0)),"")&lt;&gt;$C91,"商品不属于该公司",IF(AND($E91&lt;&gt;"",ISNA(MATCH($E91,往来单位!$A$6:$A$85,0))),"往来单位未建档",IF(N($J91)=0,"数量为 0",IF(N($K91)=0,"单价为 0",IF(AND(LEFT($D91,2)="销售",$U91=""),"该商品没设成本科目",IF(YEAR($B91)&lt;&gt;参数设置!$B$5,"不在本会计年度","OK")))))))))))</f>
        <v/>
      </c>
      <c r="Q91" s="57" t="str">
        <f aca="false">IF($F91="","",ROUND(N($J91)*N($K91),2))</f>
        <v/>
      </c>
      <c r="R91" s="58" t="str">
        <f aca="false">IF($D91="","",IF(LEFT($D91,2)="销售","应收账款","应付账款"))</f>
        <v/>
      </c>
      <c r="S91" s="58" t="str">
        <f aca="false">IF($F91="","",IFERROR(INDEX(商品档案!$G$6:$G$65,MATCH($F91,商品档案!$A$6:$A$65,0)),""))</f>
        <v/>
      </c>
      <c r="T91" s="58" t="str">
        <f aca="false">IF($F91="","",IFERROR(INDEX(商品档案!$H$6:$H$65,MATCH($F91,商品档案!$A$6:$A$65,0)),""))</f>
        <v/>
      </c>
      <c r="U91" s="58" t="str">
        <f aca="false">IF($F91="","",IFERROR(INDEX(商品档案!$I$6:$I$65,MATCH($F91,商品档案!$A$6:$A$65,0)),""))</f>
        <v/>
      </c>
      <c r="V91" s="59" t="str">
        <f aca="false">IF($F91="","",SUMIFS(进销存台账!$N$6:$N$65,进销存台账!$A$6:$A$65,$C91,进销存台账!$B$6:$B$65,$F91))</f>
        <v/>
      </c>
      <c r="W91" s="60" t="n">
        <f aca="false">IF(OR($D91="销售出库",$D91="销售退回"),ROUND(N($J91)*N($V91),2),0)</f>
        <v>0</v>
      </c>
      <c r="X91" s="58" t="str">
        <f aca="false">IF($E91="","",IFERROR(INDEX(往来单位!$D$6:$D$85,MATCH($E91,往来单位!$A$6:$A$85,0)),"否"))</f>
        <v/>
      </c>
      <c r="Y91" s="61" t="str">
        <f aca="false">IF($B91="","",YEAR($B91))</f>
        <v/>
      </c>
      <c r="Z91" s="58" t="str">
        <f aca="false">IF($B91="","",TEXT($B91,"yyyy-mm"))</f>
        <v/>
      </c>
    </row>
    <row r="92" customFormat="false" ht="15" hidden="false" customHeight="false" outlineLevel="0" collapsed="false">
      <c r="A92" s="53" t="str">
        <f aca="false">IF($B92="","",ROW()-5)</f>
        <v/>
      </c>
      <c r="B92" s="54"/>
      <c r="C92" s="33"/>
      <c r="D92" s="33"/>
      <c r="E92" s="32"/>
      <c r="F92" s="39"/>
      <c r="G92" s="48" t="str">
        <f aca="false">IF($F92="","",IFERROR(INDEX(商品档案!$B$6:$B$65,MATCH($F92,商品档案!$A$6:$A$65,0)),""))</f>
        <v/>
      </c>
      <c r="H92" s="48" t="str">
        <f aca="false">IF($F92="","",IFERROR(INDEX(商品档案!$C$6:$C$65,MATCH($F92,商品档案!$A$6:$A$65,0)),""))</f>
        <v/>
      </c>
      <c r="I92" s="55" t="str">
        <f aca="false">IF($F92="","",IFERROR(INDEX(商品档案!$D$6:$D$65,MATCH($F92,商品档案!$A$6:$A$65,0)),""))</f>
        <v/>
      </c>
      <c r="J92" s="49"/>
      <c r="K92" s="56"/>
      <c r="L92" s="33"/>
      <c r="M92" s="39"/>
      <c r="N92" s="41"/>
      <c r="O92" s="41"/>
      <c r="P92" s="25" t="str">
        <f aca="false">IF(AND($B92="",$D92="",$F92=""),"",IF(NOT(ISNUMBER($B92)),"日期无效",IF(ISNA(MATCH($C92,参数设置!$A$10:$A$12,0)),"公司无效",IF(ISNA(MATCH($D92,记账规则!$A$6:$A$9,0)),"业务类型无效",IF(ISNA(MATCH($F92,商品档案!$A$6:$A$65,0)),"商品编码无效",IF(IFERROR(INDEX(商品档案!$E$6:$E$65,MATCH($F92,商品档案!$A$6:$A$65,0)),"")&lt;&gt;$C92,"商品不属于该公司",IF(AND($E92&lt;&gt;"",ISNA(MATCH($E92,往来单位!$A$6:$A$85,0))),"往来单位未建档",IF(N($J92)=0,"数量为 0",IF(N($K92)=0,"单价为 0",IF(AND(LEFT($D92,2)="销售",$U92=""),"该商品没设成本科目",IF(YEAR($B92)&lt;&gt;参数设置!$B$5,"不在本会计年度","OK")))))))))))</f>
        <v/>
      </c>
      <c r="Q92" s="57" t="str">
        <f aca="false">IF($F92="","",ROUND(N($J92)*N($K92),2))</f>
        <v/>
      </c>
      <c r="R92" s="58" t="str">
        <f aca="false">IF($D92="","",IF(LEFT($D92,2)="销售","应收账款","应付账款"))</f>
        <v/>
      </c>
      <c r="S92" s="58" t="str">
        <f aca="false">IF($F92="","",IFERROR(INDEX(商品档案!$G$6:$G$65,MATCH($F92,商品档案!$A$6:$A$65,0)),""))</f>
        <v/>
      </c>
      <c r="T92" s="58" t="str">
        <f aca="false">IF($F92="","",IFERROR(INDEX(商品档案!$H$6:$H$65,MATCH($F92,商品档案!$A$6:$A$65,0)),""))</f>
        <v/>
      </c>
      <c r="U92" s="58" t="str">
        <f aca="false">IF($F92="","",IFERROR(INDEX(商品档案!$I$6:$I$65,MATCH($F92,商品档案!$A$6:$A$65,0)),""))</f>
        <v/>
      </c>
      <c r="V92" s="59" t="str">
        <f aca="false">IF($F92="","",SUMIFS(进销存台账!$N$6:$N$65,进销存台账!$A$6:$A$65,$C92,进销存台账!$B$6:$B$65,$F92))</f>
        <v/>
      </c>
      <c r="W92" s="60" t="n">
        <f aca="false">IF(OR($D92="销售出库",$D92="销售退回"),ROUND(N($J92)*N($V92),2),0)</f>
        <v>0</v>
      </c>
      <c r="X92" s="58" t="str">
        <f aca="false">IF($E92="","",IFERROR(INDEX(往来单位!$D$6:$D$85,MATCH($E92,往来单位!$A$6:$A$85,0)),"否"))</f>
        <v/>
      </c>
      <c r="Y92" s="61" t="str">
        <f aca="false">IF($B92="","",YEAR($B92))</f>
        <v/>
      </c>
      <c r="Z92" s="58" t="str">
        <f aca="false">IF($B92="","",TEXT($B92,"yyyy-mm"))</f>
        <v/>
      </c>
    </row>
    <row r="93" customFormat="false" ht="15" hidden="false" customHeight="false" outlineLevel="0" collapsed="false">
      <c r="A93" s="53" t="str">
        <f aca="false">IF($B93="","",ROW()-5)</f>
        <v/>
      </c>
      <c r="B93" s="54"/>
      <c r="C93" s="33"/>
      <c r="D93" s="33"/>
      <c r="E93" s="32"/>
      <c r="F93" s="39"/>
      <c r="G93" s="48" t="str">
        <f aca="false">IF($F93="","",IFERROR(INDEX(商品档案!$B$6:$B$65,MATCH($F93,商品档案!$A$6:$A$65,0)),""))</f>
        <v/>
      </c>
      <c r="H93" s="48" t="str">
        <f aca="false">IF($F93="","",IFERROR(INDEX(商品档案!$C$6:$C$65,MATCH($F93,商品档案!$A$6:$A$65,0)),""))</f>
        <v/>
      </c>
      <c r="I93" s="55" t="str">
        <f aca="false">IF($F93="","",IFERROR(INDEX(商品档案!$D$6:$D$65,MATCH($F93,商品档案!$A$6:$A$65,0)),""))</f>
        <v/>
      </c>
      <c r="J93" s="49"/>
      <c r="K93" s="56"/>
      <c r="L93" s="33"/>
      <c r="M93" s="39"/>
      <c r="N93" s="41"/>
      <c r="O93" s="41"/>
      <c r="P93" s="25" t="str">
        <f aca="false">IF(AND($B93="",$D93="",$F93=""),"",IF(NOT(ISNUMBER($B93)),"日期无效",IF(ISNA(MATCH($C93,参数设置!$A$10:$A$12,0)),"公司无效",IF(ISNA(MATCH($D93,记账规则!$A$6:$A$9,0)),"业务类型无效",IF(ISNA(MATCH($F93,商品档案!$A$6:$A$65,0)),"商品编码无效",IF(IFERROR(INDEX(商品档案!$E$6:$E$65,MATCH($F93,商品档案!$A$6:$A$65,0)),"")&lt;&gt;$C93,"商品不属于该公司",IF(AND($E93&lt;&gt;"",ISNA(MATCH($E93,往来单位!$A$6:$A$85,0))),"往来单位未建档",IF(N($J93)=0,"数量为 0",IF(N($K93)=0,"单价为 0",IF(AND(LEFT($D93,2)="销售",$U93=""),"该商品没设成本科目",IF(YEAR($B93)&lt;&gt;参数设置!$B$5,"不在本会计年度","OK")))))))))))</f>
        <v/>
      </c>
      <c r="Q93" s="57" t="str">
        <f aca="false">IF($F93="","",ROUND(N($J93)*N($K93),2))</f>
        <v/>
      </c>
      <c r="R93" s="58" t="str">
        <f aca="false">IF($D93="","",IF(LEFT($D93,2)="销售","应收账款","应付账款"))</f>
        <v/>
      </c>
      <c r="S93" s="58" t="str">
        <f aca="false">IF($F93="","",IFERROR(INDEX(商品档案!$G$6:$G$65,MATCH($F93,商品档案!$A$6:$A$65,0)),""))</f>
        <v/>
      </c>
      <c r="T93" s="58" t="str">
        <f aca="false">IF($F93="","",IFERROR(INDEX(商品档案!$H$6:$H$65,MATCH($F93,商品档案!$A$6:$A$65,0)),""))</f>
        <v/>
      </c>
      <c r="U93" s="58" t="str">
        <f aca="false">IF($F93="","",IFERROR(INDEX(商品档案!$I$6:$I$65,MATCH($F93,商品档案!$A$6:$A$65,0)),""))</f>
        <v/>
      </c>
      <c r="V93" s="59" t="str">
        <f aca="false">IF($F93="","",SUMIFS(进销存台账!$N$6:$N$65,进销存台账!$A$6:$A$65,$C93,进销存台账!$B$6:$B$65,$F93))</f>
        <v/>
      </c>
      <c r="W93" s="60" t="n">
        <f aca="false">IF(OR($D93="销售出库",$D93="销售退回"),ROUND(N($J93)*N($V93),2),0)</f>
        <v>0</v>
      </c>
      <c r="X93" s="58" t="str">
        <f aca="false">IF($E93="","",IFERROR(INDEX(往来单位!$D$6:$D$85,MATCH($E93,往来单位!$A$6:$A$85,0)),"否"))</f>
        <v/>
      </c>
      <c r="Y93" s="61" t="str">
        <f aca="false">IF($B93="","",YEAR($B93))</f>
        <v/>
      </c>
      <c r="Z93" s="58" t="str">
        <f aca="false">IF($B93="","",TEXT($B93,"yyyy-mm"))</f>
        <v/>
      </c>
    </row>
    <row r="94" customFormat="false" ht="15" hidden="false" customHeight="false" outlineLevel="0" collapsed="false">
      <c r="A94" s="53" t="str">
        <f aca="false">IF($B94="","",ROW()-5)</f>
        <v/>
      </c>
      <c r="B94" s="54"/>
      <c r="C94" s="33"/>
      <c r="D94" s="33"/>
      <c r="E94" s="32"/>
      <c r="F94" s="39"/>
      <c r="G94" s="48" t="str">
        <f aca="false">IF($F94="","",IFERROR(INDEX(商品档案!$B$6:$B$65,MATCH($F94,商品档案!$A$6:$A$65,0)),""))</f>
        <v/>
      </c>
      <c r="H94" s="48" t="str">
        <f aca="false">IF($F94="","",IFERROR(INDEX(商品档案!$C$6:$C$65,MATCH($F94,商品档案!$A$6:$A$65,0)),""))</f>
        <v/>
      </c>
      <c r="I94" s="55" t="str">
        <f aca="false">IF($F94="","",IFERROR(INDEX(商品档案!$D$6:$D$65,MATCH($F94,商品档案!$A$6:$A$65,0)),""))</f>
        <v/>
      </c>
      <c r="J94" s="49"/>
      <c r="K94" s="56"/>
      <c r="L94" s="33"/>
      <c r="M94" s="39"/>
      <c r="N94" s="41"/>
      <c r="O94" s="41"/>
      <c r="P94" s="25" t="str">
        <f aca="false">IF(AND($B94="",$D94="",$F94=""),"",IF(NOT(ISNUMBER($B94)),"日期无效",IF(ISNA(MATCH($C94,参数设置!$A$10:$A$12,0)),"公司无效",IF(ISNA(MATCH($D94,记账规则!$A$6:$A$9,0)),"业务类型无效",IF(ISNA(MATCH($F94,商品档案!$A$6:$A$65,0)),"商品编码无效",IF(IFERROR(INDEX(商品档案!$E$6:$E$65,MATCH($F94,商品档案!$A$6:$A$65,0)),"")&lt;&gt;$C94,"商品不属于该公司",IF(AND($E94&lt;&gt;"",ISNA(MATCH($E94,往来单位!$A$6:$A$85,0))),"往来单位未建档",IF(N($J94)=0,"数量为 0",IF(N($K94)=0,"单价为 0",IF(AND(LEFT($D94,2)="销售",$U94=""),"该商品没设成本科目",IF(YEAR($B94)&lt;&gt;参数设置!$B$5,"不在本会计年度","OK")))))))))))</f>
        <v/>
      </c>
      <c r="Q94" s="57" t="str">
        <f aca="false">IF($F94="","",ROUND(N($J94)*N($K94),2))</f>
        <v/>
      </c>
      <c r="R94" s="58" t="str">
        <f aca="false">IF($D94="","",IF(LEFT($D94,2)="销售","应收账款","应付账款"))</f>
        <v/>
      </c>
      <c r="S94" s="58" t="str">
        <f aca="false">IF($F94="","",IFERROR(INDEX(商品档案!$G$6:$G$65,MATCH($F94,商品档案!$A$6:$A$65,0)),""))</f>
        <v/>
      </c>
      <c r="T94" s="58" t="str">
        <f aca="false">IF($F94="","",IFERROR(INDEX(商品档案!$H$6:$H$65,MATCH($F94,商品档案!$A$6:$A$65,0)),""))</f>
        <v/>
      </c>
      <c r="U94" s="58" t="str">
        <f aca="false">IF($F94="","",IFERROR(INDEX(商品档案!$I$6:$I$65,MATCH($F94,商品档案!$A$6:$A$65,0)),""))</f>
        <v/>
      </c>
      <c r="V94" s="59" t="str">
        <f aca="false">IF($F94="","",SUMIFS(进销存台账!$N$6:$N$65,进销存台账!$A$6:$A$65,$C94,进销存台账!$B$6:$B$65,$F94))</f>
        <v/>
      </c>
      <c r="W94" s="60" t="n">
        <f aca="false">IF(OR($D94="销售出库",$D94="销售退回"),ROUND(N($J94)*N($V94),2),0)</f>
        <v>0</v>
      </c>
      <c r="X94" s="58" t="str">
        <f aca="false">IF($E94="","",IFERROR(INDEX(往来单位!$D$6:$D$85,MATCH($E94,往来单位!$A$6:$A$85,0)),"否"))</f>
        <v/>
      </c>
      <c r="Y94" s="61" t="str">
        <f aca="false">IF($B94="","",YEAR($B94))</f>
        <v/>
      </c>
      <c r="Z94" s="58" t="str">
        <f aca="false">IF($B94="","",TEXT($B94,"yyyy-mm"))</f>
        <v/>
      </c>
    </row>
    <row r="95" customFormat="false" ht="15" hidden="false" customHeight="false" outlineLevel="0" collapsed="false">
      <c r="A95" s="53" t="str">
        <f aca="false">IF($B95="","",ROW()-5)</f>
        <v/>
      </c>
      <c r="B95" s="54"/>
      <c r="C95" s="33"/>
      <c r="D95" s="33"/>
      <c r="E95" s="32"/>
      <c r="F95" s="39"/>
      <c r="G95" s="48" t="str">
        <f aca="false">IF($F95="","",IFERROR(INDEX(商品档案!$B$6:$B$65,MATCH($F95,商品档案!$A$6:$A$65,0)),""))</f>
        <v/>
      </c>
      <c r="H95" s="48" t="str">
        <f aca="false">IF($F95="","",IFERROR(INDEX(商品档案!$C$6:$C$65,MATCH($F95,商品档案!$A$6:$A$65,0)),""))</f>
        <v/>
      </c>
      <c r="I95" s="55" t="str">
        <f aca="false">IF($F95="","",IFERROR(INDEX(商品档案!$D$6:$D$65,MATCH($F95,商品档案!$A$6:$A$65,0)),""))</f>
        <v/>
      </c>
      <c r="J95" s="49"/>
      <c r="K95" s="56"/>
      <c r="L95" s="33"/>
      <c r="M95" s="39"/>
      <c r="N95" s="41"/>
      <c r="O95" s="41"/>
      <c r="P95" s="25" t="str">
        <f aca="false">IF(AND($B95="",$D95="",$F95=""),"",IF(NOT(ISNUMBER($B95)),"日期无效",IF(ISNA(MATCH($C95,参数设置!$A$10:$A$12,0)),"公司无效",IF(ISNA(MATCH($D95,记账规则!$A$6:$A$9,0)),"业务类型无效",IF(ISNA(MATCH($F95,商品档案!$A$6:$A$65,0)),"商品编码无效",IF(IFERROR(INDEX(商品档案!$E$6:$E$65,MATCH($F95,商品档案!$A$6:$A$65,0)),"")&lt;&gt;$C95,"商品不属于该公司",IF(AND($E95&lt;&gt;"",ISNA(MATCH($E95,往来单位!$A$6:$A$85,0))),"往来单位未建档",IF(N($J95)=0,"数量为 0",IF(N($K95)=0,"单价为 0",IF(AND(LEFT($D95,2)="销售",$U95=""),"该商品没设成本科目",IF(YEAR($B95)&lt;&gt;参数设置!$B$5,"不在本会计年度","OK")))))))))))</f>
        <v/>
      </c>
      <c r="Q95" s="57" t="str">
        <f aca="false">IF($F95="","",ROUND(N($J95)*N($K95),2))</f>
        <v/>
      </c>
      <c r="R95" s="58" t="str">
        <f aca="false">IF($D95="","",IF(LEFT($D95,2)="销售","应收账款","应付账款"))</f>
        <v/>
      </c>
      <c r="S95" s="58" t="str">
        <f aca="false">IF($F95="","",IFERROR(INDEX(商品档案!$G$6:$G$65,MATCH($F95,商品档案!$A$6:$A$65,0)),""))</f>
        <v/>
      </c>
      <c r="T95" s="58" t="str">
        <f aca="false">IF($F95="","",IFERROR(INDEX(商品档案!$H$6:$H$65,MATCH($F95,商品档案!$A$6:$A$65,0)),""))</f>
        <v/>
      </c>
      <c r="U95" s="58" t="str">
        <f aca="false">IF($F95="","",IFERROR(INDEX(商品档案!$I$6:$I$65,MATCH($F95,商品档案!$A$6:$A$65,0)),""))</f>
        <v/>
      </c>
      <c r="V95" s="59" t="str">
        <f aca="false">IF($F95="","",SUMIFS(进销存台账!$N$6:$N$65,进销存台账!$A$6:$A$65,$C95,进销存台账!$B$6:$B$65,$F95))</f>
        <v/>
      </c>
      <c r="W95" s="60" t="n">
        <f aca="false">IF(OR($D95="销售出库",$D95="销售退回"),ROUND(N($J95)*N($V95),2),0)</f>
        <v>0</v>
      </c>
      <c r="X95" s="58" t="str">
        <f aca="false">IF($E95="","",IFERROR(INDEX(往来单位!$D$6:$D$85,MATCH($E95,往来单位!$A$6:$A$85,0)),"否"))</f>
        <v/>
      </c>
      <c r="Y95" s="61" t="str">
        <f aca="false">IF($B95="","",YEAR($B95))</f>
        <v/>
      </c>
      <c r="Z95" s="58" t="str">
        <f aca="false">IF($B95="","",TEXT($B95,"yyyy-mm"))</f>
        <v/>
      </c>
    </row>
    <row r="96" customFormat="false" ht="15" hidden="false" customHeight="false" outlineLevel="0" collapsed="false">
      <c r="A96" s="53" t="str">
        <f aca="false">IF($B96="","",ROW()-5)</f>
        <v/>
      </c>
      <c r="B96" s="54"/>
      <c r="C96" s="33"/>
      <c r="D96" s="33"/>
      <c r="E96" s="32"/>
      <c r="F96" s="39"/>
      <c r="G96" s="48" t="str">
        <f aca="false">IF($F96="","",IFERROR(INDEX(商品档案!$B$6:$B$65,MATCH($F96,商品档案!$A$6:$A$65,0)),""))</f>
        <v/>
      </c>
      <c r="H96" s="48" t="str">
        <f aca="false">IF($F96="","",IFERROR(INDEX(商品档案!$C$6:$C$65,MATCH($F96,商品档案!$A$6:$A$65,0)),""))</f>
        <v/>
      </c>
      <c r="I96" s="55" t="str">
        <f aca="false">IF($F96="","",IFERROR(INDEX(商品档案!$D$6:$D$65,MATCH($F96,商品档案!$A$6:$A$65,0)),""))</f>
        <v/>
      </c>
      <c r="J96" s="49"/>
      <c r="K96" s="56"/>
      <c r="L96" s="33"/>
      <c r="M96" s="39"/>
      <c r="N96" s="41"/>
      <c r="O96" s="41"/>
      <c r="P96" s="25" t="str">
        <f aca="false">IF(AND($B96="",$D96="",$F96=""),"",IF(NOT(ISNUMBER($B96)),"日期无效",IF(ISNA(MATCH($C96,参数设置!$A$10:$A$12,0)),"公司无效",IF(ISNA(MATCH($D96,记账规则!$A$6:$A$9,0)),"业务类型无效",IF(ISNA(MATCH($F96,商品档案!$A$6:$A$65,0)),"商品编码无效",IF(IFERROR(INDEX(商品档案!$E$6:$E$65,MATCH($F96,商品档案!$A$6:$A$65,0)),"")&lt;&gt;$C96,"商品不属于该公司",IF(AND($E96&lt;&gt;"",ISNA(MATCH($E96,往来单位!$A$6:$A$85,0))),"往来单位未建档",IF(N($J96)=0,"数量为 0",IF(N($K96)=0,"单价为 0",IF(AND(LEFT($D96,2)="销售",$U96=""),"该商品没设成本科目",IF(YEAR($B96)&lt;&gt;参数设置!$B$5,"不在本会计年度","OK")))))))))))</f>
        <v/>
      </c>
      <c r="Q96" s="57" t="str">
        <f aca="false">IF($F96="","",ROUND(N($J96)*N($K96),2))</f>
        <v/>
      </c>
      <c r="R96" s="58" t="str">
        <f aca="false">IF($D96="","",IF(LEFT($D96,2)="销售","应收账款","应付账款"))</f>
        <v/>
      </c>
      <c r="S96" s="58" t="str">
        <f aca="false">IF($F96="","",IFERROR(INDEX(商品档案!$G$6:$G$65,MATCH($F96,商品档案!$A$6:$A$65,0)),""))</f>
        <v/>
      </c>
      <c r="T96" s="58" t="str">
        <f aca="false">IF($F96="","",IFERROR(INDEX(商品档案!$H$6:$H$65,MATCH($F96,商品档案!$A$6:$A$65,0)),""))</f>
        <v/>
      </c>
      <c r="U96" s="58" t="str">
        <f aca="false">IF($F96="","",IFERROR(INDEX(商品档案!$I$6:$I$65,MATCH($F96,商品档案!$A$6:$A$65,0)),""))</f>
        <v/>
      </c>
      <c r="V96" s="59" t="str">
        <f aca="false">IF($F96="","",SUMIFS(进销存台账!$N$6:$N$65,进销存台账!$A$6:$A$65,$C96,进销存台账!$B$6:$B$65,$F96))</f>
        <v/>
      </c>
      <c r="W96" s="60" t="n">
        <f aca="false">IF(OR($D96="销售出库",$D96="销售退回"),ROUND(N($J96)*N($V96),2),0)</f>
        <v>0</v>
      </c>
      <c r="X96" s="58" t="str">
        <f aca="false">IF($E96="","",IFERROR(INDEX(往来单位!$D$6:$D$85,MATCH($E96,往来单位!$A$6:$A$85,0)),"否"))</f>
        <v/>
      </c>
      <c r="Y96" s="61" t="str">
        <f aca="false">IF($B96="","",YEAR($B96))</f>
        <v/>
      </c>
      <c r="Z96" s="58" t="str">
        <f aca="false">IF($B96="","",TEXT($B96,"yyyy-mm"))</f>
        <v/>
      </c>
    </row>
    <row r="97" customFormat="false" ht="15" hidden="false" customHeight="false" outlineLevel="0" collapsed="false">
      <c r="A97" s="53" t="str">
        <f aca="false">IF($B97="","",ROW()-5)</f>
        <v/>
      </c>
      <c r="B97" s="54"/>
      <c r="C97" s="33"/>
      <c r="D97" s="33"/>
      <c r="E97" s="32"/>
      <c r="F97" s="39"/>
      <c r="G97" s="48" t="str">
        <f aca="false">IF($F97="","",IFERROR(INDEX(商品档案!$B$6:$B$65,MATCH($F97,商品档案!$A$6:$A$65,0)),""))</f>
        <v/>
      </c>
      <c r="H97" s="48" t="str">
        <f aca="false">IF($F97="","",IFERROR(INDEX(商品档案!$C$6:$C$65,MATCH($F97,商品档案!$A$6:$A$65,0)),""))</f>
        <v/>
      </c>
      <c r="I97" s="55" t="str">
        <f aca="false">IF($F97="","",IFERROR(INDEX(商品档案!$D$6:$D$65,MATCH($F97,商品档案!$A$6:$A$65,0)),""))</f>
        <v/>
      </c>
      <c r="J97" s="49"/>
      <c r="K97" s="56"/>
      <c r="L97" s="33"/>
      <c r="M97" s="39"/>
      <c r="N97" s="41"/>
      <c r="O97" s="41"/>
      <c r="P97" s="25" t="str">
        <f aca="false">IF(AND($B97="",$D97="",$F97=""),"",IF(NOT(ISNUMBER($B97)),"日期无效",IF(ISNA(MATCH($C97,参数设置!$A$10:$A$12,0)),"公司无效",IF(ISNA(MATCH($D97,记账规则!$A$6:$A$9,0)),"业务类型无效",IF(ISNA(MATCH($F97,商品档案!$A$6:$A$65,0)),"商品编码无效",IF(IFERROR(INDEX(商品档案!$E$6:$E$65,MATCH($F97,商品档案!$A$6:$A$65,0)),"")&lt;&gt;$C97,"商品不属于该公司",IF(AND($E97&lt;&gt;"",ISNA(MATCH($E97,往来单位!$A$6:$A$85,0))),"往来单位未建档",IF(N($J97)=0,"数量为 0",IF(N($K97)=0,"单价为 0",IF(AND(LEFT($D97,2)="销售",$U97=""),"该商品没设成本科目",IF(YEAR($B97)&lt;&gt;参数设置!$B$5,"不在本会计年度","OK")))))))))))</f>
        <v/>
      </c>
      <c r="Q97" s="57" t="str">
        <f aca="false">IF($F97="","",ROUND(N($J97)*N($K97),2))</f>
        <v/>
      </c>
      <c r="R97" s="58" t="str">
        <f aca="false">IF($D97="","",IF(LEFT($D97,2)="销售","应收账款","应付账款"))</f>
        <v/>
      </c>
      <c r="S97" s="58" t="str">
        <f aca="false">IF($F97="","",IFERROR(INDEX(商品档案!$G$6:$G$65,MATCH($F97,商品档案!$A$6:$A$65,0)),""))</f>
        <v/>
      </c>
      <c r="T97" s="58" t="str">
        <f aca="false">IF($F97="","",IFERROR(INDEX(商品档案!$H$6:$H$65,MATCH($F97,商品档案!$A$6:$A$65,0)),""))</f>
        <v/>
      </c>
      <c r="U97" s="58" t="str">
        <f aca="false">IF($F97="","",IFERROR(INDEX(商品档案!$I$6:$I$65,MATCH($F97,商品档案!$A$6:$A$65,0)),""))</f>
        <v/>
      </c>
      <c r="V97" s="59" t="str">
        <f aca="false">IF($F97="","",SUMIFS(进销存台账!$N$6:$N$65,进销存台账!$A$6:$A$65,$C97,进销存台账!$B$6:$B$65,$F97))</f>
        <v/>
      </c>
      <c r="W97" s="60" t="n">
        <f aca="false">IF(OR($D97="销售出库",$D97="销售退回"),ROUND(N($J97)*N($V97),2),0)</f>
        <v>0</v>
      </c>
      <c r="X97" s="58" t="str">
        <f aca="false">IF($E97="","",IFERROR(INDEX(往来单位!$D$6:$D$85,MATCH($E97,往来单位!$A$6:$A$85,0)),"否"))</f>
        <v/>
      </c>
      <c r="Y97" s="61" t="str">
        <f aca="false">IF($B97="","",YEAR($B97))</f>
        <v/>
      </c>
      <c r="Z97" s="58" t="str">
        <f aca="false">IF($B97="","",TEXT($B97,"yyyy-mm"))</f>
        <v/>
      </c>
    </row>
    <row r="98" customFormat="false" ht="15" hidden="false" customHeight="false" outlineLevel="0" collapsed="false">
      <c r="A98" s="53" t="str">
        <f aca="false">IF($B98="","",ROW()-5)</f>
        <v/>
      </c>
      <c r="B98" s="54"/>
      <c r="C98" s="33"/>
      <c r="D98" s="33"/>
      <c r="E98" s="32"/>
      <c r="F98" s="39"/>
      <c r="G98" s="48" t="str">
        <f aca="false">IF($F98="","",IFERROR(INDEX(商品档案!$B$6:$B$65,MATCH($F98,商品档案!$A$6:$A$65,0)),""))</f>
        <v/>
      </c>
      <c r="H98" s="48" t="str">
        <f aca="false">IF($F98="","",IFERROR(INDEX(商品档案!$C$6:$C$65,MATCH($F98,商品档案!$A$6:$A$65,0)),""))</f>
        <v/>
      </c>
      <c r="I98" s="55" t="str">
        <f aca="false">IF($F98="","",IFERROR(INDEX(商品档案!$D$6:$D$65,MATCH($F98,商品档案!$A$6:$A$65,0)),""))</f>
        <v/>
      </c>
      <c r="J98" s="49"/>
      <c r="K98" s="56"/>
      <c r="L98" s="33"/>
      <c r="M98" s="39"/>
      <c r="N98" s="41"/>
      <c r="O98" s="41"/>
      <c r="P98" s="25" t="str">
        <f aca="false">IF(AND($B98="",$D98="",$F98=""),"",IF(NOT(ISNUMBER($B98)),"日期无效",IF(ISNA(MATCH($C98,参数设置!$A$10:$A$12,0)),"公司无效",IF(ISNA(MATCH($D98,记账规则!$A$6:$A$9,0)),"业务类型无效",IF(ISNA(MATCH($F98,商品档案!$A$6:$A$65,0)),"商品编码无效",IF(IFERROR(INDEX(商品档案!$E$6:$E$65,MATCH($F98,商品档案!$A$6:$A$65,0)),"")&lt;&gt;$C98,"商品不属于该公司",IF(AND($E98&lt;&gt;"",ISNA(MATCH($E98,往来单位!$A$6:$A$85,0))),"往来单位未建档",IF(N($J98)=0,"数量为 0",IF(N($K98)=0,"单价为 0",IF(AND(LEFT($D98,2)="销售",$U98=""),"该商品没设成本科目",IF(YEAR($B98)&lt;&gt;参数设置!$B$5,"不在本会计年度","OK")))))))))))</f>
        <v/>
      </c>
      <c r="Q98" s="57" t="str">
        <f aca="false">IF($F98="","",ROUND(N($J98)*N($K98),2))</f>
        <v/>
      </c>
      <c r="R98" s="58" t="str">
        <f aca="false">IF($D98="","",IF(LEFT($D98,2)="销售","应收账款","应付账款"))</f>
        <v/>
      </c>
      <c r="S98" s="58" t="str">
        <f aca="false">IF($F98="","",IFERROR(INDEX(商品档案!$G$6:$G$65,MATCH($F98,商品档案!$A$6:$A$65,0)),""))</f>
        <v/>
      </c>
      <c r="T98" s="58" t="str">
        <f aca="false">IF($F98="","",IFERROR(INDEX(商品档案!$H$6:$H$65,MATCH($F98,商品档案!$A$6:$A$65,0)),""))</f>
        <v/>
      </c>
      <c r="U98" s="58" t="str">
        <f aca="false">IF($F98="","",IFERROR(INDEX(商品档案!$I$6:$I$65,MATCH($F98,商品档案!$A$6:$A$65,0)),""))</f>
        <v/>
      </c>
      <c r="V98" s="59" t="str">
        <f aca="false">IF($F98="","",SUMIFS(进销存台账!$N$6:$N$65,进销存台账!$A$6:$A$65,$C98,进销存台账!$B$6:$B$65,$F98))</f>
        <v/>
      </c>
      <c r="W98" s="60" t="n">
        <f aca="false">IF(OR($D98="销售出库",$D98="销售退回"),ROUND(N($J98)*N($V98),2),0)</f>
        <v>0</v>
      </c>
      <c r="X98" s="58" t="str">
        <f aca="false">IF($E98="","",IFERROR(INDEX(往来单位!$D$6:$D$85,MATCH($E98,往来单位!$A$6:$A$85,0)),"否"))</f>
        <v/>
      </c>
      <c r="Y98" s="61" t="str">
        <f aca="false">IF($B98="","",YEAR($B98))</f>
        <v/>
      </c>
      <c r="Z98" s="58" t="str">
        <f aca="false">IF($B98="","",TEXT($B98,"yyyy-mm"))</f>
        <v/>
      </c>
    </row>
    <row r="99" customFormat="false" ht="15" hidden="false" customHeight="false" outlineLevel="0" collapsed="false">
      <c r="A99" s="53" t="str">
        <f aca="false">IF($B99="","",ROW()-5)</f>
        <v/>
      </c>
      <c r="B99" s="54"/>
      <c r="C99" s="33"/>
      <c r="D99" s="33"/>
      <c r="E99" s="32"/>
      <c r="F99" s="39"/>
      <c r="G99" s="48" t="str">
        <f aca="false">IF($F99="","",IFERROR(INDEX(商品档案!$B$6:$B$65,MATCH($F99,商品档案!$A$6:$A$65,0)),""))</f>
        <v/>
      </c>
      <c r="H99" s="48" t="str">
        <f aca="false">IF($F99="","",IFERROR(INDEX(商品档案!$C$6:$C$65,MATCH($F99,商品档案!$A$6:$A$65,0)),""))</f>
        <v/>
      </c>
      <c r="I99" s="55" t="str">
        <f aca="false">IF($F99="","",IFERROR(INDEX(商品档案!$D$6:$D$65,MATCH($F99,商品档案!$A$6:$A$65,0)),""))</f>
        <v/>
      </c>
      <c r="J99" s="49"/>
      <c r="K99" s="56"/>
      <c r="L99" s="33"/>
      <c r="M99" s="39"/>
      <c r="N99" s="41"/>
      <c r="O99" s="41"/>
      <c r="P99" s="25" t="str">
        <f aca="false">IF(AND($B99="",$D99="",$F99=""),"",IF(NOT(ISNUMBER($B99)),"日期无效",IF(ISNA(MATCH($C99,参数设置!$A$10:$A$12,0)),"公司无效",IF(ISNA(MATCH($D99,记账规则!$A$6:$A$9,0)),"业务类型无效",IF(ISNA(MATCH($F99,商品档案!$A$6:$A$65,0)),"商品编码无效",IF(IFERROR(INDEX(商品档案!$E$6:$E$65,MATCH($F99,商品档案!$A$6:$A$65,0)),"")&lt;&gt;$C99,"商品不属于该公司",IF(AND($E99&lt;&gt;"",ISNA(MATCH($E99,往来单位!$A$6:$A$85,0))),"往来单位未建档",IF(N($J99)=0,"数量为 0",IF(N($K99)=0,"单价为 0",IF(AND(LEFT($D99,2)="销售",$U99=""),"该商品没设成本科目",IF(YEAR($B99)&lt;&gt;参数设置!$B$5,"不在本会计年度","OK")))))))))))</f>
        <v/>
      </c>
      <c r="Q99" s="57" t="str">
        <f aca="false">IF($F99="","",ROUND(N($J99)*N($K99),2))</f>
        <v/>
      </c>
      <c r="R99" s="58" t="str">
        <f aca="false">IF($D99="","",IF(LEFT($D99,2)="销售","应收账款","应付账款"))</f>
        <v/>
      </c>
      <c r="S99" s="58" t="str">
        <f aca="false">IF($F99="","",IFERROR(INDEX(商品档案!$G$6:$G$65,MATCH($F99,商品档案!$A$6:$A$65,0)),""))</f>
        <v/>
      </c>
      <c r="T99" s="58" t="str">
        <f aca="false">IF($F99="","",IFERROR(INDEX(商品档案!$H$6:$H$65,MATCH($F99,商品档案!$A$6:$A$65,0)),""))</f>
        <v/>
      </c>
      <c r="U99" s="58" t="str">
        <f aca="false">IF($F99="","",IFERROR(INDEX(商品档案!$I$6:$I$65,MATCH($F99,商品档案!$A$6:$A$65,0)),""))</f>
        <v/>
      </c>
      <c r="V99" s="59" t="str">
        <f aca="false">IF($F99="","",SUMIFS(进销存台账!$N$6:$N$65,进销存台账!$A$6:$A$65,$C99,进销存台账!$B$6:$B$65,$F99))</f>
        <v/>
      </c>
      <c r="W99" s="60" t="n">
        <f aca="false">IF(OR($D99="销售出库",$D99="销售退回"),ROUND(N($J99)*N($V99),2),0)</f>
        <v>0</v>
      </c>
      <c r="X99" s="58" t="str">
        <f aca="false">IF($E99="","",IFERROR(INDEX(往来单位!$D$6:$D$85,MATCH($E99,往来单位!$A$6:$A$85,0)),"否"))</f>
        <v/>
      </c>
      <c r="Y99" s="61" t="str">
        <f aca="false">IF($B99="","",YEAR($B99))</f>
        <v/>
      </c>
      <c r="Z99" s="58" t="str">
        <f aca="false">IF($B99="","",TEXT($B99,"yyyy-mm"))</f>
        <v/>
      </c>
    </row>
    <row r="100" customFormat="false" ht="15" hidden="false" customHeight="false" outlineLevel="0" collapsed="false">
      <c r="A100" s="53" t="str">
        <f aca="false">IF($B100="","",ROW()-5)</f>
        <v/>
      </c>
      <c r="B100" s="54"/>
      <c r="C100" s="33"/>
      <c r="D100" s="33"/>
      <c r="E100" s="32"/>
      <c r="F100" s="39"/>
      <c r="G100" s="48" t="str">
        <f aca="false">IF($F100="","",IFERROR(INDEX(商品档案!$B$6:$B$65,MATCH($F100,商品档案!$A$6:$A$65,0)),""))</f>
        <v/>
      </c>
      <c r="H100" s="48" t="str">
        <f aca="false">IF($F100="","",IFERROR(INDEX(商品档案!$C$6:$C$65,MATCH($F100,商品档案!$A$6:$A$65,0)),""))</f>
        <v/>
      </c>
      <c r="I100" s="55" t="str">
        <f aca="false">IF($F100="","",IFERROR(INDEX(商品档案!$D$6:$D$65,MATCH($F100,商品档案!$A$6:$A$65,0)),""))</f>
        <v/>
      </c>
      <c r="J100" s="49"/>
      <c r="K100" s="56"/>
      <c r="L100" s="33"/>
      <c r="M100" s="39"/>
      <c r="N100" s="41"/>
      <c r="O100" s="41"/>
      <c r="P100" s="25" t="str">
        <f aca="false">IF(AND($B100="",$D100="",$F100=""),"",IF(NOT(ISNUMBER($B100)),"日期无效",IF(ISNA(MATCH($C100,参数设置!$A$10:$A$12,0)),"公司无效",IF(ISNA(MATCH($D100,记账规则!$A$6:$A$9,0)),"业务类型无效",IF(ISNA(MATCH($F100,商品档案!$A$6:$A$65,0)),"商品编码无效",IF(IFERROR(INDEX(商品档案!$E$6:$E$65,MATCH($F100,商品档案!$A$6:$A$65,0)),"")&lt;&gt;$C100,"商品不属于该公司",IF(AND($E100&lt;&gt;"",ISNA(MATCH($E100,往来单位!$A$6:$A$85,0))),"往来单位未建档",IF(N($J100)=0,"数量为 0",IF(N($K100)=0,"单价为 0",IF(AND(LEFT($D100,2)="销售",$U100=""),"该商品没设成本科目",IF(YEAR($B100)&lt;&gt;参数设置!$B$5,"不在本会计年度","OK")))))))))))</f>
        <v/>
      </c>
      <c r="Q100" s="57" t="str">
        <f aca="false">IF($F100="","",ROUND(N($J100)*N($K100),2))</f>
        <v/>
      </c>
      <c r="R100" s="58" t="str">
        <f aca="false">IF($D100="","",IF(LEFT($D100,2)="销售","应收账款","应付账款"))</f>
        <v/>
      </c>
      <c r="S100" s="58" t="str">
        <f aca="false">IF($F100="","",IFERROR(INDEX(商品档案!$G$6:$G$65,MATCH($F100,商品档案!$A$6:$A$65,0)),""))</f>
        <v/>
      </c>
      <c r="T100" s="58" t="str">
        <f aca="false">IF($F100="","",IFERROR(INDEX(商品档案!$H$6:$H$65,MATCH($F100,商品档案!$A$6:$A$65,0)),""))</f>
        <v/>
      </c>
      <c r="U100" s="58" t="str">
        <f aca="false">IF($F100="","",IFERROR(INDEX(商品档案!$I$6:$I$65,MATCH($F100,商品档案!$A$6:$A$65,0)),""))</f>
        <v/>
      </c>
      <c r="V100" s="59" t="str">
        <f aca="false">IF($F100="","",SUMIFS(进销存台账!$N$6:$N$65,进销存台账!$A$6:$A$65,$C100,进销存台账!$B$6:$B$65,$F100))</f>
        <v/>
      </c>
      <c r="W100" s="60" t="n">
        <f aca="false">IF(OR($D100="销售出库",$D100="销售退回"),ROUND(N($J100)*N($V100),2),0)</f>
        <v>0</v>
      </c>
      <c r="X100" s="58" t="str">
        <f aca="false">IF($E100="","",IFERROR(INDEX(往来单位!$D$6:$D$85,MATCH($E100,往来单位!$A$6:$A$85,0)),"否"))</f>
        <v/>
      </c>
      <c r="Y100" s="61" t="str">
        <f aca="false">IF($B100="","",YEAR($B100))</f>
        <v/>
      </c>
      <c r="Z100" s="58" t="str">
        <f aca="false">IF($B100="","",TEXT($B100,"yyyy-mm"))</f>
        <v/>
      </c>
    </row>
    <row r="101" customFormat="false" ht="15" hidden="false" customHeight="false" outlineLevel="0" collapsed="false">
      <c r="A101" s="53" t="str">
        <f aca="false">IF($B101="","",ROW()-5)</f>
        <v/>
      </c>
      <c r="B101" s="54"/>
      <c r="C101" s="33"/>
      <c r="D101" s="33"/>
      <c r="E101" s="32"/>
      <c r="F101" s="39"/>
      <c r="G101" s="48" t="str">
        <f aca="false">IF($F101="","",IFERROR(INDEX(商品档案!$B$6:$B$65,MATCH($F101,商品档案!$A$6:$A$65,0)),""))</f>
        <v/>
      </c>
      <c r="H101" s="48" t="str">
        <f aca="false">IF($F101="","",IFERROR(INDEX(商品档案!$C$6:$C$65,MATCH($F101,商品档案!$A$6:$A$65,0)),""))</f>
        <v/>
      </c>
      <c r="I101" s="55" t="str">
        <f aca="false">IF($F101="","",IFERROR(INDEX(商品档案!$D$6:$D$65,MATCH($F101,商品档案!$A$6:$A$65,0)),""))</f>
        <v/>
      </c>
      <c r="J101" s="49"/>
      <c r="K101" s="56"/>
      <c r="L101" s="33"/>
      <c r="M101" s="39"/>
      <c r="N101" s="41"/>
      <c r="O101" s="41"/>
      <c r="P101" s="25" t="str">
        <f aca="false">IF(AND($B101="",$D101="",$F101=""),"",IF(NOT(ISNUMBER($B101)),"日期无效",IF(ISNA(MATCH($C101,参数设置!$A$10:$A$12,0)),"公司无效",IF(ISNA(MATCH($D101,记账规则!$A$6:$A$9,0)),"业务类型无效",IF(ISNA(MATCH($F101,商品档案!$A$6:$A$65,0)),"商品编码无效",IF(IFERROR(INDEX(商品档案!$E$6:$E$65,MATCH($F101,商品档案!$A$6:$A$65,0)),"")&lt;&gt;$C101,"商品不属于该公司",IF(AND($E101&lt;&gt;"",ISNA(MATCH($E101,往来单位!$A$6:$A$85,0))),"往来单位未建档",IF(N($J101)=0,"数量为 0",IF(N($K101)=0,"单价为 0",IF(AND(LEFT($D101,2)="销售",$U101=""),"该商品没设成本科目",IF(YEAR($B101)&lt;&gt;参数设置!$B$5,"不在本会计年度","OK")))))))))))</f>
        <v/>
      </c>
      <c r="Q101" s="57" t="str">
        <f aca="false">IF($F101="","",ROUND(N($J101)*N($K101),2))</f>
        <v/>
      </c>
      <c r="R101" s="58" t="str">
        <f aca="false">IF($D101="","",IF(LEFT($D101,2)="销售","应收账款","应付账款"))</f>
        <v/>
      </c>
      <c r="S101" s="58" t="str">
        <f aca="false">IF($F101="","",IFERROR(INDEX(商品档案!$G$6:$G$65,MATCH($F101,商品档案!$A$6:$A$65,0)),""))</f>
        <v/>
      </c>
      <c r="T101" s="58" t="str">
        <f aca="false">IF($F101="","",IFERROR(INDEX(商品档案!$H$6:$H$65,MATCH($F101,商品档案!$A$6:$A$65,0)),""))</f>
        <v/>
      </c>
      <c r="U101" s="58" t="str">
        <f aca="false">IF($F101="","",IFERROR(INDEX(商品档案!$I$6:$I$65,MATCH($F101,商品档案!$A$6:$A$65,0)),""))</f>
        <v/>
      </c>
      <c r="V101" s="59" t="str">
        <f aca="false">IF($F101="","",SUMIFS(进销存台账!$N$6:$N$65,进销存台账!$A$6:$A$65,$C101,进销存台账!$B$6:$B$65,$F101))</f>
        <v/>
      </c>
      <c r="W101" s="60" t="n">
        <f aca="false">IF(OR($D101="销售出库",$D101="销售退回"),ROUND(N($J101)*N($V101),2),0)</f>
        <v>0</v>
      </c>
      <c r="X101" s="58" t="str">
        <f aca="false">IF($E101="","",IFERROR(INDEX(往来单位!$D$6:$D$85,MATCH($E101,往来单位!$A$6:$A$85,0)),"否"))</f>
        <v/>
      </c>
      <c r="Y101" s="61" t="str">
        <f aca="false">IF($B101="","",YEAR($B101))</f>
        <v/>
      </c>
      <c r="Z101" s="58" t="str">
        <f aca="false">IF($B101="","",TEXT($B101,"yyyy-mm"))</f>
        <v/>
      </c>
    </row>
    <row r="102" customFormat="false" ht="15" hidden="false" customHeight="false" outlineLevel="0" collapsed="false">
      <c r="A102" s="53" t="str">
        <f aca="false">IF($B102="","",ROW()-5)</f>
        <v/>
      </c>
      <c r="B102" s="54"/>
      <c r="C102" s="33"/>
      <c r="D102" s="33"/>
      <c r="E102" s="32"/>
      <c r="F102" s="39"/>
      <c r="G102" s="48" t="str">
        <f aca="false">IF($F102="","",IFERROR(INDEX(商品档案!$B$6:$B$65,MATCH($F102,商品档案!$A$6:$A$65,0)),""))</f>
        <v/>
      </c>
      <c r="H102" s="48" t="str">
        <f aca="false">IF($F102="","",IFERROR(INDEX(商品档案!$C$6:$C$65,MATCH($F102,商品档案!$A$6:$A$65,0)),""))</f>
        <v/>
      </c>
      <c r="I102" s="55" t="str">
        <f aca="false">IF($F102="","",IFERROR(INDEX(商品档案!$D$6:$D$65,MATCH($F102,商品档案!$A$6:$A$65,0)),""))</f>
        <v/>
      </c>
      <c r="J102" s="49"/>
      <c r="K102" s="56"/>
      <c r="L102" s="33"/>
      <c r="M102" s="39"/>
      <c r="N102" s="41"/>
      <c r="O102" s="41"/>
      <c r="P102" s="25" t="str">
        <f aca="false">IF(AND($B102="",$D102="",$F102=""),"",IF(NOT(ISNUMBER($B102)),"日期无效",IF(ISNA(MATCH($C102,参数设置!$A$10:$A$12,0)),"公司无效",IF(ISNA(MATCH($D102,记账规则!$A$6:$A$9,0)),"业务类型无效",IF(ISNA(MATCH($F102,商品档案!$A$6:$A$65,0)),"商品编码无效",IF(IFERROR(INDEX(商品档案!$E$6:$E$65,MATCH($F102,商品档案!$A$6:$A$65,0)),"")&lt;&gt;$C102,"商品不属于该公司",IF(AND($E102&lt;&gt;"",ISNA(MATCH($E102,往来单位!$A$6:$A$85,0))),"往来单位未建档",IF(N($J102)=0,"数量为 0",IF(N($K102)=0,"单价为 0",IF(AND(LEFT($D102,2)="销售",$U102=""),"该商品没设成本科目",IF(YEAR($B102)&lt;&gt;参数设置!$B$5,"不在本会计年度","OK")))))))))))</f>
        <v/>
      </c>
      <c r="Q102" s="57" t="str">
        <f aca="false">IF($F102="","",ROUND(N($J102)*N($K102),2))</f>
        <v/>
      </c>
      <c r="R102" s="58" t="str">
        <f aca="false">IF($D102="","",IF(LEFT($D102,2)="销售","应收账款","应付账款"))</f>
        <v/>
      </c>
      <c r="S102" s="58" t="str">
        <f aca="false">IF($F102="","",IFERROR(INDEX(商品档案!$G$6:$G$65,MATCH($F102,商品档案!$A$6:$A$65,0)),""))</f>
        <v/>
      </c>
      <c r="T102" s="58" t="str">
        <f aca="false">IF($F102="","",IFERROR(INDEX(商品档案!$H$6:$H$65,MATCH($F102,商品档案!$A$6:$A$65,0)),""))</f>
        <v/>
      </c>
      <c r="U102" s="58" t="str">
        <f aca="false">IF($F102="","",IFERROR(INDEX(商品档案!$I$6:$I$65,MATCH($F102,商品档案!$A$6:$A$65,0)),""))</f>
        <v/>
      </c>
      <c r="V102" s="59" t="str">
        <f aca="false">IF($F102="","",SUMIFS(进销存台账!$N$6:$N$65,进销存台账!$A$6:$A$65,$C102,进销存台账!$B$6:$B$65,$F102))</f>
        <v/>
      </c>
      <c r="W102" s="60" t="n">
        <f aca="false">IF(OR($D102="销售出库",$D102="销售退回"),ROUND(N($J102)*N($V102),2),0)</f>
        <v>0</v>
      </c>
      <c r="X102" s="58" t="str">
        <f aca="false">IF($E102="","",IFERROR(INDEX(往来单位!$D$6:$D$85,MATCH($E102,往来单位!$A$6:$A$85,0)),"否"))</f>
        <v/>
      </c>
      <c r="Y102" s="61" t="str">
        <f aca="false">IF($B102="","",YEAR($B102))</f>
        <v/>
      </c>
      <c r="Z102" s="58" t="str">
        <f aca="false">IF($B102="","",TEXT($B102,"yyyy-mm"))</f>
        <v/>
      </c>
    </row>
    <row r="103" customFormat="false" ht="15" hidden="false" customHeight="false" outlineLevel="0" collapsed="false">
      <c r="A103" s="53" t="str">
        <f aca="false">IF($B103="","",ROW()-5)</f>
        <v/>
      </c>
      <c r="B103" s="54"/>
      <c r="C103" s="33"/>
      <c r="D103" s="33"/>
      <c r="E103" s="32"/>
      <c r="F103" s="39"/>
      <c r="G103" s="48" t="str">
        <f aca="false">IF($F103="","",IFERROR(INDEX(商品档案!$B$6:$B$65,MATCH($F103,商品档案!$A$6:$A$65,0)),""))</f>
        <v/>
      </c>
      <c r="H103" s="48" t="str">
        <f aca="false">IF($F103="","",IFERROR(INDEX(商品档案!$C$6:$C$65,MATCH($F103,商品档案!$A$6:$A$65,0)),""))</f>
        <v/>
      </c>
      <c r="I103" s="55" t="str">
        <f aca="false">IF($F103="","",IFERROR(INDEX(商品档案!$D$6:$D$65,MATCH($F103,商品档案!$A$6:$A$65,0)),""))</f>
        <v/>
      </c>
      <c r="J103" s="49"/>
      <c r="K103" s="56"/>
      <c r="L103" s="33"/>
      <c r="M103" s="39"/>
      <c r="N103" s="41"/>
      <c r="O103" s="41"/>
      <c r="P103" s="25" t="str">
        <f aca="false">IF(AND($B103="",$D103="",$F103=""),"",IF(NOT(ISNUMBER($B103)),"日期无效",IF(ISNA(MATCH($C103,参数设置!$A$10:$A$12,0)),"公司无效",IF(ISNA(MATCH($D103,记账规则!$A$6:$A$9,0)),"业务类型无效",IF(ISNA(MATCH($F103,商品档案!$A$6:$A$65,0)),"商品编码无效",IF(IFERROR(INDEX(商品档案!$E$6:$E$65,MATCH($F103,商品档案!$A$6:$A$65,0)),"")&lt;&gt;$C103,"商品不属于该公司",IF(AND($E103&lt;&gt;"",ISNA(MATCH($E103,往来单位!$A$6:$A$85,0))),"往来单位未建档",IF(N($J103)=0,"数量为 0",IF(N($K103)=0,"单价为 0",IF(AND(LEFT($D103,2)="销售",$U103=""),"该商品没设成本科目",IF(YEAR($B103)&lt;&gt;参数设置!$B$5,"不在本会计年度","OK")))))))))))</f>
        <v/>
      </c>
      <c r="Q103" s="57" t="str">
        <f aca="false">IF($F103="","",ROUND(N($J103)*N($K103),2))</f>
        <v/>
      </c>
      <c r="R103" s="58" t="str">
        <f aca="false">IF($D103="","",IF(LEFT($D103,2)="销售","应收账款","应付账款"))</f>
        <v/>
      </c>
      <c r="S103" s="58" t="str">
        <f aca="false">IF($F103="","",IFERROR(INDEX(商品档案!$G$6:$G$65,MATCH($F103,商品档案!$A$6:$A$65,0)),""))</f>
        <v/>
      </c>
      <c r="T103" s="58" t="str">
        <f aca="false">IF($F103="","",IFERROR(INDEX(商品档案!$H$6:$H$65,MATCH($F103,商品档案!$A$6:$A$65,0)),""))</f>
        <v/>
      </c>
      <c r="U103" s="58" t="str">
        <f aca="false">IF($F103="","",IFERROR(INDEX(商品档案!$I$6:$I$65,MATCH($F103,商品档案!$A$6:$A$65,0)),""))</f>
        <v/>
      </c>
      <c r="V103" s="59" t="str">
        <f aca="false">IF($F103="","",SUMIFS(进销存台账!$N$6:$N$65,进销存台账!$A$6:$A$65,$C103,进销存台账!$B$6:$B$65,$F103))</f>
        <v/>
      </c>
      <c r="W103" s="60" t="n">
        <f aca="false">IF(OR($D103="销售出库",$D103="销售退回"),ROUND(N($J103)*N($V103),2),0)</f>
        <v>0</v>
      </c>
      <c r="X103" s="58" t="str">
        <f aca="false">IF($E103="","",IFERROR(INDEX(往来单位!$D$6:$D$85,MATCH($E103,往来单位!$A$6:$A$85,0)),"否"))</f>
        <v/>
      </c>
      <c r="Y103" s="61" t="str">
        <f aca="false">IF($B103="","",YEAR($B103))</f>
        <v/>
      </c>
      <c r="Z103" s="58" t="str">
        <f aca="false">IF($B103="","",TEXT($B103,"yyyy-mm"))</f>
        <v/>
      </c>
    </row>
    <row r="104" customFormat="false" ht="15" hidden="false" customHeight="false" outlineLevel="0" collapsed="false">
      <c r="A104" s="53" t="str">
        <f aca="false">IF($B104="","",ROW()-5)</f>
        <v/>
      </c>
      <c r="B104" s="54"/>
      <c r="C104" s="33"/>
      <c r="D104" s="33"/>
      <c r="E104" s="32"/>
      <c r="F104" s="39"/>
      <c r="G104" s="48" t="str">
        <f aca="false">IF($F104="","",IFERROR(INDEX(商品档案!$B$6:$B$65,MATCH($F104,商品档案!$A$6:$A$65,0)),""))</f>
        <v/>
      </c>
      <c r="H104" s="48" t="str">
        <f aca="false">IF($F104="","",IFERROR(INDEX(商品档案!$C$6:$C$65,MATCH($F104,商品档案!$A$6:$A$65,0)),""))</f>
        <v/>
      </c>
      <c r="I104" s="55" t="str">
        <f aca="false">IF($F104="","",IFERROR(INDEX(商品档案!$D$6:$D$65,MATCH($F104,商品档案!$A$6:$A$65,0)),""))</f>
        <v/>
      </c>
      <c r="J104" s="49"/>
      <c r="K104" s="56"/>
      <c r="L104" s="33"/>
      <c r="M104" s="39"/>
      <c r="N104" s="41"/>
      <c r="O104" s="41"/>
      <c r="P104" s="25" t="str">
        <f aca="false">IF(AND($B104="",$D104="",$F104=""),"",IF(NOT(ISNUMBER($B104)),"日期无效",IF(ISNA(MATCH($C104,参数设置!$A$10:$A$12,0)),"公司无效",IF(ISNA(MATCH($D104,记账规则!$A$6:$A$9,0)),"业务类型无效",IF(ISNA(MATCH($F104,商品档案!$A$6:$A$65,0)),"商品编码无效",IF(IFERROR(INDEX(商品档案!$E$6:$E$65,MATCH($F104,商品档案!$A$6:$A$65,0)),"")&lt;&gt;$C104,"商品不属于该公司",IF(AND($E104&lt;&gt;"",ISNA(MATCH($E104,往来单位!$A$6:$A$85,0))),"往来单位未建档",IF(N($J104)=0,"数量为 0",IF(N($K104)=0,"单价为 0",IF(AND(LEFT($D104,2)="销售",$U104=""),"该商品没设成本科目",IF(YEAR($B104)&lt;&gt;参数设置!$B$5,"不在本会计年度","OK")))))))))))</f>
        <v/>
      </c>
      <c r="Q104" s="57" t="str">
        <f aca="false">IF($F104="","",ROUND(N($J104)*N($K104),2))</f>
        <v/>
      </c>
      <c r="R104" s="58" t="str">
        <f aca="false">IF($D104="","",IF(LEFT($D104,2)="销售","应收账款","应付账款"))</f>
        <v/>
      </c>
      <c r="S104" s="58" t="str">
        <f aca="false">IF($F104="","",IFERROR(INDEX(商品档案!$G$6:$G$65,MATCH($F104,商品档案!$A$6:$A$65,0)),""))</f>
        <v/>
      </c>
      <c r="T104" s="58" t="str">
        <f aca="false">IF($F104="","",IFERROR(INDEX(商品档案!$H$6:$H$65,MATCH($F104,商品档案!$A$6:$A$65,0)),""))</f>
        <v/>
      </c>
      <c r="U104" s="58" t="str">
        <f aca="false">IF($F104="","",IFERROR(INDEX(商品档案!$I$6:$I$65,MATCH($F104,商品档案!$A$6:$A$65,0)),""))</f>
        <v/>
      </c>
      <c r="V104" s="59" t="str">
        <f aca="false">IF($F104="","",SUMIFS(进销存台账!$N$6:$N$65,进销存台账!$A$6:$A$65,$C104,进销存台账!$B$6:$B$65,$F104))</f>
        <v/>
      </c>
      <c r="W104" s="60" t="n">
        <f aca="false">IF(OR($D104="销售出库",$D104="销售退回"),ROUND(N($J104)*N($V104),2),0)</f>
        <v>0</v>
      </c>
      <c r="X104" s="58" t="str">
        <f aca="false">IF($E104="","",IFERROR(INDEX(往来单位!$D$6:$D$85,MATCH($E104,往来单位!$A$6:$A$85,0)),"否"))</f>
        <v/>
      </c>
      <c r="Y104" s="61" t="str">
        <f aca="false">IF($B104="","",YEAR($B104))</f>
        <v/>
      </c>
      <c r="Z104" s="58" t="str">
        <f aca="false">IF($B104="","",TEXT($B104,"yyyy-mm"))</f>
        <v/>
      </c>
    </row>
    <row r="105" customFormat="false" ht="15" hidden="false" customHeight="false" outlineLevel="0" collapsed="false">
      <c r="A105" s="53" t="str">
        <f aca="false">IF($B105="","",ROW()-5)</f>
        <v/>
      </c>
      <c r="B105" s="54"/>
      <c r="C105" s="33"/>
      <c r="D105" s="33"/>
      <c r="E105" s="32"/>
      <c r="F105" s="39"/>
      <c r="G105" s="48" t="str">
        <f aca="false">IF($F105="","",IFERROR(INDEX(商品档案!$B$6:$B$65,MATCH($F105,商品档案!$A$6:$A$65,0)),""))</f>
        <v/>
      </c>
      <c r="H105" s="48" t="str">
        <f aca="false">IF($F105="","",IFERROR(INDEX(商品档案!$C$6:$C$65,MATCH($F105,商品档案!$A$6:$A$65,0)),""))</f>
        <v/>
      </c>
      <c r="I105" s="55" t="str">
        <f aca="false">IF($F105="","",IFERROR(INDEX(商品档案!$D$6:$D$65,MATCH($F105,商品档案!$A$6:$A$65,0)),""))</f>
        <v/>
      </c>
      <c r="J105" s="49"/>
      <c r="K105" s="56"/>
      <c r="L105" s="33"/>
      <c r="M105" s="39"/>
      <c r="N105" s="41"/>
      <c r="O105" s="41"/>
      <c r="P105" s="25" t="str">
        <f aca="false">IF(AND($B105="",$D105="",$F105=""),"",IF(NOT(ISNUMBER($B105)),"日期无效",IF(ISNA(MATCH($C105,参数设置!$A$10:$A$12,0)),"公司无效",IF(ISNA(MATCH($D105,记账规则!$A$6:$A$9,0)),"业务类型无效",IF(ISNA(MATCH($F105,商品档案!$A$6:$A$65,0)),"商品编码无效",IF(IFERROR(INDEX(商品档案!$E$6:$E$65,MATCH($F105,商品档案!$A$6:$A$65,0)),"")&lt;&gt;$C105,"商品不属于该公司",IF(AND($E105&lt;&gt;"",ISNA(MATCH($E105,往来单位!$A$6:$A$85,0))),"往来单位未建档",IF(N($J105)=0,"数量为 0",IF(N($K105)=0,"单价为 0",IF(AND(LEFT($D105,2)="销售",$U105=""),"该商品没设成本科目",IF(YEAR($B105)&lt;&gt;参数设置!$B$5,"不在本会计年度","OK")))))))))))</f>
        <v/>
      </c>
      <c r="Q105" s="57" t="str">
        <f aca="false">IF($F105="","",ROUND(N($J105)*N($K105),2))</f>
        <v/>
      </c>
      <c r="R105" s="58" t="str">
        <f aca="false">IF($D105="","",IF(LEFT($D105,2)="销售","应收账款","应付账款"))</f>
        <v/>
      </c>
      <c r="S105" s="58" t="str">
        <f aca="false">IF($F105="","",IFERROR(INDEX(商品档案!$G$6:$G$65,MATCH($F105,商品档案!$A$6:$A$65,0)),""))</f>
        <v/>
      </c>
      <c r="T105" s="58" t="str">
        <f aca="false">IF($F105="","",IFERROR(INDEX(商品档案!$H$6:$H$65,MATCH($F105,商品档案!$A$6:$A$65,0)),""))</f>
        <v/>
      </c>
      <c r="U105" s="58" t="str">
        <f aca="false">IF($F105="","",IFERROR(INDEX(商品档案!$I$6:$I$65,MATCH($F105,商品档案!$A$6:$A$65,0)),""))</f>
        <v/>
      </c>
      <c r="V105" s="59" t="str">
        <f aca="false">IF($F105="","",SUMIFS(进销存台账!$N$6:$N$65,进销存台账!$A$6:$A$65,$C105,进销存台账!$B$6:$B$65,$F105))</f>
        <v/>
      </c>
      <c r="W105" s="60" t="n">
        <f aca="false">IF(OR($D105="销售出库",$D105="销售退回"),ROUND(N($J105)*N($V105),2),0)</f>
        <v>0</v>
      </c>
      <c r="X105" s="58" t="str">
        <f aca="false">IF($E105="","",IFERROR(INDEX(往来单位!$D$6:$D$85,MATCH($E105,往来单位!$A$6:$A$85,0)),"否"))</f>
        <v/>
      </c>
      <c r="Y105" s="61" t="str">
        <f aca="false">IF($B105="","",YEAR($B105))</f>
        <v/>
      </c>
      <c r="Z105" s="58" t="str">
        <f aca="false">IF($B105="","",TEXT($B105,"yyyy-mm"))</f>
        <v/>
      </c>
    </row>
    <row r="106" customFormat="false" ht="15" hidden="false" customHeight="false" outlineLevel="0" collapsed="false">
      <c r="A106" s="53" t="str">
        <f aca="false">IF($B106="","",ROW()-5)</f>
        <v/>
      </c>
      <c r="B106" s="54"/>
      <c r="C106" s="33"/>
      <c r="D106" s="33"/>
      <c r="E106" s="32"/>
      <c r="F106" s="39"/>
      <c r="G106" s="48" t="str">
        <f aca="false">IF($F106="","",IFERROR(INDEX(商品档案!$B$6:$B$65,MATCH($F106,商品档案!$A$6:$A$65,0)),""))</f>
        <v/>
      </c>
      <c r="H106" s="48" t="str">
        <f aca="false">IF($F106="","",IFERROR(INDEX(商品档案!$C$6:$C$65,MATCH($F106,商品档案!$A$6:$A$65,0)),""))</f>
        <v/>
      </c>
      <c r="I106" s="55" t="str">
        <f aca="false">IF($F106="","",IFERROR(INDEX(商品档案!$D$6:$D$65,MATCH($F106,商品档案!$A$6:$A$65,0)),""))</f>
        <v/>
      </c>
      <c r="J106" s="49"/>
      <c r="K106" s="56"/>
      <c r="L106" s="33"/>
      <c r="M106" s="39"/>
      <c r="N106" s="41"/>
      <c r="O106" s="41"/>
      <c r="P106" s="25" t="str">
        <f aca="false">IF(AND($B106="",$D106="",$F106=""),"",IF(NOT(ISNUMBER($B106)),"日期无效",IF(ISNA(MATCH($C106,参数设置!$A$10:$A$12,0)),"公司无效",IF(ISNA(MATCH($D106,记账规则!$A$6:$A$9,0)),"业务类型无效",IF(ISNA(MATCH($F106,商品档案!$A$6:$A$65,0)),"商品编码无效",IF(IFERROR(INDEX(商品档案!$E$6:$E$65,MATCH($F106,商品档案!$A$6:$A$65,0)),"")&lt;&gt;$C106,"商品不属于该公司",IF(AND($E106&lt;&gt;"",ISNA(MATCH($E106,往来单位!$A$6:$A$85,0))),"往来单位未建档",IF(N($J106)=0,"数量为 0",IF(N($K106)=0,"单价为 0",IF(AND(LEFT($D106,2)="销售",$U106=""),"该商品没设成本科目",IF(YEAR($B106)&lt;&gt;参数设置!$B$5,"不在本会计年度","OK")))))))))))</f>
        <v/>
      </c>
      <c r="Q106" s="57" t="str">
        <f aca="false">IF($F106="","",ROUND(N($J106)*N($K106),2))</f>
        <v/>
      </c>
      <c r="R106" s="58" t="str">
        <f aca="false">IF($D106="","",IF(LEFT($D106,2)="销售","应收账款","应付账款"))</f>
        <v/>
      </c>
      <c r="S106" s="58" t="str">
        <f aca="false">IF($F106="","",IFERROR(INDEX(商品档案!$G$6:$G$65,MATCH($F106,商品档案!$A$6:$A$65,0)),""))</f>
        <v/>
      </c>
      <c r="T106" s="58" t="str">
        <f aca="false">IF($F106="","",IFERROR(INDEX(商品档案!$H$6:$H$65,MATCH($F106,商品档案!$A$6:$A$65,0)),""))</f>
        <v/>
      </c>
      <c r="U106" s="58" t="str">
        <f aca="false">IF($F106="","",IFERROR(INDEX(商品档案!$I$6:$I$65,MATCH($F106,商品档案!$A$6:$A$65,0)),""))</f>
        <v/>
      </c>
      <c r="V106" s="59" t="str">
        <f aca="false">IF($F106="","",SUMIFS(进销存台账!$N$6:$N$65,进销存台账!$A$6:$A$65,$C106,进销存台账!$B$6:$B$65,$F106))</f>
        <v/>
      </c>
      <c r="W106" s="60" t="n">
        <f aca="false">IF(OR($D106="销售出库",$D106="销售退回"),ROUND(N($J106)*N($V106),2),0)</f>
        <v>0</v>
      </c>
      <c r="X106" s="58" t="str">
        <f aca="false">IF($E106="","",IFERROR(INDEX(往来单位!$D$6:$D$85,MATCH($E106,往来单位!$A$6:$A$85,0)),"否"))</f>
        <v/>
      </c>
      <c r="Y106" s="61" t="str">
        <f aca="false">IF($B106="","",YEAR($B106))</f>
        <v/>
      </c>
      <c r="Z106" s="58" t="str">
        <f aca="false">IF($B106="","",TEXT($B106,"yyyy-mm"))</f>
        <v/>
      </c>
    </row>
    <row r="107" customFormat="false" ht="15" hidden="false" customHeight="false" outlineLevel="0" collapsed="false">
      <c r="A107" s="53" t="str">
        <f aca="false">IF($B107="","",ROW()-5)</f>
        <v/>
      </c>
      <c r="B107" s="54"/>
      <c r="C107" s="33"/>
      <c r="D107" s="33"/>
      <c r="E107" s="32"/>
      <c r="F107" s="39"/>
      <c r="G107" s="48" t="str">
        <f aca="false">IF($F107="","",IFERROR(INDEX(商品档案!$B$6:$B$65,MATCH($F107,商品档案!$A$6:$A$65,0)),""))</f>
        <v/>
      </c>
      <c r="H107" s="48" t="str">
        <f aca="false">IF($F107="","",IFERROR(INDEX(商品档案!$C$6:$C$65,MATCH($F107,商品档案!$A$6:$A$65,0)),""))</f>
        <v/>
      </c>
      <c r="I107" s="55" t="str">
        <f aca="false">IF($F107="","",IFERROR(INDEX(商品档案!$D$6:$D$65,MATCH($F107,商品档案!$A$6:$A$65,0)),""))</f>
        <v/>
      </c>
      <c r="J107" s="49"/>
      <c r="K107" s="56"/>
      <c r="L107" s="33"/>
      <c r="M107" s="39"/>
      <c r="N107" s="41"/>
      <c r="O107" s="41"/>
      <c r="P107" s="25" t="str">
        <f aca="false">IF(AND($B107="",$D107="",$F107=""),"",IF(NOT(ISNUMBER($B107)),"日期无效",IF(ISNA(MATCH($C107,参数设置!$A$10:$A$12,0)),"公司无效",IF(ISNA(MATCH($D107,记账规则!$A$6:$A$9,0)),"业务类型无效",IF(ISNA(MATCH($F107,商品档案!$A$6:$A$65,0)),"商品编码无效",IF(IFERROR(INDEX(商品档案!$E$6:$E$65,MATCH($F107,商品档案!$A$6:$A$65,0)),"")&lt;&gt;$C107,"商品不属于该公司",IF(AND($E107&lt;&gt;"",ISNA(MATCH($E107,往来单位!$A$6:$A$85,0))),"往来单位未建档",IF(N($J107)=0,"数量为 0",IF(N($K107)=0,"单价为 0",IF(AND(LEFT($D107,2)="销售",$U107=""),"该商品没设成本科目",IF(YEAR($B107)&lt;&gt;参数设置!$B$5,"不在本会计年度","OK")))))))))))</f>
        <v/>
      </c>
      <c r="Q107" s="57" t="str">
        <f aca="false">IF($F107="","",ROUND(N($J107)*N($K107),2))</f>
        <v/>
      </c>
      <c r="R107" s="58" t="str">
        <f aca="false">IF($D107="","",IF(LEFT($D107,2)="销售","应收账款","应付账款"))</f>
        <v/>
      </c>
      <c r="S107" s="58" t="str">
        <f aca="false">IF($F107="","",IFERROR(INDEX(商品档案!$G$6:$G$65,MATCH($F107,商品档案!$A$6:$A$65,0)),""))</f>
        <v/>
      </c>
      <c r="T107" s="58" t="str">
        <f aca="false">IF($F107="","",IFERROR(INDEX(商品档案!$H$6:$H$65,MATCH($F107,商品档案!$A$6:$A$65,0)),""))</f>
        <v/>
      </c>
      <c r="U107" s="58" t="str">
        <f aca="false">IF($F107="","",IFERROR(INDEX(商品档案!$I$6:$I$65,MATCH($F107,商品档案!$A$6:$A$65,0)),""))</f>
        <v/>
      </c>
      <c r="V107" s="59" t="str">
        <f aca="false">IF($F107="","",SUMIFS(进销存台账!$N$6:$N$65,进销存台账!$A$6:$A$65,$C107,进销存台账!$B$6:$B$65,$F107))</f>
        <v/>
      </c>
      <c r="W107" s="60" t="n">
        <f aca="false">IF(OR($D107="销售出库",$D107="销售退回"),ROUND(N($J107)*N($V107),2),0)</f>
        <v>0</v>
      </c>
      <c r="X107" s="58" t="str">
        <f aca="false">IF($E107="","",IFERROR(INDEX(往来单位!$D$6:$D$85,MATCH($E107,往来单位!$A$6:$A$85,0)),"否"))</f>
        <v/>
      </c>
      <c r="Y107" s="61" t="str">
        <f aca="false">IF($B107="","",YEAR($B107))</f>
        <v/>
      </c>
      <c r="Z107" s="58" t="str">
        <f aca="false">IF($B107="","",TEXT($B107,"yyyy-mm"))</f>
        <v/>
      </c>
    </row>
    <row r="108" customFormat="false" ht="15" hidden="false" customHeight="false" outlineLevel="0" collapsed="false">
      <c r="A108" s="53" t="str">
        <f aca="false">IF($B108="","",ROW()-5)</f>
        <v/>
      </c>
      <c r="B108" s="54"/>
      <c r="C108" s="33"/>
      <c r="D108" s="33"/>
      <c r="E108" s="32"/>
      <c r="F108" s="39"/>
      <c r="G108" s="48" t="str">
        <f aca="false">IF($F108="","",IFERROR(INDEX(商品档案!$B$6:$B$65,MATCH($F108,商品档案!$A$6:$A$65,0)),""))</f>
        <v/>
      </c>
      <c r="H108" s="48" t="str">
        <f aca="false">IF($F108="","",IFERROR(INDEX(商品档案!$C$6:$C$65,MATCH($F108,商品档案!$A$6:$A$65,0)),""))</f>
        <v/>
      </c>
      <c r="I108" s="55" t="str">
        <f aca="false">IF($F108="","",IFERROR(INDEX(商品档案!$D$6:$D$65,MATCH($F108,商品档案!$A$6:$A$65,0)),""))</f>
        <v/>
      </c>
      <c r="J108" s="49"/>
      <c r="K108" s="56"/>
      <c r="L108" s="33"/>
      <c r="M108" s="39"/>
      <c r="N108" s="41"/>
      <c r="O108" s="41"/>
      <c r="P108" s="25" t="str">
        <f aca="false">IF(AND($B108="",$D108="",$F108=""),"",IF(NOT(ISNUMBER($B108)),"日期无效",IF(ISNA(MATCH($C108,参数设置!$A$10:$A$12,0)),"公司无效",IF(ISNA(MATCH($D108,记账规则!$A$6:$A$9,0)),"业务类型无效",IF(ISNA(MATCH($F108,商品档案!$A$6:$A$65,0)),"商品编码无效",IF(IFERROR(INDEX(商品档案!$E$6:$E$65,MATCH($F108,商品档案!$A$6:$A$65,0)),"")&lt;&gt;$C108,"商品不属于该公司",IF(AND($E108&lt;&gt;"",ISNA(MATCH($E108,往来单位!$A$6:$A$85,0))),"往来单位未建档",IF(N($J108)=0,"数量为 0",IF(N($K108)=0,"单价为 0",IF(AND(LEFT($D108,2)="销售",$U108=""),"该商品没设成本科目",IF(YEAR($B108)&lt;&gt;参数设置!$B$5,"不在本会计年度","OK")))))))))))</f>
        <v/>
      </c>
      <c r="Q108" s="57" t="str">
        <f aca="false">IF($F108="","",ROUND(N($J108)*N($K108),2))</f>
        <v/>
      </c>
      <c r="R108" s="58" t="str">
        <f aca="false">IF($D108="","",IF(LEFT($D108,2)="销售","应收账款","应付账款"))</f>
        <v/>
      </c>
      <c r="S108" s="58" t="str">
        <f aca="false">IF($F108="","",IFERROR(INDEX(商品档案!$G$6:$G$65,MATCH($F108,商品档案!$A$6:$A$65,0)),""))</f>
        <v/>
      </c>
      <c r="T108" s="58" t="str">
        <f aca="false">IF($F108="","",IFERROR(INDEX(商品档案!$H$6:$H$65,MATCH($F108,商品档案!$A$6:$A$65,0)),""))</f>
        <v/>
      </c>
      <c r="U108" s="58" t="str">
        <f aca="false">IF($F108="","",IFERROR(INDEX(商品档案!$I$6:$I$65,MATCH($F108,商品档案!$A$6:$A$65,0)),""))</f>
        <v/>
      </c>
      <c r="V108" s="59" t="str">
        <f aca="false">IF($F108="","",SUMIFS(进销存台账!$N$6:$N$65,进销存台账!$A$6:$A$65,$C108,进销存台账!$B$6:$B$65,$F108))</f>
        <v/>
      </c>
      <c r="W108" s="60" t="n">
        <f aca="false">IF(OR($D108="销售出库",$D108="销售退回"),ROUND(N($J108)*N($V108),2),0)</f>
        <v>0</v>
      </c>
      <c r="X108" s="58" t="str">
        <f aca="false">IF($E108="","",IFERROR(INDEX(往来单位!$D$6:$D$85,MATCH($E108,往来单位!$A$6:$A$85,0)),"否"))</f>
        <v/>
      </c>
      <c r="Y108" s="61" t="str">
        <f aca="false">IF($B108="","",YEAR($B108))</f>
        <v/>
      </c>
      <c r="Z108" s="58" t="str">
        <f aca="false">IF($B108="","",TEXT($B108,"yyyy-mm"))</f>
        <v/>
      </c>
    </row>
    <row r="109" customFormat="false" ht="15" hidden="false" customHeight="false" outlineLevel="0" collapsed="false">
      <c r="A109" s="53" t="str">
        <f aca="false">IF($B109="","",ROW()-5)</f>
        <v/>
      </c>
      <c r="B109" s="54"/>
      <c r="C109" s="33"/>
      <c r="D109" s="33"/>
      <c r="E109" s="32"/>
      <c r="F109" s="39"/>
      <c r="G109" s="48" t="str">
        <f aca="false">IF($F109="","",IFERROR(INDEX(商品档案!$B$6:$B$65,MATCH($F109,商品档案!$A$6:$A$65,0)),""))</f>
        <v/>
      </c>
      <c r="H109" s="48" t="str">
        <f aca="false">IF($F109="","",IFERROR(INDEX(商品档案!$C$6:$C$65,MATCH($F109,商品档案!$A$6:$A$65,0)),""))</f>
        <v/>
      </c>
      <c r="I109" s="55" t="str">
        <f aca="false">IF($F109="","",IFERROR(INDEX(商品档案!$D$6:$D$65,MATCH($F109,商品档案!$A$6:$A$65,0)),""))</f>
        <v/>
      </c>
      <c r="J109" s="49"/>
      <c r="K109" s="56"/>
      <c r="L109" s="33"/>
      <c r="M109" s="39"/>
      <c r="N109" s="41"/>
      <c r="O109" s="41"/>
      <c r="P109" s="25" t="str">
        <f aca="false">IF(AND($B109="",$D109="",$F109=""),"",IF(NOT(ISNUMBER($B109)),"日期无效",IF(ISNA(MATCH($C109,参数设置!$A$10:$A$12,0)),"公司无效",IF(ISNA(MATCH($D109,记账规则!$A$6:$A$9,0)),"业务类型无效",IF(ISNA(MATCH($F109,商品档案!$A$6:$A$65,0)),"商品编码无效",IF(IFERROR(INDEX(商品档案!$E$6:$E$65,MATCH($F109,商品档案!$A$6:$A$65,0)),"")&lt;&gt;$C109,"商品不属于该公司",IF(AND($E109&lt;&gt;"",ISNA(MATCH($E109,往来单位!$A$6:$A$85,0))),"往来单位未建档",IF(N($J109)=0,"数量为 0",IF(N($K109)=0,"单价为 0",IF(AND(LEFT($D109,2)="销售",$U109=""),"该商品没设成本科目",IF(YEAR($B109)&lt;&gt;参数设置!$B$5,"不在本会计年度","OK")))))))))))</f>
        <v/>
      </c>
      <c r="Q109" s="57" t="str">
        <f aca="false">IF($F109="","",ROUND(N($J109)*N($K109),2))</f>
        <v/>
      </c>
      <c r="R109" s="58" t="str">
        <f aca="false">IF($D109="","",IF(LEFT($D109,2)="销售","应收账款","应付账款"))</f>
        <v/>
      </c>
      <c r="S109" s="58" t="str">
        <f aca="false">IF($F109="","",IFERROR(INDEX(商品档案!$G$6:$G$65,MATCH($F109,商品档案!$A$6:$A$65,0)),""))</f>
        <v/>
      </c>
      <c r="T109" s="58" t="str">
        <f aca="false">IF($F109="","",IFERROR(INDEX(商品档案!$H$6:$H$65,MATCH($F109,商品档案!$A$6:$A$65,0)),""))</f>
        <v/>
      </c>
      <c r="U109" s="58" t="str">
        <f aca="false">IF($F109="","",IFERROR(INDEX(商品档案!$I$6:$I$65,MATCH($F109,商品档案!$A$6:$A$65,0)),""))</f>
        <v/>
      </c>
      <c r="V109" s="59" t="str">
        <f aca="false">IF($F109="","",SUMIFS(进销存台账!$N$6:$N$65,进销存台账!$A$6:$A$65,$C109,进销存台账!$B$6:$B$65,$F109))</f>
        <v/>
      </c>
      <c r="W109" s="60" t="n">
        <f aca="false">IF(OR($D109="销售出库",$D109="销售退回"),ROUND(N($J109)*N($V109),2),0)</f>
        <v>0</v>
      </c>
      <c r="X109" s="58" t="str">
        <f aca="false">IF($E109="","",IFERROR(INDEX(往来单位!$D$6:$D$85,MATCH($E109,往来单位!$A$6:$A$85,0)),"否"))</f>
        <v/>
      </c>
      <c r="Y109" s="61" t="str">
        <f aca="false">IF($B109="","",YEAR($B109))</f>
        <v/>
      </c>
      <c r="Z109" s="58" t="str">
        <f aca="false">IF($B109="","",TEXT($B109,"yyyy-mm"))</f>
        <v/>
      </c>
    </row>
    <row r="110" customFormat="false" ht="15" hidden="false" customHeight="false" outlineLevel="0" collapsed="false">
      <c r="A110" s="53" t="str">
        <f aca="false">IF($B110="","",ROW()-5)</f>
        <v/>
      </c>
      <c r="B110" s="54"/>
      <c r="C110" s="33"/>
      <c r="D110" s="33"/>
      <c r="E110" s="32"/>
      <c r="F110" s="39"/>
      <c r="G110" s="48" t="str">
        <f aca="false">IF($F110="","",IFERROR(INDEX(商品档案!$B$6:$B$65,MATCH($F110,商品档案!$A$6:$A$65,0)),""))</f>
        <v/>
      </c>
      <c r="H110" s="48" t="str">
        <f aca="false">IF($F110="","",IFERROR(INDEX(商品档案!$C$6:$C$65,MATCH($F110,商品档案!$A$6:$A$65,0)),""))</f>
        <v/>
      </c>
      <c r="I110" s="55" t="str">
        <f aca="false">IF($F110="","",IFERROR(INDEX(商品档案!$D$6:$D$65,MATCH($F110,商品档案!$A$6:$A$65,0)),""))</f>
        <v/>
      </c>
      <c r="J110" s="49"/>
      <c r="K110" s="56"/>
      <c r="L110" s="33"/>
      <c r="M110" s="39"/>
      <c r="N110" s="41"/>
      <c r="O110" s="41"/>
      <c r="P110" s="25" t="str">
        <f aca="false">IF(AND($B110="",$D110="",$F110=""),"",IF(NOT(ISNUMBER($B110)),"日期无效",IF(ISNA(MATCH($C110,参数设置!$A$10:$A$12,0)),"公司无效",IF(ISNA(MATCH($D110,记账规则!$A$6:$A$9,0)),"业务类型无效",IF(ISNA(MATCH($F110,商品档案!$A$6:$A$65,0)),"商品编码无效",IF(IFERROR(INDEX(商品档案!$E$6:$E$65,MATCH($F110,商品档案!$A$6:$A$65,0)),"")&lt;&gt;$C110,"商品不属于该公司",IF(AND($E110&lt;&gt;"",ISNA(MATCH($E110,往来单位!$A$6:$A$85,0))),"往来单位未建档",IF(N($J110)=0,"数量为 0",IF(N($K110)=0,"单价为 0",IF(AND(LEFT($D110,2)="销售",$U110=""),"该商品没设成本科目",IF(YEAR($B110)&lt;&gt;参数设置!$B$5,"不在本会计年度","OK")))))))))))</f>
        <v/>
      </c>
      <c r="Q110" s="57" t="str">
        <f aca="false">IF($F110="","",ROUND(N($J110)*N($K110),2))</f>
        <v/>
      </c>
      <c r="R110" s="58" t="str">
        <f aca="false">IF($D110="","",IF(LEFT($D110,2)="销售","应收账款","应付账款"))</f>
        <v/>
      </c>
      <c r="S110" s="58" t="str">
        <f aca="false">IF($F110="","",IFERROR(INDEX(商品档案!$G$6:$G$65,MATCH($F110,商品档案!$A$6:$A$65,0)),""))</f>
        <v/>
      </c>
      <c r="T110" s="58" t="str">
        <f aca="false">IF($F110="","",IFERROR(INDEX(商品档案!$H$6:$H$65,MATCH($F110,商品档案!$A$6:$A$65,0)),""))</f>
        <v/>
      </c>
      <c r="U110" s="58" t="str">
        <f aca="false">IF($F110="","",IFERROR(INDEX(商品档案!$I$6:$I$65,MATCH($F110,商品档案!$A$6:$A$65,0)),""))</f>
        <v/>
      </c>
      <c r="V110" s="59" t="str">
        <f aca="false">IF($F110="","",SUMIFS(进销存台账!$N$6:$N$65,进销存台账!$A$6:$A$65,$C110,进销存台账!$B$6:$B$65,$F110))</f>
        <v/>
      </c>
      <c r="W110" s="60" t="n">
        <f aca="false">IF(OR($D110="销售出库",$D110="销售退回"),ROUND(N($J110)*N($V110),2),0)</f>
        <v>0</v>
      </c>
      <c r="X110" s="58" t="str">
        <f aca="false">IF($E110="","",IFERROR(INDEX(往来单位!$D$6:$D$85,MATCH($E110,往来单位!$A$6:$A$85,0)),"否"))</f>
        <v/>
      </c>
      <c r="Y110" s="61" t="str">
        <f aca="false">IF($B110="","",YEAR($B110))</f>
        <v/>
      </c>
      <c r="Z110" s="58" t="str">
        <f aca="false">IF($B110="","",TEXT($B110,"yyyy-mm"))</f>
        <v/>
      </c>
    </row>
    <row r="111" customFormat="false" ht="15" hidden="false" customHeight="false" outlineLevel="0" collapsed="false">
      <c r="A111" s="53" t="str">
        <f aca="false">IF($B111="","",ROW()-5)</f>
        <v/>
      </c>
      <c r="B111" s="54"/>
      <c r="C111" s="33"/>
      <c r="D111" s="33"/>
      <c r="E111" s="32"/>
      <c r="F111" s="39"/>
      <c r="G111" s="48" t="str">
        <f aca="false">IF($F111="","",IFERROR(INDEX(商品档案!$B$6:$B$65,MATCH($F111,商品档案!$A$6:$A$65,0)),""))</f>
        <v/>
      </c>
      <c r="H111" s="48" t="str">
        <f aca="false">IF($F111="","",IFERROR(INDEX(商品档案!$C$6:$C$65,MATCH($F111,商品档案!$A$6:$A$65,0)),""))</f>
        <v/>
      </c>
      <c r="I111" s="55" t="str">
        <f aca="false">IF($F111="","",IFERROR(INDEX(商品档案!$D$6:$D$65,MATCH($F111,商品档案!$A$6:$A$65,0)),""))</f>
        <v/>
      </c>
      <c r="J111" s="49"/>
      <c r="K111" s="56"/>
      <c r="L111" s="33"/>
      <c r="M111" s="39"/>
      <c r="N111" s="41"/>
      <c r="O111" s="41"/>
      <c r="P111" s="25" t="str">
        <f aca="false">IF(AND($B111="",$D111="",$F111=""),"",IF(NOT(ISNUMBER($B111)),"日期无效",IF(ISNA(MATCH($C111,参数设置!$A$10:$A$12,0)),"公司无效",IF(ISNA(MATCH($D111,记账规则!$A$6:$A$9,0)),"业务类型无效",IF(ISNA(MATCH($F111,商品档案!$A$6:$A$65,0)),"商品编码无效",IF(IFERROR(INDEX(商品档案!$E$6:$E$65,MATCH($F111,商品档案!$A$6:$A$65,0)),"")&lt;&gt;$C111,"商品不属于该公司",IF(AND($E111&lt;&gt;"",ISNA(MATCH($E111,往来单位!$A$6:$A$85,0))),"往来单位未建档",IF(N($J111)=0,"数量为 0",IF(N($K111)=0,"单价为 0",IF(AND(LEFT($D111,2)="销售",$U111=""),"该商品没设成本科目",IF(YEAR($B111)&lt;&gt;参数设置!$B$5,"不在本会计年度","OK")))))))))))</f>
        <v/>
      </c>
      <c r="Q111" s="57" t="str">
        <f aca="false">IF($F111="","",ROUND(N($J111)*N($K111),2))</f>
        <v/>
      </c>
      <c r="R111" s="58" t="str">
        <f aca="false">IF($D111="","",IF(LEFT($D111,2)="销售","应收账款","应付账款"))</f>
        <v/>
      </c>
      <c r="S111" s="58" t="str">
        <f aca="false">IF($F111="","",IFERROR(INDEX(商品档案!$G$6:$G$65,MATCH($F111,商品档案!$A$6:$A$65,0)),""))</f>
        <v/>
      </c>
      <c r="T111" s="58" t="str">
        <f aca="false">IF($F111="","",IFERROR(INDEX(商品档案!$H$6:$H$65,MATCH($F111,商品档案!$A$6:$A$65,0)),""))</f>
        <v/>
      </c>
      <c r="U111" s="58" t="str">
        <f aca="false">IF($F111="","",IFERROR(INDEX(商品档案!$I$6:$I$65,MATCH($F111,商品档案!$A$6:$A$65,0)),""))</f>
        <v/>
      </c>
      <c r="V111" s="59" t="str">
        <f aca="false">IF($F111="","",SUMIFS(进销存台账!$N$6:$N$65,进销存台账!$A$6:$A$65,$C111,进销存台账!$B$6:$B$65,$F111))</f>
        <v/>
      </c>
      <c r="W111" s="60" t="n">
        <f aca="false">IF(OR($D111="销售出库",$D111="销售退回"),ROUND(N($J111)*N($V111),2),0)</f>
        <v>0</v>
      </c>
      <c r="X111" s="58" t="str">
        <f aca="false">IF($E111="","",IFERROR(INDEX(往来单位!$D$6:$D$85,MATCH($E111,往来单位!$A$6:$A$85,0)),"否"))</f>
        <v/>
      </c>
      <c r="Y111" s="61" t="str">
        <f aca="false">IF($B111="","",YEAR($B111))</f>
        <v/>
      </c>
      <c r="Z111" s="58" t="str">
        <f aca="false">IF($B111="","",TEXT($B111,"yyyy-mm"))</f>
        <v/>
      </c>
    </row>
    <row r="112" customFormat="false" ht="15" hidden="false" customHeight="false" outlineLevel="0" collapsed="false">
      <c r="A112" s="53" t="str">
        <f aca="false">IF($B112="","",ROW()-5)</f>
        <v/>
      </c>
      <c r="B112" s="54"/>
      <c r="C112" s="33"/>
      <c r="D112" s="33"/>
      <c r="E112" s="32"/>
      <c r="F112" s="39"/>
      <c r="G112" s="48" t="str">
        <f aca="false">IF($F112="","",IFERROR(INDEX(商品档案!$B$6:$B$65,MATCH($F112,商品档案!$A$6:$A$65,0)),""))</f>
        <v/>
      </c>
      <c r="H112" s="48" t="str">
        <f aca="false">IF($F112="","",IFERROR(INDEX(商品档案!$C$6:$C$65,MATCH($F112,商品档案!$A$6:$A$65,0)),""))</f>
        <v/>
      </c>
      <c r="I112" s="55" t="str">
        <f aca="false">IF($F112="","",IFERROR(INDEX(商品档案!$D$6:$D$65,MATCH($F112,商品档案!$A$6:$A$65,0)),""))</f>
        <v/>
      </c>
      <c r="J112" s="49"/>
      <c r="K112" s="56"/>
      <c r="L112" s="33"/>
      <c r="M112" s="39"/>
      <c r="N112" s="41"/>
      <c r="O112" s="41"/>
      <c r="P112" s="25" t="str">
        <f aca="false">IF(AND($B112="",$D112="",$F112=""),"",IF(NOT(ISNUMBER($B112)),"日期无效",IF(ISNA(MATCH($C112,参数设置!$A$10:$A$12,0)),"公司无效",IF(ISNA(MATCH($D112,记账规则!$A$6:$A$9,0)),"业务类型无效",IF(ISNA(MATCH($F112,商品档案!$A$6:$A$65,0)),"商品编码无效",IF(IFERROR(INDEX(商品档案!$E$6:$E$65,MATCH($F112,商品档案!$A$6:$A$65,0)),"")&lt;&gt;$C112,"商品不属于该公司",IF(AND($E112&lt;&gt;"",ISNA(MATCH($E112,往来单位!$A$6:$A$85,0))),"往来单位未建档",IF(N($J112)=0,"数量为 0",IF(N($K112)=0,"单价为 0",IF(AND(LEFT($D112,2)="销售",$U112=""),"该商品没设成本科目",IF(YEAR($B112)&lt;&gt;参数设置!$B$5,"不在本会计年度","OK")))))))))))</f>
        <v/>
      </c>
      <c r="Q112" s="57" t="str">
        <f aca="false">IF($F112="","",ROUND(N($J112)*N($K112),2))</f>
        <v/>
      </c>
      <c r="R112" s="58" t="str">
        <f aca="false">IF($D112="","",IF(LEFT($D112,2)="销售","应收账款","应付账款"))</f>
        <v/>
      </c>
      <c r="S112" s="58" t="str">
        <f aca="false">IF($F112="","",IFERROR(INDEX(商品档案!$G$6:$G$65,MATCH($F112,商品档案!$A$6:$A$65,0)),""))</f>
        <v/>
      </c>
      <c r="T112" s="58" t="str">
        <f aca="false">IF($F112="","",IFERROR(INDEX(商品档案!$H$6:$H$65,MATCH($F112,商品档案!$A$6:$A$65,0)),""))</f>
        <v/>
      </c>
      <c r="U112" s="58" t="str">
        <f aca="false">IF($F112="","",IFERROR(INDEX(商品档案!$I$6:$I$65,MATCH($F112,商品档案!$A$6:$A$65,0)),""))</f>
        <v/>
      </c>
      <c r="V112" s="59" t="str">
        <f aca="false">IF($F112="","",SUMIFS(进销存台账!$N$6:$N$65,进销存台账!$A$6:$A$65,$C112,进销存台账!$B$6:$B$65,$F112))</f>
        <v/>
      </c>
      <c r="W112" s="60" t="n">
        <f aca="false">IF(OR($D112="销售出库",$D112="销售退回"),ROUND(N($J112)*N($V112),2),0)</f>
        <v>0</v>
      </c>
      <c r="X112" s="58" t="str">
        <f aca="false">IF($E112="","",IFERROR(INDEX(往来单位!$D$6:$D$85,MATCH($E112,往来单位!$A$6:$A$85,0)),"否"))</f>
        <v/>
      </c>
      <c r="Y112" s="61" t="str">
        <f aca="false">IF($B112="","",YEAR($B112))</f>
        <v/>
      </c>
      <c r="Z112" s="58" t="str">
        <f aca="false">IF($B112="","",TEXT($B112,"yyyy-mm"))</f>
        <v/>
      </c>
    </row>
    <row r="113" customFormat="false" ht="15" hidden="false" customHeight="false" outlineLevel="0" collapsed="false">
      <c r="A113" s="53" t="str">
        <f aca="false">IF($B113="","",ROW()-5)</f>
        <v/>
      </c>
      <c r="B113" s="54"/>
      <c r="C113" s="33"/>
      <c r="D113" s="33"/>
      <c r="E113" s="32"/>
      <c r="F113" s="39"/>
      <c r="G113" s="48" t="str">
        <f aca="false">IF($F113="","",IFERROR(INDEX(商品档案!$B$6:$B$65,MATCH($F113,商品档案!$A$6:$A$65,0)),""))</f>
        <v/>
      </c>
      <c r="H113" s="48" t="str">
        <f aca="false">IF($F113="","",IFERROR(INDEX(商品档案!$C$6:$C$65,MATCH($F113,商品档案!$A$6:$A$65,0)),""))</f>
        <v/>
      </c>
      <c r="I113" s="55" t="str">
        <f aca="false">IF($F113="","",IFERROR(INDEX(商品档案!$D$6:$D$65,MATCH($F113,商品档案!$A$6:$A$65,0)),""))</f>
        <v/>
      </c>
      <c r="J113" s="49"/>
      <c r="K113" s="56"/>
      <c r="L113" s="33"/>
      <c r="M113" s="39"/>
      <c r="N113" s="41"/>
      <c r="O113" s="41"/>
      <c r="P113" s="25" t="str">
        <f aca="false">IF(AND($B113="",$D113="",$F113=""),"",IF(NOT(ISNUMBER($B113)),"日期无效",IF(ISNA(MATCH($C113,参数设置!$A$10:$A$12,0)),"公司无效",IF(ISNA(MATCH($D113,记账规则!$A$6:$A$9,0)),"业务类型无效",IF(ISNA(MATCH($F113,商品档案!$A$6:$A$65,0)),"商品编码无效",IF(IFERROR(INDEX(商品档案!$E$6:$E$65,MATCH($F113,商品档案!$A$6:$A$65,0)),"")&lt;&gt;$C113,"商品不属于该公司",IF(AND($E113&lt;&gt;"",ISNA(MATCH($E113,往来单位!$A$6:$A$85,0))),"往来单位未建档",IF(N($J113)=0,"数量为 0",IF(N($K113)=0,"单价为 0",IF(AND(LEFT($D113,2)="销售",$U113=""),"该商品没设成本科目",IF(YEAR($B113)&lt;&gt;参数设置!$B$5,"不在本会计年度","OK")))))))))))</f>
        <v/>
      </c>
      <c r="Q113" s="57" t="str">
        <f aca="false">IF($F113="","",ROUND(N($J113)*N($K113),2))</f>
        <v/>
      </c>
      <c r="R113" s="58" t="str">
        <f aca="false">IF($D113="","",IF(LEFT($D113,2)="销售","应收账款","应付账款"))</f>
        <v/>
      </c>
      <c r="S113" s="58" t="str">
        <f aca="false">IF($F113="","",IFERROR(INDEX(商品档案!$G$6:$G$65,MATCH($F113,商品档案!$A$6:$A$65,0)),""))</f>
        <v/>
      </c>
      <c r="T113" s="58" t="str">
        <f aca="false">IF($F113="","",IFERROR(INDEX(商品档案!$H$6:$H$65,MATCH($F113,商品档案!$A$6:$A$65,0)),""))</f>
        <v/>
      </c>
      <c r="U113" s="58" t="str">
        <f aca="false">IF($F113="","",IFERROR(INDEX(商品档案!$I$6:$I$65,MATCH($F113,商品档案!$A$6:$A$65,0)),""))</f>
        <v/>
      </c>
      <c r="V113" s="59" t="str">
        <f aca="false">IF($F113="","",SUMIFS(进销存台账!$N$6:$N$65,进销存台账!$A$6:$A$65,$C113,进销存台账!$B$6:$B$65,$F113))</f>
        <v/>
      </c>
      <c r="W113" s="60" t="n">
        <f aca="false">IF(OR($D113="销售出库",$D113="销售退回"),ROUND(N($J113)*N($V113),2),0)</f>
        <v>0</v>
      </c>
      <c r="X113" s="58" t="str">
        <f aca="false">IF($E113="","",IFERROR(INDEX(往来单位!$D$6:$D$85,MATCH($E113,往来单位!$A$6:$A$85,0)),"否"))</f>
        <v/>
      </c>
      <c r="Y113" s="61" t="str">
        <f aca="false">IF($B113="","",YEAR($B113))</f>
        <v/>
      </c>
      <c r="Z113" s="58" t="str">
        <f aca="false">IF($B113="","",TEXT($B113,"yyyy-mm"))</f>
        <v/>
      </c>
    </row>
    <row r="114" customFormat="false" ht="15" hidden="false" customHeight="false" outlineLevel="0" collapsed="false">
      <c r="A114" s="53" t="str">
        <f aca="false">IF($B114="","",ROW()-5)</f>
        <v/>
      </c>
      <c r="B114" s="54"/>
      <c r="C114" s="33"/>
      <c r="D114" s="33"/>
      <c r="E114" s="32"/>
      <c r="F114" s="39"/>
      <c r="G114" s="48" t="str">
        <f aca="false">IF($F114="","",IFERROR(INDEX(商品档案!$B$6:$B$65,MATCH($F114,商品档案!$A$6:$A$65,0)),""))</f>
        <v/>
      </c>
      <c r="H114" s="48" t="str">
        <f aca="false">IF($F114="","",IFERROR(INDEX(商品档案!$C$6:$C$65,MATCH($F114,商品档案!$A$6:$A$65,0)),""))</f>
        <v/>
      </c>
      <c r="I114" s="55" t="str">
        <f aca="false">IF($F114="","",IFERROR(INDEX(商品档案!$D$6:$D$65,MATCH($F114,商品档案!$A$6:$A$65,0)),""))</f>
        <v/>
      </c>
      <c r="J114" s="49"/>
      <c r="K114" s="56"/>
      <c r="L114" s="33"/>
      <c r="M114" s="39"/>
      <c r="N114" s="41"/>
      <c r="O114" s="41"/>
      <c r="P114" s="25" t="str">
        <f aca="false">IF(AND($B114="",$D114="",$F114=""),"",IF(NOT(ISNUMBER($B114)),"日期无效",IF(ISNA(MATCH($C114,参数设置!$A$10:$A$12,0)),"公司无效",IF(ISNA(MATCH($D114,记账规则!$A$6:$A$9,0)),"业务类型无效",IF(ISNA(MATCH($F114,商品档案!$A$6:$A$65,0)),"商品编码无效",IF(IFERROR(INDEX(商品档案!$E$6:$E$65,MATCH($F114,商品档案!$A$6:$A$65,0)),"")&lt;&gt;$C114,"商品不属于该公司",IF(AND($E114&lt;&gt;"",ISNA(MATCH($E114,往来单位!$A$6:$A$85,0))),"往来单位未建档",IF(N($J114)=0,"数量为 0",IF(N($K114)=0,"单价为 0",IF(AND(LEFT($D114,2)="销售",$U114=""),"该商品没设成本科目",IF(YEAR($B114)&lt;&gt;参数设置!$B$5,"不在本会计年度","OK")))))))))))</f>
        <v/>
      </c>
      <c r="Q114" s="57" t="str">
        <f aca="false">IF($F114="","",ROUND(N($J114)*N($K114),2))</f>
        <v/>
      </c>
      <c r="R114" s="58" t="str">
        <f aca="false">IF($D114="","",IF(LEFT($D114,2)="销售","应收账款","应付账款"))</f>
        <v/>
      </c>
      <c r="S114" s="58" t="str">
        <f aca="false">IF($F114="","",IFERROR(INDEX(商品档案!$G$6:$G$65,MATCH($F114,商品档案!$A$6:$A$65,0)),""))</f>
        <v/>
      </c>
      <c r="T114" s="58" t="str">
        <f aca="false">IF($F114="","",IFERROR(INDEX(商品档案!$H$6:$H$65,MATCH($F114,商品档案!$A$6:$A$65,0)),""))</f>
        <v/>
      </c>
      <c r="U114" s="58" t="str">
        <f aca="false">IF($F114="","",IFERROR(INDEX(商品档案!$I$6:$I$65,MATCH($F114,商品档案!$A$6:$A$65,0)),""))</f>
        <v/>
      </c>
      <c r="V114" s="59" t="str">
        <f aca="false">IF($F114="","",SUMIFS(进销存台账!$N$6:$N$65,进销存台账!$A$6:$A$65,$C114,进销存台账!$B$6:$B$65,$F114))</f>
        <v/>
      </c>
      <c r="W114" s="60" t="n">
        <f aca="false">IF(OR($D114="销售出库",$D114="销售退回"),ROUND(N($J114)*N($V114),2),0)</f>
        <v>0</v>
      </c>
      <c r="X114" s="58" t="str">
        <f aca="false">IF($E114="","",IFERROR(INDEX(往来单位!$D$6:$D$85,MATCH($E114,往来单位!$A$6:$A$85,0)),"否"))</f>
        <v/>
      </c>
      <c r="Y114" s="61" t="str">
        <f aca="false">IF($B114="","",YEAR($B114))</f>
        <v/>
      </c>
      <c r="Z114" s="58" t="str">
        <f aca="false">IF($B114="","",TEXT($B114,"yyyy-mm"))</f>
        <v/>
      </c>
    </row>
    <row r="115" customFormat="false" ht="15" hidden="false" customHeight="false" outlineLevel="0" collapsed="false">
      <c r="A115" s="53" t="str">
        <f aca="false">IF($B115="","",ROW()-5)</f>
        <v/>
      </c>
      <c r="B115" s="54"/>
      <c r="C115" s="33"/>
      <c r="D115" s="33"/>
      <c r="E115" s="32"/>
      <c r="F115" s="39"/>
      <c r="G115" s="48" t="str">
        <f aca="false">IF($F115="","",IFERROR(INDEX(商品档案!$B$6:$B$65,MATCH($F115,商品档案!$A$6:$A$65,0)),""))</f>
        <v/>
      </c>
      <c r="H115" s="48" t="str">
        <f aca="false">IF($F115="","",IFERROR(INDEX(商品档案!$C$6:$C$65,MATCH($F115,商品档案!$A$6:$A$65,0)),""))</f>
        <v/>
      </c>
      <c r="I115" s="55" t="str">
        <f aca="false">IF($F115="","",IFERROR(INDEX(商品档案!$D$6:$D$65,MATCH($F115,商品档案!$A$6:$A$65,0)),""))</f>
        <v/>
      </c>
      <c r="J115" s="49"/>
      <c r="K115" s="56"/>
      <c r="L115" s="33"/>
      <c r="M115" s="39"/>
      <c r="N115" s="41"/>
      <c r="O115" s="41"/>
      <c r="P115" s="25" t="str">
        <f aca="false">IF(AND($B115="",$D115="",$F115=""),"",IF(NOT(ISNUMBER($B115)),"日期无效",IF(ISNA(MATCH($C115,参数设置!$A$10:$A$12,0)),"公司无效",IF(ISNA(MATCH($D115,记账规则!$A$6:$A$9,0)),"业务类型无效",IF(ISNA(MATCH($F115,商品档案!$A$6:$A$65,0)),"商品编码无效",IF(IFERROR(INDEX(商品档案!$E$6:$E$65,MATCH($F115,商品档案!$A$6:$A$65,0)),"")&lt;&gt;$C115,"商品不属于该公司",IF(AND($E115&lt;&gt;"",ISNA(MATCH($E115,往来单位!$A$6:$A$85,0))),"往来单位未建档",IF(N($J115)=0,"数量为 0",IF(N($K115)=0,"单价为 0",IF(AND(LEFT($D115,2)="销售",$U115=""),"该商品没设成本科目",IF(YEAR($B115)&lt;&gt;参数设置!$B$5,"不在本会计年度","OK")))))))))))</f>
        <v/>
      </c>
      <c r="Q115" s="57" t="str">
        <f aca="false">IF($F115="","",ROUND(N($J115)*N($K115),2))</f>
        <v/>
      </c>
      <c r="R115" s="58" t="str">
        <f aca="false">IF($D115="","",IF(LEFT($D115,2)="销售","应收账款","应付账款"))</f>
        <v/>
      </c>
      <c r="S115" s="58" t="str">
        <f aca="false">IF($F115="","",IFERROR(INDEX(商品档案!$G$6:$G$65,MATCH($F115,商品档案!$A$6:$A$65,0)),""))</f>
        <v/>
      </c>
      <c r="T115" s="58" t="str">
        <f aca="false">IF($F115="","",IFERROR(INDEX(商品档案!$H$6:$H$65,MATCH($F115,商品档案!$A$6:$A$65,0)),""))</f>
        <v/>
      </c>
      <c r="U115" s="58" t="str">
        <f aca="false">IF($F115="","",IFERROR(INDEX(商品档案!$I$6:$I$65,MATCH($F115,商品档案!$A$6:$A$65,0)),""))</f>
        <v/>
      </c>
      <c r="V115" s="59" t="str">
        <f aca="false">IF($F115="","",SUMIFS(进销存台账!$N$6:$N$65,进销存台账!$A$6:$A$65,$C115,进销存台账!$B$6:$B$65,$F115))</f>
        <v/>
      </c>
      <c r="W115" s="60" t="n">
        <f aca="false">IF(OR($D115="销售出库",$D115="销售退回"),ROUND(N($J115)*N($V115),2),0)</f>
        <v>0</v>
      </c>
      <c r="X115" s="58" t="str">
        <f aca="false">IF($E115="","",IFERROR(INDEX(往来单位!$D$6:$D$85,MATCH($E115,往来单位!$A$6:$A$85,0)),"否"))</f>
        <v/>
      </c>
      <c r="Y115" s="61" t="str">
        <f aca="false">IF($B115="","",YEAR($B115))</f>
        <v/>
      </c>
      <c r="Z115" s="58" t="str">
        <f aca="false">IF($B115="","",TEXT($B115,"yyyy-mm"))</f>
        <v/>
      </c>
    </row>
    <row r="116" customFormat="false" ht="15" hidden="false" customHeight="false" outlineLevel="0" collapsed="false">
      <c r="A116" s="53" t="str">
        <f aca="false">IF($B116="","",ROW()-5)</f>
        <v/>
      </c>
      <c r="B116" s="54"/>
      <c r="C116" s="33"/>
      <c r="D116" s="33"/>
      <c r="E116" s="32"/>
      <c r="F116" s="39"/>
      <c r="G116" s="48" t="str">
        <f aca="false">IF($F116="","",IFERROR(INDEX(商品档案!$B$6:$B$65,MATCH($F116,商品档案!$A$6:$A$65,0)),""))</f>
        <v/>
      </c>
      <c r="H116" s="48" t="str">
        <f aca="false">IF($F116="","",IFERROR(INDEX(商品档案!$C$6:$C$65,MATCH($F116,商品档案!$A$6:$A$65,0)),""))</f>
        <v/>
      </c>
      <c r="I116" s="55" t="str">
        <f aca="false">IF($F116="","",IFERROR(INDEX(商品档案!$D$6:$D$65,MATCH($F116,商品档案!$A$6:$A$65,0)),""))</f>
        <v/>
      </c>
      <c r="J116" s="49"/>
      <c r="K116" s="56"/>
      <c r="L116" s="33"/>
      <c r="M116" s="39"/>
      <c r="N116" s="41"/>
      <c r="O116" s="41"/>
      <c r="P116" s="25" t="str">
        <f aca="false">IF(AND($B116="",$D116="",$F116=""),"",IF(NOT(ISNUMBER($B116)),"日期无效",IF(ISNA(MATCH($C116,参数设置!$A$10:$A$12,0)),"公司无效",IF(ISNA(MATCH($D116,记账规则!$A$6:$A$9,0)),"业务类型无效",IF(ISNA(MATCH($F116,商品档案!$A$6:$A$65,0)),"商品编码无效",IF(IFERROR(INDEX(商品档案!$E$6:$E$65,MATCH($F116,商品档案!$A$6:$A$65,0)),"")&lt;&gt;$C116,"商品不属于该公司",IF(AND($E116&lt;&gt;"",ISNA(MATCH($E116,往来单位!$A$6:$A$85,0))),"往来单位未建档",IF(N($J116)=0,"数量为 0",IF(N($K116)=0,"单价为 0",IF(AND(LEFT($D116,2)="销售",$U116=""),"该商品没设成本科目",IF(YEAR($B116)&lt;&gt;参数设置!$B$5,"不在本会计年度","OK")))))))))))</f>
        <v/>
      </c>
      <c r="Q116" s="57" t="str">
        <f aca="false">IF($F116="","",ROUND(N($J116)*N($K116),2))</f>
        <v/>
      </c>
      <c r="R116" s="58" t="str">
        <f aca="false">IF($D116="","",IF(LEFT($D116,2)="销售","应收账款","应付账款"))</f>
        <v/>
      </c>
      <c r="S116" s="58" t="str">
        <f aca="false">IF($F116="","",IFERROR(INDEX(商品档案!$G$6:$G$65,MATCH($F116,商品档案!$A$6:$A$65,0)),""))</f>
        <v/>
      </c>
      <c r="T116" s="58" t="str">
        <f aca="false">IF($F116="","",IFERROR(INDEX(商品档案!$H$6:$H$65,MATCH($F116,商品档案!$A$6:$A$65,0)),""))</f>
        <v/>
      </c>
      <c r="U116" s="58" t="str">
        <f aca="false">IF($F116="","",IFERROR(INDEX(商品档案!$I$6:$I$65,MATCH($F116,商品档案!$A$6:$A$65,0)),""))</f>
        <v/>
      </c>
      <c r="V116" s="59" t="str">
        <f aca="false">IF($F116="","",SUMIFS(进销存台账!$N$6:$N$65,进销存台账!$A$6:$A$65,$C116,进销存台账!$B$6:$B$65,$F116))</f>
        <v/>
      </c>
      <c r="W116" s="60" t="n">
        <f aca="false">IF(OR($D116="销售出库",$D116="销售退回"),ROUND(N($J116)*N($V116),2),0)</f>
        <v>0</v>
      </c>
      <c r="X116" s="58" t="str">
        <f aca="false">IF($E116="","",IFERROR(INDEX(往来单位!$D$6:$D$85,MATCH($E116,往来单位!$A$6:$A$85,0)),"否"))</f>
        <v/>
      </c>
      <c r="Y116" s="61" t="str">
        <f aca="false">IF($B116="","",YEAR($B116))</f>
        <v/>
      </c>
      <c r="Z116" s="58" t="str">
        <f aca="false">IF($B116="","",TEXT($B116,"yyyy-mm"))</f>
        <v/>
      </c>
    </row>
    <row r="117" customFormat="false" ht="15" hidden="false" customHeight="false" outlineLevel="0" collapsed="false">
      <c r="A117" s="53" t="str">
        <f aca="false">IF($B117="","",ROW()-5)</f>
        <v/>
      </c>
      <c r="B117" s="54"/>
      <c r="C117" s="33"/>
      <c r="D117" s="33"/>
      <c r="E117" s="32"/>
      <c r="F117" s="39"/>
      <c r="G117" s="48" t="str">
        <f aca="false">IF($F117="","",IFERROR(INDEX(商品档案!$B$6:$B$65,MATCH($F117,商品档案!$A$6:$A$65,0)),""))</f>
        <v/>
      </c>
      <c r="H117" s="48" t="str">
        <f aca="false">IF($F117="","",IFERROR(INDEX(商品档案!$C$6:$C$65,MATCH($F117,商品档案!$A$6:$A$65,0)),""))</f>
        <v/>
      </c>
      <c r="I117" s="55" t="str">
        <f aca="false">IF($F117="","",IFERROR(INDEX(商品档案!$D$6:$D$65,MATCH($F117,商品档案!$A$6:$A$65,0)),""))</f>
        <v/>
      </c>
      <c r="J117" s="49"/>
      <c r="K117" s="56"/>
      <c r="L117" s="33"/>
      <c r="M117" s="39"/>
      <c r="N117" s="41"/>
      <c r="O117" s="41"/>
      <c r="P117" s="25" t="str">
        <f aca="false">IF(AND($B117="",$D117="",$F117=""),"",IF(NOT(ISNUMBER($B117)),"日期无效",IF(ISNA(MATCH($C117,参数设置!$A$10:$A$12,0)),"公司无效",IF(ISNA(MATCH($D117,记账规则!$A$6:$A$9,0)),"业务类型无效",IF(ISNA(MATCH($F117,商品档案!$A$6:$A$65,0)),"商品编码无效",IF(IFERROR(INDEX(商品档案!$E$6:$E$65,MATCH($F117,商品档案!$A$6:$A$65,0)),"")&lt;&gt;$C117,"商品不属于该公司",IF(AND($E117&lt;&gt;"",ISNA(MATCH($E117,往来单位!$A$6:$A$85,0))),"往来单位未建档",IF(N($J117)=0,"数量为 0",IF(N($K117)=0,"单价为 0",IF(AND(LEFT($D117,2)="销售",$U117=""),"该商品没设成本科目",IF(YEAR($B117)&lt;&gt;参数设置!$B$5,"不在本会计年度","OK")))))))))))</f>
        <v/>
      </c>
      <c r="Q117" s="57" t="str">
        <f aca="false">IF($F117="","",ROUND(N($J117)*N($K117),2))</f>
        <v/>
      </c>
      <c r="R117" s="58" t="str">
        <f aca="false">IF($D117="","",IF(LEFT($D117,2)="销售","应收账款","应付账款"))</f>
        <v/>
      </c>
      <c r="S117" s="58" t="str">
        <f aca="false">IF($F117="","",IFERROR(INDEX(商品档案!$G$6:$G$65,MATCH($F117,商品档案!$A$6:$A$65,0)),""))</f>
        <v/>
      </c>
      <c r="T117" s="58" t="str">
        <f aca="false">IF($F117="","",IFERROR(INDEX(商品档案!$H$6:$H$65,MATCH($F117,商品档案!$A$6:$A$65,0)),""))</f>
        <v/>
      </c>
      <c r="U117" s="58" t="str">
        <f aca="false">IF($F117="","",IFERROR(INDEX(商品档案!$I$6:$I$65,MATCH($F117,商品档案!$A$6:$A$65,0)),""))</f>
        <v/>
      </c>
      <c r="V117" s="59" t="str">
        <f aca="false">IF($F117="","",SUMIFS(进销存台账!$N$6:$N$65,进销存台账!$A$6:$A$65,$C117,进销存台账!$B$6:$B$65,$F117))</f>
        <v/>
      </c>
      <c r="W117" s="60" t="n">
        <f aca="false">IF(OR($D117="销售出库",$D117="销售退回"),ROUND(N($J117)*N($V117),2),0)</f>
        <v>0</v>
      </c>
      <c r="X117" s="58" t="str">
        <f aca="false">IF($E117="","",IFERROR(INDEX(往来单位!$D$6:$D$85,MATCH($E117,往来单位!$A$6:$A$85,0)),"否"))</f>
        <v/>
      </c>
      <c r="Y117" s="61" t="str">
        <f aca="false">IF($B117="","",YEAR($B117))</f>
        <v/>
      </c>
      <c r="Z117" s="58" t="str">
        <f aca="false">IF($B117="","",TEXT($B117,"yyyy-mm"))</f>
        <v/>
      </c>
    </row>
    <row r="118" customFormat="false" ht="15" hidden="false" customHeight="false" outlineLevel="0" collapsed="false">
      <c r="A118" s="53" t="str">
        <f aca="false">IF($B118="","",ROW()-5)</f>
        <v/>
      </c>
      <c r="B118" s="54"/>
      <c r="C118" s="33"/>
      <c r="D118" s="33"/>
      <c r="E118" s="32"/>
      <c r="F118" s="39"/>
      <c r="G118" s="48" t="str">
        <f aca="false">IF($F118="","",IFERROR(INDEX(商品档案!$B$6:$B$65,MATCH($F118,商品档案!$A$6:$A$65,0)),""))</f>
        <v/>
      </c>
      <c r="H118" s="48" t="str">
        <f aca="false">IF($F118="","",IFERROR(INDEX(商品档案!$C$6:$C$65,MATCH($F118,商品档案!$A$6:$A$65,0)),""))</f>
        <v/>
      </c>
      <c r="I118" s="55" t="str">
        <f aca="false">IF($F118="","",IFERROR(INDEX(商品档案!$D$6:$D$65,MATCH($F118,商品档案!$A$6:$A$65,0)),""))</f>
        <v/>
      </c>
      <c r="J118" s="49"/>
      <c r="K118" s="56"/>
      <c r="L118" s="33"/>
      <c r="M118" s="39"/>
      <c r="N118" s="41"/>
      <c r="O118" s="41"/>
      <c r="P118" s="25" t="str">
        <f aca="false">IF(AND($B118="",$D118="",$F118=""),"",IF(NOT(ISNUMBER($B118)),"日期无效",IF(ISNA(MATCH($C118,参数设置!$A$10:$A$12,0)),"公司无效",IF(ISNA(MATCH($D118,记账规则!$A$6:$A$9,0)),"业务类型无效",IF(ISNA(MATCH($F118,商品档案!$A$6:$A$65,0)),"商品编码无效",IF(IFERROR(INDEX(商品档案!$E$6:$E$65,MATCH($F118,商品档案!$A$6:$A$65,0)),"")&lt;&gt;$C118,"商品不属于该公司",IF(AND($E118&lt;&gt;"",ISNA(MATCH($E118,往来单位!$A$6:$A$85,0))),"往来单位未建档",IF(N($J118)=0,"数量为 0",IF(N($K118)=0,"单价为 0",IF(AND(LEFT($D118,2)="销售",$U118=""),"该商品没设成本科目",IF(YEAR($B118)&lt;&gt;参数设置!$B$5,"不在本会计年度","OK")))))))))))</f>
        <v/>
      </c>
      <c r="Q118" s="57" t="str">
        <f aca="false">IF($F118="","",ROUND(N($J118)*N($K118),2))</f>
        <v/>
      </c>
      <c r="R118" s="58" t="str">
        <f aca="false">IF($D118="","",IF(LEFT($D118,2)="销售","应收账款","应付账款"))</f>
        <v/>
      </c>
      <c r="S118" s="58" t="str">
        <f aca="false">IF($F118="","",IFERROR(INDEX(商品档案!$G$6:$G$65,MATCH($F118,商品档案!$A$6:$A$65,0)),""))</f>
        <v/>
      </c>
      <c r="T118" s="58" t="str">
        <f aca="false">IF($F118="","",IFERROR(INDEX(商品档案!$H$6:$H$65,MATCH($F118,商品档案!$A$6:$A$65,0)),""))</f>
        <v/>
      </c>
      <c r="U118" s="58" t="str">
        <f aca="false">IF($F118="","",IFERROR(INDEX(商品档案!$I$6:$I$65,MATCH($F118,商品档案!$A$6:$A$65,0)),""))</f>
        <v/>
      </c>
      <c r="V118" s="59" t="str">
        <f aca="false">IF($F118="","",SUMIFS(进销存台账!$N$6:$N$65,进销存台账!$A$6:$A$65,$C118,进销存台账!$B$6:$B$65,$F118))</f>
        <v/>
      </c>
      <c r="W118" s="60" t="n">
        <f aca="false">IF(OR($D118="销售出库",$D118="销售退回"),ROUND(N($J118)*N($V118),2),0)</f>
        <v>0</v>
      </c>
      <c r="X118" s="58" t="str">
        <f aca="false">IF($E118="","",IFERROR(INDEX(往来单位!$D$6:$D$85,MATCH($E118,往来单位!$A$6:$A$85,0)),"否"))</f>
        <v/>
      </c>
      <c r="Y118" s="61" t="str">
        <f aca="false">IF($B118="","",YEAR($B118))</f>
        <v/>
      </c>
      <c r="Z118" s="58" t="str">
        <f aca="false">IF($B118="","",TEXT($B118,"yyyy-mm"))</f>
        <v/>
      </c>
    </row>
    <row r="119" customFormat="false" ht="15" hidden="false" customHeight="false" outlineLevel="0" collapsed="false">
      <c r="A119" s="53" t="str">
        <f aca="false">IF($B119="","",ROW()-5)</f>
        <v/>
      </c>
      <c r="B119" s="54"/>
      <c r="C119" s="33"/>
      <c r="D119" s="33"/>
      <c r="E119" s="32"/>
      <c r="F119" s="39"/>
      <c r="G119" s="48" t="str">
        <f aca="false">IF($F119="","",IFERROR(INDEX(商品档案!$B$6:$B$65,MATCH($F119,商品档案!$A$6:$A$65,0)),""))</f>
        <v/>
      </c>
      <c r="H119" s="48" t="str">
        <f aca="false">IF($F119="","",IFERROR(INDEX(商品档案!$C$6:$C$65,MATCH($F119,商品档案!$A$6:$A$65,0)),""))</f>
        <v/>
      </c>
      <c r="I119" s="55" t="str">
        <f aca="false">IF($F119="","",IFERROR(INDEX(商品档案!$D$6:$D$65,MATCH($F119,商品档案!$A$6:$A$65,0)),""))</f>
        <v/>
      </c>
      <c r="J119" s="49"/>
      <c r="K119" s="56"/>
      <c r="L119" s="33"/>
      <c r="M119" s="39"/>
      <c r="N119" s="41"/>
      <c r="O119" s="41"/>
      <c r="P119" s="25" t="str">
        <f aca="false">IF(AND($B119="",$D119="",$F119=""),"",IF(NOT(ISNUMBER($B119)),"日期无效",IF(ISNA(MATCH($C119,参数设置!$A$10:$A$12,0)),"公司无效",IF(ISNA(MATCH($D119,记账规则!$A$6:$A$9,0)),"业务类型无效",IF(ISNA(MATCH($F119,商品档案!$A$6:$A$65,0)),"商品编码无效",IF(IFERROR(INDEX(商品档案!$E$6:$E$65,MATCH($F119,商品档案!$A$6:$A$65,0)),"")&lt;&gt;$C119,"商品不属于该公司",IF(AND($E119&lt;&gt;"",ISNA(MATCH($E119,往来单位!$A$6:$A$85,0))),"往来单位未建档",IF(N($J119)=0,"数量为 0",IF(N($K119)=0,"单价为 0",IF(AND(LEFT($D119,2)="销售",$U119=""),"该商品没设成本科目",IF(YEAR($B119)&lt;&gt;参数设置!$B$5,"不在本会计年度","OK")))))))))))</f>
        <v/>
      </c>
      <c r="Q119" s="57" t="str">
        <f aca="false">IF($F119="","",ROUND(N($J119)*N($K119),2))</f>
        <v/>
      </c>
      <c r="R119" s="58" t="str">
        <f aca="false">IF($D119="","",IF(LEFT($D119,2)="销售","应收账款","应付账款"))</f>
        <v/>
      </c>
      <c r="S119" s="58" t="str">
        <f aca="false">IF($F119="","",IFERROR(INDEX(商品档案!$G$6:$G$65,MATCH($F119,商品档案!$A$6:$A$65,0)),""))</f>
        <v/>
      </c>
      <c r="T119" s="58" t="str">
        <f aca="false">IF($F119="","",IFERROR(INDEX(商品档案!$H$6:$H$65,MATCH($F119,商品档案!$A$6:$A$65,0)),""))</f>
        <v/>
      </c>
      <c r="U119" s="58" t="str">
        <f aca="false">IF($F119="","",IFERROR(INDEX(商品档案!$I$6:$I$65,MATCH($F119,商品档案!$A$6:$A$65,0)),""))</f>
        <v/>
      </c>
      <c r="V119" s="59" t="str">
        <f aca="false">IF($F119="","",SUMIFS(进销存台账!$N$6:$N$65,进销存台账!$A$6:$A$65,$C119,进销存台账!$B$6:$B$65,$F119))</f>
        <v/>
      </c>
      <c r="W119" s="60" t="n">
        <f aca="false">IF(OR($D119="销售出库",$D119="销售退回"),ROUND(N($J119)*N($V119),2),0)</f>
        <v>0</v>
      </c>
      <c r="X119" s="58" t="str">
        <f aca="false">IF($E119="","",IFERROR(INDEX(往来单位!$D$6:$D$85,MATCH($E119,往来单位!$A$6:$A$85,0)),"否"))</f>
        <v/>
      </c>
      <c r="Y119" s="61" t="str">
        <f aca="false">IF($B119="","",YEAR($B119))</f>
        <v/>
      </c>
      <c r="Z119" s="58" t="str">
        <f aca="false">IF($B119="","",TEXT($B119,"yyyy-mm"))</f>
        <v/>
      </c>
    </row>
    <row r="120" customFormat="false" ht="15" hidden="false" customHeight="false" outlineLevel="0" collapsed="false">
      <c r="A120" s="53" t="str">
        <f aca="false">IF($B120="","",ROW()-5)</f>
        <v/>
      </c>
      <c r="B120" s="54"/>
      <c r="C120" s="33"/>
      <c r="D120" s="33"/>
      <c r="E120" s="32"/>
      <c r="F120" s="39"/>
      <c r="G120" s="48" t="str">
        <f aca="false">IF($F120="","",IFERROR(INDEX(商品档案!$B$6:$B$65,MATCH($F120,商品档案!$A$6:$A$65,0)),""))</f>
        <v/>
      </c>
      <c r="H120" s="48" t="str">
        <f aca="false">IF($F120="","",IFERROR(INDEX(商品档案!$C$6:$C$65,MATCH($F120,商品档案!$A$6:$A$65,0)),""))</f>
        <v/>
      </c>
      <c r="I120" s="55" t="str">
        <f aca="false">IF($F120="","",IFERROR(INDEX(商品档案!$D$6:$D$65,MATCH($F120,商品档案!$A$6:$A$65,0)),""))</f>
        <v/>
      </c>
      <c r="J120" s="49"/>
      <c r="K120" s="56"/>
      <c r="L120" s="33"/>
      <c r="M120" s="39"/>
      <c r="N120" s="41"/>
      <c r="O120" s="41"/>
      <c r="P120" s="25" t="str">
        <f aca="false">IF(AND($B120="",$D120="",$F120=""),"",IF(NOT(ISNUMBER($B120)),"日期无效",IF(ISNA(MATCH($C120,参数设置!$A$10:$A$12,0)),"公司无效",IF(ISNA(MATCH($D120,记账规则!$A$6:$A$9,0)),"业务类型无效",IF(ISNA(MATCH($F120,商品档案!$A$6:$A$65,0)),"商品编码无效",IF(IFERROR(INDEX(商品档案!$E$6:$E$65,MATCH($F120,商品档案!$A$6:$A$65,0)),"")&lt;&gt;$C120,"商品不属于该公司",IF(AND($E120&lt;&gt;"",ISNA(MATCH($E120,往来单位!$A$6:$A$85,0))),"往来单位未建档",IF(N($J120)=0,"数量为 0",IF(N($K120)=0,"单价为 0",IF(AND(LEFT($D120,2)="销售",$U120=""),"该商品没设成本科目",IF(YEAR($B120)&lt;&gt;参数设置!$B$5,"不在本会计年度","OK")))))))))))</f>
        <v/>
      </c>
      <c r="Q120" s="57" t="str">
        <f aca="false">IF($F120="","",ROUND(N($J120)*N($K120),2))</f>
        <v/>
      </c>
      <c r="R120" s="58" t="str">
        <f aca="false">IF($D120="","",IF(LEFT($D120,2)="销售","应收账款","应付账款"))</f>
        <v/>
      </c>
      <c r="S120" s="58" t="str">
        <f aca="false">IF($F120="","",IFERROR(INDEX(商品档案!$G$6:$G$65,MATCH($F120,商品档案!$A$6:$A$65,0)),""))</f>
        <v/>
      </c>
      <c r="T120" s="58" t="str">
        <f aca="false">IF($F120="","",IFERROR(INDEX(商品档案!$H$6:$H$65,MATCH($F120,商品档案!$A$6:$A$65,0)),""))</f>
        <v/>
      </c>
      <c r="U120" s="58" t="str">
        <f aca="false">IF($F120="","",IFERROR(INDEX(商品档案!$I$6:$I$65,MATCH($F120,商品档案!$A$6:$A$65,0)),""))</f>
        <v/>
      </c>
      <c r="V120" s="59" t="str">
        <f aca="false">IF($F120="","",SUMIFS(进销存台账!$N$6:$N$65,进销存台账!$A$6:$A$65,$C120,进销存台账!$B$6:$B$65,$F120))</f>
        <v/>
      </c>
      <c r="W120" s="60" t="n">
        <f aca="false">IF(OR($D120="销售出库",$D120="销售退回"),ROUND(N($J120)*N($V120),2),0)</f>
        <v>0</v>
      </c>
      <c r="X120" s="58" t="str">
        <f aca="false">IF($E120="","",IFERROR(INDEX(往来单位!$D$6:$D$85,MATCH($E120,往来单位!$A$6:$A$85,0)),"否"))</f>
        <v/>
      </c>
      <c r="Y120" s="61" t="str">
        <f aca="false">IF($B120="","",YEAR($B120))</f>
        <v/>
      </c>
      <c r="Z120" s="58" t="str">
        <f aca="false">IF($B120="","",TEXT($B120,"yyyy-mm"))</f>
        <v/>
      </c>
    </row>
    <row r="121" customFormat="false" ht="15" hidden="false" customHeight="false" outlineLevel="0" collapsed="false">
      <c r="A121" s="53" t="str">
        <f aca="false">IF($B121="","",ROW()-5)</f>
        <v/>
      </c>
      <c r="B121" s="54"/>
      <c r="C121" s="33"/>
      <c r="D121" s="33"/>
      <c r="E121" s="32"/>
      <c r="F121" s="39"/>
      <c r="G121" s="48" t="str">
        <f aca="false">IF($F121="","",IFERROR(INDEX(商品档案!$B$6:$B$65,MATCH($F121,商品档案!$A$6:$A$65,0)),""))</f>
        <v/>
      </c>
      <c r="H121" s="48" t="str">
        <f aca="false">IF($F121="","",IFERROR(INDEX(商品档案!$C$6:$C$65,MATCH($F121,商品档案!$A$6:$A$65,0)),""))</f>
        <v/>
      </c>
      <c r="I121" s="55" t="str">
        <f aca="false">IF($F121="","",IFERROR(INDEX(商品档案!$D$6:$D$65,MATCH($F121,商品档案!$A$6:$A$65,0)),""))</f>
        <v/>
      </c>
      <c r="J121" s="49"/>
      <c r="K121" s="56"/>
      <c r="L121" s="33"/>
      <c r="M121" s="39"/>
      <c r="N121" s="41"/>
      <c r="O121" s="41"/>
      <c r="P121" s="25" t="str">
        <f aca="false">IF(AND($B121="",$D121="",$F121=""),"",IF(NOT(ISNUMBER($B121)),"日期无效",IF(ISNA(MATCH($C121,参数设置!$A$10:$A$12,0)),"公司无效",IF(ISNA(MATCH($D121,记账规则!$A$6:$A$9,0)),"业务类型无效",IF(ISNA(MATCH($F121,商品档案!$A$6:$A$65,0)),"商品编码无效",IF(IFERROR(INDEX(商品档案!$E$6:$E$65,MATCH($F121,商品档案!$A$6:$A$65,0)),"")&lt;&gt;$C121,"商品不属于该公司",IF(AND($E121&lt;&gt;"",ISNA(MATCH($E121,往来单位!$A$6:$A$85,0))),"往来单位未建档",IF(N($J121)=0,"数量为 0",IF(N($K121)=0,"单价为 0",IF(AND(LEFT($D121,2)="销售",$U121=""),"该商品没设成本科目",IF(YEAR($B121)&lt;&gt;参数设置!$B$5,"不在本会计年度","OK")))))))))))</f>
        <v/>
      </c>
      <c r="Q121" s="57" t="str">
        <f aca="false">IF($F121="","",ROUND(N($J121)*N($K121),2))</f>
        <v/>
      </c>
      <c r="R121" s="58" t="str">
        <f aca="false">IF($D121="","",IF(LEFT($D121,2)="销售","应收账款","应付账款"))</f>
        <v/>
      </c>
      <c r="S121" s="58" t="str">
        <f aca="false">IF($F121="","",IFERROR(INDEX(商品档案!$G$6:$G$65,MATCH($F121,商品档案!$A$6:$A$65,0)),""))</f>
        <v/>
      </c>
      <c r="T121" s="58" t="str">
        <f aca="false">IF($F121="","",IFERROR(INDEX(商品档案!$H$6:$H$65,MATCH($F121,商品档案!$A$6:$A$65,0)),""))</f>
        <v/>
      </c>
      <c r="U121" s="58" t="str">
        <f aca="false">IF($F121="","",IFERROR(INDEX(商品档案!$I$6:$I$65,MATCH($F121,商品档案!$A$6:$A$65,0)),""))</f>
        <v/>
      </c>
      <c r="V121" s="59" t="str">
        <f aca="false">IF($F121="","",SUMIFS(进销存台账!$N$6:$N$65,进销存台账!$A$6:$A$65,$C121,进销存台账!$B$6:$B$65,$F121))</f>
        <v/>
      </c>
      <c r="W121" s="60" t="n">
        <f aca="false">IF(OR($D121="销售出库",$D121="销售退回"),ROUND(N($J121)*N($V121),2),0)</f>
        <v>0</v>
      </c>
      <c r="X121" s="58" t="str">
        <f aca="false">IF($E121="","",IFERROR(INDEX(往来单位!$D$6:$D$85,MATCH($E121,往来单位!$A$6:$A$85,0)),"否"))</f>
        <v/>
      </c>
      <c r="Y121" s="61" t="str">
        <f aca="false">IF($B121="","",YEAR($B121))</f>
        <v/>
      </c>
      <c r="Z121" s="58" t="str">
        <f aca="false">IF($B121="","",TEXT($B121,"yyyy-mm"))</f>
        <v/>
      </c>
    </row>
    <row r="122" customFormat="false" ht="15" hidden="false" customHeight="false" outlineLevel="0" collapsed="false">
      <c r="A122" s="53" t="str">
        <f aca="false">IF($B122="","",ROW()-5)</f>
        <v/>
      </c>
      <c r="B122" s="54"/>
      <c r="C122" s="33"/>
      <c r="D122" s="33"/>
      <c r="E122" s="32"/>
      <c r="F122" s="39"/>
      <c r="G122" s="48" t="str">
        <f aca="false">IF($F122="","",IFERROR(INDEX(商品档案!$B$6:$B$65,MATCH($F122,商品档案!$A$6:$A$65,0)),""))</f>
        <v/>
      </c>
      <c r="H122" s="48" t="str">
        <f aca="false">IF($F122="","",IFERROR(INDEX(商品档案!$C$6:$C$65,MATCH($F122,商品档案!$A$6:$A$65,0)),""))</f>
        <v/>
      </c>
      <c r="I122" s="55" t="str">
        <f aca="false">IF($F122="","",IFERROR(INDEX(商品档案!$D$6:$D$65,MATCH($F122,商品档案!$A$6:$A$65,0)),""))</f>
        <v/>
      </c>
      <c r="J122" s="49"/>
      <c r="K122" s="56"/>
      <c r="L122" s="33"/>
      <c r="M122" s="39"/>
      <c r="N122" s="41"/>
      <c r="O122" s="41"/>
      <c r="P122" s="25" t="str">
        <f aca="false">IF(AND($B122="",$D122="",$F122=""),"",IF(NOT(ISNUMBER($B122)),"日期无效",IF(ISNA(MATCH($C122,参数设置!$A$10:$A$12,0)),"公司无效",IF(ISNA(MATCH($D122,记账规则!$A$6:$A$9,0)),"业务类型无效",IF(ISNA(MATCH($F122,商品档案!$A$6:$A$65,0)),"商品编码无效",IF(IFERROR(INDEX(商品档案!$E$6:$E$65,MATCH($F122,商品档案!$A$6:$A$65,0)),"")&lt;&gt;$C122,"商品不属于该公司",IF(AND($E122&lt;&gt;"",ISNA(MATCH($E122,往来单位!$A$6:$A$85,0))),"往来单位未建档",IF(N($J122)=0,"数量为 0",IF(N($K122)=0,"单价为 0",IF(AND(LEFT($D122,2)="销售",$U122=""),"该商品没设成本科目",IF(YEAR($B122)&lt;&gt;参数设置!$B$5,"不在本会计年度","OK")))))))))))</f>
        <v/>
      </c>
      <c r="Q122" s="57" t="str">
        <f aca="false">IF($F122="","",ROUND(N($J122)*N($K122),2))</f>
        <v/>
      </c>
      <c r="R122" s="58" t="str">
        <f aca="false">IF($D122="","",IF(LEFT($D122,2)="销售","应收账款","应付账款"))</f>
        <v/>
      </c>
      <c r="S122" s="58" t="str">
        <f aca="false">IF($F122="","",IFERROR(INDEX(商品档案!$G$6:$G$65,MATCH($F122,商品档案!$A$6:$A$65,0)),""))</f>
        <v/>
      </c>
      <c r="T122" s="58" t="str">
        <f aca="false">IF($F122="","",IFERROR(INDEX(商品档案!$H$6:$H$65,MATCH($F122,商品档案!$A$6:$A$65,0)),""))</f>
        <v/>
      </c>
      <c r="U122" s="58" t="str">
        <f aca="false">IF($F122="","",IFERROR(INDEX(商品档案!$I$6:$I$65,MATCH($F122,商品档案!$A$6:$A$65,0)),""))</f>
        <v/>
      </c>
      <c r="V122" s="59" t="str">
        <f aca="false">IF($F122="","",SUMIFS(进销存台账!$N$6:$N$65,进销存台账!$A$6:$A$65,$C122,进销存台账!$B$6:$B$65,$F122))</f>
        <v/>
      </c>
      <c r="W122" s="60" t="n">
        <f aca="false">IF(OR($D122="销售出库",$D122="销售退回"),ROUND(N($J122)*N($V122),2),0)</f>
        <v>0</v>
      </c>
      <c r="X122" s="58" t="str">
        <f aca="false">IF($E122="","",IFERROR(INDEX(往来单位!$D$6:$D$85,MATCH($E122,往来单位!$A$6:$A$85,0)),"否"))</f>
        <v/>
      </c>
      <c r="Y122" s="61" t="str">
        <f aca="false">IF($B122="","",YEAR($B122))</f>
        <v/>
      </c>
      <c r="Z122" s="58" t="str">
        <f aca="false">IF($B122="","",TEXT($B122,"yyyy-mm"))</f>
        <v/>
      </c>
    </row>
    <row r="123" customFormat="false" ht="15" hidden="false" customHeight="false" outlineLevel="0" collapsed="false">
      <c r="A123" s="53" t="str">
        <f aca="false">IF($B123="","",ROW()-5)</f>
        <v/>
      </c>
      <c r="B123" s="54"/>
      <c r="C123" s="33"/>
      <c r="D123" s="33"/>
      <c r="E123" s="32"/>
      <c r="F123" s="39"/>
      <c r="G123" s="48" t="str">
        <f aca="false">IF($F123="","",IFERROR(INDEX(商品档案!$B$6:$B$65,MATCH($F123,商品档案!$A$6:$A$65,0)),""))</f>
        <v/>
      </c>
      <c r="H123" s="48" t="str">
        <f aca="false">IF($F123="","",IFERROR(INDEX(商品档案!$C$6:$C$65,MATCH($F123,商品档案!$A$6:$A$65,0)),""))</f>
        <v/>
      </c>
      <c r="I123" s="55" t="str">
        <f aca="false">IF($F123="","",IFERROR(INDEX(商品档案!$D$6:$D$65,MATCH($F123,商品档案!$A$6:$A$65,0)),""))</f>
        <v/>
      </c>
      <c r="J123" s="49"/>
      <c r="K123" s="56"/>
      <c r="L123" s="33"/>
      <c r="M123" s="39"/>
      <c r="N123" s="41"/>
      <c r="O123" s="41"/>
      <c r="P123" s="25" t="str">
        <f aca="false">IF(AND($B123="",$D123="",$F123=""),"",IF(NOT(ISNUMBER($B123)),"日期无效",IF(ISNA(MATCH($C123,参数设置!$A$10:$A$12,0)),"公司无效",IF(ISNA(MATCH($D123,记账规则!$A$6:$A$9,0)),"业务类型无效",IF(ISNA(MATCH($F123,商品档案!$A$6:$A$65,0)),"商品编码无效",IF(IFERROR(INDEX(商品档案!$E$6:$E$65,MATCH($F123,商品档案!$A$6:$A$65,0)),"")&lt;&gt;$C123,"商品不属于该公司",IF(AND($E123&lt;&gt;"",ISNA(MATCH($E123,往来单位!$A$6:$A$85,0))),"往来单位未建档",IF(N($J123)=0,"数量为 0",IF(N($K123)=0,"单价为 0",IF(AND(LEFT($D123,2)="销售",$U123=""),"该商品没设成本科目",IF(YEAR($B123)&lt;&gt;参数设置!$B$5,"不在本会计年度","OK")))))))))))</f>
        <v/>
      </c>
      <c r="Q123" s="57" t="str">
        <f aca="false">IF($F123="","",ROUND(N($J123)*N($K123),2))</f>
        <v/>
      </c>
      <c r="R123" s="58" t="str">
        <f aca="false">IF($D123="","",IF(LEFT($D123,2)="销售","应收账款","应付账款"))</f>
        <v/>
      </c>
      <c r="S123" s="58" t="str">
        <f aca="false">IF($F123="","",IFERROR(INDEX(商品档案!$G$6:$G$65,MATCH($F123,商品档案!$A$6:$A$65,0)),""))</f>
        <v/>
      </c>
      <c r="T123" s="58" t="str">
        <f aca="false">IF($F123="","",IFERROR(INDEX(商品档案!$H$6:$H$65,MATCH($F123,商品档案!$A$6:$A$65,0)),""))</f>
        <v/>
      </c>
      <c r="U123" s="58" t="str">
        <f aca="false">IF($F123="","",IFERROR(INDEX(商品档案!$I$6:$I$65,MATCH($F123,商品档案!$A$6:$A$65,0)),""))</f>
        <v/>
      </c>
      <c r="V123" s="59" t="str">
        <f aca="false">IF($F123="","",SUMIFS(进销存台账!$N$6:$N$65,进销存台账!$A$6:$A$65,$C123,进销存台账!$B$6:$B$65,$F123))</f>
        <v/>
      </c>
      <c r="W123" s="60" t="n">
        <f aca="false">IF(OR($D123="销售出库",$D123="销售退回"),ROUND(N($J123)*N($V123),2),0)</f>
        <v>0</v>
      </c>
      <c r="X123" s="58" t="str">
        <f aca="false">IF($E123="","",IFERROR(INDEX(往来单位!$D$6:$D$85,MATCH($E123,往来单位!$A$6:$A$85,0)),"否"))</f>
        <v/>
      </c>
      <c r="Y123" s="61" t="str">
        <f aca="false">IF($B123="","",YEAR($B123))</f>
        <v/>
      </c>
      <c r="Z123" s="58" t="str">
        <f aca="false">IF($B123="","",TEXT($B123,"yyyy-mm"))</f>
        <v/>
      </c>
    </row>
    <row r="124" customFormat="false" ht="15" hidden="false" customHeight="false" outlineLevel="0" collapsed="false">
      <c r="A124" s="53" t="str">
        <f aca="false">IF($B124="","",ROW()-5)</f>
        <v/>
      </c>
      <c r="B124" s="54"/>
      <c r="C124" s="33"/>
      <c r="D124" s="33"/>
      <c r="E124" s="32"/>
      <c r="F124" s="39"/>
      <c r="G124" s="48" t="str">
        <f aca="false">IF($F124="","",IFERROR(INDEX(商品档案!$B$6:$B$65,MATCH($F124,商品档案!$A$6:$A$65,0)),""))</f>
        <v/>
      </c>
      <c r="H124" s="48" t="str">
        <f aca="false">IF($F124="","",IFERROR(INDEX(商品档案!$C$6:$C$65,MATCH($F124,商品档案!$A$6:$A$65,0)),""))</f>
        <v/>
      </c>
      <c r="I124" s="55" t="str">
        <f aca="false">IF($F124="","",IFERROR(INDEX(商品档案!$D$6:$D$65,MATCH($F124,商品档案!$A$6:$A$65,0)),""))</f>
        <v/>
      </c>
      <c r="J124" s="49"/>
      <c r="K124" s="56"/>
      <c r="L124" s="33"/>
      <c r="M124" s="39"/>
      <c r="N124" s="41"/>
      <c r="O124" s="41"/>
      <c r="P124" s="25" t="str">
        <f aca="false">IF(AND($B124="",$D124="",$F124=""),"",IF(NOT(ISNUMBER($B124)),"日期无效",IF(ISNA(MATCH($C124,参数设置!$A$10:$A$12,0)),"公司无效",IF(ISNA(MATCH($D124,记账规则!$A$6:$A$9,0)),"业务类型无效",IF(ISNA(MATCH($F124,商品档案!$A$6:$A$65,0)),"商品编码无效",IF(IFERROR(INDEX(商品档案!$E$6:$E$65,MATCH($F124,商品档案!$A$6:$A$65,0)),"")&lt;&gt;$C124,"商品不属于该公司",IF(AND($E124&lt;&gt;"",ISNA(MATCH($E124,往来单位!$A$6:$A$85,0))),"往来单位未建档",IF(N($J124)=0,"数量为 0",IF(N($K124)=0,"单价为 0",IF(AND(LEFT($D124,2)="销售",$U124=""),"该商品没设成本科目",IF(YEAR($B124)&lt;&gt;参数设置!$B$5,"不在本会计年度","OK")))))))))))</f>
        <v/>
      </c>
      <c r="Q124" s="57" t="str">
        <f aca="false">IF($F124="","",ROUND(N($J124)*N($K124),2))</f>
        <v/>
      </c>
      <c r="R124" s="58" t="str">
        <f aca="false">IF($D124="","",IF(LEFT($D124,2)="销售","应收账款","应付账款"))</f>
        <v/>
      </c>
      <c r="S124" s="58" t="str">
        <f aca="false">IF($F124="","",IFERROR(INDEX(商品档案!$G$6:$G$65,MATCH($F124,商品档案!$A$6:$A$65,0)),""))</f>
        <v/>
      </c>
      <c r="T124" s="58" t="str">
        <f aca="false">IF($F124="","",IFERROR(INDEX(商品档案!$H$6:$H$65,MATCH($F124,商品档案!$A$6:$A$65,0)),""))</f>
        <v/>
      </c>
      <c r="U124" s="58" t="str">
        <f aca="false">IF($F124="","",IFERROR(INDEX(商品档案!$I$6:$I$65,MATCH($F124,商品档案!$A$6:$A$65,0)),""))</f>
        <v/>
      </c>
      <c r="V124" s="59" t="str">
        <f aca="false">IF($F124="","",SUMIFS(进销存台账!$N$6:$N$65,进销存台账!$A$6:$A$65,$C124,进销存台账!$B$6:$B$65,$F124))</f>
        <v/>
      </c>
      <c r="W124" s="60" t="n">
        <f aca="false">IF(OR($D124="销售出库",$D124="销售退回"),ROUND(N($J124)*N($V124),2),0)</f>
        <v>0</v>
      </c>
      <c r="X124" s="58" t="str">
        <f aca="false">IF($E124="","",IFERROR(INDEX(往来单位!$D$6:$D$85,MATCH($E124,往来单位!$A$6:$A$85,0)),"否"))</f>
        <v/>
      </c>
      <c r="Y124" s="61" t="str">
        <f aca="false">IF($B124="","",YEAR($B124))</f>
        <v/>
      </c>
      <c r="Z124" s="58" t="str">
        <f aca="false">IF($B124="","",TEXT($B124,"yyyy-mm"))</f>
        <v/>
      </c>
    </row>
    <row r="125" customFormat="false" ht="15" hidden="false" customHeight="false" outlineLevel="0" collapsed="false">
      <c r="A125" s="53" t="str">
        <f aca="false">IF($B125="","",ROW()-5)</f>
        <v/>
      </c>
      <c r="B125" s="54"/>
      <c r="C125" s="33"/>
      <c r="D125" s="33"/>
      <c r="E125" s="32"/>
      <c r="F125" s="39"/>
      <c r="G125" s="48" t="str">
        <f aca="false">IF($F125="","",IFERROR(INDEX(商品档案!$B$6:$B$65,MATCH($F125,商品档案!$A$6:$A$65,0)),""))</f>
        <v/>
      </c>
      <c r="H125" s="48" t="str">
        <f aca="false">IF($F125="","",IFERROR(INDEX(商品档案!$C$6:$C$65,MATCH($F125,商品档案!$A$6:$A$65,0)),""))</f>
        <v/>
      </c>
      <c r="I125" s="55" t="str">
        <f aca="false">IF($F125="","",IFERROR(INDEX(商品档案!$D$6:$D$65,MATCH($F125,商品档案!$A$6:$A$65,0)),""))</f>
        <v/>
      </c>
      <c r="J125" s="49"/>
      <c r="K125" s="56"/>
      <c r="L125" s="33"/>
      <c r="M125" s="39"/>
      <c r="N125" s="41"/>
      <c r="O125" s="41"/>
      <c r="P125" s="25" t="str">
        <f aca="false">IF(AND($B125="",$D125="",$F125=""),"",IF(NOT(ISNUMBER($B125)),"日期无效",IF(ISNA(MATCH($C125,参数设置!$A$10:$A$12,0)),"公司无效",IF(ISNA(MATCH($D125,记账规则!$A$6:$A$9,0)),"业务类型无效",IF(ISNA(MATCH($F125,商品档案!$A$6:$A$65,0)),"商品编码无效",IF(IFERROR(INDEX(商品档案!$E$6:$E$65,MATCH($F125,商品档案!$A$6:$A$65,0)),"")&lt;&gt;$C125,"商品不属于该公司",IF(AND($E125&lt;&gt;"",ISNA(MATCH($E125,往来单位!$A$6:$A$85,0))),"往来单位未建档",IF(N($J125)=0,"数量为 0",IF(N($K125)=0,"单价为 0",IF(AND(LEFT($D125,2)="销售",$U125=""),"该商品没设成本科目",IF(YEAR($B125)&lt;&gt;参数设置!$B$5,"不在本会计年度","OK")))))))))))</f>
        <v/>
      </c>
      <c r="Q125" s="57" t="str">
        <f aca="false">IF($F125="","",ROUND(N($J125)*N($K125),2))</f>
        <v/>
      </c>
      <c r="R125" s="58" t="str">
        <f aca="false">IF($D125="","",IF(LEFT($D125,2)="销售","应收账款","应付账款"))</f>
        <v/>
      </c>
      <c r="S125" s="58" t="str">
        <f aca="false">IF($F125="","",IFERROR(INDEX(商品档案!$G$6:$G$65,MATCH($F125,商品档案!$A$6:$A$65,0)),""))</f>
        <v/>
      </c>
      <c r="T125" s="58" t="str">
        <f aca="false">IF($F125="","",IFERROR(INDEX(商品档案!$H$6:$H$65,MATCH($F125,商品档案!$A$6:$A$65,0)),""))</f>
        <v/>
      </c>
      <c r="U125" s="58" t="str">
        <f aca="false">IF($F125="","",IFERROR(INDEX(商品档案!$I$6:$I$65,MATCH($F125,商品档案!$A$6:$A$65,0)),""))</f>
        <v/>
      </c>
      <c r="V125" s="59" t="str">
        <f aca="false">IF($F125="","",SUMIFS(进销存台账!$N$6:$N$65,进销存台账!$A$6:$A$65,$C125,进销存台账!$B$6:$B$65,$F125))</f>
        <v/>
      </c>
      <c r="W125" s="60" t="n">
        <f aca="false">IF(OR($D125="销售出库",$D125="销售退回"),ROUND(N($J125)*N($V125),2),0)</f>
        <v>0</v>
      </c>
      <c r="X125" s="58" t="str">
        <f aca="false">IF($E125="","",IFERROR(INDEX(往来单位!$D$6:$D$85,MATCH($E125,往来单位!$A$6:$A$85,0)),"否"))</f>
        <v/>
      </c>
      <c r="Y125" s="61" t="str">
        <f aca="false">IF($B125="","",YEAR($B125))</f>
        <v/>
      </c>
      <c r="Z125" s="58" t="str">
        <f aca="false">IF($B125="","",TEXT($B125,"yyyy-mm"))</f>
        <v/>
      </c>
    </row>
    <row r="126" customFormat="false" ht="15" hidden="false" customHeight="false" outlineLevel="0" collapsed="false">
      <c r="A126" s="53" t="str">
        <f aca="false">IF($B126="","",ROW()-5)</f>
        <v/>
      </c>
      <c r="B126" s="54"/>
      <c r="C126" s="33"/>
      <c r="D126" s="33"/>
      <c r="E126" s="32"/>
      <c r="F126" s="39"/>
      <c r="G126" s="48" t="str">
        <f aca="false">IF($F126="","",IFERROR(INDEX(商品档案!$B$6:$B$65,MATCH($F126,商品档案!$A$6:$A$65,0)),""))</f>
        <v/>
      </c>
      <c r="H126" s="48" t="str">
        <f aca="false">IF($F126="","",IFERROR(INDEX(商品档案!$C$6:$C$65,MATCH($F126,商品档案!$A$6:$A$65,0)),""))</f>
        <v/>
      </c>
      <c r="I126" s="55" t="str">
        <f aca="false">IF($F126="","",IFERROR(INDEX(商品档案!$D$6:$D$65,MATCH($F126,商品档案!$A$6:$A$65,0)),""))</f>
        <v/>
      </c>
      <c r="J126" s="49"/>
      <c r="K126" s="56"/>
      <c r="L126" s="33"/>
      <c r="M126" s="39"/>
      <c r="N126" s="41"/>
      <c r="O126" s="41"/>
      <c r="P126" s="25" t="str">
        <f aca="false">IF(AND($B126="",$D126="",$F126=""),"",IF(NOT(ISNUMBER($B126)),"日期无效",IF(ISNA(MATCH($C126,参数设置!$A$10:$A$12,0)),"公司无效",IF(ISNA(MATCH($D126,记账规则!$A$6:$A$9,0)),"业务类型无效",IF(ISNA(MATCH($F126,商品档案!$A$6:$A$65,0)),"商品编码无效",IF(IFERROR(INDEX(商品档案!$E$6:$E$65,MATCH($F126,商品档案!$A$6:$A$65,0)),"")&lt;&gt;$C126,"商品不属于该公司",IF(AND($E126&lt;&gt;"",ISNA(MATCH($E126,往来单位!$A$6:$A$85,0))),"往来单位未建档",IF(N($J126)=0,"数量为 0",IF(N($K126)=0,"单价为 0",IF(AND(LEFT($D126,2)="销售",$U126=""),"该商品没设成本科目",IF(YEAR($B126)&lt;&gt;参数设置!$B$5,"不在本会计年度","OK")))))))))))</f>
        <v/>
      </c>
      <c r="Q126" s="57" t="str">
        <f aca="false">IF($F126="","",ROUND(N($J126)*N($K126),2))</f>
        <v/>
      </c>
      <c r="R126" s="58" t="str">
        <f aca="false">IF($D126="","",IF(LEFT($D126,2)="销售","应收账款","应付账款"))</f>
        <v/>
      </c>
      <c r="S126" s="58" t="str">
        <f aca="false">IF($F126="","",IFERROR(INDEX(商品档案!$G$6:$G$65,MATCH($F126,商品档案!$A$6:$A$65,0)),""))</f>
        <v/>
      </c>
      <c r="T126" s="58" t="str">
        <f aca="false">IF($F126="","",IFERROR(INDEX(商品档案!$H$6:$H$65,MATCH($F126,商品档案!$A$6:$A$65,0)),""))</f>
        <v/>
      </c>
      <c r="U126" s="58" t="str">
        <f aca="false">IF($F126="","",IFERROR(INDEX(商品档案!$I$6:$I$65,MATCH($F126,商品档案!$A$6:$A$65,0)),""))</f>
        <v/>
      </c>
      <c r="V126" s="59" t="str">
        <f aca="false">IF($F126="","",SUMIFS(进销存台账!$N$6:$N$65,进销存台账!$A$6:$A$65,$C126,进销存台账!$B$6:$B$65,$F126))</f>
        <v/>
      </c>
      <c r="W126" s="60" t="n">
        <f aca="false">IF(OR($D126="销售出库",$D126="销售退回"),ROUND(N($J126)*N($V126),2),0)</f>
        <v>0</v>
      </c>
      <c r="X126" s="58" t="str">
        <f aca="false">IF($E126="","",IFERROR(INDEX(往来单位!$D$6:$D$85,MATCH($E126,往来单位!$A$6:$A$85,0)),"否"))</f>
        <v/>
      </c>
      <c r="Y126" s="61" t="str">
        <f aca="false">IF($B126="","",YEAR($B126))</f>
        <v/>
      </c>
      <c r="Z126" s="58" t="str">
        <f aca="false">IF($B126="","",TEXT($B126,"yyyy-mm"))</f>
        <v/>
      </c>
    </row>
    <row r="127" customFormat="false" ht="15" hidden="false" customHeight="false" outlineLevel="0" collapsed="false">
      <c r="A127" s="53" t="str">
        <f aca="false">IF($B127="","",ROW()-5)</f>
        <v/>
      </c>
      <c r="B127" s="54"/>
      <c r="C127" s="33"/>
      <c r="D127" s="33"/>
      <c r="E127" s="32"/>
      <c r="F127" s="39"/>
      <c r="G127" s="48" t="str">
        <f aca="false">IF($F127="","",IFERROR(INDEX(商品档案!$B$6:$B$65,MATCH($F127,商品档案!$A$6:$A$65,0)),""))</f>
        <v/>
      </c>
      <c r="H127" s="48" t="str">
        <f aca="false">IF($F127="","",IFERROR(INDEX(商品档案!$C$6:$C$65,MATCH($F127,商品档案!$A$6:$A$65,0)),""))</f>
        <v/>
      </c>
      <c r="I127" s="55" t="str">
        <f aca="false">IF($F127="","",IFERROR(INDEX(商品档案!$D$6:$D$65,MATCH($F127,商品档案!$A$6:$A$65,0)),""))</f>
        <v/>
      </c>
      <c r="J127" s="49"/>
      <c r="K127" s="56"/>
      <c r="L127" s="33"/>
      <c r="M127" s="39"/>
      <c r="N127" s="41"/>
      <c r="O127" s="41"/>
      <c r="P127" s="25" t="str">
        <f aca="false">IF(AND($B127="",$D127="",$F127=""),"",IF(NOT(ISNUMBER($B127)),"日期无效",IF(ISNA(MATCH($C127,参数设置!$A$10:$A$12,0)),"公司无效",IF(ISNA(MATCH($D127,记账规则!$A$6:$A$9,0)),"业务类型无效",IF(ISNA(MATCH($F127,商品档案!$A$6:$A$65,0)),"商品编码无效",IF(IFERROR(INDEX(商品档案!$E$6:$E$65,MATCH($F127,商品档案!$A$6:$A$65,0)),"")&lt;&gt;$C127,"商品不属于该公司",IF(AND($E127&lt;&gt;"",ISNA(MATCH($E127,往来单位!$A$6:$A$85,0))),"往来单位未建档",IF(N($J127)=0,"数量为 0",IF(N($K127)=0,"单价为 0",IF(AND(LEFT($D127,2)="销售",$U127=""),"该商品没设成本科目",IF(YEAR($B127)&lt;&gt;参数设置!$B$5,"不在本会计年度","OK")))))))))))</f>
        <v/>
      </c>
      <c r="Q127" s="57" t="str">
        <f aca="false">IF($F127="","",ROUND(N($J127)*N($K127),2))</f>
        <v/>
      </c>
      <c r="R127" s="58" t="str">
        <f aca="false">IF($D127="","",IF(LEFT($D127,2)="销售","应收账款","应付账款"))</f>
        <v/>
      </c>
      <c r="S127" s="58" t="str">
        <f aca="false">IF($F127="","",IFERROR(INDEX(商品档案!$G$6:$G$65,MATCH($F127,商品档案!$A$6:$A$65,0)),""))</f>
        <v/>
      </c>
      <c r="T127" s="58" t="str">
        <f aca="false">IF($F127="","",IFERROR(INDEX(商品档案!$H$6:$H$65,MATCH($F127,商品档案!$A$6:$A$65,0)),""))</f>
        <v/>
      </c>
      <c r="U127" s="58" t="str">
        <f aca="false">IF($F127="","",IFERROR(INDEX(商品档案!$I$6:$I$65,MATCH($F127,商品档案!$A$6:$A$65,0)),""))</f>
        <v/>
      </c>
      <c r="V127" s="59" t="str">
        <f aca="false">IF($F127="","",SUMIFS(进销存台账!$N$6:$N$65,进销存台账!$A$6:$A$65,$C127,进销存台账!$B$6:$B$65,$F127))</f>
        <v/>
      </c>
      <c r="W127" s="60" t="n">
        <f aca="false">IF(OR($D127="销售出库",$D127="销售退回"),ROUND(N($J127)*N($V127),2),0)</f>
        <v>0</v>
      </c>
      <c r="X127" s="58" t="str">
        <f aca="false">IF($E127="","",IFERROR(INDEX(往来单位!$D$6:$D$85,MATCH($E127,往来单位!$A$6:$A$85,0)),"否"))</f>
        <v/>
      </c>
      <c r="Y127" s="61" t="str">
        <f aca="false">IF($B127="","",YEAR($B127))</f>
        <v/>
      </c>
      <c r="Z127" s="58" t="str">
        <f aca="false">IF($B127="","",TEXT($B127,"yyyy-mm"))</f>
        <v/>
      </c>
    </row>
    <row r="128" customFormat="false" ht="15" hidden="false" customHeight="false" outlineLevel="0" collapsed="false">
      <c r="A128" s="53" t="str">
        <f aca="false">IF($B128="","",ROW()-5)</f>
        <v/>
      </c>
      <c r="B128" s="54"/>
      <c r="C128" s="33"/>
      <c r="D128" s="33"/>
      <c r="E128" s="32"/>
      <c r="F128" s="39"/>
      <c r="G128" s="48" t="str">
        <f aca="false">IF($F128="","",IFERROR(INDEX(商品档案!$B$6:$B$65,MATCH($F128,商品档案!$A$6:$A$65,0)),""))</f>
        <v/>
      </c>
      <c r="H128" s="48" t="str">
        <f aca="false">IF($F128="","",IFERROR(INDEX(商品档案!$C$6:$C$65,MATCH($F128,商品档案!$A$6:$A$65,0)),""))</f>
        <v/>
      </c>
      <c r="I128" s="55" t="str">
        <f aca="false">IF($F128="","",IFERROR(INDEX(商品档案!$D$6:$D$65,MATCH($F128,商品档案!$A$6:$A$65,0)),""))</f>
        <v/>
      </c>
      <c r="J128" s="49"/>
      <c r="K128" s="56"/>
      <c r="L128" s="33"/>
      <c r="M128" s="39"/>
      <c r="N128" s="41"/>
      <c r="O128" s="41"/>
      <c r="P128" s="25" t="str">
        <f aca="false">IF(AND($B128="",$D128="",$F128=""),"",IF(NOT(ISNUMBER($B128)),"日期无效",IF(ISNA(MATCH($C128,参数设置!$A$10:$A$12,0)),"公司无效",IF(ISNA(MATCH($D128,记账规则!$A$6:$A$9,0)),"业务类型无效",IF(ISNA(MATCH($F128,商品档案!$A$6:$A$65,0)),"商品编码无效",IF(IFERROR(INDEX(商品档案!$E$6:$E$65,MATCH($F128,商品档案!$A$6:$A$65,0)),"")&lt;&gt;$C128,"商品不属于该公司",IF(AND($E128&lt;&gt;"",ISNA(MATCH($E128,往来单位!$A$6:$A$85,0))),"往来单位未建档",IF(N($J128)=0,"数量为 0",IF(N($K128)=0,"单价为 0",IF(AND(LEFT($D128,2)="销售",$U128=""),"该商品没设成本科目",IF(YEAR($B128)&lt;&gt;参数设置!$B$5,"不在本会计年度","OK")))))))))))</f>
        <v/>
      </c>
      <c r="Q128" s="57" t="str">
        <f aca="false">IF($F128="","",ROUND(N($J128)*N($K128),2))</f>
        <v/>
      </c>
      <c r="R128" s="58" t="str">
        <f aca="false">IF($D128="","",IF(LEFT($D128,2)="销售","应收账款","应付账款"))</f>
        <v/>
      </c>
      <c r="S128" s="58" t="str">
        <f aca="false">IF($F128="","",IFERROR(INDEX(商品档案!$G$6:$G$65,MATCH($F128,商品档案!$A$6:$A$65,0)),""))</f>
        <v/>
      </c>
      <c r="T128" s="58" t="str">
        <f aca="false">IF($F128="","",IFERROR(INDEX(商品档案!$H$6:$H$65,MATCH($F128,商品档案!$A$6:$A$65,0)),""))</f>
        <v/>
      </c>
      <c r="U128" s="58" t="str">
        <f aca="false">IF($F128="","",IFERROR(INDEX(商品档案!$I$6:$I$65,MATCH($F128,商品档案!$A$6:$A$65,0)),""))</f>
        <v/>
      </c>
      <c r="V128" s="59" t="str">
        <f aca="false">IF($F128="","",SUMIFS(进销存台账!$N$6:$N$65,进销存台账!$A$6:$A$65,$C128,进销存台账!$B$6:$B$65,$F128))</f>
        <v/>
      </c>
      <c r="W128" s="60" t="n">
        <f aca="false">IF(OR($D128="销售出库",$D128="销售退回"),ROUND(N($J128)*N($V128),2),0)</f>
        <v>0</v>
      </c>
      <c r="X128" s="58" t="str">
        <f aca="false">IF($E128="","",IFERROR(INDEX(往来单位!$D$6:$D$85,MATCH($E128,往来单位!$A$6:$A$85,0)),"否"))</f>
        <v/>
      </c>
      <c r="Y128" s="61" t="str">
        <f aca="false">IF($B128="","",YEAR($B128))</f>
        <v/>
      </c>
      <c r="Z128" s="58" t="str">
        <f aca="false">IF($B128="","",TEXT($B128,"yyyy-mm"))</f>
        <v/>
      </c>
    </row>
    <row r="129" customFormat="false" ht="15" hidden="false" customHeight="false" outlineLevel="0" collapsed="false">
      <c r="A129" s="53" t="str">
        <f aca="false">IF($B129="","",ROW()-5)</f>
        <v/>
      </c>
      <c r="B129" s="54"/>
      <c r="C129" s="33"/>
      <c r="D129" s="33"/>
      <c r="E129" s="32"/>
      <c r="F129" s="39"/>
      <c r="G129" s="48" t="str">
        <f aca="false">IF($F129="","",IFERROR(INDEX(商品档案!$B$6:$B$65,MATCH($F129,商品档案!$A$6:$A$65,0)),""))</f>
        <v/>
      </c>
      <c r="H129" s="48" t="str">
        <f aca="false">IF($F129="","",IFERROR(INDEX(商品档案!$C$6:$C$65,MATCH($F129,商品档案!$A$6:$A$65,0)),""))</f>
        <v/>
      </c>
      <c r="I129" s="55" t="str">
        <f aca="false">IF($F129="","",IFERROR(INDEX(商品档案!$D$6:$D$65,MATCH($F129,商品档案!$A$6:$A$65,0)),""))</f>
        <v/>
      </c>
      <c r="J129" s="49"/>
      <c r="K129" s="56"/>
      <c r="L129" s="33"/>
      <c r="M129" s="39"/>
      <c r="N129" s="41"/>
      <c r="O129" s="41"/>
      <c r="P129" s="25" t="str">
        <f aca="false">IF(AND($B129="",$D129="",$F129=""),"",IF(NOT(ISNUMBER($B129)),"日期无效",IF(ISNA(MATCH($C129,参数设置!$A$10:$A$12,0)),"公司无效",IF(ISNA(MATCH($D129,记账规则!$A$6:$A$9,0)),"业务类型无效",IF(ISNA(MATCH($F129,商品档案!$A$6:$A$65,0)),"商品编码无效",IF(IFERROR(INDEX(商品档案!$E$6:$E$65,MATCH($F129,商品档案!$A$6:$A$65,0)),"")&lt;&gt;$C129,"商品不属于该公司",IF(AND($E129&lt;&gt;"",ISNA(MATCH($E129,往来单位!$A$6:$A$85,0))),"往来单位未建档",IF(N($J129)=0,"数量为 0",IF(N($K129)=0,"单价为 0",IF(AND(LEFT($D129,2)="销售",$U129=""),"该商品没设成本科目",IF(YEAR($B129)&lt;&gt;参数设置!$B$5,"不在本会计年度","OK")))))))))))</f>
        <v/>
      </c>
      <c r="Q129" s="57" t="str">
        <f aca="false">IF($F129="","",ROUND(N($J129)*N($K129),2))</f>
        <v/>
      </c>
      <c r="R129" s="58" t="str">
        <f aca="false">IF($D129="","",IF(LEFT($D129,2)="销售","应收账款","应付账款"))</f>
        <v/>
      </c>
      <c r="S129" s="58" t="str">
        <f aca="false">IF($F129="","",IFERROR(INDEX(商品档案!$G$6:$G$65,MATCH($F129,商品档案!$A$6:$A$65,0)),""))</f>
        <v/>
      </c>
      <c r="T129" s="58" t="str">
        <f aca="false">IF($F129="","",IFERROR(INDEX(商品档案!$H$6:$H$65,MATCH($F129,商品档案!$A$6:$A$65,0)),""))</f>
        <v/>
      </c>
      <c r="U129" s="58" t="str">
        <f aca="false">IF($F129="","",IFERROR(INDEX(商品档案!$I$6:$I$65,MATCH($F129,商品档案!$A$6:$A$65,0)),""))</f>
        <v/>
      </c>
      <c r="V129" s="59" t="str">
        <f aca="false">IF($F129="","",SUMIFS(进销存台账!$N$6:$N$65,进销存台账!$A$6:$A$65,$C129,进销存台账!$B$6:$B$65,$F129))</f>
        <v/>
      </c>
      <c r="W129" s="60" t="n">
        <f aca="false">IF(OR($D129="销售出库",$D129="销售退回"),ROUND(N($J129)*N($V129),2),0)</f>
        <v>0</v>
      </c>
      <c r="X129" s="58" t="str">
        <f aca="false">IF($E129="","",IFERROR(INDEX(往来单位!$D$6:$D$85,MATCH($E129,往来单位!$A$6:$A$85,0)),"否"))</f>
        <v/>
      </c>
      <c r="Y129" s="61" t="str">
        <f aca="false">IF($B129="","",YEAR($B129))</f>
        <v/>
      </c>
      <c r="Z129" s="58" t="str">
        <f aca="false">IF($B129="","",TEXT($B129,"yyyy-mm"))</f>
        <v/>
      </c>
    </row>
    <row r="130" customFormat="false" ht="15" hidden="false" customHeight="false" outlineLevel="0" collapsed="false">
      <c r="A130" s="53" t="str">
        <f aca="false">IF($B130="","",ROW()-5)</f>
        <v/>
      </c>
      <c r="B130" s="54"/>
      <c r="C130" s="33"/>
      <c r="D130" s="33"/>
      <c r="E130" s="32"/>
      <c r="F130" s="39"/>
      <c r="G130" s="48" t="str">
        <f aca="false">IF($F130="","",IFERROR(INDEX(商品档案!$B$6:$B$65,MATCH($F130,商品档案!$A$6:$A$65,0)),""))</f>
        <v/>
      </c>
      <c r="H130" s="48" t="str">
        <f aca="false">IF($F130="","",IFERROR(INDEX(商品档案!$C$6:$C$65,MATCH($F130,商品档案!$A$6:$A$65,0)),""))</f>
        <v/>
      </c>
      <c r="I130" s="55" t="str">
        <f aca="false">IF($F130="","",IFERROR(INDEX(商品档案!$D$6:$D$65,MATCH($F130,商品档案!$A$6:$A$65,0)),""))</f>
        <v/>
      </c>
      <c r="J130" s="49"/>
      <c r="K130" s="56"/>
      <c r="L130" s="33"/>
      <c r="M130" s="39"/>
      <c r="N130" s="41"/>
      <c r="O130" s="41"/>
      <c r="P130" s="25" t="str">
        <f aca="false">IF(AND($B130="",$D130="",$F130=""),"",IF(NOT(ISNUMBER($B130)),"日期无效",IF(ISNA(MATCH($C130,参数设置!$A$10:$A$12,0)),"公司无效",IF(ISNA(MATCH($D130,记账规则!$A$6:$A$9,0)),"业务类型无效",IF(ISNA(MATCH($F130,商品档案!$A$6:$A$65,0)),"商品编码无效",IF(IFERROR(INDEX(商品档案!$E$6:$E$65,MATCH($F130,商品档案!$A$6:$A$65,0)),"")&lt;&gt;$C130,"商品不属于该公司",IF(AND($E130&lt;&gt;"",ISNA(MATCH($E130,往来单位!$A$6:$A$85,0))),"往来单位未建档",IF(N($J130)=0,"数量为 0",IF(N($K130)=0,"单价为 0",IF(AND(LEFT($D130,2)="销售",$U130=""),"该商品没设成本科目",IF(YEAR($B130)&lt;&gt;参数设置!$B$5,"不在本会计年度","OK")))))))))))</f>
        <v/>
      </c>
      <c r="Q130" s="57" t="str">
        <f aca="false">IF($F130="","",ROUND(N($J130)*N($K130),2))</f>
        <v/>
      </c>
      <c r="R130" s="58" t="str">
        <f aca="false">IF($D130="","",IF(LEFT($D130,2)="销售","应收账款","应付账款"))</f>
        <v/>
      </c>
      <c r="S130" s="58" t="str">
        <f aca="false">IF($F130="","",IFERROR(INDEX(商品档案!$G$6:$G$65,MATCH($F130,商品档案!$A$6:$A$65,0)),""))</f>
        <v/>
      </c>
      <c r="T130" s="58" t="str">
        <f aca="false">IF($F130="","",IFERROR(INDEX(商品档案!$H$6:$H$65,MATCH($F130,商品档案!$A$6:$A$65,0)),""))</f>
        <v/>
      </c>
      <c r="U130" s="58" t="str">
        <f aca="false">IF($F130="","",IFERROR(INDEX(商品档案!$I$6:$I$65,MATCH($F130,商品档案!$A$6:$A$65,0)),""))</f>
        <v/>
      </c>
      <c r="V130" s="59" t="str">
        <f aca="false">IF($F130="","",SUMIFS(进销存台账!$N$6:$N$65,进销存台账!$A$6:$A$65,$C130,进销存台账!$B$6:$B$65,$F130))</f>
        <v/>
      </c>
      <c r="W130" s="60" t="n">
        <f aca="false">IF(OR($D130="销售出库",$D130="销售退回"),ROUND(N($J130)*N($V130),2),0)</f>
        <v>0</v>
      </c>
      <c r="X130" s="58" t="str">
        <f aca="false">IF($E130="","",IFERROR(INDEX(往来单位!$D$6:$D$85,MATCH($E130,往来单位!$A$6:$A$85,0)),"否"))</f>
        <v/>
      </c>
      <c r="Y130" s="61" t="str">
        <f aca="false">IF($B130="","",YEAR($B130))</f>
        <v/>
      </c>
      <c r="Z130" s="58" t="str">
        <f aca="false">IF($B130="","",TEXT($B130,"yyyy-mm"))</f>
        <v/>
      </c>
    </row>
    <row r="131" customFormat="false" ht="15" hidden="false" customHeight="false" outlineLevel="0" collapsed="false">
      <c r="A131" s="53" t="str">
        <f aca="false">IF($B131="","",ROW()-5)</f>
        <v/>
      </c>
      <c r="B131" s="54"/>
      <c r="C131" s="33"/>
      <c r="D131" s="33"/>
      <c r="E131" s="32"/>
      <c r="F131" s="39"/>
      <c r="G131" s="48" t="str">
        <f aca="false">IF($F131="","",IFERROR(INDEX(商品档案!$B$6:$B$65,MATCH($F131,商品档案!$A$6:$A$65,0)),""))</f>
        <v/>
      </c>
      <c r="H131" s="48" t="str">
        <f aca="false">IF($F131="","",IFERROR(INDEX(商品档案!$C$6:$C$65,MATCH($F131,商品档案!$A$6:$A$65,0)),""))</f>
        <v/>
      </c>
      <c r="I131" s="55" t="str">
        <f aca="false">IF($F131="","",IFERROR(INDEX(商品档案!$D$6:$D$65,MATCH($F131,商品档案!$A$6:$A$65,0)),""))</f>
        <v/>
      </c>
      <c r="J131" s="49"/>
      <c r="K131" s="56"/>
      <c r="L131" s="33"/>
      <c r="M131" s="39"/>
      <c r="N131" s="41"/>
      <c r="O131" s="41"/>
      <c r="P131" s="25" t="str">
        <f aca="false">IF(AND($B131="",$D131="",$F131=""),"",IF(NOT(ISNUMBER($B131)),"日期无效",IF(ISNA(MATCH($C131,参数设置!$A$10:$A$12,0)),"公司无效",IF(ISNA(MATCH($D131,记账规则!$A$6:$A$9,0)),"业务类型无效",IF(ISNA(MATCH($F131,商品档案!$A$6:$A$65,0)),"商品编码无效",IF(IFERROR(INDEX(商品档案!$E$6:$E$65,MATCH($F131,商品档案!$A$6:$A$65,0)),"")&lt;&gt;$C131,"商品不属于该公司",IF(AND($E131&lt;&gt;"",ISNA(MATCH($E131,往来单位!$A$6:$A$85,0))),"往来单位未建档",IF(N($J131)=0,"数量为 0",IF(N($K131)=0,"单价为 0",IF(AND(LEFT($D131,2)="销售",$U131=""),"该商品没设成本科目",IF(YEAR($B131)&lt;&gt;参数设置!$B$5,"不在本会计年度","OK")))))))))))</f>
        <v/>
      </c>
      <c r="Q131" s="57" t="str">
        <f aca="false">IF($F131="","",ROUND(N($J131)*N($K131),2))</f>
        <v/>
      </c>
      <c r="R131" s="58" t="str">
        <f aca="false">IF($D131="","",IF(LEFT($D131,2)="销售","应收账款","应付账款"))</f>
        <v/>
      </c>
      <c r="S131" s="58" t="str">
        <f aca="false">IF($F131="","",IFERROR(INDEX(商品档案!$G$6:$G$65,MATCH($F131,商品档案!$A$6:$A$65,0)),""))</f>
        <v/>
      </c>
      <c r="T131" s="58" t="str">
        <f aca="false">IF($F131="","",IFERROR(INDEX(商品档案!$H$6:$H$65,MATCH($F131,商品档案!$A$6:$A$65,0)),""))</f>
        <v/>
      </c>
      <c r="U131" s="58" t="str">
        <f aca="false">IF($F131="","",IFERROR(INDEX(商品档案!$I$6:$I$65,MATCH($F131,商品档案!$A$6:$A$65,0)),""))</f>
        <v/>
      </c>
      <c r="V131" s="59" t="str">
        <f aca="false">IF($F131="","",SUMIFS(进销存台账!$N$6:$N$65,进销存台账!$A$6:$A$65,$C131,进销存台账!$B$6:$B$65,$F131))</f>
        <v/>
      </c>
      <c r="W131" s="60" t="n">
        <f aca="false">IF(OR($D131="销售出库",$D131="销售退回"),ROUND(N($J131)*N($V131),2),0)</f>
        <v>0</v>
      </c>
      <c r="X131" s="58" t="str">
        <f aca="false">IF($E131="","",IFERROR(INDEX(往来单位!$D$6:$D$85,MATCH($E131,往来单位!$A$6:$A$85,0)),"否"))</f>
        <v/>
      </c>
      <c r="Y131" s="61" t="str">
        <f aca="false">IF($B131="","",YEAR($B131))</f>
        <v/>
      </c>
      <c r="Z131" s="58" t="str">
        <f aca="false">IF($B131="","",TEXT($B131,"yyyy-mm"))</f>
        <v/>
      </c>
    </row>
    <row r="132" customFormat="false" ht="15" hidden="false" customHeight="false" outlineLevel="0" collapsed="false">
      <c r="A132" s="53" t="str">
        <f aca="false">IF($B132="","",ROW()-5)</f>
        <v/>
      </c>
      <c r="B132" s="54"/>
      <c r="C132" s="33"/>
      <c r="D132" s="33"/>
      <c r="E132" s="32"/>
      <c r="F132" s="39"/>
      <c r="G132" s="48" t="str">
        <f aca="false">IF($F132="","",IFERROR(INDEX(商品档案!$B$6:$B$65,MATCH($F132,商品档案!$A$6:$A$65,0)),""))</f>
        <v/>
      </c>
      <c r="H132" s="48" t="str">
        <f aca="false">IF($F132="","",IFERROR(INDEX(商品档案!$C$6:$C$65,MATCH($F132,商品档案!$A$6:$A$65,0)),""))</f>
        <v/>
      </c>
      <c r="I132" s="55" t="str">
        <f aca="false">IF($F132="","",IFERROR(INDEX(商品档案!$D$6:$D$65,MATCH($F132,商品档案!$A$6:$A$65,0)),""))</f>
        <v/>
      </c>
      <c r="J132" s="49"/>
      <c r="K132" s="56"/>
      <c r="L132" s="33"/>
      <c r="M132" s="39"/>
      <c r="N132" s="41"/>
      <c r="O132" s="41"/>
      <c r="P132" s="25" t="str">
        <f aca="false">IF(AND($B132="",$D132="",$F132=""),"",IF(NOT(ISNUMBER($B132)),"日期无效",IF(ISNA(MATCH($C132,参数设置!$A$10:$A$12,0)),"公司无效",IF(ISNA(MATCH($D132,记账规则!$A$6:$A$9,0)),"业务类型无效",IF(ISNA(MATCH($F132,商品档案!$A$6:$A$65,0)),"商品编码无效",IF(IFERROR(INDEX(商品档案!$E$6:$E$65,MATCH($F132,商品档案!$A$6:$A$65,0)),"")&lt;&gt;$C132,"商品不属于该公司",IF(AND($E132&lt;&gt;"",ISNA(MATCH($E132,往来单位!$A$6:$A$85,0))),"往来单位未建档",IF(N($J132)=0,"数量为 0",IF(N($K132)=0,"单价为 0",IF(AND(LEFT($D132,2)="销售",$U132=""),"该商品没设成本科目",IF(YEAR($B132)&lt;&gt;参数设置!$B$5,"不在本会计年度","OK")))))))))))</f>
        <v/>
      </c>
      <c r="Q132" s="57" t="str">
        <f aca="false">IF($F132="","",ROUND(N($J132)*N($K132),2))</f>
        <v/>
      </c>
      <c r="R132" s="58" t="str">
        <f aca="false">IF($D132="","",IF(LEFT($D132,2)="销售","应收账款","应付账款"))</f>
        <v/>
      </c>
      <c r="S132" s="58" t="str">
        <f aca="false">IF($F132="","",IFERROR(INDEX(商品档案!$G$6:$G$65,MATCH($F132,商品档案!$A$6:$A$65,0)),""))</f>
        <v/>
      </c>
      <c r="T132" s="58" t="str">
        <f aca="false">IF($F132="","",IFERROR(INDEX(商品档案!$H$6:$H$65,MATCH($F132,商品档案!$A$6:$A$65,0)),""))</f>
        <v/>
      </c>
      <c r="U132" s="58" t="str">
        <f aca="false">IF($F132="","",IFERROR(INDEX(商品档案!$I$6:$I$65,MATCH($F132,商品档案!$A$6:$A$65,0)),""))</f>
        <v/>
      </c>
      <c r="V132" s="59" t="str">
        <f aca="false">IF($F132="","",SUMIFS(进销存台账!$N$6:$N$65,进销存台账!$A$6:$A$65,$C132,进销存台账!$B$6:$B$65,$F132))</f>
        <v/>
      </c>
      <c r="W132" s="60" t="n">
        <f aca="false">IF(OR($D132="销售出库",$D132="销售退回"),ROUND(N($J132)*N($V132),2),0)</f>
        <v>0</v>
      </c>
      <c r="X132" s="58" t="str">
        <f aca="false">IF($E132="","",IFERROR(INDEX(往来单位!$D$6:$D$85,MATCH($E132,往来单位!$A$6:$A$85,0)),"否"))</f>
        <v/>
      </c>
      <c r="Y132" s="61" t="str">
        <f aca="false">IF($B132="","",YEAR($B132))</f>
        <v/>
      </c>
      <c r="Z132" s="58" t="str">
        <f aca="false">IF($B132="","",TEXT($B132,"yyyy-mm"))</f>
        <v/>
      </c>
    </row>
    <row r="133" customFormat="false" ht="15" hidden="false" customHeight="false" outlineLevel="0" collapsed="false">
      <c r="A133" s="53" t="str">
        <f aca="false">IF($B133="","",ROW()-5)</f>
        <v/>
      </c>
      <c r="B133" s="54"/>
      <c r="C133" s="33"/>
      <c r="D133" s="33"/>
      <c r="E133" s="32"/>
      <c r="F133" s="39"/>
      <c r="G133" s="48" t="str">
        <f aca="false">IF($F133="","",IFERROR(INDEX(商品档案!$B$6:$B$65,MATCH($F133,商品档案!$A$6:$A$65,0)),""))</f>
        <v/>
      </c>
      <c r="H133" s="48" t="str">
        <f aca="false">IF($F133="","",IFERROR(INDEX(商品档案!$C$6:$C$65,MATCH($F133,商品档案!$A$6:$A$65,0)),""))</f>
        <v/>
      </c>
      <c r="I133" s="55" t="str">
        <f aca="false">IF($F133="","",IFERROR(INDEX(商品档案!$D$6:$D$65,MATCH($F133,商品档案!$A$6:$A$65,0)),""))</f>
        <v/>
      </c>
      <c r="J133" s="49"/>
      <c r="K133" s="56"/>
      <c r="L133" s="33"/>
      <c r="M133" s="39"/>
      <c r="N133" s="41"/>
      <c r="O133" s="41"/>
      <c r="P133" s="25" t="str">
        <f aca="false">IF(AND($B133="",$D133="",$F133=""),"",IF(NOT(ISNUMBER($B133)),"日期无效",IF(ISNA(MATCH($C133,参数设置!$A$10:$A$12,0)),"公司无效",IF(ISNA(MATCH($D133,记账规则!$A$6:$A$9,0)),"业务类型无效",IF(ISNA(MATCH($F133,商品档案!$A$6:$A$65,0)),"商品编码无效",IF(IFERROR(INDEX(商品档案!$E$6:$E$65,MATCH($F133,商品档案!$A$6:$A$65,0)),"")&lt;&gt;$C133,"商品不属于该公司",IF(AND($E133&lt;&gt;"",ISNA(MATCH($E133,往来单位!$A$6:$A$85,0))),"往来单位未建档",IF(N($J133)=0,"数量为 0",IF(N($K133)=0,"单价为 0",IF(AND(LEFT($D133,2)="销售",$U133=""),"该商品没设成本科目",IF(YEAR($B133)&lt;&gt;参数设置!$B$5,"不在本会计年度","OK")))))))))))</f>
        <v/>
      </c>
      <c r="Q133" s="57" t="str">
        <f aca="false">IF($F133="","",ROUND(N($J133)*N($K133),2))</f>
        <v/>
      </c>
      <c r="R133" s="58" t="str">
        <f aca="false">IF($D133="","",IF(LEFT($D133,2)="销售","应收账款","应付账款"))</f>
        <v/>
      </c>
      <c r="S133" s="58" t="str">
        <f aca="false">IF($F133="","",IFERROR(INDEX(商品档案!$G$6:$G$65,MATCH($F133,商品档案!$A$6:$A$65,0)),""))</f>
        <v/>
      </c>
      <c r="T133" s="58" t="str">
        <f aca="false">IF($F133="","",IFERROR(INDEX(商品档案!$H$6:$H$65,MATCH($F133,商品档案!$A$6:$A$65,0)),""))</f>
        <v/>
      </c>
      <c r="U133" s="58" t="str">
        <f aca="false">IF($F133="","",IFERROR(INDEX(商品档案!$I$6:$I$65,MATCH($F133,商品档案!$A$6:$A$65,0)),""))</f>
        <v/>
      </c>
      <c r="V133" s="59" t="str">
        <f aca="false">IF($F133="","",SUMIFS(进销存台账!$N$6:$N$65,进销存台账!$A$6:$A$65,$C133,进销存台账!$B$6:$B$65,$F133))</f>
        <v/>
      </c>
      <c r="W133" s="60" t="n">
        <f aca="false">IF(OR($D133="销售出库",$D133="销售退回"),ROUND(N($J133)*N($V133),2),0)</f>
        <v>0</v>
      </c>
      <c r="X133" s="58" t="str">
        <f aca="false">IF($E133="","",IFERROR(INDEX(往来单位!$D$6:$D$85,MATCH($E133,往来单位!$A$6:$A$85,0)),"否"))</f>
        <v/>
      </c>
      <c r="Y133" s="61" t="str">
        <f aca="false">IF($B133="","",YEAR($B133))</f>
        <v/>
      </c>
      <c r="Z133" s="58" t="str">
        <f aca="false">IF($B133="","",TEXT($B133,"yyyy-mm"))</f>
        <v/>
      </c>
    </row>
    <row r="134" customFormat="false" ht="15" hidden="false" customHeight="false" outlineLevel="0" collapsed="false">
      <c r="A134" s="53" t="str">
        <f aca="false">IF($B134="","",ROW()-5)</f>
        <v/>
      </c>
      <c r="B134" s="54"/>
      <c r="C134" s="33"/>
      <c r="D134" s="33"/>
      <c r="E134" s="32"/>
      <c r="F134" s="39"/>
      <c r="G134" s="48" t="str">
        <f aca="false">IF($F134="","",IFERROR(INDEX(商品档案!$B$6:$B$65,MATCH($F134,商品档案!$A$6:$A$65,0)),""))</f>
        <v/>
      </c>
      <c r="H134" s="48" t="str">
        <f aca="false">IF($F134="","",IFERROR(INDEX(商品档案!$C$6:$C$65,MATCH($F134,商品档案!$A$6:$A$65,0)),""))</f>
        <v/>
      </c>
      <c r="I134" s="55" t="str">
        <f aca="false">IF($F134="","",IFERROR(INDEX(商品档案!$D$6:$D$65,MATCH($F134,商品档案!$A$6:$A$65,0)),""))</f>
        <v/>
      </c>
      <c r="J134" s="49"/>
      <c r="K134" s="56"/>
      <c r="L134" s="33"/>
      <c r="M134" s="39"/>
      <c r="N134" s="41"/>
      <c r="O134" s="41"/>
      <c r="P134" s="25" t="str">
        <f aca="false">IF(AND($B134="",$D134="",$F134=""),"",IF(NOT(ISNUMBER($B134)),"日期无效",IF(ISNA(MATCH($C134,参数设置!$A$10:$A$12,0)),"公司无效",IF(ISNA(MATCH($D134,记账规则!$A$6:$A$9,0)),"业务类型无效",IF(ISNA(MATCH($F134,商品档案!$A$6:$A$65,0)),"商品编码无效",IF(IFERROR(INDEX(商品档案!$E$6:$E$65,MATCH($F134,商品档案!$A$6:$A$65,0)),"")&lt;&gt;$C134,"商品不属于该公司",IF(AND($E134&lt;&gt;"",ISNA(MATCH($E134,往来单位!$A$6:$A$85,0))),"往来单位未建档",IF(N($J134)=0,"数量为 0",IF(N($K134)=0,"单价为 0",IF(AND(LEFT($D134,2)="销售",$U134=""),"该商品没设成本科目",IF(YEAR($B134)&lt;&gt;参数设置!$B$5,"不在本会计年度","OK")))))))))))</f>
        <v/>
      </c>
      <c r="Q134" s="57" t="str">
        <f aca="false">IF($F134="","",ROUND(N($J134)*N($K134),2))</f>
        <v/>
      </c>
      <c r="R134" s="58" t="str">
        <f aca="false">IF($D134="","",IF(LEFT($D134,2)="销售","应收账款","应付账款"))</f>
        <v/>
      </c>
      <c r="S134" s="58" t="str">
        <f aca="false">IF($F134="","",IFERROR(INDEX(商品档案!$G$6:$G$65,MATCH($F134,商品档案!$A$6:$A$65,0)),""))</f>
        <v/>
      </c>
      <c r="T134" s="58" t="str">
        <f aca="false">IF($F134="","",IFERROR(INDEX(商品档案!$H$6:$H$65,MATCH($F134,商品档案!$A$6:$A$65,0)),""))</f>
        <v/>
      </c>
      <c r="U134" s="58" t="str">
        <f aca="false">IF($F134="","",IFERROR(INDEX(商品档案!$I$6:$I$65,MATCH($F134,商品档案!$A$6:$A$65,0)),""))</f>
        <v/>
      </c>
      <c r="V134" s="59" t="str">
        <f aca="false">IF($F134="","",SUMIFS(进销存台账!$N$6:$N$65,进销存台账!$A$6:$A$65,$C134,进销存台账!$B$6:$B$65,$F134))</f>
        <v/>
      </c>
      <c r="W134" s="60" t="n">
        <f aca="false">IF(OR($D134="销售出库",$D134="销售退回"),ROUND(N($J134)*N($V134),2),0)</f>
        <v>0</v>
      </c>
      <c r="X134" s="58" t="str">
        <f aca="false">IF($E134="","",IFERROR(INDEX(往来单位!$D$6:$D$85,MATCH($E134,往来单位!$A$6:$A$85,0)),"否"))</f>
        <v/>
      </c>
      <c r="Y134" s="61" t="str">
        <f aca="false">IF($B134="","",YEAR($B134))</f>
        <v/>
      </c>
      <c r="Z134" s="58" t="str">
        <f aca="false">IF($B134="","",TEXT($B134,"yyyy-mm"))</f>
        <v/>
      </c>
    </row>
    <row r="135" customFormat="false" ht="15" hidden="false" customHeight="false" outlineLevel="0" collapsed="false">
      <c r="A135" s="53" t="str">
        <f aca="false">IF($B135="","",ROW()-5)</f>
        <v/>
      </c>
      <c r="B135" s="54"/>
      <c r="C135" s="33"/>
      <c r="D135" s="33"/>
      <c r="E135" s="32"/>
      <c r="F135" s="39"/>
      <c r="G135" s="48" t="str">
        <f aca="false">IF($F135="","",IFERROR(INDEX(商品档案!$B$6:$B$65,MATCH($F135,商品档案!$A$6:$A$65,0)),""))</f>
        <v/>
      </c>
      <c r="H135" s="48" t="str">
        <f aca="false">IF($F135="","",IFERROR(INDEX(商品档案!$C$6:$C$65,MATCH($F135,商品档案!$A$6:$A$65,0)),""))</f>
        <v/>
      </c>
      <c r="I135" s="55" t="str">
        <f aca="false">IF($F135="","",IFERROR(INDEX(商品档案!$D$6:$D$65,MATCH($F135,商品档案!$A$6:$A$65,0)),""))</f>
        <v/>
      </c>
      <c r="J135" s="49"/>
      <c r="K135" s="56"/>
      <c r="L135" s="33"/>
      <c r="M135" s="39"/>
      <c r="N135" s="41"/>
      <c r="O135" s="41"/>
      <c r="P135" s="25" t="str">
        <f aca="false">IF(AND($B135="",$D135="",$F135=""),"",IF(NOT(ISNUMBER($B135)),"日期无效",IF(ISNA(MATCH($C135,参数设置!$A$10:$A$12,0)),"公司无效",IF(ISNA(MATCH($D135,记账规则!$A$6:$A$9,0)),"业务类型无效",IF(ISNA(MATCH($F135,商品档案!$A$6:$A$65,0)),"商品编码无效",IF(IFERROR(INDEX(商品档案!$E$6:$E$65,MATCH($F135,商品档案!$A$6:$A$65,0)),"")&lt;&gt;$C135,"商品不属于该公司",IF(AND($E135&lt;&gt;"",ISNA(MATCH($E135,往来单位!$A$6:$A$85,0))),"往来单位未建档",IF(N($J135)=0,"数量为 0",IF(N($K135)=0,"单价为 0",IF(AND(LEFT($D135,2)="销售",$U135=""),"该商品没设成本科目",IF(YEAR($B135)&lt;&gt;参数设置!$B$5,"不在本会计年度","OK")))))))))))</f>
        <v/>
      </c>
      <c r="Q135" s="57" t="str">
        <f aca="false">IF($F135="","",ROUND(N($J135)*N($K135),2))</f>
        <v/>
      </c>
      <c r="R135" s="58" t="str">
        <f aca="false">IF($D135="","",IF(LEFT($D135,2)="销售","应收账款","应付账款"))</f>
        <v/>
      </c>
      <c r="S135" s="58" t="str">
        <f aca="false">IF($F135="","",IFERROR(INDEX(商品档案!$G$6:$G$65,MATCH($F135,商品档案!$A$6:$A$65,0)),""))</f>
        <v/>
      </c>
      <c r="T135" s="58" t="str">
        <f aca="false">IF($F135="","",IFERROR(INDEX(商品档案!$H$6:$H$65,MATCH($F135,商品档案!$A$6:$A$65,0)),""))</f>
        <v/>
      </c>
      <c r="U135" s="58" t="str">
        <f aca="false">IF($F135="","",IFERROR(INDEX(商品档案!$I$6:$I$65,MATCH($F135,商品档案!$A$6:$A$65,0)),""))</f>
        <v/>
      </c>
      <c r="V135" s="59" t="str">
        <f aca="false">IF($F135="","",SUMIFS(进销存台账!$N$6:$N$65,进销存台账!$A$6:$A$65,$C135,进销存台账!$B$6:$B$65,$F135))</f>
        <v/>
      </c>
      <c r="W135" s="60" t="n">
        <f aca="false">IF(OR($D135="销售出库",$D135="销售退回"),ROUND(N($J135)*N($V135),2),0)</f>
        <v>0</v>
      </c>
      <c r="X135" s="58" t="str">
        <f aca="false">IF($E135="","",IFERROR(INDEX(往来单位!$D$6:$D$85,MATCH($E135,往来单位!$A$6:$A$85,0)),"否"))</f>
        <v/>
      </c>
      <c r="Y135" s="61" t="str">
        <f aca="false">IF($B135="","",YEAR($B135))</f>
        <v/>
      </c>
      <c r="Z135" s="58" t="str">
        <f aca="false">IF($B135="","",TEXT($B135,"yyyy-mm"))</f>
        <v/>
      </c>
    </row>
    <row r="136" customFormat="false" ht="15" hidden="false" customHeight="false" outlineLevel="0" collapsed="false">
      <c r="A136" s="53" t="str">
        <f aca="false">IF($B136="","",ROW()-5)</f>
        <v/>
      </c>
      <c r="B136" s="54"/>
      <c r="C136" s="33"/>
      <c r="D136" s="33"/>
      <c r="E136" s="32"/>
      <c r="F136" s="39"/>
      <c r="G136" s="48" t="str">
        <f aca="false">IF($F136="","",IFERROR(INDEX(商品档案!$B$6:$B$65,MATCH($F136,商品档案!$A$6:$A$65,0)),""))</f>
        <v/>
      </c>
      <c r="H136" s="48" t="str">
        <f aca="false">IF($F136="","",IFERROR(INDEX(商品档案!$C$6:$C$65,MATCH($F136,商品档案!$A$6:$A$65,0)),""))</f>
        <v/>
      </c>
      <c r="I136" s="55" t="str">
        <f aca="false">IF($F136="","",IFERROR(INDEX(商品档案!$D$6:$D$65,MATCH($F136,商品档案!$A$6:$A$65,0)),""))</f>
        <v/>
      </c>
      <c r="J136" s="49"/>
      <c r="K136" s="56"/>
      <c r="L136" s="33"/>
      <c r="M136" s="39"/>
      <c r="N136" s="41"/>
      <c r="O136" s="41"/>
      <c r="P136" s="25" t="str">
        <f aca="false">IF(AND($B136="",$D136="",$F136=""),"",IF(NOT(ISNUMBER($B136)),"日期无效",IF(ISNA(MATCH($C136,参数设置!$A$10:$A$12,0)),"公司无效",IF(ISNA(MATCH($D136,记账规则!$A$6:$A$9,0)),"业务类型无效",IF(ISNA(MATCH($F136,商品档案!$A$6:$A$65,0)),"商品编码无效",IF(IFERROR(INDEX(商品档案!$E$6:$E$65,MATCH($F136,商品档案!$A$6:$A$65,0)),"")&lt;&gt;$C136,"商品不属于该公司",IF(AND($E136&lt;&gt;"",ISNA(MATCH($E136,往来单位!$A$6:$A$85,0))),"往来单位未建档",IF(N($J136)=0,"数量为 0",IF(N($K136)=0,"单价为 0",IF(AND(LEFT($D136,2)="销售",$U136=""),"该商品没设成本科目",IF(YEAR($B136)&lt;&gt;参数设置!$B$5,"不在本会计年度","OK")))))))))))</f>
        <v/>
      </c>
      <c r="Q136" s="57" t="str">
        <f aca="false">IF($F136="","",ROUND(N($J136)*N($K136),2))</f>
        <v/>
      </c>
      <c r="R136" s="58" t="str">
        <f aca="false">IF($D136="","",IF(LEFT($D136,2)="销售","应收账款","应付账款"))</f>
        <v/>
      </c>
      <c r="S136" s="58" t="str">
        <f aca="false">IF($F136="","",IFERROR(INDEX(商品档案!$G$6:$G$65,MATCH($F136,商品档案!$A$6:$A$65,0)),""))</f>
        <v/>
      </c>
      <c r="T136" s="58" t="str">
        <f aca="false">IF($F136="","",IFERROR(INDEX(商品档案!$H$6:$H$65,MATCH($F136,商品档案!$A$6:$A$65,0)),""))</f>
        <v/>
      </c>
      <c r="U136" s="58" t="str">
        <f aca="false">IF($F136="","",IFERROR(INDEX(商品档案!$I$6:$I$65,MATCH($F136,商品档案!$A$6:$A$65,0)),""))</f>
        <v/>
      </c>
      <c r="V136" s="59" t="str">
        <f aca="false">IF($F136="","",SUMIFS(进销存台账!$N$6:$N$65,进销存台账!$A$6:$A$65,$C136,进销存台账!$B$6:$B$65,$F136))</f>
        <v/>
      </c>
      <c r="W136" s="60" t="n">
        <f aca="false">IF(OR($D136="销售出库",$D136="销售退回"),ROUND(N($J136)*N($V136),2),0)</f>
        <v>0</v>
      </c>
      <c r="X136" s="58" t="str">
        <f aca="false">IF($E136="","",IFERROR(INDEX(往来单位!$D$6:$D$85,MATCH($E136,往来单位!$A$6:$A$85,0)),"否"))</f>
        <v/>
      </c>
      <c r="Y136" s="61" t="str">
        <f aca="false">IF($B136="","",YEAR($B136))</f>
        <v/>
      </c>
      <c r="Z136" s="58" t="str">
        <f aca="false">IF($B136="","",TEXT($B136,"yyyy-mm"))</f>
        <v/>
      </c>
    </row>
    <row r="137" customFormat="false" ht="15" hidden="false" customHeight="false" outlineLevel="0" collapsed="false">
      <c r="A137" s="53" t="str">
        <f aca="false">IF($B137="","",ROW()-5)</f>
        <v/>
      </c>
      <c r="B137" s="54"/>
      <c r="C137" s="33"/>
      <c r="D137" s="33"/>
      <c r="E137" s="32"/>
      <c r="F137" s="39"/>
      <c r="G137" s="48" t="str">
        <f aca="false">IF($F137="","",IFERROR(INDEX(商品档案!$B$6:$B$65,MATCH($F137,商品档案!$A$6:$A$65,0)),""))</f>
        <v/>
      </c>
      <c r="H137" s="48" t="str">
        <f aca="false">IF($F137="","",IFERROR(INDEX(商品档案!$C$6:$C$65,MATCH($F137,商品档案!$A$6:$A$65,0)),""))</f>
        <v/>
      </c>
      <c r="I137" s="55" t="str">
        <f aca="false">IF($F137="","",IFERROR(INDEX(商品档案!$D$6:$D$65,MATCH($F137,商品档案!$A$6:$A$65,0)),""))</f>
        <v/>
      </c>
      <c r="J137" s="49"/>
      <c r="K137" s="56"/>
      <c r="L137" s="33"/>
      <c r="M137" s="39"/>
      <c r="N137" s="41"/>
      <c r="O137" s="41"/>
      <c r="P137" s="25" t="str">
        <f aca="false">IF(AND($B137="",$D137="",$F137=""),"",IF(NOT(ISNUMBER($B137)),"日期无效",IF(ISNA(MATCH($C137,参数设置!$A$10:$A$12,0)),"公司无效",IF(ISNA(MATCH($D137,记账规则!$A$6:$A$9,0)),"业务类型无效",IF(ISNA(MATCH($F137,商品档案!$A$6:$A$65,0)),"商品编码无效",IF(IFERROR(INDEX(商品档案!$E$6:$E$65,MATCH($F137,商品档案!$A$6:$A$65,0)),"")&lt;&gt;$C137,"商品不属于该公司",IF(AND($E137&lt;&gt;"",ISNA(MATCH($E137,往来单位!$A$6:$A$85,0))),"往来单位未建档",IF(N($J137)=0,"数量为 0",IF(N($K137)=0,"单价为 0",IF(AND(LEFT($D137,2)="销售",$U137=""),"该商品没设成本科目",IF(YEAR($B137)&lt;&gt;参数设置!$B$5,"不在本会计年度","OK")))))))))))</f>
        <v/>
      </c>
      <c r="Q137" s="57" t="str">
        <f aca="false">IF($F137="","",ROUND(N($J137)*N($K137),2))</f>
        <v/>
      </c>
      <c r="R137" s="58" t="str">
        <f aca="false">IF($D137="","",IF(LEFT($D137,2)="销售","应收账款","应付账款"))</f>
        <v/>
      </c>
      <c r="S137" s="58" t="str">
        <f aca="false">IF($F137="","",IFERROR(INDEX(商品档案!$G$6:$G$65,MATCH($F137,商品档案!$A$6:$A$65,0)),""))</f>
        <v/>
      </c>
      <c r="T137" s="58" t="str">
        <f aca="false">IF($F137="","",IFERROR(INDEX(商品档案!$H$6:$H$65,MATCH($F137,商品档案!$A$6:$A$65,0)),""))</f>
        <v/>
      </c>
      <c r="U137" s="58" t="str">
        <f aca="false">IF($F137="","",IFERROR(INDEX(商品档案!$I$6:$I$65,MATCH($F137,商品档案!$A$6:$A$65,0)),""))</f>
        <v/>
      </c>
      <c r="V137" s="59" t="str">
        <f aca="false">IF($F137="","",SUMIFS(进销存台账!$N$6:$N$65,进销存台账!$A$6:$A$65,$C137,进销存台账!$B$6:$B$65,$F137))</f>
        <v/>
      </c>
      <c r="W137" s="60" t="n">
        <f aca="false">IF(OR($D137="销售出库",$D137="销售退回"),ROUND(N($J137)*N($V137),2),0)</f>
        <v>0</v>
      </c>
      <c r="X137" s="58" t="str">
        <f aca="false">IF($E137="","",IFERROR(INDEX(往来单位!$D$6:$D$85,MATCH($E137,往来单位!$A$6:$A$85,0)),"否"))</f>
        <v/>
      </c>
      <c r="Y137" s="61" t="str">
        <f aca="false">IF($B137="","",YEAR($B137))</f>
        <v/>
      </c>
      <c r="Z137" s="58" t="str">
        <f aca="false">IF($B137="","",TEXT($B137,"yyyy-mm"))</f>
        <v/>
      </c>
    </row>
    <row r="138" customFormat="false" ht="15" hidden="false" customHeight="false" outlineLevel="0" collapsed="false">
      <c r="A138" s="53" t="str">
        <f aca="false">IF($B138="","",ROW()-5)</f>
        <v/>
      </c>
      <c r="B138" s="54"/>
      <c r="C138" s="33"/>
      <c r="D138" s="33"/>
      <c r="E138" s="32"/>
      <c r="F138" s="39"/>
      <c r="G138" s="48" t="str">
        <f aca="false">IF($F138="","",IFERROR(INDEX(商品档案!$B$6:$B$65,MATCH($F138,商品档案!$A$6:$A$65,0)),""))</f>
        <v/>
      </c>
      <c r="H138" s="48" t="str">
        <f aca="false">IF($F138="","",IFERROR(INDEX(商品档案!$C$6:$C$65,MATCH($F138,商品档案!$A$6:$A$65,0)),""))</f>
        <v/>
      </c>
      <c r="I138" s="55" t="str">
        <f aca="false">IF($F138="","",IFERROR(INDEX(商品档案!$D$6:$D$65,MATCH($F138,商品档案!$A$6:$A$65,0)),""))</f>
        <v/>
      </c>
      <c r="J138" s="49"/>
      <c r="K138" s="56"/>
      <c r="L138" s="33"/>
      <c r="M138" s="39"/>
      <c r="N138" s="41"/>
      <c r="O138" s="41"/>
      <c r="P138" s="25" t="str">
        <f aca="false">IF(AND($B138="",$D138="",$F138=""),"",IF(NOT(ISNUMBER($B138)),"日期无效",IF(ISNA(MATCH($C138,参数设置!$A$10:$A$12,0)),"公司无效",IF(ISNA(MATCH($D138,记账规则!$A$6:$A$9,0)),"业务类型无效",IF(ISNA(MATCH($F138,商品档案!$A$6:$A$65,0)),"商品编码无效",IF(IFERROR(INDEX(商品档案!$E$6:$E$65,MATCH($F138,商品档案!$A$6:$A$65,0)),"")&lt;&gt;$C138,"商品不属于该公司",IF(AND($E138&lt;&gt;"",ISNA(MATCH($E138,往来单位!$A$6:$A$85,0))),"往来单位未建档",IF(N($J138)=0,"数量为 0",IF(N($K138)=0,"单价为 0",IF(AND(LEFT($D138,2)="销售",$U138=""),"该商品没设成本科目",IF(YEAR($B138)&lt;&gt;参数设置!$B$5,"不在本会计年度","OK")))))))))))</f>
        <v/>
      </c>
      <c r="Q138" s="57" t="str">
        <f aca="false">IF($F138="","",ROUND(N($J138)*N($K138),2))</f>
        <v/>
      </c>
      <c r="R138" s="58" t="str">
        <f aca="false">IF($D138="","",IF(LEFT($D138,2)="销售","应收账款","应付账款"))</f>
        <v/>
      </c>
      <c r="S138" s="58" t="str">
        <f aca="false">IF($F138="","",IFERROR(INDEX(商品档案!$G$6:$G$65,MATCH($F138,商品档案!$A$6:$A$65,0)),""))</f>
        <v/>
      </c>
      <c r="T138" s="58" t="str">
        <f aca="false">IF($F138="","",IFERROR(INDEX(商品档案!$H$6:$H$65,MATCH($F138,商品档案!$A$6:$A$65,0)),""))</f>
        <v/>
      </c>
      <c r="U138" s="58" t="str">
        <f aca="false">IF($F138="","",IFERROR(INDEX(商品档案!$I$6:$I$65,MATCH($F138,商品档案!$A$6:$A$65,0)),""))</f>
        <v/>
      </c>
      <c r="V138" s="59" t="str">
        <f aca="false">IF($F138="","",SUMIFS(进销存台账!$N$6:$N$65,进销存台账!$A$6:$A$65,$C138,进销存台账!$B$6:$B$65,$F138))</f>
        <v/>
      </c>
      <c r="W138" s="60" t="n">
        <f aca="false">IF(OR($D138="销售出库",$D138="销售退回"),ROUND(N($J138)*N($V138),2),0)</f>
        <v>0</v>
      </c>
      <c r="X138" s="58" t="str">
        <f aca="false">IF($E138="","",IFERROR(INDEX(往来单位!$D$6:$D$85,MATCH($E138,往来单位!$A$6:$A$85,0)),"否"))</f>
        <v/>
      </c>
      <c r="Y138" s="61" t="str">
        <f aca="false">IF($B138="","",YEAR($B138))</f>
        <v/>
      </c>
      <c r="Z138" s="58" t="str">
        <f aca="false">IF($B138="","",TEXT($B138,"yyyy-mm"))</f>
        <v/>
      </c>
    </row>
    <row r="139" customFormat="false" ht="15" hidden="false" customHeight="false" outlineLevel="0" collapsed="false">
      <c r="A139" s="53" t="str">
        <f aca="false">IF($B139="","",ROW()-5)</f>
        <v/>
      </c>
      <c r="B139" s="54"/>
      <c r="C139" s="33"/>
      <c r="D139" s="33"/>
      <c r="E139" s="32"/>
      <c r="F139" s="39"/>
      <c r="G139" s="48" t="str">
        <f aca="false">IF($F139="","",IFERROR(INDEX(商品档案!$B$6:$B$65,MATCH($F139,商品档案!$A$6:$A$65,0)),""))</f>
        <v/>
      </c>
      <c r="H139" s="48" t="str">
        <f aca="false">IF($F139="","",IFERROR(INDEX(商品档案!$C$6:$C$65,MATCH($F139,商品档案!$A$6:$A$65,0)),""))</f>
        <v/>
      </c>
      <c r="I139" s="55" t="str">
        <f aca="false">IF($F139="","",IFERROR(INDEX(商品档案!$D$6:$D$65,MATCH($F139,商品档案!$A$6:$A$65,0)),""))</f>
        <v/>
      </c>
      <c r="J139" s="49"/>
      <c r="K139" s="56"/>
      <c r="L139" s="33"/>
      <c r="M139" s="39"/>
      <c r="N139" s="41"/>
      <c r="O139" s="41"/>
      <c r="P139" s="25" t="str">
        <f aca="false">IF(AND($B139="",$D139="",$F139=""),"",IF(NOT(ISNUMBER($B139)),"日期无效",IF(ISNA(MATCH($C139,参数设置!$A$10:$A$12,0)),"公司无效",IF(ISNA(MATCH($D139,记账规则!$A$6:$A$9,0)),"业务类型无效",IF(ISNA(MATCH($F139,商品档案!$A$6:$A$65,0)),"商品编码无效",IF(IFERROR(INDEX(商品档案!$E$6:$E$65,MATCH($F139,商品档案!$A$6:$A$65,0)),"")&lt;&gt;$C139,"商品不属于该公司",IF(AND($E139&lt;&gt;"",ISNA(MATCH($E139,往来单位!$A$6:$A$85,0))),"往来单位未建档",IF(N($J139)=0,"数量为 0",IF(N($K139)=0,"单价为 0",IF(AND(LEFT($D139,2)="销售",$U139=""),"该商品没设成本科目",IF(YEAR($B139)&lt;&gt;参数设置!$B$5,"不在本会计年度","OK")))))))))))</f>
        <v/>
      </c>
      <c r="Q139" s="57" t="str">
        <f aca="false">IF($F139="","",ROUND(N($J139)*N($K139),2))</f>
        <v/>
      </c>
      <c r="R139" s="58" t="str">
        <f aca="false">IF($D139="","",IF(LEFT($D139,2)="销售","应收账款","应付账款"))</f>
        <v/>
      </c>
      <c r="S139" s="58" t="str">
        <f aca="false">IF($F139="","",IFERROR(INDEX(商品档案!$G$6:$G$65,MATCH($F139,商品档案!$A$6:$A$65,0)),""))</f>
        <v/>
      </c>
      <c r="T139" s="58" t="str">
        <f aca="false">IF($F139="","",IFERROR(INDEX(商品档案!$H$6:$H$65,MATCH($F139,商品档案!$A$6:$A$65,0)),""))</f>
        <v/>
      </c>
      <c r="U139" s="58" t="str">
        <f aca="false">IF($F139="","",IFERROR(INDEX(商品档案!$I$6:$I$65,MATCH($F139,商品档案!$A$6:$A$65,0)),""))</f>
        <v/>
      </c>
      <c r="V139" s="59" t="str">
        <f aca="false">IF($F139="","",SUMIFS(进销存台账!$N$6:$N$65,进销存台账!$A$6:$A$65,$C139,进销存台账!$B$6:$B$65,$F139))</f>
        <v/>
      </c>
      <c r="W139" s="60" t="n">
        <f aca="false">IF(OR($D139="销售出库",$D139="销售退回"),ROUND(N($J139)*N($V139),2),0)</f>
        <v>0</v>
      </c>
      <c r="X139" s="58" t="str">
        <f aca="false">IF($E139="","",IFERROR(INDEX(往来单位!$D$6:$D$85,MATCH($E139,往来单位!$A$6:$A$85,0)),"否"))</f>
        <v/>
      </c>
      <c r="Y139" s="61" t="str">
        <f aca="false">IF($B139="","",YEAR($B139))</f>
        <v/>
      </c>
      <c r="Z139" s="58" t="str">
        <f aca="false">IF($B139="","",TEXT($B139,"yyyy-mm"))</f>
        <v/>
      </c>
    </row>
    <row r="140" customFormat="false" ht="15" hidden="false" customHeight="false" outlineLevel="0" collapsed="false">
      <c r="A140" s="53" t="str">
        <f aca="false">IF($B140="","",ROW()-5)</f>
        <v/>
      </c>
      <c r="B140" s="54"/>
      <c r="C140" s="33"/>
      <c r="D140" s="33"/>
      <c r="E140" s="32"/>
      <c r="F140" s="39"/>
      <c r="G140" s="48" t="str">
        <f aca="false">IF($F140="","",IFERROR(INDEX(商品档案!$B$6:$B$65,MATCH($F140,商品档案!$A$6:$A$65,0)),""))</f>
        <v/>
      </c>
      <c r="H140" s="48" t="str">
        <f aca="false">IF($F140="","",IFERROR(INDEX(商品档案!$C$6:$C$65,MATCH($F140,商品档案!$A$6:$A$65,0)),""))</f>
        <v/>
      </c>
      <c r="I140" s="55" t="str">
        <f aca="false">IF($F140="","",IFERROR(INDEX(商品档案!$D$6:$D$65,MATCH($F140,商品档案!$A$6:$A$65,0)),""))</f>
        <v/>
      </c>
      <c r="J140" s="49"/>
      <c r="K140" s="56"/>
      <c r="L140" s="33"/>
      <c r="M140" s="39"/>
      <c r="N140" s="41"/>
      <c r="O140" s="41"/>
      <c r="P140" s="25" t="str">
        <f aca="false">IF(AND($B140="",$D140="",$F140=""),"",IF(NOT(ISNUMBER($B140)),"日期无效",IF(ISNA(MATCH($C140,参数设置!$A$10:$A$12,0)),"公司无效",IF(ISNA(MATCH($D140,记账规则!$A$6:$A$9,0)),"业务类型无效",IF(ISNA(MATCH($F140,商品档案!$A$6:$A$65,0)),"商品编码无效",IF(IFERROR(INDEX(商品档案!$E$6:$E$65,MATCH($F140,商品档案!$A$6:$A$65,0)),"")&lt;&gt;$C140,"商品不属于该公司",IF(AND($E140&lt;&gt;"",ISNA(MATCH($E140,往来单位!$A$6:$A$85,0))),"往来单位未建档",IF(N($J140)=0,"数量为 0",IF(N($K140)=0,"单价为 0",IF(AND(LEFT($D140,2)="销售",$U140=""),"该商品没设成本科目",IF(YEAR($B140)&lt;&gt;参数设置!$B$5,"不在本会计年度","OK")))))))))))</f>
        <v/>
      </c>
      <c r="Q140" s="57" t="str">
        <f aca="false">IF($F140="","",ROUND(N($J140)*N($K140),2))</f>
        <v/>
      </c>
      <c r="R140" s="58" t="str">
        <f aca="false">IF($D140="","",IF(LEFT($D140,2)="销售","应收账款","应付账款"))</f>
        <v/>
      </c>
      <c r="S140" s="58" t="str">
        <f aca="false">IF($F140="","",IFERROR(INDEX(商品档案!$G$6:$G$65,MATCH($F140,商品档案!$A$6:$A$65,0)),""))</f>
        <v/>
      </c>
      <c r="T140" s="58" t="str">
        <f aca="false">IF($F140="","",IFERROR(INDEX(商品档案!$H$6:$H$65,MATCH($F140,商品档案!$A$6:$A$65,0)),""))</f>
        <v/>
      </c>
      <c r="U140" s="58" t="str">
        <f aca="false">IF($F140="","",IFERROR(INDEX(商品档案!$I$6:$I$65,MATCH($F140,商品档案!$A$6:$A$65,0)),""))</f>
        <v/>
      </c>
      <c r="V140" s="59" t="str">
        <f aca="false">IF($F140="","",SUMIFS(进销存台账!$N$6:$N$65,进销存台账!$A$6:$A$65,$C140,进销存台账!$B$6:$B$65,$F140))</f>
        <v/>
      </c>
      <c r="W140" s="60" t="n">
        <f aca="false">IF(OR($D140="销售出库",$D140="销售退回"),ROUND(N($J140)*N($V140),2),0)</f>
        <v>0</v>
      </c>
      <c r="X140" s="58" t="str">
        <f aca="false">IF($E140="","",IFERROR(INDEX(往来单位!$D$6:$D$85,MATCH($E140,往来单位!$A$6:$A$85,0)),"否"))</f>
        <v/>
      </c>
      <c r="Y140" s="61" t="str">
        <f aca="false">IF($B140="","",YEAR($B140))</f>
        <v/>
      </c>
      <c r="Z140" s="58" t="str">
        <f aca="false">IF($B140="","",TEXT($B140,"yyyy-mm"))</f>
        <v/>
      </c>
    </row>
    <row r="141" customFormat="false" ht="15" hidden="false" customHeight="false" outlineLevel="0" collapsed="false">
      <c r="A141" s="53" t="str">
        <f aca="false">IF($B141="","",ROW()-5)</f>
        <v/>
      </c>
      <c r="B141" s="54"/>
      <c r="C141" s="33"/>
      <c r="D141" s="33"/>
      <c r="E141" s="32"/>
      <c r="F141" s="39"/>
      <c r="G141" s="48" t="str">
        <f aca="false">IF($F141="","",IFERROR(INDEX(商品档案!$B$6:$B$65,MATCH($F141,商品档案!$A$6:$A$65,0)),""))</f>
        <v/>
      </c>
      <c r="H141" s="48" t="str">
        <f aca="false">IF($F141="","",IFERROR(INDEX(商品档案!$C$6:$C$65,MATCH($F141,商品档案!$A$6:$A$65,0)),""))</f>
        <v/>
      </c>
      <c r="I141" s="55" t="str">
        <f aca="false">IF($F141="","",IFERROR(INDEX(商品档案!$D$6:$D$65,MATCH($F141,商品档案!$A$6:$A$65,0)),""))</f>
        <v/>
      </c>
      <c r="J141" s="49"/>
      <c r="K141" s="56"/>
      <c r="L141" s="33"/>
      <c r="M141" s="39"/>
      <c r="N141" s="41"/>
      <c r="O141" s="41"/>
      <c r="P141" s="25" t="str">
        <f aca="false">IF(AND($B141="",$D141="",$F141=""),"",IF(NOT(ISNUMBER($B141)),"日期无效",IF(ISNA(MATCH($C141,参数设置!$A$10:$A$12,0)),"公司无效",IF(ISNA(MATCH($D141,记账规则!$A$6:$A$9,0)),"业务类型无效",IF(ISNA(MATCH($F141,商品档案!$A$6:$A$65,0)),"商品编码无效",IF(IFERROR(INDEX(商品档案!$E$6:$E$65,MATCH($F141,商品档案!$A$6:$A$65,0)),"")&lt;&gt;$C141,"商品不属于该公司",IF(AND($E141&lt;&gt;"",ISNA(MATCH($E141,往来单位!$A$6:$A$85,0))),"往来单位未建档",IF(N($J141)=0,"数量为 0",IF(N($K141)=0,"单价为 0",IF(AND(LEFT($D141,2)="销售",$U141=""),"该商品没设成本科目",IF(YEAR($B141)&lt;&gt;参数设置!$B$5,"不在本会计年度","OK")))))))))))</f>
        <v/>
      </c>
      <c r="Q141" s="57" t="str">
        <f aca="false">IF($F141="","",ROUND(N($J141)*N($K141),2))</f>
        <v/>
      </c>
      <c r="R141" s="58" t="str">
        <f aca="false">IF($D141="","",IF(LEFT($D141,2)="销售","应收账款","应付账款"))</f>
        <v/>
      </c>
      <c r="S141" s="58" t="str">
        <f aca="false">IF($F141="","",IFERROR(INDEX(商品档案!$G$6:$G$65,MATCH($F141,商品档案!$A$6:$A$65,0)),""))</f>
        <v/>
      </c>
      <c r="T141" s="58" t="str">
        <f aca="false">IF($F141="","",IFERROR(INDEX(商品档案!$H$6:$H$65,MATCH($F141,商品档案!$A$6:$A$65,0)),""))</f>
        <v/>
      </c>
      <c r="U141" s="58" t="str">
        <f aca="false">IF($F141="","",IFERROR(INDEX(商品档案!$I$6:$I$65,MATCH($F141,商品档案!$A$6:$A$65,0)),""))</f>
        <v/>
      </c>
      <c r="V141" s="59" t="str">
        <f aca="false">IF($F141="","",SUMIFS(进销存台账!$N$6:$N$65,进销存台账!$A$6:$A$65,$C141,进销存台账!$B$6:$B$65,$F141))</f>
        <v/>
      </c>
      <c r="W141" s="60" t="n">
        <f aca="false">IF(OR($D141="销售出库",$D141="销售退回"),ROUND(N($J141)*N($V141),2),0)</f>
        <v>0</v>
      </c>
      <c r="X141" s="58" t="str">
        <f aca="false">IF($E141="","",IFERROR(INDEX(往来单位!$D$6:$D$85,MATCH($E141,往来单位!$A$6:$A$85,0)),"否"))</f>
        <v/>
      </c>
      <c r="Y141" s="61" t="str">
        <f aca="false">IF($B141="","",YEAR($B141))</f>
        <v/>
      </c>
      <c r="Z141" s="58" t="str">
        <f aca="false">IF($B141="","",TEXT($B141,"yyyy-mm"))</f>
        <v/>
      </c>
    </row>
    <row r="142" customFormat="false" ht="15" hidden="false" customHeight="false" outlineLevel="0" collapsed="false">
      <c r="A142" s="53" t="str">
        <f aca="false">IF($B142="","",ROW()-5)</f>
        <v/>
      </c>
      <c r="B142" s="54"/>
      <c r="C142" s="33"/>
      <c r="D142" s="33"/>
      <c r="E142" s="32"/>
      <c r="F142" s="39"/>
      <c r="G142" s="48" t="str">
        <f aca="false">IF($F142="","",IFERROR(INDEX(商品档案!$B$6:$B$65,MATCH($F142,商品档案!$A$6:$A$65,0)),""))</f>
        <v/>
      </c>
      <c r="H142" s="48" t="str">
        <f aca="false">IF($F142="","",IFERROR(INDEX(商品档案!$C$6:$C$65,MATCH($F142,商品档案!$A$6:$A$65,0)),""))</f>
        <v/>
      </c>
      <c r="I142" s="55" t="str">
        <f aca="false">IF($F142="","",IFERROR(INDEX(商品档案!$D$6:$D$65,MATCH($F142,商品档案!$A$6:$A$65,0)),""))</f>
        <v/>
      </c>
      <c r="J142" s="49"/>
      <c r="K142" s="56"/>
      <c r="L142" s="33"/>
      <c r="M142" s="39"/>
      <c r="N142" s="41"/>
      <c r="O142" s="41"/>
      <c r="P142" s="25" t="str">
        <f aca="false">IF(AND($B142="",$D142="",$F142=""),"",IF(NOT(ISNUMBER($B142)),"日期无效",IF(ISNA(MATCH($C142,参数设置!$A$10:$A$12,0)),"公司无效",IF(ISNA(MATCH($D142,记账规则!$A$6:$A$9,0)),"业务类型无效",IF(ISNA(MATCH($F142,商品档案!$A$6:$A$65,0)),"商品编码无效",IF(IFERROR(INDEX(商品档案!$E$6:$E$65,MATCH($F142,商品档案!$A$6:$A$65,0)),"")&lt;&gt;$C142,"商品不属于该公司",IF(AND($E142&lt;&gt;"",ISNA(MATCH($E142,往来单位!$A$6:$A$85,0))),"往来单位未建档",IF(N($J142)=0,"数量为 0",IF(N($K142)=0,"单价为 0",IF(AND(LEFT($D142,2)="销售",$U142=""),"该商品没设成本科目",IF(YEAR($B142)&lt;&gt;参数设置!$B$5,"不在本会计年度","OK")))))))))))</f>
        <v/>
      </c>
      <c r="Q142" s="57" t="str">
        <f aca="false">IF($F142="","",ROUND(N($J142)*N($K142),2))</f>
        <v/>
      </c>
      <c r="R142" s="58" t="str">
        <f aca="false">IF($D142="","",IF(LEFT($D142,2)="销售","应收账款","应付账款"))</f>
        <v/>
      </c>
      <c r="S142" s="58" t="str">
        <f aca="false">IF($F142="","",IFERROR(INDEX(商品档案!$G$6:$G$65,MATCH($F142,商品档案!$A$6:$A$65,0)),""))</f>
        <v/>
      </c>
      <c r="T142" s="58" t="str">
        <f aca="false">IF($F142="","",IFERROR(INDEX(商品档案!$H$6:$H$65,MATCH($F142,商品档案!$A$6:$A$65,0)),""))</f>
        <v/>
      </c>
      <c r="U142" s="58" t="str">
        <f aca="false">IF($F142="","",IFERROR(INDEX(商品档案!$I$6:$I$65,MATCH($F142,商品档案!$A$6:$A$65,0)),""))</f>
        <v/>
      </c>
      <c r="V142" s="59" t="str">
        <f aca="false">IF($F142="","",SUMIFS(进销存台账!$N$6:$N$65,进销存台账!$A$6:$A$65,$C142,进销存台账!$B$6:$B$65,$F142))</f>
        <v/>
      </c>
      <c r="W142" s="60" t="n">
        <f aca="false">IF(OR($D142="销售出库",$D142="销售退回"),ROUND(N($J142)*N($V142),2),0)</f>
        <v>0</v>
      </c>
      <c r="X142" s="58" t="str">
        <f aca="false">IF($E142="","",IFERROR(INDEX(往来单位!$D$6:$D$85,MATCH($E142,往来单位!$A$6:$A$85,0)),"否"))</f>
        <v/>
      </c>
      <c r="Y142" s="61" t="str">
        <f aca="false">IF($B142="","",YEAR($B142))</f>
        <v/>
      </c>
      <c r="Z142" s="58" t="str">
        <f aca="false">IF($B142="","",TEXT($B142,"yyyy-mm"))</f>
        <v/>
      </c>
    </row>
    <row r="143" customFormat="false" ht="15" hidden="false" customHeight="false" outlineLevel="0" collapsed="false">
      <c r="A143" s="53" t="str">
        <f aca="false">IF($B143="","",ROW()-5)</f>
        <v/>
      </c>
      <c r="B143" s="54"/>
      <c r="C143" s="33"/>
      <c r="D143" s="33"/>
      <c r="E143" s="32"/>
      <c r="F143" s="39"/>
      <c r="G143" s="48" t="str">
        <f aca="false">IF($F143="","",IFERROR(INDEX(商品档案!$B$6:$B$65,MATCH($F143,商品档案!$A$6:$A$65,0)),""))</f>
        <v/>
      </c>
      <c r="H143" s="48" t="str">
        <f aca="false">IF($F143="","",IFERROR(INDEX(商品档案!$C$6:$C$65,MATCH($F143,商品档案!$A$6:$A$65,0)),""))</f>
        <v/>
      </c>
      <c r="I143" s="55" t="str">
        <f aca="false">IF($F143="","",IFERROR(INDEX(商品档案!$D$6:$D$65,MATCH($F143,商品档案!$A$6:$A$65,0)),""))</f>
        <v/>
      </c>
      <c r="J143" s="49"/>
      <c r="K143" s="56"/>
      <c r="L143" s="33"/>
      <c r="M143" s="39"/>
      <c r="N143" s="41"/>
      <c r="O143" s="41"/>
      <c r="P143" s="25" t="str">
        <f aca="false">IF(AND($B143="",$D143="",$F143=""),"",IF(NOT(ISNUMBER($B143)),"日期无效",IF(ISNA(MATCH($C143,参数设置!$A$10:$A$12,0)),"公司无效",IF(ISNA(MATCH($D143,记账规则!$A$6:$A$9,0)),"业务类型无效",IF(ISNA(MATCH($F143,商品档案!$A$6:$A$65,0)),"商品编码无效",IF(IFERROR(INDEX(商品档案!$E$6:$E$65,MATCH($F143,商品档案!$A$6:$A$65,0)),"")&lt;&gt;$C143,"商品不属于该公司",IF(AND($E143&lt;&gt;"",ISNA(MATCH($E143,往来单位!$A$6:$A$85,0))),"往来单位未建档",IF(N($J143)=0,"数量为 0",IF(N($K143)=0,"单价为 0",IF(AND(LEFT($D143,2)="销售",$U143=""),"该商品没设成本科目",IF(YEAR($B143)&lt;&gt;参数设置!$B$5,"不在本会计年度","OK")))))))))))</f>
        <v/>
      </c>
      <c r="Q143" s="57" t="str">
        <f aca="false">IF($F143="","",ROUND(N($J143)*N($K143),2))</f>
        <v/>
      </c>
      <c r="R143" s="58" t="str">
        <f aca="false">IF($D143="","",IF(LEFT($D143,2)="销售","应收账款","应付账款"))</f>
        <v/>
      </c>
      <c r="S143" s="58" t="str">
        <f aca="false">IF($F143="","",IFERROR(INDEX(商品档案!$G$6:$G$65,MATCH($F143,商品档案!$A$6:$A$65,0)),""))</f>
        <v/>
      </c>
      <c r="T143" s="58" t="str">
        <f aca="false">IF($F143="","",IFERROR(INDEX(商品档案!$H$6:$H$65,MATCH($F143,商品档案!$A$6:$A$65,0)),""))</f>
        <v/>
      </c>
      <c r="U143" s="58" t="str">
        <f aca="false">IF($F143="","",IFERROR(INDEX(商品档案!$I$6:$I$65,MATCH($F143,商品档案!$A$6:$A$65,0)),""))</f>
        <v/>
      </c>
      <c r="V143" s="59" t="str">
        <f aca="false">IF($F143="","",SUMIFS(进销存台账!$N$6:$N$65,进销存台账!$A$6:$A$65,$C143,进销存台账!$B$6:$B$65,$F143))</f>
        <v/>
      </c>
      <c r="W143" s="60" t="n">
        <f aca="false">IF(OR($D143="销售出库",$D143="销售退回"),ROUND(N($J143)*N($V143),2),0)</f>
        <v>0</v>
      </c>
      <c r="X143" s="58" t="str">
        <f aca="false">IF($E143="","",IFERROR(INDEX(往来单位!$D$6:$D$85,MATCH($E143,往来单位!$A$6:$A$85,0)),"否"))</f>
        <v/>
      </c>
      <c r="Y143" s="61" t="str">
        <f aca="false">IF($B143="","",YEAR($B143))</f>
        <v/>
      </c>
      <c r="Z143" s="58" t="str">
        <f aca="false">IF($B143="","",TEXT($B143,"yyyy-mm"))</f>
        <v/>
      </c>
    </row>
    <row r="144" customFormat="false" ht="15" hidden="false" customHeight="false" outlineLevel="0" collapsed="false">
      <c r="A144" s="53" t="str">
        <f aca="false">IF($B144="","",ROW()-5)</f>
        <v/>
      </c>
      <c r="B144" s="54"/>
      <c r="C144" s="33"/>
      <c r="D144" s="33"/>
      <c r="E144" s="32"/>
      <c r="F144" s="39"/>
      <c r="G144" s="48" t="str">
        <f aca="false">IF($F144="","",IFERROR(INDEX(商品档案!$B$6:$B$65,MATCH($F144,商品档案!$A$6:$A$65,0)),""))</f>
        <v/>
      </c>
      <c r="H144" s="48" t="str">
        <f aca="false">IF($F144="","",IFERROR(INDEX(商品档案!$C$6:$C$65,MATCH($F144,商品档案!$A$6:$A$65,0)),""))</f>
        <v/>
      </c>
      <c r="I144" s="55" t="str">
        <f aca="false">IF($F144="","",IFERROR(INDEX(商品档案!$D$6:$D$65,MATCH($F144,商品档案!$A$6:$A$65,0)),""))</f>
        <v/>
      </c>
      <c r="J144" s="49"/>
      <c r="K144" s="56"/>
      <c r="L144" s="33"/>
      <c r="M144" s="39"/>
      <c r="N144" s="41"/>
      <c r="O144" s="41"/>
      <c r="P144" s="25" t="str">
        <f aca="false">IF(AND($B144="",$D144="",$F144=""),"",IF(NOT(ISNUMBER($B144)),"日期无效",IF(ISNA(MATCH($C144,参数设置!$A$10:$A$12,0)),"公司无效",IF(ISNA(MATCH($D144,记账规则!$A$6:$A$9,0)),"业务类型无效",IF(ISNA(MATCH($F144,商品档案!$A$6:$A$65,0)),"商品编码无效",IF(IFERROR(INDEX(商品档案!$E$6:$E$65,MATCH($F144,商品档案!$A$6:$A$65,0)),"")&lt;&gt;$C144,"商品不属于该公司",IF(AND($E144&lt;&gt;"",ISNA(MATCH($E144,往来单位!$A$6:$A$85,0))),"往来单位未建档",IF(N($J144)=0,"数量为 0",IF(N($K144)=0,"单价为 0",IF(AND(LEFT($D144,2)="销售",$U144=""),"该商品没设成本科目",IF(YEAR($B144)&lt;&gt;参数设置!$B$5,"不在本会计年度","OK")))))))))))</f>
        <v/>
      </c>
      <c r="Q144" s="57" t="str">
        <f aca="false">IF($F144="","",ROUND(N($J144)*N($K144),2))</f>
        <v/>
      </c>
      <c r="R144" s="58" t="str">
        <f aca="false">IF($D144="","",IF(LEFT($D144,2)="销售","应收账款","应付账款"))</f>
        <v/>
      </c>
      <c r="S144" s="58" t="str">
        <f aca="false">IF($F144="","",IFERROR(INDEX(商品档案!$G$6:$G$65,MATCH($F144,商品档案!$A$6:$A$65,0)),""))</f>
        <v/>
      </c>
      <c r="T144" s="58" t="str">
        <f aca="false">IF($F144="","",IFERROR(INDEX(商品档案!$H$6:$H$65,MATCH($F144,商品档案!$A$6:$A$65,0)),""))</f>
        <v/>
      </c>
      <c r="U144" s="58" t="str">
        <f aca="false">IF($F144="","",IFERROR(INDEX(商品档案!$I$6:$I$65,MATCH($F144,商品档案!$A$6:$A$65,0)),""))</f>
        <v/>
      </c>
      <c r="V144" s="59" t="str">
        <f aca="false">IF($F144="","",SUMIFS(进销存台账!$N$6:$N$65,进销存台账!$A$6:$A$65,$C144,进销存台账!$B$6:$B$65,$F144))</f>
        <v/>
      </c>
      <c r="W144" s="60" t="n">
        <f aca="false">IF(OR($D144="销售出库",$D144="销售退回"),ROUND(N($J144)*N($V144),2),0)</f>
        <v>0</v>
      </c>
      <c r="X144" s="58" t="str">
        <f aca="false">IF($E144="","",IFERROR(INDEX(往来单位!$D$6:$D$85,MATCH($E144,往来单位!$A$6:$A$85,0)),"否"))</f>
        <v/>
      </c>
      <c r="Y144" s="61" t="str">
        <f aca="false">IF($B144="","",YEAR($B144))</f>
        <v/>
      </c>
      <c r="Z144" s="58" t="str">
        <f aca="false">IF($B144="","",TEXT($B144,"yyyy-mm"))</f>
        <v/>
      </c>
    </row>
    <row r="145" customFormat="false" ht="15" hidden="false" customHeight="false" outlineLevel="0" collapsed="false">
      <c r="A145" s="53" t="str">
        <f aca="false">IF($B145="","",ROW()-5)</f>
        <v/>
      </c>
      <c r="B145" s="54"/>
      <c r="C145" s="33"/>
      <c r="D145" s="33"/>
      <c r="E145" s="32"/>
      <c r="F145" s="39"/>
      <c r="G145" s="48" t="str">
        <f aca="false">IF($F145="","",IFERROR(INDEX(商品档案!$B$6:$B$65,MATCH($F145,商品档案!$A$6:$A$65,0)),""))</f>
        <v/>
      </c>
      <c r="H145" s="48" t="str">
        <f aca="false">IF($F145="","",IFERROR(INDEX(商品档案!$C$6:$C$65,MATCH($F145,商品档案!$A$6:$A$65,0)),""))</f>
        <v/>
      </c>
      <c r="I145" s="55" t="str">
        <f aca="false">IF($F145="","",IFERROR(INDEX(商品档案!$D$6:$D$65,MATCH($F145,商品档案!$A$6:$A$65,0)),""))</f>
        <v/>
      </c>
      <c r="J145" s="49"/>
      <c r="K145" s="56"/>
      <c r="L145" s="33"/>
      <c r="M145" s="39"/>
      <c r="N145" s="41"/>
      <c r="O145" s="41"/>
      <c r="P145" s="25" t="str">
        <f aca="false">IF(AND($B145="",$D145="",$F145=""),"",IF(NOT(ISNUMBER($B145)),"日期无效",IF(ISNA(MATCH($C145,参数设置!$A$10:$A$12,0)),"公司无效",IF(ISNA(MATCH($D145,记账规则!$A$6:$A$9,0)),"业务类型无效",IF(ISNA(MATCH($F145,商品档案!$A$6:$A$65,0)),"商品编码无效",IF(IFERROR(INDEX(商品档案!$E$6:$E$65,MATCH($F145,商品档案!$A$6:$A$65,0)),"")&lt;&gt;$C145,"商品不属于该公司",IF(AND($E145&lt;&gt;"",ISNA(MATCH($E145,往来单位!$A$6:$A$85,0))),"往来单位未建档",IF(N($J145)=0,"数量为 0",IF(N($K145)=0,"单价为 0",IF(AND(LEFT($D145,2)="销售",$U145=""),"该商品没设成本科目",IF(YEAR($B145)&lt;&gt;参数设置!$B$5,"不在本会计年度","OK")))))))))))</f>
        <v/>
      </c>
      <c r="Q145" s="57" t="str">
        <f aca="false">IF($F145="","",ROUND(N($J145)*N($K145),2))</f>
        <v/>
      </c>
      <c r="R145" s="58" t="str">
        <f aca="false">IF($D145="","",IF(LEFT($D145,2)="销售","应收账款","应付账款"))</f>
        <v/>
      </c>
      <c r="S145" s="58" t="str">
        <f aca="false">IF($F145="","",IFERROR(INDEX(商品档案!$G$6:$G$65,MATCH($F145,商品档案!$A$6:$A$65,0)),""))</f>
        <v/>
      </c>
      <c r="T145" s="58" t="str">
        <f aca="false">IF($F145="","",IFERROR(INDEX(商品档案!$H$6:$H$65,MATCH($F145,商品档案!$A$6:$A$65,0)),""))</f>
        <v/>
      </c>
      <c r="U145" s="58" t="str">
        <f aca="false">IF($F145="","",IFERROR(INDEX(商品档案!$I$6:$I$65,MATCH($F145,商品档案!$A$6:$A$65,0)),""))</f>
        <v/>
      </c>
      <c r="V145" s="59" t="str">
        <f aca="false">IF($F145="","",SUMIFS(进销存台账!$N$6:$N$65,进销存台账!$A$6:$A$65,$C145,进销存台账!$B$6:$B$65,$F145))</f>
        <v/>
      </c>
      <c r="W145" s="60" t="n">
        <f aca="false">IF(OR($D145="销售出库",$D145="销售退回"),ROUND(N($J145)*N($V145),2),0)</f>
        <v>0</v>
      </c>
      <c r="X145" s="58" t="str">
        <f aca="false">IF($E145="","",IFERROR(INDEX(往来单位!$D$6:$D$85,MATCH($E145,往来单位!$A$6:$A$85,0)),"否"))</f>
        <v/>
      </c>
      <c r="Y145" s="61" t="str">
        <f aca="false">IF($B145="","",YEAR($B145))</f>
        <v/>
      </c>
      <c r="Z145" s="58" t="str">
        <f aca="false">IF($B145="","",TEXT($B145,"yyyy-mm"))</f>
        <v/>
      </c>
    </row>
    <row r="146" customFormat="false" ht="15" hidden="false" customHeight="false" outlineLevel="0" collapsed="false">
      <c r="A146" s="53" t="str">
        <f aca="false">IF($B146="","",ROW()-5)</f>
        <v/>
      </c>
      <c r="B146" s="54"/>
      <c r="C146" s="33"/>
      <c r="D146" s="33"/>
      <c r="E146" s="32"/>
      <c r="F146" s="39"/>
      <c r="G146" s="48" t="str">
        <f aca="false">IF($F146="","",IFERROR(INDEX(商品档案!$B$6:$B$65,MATCH($F146,商品档案!$A$6:$A$65,0)),""))</f>
        <v/>
      </c>
      <c r="H146" s="48" t="str">
        <f aca="false">IF($F146="","",IFERROR(INDEX(商品档案!$C$6:$C$65,MATCH($F146,商品档案!$A$6:$A$65,0)),""))</f>
        <v/>
      </c>
      <c r="I146" s="55" t="str">
        <f aca="false">IF($F146="","",IFERROR(INDEX(商品档案!$D$6:$D$65,MATCH($F146,商品档案!$A$6:$A$65,0)),""))</f>
        <v/>
      </c>
      <c r="J146" s="49"/>
      <c r="K146" s="56"/>
      <c r="L146" s="33"/>
      <c r="M146" s="39"/>
      <c r="N146" s="41"/>
      <c r="O146" s="41"/>
      <c r="P146" s="25" t="str">
        <f aca="false">IF(AND($B146="",$D146="",$F146=""),"",IF(NOT(ISNUMBER($B146)),"日期无效",IF(ISNA(MATCH($C146,参数设置!$A$10:$A$12,0)),"公司无效",IF(ISNA(MATCH($D146,记账规则!$A$6:$A$9,0)),"业务类型无效",IF(ISNA(MATCH($F146,商品档案!$A$6:$A$65,0)),"商品编码无效",IF(IFERROR(INDEX(商品档案!$E$6:$E$65,MATCH($F146,商品档案!$A$6:$A$65,0)),"")&lt;&gt;$C146,"商品不属于该公司",IF(AND($E146&lt;&gt;"",ISNA(MATCH($E146,往来单位!$A$6:$A$85,0))),"往来单位未建档",IF(N($J146)=0,"数量为 0",IF(N($K146)=0,"单价为 0",IF(AND(LEFT($D146,2)="销售",$U146=""),"该商品没设成本科目",IF(YEAR($B146)&lt;&gt;参数设置!$B$5,"不在本会计年度","OK")))))))))))</f>
        <v/>
      </c>
      <c r="Q146" s="57" t="str">
        <f aca="false">IF($F146="","",ROUND(N($J146)*N($K146),2))</f>
        <v/>
      </c>
      <c r="R146" s="58" t="str">
        <f aca="false">IF($D146="","",IF(LEFT($D146,2)="销售","应收账款","应付账款"))</f>
        <v/>
      </c>
      <c r="S146" s="58" t="str">
        <f aca="false">IF($F146="","",IFERROR(INDEX(商品档案!$G$6:$G$65,MATCH($F146,商品档案!$A$6:$A$65,0)),""))</f>
        <v/>
      </c>
      <c r="T146" s="58" t="str">
        <f aca="false">IF($F146="","",IFERROR(INDEX(商品档案!$H$6:$H$65,MATCH($F146,商品档案!$A$6:$A$65,0)),""))</f>
        <v/>
      </c>
      <c r="U146" s="58" t="str">
        <f aca="false">IF($F146="","",IFERROR(INDEX(商品档案!$I$6:$I$65,MATCH($F146,商品档案!$A$6:$A$65,0)),""))</f>
        <v/>
      </c>
      <c r="V146" s="59" t="str">
        <f aca="false">IF($F146="","",SUMIFS(进销存台账!$N$6:$N$65,进销存台账!$A$6:$A$65,$C146,进销存台账!$B$6:$B$65,$F146))</f>
        <v/>
      </c>
      <c r="W146" s="60" t="n">
        <f aca="false">IF(OR($D146="销售出库",$D146="销售退回"),ROUND(N($J146)*N($V146),2),0)</f>
        <v>0</v>
      </c>
      <c r="X146" s="58" t="str">
        <f aca="false">IF($E146="","",IFERROR(INDEX(往来单位!$D$6:$D$85,MATCH($E146,往来单位!$A$6:$A$85,0)),"否"))</f>
        <v/>
      </c>
      <c r="Y146" s="61" t="str">
        <f aca="false">IF($B146="","",YEAR($B146))</f>
        <v/>
      </c>
      <c r="Z146" s="58" t="str">
        <f aca="false">IF($B146="","",TEXT($B146,"yyyy-mm"))</f>
        <v/>
      </c>
    </row>
    <row r="147" customFormat="false" ht="15" hidden="false" customHeight="false" outlineLevel="0" collapsed="false">
      <c r="A147" s="53" t="str">
        <f aca="false">IF($B147="","",ROW()-5)</f>
        <v/>
      </c>
      <c r="B147" s="54"/>
      <c r="C147" s="33"/>
      <c r="D147" s="33"/>
      <c r="E147" s="32"/>
      <c r="F147" s="39"/>
      <c r="G147" s="48" t="str">
        <f aca="false">IF($F147="","",IFERROR(INDEX(商品档案!$B$6:$B$65,MATCH($F147,商品档案!$A$6:$A$65,0)),""))</f>
        <v/>
      </c>
      <c r="H147" s="48" t="str">
        <f aca="false">IF($F147="","",IFERROR(INDEX(商品档案!$C$6:$C$65,MATCH($F147,商品档案!$A$6:$A$65,0)),""))</f>
        <v/>
      </c>
      <c r="I147" s="55" t="str">
        <f aca="false">IF($F147="","",IFERROR(INDEX(商品档案!$D$6:$D$65,MATCH($F147,商品档案!$A$6:$A$65,0)),""))</f>
        <v/>
      </c>
      <c r="J147" s="49"/>
      <c r="K147" s="56"/>
      <c r="L147" s="33"/>
      <c r="M147" s="39"/>
      <c r="N147" s="41"/>
      <c r="O147" s="41"/>
      <c r="P147" s="25" t="str">
        <f aca="false">IF(AND($B147="",$D147="",$F147=""),"",IF(NOT(ISNUMBER($B147)),"日期无效",IF(ISNA(MATCH($C147,参数设置!$A$10:$A$12,0)),"公司无效",IF(ISNA(MATCH($D147,记账规则!$A$6:$A$9,0)),"业务类型无效",IF(ISNA(MATCH($F147,商品档案!$A$6:$A$65,0)),"商品编码无效",IF(IFERROR(INDEX(商品档案!$E$6:$E$65,MATCH($F147,商品档案!$A$6:$A$65,0)),"")&lt;&gt;$C147,"商品不属于该公司",IF(AND($E147&lt;&gt;"",ISNA(MATCH($E147,往来单位!$A$6:$A$85,0))),"往来单位未建档",IF(N($J147)=0,"数量为 0",IF(N($K147)=0,"单价为 0",IF(AND(LEFT($D147,2)="销售",$U147=""),"该商品没设成本科目",IF(YEAR($B147)&lt;&gt;参数设置!$B$5,"不在本会计年度","OK")))))))))))</f>
        <v/>
      </c>
      <c r="Q147" s="57" t="str">
        <f aca="false">IF($F147="","",ROUND(N($J147)*N($K147),2))</f>
        <v/>
      </c>
      <c r="R147" s="58" t="str">
        <f aca="false">IF($D147="","",IF(LEFT($D147,2)="销售","应收账款","应付账款"))</f>
        <v/>
      </c>
      <c r="S147" s="58" t="str">
        <f aca="false">IF($F147="","",IFERROR(INDEX(商品档案!$G$6:$G$65,MATCH($F147,商品档案!$A$6:$A$65,0)),""))</f>
        <v/>
      </c>
      <c r="T147" s="58" t="str">
        <f aca="false">IF($F147="","",IFERROR(INDEX(商品档案!$H$6:$H$65,MATCH($F147,商品档案!$A$6:$A$65,0)),""))</f>
        <v/>
      </c>
      <c r="U147" s="58" t="str">
        <f aca="false">IF($F147="","",IFERROR(INDEX(商品档案!$I$6:$I$65,MATCH($F147,商品档案!$A$6:$A$65,0)),""))</f>
        <v/>
      </c>
      <c r="V147" s="59" t="str">
        <f aca="false">IF($F147="","",SUMIFS(进销存台账!$N$6:$N$65,进销存台账!$A$6:$A$65,$C147,进销存台账!$B$6:$B$65,$F147))</f>
        <v/>
      </c>
      <c r="W147" s="60" t="n">
        <f aca="false">IF(OR($D147="销售出库",$D147="销售退回"),ROUND(N($J147)*N($V147),2),0)</f>
        <v>0</v>
      </c>
      <c r="X147" s="58" t="str">
        <f aca="false">IF($E147="","",IFERROR(INDEX(往来单位!$D$6:$D$85,MATCH($E147,往来单位!$A$6:$A$85,0)),"否"))</f>
        <v/>
      </c>
      <c r="Y147" s="61" t="str">
        <f aca="false">IF($B147="","",YEAR($B147))</f>
        <v/>
      </c>
      <c r="Z147" s="58" t="str">
        <f aca="false">IF($B147="","",TEXT($B147,"yyyy-mm"))</f>
        <v/>
      </c>
    </row>
    <row r="148" customFormat="false" ht="15" hidden="false" customHeight="false" outlineLevel="0" collapsed="false">
      <c r="A148" s="53" t="str">
        <f aca="false">IF($B148="","",ROW()-5)</f>
        <v/>
      </c>
      <c r="B148" s="54"/>
      <c r="C148" s="33"/>
      <c r="D148" s="33"/>
      <c r="E148" s="32"/>
      <c r="F148" s="39"/>
      <c r="G148" s="48" t="str">
        <f aca="false">IF($F148="","",IFERROR(INDEX(商品档案!$B$6:$B$65,MATCH($F148,商品档案!$A$6:$A$65,0)),""))</f>
        <v/>
      </c>
      <c r="H148" s="48" t="str">
        <f aca="false">IF($F148="","",IFERROR(INDEX(商品档案!$C$6:$C$65,MATCH($F148,商品档案!$A$6:$A$65,0)),""))</f>
        <v/>
      </c>
      <c r="I148" s="55" t="str">
        <f aca="false">IF($F148="","",IFERROR(INDEX(商品档案!$D$6:$D$65,MATCH($F148,商品档案!$A$6:$A$65,0)),""))</f>
        <v/>
      </c>
      <c r="J148" s="49"/>
      <c r="K148" s="56"/>
      <c r="L148" s="33"/>
      <c r="M148" s="39"/>
      <c r="N148" s="41"/>
      <c r="O148" s="41"/>
      <c r="P148" s="25" t="str">
        <f aca="false">IF(AND($B148="",$D148="",$F148=""),"",IF(NOT(ISNUMBER($B148)),"日期无效",IF(ISNA(MATCH($C148,参数设置!$A$10:$A$12,0)),"公司无效",IF(ISNA(MATCH($D148,记账规则!$A$6:$A$9,0)),"业务类型无效",IF(ISNA(MATCH($F148,商品档案!$A$6:$A$65,0)),"商品编码无效",IF(IFERROR(INDEX(商品档案!$E$6:$E$65,MATCH($F148,商品档案!$A$6:$A$65,0)),"")&lt;&gt;$C148,"商品不属于该公司",IF(AND($E148&lt;&gt;"",ISNA(MATCH($E148,往来单位!$A$6:$A$85,0))),"往来单位未建档",IF(N($J148)=0,"数量为 0",IF(N($K148)=0,"单价为 0",IF(AND(LEFT($D148,2)="销售",$U148=""),"该商品没设成本科目",IF(YEAR($B148)&lt;&gt;参数设置!$B$5,"不在本会计年度","OK")))))))))))</f>
        <v/>
      </c>
      <c r="Q148" s="57" t="str">
        <f aca="false">IF($F148="","",ROUND(N($J148)*N($K148),2))</f>
        <v/>
      </c>
      <c r="R148" s="58" t="str">
        <f aca="false">IF($D148="","",IF(LEFT($D148,2)="销售","应收账款","应付账款"))</f>
        <v/>
      </c>
      <c r="S148" s="58" t="str">
        <f aca="false">IF($F148="","",IFERROR(INDEX(商品档案!$G$6:$G$65,MATCH($F148,商品档案!$A$6:$A$65,0)),""))</f>
        <v/>
      </c>
      <c r="T148" s="58" t="str">
        <f aca="false">IF($F148="","",IFERROR(INDEX(商品档案!$H$6:$H$65,MATCH($F148,商品档案!$A$6:$A$65,0)),""))</f>
        <v/>
      </c>
      <c r="U148" s="58" t="str">
        <f aca="false">IF($F148="","",IFERROR(INDEX(商品档案!$I$6:$I$65,MATCH($F148,商品档案!$A$6:$A$65,0)),""))</f>
        <v/>
      </c>
      <c r="V148" s="59" t="str">
        <f aca="false">IF($F148="","",SUMIFS(进销存台账!$N$6:$N$65,进销存台账!$A$6:$A$65,$C148,进销存台账!$B$6:$B$65,$F148))</f>
        <v/>
      </c>
      <c r="W148" s="60" t="n">
        <f aca="false">IF(OR($D148="销售出库",$D148="销售退回"),ROUND(N($J148)*N($V148),2),0)</f>
        <v>0</v>
      </c>
      <c r="X148" s="58" t="str">
        <f aca="false">IF($E148="","",IFERROR(INDEX(往来单位!$D$6:$D$85,MATCH($E148,往来单位!$A$6:$A$85,0)),"否"))</f>
        <v/>
      </c>
      <c r="Y148" s="61" t="str">
        <f aca="false">IF($B148="","",YEAR($B148))</f>
        <v/>
      </c>
      <c r="Z148" s="58" t="str">
        <f aca="false">IF($B148="","",TEXT($B148,"yyyy-mm"))</f>
        <v/>
      </c>
    </row>
    <row r="149" customFormat="false" ht="15" hidden="false" customHeight="false" outlineLevel="0" collapsed="false">
      <c r="A149" s="53" t="str">
        <f aca="false">IF($B149="","",ROW()-5)</f>
        <v/>
      </c>
      <c r="B149" s="54"/>
      <c r="C149" s="33"/>
      <c r="D149" s="33"/>
      <c r="E149" s="32"/>
      <c r="F149" s="39"/>
      <c r="G149" s="48" t="str">
        <f aca="false">IF($F149="","",IFERROR(INDEX(商品档案!$B$6:$B$65,MATCH($F149,商品档案!$A$6:$A$65,0)),""))</f>
        <v/>
      </c>
      <c r="H149" s="48" t="str">
        <f aca="false">IF($F149="","",IFERROR(INDEX(商品档案!$C$6:$C$65,MATCH($F149,商品档案!$A$6:$A$65,0)),""))</f>
        <v/>
      </c>
      <c r="I149" s="55" t="str">
        <f aca="false">IF($F149="","",IFERROR(INDEX(商品档案!$D$6:$D$65,MATCH($F149,商品档案!$A$6:$A$65,0)),""))</f>
        <v/>
      </c>
      <c r="J149" s="49"/>
      <c r="K149" s="56"/>
      <c r="L149" s="33"/>
      <c r="M149" s="39"/>
      <c r="N149" s="41"/>
      <c r="O149" s="41"/>
      <c r="P149" s="25" t="str">
        <f aca="false">IF(AND($B149="",$D149="",$F149=""),"",IF(NOT(ISNUMBER($B149)),"日期无效",IF(ISNA(MATCH($C149,参数设置!$A$10:$A$12,0)),"公司无效",IF(ISNA(MATCH($D149,记账规则!$A$6:$A$9,0)),"业务类型无效",IF(ISNA(MATCH($F149,商品档案!$A$6:$A$65,0)),"商品编码无效",IF(IFERROR(INDEX(商品档案!$E$6:$E$65,MATCH($F149,商品档案!$A$6:$A$65,0)),"")&lt;&gt;$C149,"商品不属于该公司",IF(AND($E149&lt;&gt;"",ISNA(MATCH($E149,往来单位!$A$6:$A$85,0))),"往来单位未建档",IF(N($J149)=0,"数量为 0",IF(N($K149)=0,"单价为 0",IF(AND(LEFT($D149,2)="销售",$U149=""),"该商品没设成本科目",IF(YEAR($B149)&lt;&gt;参数设置!$B$5,"不在本会计年度","OK")))))))))))</f>
        <v/>
      </c>
      <c r="Q149" s="57" t="str">
        <f aca="false">IF($F149="","",ROUND(N($J149)*N($K149),2))</f>
        <v/>
      </c>
      <c r="R149" s="58" t="str">
        <f aca="false">IF($D149="","",IF(LEFT($D149,2)="销售","应收账款","应付账款"))</f>
        <v/>
      </c>
      <c r="S149" s="58" t="str">
        <f aca="false">IF($F149="","",IFERROR(INDEX(商品档案!$G$6:$G$65,MATCH($F149,商品档案!$A$6:$A$65,0)),""))</f>
        <v/>
      </c>
      <c r="T149" s="58" t="str">
        <f aca="false">IF($F149="","",IFERROR(INDEX(商品档案!$H$6:$H$65,MATCH($F149,商品档案!$A$6:$A$65,0)),""))</f>
        <v/>
      </c>
      <c r="U149" s="58" t="str">
        <f aca="false">IF($F149="","",IFERROR(INDEX(商品档案!$I$6:$I$65,MATCH($F149,商品档案!$A$6:$A$65,0)),""))</f>
        <v/>
      </c>
      <c r="V149" s="59" t="str">
        <f aca="false">IF($F149="","",SUMIFS(进销存台账!$N$6:$N$65,进销存台账!$A$6:$A$65,$C149,进销存台账!$B$6:$B$65,$F149))</f>
        <v/>
      </c>
      <c r="W149" s="60" t="n">
        <f aca="false">IF(OR($D149="销售出库",$D149="销售退回"),ROUND(N($J149)*N($V149),2),0)</f>
        <v>0</v>
      </c>
      <c r="X149" s="58" t="str">
        <f aca="false">IF($E149="","",IFERROR(INDEX(往来单位!$D$6:$D$85,MATCH($E149,往来单位!$A$6:$A$85,0)),"否"))</f>
        <v/>
      </c>
      <c r="Y149" s="61" t="str">
        <f aca="false">IF($B149="","",YEAR($B149))</f>
        <v/>
      </c>
      <c r="Z149" s="58" t="str">
        <f aca="false">IF($B149="","",TEXT($B149,"yyyy-mm"))</f>
        <v/>
      </c>
    </row>
    <row r="150" customFormat="false" ht="15" hidden="false" customHeight="false" outlineLevel="0" collapsed="false">
      <c r="A150" s="53" t="str">
        <f aca="false">IF($B150="","",ROW()-5)</f>
        <v/>
      </c>
      <c r="B150" s="54"/>
      <c r="C150" s="33"/>
      <c r="D150" s="33"/>
      <c r="E150" s="32"/>
      <c r="F150" s="39"/>
      <c r="G150" s="48" t="str">
        <f aca="false">IF($F150="","",IFERROR(INDEX(商品档案!$B$6:$B$65,MATCH($F150,商品档案!$A$6:$A$65,0)),""))</f>
        <v/>
      </c>
      <c r="H150" s="48" t="str">
        <f aca="false">IF($F150="","",IFERROR(INDEX(商品档案!$C$6:$C$65,MATCH($F150,商品档案!$A$6:$A$65,0)),""))</f>
        <v/>
      </c>
      <c r="I150" s="55" t="str">
        <f aca="false">IF($F150="","",IFERROR(INDEX(商品档案!$D$6:$D$65,MATCH($F150,商品档案!$A$6:$A$65,0)),""))</f>
        <v/>
      </c>
      <c r="J150" s="49"/>
      <c r="K150" s="56"/>
      <c r="L150" s="33"/>
      <c r="M150" s="39"/>
      <c r="N150" s="41"/>
      <c r="O150" s="41"/>
      <c r="P150" s="25" t="str">
        <f aca="false">IF(AND($B150="",$D150="",$F150=""),"",IF(NOT(ISNUMBER($B150)),"日期无效",IF(ISNA(MATCH($C150,参数设置!$A$10:$A$12,0)),"公司无效",IF(ISNA(MATCH($D150,记账规则!$A$6:$A$9,0)),"业务类型无效",IF(ISNA(MATCH($F150,商品档案!$A$6:$A$65,0)),"商品编码无效",IF(IFERROR(INDEX(商品档案!$E$6:$E$65,MATCH($F150,商品档案!$A$6:$A$65,0)),"")&lt;&gt;$C150,"商品不属于该公司",IF(AND($E150&lt;&gt;"",ISNA(MATCH($E150,往来单位!$A$6:$A$85,0))),"往来单位未建档",IF(N($J150)=0,"数量为 0",IF(N($K150)=0,"单价为 0",IF(AND(LEFT($D150,2)="销售",$U150=""),"该商品没设成本科目",IF(YEAR($B150)&lt;&gt;参数设置!$B$5,"不在本会计年度","OK")))))))))))</f>
        <v/>
      </c>
      <c r="Q150" s="57" t="str">
        <f aca="false">IF($F150="","",ROUND(N($J150)*N($K150),2))</f>
        <v/>
      </c>
      <c r="R150" s="58" t="str">
        <f aca="false">IF($D150="","",IF(LEFT($D150,2)="销售","应收账款","应付账款"))</f>
        <v/>
      </c>
      <c r="S150" s="58" t="str">
        <f aca="false">IF($F150="","",IFERROR(INDEX(商品档案!$G$6:$G$65,MATCH($F150,商品档案!$A$6:$A$65,0)),""))</f>
        <v/>
      </c>
      <c r="T150" s="58" t="str">
        <f aca="false">IF($F150="","",IFERROR(INDEX(商品档案!$H$6:$H$65,MATCH($F150,商品档案!$A$6:$A$65,0)),""))</f>
        <v/>
      </c>
      <c r="U150" s="58" t="str">
        <f aca="false">IF($F150="","",IFERROR(INDEX(商品档案!$I$6:$I$65,MATCH($F150,商品档案!$A$6:$A$65,0)),""))</f>
        <v/>
      </c>
      <c r="V150" s="59" t="str">
        <f aca="false">IF($F150="","",SUMIFS(进销存台账!$N$6:$N$65,进销存台账!$A$6:$A$65,$C150,进销存台账!$B$6:$B$65,$F150))</f>
        <v/>
      </c>
      <c r="W150" s="60" t="n">
        <f aca="false">IF(OR($D150="销售出库",$D150="销售退回"),ROUND(N($J150)*N($V150),2),0)</f>
        <v>0</v>
      </c>
      <c r="X150" s="58" t="str">
        <f aca="false">IF($E150="","",IFERROR(INDEX(往来单位!$D$6:$D$85,MATCH($E150,往来单位!$A$6:$A$85,0)),"否"))</f>
        <v/>
      </c>
      <c r="Y150" s="61" t="str">
        <f aca="false">IF($B150="","",YEAR($B150))</f>
        <v/>
      </c>
      <c r="Z150" s="58" t="str">
        <f aca="false">IF($B150="","",TEXT($B150,"yyyy-mm"))</f>
        <v/>
      </c>
    </row>
    <row r="151" customFormat="false" ht="15" hidden="false" customHeight="false" outlineLevel="0" collapsed="false">
      <c r="A151" s="53" t="str">
        <f aca="false">IF($B151="","",ROW()-5)</f>
        <v/>
      </c>
      <c r="B151" s="54"/>
      <c r="C151" s="33"/>
      <c r="D151" s="33"/>
      <c r="E151" s="32"/>
      <c r="F151" s="39"/>
      <c r="G151" s="48" t="str">
        <f aca="false">IF($F151="","",IFERROR(INDEX(商品档案!$B$6:$B$65,MATCH($F151,商品档案!$A$6:$A$65,0)),""))</f>
        <v/>
      </c>
      <c r="H151" s="48" t="str">
        <f aca="false">IF($F151="","",IFERROR(INDEX(商品档案!$C$6:$C$65,MATCH($F151,商品档案!$A$6:$A$65,0)),""))</f>
        <v/>
      </c>
      <c r="I151" s="55" t="str">
        <f aca="false">IF($F151="","",IFERROR(INDEX(商品档案!$D$6:$D$65,MATCH($F151,商品档案!$A$6:$A$65,0)),""))</f>
        <v/>
      </c>
      <c r="J151" s="49"/>
      <c r="K151" s="56"/>
      <c r="L151" s="33"/>
      <c r="M151" s="39"/>
      <c r="N151" s="41"/>
      <c r="O151" s="41"/>
      <c r="P151" s="25" t="str">
        <f aca="false">IF(AND($B151="",$D151="",$F151=""),"",IF(NOT(ISNUMBER($B151)),"日期无效",IF(ISNA(MATCH($C151,参数设置!$A$10:$A$12,0)),"公司无效",IF(ISNA(MATCH($D151,记账规则!$A$6:$A$9,0)),"业务类型无效",IF(ISNA(MATCH($F151,商品档案!$A$6:$A$65,0)),"商品编码无效",IF(IFERROR(INDEX(商品档案!$E$6:$E$65,MATCH($F151,商品档案!$A$6:$A$65,0)),"")&lt;&gt;$C151,"商品不属于该公司",IF(AND($E151&lt;&gt;"",ISNA(MATCH($E151,往来单位!$A$6:$A$85,0))),"往来单位未建档",IF(N($J151)=0,"数量为 0",IF(N($K151)=0,"单价为 0",IF(AND(LEFT($D151,2)="销售",$U151=""),"该商品没设成本科目",IF(YEAR($B151)&lt;&gt;参数设置!$B$5,"不在本会计年度","OK")))))))))))</f>
        <v/>
      </c>
      <c r="Q151" s="57" t="str">
        <f aca="false">IF($F151="","",ROUND(N($J151)*N($K151),2))</f>
        <v/>
      </c>
      <c r="R151" s="58" t="str">
        <f aca="false">IF($D151="","",IF(LEFT($D151,2)="销售","应收账款","应付账款"))</f>
        <v/>
      </c>
      <c r="S151" s="58" t="str">
        <f aca="false">IF($F151="","",IFERROR(INDEX(商品档案!$G$6:$G$65,MATCH($F151,商品档案!$A$6:$A$65,0)),""))</f>
        <v/>
      </c>
      <c r="T151" s="58" t="str">
        <f aca="false">IF($F151="","",IFERROR(INDEX(商品档案!$H$6:$H$65,MATCH($F151,商品档案!$A$6:$A$65,0)),""))</f>
        <v/>
      </c>
      <c r="U151" s="58" t="str">
        <f aca="false">IF($F151="","",IFERROR(INDEX(商品档案!$I$6:$I$65,MATCH($F151,商品档案!$A$6:$A$65,0)),""))</f>
        <v/>
      </c>
      <c r="V151" s="59" t="str">
        <f aca="false">IF($F151="","",SUMIFS(进销存台账!$N$6:$N$65,进销存台账!$A$6:$A$65,$C151,进销存台账!$B$6:$B$65,$F151))</f>
        <v/>
      </c>
      <c r="W151" s="60" t="n">
        <f aca="false">IF(OR($D151="销售出库",$D151="销售退回"),ROUND(N($J151)*N($V151),2),0)</f>
        <v>0</v>
      </c>
      <c r="X151" s="58" t="str">
        <f aca="false">IF($E151="","",IFERROR(INDEX(往来单位!$D$6:$D$85,MATCH($E151,往来单位!$A$6:$A$85,0)),"否"))</f>
        <v/>
      </c>
      <c r="Y151" s="61" t="str">
        <f aca="false">IF($B151="","",YEAR($B151))</f>
        <v/>
      </c>
      <c r="Z151" s="58" t="str">
        <f aca="false">IF($B151="","",TEXT($B151,"yyyy-mm"))</f>
        <v/>
      </c>
    </row>
    <row r="152" customFormat="false" ht="15" hidden="false" customHeight="false" outlineLevel="0" collapsed="false">
      <c r="A152" s="53" t="str">
        <f aca="false">IF($B152="","",ROW()-5)</f>
        <v/>
      </c>
      <c r="B152" s="54"/>
      <c r="C152" s="33"/>
      <c r="D152" s="33"/>
      <c r="E152" s="32"/>
      <c r="F152" s="39"/>
      <c r="G152" s="48" t="str">
        <f aca="false">IF($F152="","",IFERROR(INDEX(商品档案!$B$6:$B$65,MATCH($F152,商品档案!$A$6:$A$65,0)),""))</f>
        <v/>
      </c>
      <c r="H152" s="48" t="str">
        <f aca="false">IF($F152="","",IFERROR(INDEX(商品档案!$C$6:$C$65,MATCH($F152,商品档案!$A$6:$A$65,0)),""))</f>
        <v/>
      </c>
      <c r="I152" s="55" t="str">
        <f aca="false">IF($F152="","",IFERROR(INDEX(商品档案!$D$6:$D$65,MATCH($F152,商品档案!$A$6:$A$65,0)),""))</f>
        <v/>
      </c>
      <c r="J152" s="49"/>
      <c r="K152" s="56"/>
      <c r="L152" s="33"/>
      <c r="M152" s="39"/>
      <c r="N152" s="41"/>
      <c r="O152" s="41"/>
      <c r="P152" s="25" t="str">
        <f aca="false">IF(AND($B152="",$D152="",$F152=""),"",IF(NOT(ISNUMBER($B152)),"日期无效",IF(ISNA(MATCH($C152,参数设置!$A$10:$A$12,0)),"公司无效",IF(ISNA(MATCH($D152,记账规则!$A$6:$A$9,0)),"业务类型无效",IF(ISNA(MATCH($F152,商品档案!$A$6:$A$65,0)),"商品编码无效",IF(IFERROR(INDEX(商品档案!$E$6:$E$65,MATCH($F152,商品档案!$A$6:$A$65,0)),"")&lt;&gt;$C152,"商品不属于该公司",IF(AND($E152&lt;&gt;"",ISNA(MATCH($E152,往来单位!$A$6:$A$85,0))),"往来单位未建档",IF(N($J152)=0,"数量为 0",IF(N($K152)=0,"单价为 0",IF(AND(LEFT($D152,2)="销售",$U152=""),"该商品没设成本科目",IF(YEAR($B152)&lt;&gt;参数设置!$B$5,"不在本会计年度","OK")))))))))))</f>
        <v/>
      </c>
      <c r="Q152" s="57" t="str">
        <f aca="false">IF($F152="","",ROUND(N($J152)*N($K152),2))</f>
        <v/>
      </c>
      <c r="R152" s="58" t="str">
        <f aca="false">IF($D152="","",IF(LEFT($D152,2)="销售","应收账款","应付账款"))</f>
        <v/>
      </c>
      <c r="S152" s="58" t="str">
        <f aca="false">IF($F152="","",IFERROR(INDEX(商品档案!$G$6:$G$65,MATCH($F152,商品档案!$A$6:$A$65,0)),""))</f>
        <v/>
      </c>
      <c r="T152" s="58" t="str">
        <f aca="false">IF($F152="","",IFERROR(INDEX(商品档案!$H$6:$H$65,MATCH($F152,商品档案!$A$6:$A$65,0)),""))</f>
        <v/>
      </c>
      <c r="U152" s="58" t="str">
        <f aca="false">IF($F152="","",IFERROR(INDEX(商品档案!$I$6:$I$65,MATCH($F152,商品档案!$A$6:$A$65,0)),""))</f>
        <v/>
      </c>
      <c r="V152" s="59" t="str">
        <f aca="false">IF($F152="","",SUMIFS(进销存台账!$N$6:$N$65,进销存台账!$A$6:$A$65,$C152,进销存台账!$B$6:$B$65,$F152))</f>
        <v/>
      </c>
      <c r="W152" s="60" t="n">
        <f aca="false">IF(OR($D152="销售出库",$D152="销售退回"),ROUND(N($J152)*N($V152),2),0)</f>
        <v>0</v>
      </c>
      <c r="X152" s="58" t="str">
        <f aca="false">IF($E152="","",IFERROR(INDEX(往来单位!$D$6:$D$85,MATCH($E152,往来单位!$A$6:$A$85,0)),"否"))</f>
        <v/>
      </c>
      <c r="Y152" s="61" t="str">
        <f aca="false">IF($B152="","",YEAR($B152))</f>
        <v/>
      </c>
      <c r="Z152" s="58" t="str">
        <f aca="false">IF($B152="","",TEXT($B152,"yyyy-mm"))</f>
        <v/>
      </c>
    </row>
    <row r="153" customFormat="false" ht="15" hidden="false" customHeight="false" outlineLevel="0" collapsed="false">
      <c r="A153" s="53" t="str">
        <f aca="false">IF($B153="","",ROW()-5)</f>
        <v/>
      </c>
      <c r="B153" s="54"/>
      <c r="C153" s="33"/>
      <c r="D153" s="33"/>
      <c r="E153" s="32"/>
      <c r="F153" s="39"/>
      <c r="G153" s="48" t="str">
        <f aca="false">IF($F153="","",IFERROR(INDEX(商品档案!$B$6:$B$65,MATCH($F153,商品档案!$A$6:$A$65,0)),""))</f>
        <v/>
      </c>
      <c r="H153" s="48" t="str">
        <f aca="false">IF($F153="","",IFERROR(INDEX(商品档案!$C$6:$C$65,MATCH($F153,商品档案!$A$6:$A$65,0)),""))</f>
        <v/>
      </c>
      <c r="I153" s="55" t="str">
        <f aca="false">IF($F153="","",IFERROR(INDEX(商品档案!$D$6:$D$65,MATCH($F153,商品档案!$A$6:$A$65,0)),""))</f>
        <v/>
      </c>
      <c r="J153" s="49"/>
      <c r="K153" s="56"/>
      <c r="L153" s="33"/>
      <c r="M153" s="39"/>
      <c r="N153" s="41"/>
      <c r="O153" s="41"/>
      <c r="P153" s="25" t="str">
        <f aca="false">IF(AND($B153="",$D153="",$F153=""),"",IF(NOT(ISNUMBER($B153)),"日期无效",IF(ISNA(MATCH($C153,参数设置!$A$10:$A$12,0)),"公司无效",IF(ISNA(MATCH($D153,记账规则!$A$6:$A$9,0)),"业务类型无效",IF(ISNA(MATCH($F153,商品档案!$A$6:$A$65,0)),"商品编码无效",IF(IFERROR(INDEX(商品档案!$E$6:$E$65,MATCH($F153,商品档案!$A$6:$A$65,0)),"")&lt;&gt;$C153,"商品不属于该公司",IF(AND($E153&lt;&gt;"",ISNA(MATCH($E153,往来单位!$A$6:$A$85,0))),"往来单位未建档",IF(N($J153)=0,"数量为 0",IF(N($K153)=0,"单价为 0",IF(AND(LEFT($D153,2)="销售",$U153=""),"该商品没设成本科目",IF(YEAR($B153)&lt;&gt;参数设置!$B$5,"不在本会计年度","OK")))))))))))</f>
        <v/>
      </c>
      <c r="Q153" s="57" t="str">
        <f aca="false">IF($F153="","",ROUND(N($J153)*N($K153),2))</f>
        <v/>
      </c>
      <c r="R153" s="58" t="str">
        <f aca="false">IF($D153="","",IF(LEFT($D153,2)="销售","应收账款","应付账款"))</f>
        <v/>
      </c>
      <c r="S153" s="58" t="str">
        <f aca="false">IF($F153="","",IFERROR(INDEX(商品档案!$G$6:$G$65,MATCH($F153,商品档案!$A$6:$A$65,0)),""))</f>
        <v/>
      </c>
      <c r="T153" s="58" t="str">
        <f aca="false">IF($F153="","",IFERROR(INDEX(商品档案!$H$6:$H$65,MATCH($F153,商品档案!$A$6:$A$65,0)),""))</f>
        <v/>
      </c>
      <c r="U153" s="58" t="str">
        <f aca="false">IF($F153="","",IFERROR(INDEX(商品档案!$I$6:$I$65,MATCH($F153,商品档案!$A$6:$A$65,0)),""))</f>
        <v/>
      </c>
      <c r="V153" s="59" t="str">
        <f aca="false">IF($F153="","",SUMIFS(进销存台账!$N$6:$N$65,进销存台账!$A$6:$A$65,$C153,进销存台账!$B$6:$B$65,$F153))</f>
        <v/>
      </c>
      <c r="W153" s="60" t="n">
        <f aca="false">IF(OR($D153="销售出库",$D153="销售退回"),ROUND(N($J153)*N($V153),2),0)</f>
        <v>0</v>
      </c>
      <c r="X153" s="58" t="str">
        <f aca="false">IF($E153="","",IFERROR(INDEX(往来单位!$D$6:$D$85,MATCH($E153,往来单位!$A$6:$A$85,0)),"否"))</f>
        <v/>
      </c>
      <c r="Y153" s="61" t="str">
        <f aca="false">IF($B153="","",YEAR($B153))</f>
        <v/>
      </c>
      <c r="Z153" s="58" t="str">
        <f aca="false">IF($B153="","",TEXT($B153,"yyyy-mm"))</f>
        <v/>
      </c>
    </row>
    <row r="154" customFormat="false" ht="15" hidden="false" customHeight="false" outlineLevel="0" collapsed="false">
      <c r="A154" s="53" t="str">
        <f aca="false">IF($B154="","",ROW()-5)</f>
        <v/>
      </c>
      <c r="B154" s="54"/>
      <c r="C154" s="33"/>
      <c r="D154" s="33"/>
      <c r="E154" s="32"/>
      <c r="F154" s="39"/>
      <c r="G154" s="48" t="str">
        <f aca="false">IF($F154="","",IFERROR(INDEX(商品档案!$B$6:$B$65,MATCH($F154,商品档案!$A$6:$A$65,0)),""))</f>
        <v/>
      </c>
      <c r="H154" s="48" t="str">
        <f aca="false">IF($F154="","",IFERROR(INDEX(商品档案!$C$6:$C$65,MATCH($F154,商品档案!$A$6:$A$65,0)),""))</f>
        <v/>
      </c>
      <c r="I154" s="55" t="str">
        <f aca="false">IF($F154="","",IFERROR(INDEX(商品档案!$D$6:$D$65,MATCH($F154,商品档案!$A$6:$A$65,0)),""))</f>
        <v/>
      </c>
      <c r="J154" s="49"/>
      <c r="K154" s="56"/>
      <c r="L154" s="33"/>
      <c r="M154" s="39"/>
      <c r="N154" s="41"/>
      <c r="O154" s="41"/>
      <c r="P154" s="25" t="str">
        <f aca="false">IF(AND($B154="",$D154="",$F154=""),"",IF(NOT(ISNUMBER($B154)),"日期无效",IF(ISNA(MATCH($C154,参数设置!$A$10:$A$12,0)),"公司无效",IF(ISNA(MATCH($D154,记账规则!$A$6:$A$9,0)),"业务类型无效",IF(ISNA(MATCH($F154,商品档案!$A$6:$A$65,0)),"商品编码无效",IF(IFERROR(INDEX(商品档案!$E$6:$E$65,MATCH($F154,商品档案!$A$6:$A$65,0)),"")&lt;&gt;$C154,"商品不属于该公司",IF(AND($E154&lt;&gt;"",ISNA(MATCH($E154,往来单位!$A$6:$A$85,0))),"往来单位未建档",IF(N($J154)=0,"数量为 0",IF(N($K154)=0,"单价为 0",IF(AND(LEFT($D154,2)="销售",$U154=""),"该商品没设成本科目",IF(YEAR($B154)&lt;&gt;参数设置!$B$5,"不在本会计年度","OK")))))))))))</f>
        <v/>
      </c>
      <c r="Q154" s="57" t="str">
        <f aca="false">IF($F154="","",ROUND(N($J154)*N($K154),2))</f>
        <v/>
      </c>
      <c r="R154" s="58" t="str">
        <f aca="false">IF($D154="","",IF(LEFT($D154,2)="销售","应收账款","应付账款"))</f>
        <v/>
      </c>
      <c r="S154" s="58" t="str">
        <f aca="false">IF($F154="","",IFERROR(INDEX(商品档案!$G$6:$G$65,MATCH($F154,商品档案!$A$6:$A$65,0)),""))</f>
        <v/>
      </c>
      <c r="T154" s="58" t="str">
        <f aca="false">IF($F154="","",IFERROR(INDEX(商品档案!$H$6:$H$65,MATCH($F154,商品档案!$A$6:$A$65,0)),""))</f>
        <v/>
      </c>
      <c r="U154" s="58" t="str">
        <f aca="false">IF($F154="","",IFERROR(INDEX(商品档案!$I$6:$I$65,MATCH($F154,商品档案!$A$6:$A$65,0)),""))</f>
        <v/>
      </c>
      <c r="V154" s="59" t="str">
        <f aca="false">IF($F154="","",SUMIFS(进销存台账!$N$6:$N$65,进销存台账!$A$6:$A$65,$C154,进销存台账!$B$6:$B$65,$F154))</f>
        <v/>
      </c>
      <c r="W154" s="60" t="n">
        <f aca="false">IF(OR($D154="销售出库",$D154="销售退回"),ROUND(N($J154)*N($V154),2),0)</f>
        <v>0</v>
      </c>
      <c r="X154" s="58" t="str">
        <f aca="false">IF($E154="","",IFERROR(INDEX(往来单位!$D$6:$D$85,MATCH($E154,往来单位!$A$6:$A$85,0)),"否"))</f>
        <v/>
      </c>
      <c r="Y154" s="61" t="str">
        <f aca="false">IF($B154="","",YEAR($B154))</f>
        <v/>
      </c>
      <c r="Z154" s="58" t="str">
        <f aca="false">IF($B154="","",TEXT($B154,"yyyy-mm"))</f>
        <v/>
      </c>
    </row>
    <row r="155" customFormat="false" ht="15" hidden="false" customHeight="false" outlineLevel="0" collapsed="false">
      <c r="A155" s="53" t="str">
        <f aca="false">IF($B155="","",ROW()-5)</f>
        <v/>
      </c>
      <c r="B155" s="54"/>
      <c r="C155" s="33"/>
      <c r="D155" s="33"/>
      <c r="E155" s="32"/>
      <c r="F155" s="39"/>
      <c r="G155" s="48" t="str">
        <f aca="false">IF($F155="","",IFERROR(INDEX(商品档案!$B$6:$B$65,MATCH($F155,商品档案!$A$6:$A$65,0)),""))</f>
        <v/>
      </c>
      <c r="H155" s="48" t="str">
        <f aca="false">IF($F155="","",IFERROR(INDEX(商品档案!$C$6:$C$65,MATCH($F155,商品档案!$A$6:$A$65,0)),""))</f>
        <v/>
      </c>
      <c r="I155" s="55" t="str">
        <f aca="false">IF($F155="","",IFERROR(INDEX(商品档案!$D$6:$D$65,MATCH($F155,商品档案!$A$6:$A$65,0)),""))</f>
        <v/>
      </c>
      <c r="J155" s="49"/>
      <c r="K155" s="56"/>
      <c r="L155" s="33"/>
      <c r="M155" s="39"/>
      <c r="N155" s="41"/>
      <c r="O155" s="41"/>
      <c r="P155" s="25" t="str">
        <f aca="false">IF(AND($B155="",$D155="",$F155=""),"",IF(NOT(ISNUMBER($B155)),"日期无效",IF(ISNA(MATCH($C155,参数设置!$A$10:$A$12,0)),"公司无效",IF(ISNA(MATCH($D155,记账规则!$A$6:$A$9,0)),"业务类型无效",IF(ISNA(MATCH($F155,商品档案!$A$6:$A$65,0)),"商品编码无效",IF(IFERROR(INDEX(商品档案!$E$6:$E$65,MATCH($F155,商品档案!$A$6:$A$65,0)),"")&lt;&gt;$C155,"商品不属于该公司",IF(AND($E155&lt;&gt;"",ISNA(MATCH($E155,往来单位!$A$6:$A$85,0))),"往来单位未建档",IF(N($J155)=0,"数量为 0",IF(N($K155)=0,"单价为 0",IF(AND(LEFT($D155,2)="销售",$U155=""),"该商品没设成本科目",IF(YEAR($B155)&lt;&gt;参数设置!$B$5,"不在本会计年度","OK")))))))))))</f>
        <v/>
      </c>
      <c r="Q155" s="57" t="str">
        <f aca="false">IF($F155="","",ROUND(N($J155)*N($K155),2))</f>
        <v/>
      </c>
      <c r="R155" s="58" t="str">
        <f aca="false">IF($D155="","",IF(LEFT($D155,2)="销售","应收账款","应付账款"))</f>
        <v/>
      </c>
      <c r="S155" s="58" t="str">
        <f aca="false">IF($F155="","",IFERROR(INDEX(商品档案!$G$6:$G$65,MATCH($F155,商品档案!$A$6:$A$65,0)),""))</f>
        <v/>
      </c>
      <c r="T155" s="58" t="str">
        <f aca="false">IF($F155="","",IFERROR(INDEX(商品档案!$H$6:$H$65,MATCH($F155,商品档案!$A$6:$A$65,0)),""))</f>
        <v/>
      </c>
      <c r="U155" s="58" t="str">
        <f aca="false">IF($F155="","",IFERROR(INDEX(商品档案!$I$6:$I$65,MATCH($F155,商品档案!$A$6:$A$65,0)),""))</f>
        <v/>
      </c>
      <c r="V155" s="59" t="str">
        <f aca="false">IF($F155="","",SUMIFS(进销存台账!$N$6:$N$65,进销存台账!$A$6:$A$65,$C155,进销存台账!$B$6:$B$65,$F155))</f>
        <v/>
      </c>
      <c r="W155" s="60" t="n">
        <f aca="false">IF(OR($D155="销售出库",$D155="销售退回"),ROUND(N($J155)*N($V155),2),0)</f>
        <v>0</v>
      </c>
      <c r="X155" s="58" t="str">
        <f aca="false">IF($E155="","",IFERROR(INDEX(往来单位!$D$6:$D$85,MATCH($E155,往来单位!$A$6:$A$85,0)),"否"))</f>
        <v/>
      </c>
      <c r="Y155" s="61" t="str">
        <f aca="false">IF($B155="","",YEAR($B155))</f>
        <v/>
      </c>
      <c r="Z155" s="58" t="str">
        <f aca="false">IF($B155="","",TEXT($B155,"yyyy-mm"))</f>
        <v/>
      </c>
    </row>
    <row r="156" customFormat="false" ht="15" hidden="false" customHeight="false" outlineLevel="0" collapsed="false">
      <c r="A156" s="53" t="str">
        <f aca="false">IF($B156="","",ROW()-5)</f>
        <v/>
      </c>
      <c r="B156" s="54"/>
      <c r="C156" s="33"/>
      <c r="D156" s="33"/>
      <c r="E156" s="32"/>
      <c r="F156" s="39"/>
      <c r="G156" s="48" t="str">
        <f aca="false">IF($F156="","",IFERROR(INDEX(商品档案!$B$6:$B$65,MATCH($F156,商品档案!$A$6:$A$65,0)),""))</f>
        <v/>
      </c>
      <c r="H156" s="48" t="str">
        <f aca="false">IF($F156="","",IFERROR(INDEX(商品档案!$C$6:$C$65,MATCH($F156,商品档案!$A$6:$A$65,0)),""))</f>
        <v/>
      </c>
      <c r="I156" s="55" t="str">
        <f aca="false">IF($F156="","",IFERROR(INDEX(商品档案!$D$6:$D$65,MATCH($F156,商品档案!$A$6:$A$65,0)),""))</f>
        <v/>
      </c>
      <c r="J156" s="49"/>
      <c r="K156" s="56"/>
      <c r="L156" s="33"/>
      <c r="M156" s="39"/>
      <c r="N156" s="41"/>
      <c r="O156" s="41"/>
      <c r="P156" s="25" t="str">
        <f aca="false">IF(AND($B156="",$D156="",$F156=""),"",IF(NOT(ISNUMBER($B156)),"日期无效",IF(ISNA(MATCH($C156,参数设置!$A$10:$A$12,0)),"公司无效",IF(ISNA(MATCH($D156,记账规则!$A$6:$A$9,0)),"业务类型无效",IF(ISNA(MATCH($F156,商品档案!$A$6:$A$65,0)),"商品编码无效",IF(IFERROR(INDEX(商品档案!$E$6:$E$65,MATCH($F156,商品档案!$A$6:$A$65,0)),"")&lt;&gt;$C156,"商品不属于该公司",IF(AND($E156&lt;&gt;"",ISNA(MATCH($E156,往来单位!$A$6:$A$85,0))),"往来单位未建档",IF(N($J156)=0,"数量为 0",IF(N($K156)=0,"单价为 0",IF(AND(LEFT($D156,2)="销售",$U156=""),"该商品没设成本科目",IF(YEAR($B156)&lt;&gt;参数设置!$B$5,"不在本会计年度","OK")))))))))))</f>
        <v/>
      </c>
      <c r="Q156" s="57" t="str">
        <f aca="false">IF($F156="","",ROUND(N($J156)*N($K156),2))</f>
        <v/>
      </c>
      <c r="R156" s="58" t="str">
        <f aca="false">IF($D156="","",IF(LEFT($D156,2)="销售","应收账款","应付账款"))</f>
        <v/>
      </c>
      <c r="S156" s="58" t="str">
        <f aca="false">IF($F156="","",IFERROR(INDEX(商品档案!$G$6:$G$65,MATCH($F156,商品档案!$A$6:$A$65,0)),""))</f>
        <v/>
      </c>
      <c r="T156" s="58" t="str">
        <f aca="false">IF($F156="","",IFERROR(INDEX(商品档案!$H$6:$H$65,MATCH($F156,商品档案!$A$6:$A$65,0)),""))</f>
        <v/>
      </c>
      <c r="U156" s="58" t="str">
        <f aca="false">IF($F156="","",IFERROR(INDEX(商品档案!$I$6:$I$65,MATCH($F156,商品档案!$A$6:$A$65,0)),""))</f>
        <v/>
      </c>
      <c r="V156" s="59" t="str">
        <f aca="false">IF($F156="","",SUMIFS(进销存台账!$N$6:$N$65,进销存台账!$A$6:$A$65,$C156,进销存台账!$B$6:$B$65,$F156))</f>
        <v/>
      </c>
      <c r="W156" s="60" t="n">
        <f aca="false">IF(OR($D156="销售出库",$D156="销售退回"),ROUND(N($J156)*N($V156),2),0)</f>
        <v>0</v>
      </c>
      <c r="X156" s="58" t="str">
        <f aca="false">IF($E156="","",IFERROR(INDEX(往来单位!$D$6:$D$85,MATCH($E156,往来单位!$A$6:$A$85,0)),"否"))</f>
        <v/>
      </c>
      <c r="Y156" s="61" t="str">
        <f aca="false">IF($B156="","",YEAR($B156))</f>
        <v/>
      </c>
      <c r="Z156" s="58" t="str">
        <f aca="false">IF($B156="","",TEXT($B156,"yyyy-mm"))</f>
        <v/>
      </c>
    </row>
    <row r="157" customFormat="false" ht="15" hidden="false" customHeight="false" outlineLevel="0" collapsed="false">
      <c r="A157" s="53" t="str">
        <f aca="false">IF($B157="","",ROW()-5)</f>
        <v/>
      </c>
      <c r="B157" s="54"/>
      <c r="C157" s="33"/>
      <c r="D157" s="33"/>
      <c r="E157" s="32"/>
      <c r="F157" s="39"/>
      <c r="G157" s="48" t="str">
        <f aca="false">IF($F157="","",IFERROR(INDEX(商品档案!$B$6:$B$65,MATCH($F157,商品档案!$A$6:$A$65,0)),""))</f>
        <v/>
      </c>
      <c r="H157" s="48" t="str">
        <f aca="false">IF($F157="","",IFERROR(INDEX(商品档案!$C$6:$C$65,MATCH($F157,商品档案!$A$6:$A$65,0)),""))</f>
        <v/>
      </c>
      <c r="I157" s="55" t="str">
        <f aca="false">IF($F157="","",IFERROR(INDEX(商品档案!$D$6:$D$65,MATCH($F157,商品档案!$A$6:$A$65,0)),""))</f>
        <v/>
      </c>
      <c r="J157" s="49"/>
      <c r="K157" s="56"/>
      <c r="L157" s="33"/>
      <c r="M157" s="39"/>
      <c r="N157" s="41"/>
      <c r="O157" s="41"/>
      <c r="P157" s="25" t="str">
        <f aca="false">IF(AND($B157="",$D157="",$F157=""),"",IF(NOT(ISNUMBER($B157)),"日期无效",IF(ISNA(MATCH($C157,参数设置!$A$10:$A$12,0)),"公司无效",IF(ISNA(MATCH($D157,记账规则!$A$6:$A$9,0)),"业务类型无效",IF(ISNA(MATCH($F157,商品档案!$A$6:$A$65,0)),"商品编码无效",IF(IFERROR(INDEX(商品档案!$E$6:$E$65,MATCH($F157,商品档案!$A$6:$A$65,0)),"")&lt;&gt;$C157,"商品不属于该公司",IF(AND($E157&lt;&gt;"",ISNA(MATCH($E157,往来单位!$A$6:$A$85,0))),"往来单位未建档",IF(N($J157)=0,"数量为 0",IF(N($K157)=0,"单价为 0",IF(AND(LEFT($D157,2)="销售",$U157=""),"该商品没设成本科目",IF(YEAR($B157)&lt;&gt;参数设置!$B$5,"不在本会计年度","OK")))))))))))</f>
        <v/>
      </c>
      <c r="Q157" s="57" t="str">
        <f aca="false">IF($F157="","",ROUND(N($J157)*N($K157),2))</f>
        <v/>
      </c>
      <c r="R157" s="58" t="str">
        <f aca="false">IF($D157="","",IF(LEFT($D157,2)="销售","应收账款","应付账款"))</f>
        <v/>
      </c>
      <c r="S157" s="58" t="str">
        <f aca="false">IF($F157="","",IFERROR(INDEX(商品档案!$G$6:$G$65,MATCH($F157,商品档案!$A$6:$A$65,0)),""))</f>
        <v/>
      </c>
      <c r="T157" s="58" t="str">
        <f aca="false">IF($F157="","",IFERROR(INDEX(商品档案!$H$6:$H$65,MATCH($F157,商品档案!$A$6:$A$65,0)),""))</f>
        <v/>
      </c>
      <c r="U157" s="58" t="str">
        <f aca="false">IF($F157="","",IFERROR(INDEX(商品档案!$I$6:$I$65,MATCH($F157,商品档案!$A$6:$A$65,0)),""))</f>
        <v/>
      </c>
      <c r="V157" s="59" t="str">
        <f aca="false">IF($F157="","",SUMIFS(进销存台账!$N$6:$N$65,进销存台账!$A$6:$A$65,$C157,进销存台账!$B$6:$B$65,$F157))</f>
        <v/>
      </c>
      <c r="W157" s="60" t="n">
        <f aca="false">IF(OR($D157="销售出库",$D157="销售退回"),ROUND(N($J157)*N($V157),2),0)</f>
        <v>0</v>
      </c>
      <c r="X157" s="58" t="str">
        <f aca="false">IF($E157="","",IFERROR(INDEX(往来单位!$D$6:$D$85,MATCH($E157,往来单位!$A$6:$A$85,0)),"否"))</f>
        <v/>
      </c>
      <c r="Y157" s="61" t="str">
        <f aca="false">IF($B157="","",YEAR($B157))</f>
        <v/>
      </c>
      <c r="Z157" s="58" t="str">
        <f aca="false">IF($B157="","",TEXT($B157,"yyyy-mm"))</f>
        <v/>
      </c>
    </row>
    <row r="158" customFormat="false" ht="15" hidden="false" customHeight="false" outlineLevel="0" collapsed="false">
      <c r="A158" s="53" t="str">
        <f aca="false">IF($B158="","",ROW()-5)</f>
        <v/>
      </c>
      <c r="B158" s="54"/>
      <c r="C158" s="33"/>
      <c r="D158" s="33"/>
      <c r="E158" s="32"/>
      <c r="F158" s="39"/>
      <c r="G158" s="48" t="str">
        <f aca="false">IF($F158="","",IFERROR(INDEX(商品档案!$B$6:$B$65,MATCH($F158,商品档案!$A$6:$A$65,0)),""))</f>
        <v/>
      </c>
      <c r="H158" s="48" t="str">
        <f aca="false">IF($F158="","",IFERROR(INDEX(商品档案!$C$6:$C$65,MATCH($F158,商品档案!$A$6:$A$65,0)),""))</f>
        <v/>
      </c>
      <c r="I158" s="55" t="str">
        <f aca="false">IF($F158="","",IFERROR(INDEX(商品档案!$D$6:$D$65,MATCH($F158,商品档案!$A$6:$A$65,0)),""))</f>
        <v/>
      </c>
      <c r="J158" s="49"/>
      <c r="K158" s="56"/>
      <c r="L158" s="33"/>
      <c r="M158" s="39"/>
      <c r="N158" s="41"/>
      <c r="O158" s="41"/>
      <c r="P158" s="25" t="str">
        <f aca="false">IF(AND($B158="",$D158="",$F158=""),"",IF(NOT(ISNUMBER($B158)),"日期无效",IF(ISNA(MATCH($C158,参数设置!$A$10:$A$12,0)),"公司无效",IF(ISNA(MATCH($D158,记账规则!$A$6:$A$9,0)),"业务类型无效",IF(ISNA(MATCH($F158,商品档案!$A$6:$A$65,0)),"商品编码无效",IF(IFERROR(INDEX(商品档案!$E$6:$E$65,MATCH($F158,商品档案!$A$6:$A$65,0)),"")&lt;&gt;$C158,"商品不属于该公司",IF(AND($E158&lt;&gt;"",ISNA(MATCH($E158,往来单位!$A$6:$A$85,0))),"往来单位未建档",IF(N($J158)=0,"数量为 0",IF(N($K158)=0,"单价为 0",IF(AND(LEFT($D158,2)="销售",$U158=""),"该商品没设成本科目",IF(YEAR($B158)&lt;&gt;参数设置!$B$5,"不在本会计年度","OK")))))))))))</f>
        <v/>
      </c>
      <c r="Q158" s="57" t="str">
        <f aca="false">IF($F158="","",ROUND(N($J158)*N($K158),2))</f>
        <v/>
      </c>
      <c r="R158" s="58" t="str">
        <f aca="false">IF($D158="","",IF(LEFT($D158,2)="销售","应收账款","应付账款"))</f>
        <v/>
      </c>
      <c r="S158" s="58" t="str">
        <f aca="false">IF($F158="","",IFERROR(INDEX(商品档案!$G$6:$G$65,MATCH($F158,商品档案!$A$6:$A$65,0)),""))</f>
        <v/>
      </c>
      <c r="T158" s="58" t="str">
        <f aca="false">IF($F158="","",IFERROR(INDEX(商品档案!$H$6:$H$65,MATCH($F158,商品档案!$A$6:$A$65,0)),""))</f>
        <v/>
      </c>
      <c r="U158" s="58" t="str">
        <f aca="false">IF($F158="","",IFERROR(INDEX(商品档案!$I$6:$I$65,MATCH($F158,商品档案!$A$6:$A$65,0)),""))</f>
        <v/>
      </c>
      <c r="V158" s="59" t="str">
        <f aca="false">IF($F158="","",SUMIFS(进销存台账!$N$6:$N$65,进销存台账!$A$6:$A$65,$C158,进销存台账!$B$6:$B$65,$F158))</f>
        <v/>
      </c>
      <c r="W158" s="60" t="n">
        <f aca="false">IF(OR($D158="销售出库",$D158="销售退回"),ROUND(N($J158)*N($V158),2),0)</f>
        <v>0</v>
      </c>
      <c r="X158" s="58" t="str">
        <f aca="false">IF($E158="","",IFERROR(INDEX(往来单位!$D$6:$D$85,MATCH($E158,往来单位!$A$6:$A$85,0)),"否"))</f>
        <v/>
      </c>
      <c r="Y158" s="61" t="str">
        <f aca="false">IF($B158="","",YEAR($B158))</f>
        <v/>
      </c>
      <c r="Z158" s="58" t="str">
        <f aca="false">IF($B158="","",TEXT($B158,"yyyy-mm"))</f>
        <v/>
      </c>
    </row>
    <row r="159" customFormat="false" ht="15" hidden="false" customHeight="false" outlineLevel="0" collapsed="false">
      <c r="A159" s="53" t="str">
        <f aca="false">IF($B159="","",ROW()-5)</f>
        <v/>
      </c>
      <c r="B159" s="54"/>
      <c r="C159" s="33"/>
      <c r="D159" s="33"/>
      <c r="E159" s="32"/>
      <c r="F159" s="39"/>
      <c r="G159" s="48" t="str">
        <f aca="false">IF($F159="","",IFERROR(INDEX(商品档案!$B$6:$B$65,MATCH($F159,商品档案!$A$6:$A$65,0)),""))</f>
        <v/>
      </c>
      <c r="H159" s="48" t="str">
        <f aca="false">IF($F159="","",IFERROR(INDEX(商品档案!$C$6:$C$65,MATCH($F159,商品档案!$A$6:$A$65,0)),""))</f>
        <v/>
      </c>
      <c r="I159" s="55" t="str">
        <f aca="false">IF($F159="","",IFERROR(INDEX(商品档案!$D$6:$D$65,MATCH($F159,商品档案!$A$6:$A$65,0)),""))</f>
        <v/>
      </c>
      <c r="J159" s="49"/>
      <c r="K159" s="56"/>
      <c r="L159" s="33"/>
      <c r="M159" s="39"/>
      <c r="N159" s="41"/>
      <c r="O159" s="41"/>
      <c r="P159" s="25" t="str">
        <f aca="false">IF(AND($B159="",$D159="",$F159=""),"",IF(NOT(ISNUMBER($B159)),"日期无效",IF(ISNA(MATCH($C159,参数设置!$A$10:$A$12,0)),"公司无效",IF(ISNA(MATCH($D159,记账规则!$A$6:$A$9,0)),"业务类型无效",IF(ISNA(MATCH($F159,商品档案!$A$6:$A$65,0)),"商品编码无效",IF(IFERROR(INDEX(商品档案!$E$6:$E$65,MATCH($F159,商品档案!$A$6:$A$65,0)),"")&lt;&gt;$C159,"商品不属于该公司",IF(AND($E159&lt;&gt;"",ISNA(MATCH($E159,往来单位!$A$6:$A$85,0))),"往来单位未建档",IF(N($J159)=0,"数量为 0",IF(N($K159)=0,"单价为 0",IF(AND(LEFT($D159,2)="销售",$U159=""),"该商品没设成本科目",IF(YEAR($B159)&lt;&gt;参数设置!$B$5,"不在本会计年度","OK")))))))))))</f>
        <v/>
      </c>
      <c r="Q159" s="57" t="str">
        <f aca="false">IF($F159="","",ROUND(N($J159)*N($K159),2))</f>
        <v/>
      </c>
      <c r="R159" s="58" t="str">
        <f aca="false">IF($D159="","",IF(LEFT($D159,2)="销售","应收账款","应付账款"))</f>
        <v/>
      </c>
      <c r="S159" s="58" t="str">
        <f aca="false">IF($F159="","",IFERROR(INDEX(商品档案!$G$6:$G$65,MATCH($F159,商品档案!$A$6:$A$65,0)),""))</f>
        <v/>
      </c>
      <c r="T159" s="58" t="str">
        <f aca="false">IF($F159="","",IFERROR(INDEX(商品档案!$H$6:$H$65,MATCH($F159,商品档案!$A$6:$A$65,0)),""))</f>
        <v/>
      </c>
      <c r="U159" s="58" t="str">
        <f aca="false">IF($F159="","",IFERROR(INDEX(商品档案!$I$6:$I$65,MATCH($F159,商品档案!$A$6:$A$65,0)),""))</f>
        <v/>
      </c>
      <c r="V159" s="59" t="str">
        <f aca="false">IF($F159="","",SUMIFS(进销存台账!$N$6:$N$65,进销存台账!$A$6:$A$65,$C159,进销存台账!$B$6:$B$65,$F159))</f>
        <v/>
      </c>
      <c r="W159" s="60" t="n">
        <f aca="false">IF(OR($D159="销售出库",$D159="销售退回"),ROUND(N($J159)*N($V159),2),0)</f>
        <v>0</v>
      </c>
      <c r="X159" s="58" t="str">
        <f aca="false">IF($E159="","",IFERROR(INDEX(往来单位!$D$6:$D$85,MATCH($E159,往来单位!$A$6:$A$85,0)),"否"))</f>
        <v/>
      </c>
      <c r="Y159" s="61" t="str">
        <f aca="false">IF($B159="","",YEAR($B159))</f>
        <v/>
      </c>
      <c r="Z159" s="58" t="str">
        <f aca="false">IF($B159="","",TEXT($B159,"yyyy-mm"))</f>
        <v/>
      </c>
    </row>
    <row r="160" customFormat="false" ht="15" hidden="false" customHeight="false" outlineLevel="0" collapsed="false">
      <c r="A160" s="53" t="str">
        <f aca="false">IF($B160="","",ROW()-5)</f>
        <v/>
      </c>
      <c r="B160" s="54"/>
      <c r="C160" s="33"/>
      <c r="D160" s="33"/>
      <c r="E160" s="32"/>
      <c r="F160" s="39"/>
      <c r="G160" s="48" t="str">
        <f aca="false">IF($F160="","",IFERROR(INDEX(商品档案!$B$6:$B$65,MATCH($F160,商品档案!$A$6:$A$65,0)),""))</f>
        <v/>
      </c>
      <c r="H160" s="48" t="str">
        <f aca="false">IF($F160="","",IFERROR(INDEX(商品档案!$C$6:$C$65,MATCH($F160,商品档案!$A$6:$A$65,0)),""))</f>
        <v/>
      </c>
      <c r="I160" s="55" t="str">
        <f aca="false">IF($F160="","",IFERROR(INDEX(商品档案!$D$6:$D$65,MATCH($F160,商品档案!$A$6:$A$65,0)),""))</f>
        <v/>
      </c>
      <c r="J160" s="49"/>
      <c r="K160" s="56"/>
      <c r="L160" s="33"/>
      <c r="M160" s="39"/>
      <c r="N160" s="41"/>
      <c r="O160" s="41"/>
      <c r="P160" s="25" t="str">
        <f aca="false">IF(AND($B160="",$D160="",$F160=""),"",IF(NOT(ISNUMBER($B160)),"日期无效",IF(ISNA(MATCH($C160,参数设置!$A$10:$A$12,0)),"公司无效",IF(ISNA(MATCH($D160,记账规则!$A$6:$A$9,0)),"业务类型无效",IF(ISNA(MATCH($F160,商品档案!$A$6:$A$65,0)),"商品编码无效",IF(IFERROR(INDEX(商品档案!$E$6:$E$65,MATCH($F160,商品档案!$A$6:$A$65,0)),"")&lt;&gt;$C160,"商品不属于该公司",IF(AND($E160&lt;&gt;"",ISNA(MATCH($E160,往来单位!$A$6:$A$85,0))),"往来单位未建档",IF(N($J160)=0,"数量为 0",IF(N($K160)=0,"单价为 0",IF(AND(LEFT($D160,2)="销售",$U160=""),"该商品没设成本科目",IF(YEAR($B160)&lt;&gt;参数设置!$B$5,"不在本会计年度","OK")))))))))))</f>
        <v/>
      </c>
      <c r="Q160" s="57" t="str">
        <f aca="false">IF($F160="","",ROUND(N($J160)*N($K160),2))</f>
        <v/>
      </c>
      <c r="R160" s="58" t="str">
        <f aca="false">IF($D160="","",IF(LEFT($D160,2)="销售","应收账款","应付账款"))</f>
        <v/>
      </c>
      <c r="S160" s="58" t="str">
        <f aca="false">IF($F160="","",IFERROR(INDEX(商品档案!$G$6:$G$65,MATCH($F160,商品档案!$A$6:$A$65,0)),""))</f>
        <v/>
      </c>
      <c r="T160" s="58" t="str">
        <f aca="false">IF($F160="","",IFERROR(INDEX(商品档案!$H$6:$H$65,MATCH($F160,商品档案!$A$6:$A$65,0)),""))</f>
        <v/>
      </c>
      <c r="U160" s="58" t="str">
        <f aca="false">IF($F160="","",IFERROR(INDEX(商品档案!$I$6:$I$65,MATCH($F160,商品档案!$A$6:$A$65,0)),""))</f>
        <v/>
      </c>
      <c r="V160" s="59" t="str">
        <f aca="false">IF($F160="","",SUMIFS(进销存台账!$N$6:$N$65,进销存台账!$A$6:$A$65,$C160,进销存台账!$B$6:$B$65,$F160))</f>
        <v/>
      </c>
      <c r="W160" s="60" t="n">
        <f aca="false">IF(OR($D160="销售出库",$D160="销售退回"),ROUND(N($J160)*N($V160),2),0)</f>
        <v>0</v>
      </c>
      <c r="X160" s="58" t="str">
        <f aca="false">IF($E160="","",IFERROR(INDEX(往来单位!$D$6:$D$85,MATCH($E160,往来单位!$A$6:$A$85,0)),"否"))</f>
        <v/>
      </c>
      <c r="Y160" s="61" t="str">
        <f aca="false">IF($B160="","",YEAR($B160))</f>
        <v/>
      </c>
      <c r="Z160" s="58" t="str">
        <f aca="false">IF($B160="","",TEXT($B160,"yyyy-mm"))</f>
        <v/>
      </c>
    </row>
    <row r="161" customFormat="false" ht="15" hidden="false" customHeight="false" outlineLevel="0" collapsed="false">
      <c r="A161" s="53" t="str">
        <f aca="false">IF($B161="","",ROW()-5)</f>
        <v/>
      </c>
      <c r="B161" s="54"/>
      <c r="C161" s="33"/>
      <c r="D161" s="33"/>
      <c r="E161" s="32"/>
      <c r="F161" s="39"/>
      <c r="G161" s="48" t="str">
        <f aca="false">IF($F161="","",IFERROR(INDEX(商品档案!$B$6:$B$65,MATCH($F161,商品档案!$A$6:$A$65,0)),""))</f>
        <v/>
      </c>
      <c r="H161" s="48" t="str">
        <f aca="false">IF($F161="","",IFERROR(INDEX(商品档案!$C$6:$C$65,MATCH($F161,商品档案!$A$6:$A$65,0)),""))</f>
        <v/>
      </c>
      <c r="I161" s="55" t="str">
        <f aca="false">IF($F161="","",IFERROR(INDEX(商品档案!$D$6:$D$65,MATCH($F161,商品档案!$A$6:$A$65,0)),""))</f>
        <v/>
      </c>
      <c r="J161" s="49"/>
      <c r="K161" s="56"/>
      <c r="L161" s="33"/>
      <c r="M161" s="39"/>
      <c r="N161" s="41"/>
      <c r="O161" s="41"/>
      <c r="P161" s="25" t="str">
        <f aca="false">IF(AND($B161="",$D161="",$F161=""),"",IF(NOT(ISNUMBER($B161)),"日期无效",IF(ISNA(MATCH($C161,参数设置!$A$10:$A$12,0)),"公司无效",IF(ISNA(MATCH($D161,记账规则!$A$6:$A$9,0)),"业务类型无效",IF(ISNA(MATCH($F161,商品档案!$A$6:$A$65,0)),"商品编码无效",IF(IFERROR(INDEX(商品档案!$E$6:$E$65,MATCH($F161,商品档案!$A$6:$A$65,0)),"")&lt;&gt;$C161,"商品不属于该公司",IF(AND($E161&lt;&gt;"",ISNA(MATCH($E161,往来单位!$A$6:$A$85,0))),"往来单位未建档",IF(N($J161)=0,"数量为 0",IF(N($K161)=0,"单价为 0",IF(AND(LEFT($D161,2)="销售",$U161=""),"该商品没设成本科目",IF(YEAR($B161)&lt;&gt;参数设置!$B$5,"不在本会计年度","OK")))))))))))</f>
        <v/>
      </c>
      <c r="Q161" s="57" t="str">
        <f aca="false">IF($F161="","",ROUND(N($J161)*N($K161),2))</f>
        <v/>
      </c>
      <c r="R161" s="58" t="str">
        <f aca="false">IF($D161="","",IF(LEFT($D161,2)="销售","应收账款","应付账款"))</f>
        <v/>
      </c>
      <c r="S161" s="58" t="str">
        <f aca="false">IF($F161="","",IFERROR(INDEX(商品档案!$G$6:$G$65,MATCH($F161,商品档案!$A$6:$A$65,0)),""))</f>
        <v/>
      </c>
      <c r="T161" s="58" t="str">
        <f aca="false">IF($F161="","",IFERROR(INDEX(商品档案!$H$6:$H$65,MATCH($F161,商品档案!$A$6:$A$65,0)),""))</f>
        <v/>
      </c>
      <c r="U161" s="58" t="str">
        <f aca="false">IF($F161="","",IFERROR(INDEX(商品档案!$I$6:$I$65,MATCH($F161,商品档案!$A$6:$A$65,0)),""))</f>
        <v/>
      </c>
      <c r="V161" s="59" t="str">
        <f aca="false">IF($F161="","",SUMIFS(进销存台账!$N$6:$N$65,进销存台账!$A$6:$A$65,$C161,进销存台账!$B$6:$B$65,$F161))</f>
        <v/>
      </c>
      <c r="W161" s="60" t="n">
        <f aca="false">IF(OR($D161="销售出库",$D161="销售退回"),ROUND(N($J161)*N($V161),2),0)</f>
        <v>0</v>
      </c>
      <c r="X161" s="58" t="str">
        <f aca="false">IF($E161="","",IFERROR(INDEX(往来单位!$D$6:$D$85,MATCH($E161,往来单位!$A$6:$A$85,0)),"否"))</f>
        <v/>
      </c>
      <c r="Y161" s="61" t="str">
        <f aca="false">IF($B161="","",YEAR($B161))</f>
        <v/>
      </c>
      <c r="Z161" s="58" t="str">
        <f aca="false">IF($B161="","",TEXT($B161,"yyyy-mm"))</f>
        <v/>
      </c>
    </row>
    <row r="162" customFormat="false" ht="15" hidden="false" customHeight="false" outlineLevel="0" collapsed="false">
      <c r="A162" s="53" t="str">
        <f aca="false">IF($B162="","",ROW()-5)</f>
        <v/>
      </c>
      <c r="B162" s="54"/>
      <c r="C162" s="33"/>
      <c r="D162" s="33"/>
      <c r="E162" s="32"/>
      <c r="F162" s="39"/>
      <c r="G162" s="48" t="str">
        <f aca="false">IF($F162="","",IFERROR(INDEX(商品档案!$B$6:$B$65,MATCH($F162,商品档案!$A$6:$A$65,0)),""))</f>
        <v/>
      </c>
      <c r="H162" s="48" t="str">
        <f aca="false">IF($F162="","",IFERROR(INDEX(商品档案!$C$6:$C$65,MATCH($F162,商品档案!$A$6:$A$65,0)),""))</f>
        <v/>
      </c>
      <c r="I162" s="55" t="str">
        <f aca="false">IF($F162="","",IFERROR(INDEX(商品档案!$D$6:$D$65,MATCH($F162,商品档案!$A$6:$A$65,0)),""))</f>
        <v/>
      </c>
      <c r="J162" s="49"/>
      <c r="K162" s="56"/>
      <c r="L162" s="33"/>
      <c r="M162" s="39"/>
      <c r="N162" s="41"/>
      <c r="O162" s="41"/>
      <c r="P162" s="25" t="str">
        <f aca="false">IF(AND($B162="",$D162="",$F162=""),"",IF(NOT(ISNUMBER($B162)),"日期无效",IF(ISNA(MATCH($C162,参数设置!$A$10:$A$12,0)),"公司无效",IF(ISNA(MATCH($D162,记账规则!$A$6:$A$9,0)),"业务类型无效",IF(ISNA(MATCH($F162,商品档案!$A$6:$A$65,0)),"商品编码无效",IF(IFERROR(INDEX(商品档案!$E$6:$E$65,MATCH($F162,商品档案!$A$6:$A$65,0)),"")&lt;&gt;$C162,"商品不属于该公司",IF(AND($E162&lt;&gt;"",ISNA(MATCH($E162,往来单位!$A$6:$A$85,0))),"往来单位未建档",IF(N($J162)=0,"数量为 0",IF(N($K162)=0,"单价为 0",IF(AND(LEFT($D162,2)="销售",$U162=""),"该商品没设成本科目",IF(YEAR($B162)&lt;&gt;参数设置!$B$5,"不在本会计年度","OK")))))))))))</f>
        <v/>
      </c>
      <c r="Q162" s="57" t="str">
        <f aca="false">IF($F162="","",ROUND(N($J162)*N($K162),2))</f>
        <v/>
      </c>
      <c r="R162" s="58" t="str">
        <f aca="false">IF($D162="","",IF(LEFT($D162,2)="销售","应收账款","应付账款"))</f>
        <v/>
      </c>
      <c r="S162" s="58" t="str">
        <f aca="false">IF($F162="","",IFERROR(INDEX(商品档案!$G$6:$G$65,MATCH($F162,商品档案!$A$6:$A$65,0)),""))</f>
        <v/>
      </c>
      <c r="T162" s="58" t="str">
        <f aca="false">IF($F162="","",IFERROR(INDEX(商品档案!$H$6:$H$65,MATCH($F162,商品档案!$A$6:$A$65,0)),""))</f>
        <v/>
      </c>
      <c r="U162" s="58" t="str">
        <f aca="false">IF($F162="","",IFERROR(INDEX(商品档案!$I$6:$I$65,MATCH($F162,商品档案!$A$6:$A$65,0)),""))</f>
        <v/>
      </c>
      <c r="V162" s="59" t="str">
        <f aca="false">IF($F162="","",SUMIFS(进销存台账!$N$6:$N$65,进销存台账!$A$6:$A$65,$C162,进销存台账!$B$6:$B$65,$F162))</f>
        <v/>
      </c>
      <c r="W162" s="60" t="n">
        <f aca="false">IF(OR($D162="销售出库",$D162="销售退回"),ROUND(N($J162)*N($V162),2),0)</f>
        <v>0</v>
      </c>
      <c r="X162" s="58" t="str">
        <f aca="false">IF($E162="","",IFERROR(INDEX(往来单位!$D$6:$D$85,MATCH($E162,往来单位!$A$6:$A$85,0)),"否"))</f>
        <v/>
      </c>
      <c r="Y162" s="61" t="str">
        <f aca="false">IF($B162="","",YEAR($B162))</f>
        <v/>
      </c>
      <c r="Z162" s="58" t="str">
        <f aca="false">IF($B162="","",TEXT($B162,"yyyy-mm"))</f>
        <v/>
      </c>
    </row>
    <row r="163" customFormat="false" ht="15" hidden="false" customHeight="false" outlineLevel="0" collapsed="false">
      <c r="A163" s="53" t="str">
        <f aca="false">IF($B163="","",ROW()-5)</f>
        <v/>
      </c>
      <c r="B163" s="54"/>
      <c r="C163" s="33"/>
      <c r="D163" s="33"/>
      <c r="E163" s="32"/>
      <c r="F163" s="39"/>
      <c r="G163" s="48" t="str">
        <f aca="false">IF($F163="","",IFERROR(INDEX(商品档案!$B$6:$B$65,MATCH($F163,商品档案!$A$6:$A$65,0)),""))</f>
        <v/>
      </c>
      <c r="H163" s="48" t="str">
        <f aca="false">IF($F163="","",IFERROR(INDEX(商品档案!$C$6:$C$65,MATCH($F163,商品档案!$A$6:$A$65,0)),""))</f>
        <v/>
      </c>
      <c r="I163" s="55" t="str">
        <f aca="false">IF($F163="","",IFERROR(INDEX(商品档案!$D$6:$D$65,MATCH($F163,商品档案!$A$6:$A$65,0)),""))</f>
        <v/>
      </c>
      <c r="J163" s="49"/>
      <c r="K163" s="56"/>
      <c r="L163" s="33"/>
      <c r="M163" s="39"/>
      <c r="N163" s="41"/>
      <c r="O163" s="41"/>
      <c r="P163" s="25" t="str">
        <f aca="false">IF(AND($B163="",$D163="",$F163=""),"",IF(NOT(ISNUMBER($B163)),"日期无效",IF(ISNA(MATCH($C163,参数设置!$A$10:$A$12,0)),"公司无效",IF(ISNA(MATCH($D163,记账规则!$A$6:$A$9,0)),"业务类型无效",IF(ISNA(MATCH($F163,商品档案!$A$6:$A$65,0)),"商品编码无效",IF(IFERROR(INDEX(商品档案!$E$6:$E$65,MATCH($F163,商品档案!$A$6:$A$65,0)),"")&lt;&gt;$C163,"商品不属于该公司",IF(AND($E163&lt;&gt;"",ISNA(MATCH($E163,往来单位!$A$6:$A$85,0))),"往来单位未建档",IF(N($J163)=0,"数量为 0",IF(N($K163)=0,"单价为 0",IF(AND(LEFT($D163,2)="销售",$U163=""),"该商品没设成本科目",IF(YEAR($B163)&lt;&gt;参数设置!$B$5,"不在本会计年度","OK")))))))))))</f>
        <v/>
      </c>
      <c r="Q163" s="57" t="str">
        <f aca="false">IF($F163="","",ROUND(N($J163)*N($K163),2))</f>
        <v/>
      </c>
      <c r="R163" s="58" t="str">
        <f aca="false">IF($D163="","",IF(LEFT($D163,2)="销售","应收账款","应付账款"))</f>
        <v/>
      </c>
      <c r="S163" s="58" t="str">
        <f aca="false">IF($F163="","",IFERROR(INDEX(商品档案!$G$6:$G$65,MATCH($F163,商品档案!$A$6:$A$65,0)),""))</f>
        <v/>
      </c>
      <c r="T163" s="58" t="str">
        <f aca="false">IF($F163="","",IFERROR(INDEX(商品档案!$H$6:$H$65,MATCH($F163,商品档案!$A$6:$A$65,0)),""))</f>
        <v/>
      </c>
      <c r="U163" s="58" t="str">
        <f aca="false">IF($F163="","",IFERROR(INDEX(商品档案!$I$6:$I$65,MATCH($F163,商品档案!$A$6:$A$65,0)),""))</f>
        <v/>
      </c>
      <c r="V163" s="59" t="str">
        <f aca="false">IF($F163="","",SUMIFS(进销存台账!$N$6:$N$65,进销存台账!$A$6:$A$65,$C163,进销存台账!$B$6:$B$65,$F163))</f>
        <v/>
      </c>
      <c r="W163" s="60" t="n">
        <f aca="false">IF(OR($D163="销售出库",$D163="销售退回"),ROUND(N($J163)*N($V163),2),0)</f>
        <v>0</v>
      </c>
      <c r="X163" s="58" t="str">
        <f aca="false">IF($E163="","",IFERROR(INDEX(往来单位!$D$6:$D$85,MATCH($E163,往来单位!$A$6:$A$85,0)),"否"))</f>
        <v/>
      </c>
      <c r="Y163" s="61" t="str">
        <f aca="false">IF($B163="","",YEAR($B163))</f>
        <v/>
      </c>
      <c r="Z163" s="58" t="str">
        <f aca="false">IF($B163="","",TEXT($B163,"yyyy-mm"))</f>
        <v/>
      </c>
    </row>
    <row r="164" customFormat="false" ht="15" hidden="false" customHeight="false" outlineLevel="0" collapsed="false">
      <c r="A164" s="53" t="str">
        <f aca="false">IF($B164="","",ROW()-5)</f>
        <v/>
      </c>
      <c r="B164" s="54"/>
      <c r="C164" s="33"/>
      <c r="D164" s="33"/>
      <c r="E164" s="32"/>
      <c r="F164" s="39"/>
      <c r="G164" s="48" t="str">
        <f aca="false">IF($F164="","",IFERROR(INDEX(商品档案!$B$6:$B$65,MATCH($F164,商品档案!$A$6:$A$65,0)),""))</f>
        <v/>
      </c>
      <c r="H164" s="48" t="str">
        <f aca="false">IF($F164="","",IFERROR(INDEX(商品档案!$C$6:$C$65,MATCH($F164,商品档案!$A$6:$A$65,0)),""))</f>
        <v/>
      </c>
      <c r="I164" s="55" t="str">
        <f aca="false">IF($F164="","",IFERROR(INDEX(商品档案!$D$6:$D$65,MATCH($F164,商品档案!$A$6:$A$65,0)),""))</f>
        <v/>
      </c>
      <c r="J164" s="49"/>
      <c r="K164" s="56"/>
      <c r="L164" s="33"/>
      <c r="M164" s="39"/>
      <c r="N164" s="41"/>
      <c r="O164" s="41"/>
      <c r="P164" s="25" t="str">
        <f aca="false">IF(AND($B164="",$D164="",$F164=""),"",IF(NOT(ISNUMBER($B164)),"日期无效",IF(ISNA(MATCH($C164,参数设置!$A$10:$A$12,0)),"公司无效",IF(ISNA(MATCH($D164,记账规则!$A$6:$A$9,0)),"业务类型无效",IF(ISNA(MATCH($F164,商品档案!$A$6:$A$65,0)),"商品编码无效",IF(IFERROR(INDEX(商品档案!$E$6:$E$65,MATCH($F164,商品档案!$A$6:$A$65,0)),"")&lt;&gt;$C164,"商品不属于该公司",IF(AND($E164&lt;&gt;"",ISNA(MATCH($E164,往来单位!$A$6:$A$85,0))),"往来单位未建档",IF(N($J164)=0,"数量为 0",IF(N($K164)=0,"单价为 0",IF(AND(LEFT($D164,2)="销售",$U164=""),"该商品没设成本科目",IF(YEAR($B164)&lt;&gt;参数设置!$B$5,"不在本会计年度","OK")))))))))))</f>
        <v/>
      </c>
      <c r="Q164" s="57" t="str">
        <f aca="false">IF($F164="","",ROUND(N($J164)*N($K164),2))</f>
        <v/>
      </c>
      <c r="R164" s="58" t="str">
        <f aca="false">IF($D164="","",IF(LEFT($D164,2)="销售","应收账款","应付账款"))</f>
        <v/>
      </c>
      <c r="S164" s="58" t="str">
        <f aca="false">IF($F164="","",IFERROR(INDEX(商品档案!$G$6:$G$65,MATCH($F164,商品档案!$A$6:$A$65,0)),""))</f>
        <v/>
      </c>
      <c r="T164" s="58" t="str">
        <f aca="false">IF($F164="","",IFERROR(INDEX(商品档案!$H$6:$H$65,MATCH($F164,商品档案!$A$6:$A$65,0)),""))</f>
        <v/>
      </c>
      <c r="U164" s="58" t="str">
        <f aca="false">IF($F164="","",IFERROR(INDEX(商品档案!$I$6:$I$65,MATCH($F164,商品档案!$A$6:$A$65,0)),""))</f>
        <v/>
      </c>
      <c r="V164" s="59" t="str">
        <f aca="false">IF($F164="","",SUMIFS(进销存台账!$N$6:$N$65,进销存台账!$A$6:$A$65,$C164,进销存台账!$B$6:$B$65,$F164))</f>
        <v/>
      </c>
      <c r="W164" s="60" t="n">
        <f aca="false">IF(OR($D164="销售出库",$D164="销售退回"),ROUND(N($J164)*N($V164),2),0)</f>
        <v>0</v>
      </c>
      <c r="X164" s="58" t="str">
        <f aca="false">IF($E164="","",IFERROR(INDEX(往来单位!$D$6:$D$85,MATCH($E164,往来单位!$A$6:$A$85,0)),"否"))</f>
        <v/>
      </c>
      <c r="Y164" s="61" t="str">
        <f aca="false">IF($B164="","",YEAR($B164))</f>
        <v/>
      </c>
      <c r="Z164" s="58" t="str">
        <f aca="false">IF($B164="","",TEXT($B164,"yyyy-mm"))</f>
        <v/>
      </c>
    </row>
    <row r="165" customFormat="false" ht="15" hidden="false" customHeight="false" outlineLevel="0" collapsed="false">
      <c r="A165" s="53" t="str">
        <f aca="false">IF($B165="","",ROW()-5)</f>
        <v/>
      </c>
      <c r="B165" s="54"/>
      <c r="C165" s="33"/>
      <c r="D165" s="33"/>
      <c r="E165" s="32"/>
      <c r="F165" s="39"/>
      <c r="G165" s="48" t="str">
        <f aca="false">IF($F165="","",IFERROR(INDEX(商品档案!$B$6:$B$65,MATCH($F165,商品档案!$A$6:$A$65,0)),""))</f>
        <v/>
      </c>
      <c r="H165" s="48" t="str">
        <f aca="false">IF($F165="","",IFERROR(INDEX(商品档案!$C$6:$C$65,MATCH($F165,商品档案!$A$6:$A$65,0)),""))</f>
        <v/>
      </c>
      <c r="I165" s="55" t="str">
        <f aca="false">IF($F165="","",IFERROR(INDEX(商品档案!$D$6:$D$65,MATCH($F165,商品档案!$A$6:$A$65,0)),""))</f>
        <v/>
      </c>
      <c r="J165" s="49"/>
      <c r="K165" s="56"/>
      <c r="L165" s="33"/>
      <c r="M165" s="39"/>
      <c r="N165" s="41"/>
      <c r="O165" s="41"/>
      <c r="P165" s="25" t="str">
        <f aca="false">IF(AND($B165="",$D165="",$F165=""),"",IF(NOT(ISNUMBER($B165)),"日期无效",IF(ISNA(MATCH($C165,参数设置!$A$10:$A$12,0)),"公司无效",IF(ISNA(MATCH($D165,记账规则!$A$6:$A$9,0)),"业务类型无效",IF(ISNA(MATCH($F165,商品档案!$A$6:$A$65,0)),"商品编码无效",IF(IFERROR(INDEX(商品档案!$E$6:$E$65,MATCH($F165,商品档案!$A$6:$A$65,0)),"")&lt;&gt;$C165,"商品不属于该公司",IF(AND($E165&lt;&gt;"",ISNA(MATCH($E165,往来单位!$A$6:$A$85,0))),"往来单位未建档",IF(N($J165)=0,"数量为 0",IF(N($K165)=0,"单价为 0",IF(AND(LEFT($D165,2)="销售",$U165=""),"该商品没设成本科目",IF(YEAR($B165)&lt;&gt;参数设置!$B$5,"不在本会计年度","OK")))))))))))</f>
        <v/>
      </c>
      <c r="Q165" s="57" t="str">
        <f aca="false">IF($F165="","",ROUND(N($J165)*N($K165),2))</f>
        <v/>
      </c>
      <c r="R165" s="58" t="str">
        <f aca="false">IF($D165="","",IF(LEFT($D165,2)="销售","应收账款","应付账款"))</f>
        <v/>
      </c>
      <c r="S165" s="58" t="str">
        <f aca="false">IF($F165="","",IFERROR(INDEX(商品档案!$G$6:$G$65,MATCH($F165,商品档案!$A$6:$A$65,0)),""))</f>
        <v/>
      </c>
      <c r="T165" s="58" t="str">
        <f aca="false">IF($F165="","",IFERROR(INDEX(商品档案!$H$6:$H$65,MATCH($F165,商品档案!$A$6:$A$65,0)),""))</f>
        <v/>
      </c>
      <c r="U165" s="58" t="str">
        <f aca="false">IF($F165="","",IFERROR(INDEX(商品档案!$I$6:$I$65,MATCH($F165,商品档案!$A$6:$A$65,0)),""))</f>
        <v/>
      </c>
      <c r="V165" s="59" t="str">
        <f aca="false">IF($F165="","",SUMIFS(进销存台账!$N$6:$N$65,进销存台账!$A$6:$A$65,$C165,进销存台账!$B$6:$B$65,$F165))</f>
        <v/>
      </c>
      <c r="W165" s="60" t="n">
        <f aca="false">IF(OR($D165="销售出库",$D165="销售退回"),ROUND(N($J165)*N($V165),2),0)</f>
        <v>0</v>
      </c>
      <c r="X165" s="58" t="str">
        <f aca="false">IF($E165="","",IFERROR(INDEX(往来单位!$D$6:$D$85,MATCH($E165,往来单位!$A$6:$A$85,0)),"否"))</f>
        <v/>
      </c>
      <c r="Y165" s="61" t="str">
        <f aca="false">IF($B165="","",YEAR($B165))</f>
        <v/>
      </c>
      <c r="Z165" s="58" t="str">
        <f aca="false">IF($B165="","",TEXT($B165,"yyyy-mm"))</f>
        <v/>
      </c>
    </row>
    <row r="166" customFormat="false" ht="15" hidden="false" customHeight="false" outlineLevel="0" collapsed="false">
      <c r="A166" s="53" t="str">
        <f aca="false">IF($B166="","",ROW()-5)</f>
        <v/>
      </c>
      <c r="B166" s="54"/>
      <c r="C166" s="33"/>
      <c r="D166" s="33"/>
      <c r="E166" s="32"/>
      <c r="F166" s="39"/>
      <c r="G166" s="48" t="str">
        <f aca="false">IF($F166="","",IFERROR(INDEX(商品档案!$B$6:$B$65,MATCH($F166,商品档案!$A$6:$A$65,0)),""))</f>
        <v/>
      </c>
      <c r="H166" s="48" t="str">
        <f aca="false">IF($F166="","",IFERROR(INDEX(商品档案!$C$6:$C$65,MATCH($F166,商品档案!$A$6:$A$65,0)),""))</f>
        <v/>
      </c>
      <c r="I166" s="55" t="str">
        <f aca="false">IF($F166="","",IFERROR(INDEX(商品档案!$D$6:$D$65,MATCH($F166,商品档案!$A$6:$A$65,0)),""))</f>
        <v/>
      </c>
      <c r="J166" s="49"/>
      <c r="K166" s="56"/>
      <c r="L166" s="33"/>
      <c r="M166" s="39"/>
      <c r="N166" s="41"/>
      <c r="O166" s="41"/>
      <c r="P166" s="25" t="str">
        <f aca="false">IF(AND($B166="",$D166="",$F166=""),"",IF(NOT(ISNUMBER($B166)),"日期无效",IF(ISNA(MATCH($C166,参数设置!$A$10:$A$12,0)),"公司无效",IF(ISNA(MATCH($D166,记账规则!$A$6:$A$9,0)),"业务类型无效",IF(ISNA(MATCH($F166,商品档案!$A$6:$A$65,0)),"商品编码无效",IF(IFERROR(INDEX(商品档案!$E$6:$E$65,MATCH($F166,商品档案!$A$6:$A$65,0)),"")&lt;&gt;$C166,"商品不属于该公司",IF(AND($E166&lt;&gt;"",ISNA(MATCH($E166,往来单位!$A$6:$A$85,0))),"往来单位未建档",IF(N($J166)=0,"数量为 0",IF(N($K166)=0,"单价为 0",IF(AND(LEFT($D166,2)="销售",$U166=""),"该商品没设成本科目",IF(YEAR($B166)&lt;&gt;参数设置!$B$5,"不在本会计年度","OK")))))))))))</f>
        <v/>
      </c>
      <c r="Q166" s="57" t="str">
        <f aca="false">IF($F166="","",ROUND(N($J166)*N($K166),2))</f>
        <v/>
      </c>
      <c r="R166" s="58" t="str">
        <f aca="false">IF($D166="","",IF(LEFT($D166,2)="销售","应收账款","应付账款"))</f>
        <v/>
      </c>
      <c r="S166" s="58" t="str">
        <f aca="false">IF($F166="","",IFERROR(INDEX(商品档案!$G$6:$G$65,MATCH($F166,商品档案!$A$6:$A$65,0)),""))</f>
        <v/>
      </c>
      <c r="T166" s="58" t="str">
        <f aca="false">IF($F166="","",IFERROR(INDEX(商品档案!$H$6:$H$65,MATCH($F166,商品档案!$A$6:$A$65,0)),""))</f>
        <v/>
      </c>
      <c r="U166" s="58" t="str">
        <f aca="false">IF($F166="","",IFERROR(INDEX(商品档案!$I$6:$I$65,MATCH($F166,商品档案!$A$6:$A$65,0)),""))</f>
        <v/>
      </c>
      <c r="V166" s="59" t="str">
        <f aca="false">IF($F166="","",SUMIFS(进销存台账!$N$6:$N$65,进销存台账!$A$6:$A$65,$C166,进销存台账!$B$6:$B$65,$F166))</f>
        <v/>
      </c>
      <c r="W166" s="60" t="n">
        <f aca="false">IF(OR($D166="销售出库",$D166="销售退回"),ROUND(N($J166)*N($V166),2),0)</f>
        <v>0</v>
      </c>
      <c r="X166" s="58" t="str">
        <f aca="false">IF($E166="","",IFERROR(INDEX(往来单位!$D$6:$D$85,MATCH($E166,往来单位!$A$6:$A$85,0)),"否"))</f>
        <v/>
      </c>
      <c r="Y166" s="61" t="str">
        <f aca="false">IF($B166="","",YEAR($B166))</f>
        <v/>
      </c>
      <c r="Z166" s="58" t="str">
        <f aca="false">IF($B166="","",TEXT($B166,"yyyy-mm"))</f>
        <v/>
      </c>
    </row>
    <row r="167" customFormat="false" ht="15" hidden="false" customHeight="false" outlineLevel="0" collapsed="false">
      <c r="A167" s="53" t="str">
        <f aca="false">IF($B167="","",ROW()-5)</f>
        <v/>
      </c>
      <c r="B167" s="54"/>
      <c r="C167" s="33"/>
      <c r="D167" s="33"/>
      <c r="E167" s="32"/>
      <c r="F167" s="39"/>
      <c r="G167" s="48" t="str">
        <f aca="false">IF($F167="","",IFERROR(INDEX(商品档案!$B$6:$B$65,MATCH($F167,商品档案!$A$6:$A$65,0)),""))</f>
        <v/>
      </c>
      <c r="H167" s="48" t="str">
        <f aca="false">IF($F167="","",IFERROR(INDEX(商品档案!$C$6:$C$65,MATCH($F167,商品档案!$A$6:$A$65,0)),""))</f>
        <v/>
      </c>
      <c r="I167" s="55" t="str">
        <f aca="false">IF($F167="","",IFERROR(INDEX(商品档案!$D$6:$D$65,MATCH($F167,商品档案!$A$6:$A$65,0)),""))</f>
        <v/>
      </c>
      <c r="J167" s="49"/>
      <c r="K167" s="56"/>
      <c r="L167" s="33"/>
      <c r="M167" s="39"/>
      <c r="N167" s="41"/>
      <c r="O167" s="41"/>
      <c r="P167" s="25" t="str">
        <f aca="false">IF(AND($B167="",$D167="",$F167=""),"",IF(NOT(ISNUMBER($B167)),"日期无效",IF(ISNA(MATCH($C167,参数设置!$A$10:$A$12,0)),"公司无效",IF(ISNA(MATCH($D167,记账规则!$A$6:$A$9,0)),"业务类型无效",IF(ISNA(MATCH($F167,商品档案!$A$6:$A$65,0)),"商品编码无效",IF(IFERROR(INDEX(商品档案!$E$6:$E$65,MATCH($F167,商品档案!$A$6:$A$65,0)),"")&lt;&gt;$C167,"商品不属于该公司",IF(AND($E167&lt;&gt;"",ISNA(MATCH($E167,往来单位!$A$6:$A$85,0))),"往来单位未建档",IF(N($J167)=0,"数量为 0",IF(N($K167)=0,"单价为 0",IF(AND(LEFT($D167,2)="销售",$U167=""),"该商品没设成本科目",IF(YEAR($B167)&lt;&gt;参数设置!$B$5,"不在本会计年度","OK")))))))))))</f>
        <v/>
      </c>
      <c r="Q167" s="57" t="str">
        <f aca="false">IF($F167="","",ROUND(N($J167)*N($K167),2))</f>
        <v/>
      </c>
      <c r="R167" s="58" t="str">
        <f aca="false">IF($D167="","",IF(LEFT($D167,2)="销售","应收账款","应付账款"))</f>
        <v/>
      </c>
      <c r="S167" s="58" t="str">
        <f aca="false">IF($F167="","",IFERROR(INDEX(商品档案!$G$6:$G$65,MATCH($F167,商品档案!$A$6:$A$65,0)),""))</f>
        <v/>
      </c>
      <c r="T167" s="58" t="str">
        <f aca="false">IF($F167="","",IFERROR(INDEX(商品档案!$H$6:$H$65,MATCH($F167,商品档案!$A$6:$A$65,0)),""))</f>
        <v/>
      </c>
      <c r="U167" s="58" t="str">
        <f aca="false">IF($F167="","",IFERROR(INDEX(商品档案!$I$6:$I$65,MATCH($F167,商品档案!$A$6:$A$65,0)),""))</f>
        <v/>
      </c>
      <c r="V167" s="59" t="str">
        <f aca="false">IF($F167="","",SUMIFS(进销存台账!$N$6:$N$65,进销存台账!$A$6:$A$65,$C167,进销存台账!$B$6:$B$65,$F167))</f>
        <v/>
      </c>
      <c r="W167" s="60" t="n">
        <f aca="false">IF(OR($D167="销售出库",$D167="销售退回"),ROUND(N($J167)*N($V167),2),0)</f>
        <v>0</v>
      </c>
      <c r="X167" s="58" t="str">
        <f aca="false">IF($E167="","",IFERROR(INDEX(往来单位!$D$6:$D$85,MATCH($E167,往来单位!$A$6:$A$85,0)),"否"))</f>
        <v/>
      </c>
      <c r="Y167" s="61" t="str">
        <f aca="false">IF($B167="","",YEAR($B167))</f>
        <v/>
      </c>
      <c r="Z167" s="58" t="str">
        <f aca="false">IF($B167="","",TEXT($B167,"yyyy-mm"))</f>
        <v/>
      </c>
    </row>
    <row r="168" customFormat="false" ht="15" hidden="false" customHeight="false" outlineLevel="0" collapsed="false">
      <c r="A168" s="53" t="str">
        <f aca="false">IF($B168="","",ROW()-5)</f>
        <v/>
      </c>
      <c r="B168" s="54"/>
      <c r="C168" s="33"/>
      <c r="D168" s="33"/>
      <c r="E168" s="32"/>
      <c r="F168" s="39"/>
      <c r="G168" s="48" t="str">
        <f aca="false">IF($F168="","",IFERROR(INDEX(商品档案!$B$6:$B$65,MATCH($F168,商品档案!$A$6:$A$65,0)),""))</f>
        <v/>
      </c>
      <c r="H168" s="48" t="str">
        <f aca="false">IF($F168="","",IFERROR(INDEX(商品档案!$C$6:$C$65,MATCH($F168,商品档案!$A$6:$A$65,0)),""))</f>
        <v/>
      </c>
      <c r="I168" s="55" t="str">
        <f aca="false">IF($F168="","",IFERROR(INDEX(商品档案!$D$6:$D$65,MATCH($F168,商品档案!$A$6:$A$65,0)),""))</f>
        <v/>
      </c>
      <c r="J168" s="49"/>
      <c r="K168" s="56"/>
      <c r="L168" s="33"/>
      <c r="M168" s="39"/>
      <c r="N168" s="41"/>
      <c r="O168" s="41"/>
      <c r="P168" s="25" t="str">
        <f aca="false">IF(AND($B168="",$D168="",$F168=""),"",IF(NOT(ISNUMBER($B168)),"日期无效",IF(ISNA(MATCH($C168,参数设置!$A$10:$A$12,0)),"公司无效",IF(ISNA(MATCH($D168,记账规则!$A$6:$A$9,0)),"业务类型无效",IF(ISNA(MATCH($F168,商品档案!$A$6:$A$65,0)),"商品编码无效",IF(IFERROR(INDEX(商品档案!$E$6:$E$65,MATCH($F168,商品档案!$A$6:$A$65,0)),"")&lt;&gt;$C168,"商品不属于该公司",IF(AND($E168&lt;&gt;"",ISNA(MATCH($E168,往来单位!$A$6:$A$85,0))),"往来单位未建档",IF(N($J168)=0,"数量为 0",IF(N($K168)=0,"单价为 0",IF(AND(LEFT($D168,2)="销售",$U168=""),"该商品没设成本科目",IF(YEAR($B168)&lt;&gt;参数设置!$B$5,"不在本会计年度","OK")))))))))))</f>
        <v/>
      </c>
      <c r="Q168" s="57" t="str">
        <f aca="false">IF($F168="","",ROUND(N($J168)*N($K168),2))</f>
        <v/>
      </c>
      <c r="R168" s="58" t="str">
        <f aca="false">IF($D168="","",IF(LEFT($D168,2)="销售","应收账款","应付账款"))</f>
        <v/>
      </c>
      <c r="S168" s="58" t="str">
        <f aca="false">IF($F168="","",IFERROR(INDEX(商品档案!$G$6:$G$65,MATCH($F168,商品档案!$A$6:$A$65,0)),""))</f>
        <v/>
      </c>
      <c r="T168" s="58" t="str">
        <f aca="false">IF($F168="","",IFERROR(INDEX(商品档案!$H$6:$H$65,MATCH($F168,商品档案!$A$6:$A$65,0)),""))</f>
        <v/>
      </c>
      <c r="U168" s="58" t="str">
        <f aca="false">IF($F168="","",IFERROR(INDEX(商品档案!$I$6:$I$65,MATCH($F168,商品档案!$A$6:$A$65,0)),""))</f>
        <v/>
      </c>
      <c r="V168" s="59" t="str">
        <f aca="false">IF($F168="","",SUMIFS(进销存台账!$N$6:$N$65,进销存台账!$A$6:$A$65,$C168,进销存台账!$B$6:$B$65,$F168))</f>
        <v/>
      </c>
      <c r="W168" s="60" t="n">
        <f aca="false">IF(OR($D168="销售出库",$D168="销售退回"),ROUND(N($J168)*N($V168),2),0)</f>
        <v>0</v>
      </c>
      <c r="X168" s="58" t="str">
        <f aca="false">IF($E168="","",IFERROR(INDEX(往来单位!$D$6:$D$85,MATCH($E168,往来单位!$A$6:$A$85,0)),"否"))</f>
        <v/>
      </c>
      <c r="Y168" s="61" t="str">
        <f aca="false">IF($B168="","",YEAR($B168))</f>
        <v/>
      </c>
      <c r="Z168" s="58" t="str">
        <f aca="false">IF($B168="","",TEXT($B168,"yyyy-mm"))</f>
        <v/>
      </c>
    </row>
    <row r="169" customFormat="false" ht="15" hidden="false" customHeight="false" outlineLevel="0" collapsed="false">
      <c r="A169" s="53" t="str">
        <f aca="false">IF($B169="","",ROW()-5)</f>
        <v/>
      </c>
      <c r="B169" s="54"/>
      <c r="C169" s="33"/>
      <c r="D169" s="33"/>
      <c r="E169" s="32"/>
      <c r="F169" s="39"/>
      <c r="G169" s="48" t="str">
        <f aca="false">IF($F169="","",IFERROR(INDEX(商品档案!$B$6:$B$65,MATCH($F169,商品档案!$A$6:$A$65,0)),""))</f>
        <v/>
      </c>
      <c r="H169" s="48" t="str">
        <f aca="false">IF($F169="","",IFERROR(INDEX(商品档案!$C$6:$C$65,MATCH($F169,商品档案!$A$6:$A$65,0)),""))</f>
        <v/>
      </c>
      <c r="I169" s="55" t="str">
        <f aca="false">IF($F169="","",IFERROR(INDEX(商品档案!$D$6:$D$65,MATCH($F169,商品档案!$A$6:$A$65,0)),""))</f>
        <v/>
      </c>
      <c r="J169" s="49"/>
      <c r="K169" s="56"/>
      <c r="L169" s="33"/>
      <c r="M169" s="39"/>
      <c r="N169" s="41"/>
      <c r="O169" s="41"/>
      <c r="P169" s="25" t="str">
        <f aca="false">IF(AND($B169="",$D169="",$F169=""),"",IF(NOT(ISNUMBER($B169)),"日期无效",IF(ISNA(MATCH($C169,参数设置!$A$10:$A$12,0)),"公司无效",IF(ISNA(MATCH($D169,记账规则!$A$6:$A$9,0)),"业务类型无效",IF(ISNA(MATCH($F169,商品档案!$A$6:$A$65,0)),"商品编码无效",IF(IFERROR(INDEX(商品档案!$E$6:$E$65,MATCH($F169,商品档案!$A$6:$A$65,0)),"")&lt;&gt;$C169,"商品不属于该公司",IF(AND($E169&lt;&gt;"",ISNA(MATCH($E169,往来单位!$A$6:$A$85,0))),"往来单位未建档",IF(N($J169)=0,"数量为 0",IF(N($K169)=0,"单价为 0",IF(AND(LEFT($D169,2)="销售",$U169=""),"该商品没设成本科目",IF(YEAR($B169)&lt;&gt;参数设置!$B$5,"不在本会计年度","OK")))))))))))</f>
        <v/>
      </c>
      <c r="Q169" s="57" t="str">
        <f aca="false">IF($F169="","",ROUND(N($J169)*N($K169),2))</f>
        <v/>
      </c>
      <c r="R169" s="58" t="str">
        <f aca="false">IF($D169="","",IF(LEFT($D169,2)="销售","应收账款","应付账款"))</f>
        <v/>
      </c>
      <c r="S169" s="58" t="str">
        <f aca="false">IF($F169="","",IFERROR(INDEX(商品档案!$G$6:$G$65,MATCH($F169,商品档案!$A$6:$A$65,0)),""))</f>
        <v/>
      </c>
      <c r="T169" s="58" t="str">
        <f aca="false">IF($F169="","",IFERROR(INDEX(商品档案!$H$6:$H$65,MATCH($F169,商品档案!$A$6:$A$65,0)),""))</f>
        <v/>
      </c>
      <c r="U169" s="58" t="str">
        <f aca="false">IF($F169="","",IFERROR(INDEX(商品档案!$I$6:$I$65,MATCH($F169,商品档案!$A$6:$A$65,0)),""))</f>
        <v/>
      </c>
      <c r="V169" s="59" t="str">
        <f aca="false">IF($F169="","",SUMIFS(进销存台账!$N$6:$N$65,进销存台账!$A$6:$A$65,$C169,进销存台账!$B$6:$B$65,$F169))</f>
        <v/>
      </c>
      <c r="W169" s="60" t="n">
        <f aca="false">IF(OR($D169="销售出库",$D169="销售退回"),ROUND(N($J169)*N($V169),2),0)</f>
        <v>0</v>
      </c>
      <c r="X169" s="58" t="str">
        <f aca="false">IF($E169="","",IFERROR(INDEX(往来单位!$D$6:$D$85,MATCH($E169,往来单位!$A$6:$A$85,0)),"否"))</f>
        <v/>
      </c>
      <c r="Y169" s="61" t="str">
        <f aca="false">IF($B169="","",YEAR($B169))</f>
        <v/>
      </c>
      <c r="Z169" s="58" t="str">
        <f aca="false">IF($B169="","",TEXT($B169,"yyyy-mm"))</f>
        <v/>
      </c>
    </row>
    <row r="170" customFormat="false" ht="15" hidden="false" customHeight="false" outlineLevel="0" collapsed="false">
      <c r="A170" s="53" t="str">
        <f aca="false">IF($B170="","",ROW()-5)</f>
        <v/>
      </c>
      <c r="B170" s="54"/>
      <c r="C170" s="33"/>
      <c r="D170" s="33"/>
      <c r="E170" s="32"/>
      <c r="F170" s="39"/>
      <c r="G170" s="48" t="str">
        <f aca="false">IF($F170="","",IFERROR(INDEX(商品档案!$B$6:$B$65,MATCH($F170,商品档案!$A$6:$A$65,0)),""))</f>
        <v/>
      </c>
      <c r="H170" s="48" t="str">
        <f aca="false">IF($F170="","",IFERROR(INDEX(商品档案!$C$6:$C$65,MATCH($F170,商品档案!$A$6:$A$65,0)),""))</f>
        <v/>
      </c>
      <c r="I170" s="55" t="str">
        <f aca="false">IF($F170="","",IFERROR(INDEX(商品档案!$D$6:$D$65,MATCH($F170,商品档案!$A$6:$A$65,0)),""))</f>
        <v/>
      </c>
      <c r="J170" s="49"/>
      <c r="K170" s="56"/>
      <c r="L170" s="33"/>
      <c r="M170" s="39"/>
      <c r="N170" s="41"/>
      <c r="O170" s="41"/>
      <c r="P170" s="25" t="str">
        <f aca="false">IF(AND($B170="",$D170="",$F170=""),"",IF(NOT(ISNUMBER($B170)),"日期无效",IF(ISNA(MATCH($C170,参数设置!$A$10:$A$12,0)),"公司无效",IF(ISNA(MATCH($D170,记账规则!$A$6:$A$9,0)),"业务类型无效",IF(ISNA(MATCH($F170,商品档案!$A$6:$A$65,0)),"商品编码无效",IF(IFERROR(INDEX(商品档案!$E$6:$E$65,MATCH($F170,商品档案!$A$6:$A$65,0)),"")&lt;&gt;$C170,"商品不属于该公司",IF(AND($E170&lt;&gt;"",ISNA(MATCH($E170,往来单位!$A$6:$A$85,0))),"往来单位未建档",IF(N($J170)=0,"数量为 0",IF(N($K170)=0,"单价为 0",IF(AND(LEFT($D170,2)="销售",$U170=""),"该商品没设成本科目",IF(YEAR($B170)&lt;&gt;参数设置!$B$5,"不在本会计年度","OK")))))))))))</f>
        <v/>
      </c>
      <c r="Q170" s="57" t="str">
        <f aca="false">IF($F170="","",ROUND(N($J170)*N($K170),2))</f>
        <v/>
      </c>
      <c r="R170" s="58" t="str">
        <f aca="false">IF($D170="","",IF(LEFT($D170,2)="销售","应收账款","应付账款"))</f>
        <v/>
      </c>
      <c r="S170" s="58" t="str">
        <f aca="false">IF($F170="","",IFERROR(INDEX(商品档案!$G$6:$G$65,MATCH($F170,商品档案!$A$6:$A$65,0)),""))</f>
        <v/>
      </c>
      <c r="T170" s="58" t="str">
        <f aca="false">IF($F170="","",IFERROR(INDEX(商品档案!$H$6:$H$65,MATCH($F170,商品档案!$A$6:$A$65,0)),""))</f>
        <v/>
      </c>
      <c r="U170" s="58" t="str">
        <f aca="false">IF($F170="","",IFERROR(INDEX(商品档案!$I$6:$I$65,MATCH($F170,商品档案!$A$6:$A$65,0)),""))</f>
        <v/>
      </c>
      <c r="V170" s="59" t="str">
        <f aca="false">IF($F170="","",SUMIFS(进销存台账!$N$6:$N$65,进销存台账!$A$6:$A$65,$C170,进销存台账!$B$6:$B$65,$F170))</f>
        <v/>
      </c>
      <c r="W170" s="60" t="n">
        <f aca="false">IF(OR($D170="销售出库",$D170="销售退回"),ROUND(N($J170)*N($V170),2),0)</f>
        <v>0</v>
      </c>
      <c r="X170" s="58" t="str">
        <f aca="false">IF($E170="","",IFERROR(INDEX(往来单位!$D$6:$D$85,MATCH($E170,往来单位!$A$6:$A$85,0)),"否"))</f>
        <v/>
      </c>
      <c r="Y170" s="61" t="str">
        <f aca="false">IF($B170="","",YEAR($B170))</f>
        <v/>
      </c>
      <c r="Z170" s="58" t="str">
        <f aca="false">IF($B170="","",TEXT($B170,"yyyy-mm"))</f>
        <v/>
      </c>
    </row>
    <row r="171" customFormat="false" ht="15" hidden="false" customHeight="false" outlineLevel="0" collapsed="false">
      <c r="A171" s="53" t="str">
        <f aca="false">IF($B171="","",ROW()-5)</f>
        <v/>
      </c>
      <c r="B171" s="54"/>
      <c r="C171" s="33"/>
      <c r="D171" s="33"/>
      <c r="E171" s="32"/>
      <c r="F171" s="39"/>
      <c r="G171" s="48" t="str">
        <f aca="false">IF($F171="","",IFERROR(INDEX(商品档案!$B$6:$B$65,MATCH($F171,商品档案!$A$6:$A$65,0)),""))</f>
        <v/>
      </c>
      <c r="H171" s="48" t="str">
        <f aca="false">IF($F171="","",IFERROR(INDEX(商品档案!$C$6:$C$65,MATCH($F171,商品档案!$A$6:$A$65,0)),""))</f>
        <v/>
      </c>
      <c r="I171" s="55" t="str">
        <f aca="false">IF($F171="","",IFERROR(INDEX(商品档案!$D$6:$D$65,MATCH($F171,商品档案!$A$6:$A$65,0)),""))</f>
        <v/>
      </c>
      <c r="J171" s="49"/>
      <c r="K171" s="56"/>
      <c r="L171" s="33"/>
      <c r="M171" s="39"/>
      <c r="N171" s="41"/>
      <c r="O171" s="41"/>
      <c r="P171" s="25" t="str">
        <f aca="false">IF(AND($B171="",$D171="",$F171=""),"",IF(NOT(ISNUMBER($B171)),"日期无效",IF(ISNA(MATCH($C171,参数设置!$A$10:$A$12,0)),"公司无效",IF(ISNA(MATCH($D171,记账规则!$A$6:$A$9,0)),"业务类型无效",IF(ISNA(MATCH($F171,商品档案!$A$6:$A$65,0)),"商品编码无效",IF(IFERROR(INDEX(商品档案!$E$6:$E$65,MATCH($F171,商品档案!$A$6:$A$65,0)),"")&lt;&gt;$C171,"商品不属于该公司",IF(AND($E171&lt;&gt;"",ISNA(MATCH($E171,往来单位!$A$6:$A$85,0))),"往来单位未建档",IF(N($J171)=0,"数量为 0",IF(N($K171)=0,"单价为 0",IF(AND(LEFT($D171,2)="销售",$U171=""),"该商品没设成本科目",IF(YEAR($B171)&lt;&gt;参数设置!$B$5,"不在本会计年度","OK")))))))))))</f>
        <v/>
      </c>
      <c r="Q171" s="57" t="str">
        <f aca="false">IF($F171="","",ROUND(N($J171)*N($K171),2))</f>
        <v/>
      </c>
      <c r="R171" s="58" t="str">
        <f aca="false">IF($D171="","",IF(LEFT($D171,2)="销售","应收账款","应付账款"))</f>
        <v/>
      </c>
      <c r="S171" s="58" t="str">
        <f aca="false">IF($F171="","",IFERROR(INDEX(商品档案!$G$6:$G$65,MATCH($F171,商品档案!$A$6:$A$65,0)),""))</f>
        <v/>
      </c>
      <c r="T171" s="58" t="str">
        <f aca="false">IF($F171="","",IFERROR(INDEX(商品档案!$H$6:$H$65,MATCH($F171,商品档案!$A$6:$A$65,0)),""))</f>
        <v/>
      </c>
      <c r="U171" s="58" t="str">
        <f aca="false">IF($F171="","",IFERROR(INDEX(商品档案!$I$6:$I$65,MATCH($F171,商品档案!$A$6:$A$65,0)),""))</f>
        <v/>
      </c>
      <c r="V171" s="59" t="str">
        <f aca="false">IF($F171="","",SUMIFS(进销存台账!$N$6:$N$65,进销存台账!$A$6:$A$65,$C171,进销存台账!$B$6:$B$65,$F171))</f>
        <v/>
      </c>
      <c r="W171" s="60" t="n">
        <f aca="false">IF(OR($D171="销售出库",$D171="销售退回"),ROUND(N($J171)*N($V171),2),0)</f>
        <v>0</v>
      </c>
      <c r="X171" s="58" t="str">
        <f aca="false">IF($E171="","",IFERROR(INDEX(往来单位!$D$6:$D$85,MATCH($E171,往来单位!$A$6:$A$85,0)),"否"))</f>
        <v/>
      </c>
      <c r="Y171" s="61" t="str">
        <f aca="false">IF($B171="","",YEAR($B171))</f>
        <v/>
      </c>
      <c r="Z171" s="58" t="str">
        <f aca="false">IF($B171="","",TEXT($B171,"yyyy-mm"))</f>
        <v/>
      </c>
    </row>
    <row r="172" customFormat="false" ht="15" hidden="false" customHeight="false" outlineLevel="0" collapsed="false">
      <c r="A172" s="53" t="str">
        <f aca="false">IF($B172="","",ROW()-5)</f>
        <v/>
      </c>
      <c r="B172" s="54"/>
      <c r="C172" s="33"/>
      <c r="D172" s="33"/>
      <c r="E172" s="32"/>
      <c r="F172" s="39"/>
      <c r="G172" s="48" t="str">
        <f aca="false">IF($F172="","",IFERROR(INDEX(商品档案!$B$6:$B$65,MATCH($F172,商品档案!$A$6:$A$65,0)),""))</f>
        <v/>
      </c>
      <c r="H172" s="48" t="str">
        <f aca="false">IF($F172="","",IFERROR(INDEX(商品档案!$C$6:$C$65,MATCH($F172,商品档案!$A$6:$A$65,0)),""))</f>
        <v/>
      </c>
      <c r="I172" s="55" t="str">
        <f aca="false">IF($F172="","",IFERROR(INDEX(商品档案!$D$6:$D$65,MATCH($F172,商品档案!$A$6:$A$65,0)),""))</f>
        <v/>
      </c>
      <c r="J172" s="49"/>
      <c r="K172" s="56"/>
      <c r="L172" s="33"/>
      <c r="M172" s="39"/>
      <c r="N172" s="41"/>
      <c r="O172" s="41"/>
      <c r="P172" s="25" t="str">
        <f aca="false">IF(AND($B172="",$D172="",$F172=""),"",IF(NOT(ISNUMBER($B172)),"日期无效",IF(ISNA(MATCH($C172,参数设置!$A$10:$A$12,0)),"公司无效",IF(ISNA(MATCH($D172,记账规则!$A$6:$A$9,0)),"业务类型无效",IF(ISNA(MATCH($F172,商品档案!$A$6:$A$65,0)),"商品编码无效",IF(IFERROR(INDEX(商品档案!$E$6:$E$65,MATCH($F172,商品档案!$A$6:$A$65,0)),"")&lt;&gt;$C172,"商品不属于该公司",IF(AND($E172&lt;&gt;"",ISNA(MATCH($E172,往来单位!$A$6:$A$85,0))),"往来单位未建档",IF(N($J172)=0,"数量为 0",IF(N($K172)=0,"单价为 0",IF(AND(LEFT($D172,2)="销售",$U172=""),"该商品没设成本科目",IF(YEAR($B172)&lt;&gt;参数设置!$B$5,"不在本会计年度","OK")))))))))))</f>
        <v/>
      </c>
      <c r="Q172" s="57" t="str">
        <f aca="false">IF($F172="","",ROUND(N($J172)*N($K172),2))</f>
        <v/>
      </c>
      <c r="R172" s="58" t="str">
        <f aca="false">IF($D172="","",IF(LEFT($D172,2)="销售","应收账款","应付账款"))</f>
        <v/>
      </c>
      <c r="S172" s="58" t="str">
        <f aca="false">IF($F172="","",IFERROR(INDEX(商品档案!$G$6:$G$65,MATCH($F172,商品档案!$A$6:$A$65,0)),""))</f>
        <v/>
      </c>
      <c r="T172" s="58" t="str">
        <f aca="false">IF($F172="","",IFERROR(INDEX(商品档案!$H$6:$H$65,MATCH($F172,商品档案!$A$6:$A$65,0)),""))</f>
        <v/>
      </c>
      <c r="U172" s="58" t="str">
        <f aca="false">IF($F172="","",IFERROR(INDEX(商品档案!$I$6:$I$65,MATCH($F172,商品档案!$A$6:$A$65,0)),""))</f>
        <v/>
      </c>
      <c r="V172" s="59" t="str">
        <f aca="false">IF($F172="","",SUMIFS(进销存台账!$N$6:$N$65,进销存台账!$A$6:$A$65,$C172,进销存台账!$B$6:$B$65,$F172))</f>
        <v/>
      </c>
      <c r="W172" s="60" t="n">
        <f aca="false">IF(OR($D172="销售出库",$D172="销售退回"),ROUND(N($J172)*N($V172),2),0)</f>
        <v>0</v>
      </c>
      <c r="X172" s="58" t="str">
        <f aca="false">IF($E172="","",IFERROR(INDEX(往来单位!$D$6:$D$85,MATCH($E172,往来单位!$A$6:$A$85,0)),"否"))</f>
        <v/>
      </c>
      <c r="Y172" s="61" t="str">
        <f aca="false">IF($B172="","",YEAR($B172))</f>
        <v/>
      </c>
      <c r="Z172" s="58" t="str">
        <f aca="false">IF($B172="","",TEXT($B172,"yyyy-mm"))</f>
        <v/>
      </c>
    </row>
    <row r="173" customFormat="false" ht="15" hidden="false" customHeight="false" outlineLevel="0" collapsed="false">
      <c r="A173" s="53" t="str">
        <f aca="false">IF($B173="","",ROW()-5)</f>
        <v/>
      </c>
      <c r="B173" s="54"/>
      <c r="C173" s="33"/>
      <c r="D173" s="33"/>
      <c r="E173" s="32"/>
      <c r="F173" s="39"/>
      <c r="G173" s="48" t="str">
        <f aca="false">IF($F173="","",IFERROR(INDEX(商品档案!$B$6:$B$65,MATCH($F173,商品档案!$A$6:$A$65,0)),""))</f>
        <v/>
      </c>
      <c r="H173" s="48" t="str">
        <f aca="false">IF($F173="","",IFERROR(INDEX(商品档案!$C$6:$C$65,MATCH($F173,商品档案!$A$6:$A$65,0)),""))</f>
        <v/>
      </c>
      <c r="I173" s="55" t="str">
        <f aca="false">IF($F173="","",IFERROR(INDEX(商品档案!$D$6:$D$65,MATCH($F173,商品档案!$A$6:$A$65,0)),""))</f>
        <v/>
      </c>
      <c r="J173" s="49"/>
      <c r="K173" s="56"/>
      <c r="L173" s="33"/>
      <c r="M173" s="39"/>
      <c r="N173" s="41"/>
      <c r="O173" s="41"/>
      <c r="P173" s="25" t="str">
        <f aca="false">IF(AND($B173="",$D173="",$F173=""),"",IF(NOT(ISNUMBER($B173)),"日期无效",IF(ISNA(MATCH($C173,参数设置!$A$10:$A$12,0)),"公司无效",IF(ISNA(MATCH($D173,记账规则!$A$6:$A$9,0)),"业务类型无效",IF(ISNA(MATCH($F173,商品档案!$A$6:$A$65,0)),"商品编码无效",IF(IFERROR(INDEX(商品档案!$E$6:$E$65,MATCH($F173,商品档案!$A$6:$A$65,0)),"")&lt;&gt;$C173,"商品不属于该公司",IF(AND($E173&lt;&gt;"",ISNA(MATCH($E173,往来单位!$A$6:$A$85,0))),"往来单位未建档",IF(N($J173)=0,"数量为 0",IF(N($K173)=0,"单价为 0",IF(AND(LEFT($D173,2)="销售",$U173=""),"该商品没设成本科目",IF(YEAR($B173)&lt;&gt;参数设置!$B$5,"不在本会计年度","OK")))))))))))</f>
        <v/>
      </c>
      <c r="Q173" s="57" t="str">
        <f aca="false">IF($F173="","",ROUND(N($J173)*N($K173),2))</f>
        <v/>
      </c>
      <c r="R173" s="58" t="str">
        <f aca="false">IF($D173="","",IF(LEFT($D173,2)="销售","应收账款","应付账款"))</f>
        <v/>
      </c>
      <c r="S173" s="58" t="str">
        <f aca="false">IF($F173="","",IFERROR(INDEX(商品档案!$G$6:$G$65,MATCH($F173,商品档案!$A$6:$A$65,0)),""))</f>
        <v/>
      </c>
      <c r="T173" s="58" t="str">
        <f aca="false">IF($F173="","",IFERROR(INDEX(商品档案!$H$6:$H$65,MATCH($F173,商品档案!$A$6:$A$65,0)),""))</f>
        <v/>
      </c>
      <c r="U173" s="58" t="str">
        <f aca="false">IF($F173="","",IFERROR(INDEX(商品档案!$I$6:$I$65,MATCH($F173,商品档案!$A$6:$A$65,0)),""))</f>
        <v/>
      </c>
      <c r="V173" s="59" t="str">
        <f aca="false">IF($F173="","",SUMIFS(进销存台账!$N$6:$N$65,进销存台账!$A$6:$A$65,$C173,进销存台账!$B$6:$B$65,$F173))</f>
        <v/>
      </c>
      <c r="W173" s="60" t="n">
        <f aca="false">IF(OR($D173="销售出库",$D173="销售退回"),ROUND(N($J173)*N($V173),2),0)</f>
        <v>0</v>
      </c>
      <c r="X173" s="58" t="str">
        <f aca="false">IF($E173="","",IFERROR(INDEX(往来单位!$D$6:$D$85,MATCH($E173,往来单位!$A$6:$A$85,0)),"否"))</f>
        <v/>
      </c>
      <c r="Y173" s="61" t="str">
        <f aca="false">IF($B173="","",YEAR($B173))</f>
        <v/>
      </c>
      <c r="Z173" s="58" t="str">
        <f aca="false">IF($B173="","",TEXT($B173,"yyyy-mm"))</f>
        <v/>
      </c>
    </row>
    <row r="174" customFormat="false" ht="15" hidden="false" customHeight="false" outlineLevel="0" collapsed="false">
      <c r="A174" s="53" t="str">
        <f aca="false">IF($B174="","",ROW()-5)</f>
        <v/>
      </c>
      <c r="B174" s="54"/>
      <c r="C174" s="33"/>
      <c r="D174" s="33"/>
      <c r="E174" s="32"/>
      <c r="F174" s="39"/>
      <c r="G174" s="48" t="str">
        <f aca="false">IF($F174="","",IFERROR(INDEX(商品档案!$B$6:$B$65,MATCH($F174,商品档案!$A$6:$A$65,0)),""))</f>
        <v/>
      </c>
      <c r="H174" s="48" t="str">
        <f aca="false">IF($F174="","",IFERROR(INDEX(商品档案!$C$6:$C$65,MATCH($F174,商品档案!$A$6:$A$65,0)),""))</f>
        <v/>
      </c>
      <c r="I174" s="55" t="str">
        <f aca="false">IF($F174="","",IFERROR(INDEX(商品档案!$D$6:$D$65,MATCH($F174,商品档案!$A$6:$A$65,0)),""))</f>
        <v/>
      </c>
      <c r="J174" s="49"/>
      <c r="K174" s="56"/>
      <c r="L174" s="33"/>
      <c r="M174" s="39"/>
      <c r="N174" s="41"/>
      <c r="O174" s="41"/>
      <c r="P174" s="25" t="str">
        <f aca="false">IF(AND($B174="",$D174="",$F174=""),"",IF(NOT(ISNUMBER($B174)),"日期无效",IF(ISNA(MATCH($C174,参数设置!$A$10:$A$12,0)),"公司无效",IF(ISNA(MATCH($D174,记账规则!$A$6:$A$9,0)),"业务类型无效",IF(ISNA(MATCH($F174,商品档案!$A$6:$A$65,0)),"商品编码无效",IF(IFERROR(INDEX(商品档案!$E$6:$E$65,MATCH($F174,商品档案!$A$6:$A$65,0)),"")&lt;&gt;$C174,"商品不属于该公司",IF(AND($E174&lt;&gt;"",ISNA(MATCH($E174,往来单位!$A$6:$A$85,0))),"往来单位未建档",IF(N($J174)=0,"数量为 0",IF(N($K174)=0,"单价为 0",IF(AND(LEFT($D174,2)="销售",$U174=""),"该商品没设成本科目",IF(YEAR($B174)&lt;&gt;参数设置!$B$5,"不在本会计年度","OK")))))))))))</f>
        <v/>
      </c>
      <c r="Q174" s="57" t="str">
        <f aca="false">IF($F174="","",ROUND(N($J174)*N($K174),2))</f>
        <v/>
      </c>
      <c r="R174" s="58" t="str">
        <f aca="false">IF($D174="","",IF(LEFT($D174,2)="销售","应收账款","应付账款"))</f>
        <v/>
      </c>
      <c r="S174" s="58" t="str">
        <f aca="false">IF($F174="","",IFERROR(INDEX(商品档案!$G$6:$G$65,MATCH($F174,商品档案!$A$6:$A$65,0)),""))</f>
        <v/>
      </c>
      <c r="T174" s="58" t="str">
        <f aca="false">IF($F174="","",IFERROR(INDEX(商品档案!$H$6:$H$65,MATCH($F174,商品档案!$A$6:$A$65,0)),""))</f>
        <v/>
      </c>
      <c r="U174" s="58" t="str">
        <f aca="false">IF($F174="","",IFERROR(INDEX(商品档案!$I$6:$I$65,MATCH($F174,商品档案!$A$6:$A$65,0)),""))</f>
        <v/>
      </c>
      <c r="V174" s="59" t="str">
        <f aca="false">IF($F174="","",SUMIFS(进销存台账!$N$6:$N$65,进销存台账!$A$6:$A$65,$C174,进销存台账!$B$6:$B$65,$F174))</f>
        <v/>
      </c>
      <c r="W174" s="60" t="n">
        <f aca="false">IF(OR($D174="销售出库",$D174="销售退回"),ROUND(N($J174)*N($V174),2),0)</f>
        <v>0</v>
      </c>
      <c r="X174" s="58" t="str">
        <f aca="false">IF($E174="","",IFERROR(INDEX(往来单位!$D$6:$D$85,MATCH($E174,往来单位!$A$6:$A$85,0)),"否"))</f>
        <v/>
      </c>
      <c r="Y174" s="61" t="str">
        <f aca="false">IF($B174="","",YEAR($B174))</f>
        <v/>
      </c>
      <c r="Z174" s="58" t="str">
        <f aca="false">IF($B174="","",TEXT($B174,"yyyy-mm"))</f>
        <v/>
      </c>
    </row>
    <row r="175" customFormat="false" ht="15" hidden="false" customHeight="false" outlineLevel="0" collapsed="false">
      <c r="A175" s="53" t="str">
        <f aca="false">IF($B175="","",ROW()-5)</f>
        <v/>
      </c>
      <c r="B175" s="54"/>
      <c r="C175" s="33"/>
      <c r="D175" s="33"/>
      <c r="E175" s="32"/>
      <c r="F175" s="39"/>
      <c r="G175" s="48" t="str">
        <f aca="false">IF($F175="","",IFERROR(INDEX(商品档案!$B$6:$B$65,MATCH($F175,商品档案!$A$6:$A$65,0)),""))</f>
        <v/>
      </c>
      <c r="H175" s="48" t="str">
        <f aca="false">IF($F175="","",IFERROR(INDEX(商品档案!$C$6:$C$65,MATCH($F175,商品档案!$A$6:$A$65,0)),""))</f>
        <v/>
      </c>
      <c r="I175" s="55" t="str">
        <f aca="false">IF($F175="","",IFERROR(INDEX(商品档案!$D$6:$D$65,MATCH($F175,商品档案!$A$6:$A$65,0)),""))</f>
        <v/>
      </c>
      <c r="J175" s="49"/>
      <c r="K175" s="56"/>
      <c r="L175" s="33"/>
      <c r="M175" s="39"/>
      <c r="N175" s="41"/>
      <c r="O175" s="41"/>
      <c r="P175" s="25" t="str">
        <f aca="false">IF(AND($B175="",$D175="",$F175=""),"",IF(NOT(ISNUMBER($B175)),"日期无效",IF(ISNA(MATCH($C175,参数设置!$A$10:$A$12,0)),"公司无效",IF(ISNA(MATCH($D175,记账规则!$A$6:$A$9,0)),"业务类型无效",IF(ISNA(MATCH($F175,商品档案!$A$6:$A$65,0)),"商品编码无效",IF(IFERROR(INDEX(商品档案!$E$6:$E$65,MATCH($F175,商品档案!$A$6:$A$65,0)),"")&lt;&gt;$C175,"商品不属于该公司",IF(AND($E175&lt;&gt;"",ISNA(MATCH($E175,往来单位!$A$6:$A$85,0))),"往来单位未建档",IF(N($J175)=0,"数量为 0",IF(N($K175)=0,"单价为 0",IF(AND(LEFT($D175,2)="销售",$U175=""),"该商品没设成本科目",IF(YEAR($B175)&lt;&gt;参数设置!$B$5,"不在本会计年度","OK")))))))))))</f>
        <v/>
      </c>
      <c r="Q175" s="57" t="str">
        <f aca="false">IF($F175="","",ROUND(N($J175)*N($K175),2))</f>
        <v/>
      </c>
      <c r="R175" s="58" t="str">
        <f aca="false">IF($D175="","",IF(LEFT($D175,2)="销售","应收账款","应付账款"))</f>
        <v/>
      </c>
      <c r="S175" s="58" t="str">
        <f aca="false">IF($F175="","",IFERROR(INDEX(商品档案!$G$6:$G$65,MATCH($F175,商品档案!$A$6:$A$65,0)),""))</f>
        <v/>
      </c>
      <c r="T175" s="58" t="str">
        <f aca="false">IF($F175="","",IFERROR(INDEX(商品档案!$H$6:$H$65,MATCH($F175,商品档案!$A$6:$A$65,0)),""))</f>
        <v/>
      </c>
      <c r="U175" s="58" t="str">
        <f aca="false">IF($F175="","",IFERROR(INDEX(商品档案!$I$6:$I$65,MATCH($F175,商品档案!$A$6:$A$65,0)),""))</f>
        <v/>
      </c>
      <c r="V175" s="59" t="str">
        <f aca="false">IF($F175="","",SUMIFS(进销存台账!$N$6:$N$65,进销存台账!$A$6:$A$65,$C175,进销存台账!$B$6:$B$65,$F175))</f>
        <v/>
      </c>
      <c r="W175" s="60" t="n">
        <f aca="false">IF(OR($D175="销售出库",$D175="销售退回"),ROUND(N($J175)*N($V175),2),0)</f>
        <v>0</v>
      </c>
      <c r="X175" s="58" t="str">
        <f aca="false">IF($E175="","",IFERROR(INDEX(往来单位!$D$6:$D$85,MATCH($E175,往来单位!$A$6:$A$85,0)),"否"))</f>
        <v/>
      </c>
      <c r="Y175" s="61" t="str">
        <f aca="false">IF($B175="","",YEAR($B175))</f>
        <v/>
      </c>
      <c r="Z175" s="58" t="str">
        <f aca="false">IF($B175="","",TEXT($B175,"yyyy-mm"))</f>
        <v/>
      </c>
    </row>
    <row r="176" customFormat="false" ht="15" hidden="false" customHeight="false" outlineLevel="0" collapsed="false">
      <c r="A176" s="53" t="str">
        <f aca="false">IF($B176="","",ROW()-5)</f>
        <v/>
      </c>
      <c r="B176" s="54"/>
      <c r="C176" s="33"/>
      <c r="D176" s="33"/>
      <c r="E176" s="32"/>
      <c r="F176" s="39"/>
      <c r="G176" s="48" t="str">
        <f aca="false">IF($F176="","",IFERROR(INDEX(商品档案!$B$6:$B$65,MATCH($F176,商品档案!$A$6:$A$65,0)),""))</f>
        <v/>
      </c>
      <c r="H176" s="48" t="str">
        <f aca="false">IF($F176="","",IFERROR(INDEX(商品档案!$C$6:$C$65,MATCH($F176,商品档案!$A$6:$A$65,0)),""))</f>
        <v/>
      </c>
      <c r="I176" s="55" t="str">
        <f aca="false">IF($F176="","",IFERROR(INDEX(商品档案!$D$6:$D$65,MATCH($F176,商品档案!$A$6:$A$65,0)),""))</f>
        <v/>
      </c>
      <c r="J176" s="49"/>
      <c r="K176" s="56"/>
      <c r="L176" s="33"/>
      <c r="M176" s="39"/>
      <c r="N176" s="41"/>
      <c r="O176" s="41"/>
      <c r="P176" s="25" t="str">
        <f aca="false">IF(AND($B176="",$D176="",$F176=""),"",IF(NOT(ISNUMBER($B176)),"日期无效",IF(ISNA(MATCH($C176,参数设置!$A$10:$A$12,0)),"公司无效",IF(ISNA(MATCH($D176,记账规则!$A$6:$A$9,0)),"业务类型无效",IF(ISNA(MATCH($F176,商品档案!$A$6:$A$65,0)),"商品编码无效",IF(IFERROR(INDEX(商品档案!$E$6:$E$65,MATCH($F176,商品档案!$A$6:$A$65,0)),"")&lt;&gt;$C176,"商品不属于该公司",IF(AND($E176&lt;&gt;"",ISNA(MATCH($E176,往来单位!$A$6:$A$85,0))),"往来单位未建档",IF(N($J176)=0,"数量为 0",IF(N($K176)=0,"单价为 0",IF(AND(LEFT($D176,2)="销售",$U176=""),"该商品没设成本科目",IF(YEAR($B176)&lt;&gt;参数设置!$B$5,"不在本会计年度","OK")))))))))))</f>
        <v/>
      </c>
      <c r="Q176" s="57" t="str">
        <f aca="false">IF($F176="","",ROUND(N($J176)*N($K176),2))</f>
        <v/>
      </c>
      <c r="R176" s="58" t="str">
        <f aca="false">IF($D176="","",IF(LEFT($D176,2)="销售","应收账款","应付账款"))</f>
        <v/>
      </c>
      <c r="S176" s="58" t="str">
        <f aca="false">IF($F176="","",IFERROR(INDEX(商品档案!$G$6:$G$65,MATCH($F176,商品档案!$A$6:$A$65,0)),""))</f>
        <v/>
      </c>
      <c r="T176" s="58" t="str">
        <f aca="false">IF($F176="","",IFERROR(INDEX(商品档案!$H$6:$H$65,MATCH($F176,商品档案!$A$6:$A$65,0)),""))</f>
        <v/>
      </c>
      <c r="U176" s="58" t="str">
        <f aca="false">IF($F176="","",IFERROR(INDEX(商品档案!$I$6:$I$65,MATCH($F176,商品档案!$A$6:$A$65,0)),""))</f>
        <v/>
      </c>
      <c r="V176" s="59" t="str">
        <f aca="false">IF($F176="","",SUMIFS(进销存台账!$N$6:$N$65,进销存台账!$A$6:$A$65,$C176,进销存台账!$B$6:$B$65,$F176))</f>
        <v/>
      </c>
      <c r="W176" s="60" t="n">
        <f aca="false">IF(OR($D176="销售出库",$D176="销售退回"),ROUND(N($J176)*N($V176),2),0)</f>
        <v>0</v>
      </c>
      <c r="X176" s="58" t="str">
        <f aca="false">IF($E176="","",IFERROR(INDEX(往来单位!$D$6:$D$85,MATCH($E176,往来单位!$A$6:$A$85,0)),"否"))</f>
        <v/>
      </c>
      <c r="Y176" s="61" t="str">
        <f aca="false">IF($B176="","",YEAR($B176))</f>
        <v/>
      </c>
      <c r="Z176" s="58" t="str">
        <f aca="false">IF($B176="","",TEXT($B176,"yyyy-mm"))</f>
        <v/>
      </c>
    </row>
    <row r="177" customFormat="false" ht="15" hidden="false" customHeight="false" outlineLevel="0" collapsed="false">
      <c r="A177" s="53" t="str">
        <f aca="false">IF($B177="","",ROW()-5)</f>
        <v/>
      </c>
      <c r="B177" s="54"/>
      <c r="C177" s="33"/>
      <c r="D177" s="33"/>
      <c r="E177" s="32"/>
      <c r="F177" s="39"/>
      <c r="G177" s="48" t="str">
        <f aca="false">IF($F177="","",IFERROR(INDEX(商品档案!$B$6:$B$65,MATCH($F177,商品档案!$A$6:$A$65,0)),""))</f>
        <v/>
      </c>
      <c r="H177" s="48" t="str">
        <f aca="false">IF($F177="","",IFERROR(INDEX(商品档案!$C$6:$C$65,MATCH($F177,商品档案!$A$6:$A$65,0)),""))</f>
        <v/>
      </c>
      <c r="I177" s="55" t="str">
        <f aca="false">IF($F177="","",IFERROR(INDEX(商品档案!$D$6:$D$65,MATCH($F177,商品档案!$A$6:$A$65,0)),""))</f>
        <v/>
      </c>
      <c r="J177" s="49"/>
      <c r="K177" s="56"/>
      <c r="L177" s="33"/>
      <c r="M177" s="39"/>
      <c r="N177" s="41"/>
      <c r="O177" s="41"/>
      <c r="P177" s="25" t="str">
        <f aca="false">IF(AND($B177="",$D177="",$F177=""),"",IF(NOT(ISNUMBER($B177)),"日期无效",IF(ISNA(MATCH($C177,参数设置!$A$10:$A$12,0)),"公司无效",IF(ISNA(MATCH($D177,记账规则!$A$6:$A$9,0)),"业务类型无效",IF(ISNA(MATCH($F177,商品档案!$A$6:$A$65,0)),"商品编码无效",IF(IFERROR(INDEX(商品档案!$E$6:$E$65,MATCH($F177,商品档案!$A$6:$A$65,0)),"")&lt;&gt;$C177,"商品不属于该公司",IF(AND($E177&lt;&gt;"",ISNA(MATCH($E177,往来单位!$A$6:$A$85,0))),"往来单位未建档",IF(N($J177)=0,"数量为 0",IF(N($K177)=0,"单价为 0",IF(AND(LEFT($D177,2)="销售",$U177=""),"该商品没设成本科目",IF(YEAR($B177)&lt;&gt;参数设置!$B$5,"不在本会计年度","OK")))))))))))</f>
        <v/>
      </c>
      <c r="Q177" s="57" t="str">
        <f aca="false">IF($F177="","",ROUND(N($J177)*N($K177),2))</f>
        <v/>
      </c>
      <c r="R177" s="58" t="str">
        <f aca="false">IF($D177="","",IF(LEFT($D177,2)="销售","应收账款","应付账款"))</f>
        <v/>
      </c>
      <c r="S177" s="58" t="str">
        <f aca="false">IF($F177="","",IFERROR(INDEX(商品档案!$G$6:$G$65,MATCH($F177,商品档案!$A$6:$A$65,0)),""))</f>
        <v/>
      </c>
      <c r="T177" s="58" t="str">
        <f aca="false">IF($F177="","",IFERROR(INDEX(商品档案!$H$6:$H$65,MATCH($F177,商品档案!$A$6:$A$65,0)),""))</f>
        <v/>
      </c>
      <c r="U177" s="58" t="str">
        <f aca="false">IF($F177="","",IFERROR(INDEX(商品档案!$I$6:$I$65,MATCH($F177,商品档案!$A$6:$A$65,0)),""))</f>
        <v/>
      </c>
      <c r="V177" s="59" t="str">
        <f aca="false">IF($F177="","",SUMIFS(进销存台账!$N$6:$N$65,进销存台账!$A$6:$A$65,$C177,进销存台账!$B$6:$B$65,$F177))</f>
        <v/>
      </c>
      <c r="W177" s="60" t="n">
        <f aca="false">IF(OR($D177="销售出库",$D177="销售退回"),ROUND(N($J177)*N($V177),2),0)</f>
        <v>0</v>
      </c>
      <c r="X177" s="58" t="str">
        <f aca="false">IF($E177="","",IFERROR(INDEX(往来单位!$D$6:$D$85,MATCH($E177,往来单位!$A$6:$A$85,0)),"否"))</f>
        <v/>
      </c>
      <c r="Y177" s="61" t="str">
        <f aca="false">IF($B177="","",YEAR($B177))</f>
        <v/>
      </c>
      <c r="Z177" s="58" t="str">
        <f aca="false">IF($B177="","",TEXT($B177,"yyyy-mm"))</f>
        <v/>
      </c>
    </row>
    <row r="178" customFormat="false" ht="15" hidden="false" customHeight="false" outlineLevel="0" collapsed="false">
      <c r="A178" s="53" t="str">
        <f aca="false">IF($B178="","",ROW()-5)</f>
        <v/>
      </c>
      <c r="B178" s="54"/>
      <c r="C178" s="33"/>
      <c r="D178" s="33"/>
      <c r="E178" s="32"/>
      <c r="F178" s="39"/>
      <c r="G178" s="48" t="str">
        <f aca="false">IF($F178="","",IFERROR(INDEX(商品档案!$B$6:$B$65,MATCH($F178,商品档案!$A$6:$A$65,0)),""))</f>
        <v/>
      </c>
      <c r="H178" s="48" t="str">
        <f aca="false">IF($F178="","",IFERROR(INDEX(商品档案!$C$6:$C$65,MATCH($F178,商品档案!$A$6:$A$65,0)),""))</f>
        <v/>
      </c>
      <c r="I178" s="55" t="str">
        <f aca="false">IF($F178="","",IFERROR(INDEX(商品档案!$D$6:$D$65,MATCH($F178,商品档案!$A$6:$A$65,0)),""))</f>
        <v/>
      </c>
      <c r="J178" s="49"/>
      <c r="K178" s="56"/>
      <c r="L178" s="33"/>
      <c r="M178" s="39"/>
      <c r="N178" s="41"/>
      <c r="O178" s="41"/>
      <c r="P178" s="25" t="str">
        <f aca="false">IF(AND($B178="",$D178="",$F178=""),"",IF(NOT(ISNUMBER($B178)),"日期无效",IF(ISNA(MATCH($C178,参数设置!$A$10:$A$12,0)),"公司无效",IF(ISNA(MATCH($D178,记账规则!$A$6:$A$9,0)),"业务类型无效",IF(ISNA(MATCH($F178,商品档案!$A$6:$A$65,0)),"商品编码无效",IF(IFERROR(INDEX(商品档案!$E$6:$E$65,MATCH($F178,商品档案!$A$6:$A$65,0)),"")&lt;&gt;$C178,"商品不属于该公司",IF(AND($E178&lt;&gt;"",ISNA(MATCH($E178,往来单位!$A$6:$A$85,0))),"往来单位未建档",IF(N($J178)=0,"数量为 0",IF(N($K178)=0,"单价为 0",IF(AND(LEFT($D178,2)="销售",$U178=""),"该商品没设成本科目",IF(YEAR($B178)&lt;&gt;参数设置!$B$5,"不在本会计年度","OK")))))))))))</f>
        <v/>
      </c>
      <c r="Q178" s="57" t="str">
        <f aca="false">IF($F178="","",ROUND(N($J178)*N($K178),2))</f>
        <v/>
      </c>
      <c r="R178" s="58" t="str">
        <f aca="false">IF($D178="","",IF(LEFT($D178,2)="销售","应收账款","应付账款"))</f>
        <v/>
      </c>
      <c r="S178" s="58" t="str">
        <f aca="false">IF($F178="","",IFERROR(INDEX(商品档案!$G$6:$G$65,MATCH($F178,商品档案!$A$6:$A$65,0)),""))</f>
        <v/>
      </c>
      <c r="T178" s="58" t="str">
        <f aca="false">IF($F178="","",IFERROR(INDEX(商品档案!$H$6:$H$65,MATCH($F178,商品档案!$A$6:$A$65,0)),""))</f>
        <v/>
      </c>
      <c r="U178" s="58" t="str">
        <f aca="false">IF($F178="","",IFERROR(INDEX(商品档案!$I$6:$I$65,MATCH($F178,商品档案!$A$6:$A$65,0)),""))</f>
        <v/>
      </c>
      <c r="V178" s="59" t="str">
        <f aca="false">IF($F178="","",SUMIFS(进销存台账!$N$6:$N$65,进销存台账!$A$6:$A$65,$C178,进销存台账!$B$6:$B$65,$F178))</f>
        <v/>
      </c>
      <c r="W178" s="60" t="n">
        <f aca="false">IF(OR($D178="销售出库",$D178="销售退回"),ROUND(N($J178)*N($V178),2),0)</f>
        <v>0</v>
      </c>
      <c r="X178" s="58" t="str">
        <f aca="false">IF($E178="","",IFERROR(INDEX(往来单位!$D$6:$D$85,MATCH($E178,往来单位!$A$6:$A$85,0)),"否"))</f>
        <v/>
      </c>
      <c r="Y178" s="61" t="str">
        <f aca="false">IF($B178="","",YEAR($B178))</f>
        <v/>
      </c>
      <c r="Z178" s="58" t="str">
        <f aca="false">IF($B178="","",TEXT($B178,"yyyy-mm"))</f>
        <v/>
      </c>
    </row>
    <row r="179" customFormat="false" ht="15" hidden="false" customHeight="false" outlineLevel="0" collapsed="false">
      <c r="A179" s="53" t="str">
        <f aca="false">IF($B179="","",ROW()-5)</f>
        <v/>
      </c>
      <c r="B179" s="54"/>
      <c r="C179" s="33"/>
      <c r="D179" s="33"/>
      <c r="E179" s="32"/>
      <c r="F179" s="39"/>
      <c r="G179" s="48" t="str">
        <f aca="false">IF($F179="","",IFERROR(INDEX(商品档案!$B$6:$B$65,MATCH($F179,商品档案!$A$6:$A$65,0)),""))</f>
        <v/>
      </c>
      <c r="H179" s="48" t="str">
        <f aca="false">IF($F179="","",IFERROR(INDEX(商品档案!$C$6:$C$65,MATCH($F179,商品档案!$A$6:$A$65,0)),""))</f>
        <v/>
      </c>
      <c r="I179" s="55" t="str">
        <f aca="false">IF($F179="","",IFERROR(INDEX(商品档案!$D$6:$D$65,MATCH($F179,商品档案!$A$6:$A$65,0)),""))</f>
        <v/>
      </c>
      <c r="J179" s="49"/>
      <c r="K179" s="56"/>
      <c r="L179" s="33"/>
      <c r="M179" s="39"/>
      <c r="N179" s="41"/>
      <c r="O179" s="41"/>
      <c r="P179" s="25" t="str">
        <f aca="false">IF(AND($B179="",$D179="",$F179=""),"",IF(NOT(ISNUMBER($B179)),"日期无效",IF(ISNA(MATCH($C179,参数设置!$A$10:$A$12,0)),"公司无效",IF(ISNA(MATCH($D179,记账规则!$A$6:$A$9,0)),"业务类型无效",IF(ISNA(MATCH($F179,商品档案!$A$6:$A$65,0)),"商品编码无效",IF(IFERROR(INDEX(商品档案!$E$6:$E$65,MATCH($F179,商品档案!$A$6:$A$65,0)),"")&lt;&gt;$C179,"商品不属于该公司",IF(AND($E179&lt;&gt;"",ISNA(MATCH($E179,往来单位!$A$6:$A$85,0))),"往来单位未建档",IF(N($J179)=0,"数量为 0",IF(N($K179)=0,"单价为 0",IF(AND(LEFT($D179,2)="销售",$U179=""),"该商品没设成本科目",IF(YEAR($B179)&lt;&gt;参数设置!$B$5,"不在本会计年度","OK")))))))))))</f>
        <v/>
      </c>
      <c r="Q179" s="57" t="str">
        <f aca="false">IF($F179="","",ROUND(N($J179)*N($K179),2))</f>
        <v/>
      </c>
      <c r="R179" s="58" t="str">
        <f aca="false">IF($D179="","",IF(LEFT($D179,2)="销售","应收账款","应付账款"))</f>
        <v/>
      </c>
      <c r="S179" s="58" t="str">
        <f aca="false">IF($F179="","",IFERROR(INDEX(商品档案!$G$6:$G$65,MATCH($F179,商品档案!$A$6:$A$65,0)),""))</f>
        <v/>
      </c>
      <c r="T179" s="58" t="str">
        <f aca="false">IF($F179="","",IFERROR(INDEX(商品档案!$H$6:$H$65,MATCH($F179,商品档案!$A$6:$A$65,0)),""))</f>
        <v/>
      </c>
      <c r="U179" s="58" t="str">
        <f aca="false">IF($F179="","",IFERROR(INDEX(商品档案!$I$6:$I$65,MATCH($F179,商品档案!$A$6:$A$65,0)),""))</f>
        <v/>
      </c>
      <c r="V179" s="59" t="str">
        <f aca="false">IF($F179="","",SUMIFS(进销存台账!$N$6:$N$65,进销存台账!$A$6:$A$65,$C179,进销存台账!$B$6:$B$65,$F179))</f>
        <v/>
      </c>
      <c r="W179" s="60" t="n">
        <f aca="false">IF(OR($D179="销售出库",$D179="销售退回"),ROUND(N($J179)*N($V179),2),0)</f>
        <v>0</v>
      </c>
      <c r="X179" s="58" t="str">
        <f aca="false">IF($E179="","",IFERROR(INDEX(往来单位!$D$6:$D$85,MATCH($E179,往来单位!$A$6:$A$85,0)),"否"))</f>
        <v/>
      </c>
      <c r="Y179" s="61" t="str">
        <f aca="false">IF($B179="","",YEAR($B179))</f>
        <v/>
      </c>
      <c r="Z179" s="58" t="str">
        <f aca="false">IF($B179="","",TEXT($B179,"yyyy-mm"))</f>
        <v/>
      </c>
    </row>
    <row r="180" customFormat="false" ht="15" hidden="false" customHeight="false" outlineLevel="0" collapsed="false">
      <c r="A180" s="53" t="str">
        <f aca="false">IF($B180="","",ROW()-5)</f>
        <v/>
      </c>
      <c r="B180" s="54"/>
      <c r="C180" s="33"/>
      <c r="D180" s="33"/>
      <c r="E180" s="32"/>
      <c r="F180" s="39"/>
      <c r="G180" s="48" t="str">
        <f aca="false">IF($F180="","",IFERROR(INDEX(商品档案!$B$6:$B$65,MATCH($F180,商品档案!$A$6:$A$65,0)),""))</f>
        <v/>
      </c>
      <c r="H180" s="48" t="str">
        <f aca="false">IF($F180="","",IFERROR(INDEX(商品档案!$C$6:$C$65,MATCH($F180,商品档案!$A$6:$A$65,0)),""))</f>
        <v/>
      </c>
      <c r="I180" s="55" t="str">
        <f aca="false">IF($F180="","",IFERROR(INDEX(商品档案!$D$6:$D$65,MATCH($F180,商品档案!$A$6:$A$65,0)),""))</f>
        <v/>
      </c>
      <c r="J180" s="49"/>
      <c r="K180" s="56"/>
      <c r="L180" s="33"/>
      <c r="M180" s="39"/>
      <c r="N180" s="41"/>
      <c r="O180" s="41"/>
      <c r="P180" s="25" t="str">
        <f aca="false">IF(AND($B180="",$D180="",$F180=""),"",IF(NOT(ISNUMBER($B180)),"日期无效",IF(ISNA(MATCH($C180,参数设置!$A$10:$A$12,0)),"公司无效",IF(ISNA(MATCH($D180,记账规则!$A$6:$A$9,0)),"业务类型无效",IF(ISNA(MATCH($F180,商品档案!$A$6:$A$65,0)),"商品编码无效",IF(IFERROR(INDEX(商品档案!$E$6:$E$65,MATCH($F180,商品档案!$A$6:$A$65,0)),"")&lt;&gt;$C180,"商品不属于该公司",IF(AND($E180&lt;&gt;"",ISNA(MATCH($E180,往来单位!$A$6:$A$85,0))),"往来单位未建档",IF(N($J180)=0,"数量为 0",IF(N($K180)=0,"单价为 0",IF(AND(LEFT($D180,2)="销售",$U180=""),"该商品没设成本科目",IF(YEAR($B180)&lt;&gt;参数设置!$B$5,"不在本会计年度","OK")))))))))))</f>
        <v/>
      </c>
      <c r="Q180" s="57" t="str">
        <f aca="false">IF($F180="","",ROUND(N($J180)*N($K180),2))</f>
        <v/>
      </c>
      <c r="R180" s="58" t="str">
        <f aca="false">IF($D180="","",IF(LEFT($D180,2)="销售","应收账款","应付账款"))</f>
        <v/>
      </c>
      <c r="S180" s="58" t="str">
        <f aca="false">IF($F180="","",IFERROR(INDEX(商品档案!$G$6:$G$65,MATCH($F180,商品档案!$A$6:$A$65,0)),""))</f>
        <v/>
      </c>
      <c r="T180" s="58" t="str">
        <f aca="false">IF($F180="","",IFERROR(INDEX(商品档案!$H$6:$H$65,MATCH($F180,商品档案!$A$6:$A$65,0)),""))</f>
        <v/>
      </c>
      <c r="U180" s="58" t="str">
        <f aca="false">IF($F180="","",IFERROR(INDEX(商品档案!$I$6:$I$65,MATCH($F180,商品档案!$A$6:$A$65,0)),""))</f>
        <v/>
      </c>
      <c r="V180" s="59" t="str">
        <f aca="false">IF($F180="","",SUMIFS(进销存台账!$N$6:$N$65,进销存台账!$A$6:$A$65,$C180,进销存台账!$B$6:$B$65,$F180))</f>
        <v/>
      </c>
      <c r="W180" s="60" t="n">
        <f aca="false">IF(OR($D180="销售出库",$D180="销售退回"),ROUND(N($J180)*N($V180),2),0)</f>
        <v>0</v>
      </c>
      <c r="X180" s="58" t="str">
        <f aca="false">IF($E180="","",IFERROR(INDEX(往来单位!$D$6:$D$85,MATCH($E180,往来单位!$A$6:$A$85,0)),"否"))</f>
        <v/>
      </c>
      <c r="Y180" s="61" t="str">
        <f aca="false">IF($B180="","",YEAR($B180))</f>
        <v/>
      </c>
      <c r="Z180" s="58" t="str">
        <f aca="false">IF($B180="","",TEXT($B180,"yyyy-mm"))</f>
        <v/>
      </c>
    </row>
    <row r="181" customFormat="false" ht="15" hidden="false" customHeight="false" outlineLevel="0" collapsed="false">
      <c r="A181" s="53" t="str">
        <f aca="false">IF($B181="","",ROW()-5)</f>
        <v/>
      </c>
      <c r="B181" s="54"/>
      <c r="C181" s="33"/>
      <c r="D181" s="33"/>
      <c r="E181" s="32"/>
      <c r="F181" s="39"/>
      <c r="G181" s="48" t="str">
        <f aca="false">IF($F181="","",IFERROR(INDEX(商品档案!$B$6:$B$65,MATCH($F181,商品档案!$A$6:$A$65,0)),""))</f>
        <v/>
      </c>
      <c r="H181" s="48" t="str">
        <f aca="false">IF($F181="","",IFERROR(INDEX(商品档案!$C$6:$C$65,MATCH($F181,商品档案!$A$6:$A$65,0)),""))</f>
        <v/>
      </c>
      <c r="I181" s="55" t="str">
        <f aca="false">IF($F181="","",IFERROR(INDEX(商品档案!$D$6:$D$65,MATCH($F181,商品档案!$A$6:$A$65,0)),""))</f>
        <v/>
      </c>
      <c r="J181" s="49"/>
      <c r="K181" s="56"/>
      <c r="L181" s="33"/>
      <c r="M181" s="39"/>
      <c r="N181" s="41"/>
      <c r="O181" s="41"/>
      <c r="P181" s="25" t="str">
        <f aca="false">IF(AND($B181="",$D181="",$F181=""),"",IF(NOT(ISNUMBER($B181)),"日期无效",IF(ISNA(MATCH($C181,参数设置!$A$10:$A$12,0)),"公司无效",IF(ISNA(MATCH($D181,记账规则!$A$6:$A$9,0)),"业务类型无效",IF(ISNA(MATCH($F181,商品档案!$A$6:$A$65,0)),"商品编码无效",IF(IFERROR(INDEX(商品档案!$E$6:$E$65,MATCH($F181,商品档案!$A$6:$A$65,0)),"")&lt;&gt;$C181,"商品不属于该公司",IF(AND($E181&lt;&gt;"",ISNA(MATCH($E181,往来单位!$A$6:$A$85,0))),"往来单位未建档",IF(N($J181)=0,"数量为 0",IF(N($K181)=0,"单价为 0",IF(AND(LEFT($D181,2)="销售",$U181=""),"该商品没设成本科目",IF(YEAR($B181)&lt;&gt;参数设置!$B$5,"不在本会计年度","OK")))))))))))</f>
        <v/>
      </c>
      <c r="Q181" s="57" t="str">
        <f aca="false">IF($F181="","",ROUND(N($J181)*N($K181),2))</f>
        <v/>
      </c>
      <c r="R181" s="58" t="str">
        <f aca="false">IF($D181="","",IF(LEFT($D181,2)="销售","应收账款","应付账款"))</f>
        <v/>
      </c>
      <c r="S181" s="58" t="str">
        <f aca="false">IF($F181="","",IFERROR(INDEX(商品档案!$G$6:$G$65,MATCH($F181,商品档案!$A$6:$A$65,0)),""))</f>
        <v/>
      </c>
      <c r="T181" s="58" t="str">
        <f aca="false">IF($F181="","",IFERROR(INDEX(商品档案!$H$6:$H$65,MATCH($F181,商品档案!$A$6:$A$65,0)),""))</f>
        <v/>
      </c>
      <c r="U181" s="58" t="str">
        <f aca="false">IF($F181="","",IFERROR(INDEX(商品档案!$I$6:$I$65,MATCH($F181,商品档案!$A$6:$A$65,0)),""))</f>
        <v/>
      </c>
      <c r="V181" s="59" t="str">
        <f aca="false">IF($F181="","",SUMIFS(进销存台账!$N$6:$N$65,进销存台账!$A$6:$A$65,$C181,进销存台账!$B$6:$B$65,$F181))</f>
        <v/>
      </c>
      <c r="W181" s="60" t="n">
        <f aca="false">IF(OR($D181="销售出库",$D181="销售退回"),ROUND(N($J181)*N($V181),2),0)</f>
        <v>0</v>
      </c>
      <c r="X181" s="58" t="str">
        <f aca="false">IF($E181="","",IFERROR(INDEX(往来单位!$D$6:$D$85,MATCH($E181,往来单位!$A$6:$A$85,0)),"否"))</f>
        <v/>
      </c>
      <c r="Y181" s="61" t="str">
        <f aca="false">IF($B181="","",YEAR($B181))</f>
        <v/>
      </c>
      <c r="Z181" s="58" t="str">
        <f aca="false">IF($B181="","",TEXT($B181,"yyyy-mm"))</f>
        <v/>
      </c>
    </row>
    <row r="182" customFormat="false" ht="15" hidden="false" customHeight="false" outlineLevel="0" collapsed="false">
      <c r="A182" s="53" t="str">
        <f aca="false">IF($B182="","",ROW()-5)</f>
        <v/>
      </c>
      <c r="B182" s="54"/>
      <c r="C182" s="33"/>
      <c r="D182" s="33"/>
      <c r="E182" s="32"/>
      <c r="F182" s="39"/>
      <c r="G182" s="48" t="str">
        <f aca="false">IF($F182="","",IFERROR(INDEX(商品档案!$B$6:$B$65,MATCH($F182,商品档案!$A$6:$A$65,0)),""))</f>
        <v/>
      </c>
      <c r="H182" s="48" t="str">
        <f aca="false">IF($F182="","",IFERROR(INDEX(商品档案!$C$6:$C$65,MATCH($F182,商品档案!$A$6:$A$65,0)),""))</f>
        <v/>
      </c>
      <c r="I182" s="55" t="str">
        <f aca="false">IF($F182="","",IFERROR(INDEX(商品档案!$D$6:$D$65,MATCH($F182,商品档案!$A$6:$A$65,0)),""))</f>
        <v/>
      </c>
      <c r="J182" s="49"/>
      <c r="K182" s="56"/>
      <c r="L182" s="33"/>
      <c r="M182" s="39"/>
      <c r="N182" s="41"/>
      <c r="O182" s="41"/>
      <c r="P182" s="25" t="str">
        <f aca="false">IF(AND($B182="",$D182="",$F182=""),"",IF(NOT(ISNUMBER($B182)),"日期无效",IF(ISNA(MATCH($C182,参数设置!$A$10:$A$12,0)),"公司无效",IF(ISNA(MATCH($D182,记账规则!$A$6:$A$9,0)),"业务类型无效",IF(ISNA(MATCH($F182,商品档案!$A$6:$A$65,0)),"商品编码无效",IF(IFERROR(INDEX(商品档案!$E$6:$E$65,MATCH($F182,商品档案!$A$6:$A$65,0)),"")&lt;&gt;$C182,"商品不属于该公司",IF(AND($E182&lt;&gt;"",ISNA(MATCH($E182,往来单位!$A$6:$A$85,0))),"往来单位未建档",IF(N($J182)=0,"数量为 0",IF(N($K182)=0,"单价为 0",IF(AND(LEFT($D182,2)="销售",$U182=""),"该商品没设成本科目",IF(YEAR($B182)&lt;&gt;参数设置!$B$5,"不在本会计年度","OK")))))))))))</f>
        <v/>
      </c>
      <c r="Q182" s="57" t="str">
        <f aca="false">IF($F182="","",ROUND(N($J182)*N($K182),2))</f>
        <v/>
      </c>
      <c r="R182" s="58" t="str">
        <f aca="false">IF($D182="","",IF(LEFT($D182,2)="销售","应收账款","应付账款"))</f>
        <v/>
      </c>
      <c r="S182" s="58" t="str">
        <f aca="false">IF($F182="","",IFERROR(INDEX(商品档案!$G$6:$G$65,MATCH($F182,商品档案!$A$6:$A$65,0)),""))</f>
        <v/>
      </c>
      <c r="T182" s="58" t="str">
        <f aca="false">IF($F182="","",IFERROR(INDEX(商品档案!$H$6:$H$65,MATCH($F182,商品档案!$A$6:$A$65,0)),""))</f>
        <v/>
      </c>
      <c r="U182" s="58" t="str">
        <f aca="false">IF($F182="","",IFERROR(INDEX(商品档案!$I$6:$I$65,MATCH($F182,商品档案!$A$6:$A$65,0)),""))</f>
        <v/>
      </c>
      <c r="V182" s="59" t="str">
        <f aca="false">IF($F182="","",SUMIFS(进销存台账!$N$6:$N$65,进销存台账!$A$6:$A$65,$C182,进销存台账!$B$6:$B$65,$F182))</f>
        <v/>
      </c>
      <c r="W182" s="60" t="n">
        <f aca="false">IF(OR($D182="销售出库",$D182="销售退回"),ROUND(N($J182)*N($V182),2),0)</f>
        <v>0</v>
      </c>
      <c r="X182" s="58" t="str">
        <f aca="false">IF($E182="","",IFERROR(INDEX(往来单位!$D$6:$D$85,MATCH($E182,往来单位!$A$6:$A$85,0)),"否"))</f>
        <v/>
      </c>
      <c r="Y182" s="61" t="str">
        <f aca="false">IF($B182="","",YEAR($B182))</f>
        <v/>
      </c>
      <c r="Z182" s="58" t="str">
        <f aca="false">IF($B182="","",TEXT($B182,"yyyy-mm"))</f>
        <v/>
      </c>
    </row>
    <row r="183" customFormat="false" ht="15" hidden="false" customHeight="false" outlineLevel="0" collapsed="false">
      <c r="A183" s="53" t="str">
        <f aca="false">IF($B183="","",ROW()-5)</f>
        <v/>
      </c>
      <c r="B183" s="54"/>
      <c r="C183" s="33"/>
      <c r="D183" s="33"/>
      <c r="E183" s="32"/>
      <c r="F183" s="39"/>
      <c r="G183" s="48" t="str">
        <f aca="false">IF($F183="","",IFERROR(INDEX(商品档案!$B$6:$B$65,MATCH($F183,商品档案!$A$6:$A$65,0)),""))</f>
        <v/>
      </c>
      <c r="H183" s="48" t="str">
        <f aca="false">IF($F183="","",IFERROR(INDEX(商品档案!$C$6:$C$65,MATCH($F183,商品档案!$A$6:$A$65,0)),""))</f>
        <v/>
      </c>
      <c r="I183" s="55" t="str">
        <f aca="false">IF($F183="","",IFERROR(INDEX(商品档案!$D$6:$D$65,MATCH($F183,商品档案!$A$6:$A$65,0)),""))</f>
        <v/>
      </c>
      <c r="J183" s="49"/>
      <c r="K183" s="56"/>
      <c r="L183" s="33"/>
      <c r="M183" s="39"/>
      <c r="N183" s="41"/>
      <c r="O183" s="41"/>
      <c r="P183" s="25" t="str">
        <f aca="false">IF(AND($B183="",$D183="",$F183=""),"",IF(NOT(ISNUMBER($B183)),"日期无效",IF(ISNA(MATCH($C183,参数设置!$A$10:$A$12,0)),"公司无效",IF(ISNA(MATCH($D183,记账规则!$A$6:$A$9,0)),"业务类型无效",IF(ISNA(MATCH($F183,商品档案!$A$6:$A$65,0)),"商品编码无效",IF(IFERROR(INDEX(商品档案!$E$6:$E$65,MATCH($F183,商品档案!$A$6:$A$65,0)),"")&lt;&gt;$C183,"商品不属于该公司",IF(AND($E183&lt;&gt;"",ISNA(MATCH($E183,往来单位!$A$6:$A$85,0))),"往来单位未建档",IF(N($J183)=0,"数量为 0",IF(N($K183)=0,"单价为 0",IF(AND(LEFT($D183,2)="销售",$U183=""),"该商品没设成本科目",IF(YEAR($B183)&lt;&gt;参数设置!$B$5,"不在本会计年度","OK")))))))))))</f>
        <v/>
      </c>
      <c r="Q183" s="57" t="str">
        <f aca="false">IF($F183="","",ROUND(N($J183)*N($K183),2))</f>
        <v/>
      </c>
      <c r="R183" s="58" t="str">
        <f aca="false">IF($D183="","",IF(LEFT($D183,2)="销售","应收账款","应付账款"))</f>
        <v/>
      </c>
      <c r="S183" s="58" t="str">
        <f aca="false">IF($F183="","",IFERROR(INDEX(商品档案!$G$6:$G$65,MATCH($F183,商品档案!$A$6:$A$65,0)),""))</f>
        <v/>
      </c>
      <c r="T183" s="58" t="str">
        <f aca="false">IF($F183="","",IFERROR(INDEX(商品档案!$H$6:$H$65,MATCH($F183,商品档案!$A$6:$A$65,0)),""))</f>
        <v/>
      </c>
      <c r="U183" s="58" t="str">
        <f aca="false">IF($F183="","",IFERROR(INDEX(商品档案!$I$6:$I$65,MATCH($F183,商品档案!$A$6:$A$65,0)),""))</f>
        <v/>
      </c>
      <c r="V183" s="59" t="str">
        <f aca="false">IF($F183="","",SUMIFS(进销存台账!$N$6:$N$65,进销存台账!$A$6:$A$65,$C183,进销存台账!$B$6:$B$65,$F183))</f>
        <v/>
      </c>
      <c r="W183" s="60" t="n">
        <f aca="false">IF(OR($D183="销售出库",$D183="销售退回"),ROUND(N($J183)*N($V183),2),0)</f>
        <v>0</v>
      </c>
      <c r="X183" s="58" t="str">
        <f aca="false">IF($E183="","",IFERROR(INDEX(往来单位!$D$6:$D$85,MATCH($E183,往来单位!$A$6:$A$85,0)),"否"))</f>
        <v/>
      </c>
      <c r="Y183" s="61" t="str">
        <f aca="false">IF($B183="","",YEAR($B183))</f>
        <v/>
      </c>
      <c r="Z183" s="58" t="str">
        <f aca="false">IF($B183="","",TEXT($B183,"yyyy-mm"))</f>
        <v/>
      </c>
    </row>
    <row r="184" customFormat="false" ht="15" hidden="false" customHeight="false" outlineLevel="0" collapsed="false">
      <c r="A184" s="53" t="str">
        <f aca="false">IF($B184="","",ROW()-5)</f>
        <v/>
      </c>
      <c r="B184" s="54"/>
      <c r="C184" s="33"/>
      <c r="D184" s="33"/>
      <c r="E184" s="32"/>
      <c r="F184" s="39"/>
      <c r="G184" s="48" t="str">
        <f aca="false">IF($F184="","",IFERROR(INDEX(商品档案!$B$6:$B$65,MATCH($F184,商品档案!$A$6:$A$65,0)),""))</f>
        <v/>
      </c>
      <c r="H184" s="48" t="str">
        <f aca="false">IF($F184="","",IFERROR(INDEX(商品档案!$C$6:$C$65,MATCH($F184,商品档案!$A$6:$A$65,0)),""))</f>
        <v/>
      </c>
      <c r="I184" s="55" t="str">
        <f aca="false">IF($F184="","",IFERROR(INDEX(商品档案!$D$6:$D$65,MATCH($F184,商品档案!$A$6:$A$65,0)),""))</f>
        <v/>
      </c>
      <c r="J184" s="49"/>
      <c r="K184" s="56"/>
      <c r="L184" s="33"/>
      <c r="M184" s="39"/>
      <c r="N184" s="41"/>
      <c r="O184" s="41"/>
      <c r="P184" s="25" t="str">
        <f aca="false">IF(AND($B184="",$D184="",$F184=""),"",IF(NOT(ISNUMBER($B184)),"日期无效",IF(ISNA(MATCH($C184,参数设置!$A$10:$A$12,0)),"公司无效",IF(ISNA(MATCH($D184,记账规则!$A$6:$A$9,0)),"业务类型无效",IF(ISNA(MATCH($F184,商品档案!$A$6:$A$65,0)),"商品编码无效",IF(IFERROR(INDEX(商品档案!$E$6:$E$65,MATCH($F184,商品档案!$A$6:$A$65,0)),"")&lt;&gt;$C184,"商品不属于该公司",IF(AND($E184&lt;&gt;"",ISNA(MATCH($E184,往来单位!$A$6:$A$85,0))),"往来单位未建档",IF(N($J184)=0,"数量为 0",IF(N($K184)=0,"单价为 0",IF(AND(LEFT($D184,2)="销售",$U184=""),"该商品没设成本科目",IF(YEAR($B184)&lt;&gt;参数设置!$B$5,"不在本会计年度","OK")))))))))))</f>
        <v/>
      </c>
      <c r="Q184" s="57" t="str">
        <f aca="false">IF($F184="","",ROUND(N($J184)*N($K184),2))</f>
        <v/>
      </c>
      <c r="R184" s="58" t="str">
        <f aca="false">IF($D184="","",IF(LEFT($D184,2)="销售","应收账款","应付账款"))</f>
        <v/>
      </c>
      <c r="S184" s="58" t="str">
        <f aca="false">IF($F184="","",IFERROR(INDEX(商品档案!$G$6:$G$65,MATCH($F184,商品档案!$A$6:$A$65,0)),""))</f>
        <v/>
      </c>
      <c r="T184" s="58" t="str">
        <f aca="false">IF($F184="","",IFERROR(INDEX(商品档案!$H$6:$H$65,MATCH($F184,商品档案!$A$6:$A$65,0)),""))</f>
        <v/>
      </c>
      <c r="U184" s="58" t="str">
        <f aca="false">IF($F184="","",IFERROR(INDEX(商品档案!$I$6:$I$65,MATCH($F184,商品档案!$A$6:$A$65,0)),""))</f>
        <v/>
      </c>
      <c r="V184" s="59" t="str">
        <f aca="false">IF($F184="","",SUMIFS(进销存台账!$N$6:$N$65,进销存台账!$A$6:$A$65,$C184,进销存台账!$B$6:$B$65,$F184))</f>
        <v/>
      </c>
      <c r="W184" s="60" t="n">
        <f aca="false">IF(OR($D184="销售出库",$D184="销售退回"),ROUND(N($J184)*N($V184),2),0)</f>
        <v>0</v>
      </c>
      <c r="X184" s="58" t="str">
        <f aca="false">IF($E184="","",IFERROR(INDEX(往来单位!$D$6:$D$85,MATCH($E184,往来单位!$A$6:$A$85,0)),"否"))</f>
        <v/>
      </c>
      <c r="Y184" s="61" t="str">
        <f aca="false">IF($B184="","",YEAR($B184))</f>
        <v/>
      </c>
      <c r="Z184" s="58" t="str">
        <f aca="false">IF($B184="","",TEXT($B184,"yyyy-mm"))</f>
        <v/>
      </c>
    </row>
    <row r="185" customFormat="false" ht="15" hidden="false" customHeight="false" outlineLevel="0" collapsed="false">
      <c r="A185" s="53" t="str">
        <f aca="false">IF($B185="","",ROW()-5)</f>
        <v/>
      </c>
      <c r="B185" s="54"/>
      <c r="C185" s="33"/>
      <c r="D185" s="33"/>
      <c r="E185" s="32"/>
      <c r="F185" s="39"/>
      <c r="G185" s="48" t="str">
        <f aca="false">IF($F185="","",IFERROR(INDEX(商品档案!$B$6:$B$65,MATCH($F185,商品档案!$A$6:$A$65,0)),""))</f>
        <v/>
      </c>
      <c r="H185" s="48" t="str">
        <f aca="false">IF($F185="","",IFERROR(INDEX(商品档案!$C$6:$C$65,MATCH($F185,商品档案!$A$6:$A$65,0)),""))</f>
        <v/>
      </c>
      <c r="I185" s="55" t="str">
        <f aca="false">IF($F185="","",IFERROR(INDEX(商品档案!$D$6:$D$65,MATCH($F185,商品档案!$A$6:$A$65,0)),""))</f>
        <v/>
      </c>
      <c r="J185" s="49"/>
      <c r="K185" s="56"/>
      <c r="L185" s="33"/>
      <c r="M185" s="39"/>
      <c r="N185" s="41"/>
      <c r="O185" s="41"/>
      <c r="P185" s="25" t="str">
        <f aca="false">IF(AND($B185="",$D185="",$F185=""),"",IF(NOT(ISNUMBER($B185)),"日期无效",IF(ISNA(MATCH($C185,参数设置!$A$10:$A$12,0)),"公司无效",IF(ISNA(MATCH($D185,记账规则!$A$6:$A$9,0)),"业务类型无效",IF(ISNA(MATCH($F185,商品档案!$A$6:$A$65,0)),"商品编码无效",IF(IFERROR(INDEX(商品档案!$E$6:$E$65,MATCH($F185,商品档案!$A$6:$A$65,0)),"")&lt;&gt;$C185,"商品不属于该公司",IF(AND($E185&lt;&gt;"",ISNA(MATCH($E185,往来单位!$A$6:$A$85,0))),"往来单位未建档",IF(N($J185)=0,"数量为 0",IF(N($K185)=0,"单价为 0",IF(AND(LEFT($D185,2)="销售",$U185=""),"该商品没设成本科目",IF(YEAR($B185)&lt;&gt;参数设置!$B$5,"不在本会计年度","OK")))))))))))</f>
        <v/>
      </c>
      <c r="Q185" s="57" t="str">
        <f aca="false">IF($F185="","",ROUND(N($J185)*N($K185),2))</f>
        <v/>
      </c>
      <c r="R185" s="58" t="str">
        <f aca="false">IF($D185="","",IF(LEFT($D185,2)="销售","应收账款","应付账款"))</f>
        <v/>
      </c>
      <c r="S185" s="58" t="str">
        <f aca="false">IF($F185="","",IFERROR(INDEX(商品档案!$G$6:$G$65,MATCH($F185,商品档案!$A$6:$A$65,0)),""))</f>
        <v/>
      </c>
      <c r="T185" s="58" t="str">
        <f aca="false">IF($F185="","",IFERROR(INDEX(商品档案!$H$6:$H$65,MATCH($F185,商品档案!$A$6:$A$65,0)),""))</f>
        <v/>
      </c>
      <c r="U185" s="58" t="str">
        <f aca="false">IF($F185="","",IFERROR(INDEX(商品档案!$I$6:$I$65,MATCH($F185,商品档案!$A$6:$A$65,0)),""))</f>
        <v/>
      </c>
      <c r="V185" s="59" t="str">
        <f aca="false">IF($F185="","",SUMIFS(进销存台账!$N$6:$N$65,进销存台账!$A$6:$A$65,$C185,进销存台账!$B$6:$B$65,$F185))</f>
        <v/>
      </c>
      <c r="W185" s="60" t="n">
        <f aca="false">IF(OR($D185="销售出库",$D185="销售退回"),ROUND(N($J185)*N($V185),2),0)</f>
        <v>0</v>
      </c>
      <c r="X185" s="58" t="str">
        <f aca="false">IF($E185="","",IFERROR(INDEX(往来单位!$D$6:$D$85,MATCH($E185,往来单位!$A$6:$A$85,0)),"否"))</f>
        <v/>
      </c>
      <c r="Y185" s="61" t="str">
        <f aca="false">IF($B185="","",YEAR($B185))</f>
        <v/>
      </c>
      <c r="Z185" s="58" t="str">
        <f aca="false">IF($B185="","",TEXT($B185,"yyyy-mm"))</f>
        <v/>
      </c>
    </row>
    <row r="186" customFormat="false" ht="15" hidden="false" customHeight="false" outlineLevel="0" collapsed="false">
      <c r="A186" s="53" t="str">
        <f aca="false">IF($B186="","",ROW()-5)</f>
        <v/>
      </c>
      <c r="B186" s="54"/>
      <c r="C186" s="33"/>
      <c r="D186" s="33"/>
      <c r="E186" s="32"/>
      <c r="F186" s="39"/>
      <c r="G186" s="48" t="str">
        <f aca="false">IF($F186="","",IFERROR(INDEX(商品档案!$B$6:$B$65,MATCH($F186,商品档案!$A$6:$A$65,0)),""))</f>
        <v/>
      </c>
      <c r="H186" s="48" t="str">
        <f aca="false">IF($F186="","",IFERROR(INDEX(商品档案!$C$6:$C$65,MATCH($F186,商品档案!$A$6:$A$65,0)),""))</f>
        <v/>
      </c>
      <c r="I186" s="55" t="str">
        <f aca="false">IF($F186="","",IFERROR(INDEX(商品档案!$D$6:$D$65,MATCH($F186,商品档案!$A$6:$A$65,0)),""))</f>
        <v/>
      </c>
      <c r="J186" s="49"/>
      <c r="K186" s="56"/>
      <c r="L186" s="33"/>
      <c r="M186" s="39"/>
      <c r="N186" s="41"/>
      <c r="O186" s="41"/>
      <c r="P186" s="25" t="str">
        <f aca="false">IF(AND($B186="",$D186="",$F186=""),"",IF(NOT(ISNUMBER($B186)),"日期无效",IF(ISNA(MATCH($C186,参数设置!$A$10:$A$12,0)),"公司无效",IF(ISNA(MATCH($D186,记账规则!$A$6:$A$9,0)),"业务类型无效",IF(ISNA(MATCH($F186,商品档案!$A$6:$A$65,0)),"商品编码无效",IF(IFERROR(INDEX(商品档案!$E$6:$E$65,MATCH($F186,商品档案!$A$6:$A$65,0)),"")&lt;&gt;$C186,"商品不属于该公司",IF(AND($E186&lt;&gt;"",ISNA(MATCH($E186,往来单位!$A$6:$A$85,0))),"往来单位未建档",IF(N($J186)=0,"数量为 0",IF(N($K186)=0,"单价为 0",IF(AND(LEFT($D186,2)="销售",$U186=""),"该商品没设成本科目",IF(YEAR($B186)&lt;&gt;参数设置!$B$5,"不在本会计年度","OK")))))))))))</f>
        <v/>
      </c>
      <c r="Q186" s="57" t="str">
        <f aca="false">IF($F186="","",ROUND(N($J186)*N($K186),2))</f>
        <v/>
      </c>
      <c r="R186" s="58" t="str">
        <f aca="false">IF($D186="","",IF(LEFT($D186,2)="销售","应收账款","应付账款"))</f>
        <v/>
      </c>
      <c r="S186" s="58" t="str">
        <f aca="false">IF($F186="","",IFERROR(INDEX(商品档案!$G$6:$G$65,MATCH($F186,商品档案!$A$6:$A$65,0)),""))</f>
        <v/>
      </c>
      <c r="T186" s="58" t="str">
        <f aca="false">IF($F186="","",IFERROR(INDEX(商品档案!$H$6:$H$65,MATCH($F186,商品档案!$A$6:$A$65,0)),""))</f>
        <v/>
      </c>
      <c r="U186" s="58" t="str">
        <f aca="false">IF($F186="","",IFERROR(INDEX(商品档案!$I$6:$I$65,MATCH($F186,商品档案!$A$6:$A$65,0)),""))</f>
        <v/>
      </c>
      <c r="V186" s="59" t="str">
        <f aca="false">IF($F186="","",SUMIFS(进销存台账!$N$6:$N$65,进销存台账!$A$6:$A$65,$C186,进销存台账!$B$6:$B$65,$F186))</f>
        <v/>
      </c>
      <c r="W186" s="60" t="n">
        <f aca="false">IF(OR($D186="销售出库",$D186="销售退回"),ROUND(N($J186)*N($V186),2),0)</f>
        <v>0</v>
      </c>
      <c r="X186" s="58" t="str">
        <f aca="false">IF($E186="","",IFERROR(INDEX(往来单位!$D$6:$D$85,MATCH($E186,往来单位!$A$6:$A$85,0)),"否"))</f>
        <v/>
      </c>
      <c r="Y186" s="61" t="str">
        <f aca="false">IF($B186="","",YEAR($B186))</f>
        <v/>
      </c>
      <c r="Z186" s="58" t="str">
        <f aca="false">IF($B186="","",TEXT($B186,"yyyy-mm"))</f>
        <v/>
      </c>
    </row>
    <row r="187" customFormat="false" ht="15" hidden="false" customHeight="false" outlineLevel="0" collapsed="false">
      <c r="A187" s="53" t="str">
        <f aca="false">IF($B187="","",ROW()-5)</f>
        <v/>
      </c>
      <c r="B187" s="54"/>
      <c r="C187" s="33"/>
      <c r="D187" s="33"/>
      <c r="E187" s="32"/>
      <c r="F187" s="39"/>
      <c r="G187" s="48" t="str">
        <f aca="false">IF($F187="","",IFERROR(INDEX(商品档案!$B$6:$B$65,MATCH($F187,商品档案!$A$6:$A$65,0)),""))</f>
        <v/>
      </c>
      <c r="H187" s="48" t="str">
        <f aca="false">IF($F187="","",IFERROR(INDEX(商品档案!$C$6:$C$65,MATCH($F187,商品档案!$A$6:$A$65,0)),""))</f>
        <v/>
      </c>
      <c r="I187" s="55" t="str">
        <f aca="false">IF($F187="","",IFERROR(INDEX(商品档案!$D$6:$D$65,MATCH($F187,商品档案!$A$6:$A$65,0)),""))</f>
        <v/>
      </c>
      <c r="J187" s="49"/>
      <c r="K187" s="56"/>
      <c r="L187" s="33"/>
      <c r="M187" s="39"/>
      <c r="N187" s="41"/>
      <c r="O187" s="41"/>
      <c r="P187" s="25" t="str">
        <f aca="false">IF(AND($B187="",$D187="",$F187=""),"",IF(NOT(ISNUMBER($B187)),"日期无效",IF(ISNA(MATCH($C187,参数设置!$A$10:$A$12,0)),"公司无效",IF(ISNA(MATCH($D187,记账规则!$A$6:$A$9,0)),"业务类型无效",IF(ISNA(MATCH($F187,商品档案!$A$6:$A$65,0)),"商品编码无效",IF(IFERROR(INDEX(商品档案!$E$6:$E$65,MATCH($F187,商品档案!$A$6:$A$65,0)),"")&lt;&gt;$C187,"商品不属于该公司",IF(AND($E187&lt;&gt;"",ISNA(MATCH($E187,往来单位!$A$6:$A$85,0))),"往来单位未建档",IF(N($J187)=0,"数量为 0",IF(N($K187)=0,"单价为 0",IF(AND(LEFT($D187,2)="销售",$U187=""),"该商品没设成本科目",IF(YEAR($B187)&lt;&gt;参数设置!$B$5,"不在本会计年度","OK")))))))))))</f>
        <v/>
      </c>
      <c r="Q187" s="57" t="str">
        <f aca="false">IF($F187="","",ROUND(N($J187)*N($K187),2))</f>
        <v/>
      </c>
      <c r="R187" s="58" t="str">
        <f aca="false">IF($D187="","",IF(LEFT($D187,2)="销售","应收账款","应付账款"))</f>
        <v/>
      </c>
      <c r="S187" s="58" t="str">
        <f aca="false">IF($F187="","",IFERROR(INDEX(商品档案!$G$6:$G$65,MATCH($F187,商品档案!$A$6:$A$65,0)),""))</f>
        <v/>
      </c>
      <c r="T187" s="58" t="str">
        <f aca="false">IF($F187="","",IFERROR(INDEX(商品档案!$H$6:$H$65,MATCH($F187,商品档案!$A$6:$A$65,0)),""))</f>
        <v/>
      </c>
      <c r="U187" s="58" t="str">
        <f aca="false">IF($F187="","",IFERROR(INDEX(商品档案!$I$6:$I$65,MATCH($F187,商品档案!$A$6:$A$65,0)),""))</f>
        <v/>
      </c>
      <c r="V187" s="59" t="str">
        <f aca="false">IF($F187="","",SUMIFS(进销存台账!$N$6:$N$65,进销存台账!$A$6:$A$65,$C187,进销存台账!$B$6:$B$65,$F187))</f>
        <v/>
      </c>
      <c r="W187" s="60" t="n">
        <f aca="false">IF(OR($D187="销售出库",$D187="销售退回"),ROUND(N($J187)*N($V187),2),0)</f>
        <v>0</v>
      </c>
      <c r="X187" s="58" t="str">
        <f aca="false">IF($E187="","",IFERROR(INDEX(往来单位!$D$6:$D$85,MATCH($E187,往来单位!$A$6:$A$85,0)),"否"))</f>
        <v/>
      </c>
      <c r="Y187" s="61" t="str">
        <f aca="false">IF($B187="","",YEAR($B187))</f>
        <v/>
      </c>
      <c r="Z187" s="58" t="str">
        <f aca="false">IF($B187="","",TEXT($B187,"yyyy-mm"))</f>
        <v/>
      </c>
    </row>
    <row r="188" customFormat="false" ht="15" hidden="false" customHeight="false" outlineLevel="0" collapsed="false">
      <c r="A188" s="53" t="str">
        <f aca="false">IF($B188="","",ROW()-5)</f>
        <v/>
      </c>
      <c r="B188" s="54"/>
      <c r="C188" s="33"/>
      <c r="D188" s="33"/>
      <c r="E188" s="32"/>
      <c r="F188" s="39"/>
      <c r="G188" s="48" t="str">
        <f aca="false">IF($F188="","",IFERROR(INDEX(商品档案!$B$6:$B$65,MATCH($F188,商品档案!$A$6:$A$65,0)),""))</f>
        <v/>
      </c>
      <c r="H188" s="48" t="str">
        <f aca="false">IF($F188="","",IFERROR(INDEX(商品档案!$C$6:$C$65,MATCH($F188,商品档案!$A$6:$A$65,0)),""))</f>
        <v/>
      </c>
      <c r="I188" s="55" t="str">
        <f aca="false">IF($F188="","",IFERROR(INDEX(商品档案!$D$6:$D$65,MATCH($F188,商品档案!$A$6:$A$65,0)),""))</f>
        <v/>
      </c>
      <c r="J188" s="49"/>
      <c r="K188" s="56"/>
      <c r="L188" s="33"/>
      <c r="M188" s="39"/>
      <c r="N188" s="41"/>
      <c r="O188" s="41"/>
      <c r="P188" s="25" t="str">
        <f aca="false">IF(AND($B188="",$D188="",$F188=""),"",IF(NOT(ISNUMBER($B188)),"日期无效",IF(ISNA(MATCH($C188,参数设置!$A$10:$A$12,0)),"公司无效",IF(ISNA(MATCH($D188,记账规则!$A$6:$A$9,0)),"业务类型无效",IF(ISNA(MATCH($F188,商品档案!$A$6:$A$65,0)),"商品编码无效",IF(IFERROR(INDEX(商品档案!$E$6:$E$65,MATCH($F188,商品档案!$A$6:$A$65,0)),"")&lt;&gt;$C188,"商品不属于该公司",IF(AND($E188&lt;&gt;"",ISNA(MATCH($E188,往来单位!$A$6:$A$85,0))),"往来单位未建档",IF(N($J188)=0,"数量为 0",IF(N($K188)=0,"单价为 0",IF(AND(LEFT($D188,2)="销售",$U188=""),"该商品没设成本科目",IF(YEAR($B188)&lt;&gt;参数设置!$B$5,"不在本会计年度","OK")))))))))))</f>
        <v/>
      </c>
      <c r="Q188" s="57" t="str">
        <f aca="false">IF($F188="","",ROUND(N($J188)*N($K188),2))</f>
        <v/>
      </c>
      <c r="R188" s="58" t="str">
        <f aca="false">IF($D188="","",IF(LEFT($D188,2)="销售","应收账款","应付账款"))</f>
        <v/>
      </c>
      <c r="S188" s="58" t="str">
        <f aca="false">IF($F188="","",IFERROR(INDEX(商品档案!$G$6:$G$65,MATCH($F188,商品档案!$A$6:$A$65,0)),""))</f>
        <v/>
      </c>
      <c r="T188" s="58" t="str">
        <f aca="false">IF($F188="","",IFERROR(INDEX(商品档案!$H$6:$H$65,MATCH($F188,商品档案!$A$6:$A$65,0)),""))</f>
        <v/>
      </c>
      <c r="U188" s="58" t="str">
        <f aca="false">IF($F188="","",IFERROR(INDEX(商品档案!$I$6:$I$65,MATCH($F188,商品档案!$A$6:$A$65,0)),""))</f>
        <v/>
      </c>
      <c r="V188" s="59" t="str">
        <f aca="false">IF($F188="","",SUMIFS(进销存台账!$N$6:$N$65,进销存台账!$A$6:$A$65,$C188,进销存台账!$B$6:$B$65,$F188))</f>
        <v/>
      </c>
      <c r="W188" s="60" t="n">
        <f aca="false">IF(OR($D188="销售出库",$D188="销售退回"),ROUND(N($J188)*N($V188),2),0)</f>
        <v>0</v>
      </c>
      <c r="X188" s="58" t="str">
        <f aca="false">IF($E188="","",IFERROR(INDEX(往来单位!$D$6:$D$85,MATCH($E188,往来单位!$A$6:$A$85,0)),"否"))</f>
        <v/>
      </c>
      <c r="Y188" s="61" t="str">
        <f aca="false">IF($B188="","",YEAR($B188))</f>
        <v/>
      </c>
      <c r="Z188" s="58" t="str">
        <f aca="false">IF($B188="","",TEXT($B188,"yyyy-mm"))</f>
        <v/>
      </c>
    </row>
    <row r="189" customFormat="false" ht="15" hidden="false" customHeight="false" outlineLevel="0" collapsed="false">
      <c r="A189" s="53" t="str">
        <f aca="false">IF($B189="","",ROW()-5)</f>
        <v/>
      </c>
      <c r="B189" s="54"/>
      <c r="C189" s="33"/>
      <c r="D189" s="33"/>
      <c r="E189" s="32"/>
      <c r="F189" s="39"/>
      <c r="G189" s="48" t="str">
        <f aca="false">IF($F189="","",IFERROR(INDEX(商品档案!$B$6:$B$65,MATCH($F189,商品档案!$A$6:$A$65,0)),""))</f>
        <v/>
      </c>
      <c r="H189" s="48" t="str">
        <f aca="false">IF($F189="","",IFERROR(INDEX(商品档案!$C$6:$C$65,MATCH($F189,商品档案!$A$6:$A$65,0)),""))</f>
        <v/>
      </c>
      <c r="I189" s="55" t="str">
        <f aca="false">IF($F189="","",IFERROR(INDEX(商品档案!$D$6:$D$65,MATCH($F189,商品档案!$A$6:$A$65,0)),""))</f>
        <v/>
      </c>
      <c r="J189" s="49"/>
      <c r="K189" s="56"/>
      <c r="L189" s="33"/>
      <c r="M189" s="39"/>
      <c r="N189" s="41"/>
      <c r="O189" s="41"/>
      <c r="P189" s="25" t="str">
        <f aca="false">IF(AND($B189="",$D189="",$F189=""),"",IF(NOT(ISNUMBER($B189)),"日期无效",IF(ISNA(MATCH($C189,参数设置!$A$10:$A$12,0)),"公司无效",IF(ISNA(MATCH($D189,记账规则!$A$6:$A$9,0)),"业务类型无效",IF(ISNA(MATCH($F189,商品档案!$A$6:$A$65,0)),"商品编码无效",IF(IFERROR(INDEX(商品档案!$E$6:$E$65,MATCH($F189,商品档案!$A$6:$A$65,0)),"")&lt;&gt;$C189,"商品不属于该公司",IF(AND($E189&lt;&gt;"",ISNA(MATCH($E189,往来单位!$A$6:$A$85,0))),"往来单位未建档",IF(N($J189)=0,"数量为 0",IF(N($K189)=0,"单价为 0",IF(AND(LEFT($D189,2)="销售",$U189=""),"该商品没设成本科目",IF(YEAR($B189)&lt;&gt;参数设置!$B$5,"不在本会计年度","OK")))))))))))</f>
        <v/>
      </c>
      <c r="Q189" s="57" t="str">
        <f aca="false">IF($F189="","",ROUND(N($J189)*N($K189),2))</f>
        <v/>
      </c>
      <c r="R189" s="58" t="str">
        <f aca="false">IF($D189="","",IF(LEFT($D189,2)="销售","应收账款","应付账款"))</f>
        <v/>
      </c>
      <c r="S189" s="58" t="str">
        <f aca="false">IF($F189="","",IFERROR(INDEX(商品档案!$G$6:$G$65,MATCH($F189,商品档案!$A$6:$A$65,0)),""))</f>
        <v/>
      </c>
      <c r="T189" s="58" t="str">
        <f aca="false">IF($F189="","",IFERROR(INDEX(商品档案!$H$6:$H$65,MATCH($F189,商品档案!$A$6:$A$65,0)),""))</f>
        <v/>
      </c>
      <c r="U189" s="58" t="str">
        <f aca="false">IF($F189="","",IFERROR(INDEX(商品档案!$I$6:$I$65,MATCH($F189,商品档案!$A$6:$A$65,0)),""))</f>
        <v/>
      </c>
      <c r="V189" s="59" t="str">
        <f aca="false">IF($F189="","",SUMIFS(进销存台账!$N$6:$N$65,进销存台账!$A$6:$A$65,$C189,进销存台账!$B$6:$B$65,$F189))</f>
        <v/>
      </c>
      <c r="W189" s="60" t="n">
        <f aca="false">IF(OR($D189="销售出库",$D189="销售退回"),ROUND(N($J189)*N($V189),2),0)</f>
        <v>0</v>
      </c>
      <c r="X189" s="58" t="str">
        <f aca="false">IF($E189="","",IFERROR(INDEX(往来单位!$D$6:$D$85,MATCH($E189,往来单位!$A$6:$A$85,0)),"否"))</f>
        <v/>
      </c>
      <c r="Y189" s="61" t="str">
        <f aca="false">IF($B189="","",YEAR($B189))</f>
        <v/>
      </c>
      <c r="Z189" s="58" t="str">
        <f aca="false">IF($B189="","",TEXT($B189,"yyyy-mm"))</f>
        <v/>
      </c>
    </row>
    <row r="190" customFormat="false" ht="15" hidden="false" customHeight="false" outlineLevel="0" collapsed="false">
      <c r="A190" s="53" t="str">
        <f aca="false">IF($B190="","",ROW()-5)</f>
        <v/>
      </c>
      <c r="B190" s="54"/>
      <c r="C190" s="33"/>
      <c r="D190" s="33"/>
      <c r="E190" s="32"/>
      <c r="F190" s="39"/>
      <c r="G190" s="48" t="str">
        <f aca="false">IF($F190="","",IFERROR(INDEX(商品档案!$B$6:$B$65,MATCH($F190,商品档案!$A$6:$A$65,0)),""))</f>
        <v/>
      </c>
      <c r="H190" s="48" t="str">
        <f aca="false">IF($F190="","",IFERROR(INDEX(商品档案!$C$6:$C$65,MATCH($F190,商品档案!$A$6:$A$65,0)),""))</f>
        <v/>
      </c>
      <c r="I190" s="55" t="str">
        <f aca="false">IF($F190="","",IFERROR(INDEX(商品档案!$D$6:$D$65,MATCH($F190,商品档案!$A$6:$A$65,0)),""))</f>
        <v/>
      </c>
      <c r="J190" s="49"/>
      <c r="K190" s="56"/>
      <c r="L190" s="33"/>
      <c r="M190" s="39"/>
      <c r="N190" s="41"/>
      <c r="O190" s="41"/>
      <c r="P190" s="25" t="str">
        <f aca="false">IF(AND($B190="",$D190="",$F190=""),"",IF(NOT(ISNUMBER($B190)),"日期无效",IF(ISNA(MATCH($C190,参数设置!$A$10:$A$12,0)),"公司无效",IF(ISNA(MATCH($D190,记账规则!$A$6:$A$9,0)),"业务类型无效",IF(ISNA(MATCH($F190,商品档案!$A$6:$A$65,0)),"商品编码无效",IF(IFERROR(INDEX(商品档案!$E$6:$E$65,MATCH($F190,商品档案!$A$6:$A$65,0)),"")&lt;&gt;$C190,"商品不属于该公司",IF(AND($E190&lt;&gt;"",ISNA(MATCH($E190,往来单位!$A$6:$A$85,0))),"往来单位未建档",IF(N($J190)=0,"数量为 0",IF(N($K190)=0,"单价为 0",IF(AND(LEFT($D190,2)="销售",$U190=""),"该商品没设成本科目",IF(YEAR($B190)&lt;&gt;参数设置!$B$5,"不在本会计年度","OK")))))))))))</f>
        <v/>
      </c>
      <c r="Q190" s="57" t="str">
        <f aca="false">IF($F190="","",ROUND(N($J190)*N($K190),2))</f>
        <v/>
      </c>
      <c r="R190" s="58" t="str">
        <f aca="false">IF($D190="","",IF(LEFT($D190,2)="销售","应收账款","应付账款"))</f>
        <v/>
      </c>
      <c r="S190" s="58" t="str">
        <f aca="false">IF($F190="","",IFERROR(INDEX(商品档案!$G$6:$G$65,MATCH($F190,商品档案!$A$6:$A$65,0)),""))</f>
        <v/>
      </c>
      <c r="T190" s="58" t="str">
        <f aca="false">IF($F190="","",IFERROR(INDEX(商品档案!$H$6:$H$65,MATCH($F190,商品档案!$A$6:$A$65,0)),""))</f>
        <v/>
      </c>
      <c r="U190" s="58" t="str">
        <f aca="false">IF($F190="","",IFERROR(INDEX(商品档案!$I$6:$I$65,MATCH($F190,商品档案!$A$6:$A$65,0)),""))</f>
        <v/>
      </c>
      <c r="V190" s="59" t="str">
        <f aca="false">IF($F190="","",SUMIFS(进销存台账!$N$6:$N$65,进销存台账!$A$6:$A$65,$C190,进销存台账!$B$6:$B$65,$F190))</f>
        <v/>
      </c>
      <c r="W190" s="60" t="n">
        <f aca="false">IF(OR($D190="销售出库",$D190="销售退回"),ROUND(N($J190)*N($V190),2),0)</f>
        <v>0</v>
      </c>
      <c r="X190" s="58" t="str">
        <f aca="false">IF($E190="","",IFERROR(INDEX(往来单位!$D$6:$D$85,MATCH($E190,往来单位!$A$6:$A$85,0)),"否"))</f>
        <v/>
      </c>
      <c r="Y190" s="61" t="str">
        <f aca="false">IF($B190="","",YEAR($B190))</f>
        <v/>
      </c>
      <c r="Z190" s="58" t="str">
        <f aca="false">IF($B190="","",TEXT($B190,"yyyy-mm"))</f>
        <v/>
      </c>
    </row>
    <row r="191" customFormat="false" ht="15" hidden="false" customHeight="false" outlineLevel="0" collapsed="false">
      <c r="A191" s="53" t="str">
        <f aca="false">IF($B191="","",ROW()-5)</f>
        <v/>
      </c>
      <c r="B191" s="54"/>
      <c r="C191" s="33"/>
      <c r="D191" s="33"/>
      <c r="E191" s="32"/>
      <c r="F191" s="39"/>
      <c r="G191" s="48" t="str">
        <f aca="false">IF($F191="","",IFERROR(INDEX(商品档案!$B$6:$B$65,MATCH($F191,商品档案!$A$6:$A$65,0)),""))</f>
        <v/>
      </c>
      <c r="H191" s="48" t="str">
        <f aca="false">IF($F191="","",IFERROR(INDEX(商品档案!$C$6:$C$65,MATCH($F191,商品档案!$A$6:$A$65,0)),""))</f>
        <v/>
      </c>
      <c r="I191" s="55" t="str">
        <f aca="false">IF($F191="","",IFERROR(INDEX(商品档案!$D$6:$D$65,MATCH($F191,商品档案!$A$6:$A$65,0)),""))</f>
        <v/>
      </c>
      <c r="J191" s="49"/>
      <c r="K191" s="56"/>
      <c r="L191" s="33"/>
      <c r="M191" s="39"/>
      <c r="N191" s="41"/>
      <c r="O191" s="41"/>
      <c r="P191" s="25" t="str">
        <f aca="false">IF(AND($B191="",$D191="",$F191=""),"",IF(NOT(ISNUMBER($B191)),"日期无效",IF(ISNA(MATCH($C191,参数设置!$A$10:$A$12,0)),"公司无效",IF(ISNA(MATCH($D191,记账规则!$A$6:$A$9,0)),"业务类型无效",IF(ISNA(MATCH($F191,商品档案!$A$6:$A$65,0)),"商品编码无效",IF(IFERROR(INDEX(商品档案!$E$6:$E$65,MATCH($F191,商品档案!$A$6:$A$65,0)),"")&lt;&gt;$C191,"商品不属于该公司",IF(AND($E191&lt;&gt;"",ISNA(MATCH($E191,往来单位!$A$6:$A$85,0))),"往来单位未建档",IF(N($J191)=0,"数量为 0",IF(N($K191)=0,"单价为 0",IF(AND(LEFT($D191,2)="销售",$U191=""),"该商品没设成本科目",IF(YEAR($B191)&lt;&gt;参数设置!$B$5,"不在本会计年度","OK")))))))))))</f>
        <v/>
      </c>
      <c r="Q191" s="57" t="str">
        <f aca="false">IF($F191="","",ROUND(N($J191)*N($K191),2))</f>
        <v/>
      </c>
      <c r="R191" s="58" t="str">
        <f aca="false">IF($D191="","",IF(LEFT($D191,2)="销售","应收账款","应付账款"))</f>
        <v/>
      </c>
      <c r="S191" s="58" t="str">
        <f aca="false">IF($F191="","",IFERROR(INDEX(商品档案!$G$6:$G$65,MATCH($F191,商品档案!$A$6:$A$65,0)),""))</f>
        <v/>
      </c>
      <c r="T191" s="58" t="str">
        <f aca="false">IF($F191="","",IFERROR(INDEX(商品档案!$H$6:$H$65,MATCH($F191,商品档案!$A$6:$A$65,0)),""))</f>
        <v/>
      </c>
      <c r="U191" s="58" t="str">
        <f aca="false">IF($F191="","",IFERROR(INDEX(商品档案!$I$6:$I$65,MATCH($F191,商品档案!$A$6:$A$65,0)),""))</f>
        <v/>
      </c>
      <c r="V191" s="59" t="str">
        <f aca="false">IF($F191="","",SUMIFS(进销存台账!$N$6:$N$65,进销存台账!$A$6:$A$65,$C191,进销存台账!$B$6:$B$65,$F191))</f>
        <v/>
      </c>
      <c r="W191" s="60" t="n">
        <f aca="false">IF(OR($D191="销售出库",$D191="销售退回"),ROUND(N($J191)*N($V191),2),0)</f>
        <v>0</v>
      </c>
      <c r="X191" s="58" t="str">
        <f aca="false">IF($E191="","",IFERROR(INDEX(往来单位!$D$6:$D$85,MATCH($E191,往来单位!$A$6:$A$85,0)),"否"))</f>
        <v/>
      </c>
      <c r="Y191" s="61" t="str">
        <f aca="false">IF($B191="","",YEAR($B191))</f>
        <v/>
      </c>
      <c r="Z191" s="58" t="str">
        <f aca="false">IF($B191="","",TEXT($B191,"yyyy-mm"))</f>
        <v/>
      </c>
    </row>
    <row r="192" customFormat="false" ht="15" hidden="false" customHeight="false" outlineLevel="0" collapsed="false">
      <c r="A192" s="53" t="str">
        <f aca="false">IF($B192="","",ROW()-5)</f>
        <v/>
      </c>
      <c r="B192" s="54"/>
      <c r="C192" s="33"/>
      <c r="D192" s="33"/>
      <c r="E192" s="32"/>
      <c r="F192" s="39"/>
      <c r="G192" s="48" t="str">
        <f aca="false">IF($F192="","",IFERROR(INDEX(商品档案!$B$6:$B$65,MATCH($F192,商品档案!$A$6:$A$65,0)),""))</f>
        <v/>
      </c>
      <c r="H192" s="48" t="str">
        <f aca="false">IF($F192="","",IFERROR(INDEX(商品档案!$C$6:$C$65,MATCH($F192,商品档案!$A$6:$A$65,0)),""))</f>
        <v/>
      </c>
      <c r="I192" s="55" t="str">
        <f aca="false">IF($F192="","",IFERROR(INDEX(商品档案!$D$6:$D$65,MATCH($F192,商品档案!$A$6:$A$65,0)),""))</f>
        <v/>
      </c>
      <c r="J192" s="49"/>
      <c r="K192" s="56"/>
      <c r="L192" s="33"/>
      <c r="M192" s="39"/>
      <c r="N192" s="41"/>
      <c r="O192" s="41"/>
      <c r="P192" s="25" t="str">
        <f aca="false">IF(AND($B192="",$D192="",$F192=""),"",IF(NOT(ISNUMBER($B192)),"日期无效",IF(ISNA(MATCH($C192,参数设置!$A$10:$A$12,0)),"公司无效",IF(ISNA(MATCH($D192,记账规则!$A$6:$A$9,0)),"业务类型无效",IF(ISNA(MATCH($F192,商品档案!$A$6:$A$65,0)),"商品编码无效",IF(IFERROR(INDEX(商品档案!$E$6:$E$65,MATCH($F192,商品档案!$A$6:$A$65,0)),"")&lt;&gt;$C192,"商品不属于该公司",IF(AND($E192&lt;&gt;"",ISNA(MATCH($E192,往来单位!$A$6:$A$85,0))),"往来单位未建档",IF(N($J192)=0,"数量为 0",IF(N($K192)=0,"单价为 0",IF(AND(LEFT($D192,2)="销售",$U192=""),"该商品没设成本科目",IF(YEAR($B192)&lt;&gt;参数设置!$B$5,"不在本会计年度","OK")))))))))))</f>
        <v/>
      </c>
      <c r="Q192" s="57" t="str">
        <f aca="false">IF($F192="","",ROUND(N($J192)*N($K192),2))</f>
        <v/>
      </c>
      <c r="R192" s="58" t="str">
        <f aca="false">IF($D192="","",IF(LEFT($D192,2)="销售","应收账款","应付账款"))</f>
        <v/>
      </c>
      <c r="S192" s="58" t="str">
        <f aca="false">IF($F192="","",IFERROR(INDEX(商品档案!$G$6:$G$65,MATCH($F192,商品档案!$A$6:$A$65,0)),""))</f>
        <v/>
      </c>
      <c r="T192" s="58" t="str">
        <f aca="false">IF($F192="","",IFERROR(INDEX(商品档案!$H$6:$H$65,MATCH($F192,商品档案!$A$6:$A$65,0)),""))</f>
        <v/>
      </c>
      <c r="U192" s="58" t="str">
        <f aca="false">IF($F192="","",IFERROR(INDEX(商品档案!$I$6:$I$65,MATCH($F192,商品档案!$A$6:$A$65,0)),""))</f>
        <v/>
      </c>
      <c r="V192" s="59" t="str">
        <f aca="false">IF($F192="","",SUMIFS(进销存台账!$N$6:$N$65,进销存台账!$A$6:$A$65,$C192,进销存台账!$B$6:$B$65,$F192))</f>
        <v/>
      </c>
      <c r="W192" s="60" t="n">
        <f aca="false">IF(OR($D192="销售出库",$D192="销售退回"),ROUND(N($J192)*N($V192),2),0)</f>
        <v>0</v>
      </c>
      <c r="X192" s="58" t="str">
        <f aca="false">IF($E192="","",IFERROR(INDEX(往来单位!$D$6:$D$85,MATCH($E192,往来单位!$A$6:$A$85,0)),"否"))</f>
        <v/>
      </c>
      <c r="Y192" s="61" t="str">
        <f aca="false">IF($B192="","",YEAR($B192))</f>
        <v/>
      </c>
      <c r="Z192" s="58" t="str">
        <f aca="false">IF($B192="","",TEXT($B192,"yyyy-mm"))</f>
        <v/>
      </c>
    </row>
    <row r="193" customFormat="false" ht="15" hidden="false" customHeight="false" outlineLevel="0" collapsed="false">
      <c r="A193" s="53" t="str">
        <f aca="false">IF($B193="","",ROW()-5)</f>
        <v/>
      </c>
      <c r="B193" s="54"/>
      <c r="C193" s="33"/>
      <c r="D193" s="33"/>
      <c r="E193" s="32"/>
      <c r="F193" s="39"/>
      <c r="G193" s="48" t="str">
        <f aca="false">IF($F193="","",IFERROR(INDEX(商品档案!$B$6:$B$65,MATCH($F193,商品档案!$A$6:$A$65,0)),""))</f>
        <v/>
      </c>
      <c r="H193" s="48" t="str">
        <f aca="false">IF($F193="","",IFERROR(INDEX(商品档案!$C$6:$C$65,MATCH($F193,商品档案!$A$6:$A$65,0)),""))</f>
        <v/>
      </c>
      <c r="I193" s="55" t="str">
        <f aca="false">IF($F193="","",IFERROR(INDEX(商品档案!$D$6:$D$65,MATCH($F193,商品档案!$A$6:$A$65,0)),""))</f>
        <v/>
      </c>
      <c r="J193" s="49"/>
      <c r="K193" s="56"/>
      <c r="L193" s="33"/>
      <c r="M193" s="39"/>
      <c r="N193" s="41"/>
      <c r="O193" s="41"/>
      <c r="P193" s="25" t="str">
        <f aca="false">IF(AND($B193="",$D193="",$F193=""),"",IF(NOT(ISNUMBER($B193)),"日期无效",IF(ISNA(MATCH($C193,参数设置!$A$10:$A$12,0)),"公司无效",IF(ISNA(MATCH($D193,记账规则!$A$6:$A$9,0)),"业务类型无效",IF(ISNA(MATCH($F193,商品档案!$A$6:$A$65,0)),"商品编码无效",IF(IFERROR(INDEX(商品档案!$E$6:$E$65,MATCH($F193,商品档案!$A$6:$A$65,0)),"")&lt;&gt;$C193,"商品不属于该公司",IF(AND($E193&lt;&gt;"",ISNA(MATCH($E193,往来单位!$A$6:$A$85,0))),"往来单位未建档",IF(N($J193)=0,"数量为 0",IF(N($K193)=0,"单价为 0",IF(AND(LEFT($D193,2)="销售",$U193=""),"该商品没设成本科目",IF(YEAR($B193)&lt;&gt;参数设置!$B$5,"不在本会计年度","OK")))))))))))</f>
        <v/>
      </c>
      <c r="Q193" s="57" t="str">
        <f aca="false">IF($F193="","",ROUND(N($J193)*N($K193),2))</f>
        <v/>
      </c>
      <c r="R193" s="58" t="str">
        <f aca="false">IF($D193="","",IF(LEFT($D193,2)="销售","应收账款","应付账款"))</f>
        <v/>
      </c>
      <c r="S193" s="58" t="str">
        <f aca="false">IF($F193="","",IFERROR(INDEX(商品档案!$G$6:$G$65,MATCH($F193,商品档案!$A$6:$A$65,0)),""))</f>
        <v/>
      </c>
      <c r="T193" s="58" t="str">
        <f aca="false">IF($F193="","",IFERROR(INDEX(商品档案!$H$6:$H$65,MATCH($F193,商品档案!$A$6:$A$65,0)),""))</f>
        <v/>
      </c>
      <c r="U193" s="58" t="str">
        <f aca="false">IF($F193="","",IFERROR(INDEX(商品档案!$I$6:$I$65,MATCH($F193,商品档案!$A$6:$A$65,0)),""))</f>
        <v/>
      </c>
      <c r="V193" s="59" t="str">
        <f aca="false">IF($F193="","",SUMIFS(进销存台账!$N$6:$N$65,进销存台账!$A$6:$A$65,$C193,进销存台账!$B$6:$B$65,$F193))</f>
        <v/>
      </c>
      <c r="W193" s="60" t="n">
        <f aca="false">IF(OR($D193="销售出库",$D193="销售退回"),ROUND(N($J193)*N($V193),2),0)</f>
        <v>0</v>
      </c>
      <c r="X193" s="58" t="str">
        <f aca="false">IF($E193="","",IFERROR(INDEX(往来单位!$D$6:$D$85,MATCH($E193,往来单位!$A$6:$A$85,0)),"否"))</f>
        <v/>
      </c>
      <c r="Y193" s="61" t="str">
        <f aca="false">IF($B193="","",YEAR($B193))</f>
        <v/>
      </c>
      <c r="Z193" s="58" t="str">
        <f aca="false">IF($B193="","",TEXT($B193,"yyyy-mm"))</f>
        <v/>
      </c>
    </row>
    <row r="194" customFormat="false" ht="15" hidden="false" customHeight="false" outlineLevel="0" collapsed="false">
      <c r="A194" s="53" t="str">
        <f aca="false">IF($B194="","",ROW()-5)</f>
        <v/>
      </c>
      <c r="B194" s="54"/>
      <c r="C194" s="33"/>
      <c r="D194" s="33"/>
      <c r="E194" s="32"/>
      <c r="F194" s="39"/>
      <c r="G194" s="48" t="str">
        <f aca="false">IF($F194="","",IFERROR(INDEX(商品档案!$B$6:$B$65,MATCH($F194,商品档案!$A$6:$A$65,0)),""))</f>
        <v/>
      </c>
      <c r="H194" s="48" t="str">
        <f aca="false">IF($F194="","",IFERROR(INDEX(商品档案!$C$6:$C$65,MATCH($F194,商品档案!$A$6:$A$65,0)),""))</f>
        <v/>
      </c>
      <c r="I194" s="55" t="str">
        <f aca="false">IF($F194="","",IFERROR(INDEX(商品档案!$D$6:$D$65,MATCH($F194,商品档案!$A$6:$A$65,0)),""))</f>
        <v/>
      </c>
      <c r="J194" s="49"/>
      <c r="K194" s="56"/>
      <c r="L194" s="33"/>
      <c r="M194" s="39"/>
      <c r="N194" s="41"/>
      <c r="O194" s="41"/>
      <c r="P194" s="25" t="str">
        <f aca="false">IF(AND($B194="",$D194="",$F194=""),"",IF(NOT(ISNUMBER($B194)),"日期无效",IF(ISNA(MATCH($C194,参数设置!$A$10:$A$12,0)),"公司无效",IF(ISNA(MATCH($D194,记账规则!$A$6:$A$9,0)),"业务类型无效",IF(ISNA(MATCH($F194,商品档案!$A$6:$A$65,0)),"商品编码无效",IF(IFERROR(INDEX(商品档案!$E$6:$E$65,MATCH($F194,商品档案!$A$6:$A$65,0)),"")&lt;&gt;$C194,"商品不属于该公司",IF(AND($E194&lt;&gt;"",ISNA(MATCH($E194,往来单位!$A$6:$A$85,0))),"往来单位未建档",IF(N($J194)=0,"数量为 0",IF(N($K194)=0,"单价为 0",IF(AND(LEFT($D194,2)="销售",$U194=""),"该商品没设成本科目",IF(YEAR($B194)&lt;&gt;参数设置!$B$5,"不在本会计年度","OK")))))))))))</f>
        <v/>
      </c>
      <c r="Q194" s="57" t="str">
        <f aca="false">IF($F194="","",ROUND(N($J194)*N($K194),2))</f>
        <v/>
      </c>
      <c r="R194" s="58" t="str">
        <f aca="false">IF($D194="","",IF(LEFT($D194,2)="销售","应收账款","应付账款"))</f>
        <v/>
      </c>
      <c r="S194" s="58" t="str">
        <f aca="false">IF($F194="","",IFERROR(INDEX(商品档案!$G$6:$G$65,MATCH($F194,商品档案!$A$6:$A$65,0)),""))</f>
        <v/>
      </c>
      <c r="T194" s="58" t="str">
        <f aca="false">IF($F194="","",IFERROR(INDEX(商品档案!$H$6:$H$65,MATCH($F194,商品档案!$A$6:$A$65,0)),""))</f>
        <v/>
      </c>
      <c r="U194" s="58" t="str">
        <f aca="false">IF($F194="","",IFERROR(INDEX(商品档案!$I$6:$I$65,MATCH($F194,商品档案!$A$6:$A$65,0)),""))</f>
        <v/>
      </c>
      <c r="V194" s="59" t="str">
        <f aca="false">IF($F194="","",SUMIFS(进销存台账!$N$6:$N$65,进销存台账!$A$6:$A$65,$C194,进销存台账!$B$6:$B$65,$F194))</f>
        <v/>
      </c>
      <c r="W194" s="60" t="n">
        <f aca="false">IF(OR($D194="销售出库",$D194="销售退回"),ROUND(N($J194)*N($V194),2),0)</f>
        <v>0</v>
      </c>
      <c r="X194" s="58" t="str">
        <f aca="false">IF($E194="","",IFERROR(INDEX(往来单位!$D$6:$D$85,MATCH($E194,往来单位!$A$6:$A$85,0)),"否"))</f>
        <v/>
      </c>
      <c r="Y194" s="61" t="str">
        <f aca="false">IF($B194="","",YEAR($B194))</f>
        <v/>
      </c>
      <c r="Z194" s="58" t="str">
        <f aca="false">IF($B194="","",TEXT($B194,"yyyy-mm"))</f>
        <v/>
      </c>
    </row>
    <row r="195" customFormat="false" ht="15" hidden="false" customHeight="false" outlineLevel="0" collapsed="false">
      <c r="A195" s="53" t="str">
        <f aca="false">IF($B195="","",ROW()-5)</f>
        <v/>
      </c>
      <c r="B195" s="54"/>
      <c r="C195" s="33"/>
      <c r="D195" s="33"/>
      <c r="E195" s="32"/>
      <c r="F195" s="39"/>
      <c r="G195" s="48" t="str">
        <f aca="false">IF($F195="","",IFERROR(INDEX(商品档案!$B$6:$B$65,MATCH($F195,商品档案!$A$6:$A$65,0)),""))</f>
        <v/>
      </c>
      <c r="H195" s="48" t="str">
        <f aca="false">IF($F195="","",IFERROR(INDEX(商品档案!$C$6:$C$65,MATCH($F195,商品档案!$A$6:$A$65,0)),""))</f>
        <v/>
      </c>
      <c r="I195" s="55" t="str">
        <f aca="false">IF($F195="","",IFERROR(INDEX(商品档案!$D$6:$D$65,MATCH($F195,商品档案!$A$6:$A$65,0)),""))</f>
        <v/>
      </c>
      <c r="J195" s="49"/>
      <c r="K195" s="56"/>
      <c r="L195" s="33"/>
      <c r="M195" s="39"/>
      <c r="N195" s="41"/>
      <c r="O195" s="41"/>
      <c r="P195" s="25" t="str">
        <f aca="false">IF(AND($B195="",$D195="",$F195=""),"",IF(NOT(ISNUMBER($B195)),"日期无效",IF(ISNA(MATCH($C195,参数设置!$A$10:$A$12,0)),"公司无效",IF(ISNA(MATCH($D195,记账规则!$A$6:$A$9,0)),"业务类型无效",IF(ISNA(MATCH($F195,商品档案!$A$6:$A$65,0)),"商品编码无效",IF(IFERROR(INDEX(商品档案!$E$6:$E$65,MATCH($F195,商品档案!$A$6:$A$65,0)),"")&lt;&gt;$C195,"商品不属于该公司",IF(AND($E195&lt;&gt;"",ISNA(MATCH($E195,往来单位!$A$6:$A$85,0))),"往来单位未建档",IF(N($J195)=0,"数量为 0",IF(N($K195)=0,"单价为 0",IF(AND(LEFT($D195,2)="销售",$U195=""),"该商品没设成本科目",IF(YEAR($B195)&lt;&gt;参数设置!$B$5,"不在本会计年度","OK")))))))))))</f>
        <v/>
      </c>
      <c r="Q195" s="57" t="str">
        <f aca="false">IF($F195="","",ROUND(N($J195)*N($K195),2))</f>
        <v/>
      </c>
      <c r="R195" s="58" t="str">
        <f aca="false">IF($D195="","",IF(LEFT($D195,2)="销售","应收账款","应付账款"))</f>
        <v/>
      </c>
      <c r="S195" s="58" t="str">
        <f aca="false">IF($F195="","",IFERROR(INDEX(商品档案!$G$6:$G$65,MATCH($F195,商品档案!$A$6:$A$65,0)),""))</f>
        <v/>
      </c>
      <c r="T195" s="58" t="str">
        <f aca="false">IF($F195="","",IFERROR(INDEX(商品档案!$H$6:$H$65,MATCH($F195,商品档案!$A$6:$A$65,0)),""))</f>
        <v/>
      </c>
      <c r="U195" s="58" t="str">
        <f aca="false">IF($F195="","",IFERROR(INDEX(商品档案!$I$6:$I$65,MATCH($F195,商品档案!$A$6:$A$65,0)),""))</f>
        <v/>
      </c>
      <c r="V195" s="59" t="str">
        <f aca="false">IF($F195="","",SUMIFS(进销存台账!$N$6:$N$65,进销存台账!$A$6:$A$65,$C195,进销存台账!$B$6:$B$65,$F195))</f>
        <v/>
      </c>
      <c r="W195" s="60" t="n">
        <f aca="false">IF(OR($D195="销售出库",$D195="销售退回"),ROUND(N($J195)*N($V195),2),0)</f>
        <v>0</v>
      </c>
      <c r="X195" s="58" t="str">
        <f aca="false">IF($E195="","",IFERROR(INDEX(往来单位!$D$6:$D$85,MATCH($E195,往来单位!$A$6:$A$85,0)),"否"))</f>
        <v/>
      </c>
      <c r="Y195" s="61" t="str">
        <f aca="false">IF($B195="","",YEAR($B195))</f>
        <v/>
      </c>
      <c r="Z195" s="58" t="str">
        <f aca="false">IF($B195="","",TEXT($B195,"yyyy-mm"))</f>
        <v/>
      </c>
    </row>
    <row r="196" customFormat="false" ht="15" hidden="false" customHeight="false" outlineLevel="0" collapsed="false">
      <c r="A196" s="53" t="str">
        <f aca="false">IF($B196="","",ROW()-5)</f>
        <v/>
      </c>
      <c r="B196" s="54"/>
      <c r="C196" s="33"/>
      <c r="D196" s="33"/>
      <c r="E196" s="32"/>
      <c r="F196" s="39"/>
      <c r="G196" s="48" t="str">
        <f aca="false">IF($F196="","",IFERROR(INDEX(商品档案!$B$6:$B$65,MATCH($F196,商品档案!$A$6:$A$65,0)),""))</f>
        <v/>
      </c>
      <c r="H196" s="48" t="str">
        <f aca="false">IF($F196="","",IFERROR(INDEX(商品档案!$C$6:$C$65,MATCH($F196,商品档案!$A$6:$A$65,0)),""))</f>
        <v/>
      </c>
      <c r="I196" s="55" t="str">
        <f aca="false">IF($F196="","",IFERROR(INDEX(商品档案!$D$6:$D$65,MATCH($F196,商品档案!$A$6:$A$65,0)),""))</f>
        <v/>
      </c>
      <c r="J196" s="49"/>
      <c r="K196" s="56"/>
      <c r="L196" s="33"/>
      <c r="M196" s="39"/>
      <c r="N196" s="41"/>
      <c r="O196" s="41"/>
      <c r="P196" s="25" t="str">
        <f aca="false">IF(AND($B196="",$D196="",$F196=""),"",IF(NOT(ISNUMBER($B196)),"日期无效",IF(ISNA(MATCH($C196,参数设置!$A$10:$A$12,0)),"公司无效",IF(ISNA(MATCH($D196,记账规则!$A$6:$A$9,0)),"业务类型无效",IF(ISNA(MATCH($F196,商品档案!$A$6:$A$65,0)),"商品编码无效",IF(IFERROR(INDEX(商品档案!$E$6:$E$65,MATCH($F196,商品档案!$A$6:$A$65,0)),"")&lt;&gt;$C196,"商品不属于该公司",IF(AND($E196&lt;&gt;"",ISNA(MATCH($E196,往来单位!$A$6:$A$85,0))),"往来单位未建档",IF(N($J196)=0,"数量为 0",IF(N($K196)=0,"单价为 0",IF(AND(LEFT($D196,2)="销售",$U196=""),"该商品没设成本科目",IF(YEAR($B196)&lt;&gt;参数设置!$B$5,"不在本会计年度","OK")))))))))))</f>
        <v/>
      </c>
      <c r="Q196" s="57" t="str">
        <f aca="false">IF($F196="","",ROUND(N($J196)*N($K196),2))</f>
        <v/>
      </c>
      <c r="R196" s="58" t="str">
        <f aca="false">IF($D196="","",IF(LEFT($D196,2)="销售","应收账款","应付账款"))</f>
        <v/>
      </c>
      <c r="S196" s="58" t="str">
        <f aca="false">IF($F196="","",IFERROR(INDEX(商品档案!$G$6:$G$65,MATCH($F196,商品档案!$A$6:$A$65,0)),""))</f>
        <v/>
      </c>
      <c r="T196" s="58" t="str">
        <f aca="false">IF($F196="","",IFERROR(INDEX(商品档案!$H$6:$H$65,MATCH($F196,商品档案!$A$6:$A$65,0)),""))</f>
        <v/>
      </c>
      <c r="U196" s="58" t="str">
        <f aca="false">IF($F196="","",IFERROR(INDEX(商品档案!$I$6:$I$65,MATCH($F196,商品档案!$A$6:$A$65,0)),""))</f>
        <v/>
      </c>
      <c r="V196" s="59" t="str">
        <f aca="false">IF($F196="","",SUMIFS(进销存台账!$N$6:$N$65,进销存台账!$A$6:$A$65,$C196,进销存台账!$B$6:$B$65,$F196))</f>
        <v/>
      </c>
      <c r="W196" s="60" t="n">
        <f aca="false">IF(OR($D196="销售出库",$D196="销售退回"),ROUND(N($J196)*N($V196),2),0)</f>
        <v>0</v>
      </c>
      <c r="X196" s="58" t="str">
        <f aca="false">IF($E196="","",IFERROR(INDEX(往来单位!$D$6:$D$85,MATCH($E196,往来单位!$A$6:$A$85,0)),"否"))</f>
        <v/>
      </c>
      <c r="Y196" s="61" t="str">
        <f aca="false">IF($B196="","",YEAR($B196))</f>
        <v/>
      </c>
      <c r="Z196" s="58" t="str">
        <f aca="false">IF($B196="","",TEXT($B196,"yyyy-mm"))</f>
        <v/>
      </c>
    </row>
    <row r="197" customFormat="false" ht="15" hidden="false" customHeight="false" outlineLevel="0" collapsed="false">
      <c r="A197" s="53" t="str">
        <f aca="false">IF($B197="","",ROW()-5)</f>
        <v/>
      </c>
      <c r="B197" s="54"/>
      <c r="C197" s="33"/>
      <c r="D197" s="33"/>
      <c r="E197" s="32"/>
      <c r="F197" s="39"/>
      <c r="G197" s="48" t="str">
        <f aca="false">IF($F197="","",IFERROR(INDEX(商品档案!$B$6:$B$65,MATCH($F197,商品档案!$A$6:$A$65,0)),""))</f>
        <v/>
      </c>
      <c r="H197" s="48" t="str">
        <f aca="false">IF($F197="","",IFERROR(INDEX(商品档案!$C$6:$C$65,MATCH($F197,商品档案!$A$6:$A$65,0)),""))</f>
        <v/>
      </c>
      <c r="I197" s="55" t="str">
        <f aca="false">IF($F197="","",IFERROR(INDEX(商品档案!$D$6:$D$65,MATCH($F197,商品档案!$A$6:$A$65,0)),""))</f>
        <v/>
      </c>
      <c r="J197" s="49"/>
      <c r="K197" s="56"/>
      <c r="L197" s="33"/>
      <c r="M197" s="39"/>
      <c r="N197" s="41"/>
      <c r="O197" s="41"/>
      <c r="P197" s="25" t="str">
        <f aca="false">IF(AND($B197="",$D197="",$F197=""),"",IF(NOT(ISNUMBER($B197)),"日期无效",IF(ISNA(MATCH($C197,参数设置!$A$10:$A$12,0)),"公司无效",IF(ISNA(MATCH($D197,记账规则!$A$6:$A$9,0)),"业务类型无效",IF(ISNA(MATCH($F197,商品档案!$A$6:$A$65,0)),"商品编码无效",IF(IFERROR(INDEX(商品档案!$E$6:$E$65,MATCH($F197,商品档案!$A$6:$A$65,0)),"")&lt;&gt;$C197,"商品不属于该公司",IF(AND($E197&lt;&gt;"",ISNA(MATCH($E197,往来单位!$A$6:$A$85,0))),"往来单位未建档",IF(N($J197)=0,"数量为 0",IF(N($K197)=0,"单价为 0",IF(AND(LEFT($D197,2)="销售",$U197=""),"该商品没设成本科目",IF(YEAR($B197)&lt;&gt;参数设置!$B$5,"不在本会计年度","OK")))))))))))</f>
        <v/>
      </c>
      <c r="Q197" s="57" t="str">
        <f aca="false">IF($F197="","",ROUND(N($J197)*N($K197),2))</f>
        <v/>
      </c>
      <c r="R197" s="58" t="str">
        <f aca="false">IF($D197="","",IF(LEFT($D197,2)="销售","应收账款","应付账款"))</f>
        <v/>
      </c>
      <c r="S197" s="58" t="str">
        <f aca="false">IF($F197="","",IFERROR(INDEX(商品档案!$G$6:$G$65,MATCH($F197,商品档案!$A$6:$A$65,0)),""))</f>
        <v/>
      </c>
      <c r="T197" s="58" t="str">
        <f aca="false">IF($F197="","",IFERROR(INDEX(商品档案!$H$6:$H$65,MATCH($F197,商品档案!$A$6:$A$65,0)),""))</f>
        <v/>
      </c>
      <c r="U197" s="58" t="str">
        <f aca="false">IF($F197="","",IFERROR(INDEX(商品档案!$I$6:$I$65,MATCH($F197,商品档案!$A$6:$A$65,0)),""))</f>
        <v/>
      </c>
      <c r="V197" s="59" t="str">
        <f aca="false">IF($F197="","",SUMIFS(进销存台账!$N$6:$N$65,进销存台账!$A$6:$A$65,$C197,进销存台账!$B$6:$B$65,$F197))</f>
        <v/>
      </c>
      <c r="W197" s="60" t="n">
        <f aca="false">IF(OR($D197="销售出库",$D197="销售退回"),ROUND(N($J197)*N($V197),2),0)</f>
        <v>0</v>
      </c>
      <c r="X197" s="58" t="str">
        <f aca="false">IF($E197="","",IFERROR(INDEX(往来单位!$D$6:$D$85,MATCH($E197,往来单位!$A$6:$A$85,0)),"否"))</f>
        <v/>
      </c>
      <c r="Y197" s="61" t="str">
        <f aca="false">IF($B197="","",YEAR($B197))</f>
        <v/>
      </c>
      <c r="Z197" s="58" t="str">
        <f aca="false">IF($B197="","",TEXT($B197,"yyyy-mm"))</f>
        <v/>
      </c>
    </row>
    <row r="198" customFormat="false" ht="15" hidden="false" customHeight="false" outlineLevel="0" collapsed="false">
      <c r="A198" s="53" t="str">
        <f aca="false">IF($B198="","",ROW()-5)</f>
        <v/>
      </c>
      <c r="B198" s="54"/>
      <c r="C198" s="33"/>
      <c r="D198" s="33"/>
      <c r="E198" s="32"/>
      <c r="F198" s="39"/>
      <c r="G198" s="48" t="str">
        <f aca="false">IF($F198="","",IFERROR(INDEX(商品档案!$B$6:$B$65,MATCH($F198,商品档案!$A$6:$A$65,0)),""))</f>
        <v/>
      </c>
      <c r="H198" s="48" t="str">
        <f aca="false">IF($F198="","",IFERROR(INDEX(商品档案!$C$6:$C$65,MATCH($F198,商品档案!$A$6:$A$65,0)),""))</f>
        <v/>
      </c>
      <c r="I198" s="55" t="str">
        <f aca="false">IF($F198="","",IFERROR(INDEX(商品档案!$D$6:$D$65,MATCH($F198,商品档案!$A$6:$A$65,0)),""))</f>
        <v/>
      </c>
      <c r="J198" s="49"/>
      <c r="K198" s="56"/>
      <c r="L198" s="33"/>
      <c r="M198" s="39"/>
      <c r="N198" s="41"/>
      <c r="O198" s="41"/>
      <c r="P198" s="25" t="str">
        <f aca="false">IF(AND($B198="",$D198="",$F198=""),"",IF(NOT(ISNUMBER($B198)),"日期无效",IF(ISNA(MATCH($C198,参数设置!$A$10:$A$12,0)),"公司无效",IF(ISNA(MATCH($D198,记账规则!$A$6:$A$9,0)),"业务类型无效",IF(ISNA(MATCH($F198,商品档案!$A$6:$A$65,0)),"商品编码无效",IF(IFERROR(INDEX(商品档案!$E$6:$E$65,MATCH($F198,商品档案!$A$6:$A$65,0)),"")&lt;&gt;$C198,"商品不属于该公司",IF(AND($E198&lt;&gt;"",ISNA(MATCH($E198,往来单位!$A$6:$A$85,0))),"往来单位未建档",IF(N($J198)=0,"数量为 0",IF(N($K198)=0,"单价为 0",IF(AND(LEFT($D198,2)="销售",$U198=""),"该商品没设成本科目",IF(YEAR($B198)&lt;&gt;参数设置!$B$5,"不在本会计年度","OK")))))))))))</f>
        <v/>
      </c>
      <c r="Q198" s="57" t="str">
        <f aca="false">IF($F198="","",ROUND(N($J198)*N($K198),2))</f>
        <v/>
      </c>
      <c r="R198" s="58" t="str">
        <f aca="false">IF($D198="","",IF(LEFT($D198,2)="销售","应收账款","应付账款"))</f>
        <v/>
      </c>
      <c r="S198" s="58" t="str">
        <f aca="false">IF($F198="","",IFERROR(INDEX(商品档案!$G$6:$G$65,MATCH($F198,商品档案!$A$6:$A$65,0)),""))</f>
        <v/>
      </c>
      <c r="T198" s="58" t="str">
        <f aca="false">IF($F198="","",IFERROR(INDEX(商品档案!$H$6:$H$65,MATCH($F198,商品档案!$A$6:$A$65,0)),""))</f>
        <v/>
      </c>
      <c r="U198" s="58" t="str">
        <f aca="false">IF($F198="","",IFERROR(INDEX(商品档案!$I$6:$I$65,MATCH($F198,商品档案!$A$6:$A$65,0)),""))</f>
        <v/>
      </c>
      <c r="V198" s="59" t="str">
        <f aca="false">IF($F198="","",SUMIFS(进销存台账!$N$6:$N$65,进销存台账!$A$6:$A$65,$C198,进销存台账!$B$6:$B$65,$F198))</f>
        <v/>
      </c>
      <c r="W198" s="60" t="n">
        <f aca="false">IF(OR($D198="销售出库",$D198="销售退回"),ROUND(N($J198)*N($V198),2),0)</f>
        <v>0</v>
      </c>
      <c r="X198" s="58" t="str">
        <f aca="false">IF($E198="","",IFERROR(INDEX(往来单位!$D$6:$D$85,MATCH($E198,往来单位!$A$6:$A$85,0)),"否"))</f>
        <v/>
      </c>
      <c r="Y198" s="61" t="str">
        <f aca="false">IF($B198="","",YEAR($B198))</f>
        <v/>
      </c>
      <c r="Z198" s="58" t="str">
        <f aca="false">IF($B198="","",TEXT($B198,"yyyy-mm"))</f>
        <v/>
      </c>
    </row>
    <row r="199" customFormat="false" ht="15" hidden="false" customHeight="false" outlineLevel="0" collapsed="false">
      <c r="A199" s="53" t="str">
        <f aca="false">IF($B199="","",ROW()-5)</f>
        <v/>
      </c>
      <c r="B199" s="54"/>
      <c r="C199" s="33"/>
      <c r="D199" s="33"/>
      <c r="E199" s="32"/>
      <c r="F199" s="39"/>
      <c r="G199" s="48" t="str">
        <f aca="false">IF($F199="","",IFERROR(INDEX(商品档案!$B$6:$B$65,MATCH($F199,商品档案!$A$6:$A$65,0)),""))</f>
        <v/>
      </c>
      <c r="H199" s="48" t="str">
        <f aca="false">IF($F199="","",IFERROR(INDEX(商品档案!$C$6:$C$65,MATCH($F199,商品档案!$A$6:$A$65,0)),""))</f>
        <v/>
      </c>
      <c r="I199" s="55" t="str">
        <f aca="false">IF($F199="","",IFERROR(INDEX(商品档案!$D$6:$D$65,MATCH($F199,商品档案!$A$6:$A$65,0)),""))</f>
        <v/>
      </c>
      <c r="J199" s="49"/>
      <c r="K199" s="56"/>
      <c r="L199" s="33"/>
      <c r="M199" s="39"/>
      <c r="N199" s="41"/>
      <c r="O199" s="41"/>
      <c r="P199" s="25" t="str">
        <f aca="false">IF(AND($B199="",$D199="",$F199=""),"",IF(NOT(ISNUMBER($B199)),"日期无效",IF(ISNA(MATCH($C199,参数设置!$A$10:$A$12,0)),"公司无效",IF(ISNA(MATCH($D199,记账规则!$A$6:$A$9,0)),"业务类型无效",IF(ISNA(MATCH($F199,商品档案!$A$6:$A$65,0)),"商品编码无效",IF(IFERROR(INDEX(商品档案!$E$6:$E$65,MATCH($F199,商品档案!$A$6:$A$65,0)),"")&lt;&gt;$C199,"商品不属于该公司",IF(AND($E199&lt;&gt;"",ISNA(MATCH($E199,往来单位!$A$6:$A$85,0))),"往来单位未建档",IF(N($J199)=0,"数量为 0",IF(N($K199)=0,"单价为 0",IF(AND(LEFT($D199,2)="销售",$U199=""),"该商品没设成本科目",IF(YEAR($B199)&lt;&gt;参数设置!$B$5,"不在本会计年度","OK")))))))))))</f>
        <v/>
      </c>
      <c r="Q199" s="57" t="str">
        <f aca="false">IF($F199="","",ROUND(N($J199)*N($K199),2))</f>
        <v/>
      </c>
      <c r="R199" s="58" t="str">
        <f aca="false">IF($D199="","",IF(LEFT($D199,2)="销售","应收账款","应付账款"))</f>
        <v/>
      </c>
      <c r="S199" s="58" t="str">
        <f aca="false">IF($F199="","",IFERROR(INDEX(商品档案!$G$6:$G$65,MATCH($F199,商品档案!$A$6:$A$65,0)),""))</f>
        <v/>
      </c>
      <c r="T199" s="58" t="str">
        <f aca="false">IF($F199="","",IFERROR(INDEX(商品档案!$H$6:$H$65,MATCH($F199,商品档案!$A$6:$A$65,0)),""))</f>
        <v/>
      </c>
      <c r="U199" s="58" t="str">
        <f aca="false">IF($F199="","",IFERROR(INDEX(商品档案!$I$6:$I$65,MATCH($F199,商品档案!$A$6:$A$65,0)),""))</f>
        <v/>
      </c>
      <c r="V199" s="59" t="str">
        <f aca="false">IF($F199="","",SUMIFS(进销存台账!$N$6:$N$65,进销存台账!$A$6:$A$65,$C199,进销存台账!$B$6:$B$65,$F199))</f>
        <v/>
      </c>
      <c r="W199" s="60" t="n">
        <f aca="false">IF(OR($D199="销售出库",$D199="销售退回"),ROUND(N($J199)*N($V199),2),0)</f>
        <v>0</v>
      </c>
      <c r="X199" s="58" t="str">
        <f aca="false">IF($E199="","",IFERROR(INDEX(往来单位!$D$6:$D$85,MATCH($E199,往来单位!$A$6:$A$85,0)),"否"))</f>
        <v/>
      </c>
      <c r="Y199" s="61" t="str">
        <f aca="false">IF($B199="","",YEAR($B199))</f>
        <v/>
      </c>
      <c r="Z199" s="58" t="str">
        <f aca="false">IF($B199="","",TEXT($B199,"yyyy-mm"))</f>
        <v/>
      </c>
    </row>
    <row r="200" customFormat="false" ht="15" hidden="false" customHeight="false" outlineLevel="0" collapsed="false">
      <c r="A200" s="53" t="str">
        <f aca="false">IF($B200="","",ROW()-5)</f>
        <v/>
      </c>
      <c r="B200" s="54"/>
      <c r="C200" s="33"/>
      <c r="D200" s="33"/>
      <c r="E200" s="32"/>
      <c r="F200" s="39"/>
      <c r="G200" s="48" t="str">
        <f aca="false">IF($F200="","",IFERROR(INDEX(商品档案!$B$6:$B$65,MATCH($F200,商品档案!$A$6:$A$65,0)),""))</f>
        <v/>
      </c>
      <c r="H200" s="48" t="str">
        <f aca="false">IF($F200="","",IFERROR(INDEX(商品档案!$C$6:$C$65,MATCH($F200,商品档案!$A$6:$A$65,0)),""))</f>
        <v/>
      </c>
      <c r="I200" s="55" t="str">
        <f aca="false">IF($F200="","",IFERROR(INDEX(商品档案!$D$6:$D$65,MATCH($F200,商品档案!$A$6:$A$65,0)),""))</f>
        <v/>
      </c>
      <c r="J200" s="49"/>
      <c r="K200" s="56"/>
      <c r="L200" s="33"/>
      <c r="M200" s="39"/>
      <c r="N200" s="41"/>
      <c r="O200" s="41"/>
      <c r="P200" s="25" t="str">
        <f aca="false">IF(AND($B200="",$D200="",$F200=""),"",IF(NOT(ISNUMBER($B200)),"日期无效",IF(ISNA(MATCH($C200,参数设置!$A$10:$A$12,0)),"公司无效",IF(ISNA(MATCH($D200,记账规则!$A$6:$A$9,0)),"业务类型无效",IF(ISNA(MATCH($F200,商品档案!$A$6:$A$65,0)),"商品编码无效",IF(IFERROR(INDEX(商品档案!$E$6:$E$65,MATCH($F200,商品档案!$A$6:$A$65,0)),"")&lt;&gt;$C200,"商品不属于该公司",IF(AND($E200&lt;&gt;"",ISNA(MATCH($E200,往来单位!$A$6:$A$85,0))),"往来单位未建档",IF(N($J200)=0,"数量为 0",IF(N($K200)=0,"单价为 0",IF(AND(LEFT($D200,2)="销售",$U200=""),"该商品没设成本科目",IF(YEAR($B200)&lt;&gt;参数设置!$B$5,"不在本会计年度","OK")))))))))))</f>
        <v/>
      </c>
      <c r="Q200" s="57" t="str">
        <f aca="false">IF($F200="","",ROUND(N($J200)*N($K200),2))</f>
        <v/>
      </c>
      <c r="R200" s="58" t="str">
        <f aca="false">IF($D200="","",IF(LEFT($D200,2)="销售","应收账款","应付账款"))</f>
        <v/>
      </c>
      <c r="S200" s="58" t="str">
        <f aca="false">IF($F200="","",IFERROR(INDEX(商品档案!$G$6:$G$65,MATCH($F200,商品档案!$A$6:$A$65,0)),""))</f>
        <v/>
      </c>
      <c r="T200" s="58" t="str">
        <f aca="false">IF($F200="","",IFERROR(INDEX(商品档案!$H$6:$H$65,MATCH($F200,商品档案!$A$6:$A$65,0)),""))</f>
        <v/>
      </c>
      <c r="U200" s="58" t="str">
        <f aca="false">IF($F200="","",IFERROR(INDEX(商品档案!$I$6:$I$65,MATCH($F200,商品档案!$A$6:$A$65,0)),""))</f>
        <v/>
      </c>
      <c r="V200" s="59" t="str">
        <f aca="false">IF($F200="","",SUMIFS(进销存台账!$N$6:$N$65,进销存台账!$A$6:$A$65,$C200,进销存台账!$B$6:$B$65,$F200))</f>
        <v/>
      </c>
      <c r="W200" s="60" t="n">
        <f aca="false">IF(OR($D200="销售出库",$D200="销售退回"),ROUND(N($J200)*N($V200),2),0)</f>
        <v>0</v>
      </c>
      <c r="X200" s="58" t="str">
        <f aca="false">IF($E200="","",IFERROR(INDEX(往来单位!$D$6:$D$85,MATCH($E200,往来单位!$A$6:$A$85,0)),"否"))</f>
        <v/>
      </c>
      <c r="Y200" s="61" t="str">
        <f aca="false">IF($B200="","",YEAR($B200))</f>
        <v/>
      </c>
      <c r="Z200" s="58" t="str">
        <f aca="false">IF($B200="","",TEXT($B200,"yyyy-mm"))</f>
        <v/>
      </c>
    </row>
    <row r="201" customFormat="false" ht="15" hidden="false" customHeight="false" outlineLevel="0" collapsed="false">
      <c r="A201" s="53" t="str">
        <f aca="false">IF($B201="","",ROW()-5)</f>
        <v/>
      </c>
      <c r="B201" s="54"/>
      <c r="C201" s="33"/>
      <c r="D201" s="33"/>
      <c r="E201" s="32"/>
      <c r="F201" s="39"/>
      <c r="G201" s="48" t="str">
        <f aca="false">IF($F201="","",IFERROR(INDEX(商品档案!$B$6:$B$65,MATCH($F201,商品档案!$A$6:$A$65,0)),""))</f>
        <v/>
      </c>
      <c r="H201" s="48" t="str">
        <f aca="false">IF($F201="","",IFERROR(INDEX(商品档案!$C$6:$C$65,MATCH($F201,商品档案!$A$6:$A$65,0)),""))</f>
        <v/>
      </c>
      <c r="I201" s="55" t="str">
        <f aca="false">IF($F201="","",IFERROR(INDEX(商品档案!$D$6:$D$65,MATCH($F201,商品档案!$A$6:$A$65,0)),""))</f>
        <v/>
      </c>
      <c r="J201" s="49"/>
      <c r="K201" s="56"/>
      <c r="L201" s="33"/>
      <c r="M201" s="39"/>
      <c r="N201" s="41"/>
      <c r="O201" s="41"/>
      <c r="P201" s="25" t="str">
        <f aca="false">IF(AND($B201="",$D201="",$F201=""),"",IF(NOT(ISNUMBER($B201)),"日期无效",IF(ISNA(MATCH($C201,参数设置!$A$10:$A$12,0)),"公司无效",IF(ISNA(MATCH($D201,记账规则!$A$6:$A$9,0)),"业务类型无效",IF(ISNA(MATCH($F201,商品档案!$A$6:$A$65,0)),"商品编码无效",IF(IFERROR(INDEX(商品档案!$E$6:$E$65,MATCH($F201,商品档案!$A$6:$A$65,0)),"")&lt;&gt;$C201,"商品不属于该公司",IF(AND($E201&lt;&gt;"",ISNA(MATCH($E201,往来单位!$A$6:$A$85,0))),"往来单位未建档",IF(N($J201)=0,"数量为 0",IF(N($K201)=0,"单价为 0",IF(AND(LEFT($D201,2)="销售",$U201=""),"该商品没设成本科目",IF(YEAR($B201)&lt;&gt;参数设置!$B$5,"不在本会计年度","OK")))))))))))</f>
        <v/>
      </c>
      <c r="Q201" s="57" t="str">
        <f aca="false">IF($F201="","",ROUND(N($J201)*N($K201),2))</f>
        <v/>
      </c>
      <c r="R201" s="58" t="str">
        <f aca="false">IF($D201="","",IF(LEFT($D201,2)="销售","应收账款","应付账款"))</f>
        <v/>
      </c>
      <c r="S201" s="58" t="str">
        <f aca="false">IF($F201="","",IFERROR(INDEX(商品档案!$G$6:$G$65,MATCH($F201,商品档案!$A$6:$A$65,0)),""))</f>
        <v/>
      </c>
      <c r="T201" s="58" t="str">
        <f aca="false">IF($F201="","",IFERROR(INDEX(商品档案!$H$6:$H$65,MATCH($F201,商品档案!$A$6:$A$65,0)),""))</f>
        <v/>
      </c>
      <c r="U201" s="58" t="str">
        <f aca="false">IF($F201="","",IFERROR(INDEX(商品档案!$I$6:$I$65,MATCH($F201,商品档案!$A$6:$A$65,0)),""))</f>
        <v/>
      </c>
      <c r="V201" s="59" t="str">
        <f aca="false">IF($F201="","",SUMIFS(进销存台账!$N$6:$N$65,进销存台账!$A$6:$A$65,$C201,进销存台账!$B$6:$B$65,$F201))</f>
        <v/>
      </c>
      <c r="W201" s="60" t="n">
        <f aca="false">IF(OR($D201="销售出库",$D201="销售退回"),ROUND(N($J201)*N($V201),2),0)</f>
        <v>0</v>
      </c>
      <c r="X201" s="58" t="str">
        <f aca="false">IF($E201="","",IFERROR(INDEX(往来单位!$D$6:$D$85,MATCH($E201,往来单位!$A$6:$A$85,0)),"否"))</f>
        <v/>
      </c>
      <c r="Y201" s="61" t="str">
        <f aca="false">IF($B201="","",YEAR($B201))</f>
        <v/>
      </c>
      <c r="Z201" s="58" t="str">
        <f aca="false">IF($B201="","",TEXT($B201,"yyyy-mm"))</f>
        <v/>
      </c>
    </row>
    <row r="202" customFormat="false" ht="15" hidden="false" customHeight="false" outlineLevel="0" collapsed="false">
      <c r="A202" s="53" t="str">
        <f aca="false">IF($B202="","",ROW()-5)</f>
        <v/>
      </c>
      <c r="B202" s="54"/>
      <c r="C202" s="33"/>
      <c r="D202" s="33"/>
      <c r="E202" s="32"/>
      <c r="F202" s="39"/>
      <c r="G202" s="48" t="str">
        <f aca="false">IF($F202="","",IFERROR(INDEX(商品档案!$B$6:$B$65,MATCH($F202,商品档案!$A$6:$A$65,0)),""))</f>
        <v/>
      </c>
      <c r="H202" s="48" t="str">
        <f aca="false">IF($F202="","",IFERROR(INDEX(商品档案!$C$6:$C$65,MATCH($F202,商品档案!$A$6:$A$65,0)),""))</f>
        <v/>
      </c>
      <c r="I202" s="55" t="str">
        <f aca="false">IF($F202="","",IFERROR(INDEX(商品档案!$D$6:$D$65,MATCH($F202,商品档案!$A$6:$A$65,0)),""))</f>
        <v/>
      </c>
      <c r="J202" s="49"/>
      <c r="K202" s="56"/>
      <c r="L202" s="33"/>
      <c r="M202" s="39"/>
      <c r="N202" s="41"/>
      <c r="O202" s="41"/>
      <c r="P202" s="25" t="str">
        <f aca="false">IF(AND($B202="",$D202="",$F202=""),"",IF(NOT(ISNUMBER($B202)),"日期无效",IF(ISNA(MATCH($C202,参数设置!$A$10:$A$12,0)),"公司无效",IF(ISNA(MATCH($D202,记账规则!$A$6:$A$9,0)),"业务类型无效",IF(ISNA(MATCH($F202,商品档案!$A$6:$A$65,0)),"商品编码无效",IF(IFERROR(INDEX(商品档案!$E$6:$E$65,MATCH($F202,商品档案!$A$6:$A$65,0)),"")&lt;&gt;$C202,"商品不属于该公司",IF(AND($E202&lt;&gt;"",ISNA(MATCH($E202,往来单位!$A$6:$A$85,0))),"往来单位未建档",IF(N($J202)=0,"数量为 0",IF(N($K202)=0,"单价为 0",IF(AND(LEFT($D202,2)="销售",$U202=""),"该商品没设成本科目",IF(YEAR($B202)&lt;&gt;参数设置!$B$5,"不在本会计年度","OK")))))))))))</f>
        <v/>
      </c>
      <c r="Q202" s="57" t="str">
        <f aca="false">IF($F202="","",ROUND(N($J202)*N($K202),2))</f>
        <v/>
      </c>
      <c r="R202" s="58" t="str">
        <f aca="false">IF($D202="","",IF(LEFT($D202,2)="销售","应收账款","应付账款"))</f>
        <v/>
      </c>
      <c r="S202" s="58" t="str">
        <f aca="false">IF($F202="","",IFERROR(INDEX(商品档案!$G$6:$G$65,MATCH($F202,商品档案!$A$6:$A$65,0)),""))</f>
        <v/>
      </c>
      <c r="T202" s="58" t="str">
        <f aca="false">IF($F202="","",IFERROR(INDEX(商品档案!$H$6:$H$65,MATCH($F202,商品档案!$A$6:$A$65,0)),""))</f>
        <v/>
      </c>
      <c r="U202" s="58" t="str">
        <f aca="false">IF($F202="","",IFERROR(INDEX(商品档案!$I$6:$I$65,MATCH($F202,商品档案!$A$6:$A$65,0)),""))</f>
        <v/>
      </c>
      <c r="V202" s="59" t="str">
        <f aca="false">IF($F202="","",SUMIFS(进销存台账!$N$6:$N$65,进销存台账!$A$6:$A$65,$C202,进销存台账!$B$6:$B$65,$F202))</f>
        <v/>
      </c>
      <c r="W202" s="60" t="n">
        <f aca="false">IF(OR($D202="销售出库",$D202="销售退回"),ROUND(N($J202)*N($V202),2),0)</f>
        <v>0</v>
      </c>
      <c r="X202" s="58" t="str">
        <f aca="false">IF($E202="","",IFERROR(INDEX(往来单位!$D$6:$D$85,MATCH($E202,往来单位!$A$6:$A$85,0)),"否"))</f>
        <v/>
      </c>
      <c r="Y202" s="61" t="str">
        <f aca="false">IF($B202="","",YEAR($B202))</f>
        <v/>
      </c>
      <c r="Z202" s="58" t="str">
        <f aca="false">IF($B202="","",TEXT($B202,"yyyy-mm"))</f>
        <v/>
      </c>
    </row>
    <row r="203" customFormat="false" ht="15" hidden="false" customHeight="false" outlineLevel="0" collapsed="false">
      <c r="A203" s="53" t="str">
        <f aca="false">IF($B203="","",ROW()-5)</f>
        <v/>
      </c>
      <c r="B203" s="54"/>
      <c r="C203" s="33"/>
      <c r="D203" s="33"/>
      <c r="E203" s="32"/>
      <c r="F203" s="39"/>
      <c r="G203" s="48" t="str">
        <f aca="false">IF($F203="","",IFERROR(INDEX(商品档案!$B$6:$B$65,MATCH($F203,商品档案!$A$6:$A$65,0)),""))</f>
        <v/>
      </c>
      <c r="H203" s="48" t="str">
        <f aca="false">IF($F203="","",IFERROR(INDEX(商品档案!$C$6:$C$65,MATCH($F203,商品档案!$A$6:$A$65,0)),""))</f>
        <v/>
      </c>
      <c r="I203" s="55" t="str">
        <f aca="false">IF($F203="","",IFERROR(INDEX(商品档案!$D$6:$D$65,MATCH($F203,商品档案!$A$6:$A$65,0)),""))</f>
        <v/>
      </c>
      <c r="J203" s="49"/>
      <c r="K203" s="56"/>
      <c r="L203" s="33"/>
      <c r="M203" s="39"/>
      <c r="N203" s="41"/>
      <c r="O203" s="41"/>
      <c r="P203" s="25" t="str">
        <f aca="false">IF(AND($B203="",$D203="",$F203=""),"",IF(NOT(ISNUMBER($B203)),"日期无效",IF(ISNA(MATCH($C203,参数设置!$A$10:$A$12,0)),"公司无效",IF(ISNA(MATCH($D203,记账规则!$A$6:$A$9,0)),"业务类型无效",IF(ISNA(MATCH($F203,商品档案!$A$6:$A$65,0)),"商品编码无效",IF(IFERROR(INDEX(商品档案!$E$6:$E$65,MATCH($F203,商品档案!$A$6:$A$65,0)),"")&lt;&gt;$C203,"商品不属于该公司",IF(AND($E203&lt;&gt;"",ISNA(MATCH($E203,往来单位!$A$6:$A$85,0))),"往来单位未建档",IF(N($J203)=0,"数量为 0",IF(N($K203)=0,"单价为 0",IF(AND(LEFT($D203,2)="销售",$U203=""),"该商品没设成本科目",IF(YEAR($B203)&lt;&gt;参数设置!$B$5,"不在本会计年度","OK")))))))))))</f>
        <v/>
      </c>
      <c r="Q203" s="57" t="str">
        <f aca="false">IF($F203="","",ROUND(N($J203)*N($K203),2))</f>
        <v/>
      </c>
      <c r="R203" s="58" t="str">
        <f aca="false">IF($D203="","",IF(LEFT($D203,2)="销售","应收账款","应付账款"))</f>
        <v/>
      </c>
      <c r="S203" s="58" t="str">
        <f aca="false">IF($F203="","",IFERROR(INDEX(商品档案!$G$6:$G$65,MATCH($F203,商品档案!$A$6:$A$65,0)),""))</f>
        <v/>
      </c>
      <c r="T203" s="58" t="str">
        <f aca="false">IF($F203="","",IFERROR(INDEX(商品档案!$H$6:$H$65,MATCH($F203,商品档案!$A$6:$A$65,0)),""))</f>
        <v/>
      </c>
      <c r="U203" s="58" t="str">
        <f aca="false">IF($F203="","",IFERROR(INDEX(商品档案!$I$6:$I$65,MATCH($F203,商品档案!$A$6:$A$65,0)),""))</f>
        <v/>
      </c>
      <c r="V203" s="59" t="str">
        <f aca="false">IF($F203="","",SUMIFS(进销存台账!$N$6:$N$65,进销存台账!$A$6:$A$65,$C203,进销存台账!$B$6:$B$65,$F203))</f>
        <v/>
      </c>
      <c r="W203" s="60" t="n">
        <f aca="false">IF(OR($D203="销售出库",$D203="销售退回"),ROUND(N($J203)*N($V203),2),0)</f>
        <v>0</v>
      </c>
      <c r="X203" s="58" t="str">
        <f aca="false">IF($E203="","",IFERROR(INDEX(往来单位!$D$6:$D$85,MATCH($E203,往来单位!$A$6:$A$85,0)),"否"))</f>
        <v/>
      </c>
      <c r="Y203" s="61" t="str">
        <f aca="false">IF($B203="","",YEAR($B203))</f>
        <v/>
      </c>
      <c r="Z203" s="58" t="str">
        <f aca="false">IF($B203="","",TEXT($B203,"yyyy-mm"))</f>
        <v/>
      </c>
    </row>
    <row r="204" customFormat="false" ht="15" hidden="false" customHeight="false" outlineLevel="0" collapsed="false">
      <c r="A204" s="53" t="str">
        <f aca="false">IF($B204="","",ROW()-5)</f>
        <v/>
      </c>
      <c r="B204" s="54"/>
      <c r="C204" s="33"/>
      <c r="D204" s="33"/>
      <c r="E204" s="32"/>
      <c r="F204" s="39"/>
      <c r="G204" s="48" t="str">
        <f aca="false">IF($F204="","",IFERROR(INDEX(商品档案!$B$6:$B$65,MATCH($F204,商品档案!$A$6:$A$65,0)),""))</f>
        <v/>
      </c>
      <c r="H204" s="48" t="str">
        <f aca="false">IF($F204="","",IFERROR(INDEX(商品档案!$C$6:$C$65,MATCH($F204,商品档案!$A$6:$A$65,0)),""))</f>
        <v/>
      </c>
      <c r="I204" s="55" t="str">
        <f aca="false">IF($F204="","",IFERROR(INDEX(商品档案!$D$6:$D$65,MATCH($F204,商品档案!$A$6:$A$65,0)),""))</f>
        <v/>
      </c>
      <c r="J204" s="49"/>
      <c r="K204" s="56"/>
      <c r="L204" s="33"/>
      <c r="M204" s="39"/>
      <c r="N204" s="41"/>
      <c r="O204" s="41"/>
      <c r="P204" s="25" t="str">
        <f aca="false">IF(AND($B204="",$D204="",$F204=""),"",IF(NOT(ISNUMBER($B204)),"日期无效",IF(ISNA(MATCH($C204,参数设置!$A$10:$A$12,0)),"公司无效",IF(ISNA(MATCH($D204,记账规则!$A$6:$A$9,0)),"业务类型无效",IF(ISNA(MATCH($F204,商品档案!$A$6:$A$65,0)),"商品编码无效",IF(IFERROR(INDEX(商品档案!$E$6:$E$65,MATCH($F204,商品档案!$A$6:$A$65,0)),"")&lt;&gt;$C204,"商品不属于该公司",IF(AND($E204&lt;&gt;"",ISNA(MATCH($E204,往来单位!$A$6:$A$85,0))),"往来单位未建档",IF(N($J204)=0,"数量为 0",IF(N($K204)=0,"单价为 0",IF(AND(LEFT($D204,2)="销售",$U204=""),"该商品没设成本科目",IF(YEAR($B204)&lt;&gt;参数设置!$B$5,"不在本会计年度","OK")))))))))))</f>
        <v/>
      </c>
      <c r="Q204" s="57" t="str">
        <f aca="false">IF($F204="","",ROUND(N($J204)*N($K204),2))</f>
        <v/>
      </c>
      <c r="R204" s="58" t="str">
        <f aca="false">IF($D204="","",IF(LEFT($D204,2)="销售","应收账款","应付账款"))</f>
        <v/>
      </c>
      <c r="S204" s="58" t="str">
        <f aca="false">IF($F204="","",IFERROR(INDEX(商品档案!$G$6:$G$65,MATCH($F204,商品档案!$A$6:$A$65,0)),""))</f>
        <v/>
      </c>
      <c r="T204" s="58" t="str">
        <f aca="false">IF($F204="","",IFERROR(INDEX(商品档案!$H$6:$H$65,MATCH($F204,商品档案!$A$6:$A$65,0)),""))</f>
        <v/>
      </c>
      <c r="U204" s="58" t="str">
        <f aca="false">IF($F204="","",IFERROR(INDEX(商品档案!$I$6:$I$65,MATCH($F204,商品档案!$A$6:$A$65,0)),""))</f>
        <v/>
      </c>
      <c r="V204" s="59" t="str">
        <f aca="false">IF($F204="","",SUMIFS(进销存台账!$N$6:$N$65,进销存台账!$A$6:$A$65,$C204,进销存台账!$B$6:$B$65,$F204))</f>
        <v/>
      </c>
      <c r="W204" s="60" t="n">
        <f aca="false">IF(OR($D204="销售出库",$D204="销售退回"),ROUND(N($J204)*N($V204),2),0)</f>
        <v>0</v>
      </c>
      <c r="X204" s="58" t="str">
        <f aca="false">IF($E204="","",IFERROR(INDEX(往来单位!$D$6:$D$85,MATCH($E204,往来单位!$A$6:$A$85,0)),"否"))</f>
        <v/>
      </c>
      <c r="Y204" s="61" t="str">
        <f aca="false">IF($B204="","",YEAR($B204))</f>
        <v/>
      </c>
      <c r="Z204" s="58" t="str">
        <f aca="false">IF($B204="","",TEXT($B204,"yyyy-mm"))</f>
        <v/>
      </c>
    </row>
    <row r="205" customFormat="false" ht="15" hidden="false" customHeight="false" outlineLevel="0" collapsed="false">
      <c r="A205" s="53" t="str">
        <f aca="false">IF($B205="","",ROW()-5)</f>
        <v/>
      </c>
      <c r="B205" s="54"/>
      <c r="C205" s="33"/>
      <c r="D205" s="33"/>
      <c r="E205" s="32"/>
      <c r="F205" s="39"/>
      <c r="G205" s="48" t="str">
        <f aca="false">IF($F205="","",IFERROR(INDEX(商品档案!$B$6:$B$65,MATCH($F205,商品档案!$A$6:$A$65,0)),""))</f>
        <v/>
      </c>
      <c r="H205" s="48" t="str">
        <f aca="false">IF($F205="","",IFERROR(INDEX(商品档案!$C$6:$C$65,MATCH($F205,商品档案!$A$6:$A$65,0)),""))</f>
        <v/>
      </c>
      <c r="I205" s="55" t="str">
        <f aca="false">IF($F205="","",IFERROR(INDEX(商品档案!$D$6:$D$65,MATCH($F205,商品档案!$A$6:$A$65,0)),""))</f>
        <v/>
      </c>
      <c r="J205" s="49"/>
      <c r="K205" s="56"/>
      <c r="L205" s="33"/>
      <c r="M205" s="39"/>
      <c r="N205" s="41"/>
      <c r="O205" s="41"/>
      <c r="P205" s="25" t="str">
        <f aca="false">IF(AND($B205="",$D205="",$F205=""),"",IF(NOT(ISNUMBER($B205)),"日期无效",IF(ISNA(MATCH($C205,参数设置!$A$10:$A$12,0)),"公司无效",IF(ISNA(MATCH($D205,记账规则!$A$6:$A$9,0)),"业务类型无效",IF(ISNA(MATCH($F205,商品档案!$A$6:$A$65,0)),"商品编码无效",IF(IFERROR(INDEX(商品档案!$E$6:$E$65,MATCH($F205,商品档案!$A$6:$A$65,0)),"")&lt;&gt;$C205,"商品不属于该公司",IF(AND($E205&lt;&gt;"",ISNA(MATCH($E205,往来单位!$A$6:$A$85,0))),"往来单位未建档",IF(N($J205)=0,"数量为 0",IF(N($K205)=0,"单价为 0",IF(AND(LEFT($D205,2)="销售",$U205=""),"该商品没设成本科目",IF(YEAR($B205)&lt;&gt;参数设置!$B$5,"不在本会计年度","OK")))))))))))</f>
        <v/>
      </c>
      <c r="Q205" s="57" t="str">
        <f aca="false">IF($F205="","",ROUND(N($J205)*N($K205),2))</f>
        <v/>
      </c>
      <c r="R205" s="58" t="str">
        <f aca="false">IF($D205="","",IF(LEFT($D205,2)="销售","应收账款","应付账款"))</f>
        <v/>
      </c>
      <c r="S205" s="58" t="str">
        <f aca="false">IF($F205="","",IFERROR(INDEX(商品档案!$G$6:$G$65,MATCH($F205,商品档案!$A$6:$A$65,0)),""))</f>
        <v/>
      </c>
      <c r="T205" s="58" t="str">
        <f aca="false">IF($F205="","",IFERROR(INDEX(商品档案!$H$6:$H$65,MATCH($F205,商品档案!$A$6:$A$65,0)),""))</f>
        <v/>
      </c>
      <c r="U205" s="58" t="str">
        <f aca="false">IF($F205="","",IFERROR(INDEX(商品档案!$I$6:$I$65,MATCH($F205,商品档案!$A$6:$A$65,0)),""))</f>
        <v/>
      </c>
      <c r="V205" s="59" t="str">
        <f aca="false">IF($F205="","",SUMIFS(进销存台账!$N$6:$N$65,进销存台账!$A$6:$A$65,$C205,进销存台账!$B$6:$B$65,$F205))</f>
        <v/>
      </c>
      <c r="W205" s="60" t="n">
        <f aca="false">IF(OR($D205="销售出库",$D205="销售退回"),ROUND(N($J205)*N($V205),2),0)</f>
        <v>0</v>
      </c>
      <c r="X205" s="58" t="str">
        <f aca="false">IF($E205="","",IFERROR(INDEX(往来单位!$D$6:$D$85,MATCH($E205,往来单位!$A$6:$A$85,0)),"否"))</f>
        <v/>
      </c>
      <c r="Y205" s="61" t="str">
        <f aca="false">IF($B205="","",YEAR($B205))</f>
        <v/>
      </c>
      <c r="Z205" s="58" t="str">
        <f aca="false">IF($B205="","",TEXT($B205,"yyyy-mm"))</f>
        <v/>
      </c>
    </row>
    <row r="206" customFormat="false" ht="15" hidden="false" customHeight="false" outlineLevel="0" collapsed="false">
      <c r="A206" s="53" t="str">
        <f aca="false">IF($B206="","",ROW()-5)</f>
        <v/>
      </c>
      <c r="B206" s="54"/>
      <c r="C206" s="33"/>
      <c r="D206" s="33"/>
      <c r="E206" s="32"/>
      <c r="F206" s="39"/>
      <c r="G206" s="48" t="str">
        <f aca="false">IF($F206="","",IFERROR(INDEX(商品档案!$B$6:$B$65,MATCH($F206,商品档案!$A$6:$A$65,0)),""))</f>
        <v/>
      </c>
      <c r="H206" s="48" t="str">
        <f aca="false">IF($F206="","",IFERROR(INDEX(商品档案!$C$6:$C$65,MATCH($F206,商品档案!$A$6:$A$65,0)),""))</f>
        <v/>
      </c>
      <c r="I206" s="55" t="str">
        <f aca="false">IF($F206="","",IFERROR(INDEX(商品档案!$D$6:$D$65,MATCH($F206,商品档案!$A$6:$A$65,0)),""))</f>
        <v/>
      </c>
      <c r="J206" s="49"/>
      <c r="K206" s="56"/>
      <c r="L206" s="33"/>
      <c r="M206" s="39"/>
      <c r="N206" s="41"/>
      <c r="O206" s="41"/>
      <c r="P206" s="25" t="str">
        <f aca="false">IF(AND($B206="",$D206="",$F206=""),"",IF(NOT(ISNUMBER($B206)),"日期无效",IF(ISNA(MATCH($C206,参数设置!$A$10:$A$12,0)),"公司无效",IF(ISNA(MATCH($D206,记账规则!$A$6:$A$9,0)),"业务类型无效",IF(ISNA(MATCH($F206,商品档案!$A$6:$A$65,0)),"商品编码无效",IF(IFERROR(INDEX(商品档案!$E$6:$E$65,MATCH($F206,商品档案!$A$6:$A$65,0)),"")&lt;&gt;$C206,"商品不属于该公司",IF(AND($E206&lt;&gt;"",ISNA(MATCH($E206,往来单位!$A$6:$A$85,0))),"往来单位未建档",IF(N($J206)=0,"数量为 0",IF(N($K206)=0,"单价为 0",IF(AND(LEFT($D206,2)="销售",$U206=""),"该商品没设成本科目",IF(YEAR($B206)&lt;&gt;参数设置!$B$5,"不在本会计年度","OK")))))))))))</f>
        <v/>
      </c>
      <c r="Q206" s="57" t="str">
        <f aca="false">IF($F206="","",ROUND(N($J206)*N($K206),2))</f>
        <v/>
      </c>
      <c r="R206" s="58" t="str">
        <f aca="false">IF($D206="","",IF(LEFT($D206,2)="销售","应收账款","应付账款"))</f>
        <v/>
      </c>
      <c r="S206" s="58" t="str">
        <f aca="false">IF($F206="","",IFERROR(INDEX(商品档案!$G$6:$G$65,MATCH($F206,商品档案!$A$6:$A$65,0)),""))</f>
        <v/>
      </c>
      <c r="T206" s="58" t="str">
        <f aca="false">IF($F206="","",IFERROR(INDEX(商品档案!$H$6:$H$65,MATCH($F206,商品档案!$A$6:$A$65,0)),""))</f>
        <v/>
      </c>
      <c r="U206" s="58" t="str">
        <f aca="false">IF($F206="","",IFERROR(INDEX(商品档案!$I$6:$I$65,MATCH($F206,商品档案!$A$6:$A$65,0)),""))</f>
        <v/>
      </c>
      <c r="V206" s="59" t="str">
        <f aca="false">IF($F206="","",SUMIFS(进销存台账!$N$6:$N$65,进销存台账!$A$6:$A$65,$C206,进销存台账!$B$6:$B$65,$F206))</f>
        <v/>
      </c>
      <c r="W206" s="60" t="n">
        <f aca="false">IF(OR($D206="销售出库",$D206="销售退回"),ROUND(N($J206)*N($V206),2),0)</f>
        <v>0</v>
      </c>
      <c r="X206" s="58" t="str">
        <f aca="false">IF($E206="","",IFERROR(INDEX(往来单位!$D$6:$D$85,MATCH($E206,往来单位!$A$6:$A$85,0)),"否"))</f>
        <v/>
      </c>
      <c r="Y206" s="61" t="str">
        <f aca="false">IF($B206="","",YEAR($B206))</f>
        <v/>
      </c>
      <c r="Z206" s="58" t="str">
        <f aca="false">IF($B206="","",TEXT($B206,"yyyy-mm"))</f>
        <v/>
      </c>
    </row>
    <row r="207" customFormat="false" ht="15" hidden="false" customHeight="false" outlineLevel="0" collapsed="false">
      <c r="A207" s="53" t="str">
        <f aca="false">IF($B207="","",ROW()-5)</f>
        <v/>
      </c>
      <c r="B207" s="54"/>
      <c r="C207" s="33"/>
      <c r="D207" s="33"/>
      <c r="E207" s="32"/>
      <c r="F207" s="39"/>
      <c r="G207" s="48" t="str">
        <f aca="false">IF($F207="","",IFERROR(INDEX(商品档案!$B$6:$B$65,MATCH($F207,商品档案!$A$6:$A$65,0)),""))</f>
        <v/>
      </c>
      <c r="H207" s="48" t="str">
        <f aca="false">IF($F207="","",IFERROR(INDEX(商品档案!$C$6:$C$65,MATCH($F207,商品档案!$A$6:$A$65,0)),""))</f>
        <v/>
      </c>
      <c r="I207" s="55" t="str">
        <f aca="false">IF($F207="","",IFERROR(INDEX(商品档案!$D$6:$D$65,MATCH($F207,商品档案!$A$6:$A$65,0)),""))</f>
        <v/>
      </c>
      <c r="J207" s="49"/>
      <c r="K207" s="56"/>
      <c r="L207" s="33"/>
      <c r="M207" s="39"/>
      <c r="N207" s="41"/>
      <c r="O207" s="41"/>
      <c r="P207" s="25" t="str">
        <f aca="false">IF(AND($B207="",$D207="",$F207=""),"",IF(NOT(ISNUMBER($B207)),"日期无效",IF(ISNA(MATCH($C207,参数设置!$A$10:$A$12,0)),"公司无效",IF(ISNA(MATCH($D207,记账规则!$A$6:$A$9,0)),"业务类型无效",IF(ISNA(MATCH($F207,商品档案!$A$6:$A$65,0)),"商品编码无效",IF(IFERROR(INDEX(商品档案!$E$6:$E$65,MATCH($F207,商品档案!$A$6:$A$65,0)),"")&lt;&gt;$C207,"商品不属于该公司",IF(AND($E207&lt;&gt;"",ISNA(MATCH($E207,往来单位!$A$6:$A$85,0))),"往来单位未建档",IF(N($J207)=0,"数量为 0",IF(N($K207)=0,"单价为 0",IF(AND(LEFT($D207,2)="销售",$U207=""),"该商品没设成本科目",IF(YEAR($B207)&lt;&gt;参数设置!$B$5,"不在本会计年度","OK")))))))))))</f>
        <v/>
      </c>
      <c r="Q207" s="57" t="str">
        <f aca="false">IF($F207="","",ROUND(N($J207)*N($K207),2))</f>
        <v/>
      </c>
      <c r="R207" s="58" t="str">
        <f aca="false">IF($D207="","",IF(LEFT($D207,2)="销售","应收账款","应付账款"))</f>
        <v/>
      </c>
      <c r="S207" s="58" t="str">
        <f aca="false">IF($F207="","",IFERROR(INDEX(商品档案!$G$6:$G$65,MATCH($F207,商品档案!$A$6:$A$65,0)),""))</f>
        <v/>
      </c>
      <c r="T207" s="58" t="str">
        <f aca="false">IF($F207="","",IFERROR(INDEX(商品档案!$H$6:$H$65,MATCH($F207,商品档案!$A$6:$A$65,0)),""))</f>
        <v/>
      </c>
      <c r="U207" s="58" t="str">
        <f aca="false">IF($F207="","",IFERROR(INDEX(商品档案!$I$6:$I$65,MATCH($F207,商品档案!$A$6:$A$65,0)),""))</f>
        <v/>
      </c>
      <c r="V207" s="59" t="str">
        <f aca="false">IF($F207="","",SUMIFS(进销存台账!$N$6:$N$65,进销存台账!$A$6:$A$65,$C207,进销存台账!$B$6:$B$65,$F207))</f>
        <v/>
      </c>
      <c r="W207" s="60" t="n">
        <f aca="false">IF(OR($D207="销售出库",$D207="销售退回"),ROUND(N($J207)*N($V207),2),0)</f>
        <v>0</v>
      </c>
      <c r="X207" s="58" t="str">
        <f aca="false">IF($E207="","",IFERROR(INDEX(往来单位!$D$6:$D$85,MATCH($E207,往来单位!$A$6:$A$85,0)),"否"))</f>
        <v/>
      </c>
      <c r="Y207" s="61" t="str">
        <f aca="false">IF($B207="","",YEAR($B207))</f>
        <v/>
      </c>
      <c r="Z207" s="58" t="str">
        <f aca="false">IF($B207="","",TEXT($B207,"yyyy-mm"))</f>
        <v/>
      </c>
    </row>
    <row r="208" customFormat="false" ht="15" hidden="false" customHeight="false" outlineLevel="0" collapsed="false">
      <c r="A208" s="53" t="str">
        <f aca="false">IF($B208="","",ROW()-5)</f>
        <v/>
      </c>
      <c r="B208" s="54"/>
      <c r="C208" s="33"/>
      <c r="D208" s="33"/>
      <c r="E208" s="32"/>
      <c r="F208" s="39"/>
      <c r="G208" s="48" t="str">
        <f aca="false">IF($F208="","",IFERROR(INDEX(商品档案!$B$6:$B$65,MATCH($F208,商品档案!$A$6:$A$65,0)),""))</f>
        <v/>
      </c>
      <c r="H208" s="48" t="str">
        <f aca="false">IF($F208="","",IFERROR(INDEX(商品档案!$C$6:$C$65,MATCH($F208,商品档案!$A$6:$A$65,0)),""))</f>
        <v/>
      </c>
      <c r="I208" s="55" t="str">
        <f aca="false">IF($F208="","",IFERROR(INDEX(商品档案!$D$6:$D$65,MATCH($F208,商品档案!$A$6:$A$65,0)),""))</f>
        <v/>
      </c>
      <c r="J208" s="49"/>
      <c r="K208" s="56"/>
      <c r="L208" s="33"/>
      <c r="M208" s="39"/>
      <c r="N208" s="41"/>
      <c r="O208" s="41"/>
      <c r="P208" s="25" t="str">
        <f aca="false">IF(AND($B208="",$D208="",$F208=""),"",IF(NOT(ISNUMBER($B208)),"日期无效",IF(ISNA(MATCH($C208,参数设置!$A$10:$A$12,0)),"公司无效",IF(ISNA(MATCH($D208,记账规则!$A$6:$A$9,0)),"业务类型无效",IF(ISNA(MATCH($F208,商品档案!$A$6:$A$65,0)),"商品编码无效",IF(IFERROR(INDEX(商品档案!$E$6:$E$65,MATCH($F208,商品档案!$A$6:$A$65,0)),"")&lt;&gt;$C208,"商品不属于该公司",IF(AND($E208&lt;&gt;"",ISNA(MATCH($E208,往来单位!$A$6:$A$85,0))),"往来单位未建档",IF(N($J208)=0,"数量为 0",IF(N($K208)=0,"单价为 0",IF(AND(LEFT($D208,2)="销售",$U208=""),"该商品没设成本科目",IF(YEAR($B208)&lt;&gt;参数设置!$B$5,"不在本会计年度","OK")))))))))))</f>
        <v/>
      </c>
      <c r="Q208" s="57" t="str">
        <f aca="false">IF($F208="","",ROUND(N($J208)*N($K208),2))</f>
        <v/>
      </c>
      <c r="R208" s="58" t="str">
        <f aca="false">IF($D208="","",IF(LEFT($D208,2)="销售","应收账款","应付账款"))</f>
        <v/>
      </c>
      <c r="S208" s="58" t="str">
        <f aca="false">IF($F208="","",IFERROR(INDEX(商品档案!$G$6:$G$65,MATCH($F208,商品档案!$A$6:$A$65,0)),""))</f>
        <v/>
      </c>
      <c r="T208" s="58" t="str">
        <f aca="false">IF($F208="","",IFERROR(INDEX(商品档案!$H$6:$H$65,MATCH($F208,商品档案!$A$6:$A$65,0)),""))</f>
        <v/>
      </c>
      <c r="U208" s="58" t="str">
        <f aca="false">IF($F208="","",IFERROR(INDEX(商品档案!$I$6:$I$65,MATCH($F208,商品档案!$A$6:$A$65,0)),""))</f>
        <v/>
      </c>
      <c r="V208" s="59" t="str">
        <f aca="false">IF($F208="","",SUMIFS(进销存台账!$N$6:$N$65,进销存台账!$A$6:$A$65,$C208,进销存台账!$B$6:$B$65,$F208))</f>
        <v/>
      </c>
      <c r="W208" s="60" t="n">
        <f aca="false">IF(OR($D208="销售出库",$D208="销售退回"),ROUND(N($J208)*N($V208),2),0)</f>
        <v>0</v>
      </c>
      <c r="X208" s="58" t="str">
        <f aca="false">IF($E208="","",IFERROR(INDEX(往来单位!$D$6:$D$85,MATCH($E208,往来单位!$A$6:$A$85,0)),"否"))</f>
        <v/>
      </c>
      <c r="Y208" s="61" t="str">
        <f aca="false">IF($B208="","",YEAR($B208))</f>
        <v/>
      </c>
      <c r="Z208" s="58" t="str">
        <f aca="false">IF($B208="","",TEXT($B208,"yyyy-mm"))</f>
        <v/>
      </c>
    </row>
    <row r="209" customFormat="false" ht="15" hidden="false" customHeight="false" outlineLevel="0" collapsed="false">
      <c r="A209" s="53" t="str">
        <f aca="false">IF($B209="","",ROW()-5)</f>
        <v/>
      </c>
      <c r="B209" s="54"/>
      <c r="C209" s="33"/>
      <c r="D209" s="33"/>
      <c r="E209" s="32"/>
      <c r="F209" s="39"/>
      <c r="G209" s="48" t="str">
        <f aca="false">IF($F209="","",IFERROR(INDEX(商品档案!$B$6:$B$65,MATCH($F209,商品档案!$A$6:$A$65,0)),""))</f>
        <v/>
      </c>
      <c r="H209" s="48" t="str">
        <f aca="false">IF($F209="","",IFERROR(INDEX(商品档案!$C$6:$C$65,MATCH($F209,商品档案!$A$6:$A$65,0)),""))</f>
        <v/>
      </c>
      <c r="I209" s="55" t="str">
        <f aca="false">IF($F209="","",IFERROR(INDEX(商品档案!$D$6:$D$65,MATCH($F209,商品档案!$A$6:$A$65,0)),""))</f>
        <v/>
      </c>
      <c r="J209" s="49"/>
      <c r="K209" s="56"/>
      <c r="L209" s="33"/>
      <c r="M209" s="39"/>
      <c r="N209" s="41"/>
      <c r="O209" s="41"/>
      <c r="P209" s="25" t="str">
        <f aca="false">IF(AND($B209="",$D209="",$F209=""),"",IF(NOT(ISNUMBER($B209)),"日期无效",IF(ISNA(MATCH($C209,参数设置!$A$10:$A$12,0)),"公司无效",IF(ISNA(MATCH($D209,记账规则!$A$6:$A$9,0)),"业务类型无效",IF(ISNA(MATCH($F209,商品档案!$A$6:$A$65,0)),"商品编码无效",IF(IFERROR(INDEX(商品档案!$E$6:$E$65,MATCH($F209,商品档案!$A$6:$A$65,0)),"")&lt;&gt;$C209,"商品不属于该公司",IF(AND($E209&lt;&gt;"",ISNA(MATCH($E209,往来单位!$A$6:$A$85,0))),"往来单位未建档",IF(N($J209)=0,"数量为 0",IF(N($K209)=0,"单价为 0",IF(AND(LEFT($D209,2)="销售",$U209=""),"该商品没设成本科目",IF(YEAR($B209)&lt;&gt;参数设置!$B$5,"不在本会计年度","OK")))))))))))</f>
        <v/>
      </c>
      <c r="Q209" s="57" t="str">
        <f aca="false">IF($F209="","",ROUND(N($J209)*N($K209),2))</f>
        <v/>
      </c>
      <c r="R209" s="58" t="str">
        <f aca="false">IF($D209="","",IF(LEFT($D209,2)="销售","应收账款","应付账款"))</f>
        <v/>
      </c>
      <c r="S209" s="58" t="str">
        <f aca="false">IF($F209="","",IFERROR(INDEX(商品档案!$G$6:$G$65,MATCH($F209,商品档案!$A$6:$A$65,0)),""))</f>
        <v/>
      </c>
      <c r="T209" s="58" t="str">
        <f aca="false">IF($F209="","",IFERROR(INDEX(商品档案!$H$6:$H$65,MATCH($F209,商品档案!$A$6:$A$65,0)),""))</f>
        <v/>
      </c>
      <c r="U209" s="58" t="str">
        <f aca="false">IF($F209="","",IFERROR(INDEX(商品档案!$I$6:$I$65,MATCH($F209,商品档案!$A$6:$A$65,0)),""))</f>
        <v/>
      </c>
      <c r="V209" s="59" t="str">
        <f aca="false">IF($F209="","",SUMIFS(进销存台账!$N$6:$N$65,进销存台账!$A$6:$A$65,$C209,进销存台账!$B$6:$B$65,$F209))</f>
        <v/>
      </c>
      <c r="W209" s="60" t="n">
        <f aca="false">IF(OR($D209="销售出库",$D209="销售退回"),ROUND(N($J209)*N($V209),2),0)</f>
        <v>0</v>
      </c>
      <c r="X209" s="58" t="str">
        <f aca="false">IF($E209="","",IFERROR(INDEX(往来单位!$D$6:$D$85,MATCH($E209,往来单位!$A$6:$A$85,0)),"否"))</f>
        <v/>
      </c>
      <c r="Y209" s="61" t="str">
        <f aca="false">IF($B209="","",YEAR($B209))</f>
        <v/>
      </c>
      <c r="Z209" s="58" t="str">
        <f aca="false">IF($B209="","",TEXT($B209,"yyyy-mm"))</f>
        <v/>
      </c>
    </row>
    <row r="210" customFormat="false" ht="15" hidden="false" customHeight="false" outlineLevel="0" collapsed="false">
      <c r="A210" s="53" t="str">
        <f aca="false">IF($B210="","",ROW()-5)</f>
        <v/>
      </c>
      <c r="B210" s="54"/>
      <c r="C210" s="33"/>
      <c r="D210" s="33"/>
      <c r="E210" s="32"/>
      <c r="F210" s="39"/>
      <c r="G210" s="48" t="str">
        <f aca="false">IF($F210="","",IFERROR(INDEX(商品档案!$B$6:$B$65,MATCH($F210,商品档案!$A$6:$A$65,0)),""))</f>
        <v/>
      </c>
      <c r="H210" s="48" t="str">
        <f aca="false">IF($F210="","",IFERROR(INDEX(商品档案!$C$6:$C$65,MATCH($F210,商品档案!$A$6:$A$65,0)),""))</f>
        <v/>
      </c>
      <c r="I210" s="55" t="str">
        <f aca="false">IF($F210="","",IFERROR(INDEX(商品档案!$D$6:$D$65,MATCH($F210,商品档案!$A$6:$A$65,0)),""))</f>
        <v/>
      </c>
      <c r="J210" s="49"/>
      <c r="K210" s="56"/>
      <c r="L210" s="33"/>
      <c r="M210" s="39"/>
      <c r="N210" s="41"/>
      <c r="O210" s="41"/>
      <c r="P210" s="25" t="str">
        <f aca="false">IF(AND($B210="",$D210="",$F210=""),"",IF(NOT(ISNUMBER($B210)),"日期无效",IF(ISNA(MATCH($C210,参数设置!$A$10:$A$12,0)),"公司无效",IF(ISNA(MATCH($D210,记账规则!$A$6:$A$9,0)),"业务类型无效",IF(ISNA(MATCH($F210,商品档案!$A$6:$A$65,0)),"商品编码无效",IF(IFERROR(INDEX(商品档案!$E$6:$E$65,MATCH($F210,商品档案!$A$6:$A$65,0)),"")&lt;&gt;$C210,"商品不属于该公司",IF(AND($E210&lt;&gt;"",ISNA(MATCH($E210,往来单位!$A$6:$A$85,0))),"往来单位未建档",IF(N($J210)=0,"数量为 0",IF(N($K210)=0,"单价为 0",IF(AND(LEFT($D210,2)="销售",$U210=""),"该商品没设成本科目",IF(YEAR($B210)&lt;&gt;参数设置!$B$5,"不在本会计年度","OK")))))))))))</f>
        <v/>
      </c>
      <c r="Q210" s="57" t="str">
        <f aca="false">IF($F210="","",ROUND(N($J210)*N($K210),2))</f>
        <v/>
      </c>
      <c r="R210" s="58" t="str">
        <f aca="false">IF($D210="","",IF(LEFT($D210,2)="销售","应收账款","应付账款"))</f>
        <v/>
      </c>
      <c r="S210" s="58" t="str">
        <f aca="false">IF($F210="","",IFERROR(INDEX(商品档案!$G$6:$G$65,MATCH($F210,商品档案!$A$6:$A$65,0)),""))</f>
        <v/>
      </c>
      <c r="T210" s="58" t="str">
        <f aca="false">IF($F210="","",IFERROR(INDEX(商品档案!$H$6:$H$65,MATCH($F210,商品档案!$A$6:$A$65,0)),""))</f>
        <v/>
      </c>
      <c r="U210" s="58" t="str">
        <f aca="false">IF($F210="","",IFERROR(INDEX(商品档案!$I$6:$I$65,MATCH($F210,商品档案!$A$6:$A$65,0)),""))</f>
        <v/>
      </c>
      <c r="V210" s="59" t="str">
        <f aca="false">IF($F210="","",SUMIFS(进销存台账!$N$6:$N$65,进销存台账!$A$6:$A$65,$C210,进销存台账!$B$6:$B$65,$F210))</f>
        <v/>
      </c>
      <c r="W210" s="60" t="n">
        <f aca="false">IF(OR($D210="销售出库",$D210="销售退回"),ROUND(N($J210)*N($V210),2),0)</f>
        <v>0</v>
      </c>
      <c r="X210" s="58" t="str">
        <f aca="false">IF($E210="","",IFERROR(INDEX(往来单位!$D$6:$D$85,MATCH($E210,往来单位!$A$6:$A$85,0)),"否"))</f>
        <v/>
      </c>
      <c r="Y210" s="61" t="str">
        <f aca="false">IF($B210="","",YEAR($B210))</f>
        <v/>
      </c>
      <c r="Z210" s="58" t="str">
        <f aca="false">IF($B210="","",TEXT($B210,"yyyy-mm"))</f>
        <v/>
      </c>
    </row>
    <row r="211" customFormat="false" ht="15" hidden="false" customHeight="false" outlineLevel="0" collapsed="false">
      <c r="A211" s="53" t="str">
        <f aca="false">IF($B211="","",ROW()-5)</f>
        <v/>
      </c>
      <c r="B211" s="54"/>
      <c r="C211" s="33"/>
      <c r="D211" s="33"/>
      <c r="E211" s="32"/>
      <c r="F211" s="39"/>
      <c r="G211" s="48" t="str">
        <f aca="false">IF($F211="","",IFERROR(INDEX(商品档案!$B$6:$B$65,MATCH($F211,商品档案!$A$6:$A$65,0)),""))</f>
        <v/>
      </c>
      <c r="H211" s="48" t="str">
        <f aca="false">IF($F211="","",IFERROR(INDEX(商品档案!$C$6:$C$65,MATCH($F211,商品档案!$A$6:$A$65,0)),""))</f>
        <v/>
      </c>
      <c r="I211" s="55" t="str">
        <f aca="false">IF($F211="","",IFERROR(INDEX(商品档案!$D$6:$D$65,MATCH($F211,商品档案!$A$6:$A$65,0)),""))</f>
        <v/>
      </c>
      <c r="J211" s="49"/>
      <c r="K211" s="56"/>
      <c r="L211" s="33"/>
      <c r="M211" s="39"/>
      <c r="N211" s="41"/>
      <c r="O211" s="41"/>
      <c r="P211" s="25" t="str">
        <f aca="false">IF(AND($B211="",$D211="",$F211=""),"",IF(NOT(ISNUMBER($B211)),"日期无效",IF(ISNA(MATCH($C211,参数设置!$A$10:$A$12,0)),"公司无效",IF(ISNA(MATCH($D211,记账规则!$A$6:$A$9,0)),"业务类型无效",IF(ISNA(MATCH($F211,商品档案!$A$6:$A$65,0)),"商品编码无效",IF(IFERROR(INDEX(商品档案!$E$6:$E$65,MATCH($F211,商品档案!$A$6:$A$65,0)),"")&lt;&gt;$C211,"商品不属于该公司",IF(AND($E211&lt;&gt;"",ISNA(MATCH($E211,往来单位!$A$6:$A$85,0))),"往来单位未建档",IF(N($J211)=0,"数量为 0",IF(N($K211)=0,"单价为 0",IF(AND(LEFT($D211,2)="销售",$U211=""),"该商品没设成本科目",IF(YEAR($B211)&lt;&gt;参数设置!$B$5,"不在本会计年度","OK")))))))))))</f>
        <v/>
      </c>
      <c r="Q211" s="57" t="str">
        <f aca="false">IF($F211="","",ROUND(N($J211)*N($K211),2))</f>
        <v/>
      </c>
      <c r="R211" s="58" t="str">
        <f aca="false">IF($D211="","",IF(LEFT($D211,2)="销售","应收账款","应付账款"))</f>
        <v/>
      </c>
      <c r="S211" s="58" t="str">
        <f aca="false">IF($F211="","",IFERROR(INDEX(商品档案!$G$6:$G$65,MATCH($F211,商品档案!$A$6:$A$65,0)),""))</f>
        <v/>
      </c>
      <c r="T211" s="58" t="str">
        <f aca="false">IF($F211="","",IFERROR(INDEX(商品档案!$H$6:$H$65,MATCH($F211,商品档案!$A$6:$A$65,0)),""))</f>
        <v/>
      </c>
      <c r="U211" s="58" t="str">
        <f aca="false">IF($F211="","",IFERROR(INDEX(商品档案!$I$6:$I$65,MATCH($F211,商品档案!$A$6:$A$65,0)),""))</f>
        <v/>
      </c>
      <c r="V211" s="59" t="str">
        <f aca="false">IF($F211="","",SUMIFS(进销存台账!$N$6:$N$65,进销存台账!$A$6:$A$65,$C211,进销存台账!$B$6:$B$65,$F211))</f>
        <v/>
      </c>
      <c r="W211" s="60" t="n">
        <f aca="false">IF(OR($D211="销售出库",$D211="销售退回"),ROUND(N($J211)*N($V211),2),0)</f>
        <v>0</v>
      </c>
      <c r="X211" s="58" t="str">
        <f aca="false">IF($E211="","",IFERROR(INDEX(往来单位!$D$6:$D$85,MATCH($E211,往来单位!$A$6:$A$85,0)),"否"))</f>
        <v/>
      </c>
      <c r="Y211" s="61" t="str">
        <f aca="false">IF($B211="","",YEAR($B211))</f>
        <v/>
      </c>
      <c r="Z211" s="58" t="str">
        <f aca="false">IF($B211="","",TEXT($B211,"yyyy-mm"))</f>
        <v/>
      </c>
    </row>
    <row r="212" customFormat="false" ht="15" hidden="false" customHeight="false" outlineLevel="0" collapsed="false">
      <c r="A212" s="53" t="str">
        <f aca="false">IF($B212="","",ROW()-5)</f>
        <v/>
      </c>
      <c r="B212" s="54"/>
      <c r="C212" s="33"/>
      <c r="D212" s="33"/>
      <c r="E212" s="32"/>
      <c r="F212" s="39"/>
      <c r="G212" s="48" t="str">
        <f aca="false">IF($F212="","",IFERROR(INDEX(商品档案!$B$6:$B$65,MATCH($F212,商品档案!$A$6:$A$65,0)),""))</f>
        <v/>
      </c>
      <c r="H212" s="48" t="str">
        <f aca="false">IF($F212="","",IFERROR(INDEX(商品档案!$C$6:$C$65,MATCH($F212,商品档案!$A$6:$A$65,0)),""))</f>
        <v/>
      </c>
      <c r="I212" s="55" t="str">
        <f aca="false">IF($F212="","",IFERROR(INDEX(商品档案!$D$6:$D$65,MATCH($F212,商品档案!$A$6:$A$65,0)),""))</f>
        <v/>
      </c>
      <c r="J212" s="49"/>
      <c r="K212" s="56"/>
      <c r="L212" s="33"/>
      <c r="M212" s="39"/>
      <c r="N212" s="41"/>
      <c r="O212" s="41"/>
      <c r="P212" s="25" t="str">
        <f aca="false">IF(AND($B212="",$D212="",$F212=""),"",IF(NOT(ISNUMBER($B212)),"日期无效",IF(ISNA(MATCH($C212,参数设置!$A$10:$A$12,0)),"公司无效",IF(ISNA(MATCH($D212,记账规则!$A$6:$A$9,0)),"业务类型无效",IF(ISNA(MATCH($F212,商品档案!$A$6:$A$65,0)),"商品编码无效",IF(IFERROR(INDEX(商品档案!$E$6:$E$65,MATCH($F212,商品档案!$A$6:$A$65,0)),"")&lt;&gt;$C212,"商品不属于该公司",IF(AND($E212&lt;&gt;"",ISNA(MATCH($E212,往来单位!$A$6:$A$85,0))),"往来单位未建档",IF(N($J212)=0,"数量为 0",IF(N($K212)=0,"单价为 0",IF(AND(LEFT($D212,2)="销售",$U212=""),"该商品没设成本科目",IF(YEAR($B212)&lt;&gt;参数设置!$B$5,"不在本会计年度","OK")))))))))))</f>
        <v/>
      </c>
      <c r="Q212" s="57" t="str">
        <f aca="false">IF($F212="","",ROUND(N($J212)*N($K212),2))</f>
        <v/>
      </c>
      <c r="R212" s="58" t="str">
        <f aca="false">IF($D212="","",IF(LEFT($D212,2)="销售","应收账款","应付账款"))</f>
        <v/>
      </c>
      <c r="S212" s="58" t="str">
        <f aca="false">IF($F212="","",IFERROR(INDEX(商品档案!$G$6:$G$65,MATCH($F212,商品档案!$A$6:$A$65,0)),""))</f>
        <v/>
      </c>
      <c r="T212" s="58" t="str">
        <f aca="false">IF($F212="","",IFERROR(INDEX(商品档案!$H$6:$H$65,MATCH($F212,商品档案!$A$6:$A$65,0)),""))</f>
        <v/>
      </c>
      <c r="U212" s="58" t="str">
        <f aca="false">IF($F212="","",IFERROR(INDEX(商品档案!$I$6:$I$65,MATCH($F212,商品档案!$A$6:$A$65,0)),""))</f>
        <v/>
      </c>
      <c r="V212" s="59" t="str">
        <f aca="false">IF($F212="","",SUMIFS(进销存台账!$N$6:$N$65,进销存台账!$A$6:$A$65,$C212,进销存台账!$B$6:$B$65,$F212))</f>
        <v/>
      </c>
      <c r="W212" s="60" t="n">
        <f aca="false">IF(OR($D212="销售出库",$D212="销售退回"),ROUND(N($J212)*N($V212),2),0)</f>
        <v>0</v>
      </c>
      <c r="X212" s="58" t="str">
        <f aca="false">IF($E212="","",IFERROR(INDEX(往来单位!$D$6:$D$85,MATCH($E212,往来单位!$A$6:$A$85,0)),"否"))</f>
        <v/>
      </c>
      <c r="Y212" s="61" t="str">
        <f aca="false">IF($B212="","",YEAR($B212))</f>
        <v/>
      </c>
      <c r="Z212" s="58" t="str">
        <f aca="false">IF($B212="","",TEXT($B212,"yyyy-mm"))</f>
        <v/>
      </c>
    </row>
    <row r="213" customFormat="false" ht="15" hidden="false" customHeight="false" outlineLevel="0" collapsed="false">
      <c r="A213" s="53" t="str">
        <f aca="false">IF($B213="","",ROW()-5)</f>
        <v/>
      </c>
      <c r="B213" s="54"/>
      <c r="C213" s="33"/>
      <c r="D213" s="33"/>
      <c r="E213" s="32"/>
      <c r="F213" s="39"/>
      <c r="G213" s="48" t="str">
        <f aca="false">IF($F213="","",IFERROR(INDEX(商品档案!$B$6:$B$65,MATCH($F213,商品档案!$A$6:$A$65,0)),""))</f>
        <v/>
      </c>
      <c r="H213" s="48" t="str">
        <f aca="false">IF($F213="","",IFERROR(INDEX(商品档案!$C$6:$C$65,MATCH($F213,商品档案!$A$6:$A$65,0)),""))</f>
        <v/>
      </c>
      <c r="I213" s="55" t="str">
        <f aca="false">IF($F213="","",IFERROR(INDEX(商品档案!$D$6:$D$65,MATCH($F213,商品档案!$A$6:$A$65,0)),""))</f>
        <v/>
      </c>
      <c r="J213" s="49"/>
      <c r="K213" s="56"/>
      <c r="L213" s="33"/>
      <c r="M213" s="39"/>
      <c r="N213" s="41"/>
      <c r="O213" s="41"/>
      <c r="P213" s="25" t="str">
        <f aca="false">IF(AND($B213="",$D213="",$F213=""),"",IF(NOT(ISNUMBER($B213)),"日期无效",IF(ISNA(MATCH($C213,参数设置!$A$10:$A$12,0)),"公司无效",IF(ISNA(MATCH($D213,记账规则!$A$6:$A$9,0)),"业务类型无效",IF(ISNA(MATCH($F213,商品档案!$A$6:$A$65,0)),"商品编码无效",IF(IFERROR(INDEX(商品档案!$E$6:$E$65,MATCH($F213,商品档案!$A$6:$A$65,0)),"")&lt;&gt;$C213,"商品不属于该公司",IF(AND($E213&lt;&gt;"",ISNA(MATCH($E213,往来单位!$A$6:$A$85,0))),"往来单位未建档",IF(N($J213)=0,"数量为 0",IF(N($K213)=0,"单价为 0",IF(AND(LEFT($D213,2)="销售",$U213=""),"该商品没设成本科目",IF(YEAR($B213)&lt;&gt;参数设置!$B$5,"不在本会计年度","OK")))))))))))</f>
        <v/>
      </c>
      <c r="Q213" s="57" t="str">
        <f aca="false">IF($F213="","",ROUND(N($J213)*N($K213),2))</f>
        <v/>
      </c>
      <c r="R213" s="58" t="str">
        <f aca="false">IF($D213="","",IF(LEFT($D213,2)="销售","应收账款","应付账款"))</f>
        <v/>
      </c>
      <c r="S213" s="58" t="str">
        <f aca="false">IF($F213="","",IFERROR(INDEX(商品档案!$G$6:$G$65,MATCH($F213,商品档案!$A$6:$A$65,0)),""))</f>
        <v/>
      </c>
      <c r="T213" s="58" t="str">
        <f aca="false">IF($F213="","",IFERROR(INDEX(商品档案!$H$6:$H$65,MATCH($F213,商品档案!$A$6:$A$65,0)),""))</f>
        <v/>
      </c>
      <c r="U213" s="58" t="str">
        <f aca="false">IF($F213="","",IFERROR(INDEX(商品档案!$I$6:$I$65,MATCH($F213,商品档案!$A$6:$A$65,0)),""))</f>
        <v/>
      </c>
      <c r="V213" s="59" t="str">
        <f aca="false">IF($F213="","",SUMIFS(进销存台账!$N$6:$N$65,进销存台账!$A$6:$A$65,$C213,进销存台账!$B$6:$B$65,$F213))</f>
        <v/>
      </c>
      <c r="W213" s="60" t="n">
        <f aca="false">IF(OR($D213="销售出库",$D213="销售退回"),ROUND(N($J213)*N($V213),2),0)</f>
        <v>0</v>
      </c>
      <c r="X213" s="58" t="str">
        <f aca="false">IF($E213="","",IFERROR(INDEX(往来单位!$D$6:$D$85,MATCH($E213,往来单位!$A$6:$A$85,0)),"否"))</f>
        <v/>
      </c>
      <c r="Y213" s="61" t="str">
        <f aca="false">IF($B213="","",YEAR($B213))</f>
        <v/>
      </c>
      <c r="Z213" s="58" t="str">
        <f aca="false">IF($B213="","",TEXT($B213,"yyyy-mm"))</f>
        <v/>
      </c>
    </row>
    <row r="214" customFormat="false" ht="15" hidden="false" customHeight="false" outlineLevel="0" collapsed="false">
      <c r="A214" s="53" t="str">
        <f aca="false">IF($B214="","",ROW()-5)</f>
        <v/>
      </c>
      <c r="B214" s="54"/>
      <c r="C214" s="33"/>
      <c r="D214" s="33"/>
      <c r="E214" s="32"/>
      <c r="F214" s="39"/>
      <c r="G214" s="48" t="str">
        <f aca="false">IF($F214="","",IFERROR(INDEX(商品档案!$B$6:$B$65,MATCH($F214,商品档案!$A$6:$A$65,0)),""))</f>
        <v/>
      </c>
      <c r="H214" s="48" t="str">
        <f aca="false">IF($F214="","",IFERROR(INDEX(商品档案!$C$6:$C$65,MATCH($F214,商品档案!$A$6:$A$65,0)),""))</f>
        <v/>
      </c>
      <c r="I214" s="55" t="str">
        <f aca="false">IF($F214="","",IFERROR(INDEX(商品档案!$D$6:$D$65,MATCH($F214,商品档案!$A$6:$A$65,0)),""))</f>
        <v/>
      </c>
      <c r="J214" s="49"/>
      <c r="K214" s="56"/>
      <c r="L214" s="33"/>
      <c r="M214" s="39"/>
      <c r="N214" s="41"/>
      <c r="O214" s="41"/>
      <c r="P214" s="25" t="str">
        <f aca="false">IF(AND($B214="",$D214="",$F214=""),"",IF(NOT(ISNUMBER($B214)),"日期无效",IF(ISNA(MATCH($C214,参数设置!$A$10:$A$12,0)),"公司无效",IF(ISNA(MATCH($D214,记账规则!$A$6:$A$9,0)),"业务类型无效",IF(ISNA(MATCH($F214,商品档案!$A$6:$A$65,0)),"商品编码无效",IF(IFERROR(INDEX(商品档案!$E$6:$E$65,MATCH($F214,商品档案!$A$6:$A$65,0)),"")&lt;&gt;$C214,"商品不属于该公司",IF(AND($E214&lt;&gt;"",ISNA(MATCH($E214,往来单位!$A$6:$A$85,0))),"往来单位未建档",IF(N($J214)=0,"数量为 0",IF(N($K214)=0,"单价为 0",IF(AND(LEFT($D214,2)="销售",$U214=""),"该商品没设成本科目",IF(YEAR($B214)&lt;&gt;参数设置!$B$5,"不在本会计年度","OK")))))))))))</f>
        <v/>
      </c>
      <c r="Q214" s="57" t="str">
        <f aca="false">IF($F214="","",ROUND(N($J214)*N($K214),2))</f>
        <v/>
      </c>
      <c r="R214" s="58" t="str">
        <f aca="false">IF($D214="","",IF(LEFT($D214,2)="销售","应收账款","应付账款"))</f>
        <v/>
      </c>
      <c r="S214" s="58" t="str">
        <f aca="false">IF($F214="","",IFERROR(INDEX(商品档案!$G$6:$G$65,MATCH($F214,商品档案!$A$6:$A$65,0)),""))</f>
        <v/>
      </c>
      <c r="T214" s="58" t="str">
        <f aca="false">IF($F214="","",IFERROR(INDEX(商品档案!$H$6:$H$65,MATCH($F214,商品档案!$A$6:$A$65,0)),""))</f>
        <v/>
      </c>
      <c r="U214" s="58" t="str">
        <f aca="false">IF($F214="","",IFERROR(INDEX(商品档案!$I$6:$I$65,MATCH($F214,商品档案!$A$6:$A$65,0)),""))</f>
        <v/>
      </c>
      <c r="V214" s="59" t="str">
        <f aca="false">IF($F214="","",SUMIFS(进销存台账!$N$6:$N$65,进销存台账!$A$6:$A$65,$C214,进销存台账!$B$6:$B$65,$F214))</f>
        <v/>
      </c>
      <c r="W214" s="60" t="n">
        <f aca="false">IF(OR($D214="销售出库",$D214="销售退回"),ROUND(N($J214)*N($V214),2),0)</f>
        <v>0</v>
      </c>
      <c r="X214" s="58" t="str">
        <f aca="false">IF($E214="","",IFERROR(INDEX(往来单位!$D$6:$D$85,MATCH($E214,往来单位!$A$6:$A$85,0)),"否"))</f>
        <v/>
      </c>
      <c r="Y214" s="61" t="str">
        <f aca="false">IF($B214="","",YEAR($B214))</f>
        <v/>
      </c>
      <c r="Z214" s="58" t="str">
        <f aca="false">IF($B214="","",TEXT($B214,"yyyy-mm"))</f>
        <v/>
      </c>
    </row>
    <row r="215" customFormat="false" ht="15" hidden="false" customHeight="false" outlineLevel="0" collapsed="false">
      <c r="A215" s="53" t="str">
        <f aca="false">IF($B215="","",ROW()-5)</f>
        <v/>
      </c>
      <c r="B215" s="54"/>
      <c r="C215" s="33"/>
      <c r="D215" s="33"/>
      <c r="E215" s="32"/>
      <c r="F215" s="39"/>
      <c r="G215" s="48" t="str">
        <f aca="false">IF($F215="","",IFERROR(INDEX(商品档案!$B$6:$B$65,MATCH($F215,商品档案!$A$6:$A$65,0)),""))</f>
        <v/>
      </c>
      <c r="H215" s="48" t="str">
        <f aca="false">IF($F215="","",IFERROR(INDEX(商品档案!$C$6:$C$65,MATCH($F215,商品档案!$A$6:$A$65,0)),""))</f>
        <v/>
      </c>
      <c r="I215" s="55" t="str">
        <f aca="false">IF($F215="","",IFERROR(INDEX(商品档案!$D$6:$D$65,MATCH($F215,商品档案!$A$6:$A$65,0)),""))</f>
        <v/>
      </c>
      <c r="J215" s="49"/>
      <c r="K215" s="56"/>
      <c r="L215" s="33"/>
      <c r="M215" s="39"/>
      <c r="N215" s="41"/>
      <c r="O215" s="41"/>
      <c r="P215" s="25" t="str">
        <f aca="false">IF(AND($B215="",$D215="",$F215=""),"",IF(NOT(ISNUMBER($B215)),"日期无效",IF(ISNA(MATCH($C215,参数设置!$A$10:$A$12,0)),"公司无效",IF(ISNA(MATCH($D215,记账规则!$A$6:$A$9,0)),"业务类型无效",IF(ISNA(MATCH($F215,商品档案!$A$6:$A$65,0)),"商品编码无效",IF(IFERROR(INDEX(商品档案!$E$6:$E$65,MATCH($F215,商品档案!$A$6:$A$65,0)),"")&lt;&gt;$C215,"商品不属于该公司",IF(AND($E215&lt;&gt;"",ISNA(MATCH($E215,往来单位!$A$6:$A$85,0))),"往来单位未建档",IF(N($J215)=0,"数量为 0",IF(N($K215)=0,"单价为 0",IF(AND(LEFT($D215,2)="销售",$U215=""),"该商品没设成本科目",IF(YEAR($B215)&lt;&gt;参数设置!$B$5,"不在本会计年度","OK")))))))))))</f>
        <v/>
      </c>
      <c r="Q215" s="57" t="str">
        <f aca="false">IF($F215="","",ROUND(N($J215)*N($K215),2))</f>
        <v/>
      </c>
      <c r="R215" s="58" t="str">
        <f aca="false">IF($D215="","",IF(LEFT($D215,2)="销售","应收账款","应付账款"))</f>
        <v/>
      </c>
      <c r="S215" s="58" t="str">
        <f aca="false">IF($F215="","",IFERROR(INDEX(商品档案!$G$6:$G$65,MATCH($F215,商品档案!$A$6:$A$65,0)),""))</f>
        <v/>
      </c>
      <c r="T215" s="58" t="str">
        <f aca="false">IF($F215="","",IFERROR(INDEX(商品档案!$H$6:$H$65,MATCH($F215,商品档案!$A$6:$A$65,0)),""))</f>
        <v/>
      </c>
      <c r="U215" s="58" t="str">
        <f aca="false">IF($F215="","",IFERROR(INDEX(商品档案!$I$6:$I$65,MATCH($F215,商品档案!$A$6:$A$65,0)),""))</f>
        <v/>
      </c>
      <c r="V215" s="59" t="str">
        <f aca="false">IF($F215="","",SUMIFS(进销存台账!$N$6:$N$65,进销存台账!$A$6:$A$65,$C215,进销存台账!$B$6:$B$65,$F215))</f>
        <v/>
      </c>
      <c r="W215" s="60" t="n">
        <f aca="false">IF(OR($D215="销售出库",$D215="销售退回"),ROUND(N($J215)*N($V215),2),0)</f>
        <v>0</v>
      </c>
      <c r="X215" s="58" t="str">
        <f aca="false">IF($E215="","",IFERROR(INDEX(往来单位!$D$6:$D$85,MATCH($E215,往来单位!$A$6:$A$85,0)),"否"))</f>
        <v/>
      </c>
      <c r="Y215" s="61" t="str">
        <f aca="false">IF($B215="","",YEAR($B215))</f>
        <v/>
      </c>
      <c r="Z215" s="58" t="str">
        <f aca="false">IF($B215="","",TEXT($B215,"yyyy-mm"))</f>
        <v/>
      </c>
    </row>
    <row r="216" customFormat="false" ht="15" hidden="false" customHeight="false" outlineLevel="0" collapsed="false">
      <c r="A216" s="53" t="str">
        <f aca="false">IF($B216="","",ROW()-5)</f>
        <v/>
      </c>
      <c r="B216" s="54"/>
      <c r="C216" s="33"/>
      <c r="D216" s="33"/>
      <c r="E216" s="32"/>
      <c r="F216" s="39"/>
      <c r="G216" s="48" t="str">
        <f aca="false">IF($F216="","",IFERROR(INDEX(商品档案!$B$6:$B$65,MATCH($F216,商品档案!$A$6:$A$65,0)),""))</f>
        <v/>
      </c>
      <c r="H216" s="48" t="str">
        <f aca="false">IF($F216="","",IFERROR(INDEX(商品档案!$C$6:$C$65,MATCH($F216,商品档案!$A$6:$A$65,0)),""))</f>
        <v/>
      </c>
      <c r="I216" s="55" t="str">
        <f aca="false">IF($F216="","",IFERROR(INDEX(商品档案!$D$6:$D$65,MATCH($F216,商品档案!$A$6:$A$65,0)),""))</f>
        <v/>
      </c>
      <c r="J216" s="49"/>
      <c r="K216" s="56"/>
      <c r="L216" s="33"/>
      <c r="M216" s="39"/>
      <c r="N216" s="41"/>
      <c r="O216" s="41"/>
      <c r="P216" s="25" t="str">
        <f aca="false">IF(AND($B216="",$D216="",$F216=""),"",IF(NOT(ISNUMBER($B216)),"日期无效",IF(ISNA(MATCH($C216,参数设置!$A$10:$A$12,0)),"公司无效",IF(ISNA(MATCH($D216,记账规则!$A$6:$A$9,0)),"业务类型无效",IF(ISNA(MATCH($F216,商品档案!$A$6:$A$65,0)),"商品编码无效",IF(IFERROR(INDEX(商品档案!$E$6:$E$65,MATCH($F216,商品档案!$A$6:$A$65,0)),"")&lt;&gt;$C216,"商品不属于该公司",IF(AND($E216&lt;&gt;"",ISNA(MATCH($E216,往来单位!$A$6:$A$85,0))),"往来单位未建档",IF(N($J216)=0,"数量为 0",IF(N($K216)=0,"单价为 0",IF(AND(LEFT($D216,2)="销售",$U216=""),"该商品没设成本科目",IF(YEAR($B216)&lt;&gt;参数设置!$B$5,"不在本会计年度","OK")))))))))))</f>
        <v/>
      </c>
      <c r="Q216" s="57" t="str">
        <f aca="false">IF($F216="","",ROUND(N($J216)*N($K216),2))</f>
        <v/>
      </c>
      <c r="R216" s="58" t="str">
        <f aca="false">IF($D216="","",IF(LEFT($D216,2)="销售","应收账款","应付账款"))</f>
        <v/>
      </c>
      <c r="S216" s="58" t="str">
        <f aca="false">IF($F216="","",IFERROR(INDEX(商品档案!$G$6:$G$65,MATCH($F216,商品档案!$A$6:$A$65,0)),""))</f>
        <v/>
      </c>
      <c r="T216" s="58" t="str">
        <f aca="false">IF($F216="","",IFERROR(INDEX(商品档案!$H$6:$H$65,MATCH($F216,商品档案!$A$6:$A$65,0)),""))</f>
        <v/>
      </c>
      <c r="U216" s="58" t="str">
        <f aca="false">IF($F216="","",IFERROR(INDEX(商品档案!$I$6:$I$65,MATCH($F216,商品档案!$A$6:$A$65,0)),""))</f>
        <v/>
      </c>
      <c r="V216" s="59" t="str">
        <f aca="false">IF($F216="","",SUMIFS(进销存台账!$N$6:$N$65,进销存台账!$A$6:$A$65,$C216,进销存台账!$B$6:$B$65,$F216))</f>
        <v/>
      </c>
      <c r="W216" s="60" t="n">
        <f aca="false">IF(OR($D216="销售出库",$D216="销售退回"),ROUND(N($J216)*N($V216),2),0)</f>
        <v>0</v>
      </c>
      <c r="X216" s="58" t="str">
        <f aca="false">IF($E216="","",IFERROR(INDEX(往来单位!$D$6:$D$85,MATCH($E216,往来单位!$A$6:$A$85,0)),"否"))</f>
        <v/>
      </c>
      <c r="Y216" s="61" t="str">
        <f aca="false">IF($B216="","",YEAR($B216))</f>
        <v/>
      </c>
      <c r="Z216" s="58" t="str">
        <f aca="false">IF($B216="","",TEXT($B216,"yyyy-mm"))</f>
        <v/>
      </c>
    </row>
    <row r="217" customFormat="false" ht="15" hidden="false" customHeight="false" outlineLevel="0" collapsed="false">
      <c r="A217" s="53" t="str">
        <f aca="false">IF($B217="","",ROW()-5)</f>
        <v/>
      </c>
      <c r="B217" s="54"/>
      <c r="C217" s="33"/>
      <c r="D217" s="33"/>
      <c r="E217" s="32"/>
      <c r="F217" s="39"/>
      <c r="G217" s="48" t="str">
        <f aca="false">IF($F217="","",IFERROR(INDEX(商品档案!$B$6:$B$65,MATCH($F217,商品档案!$A$6:$A$65,0)),""))</f>
        <v/>
      </c>
      <c r="H217" s="48" t="str">
        <f aca="false">IF($F217="","",IFERROR(INDEX(商品档案!$C$6:$C$65,MATCH($F217,商品档案!$A$6:$A$65,0)),""))</f>
        <v/>
      </c>
      <c r="I217" s="55" t="str">
        <f aca="false">IF($F217="","",IFERROR(INDEX(商品档案!$D$6:$D$65,MATCH($F217,商品档案!$A$6:$A$65,0)),""))</f>
        <v/>
      </c>
      <c r="J217" s="49"/>
      <c r="K217" s="56"/>
      <c r="L217" s="33"/>
      <c r="M217" s="39"/>
      <c r="N217" s="41"/>
      <c r="O217" s="41"/>
      <c r="P217" s="25" t="str">
        <f aca="false">IF(AND($B217="",$D217="",$F217=""),"",IF(NOT(ISNUMBER($B217)),"日期无效",IF(ISNA(MATCH($C217,参数设置!$A$10:$A$12,0)),"公司无效",IF(ISNA(MATCH($D217,记账规则!$A$6:$A$9,0)),"业务类型无效",IF(ISNA(MATCH($F217,商品档案!$A$6:$A$65,0)),"商品编码无效",IF(IFERROR(INDEX(商品档案!$E$6:$E$65,MATCH($F217,商品档案!$A$6:$A$65,0)),"")&lt;&gt;$C217,"商品不属于该公司",IF(AND($E217&lt;&gt;"",ISNA(MATCH($E217,往来单位!$A$6:$A$85,0))),"往来单位未建档",IF(N($J217)=0,"数量为 0",IF(N($K217)=0,"单价为 0",IF(AND(LEFT($D217,2)="销售",$U217=""),"该商品没设成本科目",IF(YEAR($B217)&lt;&gt;参数设置!$B$5,"不在本会计年度","OK")))))))))))</f>
        <v/>
      </c>
      <c r="Q217" s="57" t="str">
        <f aca="false">IF($F217="","",ROUND(N($J217)*N($K217),2))</f>
        <v/>
      </c>
      <c r="R217" s="58" t="str">
        <f aca="false">IF($D217="","",IF(LEFT($D217,2)="销售","应收账款","应付账款"))</f>
        <v/>
      </c>
      <c r="S217" s="58" t="str">
        <f aca="false">IF($F217="","",IFERROR(INDEX(商品档案!$G$6:$G$65,MATCH($F217,商品档案!$A$6:$A$65,0)),""))</f>
        <v/>
      </c>
      <c r="T217" s="58" t="str">
        <f aca="false">IF($F217="","",IFERROR(INDEX(商品档案!$H$6:$H$65,MATCH($F217,商品档案!$A$6:$A$65,0)),""))</f>
        <v/>
      </c>
      <c r="U217" s="58" t="str">
        <f aca="false">IF($F217="","",IFERROR(INDEX(商品档案!$I$6:$I$65,MATCH($F217,商品档案!$A$6:$A$65,0)),""))</f>
        <v/>
      </c>
      <c r="V217" s="59" t="str">
        <f aca="false">IF($F217="","",SUMIFS(进销存台账!$N$6:$N$65,进销存台账!$A$6:$A$65,$C217,进销存台账!$B$6:$B$65,$F217))</f>
        <v/>
      </c>
      <c r="W217" s="60" t="n">
        <f aca="false">IF(OR($D217="销售出库",$D217="销售退回"),ROUND(N($J217)*N($V217),2),0)</f>
        <v>0</v>
      </c>
      <c r="X217" s="58" t="str">
        <f aca="false">IF($E217="","",IFERROR(INDEX(往来单位!$D$6:$D$85,MATCH($E217,往来单位!$A$6:$A$85,0)),"否"))</f>
        <v/>
      </c>
      <c r="Y217" s="61" t="str">
        <f aca="false">IF($B217="","",YEAR($B217))</f>
        <v/>
      </c>
      <c r="Z217" s="58" t="str">
        <f aca="false">IF($B217="","",TEXT($B217,"yyyy-mm"))</f>
        <v/>
      </c>
    </row>
    <row r="218" customFormat="false" ht="15" hidden="false" customHeight="false" outlineLevel="0" collapsed="false">
      <c r="A218" s="53" t="str">
        <f aca="false">IF($B218="","",ROW()-5)</f>
        <v/>
      </c>
      <c r="B218" s="54"/>
      <c r="C218" s="33"/>
      <c r="D218" s="33"/>
      <c r="E218" s="32"/>
      <c r="F218" s="39"/>
      <c r="G218" s="48" t="str">
        <f aca="false">IF($F218="","",IFERROR(INDEX(商品档案!$B$6:$B$65,MATCH($F218,商品档案!$A$6:$A$65,0)),""))</f>
        <v/>
      </c>
      <c r="H218" s="48" t="str">
        <f aca="false">IF($F218="","",IFERROR(INDEX(商品档案!$C$6:$C$65,MATCH($F218,商品档案!$A$6:$A$65,0)),""))</f>
        <v/>
      </c>
      <c r="I218" s="55" t="str">
        <f aca="false">IF($F218="","",IFERROR(INDEX(商品档案!$D$6:$D$65,MATCH($F218,商品档案!$A$6:$A$65,0)),""))</f>
        <v/>
      </c>
      <c r="J218" s="49"/>
      <c r="K218" s="56"/>
      <c r="L218" s="33"/>
      <c r="M218" s="39"/>
      <c r="N218" s="41"/>
      <c r="O218" s="41"/>
      <c r="P218" s="25" t="str">
        <f aca="false">IF(AND($B218="",$D218="",$F218=""),"",IF(NOT(ISNUMBER($B218)),"日期无效",IF(ISNA(MATCH($C218,参数设置!$A$10:$A$12,0)),"公司无效",IF(ISNA(MATCH($D218,记账规则!$A$6:$A$9,0)),"业务类型无效",IF(ISNA(MATCH($F218,商品档案!$A$6:$A$65,0)),"商品编码无效",IF(IFERROR(INDEX(商品档案!$E$6:$E$65,MATCH($F218,商品档案!$A$6:$A$65,0)),"")&lt;&gt;$C218,"商品不属于该公司",IF(AND($E218&lt;&gt;"",ISNA(MATCH($E218,往来单位!$A$6:$A$85,0))),"往来单位未建档",IF(N($J218)=0,"数量为 0",IF(N($K218)=0,"单价为 0",IF(AND(LEFT($D218,2)="销售",$U218=""),"该商品没设成本科目",IF(YEAR($B218)&lt;&gt;参数设置!$B$5,"不在本会计年度","OK")))))))))))</f>
        <v/>
      </c>
      <c r="Q218" s="57" t="str">
        <f aca="false">IF($F218="","",ROUND(N($J218)*N($K218),2))</f>
        <v/>
      </c>
      <c r="R218" s="58" t="str">
        <f aca="false">IF($D218="","",IF(LEFT($D218,2)="销售","应收账款","应付账款"))</f>
        <v/>
      </c>
      <c r="S218" s="58" t="str">
        <f aca="false">IF($F218="","",IFERROR(INDEX(商品档案!$G$6:$G$65,MATCH($F218,商品档案!$A$6:$A$65,0)),""))</f>
        <v/>
      </c>
      <c r="T218" s="58" t="str">
        <f aca="false">IF($F218="","",IFERROR(INDEX(商品档案!$H$6:$H$65,MATCH($F218,商品档案!$A$6:$A$65,0)),""))</f>
        <v/>
      </c>
      <c r="U218" s="58" t="str">
        <f aca="false">IF($F218="","",IFERROR(INDEX(商品档案!$I$6:$I$65,MATCH($F218,商品档案!$A$6:$A$65,0)),""))</f>
        <v/>
      </c>
      <c r="V218" s="59" t="str">
        <f aca="false">IF($F218="","",SUMIFS(进销存台账!$N$6:$N$65,进销存台账!$A$6:$A$65,$C218,进销存台账!$B$6:$B$65,$F218))</f>
        <v/>
      </c>
      <c r="W218" s="60" t="n">
        <f aca="false">IF(OR($D218="销售出库",$D218="销售退回"),ROUND(N($J218)*N($V218),2),0)</f>
        <v>0</v>
      </c>
      <c r="X218" s="58" t="str">
        <f aca="false">IF($E218="","",IFERROR(INDEX(往来单位!$D$6:$D$85,MATCH($E218,往来单位!$A$6:$A$85,0)),"否"))</f>
        <v/>
      </c>
      <c r="Y218" s="61" t="str">
        <f aca="false">IF($B218="","",YEAR($B218))</f>
        <v/>
      </c>
      <c r="Z218" s="58" t="str">
        <f aca="false">IF($B218="","",TEXT($B218,"yyyy-mm"))</f>
        <v/>
      </c>
    </row>
    <row r="219" customFormat="false" ht="15" hidden="false" customHeight="false" outlineLevel="0" collapsed="false">
      <c r="A219" s="53" t="str">
        <f aca="false">IF($B219="","",ROW()-5)</f>
        <v/>
      </c>
      <c r="B219" s="54"/>
      <c r="C219" s="33"/>
      <c r="D219" s="33"/>
      <c r="E219" s="32"/>
      <c r="F219" s="39"/>
      <c r="G219" s="48" t="str">
        <f aca="false">IF($F219="","",IFERROR(INDEX(商品档案!$B$6:$B$65,MATCH($F219,商品档案!$A$6:$A$65,0)),""))</f>
        <v/>
      </c>
      <c r="H219" s="48" t="str">
        <f aca="false">IF($F219="","",IFERROR(INDEX(商品档案!$C$6:$C$65,MATCH($F219,商品档案!$A$6:$A$65,0)),""))</f>
        <v/>
      </c>
      <c r="I219" s="55" t="str">
        <f aca="false">IF($F219="","",IFERROR(INDEX(商品档案!$D$6:$D$65,MATCH($F219,商品档案!$A$6:$A$65,0)),""))</f>
        <v/>
      </c>
      <c r="J219" s="49"/>
      <c r="K219" s="56"/>
      <c r="L219" s="33"/>
      <c r="M219" s="39"/>
      <c r="N219" s="41"/>
      <c r="O219" s="41"/>
      <c r="P219" s="25" t="str">
        <f aca="false">IF(AND($B219="",$D219="",$F219=""),"",IF(NOT(ISNUMBER($B219)),"日期无效",IF(ISNA(MATCH($C219,参数设置!$A$10:$A$12,0)),"公司无效",IF(ISNA(MATCH($D219,记账规则!$A$6:$A$9,0)),"业务类型无效",IF(ISNA(MATCH($F219,商品档案!$A$6:$A$65,0)),"商品编码无效",IF(IFERROR(INDEX(商品档案!$E$6:$E$65,MATCH($F219,商品档案!$A$6:$A$65,0)),"")&lt;&gt;$C219,"商品不属于该公司",IF(AND($E219&lt;&gt;"",ISNA(MATCH($E219,往来单位!$A$6:$A$85,0))),"往来单位未建档",IF(N($J219)=0,"数量为 0",IF(N($K219)=0,"单价为 0",IF(AND(LEFT($D219,2)="销售",$U219=""),"该商品没设成本科目",IF(YEAR($B219)&lt;&gt;参数设置!$B$5,"不在本会计年度","OK")))))))))))</f>
        <v/>
      </c>
      <c r="Q219" s="57" t="str">
        <f aca="false">IF($F219="","",ROUND(N($J219)*N($K219),2))</f>
        <v/>
      </c>
      <c r="R219" s="58" t="str">
        <f aca="false">IF($D219="","",IF(LEFT($D219,2)="销售","应收账款","应付账款"))</f>
        <v/>
      </c>
      <c r="S219" s="58" t="str">
        <f aca="false">IF($F219="","",IFERROR(INDEX(商品档案!$G$6:$G$65,MATCH($F219,商品档案!$A$6:$A$65,0)),""))</f>
        <v/>
      </c>
      <c r="T219" s="58" t="str">
        <f aca="false">IF($F219="","",IFERROR(INDEX(商品档案!$H$6:$H$65,MATCH($F219,商品档案!$A$6:$A$65,0)),""))</f>
        <v/>
      </c>
      <c r="U219" s="58" t="str">
        <f aca="false">IF($F219="","",IFERROR(INDEX(商品档案!$I$6:$I$65,MATCH($F219,商品档案!$A$6:$A$65,0)),""))</f>
        <v/>
      </c>
      <c r="V219" s="59" t="str">
        <f aca="false">IF($F219="","",SUMIFS(进销存台账!$N$6:$N$65,进销存台账!$A$6:$A$65,$C219,进销存台账!$B$6:$B$65,$F219))</f>
        <v/>
      </c>
      <c r="W219" s="60" t="n">
        <f aca="false">IF(OR($D219="销售出库",$D219="销售退回"),ROUND(N($J219)*N($V219),2),0)</f>
        <v>0</v>
      </c>
      <c r="X219" s="58" t="str">
        <f aca="false">IF($E219="","",IFERROR(INDEX(往来单位!$D$6:$D$85,MATCH($E219,往来单位!$A$6:$A$85,0)),"否"))</f>
        <v/>
      </c>
      <c r="Y219" s="61" t="str">
        <f aca="false">IF($B219="","",YEAR($B219))</f>
        <v/>
      </c>
      <c r="Z219" s="58" t="str">
        <f aca="false">IF($B219="","",TEXT($B219,"yyyy-mm"))</f>
        <v/>
      </c>
    </row>
    <row r="220" customFormat="false" ht="15" hidden="false" customHeight="false" outlineLevel="0" collapsed="false">
      <c r="A220" s="53" t="str">
        <f aca="false">IF($B220="","",ROW()-5)</f>
        <v/>
      </c>
      <c r="B220" s="54"/>
      <c r="C220" s="33"/>
      <c r="D220" s="33"/>
      <c r="E220" s="32"/>
      <c r="F220" s="39"/>
      <c r="G220" s="48" t="str">
        <f aca="false">IF($F220="","",IFERROR(INDEX(商品档案!$B$6:$B$65,MATCH($F220,商品档案!$A$6:$A$65,0)),""))</f>
        <v/>
      </c>
      <c r="H220" s="48" t="str">
        <f aca="false">IF($F220="","",IFERROR(INDEX(商品档案!$C$6:$C$65,MATCH($F220,商品档案!$A$6:$A$65,0)),""))</f>
        <v/>
      </c>
      <c r="I220" s="55" t="str">
        <f aca="false">IF($F220="","",IFERROR(INDEX(商品档案!$D$6:$D$65,MATCH($F220,商品档案!$A$6:$A$65,0)),""))</f>
        <v/>
      </c>
      <c r="J220" s="49"/>
      <c r="K220" s="56"/>
      <c r="L220" s="33"/>
      <c r="M220" s="39"/>
      <c r="N220" s="41"/>
      <c r="O220" s="41"/>
      <c r="P220" s="25" t="str">
        <f aca="false">IF(AND($B220="",$D220="",$F220=""),"",IF(NOT(ISNUMBER($B220)),"日期无效",IF(ISNA(MATCH($C220,参数设置!$A$10:$A$12,0)),"公司无效",IF(ISNA(MATCH($D220,记账规则!$A$6:$A$9,0)),"业务类型无效",IF(ISNA(MATCH($F220,商品档案!$A$6:$A$65,0)),"商品编码无效",IF(IFERROR(INDEX(商品档案!$E$6:$E$65,MATCH($F220,商品档案!$A$6:$A$65,0)),"")&lt;&gt;$C220,"商品不属于该公司",IF(AND($E220&lt;&gt;"",ISNA(MATCH($E220,往来单位!$A$6:$A$85,0))),"往来单位未建档",IF(N($J220)=0,"数量为 0",IF(N($K220)=0,"单价为 0",IF(AND(LEFT($D220,2)="销售",$U220=""),"该商品没设成本科目",IF(YEAR($B220)&lt;&gt;参数设置!$B$5,"不在本会计年度","OK")))))))))))</f>
        <v/>
      </c>
      <c r="Q220" s="57" t="str">
        <f aca="false">IF($F220="","",ROUND(N($J220)*N($K220),2))</f>
        <v/>
      </c>
      <c r="R220" s="58" t="str">
        <f aca="false">IF($D220="","",IF(LEFT($D220,2)="销售","应收账款","应付账款"))</f>
        <v/>
      </c>
      <c r="S220" s="58" t="str">
        <f aca="false">IF($F220="","",IFERROR(INDEX(商品档案!$G$6:$G$65,MATCH($F220,商品档案!$A$6:$A$65,0)),""))</f>
        <v/>
      </c>
      <c r="T220" s="58" t="str">
        <f aca="false">IF($F220="","",IFERROR(INDEX(商品档案!$H$6:$H$65,MATCH($F220,商品档案!$A$6:$A$65,0)),""))</f>
        <v/>
      </c>
      <c r="U220" s="58" t="str">
        <f aca="false">IF($F220="","",IFERROR(INDEX(商品档案!$I$6:$I$65,MATCH($F220,商品档案!$A$6:$A$65,0)),""))</f>
        <v/>
      </c>
      <c r="V220" s="59" t="str">
        <f aca="false">IF($F220="","",SUMIFS(进销存台账!$N$6:$N$65,进销存台账!$A$6:$A$65,$C220,进销存台账!$B$6:$B$65,$F220))</f>
        <v/>
      </c>
      <c r="W220" s="60" t="n">
        <f aca="false">IF(OR($D220="销售出库",$D220="销售退回"),ROUND(N($J220)*N($V220),2),0)</f>
        <v>0</v>
      </c>
      <c r="X220" s="58" t="str">
        <f aca="false">IF($E220="","",IFERROR(INDEX(往来单位!$D$6:$D$85,MATCH($E220,往来单位!$A$6:$A$85,0)),"否"))</f>
        <v/>
      </c>
      <c r="Y220" s="61" t="str">
        <f aca="false">IF($B220="","",YEAR($B220))</f>
        <v/>
      </c>
      <c r="Z220" s="58" t="str">
        <f aca="false">IF($B220="","",TEXT($B220,"yyyy-mm"))</f>
        <v/>
      </c>
    </row>
    <row r="221" customFormat="false" ht="15" hidden="false" customHeight="false" outlineLevel="0" collapsed="false">
      <c r="A221" s="53" t="str">
        <f aca="false">IF($B221="","",ROW()-5)</f>
        <v/>
      </c>
      <c r="B221" s="54"/>
      <c r="C221" s="33"/>
      <c r="D221" s="33"/>
      <c r="E221" s="32"/>
      <c r="F221" s="39"/>
      <c r="G221" s="48" t="str">
        <f aca="false">IF($F221="","",IFERROR(INDEX(商品档案!$B$6:$B$65,MATCH($F221,商品档案!$A$6:$A$65,0)),""))</f>
        <v/>
      </c>
      <c r="H221" s="48" t="str">
        <f aca="false">IF($F221="","",IFERROR(INDEX(商品档案!$C$6:$C$65,MATCH($F221,商品档案!$A$6:$A$65,0)),""))</f>
        <v/>
      </c>
      <c r="I221" s="55" t="str">
        <f aca="false">IF($F221="","",IFERROR(INDEX(商品档案!$D$6:$D$65,MATCH($F221,商品档案!$A$6:$A$65,0)),""))</f>
        <v/>
      </c>
      <c r="J221" s="49"/>
      <c r="K221" s="56"/>
      <c r="L221" s="33"/>
      <c r="M221" s="39"/>
      <c r="N221" s="41"/>
      <c r="O221" s="41"/>
      <c r="P221" s="25" t="str">
        <f aca="false">IF(AND($B221="",$D221="",$F221=""),"",IF(NOT(ISNUMBER($B221)),"日期无效",IF(ISNA(MATCH($C221,参数设置!$A$10:$A$12,0)),"公司无效",IF(ISNA(MATCH($D221,记账规则!$A$6:$A$9,0)),"业务类型无效",IF(ISNA(MATCH($F221,商品档案!$A$6:$A$65,0)),"商品编码无效",IF(IFERROR(INDEX(商品档案!$E$6:$E$65,MATCH($F221,商品档案!$A$6:$A$65,0)),"")&lt;&gt;$C221,"商品不属于该公司",IF(AND($E221&lt;&gt;"",ISNA(MATCH($E221,往来单位!$A$6:$A$85,0))),"往来单位未建档",IF(N($J221)=0,"数量为 0",IF(N($K221)=0,"单价为 0",IF(AND(LEFT($D221,2)="销售",$U221=""),"该商品没设成本科目",IF(YEAR($B221)&lt;&gt;参数设置!$B$5,"不在本会计年度","OK")))))))))))</f>
        <v/>
      </c>
      <c r="Q221" s="57" t="str">
        <f aca="false">IF($F221="","",ROUND(N($J221)*N($K221),2))</f>
        <v/>
      </c>
      <c r="R221" s="58" t="str">
        <f aca="false">IF($D221="","",IF(LEFT($D221,2)="销售","应收账款","应付账款"))</f>
        <v/>
      </c>
      <c r="S221" s="58" t="str">
        <f aca="false">IF($F221="","",IFERROR(INDEX(商品档案!$G$6:$G$65,MATCH($F221,商品档案!$A$6:$A$65,0)),""))</f>
        <v/>
      </c>
      <c r="T221" s="58" t="str">
        <f aca="false">IF($F221="","",IFERROR(INDEX(商品档案!$H$6:$H$65,MATCH($F221,商品档案!$A$6:$A$65,0)),""))</f>
        <v/>
      </c>
      <c r="U221" s="58" t="str">
        <f aca="false">IF($F221="","",IFERROR(INDEX(商品档案!$I$6:$I$65,MATCH($F221,商品档案!$A$6:$A$65,0)),""))</f>
        <v/>
      </c>
      <c r="V221" s="59" t="str">
        <f aca="false">IF($F221="","",SUMIFS(进销存台账!$N$6:$N$65,进销存台账!$A$6:$A$65,$C221,进销存台账!$B$6:$B$65,$F221))</f>
        <v/>
      </c>
      <c r="W221" s="60" t="n">
        <f aca="false">IF(OR($D221="销售出库",$D221="销售退回"),ROUND(N($J221)*N($V221),2),0)</f>
        <v>0</v>
      </c>
      <c r="X221" s="58" t="str">
        <f aca="false">IF($E221="","",IFERROR(INDEX(往来单位!$D$6:$D$85,MATCH($E221,往来单位!$A$6:$A$85,0)),"否"))</f>
        <v/>
      </c>
      <c r="Y221" s="61" t="str">
        <f aca="false">IF($B221="","",YEAR($B221))</f>
        <v/>
      </c>
      <c r="Z221" s="58" t="str">
        <f aca="false">IF($B221="","",TEXT($B221,"yyyy-mm"))</f>
        <v/>
      </c>
    </row>
    <row r="222" customFormat="false" ht="15" hidden="false" customHeight="false" outlineLevel="0" collapsed="false">
      <c r="A222" s="53" t="str">
        <f aca="false">IF($B222="","",ROW()-5)</f>
        <v/>
      </c>
      <c r="B222" s="54"/>
      <c r="C222" s="33"/>
      <c r="D222" s="33"/>
      <c r="E222" s="32"/>
      <c r="F222" s="39"/>
      <c r="G222" s="48" t="str">
        <f aca="false">IF($F222="","",IFERROR(INDEX(商品档案!$B$6:$B$65,MATCH($F222,商品档案!$A$6:$A$65,0)),""))</f>
        <v/>
      </c>
      <c r="H222" s="48" t="str">
        <f aca="false">IF($F222="","",IFERROR(INDEX(商品档案!$C$6:$C$65,MATCH($F222,商品档案!$A$6:$A$65,0)),""))</f>
        <v/>
      </c>
      <c r="I222" s="55" t="str">
        <f aca="false">IF($F222="","",IFERROR(INDEX(商品档案!$D$6:$D$65,MATCH($F222,商品档案!$A$6:$A$65,0)),""))</f>
        <v/>
      </c>
      <c r="J222" s="49"/>
      <c r="K222" s="56"/>
      <c r="L222" s="33"/>
      <c r="M222" s="39"/>
      <c r="N222" s="41"/>
      <c r="O222" s="41"/>
      <c r="P222" s="25" t="str">
        <f aca="false">IF(AND($B222="",$D222="",$F222=""),"",IF(NOT(ISNUMBER($B222)),"日期无效",IF(ISNA(MATCH($C222,参数设置!$A$10:$A$12,0)),"公司无效",IF(ISNA(MATCH($D222,记账规则!$A$6:$A$9,0)),"业务类型无效",IF(ISNA(MATCH($F222,商品档案!$A$6:$A$65,0)),"商品编码无效",IF(IFERROR(INDEX(商品档案!$E$6:$E$65,MATCH($F222,商品档案!$A$6:$A$65,0)),"")&lt;&gt;$C222,"商品不属于该公司",IF(AND($E222&lt;&gt;"",ISNA(MATCH($E222,往来单位!$A$6:$A$85,0))),"往来单位未建档",IF(N($J222)=0,"数量为 0",IF(N($K222)=0,"单价为 0",IF(AND(LEFT($D222,2)="销售",$U222=""),"该商品没设成本科目",IF(YEAR($B222)&lt;&gt;参数设置!$B$5,"不在本会计年度","OK")))))))))))</f>
        <v/>
      </c>
      <c r="Q222" s="57" t="str">
        <f aca="false">IF($F222="","",ROUND(N($J222)*N($K222),2))</f>
        <v/>
      </c>
      <c r="R222" s="58" t="str">
        <f aca="false">IF($D222="","",IF(LEFT($D222,2)="销售","应收账款","应付账款"))</f>
        <v/>
      </c>
      <c r="S222" s="58" t="str">
        <f aca="false">IF($F222="","",IFERROR(INDEX(商品档案!$G$6:$G$65,MATCH($F222,商品档案!$A$6:$A$65,0)),""))</f>
        <v/>
      </c>
      <c r="T222" s="58" t="str">
        <f aca="false">IF($F222="","",IFERROR(INDEX(商品档案!$H$6:$H$65,MATCH($F222,商品档案!$A$6:$A$65,0)),""))</f>
        <v/>
      </c>
      <c r="U222" s="58" t="str">
        <f aca="false">IF($F222="","",IFERROR(INDEX(商品档案!$I$6:$I$65,MATCH($F222,商品档案!$A$6:$A$65,0)),""))</f>
        <v/>
      </c>
      <c r="V222" s="59" t="str">
        <f aca="false">IF($F222="","",SUMIFS(进销存台账!$N$6:$N$65,进销存台账!$A$6:$A$65,$C222,进销存台账!$B$6:$B$65,$F222))</f>
        <v/>
      </c>
      <c r="W222" s="60" t="n">
        <f aca="false">IF(OR($D222="销售出库",$D222="销售退回"),ROUND(N($J222)*N($V222),2),0)</f>
        <v>0</v>
      </c>
      <c r="X222" s="58" t="str">
        <f aca="false">IF($E222="","",IFERROR(INDEX(往来单位!$D$6:$D$85,MATCH($E222,往来单位!$A$6:$A$85,0)),"否"))</f>
        <v/>
      </c>
      <c r="Y222" s="61" t="str">
        <f aca="false">IF($B222="","",YEAR($B222))</f>
        <v/>
      </c>
      <c r="Z222" s="58" t="str">
        <f aca="false">IF($B222="","",TEXT($B222,"yyyy-mm"))</f>
        <v/>
      </c>
    </row>
    <row r="223" customFormat="false" ht="15" hidden="false" customHeight="false" outlineLevel="0" collapsed="false">
      <c r="A223" s="53" t="str">
        <f aca="false">IF($B223="","",ROW()-5)</f>
        <v/>
      </c>
      <c r="B223" s="54"/>
      <c r="C223" s="33"/>
      <c r="D223" s="33"/>
      <c r="E223" s="32"/>
      <c r="F223" s="39"/>
      <c r="G223" s="48" t="str">
        <f aca="false">IF($F223="","",IFERROR(INDEX(商品档案!$B$6:$B$65,MATCH($F223,商品档案!$A$6:$A$65,0)),""))</f>
        <v/>
      </c>
      <c r="H223" s="48" t="str">
        <f aca="false">IF($F223="","",IFERROR(INDEX(商品档案!$C$6:$C$65,MATCH($F223,商品档案!$A$6:$A$65,0)),""))</f>
        <v/>
      </c>
      <c r="I223" s="55" t="str">
        <f aca="false">IF($F223="","",IFERROR(INDEX(商品档案!$D$6:$D$65,MATCH($F223,商品档案!$A$6:$A$65,0)),""))</f>
        <v/>
      </c>
      <c r="J223" s="49"/>
      <c r="K223" s="56"/>
      <c r="L223" s="33"/>
      <c r="M223" s="39"/>
      <c r="N223" s="41"/>
      <c r="O223" s="41"/>
      <c r="P223" s="25" t="str">
        <f aca="false">IF(AND($B223="",$D223="",$F223=""),"",IF(NOT(ISNUMBER($B223)),"日期无效",IF(ISNA(MATCH($C223,参数设置!$A$10:$A$12,0)),"公司无效",IF(ISNA(MATCH($D223,记账规则!$A$6:$A$9,0)),"业务类型无效",IF(ISNA(MATCH($F223,商品档案!$A$6:$A$65,0)),"商品编码无效",IF(IFERROR(INDEX(商品档案!$E$6:$E$65,MATCH($F223,商品档案!$A$6:$A$65,0)),"")&lt;&gt;$C223,"商品不属于该公司",IF(AND($E223&lt;&gt;"",ISNA(MATCH($E223,往来单位!$A$6:$A$85,0))),"往来单位未建档",IF(N($J223)=0,"数量为 0",IF(N($K223)=0,"单价为 0",IF(AND(LEFT($D223,2)="销售",$U223=""),"该商品没设成本科目",IF(YEAR($B223)&lt;&gt;参数设置!$B$5,"不在本会计年度","OK")))))))))))</f>
        <v/>
      </c>
      <c r="Q223" s="57" t="str">
        <f aca="false">IF($F223="","",ROUND(N($J223)*N($K223),2))</f>
        <v/>
      </c>
      <c r="R223" s="58" t="str">
        <f aca="false">IF($D223="","",IF(LEFT($D223,2)="销售","应收账款","应付账款"))</f>
        <v/>
      </c>
      <c r="S223" s="58" t="str">
        <f aca="false">IF($F223="","",IFERROR(INDEX(商品档案!$G$6:$G$65,MATCH($F223,商品档案!$A$6:$A$65,0)),""))</f>
        <v/>
      </c>
      <c r="T223" s="58" t="str">
        <f aca="false">IF($F223="","",IFERROR(INDEX(商品档案!$H$6:$H$65,MATCH($F223,商品档案!$A$6:$A$65,0)),""))</f>
        <v/>
      </c>
      <c r="U223" s="58" t="str">
        <f aca="false">IF($F223="","",IFERROR(INDEX(商品档案!$I$6:$I$65,MATCH($F223,商品档案!$A$6:$A$65,0)),""))</f>
        <v/>
      </c>
      <c r="V223" s="59" t="str">
        <f aca="false">IF($F223="","",SUMIFS(进销存台账!$N$6:$N$65,进销存台账!$A$6:$A$65,$C223,进销存台账!$B$6:$B$65,$F223))</f>
        <v/>
      </c>
      <c r="W223" s="60" t="n">
        <f aca="false">IF(OR($D223="销售出库",$D223="销售退回"),ROUND(N($J223)*N($V223),2),0)</f>
        <v>0</v>
      </c>
      <c r="X223" s="58" t="str">
        <f aca="false">IF($E223="","",IFERROR(INDEX(往来单位!$D$6:$D$85,MATCH($E223,往来单位!$A$6:$A$85,0)),"否"))</f>
        <v/>
      </c>
      <c r="Y223" s="61" t="str">
        <f aca="false">IF($B223="","",YEAR($B223))</f>
        <v/>
      </c>
      <c r="Z223" s="58" t="str">
        <f aca="false">IF($B223="","",TEXT($B223,"yyyy-mm"))</f>
        <v/>
      </c>
    </row>
    <row r="224" customFormat="false" ht="15" hidden="false" customHeight="false" outlineLevel="0" collapsed="false">
      <c r="A224" s="53" t="str">
        <f aca="false">IF($B224="","",ROW()-5)</f>
        <v/>
      </c>
      <c r="B224" s="54"/>
      <c r="C224" s="33"/>
      <c r="D224" s="33"/>
      <c r="E224" s="32"/>
      <c r="F224" s="39"/>
      <c r="G224" s="48" t="str">
        <f aca="false">IF($F224="","",IFERROR(INDEX(商品档案!$B$6:$B$65,MATCH($F224,商品档案!$A$6:$A$65,0)),""))</f>
        <v/>
      </c>
      <c r="H224" s="48" t="str">
        <f aca="false">IF($F224="","",IFERROR(INDEX(商品档案!$C$6:$C$65,MATCH($F224,商品档案!$A$6:$A$65,0)),""))</f>
        <v/>
      </c>
      <c r="I224" s="55" t="str">
        <f aca="false">IF($F224="","",IFERROR(INDEX(商品档案!$D$6:$D$65,MATCH($F224,商品档案!$A$6:$A$65,0)),""))</f>
        <v/>
      </c>
      <c r="J224" s="49"/>
      <c r="K224" s="56"/>
      <c r="L224" s="33"/>
      <c r="M224" s="39"/>
      <c r="N224" s="41"/>
      <c r="O224" s="41"/>
      <c r="P224" s="25" t="str">
        <f aca="false">IF(AND($B224="",$D224="",$F224=""),"",IF(NOT(ISNUMBER($B224)),"日期无效",IF(ISNA(MATCH($C224,参数设置!$A$10:$A$12,0)),"公司无效",IF(ISNA(MATCH($D224,记账规则!$A$6:$A$9,0)),"业务类型无效",IF(ISNA(MATCH($F224,商品档案!$A$6:$A$65,0)),"商品编码无效",IF(IFERROR(INDEX(商品档案!$E$6:$E$65,MATCH($F224,商品档案!$A$6:$A$65,0)),"")&lt;&gt;$C224,"商品不属于该公司",IF(AND($E224&lt;&gt;"",ISNA(MATCH($E224,往来单位!$A$6:$A$85,0))),"往来单位未建档",IF(N($J224)=0,"数量为 0",IF(N($K224)=0,"单价为 0",IF(AND(LEFT($D224,2)="销售",$U224=""),"该商品没设成本科目",IF(YEAR($B224)&lt;&gt;参数设置!$B$5,"不在本会计年度","OK")))))))))))</f>
        <v/>
      </c>
      <c r="Q224" s="57" t="str">
        <f aca="false">IF($F224="","",ROUND(N($J224)*N($K224),2))</f>
        <v/>
      </c>
      <c r="R224" s="58" t="str">
        <f aca="false">IF($D224="","",IF(LEFT($D224,2)="销售","应收账款","应付账款"))</f>
        <v/>
      </c>
      <c r="S224" s="58" t="str">
        <f aca="false">IF($F224="","",IFERROR(INDEX(商品档案!$G$6:$G$65,MATCH($F224,商品档案!$A$6:$A$65,0)),""))</f>
        <v/>
      </c>
      <c r="T224" s="58" t="str">
        <f aca="false">IF($F224="","",IFERROR(INDEX(商品档案!$H$6:$H$65,MATCH($F224,商品档案!$A$6:$A$65,0)),""))</f>
        <v/>
      </c>
      <c r="U224" s="58" t="str">
        <f aca="false">IF($F224="","",IFERROR(INDEX(商品档案!$I$6:$I$65,MATCH($F224,商品档案!$A$6:$A$65,0)),""))</f>
        <v/>
      </c>
      <c r="V224" s="59" t="str">
        <f aca="false">IF($F224="","",SUMIFS(进销存台账!$N$6:$N$65,进销存台账!$A$6:$A$65,$C224,进销存台账!$B$6:$B$65,$F224))</f>
        <v/>
      </c>
      <c r="W224" s="60" t="n">
        <f aca="false">IF(OR($D224="销售出库",$D224="销售退回"),ROUND(N($J224)*N($V224),2),0)</f>
        <v>0</v>
      </c>
      <c r="X224" s="58" t="str">
        <f aca="false">IF($E224="","",IFERROR(INDEX(往来单位!$D$6:$D$85,MATCH($E224,往来单位!$A$6:$A$85,0)),"否"))</f>
        <v/>
      </c>
      <c r="Y224" s="61" t="str">
        <f aca="false">IF($B224="","",YEAR($B224))</f>
        <v/>
      </c>
      <c r="Z224" s="58" t="str">
        <f aca="false">IF($B224="","",TEXT($B224,"yyyy-mm"))</f>
        <v/>
      </c>
    </row>
    <row r="225" customFormat="false" ht="15" hidden="false" customHeight="false" outlineLevel="0" collapsed="false">
      <c r="A225" s="53" t="str">
        <f aca="false">IF($B225="","",ROW()-5)</f>
        <v/>
      </c>
      <c r="B225" s="54"/>
      <c r="C225" s="33"/>
      <c r="D225" s="33"/>
      <c r="E225" s="32"/>
      <c r="F225" s="39"/>
      <c r="G225" s="48" t="str">
        <f aca="false">IF($F225="","",IFERROR(INDEX(商品档案!$B$6:$B$65,MATCH($F225,商品档案!$A$6:$A$65,0)),""))</f>
        <v/>
      </c>
      <c r="H225" s="48" t="str">
        <f aca="false">IF($F225="","",IFERROR(INDEX(商品档案!$C$6:$C$65,MATCH($F225,商品档案!$A$6:$A$65,0)),""))</f>
        <v/>
      </c>
      <c r="I225" s="55" t="str">
        <f aca="false">IF($F225="","",IFERROR(INDEX(商品档案!$D$6:$D$65,MATCH($F225,商品档案!$A$6:$A$65,0)),""))</f>
        <v/>
      </c>
      <c r="J225" s="49"/>
      <c r="K225" s="56"/>
      <c r="L225" s="33"/>
      <c r="M225" s="39"/>
      <c r="N225" s="41"/>
      <c r="O225" s="41"/>
      <c r="P225" s="25" t="str">
        <f aca="false">IF(AND($B225="",$D225="",$F225=""),"",IF(NOT(ISNUMBER($B225)),"日期无效",IF(ISNA(MATCH($C225,参数设置!$A$10:$A$12,0)),"公司无效",IF(ISNA(MATCH($D225,记账规则!$A$6:$A$9,0)),"业务类型无效",IF(ISNA(MATCH($F225,商品档案!$A$6:$A$65,0)),"商品编码无效",IF(IFERROR(INDEX(商品档案!$E$6:$E$65,MATCH($F225,商品档案!$A$6:$A$65,0)),"")&lt;&gt;$C225,"商品不属于该公司",IF(AND($E225&lt;&gt;"",ISNA(MATCH($E225,往来单位!$A$6:$A$85,0))),"往来单位未建档",IF(N($J225)=0,"数量为 0",IF(N($K225)=0,"单价为 0",IF(AND(LEFT($D225,2)="销售",$U225=""),"该商品没设成本科目",IF(YEAR($B225)&lt;&gt;参数设置!$B$5,"不在本会计年度","OK")))))))))))</f>
        <v/>
      </c>
      <c r="Q225" s="57" t="str">
        <f aca="false">IF($F225="","",ROUND(N($J225)*N($K225),2))</f>
        <v/>
      </c>
      <c r="R225" s="58" t="str">
        <f aca="false">IF($D225="","",IF(LEFT($D225,2)="销售","应收账款","应付账款"))</f>
        <v/>
      </c>
      <c r="S225" s="58" t="str">
        <f aca="false">IF($F225="","",IFERROR(INDEX(商品档案!$G$6:$G$65,MATCH($F225,商品档案!$A$6:$A$65,0)),""))</f>
        <v/>
      </c>
      <c r="T225" s="58" t="str">
        <f aca="false">IF($F225="","",IFERROR(INDEX(商品档案!$H$6:$H$65,MATCH($F225,商品档案!$A$6:$A$65,0)),""))</f>
        <v/>
      </c>
      <c r="U225" s="58" t="str">
        <f aca="false">IF($F225="","",IFERROR(INDEX(商品档案!$I$6:$I$65,MATCH($F225,商品档案!$A$6:$A$65,0)),""))</f>
        <v/>
      </c>
      <c r="V225" s="59" t="str">
        <f aca="false">IF($F225="","",SUMIFS(进销存台账!$N$6:$N$65,进销存台账!$A$6:$A$65,$C225,进销存台账!$B$6:$B$65,$F225))</f>
        <v/>
      </c>
      <c r="W225" s="60" t="n">
        <f aca="false">IF(OR($D225="销售出库",$D225="销售退回"),ROUND(N($J225)*N($V225),2),0)</f>
        <v>0</v>
      </c>
      <c r="X225" s="58" t="str">
        <f aca="false">IF($E225="","",IFERROR(INDEX(往来单位!$D$6:$D$85,MATCH($E225,往来单位!$A$6:$A$85,0)),"否"))</f>
        <v/>
      </c>
      <c r="Y225" s="61" t="str">
        <f aca="false">IF($B225="","",YEAR($B225))</f>
        <v/>
      </c>
      <c r="Z225" s="58" t="str">
        <f aca="false">IF($B225="","",TEXT($B225,"yyyy-mm"))</f>
        <v/>
      </c>
    </row>
    <row r="226" customFormat="false" ht="15" hidden="false" customHeight="false" outlineLevel="0" collapsed="false">
      <c r="A226" s="53" t="str">
        <f aca="false">IF($B226="","",ROW()-5)</f>
        <v/>
      </c>
      <c r="B226" s="54"/>
      <c r="C226" s="33"/>
      <c r="D226" s="33"/>
      <c r="E226" s="32"/>
      <c r="F226" s="39"/>
      <c r="G226" s="48" t="str">
        <f aca="false">IF($F226="","",IFERROR(INDEX(商品档案!$B$6:$B$65,MATCH($F226,商品档案!$A$6:$A$65,0)),""))</f>
        <v/>
      </c>
      <c r="H226" s="48" t="str">
        <f aca="false">IF($F226="","",IFERROR(INDEX(商品档案!$C$6:$C$65,MATCH($F226,商品档案!$A$6:$A$65,0)),""))</f>
        <v/>
      </c>
      <c r="I226" s="55" t="str">
        <f aca="false">IF($F226="","",IFERROR(INDEX(商品档案!$D$6:$D$65,MATCH($F226,商品档案!$A$6:$A$65,0)),""))</f>
        <v/>
      </c>
      <c r="J226" s="49"/>
      <c r="K226" s="56"/>
      <c r="L226" s="33"/>
      <c r="M226" s="39"/>
      <c r="N226" s="41"/>
      <c r="O226" s="41"/>
      <c r="P226" s="25" t="str">
        <f aca="false">IF(AND($B226="",$D226="",$F226=""),"",IF(NOT(ISNUMBER($B226)),"日期无效",IF(ISNA(MATCH($C226,参数设置!$A$10:$A$12,0)),"公司无效",IF(ISNA(MATCH($D226,记账规则!$A$6:$A$9,0)),"业务类型无效",IF(ISNA(MATCH($F226,商品档案!$A$6:$A$65,0)),"商品编码无效",IF(IFERROR(INDEX(商品档案!$E$6:$E$65,MATCH($F226,商品档案!$A$6:$A$65,0)),"")&lt;&gt;$C226,"商品不属于该公司",IF(AND($E226&lt;&gt;"",ISNA(MATCH($E226,往来单位!$A$6:$A$85,0))),"往来单位未建档",IF(N($J226)=0,"数量为 0",IF(N($K226)=0,"单价为 0",IF(AND(LEFT($D226,2)="销售",$U226=""),"该商品没设成本科目",IF(YEAR($B226)&lt;&gt;参数设置!$B$5,"不在本会计年度","OK")))))))))))</f>
        <v/>
      </c>
      <c r="Q226" s="57" t="str">
        <f aca="false">IF($F226="","",ROUND(N($J226)*N($K226),2))</f>
        <v/>
      </c>
      <c r="R226" s="58" t="str">
        <f aca="false">IF($D226="","",IF(LEFT($D226,2)="销售","应收账款","应付账款"))</f>
        <v/>
      </c>
      <c r="S226" s="58" t="str">
        <f aca="false">IF($F226="","",IFERROR(INDEX(商品档案!$G$6:$G$65,MATCH($F226,商品档案!$A$6:$A$65,0)),""))</f>
        <v/>
      </c>
      <c r="T226" s="58" t="str">
        <f aca="false">IF($F226="","",IFERROR(INDEX(商品档案!$H$6:$H$65,MATCH($F226,商品档案!$A$6:$A$65,0)),""))</f>
        <v/>
      </c>
      <c r="U226" s="58" t="str">
        <f aca="false">IF($F226="","",IFERROR(INDEX(商品档案!$I$6:$I$65,MATCH($F226,商品档案!$A$6:$A$65,0)),""))</f>
        <v/>
      </c>
      <c r="V226" s="59" t="str">
        <f aca="false">IF($F226="","",SUMIFS(进销存台账!$N$6:$N$65,进销存台账!$A$6:$A$65,$C226,进销存台账!$B$6:$B$65,$F226))</f>
        <v/>
      </c>
      <c r="W226" s="60" t="n">
        <f aca="false">IF(OR($D226="销售出库",$D226="销售退回"),ROUND(N($J226)*N($V226),2),0)</f>
        <v>0</v>
      </c>
      <c r="X226" s="58" t="str">
        <f aca="false">IF($E226="","",IFERROR(INDEX(往来单位!$D$6:$D$85,MATCH($E226,往来单位!$A$6:$A$85,0)),"否"))</f>
        <v/>
      </c>
      <c r="Y226" s="61" t="str">
        <f aca="false">IF($B226="","",YEAR($B226))</f>
        <v/>
      </c>
      <c r="Z226" s="58" t="str">
        <f aca="false">IF($B226="","",TEXT($B226,"yyyy-mm"))</f>
        <v/>
      </c>
    </row>
    <row r="227" customFormat="false" ht="15" hidden="false" customHeight="false" outlineLevel="0" collapsed="false">
      <c r="A227" s="53" t="str">
        <f aca="false">IF($B227="","",ROW()-5)</f>
        <v/>
      </c>
      <c r="B227" s="54"/>
      <c r="C227" s="33"/>
      <c r="D227" s="33"/>
      <c r="E227" s="32"/>
      <c r="F227" s="39"/>
      <c r="G227" s="48" t="str">
        <f aca="false">IF($F227="","",IFERROR(INDEX(商品档案!$B$6:$B$65,MATCH($F227,商品档案!$A$6:$A$65,0)),""))</f>
        <v/>
      </c>
      <c r="H227" s="48" t="str">
        <f aca="false">IF($F227="","",IFERROR(INDEX(商品档案!$C$6:$C$65,MATCH($F227,商品档案!$A$6:$A$65,0)),""))</f>
        <v/>
      </c>
      <c r="I227" s="55" t="str">
        <f aca="false">IF($F227="","",IFERROR(INDEX(商品档案!$D$6:$D$65,MATCH($F227,商品档案!$A$6:$A$65,0)),""))</f>
        <v/>
      </c>
      <c r="J227" s="49"/>
      <c r="K227" s="56"/>
      <c r="L227" s="33"/>
      <c r="M227" s="39"/>
      <c r="N227" s="41"/>
      <c r="O227" s="41"/>
      <c r="P227" s="25" t="str">
        <f aca="false">IF(AND($B227="",$D227="",$F227=""),"",IF(NOT(ISNUMBER($B227)),"日期无效",IF(ISNA(MATCH($C227,参数设置!$A$10:$A$12,0)),"公司无效",IF(ISNA(MATCH($D227,记账规则!$A$6:$A$9,0)),"业务类型无效",IF(ISNA(MATCH($F227,商品档案!$A$6:$A$65,0)),"商品编码无效",IF(IFERROR(INDEX(商品档案!$E$6:$E$65,MATCH($F227,商品档案!$A$6:$A$65,0)),"")&lt;&gt;$C227,"商品不属于该公司",IF(AND($E227&lt;&gt;"",ISNA(MATCH($E227,往来单位!$A$6:$A$85,0))),"往来单位未建档",IF(N($J227)=0,"数量为 0",IF(N($K227)=0,"单价为 0",IF(AND(LEFT($D227,2)="销售",$U227=""),"该商品没设成本科目",IF(YEAR($B227)&lt;&gt;参数设置!$B$5,"不在本会计年度","OK")))))))))))</f>
        <v/>
      </c>
      <c r="Q227" s="57" t="str">
        <f aca="false">IF($F227="","",ROUND(N($J227)*N($K227),2))</f>
        <v/>
      </c>
      <c r="R227" s="58" t="str">
        <f aca="false">IF($D227="","",IF(LEFT($D227,2)="销售","应收账款","应付账款"))</f>
        <v/>
      </c>
      <c r="S227" s="58" t="str">
        <f aca="false">IF($F227="","",IFERROR(INDEX(商品档案!$G$6:$G$65,MATCH($F227,商品档案!$A$6:$A$65,0)),""))</f>
        <v/>
      </c>
      <c r="T227" s="58" t="str">
        <f aca="false">IF($F227="","",IFERROR(INDEX(商品档案!$H$6:$H$65,MATCH($F227,商品档案!$A$6:$A$65,0)),""))</f>
        <v/>
      </c>
      <c r="U227" s="58" t="str">
        <f aca="false">IF($F227="","",IFERROR(INDEX(商品档案!$I$6:$I$65,MATCH($F227,商品档案!$A$6:$A$65,0)),""))</f>
        <v/>
      </c>
      <c r="V227" s="59" t="str">
        <f aca="false">IF($F227="","",SUMIFS(进销存台账!$N$6:$N$65,进销存台账!$A$6:$A$65,$C227,进销存台账!$B$6:$B$65,$F227))</f>
        <v/>
      </c>
      <c r="W227" s="60" t="n">
        <f aca="false">IF(OR($D227="销售出库",$D227="销售退回"),ROUND(N($J227)*N($V227),2),0)</f>
        <v>0</v>
      </c>
      <c r="X227" s="58" t="str">
        <f aca="false">IF($E227="","",IFERROR(INDEX(往来单位!$D$6:$D$85,MATCH($E227,往来单位!$A$6:$A$85,0)),"否"))</f>
        <v/>
      </c>
      <c r="Y227" s="61" t="str">
        <f aca="false">IF($B227="","",YEAR($B227))</f>
        <v/>
      </c>
      <c r="Z227" s="58" t="str">
        <f aca="false">IF($B227="","",TEXT($B227,"yyyy-mm"))</f>
        <v/>
      </c>
    </row>
    <row r="228" customFormat="false" ht="15" hidden="false" customHeight="false" outlineLevel="0" collapsed="false">
      <c r="A228" s="53" t="str">
        <f aca="false">IF($B228="","",ROW()-5)</f>
        <v/>
      </c>
      <c r="B228" s="54"/>
      <c r="C228" s="33"/>
      <c r="D228" s="33"/>
      <c r="E228" s="32"/>
      <c r="F228" s="39"/>
      <c r="G228" s="48" t="str">
        <f aca="false">IF($F228="","",IFERROR(INDEX(商品档案!$B$6:$B$65,MATCH($F228,商品档案!$A$6:$A$65,0)),""))</f>
        <v/>
      </c>
      <c r="H228" s="48" t="str">
        <f aca="false">IF($F228="","",IFERROR(INDEX(商品档案!$C$6:$C$65,MATCH($F228,商品档案!$A$6:$A$65,0)),""))</f>
        <v/>
      </c>
      <c r="I228" s="55" t="str">
        <f aca="false">IF($F228="","",IFERROR(INDEX(商品档案!$D$6:$D$65,MATCH($F228,商品档案!$A$6:$A$65,0)),""))</f>
        <v/>
      </c>
      <c r="J228" s="49"/>
      <c r="K228" s="56"/>
      <c r="L228" s="33"/>
      <c r="M228" s="39"/>
      <c r="N228" s="41"/>
      <c r="O228" s="41"/>
      <c r="P228" s="25" t="str">
        <f aca="false">IF(AND($B228="",$D228="",$F228=""),"",IF(NOT(ISNUMBER($B228)),"日期无效",IF(ISNA(MATCH($C228,参数设置!$A$10:$A$12,0)),"公司无效",IF(ISNA(MATCH($D228,记账规则!$A$6:$A$9,0)),"业务类型无效",IF(ISNA(MATCH($F228,商品档案!$A$6:$A$65,0)),"商品编码无效",IF(IFERROR(INDEX(商品档案!$E$6:$E$65,MATCH($F228,商品档案!$A$6:$A$65,0)),"")&lt;&gt;$C228,"商品不属于该公司",IF(AND($E228&lt;&gt;"",ISNA(MATCH($E228,往来单位!$A$6:$A$85,0))),"往来单位未建档",IF(N($J228)=0,"数量为 0",IF(N($K228)=0,"单价为 0",IF(AND(LEFT($D228,2)="销售",$U228=""),"该商品没设成本科目",IF(YEAR($B228)&lt;&gt;参数设置!$B$5,"不在本会计年度","OK")))))))))))</f>
        <v/>
      </c>
      <c r="Q228" s="57" t="str">
        <f aca="false">IF($F228="","",ROUND(N($J228)*N($K228),2))</f>
        <v/>
      </c>
      <c r="R228" s="58" t="str">
        <f aca="false">IF($D228="","",IF(LEFT($D228,2)="销售","应收账款","应付账款"))</f>
        <v/>
      </c>
      <c r="S228" s="58" t="str">
        <f aca="false">IF($F228="","",IFERROR(INDEX(商品档案!$G$6:$G$65,MATCH($F228,商品档案!$A$6:$A$65,0)),""))</f>
        <v/>
      </c>
      <c r="T228" s="58" t="str">
        <f aca="false">IF($F228="","",IFERROR(INDEX(商品档案!$H$6:$H$65,MATCH($F228,商品档案!$A$6:$A$65,0)),""))</f>
        <v/>
      </c>
      <c r="U228" s="58" t="str">
        <f aca="false">IF($F228="","",IFERROR(INDEX(商品档案!$I$6:$I$65,MATCH($F228,商品档案!$A$6:$A$65,0)),""))</f>
        <v/>
      </c>
      <c r="V228" s="59" t="str">
        <f aca="false">IF($F228="","",SUMIFS(进销存台账!$N$6:$N$65,进销存台账!$A$6:$A$65,$C228,进销存台账!$B$6:$B$65,$F228))</f>
        <v/>
      </c>
      <c r="W228" s="60" t="n">
        <f aca="false">IF(OR($D228="销售出库",$D228="销售退回"),ROUND(N($J228)*N($V228),2),0)</f>
        <v>0</v>
      </c>
      <c r="X228" s="58" t="str">
        <f aca="false">IF($E228="","",IFERROR(INDEX(往来单位!$D$6:$D$85,MATCH($E228,往来单位!$A$6:$A$85,0)),"否"))</f>
        <v/>
      </c>
      <c r="Y228" s="61" t="str">
        <f aca="false">IF($B228="","",YEAR($B228))</f>
        <v/>
      </c>
      <c r="Z228" s="58" t="str">
        <f aca="false">IF($B228="","",TEXT($B228,"yyyy-mm"))</f>
        <v/>
      </c>
    </row>
    <row r="229" customFormat="false" ht="15" hidden="false" customHeight="false" outlineLevel="0" collapsed="false">
      <c r="A229" s="53" t="str">
        <f aca="false">IF($B229="","",ROW()-5)</f>
        <v/>
      </c>
      <c r="B229" s="54"/>
      <c r="C229" s="33"/>
      <c r="D229" s="33"/>
      <c r="E229" s="32"/>
      <c r="F229" s="39"/>
      <c r="G229" s="48" t="str">
        <f aca="false">IF($F229="","",IFERROR(INDEX(商品档案!$B$6:$B$65,MATCH($F229,商品档案!$A$6:$A$65,0)),""))</f>
        <v/>
      </c>
      <c r="H229" s="48" t="str">
        <f aca="false">IF($F229="","",IFERROR(INDEX(商品档案!$C$6:$C$65,MATCH($F229,商品档案!$A$6:$A$65,0)),""))</f>
        <v/>
      </c>
      <c r="I229" s="55" t="str">
        <f aca="false">IF($F229="","",IFERROR(INDEX(商品档案!$D$6:$D$65,MATCH($F229,商品档案!$A$6:$A$65,0)),""))</f>
        <v/>
      </c>
      <c r="J229" s="49"/>
      <c r="K229" s="56"/>
      <c r="L229" s="33"/>
      <c r="M229" s="39"/>
      <c r="N229" s="41"/>
      <c r="O229" s="41"/>
      <c r="P229" s="25" t="str">
        <f aca="false">IF(AND($B229="",$D229="",$F229=""),"",IF(NOT(ISNUMBER($B229)),"日期无效",IF(ISNA(MATCH($C229,参数设置!$A$10:$A$12,0)),"公司无效",IF(ISNA(MATCH($D229,记账规则!$A$6:$A$9,0)),"业务类型无效",IF(ISNA(MATCH($F229,商品档案!$A$6:$A$65,0)),"商品编码无效",IF(IFERROR(INDEX(商品档案!$E$6:$E$65,MATCH($F229,商品档案!$A$6:$A$65,0)),"")&lt;&gt;$C229,"商品不属于该公司",IF(AND($E229&lt;&gt;"",ISNA(MATCH($E229,往来单位!$A$6:$A$85,0))),"往来单位未建档",IF(N($J229)=0,"数量为 0",IF(N($K229)=0,"单价为 0",IF(AND(LEFT($D229,2)="销售",$U229=""),"该商品没设成本科目",IF(YEAR($B229)&lt;&gt;参数设置!$B$5,"不在本会计年度","OK")))))))))))</f>
        <v/>
      </c>
      <c r="Q229" s="57" t="str">
        <f aca="false">IF($F229="","",ROUND(N($J229)*N($K229),2))</f>
        <v/>
      </c>
      <c r="R229" s="58" t="str">
        <f aca="false">IF($D229="","",IF(LEFT($D229,2)="销售","应收账款","应付账款"))</f>
        <v/>
      </c>
      <c r="S229" s="58" t="str">
        <f aca="false">IF($F229="","",IFERROR(INDEX(商品档案!$G$6:$G$65,MATCH($F229,商品档案!$A$6:$A$65,0)),""))</f>
        <v/>
      </c>
      <c r="T229" s="58" t="str">
        <f aca="false">IF($F229="","",IFERROR(INDEX(商品档案!$H$6:$H$65,MATCH($F229,商品档案!$A$6:$A$65,0)),""))</f>
        <v/>
      </c>
      <c r="U229" s="58" t="str">
        <f aca="false">IF($F229="","",IFERROR(INDEX(商品档案!$I$6:$I$65,MATCH($F229,商品档案!$A$6:$A$65,0)),""))</f>
        <v/>
      </c>
      <c r="V229" s="59" t="str">
        <f aca="false">IF($F229="","",SUMIFS(进销存台账!$N$6:$N$65,进销存台账!$A$6:$A$65,$C229,进销存台账!$B$6:$B$65,$F229))</f>
        <v/>
      </c>
      <c r="W229" s="60" t="n">
        <f aca="false">IF(OR($D229="销售出库",$D229="销售退回"),ROUND(N($J229)*N($V229),2),0)</f>
        <v>0</v>
      </c>
      <c r="X229" s="58" t="str">
        <f aca="false">IF($E229="","",IFERROR(INDEX(往来单位!$D$6:$D$85,MATCH($E229,往来单位!$A$6:$A$85,0)),"否"))</f>
        <v/>
      </c>
      <c r="Y229" s="61" t="str">
        <f aca="false">IF($B229="","",YEAR($B229))</f>
        <v/>
      </c>
      <c r="Z229" s="58" t="str">
        <f aca="false">IF($B229="","",TEXT($B229,"yyyy-mm"))</f>
        <v/>
      </c>
    </row>
    <row r="230" customFormat="false" ht="15" hidden="false" customHeight="false" outlineLevel="0" collapsed="false">
      <c r="A230" s="53" t="str">
        <f aca="false">IF($B230="","",ROW()-5)</f>
        <v/>
      </c>
      <c r="B230" s="54"/>
      <c r="C230" s="33"/>
      <c r="D230" s="33"/>
      <c r="E230" s="32"/>
      <c r="F230" s="39"/>
      <c r="G230" s="48" t="str">
        <f aca="false">IF($F230="","",IFERROR(INDEX(商品档案!$B$6:$B$65,MATCH($F230,商品档案!$A$6:$A$65,0)),""))</f>
        <v/>
      </c>
      <c r="H230" s="48" t="str">
        <f aca="false">IF($F230="","",IFERROR(INDEX(商品档案!$C$6:$C$65,MATCH($F230,商品档案!$A$6:$A$65,0)),""))</f>
        <v/>
      </c>
      <c r="I230" s="55" t="str">
        <f aca="false">IF($F230="","",IFERROR(INDEX(商品档案!$D$6:$D$65,MATCH($F230,商品档案!$A$6:$A$65,0)),""))</f>
        <v/>
      </c>
      <c r="J230" s="49"/>
      <c r="K230" s="56"/>
      <c r="L230" s="33"/>
      <c r="M230" s="39"/>
      <c r="N230" s="41"/>
      <c r="O230" s="41"/>
      <c r="P230" s="25" t="str">
        <f aca="false">IF(AND($B230="",$D230="",$F230=""),"",IF(NOT(ISNUMBER($B230)),"日期无效",IF(ISNA(MATCH($C230,参数设置!$A$10:$A$12,0)),"公司无效",IF(ISNA(MATCH($D230,记账规则!$A$6:$A$9,0)),"业务类型无效",IF(ISNA(MATCH($F230,商品档案!$A$6:$A$65,0)),"商品编码无效",IF(IFERROR(INDEX(商品档案!$E$6:$E$65,MATCH($F230,商品档案!$A$6:$A$65,0)),"")&lt;&gt;$C230,"商品不属于该公司",IF(AND($E230&lt;&gt;"",ISNA(MATCH($E230,往来单位!$A$6:$A$85,0))),"往来单位未建档",IF(N($J230)=0,"数量为 0",IF(N($K230)=0,"单价为 0",IF(AND(LEFT($D230,2)="销售",$U230=""),"该商品没设成本科目",IF(YEAR($B230)&lt;&gt;参数设置!$B$5,"不在本会计年度","OK")))))))))))</f>
        <v/>
      </c>
      <c r="Q230" s="57" t="str">
        <f aca="false">IF($F230="","",ROUND(N($J230)*N($K230),2))</f>
        <v/>
      </c>
      <c r="R230" s="58" t="str">
        <f aca="false">IF($D230="","",IF(LEFT($D230,2)="销售","应收账款","应付账款"))</f>
        <v/>
      </c>
      <c r="S230" s="58" t="str">
        <f aca="false">IF($F230="","",IFERROR(INDEX(商品档案!$G$6:$G$65,MATCH($F230,商品档案!$A$6:$A$65,0)),""))</f>
        <v/>
      </c>
      <c r="T230" s="58" t="str">
        <f aca="false">IF($F230="","",IFERROR(INDEX(商品档案!$H$6:$H$65,MATCH($F230,商品档案!$A$6:$A$65,0)),""))</f>
        <v/>
      </c>
      <c r="U230" s="58" t="str">
        <f aca="false">IF($F230="","",IFERROR(INDEX(商品档案!$I$6:$I$65,MATCH($F230,商品档案!$A$6:$A$65,0)),""))</f>
        <v/>
      </c>
      <c r="V230" s="59" t="str">
        <f aca="false">IF($F230="","",SUMIFS(进销存台账!$N$6:$N$65,进销存台账!$A$6:$A$65,$C230,进销存台账!$B$6:$B$65,$F230))</f>
        <v/>
      </c>
      <c r="W230" s="60" t="n">
        <f aca="false">IF(OR($D230="销售出库",$D230="销售退回"),ROUND(N($J230)*N($V230),2),0)</f>
        <v>0</v>
      </c>
      <c r="X230" s="58" t="str">
        <f aca="false">IF($E230="","",IFERROR(INDEX(往来单位!$D$6:$D$85,MATCH($E230,往来单位!$A$6:$A$85,0)),"否"))</f>
        <v/>
      </c>
      <c r="Y230" s="61" t="str">
        <f aca="false">IF($B230="","",YEAR($B230))</f>
        <v/>
      </c>
      <c r="Z230" s="58" t="str">
        <f aca="false">IF($B230="","",TEXT($B230,"yyyy-mm"))</f>
        <v/>
      </c>
    </row>
    <row r="231" customFormat="false" ht="15" hidden="false" customHeight="false" outlineLevel="0" collapsed="false">
      <c r="A231" s="53" t="str">
        <f aca="false">IF($B231="","",ROW()-5)</f>
        <v/>
      </c>
      <c r="B231" s="54"/>
      <c r="C231" s="33"/>
      <c r="D231" s="33"/>
      <c r="E231" s="32"/>
      <c r="F231" s="39"/>
      <c r="G231" s="48" t="str">
        <f aca="false">IF($F231="","",IFERROR(INDEX(商品档案!$B$6:$B$65,MATCH($F231,商品档案!$A$6:$A$65,0)),""))</f>
        <v/>
      </c>
      <c r="H231" s="48" t="str">
        <f aca="false">IF($F231="","",IFERROR(INDEX(商品档案!$C$6:$C$65,MATCH($F231,商品档案!$A$6:$A$65,0)),""))</f>
        <v/>
      </c>
      <c r="I231" s="55" t="str">
        <f aca="false">IF($F231="","",IFERROR(INDEX(商品档案!$D$6:$D$65,MATCH($F231,商品档案!$A$6:$A$65,0)),""))</f>
        <v/>
      </c>
      <c r="J231" s="49"/>
      <c r="K231" s="56"/>
      <c r="L231" s="33"/>
      <c r="M231" s="39"/>
      <c r="N231" s="41"/>
      <c r="O231" s="41"/>
      <c r="P231" s="25" t="str">
        <f aca="false">IF(AND($B231="",$D231="",$F231=""),"",IF(NOT(ISNUMBER($B231)),"日期无效",IF(ISNA(MATCH($C231,参数设置!$A$10:$A$12,0)),"公司无效",IF(ISNA(MATCH($D231,记账规则!$A$6:$A$9,0)),"业务类型无效",IF(ISNA(MATCH($F231,商品档案!$A$6:$A$65,0)),"商品编码无效",IF(IFERROR(INDEX(商品档案!$E$6:$E$65,MATCH($F231,商品档案!$A$6:$A$65,0)),"")&lt;&gt;$C231,"商品不属于该公司",IF(AND($E231&lt;&gt;"",ISNA(MATCH($E231,往来单位!$A$6:$A$85,0))),"往来单位未建档",IF(N($J231)=0,"数量为 0",IF(N($K231)=0,"单价为 0",IF(AND(LEFT($D231,2)="销售",$U231=""),"该商品没设成本科目",IF(YEAR($B231)&lt;&gt;参数设置!$B$5,"不在本会计年度","OK")))))))))))</f>
        <v/>
      </c>
      <c r="Q231" s="57" t="str">
        <f aca="false">IF($F231="","",ROUND(N($J231)*N($K231),2))</f>
        <v/>
      </c>
      <c r="R231" s="58" t="str">
        <f aca="false">IF($D231="","",IF(LEFT($D231,2)="销售","应收账款","应付账款"))</f>
        <v/>
      </c>
      <c r="S231" s="58" t="str">
        <f aca="false">IF($F231="","",IFERROR(INDEX(商品档案!$G$6:$G$65,MATCH($F231,商品档案!$A$6:$A$65,0)),""))</f>
        <v/>
      </c>
      <c r="T231" s="58" t="str">
        <f aca="false">IF($F231="","",IFERROR(INDEX(商品档案!$H$6:$H$65,MATCH($F231,商品档案!$A$6:$A$65,0)),""))</f>
        <v/>
      </c>
      <c r="U231" s="58" t="str">
        <f aca="false">IF($F231="","",IFERROR(INDEX(商品档案!$I$6:$I$65,MATCH($F231,商品档案!$A$6:$A$65,0)),""))</f>
        <v/>
      </c>
      <c r="V231" s="59" t="str">
        <f aca="false">IF($F231="","",SUMIFS(进销存台账!$N$6:$N$65,进销存台账!$A$6:$A$65,$C231,进销存台账!$B$6:$B$65,$F231))</f>
        <v/>
      </c>
      <c r="W231" s="60" t="n">
        <f aca="false">IF(OR($D231="销售出库",$D231="销售退回"),ROUND(N($J231)*N($V231),2),0)</f>
        <v>0</v>
      </c>
      <c r="X231" s="58" t="str">
        <f aca="false">IF($E231="","",IFERROR(INDEX(往来单位!$D$6:$D$85,MATCH($E231,往来单位!$A$6:$A$85,0)),"否"))</f>
        <v/>
      </c>
      <c r="Y231" s="61" t="str">
        <f aca="false">IF($B231="","",YEAR($B231))</f>
        <v/>
      </c>
      <c r="Z231" s="58" t="str">
        <f aca="false">IF($B231="","",TEXT($B231,"yyyy-mm"))</f>
        <v/>
      </c>
    </row>
    <row r="232" customFormat="false" ht="15" hidden="false" customHeight="false" outlineLevel="0" collapsed="false">
      <c r="A232" s="53" t="str">
        <f aca="false">IF($B232="","",ROW()-5)</f>
        <v/>
      </c>
      <c r="B232" s="54"/>
      <c r="C232" s="33"/>
      <c r="D232" s="33"/>
      <c r="E232" s="32"/>
      <c r="F232" s="39"/>
      <c r="G232" s="48" t="str">
        <f aca="false">IF($F232="","",IFERROR(INDEX(商品档案!$B$6:$B$65,MATCH($F232,商品档案!$A$6:$A$65,0)),""))</f>
        <v/>
      </c>
      <c r="H232" s="48" t="str">
        <f aca="false">IF($F232="","",IFERROR(INDEX(商品档案!$C$6:$C$65,MATCH($F232,商品档案!$A$6:$A$65,0)),""))</f>
        <v/>
      </c>
      <c r="I232" s="55" t="str">
        <f aca="false">IF($F232="","",IFERROR(INDEX(商品档案!$D$6:$D$65,MATCH($F232,商品档案!$A$6:$A$65,0)),""))</f>
        <v/>
      </c>
      <c r="J232" s="49"/>
      <c r="K232" s="56"/>
      <c r="L232" s="33"/>
      <c r="M232" s="39"/>
      <c r="N232" s="41"/>
      <c r="O232" s="41"/>
      <c r="P232" s="25" t="str">
        <f aca="false">IF(AND($B232="",$D232="",$F232=""),"",IF(NOT(ISNUMBER($B232)),"日期无效",IF(ISNA(MATCH($C232,参数设置!$A$10:$A$12,0)),"公司无效",IF(ISNA(MATCH($D232,记账规则!$A$6:$A$9,0)),"业务类型无效",IF(ISNA(MATCH($F232,商品档案!$A$6:$A$65,0)),"商品编码无效",IF(IFERROR(INDEX(商品档案!$E$6:$E$65,MATCH($F232,商品档案!$A$6:$A$65,0)),"")&lt;&gt;$C232,"商品不属于该公司",IF(AND($E232&lt;&gt;"",ISNA(MATCH($E232,往来单位!$A$6:$A$85,0))),"往来单位未建档",IF(N($J232)=0,"数量为 0",IF(N($K232)=0,"单价为 0",IF(AND(LEFT($D232,2)="销售",$U232=""),"该商品没设成本科目",IF(YEAR($B232)&lt;&gt;参数设置!$B$5,"不在本会计年度","OK")))))))))))</f>
        <v/>
      </c>
      <c r="Q232" s="57" t="str">
        <f aca="false">IF($F232="","",ROUND(N($J232)*N($K232),2))</f>
        <v/>
      </c>
      <c r="R232" s="58" t="str">
        <f aca="false">IF($D232="","",IF(LEFT($D232,2)="销售","应收账款","应付账款"))</f>
        <v/>
      </c>
      <c r="S232" s="58" t="str">
        <f aca="false">IF($F232="","",IFERROR(INDEX(商品档案!$G$6:$G$65,MATCH($F232,商品档案!$A$6:$A$65,0)),""))</f>
        <v/>
      </c>
      <c r="T232" s="58" t="str">
        <f aca="false">IF($F232="","",IFERROR(INDEX(商品档案!$H$6:$H$65,MATCH($F232,商品档案!$A$6:$A$65,0)),""))</f>
        <v/>
      </c>
      <c r="U232" s="58" t="str">
        <f aca="false">IF($F232="","",IFERROR(INDEX(商品档案!$I$6:$I$65,MATCH($F232,商品档案!$A$6:$A$65,0)),""))</f>
        <v/>
      </c>
      <c r="V232" s="59" t="str">
        <f aca="false">IF($F232="","",SUMIFS(进销存台账!$N$6:$N$65,进销存台账!$A$6:$A$65,$C232,进销存台账!$B$6:$B$65,$F232))</f>
        <v/>
      </c>
      <c r="W232" s="60" t="n">
        <f aca="false">IF(OR($D232="销售出库",$D232="销售退回"),ROUND(N($J232)*N($V232),2),0)</f>
        <v>0</v>
      </c>
      <c r="X232" s="58" t="str">
        <f aca="false">IF($E232="","",IFERROR(INDEX(往来单位!$D$6:$D$85,MATCH($E232,往来单位!$A$6:$A$85,0)),"否"))</f>
        <v/>
      </c>
      <c r="Y232" s="61" t="str">
        <f aca="false">IF($B232="","",YEAR($B232))</f>
        <v/>
      </c>
      <c r="Z232" s="58" t="str">
        <f aca="false">IF($B232="","",TEXT($B232,"yyyy-mm"))</f>
        <v/>
      </c>
    </row>
    <row r="233" customFormat="false" ht="15" hidden="false" customHeight="false" outlineLevel="0" collapsed="false">
      <c r="A233" s="53" t="str">
        <f aca="false">IF($B233="","",ROW()-5)</f>
        <v/>
      </c>
      <c r="B233" s="54"/>
      <c r="C233" s="33"/>
      <c r="D233" s="33"/>
      <c r="E233" s="32"/>
      <c r="F233" s="39"/>
      <c r="G233" s="48" t="str">
        <f aca="false">IF($F233="","",IFERROR(INDEX(商品档案!$B$6:$B$65,MATCH($F233,商品档案!$A$6:$A$65,0)),""))</f>
        <v/>
      </c>
      <c r="H233" s="48" t="str">
        <f aca="false">IF($F233="","",IFERROR(INDEX(商品档案!$C$6:$C$65,MATCH($F233,商品档案!$A$6:$A$65,0)),""))</f>
        <v/>
      </c>
      <c r="I233" s="55" t="str">
        <f aca="false">IF($F233="","",IFERROR(INDEX(商品档案!$D$6:$D$65,MATCH($F233,商品档案!$A$6:$A$65,0)),""))</f>
        <v/>
      </c>
      <c r="J233" s="49"/>
      <c r="K233" s="56"/>
      <c r="L233" s="33"/>
      <c r="M233" s="39"/>
      <c r="N233" s="41"/>
      <c r="O233" s="41"/>
      <c r="P233" s="25" t="str">
        <f aca="false">IF(AND($B233="",$D233="",$F233=""),"",IF(NOT(ISNUMBER($B233)),"日期无效",IF(ISNA(MATCH($C233,参数设置!$A$10:$A$12,0)),"公司无效",IF(ISNA(MATCH($D233,记账规则!$A$6:$A$9,0)),"业务类型无效",IF(ISNA(MATCH($F233,商品档案!$A$6:$A$65,0)),"商品编码无效",IF(IFERROR(INDEX(商品档案!$E$6:$E$65,MATCH($F233,商品档案!$A$6:$A$65,0)),"")&lt;&gt;$C233,"商品不属于该公司",IF(AND($E233&lt;&gt;"",ISNA(MATCH($E233,往来单位!$A$6:$A$85,0))),"往来单位未建档",IF(N($J233)=0,"数量为 0",IF(N($K233)=0,"单价为 0",IF(AND(LEFT($D233,2)="销售",$U233=""),"该商品没设成本科目",IF(YEAR($B233)&lt;&gt;参数设置!$B$5,"不在本会计年度","OK")))))))))))</f>
        <v/>
      </c>
      <c r="Q233" s="57" t="str">
        <f aca="false">IF($F233="","",ROUND(N($J233)*N($K233),2))</f>
        <v/>
      </c>
      <c r="R233" s="58" t="str">
        <f aca="false">IF($D233="","",IF(LEFT($D233,2)="销售","应收账款","应付账款"))</f>
        <v/>
      </c>
      <c r="S233" s="58" t="str">
        <f aca="false">IF($F233="","",IFERROR(INDEX(商品档案!$G$6:$G$65,MATCH($F233,商品档案!$A$6:$A$65,0)),""))</f>
        <v/>
      </c>
      <c r="T233" s="58" t="str">
        <f aca="false">IF($F233="","",IFERROR(INDEX(商品档案!$H$6:$H$65,MATCH($F233,商品档案!$A$6:$A$65,0)),""))</f>
        <v/>
      </c>
      <c r="U233" s="58" t="str">
        <f aca="false">IF($F233="","",IFERROR(INDEX(商品档案!$I$6:$I$65,MATCH($F233,商品档案!$A$6:$A$65,0)),""))</f>
        <v/>
      </c>
      <c r="V233" s="59" t="str">
        <f aca="false">IF($F233="","",SUMIFS(进销存台账!$N$6:$N$65,进销存台账!$A$6:$A$65,$C233,进销存台账!$B$6:$B$65,$F233))</f>
        <v/>
      </c>
      <c r="W233" s="60" t="n">
        <f aca="false">IF(OR($D233="销售出库",$D233="销售退回"),ROUND(N($J233)*N($V233),2),0)</f>
        <v>0</v>
      </c>
      <c r="X233" s="58" t="str">
        <f aca="false">IF($E233="","",IFERROR(INDEX(往来单位!$D$6:$D$85,MATCH($E233,往来单位!$A$6:$A$85,0)),"否"))</f>
        <v/>
      </c>
      <c r="Y233" s="61" t="str">
        <f aca="false">IF($B233="","",YEAR($B233))</f>
        <v/>
      </c>
      <c r="Z233" s="58" t="str">
        <f aca="false">IF($B233="","",TEXT($B233,"yyyy-mm"))</f>
        <v/>
      </c>
    </row>
    <row r="234" customFormat="false" ht="15" hidden="false" customHeight="false" outlineLevel="0" collapsed="false">
      <c r="A234" s="53" t="str">
        <f aca="false">IF($B234="","",ROW()-5)</f>
        <v/>
      </c>
      <c r="B234" s="54"/>
      <c r="C234" s="33"/>
      <c r="D234" s="33"/>
      <c r="E234" s="32"/>
      <c r="F234" s="39"/>
      <c r="G234" s="48" t="str">
        <f aca="false">IF($F234="","",IFERROR(INDEX(商品档案!$B$6:$B$65,MATCH($F234,商品档案!$A$6:$A$65,0)),""))</f>
        <v/>
      </c>
      <c r="H234" s="48" t="str">
        <f aca="false">IF($F234="","",IFERROR(INDEX(商品档案!$C$6:$C$65,MATCH($F234,商品档案!$A$6:$A$65,0)),""))</f>
        <v/>
      </c>
      <c r="I234" s="55" t="str">
        <f aca="false">IF($F234="","",IFERROR(INDEX(商品档案!$D$6:$D$65,MATCH($F234,商品档案!$A$6:$A$65,0)),""))</f>
        <v/>
      </c>
      <c r="J234" s="49"/>
      <c r="K234" s="56"/>
      <c r="L234" s="33"/>
      <c r="M234" s="39"/>
      <c r="N234" s="41"/>
      <c r="O234" s="41"/>
      <c r="P234" s="25" t="str">
        <f aca="false">IF(AND($B234="",$D234="",$F234=""),"",IF(NOT(ISNUMBER($B234)),"日期无效",IF(ISNA(MATCH($C234,参数设置!$A$10:$A$12,0)),"公司无效",IF(ISNA(MATCH($D234,记账规则!$A$6:$A$9,0)),"业务类型无效",IF(ISNA(MATCH($F234,商品档案!$A$6:$A$65,0)),"商品编码无效",IF(IFERROR(INDEX(商品档案!$E$6:$E$65,MATCH($F234,商品档案!$A$6:$A$65,0)),"")&lt;&gt;$C234,"商品不属于该公司",IF(AND($E234&lt;&gt;"",ISNA(MATCH($E234,往来单位!$A$6:$A$85,0))),"往来单位未建档",IF(N($J234)=0,"数量为 0",IF(N($K234)=0,"单价为 0",IF(AND(LEFT($D234,2)="销售",$U234=""),"该商品没设成本科目",IF(YEAR($B234)&lt;&gt;参数设置!$B$5,"不在本会计年度","OK")))))))))))</f>
        <v/>
      </c>
      <c r="Q234" s="57" t="str">
        <f aca="false">IF($F234="","",ROUND(N($J234)*N($K234),2))</f>
        <v/>
      </c>
      <c r="R234" s="58" t="str">
        <f aca="false">IF($D234="","",IF(LEFT($D234,2)="销售","应收账款","应付账款"))</f>
        <v/>
      </c>
      <c r="S234" s="58" t="str">
        <f aca="false">IF($F234="","",IFERROR(INDEX(商品档案!$G$6:$G$65,MATCH($F234,商品档案!$A$6:$A$65,0)),""))</f>
        <v/>
      </c>
      <c r="T234" s="58" t="str">
        <f aca="false">IF($F234="","",IFERROR(INDEX(商品档案!$H$6:$H$65,MATCH($F234,商品档案!$A$6:$A$65,0)),""))</f>
        <v/>
      </c>
      <c r="U234" s="58" t="str">
        <f aca="false">IF($F234="","",IFERROR(INDEX(商品档案!$I$6:$I$65,MATCH($F234,商品档案!$A$6:$A$65,0)),""))</f>
        <v/>
      </c>
      <c r="V234" s="59" t="str">
        <f aca="false">IF($F234="","",SUMIFS(进销存台账!$N$6:$N$65,进销存台账!$A$6:$A$65,$C234,进销存台账!$B$6:$B$65,$F234))</f>
        <v/>
      </c>
      <c r="W234" s="60" t="n">
        <f aca="false">IF(OR($D234="销售出库",$D234="销售退回"),ROUND(N($J234)*N($V234),2),0)</f>
        <v>0</v>
      </c>
      <c r="X234" s="58" t="str">
        <f aca="false">IF($E234="","",IFERROR(INDEX(往来单位!$D$6:$D$85,MATCH($E234,往来单位!$A$6:$A$85,0)),"否"))</f>
        <v/>
      </c>
      <c r="Y234" s="61" t="str">
        <f aca="false">IF($B234="","",YEAR($B234))</f>
        <v/>
      </c>
      <c r="Z234" s="58" t="str">
        <f aca="false">IF($B234="","",TEXT($B234,"yyyy-mm"))</f>
        <v/>
      </c>
    </row>
    <row r="235" customFormat="false" ht="15" hidden="false" customHeight="false" outlineLevel="0" collapsed="false">
      <c r="A235" s="53" t="str">
        <f aca="false">IF($B235="","",ROW()-5)</f>
        <v/>
      </c>
      <c r="B235" s="54"/>
      <c r="C235" s="33"/>
      <c r="D235" s="33"/>
      <c r="E235" s="32"/>
      <c r="F235" s="39"/>
      <c r="G235" s="48" t="str">
        <f aca="false">IF($F235="","",IFERROR(INDEX(商品档案!$B$6:$B$65,MATCH($F235,商品档案!$A$6:$A$65,0)),""))</f>
        <v/>
      </c>
      <c r="H235" s="48" t="str">
        <f aca="false">IF($F235="","",IFERROR(INDEX(商品档案!$C$6:$C$65,MATCH($F235,商品档案!$A$6:$A$65,0)),""))</f>
        <v/>
      </c>
      <c r="I235" s="55" t="str">
        <f aca="false">IF($F235="","",IFERROR(INDEX(商品档案!$D$6:$D$65,MATCH($F235,商品档案!$A$6:$A$65,0)),""))</f>
        <v/>
      </c>
      <c r="J235" s="49"/>
      <c r="K235" s="56"/>
      <c r="L235" s="33"/>
      <c r="M235" s="39"/>
      <c r="N235" s="41"/>
      <c r="O235" s="41"/>
      <c r="P235" s="25" t="str">
        <f aca="false">IF(AND($B235="",$D235="",$F235=""),"",IF(NOT(ISNUMBER($B235)),"日期无效",IF(ISNA(MATCH($C235,参数设置!$A$10:$A$12,0)),"公司无效",IF(ISNA(MATCH($D235,记账规则!$A$6:$A$9,0)),"业务类型无效",IF(ISNA(MATCH($F235,商品档案!$A$6:$A$65,0)),"商品编码无效",IF(IFERROR(INDEX(商品档案!$E$6:$E$65,MATCH($F235,商品档案!$A$6:$A$65,0)),"")&lt;&gt;$C235,"商品不属于该公司",IF(AND($E235&lt;&gt;"",ISNA(MATCH($E235,往来单位!$A$6:$A$85,0))),"往来单位未建档",IF(N($J235)=0,"数量为 0",IF(N($K235)=0,"单价为 0",IF(AND(LEFT($D235,2)="销售",$U235=""),"该商品没设成本科目",IF(YEAR($B235)&lt;&gt;参数设置!$B$5,"不在本会计年度","OK")))))))))))</f>
        <v/>
      </c>
      <c r="Q235" s="57" t="str">
        <f aca="false">IF($F235="","",ROUND(N($J235)*N($K235),2))</f>
        <v/>
      </c>
      <c r="R235" s="58" t="str">
        <f aca="false">IF($D235="","",IF(LEFT($D235,2)="销售","应收账款","应付账款"))</f>
        <v/>
      </c>
      <c r="S235" s="58" t="str">
        <f aca="false">IF($F235="","",IFERROR(INDEX(商品档案!$G$6:$G$65,MATCH($F235,商品档案!$A$6:$A$65,0)),""))</f>
        <v/>
      </c>
      <c r="T235" s="58" t="str">
        <f aca="false">IF($F235="","",IFERROR(INDEX(商品档案!$H$6:$H$65,MATCH($F235,商品档案!$A$6:$A$65,0)),""))</f>
        <v/>
      </c>
      <c r="U235" s="58" t="str">
        <f aca="false">IF($F235="","",IFERROR(INDEX(商品档案!$I$6:$I$65,MATCH($F235,商品档案!$A$6:$A$65,0)),""))</f>
        <v/>
      </c>
      <c r="V235" s="59" t="str">
        <f aca="false">IF($F235="","",SUMIFS(进销存台账!$N$6:$N$65,进销存台账!$A$6:$A$65,$C235,进销存台账!$B$6:$B$65,$F235))</f>
        <v/>
      </c>
      <c r="W235" s="60" t="n">
        <f aca="false">IF(OR($D235="销售出库",$D235="销售退回"),ROUND(N($J235)*N($V235),2),0)</f>
        <v>0</v>
      </c>
      <c r="X235" s="58" t="str">
        <f aca="false">IF($E235="","",IFERROR(INDEX(往来单位!$D$6:$D$85,MATCH($E235,往来单位!$A$6:$A$85,0)),"否"))</f>
        <v/>
      </c>
      <c r="Y235" s="61" t="str">
        <f aca="false">IF($B235="","",YEAR($B235))</f>
        <v/>
      </c>
      <c r="Z235" s="58" t="str">
        <f aca="false">IF($B235="","",TEXT($B235,"yyyy-mm"))</f>
        <v/>
      </c>
    </row>
    <row r="236" customFormat="false" ht="15" hidden="false" customHeight="false" outlineLevel="0" collapsed="false">
      <c r="A236" s="53" t="str">
        <f aca="false">IF($B236="","",ROW()-5)</f>
        <v/>
      </c>
      <c r="B236" s="54"/>
      <c r="C236" s="33"/>
      <c r="D236" s="33"/>
      <c r="E236" s="32"/>
      <c r="F236" s="39"/>
      <c r="G236" s="48" t="str">
        <f aca="false">IF($F236="","",IFERROR(INDEX(商品档案!$B$6:$B$65,MATCH($F236,商品档案!$A$6:$A$65,0)),""))</f>
        <v/>
      </c>
      <c r="H236" s="48" t="str">
        <f aca="false">IF($F236="","",IFERROR(INDEX(商品档案!$C$6:$C$65,MATCH($F236,商品档案!$A$6:$A$65,0)),""))</f>
        <v/>
      </c>
      <c r="I236" s="55" t="str">
        <f aca="false">IF($F236="","",IFERROR(INDEX(商品档案!$D$6:$D$65,MATCH($F236,商品档案!$A$6:$A$65,0)),""))</f>
        <v/>
      </c>
      <c r="J236" s="49"/>
      <c r="K236" s="56"/>
      <c r="L236" s="33"/>
      <c r="M236" s="39"/>
      <c r="N236" s="41"/>
      <c r="O236" s="41"/>
      <c r="P236" s="25" t="str">
        <f aca="false">IF(AND($B236="",$D236="",$F236=""),"",IF(NOT(ISNUMBER($B236)),"日期无效",IF(ISNA(MATCH($C236,参数设置!$A$10:$A$12,0)),"公司无效",IF(ISNA(MATCH($D236,记账规则!$A$6:$A$9,0)),"业务类型无效",IF(ISNA(MATCH($F236,商品档案!$A$6:$A$65,0)),"商品编码无效",IF(IFERROR(INDEX(商品档案!$E$6:$E$65,MATCH($F236,商品档案!$A$6:$A$65,0)),"")&lt;&gt;$C236,"商品不属于该公司",IF(AND($E236&lt;&gt;"",ISNA(MATCH($E236,往来单位!$A$6:$A$85,0))),"往来单位未建档",IF(N($J236)=0,"数量为 0",IF(N($K236)=0,"单价为 0",IF(AND(LEFT($D236,2)="销售",$U236=""),"该商品没设成本科目",IF(YEAR($B236)&lt;&gt;参数设置!$B$5,"不在本会计年度","OK")))))))))))</f>
        <v/>
      </c>
      <c r="Q236" s="57" t="str">
        <f aca="false">IF($F236="","",ROUND(N($J236)*N($K236),2))</f>
        <v/>
      </c>
      <c r="R236" s="58" t="str">
        <f aca="false">IF($D236="","",IF(LEFT($D236,2)="销售","应收账款","应付账款"))</f>
        <v/>
      </c>
      <c r="S236" s="58" t="str">
        <f aca="false">IF($F236="","",IFERROR(INDEX(商品档案!$G$6:$G$65,MATCH($F236,商品档案!$A$6:$A$65,0)),""))</f>
        <v/>
      </c>
      <c r="T236" s="58" t="str">
        <f aca="false">IF($F236="","",IFERROR(INDEX(商品档案!$H$6:$H$65,MATCH($F236,商品档案!$A$6:$A$65,0)),""))</f>
        <v/>
      </c>
      <c r="U236" s="58" t="str">
        <f aca="false">IF($F236="","",IFERROR(INDEX(商品档案!$I$6:$I$65,MATCH($F236,商品档案!$A$6:$A$65,0)),""))</f>
        <v/>
      </c>
      <c r="V236" s="59" t="str">
        <f aca="false">IF($F236="","",SUMIFS(进销存台账!$N$6:$N$65,进销存台账!$A$6:$A$65,$C236,进销存台账!$B$6:$B$65,$F236))</f>
        <v/>
      </c>
      <c r="W236" s="60" t="n">
        <f aca="false">IF(OR($D236="销售出库",$D236="销售退回"),ROUND(N($J236)*N($V236),2),0)</f>
        <v>0</v>
      </c>
      <c r="X236" s="58" t="str">
        <f aca="false">IF($E236="","",IFERROR(INDEX(往来单位!$D$6:$D$85,MATCH($E236,往来单位!$A$6:$A$85,0)),"否"))</f>
        <v/>
      </c>
      <c r="Y236" s="61" t="str">
        <f aca="false">IF($B236="","",YEAR($B236))</f>
        <v/>
      </c>
      <c r="Z236" s="58" t="str">
        <f aca="false">IF($B236="","",TEXT($B236,"yyyy-mm"))</f>
        <v/>
      </c>
    </row>
    <row r="237" customFormat="false" ht="15" hidden="false" customHeight="false" outlineLevel="0" collapsed="false">
      <c r="A237" s="53" t="str">
        <f aca="false">IF($B237="","",ROW()-5)</f>
        <v/>
      </c>
      <c r="B237" s="54"/>
      <c r="C237" s="33"/>
      <c r="D237" s="33"/>
      <c r="E237" s="32"/>
      <c r="F237" s="39"/>
      <c r="G237" s="48" t="str">
        <f aca="false">IF($F237="","",IFERROR(INDEX(商品档案!$B$6:$B$65,MATCH($F237,商品档案!$A$6:$A$65,0)),""))</f>
        <v/>
      </c>
      <c r="H237" s="48" t="str">
        <f aca="false">IF($F237="","",IFERROR(INDEX(商品档案!$C$6:$C$65,MATCH($F237,商品档案!$A$6:$A$65,0)),""))</f>
        <v/>
      </c>
      <c r="I237" s="55" t="str">
        <f aca="false">IF($F237="","",IFERROR(INDEX(商品档案!$D$6:$D$65,MATCH($F237,商品档案!$A$6:$A$65,0)),""))</f>
        <v/>
      </c>
      <c r="J237" s="49"/>
      <c r="K237" s="56"/>
      <c r="L237" s="33"/>
      <c r="M237" s="39"/>
      <c r="N237" s="41"/>
      <c r="O237" s="41"/>
      <c r="P237" s="25" t="str">
        <f aca="false">IF(AND($B237="",$D237="",$F237=""),"",IF(NOT(ISNUMBER($B237)),"日期无效",IF(ISNA(MATCH($C237,参数设置!$A$10:$A$12,0)),"公司无效",IF(ISNA(MATCH($D237,记账规则!$A$6:$A$9,0)),"业务类型无效",IF(ISNA(MATCH($F237,商品档案!$A$6:$A$65,0)),"商品编码无效",IF(IFERROR(INDEX(商品档案!$E$6:$E$65,MATCH($F237,商品档案!$A$6:$A$65,0)),"")&lt;&gt;$C237,"商品不属于该公司",IF(AND($E237&lt;&gt;"",ISNA(MATCH($E237,往来单位!$A$6:$A$85,0))),"往来单位未建档",IF(N($J237)=0,"数量为 0",IF(N($K237)=0,"单价为 0",IF(AND(LEFT($D237,2)="销售",$U237=""),"该商品没设成本科目",IF(YEAR($B237)&lt;&gt;参数设置!$B$5,"不在本会计年度","OK")))))))))))</f>
        <v/>
      </c>
      <c r="Q237" s="57" t="str">
        <f aca="false">IF($F237="","",ROUND(N($J237)*N($K237),2))</f>
        <v/>
      </c>
      <c r="R237" s="58" t="str">
        <f aca="false">IF($D237="","",IF(LEFT($D237,2)="销售","应收账款","应付账款"))</f>
        <v/>
      </c>
      <c r="S237" s="58" t="str">
        <f aca="false">IF($F237="","",IFERROR(INDEX(商品档案!$G$6:$G$65,MATCH($F237,商品档案!$A$6:$A$65,0)),""))</f>
        <v/>
      </c>
      <c r="T237" s="58" t="str">
        <f aca="false">IF($F237="","",IFERROR(INDEX(商品档案!$H$6:$H$65,MATCH($F237,商品档案!$A$6:$A$65,0)),""))</f>
        <v/>
      </c>
      <c r="U237" s="58" t="str">
        <f aca="false">IF($F237="","",IFERROR(INDEX(商品档案!$I$6:$I$65,MATCH($F237,商品档案!$A$6:$A$65,0)),""))</f>
        <v/>
      </c>
      <c r="V237" s="59" t="str">
        <f aca="false">IF($F237="","",SUMIFS(进销存台账!$N$6:$N$65,进销存台账!$A$6:$A$65,$C237,进销存台账!$B$6:$B$65,$F237))</f>
        <v/>
      </c>
      <c r="W237" s="60" t="n">
        <f aca="false">IF(OR($D237="销售出库",$D237="销售退回"),ROUND(N($J237)*N($V237),2),0)</f>
        <v>0</v>
      </c>
      <c r="X237" s="58" t="str">
        <f aca="false">IF($E237="","",IFERROR(INDEX(往来单位!$D$6:$D$85,MATCH($E237,往来单位!$A$6:$A$85,0)),"否"))</f>
        <v/>
      </c>
      <c r="Y237" s="61" t="str">
        <f aca="false">IF($B237="","",YEAR($B237))</f>
        <v/>
      </c>
      <c r="Z237" s="58" t="str">
        <f aca="false">IF($B237="","",TEXT($B237,"yyyy-mm"))</f>
        <v/>
      </c>
    </row>
    <row r="238" customFormat="false" ht="15" hidden="false" customHeight="false" outlineLevel="0" collapsed="false">
      <c r="A238" s="53" t="str">
        <f aca="false">IF($B238="","",ROW()-5)</f>
        <v/>
      </c>
      <c r="B238" s="54"/>
      <c r="C238" s="33"/>
      <c r="D238" s="33"/>
      <c r="E238" s="32"/>
      <c r="F238" s="39"/>
      <c r="G238" s="48" t="str">
        <f aca="false">IF($F238="","",IFERROR(INDEX(商品档案!$B$6:$B$65,MATCH($F238,商品档案!$A$6:$A$65,0)),""))</f>
        <v/>
      </c>
      <c r="H238" s="48" t="str">
        <f aca="false">IF($F238="","",IFERROR(INDEX(商品档案!$C$6:$C$65,MATCH($F238,商品档案!$A$6:$A$65,0)),""))</f>
        <v/>
      </c>
      <c r="I238" s="55" t="str">
        <f aca="false">IF($F238="","",IFERROR(INDEX(商品档案!$D$6:$D$65,MATCH($F238,商品档案!$A$6:$A$65,0)),""))</f>
        <v/>
      </c>
      <c r="J238" s="49"/>
      <c r="K238" s="56"/>
      <c r="L238" s="33"/>
      <c r="M238" s="39"/>
      <c r="N238" s="41"/>
      <c r="O238" s="41"/>
      <c r="P238" s="25" t="str">
        <f aca="false">IF(AND($B238="",$D238="",$F238=""),"",IF(NOT(ISNUMBER($B238)),"日期无效",IF(ISNA(MATCH($C238,参数设置!$A$10:$A$12,0)),"公司无效",IF(ISNA(MATCH($D238,记账规则!$A$6:$A$9,0)),"业务类型无效",IF(ISNA(MATCH($F238,商品档案!$A$6:$A$65,0)),"商品编码无效",IF(IFERROR(INDEX(商品档案!$E$6:$E$65,MATCH($F238,商品档案!$A$6:$A$65,0)),"")&lt;&gt;$C238,"商品不属于该公司",IF(AND($E238&lt;&gt;"",ISNA(MATCH($E238,往来单位!$A$6:$A$85,0))),"往来单位未建档",IF(N($J238)=0,"数量为 0",IF(N($K238)=0,"单价为 0",IF(AND(LEFT($D238,2)="销售",$U238=""),"该商品没设成本科目",IF(YEAR($B238)&lt;&gt;参数设置!$B$5,"不在本会计年度","OK")))))))))))</f>
        <v/>
      </c>
      <c r="Q238" s="57" t="str">
        <f aca="false">IF($F238="","",ROUND(N($J238)*N($K238),2))</f>
        <v/>
      </c>
      <c r="R238" s="58" t="str">
        <f aca="false">IF($D238="","",IF(LEFT($D238,2)="销售","应收账款","应付账款"))</f>
        <v/>
      </c>
      <c r="S238" s="58" t="str">
        <f aca="false">IF($F238="","",IFERROR(INDEX(商品档案!$G$6:$G$65,MATCH($F238,商品档案!$A$6:$A$65,0)),""))</f>
        <v/>
      </c>
      <c r="T238" s="58" t="str">
        <f aca="false">IF($F238="","",IFERROR(INDEX(商品档案!$H$6:$H$65,MATCH($F238,商品档案!$A$6:$A$65,0)),""))</f>
        <v/>
      </c>
      <c r="U238" s="58" t="str">
        <f aca="false">IF($F238="","",IFERROR(INDEX(商品档案!$I$6:$I$65,MATCH($F238,商品档案!$A$6:$A$65,0)),""))</f>
        <v/>
      </c>
      <c r="V238" s="59" t="str">
        <f aca="false">IF($F238="","",SUMIFS(进销存台账!$N$6:$N$65,进销存台账!$A$6:$A$65,$C238,进销存台账!$B$6:$B$65,$F238))</f>
        <v/>
      </c>
      <c r="W238" s="60" t="n">
        <f aca="false">IF(OR($D238="销售出库",$D238="销售退回"),ROUND(N($J238)*N($V238),2),0)</f>
        <v>0</v>
      </c>
      <c r="X238" s="58" t="str">
        <f aca="false">IF($E238="","",IFERROR(INDEX(往来单位!$D$6:$D$85,MATCH($E238,往来单位!$A$6:$A$85,0)),"否"))</f>
        <v/>
      </c>
      <c r="Y238" s="61" t="str">
        <f aca="false">IF($B238="","",YEAR($B238))</f>
        <v/>
      </c>
      <c r="Z238" s="58" t="str">
        <f aca="false">IF($B238="","",TEXT($B238,"yyyy-mm"))</f>
        <v/>
      </c>
    </row>
    <row r="239" customFormat="false" ht="15" hidden="false" customHeight="false" outlineLevel="0" collapsed="false">
      <c r="A239" s="53" t="str">
        <f aca="false">IF($B239="","",ROW()-5)</f>
        <v/>
      </c>
      <c r="B239" s="54"/>
      <c r="C239" s="33"/>
      <c r="D239" s="33"/>
      <c r="E239" s="32"/>
      <c r="F239" s="39"/>
      <c r="G239" s="48" t="str">
        <f aca="false">IF($F239="","",IFERROR(INDEX(商品档案!$B$6:$B$65,MATCH($F239,商品档案!$A$6:$A$65,0)),""))</f>
        <v/>
      </c>
      <c r="H239" s="48" t="str">
        <f aca="false">IF($F239="","",IFERROR(INDEX(商品档案!$C$6:$C$65,MATCH($F239,商品档案!$A$6:$A$65,0)),""))</f>
        <v/>
      </c>
      <c r="I239" s="55" t="str">
        <f aca="false">IF($F239="","",IFERROR(INDEX(商品档案!$D$6:$D$65,MATCH($F239,商品档案!$A$6:$A$65,0)),""))</f>
        <v/>
      </c>
      <c r="J239" s="49"/>
      <c r="K239" s="56"/>
      <c r="L239" s="33"/>
      <c r="M239" s="39"/>
      <c r="N239" s="41"/>
      <c r="O239" s="41"/>
      <c r="P239" s="25" t="str">
        <f aca="false">IF(AND($B239="",$D239="",$F239=""),"",IF(NOT(ISNUMBER($B239)),"日期无效",IF(ISNA(MATCH($C239,参数设置!$A$10:$A$12,0)),"公司无效",IF(ISNA(MATCH($D239,记账规则!$A$6:$A$9,0)),"业务类型无效",IF(ISNA(MATCH($F239,商品档案!$A$6:$A$65,0)),"商品编码无效",IF(IFERROR(INDEX(商品档案!$E$6:$E$65,MATCH($F239,商品档案!$A$6:$A$65,0)),"")&lt;&gt;$C239,"商品不属于该公司",IF(AND($E239&lt;&gt;"",ISNA(MATCH($E239,往来单位!$A$6:$A$85,0))),"往来单位未建档",IF(N($J239)=0,"数量为 0",IF(N($K239)=0,"单价为 0",IF(AND(LEFT($D239,2)="销售",$U239=""),"该商品没设成本科目",IF(YEAR($B239)&lt;&gt;参数设置!$B$5,"不在本会计年度","OK")))))))))))</f>
        <v/>
      </c>
      <c r="Q239" s="57" t="str">
        <f aca="false">IF($F239="","",ROUND(N($J239)*N($K239),2))</f>
        <v/>
      </c>
      <c r="R239" s="58" t="str">
        <f aca="false">IF($D239="","",IF(LEFT($D239,2)="销售","应收账款","应付账款"))</f>
        <v/>
      </c>
      <c r="S239" s="58" t="str">
        <f aca="false">IF($F239="","",IFERROR(INDEX(商品档案!$G$6:$G$65,MATCH($F239,商品档案!$A$6:$A$65,0)),""))</f>
        <v/>
      </c>
      <c r="T239" s="58" t="str">
        <f aca="false">IF($F239="","",IFERROR(INDEX(商品档案!$H$6:$H$65,MATCH($F239,商品档案!$A$6:$A$65,0)),""))</f>
        <v/>
      </c>
      <c r="U239" s="58" t="str">
        <f aca="false">IF($F239="","",IFERROR(INDEX(商品档案!$I$6:$I$65,MATCH($F239,商品档案!$A$6:$A$65,0)),""))</f>
        <v/>
      </c>
      <c r="V239" s="59" t="str">
        <f aca="false">IF($F239="","",SUMIFS(进销存台账!$N$6:$N$65,进销存台账!$A$6:$A$65,$C239,进销存台账!$B$6:$B$65,$F239))</f>
        <v/>
      </c>
      <c r="W239" s="60" t="n">
        <f aca="false">IF(OR($D239="销售出库",$D239="销售退回"),ROUND(N($J239)*N($V239),2),0)</f>
        <v>0</v>
      </c>
      <c r="X239" s="58" t="str">
        <f aca="false">IF($E239="","",IFERROR(INDEX(往来单位!$D$6:$D$85,MATCH($E239,往来单位!$A$6:$A$85,0)),"否"))</f>
        <v/>
      </c>
      <c r="Y239" s="61" t="str">
        <f aca="false">IF($B239="","",YEAR($B239))</f>
        <v/>
      </c>
      <c r="Z239" s="58" t="str">
        <f aca="false">IF($B239="","",TEXT($B239,"yyyy-mm"))</f>
        <v/>
      </c>
    </row>
    <row r="240" customFormat="false" ht="15" hidden="false" customHeight="false" outlineLevel="0" collapsed="false">
      <c r="A240" s="53" t="str">
        <f aca="false">IF($B240="","",ROW()-5)</f>
        <v/>
      </c>
      <c r="B240" s="54"/>
      <c r="C240" s="33"/>
      <c r="D240" s="33"/>
      <c r="E240" s="32"/>
      <c r="F240" s="39"/>
      <c r="G240" s="48" t="str">
        <f aca="false">IF($F240="","",IFERROR(INDEX(商品档案!$B$6:$B$65,MATCH($F240,商品档案!$A$6:$A$65,0)),""))</f>
        <v/>
      </c>
      <c r="H240" s="48" t="str">
        <f aca="false">IF($F240="","",IFERROR(INDEX(商品档案!$C$6:$C$65,MATCH($F240,商品档案!$A$6:$A$65,0)),""))</f>
        <v/>
      </c>
      <c r="I240" s="55" t="str">
        <f aca="false">IF($F240="","",IFERROR(INDEX(商品档案!$D$6:$D$65,MATCH($F240,商品档案!$A$6:$A$65,0)),""))</f>
        <v/>
      </c>
      <c r="J240" s="49"/>
      <c r="K240" s="56"/>
      <c r="L240" s="33"/>
      <c r="M240" s="39"/>
      <c r="N240" s="41"/>
      <c r="O240" s="41"/>
      <c r="P240" s="25" t="str">
        <f aca="false">IF(AND($B240="",$D240="",$F240=""),"",IF(NOT(ISNUMBER($B240)),"日期无效",IF(ISNA(MATCH($C240,参数设置!$A$10:$A$12,0)),"公司无效",IF(ISNA(MATCH($D240,记账规则!$A$6:$A$9,0)),"业务类型无效",IF(ISNA(MATCH($F240,商品档案!$A$6:$A$65,0)),"商品编码无效",IF(IFERROR(INDEX(商品档案!$E$6:$E$65,MATCH($F240,商品档案!$A$6:$A$65,0)),"")&lt;&gt;$C240,"商品不属于该公司",IF(AND($E240&lt;&gt;"",ISNA(MATCH($E240,往来单位!$A$6:$A$85,0))),"往来单位未建档",IF(N($J240)=0,"数量为 0",IF(N($K240)=0,"单价为 0",IF(AND(LEFT($D240,2)="销售",$U240=""),"该商品没设成本科目",IF(YEAR($B240)&lt;&gt;参数设置!$B$5,"不在本会计年度","OK")))))))))))</f>
        <v/>
      </c>
      <c r="Q240" s="57" t="str">
        <f aca="false">IF($F240="","",ROUND(N($J240)*N($K240),2))</f>
        <v/>
      </c>
      <c r="R240" s="58" t="str">
        <f aca="false">IF($D240="","",IF(LEFT($D240,2)="销售","应收账款","应付账款"))</f>
        <v/>
      </c>
      <c r="S240" s="58" t="str">
        <f aca="false">IF($F240="","",IFERROR(INDEX(商品档案!$G$6:$G$65,MATCH($F240,商品档案!$A$6:$A$65,0)),""))</f>
        <v/>
      </c>
      <c r="T240" s="58" t="str">
        <f aca="false">IF($F240="","",IFERROR(INDEX(商品档案!$H$6:$H$65,MATCH($F240,商品档案!$A$6:$A$65,0)),""))</f>
        <v/>
      </c>
      <c r="U240" s="58" t="str">
        <f aca="false">IF($F240="","",IFERROR(INDEX(商品档案!$I$6:$I$65,MATCH($F240,商品档案!$A$6:$A$65,0)),""))</f>
        <v/>
      </c>
      <c r="V240" s="59" t="str">
        <f aca="false">IF($F240="","",SUMIFS(进销存台账!$N$6:$N$65,进销存台账!$A$6:$A$65,$C240,进销存台账!$B$6:$B$65,$F240))</f>
        <v/>
      </c>
      <c r="W240" s="60" t="n">
        <f aca="false">IF(OR($D240="销售出库",$D240="销售退回"),ROUND(N($J240)*N($V240),2),0)</f>
        <v>0</v>
      </c>
      <c r="X240" s="58" t="str">
        <f aca="false">IF($E240="","",IFERROR(INDEX(往来单位!$D$6:$D$85,MATCH($E240,往来单位!$A$6:$A$85,0)),"否"))</f>
        <v/>
      </c>
      <c r="Y240" s="61" t="str">
        <f aca="false">IF($B240="","",YEAR($B240))</f>
        <v/>
      </c>
      <c r="Z240" s="58" t="str">
        <f aca="false">IF($B240="","",TEXT($B240,"yyyy-mm"))</f>
        <v/>
      </c>
    </row>
    <row r="241" customFormat="false" ht="15" hidden="false" customHeight="false" outlineLevel="0" collapsed="false">
      <c r="A241" s="53" t="str">
        <f aca="false">IF($B241="","",ROW()-5)</f>
        <v/>
      </c>
      <c r="B241" s="54"/>
      <c r="C241" s="33"/>
      <c r="D241" s="33"/>
      <c r="E241" s="32"/>
      <c r="F241" s="39"/>
      <c r="G241" s="48" t="str">
        <f aca="false">IF($F241="","",IFERROR(INDEX(商品档案!$B$6:$B$65,MATCH($F241,商品档案!$A$6:$A$65,0)),""))</f>
        <v/>
      </c>
      <c r="H241" s="48" t="str">
        <f aca="false">IF($F241="","",IFERROR(INDEX(商品档案!$C$6:$C$65,MATCH($F241,商品档案!$A$6:$A$65,0)),""))</f>
        <v/>
      </c>
      <c r="I241" s="55" t="str">
        <f aca="false">IF($F241="","",IFERROR(INDEX(商品档案!$D$6:$D$65,MATCH($F241,商品档案!$A$6:$A$65,0)),""))</f>
        <v/>
      </c>
      <c r="J241" s="49"/>
      <c r="K241" s="56"/>
      <c r="L241" s="33"/>
      <c r="M241" s="39"/>
      <c r="N241" s="41"/>
      <c r="O241" s="41"/>
      <c r="P241" s="25" t="str">
        <f aca="false">IF(AND($B241="",$D241="",$F241=""),"",IF(NOT(ISNUMBER($B241)),"日期无效",IF(ISNA(MATCH($C241,参数设置!$A$10:$A$12,0)),"公司无效",IF(ISNA(MATCH($D241,记账规则!$A$6:$A$9,0)),"业务类型无效",IF(ISNA(MATCH($F241,商品档案!$A$6:$A$65,0)),"商品编码无效",IF(IFERROR(INDEX(商品档案!$E$6:$E$65,MATCH($F241,商品档案!$A$6:$A$65,0)),"")&lt;&gt;$C241,"商品不属于该公司",IF(AND($E241&lt;&gt;"",ISNA(MATCH($E241,往来单位!$A$6:$A$85,0))),"往来单位未建档",IF(N($J241)=0,"数量为 0",IF(N($K241)=0,"单价为 0",IF(AND(LEFT($D241,2)="销售",$U241=""),"该商品没设成本科目",IF(YEAR($B241)&lt;&gt;参数设置!$B$5,"不在本会计年度","OK")))))))))))</f>
        <v/>
      </c>
      <c r="Q241" s="57" t="str">
        <f aca="false">IF($F241="","",ROUND(N($J241)*N($K241),2))</f>
        <v/>
      </c>
      <c r="R241" s="58" t="str">
        <f aca="false">IF($D241="","",IF(LEFT($D241,2)="销售","应收账款","应付账款"))</f>
        <v/>
      </c>
      <c r="S241" s="58" t="str">
        <f aca="false">IF($F241="","",IFERROR(INDEX(商品档案!$G$6:$G$65,MATCH($F241,商品档案!$A$6:$A$65,0)),""))</f>
        <v/>
      </c>
      <c r="T241" s="58" t="str">
        <f aca="false">IF($F241="","",IFERROR(INDEX(商品档案!$H$6:$H$65,MATCH($F241,商品档案!$A$6:$A$65,0)),""))</f>
        <v/>
      </c>
      <c r="U241" s="58" t="str">
        <f aca="false">IF($F241="","",IFERROR(INDEX(商品档案!$I$6:$I$65,MATCH($F241,商品档案!$A$6:$A$65,0)),""))</f>
        <v/>
      </c>
      <c r="V241" s="59" t="str">
        <f aca="false">IF($F241="","",SUMIFS(进销存台账!$N$6:$N$65,进销存台账!$A$6:$A$65,$C241,进销存台账!$B$6:$B$65,$F241))</f>
        <v/>
      </c>
      <c r="W241" s="60" t="n">
        <f aca="false">IF(OR($D241="销售出库",$D241="销售退回"),ROUND(N($J241)*N($V241),2),0)</f>
        <v>0</v>
      </c>
      <c r="X241" s="58" t="str">
        <f aca="false">IF($E241="","",IFERROR(INDEX(往来单位!$D$6:$D$85,MATCH($E241,往来单位!$A$6:$A$85,0)),"否"))</f>
        <v/>
      </c>
      <c r="Y241" s="61" t="str">
        <f aca="false">IF($B241="","",YEAR($B241))</f>
        <v/>
      </c>
      <c r="Z241" s="58" t="str">
        <f aca="false">IF($B241="","",TEXT($B241,"yyyy-mm"))</f>
        <v/>
      </c>
    </row>
    <row r="242" customFormat="false" ht="15" hidden="false" customHeight="false" outlineLevel="0" collapsed="false">
      <c r="A242" s="53" t="str">
        <f aca="false">IF($B242="","",ROW()-5)</f>
        <v/>
      </c>
      <c r="B242" s="54"/>
      <c r="C242" s="33"/>
      <c r="D242" s="33"/>
      <c r="E242" s="32"/>
      <c r="F242" s="39"/>
      <c r="G242" s="48" t="str">
        <f aca="false">IF($F242="","",IFERROR(INDEX(商品档案!$B$6:$B$65,MATCH($F242,商品档案!$A$6:$A$65,0)),""))</f>
        <v/>
      </c>
      <c r="H242" s="48" t="str">
        <f aca="false">IF($F242="","",IFERROR(INDEX(商品档案!$C$6:$C$65,MATCH($F242,商品档案!$A$6:$A$65,0)),""))</f>
        <v/>
      </c>
      <c r="I242" s="55" t="str">
        <f aca="false">IF($F242="","",IFERROR(INDEX(商品档案!$D$6:$D$65,MATCH($F242,商品档案!$A$6:$A$65,0)),""))</f>
        <v/>
      </c>
      <c r="J242" s="49"/>
      <c r="K242" s="56"/>
      <c r="L242" s="33"/>
      <c r="M242" s="39"/>
      <c r="N242" s="41"/>
      <c r="O242" s="41"/>
      <c r="P242" s="25" t="str">
        <f aca="false">IF(AND($B242="",$D242="",$F242=""),"",IF(NOT(ISNUMBER($B242)),"日期无效",IF(ISNA(MATCH($C242,参数设置!$A$10:$A$12,0)),"公司无效",IF(ISNA(MATCH($D242,记账规则!$A$6:$A$9,0)),"业务类型无效",IF(ISNA(MATCH($F242,商品档案!$A$6:$A$65,0)),"商品编码无效",IF(IFERROR(INDEX(商品档案!$E$6:$E$65,MATCH($F242,商品档案!$A$6:$A$65,0)),"")&lt;&gt;$C242,"商品不属于该公司",IF(AND($E242&lt;&gt;"",ISNA(MATCH($E242,往来单位!$A$6:$A$85,0))),"往来单位未建档",IF(N($J242)=0,"数量为 0",IF(N($K242)=0,"单价为 0",IF(AND(LEFT($D242,2)="销售",$U242=""),"该商品没设成本科目",IF(YEAR($B242)&lt;&gt;参数设置!$B$5,"不在本会计年度","OK")))))))))))</f>
        <v/>
      </c>
      <c r="Q242" s="57" t="str">
        <f aca="false">IF($F242="","",ROUND(N($J242)*N($K242),2))</f>
        <v/>
      </c>
      <c r="R242" s="58" t="str">
        <f aca="false">IF($D242="","",IF(LEFT($D242,2)="销售","应收账款","应付账款"))</f>
        <v/>
      </c>
      <c r="S242" s="58" t="str">
        <f aca="false">IF($F242="","",IFERROR(INDEX(商品档案!$G$6:$G$65,MATCH($F242,商品档案!$A$6:$A$65,0)),""))</f>
        <v/>
      </c>
      <c r="T242" s="58" t="str">
        <f aca="false">IF($F242="","",IFERROR(INDEX(商品档案!$H$6:$H$65,MATCH($F242,商品档案!$A$6:$A$65,0)),""))</f>
        <v/>
      </c>
      <c r="U242" s="58" t="str">
        <f aca="false">IF($F242="","",IFERROR(INDEX(商品档案!$I$6:$I$65,MATCH($F242,商品档案!$A$6:$A$65,0)),""))</f>
        <v/>
      </c>
      <c r="V242" s="59" t="str">
        <f aca="false">IF($F242="","",SUMIFS(进销存台账!$N$6:$N$65,进销存台账!$A$6:$A$65,$C242,进销存台账!$B$6:$B$65,$F242))</f>
        <v/>
      </c>
      <c r="W242" s="60" t="n">
        <f aca="false">IF(OR($D242="销售出库",$D242="销售退回"),ROUND(N($J242)*N($V242),2),0)</f>
        <v>0</v>
      </c>
      <c r="X242" s="58" t="str">
        <f aca="false">IF($E242="","",IFERROR(INDEX(往来单位!$D$6:$D$85,MATCH($E242,往来单位!$A$6:$A$85,0)),"否"))</f>
        <v/>
      </c>
      <c r="Y242" s="61" t="str">
        <f aca="false">IF($B242="","",YEAR($B242))</f>
        <v/>
      </c>
      <c r="Z242" s="58" t="str">
        <f aca="false">IF($B242="","",TEXT($B242,"yyyy-mm"))</f>
        <v/>
      </c>
    </row>
    <row r="243" customFormat="false" ht="15" hidden="false" customHeight="false" outlineLevel="0" collapsed="false">
      <c r="A243" s="53" t="str">
        <f aca="false">IF($B243="","",ROW()-5)</f>
        <v/>
      </c>
      <c r="B243" s="54"/>
      <c r="C243" s="33"/>
      <c r="D243" s="33"/>
      <c r="E243" s="32"/>
      <c r="F243" s="39"/>
      <c r="G243" s="48" t="str">
        <f aca="false">IF($F243="","",IFERROR(INDEX(商品档案!$B$6:$B$65,MATCH($F243,商品档案!$A$6:$A$65,0)),""))</f>
        <v/>
      </c>
      <c r="H243" s="48" t="str">
        <f aca="false">IF($F243="","",IFERROR(INDEX(商品档案!$C$6:$C$65,MATCH($F243,商品档案!$A$6:$A$65,0)),""))</f>
        <v/>
      </c>
      <c r="I243" s="55" t="str">
        <f aca="false">IF($F243="","",IFERROR(INDEX(商品档案!$D$6:$D$65,MATCH($F243,商品档案!$A$6:$A$65,0)),""))</f>
        <v/>
      </c>
      <c r="J243" s="49"/>
      <c r="K243" s="56"/>
      <c r="L243" s="33"/>
      <c r="M243" s="39"/>
      <c r="N243" s="41"/>
      <c r="O243" s="41"/>
      <c r="P243" s="25" t="str">
        <f aca="false">IF(AND($B243="",$D243="",$F243=""),"",IF(NOT(ISNUMBER($B243)),"日期无效",IF(ISNA(MATCH($C243,参数设置!$A$10:$A$12,0)),"公司无效",IF(ISNA(MATCH($D243,记账规则!$A$6:$A$9,0)),"业务类型无效",IF(ISNA(MATCH($F243,商品档案!$A$6:$A$65,0)),"商品编码无效",IF(IFERROR(INDEX(商品档案!$E$6:$E$65,MATCH($F243,商品档案!$A$6:$A$65,0)),"")&lt;&gt;$C243,"商品不属于该公司",IF(AND($E243&lt;&gt;"",ISNA(MATCH($E243,往来单位!$A$6:$A$85,0))),"往来单位未建档",IF(N($J243)=0,"数量为 0",IF(N($K243)=0,"单价为 0",IF(AND(LEFT($D243,2)="销售",$U243=""),"该商品没设成本科目",IF(YEAR($B243)&lt;&gt;参数设置!$B$5,"不在本会计年度","OK")))))))))))</f>
        <v/>
      </c>
      <c r="Q243" s="57" t="str">
        <f aca="false">IF($F243="","",ROUND(N($J243)*N($K243),2))</f>
        <v/>
      </c>
      <c r="R243" s="58" t="str">
        <f aca="false">IF($D243="","",IF(LEFT($D243,2)="销售","应收账款","应付账款"))</f>
        <v/>
      </c>
      <c r="S243" s="58" t="str">
        <f aca="false">IF($F243="","",IFERROR(INDEX(商品档案!$G$6:$G$65,MATCH($F243,商品档案!$A$6:$A$65,0)),""))</f>
        <v/>
      </c>
      <c r="T243" s="58" t="str">
        <f aca="false">IF($F243="","",IFERROR(INDEX(商品档案!$H$6:$H$65,MATCH($F243,商品档案!$A$6:$A$65,0)),""))</f>
        <v/>
      </c>
      <c r="U243" s="58" t="str">
        <f aca="false">IF($F243="","",IFERROR(INDEX(商品档案!$I$6:$I$65,MATCH($F243,商品档案!$A$6:$A$65,0)),""))</f>
        <v/>
      </c>
      <c r="V243" s="59" t="str">
        <f aca="false">IF($F243="","",SUMIFS(进销存台账!$N$6:$N$65,进销存台账!$A$6:$A$65,$C243,进销存台账!$B$6:$B$65,$F243))</f>
        <v/>
      </c>
      <c r="W243" s="60" t="n">
        <f aca="false">IF(OR($D243="销售出库",$D243="销售退回"),ROUND(N($J243)*N($V243),2),0)</f>
        <v>0</v>
      </c>
      <c r="X243" s="58" t="str">
        <f aca="false">IF($E243="","",IFERROR(INDEX(往来单位!$D$6:$D$85,MATCH($E243,往来单位!$A$6:$A$85,0)),"否"))</f>
        <v/>
      </c>
      <c r="Y243" s="61" t="str">
        <f aca="false">IF($B243="","",YEAR($B243))</f>
        <v/>
      </c>
      <c r="Z243" s="58" t="str">
        <f aca="false">IF($B243="","",TEXT($B243,"yyyy-mm"))</f>
        <v/>
      </c>
    </row>
    <row r="244" customFormat="false" ht="15" hidden="false" customHeight="false" outlineLevel="0" collapsed="false">
      <c r="A244" s="53" t="str">
        <f aca="false">IF($B244="","",ROW()-5)</f>
        <v/>
      </c>
      <c r="B244" s="54"/>
      <c r="C244" s="33"/>
      <c r="D244" s="33"/>
      <c r="E244" s="32"/>
      <c r="F244" s="39"/>
      <c r="G244" s="48" t="str">
        <f aca="false">IF($F244="","",IFERROR(INDEX(商品档案!$B$6:$B$65,MATCH($F244,商品档案!$A$6:$A$65,0)),""))</f>
        <v/>
      </c>
      <c r="H244" s="48" t="str">
        <f aca="false">IF($F244="","",IFERROR(INDEX(商品档案!$C$6:$C$65,MATCH($F244,商品档案!$A$6:$A$65,0)),""))</f>
        <v/>
      </c>
      <c r="I244" s="55" t="str">
        <f aca="false">IF($F244="","",IFERROR(INDEX(商品档案!$D$6:$D$65,MATCH($F244,商品档案!$A$6:$A$65,0)),""))</f>
        <v/>
      </c>
      <c r="J244" s="49"/>
      <c r="K244" s="56"/>
      <c r="L244" s="33"/>
      <c r="M244" s="39"/>
      <c r="N244" s="41"/>
      <c r="O244" s="41"/>
      <c r="P244" s="25" t="str">
        <f aca="false">IF(AND($B244="",$D244="",$F244=""),"",IF(NOT(ISNUMBER($B244)),"日期无效",IF(ISNA(MATCH($C244,参数设置!$A$10:$A$12,0)),"公司无效",IF(ISNA(MATCH($D244,记账规则!$A$6:$A$9,0)),"业务类型无效",IF(ISNA(MATCH($F244,商品档案!$A$6:$A$65,0)),"商品编码无效",IF(IFERROR(INDEX(商品档案!$E$6:$E$65,MATCH($F244,商品档案!$A$6:$A$65,0)),"")&lt;&gt;$C244,"商品不属于该公司",IF(AND($E244&lt;&gt;"",ISNA(MATCH($E244,往来单位!$A$6:$A$85,0))),"往来单位未建档",IF(N($J244)=0,"数量为 0",IF(N($K244)=0,"单价为 0",IF(AND(LEFT($D244,2)="销售",$U244=""),"该商品没设成本科目",IF(YEAR($B244)&lt;&gt;参数设置!$B$5,"不在本会计年度","OK")))))))))))</f>
        <v/>
      </c>
      <c r="Q244" s="57" t="str">
        <f aca="false">IF($F244="","",ROUND(N($J244)*N($K244),2))</f>
        <v/>
      </c>
      <c r="R244" s="58" t="str">
        <f aca="false">IF($D244="","",IF(LEFT($D244,2)="销售","应收账款","应付账款"))</f>
        <v/>
      </c>
      <c r="S244" s="58" t="str">
        <f aca="false">IF($F244="","",IFERROR(INDEX(商品档案!$G$6:$G$65,MATCH($F244,商品档案!$A$6:$A$65,0)),""))</f>
        <v/>
      </c>
      <c r="T244" s="58" t="str">
        <f aca="false">IF($F244="","",IFERROR(INDEX(商品档案!$H$6:$H$65,MATCH($F244,商品档案!$A$6:$A$65,0)),""))</f>
        <v/>
      </c>
      <c r="U244" s="58" t="str">
        <f aca="false">IF($F244="","",IFERROR(INDEX(商品档案!$I$6:$I$65,MATCH($F244,商品档案!$A$6:$A$65,0)),""))</f>
        <v/>
      </c>
      <c r="V244" s="59" t="str">
        <f aca="false">IF($F244="","",SUMIFS(进销存台账!$N$6:$N$65,进销存台账!$A$6:$A$65,$C244,进销存台账!$B$6:$B$65,$F244))</f>
        <v/>
      </c>
      <c r="W244" s="60" t="n">
        <f aca="false">IF(OR($D244="销售出库",$D244="销售退回"),ROUND(N($J244)*N($V244),2),0)</f>
        <v>0</v>
      </c>
      <c r="X244" s="58" t="str">
        <f aca="false">IF($E244="","",IFERROR(INDEX(往来单位!$D$6:$D$85,MATCH($E244,往来单位!$A$6:$A$85,0)),"否"))</f>
        <v/>
      </c>
      <c r="Y244" s="61" t="str">
        <f aca="false">IF($B244="","",YEAR($B244))</f>
        <v/>
      </c>
      <c r="Z244" s="58" t="str">
        <f aca="false">IF($B244="","",TEXT($B244,"yyyy-mm"))</f>
        <v/>
      </c>
    </row>
    <row r="245" customFormat="false" ht="15" hidden="false" customHeight="false" outlineLevel="0" collapsed="false">
      <c r="A245" s="53" t="str">
        <f aca="false">IF($B245="","",ROW()-5)</f>
        <v/>
      </c>
      <c r="B245" s="54"/>
      <c r="C245" s="33"/>
      <c r="D245" s="33"/>
      <c r="E245" s="32"/>
      <c r="F245" s="39"/>
      <c r="G245" s="48" t="str">
        <f aca="false">IF($F245="","",IFERROR(INDEX(商品档案!$B$6:$B$65,MATCH($F245,商品档案!$A$6:$A$65,0)),""))</f>
        <v/>
      </c>
      <c r="H245" s="48" t="str">
        <f aca="false">IF($F245="","",IFERROR(INDEX(商品档案!$C$6:$C$65,MATCH($F245,商品档案!$A$6:$A$65,0)),""))</f>
        <v/>
      </c>
      <c r="I245" s="55" t="str">
        <f aca="false">IF($F245="","",IFERROR(INDEX(商品档案!$D$6:$D$65,MATCH($F245,商品档案!$A$6:$A$65,0)),""))</f>
        <v/>
      </c>
      <c r="J245" s="49"/>
      <c r="K245" s="56"/>
      <c r="L245" s="33"/>
      <c r="M245" s="39"/>
      <c r="N245" s="41"/>
      <c r="O245" s="41"/>
      <c r="P245" s="25" t="str">
        <f aca="false">IF(AND($B245="",$D245="",$F245=""),"",IF(NOT(ISNUMBER($B245)),"日期无效",IF(ISNA(MATCH($C245,参数设置!$A$10:$A$12,0)),"公司无效",IF(ISNA(MATCH($D245,记账规则!$A$6:$A$9,0)),"业务类型无效",IF(ISNA(MATCH($F245,商品档案!$A$6:$A$65,0)),"商品编码无效",IF(IFERROR(INDEX(商品档案!$E$6:$E$65,MATCH($F245,商品档案!$A$6:$A$65,0)),"")&lt;&gt;$C245,"商品不属于该公司",IF(AND($E245&lt;&gt;"",ISNA(MATCH($E245,往来单位!$A$6:$A$85,0))),"往来单位未建档",IF(N($J245)=0,"数量为 0",IF(N($K245)=0,"单价为 0",IF(AND(LEFT($D245,2)="销售",$U245=""),"该商品没设成本科目",IF(YEAR($B245)&lt;&gt;参数设置!$B$5,"不在本会计年度","OK")))))))))))</f>
        <v/>
      </c>
      <c r="Q245" s="57" t="str">
        <f aca="false">IF($F245="","",ROUND(N($J245)*N($K245),2))</f>
        <v/>
      </c>
      <c r="R245" s="58" t="str">
        <f aca="false">IF($D245="","",IF(LEFT($D245,2)="销售","应收账款","应付账款"))</f>
        <v/>
      </c>
      <c r="S245" s="58" t="str">
        <f aca="false">IF($F245="","",IFERROR(INDEX(商品档案!$G$6:$G$65,MATCH($F245,商品档案!$A$6:$A$65,0)),""))</f>
        <v/>
      </c>
      <c r="T245" s="58" t="str">
        <f aca="false">IF($F245="","",IFERROR(INDEX(商品档案!$H$6:$H$65,MATCH($F245,商品档案!$A$6:$A$65,0)),""))</f>
        <v/>
      </c>
      <c r="U245" s="58" t="str">
        <f aca="false">IF($F245="","",IFERROR(INDEX(商品档案!$I$6:$I$65,MATCH($F245,商品档案!$A$6:$A$65,0)),""))</f>
        <v/>
      </c>
      <c r="V245" s="59" t="str">
        <f aca="false">IF($F245="","",SUMIFS(进销存台账!$N$6:$N$65,进销存台账!$A$6:$A$65,$C245,进销存台账!$B$6:$B$65,$F245))</f>
        <v/>
      </c>
      <c r="W245" s="60" t="n">
        <f aca="false">IF(OR($D245="销售出库",$D245="销售退回"),ROUND(N($J245)*N($V245),2),0)</f>
        <v>0</v>
      </c>
      <c r="X245" s="58" t="str">
        <f aca="false">IF($E245="","",IFERROR(INDEX(往来单位!$D$6:$D$85,MATCH($E245,往来单位!$A$6:$A$85,0)),"否"))</f>
        <v/>
      </c>
      <c r="Y245" s="61" t="str">
        <f aca="false">IF($B245="","",YEAR($B245))</f>
        <v/>
      </c>
      <c r="Z245" s="58" t="str">
        <f aca="false">IF($B245="","",TEXT($B245,"yyyy-mm"))</f>
        <v/>
      </c>
    </row>
    <row r="246" customFormat="false" ht="15" hidden="false" customHeight="false" outlineLevel="0" collapsed="false">
      <c r="A246" s="53" t="str">
        <f aca="false">IF($B246="","",ROW()-5)</f>
        <v/>
      </c>
      <c r="B246" s="54"/>
      <c r="C246" s="33"/>
      <c r="D246" s="33"/>
      <c r="E246" s="32"/>
      <c r="F246" s="39"/>
      <c r="G246" s="48" t="str">
        <f aca="false">IF($F246="","",IFERROR(INDEX(商品档案!$B$6:$B$65,MATCH($F246,商品档案!$A$6:$A$65,0)),""))</f>
        <v/>
      </c>
      <c r="H246" s="48" t="str">
        <f aca="false">IF($F246="","",IFERROR(INDEX(商品档案!$C$6:$C$65,MATCH($F246,商品档案!$A$6:$A$65,0)),""))</f>
        <v/>
      </c>
      <c r="I246" s="55" t="str">
        <f aca="false">IF($F246="","",IFERROR(INDEX(商品档案!$D$6:$D$65,MATCH($F246,商品档案!$A$6:$A$65,0)),""))</f>
        <v/>
      </c>
      <c r="J246" s="49"/>
      <c r="K246" s="56"/>
      <c r="L246" s="33"/>
      <c r="M246" s="39"/>
      <c r="N246" s="41"/>
      <c r="O246" s="41"/>
      <c r="P246" s="25" t="str">
        <f aca="false">IF(AND($B246="",$D246="",$F246=""),"",IF(NOT(ISNUMBER($B246)),"日期无效",IF(ISNA(MATCH($C246,参数设置!$A$10:$A$12,0)),"公司无效",IF(ISNA(MATCH($D246,记账规则!$A$6:$A$9,0)),"业务类型无效",IF(ISNA(MATCH($F246,商品档案!$A$6:$A$65,0)),"商品编码无效",IF(IFERROR(INDEX(商品档案!$E$6:$E$65,MATCH($F246,商品档案!$A$6:$A$65,0)),"")&lt;&gt;$C246,"商品不属于该公司",IF(AND($E246&lt;&gt;"",ISNA(MATCH($E246,往来单位!$A$6:$A$85,0))),"往来单位未建档",IF(N($J246)=0,"数量为 0",IF(N($K246)=0,"单价为 0",IF(AND(LEFT($D246,2)="销售",$U246=""),"该商品没设成本科目",IF(YEAR($B246)&lt;&gt;参数设置!$B$5,"不在本会计年度","OK")))))))))))</f>
        <v/>
      </c>
      <c r="Q246" s="57" t="str">
        <f aca="false">IF($F246="","",ROUND(N($J246)*N($K246),2))</f>
        <v/>
      </c>
      <c r="R246" s="58" t="str">
        <f aca="false">IF($D246="","",IF(LEFT($D246,2)="销售","应收账款","应付账款"))</f>
        <v/>
      </c>
      <c r="S246" s="58" t="str">
        <f aca="false">IF($F246="","",IFERROR(INDEX(商品档案!$G$6:$G$65,MATCH($F246,商品档案!$A$6:$A$65,0)),""))</f>
        <v/>
      </c>
      <c r="T246" s="58" t="str">
        <f aca="false">IF($F246="","",IFERROR(INDEX(商品档案!$H$6:$H$65,MATCH($F246,商品档案!$A$6:$A$65,0)),""))</f>
        <v/>
      </c>
      <c r="U246" s="58" t="str">
        <f aca="false">IF($F246="","",IFERROR(INDEX(商品档案!$I$6:$I$65,MATCH($F246,商品档案!$A$6:$A$65,0)),""))</f>
        <v/>
      </c>
      <c r="V246" s="59" t="str">
        <f aca="false">IF($F246="","",SUMIFS(进销存台账!$N$6:$N$65,进销存台账!$A$6:$A$65,$C246,进销存台账!$B$6:$B$65,$F246))</f>
        <v/>
      </c>
      <c r="W246" s="60" t="n">
        <f aca="false">IF(OR($D246="销售出库",$D246="销售退回"),ROUND(N($J246)*N($V246),2),0)</f>
        <v>0</v>
      </c>
      <c r="X246" s="58" t="str">
        <f aca="false">IF($E246="","",IFERROR(INDEX(往来单位!$D$6:$D$85,MATCH($E246,往来单位!$A$6:$A$85,0)),"否"))</f>
        <v/>
      </c>
      <c r="Y246" s="61" t="str">
        <f aca="false">IF($B246="","",YEAR($B246))</f>
        <v/>
      </c>
      <c r="Z246" s="58" t="str">
        <f aca="false">IF($B246="","",TEXT($B246,"yyyy-mm"))</f>
        <v/>
      </c>
    </row>
    <row r="247" customFormat="false" ht="15" hidden="false" customHeight="false" outlineLevel="0" collapsed="false">
      <c r="A247" s="53" t="str">
        <f aca="false">IF($B247="","",ROW()-5)</f>
        <v/>
      </c>
      <c r="B247" s="54"/>
      <c r="C247" s="33"/>
      <c r="D247" s="33"/>
      <c r="E247" s="32"/>
      <c r="F247" s="39"/>
      <c r="G247" s="48" t="str">
        <f aca="false">IF($F247="","",IFERROR(INDEX(商品档案!$B$6:$B$65,MATCH($F247,商品档案!$A$6:$A$65,0)),""))</f>
        <v/>
      </c>
      <c r="H247" s="48" t="str">
        <f aca="false">IF($F247="","",IFERROR(INDEX(商品档案!$C$6:$C$65,MATCH($F247,商品档案!$A$6:$A$65,0)),""))</f>
        <v/>
      </c>
      <c r="I247" s="55" t="str">
        <f aca="false">IF($F247="","",IFERROR(INDEX(商品档案!$D$6:$D$65,MATCH($F247,商品档案!$A$6:$A$65,0)),""))</f>
        <v/>
      </c>
      <c r="J247" s="49"/>
      <c r="K247" s="56"/>
      <c r="L247" s="33"/>
      <c r="M247" s="39"/>
      <c r="N247" s="41"/>
      <c r="O247" s="41"/>
      <c r="P247" s="25" t="str">
        <f aca="false">IF(AND($B247="",$D247="",$F247=""),"",IF(NOT(ISNUMBER($B247)),"日期无效",IF(ISNA(MATCH($C247,参数设置!$A$10:$A$12,0)),"公司无效",IF(ISNA(MATCH($D247,记账规则!$A$6:$A$9,0)),"业务类型无效",IF(ISNA(MATCH($F247,商品档案!$A$6:$A$65,0)),"商品编码无效",IF(IFERROR(INDEX(商品档案!$E$6:$E$65,MATCH($F247,商品档案!$A$6:$A$65,0)),"")&lt;&gt;$C247,"商品不属于该公司",IF(AND($E247&lt;&gt;"",ISNA(MATCH($E247,往来单位!$A$6:$A$85,0))),"往来单位未建档",IF(N($J247)=0,"数量为 0",IF(N($K247)=0,"单价为 0",IF(AND(LEFT($D247,2)="销售",$U247=""),"该商品没设成本科目",IF(YEAR($B247)&lt;&gt;参数设置!$B$5,"不在本会计年度","OK")))))))))))</f>
        <v/>
      </c>
      <c r="Q247" s="57" t="str">
        <f aca="false">IF($F247="","",ROUND(N($J247)*N($K247),2))</f>
        <v/>
      </c>
      <c r="R247" s="58" t="str">
        <f aca="false">IF($D247="","",IF(LEFT($D247,2)="销售","应收账款","应付账款"))</f>
        <v/>
      </c>
      <c r="S247" s="58" t="str">
        <f aca="false">IF($F247="","",IFERROR(INDEX(商品档案!$G$6:$G$65,MATCH($F247,商品档案!$A$6:$A$65,0)),""))</f>
        <v/>
      </c>
      <c r="T247" s="58" t="str">
        <f aca="false">IF($F247="","",IFERROR(INDEX(商品档案!$H$6:$H$65,MATCH($F247,商品档案!$A$6:$A$65,0)),""))</f>
        <v/>
      </c>
      <c r="U247" s="58" t="str">
        <f aca="false">IF($F247="","",IFERROR(INDEX(商品档案!$I$6:$I$65,MATCH($F247,商品档案!$A$6:$A$65,0)),""))</f>
        <v/>
      </c>
      <c r="V247" s="59" t="str">
        <f aca="false">IF($F247="","",SUMIFS(进销存台账!$N$6:$N$65,进销存台账!$A$6:$A$65,$C247,进销存台账!$B$6:$B$65,$F247))</f>
        <v/>
      </c>
      <c r="W247" s="60" t="n">
        <f aca="false">IF(OR($D247="销售出库",$D247="销售退回"),ROUND(N($J247)*N($V247),2),0)</f>
        <v>0</v>
      </c>
      <c r="X247" s="58" t="str">
        <f aca="false">IF($E247="","",IFERROR(INDEX(往来单位!$D$6:$D$85,MATCH($E247,往来单位!$A$6:$A$85,0)),"否"))</f>
        <v/>
      </c>
      <c r="Y247" s="61" t="str">
        <f aca="false">IF($B247="","",YEAR($B247))</f>
        <v/>
      </c>
      <c r="Z247" s="58" t="str">
        <f aca="false">IF($B247="","",TEXT($B247,"yyyy-mm"))</f>
        <v/>
      </c>
    </row>
    <row r="248" customFormat="false" ht="15" hidden="false" customHeight="false" outlineLevel="0" collapsed="false">
      <c r="A248" s="53" t="str">
        <f aca="false">IF($B248="","",ROW()-5)</f>
        <v/>
      </c>
      <c r="B248" s="54"/>
      <c r="C248" s="33"/>
      <c r="D248" s="33"/>
      <c r="E248" s="32"/>
      <c r="F248" s="39"/>
      <c r="G248" s="48" t="str">
        <f aca="false">IF($F248="","",IFERROR(INDEX(商品档案!$B$6:$B$65,MATCH($F248,商品档案!$A$6:$A$65,0)),""))</f>
        <v/>
      </c>
      <c r="H248" s="48" t="str">
        <f aca="false">IF($F248="","",IFERROR(INDEX(商品档案!$C$6:$C$65,MATCH($F248,商品档案!$A$6:$A$65,0)),""))</f>
        <v/>
      </c>
      <c r="I248" s="55" t="str">
        <f aca="false">IF($F248="","",IFERROR(INDEX(商品档案!$D$6:$D$65,MATCH($F248,商品档案!$A$6:$A$65,0)),""))</f>
        <v/>
      </c>
      <c r="J248" s="49"/>
      <c r="K248" s="56"/>
      <c r="L248" s="33"/>
      <c r="M248" s="39"/>
      <c r="N248" s="41"/>
      <c r="O248" s="41"/>
      <c r="P248" s="25" t="str">
        <f aca="false">IF(AND($B248="",$D248="",$F248=""),"",IF(NOT(ISNUMBER($B248)),"日期无效",IF(ISNA(MATCH($C248,参数设置!$A$10:$A$12,0)),"公司无效",IF(ISNA(MATCH($D248,记账规则!$A$6:$A$9,0)),"业务类型无效",IF(ISNA(MATCH($F248,商品档案!$A$6:$A$65,0)),"商品编码无效",IF(IFERROR(INDEX(商品档案!$E$6:$E$65,MATCH($F248,商品档案!$A$6:$A$65,0)),"")&lt;&gt;$C248,"商品不属于该公司",IF(AND($E248&lt;&gt;"",ISNA(MATCH($E248,往来单位!$A$6:$A$85,0))),"往来单位未建档",IF(N($J248)=0,"数量为 0",IF(N($K248)=0,"单价为 0",IF(AND(LEFT($D248,2)="销售",$U248=""),"该商品没设成本科目",IF(YEAR($B248)&lt;&gt;参数设置!$B$5,"不在本会计年度","OK")))))))))))</f>
        <v/>
      </c>
      <c r="Q248" s="57" t="str">
        <f aca="false">IF($F248="","",ROUND(N($J248)*N($K248),2))</f>
        <v/>
      </c>
      <c r="R248" s="58" t="str">
        <f aca="false">IF($D248="","",IF(LEFT($D248,2)="销售","应收账款","应付账款"))</f>
        <v/>
      </c>
      <c r="S248" s="58" t="str">
        <f aca="false">IF($F248="","",IFERROR(INDEX(商品档案!$G$6:$G$65,MATCH($F248,商品档案!$A$6:$A$65,0)),""))</f>
        <v/>
      </c>
      <c r="T248" s="58" t="str">
        <f aca="false">IF($F248="","",IFERROR(INDEX(商品档案!$H$6:$H$65,MATCH($F248,商品档案!$A$6:$A$65,0)),""))</f>
        <v/>
      </c>
      <c r="U248" s="58" t="str">
        <f aca="false">IF($F248="","",IFERROR(INDEX(商品档案!$I$6:$I$65,MATCH($F248,商品档案!$A$6:$A$65,0)),""))</f>
        <v/>
      </c>
      <c r="V248" s="59" t="str">
        <f aca="false">IF($F248="","",SUMIFS(进销存台账!$N$6:$N$65,进销存台账!$A$6:$A$65,$C248,进销存台账!$B$6:$B$65,$F248))</f>
        <v/>
      </c>
      <c r="W248" s="60" t="n">
        <f aca="false">IF(OR($D248="销售出库",$D248="销售退回"),ROUND(N($J248)*N($V248),2),0)</f>
        <v>0</v>
      </c>
      <c r="X248" s="58" t="str">
        <f aca="false">IF($E248="","",IFERROR(INDEX(往来单位!$D$6:$D$85,MATCH($E248,往来单位!$A$6:$A$85,0)),"否"))</f>
        <v/>
      </c>
      <c r="Y248" s="61" t="str">
        <f aca="false">IF($B248="","",YEAR($B248))</f>
        <v/>
      </c>
      <c r="Z248" s="58" t="str">
        <f aca="false">IF($B248="","",TEXT($B248,"yyyy-mm"))</f>
        <v/>
      </c>
    </row>
    <row r="249" customFormat="false" ht="15" hidden="false" customHeight="false" outlineLevel="0" collapsed="false">
      <c r="A249" s="53" t="str">
        <f aca="false">IF($B249="","",ROW()-5)</f>
        <v/>
      </c>
      <c r="B249" s="54"/>
      <c r="C249" s="33"/>
      <c r="D249" s="33"/>
      <c r="E249" s="32"/>
      <c r="F249" s="39"/>
      <c r="G249" s="48" t="str">
        <f aca="false">IF($F249="","",IFERROR(INDEX(商品档案!$B$6:$B$65,MATCH($F249,商品档案!$A$6:$A$65,0)),""))</f>
        <v/>
      </c>
      <c r="H249" s="48" t="str">
        <f aca="false">IF($F249="","",IFERROR(INDEX(商品档案!$C$6:$C$65,MATCH($F249,商品档案!$A$6:$A$65,0)),""))</f>
        <v/>
      </c>
      <c r="I249" s="55" t="str">
        <f aca="false">IF($F249="","",IFERROR(INDEX(商品档案!$D$6:$D$65,MATCH($F249,商品档案!$A$6:$A$65,0)),""))</f>
        <v/>
      </c>
      <c r="J249" s="49"/>
      <c r="K249" s="56"/>
      <c r="L249" s="33"/>
      <c r="M249" s="39"/>
      <c r="N249" s="41"/>
      <c r="O249" s="41"/>
      <c r="P249" s="25" t="str">
        <f aca="false">IF(AND($B249="",$D249="",$F249=""),"",IF(NOT(ISNUMBER($B249)),"日期无效",IF(ISNA(MATCH($C249,参数设置!$A$10:$A$12,0)),"公司无效",IF(ISNA(MATCH($D249,记账规则!$A$6:$A$9,0)),"业务类型无效",IF(ISNA(MATCH($F249,商品档案!$A$6:$A$65,0)),"商品编码无效",IF(IFERROR(INDEX(商品档案!$E$6:$E$65,MATCH($F249,商品档案!$A$6:$A$65,0)),"")&lt;&gt;$C249,"商品不属于该公司",IF(AND($E249&lt;&gt;"",ISNA(MATCH($E249,往来单位!$A$6:$A$85,0))),"往来单位未建档",IF(N($J249)=0,"数量为 0",IF(N($K249)=0,"单价为 0",IF(AND(LEFT($D249,2)="销售",$U249=""),"该商品没设成本科目",IF(YEAR($B249)&lt;&gt;参数设置!$B$5,"不在本会计年度","OK")))))))))))</f>
        <v/>
      </c>
      <c r="Q249" s="57" t="str">
        <f aca="false">IF($F249="","",ROUND(N($J249)*N($K249),2))</f>
        <v/>
      </c>
      <c r="R249" s="58" t="str">
        <f aca="false">IF($D249="","",IF(LEFT($D249,2)="销售","应收账款","应付账款"))</f>
        <v/>
      </c>
      <c r="S249" s="58" t="str">
        <f aca="false">IF($F249="","",IFERROR(INDEX(商品档案!$G$6:$G$65,MATCH($F249,商品档案!$A$6:$A$65,0)),""))</f>
        <v/>
      </c>
      <c r="T249" s="58" t="str">
        <f aca="false">IF($F249="","",IFERROR(INDEX(商品档案!$H$6:$H$65,MATCH($F249,商品档案!$A$6:$A$65,0)),""))</f>
        <v/>
      </c>
      <c r="U249" s="58" t="str">
        <f aca="false">IF($F249="","",IFERROR(INDEX(商品档案!$I$6:$I$65,MATCH($F249,商品档案!$A$6:$A$65,0)),""))</f>
        <v/>
      </c>
      <c r="V249" s="59" t="str">
        <f aca="false">IF($F249="","",SUMIFS(进销存台账!$N$6:$N$65,进销存台账!$A$6:$A$65,$C249,进销存台账!$B$6:$B$65,$F249))</f>
        <v/>
      </c>
      <c r="W249" s="60" t="n">
        <f aca="false">IF(OR($D249="销售出库",$D249="销售退回"),ROUND(N($J249)*N($V249),2),0)</f>
        <v>0</v>
      </c>
      <c r="X249" s="58" t="str">
        <f aca="false">IF($E249="","",IFERROR(INDEX(往来单位!$D$6:$D$85,MATCH($E249,往来单位!$A$6:$A$85,0)),"否"))</f>
        <v/>
      </c>
      <c r="Y249" s="61" t="str">
        <f aca="false">IF($B249="","",YEAR($B249))</f>
        <v/>
      </c>
      <c r="Z249" s="58" t="str">
        <f aca="false">IF($B249="","",TEXT($B249,"yyyy-mm"))</f>
        <v/>
      </c>
    </row>
    <row r="250" customFormat="false" ht="15" hidden="false" customHeight="false" outlineLevel="0" collapsed="false">
      <c r="A250" s="53" t="str">
        <f aca="false">IF($B250="","",ROW()-5)</f>
        <v/>
      </c>
      <c r="B250" s="54"/>
      <c r="C250" s="33"/>
      <c r="D250" s="33"/>
      <c r="E250" s="32"/>
      <c r="F250" s="39"/>
      <c r="G250" s="48" t="str">
        <f aca="false">IF($F250="","",IFERROR(INDEX(商品档案!$B$6:$B$65,MATCH($F250,商品档案!$A$6:$A$65,0)),""))</f>
        <v/>
      </c>
      <c r="H250" s="48" t="str">
        <f aca="false">IF($F250="","",IFERROR(INDEX(商品档案!$C$6:$C$65,MATCH($F250,商品档案!$A$6:$A$65,0)),""))</f>
        <v/>
      </c>
      <c r="I250" s="55" t="str">
        <f aca="false">IF($F250="","",IFERROR(INDEX(商品档案!$D$6:$D$65,MATCH($F250,商品档案!$A$6:$A$65,0)),""))</f>
        <v/>
      </c>
      <c r="J250" s="49"/>
      <c r="K250" s="56"/>
      <c r="L250" s="33"/>
      <c r="M250" s="39"/>
      <c r="N250" s="41"/>
      <c r="O250" s="41"/>
      <c r="P250" s="25" t="str">
        <f aca="false">IF(AND($B250="",$D250="",$F250=""),"",IF(NOT(ISNUMBER($B250)),"日期无效",IF(ISNA(MATCH($C250,参数设置!$A$10:$A$12,0)),"公司无效",IF(ISNA(MATCH($D250,记账规则!$A$6:$A$9,0)),"业务类型无效",IF(ISNA(MATCH($F250,商品档案!$A$6:$A$65,0)),"商品编码无效",IF(IFERROR(INDEX(商品档案!$E$6:$E$65,MATCH($F250,商品档案!$A$6:$A$65,0)),"")&lt;&gt;$C250,"商品不属于该公司",IF(AND($E250&lt;&gt;"",ISNA(MATCH($E250,往来单位!$A$6:$A$85,0))),"往来单位未建档",IF(N($J250)=0,"数量为 0",IF(N($K250)=0,"单价为 0",IF(AND(LEFT($D250,2)="销售",$U250=""),"该商品没设成本科目",IF(YEAR($B250)&lt;&gt;参数设置!$B$5,"不在本会计年度","OK")))))))))))</f>
        <v/>
      </c>
      <c r="Q250" s="57" t="str">
        <f aca="false">IF($F250="","",ROUND(N($J250)*N($K250),2))</f>
        <v/>
      </c>
      <c r="R250" s="58" t="str">
        <f aca="false">IF($D250="","",IF(LEFT($D250,2)="销售","应收账款","应付账款"))</f>
        <v/>
      </c>
      <c r="S250" s="58" t="str">
        <f aca="false">IF($F250="","",IFERROR(INDEX(商品档案!$G$6:$G$65,MATCH($F250,商品档案!$A$6:$A$65,0)),""))</f>
        <v/>
      </c>
      <c r="T250" s="58" t="str">
        <f aca="false">IF($F250="","",IFERROR(INDEX(商品档案!$H$6:$H$65,MATCH($F250,商品档案!$A$6:$A$65,0)),""))</f>
        <v/>
      </c>
      <c r="U250" s="58" t="str">
        <f aca="false">IF($F250="","",IFERROR(INDEX(商品档案!$I$6:$I$65,MATCH($F250,商品档案!$A$6:$A$65,0)),""))</f>
        <v/>
      </c>
      <c r="V250" s="59" t="str">
        <f aca="false">IF($F250="","",SUMIFS(进销存台账!$N$6:$N$65,进销存台账!$A$6:$A$65,$C250,进销存台账!$B$6:$B$65,$F250))</f>
        <v/>
      </c>
      <c r="W250" s="60" t="n">
        <f aca="false">IF(OR($D250="销售出库",$D250="销售退回"),ROUND(N($J250)*N($V250),2),0)</f>
        <v>0</v>
      </c>
      <c r="X250" s="58" t="str">
        <f aca="false">IF($E250="","",IFERROR(INDEX(往来单位!$D$6:$D$85,MATCH($E250,往来单位!$A$6:$A$85,0)),"否"))</f>
        <v/>
      </c>
      <c r="Y250" s="61" t="str">
        <f aca="false">IF($B250="","",YEAR($B250))</f>
        <v/>
      </c>
      <c r="Z250" s="58" t="str">
        <f aca="false">IF($B250="","",TEXT($B250,"yyyy-mm"))</f>
        <v/>
      </c>
    </row>
    <row r="251" customFormat="false" ht="15" hidden="false" customHeight="false" outlineLevel="0" collapsed="false">
      <c r="A251" s="53" t="str">
        <f aca="false">IF($B251="","",ROW()-5)</f>
        <v/>
      </c>
      <c r="B251" s="54"/>
      <c r="C251" s="33"/>
      <c r="D251" s="33"/>
      <c r="E251" s="32"/>
      <c r="F251" s="39"/>
      <c r="G251" s="48" t="str">
        <f aca="false">IF($F251="","",IFERROR(INDEX(商品档案!$B$6:$B$65,MATCH($F251,商品档案!$A$6:$A$65,0)),""))</f>
        <v/>
      </c>
      <c r="H251" s="48" t="str">
        <f aca="false">IF($F251="","",IFERROR(INDEX(商品档案!$C$6:$C$65,MATCH($F251,商品档案!$A$6:$A$65,0)),""))</f>
        <v/>
      </c>
      <c r="I251" s="55" t="str">
        <f aca="false">IF($F251="","",IFERROR(INDEX(商品档案!$D$6:$D$65,MATCH($F251,商品档案!$A$6:$A$65,0)),""))</f>
        <v/>
      </c>
      <c r="J251" s="49"/>
      <c r="K251" s="56"/>
      <c r="L251" s="33"/>
      <c r="M251" s="39"/>
      <c r="N251" s="41"/>
      <c r="O251" s="41"/>
      <c r="P251" s="25" t="str">
        <f aca="false">IF(AND($B251="",$D251="",$F251=""),"",IF(NOT(ISNUMBER($B251)),"日期无效",IF(ISNA(MATCH($C251,参数设置!$A$10:$A$12,0)),"公司无效",IF(ISNA(MATCH($D251,记账规则!$A$6:$A$9,0)),"业务类型无效",IF(ISNA(MATCH($F251,商品档案!$A$6:$A$65,0)),"商品编码无效",IF(IFERROR(INDEX(商品档案!$E$6:$E$65,MATCH($F251,商品档案!$A$6:$A$65,0)),"")&lt;&gt;$C251,"商品不属于该公司",IF(AND($E251&lt;&gt;"",ISNA(MATCH($E251,往来单位!$A$6:$A$85,0))),"往来单位未建档",IF(N($J251)=0,"数量为 0",IF(N($K251)=0,"单价为 0",IF(AND(LEFT($D251,2)="销售",$U251=""),"该商品没设成本科目",IF(YEAR($B251)&lt;&gt;参数设置!$B$5,"不在本会计年度","OK")))))))))))</f>
        <v/>
      </c>
      <c r="Q251" s="57" t="str">
        <f aca="false">IF($F251="","",ROUND(N($J251)*N($K251),2))</f>
        <v/>
      </c>
      <c r="R251" s="58" t="str">
        <f aca="false">IF($D251="","",IF(LEFT($D251,2)="销售","应收账款","应付账款"))</f>
        <v/>
      </c>
      <c r="S251" s="58" t="str">
        <f aca="false">IF($F251="","",IFERROR(INDEX(商品档案!$G$6:$G$65,MATCH($F251,商品档案!$A$6:$A$65,0)),""))</f>
        <v/>
      </c>
      <c r="T251" s="58" t="str">
        <f aca="false">IF($F251="","",IFERROR(INDEX(商品档案!$H$6:$H$65,MATCH($F251,商品档案!$A$6:$A$65,0)),""))</f>
        <v/>
      </c>
      <c r="U251" s="58" t="str">
        <f aca="false">IF($F251="","",IFERROR(INDEX(商品档案!$I$6:$I$65,MATCH($F251,商品档案!$A$6:$A$65,0)),""))</f>
        <v/>
      </c>
      <c r="V251" s="59" t="str">
        <f aca="false">IF($F251="","",SUMIFS(进销存台账!$N$6:$N$65,进销存台账!$A$6:$A$65,$C251,进销存台账!$B$6:$B$65,$F251))</f>
        <v/>
      </c>
      <c r="W251" s="60" t="n">
        <f aca="false">IF(OR($D251="销售出库",$D251="销售退回"),ROUND(N($J251)*N($V251),2),0)</f>
        <v>0</v>
      </c>
      <c r="X251" s="58" t="str">
        <f aca="false">IF($E251="","",IFERROR(INDEX(往来单位!$D$6:$D$85,MATCH($E251,往来单位!$A$6:$A$85,0)),"否"))</f>
        <v/>
      </c>
      <c r="Y251" s="61" t="str">
        <f aca="false">IF($B251="","",YEAR($B251))</f>
        <v/>
      </c>
      <c r="Z251" s="58" t="str">
        <f aca="false">IF($B251="","",TEXT($B251,"yyyy-mm"))</f>
        <v/>
      </c>
    </row>
    <row r="252" customFormat="false" ht="15" hidden="false" customHeight="false" outlineLevel="0" collapsed="false">
      <c r="A252" s="53" t="str">
        <f aca="false">IF($B252="","",ROW()-5)</f>
        <v/>
      </c>
      <c r="B252" s="54"/>
      <c r="C252" s="33"/>
      <c r="D252" s="33"/>
      <c r="E252" s="32"/>
      <c r="F252" s="39"/>
      <c r="G252" s="48" t="str">
        <f aca="false">IF($F252="","",IFERROR(INDEX(商品档案!$B$6:$B$65,MATCH($F252,商品档案!$A$6:$A$65,0)),""))</f>
        <v/>
      </c>
      <c r="H252" s="48" t="str">
        <f aca="false">IF($F252="","",IFERROR(INDEX(商品档案!$C$6:$C$65,MATCH($F252,商品档案!$A$6:$A$65,0)),""))</f>
        <v/>
      </c>
      <c r="I252" s="55" t="str">
        <f aca="false">IF($F252="","",IFERROR(INDEX(商品档案!$D$6:$D$65,MATCH($F252,商品档案!$A$6:$A$65,0)),""))</f>
        <v/>
      </c>
      <c r="J252" s="49"/>
      <c r="K252" s="56"/>
      <c r="L252" s="33"/>
      <c r="M252" s="39"/>
      <c r="N252" s="41"/>
      <c r="O252" s="41"/>
      <c r="P252" s="25" t="str">
        <f aca="false">IF(AND($B252="",$D252="",$F252=""),"",IF(NOT(ISNUMBER($B252)),"日期无效",IF(ISNA(MATCH($C252,参数设置!$A$10:$A$12,0)),"公司无效",IF(ISNA(MATCH($D252,记账规则!$A$6:$A$9,0)),"业务类型无效",IF(ISNA(MATCH($F252,商品档案!$A$6:$A$65,0)),"商品编码无效",IF(IFERROR(INDEX(商品档案!$E$6:$E$65,MATCH($F252,商品档案!$A$6:$A$65,0)),"")&lt;&gt;$C252,"商品不属于该公司",IF(AND($E252&lt;&gt;"",ISNA(MATCH($E252,往来单位!$A$6:$A$85,0))),"往来单位未建档",IF(N($J252)=0,"数量为 0",IF(N($K252)=0,"单价为 0",IF(AND(LEFT($D252,2)="销售",$U252=""),"该商品没设成本科目",IF(YEAR($B252)&lt;&gt;参数设置!$B$5,"不在本会计年度","OK")))))))))))</f>
        <v/>
      </c>
      <c r="Q252" s="57" t="str">
        <f aca="false">IF($F252="","",ROUND(N($J252)*N($K252),2))</f>
        <v/>
      </c>
      <c r="R252" s="58" t="str">
        <f aca="false">IF($D252="","",IF(LEFT($D252,2)="销售","应收账款","应付账款"))</f>
        <v/>
      </c>
      <c r="S252" s="58" t="str">
        <f aca="false">IF($F252="","",IFERROR(INDEX(商品档案!$G$6:$G$65,MATCH($F252,商品档案!$A$6:$A$65,0)),""))</f>
        <v/>
      </c>
      <c r="T252" s="58" t="str">
        <f aca="false">IF($F252="","",IFERROR(INDEX(商品档案!$H$6:$H$65,MATCH($F252,商品档案!$A$6:$A$65,0)),""))</f>
        <v/>
      </c>
      <c r="U252" s="58" t="str">
        <f aca="false">IF($F252="","",IFERROR(INDEX(商品档案!$I$6:$I$65,MATCH($F252,商品档案!$A$6:$A$65,0)),""))</f>
        <v/>
      </c>
      <c r="V252" s="59" t="str">
        <f aca="false">IF($F252="","",SUMIFS(进销存台账!$N$6:$N$65,进销存台账!$A$6:$A$65,$C252,进销存台账!$B$6:$B$65,$F252))</f>
        <v/>
      </c>
      <c r="W252" s="60" t="n">
        <f aca="false">IF(OR($D252="销售出库",$D252="销售退回"),ROUND(N($J252)*N($V252),2),0)</f>
        <v>0</v>
      </c>
      <c r="X252" s="58" t="str">
        <f aca="false">IF($E252="","",IFERROR(INDEX(往来单位!$D$6:$D$85,MATCH($E252,往来单位!$A$6:$A$85,0)),"否"))</f>
        <v/>
      </c>
      <c r="Y252" s="61" t="str">
        <f aca="false">IF($B252="","",YEAR($B252))</f>
        <v/>
      </c>
      <c r="Z252" s="58" t="str">
        <f aca="false">IF($B252="","",TEXT($B252,"yyyy-mm"))</f>
        <v/>
      </c>
    </row>
    <row r="253" customFormat="false" ht="15" hidden="false" customHeight="false" outlineLevel="0" collapsed="false">
      <c r="A253" s="53" t="str">
        <f aca="false">IF($B253="","",ROW()-5)</f>
        <v/>
      </c>
      <c r="B253" s="54"/>
      <c r="C253" s="33"/>
      <c r="D253" s="33"/>
      <c r="E253" s="32"/>
      <c r="F253" s="39"/>
      <c r="G253" s="48" t="str">
        <f aca="false">IF($F253="","",IFERROR(INDEX(商品档案!$B$6:$B$65,MATCH($F253,商品档案!$A$6:$A$65,0)),""))</f>
        <v/>
      </c>
      <c r="H253" s="48" t="str">
        <f aca="false">IF($F253="","",IFERROR(INDEX(商品档案!$C$6:$C$65,MATCH($F253,商品档案!$A$6:$A$65,0)),""))</f>
        <v/>
      </c>
      <c r="I253" s="55" t="str">
        <f aca="false">IF($F253="","",IFERROR(INDEX(商品档案!$D$6:$D$65,MATCH($F253,商品档案!$A$6:$A$65,0)),""))</f>
        <v/>
      </c>
      <c r="J253" s="49"/>
      <c r="K253" s="56"/>
      <c r="L253" s="33"/>
      <c r="M253" s="39"/>
      <c r="N253" s="41"/>
      <c r="O253" s="41"/>
      <c r="P253" s="25" t="str">
        <f aca="false">IF(AND($B253="",$D253="",$F253=""),"",IF(NOT(ISNUMBER($B253)),"日期无效",IF(ISNA(MATCH($C253,参数设置!$A$10:$A$12,0)),"公司无效",IF(ISNA(MATCH($D253,记账规则!$A$6:$A$9,0)),"业务类型无效",IF(ISNA(MATCH($F253,商品档案!$A$6:$A$65,0)),"商品编码无效",IF(IFERROR(INDEX(商品档案!$E$6:$E$65,MATCH($F253,商品档案!$A$6:$A$65,0)),"")&lt;&gt;$C253,"商品不属于该公司",IF(AND($E253&lt;&gt;"",ISNA(MATCH($E253,往来单位!$A$6:$A$85,0))),"往来单位未建档",IF(N($J253)=0,"数量为 0",IF(N($K253)=0,"单价为 0",IF(AND(LEFT($D253,2)="销售",$U253=""),"该商品没设成本科目",IF(YEAR($B253)&lt;&gt;参数设置!$B$5,"不在本会计年度","OK")))))))))))</f>
        <v/>
      </c>
      <c r="Q253" s="57" t="str">
        <f aca="false">IF($F253="","",ROUND(N($J253)*N($K253),2))</f>
        <v/>
      </c>
      <c r="R253" s="58" t="str">
        <f aca="false">IF($D253="","",IF(LEFT($D253,2)="销售","应收账款","应付账款"))</f>
        <v/>
      </c>
      <c r="S253" s="58" t="str">
        <f aca="false">IF($F253="","",IFERROR(INDEX(商品档案!$G$6:$G$65,MATCH($F253,商品档案!$A$6:$A$65,0)),""))</f>
        <v/>
      </c>
      <c r="T253" s="58" t="str">
        <f aca="false">IF($F253="","",IFERROR(INDEX(商品档案!$H$6:$H$65,MATCH($F253,商品档案!$A$6:$A$65,0)),""))</f>
        <v/>
      </c>
      <c r="U253" s="58" t="str">
        <f aca="false">IF($F253="","",IFERROR(INDEX(商品档案!$I$6:$I$65,MATCH($F253,商品档案!$A$6:$A$65,0)),""))</f>
        <v/>
      </c>
      <c r="V253" s="59" t="str">
        <f aca="false">IF($F253="","",SUMIFS(进销存台账!$N$6:$N$65,进销存台账!$A$6:$A$65,$C253,进销存台账!$B$6:$B$65,$F253))</f>
        <v/>
      </c>
      <c r="W253" s="60" t="n">
        <f aca="false">IF(OR($D253="销售出库",$D253="销售退回"),ROUND(N($J253)*N($V253),2),0)</f>
        <v>0</v>
      </c>
      <c r="X253" s="58" t="str">
        <f aca="false">IF($E253="","",IFERROR(INDEX(往来单位!$D$6:$D$85,MATCH($E253,往来单位!$A$6:$A$85,0)),"否"))</f>
        <v/>
      </c>
      <c r="Y253" s="61" t="str">
        <f aca="false">IF($B253="","",YEAR($B253))</f>
        <v/>
      </c>
      <c r="Z253" s="58" t="str">
        <f aca="false">IF($B253="","",TEXT($B253,"yyyy-mm"))</f>
        <v/>
      </c>
    </row>
    <row r="254" customFormat="false" ht="15" hidden="false" customHeight="false" outlineLevel="0" collapsed="false">
      <c r="A254" s="53" t="str">
        <f aca="false">IF($B254="","",ROW()-5)</f>
        <v/>
      </c>
      <c r="B254" s="54"/>
      <c r="C254" s="33"/>
      <c r="D254" s="33"/>
      <c r="E254" s="32"/>
      <c r="F254" s="39"/>
      <c r="G254" s="48" t="str">
        <f aca="false">IF($F254="","",IFERROR(INDEX(商品档案!$B$6:$B$65,MATCH($F254,商品档案!$A$6:$A$65,0)),""))</f>
        <v/>
      </c>
      <c r="H254" s="48" t="str">
        <f aca="false">IF($F254="","",IFERROR(INDEX(商品档案!$C$6:$C$65,MATCH($F254,商品档案!$A$6:$A$65,0)),""))</f>
        <v/>
      </c>
      <c r="I254" s="55" t="str">
        <f aca="false">IF($F254="","",IFERROR(INDEX(商品档案!$D$6:$D$65,MATCH($F254,商品档案!$A$6:$A$65,0)),""))</f>
        <v/>
      </c>
      <c r="J254" s="49"/>
      <c r="K254" s="56"/>
      <c r="L254" s="33"/>
      <c r="M254" s="39"/>
      <c r="N254" s="41"/>
      <c r="O254" s="41"/>
      <c r="P254" s="25" t="str">
        <f aca="false">IF(AND($B254="",$D254="",$F254=""),"",IF(NOT(ISNUMBER($B254)),"日期无效",IF(ISNA(MATCH($C254,参数设置!$A$10:$A$12,0)),"公司无效",IF(ISNA(MATCH($D254,记账规则!$A$6:$A$9,0)),"业务类型无效",IF(ISNA(MATCH($F254,商品档案!$A$6:$A$65,0)),"商品编码无效",IF(IFERROR(INDEX(商品档案!$E$6:$E$65,MATCH($F254,商品档案!$A$6:$A$65,0)),"")&lt;&gt;$C254,"商品不属于该公司",IF(AND($E254&lt;&gt;"",ISNA(MATCH($E254,往来单位!$A$6:$A$85,0))),"往来单位未建档",IF(N($J254)=0,"数量为 0",IF(N($K254)=0,"单价为 0",IF(AND(LEFT($D254,2)="销售",$U254=""),"该商品没设成本科目",IF(YEAR($B254)&lt;&gt;参数设置!$B$5,"不在本会计年度","OK")))))))))))</f>
        <v/>
      </c>
      <c r="Q254" s="57" t="str">
        <f aca="false">IF($F254="","",ROUND(N($J254)*N($K254),2))</f>
        <v/>
      </c>
      <c r="R254" s="58" t="str">
        <f aca="false">IF($D254="","",IF(LEFT($D254,2)="销售","应收账款","应付账款"))</f>
        <v/>
      </c>
      <c r="S254" s="58" t="str">
        <f aca="false">IF($F254="","",IFERROR(INDEX(商品档案!$G$6:$G$65,MATCH($F254,商品档案!$A$6:$A$65,0)),""))</f>
        <v/>
      </c>
      <c r="T254" s="58" t="str">
        <f aca="false">IF($F254="","",IFERROR(INDEX(商品档案!$H$6:$H$65,MATCH($F254,商品档案!$A$6:$A$65,0)),""))</f>
        <v/>
      </c>
      <c r="U254" s="58" t="str">
        <f aca="false">IF($F254="","",IFERROR(INDEX(商品档案!$I$6:$I$65,MATCH($F254,商品档案!$A$6:$A$65,0)),""))</f>
        <v/>
      </c>
      <c r="V254" s="59" t="str">
        <f aca="false">IF($F254="","",SUMIFS(进销存台账!$N$6:$N$65,进销存台账!$A$6:$A$65,$C254,进销存台账!$B$6:$B$65,$F254))</f>
        <v/>
      </c>
      <c r="W254" s="60" t="n">
        <f aca="false">IF(OR($D254="销售出库",$D254="销售退回"),ROUND(N($J254)*N($V254),2),0)</f>
        <v>0</v>
      </c>
      <c r="X254" s="58" t="str">
        <f aca="false">IF($E254="","",IFERROR(INDEX(往来单位!$D$6:$D$85,MATCH($E254,往来单位!$A$6:$A$85,0)),"否"))</f>
        <v/>
      </c>
      <c r="Y254" s="61" t="str">
        <f aca="false">IF($B254="","",YEAR($B254))</f>
        <v/>
      </c>
      <c r="Z254" s="58" t="str">
        <f aca="false">IF($B254="","",TEXT($B254,"yyyy-mm"))</f>
        <v/>
      </c>
    </row>
    <row r="255" customFormat="false" ht="15" hidden="false" customHeight="false" outlineLevel="0" collapsed="false">
      <c r="A255" s="53" t="str">
        <f aca="false">IF($B255="","",ROW()-5)</f>
        <v/>
      </c>
      <c r="B255" s="54"/>
      <c r="C255" s="33"/>
      <c r="D255" s="33"/>
      <c r="E255" s="32"/>
      <c r="F255" s="39"/>
      <c r="G255" s="48" t="str">
        <f aca="false">IF($F255="","",IFERROR(INDEX(商品档案!$B$6:$B$65,MATCH($F255,商品档案!$A$6:$A$65,0)),""))</f>
        <v/>
      </c>
      <c r="H255" s="48" t="str">
        <f aca="false">IF($F255="","",IFERROR(INDEX(商品档案!$C$6:$C$65,MATCH($F255,商品档案!$A$6:$A$65,0)),""))</f>
        <v/>
      </c>
      <c r="I255" s="55" t="str">
        <f aca="false">IF($F255="","",IFERROR(INDEX(商品档案!$D$6:$D$65,MATCH($F255,商品档案!$A$6:$A$65,0)),""))</f>
        <v/>
      </c>
      <c r="J255" s="49"/>
      <c r="K255" s="56"/>
      <c r="L255" s="33"/>
      <c r="M255" s="39"/>
      <c r="N255" s="41"/>
      <c r="O255" s="41"/>
      <c r="P255" s="25" t="str">
        <f aca="false">IF(AND($B255="",$D255="",$F255=""),"",IF(NOT(ISNUMBER($B255)),"日期无效",IF(ISNA(MATCH($C255,参数设置!$A$10:$A$12,0)),"公司无效",IF(ISNA(MATCH($D255,记账规则!$A$6:$A$9,0)),"业务类型无效",IF(ISNA(MATCH($F255,商品档案!$A$6:$A$65,0)),"商品编码无效",IF(IFERROR(INDEX(商品档案!$E$6:$E$65,MATCH($F255,商品档案!$A$6:$A$65,0)),"")&lt;&gt;$C255,"商品不属于该公司",IF(AND($E255&lt;&gt;"",ISNA(MATCH($E255,往来单位!$A$6:$A$85,0))),"往来单位未建档",IF(N($J255)=0,"数量为 0",IF(N($K255)=0,"单价为 0",IF(AND(LEFT($D255,2)="销售",$U255=""),"该商品没设成本科目",IF(YEAR($B255)&lt;&gt;参数设置!$B$5,"不在本会计年度","OK")))))))))))</f>
        <v/>
      </c>
      <c r="Q255" s="57" t="str">
        <f aca="false">IF($F255="","",ROUND(N($J255)*N($K255),2))</f>
        <v/>
      </c>
      <c r="R255" s="58" t="str">
        <f aca="false">IF($D255="","",IF(LEFT($D255,2)="销售","应收账款","应付账款"))</f>
        <v/>
      </c>
      <c r="S255" s="58" t="str">
        <f aca="false">IF($F255="","",IFERROR(INDEX(商品档案!$G$6:$G$65,MATCH($F255,商品档案!$A$6:$A$65,0)),""))</f>
        <v/>
      </c>
      <c r="T255" s="58" t="str">
        <f aca="false">IF($F255="","",IFERROR(INDEX(商品档案!$H$6:$H$65,MATCH($F255,商品档案!$A$6:$A$65,0)),""))</f>
        <v/>
      </c>
      <c r="U255" s="58" t="str">
        <f aca="false">IF($F255="","",IFERROR(INDEX(商品档案!$I$6:$I$65,MATCH($F255,商品档案!$A$6:$A$65,0)),""))</f>
        <v/>
      </c>
      <c r="V255" s="59" t="str">
        <f aca="false">IF($F255="","",SUMIFS(进销存台账!$N$6:$N$65,进销存台账!$A$6:$A$65,$C255,进销存台账!$B$6:$B$65,$F255))</f>
        <v/>
      </c>
      <c r="W255" s="60" t="n">
        <f aca="false">IF(OR($D255="销售出库",$D255="销售退回"),ROUND(N($J255)*N($V255),2),0)</f>
        <v>0</v>
      </c>
      <c r="X255" s="58" t="str">
        <f aca="false">IF($E255="","",IFERROR(INDEX(往来单位!$D$6:$D$85,MATCH($E255,往来单位!$A$6:$A$85,0)),"否"))</f>
        <v/>
      </c>
      <c r="Y255" s="61" t="str">
        <f aca="false">IF($B255="","",YEAR($B255))</f>
        <v/>
      </c>
      <c r="Z255" s="58" t="str">
        <f aca="false">IF($B255="","",TEXT($B255,"yyyy-mm"))</f>
        <v/>
      </c>
    </row>
    <row r="256" customFormat="false" ht="15" hidden="false" customHeight="false" outlineLevel="0" collapsed="false">
      <c r="A256" s="53" t="str">
        <f aca="false">IF($B256="","",ROW()-5)</f>
        <v/>
      </c>
      <c r="B256" s="54"/>
      <c r="C256" s="33"/>
      <c r="D256" s="33"/>
      <c r="E256" s="32"/>
      <c r="F256" s="39"/>
      <c r="G256" s="48" t="str">
        <f aca="false">IF($F256="","",IFERROR(INDEX(商品档案!$B$6:$B$65,MATCH($F256,商品档案!$A$6:$A$65,0)),""))</f>
        <v/>
      </c>
      <c r="H256" s="48" t="str">
        <f aca="false">IF($F256="","",IFERROR(INDEX(商品档案!$C$6:$C$65,MATCH($F256,商品档案!$A$6:$A$65,0)),""))</f>
        <v/>
      </c>
      <c r="I256" s="55" t="str">
        <f aca="false">IF($F256="","",IFERROR(INDEX(商品档案!$D$6:$D$65,MATCH($F256,商品档案!$A$6:$A$65,0)),""))</f>
        <v/>
      </c>
      <c r="J256" s="49"/>
      <c r="K256" s="56"/>
      <c r="L256" s="33"/>
      <c r="M256" s="39"/>
      <c r="N256" s="41"/>
      <c r="O256" s="41"/>
      <c r="P256" s="25" t="str">
        <f aca="false">IF(AND($B256="",$D256="",$F256=""),"",IF(NOT(ISNUMBER($B256)),"日期无效",IF(ISNA(MATCH($C256,参数设置!$A$10:$A$12,0)),"公司无效",IF(ISNA(MATCH($D256,记账规则!$A$6:$A$9,0)),"业务类型无效",IF(ISNA(MATCH($F256,商品档案!$A$6:$A$65,0)),"商品编码无效",IF(IFERROR(INDEX(商品档案!$E$6:$E$65,MATCH($F256,商品档案!$A$6:$A$65,0)),"")&lt;&gt;$C256,"商品不属于该公司",IF(AND($E256&lt;&gt;"",ISNA(MATCH($E256,往来单位!$A$6:$A$85,0))),"往来单位未建档",IF(N($J256)=0,"数量为 0",IF(N($K256)=0,"单价为 0",IF(AND(LEFT($D256,2)="销售",$U256=""),"该商品没设成本科目",IF(YEAR($B256)&lt;&gt;参数设置!$B$5,"不在本会计年度","OK")))))))))))</f>
        <v/>
      </c>
      <c r="Q256" s="57" t="str">
        <f aca="false">IF($F256="","",ROUND(N($J256)*N($K256),2))</f>
        <v/>
      </c>
      <c r="R256" s="58" t="str">
        <f aca="false">IF($D256="","",IF(LEFT($D256,2)="销售","应收账款","应付账款"))</f>
        <v/>
      </c>
      <c r="S256" s="58" t="str">
        <f aca="false">IF($F256="","",IFERROR(INDEX(商品档案!$G$6:$G$65,MATCH($F256,商品档案!$A$6:$A$65,0)),""))</f>
        <v/>
      </c>
      <c r="T256" s="58" t="str">
        <f aca="false">IF($F256="","",IFERROR(INDEX(商品档案!$H$6:$H$65,MATCH($F256,商品档案!$A$6:$A$65,0)),""))</f>
        <v/>
      </c>
      <c r="U256" s="58" t="str">
        <f aca="false">IF($F256="","",IFERROR(INDEX(商品档案!$I$6:$I$65,MATCH($F256,商品档案!$A$6:$A$65,0)),""))</f>
        <v/>
      </c>
      <c r="V256" s="59" t="str">
        <f aca="false">IF($F256="","",SUMIFS(进销存台账!$N$6:$N$65,进销存台账!$A$6:$A$65,$C256,进销存台账!$B$6:$B$65,$F256))</f>
        <v/>
      </c>
      <c r="W256" s="60" t="n">
        <f aca="false">IF(OR($D256="销售出库",$D256="销售退回"),ROUND(N($J256)*N($V256),2),0)</f>
        <v>0</v>
      </c>
      <c r="X256" s="58" t="str">
        <f aca="false">IF($E256="","",IFERROR(INDEX(往来单位!$D$6:$D$85,MATCH($E256,往来单位!$A$6:$A$85,0)),"否"))</f>
        <v/>
      </c>
      <c r="Y256" s="61" t="str">
        <f aca="false">IF($B256="","",YEAR($B256))</f>
        <v/>
      </c>
      <c r="Z256" s="58" t="str">
        <f aca="false">IF($B256="","",TEXT($B256,"yyyy-mm"))</f>
        <v/>
      </c>
    </row>
    <row r="257" customFormat="false" ht="15" hidden="false" customHeight="false" outlineLevel="0" collapsed="false">
      <c r="A257" s="53" t="str">
        <f aca="false">IF($B257="","",ROW()-5)</f>
        <v/>
      </c>
      <c r="B257" s="54"/>
      <c r="C257" s="33"/>
      <c r="D257" s="33"/>
      <c r="E257" s="32"/>
      <c r="F257" s="39"/>
      <c r="G257" s="48" t="str">
        <f aca="false">IF($F257="","",IFERROR(INDEX(商品档案!$B$6:$B$65,MATCH($F257,商品档案!$A$6:$A$65,0)),""))</f>
        <v/>
      </c>
      <c r="H257" s="48" t="str">
        <f aca="false">IF($F257="","",IFERROR(INDEX(商品档案!$C$6:$C$65,MATCH($F257,商品档案!$A$6:$A$65,0)),""))</f>
        <v/>
      </c>
      <c r="I257" s="55" t="str">
        <f aca="false">IF($F257="","",IFERROR(INDEX(商品档案!$D$6:$D$65,MATCH($F257,商品档案!$A$6:$A$65,0)),""))</f>
        <v/>
      </c>
      <c r="J257" s="49"/>
      <c r="K257" s="56"/>
      <c r="L257" s="33"/>
      <c r="M257" s="39"/>
      <c r="N257" s="41"/>
      <c r="O257" s="41"/>
      <c r="P257" s="25" t="str">
        <f aca="false">IF(AND($B257="",$D257="",$F257=""),"",IF(NOT(ISNUMBER($B257)),"日期无效",IF(ISNA(MATCH($C257,参数设置!$A$10:$A$12,0)),"公司无效",IF(ISNA(MATCH($D257,记账规则!$A$6:$A$9,0)),"业务类型无效",IF(ISNA(MATCH($F257,商品档案!$A$6:$A$65,0)),"商品编码无效",IF(IFERROR(INDEX(商品档案!$E$6:$E$65,MATCH($F257,商品档案!$A$6:$A$65,0)),"")&lt;&gt;$C257,"商品不属于该公司",IF(AND($E257&lt;&gt;"",ISNA(MATCH($E257,往来单位!$A$6:$A$85,0))),"往来单位未建档",IF(N($J257)=0,"数量为 0",IF(N($K257)=0,"单价为 0",IF(AND(LEFT($D257,2)="销售",$U257=""),"该商品没设成本科目",IF(YEAR($B257)&lt;&gt;参数设置!$B$5,"不在本会计年度","OK")))))))))))</f>
        <v/>
      </c>
      <c r="Q257" s="57" t="str">
        <f aca="false">IF($F257="","",ROUND(N($J257)*N($K257),2))</f>
        <v/>
      </c>
      <c r="R257" s="58" t="str">
        <f aca="false">IF($D257="","",IF(LEFT($D257,2)="销售","应收账款","应付账款"))</f>
        <v/>
      </c>
      <c r="S257" s="58" t="str">
        <f aca="false">IF($F257="","",IFERROR(INDEX(商品档案!$G$6:$G$65,MATCH($F257,商品档案!$A$6:$A$65,0)),""))</f>
        <v/>
      </c>
      <c r="T257" s="58" t="str">
        <f aca="false">IF($F257="","",IFERROR(INDEX(商品档案!$H$6:$H$65,MATCH($F257,商品档案!$A$6:$A$65,0)),""))</f>
        <v/>
      </c>
      <c r="U257" s="58" t="str">
        <f aca="false">IF($F257="","",IFERROR(INDEX(商品档案!$I$6:$I$65,MATCH($F257,商品档案!$A$6:$A$65,0)),""))</f>
        <v/>
      </c>
      <c r="V257" s="59" t="str">
        <f aca="false">IF($F257="","",SUMIFS(进销存台账!$N$6:$N$65,进销存台账!$A$6:$A$65,$C257,进销存台账!$B$6:$B$65,$F257))</f>
        <v/>
      </c>
      <c r="W257" s="60" t="n">
        <f aca="false">IF(OR($D257="销售出库",$D257="销售退回"),ROUND(N($J257)*N($V257),2),0)</f>
        <v>0</v>
      </c>
      <c r="X257" s="58" t="str">
        <f aca="false">IF($E257="","",IFERROR(INDEX(往来单位!$D$6:$D$85,MATCH($E257,往来单位!$A$6:$A$85,0)),"否"))</f>
        <v/>
      </c>
      <c r="Y257" s="61" t="str">
        <f aca="false">IF($B257="","",YEAR($B257))</f>
        <v/>
      </c>
      <c r="Z257" s="58" t="str">
        <f aca="false">IF($B257="","",TEXT($B257,"yyyy-mm"))</f>
        <v/>
      </c>
    </row>
    <row r="258" customFormat="false" ht="15" hidden="false" customHeight="false" outlineLevel="0" collapsed="false">
      <c r="A258" s="53" t="str">
        <f aca="false">IF($B258="","",ROW()-5)</f>
        <v/>
      </c>
      <c r="B258" s="54"/>
      <c r="C258" s="33"/>
      <c r="D258" s="33"/>
      <c r="E258" s="32"/>
      <c r="F258" s="39"/>
      <c r="G258" s="48" t="str">
        <f aca="false">IF($F258="","",IFERROR(INDEX(商品档案!$B$6:$B$65,MATCH($F258,商品档案!$A$6:$A$65,0)),""))</f>
        <v/>
      </c>
      <c r="H258" s="48" t="str">
        <f aca="false">IF($F258="","",IFERROR(INDEX(商品档案!$C$6:$C$65,MATCH($F258,商品档案!$A$6:$A$65,0)),""))</f>
        <v/>
      </c>
      <c r="I258" s="55" t="str">
        <f aca="false">IF($F258="","",IFERROR(INDEX(商品档案!$D$6:$D$65,MATCH($F258,商品档案!$A$6:$A$65,0)),""))</f>
        <v/>
      </c>
      <c r="J258" s="49"/>
      <c r="K258" s="56"/>
      <c r="L258" s="33"/>
      <c r="M258" s="39"/>
      <c r="N258" s="41"/>
      <c r="O258" s="41"/>
      <c r="P258" s="25" t="str">
        <f aca="false">IF(AND($B258="",$D258="",$F258=""),"",IF(NOT(ISNUMBER($B258)),"日期无效",IF(ISNA(MATCH($C258,参数设置!$A$10:$A$12,0)),"公司无效",IF(ISNA(MATCH($D258,记账规则!$A$6:$A$9,0)),"业务类型无效",IF(ISNA(MATCH($F258,商品档案!$A$6:$A$65,0)),"商品编码无效",IF(IFERROR(INDEX(商品档案!$E$6:$E$65,MATCH($F258,商品档案!$A$6:$A$65,0)),"")&lt;&gt;$C258,"商品不属于该公司",IF(AND($E258&lt;&gt;"",ISNA(MATCH($E258,往来单位!$A$6:$A$85,0))),"往来单位未建档",IF(N($J258)=0,"数量为 0",IF(N($K258)=0,"单价为 0",IF(AND(LEFT($D258,2)="销售",$U258=""),"该商品没设成本科目",IF(YEAR($B258)&lt;&gt;参数设置!$B$5,"不在本会计年度","OK")))))))))))</f>
        <v/>
      </c>
      <c r="Q258" s="57" t="str">
        <f aca="false">IF($F258="","",ROUND(N($J258)*N($K258),2))</f>
        <v/>
      </c>
      <c r="R258" s="58" t="str">
        <f aca="false">IF($D258="","",IF(LEFT($D258,2)="销售","应收账款","应付账款"))</f>
        <v/>
      </c>
      <c r="S258" s="58" t="str">
        <f aca="false">IF($F258="","",IFERROR(INDEX(商品档案!$G$6:$G$65,MATCH($F258,商品档案!$A$6:$A$65,0)),""))</f>
        <v/>
      </c>
      <c r="T258" s="58" t="str">
        <f aca="false">IF($F258="","",IFERROR(INDEX(商品档案!$H$6:$H$65,MATCH($F258,商品档案!$A$6:$A$65,0)),""))</f>
        <v/>
      </c>
      <c r="U258" s="58" t="str">
        <f aca="false">IF($F258="","",IFERROR(INDEX(商品档案!$I$6:$I$65,MATCH($F258,商品档案!$A$6:$A$65,0)),""))</f>
        <v/>
      </c>
      <c r="V258" s="59" t="str">
        <f aca="false">IF($F258="","",SUMIFS(进销存台账!$N$6:$N$65,进销存台账!$A$6:$A$65,$C258,进销存台账!$B$6:$B$65,$F258))</f>
        <v/>
      </c>
      <c r="W258" s="60" t="n">
        <f aca="false">IF(OR($D258="销售出库",$D258="销售退回"),ROUND(N($J258)*N($V258),2),0)</f>
        <v>0</v>
      </c>
      <c r="X258" s="58" t="str">
        <f aca="false">IF($E258="","",IFERROR(INDEX(往来单位!$D$6:$D$85,MATCH($E258,往来单位!$A$6:$A$85,0)),"否"))</f>
        <v/>
      </c>
      <c r="Y258" s="61" t="str">
        <f aca="false">IF($B258="","",YEAR($B258))</f>
        <v/>
      </c>
      <c r="Z258" s="58" t="str">
        <f aca="false">IF($B258="","",TEXT($B258,"yyyy-mm"))</f>
        <v/>
      </c>
    </row>
    <row r="259" customFormat="false" ht="15" hidden="false" customHeight="false" outlineLevel="0" collapsed="false">
      <c r="A259" s="53" t="str">
        <f aca="false">IF($B259="","",ROW()-5)</f>
        <v/>
      </c>
      <c r="B259" s="54"/>
      <c r="C259" s="33"/>
      <c r="D259" s="33"/>
      <c r="E259" s="32"/>
      <c r="F259" s="39"/>
      <c r="G259" s="48" t="str">
        <f aca="false">IF($F259="","",IFERROR(INDEX(商品档案!$B$6:$B$65,MATCH($F259,商品档案!$A$6:$A$65,0)),""))</f>
        <v/>
      </c>
      <c r="H259" s="48" t="str">
        <f aca="false">IF($F259="","",IFERROR(INDEX(商品档案!$C$6:$C$65,MATCH($F259,商品档案!$A$6:$A$65,0)),""))</f>
        <v/>
      </c>
      <c r="I259" s="55" t="str">
        <f aca="false">IF($F259="","",IFERROR(INDEX(商品档案!$D$6:$D$65,MATCH($F259,商品档案!$A$6:$A$65,0)),""))</f>
        <v/>
      </c>
      <c r="J259" s="49"/>
      <c r="K259" s="56"/>
      <c r="L259" s="33"/>
      <c r="M259" s="39"/>
      <c r="N259" s="41"/>
      <c r="O259" s="41"/>
      <c r="P259" s="25" t="str">
        <f aca="false">IF(AND($B259="",$D259="",$F259=""),"",IF(NOT(ISNUMBER($B259)),"日期无效",IF(ISNA(MATCH($C259,参数设置!$A$10:$A$12,0)),"公司无效",IF(ISNA(MATCH($D259,记账规则!$A$6:$A$9,0)),"业务类型无效",IF(ISNA(MATCH($F259,商品档案!$A$6:$A$65,0)),"商品编码无效",IF(IFERROR(INDEX(商品档案!$E$6:$E$65,MATCH($F259,商品档案!$A$6:$A$65,0)),"")&lt;&gt;$C259,"商品不属于该公司",IF(AND($E259&lt;&gt;"",ISNA(MATCH($E259,往来单位!$A$6:$A$85,0))),"往来单位未建档",IF(N($J259)=0,"数量为 0",IF(N($K259)=0,"单价为 0",IF(AND(LEFT($D259,2)="销售",$U259=""),"该商品没设成本科目",IF(YEAR($B259)&lt;&gt;参数设置!$B$5,"不在本会计年度","OK")))))))))))</f>
        <v/>
      </c>
      <c r="Q259" s="57" t="str">
        <f aca="false">IF($F259="","",ROUND(N($J259)*N($K259),2))</f>
        <v/>
      </c>
      <c r="R259" s="58" t="str">
        <f aca="false">IF($D259="","",IF(LEFT($D259,2)="销售","应收账款","应付账款"))</f>
        <v/>
      </c>
      <c r="S259" s="58" t="str">
        <f aca="false">IF($F259="","",IFERROR(INDEX(商品档案!$G$6:$G$65,MATCH($F259,商品档案!$A$6:$A$65,0)),""))</f>
        <v/>
      </c>
      <c r="T259" s="58" t="str">
        <f aca="false">IF($F259="","",IFERROR(INDEX(商品档案!$H$6:$H$65,MATCH($F259,商品档案!$A$6:$A$65,0)),""))</f>
        <v/>
      </c>
      <c r="U259" s="58" t="str">
        <f aca="false">IF($F259="","",IFERROR(INDEX(商品档案!$I$6:$I$65,MATCH($F259,商品档案!$A$6:$A$65,0)),""))</f>
        <v/>
      </c>
      <c r="V259" s="59" t="str">
        <f aca="false">IF($F259="","",SUMIFS(进销存台账!$N$6:$N$65,进销存台账!$A$6:$A$65,$C259,进销存台账!$B$6:$B$65,$F259))</f>
        <v/>
      </c>
      <c r="W259" s="60" t="n">
        <f aca="false">IF(OR($D259="销售出库",$D259="销售退回"),ROUND(N($J259)*N($V259),2),0)</f>
        <v>0</v>
      </c>
      <c r="X259" s="58" t="str">
        <f aca="false">IF($E259="","",IFERROR(INDEX(往来单位!$D$6:$D$85,MATCH($E259,往来单位!$A$6:$A$85,0)),"否"))</f>
        <v/>
      </c>
      <c r="Y259" s="61" t="str">
        <f aca="false">IF($B259="","",YEAR($B259))</f>
        <v/>
      </c>
      <c r="Z259" s="58" t="str">
        <f aca="false">IF($B259="","",TEXT($B259,"yyyy-mm"))</f>
        <v/>
      </c>
    </row>
    <row r="260" customFormat="false" ht="15" hidden="false" customHeight="false" outlineLevel="0" collapsed="false">
      <c r="A260" s="53" t="str">
        <f aca="false">IF($B260="","",ROW()-5)</f>
        <v/>
      </c>
      <c r="B260" s="54"/>
      <c r="C260" s="33"/>
      <c r="D260" s="33"/>
      <c r="E260" s="32"/>
      <c r="F260" s="39"/>
      <c r="G260" s="48" t="str">
        <f aca="false">IF($F260="","",IFERROR(INDEX(商品档案!$B$6:$B$65,MATCH($F260,商品档案!$A$6:$A$65,0)),""))</f>
        <v/>
      </c>
      <c r="H260" s="48" t="str">
        <f aca="false">IF($F260="","",IFERROR(INDEX(商品档案!$C$6:$C$65,MATCH($F260,商品档案!$A$6:$A$65,0)),""))</f>
        <v/>
      </c>
      <c r="I260" s="55" t="str">
        <f aca="false">IF($F260="","",IFERROR(INDEX(商品档案!$D$6:$D$65,MATCH($F260,商品档案!$A$6:$A$65,0)),""))</f>
        <v/>
      </c>
      <c r="J260" s="49"/>
      <c r="K260" s="56"/>
      <c r="L260" s="33"/>
      <c r="M260" s="39"/>
      <c r="N260" s="41"/>
      <c r="O260" s="41"/>
      <c r="P260" s="25" t="str">
        <f aca="false">IF(AND($B260="",$D260="",$F260=""),"",IF(NOT(ISNUMBER($B260)),"日期无效",IF(ISNA(MATCH($C260,参数设置!$A$10:$A$12,0)),"公司无效",IF(ISNA(MATCH($D260,记账规则!$A$6:$A$9,0)),"业务类型无效",IF(ISNA(MATCH($F260,商品档案!$A$6:$A$65,0)),"商品编码无效",IF(IFERROR(INDEX(商品档案!$E$6:$E$65,MATCH($F260,商品档案!$A$6:$A$65,0)),"")&lt;&gt;$C260,"商品不属于该公司",IF(AND($E260&lt;&gt;"",ISNA(MATCH($E260,往来单位!$A$6:$A$85,0))),"往来单位未建档",IF(N($J260)=0,"数量为 0",IF(N($K260)=0,"单价为 0",IF(AND(LEFT($D260,2)="销售",$U260=""),"该商品没设成本科目",IF(YEAR($B260)&lt;&gt;参数设置!$B$5,"不在本会计年度","OK")))))))))))</f>
        <v/>
      </c>
      <c r="Q260" s="57" t="str">
        <f aca="false">IF($F260="","",ROUND(N($J260)*N($K260),2))</f>
        <v/>
      </c>
      <c r="R260" s="58" t="str">
        <f aca="false">IF($D260="","",IF(LEFT($D260,2)="销售","应收账款","应付账款"))</f>
        <v/>
      </c>
      <c r="S260" s="58" t="str">
        <f aca="false">IF($F260="","",IFERROR(INDEX(商品档案!$G$6:$G$65,MATCH($F260,商品档案!$A$6:$A$65,0)),""))</f>
        <v/>
      </c>
      <c r="T260" s="58" t="str">
        <f aca="false">IF($F260="","",IFERROR(INDEX(商品档案!$H$6:$H$65,MATCH($F260,商品档案!$A$6:$A$65,0)),""))</f>
        <v/>
      </c>
      <c r="U260" s="58" t="str">
        <f aca="false">IF($F260="","",IFERROR(INDEX(商品档案!$I$6:$I$65,MATCH($F260,商品档案!$A$6:$A$65,0)),""))</f>
        <v/>
      </c>
      <c r="V260" s="59" t="str">
        <f aca="false">IF($F260="","",SUMIFS(进销存台账!$N$6:$N$65,进销存台账!$A$6:$A$65,$C260,进销存台账!$B$6:$B$65,$F260))</f>
        <v/>
      </c>
      <c r="W260" s="60" t="n">
        <f aca="false">IF(OR($D260="销售出库",$D260="销售退回"),ROUND(N($J260)*N($V260),2),0)</f>
        <v>0</v>
      </c>
      <c r="X260" s="58" t="str">
        <f aca="false">IF($E260="","",IFERROR(INDEX(往来单位!$D$6:$D$85,MATCH($E260,往来单位!$A$6:$A$85,0)),"否"))</f>
        <v/>
      </c>
      <c r="Y260" s="61" t="str">
        <f aca="false">IF($B260="","",YEAR($B260))</f>
        <v/>
      </c>
      <c r="Z260" s="58" t="str">
        <f aca="false">IF($B260="","",TEXT($B260,"yyyy-mm"))</f>
        <v/>
      </c>
    </row>
    <row r="261" customFormat="false" ht="15" hidden="false" customHeight="false" outlineLevel="0" collapsed="false">
      <c r="A261" s="53" t="str">
        <f aca="false">IF($B261="","",ROW()-5)</f>
        <v/>
      </c>
      <c r="B261" s="54"/>
      <c r="C261" s="33"/>
      <c r="D261" s="33"/>
      <c r="E261" s="32"/>
      <c r="F261" s="39"/>
      <c r="G261" s="48" t="str">
        <f aca="false">IF($F261="","",IFERROR(INDEX(商品档案!$B$6:$B$65,MATCH($F261,商品档案!$A$6:$A$65,0)),""))</f>
        <v/>
      </c>
      <c r="H261" s="48" t="str">
        <f aca="false">IF($F261="","",IFERROR(INDEX(商品档案!$C$6:$C$65,MATCH($F261,商品档案!$A$6:$A$65,0)),""))</f>
        <v/>
      </c>
      <c r="I261" s="55" t="str">
        <f aca="false">IF($F261="","",IFERROR(INDEX(商品档案!$D$6:$D$65,MATCH($F261,商品档案!$A$6:$A$65,0)),""))</f>
        <v/>
      </c>
      <c r="J261" s="49"/>
      <c r="K261" s="56"/>
      <c r="L261" s="33"/>
      <c r="M261" s="39"/>
      <c r="N261" s="41"/>
      <c r="O261" s="41"/>
      <c r="P261" s="25" t="str">
        <f aca="false">IF(AND($B261="",$D261="",$F261=""),"",IF(NOT(ISNUMBER($B261)),"日期无效",IF(ISNA(MATCH($C261,参数设置!$A$10:$A$12,0)),"公司无效",IF(ISNA(MATCH($D261,记账规则!$A$6:$A$9,0)),"业务类型无效",IF(ISNA(MATCH($F261,商品档案!$A$6:$A$65,0)),"商品编码无效",IF(IFERROR(INDEX(商品档案!$E$6:$E$65,MATCH($F261,商品档案!$A$6:$A$65,0)),"")&lt;&gt;$C261,"商品不属于该公司",IF(AND($E261&lt;&gt;"",ISNA(MATCH($E261,往来单位!$A$6:$A$85,0))),"往来单位未建档",IF(N($J261)=0,"数量为 0",IF(N($K261)=0,"单价为 0",IF(AND(LEFT($D261,2)="销售",$U261=""),"该商品没设成本科目",IF(YEAR($B261)&lt;&gt;参数设置!$B$5,"不在本会计年度","OK")))))))))))</f>
        <v/>
      </c>
      <c r="Q261" s="57" t="str">
        <f aca="false">IF($F261="","",ROUND(N($J261)*N($K261),2))</f>
        <v/>
      </c>
      <c r="R261" s="58" t="str">
        <f aca="false">IF($D261="","",IF(LEFT($D261,2)="销售","应收账款","应付账款"))</f>
        <v/>
      </c>
      <c r="S261" s="58" t="str">
        <f aca="false">IF($F261="","",IFERROR(INDEX(商品档案!$G$6:$G$65,MATCH($F261,商品档案!$A$6:$A$65,0)),""))</f>
        <v/>
      </c>
      <c r="T261" s="58" t="str">
        <f aca="false">IF($F261="","",IFERROR(INDEX(商品档案!$H$6:$H$65,MATCH($F261,商品档案!$A$6:$A$65,0)),""))</f>
        <v/>
      </c>
      <c r="U261" s="58" t="str">
        <f aca="false">IF($F261="","",IFERROR(INDEX(商品档案!$I$6:$I$65,MATCH($F261,商品档案!$A$6:$A$65,0)),""))</f>
        <v/>
      </c>
      <c r="V261" s="59" t="str">
        <f aca="false">IF($F261="","",SUMIFS(进销存台账!$N$6:$N$65,进销存台账!$A$6:$A$65,$C261,进销存台账!$B$6:$B$65,$F261))</f>
        <v/>
      </c>
      <c r="W261" s="60" t="n">
        <f aca="false">IF(OR($D261="销售出库",$D261="销售退回"),ROUND(N($J261)*N($V261),2),0)</f>
        <v>0</v>
      </c>
      <c r="X261" s="58" t="str">
        <f aca="false">IF($E261="","",IFERROR(INDEX(往来单位!$D$6:$D$85,MATCH($E261,往来单位!$A$6:$A$85,0)),"否"))</f>
        <v/>
      </c>
      <c r="Y261" s="61" t="str">
        <f aca="false">IF($B261="","",YEAR($B261))</f>
        <v/>
      </c>
      <c r="Z261" s="58" t="str">
        <f aca="false">IF($B261="","",TEXT($B261,"yyyy-mm"))</f>
        <v/>
      </c>
    </row>
    <row r="262" customFormat="false" ht="15" hidden="false" customHeight="false" outlineLevel="0" collapsed="false">
      <c r="A262" s="53" t="str">
        <f aca="false">IF($B262="","",ROW()-5)</f>
        <v/>
      </c>
      <c r="B262" s="54"/>
      <c r="C262" s="33"/>
      <c r="D262" s="33"/>
      <c r="E262" s="32"/>
      <c r="F262" s="39"/>
      <c r="G262" s="48" t="str">
        <f aca="false">IF($F262="","",IFERROR(INDEX(商品档案!$B$6:$B$65,MATCH($F262,商品档案!$A$6:$A$65,0)),""))</f>
        <v/>
      </c>
      <c r="H262" s="48" t="str">
        <f aca="false">IF($F262="","",IFERROR(INDEX(商品档案!$C$6:$C$65,MATCH($F262,商品档案!$A$6:$A$65,0)),""))</f>
        <v/>
      </c>
      <c r="I262" s="55" t="str">
        <f aca="false">IF($F262="","",IFERROR(INDEX(商品档案!$D$6:$D$65,MATCH($F262,商品档案!$A$6:$A$65,0)),""))</f>
        <v/>
      </c>
      <c r="J262" s="49"/>
      <c r="K262" s="56"/>
      <c r="L262" s="33"/>
      <c r="M262" s="39"/>
      <c r="N262" s="41"/>
      <c r="O262" s="41"/>
      <c r="P262" s="25" t="str">
        <f aca="false">IF(AND($B262="",$D262="",$F262=""),"",IF(NOT(ISNUMBER($B262)),"日期无效",IF(ISNA(MATCH($C262,参数设置!$A$10:$A$12,0)),"公司无效",IF(ISNA(MATCH($D262,记账规则!$A$6:$A$9,0)),"业务类型无效",IF(ISNA(MATCH($F262,商品档案!$A$6:$A$65,0)),"商品编码无效",IF(IFERROR(INDEX(商品档案!$E$6:$E$65,MATCH($F262,商品档案!$A$6:$A$65,0)),"")&lt;&gt;$C262,"商品不属于该公司",IF(AND($E262&lt;&gt;"",ISNA(MATCH($E262,往来单位!$A$6:$A$85,0))),"往来单位未建档",IF(N($J262)=0,"数量为 0",IF(N($K262)=0,"单价为 0",IF(AND(LEFT($D262,2)="销售",$U262=""),"该商品没设成本科目",IF(YEAR($B262)&lt;&gt;参数设置!$B$5,"不在本会计年度","OK")))))))))))</f>
        <v/>
      </c>
      <c r="Q262" s="57" t="str">
        <f aca="false">IF($F262="","",ROUND(N($J262)*N($K262),2))</f>
        <v/>
      </c>
      <c r="R262" s="58" t="str">
        <f aca="false">IF($D262="","",IF(LEFT($D262,2)="销售","应收账款","应付账款"))</f>
        <v/>
      </c>
      <c r="S262" s="58" t="str">
        <f aca="false">IF($F262="","",IFERROR(INDEX(商品档案!$G$6:$G$65,MATCH($F262,商品档案!$A$6:$A$65,0)),""))</f>
        <v/>
      </c>
      <c r="T262" s="58" t="str">
        <f aca="false">IF($F262="","",IFERROR(INDEX(商品档案!$H$6:$H$65,MATCH($F262,商品档案!$A$6:$A$65,0)),""))</f>
        <v/>
      </c>
      <c r="U262" s="58" t="str">
        <f aca="false">IF($F262="","",IFERROR(INDEX(商品档案!$I$6:$I$65,MATCH($F262,商品档案!$A$6:$A$65,0)),""))</f>
        <v/>
      </c>
      <c r="V262" s="59" t="str">
        <f aca="false">IF($F262="","",SUMIFS(进销存台账!$N$6:$N$65,进销存台账!$A$6:$A$65,$C262,进销存台账!$B$6:$B$65,$F262))</f>
        <v/>
      </c>
      <c r="W262" s="60" t="n">
        <f aca="false">IF(OR($D262="销售出库",$D262="销售退回"),ROUND(N($J262)*N($V262),2),0)</f>
        <v>0</v>
      </c>
      <c r="X262" s="58" t="str">
        <f aca="false">IF($E262="","",IFERROR(INDEX(往来单位!$D$6:$D$85,MATCH($E262,往来单位!$A$6:$A$85,0)),"否"))</f>
        <v/>
      </c>
      <c r="Y262" s="61" t="str">
        <f aca="false">IF($B262="","",YEAR($B262))</f>
        <v/>
      </c>
      <c r="Z262" s="58" t="str">
        <f aca="false">IF($B262="","",TEXT($B262,"yyyy-mm"))</f>
        <v/>
      </c>
    </row>
    <row r="263" customFormat="false" ht="15" hidden="false" customHeight="false" outlineLevel="0" collapsed="false">
      <c r="A263" s="53" t="str">
        <f aca="false">IF($B263="","",ROW()-5)</f>
        <v/>
      </c>
      <c r="B263" s="54"/>
      <c r="C263" s="33"/>
      <c r="D263" s="33"/>
      <c r="E263" s="32"/>
      <c r="F263" s="39"/>
      <c r="G263" s="48" t="str">
        <f aca="false">IF($F263="","",IFERROR(INDEX(商品档案!$B$6:$B$65,MATCH($F263,商品档案!$A$6:$A$65,0)),""))</f>
        <v/>
      </c>
      <c r="H263" s="48" t="str">
        <f aca="false">IF($F263="","",IFERROR(INDEX(商品档案!$C$6:$C$65,MATCH($F263,商品档案!$A$6:$A$65,0)),""))</f>
        <v/>
      </c>
      <c r="I263" s="55" t="str">
        <f aca="false">IF($F263="","",IFERROR(INDEX(商品档案!$D$6:$D$65,MATCH($F263,商品档案!$A$6:$A$65,0)),""))</f>
        <v/>
      </c>
      <c r="J263" s="49"/>
      <c r="K263" s="56"/>
      <c r="L263" s="33"/>
      <c r="M263" s="39"/>
      <c r="N263" s="41"/>
      <c r="O263" s="41"/>
      <c r="P263" s="25" t="str">
        <f aca="false">IF(AND($B263="",$D263="",$F263=""),"",IF(NOT(ISNUMBER($B263)),"日期无效",IF(ISNA(MATCH($C263,参数设置!$A$10:$A$12,0)),"公司无效",IF(ISNA(MATCH($D263,记账规则!$A$6:$A$9,0)),"业务类型无效",IF(ISNA(MATCH($F263,商品档案!$A$6:$A$65,0)),"商品编码无效",IF(IFERROR(INDEX(商品档案!$E$6:$E$65,MATCH($F263,商品档案!$A$6:$A$65,0)),"")&lt;&gt;$C263,"商品不属于该公司",IF(AND($E263&lt;&gt;"",ISNA(MATCH($E263,往来单位!$A$6:$A$85,0))),"往来单位未建档",IF(N($J263)=0,"数量为 0",IF(N($K263)=0,"单价为 0",IF(AND(LEFT($D263,2)="销售",$U263=""),"该商品没设成本科目",IF(YEAR($B263)&lt;&gt;参数设置!$B$5,"不在本会计年度","OK")))))))))))</f>
        <v/>
      </c>
      <c r="Q263" s="57" t="str">
        <f aca="false">IF($F263="","",ROUND(N($J263)*N($K263),2))</f>
        <v/>
      </c>
      <c r="R263" s="58" t="str">
        <f aca="false">IF($D263="","",IF(LEFT($D263,2)="销售","应收账款","应付账款"))</f>
        <v/>
      </c>
      <c r="S263" s="58" t="str">
        <f aca="false">IF($F263="","",IFERROR(INDEX(商品档案!$G$6:$G$65,MATCH($F263,商品档案!$A$6:$A$65,0)),""))</f>
        <v/>
      </c>
      <c r="T263" s="58" t="str">
        <f aca="false">IF($F263="","",IFERROR(INDEX(商品档案!$H$6:$H$65,MATCH($F263,商品档案!$A$6:$A$65,0)),""))</f>
        <v/>
      </c>
      <c r="U263" s="58" t="str">
        <f aca="false">IF($F263="","",IFERROR(INDEX(商品档案!$I$6:$I$65,MATCH($F263,商品档案!$A$6:$A$65,0)),""))</f>
        <v/>
      </c>
      <c r="V263" s="59" t="str">
        <f aca="false">IF($F263="","",SUMIFS(进销存台账!$N$6:$N$65,进销存台账!$A$6:$A$65,$C263,进销存台账!$B$6:$B$65,$F263))</f>
        <v/>
      </c>
      <c r="W263" s="60" t="n">
        <f aca="false">IF(OR($D263="销售出库",$D263="销售退回"),ROUND(N($J263)*N($V263),2),0)</f>
        <v>0</v>
      </c>
      <c r="X263" s="58" t="str">
        <f aca="false">IF($E263="","",IFERROR(INDEX(往来单位!$D$6:$D$85,MATCH($E263,往来单位!$A$6:$A$85,0)),"否"))</f>
        <v/>
      </c>
      <c r="Y263" s="61" t="str">
        <f aca="false">IF($B263="","",YEAR($B263))</f>
        <v/>
      </c>
      <c r="Z263" s="58" t="str">
        <f aca="false">IF($B263="","",TEXT($B263,"yyyy-mm"))</f>
        <v/>
      </c>
    </row>
    <row r="264" customFormat="false" ht="15" hidden="false" customHeight="false" outlineLevel="0" collapsed="false">
      <c r="A264" s="53" t="str">
        <f aca="false">IF($B264="","",ROW()-5)</f>
        <v/>
      </c>
      <c r="B264" s="54"/>
      <c r="C264" s="33"/>
      <c r="D264" s="33"/>
      <c r="E264" s="32"/>
      <c r="F264" s="39"/>
      <c r="G264" s="48" t="str">
        <f aca="false">IF($F264="","",IFERROR(INDEX(商品档案!$B$6:$B$65,MATCH($F264,商品档案!$A$6:$A$65,0)),""))</f>
        <v/>
      </c>
      <c r="H264" s="48" t="str">
        <f aca="false">IF($F264="","",IFERROR(INDEX(商品档案!$C$6:$C$65,MATCH($F264,商品档案!$A$6:$A$65,0)),""))</f>
        <v/>
      </c>
      <c r="I264" s="55" t="str">
        <f aca="false">IF($F264="","",IFERROR(INDEX(商品档案!$D$6:$D$65,MATCH($F264,商品档案!$A$6:$A$65,0)),""))</f>
        <v/>
      </c>
      <c r="J264" s="49"/>
      <c r="K264" s="56"/>
      <c r="L264" s="33"/>
      <c r="M264" s="39"/>
      <c r="N264" s="41"/>
      <c r="O264" s="41"/>
      <c r="P264" s="25" t="str">
        <f aca="false">IF(AND($B264="",$D264="",$F264=""),"",IF(NOT(ISNUMBER($B264)),"日期无效",IF(ISNA(MATCH($C264,参数设置!$A$10:$A$12,0)),"公司无效",IF(ISNA(MATCH($D264,记账规则!$A$6:$A$9,0)),"业务类型无效",IF(ISNA(MATCH($F264,商品档案!$A$6:$A$65,0)),"商品编码无效",IF(IFERROR(INDEX(商品档案!$E$6:$E$65,MATCH($F264,商品档案!$A$6:$A$65,0)),"")&lt;&gt;$C264,"商品不属于该公司",IF(AND($E264&lt;&gt;"",ISNA(MATCH($E264,往来单位!$A$6:$A$85,0))),"往来单位未建档",IF(N($J264)=0,"数量为 0",IF(N($K264)=0,"单价为 0",IF(AND(LEFT($D264,2)="销售",$U264=""),"该商品没设成本科目",IF(YEAR($B264)&lt;&gt;参数设置!$B$5,"不在本会计年度","OK")))))))))))</f>
        <v/>
      </c>
      <c r="Q264" s="57" t="str">
        <f aca="false">IF($F264="","",ROUND(N($J264)*N($K264),2))</f>
        <v/>
      </c>
      <c r="R264" s="58" t="str">
        <f aca="false">IF($D264="","",IF(LEFT($D264,2)="销售","应收账款","应付账款"))</f>
        <v/>
      </c>
      <c r="S264" s="58" t="str">
        <f aca="false">IF($F264="","",IFERROR(INDEX(商品档案!$G$6:$G$65,MATCH($F264,商品档案!$A$6:$A$65,0)),""))</f>
        <v/>
      </c>
      <c r="T264" s="58" t="str">
        <f aca="false">IF($F264="","",IFERROR(INDEX(商品档案!$H$6:$H$65,MATCH($F264,商品档案!$A$6:$A$65,0)),""))</f>
        <v/>
      </c>
      <c r="U264" s="58" t="str">
        <f aca="false">IF($F264="","",IFERROR(INDEX(商品档案!$I$6:$I$65,MATCH($F264,商品档案!$A$6:$A$65,0)),""))</f>
        <v/>
      </c>
      <c r="V264" s="59" t="str">
        <f aca="false">IF($F264="","",SUMIFS(进销存台账!$N$6:$N$65,进销存台账!$A$6:$A$65,$C264,进销存台账!$B$6:$B$65,$F264))</f>
        <v/>
      </c>
      <c r="W264" s="60" t="n">
        <f aca="false">IF(OR($D264="销售出库",$D264="销售退回"),ROUND(N($J264)*N($V264),2),0)</f>
        <v>0</v>
      </c>
      <c r="X264" s="58" t="str">
        <f aca="false">IF($E264="","",IFERROR(INDEX(往来单位!$D$6:$D$85,MATCH($E264,往来单位!$A$6:$A$85,0)),"否"))</f>
        <v/>
      </c>
      <c r="Y264" s="61" t="str">
        <f aca="false">IF($B264="","",YEAR($B264))</f>
        <v/>
      </c>
      <c r="Z264" s="58" t="str">
        <f aca="false">IF($B264="","",TEXT($B264,"yyyy-mm"))</f>
        <v/>
      </c>
    </row>
    <row r="265" customFormat="false" ht="15" hidden="false" customHeight="false" outlineLevel="0" collapsed="false">
      <c r="A265" s="53" t="str">
        <f aca="false">IF($B265="","",ROW()-5)</f>
        <v/>
      </c>
      <c r="B265" s="54"/>
      <c r="C265" s="33"/>
      <c r="D265" s="33"/>
      <c r="E265" s="32"/>
      <c r="F265" s="39"/>
      <c r="G265" s="48" t="str">
        <f aca="false">IF($F265="","",IFERROR(INDEX(商品档案!$B$6:$B$65,MATCH($F265,商品档案!$A$6:$A$65,0)),""))</f>
        <v/>
      </c>
      <c r="H265" s="48" t="str">
        <f aca="false">IF($F265="","",IFERROR(INDEX(商品档案!$C$6:$C$65,MATCH($F265,商品档案!$A$6:$A$65,0)),""))</f>
        <v/>
      </c>
      <c r="I265" s="55" t="str">
        <f aca="false">IF($F265="","",IFERROR(INDEX(商品档案!$D$6:$D$65,MATCH($F265,商品档案!$A$6:$A$65,0)),""))</f>
        <v/>
      </c>
      <c r="J265" s="49"/>
      <c r="K265" s="56"/>
      <c r="L265" s="33"/>
      <c r="M265" s="39"/>
      <c r="N265" s="41"/>
      <c r="O265" s="41"/>
      <c r="P265" s="25" t="str">
        <f aca="false">IF(AND($B265="",$D265="",$F265=""),"",IF(NOT(ISNUMBER($B265)),"日期无效",IF(ISNA(MATCH($C265,参数设置!$A$10:$A$12,0)),"公司无效",IF(ISNA(MATCH($D265,记账规则!$A$6:$A$9,0)),"业务类型无效",IF(ISNA(MATCH($F265,商品档案!$A$6:$A$65,0)),"商品编码无效",IF(IFERROR(INDEX(商品档案!$E$6:$E$65,MATCH($F265,商品档案!$A$6:$A$65,0)),"")&lt;&gt;$C265,"商品不属于该公司",IF(AND($E265&lt;&gt;"",ISNA(MATCH($E265,往来单位!$A$6:$A$85,0))),"往来单位未建档",IF(N($J265)=0,"数量为 0",IF(N($K265)=0,"单价为 0",IF(AND(LEFT($D265,2)="销售",$U265=""),"该商品没设成本科目",IF(YEAR($B265)&lt;&gt;参数设置!$B$5,"不在本会计年度","OK")))))))))))</f>
        <v/>
      </c>
      <c r="Q265" s="57" t="str">
        <f aca="false">IF($F265="","",ROUND(N($J265)*N($K265),2))</f>
        <v/>
      </c>
      <c r="R265" s="58" t="str">
        <f aca="false">IF($D265="","",IF(LEFT($D265,2)="销售","应收账款","应付账款"))</f>
        <v/>
      </c>
      <c r="S265" s="58" t="str">
        <f aca="false">IF($F265="","",IFERROR(INDEX(商品档案!$G$6:$G$65,MATCH($F265,商品档案!$A$6:$A$65,0)),""))</f>
        <v/>
      </c>
      <c r="T265" s="58" t="str">
        <f aca="false">IF($F265="","",IFERROR(INDEX(商品档案!$H$6:$H$65,MATCH($F265,商品档案!$A$6:$A$65,0)),""))</f>
        <v/>
      </c>
      <c r="U265" s="58" t="str">
        <f aca="false">IF($F265="","",IFERROR(INDEX(商品档案!$I$6:$I$65,MATCH($F265,商品档案!$A$6:$A$65,0)),""))</f>
        <v/>
      </c>
      <c r="V265" s="59" t="str">
        <f aca="false">IF($F265="","",SUMIFS(进销存台账!$N$6:$N$65,进销存台账!$A$6:$A$65,$C265,进销存台账!$B$6:$B$65,$F265))</f>
        <v/>
      </c>
      <c r="W265" s="60" t="n">
        <f aca="false">IF(OR($D265="销售出库",$D265="销售退回"),ROUND(N($J265)*N($V265),2),0)</f>
        <v>0</v>
      </c>
      <c r="X265" s="58" t="str">
        <f aca="false">IF($E265="","",IFERROR(INDEX(往来单位!$D$6:$D$85,MATCH($E265,往来单位!$A$6:$A$85,0)),"否"))</f>
        <v/>
      </c>
      <c r="Y265" s="61" t="str">
        <f aca="false">IF($B265="","",YEAR($B265))</f>
        <v/>
      </c>
      <c r="Z265" s="58" t="str">
        <f aca="false">IF($B265="","",TEXT($B265,"yyyy-mm"))</f>
        <v/>
      </c>
    </row>
    <row r="266" customFormat="false" ht="15" hidden="false" customHeight="false" outlineLevel="0" collapsed="false">
      <c r="A266" s="53" t="str">
        <f aca="false">IF($B266="","",ROW()-5)</f>
        <v/>
      </c>
      <c r="B266" s="54"/>
      <c r="C266" s="33"/>
      <c r="D266" s="33"/>
      <c r="E266" s="32"/>
      <c r="F266" s="39"/>
      <c r="G266" s="48" t="str">
        <f aca="false">IF($F266="","",IFERROR(INDEX(商品档案!$B$6:$B$65,MATCH($F266,商品档案!$A$6:$A$65,0)),""))</f>
        <v/>
      </c>
      <c r="H266" s="48" t="str">
        <f aca="false">IF($F266="","",IFERROR(INDEX(商品档案!$C$6:$C$65,MATCH($F266,商品档案!$A$6:$A$65,0)),""))</f>
        <v/>
      </c>
      <c r="I266" s="55" t="str">
        <f aca="false">IF($F266="","",IFERROR(INDEX(商品档案!$D$6:$D$65,MATCH($F266,商品档案!$A$6:$A$65,0)),""))</f>
        <v/>
      </c>
      <c r="J266" s="49"/>
      <c r="K266" s="56"/>
      <c r="L266" s="33"/>
      <c r="M266" s="39"/>
      <c r="N266" s="41"/>
      <c r="O266" s="41"/>
      <c r="P266" s="25" t="str">
        <f aca="false">IF(AND($B266="",$D266="",$F266=""),"",IF(NOT(ISNUMBER($B266)),"日期无效",IF(ISNA(MATCH($C266,参数设置!$A$10:$A$12,0)),"公司无效",IF(ISNA(MATCH($D266,记账规则!$A$6:$A$9,0)),"业务类型无效",IF(ISNA(MATCH($F266,商品档案!$A$6:$A$65,0)),"商品编码无效",IF(IFERROR(INDEX(商品档案!$E$6:$E$65,MATCH($F266,商品档案!$A$6:$A$65,0)),"")&lt;&gt;$C266,"商品不属于该公司",IF(AND($E266&lt;&gt;"",ISNA(MATCH($E266,往来单位!$A$6:$A$85,0))),"往来单位未建档",IF(N($J266)=0,"数量为 0",IF(N($K266)=0,"单价为 0",IF(AND(LEFT($D266,2)="销售",$U266=""),"该商品没设成本科目",IF(YEAR($B266)&lt;&gt;参数设置!$B$5,"不在本会计年度","OK")))))))))))</f>
        <v/>
      </c>
      <c r="Q266" s="57" t="str">
        <f aca="false">IF($F266="","",ROUND(N($J266)*N($K266),2))</f>
        <v/>
      </c>
      <c r="R266" s="58" t="str">
        <f aca="false">IF($D266="","",IF(LEFT($D266,2)="销售","应收账款","应付账款"))</f>
        <v/>
      </c>
      <c r="S266" s="58" t="str">
        <f aca="false">IF($F266="","",IFERROR(INDEX(商品档案!$G$6:$G$65,MATCH($F266,商品档案!$A$6:$A$65,0)),""))</f>
        <v/>
      </c>
      <c r="T266" s="58" t="str">
        <f aca="false">IF($F266="","",IFERROR(INDEX(商品档案!$H$6:$H$65,MATCH($F266,商品档案!$A$6:$A$65,0)),""))</f>
        <v/>
      </c>
      <c r="U266" s="58" t="str">
        <f aca="false">IF($F266="","",IFERROR(INDEX(商品档案!$I$6:$I$65,MATCH($F266,商品档案!$A$6:$A$65,0)),""))</f>
        <v/>
      </c>
      <c r="V266" s="59" t="str">
        <f aca="false">IF($F266="","",SUMIFS(进销存台账!$N$6:$N$65,进销存台账!$A$6:$A$65,$C266,进销存台账!$B$6:$B$65,$F266))</f>
        <v/>
      </c>
      <c r="W266" s="60" t="n">
        <f aca="false">IF(OR($D266="销售出库",$D266="销售退回"),ROUND(N($J266)*N($V266),2),0)</f>
        <v>0</v>
      </c>
      <c r="X266" s="58" t="str">
        <f aca="false">IF($E266="","",IFERROR(INDEX(往来单位!$D$6:$D$85,MATCH($E266,往来单位!$A$6:$A$85,0)),"否"))</f>
        <v/>
      </c>
      <c r="Y266" s="61" t="str">
        <f aca="false">IF($B266="","",YEAR($B266))</f>
        <v/>
      </c>
      <c r="Z266" s="58" t="str">
        <f aca="false">IF($B266="","",TEXT($B266,"yyyy-mm"))</f>
        <v/>
      </c>
    </row>
    <row r="267" customFormat="false" ht="15" hidden="false" customHeight="false" outlineLevel="0" collapsed="false">
      <c r="A267" s="53" t="str">
        <f aca="false">IF($B267="","",ROW()-5)</f>
        <v/>
      </c>
      <c r="B267" s="54"/>
      <c r="C267" s="33"/>
      <c r="D267" s="33"/>
      <c r="E267" s="32"/>
      <c r="F267" s="39"/>
      <c r="G267" s="48" t="str">
        <f aca="false">IF($F267="","",IFERROR(INDEX(商品档案!$B$6:$B$65,MATCH($F267,商品档案!$A$6:$A$65,0)),""))</f>
        <v/>
      </c>
      <c r="H267" s="48" t="str">
        <f aca="false">IF($F267="","",IFERROR(INDEX(商品档案!$C$6:$C$65,MATCH($F267,商品档案!$A$6:$A$65,0)),""))</f>
        <v/>
      </c>
      <c r="I267" s="55" t="str">
        <f aca="false">IF($F267="","",IFERROR(INDEX(商品档案!$D$6:$D$65,MATCH($F267,商品档案!$A$6:$A$65,0)),""))</f>
        <v/>
      </c>
      <c r="J267" s="49"/>
      <c r="K267" s="56"/>
      <c r="L267" s="33"/>
      <c r="M267" s="39"/>
      <c r="N267" s="41"/>
      <c r="O267" s="41"/>
      <c r="P267" s="25" t="str">
        <f aca="false">IF(AND($B267="",$D267="",$F267=""),"",IF(NOT(ISNUMBER($B267)),"日期无效",IF(ISNA(MATCH($C267,参数设置!$A$10:$A$12,0)),"公司无效",IF(ISNA(MATCH($D267,记账规则!$A$6:$A$9,0)),"业务类型无效",IF(ISNA(MATCH($F267,商品档案!$A$6:$A$65,0)),"商品编码无效",IF(IFERROR(INDEX(商品档案!$E$6:$E$65,MATCH($F267,商品档案!$A$6:$A$65,0)),"")&lt;&gt;$C267,"商品不属于该公司",IF(AND($E267&lt;&gt;"",ISNA(MATCH($E267,往来单位!$A$6:$A$85,0))),"往来单位未建档",IF(N($J267)=0,"数量为 0",IF(N($K267)=0,"单价为 0",IF(AND(LEFT($D267,2)="销售",$U267=""),"该商品没设成本科目",IF(YEAR($B267)&lt;&gt;参数设置!$B$5,"不在本会计年度","OK")))))))))))</f>
        <v/>
      </c>
      <c r="Q267" s="57" t="str">
        <f aca="false">IF($F267="","",ROUND(N($J267)*N($K267),2))</f>
        <v/>
      </c>
      <c r="R267" s="58" t="str">
        <f aca="false">IF($D267="","",IF(LEFT($D267,2)="销售","应收账款","应付账款"))</f>
        <v/>
      </c>
      <c r="S267" s="58" t="str">
        <f aca="false">IF($F267="","",IFERROR(INDEX(商品档案!$G$6:$G$65,MATCH($F267,商品档案!$A$6:$A$65,0)),""))</f>
        <v/>
      </c>
      <c r="T267" s="58" t="str">
        <f aca="false">IF($F267="","",IFERROR(INDEX(商品档案!$H$6:$H$65,MATCH($F267,商品档案!$A$6:$A$65,0)),""))</f>
        <v/>
      </c>
      <c r="U267" s="58" t="str">
        <f aca="false">IF($F267="","",IFERROR(INDEX(商品档案!$I$6:$I$65,MATCH($F267,商品档案!$A$6:$A$65,0)),""))</f>
        <v/>
      </c>
      <c r="V267" s="59" t="str">
        <f aca="false">IF($F267="","",SUMIFS(进销存台账!$N$6:$N$65,进销存台账!$A$6:$A$65,$C267,进销存台账!$B$6:$B$65,$F267))</f>
        <v/>
      </c>
      <c r="W267" s="60" t="n">
        <f aca="false">IF(OR($D267="销售出库",$D267="销售退回"),ROUND(N($J267)*N($V267),2),0)</f>
        <v>0</v>
      </c>
      <c r="X267" s="58" t="str">
        <f aca="false">IF($E267="","",IFERROR(INDEX(往来单位!$D$6:$D$85,MATCH($E267,往来单位!$A$6:$A$85,0)),"否"))</f>
        <v/>
      </c>
      <c r="Y267" s="61" t="str">
        <f aca="false">IF($B267="","",YEAR($B267))</f>
        <v/>
      </c>
      <c r="Z267" s="58" t="str">
        <f aca="false">IF($B267="","",TEXT($B267,"yyyy-mm"))</f>
        <v/>
      </c>
    </row>
    <row r="268" customFormat="false" ht="15" hidden="false" customHeight="false" outlineLevel="0" collapsed="false">
      <c r="A268" s="53" t="str">
        <f aca="false">IF($B268="","",ROW()-5)</f>
        <v/>
      </c>
      <c r="B268" s="54"/>
      <c r="C268" s="33"/>
      <c r="D268" s="33"/>
      <c r="E268" s="32"/>
      <c r="F268" s="39"/>
      <c r="G268" s="48" t="str">
        <f aca="false">IF($F268="","",IFERROR(INDEX(商品档案!$B$6:$B$65,MATCH($F268,商品档案!$A$6:$A$65,0)),""))</f>
        <v/>
      </c>
      <c r="H268" s="48" t="str">
        <f aca="false">IF($F268="","",IFERROR(INDEX(商品档案!$C$6:$C$65,MATCH($F268,商品档案!$A$6:$A$65,0)),""))</f>
        <v/>
      </c>
      <c r="I268" s="55" t="str">
        <f aca="false">IF($F268="","",IFERROR(INDEX(商品档案!$D$6:$D$65,MATCH($F268,商品档案!$A$6:$A$65,0)),""))</f>
        <v/>
      </c>
      <c r="J268" s="49"/>
      <c r="K268" s="56"/>
      <c r="L268" s="33"/>
      <c r="M268" s="39"/>
      <c r="N268" s="41"/>
      <c r="O268" s="41"/>
      <c r="P268" s="25" t="str">
        <f aca="false">IF(AND($B268="",$D268="",$F268=""),"",IF(NOT(ISNUMBER($B268)),"日期无效",IF(ISNA(MATCH($C268,参数设置!$A$10:$A$12,0)),"公司无效",IF(ISNA(MATCH($D268,记账规则!$A$6:$A$9,0)),"业务类型无效",IF(ISNA(MATCH($F268,商品档案!$A$6:$A$65,0)),"商品编码无效",IF(IFERROR(INDEX(商品档案!$E$6:$E$65,MATCH($F268,商品档案!$A$6:$A$65,0)),"")&lt;&gt;$C268,"商品不属于该公司",IF(AND($E268&lt;&gt;"",ISNA(MATCH($E268,往来单位!$A$6:$A$85,0))),"往来单位未建档",IF(N($J268)=0,"数量为 0",IF(N($K268)=0,"单价为 0",IF(AND(LEFT($D268,2)="销售",$U268=""),"该商品没设成本科目",IF(YEAR($B268)&lt;&gt;参数设置!$B$5,"不在本会计年度","OK")))))))))))</f>
        <v/>
      </c>
      <c r="Q268" s="57" t="str">
        <f aca="false">IF($F268="","",ROUND(N($J268)*N($K268),2))</f>
        <v/>
      </c>
      <c r="R268" s="58" t="str">
        <f aca="false">IF($D268="","",IF(LEFT($D268,2)="销售","应收账款","应付账款"))</f>
        <v/>
      </c>
      <c r="S268" s="58" t="str">
        <f aca="false">IF($F268="","",IFERROR(INDEX(商品档案!$G$6:$G$65,MATCH($F268,商品档案!$A$6:$A$65,0)),""))</f>
        <v/>
      </c>
      <c r="T268" s="58" t="str">
        <f aca="false">IF($F268="","",IFERROR(INDEX(商品档案!$H$6:$H$65,MATCH($F268,商品档案!$A$6:$A$65,0)),""))</f>
        <v/>
      </c>
      <c r="U268" s="58" t="str">
        <f aca="false">IF($F268="","",IFERROR(INDEX(商品档案!$I$6:$I$65,MATCH($F268,商品档案!$A$6:$A$65,0)),""))</f>
        <v/>
      </c>
      <c r="V268" s="59" t="str">
        <f aca="false">IF($F268="","",SUMIFS(进销存台账!$N$6:$N$65,进销存台账!$A$6:$A$65,$C268,进销存台账!$B$6:$B$65,$F268))</f>
        <v/>
      </c>
      <c r="W268" s="60" t="n">
        <f aca="false">IF(OR($D268="销售出库",$D268="销售退回"),ROUND(N($J268)*N($V268),2),0)</f>
        <v>0</v>
      </c>
      <c r="X268" s="58" t="str">
        <f aca="false">IF($E268="","",IFERROR(INDEX(往来单位!$D$6:$D$85,MATCH($E268,往来单位!$A$6:$A$85,0)),"否"))</f>
        <v/>
      </c>
      <c r="Y268" s="61" t="str">
        <f aca="false">IF($B268="","",YEAR($B268))</f>
        <v/>
      </c>
      <c r="Z268" s="58" t="str">
        <f aca="false">IF($B268="","",TEXT($B268,"yyyy-mm"))</f>
        <v/>
      </c>
    </row>
    <row r="269" customFormat="false" ht="15" hidden="false" customHeight="false" outlineLevel="0" collapsed="false">
      <c r="A269" s="53" t="str">
        <f aca="false">IF($B269="","",ROW()-5)</f>
        <v/>
      </c>
      <c r="B269" s="54"/>
      <c r="C269" s="33"/>
      <c r="D269" s="33"/>
      <c r="E269" s="32"/>
      <c r="F269" s="39"/>
      <c r="G269" s="48" t="str">
        <f aca="false">IF($F269="","",IFERROR(INDEX(商品档案!$B$6:$B$65,MATCH($F269,商品档案!$A$6:$A$65,0)),""))</f>
        <v/>
      </c>
      <c r="H269" s="48" t="str">
        <f aca="false">IF($F269="","",IFERROR(INDEX(商品档案!$C$6:$C$65,MATCH($F269,商品档案!$A$6:$A$65,0)),""))</f>
        <v/>
      </c>
      <c r="I269" s="55" t="str">
        <f aca="false">IF($F269="","",IFERROR(INDEX(商品档案!$D$6:$D$65,MATCH($F269,商品档案!$A$6:$A$65,0)),""))</f>
        <v/>
      </c>
      <c r="J269" s="49"/>
      <c r="K269" s="56"/>
      <c r="L269" s="33"/>
      <c r="M269" s="39"/>
      <c r="N269" s="41"/>
      <c r="O269" s="41"/>
      <c r="P269" s="25" t="str">
        <f aca="false">IF(AND($B269="",$D269="",$F269=""),"",IF(NOT(ISNUMBER($B269)),"日期无效",IF(ISNA(MATCH($C269,参数设置!$A$10:$A$12,0)),"公司无效",IF(ISNA(MATCH($D269,记账规则!$A$6:$A$9,0)),"业务类型无效",IF(ISNA(MATCH($F269,商品档案!$A$6:$A$65,0)),"商品编码无效",IF(IFERROR(INDEX(商品档案!$E$6:$E$65,MATCH($F269,商品档案!$A$6:$A$65,0)),"")&lt;&gt;$C269,"商品不属于该公司",IF(AND($E269&lt;&gt;"",ISNA(MATCH($E269,往来单位!$A$6:$A$85,0))),"往来单位未建档",IF(N($J269)=0,"数量为 0",IF(N($K269)=0,"单价为 0",IF(AND(LEFT($D269,2)="销售",$U269=""),"该商品没设成本科目",IF(YEAR($B269)&lt;&gt;参数设置!$B$5,"不在本会计年度","OK")))))))))))</f>
        <v/>
      </c>
      <c r="Q269" s="57" t="str">
        <f aca="false">IF($F269="","",ROUND(N($J269)*N($K269),2))</f>
        <v/>
      </c>
      <c r="R269" s="58" t="str">
        <f aca="false">IF($D269="","",IF(LEFT($D269,2)="销售","应收账款","应付账款"))</f>
        <v/>
      </c>
      <c r="S269" s="58" t="str">
        <f aca="false">IF($F269="","",IFERROR(INDEX(商品档案!$G$6:$G$65,MATCH($F269,商品档案!$A$6:$A$65,0)),""))</f>
        <v/>
      </c>
      <c r="T269" s="58" t="str">
        <f aca="false">IF($F269="","",IFERROR(INDEX(商品档案!$H$6:$H$65,MATCH($F269,商品档案!$A$6:$A$65,0)),""))</f>
        <v/>
      </c>
      <c r="U269" s="58" t="str">
        <f aca="false">IF($F269="","",IFERROR(INDEX(商品档案!$I$6:$I$65,MATCH($F269,商品档案!$A$6:$A$65,0)),""))</f>
        <v/>
      </c>
      <c r="V269" s="59" t="str">
        <f aca="false">IF($F269="","",SUMIFS(进销存台账!$N$6:$N$65,进销存台账!$A$6:$A$65,$C269,进销存台账!$B$6:$B$65,$F269))</f>
        <v/>
      </c>
      <c r="W269" s="60" t="n">
        <f aca="false">IF(OR($D269="销售出库",$D269="销售退回"),ROUND(N($J269)*N($V269),2),0)</f>
        <v>0</v>
      </c>
      <c r="X269" s="58" t="str">
        <f aca="false">IF($E269="","",IFERROR(INDEX(往来单位!$D$6:$D$85,MATCH($E269,往来单位!$A$6:$A$85,0)),"否"))</f>
        <v/>
      </c>
      <c r="Y269" s="61" t="str">
        <f aca="false">IF($B269="","",YEAR($B269))</f>
        <v/>
      </c>
      <c r="Z269" s="58" t="str">
        <f aca="false">IF($B269="","",TEXT($B269,"yyyy-mm"))</f>
        <v/>
      </c>
    </row>
    <row r="270" customFormat="false" ht="15" hidden="false" customHeight="false" outlineLevel="0" collapsed="false">
      <c r="A270" s="53" t="str">
        <f aca="false">IF($B270="","",ROW()-5)</f>
        <v/>
      </c>
      <c r="B270" s="54"/>
      <c r="C270" s="33"/>
      <c r="D270" s="33"/>
      <c r="E270" s="32"/>
      <c r="F270" s="39"/>
      <c r="G270" s="48" t="str">
        <f aca="false">IF($F270="","",IFERROR(INDEX(商品档案!$B$6:$B$65,MATCH($F270,商品档案!$A$6:$A$65,0)),""))</f>
        <v/>
      </c>
      <c r="H270" s="48" t="str">
        <f aca="false">IF($F270="","",IFERROR(INDEX(商品档案!$C$6:$C$65,MATCH($F270,商品档案!$A$6:$A$65,0)),""))</f>
        <v/>
      </c>
      <c r="I270" s="55" t="str">
        <f aca="false">IF($F270="","",IFERROR(INDEX(商品档案!$D$6:$D$65,MATCH($F270,商品档案!$A$6:$A$65,0)),""))</f>
        <v/>
      </c>
      <c r="J270" s="49"/>
      <c r="K270" s="56"/>
      <c r="L270" s="33"/>
      <c r="M270" s="39"/>
      <c r="N270" s="41"/>
      <c r="O270" s="41"/>
      <c r="P270" s="25" t="str">
        <f aca="false">IF(AND($B270="",$D270="",$F270=""),"",IF(NOT(ISNUMBER($B270)),"日期无效",IF(ISNA(MATCH($C270,参数设置!$A$10:$A$12,0)),"公司无效",IF(ISNA(MATCH($D270,记账规则!$A$6:$A$9,0)),"业务类型无效",IF(ISNA(MATCH($F270,商品档案!$A$6:$A$65,0)),"商品编码无效",IF(IFERROR(INDEX(商品档案!$E$6:$E$65,MATCH($F270,商品档案!$A$6:$A$65,0)),"")&lt;&gt;$C270,"商品不属于该公司",IF(AND($E270&lt;&gt;"",ISNA(MATCH($E270,往来单位!$A$6:$A$85,0))),"往来单位未建档",IF(N($J270)=0,"数量为 0",IF(N($K270)=0,"单价为 0",IF(AND(LEFT($D270,2)="销售",$U270=""),"该商品没设成本科目",IF(YEAR($B270)&lt;&gt;参数设置!$B$5,"不在本会计年度","OK")))))))))))</f>
        <v/>
      </c>
      <c r="Q270" s="57" t="str">
        <f aca="false">IF($F270="","",ROUND(N($J270)*N($K270),2))</f>
        <v/>
      </c>
      <c r="R270" s="58" t="str">
        <f aca="false">IF($D270="","",IF(LEFT($D270,2)="销售","应收账款","应付账款"))</f>
        <v/>
      </c>
      <c r="S270" s="58" t="str">
        <f aca="false">IF($F270="","",IFERROR(INDEX(商品档案!$G$6:$G$65,MATCH($F270,商品档案!$A$6:$A$65,0)),""))</f>
        <v/>
      </c>
      <c r="T270" s="58" t="str">
        <f aca="false">IF($F270="","",IFERROR(INDEX(商品档案!$H$6:$H$65,MATCH($F270,商品档案!$A$6:$A$65,0)),""))</f>
        <v/>
      </c>
      <c r="U270" s="58" t="str">
        <f aca="false">IF($F270="","",IFERROR(INDEX(商品档案!$I$6:$I$65,MATCH($F270,商品档案!$A$6:$A$65,0)),""))</f>
        <v/>
      </c>
      <c r="V270" s="59" t="str">
        <f aca="false">IF($F270="","",SUMIFS(进销存台账!$N$6:$N$65,进销存台账!$A$6:$A$65,$C270,进销存台账!$B$6:$B$65,$F270))</f>
        <v/>
      </c>
      <c r="W270" s="60" t="n">
        <f aca="false">IF(OR($D270="销售出库",$D270="销售退回"),ROUND(N($J270)*N($V270),2),0)</f>
        <v>0</v>
      </c>
      <c r="X270" s="58" t="str">
        <f aca="false">IF($E270="","",IFERROR(INDEX(往来单位!$D$6:$D$85,MATCH($E270,往来单位!$A$6:$A$85,0)),"否"))</f>
        <v/>
      </c>
      <c r="Y270" s="61" t="str">
        <f aca="false">IF($B270="","",YEAR($B270))</f>
        <v/>
      </c>
      <c r="Z270" s="58" t="str">
        <f aca="false">IF($B270="","",TEXT($B270,"yyyy-mm"))</f>
        <v/>
      </c>
    </row>
    <row r="271" customFormat="false" ht="15" hidden="false" customHeight="false" outlineLevel="0" collapsed="false">
      <c r="A271" s="53" t="str">
        <f aca="false">IF($B271="","",ROW()-5)</f>
        <v/>
      </c>
      <c r="B271" s="54"/>
      <c r="C271" s="33"/>
      <c r="D271" s="33"/>
      <c r="E271" s="32"/>
      <c r="F271" s="39"/>
      <c r="G271" s="48" t="str">
        <f aca="false">IF($F271="","",IFERROR(INDEX(商品档案!$B$6:$B$65,MATCH($F271,商品档案!$A$6:$A$65,0)),""))</f>
        <v/>
      </c>
      <c r="H271" s="48" t="str">
        <f aca="false">IF($F271="","",IFERROR(INDEX(商品档案!$C$6:$C$65,MATCH($F271,商品档案!$A$6:$A$65,0)),""))</f>
        <v/>
      </c>
      <c r="I271" s="55" t="str">
        <f aca="false">IF($F271="","",IFERROR(INDEX(商品档案!$D$6:$D$65,MATCH($F271,商品档案!$A$6:$A$65,0)),""))</f>
        <v/>
      </c>
      <c r="J271" s="49"/>
      <c r="K271" s="56"/>
      <c r="L271" s="33"/>
      <c r="M271" s="39"/>
      <c r="N271" s="41"/>
      <c r="O271" s="41"/>
      <c r="P271" s="25" t="str">
        <f aca="false">IF(AND($B271="",$D271="",$F271=""),"",IF(NOT(ISNUMBER($B271)),"日期无效",IF(ISNA(MATCH($C271,参数设置!$A$10:$A$12,0)),"公司无效",IF(ISNA(MATCH($D271,记账规则!$A$6:$A$9,0)),"业务类型无效",IF(ISNA(MATCH($F271,商品档案!$A$6:$A$65,0)),"商品编码无效",IF(IFERROR(INDEX(商品档案!$E$6:$E$65,MATCH($F271,商品档案!$A$6:$A$65,0)),"")&lt;&gt;$C271,"商品不属于该公司",IF(AND($E271&lt;&gt;"",ISNA(MATCH($E271,往来单位!$A$6:$A$85,0))),"往来单位未建档",IF(N($J271)=0,"数量为 0",IF(N($K271)=0,"单价为 0",IF(AND(LEFT($D271,2)="销售",$U271=""),"该商品没设成本科目",IF(YEAR($B271)&lt;&gt;参数设置!$B$5,"不在本会计年度","OK")))))))))))</f>
        <v/>
      </c>
      <c r="Q271" s="57" t="str">
        <f aca="false">IF($F271="","",ROUND(N($J271)*N($K271),2))</f>
        <v/>
      </c>
      <c r="R271" s="58" t="str">
        <f aca="false">IF($D271="","",IF(LEFT($D271,2)="销售","应收账款","应付账款"))</f>
        <v/>
      </c>
      <c r="S271" s="58" t="str">
        <f aca="false">IF($F271="","",IFERROR(INDEX(商品档案!$G$6:$G$65,MATCH($F271,商品档案!$A$6:$A$65,0)),""))</f>
        <v/>
      </c>
      <c r="T271" s="58" t="str">
        <f aca="false">IF($F271="","",IFERROR(INDEX(商品档案!$H$6:$H$65,MATCH($F271,商品档案!$A$6:$A$65,0)),""))</f>
        <v/>
      </c>
      <c r="U271" s="58" t="str">
        <f aca="false">IF($F271="","",IFERROR(INDEX(商品档案!$I$6:$I$65,MATCH($F271,商品档案!$A$6:$A$65,0)),""))</f>
        <v/>
      </c>
      <c r="V271" s="59" t="str">
        <f aca="false">IF($F271="","",SUMIFS(进销存台账!$N$6:$N$65,进销存台账!$A$6:$A$65,$C271,进销存台账!$B$6:$B$65,$F271))</f>
        <v/>
      </c>
      <c r="W271" s="60" t="n">
        <f aca="false">IF(OR($D271="销售出库",$D271="销售退回"),ROUND(N($J271)*N($V271),2),0)</f>
        <v>0</v>
      </c>
      <c r="X271" s="58" t="str">
        <f aca="false">IF($E271="","",IFERROR(INDEX(往来单位!$D$6:$D$85,MATCH($E271,往来单位!$A$6:$A$85,0)),"否"))</f>
        <v/>
      </c>
      <c r="Y271" s="61" t="str">
        <f aca="false">IF($B271="","",YEAR($B271))</f>
        <v/>
      </c>
      <c r="Z271" s="58" t="str">
        <f aca="false">IF($B271="","",TEXT($B271,"yyyy-mm"))</f>
        <v/>
      </c>
    </row>
    <row r="272" customFormat="false" ht="15" hidden="false" customHeight="false" outlineLevel="0" collapsed="false">
      <c r="A272" s="53" t="str">
        <f aca="false">IF($B272="","",ROW()-5)</f>
        <v/>
      </c>
      <c r="B272" s="54"/>
      <c r="C272" s="33"/>
      <c r="D272" s="33"/>
      <c r="E272" s="32"/>
      <c r="F272" s="39"/>
      <c r="G272" s="48" t="str">
        <f aca="false">IF($F272="","",IFERROR(INDEX(商品档案!$B$6:$B$65,MATCH($F272,商品档案!$A$6:$A$65,0)),""))</f>
        <v/>
      </c>
      <c r="H272" s="48" t="str">
        <f aca="false">IF($F272="","",IFERROR(INDEX(商品档案!$C$6:$C$65,MATCH($F272,商品档案!$A$6:$A$65,0)),""))</f>
        <v/>
      </c>
      <c r="I272" s="55" t="str">
        <f aca="false">IF($F272="","",IFERROR(INDEX(商品档案!$D$6:$D$65,MATCH($F272,商品档案!$A$6:$A$65,0)),""))</f>
        <v/>
      </c>
      <c r="J272" s="49"/>
      <c r="K272" s="56"/>
      <c r="L272" s="33"/>
      <c r="M272" s="39"/>
      <c r="N272" s="41"/>
      <c r="O272" s="41"/>
      <c r="P272" s="25" t="str">
        <f aca="false">IF(AND($B272="",$D272="",$F272=""),"",IF(NOT(ISNUMBER($B272)),"日期无效",IF(ISNA(MATCH($C272,参数设置!$A$10:$A$12,0)),"公司无效",IF(ISNA(MATCH($D272,记账规则!$A$6:$A$9,0)),"业务类型无效",IF(ISNA(MATCH($F272,商品档案!$A$6:$A$65,0)),"商品编码无效",IF(IFERROR(INDEX(商品档案!$E$6:$E$65,MATCH($F272,商品档案!$A$6:$A$65,0)),"")&lt;&gt;$C272,"商品不属于该公司",IF(AND($E272&lt;&gt;"",ISNA(MATCH($E272,往来单位!$A$6:$A$85,0))),"往来单位未建档",IF(N($J272)=0,"数量为 0",IF(N($K272)=0,"单价为 0",IF(AND(LEFT($D272,2)="销售",$U272=""),"该商品没设成本科目",IF(YEAR($B272)&lt;&gt;参数设置!$B$5,"不在本会计年度","OK")))))))))))</f>
        <v/>
      </c>
      <c r="Q272" s="57" t="str">
        <f aca="false">IF($F272="","",ROUND(N($J272)*N($K272),2))</f>
        <v/>
      </c>
      <c r="R272" s="58" t="str">
        <f aca="false">IF($D272="","",IF(LEFT($D272,2)="销售","应收账款","应付账款"))</f>
        <v/>
      </c>
      <c r="S272" s="58" t="str">
        <f aca="false">IF($F272="","",IFERROR(INDEX(商品档案!$G$6:$G$65,MATCH($F272,商品档案!$A$6:$A$65,0)),""))</f>
        <v/>
      </c>
      <c r="T272" s="58" t="str">
        <f aca="false">IF($F272="","",IFERROR(INDEX(商品档案!$H$6:$H$65,MATCH($F272,商品档案!$A$6:$A$65,0)),""))</f>
        <v/>
      </c>
      <c r="U272" s="58" t="str">
        <f aca="false">IF($F272="","",IFERROR(INDEX(商品档案!$I$6:$I$65,MATCH($F272,商品档案!$A$6:$A$65,0)),""))</f>
        <v/>
      </c>
      <c r="V272" s="59" t="str">
        <f aca="false">IF($F272="","",SUMIFS(进销存台账!$N$6:$N$65,进销存台账!$A$6:$A$65,$C272,进销存台账!$B$6:$B$65,$F272))</f>
        <v/>
      </c>
      <c r="W272" s="60" t="n">
        <f aca="false">IF(OR($D272="销售出库",$D272="销售退回"),ROUND(N($J272)*N($V272),2),0)</f>
        <v>0</v>
      </c>
      <c r="X272" s="58" t="str">
        <f aca="false">IF($E272="","",IFERROR(INDEX(往来单位!$D$6:$D$85,MATCH($E272,往来单位!$A$6:$A$85,0)),"否"))</f>
        <v/>
      </c>
      <c r="Y272" s="61" t="str">
        <f aca="false">IF($B272="","",YEAR($B272))</f>
        <v/>
      </c>
      <c r="Z272" s="58" t="str">
        <f aca="false">IF($B272="","",TEXT($B272,"yyyy-mm"))</f>
        <v/>
      </c>
    </row>
    <row r="273" customFormat="false" ht="15" hidden="false" customHeight="false" outlineLevel="0" collapsed="false">
      <c r="A273" s="53" t="str">
        <f aca="false">IF($B273="","",ROW()-5)</f>
        <v/>
      </c>
      <c r="B273" s="54"/>
      <c r="C273" s="33"/>
      <c r="D273" s="33"/>
      <c r="E273" s="32"/>
      <c r="F273" s="39"/>
      <c r="G273" s="48" t="str">
        <f aca="false">IF($F273="","",IFERROR(INDEX(商品档案!$B$6:$B$65,MATCH($F273,商品档案!$A$6:$A$65,0)),""))</f>
        <v/>
      </c>
      <c r="H273" s="48" t="str">
        <f aca="false">IF($F273="","",IFERROR(INDEX(商品档案!$C$6:$C$65,MATCH($F273,商品档案!$A$6:$A$65,0)),""))</f>
        <v/>
      </c>
      <c r="I273" s="55" t="str">
        <f aca="false">IF($F273="","",IFERROR(INDEX(商品档案!$D$6:$D$65,MATCH($F273,商品档案!$A$6:$A$65,0)),""))</f>
        <v/>
      </c>
      <c r="J273" s="49"/>
      <c r="K273" s="56"/>
      <c r="L273" s="33"/>
      <c r="M273" s="39"/>
      <c r="N273" s="41"/>
      <c r="O273" s="41"/>
      <c r="P273" s="25" t="str">
        <f aca="false">IF(AND($B273="",$D273="",$F273=""),"",IF(NOT(ISNUMBER($B273)),"日期无效",IF(ISNA(MATCH($C273,参数设置!$A$10:$A$12,0)),"公司无效",IF(ISNA(MATCH($D273,记账规则!$A$6:$A$9,0)),"业务类型无效",IF(ISNA(MATCH($F273,商品档案!$A$6:$A$65,0)),"商品编码无效",IF(IFERROR(INDEX(商品档案!$E$6:$E$65,MATCH($F273,商品档案!$A$6:$A$65,0)),"")&lt;&gt;$C273,"商品不属于该公司",IF(AND($E273&lt;&gt;"",ISNA(MATCH($E273,往来单位!$A$6:$A$85,0))),"往来单位未建档",IF(N($J273)=0,"数量为 0",IF(N($K273)=0,"单价为 0",IF(AND(LEFT($D273,2)="销售",$U273=""),"该商品没设成本科目",IF(YEAR($B273)&lt;&gt;参数设置!$B$5,"不在本会计年度","OK")))))))))))</f>
        <v/>
      </c>
      <c r="Q273" s="57" t="str">
        <f aca="false">IF($F273="","",ROUND(N($J273)*N($K273),2))</f>
        <v/>
      </c>
      <c r="R273" s="58" t="str">
        <f aca="false">IF($D273="","",IF(LEFT($D273,2)="销售","应收账款","应付账款"))</f>
        <v/>
      </c>
      <c r="S273" s="58" t="str">
        <f aca="false">IF($F273="","",IFERROR(INDEX(商品档案!$G$6:$G$65,MATCH($F273,商品档案!$A$6:$A$65,0)),""))</f>
        <v/>
      </c>
      <c r="T273" s="58" t="str">
        <f aca="false">IF($F273="","",IFERROR(INDEX(商品档案!$H$6:$H$65,MATCH($F273,商品档案!$A$6:$A$65,0)),""))</f>
        <v/>
      </c>
      <c r="U273" s="58" t="str">
        <f aca="false">IF($F273="","",IFERROR(INDEX(商品档案!$I$6:$I$65,MATCH($F273,商品档案!$A$6:$A$65,0)),""))</f>
        <v/>
      </c>
      <c r="V273" s="59" t="str">
        <f aca="false">IF($F273="","",SUMIFS(进销存台账!$N$6:$N$65,进销存台账!$A$6:$A$65,$C273,进销存台账!$B$6:$B$65,$F273))</f>
        <v/>
      </c>
      <c r="W273" s="60" t="n">
        <f aca="false">IF(OR($D273="销售出库",$D273="销售退回"),ROUND(N($J273)*N($V273),2),0)</f>
        <v>0</v>
      </c>
      <c r="X273" s="58" t="str">
        <f aca="false">IF($E273="","",IFERROR(INDEX(往来单位!$D$6:$D$85,MATCH($E273,往来单位!$A$6:$A$85,0)),"否"))</f>
        <v/>
      </c>
      <c r="Y273" s="61" t="str">
        <f aca="false">IF($B273="","",YEAR($B273))</f>
        <v/>
      </c>
      <c r="Z273" s="58" t="str">
        <f aca="false">IF($B273="","",TEXT($B273,"yyyy-mm"))</f>
        <v/>
      </c>
    </row>
    <row r="274" customFormat="false" ht="15" hidden="false" customHeight="false" outlineLevel="0" collapsed="false">
      <c r="A274" s="53" t="str">
        <f aca="false">IF($B274="","",ROW()-5)</f>
        <v/>
      </c>
      <c r="B274" s="54"/>
      <c r="C274" s="33"/>
      <c r="D274" s="33"/>
      <c r="E274" s="32"/>
      <c r="F274" s="39"/>
      <c r="G274" s="48" t="str">
        <f aca="false">IF($F274="","",IFERROR(INDEX(商品档案!$B$6:$B$65,MATCH($F274,商品档案!$A$6:$A$65,0)),""))</f>
        <v/>
      </c>
      <c r="H274" s="48" t="str">
        <f aca="false">IF($F274="","",IFERROR(INDEX(商品档案!$C$6:$C$65,MATCH($F274,商品档案!$A$6:$A$65,0)),""))</f>
        <v/>
      </c>
      <c r="I274" s="55" t="str">
        <f aca="false">IF($F274="","",IFERROR(INDEX(商品档案!$D$6:$D$65,MATCH($F274,商品档案!$A$6:$A$65,0)),""))</f>
        <v/>
      </c>
      <c r="J274" s="49"/>
      <c r="K274" s="56"/>
      <c r="L274" s="33"/>
      <c r="M274" s="39"/>
      <c r="N274" s="41"/>
      <c r="O274" s="41"/>
      <c r="P274" s="25" t="str">
        <f aca="false">IF(AND($B274="",$D274="",$F274=""),"",IF(NOT(ISNUMBER($B274)),"日期无效",IF(ISNA(MATCH($C274,参数设置!$A$10:$A$12,0)),"公司无效",IF(ISNA(MATCH($D274,记账规则!$A$6:$A$9,0)),"业务类型无效",IF(ISNA(MATCH($F274,商品档案!$A$6:$A$65,0)),"商品编码无效",IF(IFERROR(INDEX(商品档案!$E$6:$E$65,MATCH($F274,商品档案!$A$6:$A$65,0)),"")&lt;&gt;$C274,"商品不属于该公司",IF(AND($E274&lt;&gt;"",ISNA(MATCH($E274,往来单位!$A$6:$A$85,0))),"往来单位未建档",IF(N($J274)=0,"数量为 0",IF(N($K274)=0,"单价为 0",IF(AND(LEFT($D274,2)="销售",$U274=""),"该商品没设成本科目",IF(YEAR($B274)&lt;&gt;参数设置!$B$5,"不在本会计年度","OK")))))))))))</f>
        <v/>
      </c>
      <c r="Q274" s="57" t="str">
        <f aca="false">IF($F274="","",ROUND(N($J274)*N($K274),2))</f>
        <v/>
      </c>
      <c r="R274" s="58" t="str">
        <f aca="false">IF($D274="","",IF(LEFT($D274,2)="销售","应收账款","应付账款"))</f>
        <v/>
      </c>
      <c r="S274" s="58" t="str">
        <f aca="false">IF($F274="","",IFERROR(INDEX(商品档案!$G$6:$G$65,MATCH($F274,商品档案!$A$6:$A$65,0)),""))</f>
        <v/>
      </c>
      <c r="T274" s="58" t="str">
        <f aca="false">IF($F274="","",IFERROR(INDEX(商品档案!$H$6:$H$65,MATCH($F274,商品档案!$A$6:$A$65,0)),""))</f>
        <v/>
      </c>
      <c r="U274" s="58" t="str">
        <f aca="false">IF($F274="","",IFERROR(INDEX(商品档案!$I$6:$I$65,MATCH($F274,商品档案!$A$6:$A$65,0)),""))</f>
        <v/>
      </c>
      <c r="V274" s="59" t="str">
        <f aca="false">IF($F274="","",SUMIFS(进销存台账!$N$6:$N$65,进销存台账!$A$6:$A$65,$C274,进销存台账!$B$6:$B$65,$F274))</f>
        <v/>
      </c>
      <c r="W274" s="60" t="n">
        <f aca="false">IF(OR($D274="销售出库",$D274="销售退回"),ROUND(N($J274)*N($V274),2),0)</f>
        <v>0</v>
      </c>
      <c r="X274" s="58" t="str">
        <f aca="false">IF($E274="","",IFERROR(INDEX(往来单位!$D$6:$D$85,MATCH($E274,往来单位!$A$6:$A$85,0)),"否"))</f>
        <v/>
      </c>
      <c r="Y274" s="61" t="str">
        <f aca="false">IF($B274="","",YEAR($B274))</f>
        <v/>
      </c>
      <c r="Z274" s="58" t="str">
        <f aca="false">IF($B274="","",TEXT($B274,"yyyy-mm"))</f>
        <v/>
      </c>
    </row>
    <row r="275" customFormat="false" ht="15" hidden="false" customHeight="false" outlineLevel="0" collapsed="false">
      <c r="A275" s="53" t="str">
        <f aca="false">IF($B275="","",ROW()-5)</f>
        <v/>
      </c>
      <c r="B275" s="54"/>
      <c r="C275" s="33"/>
      <c r="D275" s="33"/>
      <c r="E275" s="32"/>
      <c r="F275" s="39"/>
      <c r="G275" s="48" t="str">
        <f aca="false">IF($F275="","",IFERROR(INDEX(商品档案!$B$6:$B$65,MATCH($F275,商品档案!$A$6:$A$65,0)),""))</f>
        <v/>
      </c>
      <c r="H275" s="48" t="str">
        <f aca="false">IF($F275="","",IFERROR(INDEX(商品档案!$C$6:$C$65,MATCH($F275,商品档案!$A$6:$A$65,0)),""))</f>
        <v/>
      </c>
      <c r="I275" s="55" t="str">
        <f aca="false">IF($F275="","",IFERROR(INDEX(商品档案!$D$6:$D$65,MATCH($F275,商品档案!$A$6:$A$65,0)),""))</f>
        <v/>
      </c>
      <c r="J275" s="49"/>
      <c r="K275" s="56"/>
      <c r="L275" s="33"/>
      <c r="M275" s="39"/>
      <c r="N275" s="41"/>
      <c r="O275" s="41"/>
      <c r="P275" s="25" t="str">
        <f aca="false">IF(AND($B275="",$D275="",$F275=""),"",IF(NOT(ISNUMBER($B275)),"日期无效",IF(ISNA(MATCH($C275,参数设置!$A$10:$A$12,0)),"公司无效",IF(ISNA(MATCH($D275,记账规则!$A$6:$A$9,0)),"业务类型无效",IF(ISNA(MATCH($F275,商品档案!$A$6:$A$65,0)),"商品编码无效",IF(IFERROR(INDEX(商品档案!$E$6:$E$65,MATCH($F275,商品档案!$A$6:$A$65,0)),"")&lt;&gt;$C275,"商品不属于该公司",IF(AND($E275&lt;&gt;"",ISNA(MATCH($E275,往来单位!$A$6:$A$85,0))),"往来单位未建档",IF(N($J275)=0,"数量为 0",IF(N($K275)=0,"单价为 0",IF(AND(LEFT($D275,2)="销售",$U275=""),"该商品没设成本科目",IF(YEAR($B275)&lt;&gt;参数设置!$B$5,"不在本会计年度","OK")))))))))))</f>
        <v/>
      </c>
      <c r="Q275" s="57" t="str">
        <f aca="false">IF($F275="","",ROUND(N($J275)*N($K275),2))</f>
        <v/>
      </c>
      <c r="R275" s="58" t="str">
        <f aca="false">IF($D275="","",IF(LEFT($D275,2)="销售","应收账款","应付账款"))</f>
        <v/>
      </c>
      <c r="S275" s="58" t="str">
        <f aca="false">IF($F275="","",IFERROR(INDEX(商品档案!$G$6:$G$65,MATCH($F275,商品档案!$A$6:$A$65,0)),""))</f>
        <v/>
      </c>
      <c r="T275" s="58" t="str">
        <f aca="false">IF($F275="","",IFERROR(INDEX(商品档案!$H$6:$H$65,MATCH($F275,商品档案!$A$6:$A$65,0)),""))</f>
        <v/>
      </c>
      <c r="U275" s="58" t="str">
        <f aca="false">IF($F275="","",IFERROR(INDEX(商品档案!$I$6:$I$65,MATCH($F275,商品档案!$A$6:$A$65,0)),""))</f>
        <v/>
      </c>
      <c r="V275" s="59" t="str">
        <f aca="false">IF($F275="","",SUMIFS(进销存台账!$N$6:$N$65,进销存台账!$A$6:$A$65,$C275,进销存台账!$B$6:$B$65,$F275))</f>
        <v/>
      </c>
      <c r="W275" s="60" t="n">
        <f aca="false">IF(OR($D275="销售出库",$D275="销售退回"),ROUND(N($J275)*N($V275),2),0)</f>
        <v>0</v>
      </c>
      <c r="X275" s="58" t="str">
        <f aca="false">IF($E275="","",IFERROR(INDEX(往来单位!$D$6:$D$85,MATCH($E275,往来单位!$A$6:$A$85,0)),"否"))</f>
        <v/>
      </c>
      <c r="Y275" s="61" t="str">
        <f aca="false">IF($B275="","",YEAR($B275))</f>
        <v/>
      </c>
      <c r="Z275" s="58" t="str">
        <f aca="false">IF($B275="","",TEXT($B275,"yyyy-mm"))</f>
        <v/>
      </c>
    </row>
    <row r="276" customFormat="false" ht="15" hidden="false" customHeight="false" outlineLevel="0" collapsed="false">
      <c r="A276" s="53" t="str">
        <f aca="false">IF($B276="","",ROW()-5)</f>
        <v/>
      </c>
      <c r="B276" s="54"/>
      <c r="C276" s="33"/>
      <c r="D276" s="33"/>
      <c r="E276" s="32"/>
      <c r="F276" s="39"/>
      <c r="G276" s="48" t="str">
        <f aca="false">IF($F276="","",IFERROR(INDEX(商品档案!$B$6:$B$65,MATCH($F276,商品档案!$A$6:$A$65,0)),""))</f>
        <v/>
      </c>
      <c r="H276" s="48" t="str">
        <f aca="false">IF($F276="","",IFERROR(INDEX(商品档案!$C$6:$C$65,MATCH($F276,商品档案!$A$6:$A$65,0)),""))</f>
        <v/>
      </c>
      <c r="I276" s="55" t="str">
        <f aca="false">IF($F276="","",IFERROR(INDEX(商品档案!$D$6:$D$65,MATCH($F276,商品档案!$A$6:$A$65,0)),""))</f>
        <v/>
      </c>
      <c r="J276" s="49"/>
      <c r="K276" s="56"/>
      <c r="L276" s="33"/>
      <c r="M276" s="39"/>
      <c r="N276" s="41"/>
      <c r="O276" s="41"/>
      <c r="P276" s="25" t="str">
        <f aca="false">IF(AND($B276="",$D276="",$F276=""),"",IF(NOT(ISNUMBER($B276)),"日期无效",IF(ISNA(MATCH($C276,参数设置!$A$10:$A$12,0)),"公司无效",IF(ISNA(MATCH($D276,记账规则!$A$6:$A$9,0)),"业务类型无效",IF(ISNA(MATCH($F276,商品档案!$A$6:$A$65,0)),"商品编码无效",IF(IFERROR(INDEX(商品档案!$E$6:$E$65,MATCH($F276,商品档案!$A$6:$A$65,0)),"")&lt;&gt;$C276,"商品不属于该公司",IF(AND($E276&lt;&gt;"",ISNA(MATCH($E276,往来单位!$A$6:$A$85,0))),"往来单位未建档",IF(N($J276)=0,"数量为 0",IF(N($K276)=0,"单价为 0",IF(AND(LEFT($D276,2)="销售",$U276=""),"该商品没设成本科目",IF(YEAR($B276)&lt;&gt;参数设置!$B$5,"不在本会计年度","OK")))))))))))</f>
        <v/>
      </c>
      <c r="Q276" s="57" t="str">
        <f aca="false">IF($F276="","",ROUND(N($J276)*N($K276),2))</f>
        <v/>
      </c>
      <c r="R276" s="58" t="str">
        <f aca="false">IF($D276="","",IF(LEFT($D276,2)="销售","应收账款","应付账款"))</f>
        <v/>
      </c>
      <c r="S276" s="58" t="str">
        <f aca="false">IF($F276="","",IFERROR(INDEX(商品档案!$G$6:$G$65,MATCH($F276,商品档案!$A$6:$A$65,0)),""))</f>
        <v/>
      </c>
      <c r="T276" s="58" t="str">
        <f aca="false">IF($F276="","",IFERROR(INDEX(商品档案!$H$6:$H$65,MATCH($F276,商品档案!$A$6:$A$65,0)),""))</f>
        <v/>
      </c>
      <c r="U276" s="58" t="str">
        <f aca="false">IF($F276="","",IFERROR(INDEX(商品档案!$I$6:$I$65,MATCH($F276,商品档案!$A$6:$A$65,0)),""))</f>
        <v/>
      </c>
      <c r="V276" s="59" t="str">
        <f aca="false">IF($F276="","",SUMIFS(进销存台账!$N$6:$N$65,进销存台账!$A$6:$A$65,$C276,进销存台账!$B$6:$B$65,$F276))</f>
        <v/>
      </c>
      <c r="W276" s="60" t="n">
        <f aca="false">IF(OR($D276="销售出库",$D276="销售退回"),ROUND(N($J276)*N($V276),2),0)</f>
        <v>0</v>
      </c>
      <c r="X276" s="58" t="str">
        <f aca="false">IF($E276="","",IFERROR(INDEX(往来单位!$D$6:$D$85,MATCH($E276,往来单位!$A$6:$A$85,0)),"否"))</f>
        <v/>
      </c>
      <c r="Y276" s="61" t="str">
        <f aca="false">IF($B276="","",YEAR($B276))</f>
        <v/>
      </c>
      <c r="Z276" s="58" t="str">
        <f aca="false">IF($B276="","",TEXT($B276,"yyyy-mm"))</f>
        <v/>
      </c>
    </row>
    <row r="277" customFormat="false" ht="15" hidden="false" customHeight="false" outlineLevel="0" collapsed="false">
      <c r="A277" s="53" t="str">
        <f aca="false">IF($B277="","",ROW()-5)</f>
        <v/>
      </c>
      <c r="B277" s="54"/>
      <c r="C277" s="33"/>
      <c r="D277" s="33"/>
      <c r="E277" s="32"/>
      <c r="F277" s="39"/>
      <c r="G277" s="48" t="str">
        <f aca="false">IF($F277="","",IFERROR(INDEX(商品档案!$B$6:$B$65,MATCH($F277,商品档案!$A$6:$A$65,0)),""))</f>
        <v/>
      </c>
      <c r="H277" s="48" t="str">
        <f aca="false">IF($F277="","",IFERROR(INDEX(商品档案!$C$6:$C$65,MATCH($F277,商品档案!$A$6:$A$65,0)),""))</f>
        <v/>
      </c>
      <c r="I277" s="55" t="str">
        <f aca="false">IF($F277="","",IFERROR(INDEX(商品档案!$D$6:$D$65,MATCH($F277,商品档案!$A$6:$A$65,0)),""))</f>
        <v/>
      </c>
      <c r="J277" s="49"/>
      <c r="K277" s="56"/>
      <c r="L277" s="33"/>
      <c r="M277" s="39"/>
      <c r="N277" s="41"/>
      <c r="O277" s="41"/>
      <c r="P277" s="25" t="str">
        <f aca="false">IF(AND($B277="",$D277="",$F277=""),"",IF(NOT(ISNUMBER($B277)),"日期无效",IF(ISNA(MATCH($C277,参数设置!$A$10:$A$12,0)),"公司无效",IF(ISNA(MATCH($D277,记账规则!$A$6:$A$9,0)),"业务类型无效",IF(ISNA(MATCH($F277,商品档案!$A$6:$A$65,0)),"商品编码无效",IF(IFERROR(INDEX(商品档案!$E$6:$E$65,MATCH($F277,商品档案!$A$6:$A$65,0)),"")&lt;&gt;$C277,"商品不属于该公司",IF(AND($E277&lt;&gt;"",ISNA(MATCH($E277,往来单位!$A$6:$A$85,0))),"往来单位未建档",IF(N($J277)=0,"数量为 0",IF(N($K277)=0,"单价为 0",IF(AND(LEFT($D277,2)="销售",$U277=""),"该商品没设成本科目",IF(YEAR($B277)&lt;&gt;参数设置!$B$5,"不在本会计年度","OK")))))))))))</f>
        <v/>
      </c>
      <c r="Q277" s="57" t="str">
        <f aca="false">IF($F277="","",ROUND(N($J277)*N($K277),2))</f>
        <v/>
      </c>
      <c r="R277" s="58" t="str">
        <f aca="false">IF($D277="","",IF(LEFT($D277,2)="销售","应收账款","应付账款"))</f>
        <v/>
      </c>
      <c r="S277" s="58" t="str">
        <f aca="false">IF($F277="","",IFERROR(INDEX(商品档案!$G$6:$G$65,MATCH($F277,商品档案!$A$6:$A$65,0)),""))</f>
        <v/>
      </c>
      <c r="T277" s="58" t="str">
        <f aca="false">IF($F277="","",IFERROR(INDEX(商品档案!$H$6:$H$65,MATCH($F277,商品档案!$A$6:$A$65,0)),""))</f>
        <v/>
      </c>
      <c r="U277" s="58" t="str">
        <f aca="false">IF($F277="","",IFERROR(INDEX(商品档案!$I$6:$I$65,MATCH($F277,商品档案!$A$6:$A$65,0)),""))</f>
        <v/>
      </c>
      <c r="V277" s="59" t="str">
        <f aca="false">IF($F277="","",SUMIFS(进销存台账!$N$6:$N$65,进销存台账!$A$6:$A$65,$C277,进销存台账!$B$6:$B$65,$F277))</f>
        <v/>
      </c>
      <c r="W277" s="60" t="n">
        <f aca="false">IF(OR($D277="销售出库",$D277="销售退回"),ROUND(N($J277)*N($V277),2),0)</f>
        <v>0</v>
      </c>
      <c r="X277" s="58" t="str">
        <f aca="false">IF($E277="","",IFERROR(INDEX(往来单位!$D$6:$D$85,MATCH($E277,往来单位!$A$6:$A$85,0)),"否"))</f>
        <v/>
      </c>
      <c r="Y277" s="61" t="str">
        <f aca="false">IF($B277="","",YEAR($B277))</f>
        <v/>
      </c>
      <c r="Z277" s="58" t="str">
        <f aca="false">IF($B277="","",TEXT($B277,"yyyy-mm"))</f>
        <v/>
      </c>
    </row>
    <row r="278" customFormat="false" ht="15" hidden="false" customHeight="false" outlineLevel="0" collapsed="false">
      <c r="A278" s="53" t="str">
        <f aca="false">IF($B278="","",ROW()-5)</f>
        <v/>
      </c>
      <c r="B278" s="54"/>
      <c r="C278" s="33"/>
      <c r="D278" s="33"/>
      <c r="E278" s="32"/>
      <c r="F278" s="39"/>
      <c r="G278" s="48" t="str">
        <f aca="false">IF($F278="","",IFERROR(INDEX(商品档案!$B$6:$B$65,MATCH($F278,商品档案!$A$6:$A$65,0)),""))</f>
        <v/>
      </c>
      <c r="H278" s="48" t="str">
        <f aca="false">IF($F278="","",IFERROR(INDEX(商品档案!$C$6:$C$65,MATCH($F278,商品档案!$A$6:$A$65,0)),""))</f>
        <v/>
      </c>
      <c r="I278" s="55" t="str">
        <f aca="false">IF($F278="","",IFERROR(INDEX(商品档案!$D$6:$D$65,MATCH($F278,商品档案!$A$6:$A$65,0)),""))</f>
        <v/>
      </c>
      <c r="J278" s="49"/>
      <c r="K278" s="56"/>
      <c r="L278" s="33"/>
      <c r="M278" s="39"/>
      <c r="N278" s="41"/>
      <c r="O278" s="41"/>
      <c r="P278" s="25" t="str">
        <f aca="false">IF(AND($B278="",$D278="",$F278=""),"",IF(NOT(ISNUMBER($B278)),"日期无效",IF(ISNA(MATCH($C278,参数设置!$A$10:$A$12,0)),"公司无效",IF(ISNA(MATCH($D278,记账规则!$A$6:$A$9,0)),"业务类型无效",IF(ISNA(MATCH($F278,商品档案!$A$6:$A$65,0)),"商品编码无效",IF(IFERROR(INDEX(商品档案!$E$6:$E$65,MATCH($F278,商品档案!$A$6:$A$65,0)),"")&lt;&gt;$C278,"商品不属于该公司",IF(AND($E278&lt;&gt;"",ISNA(MATCH($E278,往来单位!$A$6:$A$85,0))),"往来单位未建档",IF(N($J278)=0,"数量为 0",IF(N($K278)=0,"单价为 0",IF(AND(LEFT($D278,2)="销售",$U278=""),"该商品没设成本科目",IF(YEAR($B278)&lt;&gt;参数设置!$B$5,"不在本会计年度","OK")))))))))))</f>
        <v/>
      </c>
      <c r="Q278" s="57" t="str">
        <f aca="false">IF($F278="","",ROUND(N($J278)*N($K278),2))</f>
        <v/>
      </c>
      <c r="R278" s="58" t="str">
        <f aca="false">IF($D278="","",IF(LEFT($D278,2)="销售","应收账款","应付账款"))</f>
        <v/>
      </c>
      <c r="S278" s="58" t="str">
        <f aca="false">IF($F278="","",IFERROR(INDEX(商品档案!$G$6:$G$65,MATCH($F278,商品档案!$A$6:$A$65,0)),""))</f>
        <v/>
      </c>
      <c r="T278" s="58" t="str">
        <f aca="false">IF($F278="","",IFERROR(INDEX(商品档案!$H$6:$H$65,MATCH($F278,商品档案!$A$6:$A$65,0)),""))</f>
        <v/>
      </c>
      <c r="U278" s="58" t="str">
        <f aca="false">IF($F278="","",IFERROR(INDEX(商品档案!$I$6:$I$65,MATCH($F278,商品档案!$A$6:$A$65,0)),""))</f>
        <v/>
      </c>
      <c r="V278" s="59" t="str">
        <f aca="false">IF($F278="","",SUMIFS(进销存台账!$N$6:$N$65,进销存台账!$A$6:$A$65,$C278,进销存台账!$B$6:$B$65,$F278))</f>
        <v/>
      </c>
      <c r="W278" s="60" t="n">
        <f aca="false">IF(OR($D278="销售出库",$D278="销售退回"),ROUND(N($J278)*N($V278),2),0)</f>
        <v>0</v>
      </c>
      <c r="X278" s="58" t="str">
        <f aca="false">IF($E278="","",IFERROR(INDEX(往来单位!$D$6:$D$85,MATCH($E278,往来单位!$A$6:$A$85,0)),"否"))</f>
        <v/>
      </c>
      <c r="Y278" s="61" t="str">
        <f aca="false">IF($B278="","",YEAR($B278))</f>
        <v/>
      </c>
      <c r="Z278" s="58" t="str">
        <f aca="false">IF($B278="","",TEXT($B278,"yyyy-mm"))</f>
        <v/>
      </c>
    </row>
    <row r="279" customFormat="false" ht="15" hidden="false" customHeight="false" outlineLevel="0" collapsed="false">
      <c r="A279" s="53" t="str">
        <f aca="false">IF($B279="","",ROW()-5)</f>
        <v/>
      </c>
      <c r="B279" s="54"/>
      <c r="C279" s="33"/>
      <c r="D279" s="33"/>
      <c r="E279" s="32"/>
      <c r="F279" s="39"/>
      <c r="G279" s="48" t="str">
        <f aca="false">IF($F279="","",IFERROR(INDEX(商品档案!$B$6:$B$65,MATCH($F279,商品档案!$A$6:$A$65,0)),""))</f>
        <v/>
      </c>
      <c r="H279" s="48" t="str">
        <f aca="false">IF($F279="","",IFERROR(INDEX(商品档案!$C$6:$C$65,MATCH($F279,商品档案!$A$6:$A$65,0)),""))</f>
        <v/>
      </c>
      <c r="I279" s="55" t="str">
        <f aca="false">IF($F279="","",IFERROR(INDEX(商品档案!$D$6:$D$65,MATCH($F279,商品档案!$A$6:$A$65,0)),""))</f>
        <v/>
      </c>
      <c r="J279" s="49"/>
      <c r="K279" s="56"/>
      <c r="L279" s="33"/>
      <c r="M279" s="39"/>
      <c r="N279" s="41"/>
      <c r="O279" s="41"/>
      <c r="P279" s="25" t="str">
        <f aca="false">IF(AND($B279="",$D279="",$F279=""),"",IF(NOT(ISNUMBER($B279)),"日期无效",IF(ISNA(MATCH($C279,参数设置!$A$10:$A$12,0)),"公司无效",IF(ISNA(MATCH($D279,记账规则!$A$6:$A$9,0)),"业务类型无效",IF(ISNA(MATCH($F279,商品档案!$A$6:$A$65,0)),"商品编码无效",IF(IFERROR(INDEX(商品档案!$E$6:$E$65,MATCH($F279,商品档案!$A$6:$A$65,0)),"")&lt;&gt;$C279,"商品不属于该公司",IF(AND($E279&lt;&gt;"",ISNA(MATCH($E279,往来单位!$A$6:$A$85,0))),"往来单位未建档",IF(N($J279)=0,"数量为 0",IF(N($K279)=0,"单价为 0",IF(AND(LEFT($D279,2)="销售",$U279=""),"该商品没设成本科目",IF(YEAR($B279)&lt;&gt;参数设置!$B$5,"不在本会计年度","OK")))))))))))</f>
        <v/>
      </c>
      <c r="Q279" s="57" t="str">
        <f aca="false">IF($F279="","",ROUND(N($J279)*N($K279),2))</f>
        <v/>
      </c>
      <c r="R279" s="58" t="str">
        <f aca="false">IF($D279="","",IF(LEFT($D279,2)="销售","应收账款","应付账款"))</f>
        <v/>
      </c>
      <c r="S279" s="58" t="str">
        <f aca="false">IF($F279="","",IFERROR(INDEX(商品档案!$G$6:$G$65,MATCH($F279,商品档案!$A$6:$A$65,0)),""))</f>
        <v/>
      </c>
      <c r="T279" s="58" t="str">
        <f aca="false">IF($F279="","",IFERROR(INDEX(商品档案!$H$6:$H$65,MATCH($F279,商品档案!$A$6:$A$65,0)),""))</f>
        <v/>
      </c>
      <c r="U279" s="58" t="str">
        <f aca="false">IF($F279="","",IFERROR(INDEX(商品档案!$I$6:$I$65,MATCH($F279,商品档案!$A$6:$A$65,0)),""))</f>
        <v/>
      </c>
      <c r="V279" s="59" t="str">
        <f aca="false">IF($F279="","",SUMIFS(进销存台账!$N$6:$N$65,进销存台账!$A$6:$A$65,$C279,进销存台账!$B$6:$B$65,$F279))</f>
        <v/>
      </c>
      <c r="W279" s="60" t="n">
        <f aca="false">IF(OR($D279="销售出库",$D279="销售退回"),ROUND(N($J279)*N($V279),2),0)</f>
        <v>0</v>
      </c>
      <c r="X279" s="58" t="str">
        <f aca="false">IF($E279="","",IFERROR(INDEX(往来单位!$D$6:$D$85,MATCH($E279,往来单位!$A$6:$A$85,0)),"否"))</f>
        <v/>
      </c>
      <c r="Y279" s="61" t="str">
        <f aca="false">IF($B279="","",YEAR($B279))</f>
        <v/>
      </c>
      <c r="Z279" s="58" t="str">
        <f aca="false">IF($B279="","",TEXT($B279,"yyyy-mm"))</f>
        <v/>
      </c>
    </row>
    <row r="280" customFormat="false" ht="15" hidden="false" customHeight="false" outlineLevel="0" collapsed="false">
      <c r="A280" s="53" t="str">
        <f aca="false">IF($B280="","",ROW()-5)</f>
        <v/>
      </c>
      <c r="B280" s="54"/>
      <c r="C280" s="33"/>
      <c r="D280" s="33"/>
      <c r="E280" s="32"/>
      <c r="F280" s="39"/>
      <c r="G280" s="48" t="str">
        <f aca="false">IF($F280="","",IFERROR(INDEX(商品档案!$B$6:$B$65,MATCH($F280,商品档案!$A$6:$A$65,0)),""))</f>
        <v/>
      </c>
      <c r="H280" s="48" t="str">
        <f aca="false">IF($F280="","",IFERROR(INDEX(商品档案!$C$6:$C$65,MATCH($F280,商品档案!$A$6:$A$65,0)),""))</f>
        <v/>
      </c>
      <c r="I280" s="55" t="str">
        <f aca="false">IF($F280="","",IFERROR(INDEX(商品档案!$D$6:$D$65,MATCH($F280,商品档案!$A$6:$A$65,0)),""))</f>
        <v/>
      </c>
      <c r="J280" s="49"/>
      <c r="K280" s="56"/>
      <c r="L280" s="33"/>
      <c r="M280" s="39"/>
      <c r="N280" s="41"/>
      <c r="O280" s="41"/>
      <c r="P280" s="25" t="str">
        <f aca="false">IF(AND($B280="",$D280="",$F280=""),"",IF(NOT(ISNUMBER($B280)),"日期无效",IF(ISNA(MATCH($C280,参数设置!$A$10:$A$12,0)),"公司无效",IF(ISNA(MATCH($D280,记账规则!$A$6:$A$9,0)),"业务类型无效",IF(ISNA(MATCH($F280,商品档案!$A$6:$A$65,0)),"商品编码无效",IF(IFERROR(INDEX(商品档案!$E$6:$E$65,MATCH($F280,商品档案!$A$6:$A$65,0)),"")&lt;&gt;$C280,"商品不属于该公司",IF(AND($E280&lt;&gt;"",ISNA(MATCH($E280,往来单位!$A$6:$A$85,0))),"往来单位未建档",IF(N($J280)=0,"数量为 0",IF(N($K280)=0,"单价为 0",IF(AND(LEFT($D280,2)="销售",$U280=""),"该商品没设成本科目",IF(YEAR($B280)&lt;&gt;参数设置!$B$5,"不在本会计年度","OK")))))))))))</f>
        <v/>
      </c>
      <c r="Q280" s="57" t="str">
        <f aca="false">IF($F280="","",ROUND(N($J280)*N($K280),2))</f>
        <v/>
      </c>
      <c r="R280" s="58" t="str">
        <f aca="false">IF($D280="","",IF(LEFT($D280,2)="销售","应收账款","应付账款"))</f>
        <v/>
      </c>
      <c r="S280" s="58" t="str">
        <f aca="false">IF($F280="","",IFERROR(INDEX(商品档案!$G$6:$G$65,MATCH($F280,商品档案!$A$6:$A$65,0)),""))</f>
        <v/>
      </c>
      <c r="T280" s="58" t="str">
        <f aca="false">IF($F280="","",IFERROR(INDEX(商品档案!$H$6:$H$65,MATCH($F280,商品档案!$A$6:$A$65,0)),""))</f>
        <v/>
      </c>
      <c r="U280" s="58" t="str">
        <f aca="false">IF($F280="","",IFERROR(INDEX(商品档案!$I$6:$I$65,MATCH($F280,商品档案!$A$6:$A$65,0)),""))</f>
        <v/>
      </c>
      <c r="V280" s="59" t="str">
        <f aca="false">IF($F280="","",SUMIFS(进销存台账!$N$6:$N$65,进销存台账!$A$6:$A$65,$C280,进销存台账!$B$6:$B$65,$F280))</f>
        <v/>
      </c>
      <c r="W280" s="60" t="n">
        <f aca="false">IF(OR($D280="销售出库",$D280="销售退回"),ROUND(N($J280)*N($V280),2),0)</f>
        <v>0</v>
      </c>
      <c r="X280" s="58" t="str">
        <f aca="false">IF($E280="","",IFERROR(INDEX(往来单位!$D$6:$D$85,MATCH($E280,往来单位!$A$6:$A$85,0)),"否"))</f>
        <v/>
      </c>
      <c r="Y280" s="61" t="str">
        <f aca="false">IF($B280="","",YEAR($B280))</f>
        <v/>
      </c>
      <c r="Z280" s="58" t="str">
        <f aca="false">IF($B280="","",TEXT($B280,"yyyy-mm"))</f>
        <v/>
      </c>
    </row>
    <row r="281" customFormat="false" ht="15" hidden="false" customHeight="false" outlineLevel="0" collapsed="false">
      <c r="A281" s="53" t="str">
        <f aca="false">IF($B281="","",ROW()-5)</f>
        <v/>
      </c>
      <c r="B281" s="54"/>
      <c r="C281" s="33"/>
      <c r="D281" s="33"/>
      <c r="E281" s="32"/>
      <c r="F281" s="39"/>
      <c r="G281" s="48" t="str">
        <f aca="false">IF($F281="","",IFERROR(INDEX(商品档案!$B$6:$B$65,MATCH($F281,商品档案!$A$6:$A$65,0)),""))</f>
        <v/>
      </c>
      <c r="H281" s="48" t="str">
        <f aca="false">IF($F281="","",IFERROR(INDEX(商品档案!$C$6:$C$65,MATCH($F281,商品档案!$A$6:$A$65,0)),""))</f>
        <v/>
      </c>
      <c r="I281" s="55" t="str">
        <f aca="false">IF($F281="","",IFERROR(INDEX(商品档案!$D$6:$D$65,MATCH($F281,商品档案!$A$6:$A$65,0)),""))</f>
        <v/>
      </c>
      <c r="J281" s="49"/>
      <c r="K281" s="56"/>
      <c r="L281" s="33"/>
      <c r="M281" s="39"/>
      <c r="N281" s="41"/>
      <c r="O281" s="41"/>
      <c r="P281" s="25" t="str">
        <f aca="false">IF(AND($B281="",$D281="",$F281=""),"",IF(NOT(ISNUMBER($B281)),"日期无效",IF(ISNA(MATCH($C281,参数设置!$A$10:$A$12,0)),"公司无效",IF(ISNA(MATCH($D281,记账规则!$A$6:$A$9,0)),"业务类型无效",IF(ISNA(MATCH($F281,商品档案!$A$6:$A$65,0)),"商品编码无效",IF(IFERROR(INDEX(商品档案!$E$6:$E$65,MATCH($F281,商品档案!$A$6:$A$65,0)),"")&lt;&gt;$C281,"商品不属于该公司",IF(AND($E281&lt;&gt;"",ISNA(MATCH($E281,往来单位!$A$6:$A$85,0))),"往来单位未建档",IF(N($J281)=0,"数量为 0",IF(N($K281)=0,"单价为 0",IF(AND(LEFT($D281,2)="销售",$U281=""),"该商品没设成本科目",IF(YEAR($B281)&lt;&gt;参数设置!$B$5,"不在本会计年度","OK")))))))))))</f>
        <v/>
      </c>
      <c r="Q281" s="57" t="str">
        <f aca="false">IF($F281="","",ROUND(N($J281)*N($K281),2))</f>
        <v/>
      </c>
      <c r="R281" s="58" t="str">
        <f aca="false">IF($D281="","",IF(LEFT($D281,2)="销售","应收账款","应付账款"))</f>
        <v/>
      </c>
      <c r="S281" s="58" t="str">
        <f aca="false">IF($F281="","",IFERROR(INDEX(商品档案!$G$6:$G$65,MATCH($F281,商品档案!$A$6:$A$65,0)),""))</f>
        <v/>
      </c>
      <c r="T281" s="58" t="str">
        <f aca="false">IF($F281="","",IFERROR(INDEX(商品档案!$H$6:$H$65,MATCH($F281,商品档案!$A$6:$A$65,0)),""))</f>
        <v/>
      </c>
      <c r="U281" s="58" t="str">
        <f aca="false">IF($F281="","",IFERROR(INDEX(商品档案!$I$6:$I$65,MATCH($F281,商品档案!$A$6:$A$65,0)),""))</f>
        <v/>
      </c>
      <c r="V281" s="59" t="str">
        <f aca="false">IF($F281="","",SUMIFS(进销存台账!$N$6:$N$65,进销存台账!$A$6:$A$65,$C281,进销存台账!$B$6:$B$65,$F281))</f>
        <v/>
      </c>
      <c r="W281" s="60" t="n">
        <f aca="false">IF(OR($D281="销售出库",$D281="销售退回"),ROUND(N($J281)*N($V281),2),0)</f>
        <v>0</v>
      </c>
      <c r="X281" s="58" t="str">
        <f aca="false">IF($E281="","",IFERROR(INDEX(往来单位!$D$6:$D$85,MATCH($E281,往来单位!$A$6:$A$85,0)),"否"))</f>
        <v/>
      </c>
      <c r="Y281" s="61" t="str">
        <f aca="false">IF($B281="","",YEAR($B281))</f>
        <v/>
      </c>
      <c r="Z281" s="58" t="str">
        <f aca="false">IF($B281="","",TEXT($B281,"yyyy-mm"))</f>
        <v/>
      </c>
    </row>
    <row r="282" customFormat="false" ht="15" hidden="false" customHeight="false" outlineLevel="0" collapsed="false">
      <c r="A282" s="53" t="str">
        <f aca="false">IF($B282="","",ROW()-5)</f>
        <v/>
      </c>
      <c r="B282" s="54"/>
      <c r="C282" s="33"/>
      <c r="D282" s="33"/>
      <c r="E282" s="32"/>
      <c r="F282" s="39"/>
      <c r="G282" s="48" t="str">
        <f aca="false">IF($F282="","",IFERROR(INDEX(商品档案!$B$6:$B$65,MATCH($F282,商品档案!$A$6:$A$65,0)),""))</f>
        <v/>
      </c>
      <c r="H282" s="48" t="str">
        <f aca="false">IF($F282="","",IFERROR(INDEX(商品档案!$C$6:$C$65,MATCH($F282,商品档案!$A$6:$A$65,0)),""))</f>
        <v/>
      </c>
      <c r="I282" s="55" t="str">
        <f aca="false">IF($F282="","",IFERROR(INDEX(商品档案!$D$6:$D$65,MATCH($F282,商品档案!$A$6:$A$65,0)),""))</f>
        <v/>
      </c>
      <c r="J282" s="49"/>
      <c r="K282" s="56"/>
      <c r="L282" s="33"/>
      <c r="M282" s="39"/>
      <c r="N282" s="41"/>
      <c r="O282" s="41"/>
      <c r="P282" s="25" t="str">
        <f aca="false">IF(AND($B282="",$D282="",$F282=""),"",IF(NOT(ISNUMBER($B282)),"日期无效",IF(ISNA(MATCH($C282,参数设置!$A$10:$A$12,0)),"公司无效",IF(ISNA(MATCH($D282,记账规则!$A$6:$A$9,0)),"业务类型无效",IF(ISNA(MATCH($F282,商品档案!$A$6:$A$65,0)),"商品编码无效",IF(IFERROR(INDEX(商品档案!$E$6:$E$65,MATCH($F282,商品档案!$A$6:$A$65,0)),"")&lt;&gt;$C282,"商品不属于该公司",IF(AND($E282&lt;&gt;"",ISNA(MATCH($E282,往来单位!$A$6:$A$85,0))),"往来单位未建档",IF(N($J282)=0,"数量为 0",IF(N($K282)=0,"单价为 0",IF(AND(LEFT($D282,2)="销售",$U282=""),"该商品没设成本科目",IF(YEAR($B282)&lt;&gt;参数设置!$B$5,"不在本会计年度","OK")))))))))))</f>
        <v/>
      </c>
      <c r="Q282" s="57" t="str">
        <f aca="false">IF($F282="","",ROUND(N($J282)*N($K282),2))</f>
        <v/>
      </c>
      <c r="R282" s="58" t="str">
        <f aca="false">IF($D282="","",IF(LEFT($D282,2)="销售","应收账款","应付账款"))</f>
        <v/>
      </c>
      <c r="S282" s="58" t="str">
        <f aca="false">IF($F282="","",IFERROR(INDEX(商品档案!$G$6:$G$65,MATCH($F282,商品档案!$A$6:$A$65,0)),""))</f>
        <v/>
      </c>
      <c r="T282" s="58" t="str">
        <f aca="false">IF($F282="","",IFERROR(INDEX(商品档案!$H$6:$H$65,MATCH($F282,商品档案!$A$6:$A$65,0)),""))</f>
        <v/>
      </c>
      <c r="U282" s="58" t="str">
        <f aca="false">IF($F282="","",IFERROR(INDEX(商品档案!$I$6:$I$65,MATCH($F282,商品档案!$A$6:$A$65,0)),""))</f>
        <v/>
      </c>
      <c r="V282" s="59" t="str">
        <f aca="false">IF($F282="","",SUMIFS(进销存台账!$N$6:$N$65,进销存台账!$A$6:$A$65,$C282,进销存台账!$B$6:$B$65,$F282))</f>
        <v/>
      </c>
      <c r="W282" s="60" t="n">
        <f aca="false">IF(OR($D282="销售出库",$D282="销售退回"),ROUND(N($J282)*N($V282),2),0)</f>
        <v>0</v>
      </c>
      <c r="X282" s="58" t="str">
        <f aca="false">IF($E282="","",IFERROR(INDEX(往来单位!$D$6:$D$85,MATCH($E282,往来单位!$A$6:$A$85,0)),"否"))</f>
        <v/>
      </c>
      <c r="Y282" s="61" t="str">
        <f aca="false">IF($B282="","",YEAR($B282))</f>
        <v/>
      </c>
      <c r="Z282" s="58" t="str">
        <f aca="false">IF($B282="","",TEXT($B282,"yyyy-mm"))</f>
        <v/>
      </c>
    </row>
    <row r="283" customFormat="false" ht="15" hidden="false" customHeight="false" outlineLevel="0" collapsed="false">
      <c r="A283" s="53" t="str">
        <f aca="false">IF($B283="","",ROW()-5)</f>
        <v/>
      </c>
      <c r="B283" s="54"/>
      <c r="C283" s="33"/>
      <c r="D283" s="33"/>
      <c r="E283" s="32"/>
      <c r="F283" s="39"/>
      <c r="G283" s="48" t="str">
        <f aca="false">IF($F283="","",IFERROR(INDEX(商品档案!$B$6:$B$65,MATCH($F283,商品档案!$A$6:$A$65,0)),""))</f>
        <v/>
      </c>
      <c r="H283" s="48" t="str">
        <f aca="false">IF($F283="","",IFERROR(INDEX(商品档案!$C$6:$C$65,MATCH($F283,商品档案!$A$6:$A$65,0)),""))</f>
        <v/>
      </c>
      <c r="I283" s="55" t="str">
        <f aca="false">IF($F283="","",IFERROR(INDEX(商品档案!$D$6:$D$65,MATCH($F283,商品档案!$A$6:$A$65,0)),""))</f>
        <v/>
      </c>
      <c r="J283" s="49"/>
      <c r="K283" s="56"/>
      <c r="L283" s="33"/>
      <c r="M283" s="39"/>
      <c r="N283" s="41"/>
      <c r="O283" s="41"/>
      <c r="P283" s="25" t="str">
        <f aca="false">IF(AND($B283="",$D283="",$F283=""),"",IF(NOT(ISNUMBER($B283)),"日期无效",IF(ISNA(MATCH($C283,参数设置!$A$10:$A$12,0)),"公司无效",IF(ISNA(MATCH($D283,记账规则!$A$6:$A$9,0)),"业务类型无效",IF(ISNA(MATCH($F283,商品档案!$A$6:$A$65,0)),"商品编码无效",IF(IFERROR(INDEX(商品档案!$E$6:$E$65,MATCH($F283,商品档案!$A$6:$A$65,0)),"")&lt;&gt;$C283,"商品不属于该公司",IF(AND($E283&lt;&gt;"",ISNA(MATCH($E283,往来单位!$A$6:$A$85,0))),"往来单位未建档",IF(N($J283)=0,"数量为 0",IF(N($K283)=0,"单价为 0",IF(AND(LEFT($D283,2)="销售",$U283=""),"该商品没设成本科目",IF(YEAR($B283)&lt;&gt;参数设置!$B$5,"不在本会计年度","OK")))))))))))</f>
        <v/>
      </c>
      <c r="Q283" s="57" t="str">
        <f aca="false">IF($F283="","",ROUND(N($J283)*N($K283),2))</f>
        <v/>
      </c>
      <c r="R283" s="58" t="str">
        <f aca="false">IF($D283="","",IF(LEFT($D283,2)="销售","应收账款","应付账款"))</f>
        <v/>
      </c>
      <c r="S283" s="58" t="str">
        <f aca="false">IF($F283="","",IFERROR(INDEX(商品档案!$G$6:$G$65,MATCH($F283,商品档案!$A$6:$A$65,0)),""))</f>
        <v/>
      </c>
      <c r="T283" s="58" t="str">
        <f aca="false">IF($F283="","",IFERROR(INDEX(商品档案!$H$6:$H$65,MATCH($F283,商品档案!$A$6:$A$65,0)),""))</f>
        <v/>
      </c>
      <c r="U283" s="58" t="str">
        <f aca="false">IF($F283="","",IFERROR(INDEX(商品档案!$I$6:$I$65,MATCH($F283,商品档案!$A$6:$A$65,0)),""))</f>
        <v/>
      </c>
      <c r="V283" s="59" t="str">
        <f aca="false">IF($F283="","",SUMIFS(进销存台账!$N$6:$N$65,进销存台账!$A$6:$A$65,$C283,进销存台账!$B$6:$B$65,$F283))</f>
        <v/>
      </c>
      <c r="W283" s="60" t="n">
        <f aca="false">IF(OR($D283="销售出库",$D283="销售退回"),ROUND(N($J283)*N($V283),2),0)</f>
        <v>0</v>
      </c>
      <c r="X283" s="58" t="str">
        <f aca="false">IF($E283="","",IFERROR(INDEX(往来单位!$D$6:$D$85,MATCH($E283,往来单位!$A$6:$A$85,0)),"否"))</f>
        <v/>
      </c>
      <c r="Y283" s="61" t="str">
        <f aca="false">IF($B283="","",YEAR($B283))</f>
        <v/>
      </c>
      <c r="Z283" s="58" t="str">
        <f aca="false">IF($B283="","",TEXT($B283,"yyyy-mm"))</f>
        <v/>
      </c>
    </row>
    <row r="284" customFormat="false" ht="15" hidden="false" customHeight="false" outlineLevel="0" collapsed="false">
      <c r="A284" s="53" t="str">
        <f aca="false">IF($B284="","",ROW()-5)</f>
        <v/>
      </c>
      <c r="B284" s="54"/>
      <c r="C284" s="33"/>
      <c r="D284" s="33"/>
      <c r="E284" s="32"/>
      <c r="F284" s="39"/>
      <c r="G284" s="48" t="str">
        <f aca="false">IF($F284="","",IFERROR(INDEX(商品档案!$B$6:$B$65,MATCH($F284,商品档案!$A$6:$A$65,0)),""))</f>
        <v/>
      </c>
      <c r="H284" s="48" t="str">
        <f aca="false">IF($F284="","",IFERROR(INDEX(商品档案!$C$6:$C$65,MATCH($F284,商品档案!$A$6:$A$65,0)),""))</f>
        <v/>
      </c>
      <c r="I284" s="55" t="str">
        <f aca="false">IF($F284="","",IFERROR(INDEX(商品档案!$D$6:$D$65,MATCH($F284,商品档案!$A$6:$A$65,0)),""))</f>
        <v/>
      </c>
      <c r="J284" s="49"/>
      <c r="K284" s="56"/>
      <c r="L284" s="33"/>
      <c r="M284" s="39"/>
      <c r="N284" s="41"/>
      <c r="O284" s="41"/>
      <c r="P284" s="25" t="str">
        <f aca="false">IF(AND($B284="",$D284="",$F284=""),"",IF(NOT(ISNUMBER($B284)),"日期无效",IF(ISNA(MATCH($C284,参数设置!$A$10:$A$12,0)),"公司无效",IF(ISNA(MATCH($D284,记账规则!$A$6:$A$9,0)),"业务类型无效",IF(ISNA(MATCH($F284,商品档案!$A$6:$A$65,0)),"商品编码无效",IF(IFERROR(INDEX(商品档案!$E$6:$E$65,MATCH($F284,商品档案!$A$6:$A$65,0)),"")&lt;&gt;$C284,"商品不属于该公司",IF(AND($E284&lt;&gt;"",ISNA(MATCH($E284,往来单位!$A$6:$A$85,0))),"往来单位未建档",IF(N($J284)=0,"数量为 0",IF(N($K284)=0,"单价为 0",IF(AND(LEFT($D284,2)="销售",$U284=""),"该商品没设成本科目",IF(YEAR($B284)&lt;&gt;参数设置!$B$5,"不在本会计年度","OK")))))))))))</f>
        <v/>
      </c>
      <c r="Q284" s="57" t="str">
        <f aca="false">IF($F284="","",ROUND(N($J284)*N($K284),2))</f>
        <v/>
      </c>
      <c r="R284" s="58" t="str">
        <f aca="false">IF($D284="","",IF(LEFT($D284,2)="销售","应收账款","应付账款"))</f>
        <v/>
      </c>
      <c r="S284" s="58" t="str">
        <f aca="false">IF($F284="","",IFERROR(INDEX(商品档案!$G$6:$G$65,MATCH($F284,商品档案!$A$6:$A$65,0)),""))</f>
        <v/>
      </c>
      <c r="T284" s="58" t="str">
        <f aca="false">IF($F284="","",IFERROR(INDEX(商品档案!$H$6:$H$65,MATCH($F284,商品档案!$A$6:$A$65,0)),""))</f>
        <v/>
      </c>
      <c r="U284" s="58" t="str">
        <f aca="false">IF($F284="","",IFERROR(INDEX(商品档案!$I$6:$I$65,MATCH($F284,商品档案!$A$6:$A$65,0)),""))</f>
        <v/>
      </c>
      <c r="V284" s="59" t="str">
        <f aca="false">IF($F284="","",SUMIFS(进销存台账!$N$6:$N$65,进销存台账!$A$6:$A$65,$C284,进销存台账!$B$6:$B$65,$F284))</f>
        <v/>
      </c>
      <c r="W284" s="60" t="n">
        <f aca="false">IF(OR($D284="销售出库",$D284="销售退回"),ROUND(N($J284)*N($V284),2),0)</f>
        <v>0</v>
      </c>
      <c r="X284" s="58" t="str">
        <f aca="false">IF($E284="","",IFERROR(INDEX(往来单位!$D$6:$D$85,MATCH($E284,往来单位!$A$6:$A$85,0)),"否"))</f>
        <v/>
      </c>
      <c r="Y284" s="61" t="str">
        <f aca="false">IF($B284="","",YEAR($B284))</f>
        <v/>
      </c>
      <c r="Z284" s="58" t="str">
        <f aca="false">IF($B284="","",TEXT($B284,"yyyy-mm"))</f>
        <v/>
      </c>
    </row>
    <row r="285" customFormat="false" ht="15" hidden="false" customHeight="false" outlineLevel="0" collapsed="false">
      <c r="A285" s="53" t="str">
        <f aca="false">IF($B285="","",ROW()-5)</f>
        <v/>
      </c>
      <c r="B285" s="54"/>
      <c r="C285" s="33"/>
      <c r="D285" s="33"/>
      <c r="E285" s="32"/>
      <c r="F285" s="39"/>
      <c r="G285" s="48" t="str">
        <f aca="false">IF($F285="","",IFERROR(INDEX(商品档案!$B$6:$B$65,MATCH($F285,商品档案!$A$6:$A$65,0)),""))</f>
        <v/>
      </c>
      <c r="H285" s="48" t="str">
        <f aca="false">IF($F285="","",IFERROR(INDEX(商品档案!$C$6:$C$65,MATCH($F285,商品档案!$A$6:$A$65,0)),""))</f>
        <v/>
      </c>
      <c r="I285" s="55" t="str">
        <f aca="false">IF($F285="","",IFERROR(INDEX(商品档案!$D$6:$D$65,MATCH($F285,商品档案!$A$6:$A$65,0)),""))</f>
        <v/>
      </c>
      <c r="J285" s="49"/>
      <c r="K285" s="56"/>
      <c r="L285" s="33"/>
      <c r="M285" s="39"/>
      <c r="N285" s="41"/>
      <c r="O285" s="41"/>
      <c r="P285" s="25" t="str">
        <f aca="false">IF(AND($B285="",$D285="",$F285=""),"",IF(NOT(ISNUMBER($B285)),"日期无效",IF(ISNA(MATCH($C285,参数设置!$A$10:$A$12,0)),"公司无效",IF(ISNA(MATCH($D285,记账规则!$A$6:$A$9,0)),"业务类型无效",IF(ISNA(MATCH($F285,商品档案!$A$6:$A$65,0)),"商品编码无效",IF(IFERROR(INDEX(商品档案!$E$6:$E$65,MATCH($F285,商品档案!$A$6:$A$65,0)),"")&lt;&gt;$C285,"商品不属于该公司",IF(AND($E285&lt;&gt;"",ISNA(MATCH($E285,往来单位!$A$6:$A$85,0))),"往来单位未建档",IF(N($J285)=0,"数量为 0",IF(N($K285)=0,"单价为 0",IF(AND(LEFT($D285,2)="销售",$U285=""),"该商品没设成本科目",IF(YEAR($B285)&lt;&gt;参数设置!$B$5,"不在本会计年度","OK")))))))))))</f>
        <v/>
      </c>
      <c r="Q285" s="57" t="str">
        <f aca="false">IF($F285="","",ROUND(N($J285)*N($K285),2))</f>
        <v/>
      </c>
      <c r="R285" s="58" t="str">
        <f aca="false">IF($D285="","",IF(LEFT($D285,2)="销售","应收账款","应付账款"))</f>
        <v/>
      </c>
      <c r="S285" s="58" t="str">
        <f aca="false">IF($F285="","",IFERROR(INDEX(商品档案!$G$6:$G$65,MATCH($F285,商品档案!$A$6:$A$65,0)),""))</f>
        <v/>
      </c>
      <c r="T285" s="58" t="str">
        <f aca="false">IF($F285="","",IFERROR(INDEX(商品档案!$H$6:$H$65,MATCH($F285,商品档案!$A$6:$A$65,0)),""))</f>
        <v/>
      </c>
      <c r="U285" s="58" t="str">
        <f aca="false">IF($F285="","",IFERROR(INDEX(商品档案!$I$6:$I$65,MATCH($F285,商品档案!$A$6:$A$65,0)),""))</f>
        <v/>
      </c>
      <c r="V285" s="59" t="str">
        <f aca="false">IF($F285="","",SUMIFS(进销存台账!$N$6:$N$65,进销存台账!$A$6:$A$65,$C285,进销存台账!$B$6:$B$65,$F285))</f>
        <v/>
      </c>
      <c r="W285" s="60" t="n">
        <f aca="false">IF(OR($D285="销售出库",$D285="销售退回"),ROUND(N($J285)*N($V285),2),0)</f>
        <v>0</v>
      </c>
      <c r="X285" s="58" t="str">
        <f aca="false">IF($E285="","",IFERROR(INDEX(往来单位!$D$6:$D$85,MATCH($E285,往来单位!$A$6:$A$85,0)),"否"))</f>
        <v/>
      </c>
      <c r="Y285" s="61" t="str">
        <f aca="false">IF($B285="","",YEAR($B285))</f>
        <v/>
      </c>
      <c r="Z285" s="58" t="str">
        <f aca="false">IF($B285="","",TEXT($B285,"yyyy-mm"))</f>
        <v/>
      </c>
    </row>
    <row r="286" customFormat="false" ht="15" hidden="false" customHeight="false" outlineLevel="0" collapsed="false">
      <c r="A286" s="53" t="str">
        <f aca="false">IF($B286="","",ROW()-5)</f>
        <v/>
      </c>
      <c r="B286" s="54"/>
      <c r="C286" s="33"/>
      <c r="D286" s="33"/>
      <c r="E286" s="32"/>
      <c r="F286" s="39"/>
      <c r="G286" s="48" t="str">
        <f aca="false">IF($F286="","",IFERROR(INDEX(商品档案!$B$6:$B$65,MATCH($F286,商品档案!$A$6:$A$65,0)),""))</f>
        <v/>
      </c>
      <c r="H286" s="48" t="str">
        <f aca="false">IF($F286="","",IFERROR(INDEX(商品档案!$C$6:$C$65,MATCH($F286,商品档案!$A$6:$A$65,0)),""))</f>
        <v/>
      </c>
      <c r="I286" s="55" t="str">
        <f aca="false">IF($F286="","",IFERROR(INDEX(商品档案!$D$6:$D$65,MATCH($F286,商品档案!$A$6:$A$65,0)),""))</f>
        <v/>
      </c>
      <c r="J286" s="49"/>
      <c r="K286" s="56"/>
      <c r="L286" s="33"/>
      <c r="M286" s="39"/>
      <c r="N286" s="41"/>
      <c r="O286" s="41"/>
      <c r="P286" s="25" t="str">
        <f aca="false">IF(AND($B286="",$D286="",$F286=""),"",IF(NOT(ISNUMBER($B286)),"日期无效",IF(ISNA(MATCH($C286,参数设置!$A$10:$A$12,0)),"公司无效",IF(ISNA(MATCH($D286,记账规则!$A$6:$A$9,0)),"业务类型无效",IF(ISNA(MATCH($F286,商品档案!$A$6:$A$65,0)),"商品编码无效",IF(IFERROR(INDEX(商品档案!$E$6:$E$65,MATCH($F286,商品档案!$A$6:$A$65,0)),"")&lt;&gt;$C286,"商品不属于该公司",IF(AND($E286&lt;&gt;"",ISNA(MATCH($E286,往来单位!$A$6:$A$85,0))),"往来单位未建档",IF(N($J286)=0,"数量为 0",IF(N($K286)=0,"单价为 0",IF(AND(LEFT($D286,2)="销售",$U286=""),"该商品没设成本科目",IF(YEAR($B286)&lt;&gt;参数设置!$B$5,"不在本会计年度","OK")))))))))))</f>
        <v/>
      </c>
      <c r="Q286" s="57" t="str">
        <f aca="false">IF($F286="","",ROUND(N($J286)*N($K286),2))</f>
        <v/>
      </c>
      <c r="R286" s="58" t="str">
        <f aca="false">IF($D286="","",IF(LEFT($D286,2)="销售","应收账款","应付账款"))</f>
        <v/>
      </c>
      <c r="S286" s="58" t="str">
        <f aca="false">IF($F286="","",IFERROR(INDEX(商品档案!$G$6:$G$65,MATCH($F286,商品档案!$A$6:$A$65,0)),""))</f>
        <v/>
      </c>
      <c r="T286" s="58" t="str">
        <f aca="false">IF($F286="","",IFERROR(INDEX(商品档案!$H$6:$H$65,MATCH($F286,商品档案!$A$6:$A$65,0)),""))</f>
        <v/>
      </c>
      <c r="U286" s="58" t="str">
        <f aca="false">IF($F286="","",IFERROR(INDEX(商品档案!$I$6:$I$65,MATCH($F286,商品档案!$A$6:$A$65,0)),""))</f>
        <v/>
      </c>
      <c r="V286" s="59" t="str">
        <f aca="false">IF($F286="","",SUMIFS(进销存台账!$N$6:$N$65,进销存台账!$A$6:$A$65,$C286,进销存台账!$B$6:$B$65,$F286))</f>
        <v/>
      </c>
      <c r="W286" s="60" t="n">
        <f aca="false">IF(OR($D286="销售出库",$D286="销售退回"),ROUND(N($J286)*N($V286),2),0)</f>
        <v>0</v>
      </c>
      <c r="X286" s="58" t="str">
        <f aca="false">IF($E286="","",IFERROR(INDEX(往来单位!$D$6:$D$85,MATCH($E286,往来单位!$A$6:$A$85,0)),"否"))</f>
        <v/>
      </c>
      <c r="Y286" s="61" t="str">
        <f aca="false">IF($B286="","",YEAR($B286))</f>
        <v/>
      </c>
      <c r="Z286" s="58" t="str">
        <f aca="false">IF($B286="","",TEXT($B286,"yyyy-mm"))</f>
        <v/>
      </c>
    </row>
    <row r="287" customFormat="false" ht="15" hidden="false" customHeight="false" outlineLevel="0" collapsed="false">
      <c r="A287" s="53" t="str">
        <f aca="false">IF($B287="","",ROW()-5)</f>
        <v/>
      </c>
      <c r="B287" s="54"/>
      <c r="C287" s="33"/>
      <c r="D287" s="33"/>
      <c r="E287" s="32"/>
      <c r="F287" s="39"/>
      <c r="G287" s="48" t="str">
        <f aca="false">IF($F287="","",IFERROR(INDEX(商品档案!$B$6:$B$65,MATCH($F287,商品档案!$A$6:$A$65,0)),""))</f>
        <v/>
      </c>
      <c r="H287" s="48" t="str">
        <f aca="false">IF($F287="","",IFERROR(INDEX(商品档案!$C$6:$C$65,MATCH($F287,商品档案!$A$6:$A$65,0)),""))</f>
        <v/>
      </c>
      <c r="I287" s="55" t="str">
        <f aca="false">IF($F287="","",IFERROR(INDEX(商品档案!$D$6:$D$65,MATCH($F287,商品档案!$A$6:$A$65,0)),""))</f>
        <v/>
      </c>
      <c r="J287" s="49"/>
      <c r="K287" s="56"/>
      <c r="L287" s="33"/>
      <c r="M287" s="39"/>
      <c r="N287" s="41"/>
      <c r="O287" s="41"/>
      <c r="P287" s="25" t="str">
        <f aca="false">IF(AND($B287="",$D287="",$F287=""),"",IF(NOT(ISNUMBER($B287)),"日期无效",IF(ISNA(MATCH($C287,参数设置!$A$10:$A$12,0)),"公司无效",IF(ISNA(MATCH($D287,记账规则!$A$6:$A$9,0)),"业务类型无效",IF(ISNA(MATCH($F287,商品档案!$A$6:$A$65,0)),"商品编码无效",IF(IFERROR(INDEX(商品档案!$E$6:$E$65,MATCH($F287,商品档案!$A$6:$A$65,0)),"")&lt;&gt;$C287,"商品不属于该公司",IF(AND($E287&lt;&gt;"",ISNA(MATCH($E287,往来单位!$A$6:$A$85,0))),"往来单位未建档",IF(N($J287)=0,"数量为 0",IF(N($K287)=0,"单价为 0",IF(AND(LEFT($D287,2)="销售",$U287=""),"该商品没设成本科目",IF(YEAR($B287)&lt;&gt;参数设置!$B$5,"不在本会计年度","OK")))))))))))</f>
        <v/>
      </c>
      <c r="Q287" s="57" t="str">
        <f aca="false">IF($F287="","",ROUND(N($J287)*N($K287),2))</f>
        <v/>
      </c>
      <c r="R287" s="58" t="str">
        <f aca="false">IF($D287="","",IF(LEFT($D287,2)="销售","应收账款","应付账款"))</f>
        <v/>
      </c>
      <c r="S287" s="58" t="str">
        <f aca="false">IF($F287="","",IFERROR(INDEX(商品档案!$G$6:$G$65,MATCH($F287,商品档案!$A$6:$A$65,0)),""))</f>
        <v/>
      </c>
      <c r="T287" s="58" t="str">
        <f aca="false">IF($F287="","",IFERROR(INDEX(商品档案!$H$6:$H$65,MATCH($F287,商品档案!$A$6:$A$65,0)),""))</f>
        <v/>
      </c>
      <c r="U287" s="58" t="str">
        <f aca="false">IF($F287="","",IFERROR(INDEX(商品档案!$I$6:$I$65,MATCH($F287,商品档案!$A$6:$A$65,0)),""))</f>
        <v/>
      </c>
      <c r="V287" s="59" t="str">
        <f aca="false">IF($F287="","",SUMIFS(进销存台账!$N$6:$N$65,进销存台账!$A$6:$A$65,$C287,进销存台账!$B$6:$B$65,$F287))</f>
        <v/>
      </c>
      <c r="W287" s="60" t="n">
        <f aca="false">IF(OR($D287="销售出库",$D287="销售退回"),ROUND(N($J287)*N($V287),2),0)</f>
        <v>0</v>
      </c>
      <c r="X287" s="58" t="str">
        <f aca="false">IF($E287="","",IFERROR(INDEX(往来单位!$D$6:$D$85,MATCH($E287,往来单位!$A$6:$A$85,0)),"否"))</f>
        <v/>
      </c>
      <c r="Y287" s="61" t="str">
        <f aca="false">IF($B287="","",YEAR($B287))</f>
        <v/>
      </c>
      <c r="Z287" s="58" t="str">
        <f aca="false">IF($B287="","",TEXT($B287,"yyyy-mm"))</f>
        <v/>
      </c>
    </row>
    <row r="288" customFormat="false" ht="15" hidden="false" customHeight="false" outlineLevel="0" collapsed="false">
      <c r="A288" s="53" t="str">
        <f aca="false">IF($B288="","",ROW()-5)</f>
        <v/>
      </c>
      <c r="B288" s="54"/>
      <c r="C288" s="33"/>
      <c r="D288" s="33"/>
      <c r="E288" s="32"/>
      <c r="F288" s="39"/>
      <c r="G288" s="48" t="str">
        <f aca="false">IF($F288="","",IFERROR(INDEX(商品档案!$B$6:$B$65,MATCH($F288,商品档案!$A$6:$A$65,0)),""))</f>
        <v/>
      </c>
      <c r="H288" s="48" t="str">
        <f aca="false">IF($F288="","",IFERROR(INDEX(商品档案!$C$6:$C$65,MATCH($F288,商品档案!$A$6:$A$65,0)),""))</f>
        <v/>
      </c>
      <c r="I288" s="55" t="str">
        <f aca="false">IF($F288="","",IFERROR(INDEX(商品档案!$D$6:$D$65,MATCH($F288,商品档案!$A$6:$A$65,0)),""))</f>
        <v/>
      </c>
      <c r="J288" s="49"/>
      <c r="K288" s="56"/>
      <c r="L288" s="33"/>
      <c r="M288" s="39"/>
      <c r="N288" s="41"/>
      <c r="O288" s="41"/>
      <c r="P288" s="25" t="str">
        <f aca="false">IF(AND($B288="",$D288="",$F288=""),"",IF(NOT(ISNUMBER($B288)),"日期无效",IF(ISNA(MATCH($C288,参数设置!$A$10:$A$12,0)),"公司无效",IF(ISNA(MATCH($D288,记账规则!$A$6:$A$9,0)),"业务类型无效",IF(ISNA(MATCH($F288,商品档案!$A$6:$A$65,0)),"商品编码无效",IF(IFERROR(INDEX(商品档案!$E$6:$E$65,MATCH($F288,商品档案!$A$6:$A$65,0)),"")&lt;&gt;$C288,"商品不属于该公司",IF(AND($E288&lt;&gt;"",ISNA(MATCH($E288,往来单位!$A$6:$A$85,0))),"往来单位未建档",IF(N($J288)=0,"数量为 0",IF(N($K288)=0,"单价为 0",IF(AND(LEFT($D288,2)="销售",$U288=""),"该商品没设成本科目",IF(YEAR($B288)&lt;&gt;参数设置!$B$5,"不在本会计年度","OK")))))))))))</f>
        <v/>
      </c>
      <c r="Q288" s="57" t="str">
        <f aca="false">IF($F288="","",ROUND(N($J288)*N($K288),2))</f>
        <v/>
      </c>
      <c r="R288" s="58" t="str">
        <f aca="false">IF($D288="","",IF(LEFT($D288,2)="销售","应收账款","应付账款"))</f>
        <v/>
      </c>
      <c r="S288" s="58" t="str">
        <f aca="false">IF($F288="","",IFERROR(INDEX(商品档案!$G$6:$G$65,MATCH($F288,商品档案!$A$6:$A$65,0)),""))</f>
        <v/>
      </c>
      <c r="T288" s="58" t="str">
        <f aca="false">IF($F288="","",IFERROR(INDEX(商品档案!$H$6:$H$65,MATCH($F288,商品档案!$A$6:$A$65,0)),""))</f>
        <v/>
      </c>
      <c r="U288" s="58" t="str">
        <f aca="false">IF($F288="","",IFERROR(INDEX(商品档案!$I$6:$I$65,MATCH($F288,商品档案!$A$6:$A$65,0)),""))</f>
        <v/>
      </c>
      <c r="V288" s="59" t="str">
        <f aca="false">IF($F288="","",SUMIFS(进销存台账!$N$6:$N$65,进销存台账!$A$6:$A$65,$C288,进销存台账!$B$6:$B$65,$F288))</f>
        <v/>
      </c>
      <c r="W288" s="60" t="n">
        <f aca="false">IF(OR($D288="销售出库",$D288="销售退回"),ROUND(N($J288)*N($V288),2),0)</f>
        <v>0</v>
      </c>
      <c r="X288" s="58" t="str">
        <f aca="false">IF($E288="","",IFERROR(INDEX(往来单位!$D$6:$D$85,MATCH($E288,往来单位!$A$6:$A$85,0)),"否"))</f>
        <v/>
      </c>
      <c r="Y288" s="61" t="str">
        <f aca="false">IF($B288="","",YEAR($B288))</f>
        <v/>
      </c>
      <c r="Z288" s="58" t="str">
        <f aca="false">IF($B288="","",TEXT($B288,"yyyy-mm"))</f>
        <v/>
      </c>
    </row>
    <row r="289" customFormat="false" ht="15" hidden="false" customHeight="false" outlineLevel="0" collapsed="false">
      <c r="A289" s="53" t="str">
        <f aca="false">IF($B289="","",ROW()-5)</f>
        <v/>
      </c>
      <c r="B289" s="54"/>
      <c r="C289" s="33"/>
      <c r="D289" s="33"/>
      <c r="E289" s="32"/>
      <c r="F289" s="39"/>
      <c r="G289" s="48" t="str">
        <f aca="false">IF($F289="","",IFERROR(INDEX(商品档案!$B$6:$B$65,MATCH($F289,商品档案!$A$6:$A$65,0)),""))</f>
        <v/>
      </c>
      <c r="H289" s="48" t="str">
        <f aca="false">IF($F289="","",IFERROR(INDEX(商品档案!$C$6:$C$65,MATCH($F289,商品档案!$A$6:$A$65,0)),""))</f>
        <v/>
      </c>
      <c r="I289" s="55" t="str">
        <f aca="false">IF($F289="","",IFERROR(INDEX(商品档案!$D$6:$D$65,MATCH($F289,商品档案!$A$6:$A$65,0)),""))</f>
        <v/>
      </c>
      <c r="J289" s="49"/>
      <c r="K289" s="56"/>
      <c r="L289" s="33"/>
      <c r="M289" s="39"/>
      <c r="N289" s="41"/>
      <c r="O289" s="41"/>
      <c r="P289" s="25" t="str">
        <f aca="false">IF(AND($B289="",$D289="",$F289=""),"",IF(NOT(ISNUMBER($B289)),"日期无效",IF(ISNA(MATCH($C289,参数设置!$A$10:$A$12,0)),"公司无效",IF(ISNA(MATCH($D289,记账规则!$A$6:$A$9,0)),"业务类型无效",IF(ISNA(MATCH($F289,商品档案!$A$6:$A$65,0)),"商品编码无效",IF(IFERROR(INDEX(商品档案!$E$6:$E$65,MATCH($F289,商品档案!$A$6:$A$65,0)),"")&lt;&gt;$C289,"商品不属于该公司",IF(AND($E289&lt;&gt;"",ISNA(MATCH($E289,往来单位!$A$6:$A$85,0))),"往来单位未建档",IF(N($J289)=0,"数量为 0",IF(N($K289)=0,"单价为 0",IF(AND(LEFT($D289,2)="销售",$U289=""),"该商品没设成本科目",IF(YEAR($B289)&lt;&gt;参数设置!$B$5,"不在本会计年度","OK")))))))))))</f>
        <v/>
      </c>
      <c r="Q289" s="57" t="str">
        <f aca="false">IF($F289="","",ROUND(N($J289)*N($K289),2))</f>
        <v/>
      </c>
      <c r="R289" s="58" t="str">
        <f aca="false">IF($D289="","",IF(LEFT($D289,2)="销售","应收账款","应付账款"))</f>
        <v/>
      </c>
      <c r="S289" s="58" t="str">
        <f aca="false">IF($F289="","",IFERROR(INDEX(商品档案!$G$6:$G$65,MATCH($F289,商品档案!$A$6:$A$65,0)),""))</f>
        <v/>
      </c>
      <c r="T289" s="58" t="str">
        <f aca="false">IF($F289="","",IFERROR(INDEX(商品档案!$H$6:$H$65,MATCH($F289,商品档案!$A$6:$A$65,0)),""))</f>
        <v/>
      </c>
      <c r="U289" s="58" t="str">
        <f aca="false">IF($F289="","",IFERROR(INDEX(商品档案!$I$6:$I$65,MATCH($F289,商品档案!$A$6:$A$65,0)),""))</f>
        <v/>
      </c>
      <c r="V289" s="59" t="str">
        <f aca="false">IF($F289="","",SUMIFS(进销存台账!$N$6:$N$65,进销存台账!$A$6:$A$65,$C289,进销存台账!$B$6:$B$65,$F289))</f>
        <v/>
      </c>
      <c r="W289" s="60" t="n">
        <f aca="false">IF(OR($D289="销售出库",$D289="销售退回"),ROUND(N($J289)*N($V289),2),0)</f>
        <v>0</v>
      </c>
      <c r="X289" s="58" t="str">
        <f aca="false">IF($E289="","",IFERROR(INDEX(往来单位!$D$6:$D$85,MATCH($E289,往来单位!$A$6:$A$85,0)),"否"))</f>
        <v/>
      </c>
      <c r="Y289" s="61" t="str">
        <f aca="false">IF($B289="","",YEAR($B289))</f>
        <v/>
      </c>
      <c r="Z289" s="58" t="str">
        <f aca="false">IF($B289="","",TEXT($B289,"yyyy-mm"))</f>
        <v/>
      </c>
    </row>
    <row r="290" customFormat="false" ht="15" hidden="false" customHeight="false" outlineLevel="0" collapsed="false">
      <c r="A290" s="53" t="str">
        <f aca="false">IF($B290="","",ROW()-5)</f>
        <v/>
      </c>
      <c r="B290" s="54"/>
      <c r="C290" s="33"/>
      <c r="D290" s="33"/>
      <c r="E290" s="32"/>
      <c r="F290" s="39"/>
      <c r="G290" s="48" t="str">
        <f aca="false">IF($F290="","",IFERROR(INDEX(商品档案!$B$6:$B$65,MATCH($F290,商品档案!$A$6:$A$65,0)),""))</f>
        <v/>
      </c>
      <c r="H290" s="48" t="str">
        <f aca="false">IF($F290="","",IFERROR(INDEX(商品档案!$C$6:$C$65,MATCH($F290,商品档案!$A$6:$A$65,0)),""))</f>
        <v/>
      </c>
      <c r="I290" s="55" t="str">
        <f aca="false">IF($F290="","",IFERROR(INDEX(商品档案!$D$6:$D$65,MATCH($F290,商品档案!$A$6:$A$65,0)),""))</f>
        <v/>
      </c>
      <c r="J290" s="49"/>
      <c r="K290" s="56"/>
      <c r="L290" s="33"/>
      <c r="M290" s="39"/>
      <c r="N290" s="41"/>
      <c r="O290" s="41"/>
      <c r="P290" s="25" t="str">
        <f aca="false">IF(AND($B290="",$D290="",$F290=""),"",IF(NOT(ISNUMBER($B290)),"日期无效",IF(ISNA(MATCH($C290,参数设置!$A$10:$A$12,0)),"公司无效",IF(ISNA(MATCH($D290,记账规则!$A$6:$A$9,0)),"业务类型无效",IF(ISNA(MATCH($F290,商品档案!$A$6:$A$65,0)),"商品编码无效",IF(IFERROR(INDEX(商品档案!$E$6:$E$65,MATCH($F290,商品档案!$A$6:$A$65,0)),"")&lt;&gt;$C290,"商品不属于该公司",IF(AND($E290&lt;&gt;"",ISNA(MATCH($E290,往来单位!$A$6:$A$85,0))),"往来单位未建档",IF(N($J290)=0,"数量为 0",IF(N($K290)=0,"单价为 0",IF(AND(LEFT($D290,2)="销售",$U290=""),"该商品没设成本科目",IF(YEAR($B290)&lt;&gt;参数设置!$B$5,"不在本会计年度","OK")))))))))))</f>
        <v/>
      </c>
      <c r="Q290" s="57" t="str">
        <f aca="false">IF($F290="","",ROUND(N($J290)*N($K290),2))</f>
        <v/>
      </c>
      <c r="R290" s="58" t="str">
        <f aca="false">IF($D290="","",IF(LEFT($D290,2)="销售","应收账款","应付账款"))</f>
        <v/>
      </c>
      <c r="S290" s="58" t="str">
        <f aca="false">IF($F290="","",IFERROR(INDEX(商品档案!$G$6:$G$65,MATCH($F290,商品档案!$A$6:$A$65,0)),""))</f>
        <v/>
      </c>
      <c r="T290" s="58" t="str">
        <f aca="false">IF($F290="","",IFERROR(INDEX(商品档案!$H$6:$H$65,MATCH($F290,商品档案!$A$6:$A$65,0)),""))</f>
        <v/>
      </c>
      <c r="U290" s="58" t="str">
        <f aca="false">IF($F290="","",IFERROR(INDEX(商品档案!$I$6:$I$65,MATCH($F290,商品档案!$A$6:$A$65,0)),""))</f>
        <v/>
      </c>
      <c r="V290" s="59" t="str">
        <f aca="false">IF($F290="","",SUMIFS(进销存台账!$N$6:$N$65,进销存台账!$A$6:$A$65,$C290,进销存台账!$B$6:$B$65,$F290))</f>
        <v/>
      </c>
      <c r="W290" s="60" t="n">
        <f aca="false">IF(OR($D290="销售出库",$D290="销售退回"),ROUND(N($J290)*N($V290),2),0)</f>
        <v>0</v>
      </c>
      <c r="X290" s="58" t="str">
        <f aca="false">IF($E290="","",IFERROR(INDEX(往来单位!$D$6:$D$85,MATCH($E290,往来单位!$A$6:$A$85,0)),"否"))</f>
        <v/>
      </c>
      <c r="Y290" s="61" t="str">
        <f aca="false">IF($B290="","",YEAR($B290))</f>
        <v/>
      </c>
      <c r="Z290" s="58" t="str">
        <f aca="false">IF($B290="","",TEXT($B290,"yyyy-mm"))</f>
        <v/>
      </c>
    </row>
    <row r="291" customFormat="false" ht="15" hidden="false" customHeight="false" outlineLevel="0" collapsed="false">
      <c r="A291" s="53" t="str">
        <f aca="false">IF($B291="","",ROW()-5)</f>
        <v/>
      </c>
      <c r="B291" s="54"/>
      <c r="C291" s="33"/>
      <c r="D291" s="33"/>
      <c r="E291" s="32"/>
      <c r="F291" s="39"/>
      <c r="G291" s="48" t="str">
        <f aca="false">IF($F291="","",IFERROR(INDEX(商品档案!$B$6:$B$65,MATCH($F291,商品档案!$A$6:$A$65,0)),""))</f>
        <v/>
      </c>
      <c r="H291" s="48" t="str">
        <f aca="false">IF($F291="","",IFERROR(INDEX(商品档案!$C$6:$C$65,MATCH($F291,商品档案!$A$6:$A$65,0)),""))</f>
        <v/>
      </c>
      <c r="I291" s="55" t="str">
        <f aca="false">IF($F291="","",IFERROR(INDEX(商品档案!$D$6:$D$65,MATCH($F291,商品档案!$A$6:$A$65,0)),""))</f>
        <v/>
      </c>
      <c r="J291" s="49"/>
      <c r="K291" s="56"/>
      <c r="L291" s="33"/>
      <c r="M291" s="39"/>
      <c r="N291" s="41"/>
      <c r="O291" s="41"/>
      <c r="P291" s="25" t="str">
        <f aca="false">IF(AND($B291="",$D291="",$F291=""),"",IF(NOT(ISNUMBER($B291)),"日期无效",IF(ISNA(MATCH($C291,参数设置!$A$10:$A$12,0)),"公司无效",IF(ISNA(MATCH($D291,记账规则!$A$6:$A$9,0)),"业务类型无效",IF(ISNA(MATCH($F291,商品档案!$A$6:$A$65,0)),"商品编码无效",IF(IFERROR(INDEX(商品档案!$E$6:$E$65,MATCH($F291,商品档案!$A$6:$A$65,0)),"")&lt;&gt;$C291,"商品不属于该公司",IF(AND($E291&lt;&gt;"",ISNA(MATCH($E291,往来单位!$A$6:$A$85,0))),"往来单位未建档",IF(N($J291)=0,"数量为 0",IF(N($K291)=0,"单价为 0",IF(AND(LEFT($D291,2)="销售",$U291=""),"该商品没设成本科目",IF(YEAR($B291)&lt;&gt;参数设置!$B$5,"不在本会计年度","OK")))))))))))</f>
        <v/>
      </c>
      <c r="Q291" s="57" t="str">
        <f aca="false">IF($F291="","",ROUND(N($J291)*N($K291),2))</f>
        <v/>
      </c>
      <c r="R291" s="58" t="str">
        <f aca="false">IF($D291="","",IF(LEFT($D291,2)="销售","应收账款","应付账款"))</f>
        <v/>
      </c>
      <c r="S291" s="58" t="str">
        <f aca="false">IF($F291="","",IFERROR(INDEX(商品档案!$G$6:$G$65,MATCH($F291,商品档案!$A$6:$A$65,0)),""))</f>
        <v/>
      </c>
      <c r="T291" s="58" t="str">
        <f aca="false">IF($F291="","",IFERROR(INDEX(商品档案!$H$6:$H$65,MATCH($F291,商品档案!$A$6:$A$65,0)),""))</f>
        <v/>
      </c>
      <c r="U291" s="58" t="str">
        <f aca="false">IF($F291="","",IFERROR(INDEX(商品档案!$I$6:$I$65,MATCH($F291,商品档案!$A$6:$A$65,0)),""))</f>
        <v/>
      </c>
      <c r="V291" s="59" t="str">
        <f aca="false">IF($F291="","",SUMIFS(进销存台账!$N$6:$N$65,进销存台账!$A$6:$A$65,$C291,进销存台账!$B$6:$B$65,$F291))</f>
        <v/>
      </c>
      <c r="W291" s="60" t="n">
        <f aca="false">IF(OR($D291="销售出库",$D291="销售退回"),ROUND(N($J291)*N($V291),2),0)</f>
        <v>0</v>
      </c>
      <c r="X291" s="58" t="str">
        <f aca="false">IF($E291="","",IFERROR(INDEX(往来单位!$D$6:$D$85,MATCH($E291,往来单位!$A$6:$A$85,0)),"否"))</f>
        <v/>
      </c>
      <c r="Y291" s="61" t="str">
        <f aca="false">IF($B291="","",YEAR($B291))</f>
        <v/>
      </c>
      <c r="Z291" s="58" t="str">
        <f aca="false">IF($B291="","",TEXT($B291,"yyyy-mm"))</f>
        <v/>
      </c>
    </row>
    <row r="292" customFormat="false" ht="15" hidden="false" customHeight="false" outlineLevel="0" collapsed="false">
      <c r="A292" s="53" t="str">
        <f aca="false">IF($B292="","",ROW()-5)</f>
        <v/>
      </c>
      <c r="B292" s="54"/>
      <c r="C292" s="33"/>
      <c r="D292" s="33"/>
      <c r="E292" s="32"/>
      <c r="F292" s="39"/>
      <c r="G292" s="48" t="str">
        <f aca="false">IF($F292="","",IFERROR(INDEX(商品档案!$B$6:$B$65,MATCH($F292,商品档案!$A$6:$A$65,0)),""))</f>
        <v/>
      </c>
      <c r="H292" s="48" t="str">
        <f aca="false">IF($F292="","",IFERROR(INDEX(商品档案!$C$6:$C$65,MATCH($F292,商品档案!$A$6:$A$65,0)),""))</f>
        <v/>
      </c>
      <c r="I292" s="55" t="str">
        <f aca="false">IF($F292="","",IFERROR(INDEX(商品档案!$D$6:$D$65,MATCH($F292,商品档案!$A$6:$A$65,0)),""))</f>
        <v/>
      </c>
      <c r="J292" s="49"/>
      <c r="K292" s="56"/>
      <c r="L292" s="33"/>
      <c r="M292" s="39"/>
      <c r="N292" s="41"/>
      <c r="O292" s="41"/>
      <c r="P292" s="25" t="str">
        <f aca="false">IF(AND($B292="",$D292="",$F292=""),"",IF(NOT(ISNUMBER($B292)),"日期无效",IF(ISNA(MATCH($C292,参数设置!$A$10:$A$12,0)),"公司无效",IF(ISNA(MATCH($D292,记账规则!$A$6:$A$9,0)),"业务类型无效",IF(ISNA(MATCH($F292,商品档案!$A$6:$A$65,0)),"商品编码无效",IF(IFERROR(INDEX(商品档案!$E$6:$E$65,MATCH($F292,商品档案!$A$6:$A$65,0)),"")&lt;&gt;$C292,"商品不属于该公司",IF(AND($E292&lt;&gt;"",ISNA(MATCH($E292,往来单位!$A$6:$A$85,0))),"往来单位未建档",IF(N($J292)=0,"数量为 0",IF(N($K292)=0,"单价为 0",IF(AND(LEFT($D292,2)="销售",$U292=""),"该商品没设成本科目",IF(YEAR($B292)&lt;&gt;参数设置!$B$5,"不在本会计年度","OK")))))))))))</f>
        <v/>
      </c>
      <c r="Q292" s="57" t="str">
        <f aca="false">IF($F292="","",ROUND(N($J292)*N($K292),2))</f>
        <v/>
      </c>
      <c r="R292" s="58" t="str">
        <f aca="false">IF($D292="","",IF(LEFT($D292,2)="销售","应收账款","应付账款"))</f>
        <v/>
      </c>
      <c r="S292" s="58" t="str">
        <f aca="false">IF($F292="","",IFERROR(INDEX(商品档案!$G$6:$G$65,MATCH($F292,商品档案!$A$6:$A$65,0)),""))</f>
        <v/>
      </c>
      <c r="T292" s="58" t="str">
        <f aca="false">IF($F292="","",IFERROR(INDEX(商品档案!$H$6:$H$65,MATCH($F292,商品档案!$A$6:$A$65,0)),""))</f>
        <v/>
      </c>
      <c r="U292" s="58" t="str">
        <f aca="false">IF($F292="","",IFERROR(INDEX(商品档案!$I$6:$I$65,MATCH($F292,商品档案!$A$6:$A$65,0)),""))</f>
        <v/>
      </c>
      <c r="V292" s="59" t="str">
        <f aca="false">IF($F292="","",SUMIFS(进销存台账!$N$6:$N$65,进销存台账!$A$6:$A$65,$C292,进销存台账!$B$6:$B$65,$F292))</f>
        <v/>
      </c>
      <c r="W292" s="60" t="n">
        <f aca="false">IF(OR($D292="销售出库",$D292="销售退回"),ROUND(N($J292)*N($V292),2),0)</f>
        <v>0</v>
      </c>
      <c r="X292" s="58" t="str">
        <f aca="false">IF($E292="","",IFERROR(INDEX(往来单位!$D$6:$D$85,MATCH($E292,往来单位!$A$6:$A$85,0)),"否"))</f>
        <v/>
      </c>
      <c r="Y292" s="61" t="str">
        <f aca="false">IF($B292="","",YEAR($B292))</f>
        <v/>
      </c>
      <c r="Z292" s="58" t="str">
        <f aca="false">IF($B292="","",TEXT($B292,"yyyy-mm"))</f>
        <v/>
      </c>
    </row>
    <row r="293" customFormat="false" ht="15" hidden="false" customHeight="false" outlineLevel="0" collapsed="false">
      <c r="A293" s="53" t="str">
        <f aca="false">IF($B293="","",ROW()-5)</f>
        <v/>
      </c>
      <c r="B293" s="54"/>
      <c r="C293" s="33"/>
      <c r="D293" s="33"/>
      <c r="E293" s="32"/>
      <c r="F293" s="39"/>
      <c r="G293" s="48" t="str">
        <f aca="false">IF($F293="","",IFERROR(INDEX(商品档案!$B$6:$B$65,MATCH($F293,商品档案!$A$6:$A$65,0)),""))</f>
        <v/>
      </c>
      <c r="H293" s="48" t="str">
        <f aca="false">IF($F293="","",IFERROR(INDEX(商品档案!$C$6:$C$65,MATCH($F293,商品档案!$A$6:$A$65,0)),""))</f>
        <v/>
      </c>
      <c r="I293" s="55" t="str">
        <f aca="false">IF($F293="","",IFERROR(INDEX(商品档案!$D$6:$D$65,MATCH($F293,商品档案!$A$6:$A$65,0)),""))</f>
        <v/>
      </c>
      <c r="J293" s="49"/>
      <c r="K293" s="56"/>
      <c r="L293" s="33"/>
      <c r="M293" s="39"/>
      <c r="N293" s="41"/>
      <c r="O293" s="41"/>
      <c r="P293" s="25" t="str">
        <f aca="false">IF(AND($B293="",$D293="",$F293=""),"",IF(NOT(ISNUMBER($B293)),"日期无效",IF(ISNA(MATCH($C293,参数设置!$A$10:$A$12,0)),"公司无效",IF(ISNA(MATCH($D293,记账规则!$A$6:$A$9,0)),"业务类型无效",IF(ISNA(MATCH($F293,商品档案!$A$6:$A$65,0)),"商品编码无效",IF(IFERROR(INDEX(商品档案!$E$6:$E$65,MATCH($F293,商品档案!$A$6:$A$65,0)),"")&lt;&gt;$C293,"商品不属于该公司",IF(AND($E293&lt;&gt;"",ISNA(MATCH($E293,往来单位!$A$6:$A$85,0))),"往来单位未建档",IF(N($J293)=0,"数量为 0",IF(N($K293)=0,"单价为 0",IF(AND(LEFT($D293,2)="销售",$U293=""),"该商品没设成本科目",IF(YEAR($B293)&lt;&gt;参数设置!$B$5,"不在本会计年度","OK")))))))))))</f>
        <v/>
      </c>
      <c r="Q293" s="57" t="str">
        <f aca="false">IF($F293="","",ROUND(N($J293)*N($K293),2))</f>
        <v/>
      </c>
      <c r="R293" s="58" t="str">
        <f aca="false">IF($D293="","",IF(LEFT($D293,2)="销售","应收账款","应付账款"))</f>
        <v/>
      </c>
      <c r="S293" s="58" t="str">
        <f aca="false">IF($F293="","",IFERROR(INDEX(商品档案!$G$6:$G$65,MATCH($F293,商品档案!$A$6:$A$65,0)),""))</f>
        <v/>
      </c>
      <c r="T293" s="58" t="str">
        <f aca="false">IF($F293="","",IFERROR(INDEX(商品档案!$H$6:$H$65,MATCH($F293,商品档案!$A$6:$A$65,0)),""))</f>
        <v/>
      </c>
      <c r="U293" s="58" t="str">
        <f aca="false">IF($F293="","",IFERROR(INDEX(商品档案!$I$6:$I$65,MATCH($F293,商品档案!$A$6:$A$65,0)),""))</f>
        <v/>
      </c>
      <c r="V293" s="59" t="str">
        <f aca="false">IF($F293="","",SUMIFS(进销存台账!$N$6:$N$65,进销存台账!$A$6:$A$65,$C293,进销存台账!$B$6:$B$65,$F293))</f>
        <v/>
      </c>
      <c r="W293" s="60" t="n">
        <f aca="false">IF(OR($D293="销售出库",$D293="销售退回"),ROUND(N($J293)*N($V293),2),0)</f>
        <v>0</v>
      </c>
      <c r="X293" s="58" t="str">
        <f aca="false">IF($E293="","",IFERROR(INDEX(往来单位!$D$6:$D$85,MATCH($E293,往来单位!$A$6:$A$85,0)),"否"))</f>
        <v/>
      </c>
      <c r="Y293" s="61" t="str">
        <f aca="false">IF($B293="","",YEAR($B293))</f>
        <v/>
      </c>
      <c r="Z293" s="58" t="str">
        <f aca="false">IF($B293="","",TEXT($B293,"yyyy-mm"))</f>
        <v/>
      </c>
    </row>
    <row r="294" customFormat="false" ht="15" hidden="false" customHeight="false" outlineLevel="0" collapsed="false">
      <c r="A294" s="53" t="str">
        <f aca="false">IF($B294="","",ROW()-5)</f>
        <v/>
      </c>
      <c r="B294" s="54"/>
      <c r="C294" s="33"/>
      <c r="D294" s="33"/>
      <c r="E294" s="32"/>
      <c r="F294" s="39"/>
      <c r="G294" s="48" t="str">
        <f aca="false">IF($F294="","",IFERROR(INDEX(商品档案!$B$6:$B$65,MATCH($F294,商品档案!$A$6:$A$65,0)),""))</f>
        <v/>
      </c>
      <c r="H294" s="48" t="str">
        <f aca="false">IF($F294="","",IFERROR(INDEX(商品档案!$C$6:$C$65,MATCH($F294,商品档案!$A$6:$A$65,0)),""))</f>
        <v/>
      </c>
      <c r="I294" s="55" t="str">
        <f aca="false">IF($F294="","",IFERROR(INDEX(商品档案!$D$6:$D$65,MATCH($F294,商品档案!$A$6:$A$65,0)),""))</f>
        <v/>
      </c>
      <c r="J294" s="49"/>
      <c r="K294" s="56"/>
      <c r="L294" s="33"/>
      <c r="M294" s="39"/>
      <c r="N294" s="41"/>
      <c r="O294" s="41"/>
      <c r="P294" s="25" t="str">
        <f aca="false">IF(AND($B294="",$D294="",$F294=""),"",IF(NOT(ISNUMBER($B294)),"日期无效",IF(ISNA(MATCH($C294,参数设置!$A$10:$A$12,0)),"公司无效",IF(ISNA(MATCH($D294,记账规则!$A$6:$A$9,0)),"业务类型无效",IF(ISNA(MATCH($F294,商品档案!$A$6:$A$65,0)),"商品编码无效",IF(IFERROR(INDEX(商品档案!$E$6:$E$65,MATCH($F294,商品档案!$A$6:$A$65,0)),"")&lt;&gt;$C294,"商品不属于该公司",IF(AND($E294&lt;&gt;"",ISNA(MATCH($E294,往来单位!$A$6:$A$85,0))),"往来单位未建档",IF(N($J294)=0,"数量为 0",IF(N($K294)=0,"单价为 0",IF(AND(LEFT($D294,2)="销售",$U294=""),"该商品没设成本科目",IF(YEAR($B294)&lt;&gt;参数设置!$B$5,"不在本会计年度","OK")))))))))))</f>
        <v/>
      </c>
      <c r="Q294" s="57" t="str">
        <f aca="false">IF($F294="","",ROUND(N($J294)*N($K294),2))</f>
        <v/>
      </c>
      <c r="R294" s="58" t="str">
        <f aca="false">IF($D294="","",IF(LEFT($D294,2)="销售","应收账款","应付账款"))</f>
        <v/>
      </c>
      <c r="S294" s="58" t="str">
        <f aca="false">IF($F294="","",IFERROR(INDEX(商品档案!$G$6:$G$65,MATCH($F294,商品档案!$A$6:$A$65,0)),""))</f>
        <v/>
      </c>
      <c r="T294" s="58" t="str">
        <f aca="false">IF($F294="","",IFERROR(INDEX(商品档案!$H$6:$H$65,MATCH($F294,商品档案!$A$6:$A$65,0)),""))</f>
        <v/>
      </c>
      <c r="U294" s="58" t="str">
        <f aca="false">IF($F294="","",IFERROR(INDEX(商品档案!$I$6:$I$65,MATCH($F294,商品档案!$A$6:$A$65,0)),""))</f>
        <v/>
      </c>
      <c r="V294" s="59" t="str">
        <f aca="false">IF($F294="","",SUMIFS(进销存台账!$N$6:$N$65,进销存台账!$A$6:$A$65,$C294,进销存台账!$B$6:$B$65,$F294))</f>
        <v/>
      </c>
      <c r="W294" s="60" t="n">
        <f aca="false">IF(OR($D294="销售出库",$D294="销售退回"),ROUND(N($J294)*N($V294),2),0)</f>
        <v>0</v>
      </c>
      <c r="X294" s="58" t="str">
        <f aca="false">IF($E294="","",IFERROR(INDEX(往来单位!$D$6:$D$85,MATCH($E294,往来单位!$A$6:$A$85,0)),"否"))</f>
        <v/>
      </c>
      <c r="Y294" s="61" t="str">
        <f aca="false">IF($B294="","",YEAR($B294))</f>
        <v/>
      </c>
      <c r="Z294" s="58" t="str">
        <f aca="false">IF($B294="","",TEXT($B294,"yyyy-mm"))</f>
        <v/>
      </c>
    </row>
    <row r="295" customFormat="false" ht="15" hidden="false" customHeight="false" outlineLevel="0" collapsed="false">
      <c r="A295" s="53" t="str">
        <f aca="false">IF($B295="","",ROW()-5)</f>
        <v/>
      </c>
      <c r="B295" s="54"/>
      <c r="C295" s="33"/>
      <c r="D295" s="33"/>
      <c r="E295" s="32"/>
      <c r="F295" s="39"/>
      <c r="G295" s="48" t="str">
        <f aca="false">IF($F295="","",IFERROR(INDEX(商品档案!$B$6:$B$65,MATCH($F295,商品档案!$A$6:$A$65,0)),""))</f>
        <v/>
      </c>
      <c r="H295" s="48" t="str">
        <f aca="false">IF($F295="","",IFERROR(INDEX(商品档案!$C$6:$C$65,MATCH($F295,商品档案!$A$6:$A$65,0)),""))</f>
        <v/>
      </c>
      <c r="I295" s="55" t="str">
        <f aca="false">IF($F295="","",IFERROR(INDEX(商品档案!$D$6:$D$65,MATCH($F295,商品档案!$A$6:$A$65,0)),""))</f>
        <v/>
      </c>
      <c r="J295" s="49"/>
      <c r="K295" s="56"/>
      <c r="L295" s="33"/>
      <c r="M295" s="39"/>
      <c r="N295" s="41"/>
      <c r="O295" s="41"/>
      <c r="P295" s="25" t="str">
        <f aca="false">IF(AND($B295="",$D295="",$F295=""),"",IF(NOT(ISNUMBER($B295)),"日期无效",IF(ISNA(MATCH($C295,参数设置!$A$10:$A$12,0)),"公司无效",IF(ISNA(MATCH($D295,记账规则!$A$6:$A$9,0)),"业务类型无效",IF(ISNA(MATCH($F295,商品档案!$A$6:$A$65,0)),"商品编码无效",IF(IFERROR(INDEX(商品档案!$E$6:$E$65,MATCH($F295,商品档案!$A$6:$A$65,0)),"")&lt;&gt;$C295,"商品不属于该公司",IF(AND($E295&lt;&gt;"",ISNA(MATCH($E295,往来单位!$A$6:$A$85,0))),"往来单位未建档",IF(N($J295)=0,"数量为 0",IF(N($K295)=0,"单价为 0",IF(AND(LEFT($D295,2)="销售",$U295=""),"该商品没设成本科目",IF(YEAR($B295)&lt;&gt;参数设置!$B$5,"不在本会计年度","OK")))))))))))</f>
        <v/>
      </c>
      <c r="Q295" s="57" t="str">
        <f aca="false">IF($F295="","",ROUND(N($J295)*N($K295),2))</f>
        <v/>
      </c>
      <c r="R295" s="58" t="str">
        <f aca="false">IF($D295="","",IF(LEFT($D295,2)="销售","应收账款","应付账款"))</f>
        <v/>
      </c>
      <c r="S295" s="58" t="str">
        <f aca="false">IF($F295="","",IFERROR(INDEX(商品档案!$G$6:$G$65,MATCH($F295,商品档案!$A$6:$A$65,0)),""))</f>
        <v/>
      </c>
      <c r="T295" s="58" t="str">
        <f aca="false">IF($F295="","",IFERROR(INDEX(商品档案!$H$6:$H$65,MATCH($F295,商品档案!$A$6:$A$65,0)),""))</f>
        <v/>
      </c>
      <c r="U295" s="58" t="str">
        <f aca="false">IF($F295="","",IFERROR(INDEX(商品档案!$I$6:$I$65,MATCH($F295,商品档案!$A$6:$A$65,0)),""))</f>
        <v/>
      </c>
      <c r="V295" s="59" t="str">
        <f aca="false">IF($F295="","",SUMIFS(进销存台账!$N$6:$N$65,进销存台账!$A$6:$A$65,$C295,进销存台账!$B$6:$B$65,$F295))</f>
        <v/>
      </c>
      <c r="W295" s="60" t="n">
        <f aca="false">IF(OR($D295="销售出库",$D295="销售退回"),ROUND(N($J295)*N($V295),2),0)</f>
        <v>0</v>
      </c>
      <c r="X295" s="58" t="str">
        <f aca="false">IF($E295="","",IFERROR(INDEX(往来单位!$D$6:$D$85,MATCH($E295,往来单位!$A$6:$A$85,0)),"否"))</f>
        <v/>
      </c>
      <c r="Y295" s="61" t="str">
        <f aca="false">IF($B295="","",YEAR($B295))</f>
        <v/>
      </c>
      <c r="Z295" s="58" t="str">
        <f aca="false">IF($B295="","",TEXT($B295,"yyyy-mm"))</f>
        <v/>
      </c>
    </row>
    <row r="296" customFormat="false" ht="15" hidden="false" customHeight="false" outlineLevel="0" collapsed="false">
      <c r="A296" s="53" t="str">
        <f aca="false">IF($B296="","",ROW()-5)</f>
        <v/>
      </c>
      <c r="B296" s="54"/>
      <c r="C296" s="33"/>
      <c r="D296" s="33"/>
      <c r="E296" s="32"/>
      <c r="F296" s="39"/>
      <c r="G296" s="48" t="str">
        <f aca="false">IF($F296="","",IFERROR(INDEX(商品档案!$B$6:$B$65,MATCH($F296,商品档案!$A$6:$A$65,0)),""))</f>
        <v/>
      </c>
      <c r="H296" s="48" t="str">
        <f aca="false">IF($F296="","",IFERROR(INDEX(商品档案!$C$6:$C$65,MATCH($F296,商品档案!$A$6:$A$65,0)),""))</f>
        <v/>
      </c>
      <c r="I296" s="55" t="str">
        <f aca="false">IF($F296="","",IFERROR(INDEX(商品档案!$D$6:$D$65,MATCH($F296,商品档案!$A$6:$A$65,0)),""))</f>
        <v/>
      </c>
      <c r="J296" s="49"/>
      <c r="K296" s="56"/>
      <c r="L296" s="33"/>
      <c r="M296" s="39"/>
      <c r="N296" s="41"/>
      <c r="O296" s="41"/>
      <c r="P296" s="25" t="str">
        <f aca="false">IF(AND($B296="",$D296="",$F296=""),"",IF(NOT(ISNUMBER($B296)),"日期无效",IF(ISNA(MATCH($C296,参数设置!$A$10:$A$12,0)),"公司无效",IF(ISNA(MATCH($D296,记账规则!$A$6:$A$9,0)),"业务类型无效",IF(ISNA(MATCH($F296,商品档案!$A$6:$A$65,0)),"商品编码无效",IF(IFERROR(INDEX(商品档案!$E$6:$E$65,MATCH($F296,商品档案!$A$6:$A$65,0)),"")&lt;&gt;$C296,"商品不属于该公司",IF(AND($E296&lt;&gt;"",ISNA(MATCH($E296,往来单位!$A$6:$A$85,0))),"往来单位未建档",IF(N($J296)=0,"数量为 0",IF(N($K296)=0,"单价为 0",IF(AND(LEFT($D296,2)="销售",$U296=""),"该商品没设成本科目",IF(YEAR($B296)&lt;&gt;参数设置!$B$5,"不在本会计年度","OK")))))))))))</f>
        <v/>
      </c>
      <c r="Q296" s="57" t="str">
        <f aca="false">IF($F296="","",ROUND(N($J296)*N($K296),2))</f>
        <v/>
      </c>
      <c r="R296" s="58" t="str">
        <f aca="false">IF($D296="","",IF(LEFT($D296,2)="销售","应收账款","应付账款"))</f>
        <v/>
      </c>
      <c r="S296" s="58" t="str">
        <f aca="false">IF($F296="","",IFERROR(INDEX(商品档案!$G$6:$G$65,MATCH($F296,商品档案!$A$6:$A$65,0)),""))</f>
        <v/>
      </c>
      <c r="T296" s="58" t="str">
        <f aca="false">IF($F296="","",IFERROR(INDEX(商品档案!$H$6:$H$65,MATCH($F296,商品档案!$A$6:$A$65,0)),""))</f>
        <v/>
      </c>
      <c r="U296" s="58" t="str">
        <f aca="false">IF($F296="","",IFERROR(INDEX(商品档案!$I$6:$I$65,MATCH($F296,商品档案!$A$6:$A$65,0)),""))</f>
        <v/>
      </c>
      <c r="V296" s="59" t="str">
        <f aca="false">IF($F296="","",SUMIFS(进销存台账!$N$6:$N$65,进销存台账!$A$6:$A$65,$C296,进销存台账!$B$6:$B$65,$F296))</f>
        <v/>
      </c>
      <c r="W296" s="60" t="n">
        <f aca="false">IF(OR($D296="销售出库",$D296="销售退回"),ROUND(N($J296)*N($V296),2),0)</f>
        <v>0</v>
      </c>
      <c r="X296" s="58" t="str">
        <f aca="false">IF($E296="","",IFERROR(INDEX(往来单位!$D$6:$D$85,MATCH($E296,往来单位!$A$6:$A$85,0)),"否"))</f>
        <v/>
      </c>
      <c r="Y296" s="61" t="str">
        <f aca="false">IF($B296="","",YEAR($B296))</f>
        <v/>
      </c>
      <c r="Z296" s="58" t="str">
        <f aca="false">IF($B296="","",TEXT($B296,"yyyy-mm"))</f>
        <v/>
      </c>
    </row>
    <row r="297" customFormat="false" ht="15" hidden="false" customHeight="false" outlineLevel="0" collapsed="false">
      <c r="A297" s="53" t="str">
        <f aca="false">IF($B297="","",ROW()-5)</f>
        <v/>
      </c>
      <c r="B297" s="54"/>
      <c r="C297" s="33"/>
      <c r="D297" s="33"/>
      <c r="E297" s="32"/>
      <c r="F297" s="39"/>
      <c r="G297" s="48" t="str">
        <f aca="false">IF($F297="","",IFERROR(INDEX(商品档案!$B$6:$B$65,MATCH($F297,商品档案!$A$6:$A$65,0)),""))</f>
        <v/>
      </c>
      <c r="H297" s="48" t="str">
        <f aca="false">IF($F297="","",IFERROR(INDEX(商品档案!$C$6:$C$65,MATCH($F297,商品档案!$A$6:$A$65,0)),""))</f>
        <v/>
      </c>
      <c r="I297" s="55" t="str">
        <f aca="false">IF($F297="","",IFERROR(INDEX(商品档案!$D$6:$D$65,MATCH($F297,商品档案!$A$6:$A$65,0)),""))</f>
        <v/>
      </c>
      <c r="J297" s="49"/>
      <c r="K297" s="56"/>
      <c r="L297" s="33"/>
      <c r="M297" s="39"/>
      <c r="N297" s="41"/>
      <c r="O297" s="41"/>
      <c r="P297" s="25" t="str">
        <f aca="false">IF(AND($B297="",$D297="",$F297=""),"",IF(NOT(ISNUMBER($B297)),"日期无效",IF(ISNA(MATCH($C297,参数设置!$A$10:$A$12,0)),"公司无效",IF(ISNA(MATCH($D297,记账规则!$A$6:$A$9,0)),"业务类型无效",IF(ISNA(MATCH($F297,商品档案!$A$6:$A$65,0)),"商品编码无效",IF(IFERROR(INDEX(商品档案!$E$6:$E$65,MATCH($F297,商品档案!$A$6:$A$65,0)),"")&lt;&gt;$C297,"商品不属于该公司",IF(AND($E297&lt;&gt;"",ISNA(MATCH($E297,往来单位!$A$6:$A$85,0))),"往来单位未建档",IF(N($J297)=0,"数量为 0",IF(N($K297)=0,"单价为 0",IF(AND(LEFT($D297,2)="销售",$U297=""),"该商品没设成本科目",IF(YEAR($B297)&lt;&gt;参数设置!$B$5,"不在本会计年度","OK")))))))))))</f>
        <v/>
      </c>
      <c r="Q297" s="57" t="str">
        <f aca="false">IF($F297="","",ROUND(N($J297)*N($K297),2))</f>
        <v/>
      </c>
      <c r="R297" s="58" t="str">
        <f aca="false">IF($D297="","",IF(LEFT($D297,2)="销售","应收账款","应付账款"))</f>
        <v/>
      </c>
      <c r="S297" s="58" t="str">
        <f aca="false">IF($F297="","",IFERROR(INDEX(商品档案!$G$6:$G$65,MATCH($F297,商品档案!$A$6:$A$65,0)),""))</f>
        <v/>
      </c>
      <c r="T297" s="58" t="str">
        <f aca="false">IF($F297="","",IFERROR(INDEX(商品档案!$H$6:$H$65,MATCH($F297,商品档案!$A$6:$A$65,0)),""))</f>
        <v/>
      </c>
      <c r="U297" s="58" t="str">
        <f aca="false">IF($F297="","",IFERROR(INDEX(商品档案!$I$6:$I$65,MATCH($F297,商品档案!$A$6:$A$65,0)),""))</f>
        <v/>
      </c>
      <c r="V297" s="59" t="str">
        <f aca="false">IF($F297="","",SUMIFS(进销存台账!$N$6:$N$65,进销存台账!$A$6:$A$65,$C297,进销存台账!$B$6:$B$65,$F297))</f>
        <v/>
      </c>
      <c r="W297" s="60" t="n">
        <f aca="false">IF(OR($D297="销售出库",$D297="销售退回"),ROUND(N($J297)*N($V297),2),0)</f>
        <v>0</v>
      </c>
      <c r="X297" s="58" t="str">
        <f aca="false">IF($E297="","",IFERROR(INDEX(往来单位!$D$6:$D$85,MATCH($E297,往来单位!$A$6:$A$85,0)),"否"))</f>
        <v/>
      </c>
      <c r="Y297" s="61" t="str">
        <f aca="false">IF($B297="","",YEAR($B297))</f>
        <v/>
      </c>
      <c r="Z297" s="58" t="str">
        <f aca="false">IF($B297="","",TEXT($B297,"yyyy-mm"))</f>
        <v/>
      </c>
    </row>
    <row r="298" customFormat="false" ht="15" hidden="false" customHeight="false" outlineLevel="0" collapsed="false">
      <c r="A298" s="53" t="str">
        <f aca="false">IF($B298="","",ROW()-5)</f>
        <v/>
      </c>
      <c r="B298" s="54"/>
      <c r="C298" s="33"/>
      <c r="D298" s="33"/>
      <c r="E298" s="32"/>
      <c r="F298" s="39"/>
      <c r="G298" s="48" t="str">
        <f aca="false">IF($F298="","",IFERROR(INDEX(商品档案!$B$6:$B$65,MATCH($F298,商品档案!$A$6:$A$65,0)),""))</f>
        <v/>
      </c>
      <c r="H298" s="48" t="str">
        <f aca="false">IF($F298="","",IFERROR(INDEX(商品档案!$C$6:$C$65,MATCH($F298,商品档案!$A$6:$A$65,0)),""))</f>
        <v/>
      </c>
      <c r="I298" s="55" t="str">
        <f aca="false">IF($F298="","",IFERROR(INDEX(商品档案!$D$6:$D$65,MATCH($F298,商品档案!$A$6:$A$65,0)),""))</f>
        <v/>
      </c>
      <c r="J298" s="49"/>
      <c r="K298" s="56"/>
      <c r="L298" s="33"/>
      <c r="M298" s="39"/>
      <c r="N298" s="41"/>
      <c r="O298" s="41"/>
      <c r="P298" s="25" t="str">
        <f aca="false">IF(AND($B298="",$D298="",$F298=""),"",IF(NOT(ISNUMBER($B298)),"日期无效",IF(ISNA(MATCH($C298,参数设置!$A$10:$A$12,0)),"公司无效",IF(ISNA(MATCH($D298,记账规则!$A$6:$A$9,0)),"业务类型无效",IF(ISNA(MATCH($F298,商品档案!$A$6:$A$65,0)),"商品编码无效",IF(IFERROR(INDEX(商品档案!$E$6:$E$65,MATCH($F298,商品档案!$A$6:$A$65,0)),"")&lt;&gt;$C298,"商品不属于该公司",IF(AND($E298&lt;&gt;"",ISNA(MATCH($E298,往来单位!$A$6:$A$85,0))),"往来单位未建档",IF(N($J298)=0,"数量为 0",IF(N($K298)=0,"单价为 0",IF(AND(LEFT($D298,2)="销售",$U298=""),"该商品没设成本科目",IF(YEAR($B298)&lt;&gt;参数设置!$B$5,"不在本会计年度","OK")))))))))))</f>
        <v/>
      </c>
      <c r="Q298" s="57" t="str">
        <f aca="false">IF($F298="","",ROUND(N($J298)*N($K298),2))</f>
        <v/>
      </c>
      <c r="R298" s="58" t="str">
        <f aca="false">IF($D298="","",IF(LEFT($D298,2)="销售","应收账款","应付账款"))</f>
        <v/>
      </c>
      <c r="S298" s="58" t="str">
        <f aca="false">IF($F298="","",IFERROR(INDEX(商品档案!$G$6:$G$65,MATCH($F298,商品档案!$A$6:$A$65,0)),""))</f>
        <v/>
      </c>
      <c r="T298" s="58" t="str">
        <f aca="false">IF($F298="","",IFERROR(INDEX(商品档案!$H$6:$H$65,MATCH($F298,商品档案!$A$6:$A$65,0)),""))</f>
        <v/>
      </c>
      <c r="U298" s="58" t="str">
        <f aca="false">IF($F298="","",IFERROR(INDEX(商品档案!$I$6:$I$65,MATCH($F298,商品档案!$A$6:$A$65,0)),""))</f>
        <v/>
      </c>
      <c r="V298" s="59" t="str">
        <f aca="false">IF($F298="","",SUMIFS(进销存台账!$N$6:$N$65,进销存台账!$A$6:$A$65,$C298,进销存台账!$B$6:$B$65,$F298))</f>
        <v/>
      </c>
      <c r="W298" s="60" t="n">
        <f aca="false">IF(OR($D298="销售出库",$D298="销售退回"),ROUND(N($J298)*N($V298),2),0)</f>
        <v>0</v>
      </c>
      <c r="X298" s="58" t="str">
        <f aca="false">IF($E298="","",IFERROR(INDEX(往来单位!$D$6:$D$85,MATCH($E298,往来单位!$A$6:$A$85,0)),"否"))</f>
        <v/>
      </c>
      <c r="Y298" s="61" t="str">
        <f aca="false">IF($B298="","",YEAR($B298))</f>
        <v/>
      </c>
      <c r="Z298" s="58" t="str">
        <f aca="false">IF($B298="","",TEXT($B298,"yyyy-mm"))</f>
        <v/>
      </c>
    </row>
    <row r="299" customFormat="false" ht="15" hidden="false" customHeight="false" outlineLevel="0" collapsed="false">
      <c r="A299" s="53" t="str">
        <f aca="false">IF($B299="","",ROW()-5)</f>
        <v/>
      </c>
      <c r="B299" s="54"/>
      <c r="C299" s="33"/>
      <c r="D299" s="33"/>
      <c r="E299" s="32"/>
      <c r="F299" s="39"/>
      <c r="G299" s="48" t="str">
        <f aca="false">IF($F299="","",IFERROR(INDEX(商品档案!$B$6:$B$65,MATCH($F299,商品档案!$A$6:$A$65,0)),""))</f>
        <v/>
      </c>
      <c r="H299" s="48" t="str">
        <f aca="false">IF($F299="","",IFERROR(INDEX(商品档案!$C$6:$C$65,MATCH($F299,商品档案!$A$6:$A$65,0)),""))</f>
        <v/>
      </c>
      <c r="I299" s="55" t="str">
        <f aca="false">IF($F299="","",IFERROR(INDEX(商品档案!$D$6:$D$65,MATCH($F299,商品档案!$A$6:$A$65,0)),""))</f>
        <v/>
      </c>
      <c r="J299" s="49"/>
      <c r="K299" s="56"/>
      <c r="L299" s="33"/>
      <c r="M299" s="39"/>
      <c r="N299" s="41"/>
      <c r="O299" s="41"/>
      <c r="P299" s="25" t="str">
        <f aca="false">IF(AND($B299="",$D299="",$F299=""),"",IF(NOT(ISNUMBER($B299)),"日期无效",IF(ISNA(MATCH($C299,参数设置!$A$10:$A$12,0)),"公司无效",IF(ISNA(MATCH($D299,记账规则!$A$6:$A$9,0)),"业务类型无效",IF(ISNA(MATCH($F299,商品档案!$A$6:$A$65,0)),"商品编码无效",IF(IFERROR(INDEX(商品档案!$E$6:$E$65,MATCH($F299,商品档案!$A$6:$A$65,0)),"")&lt;&gt;$C299,"商品不属于该公司",IF(AND($E299&lt;&gt;"",ISNA(MATCH($E299,往来单位!$A$6:$A$85,0))),"往来单位未建档",IF(N($J299)=0,"数量为 0",IF(N($K299)=0,"单价为 0",IF(AND(LEFT($D299,2)="销售",$U299=""),"该商品没设成本科目",IF(YEAR($B299)&lt;&gt;参数设置!$B$5,"不在本会计年度","OK")))))))))))</f>
        <v/>
      </c>
      <c r="Q299" s="57" t="str">
        <f aca="false">IF($F299="","",ROUND(N($J299)*N($K299),2))</f>
        <v/>
      </c>
      <c r="R299" s="58" t="str">
        <f aca="false">IF($D299="","",IF(LEFT($D299,2)="销售","应收账款","应付账款"))</f>
        <v/>
      </c>
      <c r="S299" s="58" t="str">
        <f aca="false">IF($F299="","",IFERROR(INDEX(商品档案!$G$6:$G$65,MATCH($F299,商品档案!$A$6:$A$65,0)),""))</f>
        <v/>
      </c>
      <c r="T299" s="58" t="str">
        <f aca="false">IF($F299="","",IFERROR(INDEX(商品档案!$H$6:$H$65,MATCH($F299,商品档案!$A$6:$A$65,0)),""))</f>
        <v/>
      </c>
      <c r="U299" s="58" t="str">
        <f aca="false">IF($F299="","",IFERROR(INDEX(商品档案!$I$6:$I$65,MATCH($F299,商品档案!$A$6:$A$65,0)),""))</f>
        <v/>
      </c>
      <c r="V299" s="59" t="str">
        <f aca="false">IF($F299="","",SUMIFS(进销存台账!$N$6:$N$65,进销存台账!$A$6:$A$65,$C299,进销存台账!$B$6:$B$65,$F299))</f>
        <v/>
      </c>
      <c r="W299" s="60" t="n">
        <f aca="false">IF(OR($D299="销售出库",$D299="销售退回"),ROUND(N($J299)*N($V299),2),0)</f>
        <v>0</v>
      </c>
      <c r="X299" s="58" t="str">
        <f aca="false">IF($E299="","",IFERROR(INDEX(往来单位!$D$6:$D$85,MATCH($E299,往来单位!$A$6:$A$85,0)),"否"))</f>
        <v/>
      </c>
      <c r="Y299" s="61" t="str">
        <f aca="false">IF($B299="","",YEAR($B299))</f>
        <v/>
      </c>
      <c r="Z299" s="58" t="str">
        <f aca="false">IF($B299="","",TEXT($B299,"yyyy-mm"))</f>
        <v/>
      </c>
    </row>
    <row r="300" customFormat="false" ht="15" hidden="false" customHeight="false" outlineLevel="0" collapsed="false">
      <c r="A300" s="53" t="str">
        <f aca="false">IF($B300="","",ROW()-5)</f>
        <v/>
      </c>
      <c r="B300" s="54"/>
      <c r="C300" s="33"/>
      <c r="D300" s="33"/>
      <c r="E300" s="32"/>
      <c r="F300" s="39"/>
      <c r="G300" s="48" t="str">
        <f aca="false">IF($F300="","",IFERROR(INDEX(商品档案!$B$6:$B$65,MATCH($F300,商品档案!$A$6:$A$65,0)),""))</f>
        <v/>
      </c>
      <c r="H300" s="48" t="str">
        <f aca="false">IF($F300="","",IFERROR(INDEX(商品档案!$C$6:$C$65,MATCH($F300,商品档案!$A$6:$A$65,0)),""))</f>
        <v/>
      </c>
      <c r="I300" s="55" t="str">
        <f aca="false">IF($F300="","",IFERROR(INDEX(商品档案!$D$6:$D$65,MATCH($F300,商品档案!$A$6:$A$65,0)),""))</f>
        <v/>
      </c>
      <c r="J300" s="49"/>
      <c r="K300" s="56"/>
      <c r="L300" s="33"/>
      <c r="M300" s="39"/>
      <c r="N300" s="41"/>
      <c r="O300" s="41"/>
      <c r="P300" s="25" t="str">
        <f aca="false">IF(AND($B300="",$D300="",$F300=""),"",IF(NOT(ISNUMBER($B300)),"日期无效",IF(ISNA(MATCH($C300,参数设置!$A$10:$A$12,0)),"公司无效",IF(ISNA(MATCH($D300,记账规则!$A$6:$A$9,0)),"业务类型无效",IF(ISNA(MATCH($F300,商品档案!$A$6:$A$65,0)),"商品编码无效",IF(IFERROR(INDEX(商品档案!$E$6:$E$65,MATCH($F300,商品档案!$A$6:$A$65,0)),"")&lt;&gt;$C300,"商品不属于该公司",IF(AND($E300&lt;&gt;"",ISNA(MATCH($E300,往来单位!$A$6:$A$85,0))),"往来单位未建档",IF(N($J300)=0,"数量为 0",IF(N($K300)=0,"单价为 0",IF(AND(LEFT($D300,2)="销售",$U300=""),"该商品没设成本科目",IF(YEAR($B300)&lt;&gt;参数设置!$B$5,"不在本会计年度","OK")))))))))))</f>
        <v/>
      </c>
      <c r="Q300" s="57" t="str">
        <f aca="false">IF($F300="","",ROUND(N($J300)*N($K300),2))</f>
        <v/>
      </c>
      <c r="R300" s="58" t="str">
        <f aca="false">IF($D300="","",IF(LEFT($D300,2)="销售","应收账款","应付账款"))</f>
        <v/>
      </c>
      <c r="S300" s="58" t="str">
        <f aca="false">IF($F300="","",IFERROR(INDEX(商品档案!$G$6:$G$65,MATCH($F300,商品档案!$A$6:$A$65,0)),""))</f>
        <v/>
      </c>
      <c r="T300" s="58" t="str">
        <f aca="false">IF($F300="","",IFERROR(INDEX(商品档案!$H$6:$H$65,MATCH($F300,商品档案!$A$6:$A$65,0)),""))</f>
        <v/>
      </c>
      <c r="U300" s="58" t="str">
        <f aca="false">IF($F300="","",IFERROR(INDEX(商品档案!$I$6:$I$65,MATCH($F300,商品档案!$A$6:$A$65,0)),""))</f>
        <v/>
      </c>
      <c r="V300" s="59" t="str">
        <f aca="false">IF($F300="","",SUMIFS(进销存台账!$N$6:$N$65,进销存台账!$A$6:$A$65,$C300,进销存台账!$B$6:$B$65,$F300))</f>
        <v/>
      </c>
      <c r="W300" s="60" t="n">
        <f aca="false">IF(OR($D300="销售出库",$D300="销售退回"),ROUND(N($J300)*N($V300),2),0)</f>
        <v>0</v>
      </c>
      <c r="X300" s="58" t="str">
        <f aca="false">IF($E300="","",IFERROR(INDEX(往来单位!$D$6:$D$85,MATCH($E300,往来单位!$A$6:$A$85,0)),"否"))</f>
        <v/>
      </c>
      <c r="Y300" s="61" t="str">
        <f aca="false">IF($B300="","",YEAR($B300))</f>
        <v/>
      </c>
      <c r="Z300" s="58" t="str">
        <f aca="false">IF($B300="","",TEXT($B300,"yyyy-mm"))</f>
        <v/>
      </c>
    </row>
    <row r="301" customFormat="false" ht="15" hidden="false" customHeight="false" outlineLevel="0" collapsed="false">
      <c r="A301" s="53" t="str">
        <f aca="false">IF($B301="","",ROW()-5)</f>
        <v/>
      </c>
      <c r="B301" s="54"/>
      <c r="C301" s="33"/>
      <c r="D301" s="33"/>
      <c r="E301" s="32"/>
      <c r="F301" s="39"/>
      <c r="G301" s="48" t="str">
        <f aca="false">IF($F301="","",IFERROR(INDEX(商品档案!$B$6:$B$65,MATCH($F301,商品档案!$A$6:$A$65,0)),""))</f>
        <v/>
      </c>
      <c r="H301" s="48" t="str">
        <f aca="false">IF($F301="","",IFERROR(INDEX(商品档案!$C$6:$C$65,MATCH($F301,商品档案!$A$6:$A$65,0)),""))</f>
        <v/>
      </c>
      <c r="I301" s="55" t="str">
        <f aca="false">IF($F301="","",IFERROR(INDEX(商品档案!$D$6:$D$65,MATCH($F301,商品档案!$A$6:$A$65,0)),""))</f>
        <v/>
      </c>
      <c r="J301" s="49"/>
      <c r="K301" s="56"/>
      <c r="L301" s="33"/>
      <c r="M301" s="39"/>
      <c r="N301" s="41"/>
      <c r="O301" s="41"/>
      <c r="P301" s="25" t="str">
        <f aca="false">IF(AND($B301="",$D301="",$F301=""),"",IF(NOT(ISNUMBER($B301)),"日期无效",IF(ISNA(MATCH($C301,参数设置!$A$10:$A$12,0)),"公司无效",IF(ISNA(MATCH($D301,记账规则!$A$6:$A$9,0)),"业务类型无效",IF(ISNA(MATCH($F301,商品档案!$A$6:$A$65,0)),"商品编码无效",IF(IFERROR(INDEX(商品档案!$E$6:$E$65,MATCH($F301,商品档案!$A$6:$A$65,0)),"")&lt;&gt;$C301,"商品不属于该公司",IF(AND($E301&lt;&gt;"",ISNA(MATCH($E301,往来单位!$A$6:$A$85,0))),"往来单位未建档",IF(N($J301)=0,"数量为 0",IF(N($K301)=0,"单价为 0",IF(AND(LEFT($D301,2)="销售",$U301=""),"该商品没设成本科目",IF(YEAR($B301)&lt;&gt;参数设置!$B$5,"不在本会计年度","OK")))))))))))</f>
        <v/>
      </c>
      <c r="Q301" s="57" t="str">
        <f aca="false">IF($F301="","",ROUND(N($J301)*N($K301),2))</f>
        <v/>
      </c>
      <c r="R301" s="58" t="str">
        <f aca="false">IF($D301="","",IF(LEFT($D301,2)="销售","应收账款","应付账款"))</f>
        <v/>
      </c>
      <c r="S301" s="58" t="str">
        <f aca="false">IF($F301="","",IFERROR(INDEX(商品档案!$G$6:$G$65,MATCH($F301,商品档案!$A$6:$A$65,0)),""))</f>
        <v/>
      </c>
      <c r="T301" s="58" t="str">
        <f aca="false">IF($F301="","",IFERROR(INDEX(商品档案!$H$6:$H$65,MATCH($F301,商品档案!$A$6:$A$65,0)),""))</f>
        <v/>
      </c>
      <c r="U301" s="58" t="str">
        <f aca="false">IF($F301="","",IFERROR(INDEX(商品档案!$I$6:$I$65,MATCH($F301,商品档案!$A$6:$A$65,0)),""))</f>
        <v/>
      </c>
      <c r="V301" s="59" t="str">
        <f aca="false">IF($F301="","",SUMIFS(进销存台账!$N$6:$N$65,进销存台账!$A$6:$A$65,$C301,进销存台账!$B$6:$B$65,$F301))</f>
        <v/>
      </c>
      <c r="W301" s="60" t="n">
        <f aca="false">IF(OR($D301="销售出库",$D301="销售退回"),ROUND(N($J301)*N($V301),2),0)</f>
        <v>0</v>
      </c>
      <c r="X301" s="58" t="str">
        <f aca="false">IF($E301="","",IFERROR(INDEX(往来单位!$D$6:$D$85,MATCH($E301,往来单位!$A$6:$A$85,0)),"否"))</f>
        <v/>
      </c>
      <c r="Y301" s="61" t="str">
        <f aca="false">IF($B301="","",YEAR($B301))</f>
        <v/>
      </c>
      <c r="Z301" s="58" t="str">
        <f aca="false">IF($B301="","",TEXT($B301,"yyyy-mm"))</f>
        <v/>
      </c>
    </row>
    <row r="302" customFormat="false" ht="15" hidden="false" customHeight="false" outlineLevel="0" collapsed="false">
      <c r="A302" s="53" t="str">
        <f aca="false">IF($B302="","",ROW()-5)</f>
        <v/>
      </c>
      <c r="B302" s="54"/>
      <c r="C302" s="33"/>
      <c r="D302" s="33"/>
      <c r="E302" s="32"/>
      <c r="F302" s="39"/>
      <c r="G302" s="48" t="str">
        <f aca="false">IF($F302="","",IFERROR(INDEX(商品档案!$B$6:$B$65,MATCH($F302,商品档案!$A$6:$A$65,0)),""))</f>
        <v/>
      </c>
      <c r="H302" s="48" t="str">
        <f aca="false">IF($F302="","",IFERROR(INDEX(商品档案!$C$6:$C$65,MATCH($F302,商品档案!$A$6:$A$65,0)),""))</f>
        <v/>
      </c>
      <c r="I302" s="55" t="str">
        <f aca="false">IF($F302="","",IFERROR(INDEX(商品档案!$D$6:$D$65,MATCH($F302,商品档案!$A$6:$A$65,0)),""))</f>
        <v/>
      </c>
      <c r="J302" s="49"/>
      <c r="K302" s="56"/>
      <c r="L302" s="33"/>
      <c r="M302" s="39"/>
      <c r="N302" s="41"/>
      <c r="O302" s="41"/>
      <c r="P302" s="25" t="str">
        <f aca="false">IF(AND($B302="",$D302="",$F302=""),"",IF(NOT(ISNUMBER($B302)),"日期无效",IF(ISNA(MATCH($C302,参数设置!$A$10:$A$12,0)),"公司无效",IF(ISNA(MATCH($D302,记账规则!$A$6:$A$9,0)),"业务类型无效",IF(ISNA(MATCH($F302,商品档案!$A$6:$A$65,0)),"商品编码无效",IF(IFERROR(INDEX(商品档案!$E$6:$E$65,MATCH($F302,商品档案!$A$6:$A$65,0)),"")&lt;&gt;$C302,"商品不属于该公司",IF(AND($E302&lt;&gt;"",ISNA(MATCH($E302,往来单位!$A$6:$A$85,0))),"往来单位未建档",IF(N($J302)=0,"数量为 0",IF(N($K302)=0,"单价为 0",IF(AND(LEFT($D302,2)="销售",$U302=""),"该商品没设成本科目",IF(YEAR($B302)&lt;&gt;参数设置!$B$5,"不在本会计年度","OK")))))))))))</f>
        <v/>
      </c>
      <c r="Q302" s="57" t="str">
        <f aca="false">IF($F302="","",ROUND(N($J302)*N($K302),2))</f>
        <v/>
      </c>
      <c r="R302" s="58" t="str">
        <f aca="false">IF($D302="","",IF(LEFT($D302,2)="销售","应收账款","应付账款"))</f>
        <v/>
      </c>
      <c r="S302" s="58" t="str">
        <f aca="false">IF($F302="","",IFERROR(INDEX(商品档案!$G$6:$G$65,MATCH($F302,商品档案!$A$6:$A$65,0)),""))</f>
        <v/>
      </c>
      <c r="T302" s="58" t="str">
        <f aca="false">IF($F302="","",IFERROR(INDEX(商品档案!$H$6:$H$65,MATCH($F302,商品档案!$A$6:$A$65,0)),""))</f>
        <v/>
      </c>
      <c r="U302" s="58" t="str">
        <f aca="false">IF($F302="","",IFERROR(INDEX(商品档案!$I$6:$I$65,MATCH($F302,商品档案!$A$6:$A$65,0)),""))</f>
        <v/>
      </c>
      <c r="V302" s="59" t="str">
        <f aca="false">IF($F302="","",SUMIFS(进销存台账!$N$6:$N$65,进销存台账!$A$6:$A$65,$C302,进销存台账!$B$6:$B$65,$F302))</f>
        <v/>
      </c>
      <c r="W302" s="60" t="n">
        <f aca="false">IF(OR($D302="销售出库",$D302="销售退回"),ROUND(N($J302)*N($V302),2),0)</f>
        <v>0</v>
      </c>
      <c r="X302" s="58" t="str">
        <f aca="false">IF($E302="","",IFERROR(INDEX(往来单位!$D$6:$D$85,MATCH($E302,往来单位!$A$6:$A$85,0)),"否"))</f>
        <v/>
      </c>
      <c r="Y302" s="61" t="str">
        <f aca="false">IF($B302="","",YEAR($B302))</f>
        <v/>
      </c>
      <c r="Z302" s="58" t="str">
        <f aca="false">IF($B302="","",TEXT($B302,"yyyy-mm"))</f>
        <v/>
      </c>
    </row>
    <row r="303" customFormat="false" ht="15" hidden="false" customHeight="false" outlineLevel="0" collapsed="false">
      <c r="A303" s="53" t="str">
        <f aca="false">IF($B303="","",ROW()-5)</f>
        <v/>
      </c>
      <c r="B303" s="54"/>
      <c r="C303" s="33"/>
      <c r="D303" s="33"/>
      <c r="E303" s="32"/>
      <c r="F303" s="39"/>
      <c r="G303" s="48" t="str">
        <f aca="false">IF($F303="","",IFERROR(INDEX(商品档案!$B$6:$B$65,MATCH($F303,商品档案!$A$6:$A$65,0)),""))</f>
        <v/>
      </c>
      <c r="H303" s="48" t="str">
        <f aca="false">IF($F303="","",IFERROR(INDEX(商品档案!$C$6:$C$65,MATCH($F303,商品档案!$A$6:$A$65,0)),""))</f>
        <v/>
      </c>
      <c r="I303" s="55" t="str">
        <f aca="false">IF($F303="","",IFERROR(INDEX(商品档案!$D$6:$D$65,MATCH($F303,商品档案!$A$6:$A$65,0)),""))</f>
        <v/>
      </c>
      <c r="J303" s="49"/>
      <c r="K303" s="56"/>
      <c r="L303" s="33"/>
      <c r="M303" s="39"/>
      <c r="N303" s="41"/>
      <c r="O303" s="41"/>
      <c r="P303" s="25" t="str">
        <f aca="false">IF(AND($B303="",$D303="",$F303=""),"",IF(NOT(ISNUMBER($B303)),"日期无效",IF(ISNA(MATCH($C303,参数设置!$A$10:$A$12,0)),"公司无效",IF(ISNA(MATCH($D303,记账规则!$A$6:$A$9,0)),"业务类型无效",IF(ISNA(MATCH($F303,商品档案!$A$6:$A$65,0)),"商品编码无效",IF(IFERROR(INDEX(商品档案!$E$6:$E$65,MATCH($F303,商品档案!$A$6:$A$65,0)),"")&lt;&gt;$C303,"商品不属于该公司",IF(AND($E303&lt;&gt;"",ISNA(MATCH($E303,往来单位!$A$6:$A$85,0))),"往来单位未建档",IF(N($J303)=0,"数量为 0",IF(N($K303)=0,"单价为 0",IF(AND(LEFT($D303,2)="销售",$U303=""),"该商品没设成本科目",IF(YEAR($B303)&lt;&gt;参数设置!$B$5,"不在本会计年度","OK")))))))))))</f>
        <v/>
      </c>
      <c r="Q303" s="57" t="str">
        <f aca="false">IF($F303="","",ROUND(N($J303)*N($K303),2))</f>
        <v/>
      </c>
      <c r="R303" s="58" t="str">
        <f aca="false">IF($D303="","",IF(LEFT($D303,2)="销售","应收账款","应付账款"))</f>
        <v/>
      </c>
      <c r="S303" s="58" t="str">
        <f aca="false">IF($F303="","",IFERROR(INDEX(商品档案!$G$6:$G$65,MATCH($F303,商品档案!$A$6:$A$65,0)),""))</f>
        <v/>
      </c>
      <c r="T303" s="58" t="str">
        <f aca="false">IF($F303="","",IFERROR(INDEX(商品档案!$H$6:$H$65,MATCH($F303,商品档案!$A$6:$A$65,0)),""))</f>
        <v/>
      </c>
      <c r="U303" s="58" t="str">
        <f aca="false">IF($F303="","",IFERROR(INDEX(商品档案!$I$6:$I$65,MATCH($F303,商品档案!$A$6:$A$65,0)),""))</f>
        <v/>
      </c>
      <c r="V303" s="59" t="str">
        <f aca="false">IF($F303="","",SUMIFS(进销存台账!$N$6:$N$65,进销存台账!$A$6:$A$65,$C303,进销存台账!$B$6:$B$65,$F303))</f>
        <v/>
      </c>
      <c r="W303" s="60" t="n">
        <f aca="false">IF(OR($D303="销售出库",$D303="销售退回"),ROUND(N($J303)*N($V303),2),0)</f>
        <v>0</v>
      </c>
      <c r="X303" s="58" t="str">
        <f aca="false">IF($E303="","",IFERROR(INDEX(往来单位!$D$6:$D$85,MATCH($E303,往来单位!$A$6:$A$85,0)),"否"))</f>
        <v/>
      </c>
      <c r="Y303" s="61" t="str">
        <f aca="false">IF($B303="","",YEAR($B303))</f>
        <v/>
      </c>
      <c r="Z303" s="58" t="str">
        <f aca="false">IF($B303="","",TEXT($B303,"yyyy-mm"))</f>
        <v/>
      </c>
    </row>
    <row r="304" customFormat="false" ht="15" hidden="false" customHeight="false" outlineLevel="0" collapsed="false">
      <c r="A304" s="53" t="str">
        <f aca="false">IF($B304="","",ROW()-5)</f>
        <v/>
      </c>
      <c r="B304" s="54"/>
      <c r="C304" s="33"/>
      <c r="D304" s="33"/>
      <c r="E304" s="32"/>
      <c r="F304" s="39"/>
      <c r="G304" s="48" t="str">
        <f aca="false">IF($F304="","",IFERROR(INDEX(商品档案!$B$6:$B$65,MATCH($F304,商品档案!$A$6:$A$65,0)),""))</f>
        <v/>
      </c>
      <c r="H304" s="48" t="str">
        <f aca="false">IF($F304="","",IFERROR(INDEX(商品档案!$C$6:$C$65,MATCH($F304,商品档案!$A$6:$A$65,0)),""))</f>
        <v/>
      </c>
      <c r="I304" s="55" t="str">
        <f aca="false">IF($F304="","",IFERROR(INDEX(商品档案!$D$6:$D$65,MATCH($F304,商品档案!$A$6:$A$65,0)),""))</f>
        <v/>
      </c>
      <c r="J304" s="49"/>
      <c r="K304" s="56"/>
      <c r="L304" s="33"/>
      <c r="M304" s="39"/>
      <c r="N304" s="41"/>
      <c r="O304" s="41"/>
      <c r="P304" s="25" t="str">
        <f aca="false">IF(AND($B304="",$D304="",$F304=""),"",IF(NOT(ISNUMBER($B304)),"日期无效",IF(ISNA(MATCH($C304,参数设置!$A$10:$A$12,0)),"公司无效",IF(ISNA(MATCH($D304,记账规则!$A$6:$A$9,0)),"业务类型无效",IF(ISNA(MATCH($F304,商品档案!$A$6:$A$65,0)),"商品编码无效",IF(IFERROR(INDEX(商品档案!$E$6:$E$65,MATCH($F304,商品档案!$A$6:$A$65,0)),"")&lt;&gt;$C304,"商品不属于该公司",IF(AND($E304&lt;&gt;"",ISNA(MATCH($E304,往来单位!$A$6:$A$85,0))),"往来单位未建档",IF(N($J304)=0,"数量为 0",IF(N($K304)=0,"单价为 0",IF(AND(LEFT($D304,2)="销售",$U304=""),"该商品没设成本科目",IF(YEAR($B304)&lt;&gt;参数设置!$B$5,"不在本会计年度","OK")))))))))))</f>
        <v/>
      </c>
      <c r="Q304" s="57" t="str">
        <f aca="false">IF($F304="","",ROUND(N($J304)*N($K304),2))</f>
        <v/>
      </c>
      <c r="R304" s="58" t="str">
        <f aca="false">IF($D304="","",IF(LEFT($D304,2)="销售","应收账款","应付账款"))</f>
        <v/>
      </c>
      <c r="S304" s="58" t="str">
        <f aca="false">IF($F304="","",IFERROR(INDEX(商品档案!$G$6:$G$65,MATCH($F304,商品档案!$A$6:$A$65,0)),""))</f>
        <v/>
      </c>
      <c r="T304" s="58" t="str">
        <f aca="false">IF($F304="","",IFERROR(INDEX(商品档案!$H$6:$H$65,MATCH($F304,商品档案!$A$6:$A$65,0)),""))</f>
        <v/>
      </c>
      <c r="U304" s="58" t="str">
        <f aca="false">IF($F304="","",IFERROR(INDEX(商品档案!$I$6:$I$65,MATCH($F304,商品档案!$A$6:$A$65,0)),""))</f>
        <v/>
      </c>
      <c r="V304" s="59" t="str">
        <f aca="false">IF($F304="","",SUMIFS(进销存台账!$N$6:$N$65,进销存台账!$A$6:$A$65,$C304,进销存台账!$B$6:$B$65,$F304))</f>
        <v/>
      </c>
      <c r="W304" s="60" t="n">
        <f aca="false">IF(OR($D304="销售出库",$D304="销售退回"),ROUND(N($J304)*N($V304),2),0)</f>
        <v>0</v>
      </c>
      <c r="X304" s="58" t="str">
        <f aca="false">IF($E304="","",IFERROR(INDEX(往来单位!$D$6:$D$85,MATCH($E304,往来单位!$A$6:$A$85,0)),"否"))</f>
        <v/>
      </c>
      <c r="Y304" s="61" t="str">
        <f aca="false">IF($B304="","",YEAR($B304))</f>
        <v/>
      </c>
      <c r="Z304" s="58" t="str">
        <f aca="false">IF($B304="","",TEXT($B304,"yyyy-mm"))</f>
        <v/>
      </c>
    </row>
    <row r="305" customFormat="false" ht="15" hidden="false" customHeight="false" outlineLevel="0" collapsed="false">
      <c r="A305" s="53" t="str">
        <f aca="false">IF($B305="","",ROW()-5)</f>
        <v/>
      </c>
      <c r="B305" s="54"/>
      <c r="C305" s="33"/>
      <c r="D305" s="33"/>
      <c r="E305" s="32"/>
      <c r="F305" s="39"/>
      <c r="G305" s="48" t="str">
        <f aca="false">IF($F305="","",IFERROR(INDEX(商品档案!$B$6:$B$65,MATCH($F305,商品档案!$A$6:$A$65,0)),""))</f>
        <v/>
      </c>
      <c r="H305" s="48" t="str">
        <f aca="false">IF($F305="","",IFERROR(INDEX(商品档案!$C$6:$C$65,MATCH($F305,商品档案!$A$6:$A$65,0)),""))</f>
        <v/>
      </c>
      <c r="I305" s="55" t="str">
        <f aca="false">IF($F305="","",IFERROR(INDEX(商品档案!$D$6:$D$65,MATCH($F305,商品档案!$A$6:$A$65,0)),""))</f>
        <v/>
      </c>
      <c r="J305" s="49"/>
      <c r="K305" s="56"/>
      <c r="L305" s="33"/>
      <c r="M305" s="39"/>
      <c r="N305" s="41"/>
      <c r="O305" s="41"/>
      <c r="P305" s="25" t="str">
        <f aca="false">IF(AND($B305="",$D305="",$F305=""),"",IF(NOT(ISNUMBER($B305)),"日期无效",IF(ISNA(MATCH($C305,参数设置!$A$10:$A$12,0)),"公司无效",IF(ISNA(MATCH($D305,记账规则!$A$6:$A$9,0)),"业务类型无效",IF(ISNA(MATCH($F305,商品档案!$A$6:$A$65,0)),"商品编码无效",IF(IFERROR(INDEX(商品档案!$E$6:$E$65,MATCH($F305,商品档案!$A$6:$A$65,0)),"")&lt;&gt;$C305,"商品不属于该公司",IF(AND($E305&lt;&gt;"",ISNA(MATCH($E305,往来单位!$A$6:$A$85,0))),"往来单位未建档",IF(N($J305)=0,"数量为 0",IF(N($K305)=0,"单价为 0",IF(AND(LEFT($D305,2)="销售",$U305=""),"该商品没设成本科目",IF(YEAR($B305)&lt;&gt;参数设置!$B$5,"不在本会计年度","OK")))))))))))</f>
        <v/>
      </c>
      <c r="Q305" s="57" t="str">
        <f aca="false">IF($F305="","",ROUND(N($J305)*N($K305),2))</f>
        <v/>
      </c>
      <c r="R305" s="58" t="str">
        <f aca="false">IF($D305="","",IF(LEFT($D305,2)="销售","应收账款","应付账款"))</f>
        <v/>
      </c>
      <c r="S305" s="58" t="str">
        <f aca="false">IF($F305="","",IFERROR(INDEX(商品档案!$G$6:$G$65,MATCH($F305,商品档案!$A$6:$A$65,0)),""))</f>
        <v/>
      </c>
      <c r="T305" s="58" t="str">
        <f aca="false">IF($F305="","",IFERROR(INDEX(商品档案!$H$6:$H$65,MATCH($F305,商品档案!$A$6:$A$65,0)),""))</f>
        <v/>
      </c>
      <c r="U305" s="58" t="str">
        <f aca="false">IF($F305="","",IFERROR(INDEX(商品档案!$I$6:$I$65,MATCH($F305,商品档案!$A$6:$A$65,0)),""))</f>
        <v/>
      </c>
      <c r="V305" s="59" t="str">
        <f aca="false">IF($F305="","",SUMIFS(进销存台账!$N$6:$N$65,进销存台账!$A$6:$A$65,$C305,进销存台账!$B$6:$B$65,$F305))</f>
        <v/>
      </c>
      <c r="W305" s="60" t="n">
        <f aca="false">IF(OR($D305="销售出库",$D305="销售退回"),ROUND(N($J305)*N($V305),2),0)</f>
        <v>0</v>
      </c>
      <c r="X305" s="58" t="str">
        <f aca="false">IF($E305="","",IFERROR(INDEX(往来单位!$D$6:$D$85,MATCH($E305,往来单位!$A$6:$A$85,0)),"否"))</f>
        <v/>
      </c>
      <c r="Y305" s="61" t="str">
        <f aca="false">IF($B305="","",YEAR($B305))</f>
        <v/>
      </c>
      <c r="Z305" s="58" t="str">
        <f aca="false">IF($B305="","",TEXT($B305,"yyyy-mm"))</f>
        <v/>
      </c>
    </row>
    <row r="306" customFormat="false" ht="15" hidden="false" customHeight="false" outlineLevel="0" collapsed="false">
      <c r="A306" s="53" t="str">
        <f aca="false">IF($B306="","",ROW()-5)</f>
        <v/>
      </c>
      <c r="B306" s="54"/>
      <c r="C306" s="33"/>
      <c r="D306" s="33"/>
      <c r="E306" s="32"/>
      <c r="F306" s="39"/>
      <c r="G306" s="48" t="str">
        <f aca="false">IF($F306="","",IFERROR(INDEX(商品档案!$B$6:$B$65,MATCH($F306,商品档案!$A$6:$A$65,0)),""))</f>
        <v/>
      </c>
      <c r="H306" s="48" t="str">
        <f aca="false">IF($F306="","",IFERROR(INDEX(商品档案!$C$6:$C$65,MATCH($F306,商品档案!$A$6:$A$65,0)),""))</f>
        <v/>
      </c>
      <c r="I306" s="55" t="str">
        <f aca="false">IF($F306="","",IFERROR(INDEX(商品档案!$D$6:$D$65,MATCH($F306,商品档案!$A$6:$A$65,0)),""))</f>
        <v/>
      </c>
      <c r="J306" s="49"/>
      <c r="K306" s="56"/>
      <c r="L306" s="33"/>
      <c r="M306" s="39"/>
      <c r="N306" s="41"/>
      <c r="O306" s="41"/>
      <c r="P306" s="25" t="str">
        <f aca="false">IF(AND($B306="",$D306="",$F306=""),"",IF(NOT(ISNUMBER($B306)),"日期无效",IF(ISNA(MATCH($C306,参数设置!$A$10:$A$12,0)),"公司无效",IF(ISNA(MATCH($D306,记账规则!$A$6:$A$9,0)),"业务类型无效",IF(ISNA(MATCH($F306,商品档案!$A$6:$A$65,0)),"商品编码无效",IF(IFERROR(INDEX(商品档案!$E$6:$E$65,MATCH($F306,商品档案!$A$6:$A$65,0)),"")&lt;&gt;$C306,"商品不属于该公司",IF(AND($E306&lt;&gt;"",ISNA(MATCH($E306,往来单位!$A$6:$A$85,0))),"往来单位未建档",IF(N($J306)=0,"数量为 0",IF(N($K306)=0,"单价为 0",IF(AND(LEFT($D306,2)="销售",$U306=""),"该商品没设成本科目",IF(YEAR($B306)&lt;&gt;参数设置!$B$5,"不在本会计年度","OK")))))))))))</f>
        <v/>
      </c>
      <c r="Q306" s="57" t="str">
        <f aca="false">IF($F306="","",ROUND(N($J306)*N($K306),2))</f>
        <v/>
      </c>
      <c r="R306" s="58" t="str">
        <f aca="false">IF($D306="","",IF(LEFT($D306,2)="销售","应收账款","应付账款"))</f>
        <v/>
      </c>
      <c r="S306" s="58" t="str">
        <f aca="false">IF($F306="","",IFERROR(INDEX(商品档案!$G$6:$G$65,MATCH($F306,商品档案!$A$6:$A$65,0)),""))</f>
        <v/>
      </c>
      <c r="T306" s="58" t="str">
        <f aca="false">IF($F306="","",IFERROR(INDEX(商品档案!$H$6:$H$65,MATCH($F306,商品档案!$A$6:$A$65,0)),""))</f>
        <v/>
      </c>
      <c r="U306" s="58" t="str">
        <f aca="false">IF($F306="","",IFERROR(INDEX(商品档案!$I$6:$I$65,MATCH($F306,商品档案!$A$6:$A$65,0)),""))</f>
        <v/>
      </c>
      <c r="V306" s="59" t="str">
        <f aca="false">IF($F306="","",SUMIFS(进销存台账!$N$6:$N$65,进销存台账!$A$6:$A$65,$C306,进销存台账!$B$6:$B$65,$F306))</f>
        <v/>
      </c>
      <c r="W306" s="60" t="n">
        <f aca="false">IF(OR($D306="销售出库",$D306="销售退回"),ROUND(N($J306)*N($V306),2),0)</f>
        <v>0</v>
      </c>
      <c r="X306" s="58" t="str">
        <f aca="false">IF($E306="","",IFERROR(INDEX(往来单位!$D$6:$D$85,MATCH($E306,往来单位!$A$6:$A$85,0)),"否"))</f>
        <v/>
      </c>
      <c r="Y306" s="61" t="str">
        <f aca="false">IF($B306="","",YEAR($B306))</f>
        <v/>
      </c>
      <c r="Z306" s="58" t="str">
        <f aca="false">IF($B306="","",TEXT($B306,"yyyy-mm"))</f>
        <v/>
      </c>
    </row>
    <row r="307" customFormat="false" ht="15" hidden="false" customHeight="false" outlineLevel="0" collapsed="false">
      <c r="A307" s="53" t="str">
        <f aca="false">IF($B307="","",ROW()-5)</f>
        <v/>
      </c>
      <c r="B307" s="54"/>
      <c r="C307" s="33"/>
      <c r="D307" s="33"/>
      <c r="E307" s="32"/>
      <c r="F307" s="39"/>
      <c r="G307" s="48" t="str">
        <f aca="false">IF($F307="","",IFERROR(INDEX(商品档案!$B$6:$B$65,MATCH($F307,商品档案!$A$6:$A$65,0)),""))</f>
        <v/>
      </c>
      <c r="H307" s="48" t="str">
        <f aca="false">IF($F307="","",IFERROR(INDEX(商品档案!$C$6:$C$65,MATCH($F307,商品档案!$A$6:$A$65,0)),""))</f>
        <v/>
      </c>
      <c r="I307" s="55" t="str">
        <f aca="false">IF($F307="","",IFERROR(INDEX(商品档案!$D$6:$D$65,MATCH($F307,商品档案!$A$6:$A$65,0)),""))</f>
        <v/>
      </c>
      <c r="J307" s="49"/>
      <c r="K307" s="56"/>
      <c r="L307" s="33"/>
      <c r="M307" s="39"/>
      <c r="N307" s="41"/>
      <c r="O307" s="41"/>
      <c r="P307" s="25" t="str">
        <f aca="false">IF(AND($B307="",$D307="",$F307=""),"",IF(NOT(ISNUMBER($B307)),"日期无效",IF(ISNA(MATCH($C307,参数设置!$A$10:$A$12,0)),"公司无效",IF(ISNA(MATCH($D307,记账规则!$A$6:$A$9,0)),"业务类型无效",IF(ISNA(MATCH($F307,商品档案!$A$6:$A$65,0)),"商品编码无效",IF(IFERROR(INDEX(商品档案!$E$6:$E$65,MATCH($F307,商品档案!$A$6:$A$65,0)),"")&lt;&gt;$C307,"商品不属于该公司",IF(AND($E307&lt;&gt;"",ISNA(MATCH($E307,往来单位!$A$6:$A$85,0))),"往来单位未建档",IF(N($J307)=0,"数量为 0",IF(N($K307)=0,"单价为 0",IF(AND(LEFT($D307,2)="销售",$U307=""),"该商品没设成本科目",IF(YEAR($B307)&lt;&gt;参数设置!$B$5,"不在本会计年度","OK")))))))))))</f>
        <v/>
      </c>
      <c r="Q307" s="57" t="str">
        <f aca="false">IF($F307="","",ROUND(N($J307)*N($K307),2))</f>
        <v/>
      </c>
      <c r="R307" s="58" t="str">
        <f aca="false">IF($D307="","",IF(LEFT($D307,2)="销售","应收账款","应付账款"))</f>
        <v/>
      </c>
      <c r="S307" s="58" t="str">
        <f aca="false">IF($F307="","",IFERROR(INDEX(商品档案!$G$6:$G$65,MATCH($F307,商品档案!$A$6:$A$65,0)),""))</f>
        <v/>
      </c>
      <c r="T307" s="58" t="str">
        <f aca="false">IF($F307="","",IFERROR(INDEX(商品档案!$H$6:$H$65,MATCH($F307,商品档案!$A$6:$A$65,0)),""))</f>
        <v/>
      </c>
      <c r="U307" s="58" t="str">
        <f aca="false">IF($F307="","",IFERROR(INDEX(商品档案!$I$6:$I$65,MATCH($F307,商品档案!$A$6:$A$65,0)),""))</f>
        <v/>
      </c>
      <c r="V307" s="59" t="str">
        <f aca="false">IF($F307="","",SUMIFS(进销存台账!$N$6:$N$65,进销存台账!$A$6:$A$65,$C307,进销存台账!$B$6:$B$65,$F307))</f>
        <v/>
      </c>
      <c r="W307" s="60" t="n">
        <f aca="false">IF(OR($D307="销售出库",$D307="销售退回"),ROUND(N($J307)*N($V307),2),0)</f>
        <v>0</v>
      </c>
      <c r="X307" s="58" t="str">
        <f aca="false">IF($E307="","",IFERROR(INDEX(往来单位!$D$6:$D$85,MATCH($E307,往来单位!$A$6:$A$85,0)),"否"))</f>
        <v/>
      </c>
      <c r="Y307" s="61" t="str">
        <f aca="false">IF($B307="","",YEAR($B307))</f>
        <v/>
      </c>
      <c r="Z307" s="58" t="str">
        <f aca="false">IF($B307="","",TEXT($B307,"yyyy-mm"))</f>
        <v/>
      </c>
    </row>
    <row r="308" customFormat="false" ht="15" hidden="false" customHeight="false" outlineLevel="0" collapsed="false">
      <c r="A308" s="53" t="str">
        <f aca="false">IF($B308="","",ROW()-5)</f>
        <v/>
      </c>
      <c r="B308" s="54"/>
      <c r="C308" s="33"/>
      <c r="D308" s="33"/>
      <c r="E308" s="32"/>
      <c r="F308" s="39"/>
      <c r="G308" s="48" t="str">
        <f aca="false">IF($F308="","",IFERROR(INDEX(商品档案!$B$6:$B$65,MATCH($F308,商品档案!$A$6:$A$65,0)),""))</f>
        <v/>
      </c>
      <c r="H308" s="48" t="str">
        <f aca="false">IF($F308="","",IFERROR(INDEX(商品档案!$C$6:$C$65,MATCH($F308,商品档案!$A$6:$A$65,0)),""))</f>
        <v/>
      </c>
      <c r="I308" s="55" t="str">
        <f aca="false">IF($F308="","",IFERROR(INDEX(商品档案!$D$6:$D$65,MATCH($F308,商品档案!$A$6:$A$65,0)),""))</f>
        <v/>
      </c>
      <c r="J308" s="49"/>
      <c r="K308" s="56"/>
      <c r="L308" s="33"/>
      <c r="M308" s="39"/>
      <c r="N308" s="41"/>
      <c r="O308" s="41"/>
      <c r="P308" s="25" t="str">
        <f aca="false">IF(AND($B308="",$D308="",$F308=""),"",IF(NOT(ISNUMBER($B308)),"日期无效",IF(ISNA(MATCH($C308,参数设置!$A$10:$A$12,0)),"公司无效",IF(ISNA(MATCH($D308,记账规则!$A$6:$A$9,0)),"业务类型无效",IF(ISNA(MATCH($F308,商品档案!$A$6:$A$65,0)),"商品编码无效",IF(IFERROR(INDEX(商品档案!$E$6:$E$65,MATCH($F308,商品档案!$A$6:$A$65,0)),"")&lt;&gt;$C308,"商品不属于该公司",IF(AND($E308&lt;&gt;"",ISNA(MATCH($E308,往来单位!$A$6:$A$85,0))),"往来单位未建档",IF(N($J308)=0,"数量为 0",IF(N($K308)=0,"单价为 0",IF(AND(LEFT($D308,2)="销售",$U308=""),"该商品没设成本科目",IF(YEAR($B308)&lt;&gt;参数设置!$B$5,"不在本会计年度","OK")))))))))))</f>
        <v/>
      </c>
      <c r="Q308" s="57" t="str">
        <f aca="false">IF($F308="","",ROUND(N($J308)*N($K308),2))</f>
        <v/>
      </c>
      <c r="R308" s="58" t="str">
        <f aca="false">IF($D308="","",IF(LEFT($D308,2)="销售","应收账款","应付账款"))</f>
        <v/>
      </c>
      <c r="S308" s="58" t="str">
        <f aca="false">IF($F308="","",IFERROR(INDEX(商品档案!$G$6:$G$65,MATCH($F308,商品档案!$A$6:$A$65,0)),""))</f>
        <v/>
      </c>
      <c r="T308" s="58" t="str">
        <f aca="false">IF($F308="","",IFERROR(INDEX(商品档案!$H$6:$H$65,MATCH($F308,商品档案!$A$6:$A$65,0)),""))</f>
        <v/>
      </c>
      <c r="U308" s="58" t="str">
        <f aca="false">IF($F308="","",IFERROR(INDEX(商品档案!$I$6:$I$65,MATCH($F308,商品档案!$A$6:$A$65,0)),""))</f>
        <v/>
      </c>
      <c r="V308" s="59" t="str">
        <f aca="false">IF($F308="","",SUMIFS(进销存台账!$N$6:$N$65,进销存台账!$A$6:$A$65,$C308,进销存台账!$B$6:$B$65,$F308))</f>
        <v/>
      </c>
      <c r="W308" s="60" t="n">
        <f aca="false">IF(OR($D308="销售出库",$D308="销售退回"),ROUND(N($J308)*N($V308),2),0)</f>
        <v>0</v>
      </c>
      <c r="X308" s="58" t="str">
        <f aca="false">IF($E308="","",IFERROR(INDEX(往来单位!$D$6:$D$85,MATCH($E308,往来单位!$A$6:$A$85,0)),"否"))</f>
        <v/>
      </c>
      <c r="Y308" s="61" t="str">
        <f aca="false">IF($B308="","",YEAR($B308))</f>
        <v/>
      </c>
      <c r="Z308" s="58" t="str">
        <f aca="false">IF($B308="","",TEXT($B308,"yyyy-mm"))</f>
        <v/>
      </c>
    </row>
    <row r="309" customFormat="false" ht="15" hidden="false" customHeight="false" outlineLevel="0" collapsed="false">
      <c r="A309" s="53" t="str">
        <f aca="false">IF($B309="","",ROW()-5)</f>
        <v/>
      </c>
      <c r="B309" s="54"/>
      <c r="C309" s="33"/>
      <c r="D309" s="33"/>
      <c r="E309" s="32"/>
      <c r="F309" s="39"/>
      <c r="G309" s="48" t="str">
        <f aca="false">IF($F309="","",IFERROR(INDEX(商品档案!$B$6:$B$65,MATCH($F309,商品档案!$A$6:$A$65,0)),""))</f>
        <v/>
      </c>
      <c r="H309" s="48" t="str">
        <f aca="false">IF($F309="","",IFERROR(INDEX(商品档案!$C$6:$C$65,MATCH($F309,商品档案!$A$6:$A$65,0)),""))</f>
        <v/>
      </c>
      <c r="I309" s="55" t="str">
        <f aca="false">IF($F309="","",IFERROR(INDEX(商品档案!$D$6:$D$65,MATCH($F309,商品档案!$A$6:$A$65,0)),""))</f>
        <v/>
      </c>
      <c r="J309" s="49"/>
      <c r="K309" s="56"/>
      <c r="L309" s="33"/>
      <c r="M309" s="39"/>
      <c r="N309" s="41"/>
      <c r="O309" s="41"/>
      <c r="P309" s="25" t="str">
        <f aca="false">IF(AND($B309="",$D309="",$F309=""),"",IF(NOT(ISNUMBER($B309)),"日期无效",IF(ISNA(MATCH($C309,参数设置!$A$10:$A$12,0)),"公司无效",IF(ISNA(MATCH($D309,记账规则!$A$6:$A$9,0)),"业务类型无效",IF(ISNA(MATCH($F309,商品档案!$A$6:$A$65,0)),"商品编码无效",IF(IFERROR(INDEX(商品档案!$E$6:$E$65,MATCH($F309,商品档案!$A$6:$A$65,0)),"")&lt;&gt;$C309,"商品不属于该公司",IF(AND($E309&lt;&gt;"",ISNA(MATCH($E309,往来单位!$A$6:$A$85,0))),"往来单位未建档",IF(N($J309)=0,"数量为 0",IF(N($K309)=0,"单价为 0",IF(AND(LEFT($D309,2)="销售",$U309=""),"该商品没设成本科目",IF(YEAR($B309)&lt;&gt;参数设置!$B$5,"不在本会计年度","OK")))))))))))</f>
        <v/>
      </c>
      <c r="Q309" s="57" t="str">
        <f aca="false">IF($F309="","",ROUND(N($J309)*N($K309),2))</f>
        <v/>
      </c>
      <c r="R309" s="58" t="str">
        <f aca="false">IF($D309="","",IF(LEFT($D309,2)="销售","应收账款","应付账款"))</f>
        <v/>
      </c>
      <c r="S309" s="58" t="str">
        <f aca="false">IF($F309="","",IFERROR(INDEX(商品档案!$G$6:$G$65,MATCH($F309,商品档案!$A$6:$A$65,0)),""))</f>
        <v/>
      </c>
      <c r="T309" s="58" t="str">
        <f aca="false">IF($F309="","",IFERROR(INDEX(商品档案!$H$6:$H$65,MATCH($F309,商品档案!$A$6:$A$65,0)),""))</f>
        <v/>
      </c>
      <c r="U309" s="58" t="str">
        <f aca="false">IF($F309="","",IFERROR(INDEX(商品档案!$I$6:$I$65,MATCH($F309,商品档案!$A$6:$A$65,0)),""))</f>
        <v/>
      </c>
      <c r="V309" s="59" t="str">
        <f aca="false">IF($F309="","",SUMIFS(进销存台账!$N$6:$N$65,进销存台账!$A$6:$A$65,$C309,进销存台账!$B$6:$B$65,$F309))</f>
        <v/>
      </c>
      <c r="W309" s="60" t="n">
        <f aca="false">IF(OR($D309="销售出库",$D309="销售退回"),ROUND(N($J309)*N($V309),2),0)</f>
        <v>0</v>
      </c>
      <c r="X309" s="58" t="str">
        <f aca="false">IF($E309="","",IFERROR(INDEX(往来单位!$D$6:$D$85,MATCH($E309,往来单位!$A$6:$A$85,0)),"否"))</f>
        <v/>
      </c>
      <c r="Y309" s="61" t="str">
        <f aca="false">IF($B309="","",YEAR($B309))</f>
        <v/>
      </c>
      <c r="Z309" s="58" t="str">
        <f aca="false">IF($B309="","",TEXT($B309,"yyyy-mm"))</f>
        <v/>
      </c>
    </row>
    <row r="310" customFormat="false" ht="15" hidden="false" customHeight="false" outlineLevel="0" collapsed="false">
      <c r="A310" s="53" t="str">
        <f aca="false">IF($B310="","",ROW()-5)</f>
        <v/>
      </c>
      <c r="B310" s="54"/>
      <c r="C310" s="33"/>
      <c r="D310" s="33"/>
      <c r="E310" s="32"/>
      <c r="F310" s="39"/>
      <c r="G310" s="48" t="str">
        <f aca="false">IF($F310="","",IFERROR(INDEX(商品档案!$B$6:$B$65,MATCH($F310,商品档案!$A$6:$A$65,0)),""))</f>
        <v/>
      </c>
      <c r="H310" s="48" t="str">
        <f aca="false">IF($F310="","",IFERROR(INDEX(商品档案!$C$6:$C$65,MATCH($F310,商品档案!$A$6:$A$65,0)),""))</f>
        <v/>
      </c>
      <c r="I310" s="55" t="str">
        <f aca="false">IF($F310="","",IFERROR(INDEX(商品档案!$D$6:$D$65,MATCH($F310,商品档案!$A$6:$A$65,0)),""))</f>
        <v/>
      </c>
      <c r="J310" s="49"/>
      <c r="K310" s="56"/>
      <c r="L310" s="33"/>
      <c r="M310" s="39"/>
      <c r="N310" s="41"/>
      <c r="O310" s="41"/>
      <c r="P310" s="25" t="str">
        <f aca="false">IF(AND($B310="",$D310="",$F310=""),"",IF(NOT(ISNUMBER($B310)),"日期无效",IF(ISNA(MATCH($C310,参数设置!$A$10:$A$12,0)),"公司无效",IF(ISNA(MATCH($D310,记账规则!$A$6:$A$9,0)),"业务类型无效",IF(ISNA(MATCH($F310,商品档案!$A$6:$A$65,0)),"商品编码无效",IF(IFERROR(INDEX(商品档案!$E$6:$E$65,MATCH($F310,商品档案!$A$6:$A$65,0)),"")&lt;&gt;$C310,"商品不属于该公司",IF(AND($E310&lt;&gt;"",ISNA(MATCH($E310,往来单位!$A$6:$A$85,0))),"往来单位未建档",IF(N($J310)=0,"数量为 0",IF(N($K310)=0,"单价为 0",IF(AND(LEFT($D310,2)="销售",$U310=""),"该商品没设成本科目",IF(YEAR($B310)&lt;&gt;参数设置!$B$5,"不在本会计年度","OK")))))))))))</f>
        <v/>
      </c>
      <c r="Q310" s="57" t="str">
        <f aca="false">IF($F310="","",ROUND(N($J310)*N($K310),2))</f>
        <v/>
      </c>
      <c r="R310" s="58" t="str">
        <f aca="false">IF($D310="","",IF(LEFT($D310,2)="销售","应收账款","应付账款"))</f>
        <v/>
      </c>
      <c r="S310" s="58" t="str">
        <f aca="false">IF($F310="","",IFERROR(INDEX(商品档案!$G$6:$G$65,MATCH($F310,商品档案!$A$6:$A$65,0)),""))</f>
        <v/>
      </c>
      <c r="T310" s="58" t="str">
        <f aca="false">IF($F310="","",IFERROR(INDEX(商品档案!$H$6:$H$65,MATCH($F310,商品档案!$A$6:$A$65,0)),""))</f>
        <v/>
      </c>
      <c r="U310" s="58" t="str">
        <f aca="false">IF($F310="","",IFERROR(INDEX(商品档案!$I$6:$I$65,MATCH($F310,商品档案!$A$6:$A$65,0)),""))</f>
        <v/>
      </c>
      <c r="V310" s="59" t="str">
        <f aca="false">IF($F310="","",SUMIFS(进销存台账!$N$6:$N$65,进销存台账!$A$6:$A$65,$C310,进销存台账!$B$6:$B$65,$F310))</f>
        <v/>
      </c>
      <c r="W310" s="60" t="n">
        <f aca="false">IF(OR($D310="销售出库",$D310="销售退回"),ROUND(N($J310)*N($V310),2),0)</f>
        <v>0</v>
      </c>
      <c r="X310" s="58" t="str">
        <f aca="false">IF($E310="","",IFERROR(INDEX(往来单位!$D$6:$D$85,MATCH($E310,往来单位!$A$6:$A$85,0)),"否"))</f>
        <v/>
      </c>
      <c r="Y310" s="61" t="str">
        <f aca="false">IF($B310="","",YEAR($B310))</f>
        <v/>
      </c>
      <c r="Z310" s="58" t="str">
        <f aca="false">IF($B310="","",TEXT($B310,"yyyy-mm"))</f>
        <v/>
      </c>
    </row>
    <row r="311" customFormat="false" ht="15" hidden="false" customHeight="false" outlineLevel="0" collapsed="false">
      <c r="A311" s="53" t="str">
        <f aca="false">IF($B311="","",ROW()-5)</f>
        <v/>
      </c>
      <c r="B311" s="54"/>
      <c r="C311" s="33"/>
      <c r="D311" s="33"/>
      <c r="E311" s="32"/>
      <c r="F311" s="39"/>
      <c r="G311" s="48" t="str">
        <f aca="false">IF($F311="","",IFERROR(INDEX(商品档案!$B$6:$B$65,MATCH($F311,商品档案!$A$6:$A$65,0)),""))</f>
        <v/>
      </c>
      <c r="H311" s="48" t="str">
        <f aca="false">IF($F311="","",IFERROR(INDEX(商品档案!$C$6:$C$65,MATCH($F311,商品档案!$A$6:$A$65,0)),""))</f>
        <v/>
      </c>
      <c r="I311" s="55" t="str">
        <f aca="false">IF($F311="","",IFERROR(INDEX(商品档案!$D$6:$D$65,MATCH($F311,商品档案!$A$6:$A$65,0)),""))</f>
        <v/>
      </c>
      <c r="J311" s="49"/>
      <c r="K311" s="56"/>
      <c r="L311" s="33"/>
      <c r="M311" s="39"/>
      <c r="N311" s="41"/>
      <c r="O311" s="41"/>
      <c r="P311" s="25" t="str">
        <f aca="false">IF(AND($B311="",$D311="",$F311=""),"",IF(NOT(ISNUMBER($B311)),"日期无效",IF(ISNA(MATCH($C311,参数设置!$A$10:$A$12,0)),"公司无效",IF(ISNA(MATCH($D311,记账规则!$A$6:$A$9,0)),"业务类型无效",IF(ISNA(MATCH($F311,商品档案!$A$6:$A$65,0)),"商品编码无效",IF(IFERROR(INDEX(商品档案!$E$6:$E$65,MATCH($F311,商品档案!$A$6:$A$65,0)),"")&lt;&gt;$C311,"商品不属于该公司",IF(AND($E311&lt;&gt;"",ISNA(MATCH($E311,往来单位!$A$6:$A$85,0))),"往来单位未建档",IF(N($J311)=0,"数量为 0",IF(N($K311)=0,"单价为 0",IF(AND(LEFT($D311,2)="销售",$U311=""),"该商品没设成本科目",IF(YEAR($B311)&lt;&gt;参数设置!$B$5,"不在本会计年度","OK")))))))))))</f>
        <v/>
      </c>
      <c r="Q311" s="57" t="str">
        <f aca="false">IF($F311="","",ROUND(N($J311)*N($K311),2))</f>
        <v/>
      </c>
      <c r="R311" s="58" t="str">
        <f aca="false">IF($D311="","",IF(LEFT($D311,2)="销售","应收账款","应付账款"))</f>
        <v/>
      </c>
      <c r="S311" s="58" t="str">
        <f aca="false">IF($F311="","",IFERROR(INDEX(商品档案!$G$6:$G$65,MATCH($F311,商品档案!$A$6:$A$65,0)),""))</f>
        <v/>
      </c>
      <c r="T311" s="58" t="str">
        <f aca="false">IF($F311="","",IFERROR(INDEX(商品档案!$H$6:$H$65,MATCH($F311,商品档案!$A$6:$A$65,0)),""))</f>
        <v/>
      </c>
      <c r="U311" s="58" t="str">
        <f aca="false">IF($F311="","",IFERROR(INDEX(商品档案!$I$6:$I$65,MATCH($F311,商品档案!$A$6:$A$65,0)),""))</f>
        <v/>
      </c>
      <c r="V311" s="59" t="str">
        <f aca="false">IF($F311="","",SUMIFS(进销存台账!$N$6:$N$65,进销存台账!$A$6:$A$65,$C311,进销存台账!$B$6:$B$65,$F311))</f>
        <v/>
      </c>
      <c r="W311" s="60" t="n">
        <f aca="false">IF(OR($D311="销售出库",$D311="销售退回"),ROUND(N($J311)*N($V311),2),0)</f>
        <v>0</v>
      </c>
      <c r="X311" s="58" t="str">
        <f aca="false">IF($E311="","",IFERROR(INDEX(往来单位!$D$6:$D$85,MATCH($E311,往来单位!$A$6:$A$85,0)),"否"))</f>
        <v/>
      </c>
      <c r="Y311" s="61" t="str">
        <f aca="false">IF($B311="","",YEAR($B311))</f>
        <v/>
      </c>
      <c r="Z311" s="58" t="str">
        <f aca="false">IF($B311="","",TEXT($B311,"yyyy-mm"))</f>
        <v/>
      </c>
    </row>
    <row r="312" customFormat="false" ht="15" hidden="false" customHeight="false" outlineLevel="0" collapsed="false">
      <c r="A312" s="53" t="str">
        <f aca="false">IF($B312="","",ROW()-5)</f>
        <v/>
      </c>
      <c r="B312" s="54"/>
      <c r="C312" s="33"/>
      <c r="D312" s="33"/>
      <c r="E312" s="32"/>
      <c r="F312" s="39"/>
      <c r="G312" s="48" t="str">
        <f aca="false">IF($F312="","",IFERROR(INDEX(商品档案!$B$6:$B$65,MATCH($F312,商品档案!$A$6:$A$65,0)),""))</f>
        <v/>
      </c>
      <c r="H312" s="48" t="str">
        <f aca="false">IF($F312="","",IFERROR(INDEX(商品档案!$C$6:$C$65,MATCH($F312,商品档案!$A$6:$A$65,0)),""))</f>
        <v/>
      </c>
      <c r="I312" s="55" t="str">
        <f aca="false">IF($F312="","",IFERROR(INDEX(商品档案!$D$6:$D$65,MATCH($F312,商品档案!$A$6:$A$65,0)),""))</f>
        <v/>
      </c>
      <c r="J312" s="49"/>
      <c r="K312" s="56"/>
      <c r="L312" s="33"/>
      <c r="M312" s="39"/>
      <c r="N312" s="41"/>
      <c r="O312" s="41"/>
      <c r="P312" s="25" t="str">
        <f aca="false">IF(AND($B312="",$D312="",$F312=""),"",IF(NOT(ISNUMBER($B312)),"日期无效",IF(ISNA(MATCH($C312,参数设置!$A$10:$A$12,0)),"公司无效",IF(ISNA(MATCH($D312,记账规则!$A$6:$A$9,0)),"业务类型无效",IF(ISNA(MATCH($F312,商品档案!$A$6:$A$65,0)),"商品编码无效",IF(IFERROR(INDEX(商品档案!$E$6:$E$65,MATCH($F312,商品档案!$A$6:$A$65,0)),"")&lt;&gt;$C312,"商品不属于该公司",IF(AND($E312&lt;&gt;"",ISNA(MATCH($E312,往来单位!$A$6:$A$85,0))),"往来单位未建档",IF(N($J312)=0,"数量为 0",IF(N($K312)=0,"单价为 0",IF(AND(LEFT($D312,2)="销售",$U312=""),"该商品没设成本科目",IF(YEAR($B312)&lt;&gt;参数设置!$B$5,"不在本会计年度","OK")))))))))))</f>
        <v/>
      </c>
      <c r="Q312" s="57" t="str">
        <f aca="false">IF($F312="","",ROUND(N($J312)*N($K312),2))</f>
        <v/>
      </c>
      <c r="R312" s="58" t="str">
        <f aca="false">IF($D312="","",IF(LEFT($D312,2)="销售","应收账款","应付账款"))</f>
        <v/>
      </c>
      <c r="S312" s="58" t="str">
        <f aca="false">IF($F312="","",IFERROR(INDEX(商品档案!$G$6:$G$65,MATCH($F312,商品档案!$A$6:$A$65,0)),""))</f>
        <v/>
      </c>
      <c r="T312" s="58" t="str">
        <f aca="false">IF($F312="","",IFERROR(INDEX(商品档案!$H$6:$H$65,MATCH($F312,商品档案!$A$6:$A$65,0)),""))</f>
        <v/>
      </c>
      <c r="U312" s="58" t="str">
        <f aca="false">IF($F312="","",IFERROR(INDEX(商品档案!$I$6:$I$65,MATCH($F312,商品档案!$A$6:$A$65,0)),""))</f>
        <v/>
      </c>
      <c r="V312" s="59" t="str">
        <f aca="false">IF($F312="","",SUMIFS(进销存台账!$N$6:$N$65,进销存台账!$A$6:$A$65,$C312,进销存台账!$B$6:$B$65,$F312))</f>
        <v/>
      </c>
      <c r="W312" s="60" t="n">
        <f aca="false">IF(OR($D312="销售出库",$D312="销售退回"),ROUND(N($J312)*N($V312),2),0)</f>
        <v>0</v>
      </c>
      <c r="X312" s="58" t="str">
        <f aca="false">IF($E312="","",IFERROR(INDEX(往来单位!$D$6:$D$85,MATCH($E312,往来单位!$A$6:$A$85,0)),"否"))</f>
        <v/>
      </c>
      <c r="Y312" s="61" t="str">
        <f aca="false">IF($B312="","",YEAR($B312))</f>
        <v/>
      </c>
      <c r="Z312" s="58" t="str">
        <f aca="false">IF($B312="","",TEXT($B312,"yyyy-mm"))</f>
        <v/>
      </c>
    </row>
    <row r="313" customFormat="false" ht="15" hidden="false" customHeight="false" outlineLevel="0" collapsed="false">
      <c r="A313" s="53" t="str">
        <f aca="false">IF($B313="","",ROW()-5)</f>
        <v/>
      </c>
      <c r="B313" s="54"/>
      <c r="C313" s="33"/>
      <c r="D313" s="33"/>
      <c r="E313" s="32"/>
      <c r="F313" s="39"/>
      <c r="G313" s="48" t="str">
        <f aca="false">IF($F313="","",IFERROR(INDEX(商品档案!$B$6:$B$65,MATCH($F313,商品档案!$A$6:$A$65,0)),""))</f>
        <v/>
      </c>
      <c r="H313" s="48" t="str">
        <f aca="false">IF($F313="","",IFERROR(INDEX(商品档案!$C$6:$C$65,MATCH($F313,商品档案!$A$6:$A$65,0)),""))</f>
        <v/>
      </c>
      <c r="I313" s="55" t="str">
        <f aca="false">IF($F313="","",IFERROR(INDEX(商品档案!$D$6:$D$65,MATCH($F313,商品档案!$A$6:$A$65,0)),""))</f>
        <v/>
      </c>
      <c r="J313" s="49"/>
      <c r="K313" s="56"/>
      <c r="L313" s="33"/>
      <c r="M313" s="39"/>
      <c r="N313" s="41"/>
      <c r="O313" s="41"/>
      <c r="P313" s="25" t="str">
        <f aca="false">IF(AND($B313="",$D313="",$F313=""),"",IF(NOT(ISNUMBER($B313)),"日期无效",IF(ISNA(MATCH($C313,参数设置!$A$10:$A$12,0)),"公司无效",IF(ISNA(MATCH($D313,记账规则!$A$6:$A$9,0)),"业务类型无效",IF(ISNA(MATCH($F313,商品档案!$A$6:$A$65,0)),"商品编码无效",IF(IFERROR(INDEX(商品档案!$E$6:$E$65,MATCH($F313,商品档案!$A$6:$A$65,0)),"")&lt;&gt;$C313,"商品不属于该公司",IF(AND($E313&lt;&gt;"",ISNA(MATCH($E313,往来单位!$A$6:$A$85,0))),"往来单位未建档",IF(N($J313)=0,"数量为 0",IF(N($K313)=0,"单价为 0",IF(AND(LEFT($D313,2)="销售",$U313=""),"该商品没设成本科目",IF(YEAR($B313)&lt;&gt;参数设置!$B$5,"不在本会计年度","OK")))))))))))</f>
        <v/>
      </c>
      <c r="Q313" s="57" t="str">
        <f aca="false">IF($F313="","",ROUND(N($J313)*N($K313),2))</f>
        <v/>
      </c>
      <c r="R313" s="58" t="str">
        <f aca="false">IF($D313="","",IF(LEFT($D313,2)="销售","应收账款","应付账款"))</f>
        <v/>
      </c>
      <c r="S313" s="58" t="str">
        <f aca="false">IF($F313="","",IFERROR(INDEX(商品档案!$G$6:$G$65,MATCH($F313,商品档案!$A$6:$A$65,0)),""))</f>
        <v/>
      </c>
      <c r="T313" s="58" t="str">
        <f aca="false">IF($F313="","",IFERROR(INDEX(商品档案!$H$6:$H$65,MATCH($F313,商品档案!$A$6:$A$65,0)),""))</f>
        <v/>
      </c>
      <c r="U313" s="58" t="str">
        <f aca="false">IF($F313="","",IFERROR(INDEX(商品档案!$I$6:$I$65,MATCH($F313,商品档案!$A$6:$A$65,0)),""))</f>
        <v/>
      </c>
      <c r="V313" s="59" t="str">
        <f aca="false">IF($F313="","",SUMIFS(进销存台账!$N$6:$N$65,进销存台账!$A$6:$A$65,$C313,进销存台账!$B$6:$B$65,$F313))</f>
        <v/>
      </c>
      <c r="W313" s="60" t="n">
        <f aca="false">IF(OR($D313="销售出库",$D313="销售退回"),ROUND(N($J313)*N($V313),2),0)</f>
        <v>0</v>
      </c>
      <c r="X313" s="58" t="str">
        <f aca="false">IF($E313="","",IFERROR(INDEX(往来单位!$D$6:$D$85,MATCH($E313,往来单位!$A$6:$A$85,0)),"否"))</f>
        <v/>
      </c>
      <c r="Y313" s="61" t="str">
        <f aca="false">IF($B313="","",YEAR($B313))</f>
        <v/>
      </c>
      <c r="Z313" s="58" t="str">
        <f aca="false">IF($B313="","",TEXT($B313,"yyyy-mm"))</f>
        <v/>
      </c>
    </row>
    <row r="314" customFormat="false" ht="15" hidden="false" customHeight="false" outlineLevel="0" collapsed="false">
      <c r="A314" s="53" t="str">
        <f aca="false">IF($B314="","",ROW()-5)</f>
        <v/>
      </c>
      <c r="B314" s="54"/>
      <c r="C314" s="33"/>
      <c r="D314" s="33"/>
      <c r="E314" s="32"/>
      <c r="F314" s="39"/>
      <c r="G314" s="48" t="str">
        <f aca="false">IF($F314="","",IFERROR(INDEX(商品档案!$B$6:$B$65,MATCH($F314,商品档案!$A$6:$A$65,0)),""))</f>
        <v/>
      </c>
      <c r="H314" s="48" t="str">
        <f aca="false">IF($F314="","",IFERROR(INDEX(商品档案!$C$6:$C$65,MATCH($F314,商品档案!$A$6:$A$65,0)),""))</f>
        <v/>
      </c>
      <c r="I314" s="55" t="str">
        <f aca="false">IF($F314="","",IFERROR(INDEX(商品档案!$D$6:$D$65,MATCH($F314,商品档案!$A$6:$A$65,0)),""))</f>
        <v/>
      </c>
      <c r="J314" s="49"/>
      <c r="K314" s="56"/>
      <c r="L314" s="33"/>
      <c r="M314" s="39"/>
      <c r="N314" s="41"/>
      <c r="O314" s="41"/>
      <c r="P314" s="25" t="str">
        <f aca="false">IF(AND($B314="",$D314="",$F314=""),"",IF(NOT(ISNUMBER($B314)),"日期无效",IF(ISNA(MATCH($C314,参数设置!$A$10:$A$12,0)),"公司无效",IF(ISNA(MATCH($D314,记账规则!$A$6:$A$9,0)),"业务类型无效",IF(ISNA(MATCH($F314,商品档案!$A$6:$A$65,0)),"商品编码无效",IF(IFERROR(INDEX(商品档案!$E$6:$E$65,MATCH($F314,商品档案!$A$6:$A$65,0)),"")&lt;&gt;$C314,"商品不属于该公司",IF(AND($E314&lt;&gt;"",ISNA(MATCH($E314,往来单位!$A$6:$A$85,0))),"往来单位未建档",IF(N($J314)=0,"数量为 0",IF(N($K314)=0,"单价为 0",IF(AND(LEFT($D314,2)="销售",$U314=""),"该商品没设成本科目",IF(YEAR($B314)&lt;&gt;参数设置!$B$5,"不在本会计年度","OK")))))))))))</f>
        <v/>
      </c>
      <c r="Q314" s="57" t="str">
        <f aca="false">IF($F314="","",ROUND(N($J314)*N($K314),2))</f>
        <v/>
      </c>
      <c r="R314" s="58" t="str">
        <f aca="false">IF($D314="","",IF(LEFT($D314,2)="销售","应收账款","应付账款"))</f>
        <v/>
      </c>
      <c r="S314" s="58" t="str">
        <f aca="false">IF($F314="","",IFERROR(INDEX(商品档案!$G$6:$G$65,MATCH($F314,商品档案!$A$6:$A$65,0)),""))</f>
        <v/>
      </c>
      <c r="T314" s="58" t="str">
        <f aca="false">IF($F314="","",IFERROR(INDEX(商品档案!$H$6:$H$65,MATCH($F314,商品档案!$A$6:$A$65,0)),""))</f>
        <v/>
      </c>
      <c r="U314" s="58" t="str">
        <f aca="false">IF($F314="","",IFERROR(INDEX(商品档案!$I$6:$I$65,MATCH($F314,商品档案!$A$6:$A$65,0)),""))</f>
        <v/>
      </c>
      <c r="V314" s="59" t="str">
        <f aca="false">IF($F314="","",SUMIFS(进销存台账!$N$6:$N$65,进销存台账!$A$6:$A$65,$C314,进销存台账!$B$6:$B$65,$F314))</f>
        <v/>
      </c>
      <c r="W314" s="60" t="n">
        <f aca="false">IF(OR($D314="销售出库",$D314="销售退回"),ROUND(N($J314)*N($V314),2),0)</f>
        <v>0</v>
      </c>
      <c r="X314" s="58" t="str">
        <f aca="false">IF($E314="","",IFERROR(INDEX(往来单位!$D$6:$D$85,MATCH($E314,往来单位!$A$6:$A$85,0)),"否"))</f>
        <v/>
      </c>
      <c r="Y314" s="61" t="str">
        <f aca="false">IF($B314="","",YEAR($B314))</f>
        <v/>
      </c>
      <c r="Z314" s="58" t="str">
        <f aca="false">IF($B314="","",TEXT($B314,"yyyy-mm"))</f>
        <v/>
      </c>
    </row>
    <row r="315" customFormat="false" ht="15" hidden="false" customHeight="false" outlineLevel="0" collapsed="false">
      <c r="A315" s="53" t="str">
        <f aca="false">IF($B315="","",ROW()-5)</f>
        <v/>
      </c>
      <c r="B315" s="54"/>
      <c r="C315" s="33"/>
      <c r="D315" s="33"/>
      <c r="E315" s="32"/>
      <c r="F315" s="39"/>
      <c r="G315" s="48" t="str">
        <f aca="false">IF($F315="","",IFERROR(INDEX(商品档案!$B$6:$B$65,MATCH($F315,商品档案!$A$6:$A$65,0)),""))</f>
        <v/>
      </c>
      <c r="H315" s="48" t="str">
        <f aca="false">IF($F315="","",IFERROR(INDEX(商品档案!$C$6:$C$65,MATCH($F315,商品档案!$A$6:$A$65,0)),""))</f>
        <v/>
      </c>
      <c r="I315" s="55" t="str">
        <f aca="false">IF($F315="","",IFERROR(INDEX(商品档案!$D$6:$D$65,MATCH($F315,商品档案!$A$6:$A$65,0)),""))</f>
        <v/>
      </c>
      <c r="J315" s="49"/>
      <c r="K315" s="56"/>
      <c r="L315" s="33"/>
      <c r="M315" s="39"/>
      <c r="N315" s="41"/>
      <c r="O315" s="41"/>
      <c r="P315" s="25" t="str">
        <f aca="false">IF(AND($B315="",$D315="",$F315=""),"",IF(NOT(ISNUMBER($B315)),"日期无效",IF(ISNA(MATCH($C315,参数设置!$A$10:$A$12,0)),"公司无效",IF(ISNA(MATCH($D315,记账规则!$A$6:$A$9,0)),"业务类型无效",IF(ISNA(MATCH($F315,商品档案!$A$6:$A$65,0)),"商品编码无效",IF(IFERROR(INDEX(商品档案!$E$6:$E$65,MATCH($F315,商品档案!$A$6:$A$65,0)),"")&lt;&gt;$C315,"商品不属于该公司",IF(AND($E315&lt;&gt;"",ISNA(MATCH($E315,往来单位!$A$6:$A$85,0))),"往来单位未建档",IF(N($J315)=0,"数量为 0",IF(N($K315)=0,"单价为 0",IF(AND(LEFT($D315,2)="销售",$U315=""),"该商品没设成本科目",IF(YEAR($B315)&lt;&gt;参数设置!$B$5,"不在本会计年度","OK")))))))))))</f>
        <v/>
      </c>
      <c r="Q315" s="57" t="str">
        <f aca="false">IF($F315="","",ROUND(N($J315)*N($K315),2))</f>
        <v/>
      </c>
      <c r="R315" s="58" t="str">
        <f aca="false">IF($D315="","",IF(LEFT($D315,2)="销售","应收账款","应付账款"))</f>
        <v/>
      </c>
      <c r="S315" s="58" t="str">
        <f aca="false">IF($F315="","",IFERROR(INDEX(商品档案!$G$6:$G$65,MATCH($F315,商品档案!$A$6:$A$65,0)),""))</f>
        <v/>
      </c>
      <c r="T315" s="58" t="str">
        <f aca="false">IF($F315="","",IFERROR(INDEX(商品档案!$H$6:$H$65,MATCH($F315,商品档案!$A$6:$A$65,0)),""))</f>
        <v/>
      </c>
      <c r="U315" s="58" t="str">
        <f aca="false">IF($F315="","",IFERROR(INDEX(商品档案!$I$6:$I$65,MATCH($F315,商品档案!$A$6:$A$65,0)),""))</f>
        <v/>
      </c>
      <c r="V315" s="59" t="str">
        <f aca="false">IF($F315="","",SUMIFS(进销存台账!$N$6:$N$65,进销存台账!$A$6:$A$65,$C315,进销存台账!$B$6:$B$65,$F315))</f>
        <v/>
      </c>
      <c r="W315" s="60" t="n">
        <f aca="false">IF(OR($D315="销售出库",$D315="销售退回"),ROUND(N($J315)*N($V315),2),0)</f>
        <v>0</v>
      </c>
      <c r="X315" s="58" t="str">
        <f aca="false">IF($E315="","",IFERROR(INDEX(往来单位!$D$6:$D$85,MATCH($E315,往来单位!$A$6:$A$85,0)),"否"))</f>
        <v/>
      </c>
      <c r="Y315" s="61" t="str">
        <f aca="false">IF($B315="","",YEAR($B315))</f>
        <v/>
      </c>
      <c r="Z315" s="58" t="str">
        <f aca="false">IF($B315="","",TEXT($B315,"yyyy-mm"))</f>
        <v/>
      </c>
    </row>
    <row r="316" customFormat="false" ht="15" hidden="false" customHeight="false" outlineLevel="0" collapsed="false">
      <c r="A316" s="53" t="str">
        <f aca="false">IF($B316="","",ROW()-5)</f>
        <v/>
      </c>
      <c r="B316" s="54"/>
      <c r="C316" s="33"/>
      <c r="D316" s="33"/>
      <c r="E316" s="32"/>
      <c r="F316" s="39"/>
      <c r="G316" s="48" t="str">
        <f aca="false">IF($F316="","",IFERROR(INDEX(商品档案!$B$6:$B$65,MATCH($F316,商品档案!$A$6:$A$65,0)),""))</f>
        <v/>
      </c>
      <c r="H316" s="48" t="str">
        <f aca="false">IF($F316="","",IFERROR(INDEX(商品档案!$C$6:$C$65,MATCH($F316,商品档案!$A$6:$A$65,0)),""))</f>
        <v/>
      </c>
      <c r="I316" s="55" t="str">
        <f aca="false">IF($F316="","",IFERROR(INDEX(商品档案!$D$6:$D$65,MATCH($F316,商品档案!$A$6:$A$65,0)),""))</f>
        <v/>
      </c>
      <c r="J316" s="49"/>
      <c r="K316" s="56"/>
      <c r="L316" s="33"/>
      <c r="M316" s="39"/>
      <c r="N316" s="41"/>
      <c r="O316" s="41"/>
      <c r="P316" s="25" t="str">
        <f aca="false">IF(AND($B316="",$D316="",$F316=""),"",IF(NOT(ISNUMBER($B316)),"日期无效",IF(ISNA(MATCH($C316,参数设置!$A$10:$A$12,0)),"公司无效",IF(ISNA(MATCH($D316,记账规则!$A$6:$A$9,0)),"业务类型无效",IF(ISNA(MATCH($F316,商品档案!$A$6:$A$65,0)),"商品编码无效",IF(IFERROR(INDEX(商品档案!$E$6:$E$65,MATCH($F316,商品档案!$A$6:$A$65,0)),"")&lt;&gt;$C316,"商品不属于该公司",IF(AND($E316&lt;&gt;"",ISNA(MATCH($E316,往来单位!$A$6:$A$85,0))),"往来单位未建档",IF(N($J316)=0,"数量为 0",IF(N($K316)=0,"单价为 0",IF(AND(LEFT($D316,2)="销售",$U316=""),"该商品没设成本科目",IF(YEAR($B316)&lt;&gt;参数设置!$B$5,"不在本会计年度","OK")))))))))))</f>
        <v/>
      </c>
      <c r="Q316" s="57" t="str">
        <f aca="false">IF($F316="","",ROUND(N($J316)*N($K316),2))</f>
        <v/>
      </c>
      <c r="R316" s="58" t="str">
        <f aca="false">IF($D316="","",IF(LEFT($D316,2)="销售","应收账款","应付账款"))</f>
        <v/>
      </c>
      <c r="S316" s="58" t="str">
        <f aca="false">IF($F316="","",IFERROR(INDEX(商品档案!$G$6:$G$65,MATCH($F316,商品档案!$A$6:$A$65,0)),""))</f>
        <v/>
      </c>
      <c r="T316" s="58" t="str">
        <f aca="false">IF($F316="","",IFERROR(INDEX(商品档案!$H$6:$H$65,MATCH($F316,商品档案!$A$6:$A$65,0)),""))</f>
        <v/>
      </c>
      <c r="U316" s="58" t="str">
        <f aca="false">IF($F316="","",IFERROR(INDEX(商品档案!$I$6:$I$65,MATCH($F316,商品档案!$A$6:$A$65,0)),""))</f>
        <v/>
      </c>
      <c r="V316" s="59" t="str">
        <f aca="false">IF($F316="","",SUMIFS(进销存台账!$N$6:$N$65,进销存台账!$A$6:$A$65,$C316,进销存台账!$B$6:$B$65,$F316))</f>
        <v/>
      </c>
      <c r="W316" s="60" t="n">
        <f aca="false">IF(OR($D316="销售出库",$D316="销售退回"),ROUND(N($J316)*N($V316),2),0)</f>
        <v>0</v>
      </c>
      <c r="X316" s="58" t="str">
        <f aca="false">IF($E316="","",IFERROR(INDEX(往来单位!$D$6:$D$85,MATCH($E316,往来单位!$A$6:$A$85,0)),"否"))</f>
        <v/>
      </c>
      <c r="Y316" s="61" t="str">
        <f aca="false">IF($B316="","",YEAR($B316))</f>
        <v/>
      </c>
      <c r="Z316" s="58" t="str">
        <f aca="false">IF($B316="","",TEXT($B316,"yyyy-mm"))</f>
        <v/>
      </c>
    </row>
    <row r="317" customFormat="false" ht="15" hidden="false" customHeight="false" outlineLevel="0" collapsed="false">
      <c r="A317" s="53" t="str">
        <f aca="false">IF($B317="","",ROW()-5)</f>
        <v/>
      </c>
      <c r="B317" s="54"/>
      <c r="C317" s="33"/>
      <c r="D317" s="33"/>
      <c r="E317" s="32"/>
      <c r="F317" s="39"/>
      <c r="G317" s="48" t="str">
        <f aca="false">IF($F317="","",IFERROR(INDEX(商品档案!$B$6:$B$65,MATCH($F317,商品档案!$A$6:$A$65,0)),""))</f>
        <v/>
      </c>
      <c r="H317" s="48" t="str">
        <f aca="false">IF($F317="","",IFERROR(INDEX(商品档案!$C$6:$C$65,MATCH($F317,商品档案!$A$6:$A$65,0)),""))</f>
        <v/>
      </c>
      <c r="I317" s="55" t="str">
        <f aca="false">IF($F317="","",IFERROR(INDEX(商品档案!$D$6:$D$65,MATCH($F317,商品档案!$A$6:$A$65,0)),""))</f>
        <v/>
      </c>
      <c r="J317" s="49"/>
      <c r="K317" s="56"/>
      <c r="L317" s="33"/>
      <c r="M317" s="39"/>
      <c r="N317" s="41"/>
      <c r="O317" s="41"/>
      <c r="P317" s="25" t="str">
        <f aca="false">IF(AND($B317="",$D317="",$F317=""),"",IF(NOT(ISNUMBER($B317)),"日期无效",IF(ISNA(MATCH($C317,参数设置!$A$10:$A$12,0)),"公司无效",IF(ISNA(MATCH($D317,记账规则!$A$6:$A$9,0)),"业务类型无效",IF(ISNA(MATCH($F317,商品档案!$A$6:$A$65,0)),"商品编码无效",IF(IFERROR(INDEX(商品档案!$E$6:$E$65,MATCH($F317,商品档案!$A$6:$A$65,0)),"")&lt;&gt;$C317,"商品不属于该公司",IF(AND($E317&lt;&gt;"",ISNA(MATCH($E317,往来单位!$A$6:$A$85,0))),"往来单位未建档",IF(N($J317)=0,"数量为 0",IF(N($K317)=0,"单价为 0",IF(AND(LEFT($D317,2)="销售",$U317=""),"该商品没设成本科目",IF(YEAR($B317)&lt;&gt;参数设置!$B$5,"不在本会计年度","OK")))))))))))</f>
        <v/>
      </c>
      <c r="Q317" s="57" t="str">
        <f aca="false">IF($F317="","",ROUND(N($J317)*N($K317),2))</f>
        <v/>
      </c>
      <c r="R317" s="58" t="str">
        <f aca="false">IF($D317="","",IF(LEFT($D317,2)="销售","应收账款","应付账款"))</f>
        <v/>
      </c>
      <c r="S317" s="58" t="str">
        <f aca="false">IF($F317="","",IFERROR(INDEX(商品档案!$G$6:$G$65,MATCH($F317,商品档案!$A$6:$A$65,0)),""))</f>
        <v/>
      </c>
      <c r="T317" s="58" t="str">
        <f aca="false">IF($F317="","",IFERROR(INDEX(商品档案!$H$6:$H$65,MATCH($F317,商品档案!$A$6:$A$65,0)),""))</f>
        <v/>
      </c>
      <c r="U317" s="58" t="str">
        <f aca="false">IF($F317="","",IFERROR(INDEX(商品档案!$I$6:$I$65,MATCH($F317,商品档案!$A$6:$A$65,0)),""))</f>
        <v/>
      </c>
      <c r="V317" s="59" t="str">
        <f aca="false">IF($F317="","",SUMIFS(进销存台账!$N$6:$N$65,进销存台账!$A$6:$A$65,$C317,进销存台账!$B$6:$B$65,$F317))</f>
        <v/>
      </c>
      <c r="W317" s="60" t="n">
        <f aca="false">IF(OR($D317="销售出库",$D317="销售退回"),ROUND(N($J317)*N($V317),2),0)</f>
        <v>0</v>
      </c>
      <c r="X317" s="58" t="str">
        <f aca="false">IF($E317="","",IFERROR(INDEX(往来单位!$D$6:$D$85,MATCH($E317,往来单位!$A$6:$A$85,0)),"否"))</f>
        <v/>
      </c>
      <c r="Y317" s="61" t="str">
        <f aca="false">IF($B317="","",YEAR($B317))</f>
        <v/>
      </c>
      <c r="Z317" s="58" t="str">
        <f aca="false">IF($B317="","",TEXT($B317,"yyyy-mm"))</f>
        <v/>
      </c>
    </row>
    <row r="318" customFormat="false" ht="15" hidden="false" customHeight="false" outlineLevel="0" collapsed="false">
      <c r="A318" s="53" t="str">
        <f aca="false">IF($B318="","",ROW()-5)</f>
        <v/>
      </c>
      <c r="B318" s="54"/>
      <c r="C318" s="33"/>
      <c r="D318" s="33"/>
      <c r="E318" s="32"/>
      <c r="F318" s="39"/>
      <c r="G318" s="48" t="str">
        <f aca="false">IF($F318="","",IFERROR(INDEX(商品档案!$B$6:$B$65,MATCH($F318,商品档案!$A$6:$A$65,0)),""))</f>
        <v/>
      </c>
      <c r="H318" s="48" t="str">
        <f aca="false">IF($F318="","",IFERROR(INDEX(商品档案!$C$6:$C$65,MATCH($F318,商品档案!$A$6:$A$65,0)),""))</f>
        <v/>
      </c>
      <c r="I318" s="55" t="str">
        <f aca="false">IF($F318="","",IFERROR(INDEX(商品档案!$D$6:$D$65,MATCH($F318,商品档案!$A$6:$A$65,0)),""))</f>
        <v/>
      </c>
      <c r="J318" s="49"/>
      <c r="K318" s="56"/>
      <c r="L318" s="33"/>
      <c r="M318" s="39"/>
      <c r="N318" s="41"/>
      <c r="O318" s="41"/>
      <c r="P318" s="25" t="str">
        <f aca="false">IF(AND($B318="",$D318="",$F318=""),"",IF(NOT(ISNUMBER($B318)),"日期无效",IF(ISNA(MATCH($C318,参数设置!$A$10:$A$12,0)),"公司无效",IF(ISNA(MATCH($D318,记账规则!$A$6:$A$9,0)),"业务类型无效",IF(ISNA(MATCH($F318,商品档案!$A$6:$A$65,0)),"商品编码无效",IF(IFERROR(INDEX(商品档案!$E$6:$E$65,MATCH($F318,商品档案!$A$6:$A$65,0)),"")&lt;&gt;$C318,"商品不属于该公司",IF(AND($E318&lt;&gt;"",ISNA(MATCH($E318,往来单位!$A$6:$A$85,0))),"往来单位未建档",IF(N($J318)=0,"数量为 0",IF(N($K318)=0,"单价为 0",IF(AND(LEFT($D318,2)="销售",$U318=""),"该商品没设成本科目",IF(YEAR($B318)&lt;&gt;参数设置!$B$5,"不在本会计年度","OK")))))))))))</f>
        <v/>
      </c>
      <c r="Q318" s="57" t="str">
        <f aca="false">IF($F318="","",ROUND(N($J318)*N($K318),2))</f>
        <v/>
      </c>
      <c r="R318" s="58" t="str">
        <f aca="false">IF($D318="","",IF(LEFT($D318,2)="销售","应收账款","应付账款"))</f>
        <v/>
      </c>
      <c r="S318" s="58" t="str">
        <f aca="false">IF($F318="","",IFERROR(INDEX(商品档案!$G$6:$G$65,MATCH($F318,商品档案!$A$6:$A$65,0)),""))</f>
        <v/>
      </c>
      <c r="T318" s="58" t="str">
        <f aca="false">IF($F318="","",IFERROR(INDEX(商品档案!$H$6:$H$65,MATCH($F318,商品档案!$A$6:$A$65,0)),""))</f>
        <v/>
      </c>
      <c r="U318" s="58" t="str">
        <f aca="false">IF($F318="","",IFERROR(INDEX(商品档案!$I$6:$I$65,MATCH($F318,商品档案!$A$6:$A$65,0)),""))</f>
        <v/>
      </c>
      <c r="V318" s="59" t="str">
        <f aca="false">IF($F318="","",SUMIFS(进销存台账!$N$6:$N$65,进销存台账!$A$6:$A$65,$C318,进销存台账!$B$6:$B$65,$F318))</f>
        <v/>
      </c>
      <c r="W318" s="60" t="n">
        <f aca="false">IF(OR($D318="销售出库",$D318="销售退回"),ROUND(N($J318)*N($V318),2),0)</f>
        <v>0</v>
      </c>
      <c r="X318" s="58" t="str">
        <f aca="false">IF($E318="","",IFERROR(INDEX(往来单位!$D$6:$D$85,MATCH($E318,往来单位!$A$6:$A$85,0)),"否"))</f>
        <v/>
      </c>
      <c r="Y318" s="61" t="str">
        <f aca="false">IF($B318="","",YEAR($B318))</f>
        <v/>
      </c>
      <c r="Z318" s="58" t="str">
        <f aca="false">IF($B318="","",TEXT($B318,"yyyy-mm"))</f>
        <v/>
      </c>
    </row>
    <row r="319" customFormat="false" ht="15" hidden="false" customHeight="false" outlineLevel="0" collapsed="false">
      <c r="A319" s="53" t="str">
        <f aca="false">IF($B319="","",ROW()-5)</f>
        <v/>
      </c>
      <c r="B319" s="54"/>
      <c r="C319" s="33"/>
      <c r="D319" s="33"/>
      <c r="E319" s="32"/>
      <c r="F319" s="39"/>
      <c r="G319" s="48" t="str">
        <f aca="false">IF($F319="","",IFERROR(INDEX(商品档案!$B$6:$B$65,MATCH($F319,商品档案!$A$6:$A$65,0)),""))</f>
        <v/>
      </c>
      <c r="H319" s="48" t="str">
        <f aca="false">IF($F319="","",IFERROR(INDEX(商品档案!$C$6:$C$65,MATCH($F319,商品档案!$A$6:$A$65,0)),""))</f>
        <v/>
      </c>
      <c r="I319" s="55" t="str">
        <f aca="false">IF($F319="","",IFERROR(INDEX(商品档案!$D$6:$D$65,MATCH($F319,商品档案!$A$6:$A$65,0)),""))</f>
        <v/>
      </c>
      <c r="J319" s="49"/>
      <c r="K319" s="56"/>
      <c r="L319" s="33"/>
      <c r="M319" s="39"/>
      <c r="N319" s="41"/>
      <c r="O319" s="41"/>
      <c r="P319" s="25" t="str">
        <f aca="false">IF(AND($B319="",$D319="",$F319=""),"",IF(NOT(ISNUMBER($B319)),"日期无效",IF(ISNA(MATCH($C319,参数设置!$A$10:$A$12,0)),"公司无效",IF(ISNA(MATCH($D319,记账规则!$A$6:$A$9,0)),"业务类型无效",IF(ISNA(MATCH($F319,商品档案!$A$6:$A$65,0)),"商品编码无效",IF(IFERROR(INDEX(商品档案!$E$6:$E$65,MATCH($F319,商品档案!$A$6:$A$65,0)),"")&lt;&gt;$C319,"商品不属于该公司",IF(AND($E319&lt;&gt;"",ISNA(MATCH($E319,往来单位!$A$6:$A$85,0))),"往来单位未建档",IF(N($J319)=0,"数量为 0",IF(N($K319)=0,"单价为 0",IF(AND(LEFT($D319,2)="销售",$U319=""),"该商品没设成本科目",IF(YEAR($B319)&lt;&gt;参数设置!$B$5,"不在本会计年度","OK")))))))))))</f>
        <v/>
      </c>
      <c r="Q319" s="57" t="str">
        <f aca="false">IF($F319="","",ROUND(N($J319)*N($K319),2))</f>
        <v/>
      </c>
      <c r="R319" s="58" t="str">
        <f aca="false">IF($D319="","",IF(LEFT($D319,2)="销售","应收账款","应付账款"))</f>
        <v/>
      </c>
      <c r="S319" s="58" t="str">
        <f aca="false">IF($F319="","",IFERROR(INDEX(商品档案!$G$6:$G$65,MATCH($F319,商品档案!$A$6:$A$65,0)),""))</f>
        <v/>
      </c>
      <c r="T319" s="58" t="str">
        <f aca="false">IF($F319="","",IFERROR(INDEX(商品档案!$H$6:$H$65,MATCH($F319,商品档案!$A$6:$A$65,0)),""))</f>
        <v/>
      </c>
      <c r="U319" s="58" t="str">
        <f aca="false">IF($F319="","",IFERROR(INDEX(商品档案!$I$6:$I$65,MATCH($F319,商品档案!$A$6:$A$65,0)),""))</f>
        <v/>
      </c>
      <c r="V319" s="59" t="str">
        <f aca="false">IF($F319="","",SUMIFS(进销存台账!$N$6:$N$65,进销存台账!$A$6:$A$65,$C319,进销存台账!$B$6:$B$65,$F319))</f>
        <v/>
      </c>
      <c r="W319" s="60" t="n">
        <f aca="false">IF(OR($D319="销售出库",$D319="销售退回"),ROUND(N($J319)*N($V319),2),0)</f>
        <v>0</v>
      </c>
      <c r="X319" s="58" t="str">
        <f aca="false">IF($E319="","",IFERROR(INDEX(往来单位!$D$6:$D$85,MATCH($E319,往来单位!$A$6:$A$85,0)),"否"))</f>
        <v/>
      </c>
      <c r="Y319" s="61" t="str">
        <f aca="false">IF($B319="","",YEAR($B319))</f>
        <v/>
      </c>
      <c r="Z319" s="58" t="str">
        <f aca="false">IF($B319="","",TEXT($B319,"yyyy-mm"))</f>
        <v/>
      </c>
    </row>
    <row r="320" customFormat="false" ht="15" hidden="false" customHeight="false" outlineLevel="0" collapsed="false">
      <c r="A320" s="53" t="str">
        <f aca="false">IF($B320="","",ROW()-5)</f>
        <v/>
      </c>
      <c r="B320" s="54"/>
      <c r="C320" s="33"/>
      <c r="D320" s="33"/>
      <c r="E320" s="32"/>
      <c r="F320" s="39"/>
      <c r="G320" s="48" t="str">
        <f aca="false">IF($F320="","",IFERROR(INDEX(商品档案!$B$6:$B$65,MATCH($F320,商品档案!$A$6:$A$65,0)),""))</f>
        <v/>
      </c>
      <c r="H320" s="48" t="str">
        <f aca="false">IF($F320="","",IFERROR(INDEX(商品档案!$C$6:$C$65,MATCH($F320,商品档案!$A$6:$A$65,0)),""))</f>
        <v/>
      </c>
      <c r="I320" s="55" t="str">
        <f aca="false">IF($F320="","",IFERROR(INDEX(商品档案!$D$6:$D$65,MATCH($F320,商品档案!$A$6:$A$65,0)),""))</f>
        <v/>
      </c>
      <c r="J320" s="49"/>
      <c r="K320" s="56"/>
      <c r="L320" s="33"/>
      <c r="M320" s="39"/>
      <c r="N320" s="41"/>
      <c r="O320" s="41"/>
      <c r="P320" s="25" t="str">
        <f aca="false">IF(AND($B320="",$D320="",$F320=""),"",IF(NOT(ISNUMBER($B320)),"日期无效",IF(ISNA(MATCH($C320,参数设置!$A$10:$A$12,0)),"公司无效",IF(ISNA(MATCH($D320,记账规则!$A$6:$A$9,0)),"业务类型无效",IF(ISNA(MATCH($F320,商品档案!$A$6:$A$65,0)),"商品编码无效",IF(IFERROR(INDEX(商品档案!$E$6:$E$65,MATCH($F320,商品档案!$A$6:$A$65,0)),"")&lt;&gt;$C320,"商品不属于该公司",IF(AND($E320&lt;&gt;"",ISNA(MATCH($E320,往来单位!$A$6:$A$85,0))),"往来单位未建档",IF(N($J320)=0,"数量为 0",IF(N($K320)=0,"单价为 0",IF(AND(LEFT($D320,2)="销售",$U320=""),"该商品没设成本科目",IF(YEAR($B320)&lt;&gt;参数设置!$B$5,"不在本会计年度","OK")))))))))))</f>
        <v/>
      </c>
      <c r="Q320" s="57" t="str">
        <f aca="false">IF($F320="","",ROUND(N($J320)*N($K320),2))</f>
        <v/>
      </c>
      <c r="R320" s="58" t="str">
        <f aca="false">IF($D320="","",IF(LEFT($D320,2)="销售","应收账款","应付账款"))</f>
        <v/>
      </c>
      <c r="S320" s="58" t="str">
        <f aca="false">IF($F320="","",IFERROR(INDEX(商品档案!$G$6:$G$65,MATCH($F320,商品档案!$A$6:$A$65,0)),""))</f>
        <v/>
      </c>
      <c r="T320" s="58" t="str">
        <f aca="false">IF($F320="","",IFERROR(INDEX(商品档案!$H$6:$H$65,MATCH($F320,商品档案!$A$6:$A$65,0)),""))</f>
        <v/>
      </c>
      <c r="U320" s="58" t="str">
        <f aca="false">IF($F320="","",IFERROR(INDEX(商品档案!$I$6:$I$65,MATCH($F320,商品档案!$A$6:$A$65,0)),""))</f>
        <v/>
      </c>
      <c r="V320" s="59" t="str">
        <f aca="false">IF($F320="","",SUMIFS(进销存台账!$N$6:$N$65,进销存台账!$A$6:$A$65,$C320,进销存台账!$B$6:$B$65,$F320))</f>
        <v/>
      </c>
      <c r="W320" s="60" t="n">
        <f aca="false">IF(OR($D320="销售出库",$D320="销售退回"),ROUND(N($J320)*N($V320),2),0)</f>
        <v>0</v>
      </c>
      <c r="X320" s="58" t="str">
        <f aca="false">IF($E320="","",IFERROR(INDEX(往来单位!$D$6:$D$85,MATCH($E320,往来单位!$A$6:$A$85,0)),"否"))</f>
        <v/>
      </c>
      <c r="Y320" s="61" t="str">
        <f aca="false">IF($B320="","",YEAR($B320))</f>
        <v/>
      </c>
      <c r="Z320" s="58" t="str">
        <f aca="false">IF($B320="","",TEXT($B320,"yyyy-mm"))</f>
        <v/>
      </c>
    </row>
    <row r="321" customFormat="false" ht="15" hidden="false" customHeight="false" outlineLevel="0" collapsed="false">
      <c r="A321" s="53" t="str">
        <f aca="false">IF($B321="","",ROW()-5)</f>
        <v/>
      </c>
      <c r="B321" s="54"/>
      <c r="C321" s="33"/>
      <c r="D321" s="33"/>
      <c r="E321" s="32"/>
      <c r="F321" s="39"/>
      <c r="G321" s="48" t="str">
        <f aca="false">IF($F321="","",IFERROR(INDEX(商品档案!$B$6:$B$65,MATCH($F321,商品档案!$A$6:$A$65,0)),""))</f>
        <v/>
      </c>
      <c r="H321" s="48" t="str">
        <f aca="false">IF($F321="","",IFERROR(INDEX(商品档案!$C$6:$C$65,MATCH($F321,商品档案!$A$6:$A$65,0)),""))</f>
        <v/>
      </c>
      <c r="I321" s="55" t="str">
        <f aca="false">IF($F321="","",IFERROR(INDEX(商品档案!$D$6:$D$65,MATCH($F321,商品档案!$A$6:$A$65,0)),""))</f>
        <v/>
      </c>
      <c r="J321" s="49"/>
      <c r="K321" s="56"/>
      <c r="L321" s="33"/>
      <c r="M321" s="39"/>
      <c r="N321" s="41"/>
      <c r="O321" s="41"/>
      <c r="P321" s="25" t="str">
        <f aca="false">IF(AND($B321="",$D321="",$F321=""),"",IF(NOT(ISNUMBER($B321)),"日期无效",IF(ISNA(MATCH($C321,参数设置!$A$10:$A$12,0)),"公司无效",IF(ISNA(MATCH($D321,记账规则!$A$6:$A$9,0)),"业务类型无效",IF(ISNA(MATCH($F321,商品档案!$A$6:$A$65,0)),"商品编码无效",IF(IFERROR(INDEX(商品档案!$E$6:$E$65,MATCH($F321,商品档案!$A$6:$A$65,0)),"")&lt;&gt;$C321,"商品不属于该公司",IF(AND($E321&lt;&gt;"",ISNA(MATCH($E321,往来单位!$A$6:$A$85,0))),"往来单位未建档",IF(N($J321)=0,"数量为 0",IF(N($K321)=0,"单价为 0",IF(AND(LEFT($D321,2)="销售",$U321=""),"该商品没设成本科目",IF(YEAR($B321)&lt;&gt;参数设置!$B$5,"不在本会计年度","OK")))))))))))</f>
        <v/>
      </c>
      <c r="Q321" s="57" t="str">
        <f aca="false">IF($F321="","",ROUND(N($J321)*N($K321),2))</f>
        <v/>
      </c>
      <c r="R321" s="58" t="str">
        <f aca="false">IF($D321="","",IF(LEFT($D321,2)="销售","应收账款","应付账款"))</f>
        <v/>
      </c>
      <c r="S321" s="58" t="str">
        <f aca="false">IF($F321="","",IFERROR(INDEX(商品档案!$G$6:$G$65,MATCH($F321,商品档案!$A$6:$A$65,0)),""))</f>
        <v/>
      </c>
      <c r="T321" s="58" t="str">
        <f aca="false">IF($F321="","",IFERROR(INDEX(商品档案!$H$6:$H$65,MATCH($F321,商品档案!$A$6:$A$65,0)),""))</f>
        <v/>
      </c>
      <c r="U321" s="58" t="str">
        <f aca="false">IF($F321="","",IFERROR(INDEX(商品档案!$I$6:$I$65,MATCH($F321,商品档案!$A$6:$A$65,0)),""))</f>
        <v/>
      </c>
      <c r="V321" s="59" t="str">
        <f aca="false">IF($F321="","",SUMIFS(进销存台账!$N$6:$N$65,进销存台账!$A$6:$A$65,$C321,进销存台账!$B$6:$B$65,$F321))</f>
        <v/>
      </c>
      <c r="W321" s="60" t="n">
        <f aca="false">IF(OR($D321="销售出库",$D321="销售退回"),ROUND(N($J321)*N($V321),2),0)</f>
        <v>0</v>
      </c>
      <c r="X321" s="58" t="str">
        <f aca="false">IF($E321="","",IFERROR(INDEX(往来单位!$D$6:$D$85,MATCH($E321,往来单位!$A$6:$A$85,0)),"否"))</f>
        <v/>
      </c>
      <c r="Y321" s="61" t="str">
        <f aca="false">IF($B321="","",YEAR($B321))</f>
        <v/>
      </c>
      <c r="Z321" s="58" t="str">
        <f aca="false">IF($B321="","",TEXT($B321,"yyyy-mm"))</f>
        <v/>
      </c>
    </row>
    <row r="322" customFormat="false" ht="15" hidden="false" customHeight="false" outlineLevel="0" collapsed="false">
      <c r="A322" s="53" t="str">
        <f aca="false">IF($B322="","",ROW()-5)</f>
        <v/>
      </c>
      <c r="B322" s="54"/>
      <c r="C322" s="33"/>
      <c r="D322" s="33"/>
      <c r="E322" s="32"/>
      <c r="F322" s="39"/>
      <c r="G322" s="48" t="str">
        <f aca="false">IF($F322="","",IFERROR(INDEX(商品档案!$B$6:$B$65,MATCH($F322,商品档案!$A$6:$A$65,0)),""))</f>
        <v/>
      </c>
      <c r="H322" s="48" t="str">
        <f aca="false">IF($F322="","",IFERROR(INDEX(商品档案!$C$6:$C$65,MATCH($F322,商品档案!$A$6:$A$65,0)),""))</f>
        <v/>
      </c>
      <c r="I322" s="55" t="str">
        <f aca="false">IF($F322="","",IFERROR(INDEX(商品档案!$D$6:$D$65,MATCH($F322,商品档案!$A$6:$A$65,0)),""))</f>
        <v/>
      </c>
      <c r="J322" s="49"/>
      <c r="K322" s="56"/>
      <c r="L322" s="33"/>
      <c r="M322" s="39"/>
      <c r="N322" s="41"/>
      <c r="O322" s="41"/>
      <c r="P322" s="25" t="str">
        <f aca="false">IF(AND($B322="",$D322="",$F322=""),"",IF(NOT(ISNUMBER($B322)),"日期无效",IF(ISNA(MATCH($C322,参数设置!$A$10:$A$12,0)),"公司无效",IF(ISNA(MATCH($D322,记账规则!$A$6:$A$9,0)),"业务类型无效",IF(ISNA(MATCH($F322,商品档案!$A$6:$A$65,0)),"商品编码无效",IF(IFERROR(INDEX(商品档案!$E$6:$E$65,MATCH($F322,商品档案!$A$6:$A$65,0)),"")&lt;&gt;$C322,"商品不属于该公司",IF(AND($E322&lt;&gt;"",ISNA(MATCH($E322,往来单位!$A$6:$A$85,0))),"往来单位未建档",IF(N($J322)=0,"数量为 0",IF(N($K322)=0,"单价为 0",IF(AND(LEFT($D322,2)="销售",$U322=""),"该商品没设成本科目",IF(YEAR($B322)&lt;&gt;参数设置!$B$5,"不在本会计年度","OK")))))))))))</f>
        <v/>
      </c>
      <c r="Q322" s="57" t="str">
        <f aca="false">IF($F322="","",ROUND(N($J322)*N($K322),2))</f>
        <v/>
      </c>
      <c r="R322" s="58" t="str">
        <f aca="false">IF($D322="","",IF(LEFT($D322,2)="销售","应收账款","应付账款"))</f>
        <v/>
      </c>
      <c r="S322" s="58" t="str">
        <f aca="false">IF($F322="","",IFERROR(INDEX(商品档案!$G$6:$G$65,MATCH($F322,商品档案!$A$6:$A$65,0)),""))</f>
        <v/>
      </c>
      <c r="T322" s="58" t="str">
        <f aca="false">IF($F322="","",IFERROR(INDEX(商品档案!$H$6:$H$65,MATCH($F322,商品档案!$A$6:$A$65,0)),""))</f>
        <v/>
      </c>
      <c r="U322" s="58" t="str">
        <f aca="false">IF($F322="","",IFERROR(INDEX(商品档案!$I$6:$I$65,MATCH($F322,商品档案!$A$6:$A$65,0)),""))</f>
        <v/>
      </c>
      <c r="V322" s="59" t="str">
        <f aca="false">IF($F322="","",SUMIFS(进销存台账!$N$6:$N$65,进销存台账!$A$6:$A$65,$C322,进销存台账!$B$6:$B$65,$F322))</f>
        <v/>
      </c>
      <c r="W322" s="60" t="n">
        <f aca="false">IF(OR($D322="销售出库",$D322="销售退回"),ROUND(N($J322)*N($V322),2),0)</f>
        <v>0</v>
      </c>
      <c r="X322" s="58" t="str">
        <f aca="false">IF($E322="","",IFERROR(INDEX(往来单位!$D$6:$D$85,MATCH($E322,往来单位!$A$6:$A$85,0)),"否"))</f>
        <v/>
      </c>
      <c r="Y322" s="61" t="str">
        <f aca="false">IF($B322="","",YEAR($B322))</f>
        <v/>
      </c>
      <c r="Z322" s="58" t="str">
        <f aca="false">IF($B322="","",TEXT($B322,"yyyy-mm"))</f>
        <v/>
      </c>
    </row>
    <row r="323" customFormat="false" ht="15" hidden="false" customHeight="false" outlineLevel="0" collapsed="false">
      <c r="A323" s="53" t="str">
        <f aca="false">IF($B323="","",ROW()-5)</f>
        <v/>
      </c>
      <c r="B323" s="54"/>
      <c r="C323" s="33"/>
      <c r="D323" s="33"/>
      <c r="E323" s="32"/>
      <c r="F323" s="39"/>
      <c r="G323" s="48" t="str">
        <f aca="false">IF($F323="","",IFERROR(INDEX(商品档案!$B$6:$B$65,MATCH($F323,商品档案!$A$6:$A$65,0)),""))</f>
        <v/>
      </c>
      <c r="H323" s="48" t="str">
        <f aca="false">IF($F323="","",IFERROR(INDEX(商品档案!$C$6:$C$65,MATCH($F323,商品档案!$A$6:$A$65,0)),""))</f>
        <v/>
      </c>
      <c r="I323" s="55" t="str">
        <f aca="false">IF($F323="","",IFERROR(INDEX(商品档案!$D$6:$D$65,MATCH($F323,商品档案!$A$6:$A$65,0)),""))</f>
        <v/>
      </c>
      <c r="J323" s="49"/>
      <c r="K323" s="56"/>
      <c r="L323" s="33"/>
      <c r="M323" s="39"/>
      <c r="N323" s="41"/>
      <c r="O323" s="41"/>
      <c r="P323" s="25" t="str">
        <f aca="false">IF(AND($B323="",$D323="",$F323=""),"",IF(NOT(ISNUMBER($B323)),"日期无效",IF(ISNA(MATCH($C323,参数设置!$A$10:$A$12,0)),"公司无效",IF(ISNA(MATCH($D323,记账规则!$A$6:$A$9,0)),"业务类型无效",IF(ISNA(MATCH($F323,商品档案!$A$6:$A$65,0)),"商品编码无效",IF(IFERROR(INDEX(商品档案!$E$6:$E$65,MATCH($F323,商品档案!$A$6:$A$65,0)),"")&lt;&gt;$C323,"商品不属于该公司",IF(AND($E323&lt;&gt;"",ISNA(MATCH($E323,往来单位!$A$6:$A$85,0))),"往来单位未建档",IF(N($J323)=0,"数量为 0",IF(N($K323)=0,"单价为 0",IF(AND(LEFT($D323,2)="销售",$U323=""),"该商品没设成本科目",IF(YEAR($B323)&lt;&gt;参数设置!$B$5,"不在本会计年度","OK")))))))))))</f>
        <v/>
      </c>
      <c r="Q323" s="57" t="str">
        <f aca="false">IF($F323="","",ROUND(N($J323)*N($K323),2))</f>
        <v/>
      </c>
      <c r="R323" s="58" t="str">
        <f aca="false">IF($D323="","",IF(LEFT($D323,2)="销售","应收账款","应付账款"))</f>
        <v/>
      </c>
      <c r="S323" s="58" t="str">
        <f aca="false">IF($F323="","",IFERROR(INDEX(商品档案!$G$6:$G$65,MATCH($F323,商品档案!$A$6:$A$65,0)),""))</f>
        <v/>
      </c>
      <c r="T323" s="58" t="str">
        <f aca="false">IF($F323="","",IFERROR(INDEX(商品档案!$H$6:$H$65,MATCH($F323,商品档案!$A$6:$A$65,0)),""))</f>
        <v/>
      </c>
      <c r="U323" s="58" t="str">
        <f aca="false">IF($F323="","",IFERROR(INDEX(商品档案!$I$6:$I$65,MATCH($F323,商品档案!$A$6:$A$65,0)),""))</f>
        <v/>
      </c>
      <c r="V323" s="59" t="str">
        <f aca="false">IF($F323="","",SUMIFS(进销存台账!$N$6:$N$65,进销存台账!$A$6:$A$65,$C323,进销存台账!$B$6:$B$65,$F323))</f>
        <v/>
      </c>
      <c r="W323" s="60" t="n">
        <f aca="false">IF(OR($D323="销售出库",$D323="销售退回"),ROUND(N($J323)*N($V323),2),0)</f>
        <v>0</v>
      </c>
      <c r="X323" s="58" t="str">
        <f aca="false">IF($E323="","",IFERROR(INDEX(往来单位!$D$6:$D$85,MATCH($E323,往来单位!$A$6:$A$85,0)),"否"))</f>
        <v/>
      </c>
      <c r="Y323" s="61" t="str">
        <f aca="false">IF($B323="","",YEAR($B323))</f>
        <v/>
      </c>
      <c r="Z323" s="58" t="str">
        <f aca="false">IF($B323="","",TEXT($B323,"yyyy-mm"))</f>
        <v/>
      </c>
    </row>
    <row r="324" customFormat="false" ht="15" hidden="false" customHeight="false" outlineLevel="0" collapsed="false">
      <c r="A324" s="53" t="str">
        <f aca="false">IF($B324="","",ROW()-5)</f>
        <v/>
      </c>
      <c r="B324" s="54"/>
      <c r="C324" s="33"/>
      <c r="D324" s="33"/>
      <c r="E324" s="32"/>
      <c r="F324" s="39"/>
      <c r="G324" s="48" t="str">
        <f aca="false">IF($F324="","",IFERROR(INDEX(商品档案!$B$6:$B$65,MATCH($F324,商品档案!$A$6:$A$65,0)),""))</f>
        <v/>
      </c>
      <c r="H324" s="48" t="str">
        <f aca="false">IF($F324="","",IFERROR(INDEX(商品档案!$C$6:$C$65,MATCH($F324,商品档案!$A$6:$A$65,0)),""))</f>
        <v/>
      </c>
      <c r="I324" s="55" t="str">
        <f aca="false">IF($F324="","",IFERROR(INDEX(商品档案!$D$6:$D$65,MATCH($F324,商品档案!$A$6:$A$65,0)),""))</f>
        <v/>
      </c>
      <c r="J324" s="49"/>
      <c r="K324" s="56"/>
      <c r="L324" s="33"/>
      <c r="M324" s="39"/>
      <c r="N324" s="41"/>
      <c r="O324" s="41"/>
      <c r="P324" s="25" t="str">
        <f aca="false">IF(AND($B324="",$D324="",$F324=""),"",IF(NOT(ISNUMBER($B324)),"日期无效",IF(ISNA(MATCH($C324,参数设置!$A$10:$A$12,0)),"公司无效",IF(ISNA(MATCH($D324,记账规则!$A$6:$A$9,0)),"业务类型无效",IF(ISNA(MATCH($F324,商品档案!$A$6:$A$65,0)),"商品编码无效",IF(IFERROR(INDEX(商品档案!$E$6:$E$65,MATCH($F324,商品档案!$A$6:$A$65,0)),"")&lt;&gt;$C324,"商品不属于该公司",IF(AND($E324&lt;&gt;"",ISNA(MATCH($E324,往来单位!$A$6:$A$85,0))),"往来单位未建档",IF(N($J324)=0,"数量为 0",IF(N($K324)=0,"单价为 0",IF(AND(LEFT($D324,2)="销售",$U324=""),"该商品没设成本科目",IF(YEAR($B324)&lt;&gt;参数设置!$B$5,"不在本会计年度","OK")))))))))))</f>
        <v/>
      </c>
      <c r="Q324" s="57" t="str">
        <f aca="false">IF($F324="","",ROUND(N($J324)*N($K324),2))</f>
        <v/>
      </c>
      <c r="R324" s="58" t="str">
        <f aca="false">IF($D324="","",IF(LEFT($D324,2)="销售","应收账款","应付账款"))</f>
        <v/>
      </c>
      <c r="S324" s="58" t="str">
        <f aca="false">IF($F324="","",IFERROR(INDEX(商品档案!$G$6:$G$65,MATCH($F324,商品档案!$A$6:$A$65,0)),""))</f>
        <v/>
      </c>
      <c r="T324" s="58" t="str">
        <f aca="false">IF($F324="","",IFERROR(INDEX(商品档案!$H$6:$H$65,MATCH($F324,商品档案!$A$6:$A$65,0)),""))</f>
        <v/>
      </c>
      <c r="U324" s="58" t="str">
        <f aca="false">IF($F324="","",IFERROR(INDEX(商品档案!$I$6:$I$65,MATCH($F324,商品档案!$A$6:$A$65,0)),""))</f>
        <v/>
      </c>
      <c r="V324" s="59" t="str">
        <f aca="false">IF($F324="","",SUMIFS(进销存台账!$N$6:$N$65,进销存台账!$A$6:$A$65,$C324,进销存台账!$B$6:$B$65,$F324))</f>
        <v/>
      </c>
      <c r="W324" s="60" t="n">
        <f aca="false">IF(OR($D324="销售出库",$D324="销售退回"),ROUND(N($J324)*N($V324),2),0)</f>
        <v>0</v>
      </c>
      <c r="X324" s="58" t="str">
        <f aca="false">IF($E324="","",IFERROR(INDEX(往来单位!$D$6:$D$85,MATCH($E324,往来单位!$A$6:$A$85,0)),"否"))</f>
        <v/>
      </c>
      <c r="Y324" s="61" t="str">
        <f aca="false">IF($B324="","",YEAR($B324))</f>
        <v/>
      </c>
      <c r="Z324" s="58" t="str">
        <f aca="false">IF($B324="","",TEXT($B324,"yyyy-mm"))</f>
        <v/>
      </c>
    </row>
    <row r="325" customFormat="false" ht="15" hidden="false" customHeight="false" outlineLevel="0" collapsed="false">
      <c r="A325" s="53" t="str">
        <f aca="false">IF($B325="","",ROW()-5)</f>
        <v/>
      </c>
      <c r="B325" s="54"/>
      <c r="C325" s="33"/>
      <c r="D325" s="33"/>
      <c r="E325" s="32"/>
      <c r="F325" s="39"/>
      <c r="G325" s="48" t="str">
        <f aca="false">IF($F325="","",IFERROR(INDEX(商品档案!$B$6:$B$65,MATCH($F325,商品档案!$A$6:$A$65,0)),""))</f>
        <v/>
      </c>
      <c r="H325" s="48" t="str">
        <f aca="false">IF($F325="","",IFERROR(INDEX(商品档案!$C$6:$C$65,MATCH($F325,商品档案!$A$6:$A$65,0)),""))</f>
        <v/>
      </c>
      <c r="I325" s="55" t="str">
        <f aca="false">IF($F325="","",IFERROR(INDEX(商品档案!$D$6:$D$65,MATCH($F325,商品档案!$A$6:$A$65,0)),""))</f>
        <v/>
      </c>
      <c r="J325" s="49"/>
      <c r="K325" s="56"/>
      <c r="L325" s="33"/>
      <c r="M325" s="39"/>
      <c r="N325" s="41"/>
      <c r="O325" s="41"/>
      <c r="P325" s="25" t="str">
        <f aca="false">IF(AND($B325="",$D325="",$F325=""),"",IF(NOT(ISNUMBER($B325)),"日期无效",IF(ISNA(MATCH($C325,参数设置!$A$10:$A$12,0)),"公司无效",IF(ISNA(MATCH($D325,记账规则!$A$6:$A$9,0)),"业务类型无效",IF(ISNA(MATCH($F325,商品档案!$A$6:$A$65,0)),"商品编码无效",IF(IFERROR(INDEX(商品档案!$E$6:$E$65,MATCH($F325,商品档案!$A$6:$A$65,0)),"")&lt;&gt;$C325,"商品不属于该公司",IF(AND($E325&lt;&gt;"",ISNA(MATCH($E325,往来单位!$A$6:$A$85,0))),"往来单位未建档",IF(N($J325)=0,"数量为 0",IF(N($K325)=0,"单价为 0",IF(AND(LEFT($D325,2)="销售",$U325=""),"该商品没设成本科目",IF(YEAR($B325)&lt;&gt;参数设置!$B$5,"不在本会计年度","OK")))))))))))</f>
        <v/>
      </c>
      <c r="Q325" s="57" t="str">
        <f aca="false">IF($F325="","",ROUND(N($J325)*N($K325),2))</f>
        <v/>
      </c>
      <c r="R325" s="58" t="str">
        <f aca="false">IF($D325="","",IF(LEFT($D325,2)="销售","应收账款","应付账款"))</f>
        <v/>
      </c>
      <c r="S325" s="58" t="str">
        <f aca="false">IF($F325="","",IFERROR(INDEX(商品档案!$G$6:$G$65,MATCH($F325,商品档案!$A$6:$A$65,0)),""))</f>
        <v/>
      </c>
      <c r="T325" s="58" t="str">
        <f aca="false">IF($F325="","",IFERROR(INDEX(商品档案!$H$6:$H$65,MATCH($F325,商品档案!$A$6:$A$65,0)),""))</f>
        <v/>
      </c>
      <c r="U325" s="58" t="str">
        <f aca="false">IF($F325="","",IFERROR(INDEX(商品档案!$I$6:$I$65,MATCH($F325,商品档案!$A$6:$A$65,0)),""))</f>
        <v/>
      </c>
      <c r="V325" s="59" t="str">
        <f aca="false">IF($F325="","",SUMIFS(进销存台账!$N$6:$N$65,进销存台账!$A$6:$A$65,$C325,进销存台账!$B$6:$B$65,$F325))</f>
        <v/>
      </c>
      <c r="W325" s="60" t="n">
        <f aca="false">IF(OR($D325="销售出库",$D325="销售退回"),ROUND(N($J325)*N($V325),2),0)</f>
        <v>0</v>
      </c>
      <c r="X325" s="58" t="str">
        <f aca="false">IF($E325="","",IFERROR(INDEX(往来单位!$D$6:$D$85,MATCH($E325,往来单位!$A$6:$A$85,0)),"否"))</f>
        <v/>
      </c>
      <c r="Y325" s="61" t="str">
        <f aca="false">IF($B325="","",YEAR($B325))</f>
        <v/>
      </c>
      <c r="Z325" s="58" t="str">
        <f aca="false">IF($B325="","",TEXT($B325,"yyyy-mm"))</f>
        <v/>
      </c>
    </row>
    <row r="326" customFormat="false" ht="15" hidden="false" customHeight="false" outlineLevel="0" collapsed="false">
      <c r="A326" s="53" t="str">
        <f aca="false">IF($B326="","",ROW()-5)</f>
        <v/>
      </c>
      <c r="B326" s="54"/>
      <c r="C326" s="33"/>
      <c r="D326" s="33"/>
      <c r="E326" s="32"/>
      <c r="F326" s="39"/>
      <c r="G326" s="48" t="str">
        <f aca="false">IF($F326="","",IFERROR(INDEX(商品档案!$B$6:$B$65,MATCH($F326,商品档案!$A$6:$A$65,0)),""))</f>
        <v/>
      </c>
      <c r="H326" s="48" t="str">
        <f aca="false">IF($F326="","",IFERROR(INDEX(商品档案!$C$6:$C$65,MATCH($F326,商品档案!$A$6:$A$65,0)),""))</f>
        <v/>
      </c>
      <c r="I326" s="55" t="str">
        <f aca="false">IF($F326="","",IFERROR(INDEX(商品档案!$D$6:$D$65,MATCH($F326,商品档案!$A$6:$A$65,0)),""))</f>
        <v/>
      </c>
      <c r="J326" s="49"/>
      <c r="K326" s="56"/>
      <c r="L326" s="33"/>
      <c r="M326" s="39"/>
      <c r="N326" s="41"/>
      <c r="O326" s="41"/>
      <c r="P326" s="25" t="str">
        <f aca="false">IF(AND($B326="",$D326="",$F326=""),"",IF(NOT(ISNUMBER($B326)),"日期无效",IF(ISNA(MATCH($C326,参数设置!$A$10:$A$12,0)),"公司无效",IF(ISNA(MATCH($D326,记账规则!$A$6:$A$9,0)),"业务类型无效",IF(ISNA(MATCH($F326,商品档案!$A$6:$A$65,0)),"商品编码无效",IF(IFERROR(INDEX(商品档案!$E$6:$E$65,MATCH($F326,商品档案!$A$6:$A$65,0)),"")&lt;&gt;$C326,"商品不属于该公司",IF(AND($E326&lt;&gt;"",ISNA(MATCH($E326,往来单位!$A$6:$A$85,0))),"往来单位未建档",IF(N($J326)=0,"数量为 0",IF(N($K326)=0,"单价为 0",IF(AND(LEFT($D326,2)="销售",$U326=""),"该商品没设成本科目",IF(YEAR($B326)&lt;&gt;参数设置!$B$5,"不在本会计年度","OK")))))))))))</f>
        <v/>
      </c>
      <c r="Q326" s="57" t="str">
        <f aca="false">IF($F326="","",ROUND(N($J326)*N($K326),2))</f>
        <v/>
      </c>
      <c r="R326" s="58" t="str">
        <f aca="false">IF($D326="","",IF(LEFT($D326,2)="销售","应收账款","应付账款"))</f>
        <v/>
      </c>
      <c r="S326" s="58" t="str">
        <f aca="false">IF($F326="","",IFERROR(INDEX(商品档案!$G$6:$G$65,MATCH($F326,商品档案!$A$6:$A$65,0)),""))</f>
        <v/>
      </c>
      <c r="T326" s="58" t="str">
        <f aca="false">IF($F326="","",IFERROR(INDEX(商品档案!$H$6:$H$65,MATCH($F326,商品档案!$A$6:$A$65,0)),""))</f>
        <v/>
      </c>
      <c r="U326" s="58" t="str">
        <f aca="false">IF($F326="","",IFERROR(INDEX(商品档案!$I$6:$I$65,MATCH($F326,商品档案!$A$6:$A$65,0)),""))</f>
        <v/>
      </c>
      <c r="V326" s="59" t="str">
        <f aca="false">IF($F326="","",SUMIFS(进销存台账!$N$6:$N$65,进销存台账!$A$6:$A$65,$C326,进销存台账!$B$6:$B$65,$F326))</f>
        <v/>
      </c>
      <c r="W326" s="60" t="n">
        <f aca="false">IF(OR($D326="销售出库",$D326="销售退回"),ROUND(N($J326)*N($V326),2),0)</f>
        <v>0</v>
      </c>
      <c r="X326" s="58" t="str">
        <f aca="false">IF($E326="","",IFERROR(INDEX(往来单位!$D$6:$D$85,MATCH($E326,往来单位!$A$6:$A$85,0)),"否"))</f>
        <v/>
      </c>
      <c r="Y326" s="61" t="str">
        <f aca="false">IF($B326="","",YEAR($B326))</f>
        <v/>
      </c>
      <c r="Z326" s="58" t="str">
        <f aca="false">IF($B326="","",TEXT($B326,"yyyy-mm"))</f>
        <v/>
      </c>
    </row>
    <row r="327" customFormat="false" ht="15" hidden="false" customHeight="false" outlineLevel="0" collapsed="false">
      <c r="A327" s="53" t="str">
        <f aca="false">IF($B327="","",ROW()-5)</f>
        <v/>
      </c>
      <c r="B327" s="54"/>
      <c r="C327" s="33"/>
      <c r="D327" s="33"/>
      <c r="E327" s="32"/>
      <c r="F327" s="39"/>
      <c r="G327" s="48" t="str">
        <f aca="false">IF($F327="","",IFERROR(INDEX(商品档案!$B$6:$B$65,MATCH($F327,商品档案!$A$6:$A$65,0)),""))</f>
        <v/>
      </c>
      <c r="H327" s="48" t="str">
        <f aca="false">IF($F327="","",IFERROR(INDEX(商品档案!$C$6:$C$65,MATCH($F327,商品档案!$A$6:$A$65,0)),""))</f>
        <v/>
      </c>
      <c r="I327" s="55" t="str">
        <f aca="false">IF($F327="","",IFERROR(INDEX(商品档案!$D$6:$D$65,MATCH($F327,商品档案!$A$6:$A$65,0)),""))</f>
        <v/>
      </c>
      <c r="J327" s="49"/>
      <c r="K327" s="56"/>
      <c r="L327" s="33"/>
      <c r="M327" s="39"/>
      <c r="N327" s="41"/>
      <c r="O327" s="41"/>
      <c r="P327" s="25" t="str">
        <f aca="false">IF(AND($B327="",$D327="",$F327=""),"",IF(NOT(ISNUMBER($B327)),"日期无效",IF(ISNA(MATCH($C327,参数设置!$A$10:$A$12,0)),"公司无效",IF(ISNA(MATCH($D327,记账规则!$A$6:$A$9,0)),"业务类型无效",IF(ISNA(MATCH($F327,商品档案!$A$6:$A$65,0)),"商品编码无效",IF(IFERROR(INDEX(商品档案!$E$6:$E$65,MATCH($F327,商品档案!$A$6:$A$65,0)),"")&lt;&gt;$C327,"商品不属于该公司",IF(AND($E327&lt;&gt;"",ISNA(MATCH($E327,往来单位!$A$6:$A$85,0))),"往来单位未建档",IF(N($J327)=0,"数量为 0",IF(N($K327)=0,"单价为 0",IF(AND(LEFT($D327,2)="销售",$U327=""),"该商品没设成本科目",IF(YEAR($B327)&lt;&gt;参数设置!$B$5,"不在本会计年度","OK")))))))))))</f>
        <v/>
      </c>
      <c r="Q327" s="57" t="str">
        <f aca="false">IF($F327="","",ROUND(N($J327)*N($K327),2))</f>
        <v/>
      </c>
      <c r="R327" s="58" t="str">
        <f aca="false">IF($D327="","",IF(LEFT($D327,2)="销售","应收账款","应付账款"))</f>
        <v/>
      </c>
      <c r="S327" s="58" t="str">
        <f aca="false">IF($F327="","",IFERROR(INDEX(商品档案!$G$6:$G$65,MATCH($F327,商品档案!$A$6:$A$65,0)),""))</f>
        <v/>
      </c>
      <c r="T327" s="58" t="str">
        <f aca="false">IF($F327="","",IFERROR(INDEX(商品档案!$H$6:$H$65,MATCH($F327,商品档案!$A$6:$A$65,0)),""))</f>
        <v/>
      </c>
      <c r="U327" s="58" t="str">
        <f aca="false">IF($F327="","",IFERROR(INDEX(商品档案!$I$6:$I$65,MATCH($F327,商品档案!$A$6:$A$65,0)),""))</f>
        <v/>
      </c>
      <c r="V327" s="59" t="str">
        <f aca="false">IF($F327="","",SUMIFS(进销存台账!$N$6:$N$65,进销存台账!$A$6:$A$65,$C327,进销存台账!$B$6:$B$65,$F327))</f>
        <v/>
      </c>
      <c r="W327" s="60" t="n">
        <f aca="false">IF(OR($D327="销售出库",$D327="销售退回"),ROUND(N($J327)*N($V327),2),0)</f>
        <v>0</v>
      </c>
      <c r="X327" s="58" t="str">
        <f aca="false">IF($E327="","",IFERROR(INDEX(往来单位!$D$6:$D$85,MATCH($E327,往来单位!$A$6:$A$85,0)),"否"))</f>
        <v/>
      </c>
      <c r="Y327" s="61" t="str">
        <f aca="false">IF($B327="","",YEAR($B327))</f>
        <v/>
      </c>
      <c r="Z327" s="58" t="str">
        <f aca="false">IF($B327="","",TEXT($B327,"yyyy-mm"))</f>
        <v/>
      </c>
    </row>
    <row r="328" customFormat="false" ht="15" hidden="false" customHeight="false" outlineLevel="0" collapsed="false">
      <c r="A328" s="53" t="str">
        <f aca="false">IF($B328="","",ROW()-5)</f>
        <v/>
      </c>
      <c r="B328" s="54"/>
      <c r="C328" s="33"/>
      <c r="D328" s="33"/>
      <c r="E328" s="32"/>
      <c r="F328" s="39"/>
      <c r="G328" s="48" t="str">
        <f aca="false">IF($F328="","",IFERROR(INDEX(商品档案!$B$6:$B$65,MATCH($F328,商品档案!$A$6:$A$65,0)),""))</f>
        <v/>
      </c>
      <c r="H328" s="48" t="str">
        <f aca="false">IF($F328="","",IFERROR(INDEX(商品档案!$C$6:$C$65,MATCH($F328,商品档案!$A$6:$A$65,0)),""))</f>
        <v/>
      </c>
      <c r="I328" s="55" t="str">
        <f aca="false">IF($F328="","",IFERROR(INDEX(商品档案!$D$6:$D$65,MATCH($F328,商品档案!$A$6:$A$65,0)),""))</f>
        <v/>
      </c>
      <c r="J328" s="49"/>
      <c r="K328" s="56"/>
      <c r="L328" s="33"/>
      <c r="M328" s="39"/>
      <c r="N328" s="41"/>
      <c r="O328" s="41"/>
      <c r="P328" s="25" t="str">
        <f aca="false">IF(AND($B328="",$D328="",$F328=""),"",IF(NOT(ISNUMBER($B328)),"日期无效",IF(ISNA(MATCH($C328,参数设置!$A$10:$A$12,0)),"公司无效",IF(ISNA(MATCH($D328,记账规则!$A$6:$A$9,0)),"业务类型无效",IF(ISNA(MATCH($F328,商品档案!$A$6:$A$65,0)),"商品编码无效",IF(IFERROR(INDEX(商品档案!$E$6:$E$65,MATCH($F328,商品档案!$A$6:$A$65,0)),"")&lt;&gt;$C328,"商品不属于该公司",IF(AND($E328&lt;&gt;"",ISNA(MATCH($E328,往来单位!$A$6:$A$85,0))),"往来单位未建档",IF(N($J328)=0,"数量为 0",IF(N($K328)=0,"单价为 0",IF(AND(LEFT($D328,2)="销售",$U328=""),"该商品没设成本科目",IF(YEAR($B328)&lt;&gt;参数设置!$B$5,"不在本会计年度","OK")))))))))))</f>
        <v/>
      </c>
      <c r="Q328" s="57" t="str">
        <f aca="false">IF($F328="","",ROUND(N($J328)*N($K328),2))</f>
        <v/>
      </c>
      <c r="R328" s="58" t="str">
        <f aca="false">IF($D328="","",IF(LEFT($D328,2)="销售","应收账款","应付账款"))</f>
        <v/>
      </c>
      <c r="S328" s="58" t="str">
        <f aca="false">IF($F328="","",IFERROR(INDEX(商品档案!$G$6:$G$65,MATCH($F328,商品档案!$A$6:$A$65,0)),""))</f>
        <v/>
      </c>
      <c r="T328" s="58" t="str">
        <f aca="false">IF($F328="","",IFERROR(INDEX(商品档案!$H$6:$H$65,MATCH($F328,商品档案!$A$6:$A$65,0)),""))</f>
        <v/>
      </c>
      <c r="U328" s="58" t="str">
        <f aca="false">IF($F328="","",IFERROR(INDEX(商品档案!$I$6:$I$65,MATCH($F328,商品档案!$A$6:$A$65,0)),""))</f>
        <v/>
      </c>
      <c r="V328" s="59" t="str">
        <f aca="false">IF($F328="","",SUMIFS(进销存台账!$N$6:$N$65,进销存台账!$A$6:$A$65,$C328,进销存台账!$B$6:$B$65,$F328))</f>
        <v/>
      </c>
      <c r="W328" s="60" t="n">
        <f aca="false">IF(OR($D328="销售出库",$D328="销售退回"),ROUND(N($J328)*N($V328),2),0)</f>
        <v>0</v>
      </c>
      <c r="X328" s="58" t="str">
        <f aca="false">IF($E328="","",IFERROR(INDEX(往来单位!$D$6:$D$85,MATCH($E328,往来单位!$A$6:$A$85,0)),"否"))</f>
        <v/>
      </c>
      <c r="Y328" s="61" t="str">
        <f aca="false">IF($B328="","",YEAR($B328))</f>
        <v/>
      </c>
      <c r="Z328" s="58" t="str">
        <f aca="false">IF($B328="","",TEXT($B328,"yyyy-mm"))</f>
        <v/>
      </c>
    </row>
    <row r="329" customFormat="false" ht="15" hidden="false" customHeight="false" outlineLevel="0" collapsed="false">
      <c r="A329" s="53" t="str">
        <f aca="false">IF($B329="","",ROW()-5)</f>
        <v/>
      </c>
      <c r="B329" s="54"/>
      <c r="C329" s="33"/>
      <c r="D329" s="33"/>
      <c r="E329" s="32"/>
      <c r="F329" s="39"/>
      <c r="G329" s="48" t="str">
        <f aca="false">IF($F329="","",IFERROR(INDEX(商品档案!$B$6:$B$65,MATCH($F329,商品档案!$A$6:$A$65,0)),""))</f>
        <v/>
      </c>
      <c r="H329" s="48" t="str">
        <f aca="false">IF($F329="","",IFERROR(INDEX(商品档案!$C$6:$C$65,MATCH($F329,商品档案!$A$6:$A$65,0)),""))</f>
        <v/>
      </c>
      <c r="I329" s="55" t="str">
        <f aca="false">IF($F329="","",IFERROR(INDEX(商品档案!$D$6:$D$65,MATCH($F329,商品档案!$A$6:$A$65,0)),""))</f>
        <v/>
      </c>
      <c r="J329" s="49"/>
      <c r="K329" s="56"/>
      <c r="L329" s="33"/>
      <c r="M329" s="39"/>
      <c r="N329" s="41"/>
      <c r="O329" s="41"/>
      <c r="P329" s="25" t="str">
        <f aca="false">IF(AND($B329="",$D329="",$F329=""),"",IF(NOT(ISNUMBER($B329)),"日期无效",IF(ISNA(MATCH($C329,参数设置!$A$10:$A$12,0)),"公司无效",IF(ISNA(MATCH($D329,记账规则!$A$6:$A$9,0)),"业务类型无效",IF(ISNA(MATCH($F329,商品档案!$A$6:$A$65,0)),"商品编码无效",IF(IFERROR(INDEX(商品档案!$E$6:$E$65,MATCH($F329,商品档案!$A$6:$A$65,0)),"")&lt;&gt;$C329,"商品不属于该公司",IF(AND($E329&lt;&gt;"",ISNA(MATCH($E329,往来单位!$A$6:$A$85,0))),"往来单位未建档",IF(N($J329)=0,"数量为 0",IF(N($K329)=0,"单价为 0",IF(AND(LEFT($D329,2)="销售",$U329=""),"该商品没设成本科目",IF(YEAR($B329)&lt;&gt;参数设置!$B$5,"不在本会计年度","OK")))))))))))</f>
        <v/>
      </c>
      <c r="Q329" s="57" t="str">
        <f aca="false">IF($F329="","",ROUND(N($J329)*N($K329),2))</f>
        <v/>
      </c>
      <c r="R329" s="58" t="str">
        <f aca="false">IF($D329="","",IF(LEFT($D329,2)="销售","应收账款","应付账款"))</f>
        <v/>
      </c>
      <c r="S329" s="58" t="str">
        <f aca="false">IF($F329="","",IFERROR(INDEX(商品档案!$G$6:$G$65,MATCH($F329,商品档案!$A$6:$A$65,0)),""))</f>
        <v/>
      </c>
      <c r="T329" s="58" t="str">
        <f aca="false">IF($F329="","",IFERROR(INDEX(商品档案!$H$6:$H$65,MATCH($F329,商品档案!$A$6:$A$65,0)),""))</f>
        <v/>
      </c>
      <c r="U329" s="58" t="str">
        <f aca="false">IF($F329="","",IFERROR(INDEX(商品档案!$I$6:$I$65,MATCH($F329,商品档案!$A$6:$A$65,0)),""))</f>
        <v/>
      </c>
      <c r="V329" s="59" t="str">
        <f aca="false">IF($F329="","",SUMIFS(进销存台账!$N$6:$N$65,进销存台账!$A$6:$A$65,$C329,进销存台账!$B$6:$B$65,$F329))</f>
        <v/>
      </c>
      <c r="W329" s="60" t="n">
        <f aca="false">IF(OR($D329="销售出库",$D329="销售退回"),ROUND(N($J329)*N($V329),2),0)</f>
        <v>0</v>
      </c>
      <c r="X329" s="58" t="str">
        <f aca="false">IF($E329="","",IFERROR(INDEX(往来单位!$D$6:$D$85,MATCH($E329,往来单位!$A$6:$A$85,0)),"否"))</f>
        <v/>
      </c>
      <c r="Y329" s="61" t="str">
        <f aca="false">IF($B329="","",YEAR($B329))</f>
        <v/>
      </c>
      <c r="Z329" s="58" t="str">
        <f aca="false">IF($B329="","",TEXT($B329,"yyyy-mm"))</f>
        <v/>
      </c>
    </row>
    <row r="330" customFormat="false" ht="15" hidden="false" customHeight="false" outlineLevel="0" collapsed="false">
      <c r="A330" s="53" t="str">
        <f aca="false">IF($B330="","",ROW()-5)</f>
        <v/>
      </c>
      <c r="B330" s="54"/>
      <c r="C330" s="33"/>
      <c r="D330" s="33"/>
      <c r="E330" s="32"/>
      <c r="F330" s="39"/>
      <c r="G330" s="48" t="str">
        <f aca="false">IF($F330="","",IFERROR(INDEX(商品档案!$B$6:$B$65,MATCH($F330,商品档案!$A$6:$A$65,0)),""))</f>
        <v/>
      </c>
      <c r="H330" s="48" t="str">
        <f aca="false">IF($F330="","",IFERROR(INDEX(商品档案!$C$6:$C$65,MATCH($F330,商品档案!$A$6:$A$65,0)),""))</f>
        <v/>
      </c>
      <c r="I330" s="55" t="str">
        <f aca="false">IF($F330="","",IFERROR(INDEX(商品档案!$D$6:$D$65,MATCH($F330,商品档案!$A$6:$A$65,0)),""))</f>
        <v/>
      </c>
      <c r="J330" s="49"/>
      <c r="K330" s="56"/>
      <c r="L330" s="33"/>
      <c r="M330" s="39"/>
      <c r="N330" s="41"/>
      <c r="O330" s="41"/>
      <c r="P330" s="25" t="str">
        <f aca="false">IF(AND($B330="",$D330="",$F330=""),"",IF(NOT(ISNUMBER($B330)),"日期无效",IF(ISNA(MATCH($C330,参数设置!$A$10:$A$12,0)),"公司无效",IF(ISNA(MATCH($D330,记账规则!$A$6:$A$9,0)),"业务类型无效",IF(ISNA(MATCH($F330,商品档案!$A$6:$A$65,0)),"商品编码无效",IF(IFERROR(INDEX(商品档案!$E$6:$E$65,MATCH($F330,商品档案!$A$6:$A$65,0)),"")&lt;&gt;$C330,"商品不属于该公司",IF(AND($E330&lt;&gt;"",ISNA(MATCH($E330,往来单位!$A$6:$A$85,0))),"往来单位未建档",IF(N($J330)=0,"数量为 0",IF(N($K330)=0,"单价为 0",IF(AND(LEFT($D330,2)="销售",$U330=""),"该商品没设成本科目",IF(YEAR($B330)&lt;&gt;参数设置!$B$5,"不在本会计年度","OK")))))))))))</f>
        <v/>
      </c>
      <c r="Q330" s="57" t="str">
        <f aca="false">IF($F330="","",ROUND(N($J330)*N($K330),2))</f>
        <v/>
      </c>
      <c r="R330" s="58" t="str">
        <f aca="false">IF($D330="","",IF(LEFT($D330,2)="销售","应收账款","应付账款"))</f>
        <v/>
      </c>
      <c r="S330" s="58" t="str">
        <f aca="false">IF($F330="","",IFERROR(INDEX(商品档案!$G$6:$G$65,MATCH($F330,商品档案!$A$6:$A$65,0)),""))</f>
        <v/>
      </c>
      <c r="T330" s="58" t="str">
        <f aca="false">IF($F330="","",IFERROR(INDEX(商品档案!$H$6:$H$65,MATCH($F330,商品档案!$A$6:$A$65,0)),""))</f>
        <v/>
      </c>
      <c r="U330" s="58" t="str">
        <f aca="false">IF($F330="","",IFERROR(INDEX(商品档案!$I$6:$I$65,MATCH($F330,商品档案!$A$6:$A$65,0)),""))</f>
        <v/>
      </c>
      <c r="V330" s="59" t="str">
        <f aca="false">IF($F330="","",SUMIFS(进销存台账!$N$6:$N$65,进销存台账!$A$6:$A$65,$C330,进销存台账!$B$6:$B$65,$F330))</f>
        <v/>
      </c>
      <c r="W330" s="60" t="n">
        <f aca="false">IF(OR($D330="销售出库",$D330="销售退回"),ROUND(N($J330)*N($V330),2),0)</f>
        <v>0</v>
      </c>
      <c r="X330" s="58" t="str">
        <f aca="false">IF($E330="","",IFERROR(INDEX(往来单位!$D$6:$D$85,MATCH($E330,往来单位!$A$6:$A$85,0)),"否"))</f>
        <v/>
      </c>
      <c r="Y330" s="61" t="str">
        <f aca="false">IF($B330="","",YEAR($B330))</f>
        <v/>
      </c>
      <c r="Z330" s="58" t="str">
        <f aca="false">IF($B330="","",TEXT($B330,"yyyy-mm"))</f>
        <v/>
      </c>
    </row>
    <row r="331" customFormat="false" ht="15" hidden="false" customHeight="false" outlineLevel="0" collapsed="false">
      <c r="A331" s="53" t="str">
        <f aca="false">IF($B331="","",ROW()-5)</f>
        <v/>
      </c>
      <c r="B331" s="54"/>
      <c r="C331" s="33"/>
      <c r="D331" s="33"/>
      <c r="E331" s="32"/>
      <c r="F331" s="39"/>
      <c r="G331" s="48" t="str">
        <f aca="false">IF($F331="","",IFERROR(INDEX(商品档案!$B$6:$B$65,MATCH($F331,商品档案!$A$6:$A$65,0)),""))</f>
        <v/>
      </c>
      <c r="H331" s="48" t="str">
        <f aca="false">IF($F331="","",IFERROR(INDEX(商品档案!$C$6:$C$65,MATCH($F331,商品档案!$A$6:$A$65,0)),""))</f>
        <v/>
      </c>
      <c r="I331" s="55" t="str">
        <f aca="false">IF($F331="","",IFERROR(INDEX(商品档案!$D$6:$D$65,MATCH($F331,商品档案!$A$6:$A$65,0)),""))</f>
        <v/>
      </c>
      <c r="J331" s="49"/>
      <c r="K331" s="56"/>
      <c r="L331" s="33"/>
      <c r="M331" s="39"/>
      <c r="N331" s="41"/>
      <c r="O331" s="41"/>
      <c r="P331" s="25" t="str">
        <f aca="false">IF(AND($B331="",$D331="",$F331=""),"",IF(NOT(ISNUMBER($B331)),"日期无效",IF(ISNA(MATCH($C331,参数设置!$A$10:$A$12,0)),"公司无效",IF(ISNA(MATCH($D331,记账规则!$A$6:$A$9,0)),"业务类型无效",IF(ISNA(MATCH($F331,商品档案!$A$6:$A$65,0)),"商品编码无效",IF(IFERROR(INDEX(商品档案!$E$6:$E$65,MATCH($F331,商品档案!$A$6:$A$65,0)),"")&lt;&gt;$C331,"商品不属于该公司",IF(AND($E331&lt;&gt;"",ISNA(MATCH($E331,往来单位!$A$6:$A$85,0))),"往来单位未建档",IF(N($J331)=0,"数量为 0",IF(N($K331)=0,"单价为 0",IF(AND(LEFT($D331,2)="销售",$U331=""),"该商品没设成本科目",IF(YEAR($B331)&lt;&gt;参数设置!$B$5,"不在本会计年度","OK")))))))))))</f>
        <v/>
      </c>
      <c r="Q331" s="57" t="str">
        <f aca="false">IF($F331="","",ROUND(N($J331)*N($K331),2))</f>
        <v/>
      </c>
      <c r="R331" s="58" t="str">
        <f aca="false">IF($D331="","",IF(LEFT($D331,2)="销售","应收账款","应付账款"))</f>
        <v/>
      </c>
      <c r="S331" s="58" t="str">
        <f aca="false">IF($F331="","",IFERROR(INDEX(商品档案!$G$6:$G$65,MATCH($F331,商品档案!$A$6:$A$65,0)),""))</f>
        <v/>
      </c>
      <c r="T331" s="58" t="str">
        <f aca="false">IF($F331="","",IFERROR(INDEX(商品档案!$H$6:$H$65,MATCH($F331,商品档案!$A$6:$A$65,0)),""))</f>
        <v/>
      </c>
      <c r="U331" s="58" t="str">
        <f aca="false">IF($F331="","",IFERROR(INDEX(商品档案!$I$6:$I$65,MATCH($F331,商品档案!$A$6:$A$65,0)),""))</f>
        <v/>
      </c>
      <c r="V331" s="59" t="str">
        <f aca="false">IF($F331="","",SUMIFS(进销存台账!$N$6:$N$65,进销存台账!$A$6:$A$65,$C331,进销存台账!$B$6:$B$65,$F331))</f>
        <v/>
      </c>
      <c r="W331" s="60" t="n">
        <f aca="false">IF(OR($D331="销售出库",$D331="销售退回"),ROUND(N($J331)*N($V331),2),0)</f>
        <v>0</v>
      </c>
      <c r="X331" s="58" t="str">
        <f aca="false">IF($E331="","",IFERROR(INDEX(往来单位!$D$6:$D$85,MATCH($E331,往来单位!$A$6:$A$85,0)),"否"))</f>
        <v/>
      </c>
      <c r="Y331" s="61" t="str">
        <f aca="false">IF($B331="","",YEAR($B331))</f>
        <v/>
      </c>
      <c r="Z331" s="58" t="str">
        <f aca="false">IF($B331="","",TEXT($B331,"yyyy-mm"))</f>
        <v/>
      </c>
    </row>
    <row r="332" customFormat="false" ht="15" hidden="false" customHeight="false" outlineLevel="0" collapsed="false">
      <c r="A332" s="53" t="str">
        <f aca="false">IF($B332="","",ROW()-5)</f>
        <v/>
      </c>
      <c r="B332" s="54"/>
      <c r="C332" s="33"/>
      <c r="D332" s="33"/>
      <c r="E332" s="32"/>
      <c r="F332" s="39"/>
      <c r="G332" s="48" t="str">
        <f aca="false">IF($F332="","",IFERROR(INDEX(商品档案!$B$6:$B$65,MATCH($F332,商品档案!$A$6:$A$65,0)),""))</f>
        <v/>
      </c>
      <c r="H332" s="48" t="str">
        <f aca="false">IF($F332="","",IFERROR(INDEX(商品档案!$C$6:$C$65,MATCH($F332,商品档案!$A$6:$A$65,0)),""))</f>
        <v/>
      </c>
      <c r="I332" s="55" t="str">
        <f aca="false">IF($F332="","",IFERROR(INDEX(商品档案!$D$6:$D$65,MATCH($F332,商品档案!$A$6:$A$65,0)),""))</f>
        <v/>
      </c>
      <c r="J332" s="49"/>
      <c r="K332" s="56"/>
      <c r="L332" s="33"/>
      <c r="M332" s="39"/>
      <c r="N332" s="41"/>
      <c r="O332" s="41"/>
      <c r="P332" s="25" t="str">
        <f aca="false">IF(AND($B332="",$D332="",$F332=""),"",IF(NOT(ISNUMBER($B332)),"日期无效",IF(ISNA(MATCH($C332,参数设置!$A$10:$A$12,0)),"公司无效",IF(ISNA(MATCH($D332,记账规则!$A$6:$A$9,0)),"业务类型无效",IF(ISNA(MATCH($F332,商品档案!$A$6:$A$65,0)),"商品编码无效",IF(IFERROR(INDEX(商品档案!$E$6:$E$65,MATCH($F332,商品档案!$A$6:$A$65,0)),"")&lt;&gt;$C332,"商品不属于该公司",IF(AND($E332&lt;&gt;"",ISNA(MATCH($E332,往来单位!$A$6:$A$85,0))),"往来单位未建档",IF(N($J332)=0,"数量为 0",IF(N($K332)=0,"单价为 0",IF(AND(LEFT($D332,2)="销售",$U332=""),"该商品没设成本科目",IF(YEAR($B332)&lt;&gt;参数设置!$B$5,"不在本会计年度","OK")))))))))))</f>
        <v/>
      </c>
      <c r="Q332" s="57" t="str">
        <f aca="false">IF($F332="","",ROUND(N($J332)*N($K332),2))</f>
        <v/>
      </c>
      <c r="R332" s="58" t="str">
        <f aca="false">IF($D332="","",IF(LEFT($D332,2)="销售","应收账款","应付账款"))</f>
        <v/>
      </c>
      <c r="S332" s="58" t="str">
        <f aca="false">IF($F332="","",IFERROR(INDEX(商品档案!$G$6:$G$65,MATCH($F332,商品档案!$A$6:$A$65,0)),""))</f>
        <v/>
      </c>
      <c r="T332" s="58" t="str">
        <f aca="false">IF($F332="","",IFERROR(INDEX(商品档案!$H$6:$H$65,MATCH($F332,商品档案!$A$6:$A$65,0)),""))</f>
        <v/>
      </c>
      <c r="U332" s="58" t="str">
        <f aca="false">IF($F332="","",IFERROR(INDEX(商品档案!$I$6:$I$65,MATCH($F332,商品档案!$A$6:$A$65,0)),""))</f>
        <v/>
      </c>
      <c r="V332" s="59" t="str">
        <f aca="false">IF($F332="","",SUMIFS(进销存台账!$N$6:$N$65,进销存台账!$A$6:$A$65,$C332,进销存台账!$B$6:$B$65,$F332))</f>
        <v/>
      </c>
      <c r="W332" s="60" t="n">
        <f aca="false">IF(OR($D332="销售出库",$D332="销售退回"),ROUND(N($J332)*N($V332),2),0)</f>
        <v>0</v>
      </c>
      <c r="X332" s="58" t="str">
        <f aca="false">IF($E332="","",IFERROR(INDEX(往来单位!$D$6:$D$85,MATCH($E332,往来单位!$A$6:$A$85,0)),"否"))</f>
        <v/>
      </c>
      <c r="Y332" s="61" t="str">
        <f aca="false">IF($B332="","",YEAR($B332))</f>
        <v/>
      </c>
      <c r="Z332" s="58" t="str">
        <f aca="false">IF($B332="","",TEXT($B332,"yyyy-mm"))</f>
        <v/>
      </c>
    </row>
    <row r="333" customFormat="false" ht="15" hidden="false" customHeight="false" outlineLevel="0" collapsed="false">
      <c r="A333" s="53" t="str">
        <f aca="false">IF($B333="","",ROW()-5)</f>
        <v/>
      </c>
      <c r="B333" s="54"/>
      <c r="C333" s="33"/>
      <c r="D333" s="33"/>
      <c r="E333" s="32"/>
      <c r="F333" s="39"/>
      <c r="G333" s="48" t="str">
        <f aca="false">IF($F333="","",IFERROR(INDEX(商品档案!$B$6:$B$65,MATCH($F333,商品档案!$A$6:$A$65,0)),""))</f>
        <v/>
      </c>
      <c r="H333" s="48" t="str">
        <f aca="false">IF($F333="","",IFERROR(INDEX(商品档案!$C$6:$C$65,MATCH($F333,商品档案!$A$6:$A$65,0)),""))</f>
        <v/>
      </c>
      <c r="I333" s="55" t="str">
        <f aca="false">IF($F333="","",IFERROR(INDEX(商品档案!$D$6:$D$65,MATCH($F333,商品档案!$A$6:$A$65,0)),""))</f>
        <v/>
      </c>
      <c r="J333" s="49"/>
      <c r="K333" s="56"/>
      <c r="L333" s="33"/>
      <c r="M333" s="39"/>
      <c r="N333" s="41"/>
      <c r="O333" s="41"/>
      <c r="P333" s="25" t="str">
        <f aca="false">IF(AND($B333="",$D333="",$F333=""),"",IF(NOT(ISNUMBER($B333)),"日期无效",IF(ISNA(MATCH($C333,参数设置!$A$10:$A$12,0)),"公司无效",IF(ISNA(MATCH($D333,记账规则!$A$6:$A$9,0)),"业务类型无效",IF(ISNA(MATCH($F333,商品档案!$A$6:$A$65,0)),"商品编码无效",IF(IFERROR(INDEX(商品档案!$E$6:$E$65,MATCH($F333,商品档案!$A$6:$A$65,0)),"")&lt;&gt;$C333,"商品不属于该公司",IF(AND($E333&lt;&gt;"",ISNA(MATCH($E333,往来单位!$A$6:$A$85,0))),"往来单位未建档",IF(N($J333)=0,"数量为 0",IF(N($K333)=0,"单价为 0",IF(AND(LEFT($D333,2)="销售",$U333=""),"该商品没设成本科目",IF(YEAR($B333)&lt;&gt;参数设置!$B$5,"不在本会计年度","OK")))))))))))</f>
        <v/>
      </c>
      <c r="Q333" s="57" t="str">
        <f aca="false">IF($F333="","",ROUND(N($J333)*N($K333),2))</f>
        <v/>
      </c>
      <c r="R333" s="58" t="str">
        <f aca="false">IF($D333="","",IF(LEFT($D333,2)="销售","应收账款","应付账款"))</f>
        <v/>
      </c>
      <c r="S333" s="58" t="str">
        <f aca="false">IF($F333="","",IFERROR(INDEX(商品档案!$G$6:$G$65,MATCH($F333,商品档案!$A$6:$A$65,0)),""))</f>
        <v/>
      </c>
      <c r="T333" s="58" t="str">
        <f aca="false">IF($F333="","",IFERROR(INDEX(商品档案!$H$6:$H$65,MATCH($F333,商品档案!$A$6:$A$65,0)),""))</f>
        <v/>
      </c>
      <c r="U333" s="58" t="str">
        <f aca="false">IF($F333="","",IFERROR(INDEX(商品档案!$I$6:$I$65,MATCH($F333,商品档案!$A$6:$A$65,0)),""))</f>
        <v/>
      </c>
      <c r="V333" s="59" t="str">
        <f aca="false">IF($F333="","",SUMIFS(进销存台账!$N$6:$N$65,进销存台账!$A$6:$A$65,$C333,进销存台账!$B$6:$B$65,$F333))</f>
        <v/>
      </c>
      <c r="W333" s="60" t="n">
        <f aca="false">IF(OR($D333="销售出库",$D333="销售退回"),ROUND(N($J333)*N($V333),2),0)</f>
        <v>0</v>
      </c>
      <c r="X333" s="58" t="str">
        <f aca="false">IF($E333="","",IFERROR(INDEX(往来单位!$D$6:$D$85,MATCH($E333,往来单位!$A$6:$A$85,0)),"否"))</f>
        <v/>
      </c>
      <c r="Y333" s="61" t="str">
        <f aca="false">IF($B333="","",YEAR($B333))</f>
        <v/>
      </c>
      <c r="Z333" s="58" t="str">
        <f aca="false">IF($B333="","",TEXT($B333,"yyyy-mm"))</f>
        <v/>
      </c>
    </row>
    <row r="334" customFormat="false" ht="15" hidden="false" customHeight="false" outlineLevel="0" collapsed="false">
      <c r="A334" s="53" t="str">
        <f aca="false">IF($B334="","",ROW()-5)</f>
        <v/>
      </c>
      <c r="B334" s="54"/>
      <c r="C334" s="33"/>
      <c r="D334" s="33"/>
      <c r="E334" s="32"/>
      <c r="F334" s="39"/>
      <c r="G334" s="48" t="str">
        <f aca="false">IF($F334="","",IFERROR(INDEX(商品档案!$B$6:$B$65,MATCH($F334,商品档案!$A$6:$A$65,0)),""))</f>
        <v/>
      </c>
      <c r="H334" s="48" t="str">
        <f aca="false">IF($F334="","",IFERROR(INDEX(商品档案!$C$6:$C$65,MATCH($F334,商品档案!$A$6:$A$65,0)),""))</f>
        <v/>
      </c>
      <c r="I334" s="55" t="str">
        <f aca="false">IF($F334="","",IFERROR(INDEX(商品档案!$D$6:$D$65,MATCH($F334,商品档案!$A$6:$A$65,0)),""))</f>
        <v/>
      </c>
      <c r="J334" s="49"/>
      <c r="K334" s="56"/>
      <c r="L334" s="33"/>
      <c r="M334" s="39"/>
      <c r="N334" s="41"/>
      <c r="O334" s="41"/>
      <c r="P334" s="25" t="str">
        <f aca="false">IF(AND($B334="",$D334="",$F334=""),"",IF(NOT(ISNUMBER($B334)),"日期无效",IF(ISNA(MATCH($C334,参数设置!$A$10:$A$12,0)),"公司无效",IF(ISNA(MATCH($D334,记账规则!$A$6:$A$9,0)),"业务类型无效",IF(ISNA(MATCH($F334,商品档案!$A$6:$A$65,0)),"商品编码无效",IF(IFERROR(INDEX(商品档案!$E$6:$E$65,MATCH($F334,商品档案!$A$6:$A$65,0)),"")&lt;&gt;$C334,"商品不属于该公司",IF(AND($E334&lt;&gt;"",ISNA(MATCH($E334,往来单位!$A$6:$A$85,0))),"往来单位未建档",IF(N($J334)=0,"数量为 0",IF(N($K334)=0,"单价为 0",IF(AND(LEFT($D334,2)="销售",$U334=""),"该商品没设成本科目",IF(YEAR($B334)&lt;&gt;参数设置!$B$5,"不在本会计年度","OK")))))))))))</f>
        <v/>
      </c>
      <c r="Q334" s="57" t="str">
        <f aca="false">IF($F334="","",ROUND(N($J334)*N($K334),2))</f>
        <v/>
      </c>
      <c r="R334" s="58" t="str">
        <f aca="false">IF($D334="","",IF(LEFT($D334,2)="销售","应收账款","应付账款"))</f>
        <v/>
      </c>
      <c r="S334" s="58" t="str">
        <f aca="false">IF($F334="","",IFERROR(INDEX(商品档案!$G$6:$G$65,MATCH($F334,商品档案!$A$6:$A$65,0)),""))</f>
        <v/>
      </c>
      <c r="T334" s="58" t="str">
        <f aca="false">IF($F334="","",IFERROR(INDEX(商品档案!$H$6:$H$65,MATCH($F334,商品档案!$A$6:$A$65,0)),""))</f>
        <v/>
      </c>
      <c r="U334" s="58" t="str">
        <f aca="false">IF($F334="","",IFERROR(INDEX(商品档案!$I$6:$I$65,MATCH($F334,商品档案!$A$6:$A$65,0)),""))</f>
        <v/>
      </c>
      <c r="V334" s="59" t="str">
        <f aca="false">IF($F334="","",SUMIFS(进销存台账!$N$6:$N$65,进销存台账!$A$6:$A$65,$C334,进销存台账!$B$6:$B$65,$F334))</f>
        <v/>
      </c>
      <c r="W334" s="60" t="n">
        <f aca="false">IF(OR($D334="销售出库",$D334="销售退回"),ROUND(N($J334)*N($V334),2),0)</f>
        <v>0</v>
      </c>
      <c r="X334" s="58" t="str">
        <f aca="false">IF($E334="","",IFERROR(INDEX(往来单位!$D$6:$D$85,MATCH($E334,往来单位!$A$6:$A$85,0)),"否"))</f>
        <v/>
      </c>
      <c r="Y334" s="61" t="str">
        <f aca="false">IF($B334="","",YEAR($B334))</f>
        <v/>
      </c>
      <c r="Z334" s="58" t="str">
        <f aca="false">IF($B334="","",TEXT($B334,"yyyy-mm"))</f>
        <v/>
      </c>
    </row>
    <row r="335" customFormat="false" ht="15" hidden="false" customHeight="false" outlineLevel="0" collapsed="false">
      <c r="A335" s="53" t="str">
        <f aca="false">IF($B335="","",ROW()-5)</f>
        <v/>
      </c>
      <c r="B335" s="54"/>
      <c r="C335" s="33"/>
      <c r="D335" s="33"/>
      <c r="E335" s="32"/>
      <c r="F335" s="39"/>
      <c r="G335" s="48" t="str">
        <f aca="false">IF($F335="","",IFERROR(INDEX(商品档案!$B$6:$B$65,MATCH($F335,商品档案!$A$6:$A$65,0)),""))</f>
        <v/>
      </c>
      <c r="H335" s="48" t="str">
        <f aca="false">IF($F335="","",IFERROR(INDEX(商品档案!$C$6:$C$65,MATCH($F335,商品档案!$A$6:$A$65,0)),""))</f>
        <v/>
      </c>
      <c r="I335" s="55" t="str">
        <f aca="false">IF($F335="","",IFERROR(INDEX(商品档案!$D$6:$D$65,MATCH($F335,商品档案!$A$6:$A$65,0)),""))</f>
        <v/>
      </c>
      <c r="J335" s="49"/>
      <c r="K335" s="56"/>
      <c r="L335" s="33"/>
      <c r="M335" s="39"/>
      <c r="N335" s="41"/>
      <c r="O335" s="41"/>
      <c r="P335" s="25" t="str">
        <f aca="false">IF(AND($B335="",$D335="",$F335=""),"",IF(NOT(ISNUMBER($B335)),"日期无效",IF(ISNA(MATCH($C335,参数设置!$A$10:$A$12,0)),"公司无效",IF(ISNA(MATCH($D335,记账规则!$A$6:$A$9,0)),"业务类型无效",IF(ISNA(MATCH($F335,商品档案!$A$6:$A$65,0)),"商品编码无效",IF(IFERROR(INDEX(商品档案!$E$6:$E$65,MATCH($F335,商品档案!$A$6:$A$65,0)),"")&lt;&gt;$C335,"商品不属于该公司",IF(AND($E335&lt;&gt;"",ISNA(MATCH($E335,往来单位!$A$6:$A$85,0))),"往来单位未建档",IF(N($J335)=0,"数量为 0",IF(N($K335)=0,"单价为 0",IF(AND(LEFT($D335,2)="销售",$U335=""),"该商品没设成本科目",IF(YEAR($B335)&lt;&gt;参数设置!$B$5,"不在本会计年度","OK")))))))))))</f>
        <v/>
      </c>
      <c r="Q335" s="57" t="str">
        <f aca="false">IF($F335="","",ROUND(N($J335)*N($K335),2))</f>
        <v/>
      </c>
      <c r="R335" s="58" t="str">
        <f aca="false">IF($D335="","",IF(LEFT($D335,2)="销售","应收账款","应付账款"))</f>
        <v/>
      </c>
      <c r="S335" s="58" t="str">
        <f aca="false">IF($F335="","",IFERROR(INDEX(商品档案!$G$6:$G$65,MATCH($F335,商品档案!$A$6:$A$65,0)),""))</f>
        <v/>
      </c>
      <c r="T335" s="58" t="str">
        <f aca="false">IF($F335="","",IFERROR(INDEX(商品档案!$H$6:$H$65,MATCH($F335,商品档案!$A$6:$A$65,0)),""))</f>
        <v/>
      </c>
      <c r="U335" s="58" t="str">
        <f aca="false">IF($F335="","",IFERROR(INDEX(商品档案!$I$6:$I$65,MATCH($F335,商品档案!$A$6:$A$65,0)),""))</f>
        <v/>
      </c>
      <c r="V335" s="59" t="str">
        <f aca="false">IF($F335="","",SUMIFS(进销存台账!$N$6:$N$65,进销存台账!$A$6:$A$65,$C335,进销存台账!$B$6:$B$65,$F335))</f>
        <v/>
      </c>
      <c r="W335" s="60" t="n">
        <f aca="false">IF(OR($D335="销售出库",$D335="销售退回"),ROUND(N($J335)*N($V335),2),0)</f>
        <v>0</v>
      </c>
      <c r="X335" s="58" t="str">
        <f aca="false">IF($E335="","",IFERROR(INDEX(往来单位!$D$6:$D$85,MATCH($E335,往来单位!$A$6:$A$85,0)),"否"))</f>
        <v/>
      </c>
      <c r="Y335" s="61" t="str">
        <f aca="false">IF($B335="","",YEAR($B335))</f>
        <v/>
      </c>
      <c r="Z335" s="58" t="str">
        <f aca="false">IF($B335="","",TEXT($B335,"yyyy-mm"))</f>
        <v/>
      </c>
    </row>
    <row r="336" customFormat="false" ht="15" hidden="false" customHeight="false" outlineLevel="0" collapsed="false">
      <c r="A336" s="53" t="str">
        <f aca="false">IF($B336="","",ROW()-5)</f>
        <v/>
      </c>
      <c r="B336" s="54"/>
      <c r="C336" s="33"/>
      <c r="D336" s="33"/>
      <c r="E336" s="32"/>
      <c r="F336" s="39"/>
      <c r="G336" s="48" t="str">
        <f aca="false">IF($F336="","",IFERROR(INDEX(商品档案!$B$6:$B$65,MATCH($F336,商品档案!$A$6:$A$65,0)),""))</f>
        <v/>
      </c>
      <c r="H336" s="48" t="str">
        <f aca="false">IF($F336="","",IFERROR(INDEX(商品档案!$C$6:$C$65,MATCH($F336,商品档案!$A$6:$A$65,0)),""))</f>
        <v/>
      </c>
      <c r="I336" s="55" t="str">
        <f aca="false">IF($F336="","",IFERROR(INDEX(商品档案!$D$6:$D$65,MATCH($F336,商品档案!$A$6:$A$65,0)),""))</f>
        <v/>
      </c>
      <c r="J336" s="49"/>
      <c r="K336" s="56"/>
      <c r="L336" s="33"/>
      <c r="M336" s="39"/>
      <c r="N336" s="41"/>
      <c r="O336" s="41"/>
      <c r="P336" s="25" t="str">
        <f aca="false">IF(AND($B336="",$D336="",$F336=""),"",IF(NOT(ISNUMBER($B336)),"日期无效",IF(ISNA(MATCH($C336,参数设置!$A$10:$A$12,0)),"公司无效",IF(ISNA(MATCH($D336,记账规则!$A$6:$A$9,0)),"业务类型无效",IF(ISNA(MATCH($F336,商品档案!$A$6:$A$65,0)),"商品编码无效",IF(IFERROR(INDEX(商品档案!$E$6:$E$65,MATCH($F336,商品档案!$A$6:$A$65,0)),"")&lt;&gt;$C336,"商品不属于该公司",IF(AND($E336&lt;&gt;"",ISNA(MATCH($E336,往来单位!$A$6:$A$85,0))),"往来单位未建档",IF(N($J336)=0,"数量为 0",IF(N($K336)=0,"单价为 0",IF(AND(LEFT($D336,2)="销售",$U336=""),"该商品没设成本科目",IF(YEAR($B336)&lt;&gt;参数设置!$B$5,"不在本会计年度","OK")))))))))))</f>
        <v/>
      </c>
      <c r="Q336" s="57" t="str">
        <f aca="false">IF($F336="","",ROUND(N($J336)*N($K336),2))</f>
        <v/>
      </c>
      <c r="R336" s="58" t="str">
        <f aca="false">IF($D336="","",IF(LEFT($D336,2)="销售","应收账款","应付账款"))</f>
        <v/>
      </c>
      <c r="S336" s="58" t="str">
        <f aca="false">IF($F336="","",IFERROR(INDEX(商品档案!$G$6:$G$65,MATCH($F336,商品档案!$A$6:$A$65,0)),""))</f>
        <v/>
      </c>
      <c r="T336" s="58" t="str">
        <f aca="false">IF($F336="","",IFERROR(INDEX(商品档案!$H$6:$H$65,MATCH($F336,商品档案!$A$6:$A$65,0)),""))</f>
        <v/>
      </c>
      <c r="U336" s="58" t="str">
        <f aca="false">IF($F336="","",IFERROR(INDEX(商品档案!$I$6:$I$65,MATCH($F336,商品档案!$A$6:$A$65,0)),""))</f>
        <v/>
      </c>
      <c r="V336" s="59" t="str">
        <f aca="false">IF($F336="","",SUMIFS(进销存台账!$N$6:$N$65,进销存台账!$A$6:$A$65,$C336,进销存台账!$B$6:$B$65,$F336))</f>
        <v/>
      </c>
      <c r="W336" s="60" t="n">
        <f aca="false">IF(OR($D336="销售出库",$D336="销售退回"),ROUND(N($J336)*N($V336),2),0)</f>
        <v>0</v>
      </c>
      <c r="X336" s="58" t="str">
        <f aca="false">IF($E336="","",IFERROR(INDEX(往来单位!$D$6:$D$85,MATCH($E336,往来单位!$A$6:$A$85,0)),"否"))</f>
        <v/>
      </c>
      <c r="Y336" s="61" t="str">
        <f aca="false">IF($B336="","",YEAR($B336))</f>
        <v/>
      </c>
      <c r="Z336" s="58" t="str">
        <f aca="false">IF($B336="","",TEXT($B336,"yyyy-mm"))</f>
        <v/>
      </c>
    </row>
    <row r="337" customFormat="false" ht="15" hidden="false" customHeight="false" outlineLevel="0" collapsed="false">
      <c r="A337" s="53" t="str">
        <f aca="false">IF($B337="","",ROW()-5)</f>
        <v/>
      </c>
      <c r="B337" s="54"/>
      <c r="C337" s="33"/>
      <c r="D337" s="33"/>
      <c r="E337" s="32"/>
      <c r="F337" s="39"/>
      <c r="G337" s="48" t="str">
        <f aca="false">IF($F337="","",IFERROR(INDEX(商品档案!$B$6:$B$65,MATCH($F337,商品档案!$A$6:$A$65,0)),""))</f>
        <v/>
      </c>
      <c r="H337" s="48" t="str">
        <f aca="false">IF($F337="","",IFERROR(INDEX(商品档案!$C$6:$C$65,MATCH($F337,商品档案!$A$6:$A$65,0)),""))</f>
        <v/>
      </c>
      <c r="I337" s="55" t="str">
        <f aca="false">IF($F337="","",IFERROR(INDEX(商品档案!$D$6:$D$65,MATCH($F337,商品档案!$A$6:$A$65,0)),""))</f>
        <v/>
      </c>
      <c r="J337" s="49"/>
      <c r="K337" s="56"/>
      <c r="L337" s="33"/>
      <c r="M337" s="39"/>
      <c r="N337" s="41"/>
      <c r="O337" s="41"/>
      <c r="P337" s="25" t="str">
        <f aca="false">IF(AND($B337="",$D337="",$F337=""),"",IF(NOT(ISNUMBER($B337)),"日期无效",IF(ISNA(MATCH($C337,参数设置!$A$10:$A$12,0)),"公司无效",IF(ISNA(MATCH($D337,记账规则!$A$6:$A$9,0)),"业务类型无效",IF(ISNA(MATCH($F337,商品档案!$A$6:$A$65,0)),"商品编码无效",IF(IFERROR(INDEX(商品档案!$E$6:$E$65,MATCH($F337,商品档案!$A$6:$A$65,0)),"")&lt;&gt;$C337,"商品不属于该公司",IF(AND($E337&lt;&gt;"",ISNA(MATCH($E337,往来单位!$A$6:$A$85,0))),"往来单位未建档",IF(N($J337)=0,"数量为 0",IF(N($K337)=0,"单价为 0",IF(AND(LEFT($D337,2)="销售",$U337=""),"该商品没设成本科目",IF(YEAR($B337)&lt;&gt;参数设置!$B$5,"不在本会计年度","OK")))))))))))</f>
        <v/>
      </c>
      <c r="Q337" s="57" t="str">
        <f aca="false">IF($F337="","",ROUND(N($J337)*N($K337),2))</f>
        <v/>
      </c>
      <c r="R337" s="58" t="str">
        <f aca="false">IF($D337="","",IF(LEFT($D337,2)="销售","应收账款","应付账款"))</f>
        <v/>
      </c>
      <c r="S337" s="58" t="str">
        <f aca="false">IF($F337="","",IFERROR(INDEX(商品档案!$G$6:$G$65,MATCH($F337,商品档案!$A$6:$A$65,0)),""))</f>
        <v/>
      </c>
      <c r="T337" s="58" t="str">
        <f aca="false">IF($F337="","",IFERROR(INDEX(商品档案!$H$6:$H$65,MATCH($F337,商品档案!$A$6:$A$65,0)),""))</f>
        <v/>
      </c>
      <c r="U337" s="58" t="str">
        <f aca="false">IF($F337="","",IFERROR(INDEX(商品档案!$I$6:$I$65,MATCH($F337,商品档案!$A$6:$A$65,0)),""))</f>
        <v/>
      </c>
      <c r="V337" s="59" t="str">
        <f aca="false">IF($F337="","",SUMIFS(进销存台账!$N$6:$N$65,进销存台账!$A$6:$A$65,$C337,进销存台账!$B$6:$B$65,$F337))</f>
        <v/>
      </c>
      <c r="W337" s="60" t="n">
        <f aca="false">IF(OR($D337="销售出库",$D337="销售退回"),ROUND(N($J337)*N($V337),2),0)</f>
        <v>0</v>
      </c>
      <c r="X337" s="58" t="str">
        <f aca="false">IF($E337="","",IFERROR(INDEX(往来单位!$D$6:$D$85,MATCH($E337,往来单位!$A$6:$A$85,0)),"否"))</f>
        <v/>
      </c>
      <c r="Y337" s="61" t="str">
        <f aca="false">IF($B337="","",YEAR($B337))</f>
        <v/>
      </c>
      <c r="Z337" s="58" t="str">
        <f aca="false">IF($B337="","",TEXT($B337,"yyyy-mm"))</f>
        <v/>
      </c>
    </row>
    <row r="338" customFormat="false" ht="15" hidden="false" customHeight="false" outlineLevel="0" collapsed="false">
      <c r="A338" s="53" t="str">
        <f aca="false">IF($B338="","",ROW()-5)</f>
        <v/>
      </c>
      <c r="B338" s="54"/>
      <c r="C338" s="33"/>
      <c r="D338" s="33"/>
      <c r="E338" s="32"/>
      <c r="F338" s="39"/>
      <c r="G338" s="48" t="str">
        <f aca="false">IF($F338="","",IFERROR(INDEX(商品档案!$B$6:$B$65,MATCH($F338,商品档案!$A$6:$A$65,0)),""))</f>
        <v/>
      </c>
      <c r="H338" s="48" t="str">
        <f aca="false">IF($F338="","",IFERROR(INDEX(商品档案!$C$6:$C$65,MATCH($F338,商品档案!$A$6:$A$65,0)),""))</f>
        <v/>
      </c>
      <c r="I338" s="55" t="str">
        <f aca="false">IF($F338="","",IFERROR(INDEX(商品档案!$D$6:$D$65,MATCH($F338,商品档案!$A$6:$A$65,0)),""))</f>
        <v/>
      </c>
      <c r="J338" s="49"/>
      <c r="K338" s="56"/>
      <c r="L338" s="33"/>
      <c r="M338" s="39"/>
      <c r="N338" s="41"/>
      <c r="O338" s="41"/>
      <c r="P338" s="25" t="str">
        <f aca="false">IF(AND($B338="",$D338="",$F338=""),"",IF(NOT(ISNUMBER($B338)),"日期无效",IF(ISNA(MATCH($C338,参数设置!$A$10:$A$12,0)),"公司无效",IF(ISNA(MATCH($D338,记账规则!$A$6:$A$9,0)),"业务类型无效",IF(ISNA(MATCH($F338,商品档案!$A$6:$A$65,0)),"商品编码无效",IF(IFERROR(INDEX(商品档案!$E$6:$E$65,MATCH($F338,商品档案!$A$6:$A$65,0)),"")&lt;&gt;$C338,"商品不属于该公司",IF(AND($E338&lt;&gt;"",ISNA(MATCH($E338,往来单位!$A$6:$A$85,0))),"往来单位未建档",IF(N($J338)=0,"数量为 0",IF(N($K338)=0,"单价为 0",IF(AND(LEFT($D338,2)="销售",$U338=""),"该商品没设成本科目",IF(YEAR($B338)&lt;&gt;参数设置!$B$5,"不在本会计年度","OK")))))))))))</f>
        <v/>
      </c>
      <c r="Q338" s="57" t="str">
        <f aca="false">IF($F338="","",ROUND(N($J338)*N($K338),2))</f>
        <v/>
      </c>
      <c r="R338" s="58" t="str">
        <f aca="false">IF($D338="","",IF(LEFT($D338,2)="销售","应收账款","应付账款"))</f>
        <v/>
      </c>
      <c r="S338" s="58" t="str">
        <f aca="false">IF($F338="","",IFERROR(INDEX(商品档案!$G$6:$G$65,MATCH($F338,商品档案!$A$6:$A$65,0)),""))</f>
        <v/>
      </c>
      <c r="T338" s="58" t="str">
        <f aca="false">IF($F338="","",IFERROR(INDEX(商品档案!$H$6:$H$65,MATCH($F338,商品档案!$A$6:$A$65,0)),""))</f>
        <v/>
      </c>
      <c r="U338" s="58" t="str">
        <f aca="false">IF($F338="","",IFERROR(INDEX(商品档案!$I$6:$I$65,MATCH($F338,商品档案!$A$6:$A$65,0)),""))</f>
        <v/>
      </c>
      <c r="V338" s="59" t="str">
        <f aca="false">IF($F338="","",SUMIFS(进销存台账!$N$6:$N$65,进销存台账!$A$6:$A$65,$C338,进销存台账!$B$6:$B$65,$F338))</f>
        <v/>
      </c>
      <c r="W338" s="60" t="n">
        <f aca="false">IF(OR($D338="销售出库",$D338="销售退回"),ROUND(N($J338)*N($V338),2),0)</f>
        <v>0</v>
      </c>
      <c r="X338" s="58" t="str">
        <f aca="false">IF($E338="","",IFERROR(INDEX(往来单位!$D$6:$D$85,MATCH($E338,往来单位!$A$6:$A$85,0)),"否"))</f>
        <v/>
      </c>
      <c r="Y338" s="61" t="str">
        <f aca="false">IF($B338="","",YEAR($B338))</f>
        <v/>
      </c>
      <c r="Z338" s="58" t="str">
        <f aca="false">IF($B338="","",TEXT($B338,"yyyy-mm"))</f>
        <v/>
      </c>
    </row>
    <row r="339" customFormat="false" ht="15" hidden="false" customHeight="false" outlineLevel="0" collapsed="false">
      <c r="A339" s="53" t="str">
        <f aca="false">IF($B339="","",ROW()-5)</f>
        <v/>
      </c>
      <c r="B339" s="54"/>
      <c r="C339" s="33"/>
      <c r="D339" s="33"/>
      <c r="E339" s="32"/>
      <c r="F339" s="39"/>
      <c r="G339" s="48" t="str">
        <f aca="false">IF($F339="","",IFERROR(INDEX(商品档案!$B$6:$B$65,MATCH($F339,商品档案!$A$6:$A$65,0)),""))</f>
        <v/>
      </c>
      <c r="H339" s="48" t="str">
        <f aca="false">IF($F339="","",IFERROR(INDEX(商品档案!$C$6:$C$65,MATCH($F339,商品档案!$A$6:$A$65,0)),""))</f>
        <v/>
      </c>
      <c r="I339" s="55" t="str">
        <f aca="false">IF($F339="","",IFERROR(INDEX(商品档案!$D$6:$D$65,MATCH($F339,商品档案!$A$6:$A$65,0)),""))</f>
        <v/>
      </c>
      <c r="J339" s="49"/>
      <c r="K339" s="56"/>
      <c r="L339" s="33"/>
      <c r="M339" s="39"/>
      <c r="N339" s="41"/>
      <c r="O339" s="41"/>
      <c r="P339" s="25" t="str">
        <f aca="false">IF(AND($B339="",$D339="",$F339=""),"",IF(NOT(ISNUMBER($B339)),"日期无效",IF(ISNA(MATCH($C339,参数设置!$A$10:$A$12,0)),"公司无效",IF(ISNA(MATCH($D339,记账规则!$A$6:$A$9,0)),"业务类型无效",IF(ISNA(MATCH($F339,商品档案!$A$6:$A$65,0)),"商品编码无效",IF(IFERROR(INDEX(商品档案!$E$6:$E$65,MATCH($F339,商品档案!$A$6:$A$65,0)),"")&lt;&gt;$C339,"商品不属于该公司",IF(AND($E339&lt;&gt;"",ISNA(MATCH($E339,往来单位!$A$6:$A$85,0))),"往来单位未建档",IF(N($J339)=0,"数量为 0",IF(N($K339)=0,"单价为 0",IF(AND(LEFT($D339,2)="销售",$U339=""),"该商品没设成本科目",IF(YEAR($B339)&lt;&gt;参数设置!$B$5,"不在本会计年度","OK")))))))))))</f>
        <v/>
      </c>
      <c r="Q339" s="57" t="str">
        <f aca="false">IF($F339="","",ROUND(N($J339)*N($K339),2))</f>
        <v/>
      </c>
      <c r="R339" s="58" t="str">
        <f aca="false">IF($D339="","",IF(LEFT($D339,2)="销售","应收账款","应付账款"))</f>
        <v/>
      </c>
      <c r="S339" s="58" t="str">
        <f aca="false">IF($F339="","",IFERROR(INDEX(商品档案!$G$6:$G$65,MATCH($F339,商品档案!$A$6:$A$65,0)),""))</f>
        <v/>
      </c>
      <c r="T339" s="58" t="str">
        <f aca="false">IF($F339="","",IFERROR(INDEX(商品档案!$H$6:$H$65,MATCH($F339,商品档案!$A$6:$A$65,0)),""))</f>
        <v/>
      </c>
      <c r="U339" s="58" t="str">
        <f aca="false">IF($F339="","",IFERROR(INDEX(商品档案!$I$6:$I$65,MATCH($F339,商品档案!$A$6:$A$65,0)),""))</f>
        <v/>
      </c>
      <c r="V339" s="59" t="str">
        <f aca="false">IF($F339="","",SUMIFS(进销存台账!$N$6:$N$65,进销存台账!$A$6:$A$65,$C339,进销存台账!$B$6:$B$65,$F339))</f>
        <v/>
      </c>
      <c r="W339" s="60" t="n">
        <f aca="false">IF(OR($D339="销售出库",$D339="销售退回"),ROUND(N($J339)*N($V339),2),0)</f>
        <v>0</v>
      </c>
      <c r="X339" s="58" t="str">
        <f aca="false">IF($E339="","",IFERROR(INDEX(往来单位!$D$6:$D$85,MATCH($E339,往来单位!$A$6:$A$85,0)),"否"))</f>
        <v/>
      </c>
      <c r="Y339" s="61" t="str">
        <f aca="false">IF($B339="","",YEAR($B339))</f>
        <v/>
      </c>
      <c r="Z339" s="58" t="str">
        <f aca="false">IF($B339="","",TEXT($B339,"yyyy-mm"))</f>
        <v/>
      </c>
    </row>
    <row r="340" customFormat="false" ht="15" hidden="false" customHeight="false" outlineLevel="0" collapsed="false">
      <c r="A340" s="53" t="str">
        <f aca="false">IF($B340="","",ROW()-5)</f>
        <v/>
      </c>
      <c r="B340" s="54"/>
      <c r="C340" s="33"/>
      <c r="D340" s="33"/>
      <c r="E340" s="32"/>
      <c r="F340" s="39"/>
      <c r="G340" s="48" t="str">
        <f aca="false">IF($F340="","",IFERROR(INDEX(商品档案!$B$6:$B$65,MATCH($F340,商品档案!$A$6:$A$65,0)),""))</f>
        <v/>
      </c>
      <c r="H340" s="48" t="str">
        <f aca="false">IF($F340="","",IFERROR(INDEX(商品档案!$C$6:$C$65,MATCH($F340,商品档案!$A$6:$A$65,0)),""))</f>
        <v/>
      </c>
      <c r="I340" s="55" t="str">
        <f aca="false">IF($F340="","",IFERROR(INDEX(商品档案!$D$6:$D$65,MATCH($F340,商品档案!$A$6:$A$65,0)),""))</f>
        <v/>
      </c>
      <c r="J340" s="49"/>
      <c r="K340" s="56"/>
      <c r="L340" s="33"/>
      <c r="M340" s="39"/>
      <c r="N340" s="41"/>
      <c r="O340" s="41"/>
      <c r="P340" s="25" t="str">
        <f aca="false">IF(AND($B340="",$D340="",$F340=""),"",IF(NOT(ISNUMBER($B340)),"日期无效",IF(ISNA(MATCH($C340,参数设置!$A$10:$A$12,0)),"公司无效",IF(ISNA(MATCH($D340,记账规则!$A$6:$A$9,0)),"业务类型无效",IF(ISNA(MATCH($F340,商品档案!$A$6:$A$65,0)),"商品编码无效",IF(IFERROR(INDEX(商品档案!$E$6:$E$65,MATCH($F340,商品档案!$A$6:$A$65,0)),"")&lt;&gt;$C340,"商品不属于该公司",IF(AND($E340&lt;&gt;"",ISNA(MATCH($E340,往来单位!$A$6:$A$85,0))),"往来单位未建档",IF(N($J340)=0,"数量为 0",IF(N($K340)=0,"单价为 0",IF(AND(LEFT($D340,2)="销售",$U340=""),"该商品没设成本科目",IF(YEAR($B340)&lt;&gt;参数设置!$B$5,"不在本会计年度","OK")))))))))))</f>
        <v/>
      </c>
      <c r="Q340" s="57" t="str">
        <f aca="false">IF($F340="","",ROUND(N($J340)*N($K340),2))</f>
        <v/>
      </c>
      <c r="R340" s="58" t="str">
        <f aca="false">IF($D340="","",IF(LEFT($D340,2)="销售","应收账款","应付账款"))</f>
        <v/>
      </c>
      <c r="S340" s="58" t="str">
        <f aca="false">IF($F340="","",IFERROR(INDEX(商品档案!$G$6:$G$65,MATCH($F340,商品档案!$A$6:$A$65,0)),""))</f>
        <v/>
      </c>
      <c r="T340" s="58" t="str">
        <f aca="false">IF($F340="","",IFERROR(INDEX(商品档案!$H$6:$H$65,MATCH($F340,商品档案!$A$6:$A$65,0)),""))</f>
        <v/>
      </c>
      <c r="U340" s="58" t="str">
        <f aca="false">IF($F340="","",IFERROR(INDEX(商品档案!$I$6:$I$65,MATCH($F340,商品档案!$A$6:$A$65,0)),""))</f>
        <v/>
      </c>
      <c r="V340" s="59" t="str">
        <f aca="false">IF($F340="","",SUMIFS(进销存台账!$N$6:$N$65,进销存台账!$A$6:$A$65,$C340,进销存台账!$B$6:$B$65,$F340))</f>
        <v/>
      </c>
      <c r="W340" s="60" t="n">
        <f aca="false">IF(OR($D340="销售出库",$D340="销售退回"),ROUND(N($J340)*N($V340),2),0)</f>
        <v>0</v>
      </c>
      <c r="X340" s="58" t="str">
        <f aca="false">IF($E340="","",IFERROR(INDEX(往来单位!$D$6:$D$85,MATCH($E340,往来单位!$A$6:$A$85,0)),"否"))</f>
        <v/>
      </c>
      <c r="Y340" s="61" t="str">
        <f aca="false">IF($B340="","",YEAR($B340))</f>
        <v/>
      </c>
      <c r="Z340" s="58" t="str">
        <f aca="false">IF($B340="","",TEXT($B340,"yyyy-mm"))</f>
        <v/>
      </c>
    </row>
    <row r="341" customFormat="false" ht="15" hidden="false" customHeight="false" outlineLevel="0" collapsed="false">
      <c r="A341" s="53" t="str">
        <f aca="false">IF($B341="","",ROW()-5)</f>
        <v/>
      </c>
      <c r="B341" s="54"/>
      <c r="C341" s="33"/>
      <c r="D341" s="33"/>
      <c r="E341" s="32"/>
      <c r="F341" s="39"/>
      <c r="G341" s="48" t="str">
        <f aca="false">IF($F341="","",IFERROR(INDEX(商品档案!$B$6:$B$65,MATCH($F341,商品档案!$A$6:$A$65,0)),""))</f>
        <v/>
      </c>
      <c r="H341" s="48" t="str">
        <f aca="false">IF($F341="","",IFERROR(INDEX(商品档案!$C$6:$C$65,MATCH($F341,商品档案!$A$6:$A$65,0)),""))</f>
        <v/>
      </c>
      <c r="I341" s="55" t="str">
        <f aca="false">IF($F341="","",IFERROR(INDEX(商品档案!$D$6:$D$65,MATCH($F341,商品档案!$A$6:$A$65,0)),""))</f>
        <v/>
      </c>
      <c r="J341" s="49"/>
      <c r="K341" s="56"/>
      <c r="L341" s="33"/>
      <c r="M341" s="39"/>
      <c r="N341" s="41"/>
      <c r="O341" s="41"/>
      <c r="P341" s="25" t="str">
        <f aca="false">IF(AND($B341="",$D341="",$F341=""),"",IF(NOT(ISNUMBER($B341)),"日期无效",IF(ISNA(MATCH($C341,参数设置!$A$10:$A$12,0)),"公司无效",IF(ISNA(MATCH($D341,记账规则!$A$6:$A$9,0)),"业务类型无效",IF(ISNA(MATCH($F341,商品档案!$A$6:$A$65,0)),"商品编码无效",IF(IFERROR(INDEX(商品档案!$E$6:$E$65,MATCH($F341,商品档案!$A$6:$A$65,0)),"")&lt;&gt;$C341,"商品不属于该公司",IF(AND($E341&lt;&gt;"",ISNA(MATCH($E341,往来单位!$A$6:$A$85,0))),"往来单位未建档",IF(N($J341)=0,"数量为 0",IF(N($K341)=0,"单价为 0",IF(AND(LEFT($D341,2)="销售",$U341=""),"该商品没设成本科目",IF(YEAR($B341)&lt;&gt;参数设置!$B$5,"不在本会计年度","OK")))))))))))</f>
        <v/>
      </c>
      <c r="Q341" s="57" t="str">
        <f aca="false">IF($F341="","",ROUND(N($J341)*N($K341),2))</f>
        <v/>
      </c>
      <c r="R341" s="58" t="str">
        <f aca="false">IF($D341="","",IF(LEFT($D341,2)="销售","应收账款","应付账款"))</f>
        <v/>
      </c>
      <c r="S341" s="58" t="str">
        <f aca="false">IF($F341="","",IFERROR(INDEX(商品档案!$G$6:$G$65,MATCH($F341,商品档案!$A$6:$A$65,0)),""))</f>
        <v/>
      </c>
      <c r="T341" s="58" t="str">
        <f aca="false">IF($F341="","",IFERROR(INDEX(商品档案!$H$6:$H$65,MATCH($F341,商品档案!$A$6:$A$65,0)),""))</f>
        <v/>
      </c>
      <c r="U341" s="58" t="str">
        <f aca="false">IF($F341="","",IFERROR(INDEX(商品档案!$I$6:$I$65,MATCH($F341,商品档案!$A$6:$A$65,0)),""))</f>
        <v/>
      </c>
      <c r="V341" s="59" t="str">
        <f aca="false">IF($F341="","",SUMIFS(进销存台账!$N$6:$N$65,进销存台账!$A$6:$A$65,$C341,进销存台账!$B$6:$B$65,$F341))</f>
        <v/>
      </c>
      <c r="W341" s="60" t="n">
        <f aca="false">IF(OR($D341="销售出库",$D341="销售退回"),ROUND(N($J341)*N($V341),2),0)</f>
        <v>0</v>
      </c>
      <c r="X341" s="58" t="str">
        <f aca="false">IF($E341="","",IFERROR(INDEX(往来单位!$D$6:$D$85,MATCH($E341,往来单位!$A$6:$A$85,0)),"否"))</f>
        <v/>
      </c>
      <c r="Y341" s="61" t="str">
        <f aca="false">IF($B341="","",YEAR($B341))</f>
        <v/>
      </c>
      <c r="Z341" s="58" t="str">
        <f aca="false">IF($B341="","",TEXT($B341,"yyyy-mm"))</f>
        <v/>
      </c>
    </row>
    <row r="342" customFormat="false" ht="15" hidden="false" customHeight="false" outlineLevel="0" collapsed="false">
      <c r="A342" s="53" t="str">
        <f aca="false">IF($B342="","",ROW()-5)</f>
        <v/>
      </c>
      <c r="B342" s="54"/>
      <c r="C342" s="33"/>
      <c r="D342" s="33"/>
      <c r="E342" s="32"/>
      <c r="F342" s="39"/>
      <c r="G342" s="48" t="str">
        <f aca="false">IF($F342="","",IFERROR(INDEX(商品档案!$B$6:$B$65,MATCH($F342,商品档案!$A$6:$A$65,0)),""))</f>
        <v/>
      </c>
      <c r="H342" s="48" t="str">
        <f aca="false">IF($F342="","",IFERROR(INDEX(商品档案!$C$6:$C$65,MATCH($F342,商品档案!$A$6:$A$65,0)),""))</f>
        <v/>
      </c>
      <c r="I342" s="55" t="str">
        <f aca="false">IF($F342="","",IFERROR(INDEX(商品档案!$D$6:$D$65,MATCH($F342,商品档案!$A$6:$A$65,0)),""))</f>
        <v/>
      </c>
      <c r="J342" s="49"/>
      <c r="K342" s="56"/>
      <c r="L342" s="33"/>
      <c r="M342" s="39"/>
      <c r="N342" s="41"/>
      <c r="O342" s="41"/>
      <c r="P342" s="25" t="str">
        <f aca="false">IF(AND($B342="",$D342="",$F342=""),"",IF(NOT(ISNUMBER($B342)),"日期无效",IF(ISNA(MATCH($C342,参数设置!$A$10:$A$12,0)),"公司无效",IF(ISNA(MATCH($D342,记账规则!$A$6:$A$9,0)),"业务类型无效",IF(ISNA(MATCH($F342,商品档案!$A$6:$A$65,0)),"商品编码无效",IF(IFERROR(INDEX(商品档案!$E$6:$E$65,MATCH($F342,商品档案!$A$6:$A$65,0)),"")&lt;&gt;$C342,"商品不属于该公司",IF(AND($E342&lt;&gt;"",ISNA(MATCH($E342,往来单位!$A$6:$A$85,0))),"往来单位未建档",IF(N($J342)=0,"数量为 0",IF(N($K342)=0,"单价为 0",IF(AND(LEFT($D342,2)="销售",$U342=""),"该商品没设成本科目",IF(YEAR($B342)&lt;&gt;参数设置!$B$5,"不在本会计年度","OK")))))))))))</f>
        <v/>
      </c>
      <c r="Q342" s="57" t="str">
        <f aca="false">IF($F342="","",ROUND(N($J342)*N($K342),2))</f>
        <v/>
      </c>
      <c r="R342" s="58" t="str">
        <f aca="false">IF($D342="","",IF(LEFT($D342,2)="销售","应收账款","应付账款"))</f>
        <v/>
      </c>
      <c r="S342" s="58" t="str">
        <f aca="false">IF($F342="","",IFERROR(INDEX(商品档案!$G$6:$G$65,MATCH($F342,商品档案!$A$6:$A$65,0)),""))</f>
        <v/>
      </c>
      <c r="T342" s="58" t="str">
        <f aca="false">IF($F342="","",IFERROR(INDEX(商品档案!$H$6:$H$65,MATCH($F342,商品档案!$A$6:$A$65,0)),""))</f>
        <v/>
      </c>
      <c r="U342" s="58" t="str">
        <f aca="false">IF($F342="","",IFERROR(INDEX(商品档案!$I$6:$I$65,MATCH($F342,商品档案!$A$6:$A$65,0)),""))</f>
        <v/>
      </c>
      <c r="V342" s="59" t="str">
        <f aca="false">IF($F342="","",SUMIFS(进销存台账!$N$6:$N$65,进销存台账!$A$6:$A$65,$C342,进销存台账!$B$6:$B$65,$F342))</f>
        <v/>
      </c>
      <c r="W342" s="60" t="n">
        <f aca="false">IF(OR($D342="销售出库",$D342="销售退回"),ROUND(N($J342)*N($V342),2),0)</f>
        <v>0</v>
      </c>
      <c r="X342" s="58" t="str">
        <f aca="false">IF($E342="","",IFERROR(INDEX(往来单位!$D$6:$D$85,MATCH($E342,往来单位!$A$6:$A$85,0)),"否"))</f>
        <v/>
      </c>
      <c r="Y342" s="61" t="str">
        <f aca="false">IF($B342="","",YEAR($B342))</f>
        <v/>
      </c>
      <c r="Z342" s="58" t="str">
        <f aca="false">IF($B342="","",TEXT($B342,"yyyy-mm"))</f>
        <v/>
      </c>
    </row>
    <row r="343" customFormat="false" ht="15" hidden="false" customHeight="false" outlineLevel="0" collapsed="false">
      <c r="A343" s="53" t="str">
        <f aca="false">IF($B343="","",ROW()-5)</f>
        <v/>
      </c>
      <c r="B343" s="54"/>
      <c r="C343" s="33"/>
      <c r="D343" s="33"/>
      <c r="E343" s="32"/>
      <c r="F343" s="39"/>
      <c r="G343" s="48" t="str">
        <f aca="false">IF($F343="","",IFERROR(INDEX(商品档案!$B$6:$B$65,MATCH($F343,商品档案!$A$6:$A$65,0)),""))</f>
        <v/>
      </c>
      <c r="H343" s="48" t="str">
        <f aca="false">IF($F343="","",IFERROR(INDEX(商品档案!$C$6:$C$65,MATCH($F343,商品档案!$A$6:$A$65,0)),""))</f>
        <v/>
      </c>
      <c r="I343" s="55" t="str">
        <f aca="false">IF($F343="","",IFERROR(INDEX(商品档案!$D$6:$D$65,MATCH($F343,商品档案!$A$6:$A$65,0)),""))</f>
        <v/>
      </c>
      <c r="J343" s="49"/>
      <c r="K343" s="56"/>
      <c r="L343" s="33"/>
      <c r="M343" s="39"/>
      <c r="N343" s="41"/>
      <c r="O343" s="41"/>
      <c r="P343" s="25" t="str">
        <f aca="false">IF(AND($B343="",$D343="",$F343=""),"",IF(NOT(ISNUMBER($B343)),"日期无效",IF(ISNA(MATCH($C343,参数设置!$A$10:$A$12,0)),"公司无效",IF(ISNA(MATCH($D343,记账规则!$A$6:$A$9,0)),"业务类型无效",IF(ISNA(MATCH($F343,商品档案!$A$6:$A$65,0)),"商品编码无效",IF(IFERROR(INDEX(商品档案!$E$6:$E$65,MATCH($F343,商品档案!$A$6:$A$65,0)),"")&lt;&gt;$C343,"商品不属于该公司",IF(AND($E343&lt;&gt;"",ISNA(MATCH($E343,往来单位!$A$6:$A$85,0))),"往来单位未建档",IF(N($J343)=0,"数量为 0",IF(N($K343)=0,"单价为 0",IF(AND(LEFT($D343,2)="销售",$U343=""),"该商品没设成本科目",IF(YEAR($B343)&lt;&gt;参数设置!$B$5,"不在本会计年度","OK")))))))))))</f>
        <v/>
      </c>
      <c r="Q343" s="57" t="str">
        <f aca="false">IF($F343="","",ROUND(N($J343)*N($K343),2))</f>
        <v/>
      </c>
      <c r="R343" s="58" t="str">
        <f aca="false">IF($D343="","",IF(LEFT($D343,2)="销售","应收账款","应付账款"))</f>
        <v/>
      </c>
      <c r="S343" s="58" t="str">
        <f aca="false">IF($F343="","",IFERROR(INDEX(商品档案!$G$6:$G$65,MATCH($F343,商品档案!$A$6:$A$65,0)),""))</f>
        <v/>
      </c>
      <c r="T343" s="58" t="str">
        <f aca="false">IF($F343="","",IFERROR(INDEX(商品档案!$H$6:$H$65,MATCH($F343,商品档案!$A$6:$A$65,0)),""))</f>
        <v/>
      </c>
      <c r="U343" s="58" t="str">
        <f aca="false">IF($F343="","",IFERROR(INDEX(商品档案!$I$6:$I$65,MATCH($F343,商品档案!$A$6:$A$65,0)),""))</f>
        <v/>
      </c>
      <c r="V343" s="59" t="str">
        <f aca="false">IF($F343="","",SUMIFS(进销存台账!$N$6:$N$65,进销存台账!$A$6:$A$65,$C343,进销存台账!$B$6:$B$65,$F343))</f>
        <v/>
      </c>
      <c r="W343" s="60" t="n">
        <f aca="false">IF(OR($D343="销售出库",$D343="销售退回"),ROUND(N($J343)*N($V343),2),0)</f>
        <v>0</v>
      </c>
      <c r="X343" s="58" t="str">
        <f aca="false">IF($E343="","",IFERROR(INDEX(往来单位!$D$6:$D$85,MATCH($E343,往来单位!$A$6:$A$85,0)),"否"))</f>
        <v/>
      </c>
      <c r="Y343" s="61" t="str">
        <f aca="false">IF($B343="","",YEAR($B343))</f>
        <v/>
      </c>
      <c r="Z343" s="58" t="str">
        <f aca="false">IF($B343="","",TEXT($B343,"yyyy-mm"))</f>
        <v/>
      </c>
    </row>
    <row r="344" customFormat="false" ht="15" hidden="false" customHeight="false" outlineLevel="0" collapsed="false">
      <c r="A344" s="53" t="str">
        <f aca="false">IF($B344="","",ROW()-5)</f>
        <v/>
      </c>
      <c r="B344" s="54"/>
      <c r="C344" s="33"/>
      <c r="D344" s="33"/>
      <c r="E344" s="32"/>
      <c r="F344" s="39"/>
      <c r="G344" s="48" t="str">
        <f aca="false">IF($F344="","",IFERROR(INDEX(商品档案!$B$6:$B$65,MATCH($F344,商品档案!$A$6:$A$65,0)),""))</f>
        <v/>
      </c>
      <c r="H344" s="48" t="str">
        <f aca="false">IF($F344="","",IFERROR(INDEX(商品档案!$C$6:$C$65,MATCH($F344,商品档案!$A$6:$A$65,0)),""))</f>
        <v/>
      </c>
      <c r="I344" s="55" t="str">
        <f aca="false">IF($F344="","",IFERROR(INDEX(商品档案!$D$6:$D$65,MATCH($F344,商品档案!$A$6:$A$65,0)),""))</f>
        <v/>
      </c>
      <c r="J344" s="49"/>
      <c r="K344" s="56"/>
      <c r="L344" s="33"/>
      <c r="M344" s="39"/>
      <c r="N344" s="41"/>
      <c r="O344" s="41"/>
      <c r="P344" s="25" t="str">
        <f aca="false">IF(AND($B344="",$D344="",$F344=""),"",IF(NOT(ISNUMBER($B344)),"日期无效",IF(ISNA(MATCH($C344,参数设置!$A$10:$A$12,0)),"公司无效",IF(ISNA(MATCH($D344,记账规则!$A$6:$A$9,0)),"业务类型无效",IF(ISNA(MATCH($F344,商品档案!$A$6:$A$65,0)),"商品编码无效",IF(IFERROR(INDEX(商品档案!$E$6:$E$65,MATCH($F344,商品档案!$A$6:$A$65,0)),"")&lt;&gt;$C344,"商品不属于该公司",IF(AND($E344&lt;&gt;"",ISNA(MATCH($E344,往来单位!$A$6:$A$85,0))),"往来单位未建档",IF(N($J344)=0,"数量为 0",IF(N($K344)=0,"单价为 0",IF(AND(LEFT($D344,2)="销售",$U344=""),"该商品没设成本科目",IF(YEAR($B344)&lt;&gt;参数设置!$B$5,"不在本会计年度","OK")))))))))))</f>
        <v/>
      </c>
      <c r="Q344" s="57" t="str">
        <f aca="false">IF($F344="","",ROUND(N($J344)*N($K344),2))</f>
        <v/>
      </c>
      <c r="R344" s="58" t="str">
        <f aca="false">IF($D344="","",IF(LEFT($D344,2)="销售","应收账款","应付账款"))</f>
        <v/>
      </c>
      <c r="S344" s="58" t="str">
        <f aca="false">IF($F344="","",IFERROR(INDEX(商品档案!$G$6:$G$65,MATCH($F344,商品档案!$A$6:$A$65,0)),""))</f>
        <v/>
      </c>
      <c r="T344" s="58" t="str">
        <f aca="false">IF($F344="","",IFERROR(INDEX(商品档案!$H$6:$H$65,MATCH($F344,商品档案!$A$6:$A$65,0)),""))</f>
        <v/>
      </c>
      <c r="U344" s="58" t="str">
        <f aca="false">IF($F344="","",IFERROR(INDEX(商品档案!$I$6:$I$65,MATCH($F344,商品档案!$A$6:$A$65,0)),""))</f>
        <v/>
      </c>
      <c r="V344" s="59" t="str">
        <f aca="false">IF($F344="","",SUMIFS(进销存台账!$N$6:$N$65,进销存台账!$A$6:$A$65,$C344,进销存台账!$B$6:$B$65,$F344))</f>
        <v/>
      </c>
      <c r="W344" s="60" t="n">
        <f aca="false">IF(OR($D344="销售出库",$D344="销售退回"),ROUND(N($J344)*N($V344),2),0)</f>
        <v>0</v>
      </c>
      <c r="X344" s="58" t="str">
        <f aca="false">IF($E344="","",IFERROR(INDEX(往来单位!$D$6:$D$85,MATCH($E344,往来单位!$A$6:$A$85,0)),"否"))</f>
        <v/>
      </c>
      <c r="Y344" s="61" t="str">
        <f aca="false">IF($B344="","",YEAR($B344))</f>
        <v/>
      </c>
      <c r="Z344" s="58" t="str">
        <f aca="false">IF($B344="","",TEXT($B344,"yyyy-mm"))</f>
        <v/>
      </c>
    </row>
    <row r="345" customFormat="false" ht="15" hidden="false" customHeight="false" outlineLevel="0" collapsed="false">
      <c r="A345" s="53" t="str">
        <f aca="false">IF($B345="","",ROW()-5)</f>
        <v/>
      </c>
      <c r="B345" s="54"/>
      <c r="C345" s="33"/>
      <c r="D345" s="33"/>
      <c r="E345" s="32"/>
      <c r="F345" s="39"/>
      <c r="G345" s="48" t="str">
        <f aca="false">IF($F345="","",IFERROR(INDEX(商品档案!$B$6:$B$65,MATCH($F345,商品档案!$A$6:$A$65,0)),""))</f>
        <v/>
      </c>
      <c r="H345" s="48" t="str">
        <f aca="false">IF($F345="","",IFERROR(INDEX(商品档案!$C$6:$C$65,MATCH($F345,商品档案!$A$6:$A$65,0)),""))</f>
        <v/>
      </c>
      <c r="I345" s="55" t="str">
        <f aca="false">IF($F345="","",IFERROR(INDEX(商品档案!$D$6:$D$65,MATCH($F345,商品档案!$A$6:$A$65,0)),""))</f>
        <v/>
      </c>
      <c r="J345" s="49"/>
      <c r="K345" s="56"/>
      <c r="L345" s="33"/>
      <c r="M345" s="39"/>
      <c r="N345" s="41"/>
      <c r="O345" s="41"/>
      <c r="P345" s="25" t="str">
        <f aca="false">IF(AND($B345="",$D345="",$F345=""),"",IF(NOT(ISNUMBER($B345)),"日期无效",IF(ISNA(MATCH($C345,参数设置!$A$10:$A$12,0)),"公司无效",IF(ISNA(MATCH($D345,记账规则!$A$6:$A$9,0)),"业务类型无效",IF(ISNA(MATCH($F345,商品档案!$A$6:$A$65,0)),"商品编码无效",IF(IFERROR(INDEX(商品档案!$E$6:$E$65,MATCH($F345,商品档案!$A$6:$A$65,0)),"")&lt;&gt;$C345,"商品不属于该公司",IF(AND($E345&lt;&gt;"",ISNA(MATCH($E345,往来单位!$A$6:$A$85,0))),"往来单位未建档",IF(N($J345)=0,"数量为 0",IF(N($K345)=0,"单价为 0",IF(AND(LEFT($D345,2)="销售",$U345=""),"该商品没设成本科目",IF(YEAR($B345)&lt;&gt;参数设置!$B$5,"不在本会计年度","OK")))))))))))</f>
        <v/>
      </c>
      <c r="Q345" s="57" t="str">
        <f aca="false">IF($F345="","",ROUND(N($J345)*N($K345),2))</f>
        <v/>
      </c>
      <c r="R345" s="58" t="str">
        <f aca="false">IF($D345="","",IF(LEFT($D345,2)="销售","应收账款","应付账款"))</f>
        <v/>
      </c>
      <c r="S345" s="58" t="str">
        <f aca="false">IF($F345="","",IFERROR(INDEX(商品档案!$G$6:$G$65,MATCH($F345,商品档案!$A$6:$A$65,0)),""))</f>
        <v/>
      </c>
      <c r="T345" s="58" t="str">
        <f aca="false">IF($F345="","",IFERROR(INDEX(商品档案!$H$6:$H$65,MATCH($F345,商品档案!$A$6:$A$65,0)),""))</f>
        <v/>
      </c>
      <c r="U345" s="58" t="str">
        <f aca="false">IF($F345="","",IFERROR(INDEX(商品档案!$I$6:$I$65,MATCH($F345,商品档案!$A$6:$A$65,0)),""))</f>
        <v/>
      </c>
      <c r="V345" s="59" t="str">
        <f aca="false">IF($F345="","",SUMIFS(进销存台账!$N$6:$N$65,进销存台账!$A$6:$A$65,$C345,进销存台账!$B$6:$B$65,$F345))</f>
        <v/>
      </c>
      <c r="W345" s="60" t="n">
        <f aca="false">IF(OR($D345="销售出库",$D345="销售退回"),ROUND(N($J345)*N($V345),2),0)</f>
        <v>0</v>
      </c>
      <c r="X345" s="58" t="str">
        <f aca="false">IF($E345="","",IFERROR(INDEX(往来单位!$D$6:$D$85,MATCH($E345,往来单位!$A$6:$A$85,0)),"否"))</f>
        <v/>
      </c>
      <c r="Y345" s="61" t="str">
        <f aca="false">IF($B345="","",YEAR($B345))</f>
        <v/>
      </c>
      <c r="Z345" s="58" t="str">
        <f aca="false">IF($B345="","",TEXT($B345,"yyyy-mm"))</f>
        <v/>
      </c>
    </row>
    <row r="346" customFormat="false" ht="15" hidden="false" customHeight="false" outlineLevel="0" collapsed="false">
      <c r="A346" s="53" t="str">
        <f aca="false">IF($B346="","",ROW()-5)</f>
        <v/>
      </c>
      <c r="B346" s="54"/>
      <c r="C346" s="33"/>
      <c r="D346" s="33"/>
      <c r="E346" s="32"/>
      <c r="F346" s="39"/>
      <c r="G346" s="48" t="str">
        <f aca="false">IF($F346="","",IFERROR(INDEX(商品档案!$B$6:$B$65,MATCH($F346,商品档案!$A$6:$A$65,0)),""))</f>
        <v/>
      </c>
      <c r="H346" s="48" t="str">
        <f aca="false">IF($F346="","",IFERROR(INDEX(商品档案!$C$6:$C$65,MATCH($F346,商品档案!$A$6:$A$65,0)),""))</f>
        <v/>
      </c>
      <c r="I346" s="55" t="str">
        <f aca="false">IF($F346="","",IFERROR(INDEX(商品档案!$D$6:$D$65,MATCH($F346,商品档案!$A$6:$A$65,0)),""))</f>
        <v/>
      </c>
      <c r="J346" s="49"/>
      <c r="K346" s="56"/>
      <c r="L346" s="33"/>
      <c r="M346" s="39"/>
      <c r="N346" s="41"/>
      <c r="O346" s="41"/>
      <c r="P346" s="25" t="str">
        <f aca="false">IF(AND($B346="",$D346="",$F346=""),"",IF(NOT(ISNUMBER($B346)),"日期无效",IF(ISNA(MATCH($C346,参数设置!$A$10:$A$12,0)),"公司无效",IF(ISNA(MATCH($D346,记账规则!$A$6:$A$9,0)),"业务类型无效",IF(ISNA(MATCH($F346,商品档案!$A$6:$A$65,0)),"商品编码无效",IF(IFERROR(INDEX(商品档案!$E$6:$E$65,MATCH($F346,商品档案!$A$6:$A$65,0)),"")&lt;&gt;$C346,"商品不属于该公司",IF(AND($E346&lt;&gt;"",ISNA(MATCH($E346,往来单位!$A$6:$A$85,0))),"往来单位未建档",IF(N($J346)=0,"数量为 0",IF(N($K346)=0,"单价为 0",IF(AND(LEFT($D346,2)="销售",$U346=""),"该商品没设成本科目",IF(YEAR($B346)&lt;&gt;参数设置!$B$5,"不在本会计年度","OK")))))))))))</f>
        <v/>
      </c>
      <c r="Q346" s="57" t="str">
        <f aca="false">IF($F346="","",ROUND(N($J346)*N($K346),2))</f>
        <v/>
      </c>
      <c r="R346" s="58" t="str">
        <f aca="false">IF($D346="","",IF(LEFT($D346,2)="销售","应收账款","应付账款"))</f>
        <v/>
      </c>
      <c r="S346" s="58" t="str">
        <f aca="false">IF($F346="","",IFERROR(INDEX(商品档案!$G$6:$G$65,MATCH($F346,商品档案!$A$6:$A$65,0)),""))</f>
        <v/>
      </c>
      <c r="T346" s="58" t="str">
        <f aca="false">IF($F346="","",IFERROR(INDEX(商品档案!$H$6:$H$65,MATCH($F346,商品档案!$A$6:$A$65,0)),""))</f>
        <v/>
      </c>
      <c r="U346" s="58" t="str">
        <f aca="false">IF($F346="","",IFERROR(INDEX(商品档案!$I$6:$I$65,MATCH($F346,商品档案!$A$6:$A$65,0)),""))</f>
        <v/>
      </c>
      <c r="V346" s="59" t="str">
        <f aca="false">IF($F346="","",SUMIFS(进销存台账!$N$6:$N$65,进销存台账!$A$6:$A$65,$C346,进销存台账!$B$6:$B$65,$F346))</f>
        <v/>
      </c>
      <c r="W346" s="60" t="n">
        <f aca="false">IF(OR($D346="销售出库",$D346="销售退回"),ROUND(N($J346)*N($V346),2),0)</f>
        <v>0</v>
      </c>
      <c r="X346" s="58" t="str">
        <f aca="false">IF($E346="","",IFERROR(INDEX(往来单位!$D$6:$D$85,MATCH($E346,往来单位!$A$6:$A$85,0)),"否"))</f>
        <v/>
      </c>
      <c r="Y346" s="61" t="str">
        <f aca="false">IF($B346="","",YEAR($B346))</f>
        <v/>
      </c>
      <c r="Z346" s="58" t="str">
        <f aca="false">IF($B346="","",TEXT($B346,"yyyy-mm"))</f>
        <v/>
      </c>
    </row>
    <row r="347" customFormat="false" ht="15" hidden="false" customHeight="false" outlineLevel="0" collapsed="false">
      <c r="A347" s="53" t="str">
        <f aca="false">IF($B347="","",ROW()-5)</f>
        <v/>
      </c>
      <c r="B347" s="54"/>
      <c r="C347" s="33"/>
      <c r="D347" s="33"/>
      <c r="E347" s="32"/>
      <c r="F347" s="39"/>
      <c r="G347" s="48" t="str">
        <f aca="false">IF($F347="","",IFERROR(INDEX(商品档案!$B$6:$B$65,MATCH($F347,商品档案!$A$6:$A$65,0)),""))</f>
        <v/>
      </c>
      <c r="H347" s="48" t="str">
        <f aca="false">IF($F347="","",IFERROR(INDEX(商品档案!$C$6:$C$65,MATCH($F347,商品档案!$A$6:$A$65,0)),""))</f>
        <v/>
      </c>
      <c r="I347" s="55" t="str">
        <f aca="false">IF($F347="","",IFERROR(INDEX(商品档案!$D$6:$D$65,MATCH($F347,商品档案!$A$6:$A$65,0)),""))</f>
        <v/>
      </c>
      <c r="J347" s="49"/>
      <c r="K347" s="56"/>
      <c r="L347" s="33"/>
      <c r="M347" s="39"/>
      <c r="N347" s="41"/>
      <c r="O347" s="41"/>
      <c r="P347" s="25" t="str">
        <f aca="false">IF(AND($B347="",$D347="",$F347=""),"",IF(NOT(ISNUMBER($B347)),"日期无效",IF(ISNA(MATCH($C347,参数设置!$A$10:$A$12,0)),"公司无效",IF(ISNA(MATCH($D347,记账规则!$A$6:$A$9,0)),"业务类型无效",IF(ISNA(MATCH($F347,商品档案!$A$6:$A$65,0)),"商品编码无效",IF(IFERROR(INDEX(商品档案!$E$6:$E$65,MATCH($F347,商品档案!$A$6:$A$65,0)),"")&lt;&gt;$C347,"商品不属于该公司",IF(AND($E347&lt;&gt;"",ISNA(MATCH($E347,往来单位!$A$6:$A$85,0))),"往来单位未建档",IF(N($J347)=0,"数量为 0",IF(N($K347)=0,"单价为 0",IF(AND(LEFT($D347,2)="销售",$U347=""),"该商品没设成本科目",IF(YEAR($B347)&lt;&gt;参数设置!$B$5,"不在本会计年度","OK")))))))))))</f>
        <v/>
      </c>
      <c r="Q347" s="57" t="str">
        <f aca="false">IF($F347="","",ROUND(N($J347)*N($K347),2))</f>
        <v/>
      </c>
      <c r="R347" s="58" t="str">
        <f aca="false">IF($D347="","",IF(LEFT($D347,2)="销售","应收账款","应付账款"))</f>
        <v/>
      </c>
      <c r="S347" s="58" t="str">
        <f aca="false">IF($F347="","",IFERROR(INDEX(商品档案!$G$6:$G$65,MATCH($F347,商品档案!$A$6:$A$65,0)),""))</f>
        <v/>
      </c>
      <c r="T347" s="58" t="str">
        <f aca="false">IF($F347="","",IFERROR(INDEX(商品档案!$H$6:$H$65,MATCH($F347,商品档案!$A$6:$A$65,0)),""))</f>
        <v/>
      </c>
      <c r="U347" s="58" t="str">
        <f aca="false">IF($F347="","",IFERROR(INDEX(商品档案!$I$6:$I$65,MATCH($F347,商品档案!$A$6:$A$65,0)),""))</f>
        <v/>
      </c>
      <c r="V347" s="59" t="str">
        <f aca="false">IF($F347="","",SUMIFS(进销存台账!$N$6:$N$65,进销存台账!$A$6:$A$65,$C347,进销存台账!$B$6:$B$65,$F347))</f>
        <v/>
      </c>
      <c r="W347" s="60" t="n">
        <f aca="false">IF(OR($D347="销售出库",$D347="销售退回"),ROUND(N($J347)*N($V347),2),0)</f>
        <v>0</v>
      </c>
      <c r="X347" s="58" t="str">
        <f aca="false">IF($E347="","",IFERROR(INDEX(往来单位!$D$6:$D$85,MATCH($E347,往来单位!$A$6:$A$85,0)),"否"))</f>
        <v/>
      </c>
      <c r="Y347" s="61" t="str">
        <f aca="false">IF($B347="","",YEAR($B347))</f>
        <v/>
      </c>
      <c r="Z347" s="58" t="str">
        <f aca="false">IF($B347="","",TEXT($B347,"yyyy-mm"))</f>
        <v/>
      </c>
    </row>
    <row r="348" customFormat="false" ht="15" hidden="false" customHeight="false" outlineLevel="0" collapsed="false">
      <c r="A348" s="53" t="str">
        <f aca="false">IF($B348="","",ROW()-5)</f>
        <v/>
      </c>
      <c r="B348" s="54"/>
      <c r="C348" s="33"/>
      <c r="D348" s="33"/>
      <c r="E348" s="32"/>
      <c r="F348" s="39"/>
      <c r="G348" s="48" t="str">
        <f aca="false">IF($F348="","",IFERROR(INDEX(商品档案!$B$6:$B$65,MATCH($F348,商品档案!$A$6:$A$65,0)),""))</f>
        <v/>
      </c>
      <c r="H348" s="48" t="str">
        <f aca="false">IF($F348="","",IFERROR(INDEX(商品档案!$C$6:$C$65,MATCH($F348,商品档案!$A$6:$A$65,0)),""))</f>
        <v/>
      </c>
      <c r="I348" s="55" t="str">
        <f aca="false">IF($F348="","",IFERROR(INDEX(商品档案!$D$6:$D$65,MATCH($F348,商品档案!$A$6:$A$65,0)),""))</f>
        <v/>
      </c>
      <c r="J348" s="49"/>
      <c r="K348" s="56"/>
      <c r="L348" s="33"/>
      <c r="M348" s="39"/>
      <c r="N348" s="41"/>
      <c r="O348" s="41"/>
      <c r="P348" s="25" t="str">
        <f aca="false">IF(AND($B348="",$D348="",$F348=""),"",IF(NOT(ISNUMBER($B348)),"日期无效",IF(ISNA(MATCH($C348,参数设置!$A$10:$A$12,0)),"公司无效",IF(ISNA(MATCH($D348,记账规则!$A$6:$A$9,0)),"业务类型无效",IF(ISNA(MATCH($F348,商品档案!$A$6:$A$65,0)),"商品编码无效",IF(IFERROR(INDEX(商品档案!$E$6:$E$65,MATCH($F348,商品档案!$A$6:$A$65,0)),"")&lt;&gt;$C348,"商品不属于该公司",IF(AND($E348&lt;&gt;"",ISNA(MATCH($E348,往来单位!$A$6:$A$85,0))),"往来单位未建档",IF(N($J348)=0,"数量为 0",IF(N($K348)=0,"单价为 0",IF(AND(LEFT($D348,2)="销售",$U348=""),"该商品没设成本科目",IF(YEAR($B348)&lt;&gt;参数设置!$B$5,"不在本会计年度","OK")))))))))))</f>
        <v/>
      </c>
      <c r="Q348" s="57" t="str">
        <f aca="false">IF($F348="","",ROUND(N($J348)*N($K348),2))</f>
        <v/>
      </c>
      <c r="R348" s="58" t="str">
        <f aca="false">IF($D348="","",IF(LEFT($D348,2)="销售","应收账款","应付账款"))</f>
        <v/>
      </c>
      <c r="S348" s="58" t="str">
        <f aca="false">IF($F348="","",IFERROR(INDEX(商品档案!$G$6:$G$65,MATCH($F348,商品档案!$A$6:$A$65,0)),""))</f>
        <v/>
      </c>
      <c r="T348" s="58" t="str">
        <f aca="false">IF($F348="","",IFERROR(INDEX(商品档案!$H$6:$H$65,MATCH($F348,商品档案!$A$6:$A$65,0)),""))</f>
        <v/>
      </c>
      <c r="U348" s="58" t="str">
        <f aca="false">IF($F348="","",IFERROR(INDEX(商品档案!$I$6:$I$65,MATCH($F348,商品档案!$A$6:$A$65,0)),""))</f>
        <v/>
      </c>
      <c r="V348" s="59" t="str">
        <f aca="false">IF($F348="","",SUMIFS(进销存台账!$N$6:$N$65,进销存台账!$A$6:$A$65,$C348,进销存台账!$B$6:$B$65,$F348))</f>
        <v/>
      </c>
      <c r="W348" s="60" t="n">
        <f aca="false">IF(OR($D348="销售出库",$D348="销售退回"),ROUND(N($J348)*N($V348),2),0)</f>
        <v>0</v>
      </c>
      <c r="X348" s="58" t="str">
        <f aca="false">IF($E348="","",IFERROR(INDEX(往来单位!$D$6:$D$85,MATCH($E348,往来单位!$A$6:$A$85,0)),"否"))</f>
        <v/>
      </c>
      <c r="Y348" s="61" t="str">
        <f aca="false">IF($B348="","",YEAR($B348))</f>
        <v/>
      </c>
      <c r="Z348" s="58" t="str">
        <f aca="false">IF($B348="","",TEXT($B348,"yyyy-mm"))</f>
        <v/>
      </c>
    </row>
    <row r="349" customFormat="false" ht="15" hidden="false" customHeight="false" outlineLevel="0" collapsed="false">
      <c r="A349" s="53" t="str">
        <f aca="false">IF($B349="","",ROW()-5)</f>
        <v/>
      </c>
      <c r="B349" s="54"/>
      <c r="C349" s="33"/>
      <c r="D349" s="33"/>
      <c r="E349" s="32"/>
      <c r="F349" s="39"/>
      <c r="G349" s="48" t="str">
        <f aca="false">IF($F349="","",IFERROR(INDEX(商品档案!$B$6:$B$65,MATCH($F349,商品档案!$A$6:$A$65,0)),""))</f>
        <v/>
      </c>
      <c r="H349" s="48" t="str">
        <f aca="false">IF($F349="","",IFERROR(INDEX(商品档案!$C$6:$C$65,MATCH($F349,商品档案!$A$6:$A$65,0)),""))</f>
        <v/>
      </c>
      <c r="I349" s="55" t="str">
        <f aca="false">IF($F349="","",IFERROR(INDEX(商品档案!$D$6:$D$65,MATCH($F349,商品档案!$A$6:$A$65,0)),""))</f>
        <v/>
      </c>
      <c r="J349" s="49"/>
      <c r="K349" s="56"/>
      <c r="L349" s="33"/>
      <c r="M349" s="39"/>
      <c r="N349" s="41"/>
      <c r="O349" s="41"/>
      <c r="P349" s="25" t="str">
        <f aca="false">IF(AND($B349="",$D349="",$F349=""),"",IF(NOT(ISNUMBER($B349)),"日期无效",IF(ISNA(MATCH($C349,参数设置!$A$10:$A$12,0)),"公司无效",IF(ISNA(MATCH($D349,记账规则!$A$6:$A$9,0)),"业务类型无效",IF(ISNA(MATCH($F349,商品档案!$A$6:$A$65,0)),"商品编码无效",IF(IFERROR(INDEX(商品档案!$E$6:$E$65,MATCH($F349,商品档案!$A$6:$A$65,0)),"")&lt;&gt;$C349,"商品不属于该公司",IF(AND($E349&lt;&gt;"",ISNA(MATCH($E349,往来单位!$A$6:$A$85,0))),"往来单位未建档",IF(N($J349)=0,"数量为 0",IF(N($K349)=0,"单价为 0",IF(AND(LEFT($D349,2)="销售",$U349=""),"该商品没设成本科目",IF(YEAR($B349)&lt;&gt;参数设置!$B$5,"不在本会计年度","OK")))))))))))</f>
        <v/>
      </c>
      <c r="Q349" s="57" t="str">
        <f aca="false">IF($F349="","",ROUND(N($J349)*N($K349),2))</f>
        <v/>
      </c>
      <c r="R349" s="58" t="str">
        <f aca="false">IF($D349="","",IF(LEFT($D349,2)="销售","应收账款","应付账款"))</f>
        <v/>
      </c>
      <c r="S349" s="58" t="str">
        <f aca="false">IF($F349="","",IFERROR(INDEX(商品档案!$G$6:$G$65,MATCH($F349,商品档案!$A$6:$A$65,0)),""))</f>
        <v/>
      </c>
      <c r="T349" s="58" t="str">
        <f aca="false">IF($F349="","",IFERROR(INDEX(商品档案!$H$6:$H$65,MATCH($F349,商品档案!$A$6:$A$65,0)),""))</f>
        <v/>
      </c>
      <c r="U349" s="58" t="str">
        <f aca="false">IF($F349="","",IFERROR(INDEX(商品档案!$I$6:$I$65,MATCH($F349,商品档案!$A$6:$A$65,0)),""))</f>
        <v/>
      </c>
      <c r="V349" s="59" t="str">
        <f aca="false">IF($F349="","",SUMIFS(进销存台账!$N$6:$N$65,进销存台账!$A$6:$A$65,$C349,进销存台账!$B$6:$B$65,$F349))</f>
        <v/>
      </c>
      <c r="W349" s="60" t="n">
        <f aca="false">IF(OR($D349="销售出库",$D349="销售退回"),ROUND(N($J349)*N($V349),2),0)</f>
        <v>0</v>
      </c>
      <c r="X349" s="58" t="str">
        <f aca="false">IF($E349="","",IFERROR(INDEX(往来单位!$D$6:$D$85,MATCH($E349,往来单位!$A$6:$A$85,0)),"否"))</f>
        <v/>
      </c>
      <c r="Y349" s="61" t="str">
        <f aca="false">IF($B349="","",YEAR($B349))</f>
        <v/>
      </c>
      <c r="Z349" s="58" t="str">
        <f aca="false">IF($B349="","",TEXT($B349,"yyyy-mm"))</f>
        <v/>
      </c>
    </row>
    <row r="350" customFormat="false" ht="15" hidden="false" customHeight="false" outlineLevel="0" collapsed="false">
      <c r="A350" s="53" t="str">
        <f aca="false">IF($B350="","",ROW()-5)</f>
        <v/>
      </c>
      <c r="B350" s="54"/>
      <c r="C350" s="33"/>
      <c r="D350" s="33"/>
      <c r="E350" s="32"/>
      <c r="F350" s="39"/>
      <c r="G350" s="48" t="str">
        <f aca="false">IF($F350="","",IFERROR(INDEX(商品档案!$B$6:$B$65,MATCH($F350,商品档案!$A$6:$A$65,0)),""))</f>
        <v/>
      </c>
      <c r="H350" s="48" t="str">
        <f aca="false">IF($F350="","",IFERROR(INDEX(商品档案!$C$6:$C$65,MATCH($F350,商品档案!$A$6:$A$65,0)),""))</f>
        <v/>
      </c>
      <c r="I350" s="55" t="str">
        <f aca="false">IF($F350="","",IFERROR(INDEX(商品档案!$D$6:$D$65,MATCH($F350,商品档案!$A$6:$A$65,0)),""))</f>
        <v/>
      </c>
      <c r="J350" s="49"/>
      <c r="K350" s="56"/>
      <c r="L350" s="33"/>
      <c r="M350" s="39"/>
      <c r="N350" s="41"/>
      <c r="O350" s="41"/>
      <c r="P350" s="25" t="str">
        <f aca="false">IF(AND($B350="",$D350="",$F350=""),"",IF(NOT(ISNUMBER($B350)),"日期无效",IF(ISNA(MATCH($C350,参数设置!$A$10:$A$12,0)),"公司无效",IF(ISNA(MATCH($D350,记账规则!$A$6:$A$9,0)),"业务类型无效",IF(ISNA(MATCH($F350,商品档案!$A$6:$A$65,0)),"商品编码无效",IF(IFERROR(INDEX(商品档案!$E$6:$E$65,MATCH($F350,商品档案!$A$6:$A$65,0)),"")&lt;&gt;$C350,"商品不属于该公司",IF(AND($E350&lt;&gt;"",ISNA(MATCH($E350,往来单位!$A$6:$A$85,0))),"往来单位未建档",IF(N($J350)=0,"数量为 0",IF(N($K350)=0,"单价为 0",IF(AND(LEFT($D350,2)="销售",$U350=""),"该商品没设成本科目",IF(YEAR($B350)&lt;&gt;参数设置!$B$5,"不在本会计年度","OK")))))))))))</f>
        <v/>
      </c>
      <c r="Q350" s="57" t="str">
        <f aca="false">IF($F350="","",ROUND(N($J350)*N($K350),2))</f>
        <v/>
      </c>
      <c r="R350" s="58" t="str">
        <f aca="false">IF($D350="","",IF(LEFT($D350,2)="销售","应收账款","应付账款"))</f>
        <v/>
      </c>
      <c r="S350" s="58" t="str">
        <f aca="false">IF($F350="","",IFERROR(INDEX(商品档案!$G$6:$G$65,MATCH($F350,商品档案!$A$6:$A$65,0)),""))</f>
        <v/>
      </c>
      <c r="T350" s="58" t="str">
        <f aca="false">IF($F350="","",IFERROR(INDEX(商品档案!$H$6:$H$65,MATCH($F350,商品档案!$A$6:$A$65,0)),""))</f>
        <v/>
      </c>
      <c r="U350" s="58" t="str">
        <f aca="false">IF($F350="","",IFERROR(INDEX(商品档案!$I$6:$I$65,MATCH($F350,商品档案!$A$6:$A$65,0)),""))</f>
        <v/>
      </c>
      <c r="V350" s="59" t="str">
        <f aca="false">IF($F350="","",SUMIFS(进销存台账!$N$6:$N$65,进销存台账!$A$6:$A$65,$C350,进销存台账!$B$6:$B$65,$F350))</f>
        <v/>
      </c>
      <c r="W350" s="60" t="n">
        <f aca="false">IF(OR($D350="销售出库",$D350="销售退回"),ROUND(N($J350)*N($V350),2),0)</f>
        <v>0</v>
      </c>
      <c r="X350" s="58" t="str">
        <f aca="false">IF($E350="","",IFERROR(INDEX(往来单位!$D$6:$D$85,MATCH($E350,往来单位!$A$6:$A$85,0)),"否"))</f>
        <v/>
      </c>
      <c r="Y350" s="61" t="str">
        <f aca="false">IF($B350="","",YEAR($B350))</f>
        <v/>
      </c>
      <c r="Z350" s="58" t="str">
        <f aca="false">IF($B350="","",TEXT($B350,"yyyy-mm"))</f>
        <v/>
      </c>
    </row>
    <row r="351" customFormat="false" ht="15" hidden="false" customHeight="false" outlineLevel="0" collapsed="false">
      <c r="A351" s="53" t="str">
        <f aca="false">IF($B351="","",ROW()-5)</f>
        <v/>
      </c>
      <c r="B351" s="54"/>
      <c r="C351" s="33"/>
      <c r="D351" s="33"/>
      <c r="E351" s="32"/>
      <c r="F351" s="39"/>
      <c r="G351" s="48" t="str">
        <f aca="false">IF($F351="","",IFERROR(INDEX(商品档案!$B$6:$B$65,MATCH($F351,商品档案!$A$6:$A$65,0)),""))</f>
        <v/>
      </c>
      <c r="H351" s="48" t="str">
        <f aca="false">IF($F351="","",IFERROR(INDEX(商品档案!$C$6:$C$65,MATCH($F351,商品档案!$A$6:$A$65,0)),""))</f>
        <v/>
      </c>
      <c r="I351" s="55" t="str">
        <f aca="false">IF($F351="","",IFERROR(INDEX(商品档案!$D$6:$D$65,MATCH($F351,商品档案!$A$6:$A$65,0)),""))</f>
        <v/>
      </c>
      <c r="J351" s="49"/>
      <c r="K351" s="56"/>
      <c r="L351" s="33"/>
      <c r="M351" s="39"/>
      <c r="N351" s="41"/>
      <c r="O351" s="41"/>
      <c r="P351" s="25" t="str">
        <f aca="false">IF(AND($B351="",$D351="",$F351=""),"",IF(NOT(ISNUMBER($B351)),"日期无效",IF(ISNA(MATCH($C351,参数设置!$A$10:$A$12,0)),"公司无效",IF(ISNA(MATCH($D351,记账规则!$A$6:$A$9,0)),"业务类型无效",IF(ISNA(MATCH($F351,商品档案!$A$6:$A$65,0)),"商品编码无效",IF(IFERROR(INDEX(商品档案!$E$6:$E$65,MATCH($F351,商品档案!$A$6:$A$65,0)),"")&lt;&gt;$C351,"商品不属于该公司",IF(AND($E351&lt;&gt;"",ISNA(MATCH($E351,往来单位!$A$6:$A$85,0))),"往来单位未建档",IF(N($J351)=0,"数量为 0",IF(N($K351)=0,"单价为 0",IF(AND(LEFT($D351,2)="销售",$U351=""),"该商品没设成本科目",IF(YEAR($B351)&lt;&gt;参数设置!$B$5,"不在本会计年度","OK")))))))))))</f>
        <v/>
      </c>
      <c r="Q351" s="57" t="str">
        <f aca="false">IF($F351="","",ROUND(N($J351)*N($K351),2))</f>
        <v/>
      </c>
      <c r="R351" s="58" t="str">
        <f aca="false">IF($D351="","",IF(LEFT($D351,2)="销售","应收账款","应付账款"))</f>
        <v/>
      </c>
      <c r="S351" s="58" t="str">
        <f aca="false">IF($F351="","",IFERROR(INDEX(商品档案!$G$6:$G$65,MATCH($F351,商品档案!$A$6:$A$65,0)),""))</f>
        <v/>
      </c>
      <c r="T351" s="58" t="str">
        <f aca="false">IF($F351="","",IFERROR(INDEX(商品档案!$H$6:$H$65,MATCH($F351,商品档案!$A$6:$A$65,0)),""))</f>
        <v/>
      </c>
      <c r="U351" s="58" t="str">
        <f aca="false">IF($F351="","",IFERROR(INDEX(商品档案!$I$6:$I$65,MATCH($F351,商品档案!$A$6:$A$65,0)),""))</f>
        <v/>
      </c>
      <c r="V351" s="59" t="str">
        <f aca="false">IF($F351="","",SUMIFS(进销存台账!$N$6:$N$65,进销存台账!$A$6:$A$65,$C351,进销存台账!$B$6:$B$65,$F351))</f>
        <v/>
      </c>
      <c r="W351" s="60" t="n">
        <f aca="false">IF(OR($D351="销售出库",$D351="销售退回"),ROUND(N($J351)*N($V351),2),0)</f>
        <v>0</v>
      </c>
      <c r="X351" s="58" t="str">
        <f aca="false">IF($E351="","",IFERROR(INDEX(往来单位!$D$6:$D$85,MATCH($E351,往来单位!$A$6:$A$85,0)),"否"))</f>
        <v/>
      </c>
      <c r="Y351" s="61" t="str">
        <f aca="false">IF($B351="","",YEAR($B351))</f>
        <v/>
      </c>
      <c r="Z351" s="58" t="str">
        <f aca="false">IF($B351="","",TEXT($B351,"yyyy-mm"))</f>
        <v/>
      </c>
    </row>
    <row r="352" customFormat="false" ht="15" hidden="false" customHeight="false" outlineLevel="0" collapsed="false">
      <c r="A352" s="53" t="str">
        <f aca="false">IF($B352="","",ROW()-5)</f>
        <v/>
      </c>
      <c r="B352" s="54"/>
      <c r="C352" s="33"/>
      <c r="D352" s="33"/>
      <c r="E352" s="32"/>
      <c r="F352" s="39"/>
      <c r="G352" s="48" t="str">
        <f aca="false">IF($F352="","",IFERROR(INDEX(商品档案!$B$6:$B$65,MATCH($F352,商品档案!$A$6:$A$65,0)),""))</f>
        <v/>
      </c>
      <c r="H352" s="48" t="str">
        <f aca="false">IF($F352="","",IFERROR(INDEX(商品档案!$C$6:$C$65,MATCH($F352,商品档案!$A$6:$A$65,0)),""))</f>
        <v/>
      </c>
      <c r="I352" s="55" t="str">
        <f aca="false">IF($F352="","",IFERROR(INDEX(商品档案!$D$6:$D$65,MATCH($F352,商品档案!$A$6:$A$65,0)),""))</f>
        <v/>
      </c>
      <c r="J352" s="49"/>
      <c r="K352" s="56"/>
      <c r="L352" s="33"/>
      <c r="M352" s="39"/>
      <c r="N352" s="41"/>
      <c r="O352" s="41"/>
      <c r="P352" s="25" t="str">
        <f aca="false">IF(AND($B352="",$D352="",$F352=""),"",IF(NOT(ISNUMBER($B352)),"日期无效",IF(ISNA(MATCH($C352,参数设置!$A$10:$A$12,0)),"公司无效",IF(ISNA(MATCH($D352,记账规则!$A$6:$A$9,0)),"业务类型无效",IF(ISNA(MATCH($F352,商品档案!$A$6:$A$65,0)),"商品编码无效",IF(IFERROR(INDEX(商品档案!$E$6:$E$65,MATCH($F352,商品档案!$A$6:$A$65,0)),"")&lt;&gt;$C352,"商品不属于该公司",IF(AND($E352&lt;&gt;"",ISNA(MATCH($E352,往来单位!$A$6:$A$85,0))),"往来单位未建档",IF(N($J352)=0,"数量为 0",IF(N($K352)=0,"单价为 0",IF(AND(LEFT($D352,2)="销售",$U352=""),"该商品没设成本科目",IF(YEAR($B352)&lt;&gt;参数设置!$B$5,"不在本会计年度","OK")))))))))))</f>
        <v/>
      </c>
      <c r="Q352" s="57" t="str">
        <f aca="false">IF($F352="","",ROUND(N($J352)*N($K352),2))</f>
        <v/>
      </c>
      <c r="R352" s="58" t="str">
        <f aca="false">IF($D352="","",IF(LEFT($D352,2)="销售","应收账款","应付账款"))</f>
        <v/>
      </c>
      <c r="S352" s="58" t="str">
        <f aca="false">IF($F352="","",IFERROR(INDEX(商品档案!$G$6:$G$65,MATCH($F352,商品档案!$A$6:$A$65,0)),""))</f>
        <v/>
      </c>
      <c r="T352" s="58" t="str">
        <f aca="false">IF($F352="","",IFERROR(INDEX(商品档案!$H$6:$H$65,MATCH($F352,商品档案!$A$6:$A$65,0)),""))</f>
        <v/>
      </c>
      <c r="U352" s="58" t="str">
        <f aca="false">IF($F352="","",IFERROR(INDEX(商品档案!$I$6:$I$65,MATCH($F352,商品档案!$A$6:$A$65,0)),""))</f>
        <v/>
      </c>
      <c r="V352" s="59" t="str">
        <f aca="false">IF($F352="","",SUMIFS(进销存台账!$N$6:$N$65,进销存台账!$A$6:$A$65,$C352,进销存台账!$B$6:$B$65,$F352))</f>
        <v/>
      </c>
      <c r="W352" s="60" t="n">
        <f aca="false">IF(OR($D352="销售出库",$D352="销售退回"),ROUND(N($J352)*N($V352),2),0)</f>
        <v>0</v>
      </c>
      <c r="X352" s="58" t="str">
        <f aca="false">IF($E352="","",IFERROR(INDEX(往来单位!$D$6:$D$85,MATCH($E352,往来单位!$A$6:$A$85,0)),"否"))</f>
        <v/>
      </c>
      <c r="Y352" s="61" t="str">
        <f aca="false">IF($B352="","",YEAR($B352))</f>
        <v/>
      </c>
      <c r="Z352" s="58" t="str">
        <f aca="false">IF($B352="","",TEXT($B352,"yyyy-mm"))</f>
        <v/>
      </c>
    </row>
    <row r="353" customFormat="false" ht="15" hidden="false" customHeight="false" outlineLevel="0" collapsed="false">
      <c r="A353" s="53" t="str">
        <f aca="false">IF($B353="","",ROW()-5)</f>
        <v/>
      </c>
      <c r="B353" s="54"/>
      <c r="C353" s="33"/>
      <c r="D353" s="33"/>
      <c r="E353" s="32"/>
      <c r="F353" s="39"/>
      <c r="G353" s="48" t="str">
        <f aca="false">IF($F353="","",IFERROR(INDEX(商品档案!$B$6:$B$65,MATCH($F353,商品档案!$A$6:$A$65,0)),""))</f>
        <v/>
      </c>
      <c r="H353" s="48" t="str">
        <f aca="false">IF($F353="","",IFERROR(INDEX(商品档案!$C$6:$C$65,MATCH($F353,商品档案!$A$6:$A$65,0)),""))</f>
        <v/>
      </c>
      <c r="I353" s="55" t="str">
        <f aca="false">IF($F353="","",IFERROR(INDEX(商品档案!$D$6:$D$65,MATCH($F353,商品档案!$A$6:$A$65,0)),""))</f>
        <v/>
      </c>
      <c r="J353" s="49"/>
      <c r="K353" s="56"/>
      <c r="L353" s="33"/>
      <c r="M353" s="39"/>
      <c r="N353" s="41"/>
      <c r="O353" s="41"/>
      <c r="P353" s="25" t="str">
        <f aca="false">IF(AND($B353="",$D353="",$F353=""),"",IF(NOT(ISNUMBER($B353)),"日期无效",IF(ISNA(MATCH($C353,参数设置!$A$10:$A$12,0)),"公司无效",IF(ISNA(MATCH($D353,记账规则!$A$6:$A$9,0)),"业务类型无效",IF(ISNA(MATCH($F353,商品档案!$A$6:$A$65,0)),"商品编码无效",IF(IFERROR(INDEX(商品档案!$E$6:$E$65,MATCH($F353,商品档案!$A$6:$A$65,0)),"")&lt;&gt;$C353,"商品不属于该公司",IF(AND($E353&lt;&gt;"",ISNA(MATCH($E353,往来单位!$A$6:$A$85,0))),"往来单位未建档",IF(N($J353)=0,"数量为 0",IF(N($K353)=0,"单价为 0",IF(AND(LEFT($D353,2)="销售",$U353=""),"该商品没设成本科目",IF(YEAR($B353)&lt;&gt;参数设置!$B$5,"不在本会计年度","OK")))))))))))</f>
        <v/>
      </c>
      <c r="Q353" s="57" t="str">
        <f aca="false">IF($F353="","",ROUND(N($J353)*N($K353),2))</f>
        <v/>
      </c>
      <c r="R353" s="58" t="str">
        <f aca="false">IF($D353="","",IF(LEFT($D353,2)="销售","应收账款","应付账款"))</f>
        <v/>
      </c>
      <c r="S353" s="58" t="str">
        <f aca="false">IF($F353="","",IFERROR(INDEX(商品档案!$G$6:$G$65,MATCH($F353,商品档案!$A$6:$A$65,0)),""))</f>
        <v/>
      </c>
      <c r="T353" s="58" t="str">
        <f aca="false">IF($F353="","",IFERROR(INDEX(商品档案!$H$6:$H$65,MATCH($F353,商品档案!$A$6:$A$65,0)),""))</f>
        <v/>
      </c>
      <c r="U353" s="58" t="str">
        <f aca="false">IF($F353="","",IFERROR(INDEX(商品档案!$I$6:$I$65,MATCH($F353,商品档案!$A$6:$A$65,0)),""))</f>
        <v/>
      </c>
      <c r="V353" s="59" t="str">
        <f aca="false">IF($F353="","",SUMIFS(进销存台账!$N$6:$N$65,进销存台账!$A$6:$A$65,$C353,进销存台账!$B$6:$B$65,$F353))</f>
        <v/>
      </c>
      <c r="W353" s="60" t="n">
        <f aca="false">IF(OR($D353="销售出库",$D353="销售退回"),ROUND(N($J353)*N($V353),2),0)</f>
        <v>0</v>
      </c>
      <c r="X353" s="58" t="str">
        <f aca="false">IF($E353="","",IFERROR(INDEX(往来单位!$D$6:$D$85,MATCH($E353,往来单位!$A$6:$A$85,0)),"否"))</f>
        <v/>
      </c>
      <c r="Y353" s="61" t="str">
        <f aca="false">IF($B353="","",YEAR($B353))</f>
        <v/>
      </c>
      <c r="Z353" s="58" t="str">
        <f aca="false">IF($B353="","",TEXT($B353,"yyyy-mm"))</f>
        <v/>
      </c>
    </row>
    <row r="354" customFormat="false" ht="15" hidden="false" customHeight="false" outlineLevel="0" collapsed="false">
      <c r="A354" s="53" t="str">
        <f aca="false">IF($B354="","",ROW()-5)</f>
        <v/>
      </c>
      <c r="B354" s="54"/>
      <c r="C354" s="33"/>
      <c r="D354" s="33"/>
      <c r="E354" s="32"/>
      <c r="F354" s="39"/>
      <c r="G354" s="48" t="str">
        <f aca="false">IF($F354="","",IFERROR(INDEX(商品档案!$B$6:$B$65,MATCH($F354,商品档案!$A$6:$A$65,0)),""))</f>
        <v/>
      </c>
      <c r="H354" s="48" t="str">
        <f aca="false">IF($F354="","",IFERROR(INDEX(商品档案!$C$6:$C$65,MATCH($F354,商品档案!$A$6:$A$65,0)),""))</f>
        <v/>
      </c>
      <c r="I354" s="55" t="str">
        <f aca="false">IF($F354="","",IFERROR(INDEX(商品档案!$D$6:$D$65,MATCH($F354,商品档案!$A$6:$A$65,0)),""))</f>
        <v/>
      </c>
      <c r="J354" s="49"/>
      <c r="K354" s="56"/>
      <c r="L354" s="33"/>
      <c r="M354" s="39"/>
      <c r="N354" s="41"/>
      <c r="O354" s="41"/>
      <c r="P354" s="25" t="str">
        <f aca="false">IF(AND($B354="",$D354="",$F354=""),"",IF(NOT(ISNUMBER($B354)),"日期无效",IF(ISNA(MATCH($C354,参数设置!$A$10:$A$12,0)),"公司无效",IF(ISNA(MATCH($D354,记账规则!$A$6:$A$9,0)),"业务类型无效",IF(ISNA(MATCH($F354,商品档案!$A$6:$A$65,0)),"商品编码无效",IF(IFERROR(INDEX(商品档案!$E$6:$E$65,MATCH($F354,商品档案!$A$6:$A$65,0)),"")&lt;&gt;$C354,"商品不属于该公司",IF(AND($E354&lt;&gt;"",ISNA(MATCH($E354,往来单位!$A$6:$A$85,0))),"往来单位未建档",IF(N($J354)=0,"数量为 0",IF(N($K354)=0,"单价为 0",IF(AND(LEFT($D354,2)="销售",$U354=""),"该商品没设成本科目",IF(YEAR($B354)&lt;&gt;参数设置!$B$5,"不在本会计年度","OK")))))))))))</f>
        <v/>
      </c>
      <c r="Q354" s="57" t="str">
        <f aca="false">IF($F354="","",ROUND(N($J354)*N($K354),2))</f>
        <v/>
      </c>
      <c r="R354" s="58" t="str">
        <f aca="false">IF($D354="","",IF(LEFT($D354,2)="销售","应收账款","应付账款"))</f>
        <v/>
      </c>
      <c r="S354" s="58" t="str">
        <f aca="false">IF($F354="","",IFERROR(INDEX(商品档案!$G$6:$G$65,MATCH($F354,商品档案!$A$6:$A$65,0)),""))</f>
        <v/>
      </c>
      <c r="T354" s="58" t="str">
        <f aca="false">IF($F354="","",IFERROR(INDEX(商品档案!$H$6:$H$65,MATCH($F354,商品档案!$A$6:$A$65,0)),""))</f>
        <v/>
      </c>
      <c r="U354" s="58" t="str">
        <f aca="false">IF($F354="","",IFERROR(INDEX(商品档案!$I$6:$I$65,MATCH($F354,商品档案!$A$6:$A$65,0)),""))</f>
        <v/>
      </c>
      <c r="V354" s="59" t="str">
        <f aca="false">IF($F354="","",SUMIFS(进销存台账!$N$6:$N$65,进销存台账!$A$6:$A$65,$C354,进销存台账!$B$6:$B$65,$F354))</f>
        <v/>
      </c>
      <c r="W354" s="60" t="n">
        <f aca="false">IF(OR($D354="销售出库",$D354="销售退回"),ROUND(N($J354)*N($V354),2),0)</f>
        <v>0</v>
      </c>
      <c r="X354" s="58" t="str">
        <f aca="false">IF($E354="","",IFERROR(INDEX(往来单位!$D$6:$D$85,MATCH($E354,往来单位!$A$6:$A$85,0)),"否"))</f>
        <v/>
      </c>
      <c r="Y354" s="61" t="str">
        <f aca="false">IF($B354="","",YEAR($B354))</f>
        <v/>
      </c>
      <c r="Z354" s="58" t="str">
        <f aca="false">IF($B354="","",TEXT($B354,"yyyy-mm"))</f>
        <v/>
      </c>
    </row>
    <row r="355" customFormat="false" ht="15" hidden="false" customHeight="false" outlineLevel="0" collapsed="false">
      <c r="A355" s="53" t="str">
        <f aca="false">IF($B355="","",ROW()-5)</f>
        <v/>
      </c>
      <c r="B355" s="54"/>
      <c r="C355" s="33"/>
      <c r="D355" s="33"/>
      <c r="E355" s="32"/>
      <c r="F355" s="39"/>
      <c r="G355" s="48" t="str">
        <f aca="false">IF($F355="","",IFERROR(INDEX(商品档案!$B$6:$B$65,MATCH($F355,商品档案!$A$6:$A$65,0)),""))</f>
        <v/>
      </c>
      <c r="H355" s="48" t="str">
        <f aca="false">IF($F355="","",IFERROR(INDEX(商品档案!$C$6:$C$65,MATCH($F355,商品档案!$A$6:$A$65,0)),""))</f>
        <v/>
      </c>
      <c r="I355" s="55" t="str">
        <f aca="false">IF($F355="","",IFERROR(INDEX(商品档案!$D$6:$D$65,MATCH($F355,商品档案!$A$6:$A$65,0)),""))</f>
        <v/>
      </c>
      <c r="J355" s="49"/>
      <c r="K355" s="56"/>
      <c r="L355" s="33"/>
      <c r="M355" s="39"/>
      <c r="N355" s="41"/>
      <c r="O355" s="41"/>
      <c r="P355" s="25" t="str">
        <f aca="false">IF(AND($B355="",$D355="",$F355=""),"",IF(NOT(ISNUMBER($B355)),"日期无效",IF(ISNA(MATCH($C355,参数设置!$A$10:$A$12,0)),"公司无效",IF(ISNA(MATCH($D355,记账规则!$A$6:$A$9,0)),"业务类型无效",IF(ISNA(MATCH($F355,商品档案!$A$6:$A$65,0)),"商品编码无效",IF(IFERROR(INDEX(商品档案!$E$6:$E$65,MATCH($F355,商品档案!$A$6:$A$65,0)),"")&lt;&gt;$C355,"商品不属于该公司",IF(AND($E355&lt;&gt;"",ISNA(MATCH($E355,往来单位!$A$6:$A$85,0))),"往来单位未建档",IF(N($J355)=0,"数量为 0",IF(N($K355)=0,"单价为 0",IF(AND(LEFT($D355,2)="销售",$U355=""),"该商品没设成本科目",IF(YEAR($B355)&lt;&gt;参数设置!$B$5,"不在本会计年度","OK")))))))))))</f>
        <v/>
      </c>
      <c r="Q355" s="57" t="str">
        <f aca="false">IF($F355="","",ROUND(N($J355)*N($K355),2))</f>
        <v/>
      </c>
      <c r="R355" s="58" t="str">
        <f aca="false">IF($D355="","",IF(LEFT($D355,2)="销售","应收账款","应付账款"))</f>
        <v/>
      </c>
      <c r="S355" s="58" t="str">
        <f aca="false">IF($F355="","",IFERROR(INDEX(商品档案!$G$6:$G$65,MATCH($F355,商品档案!$A$6:$A$65,0)),""))</f>
        <v/>
      </c>
      <c r="T355" s="58" t="str">
        <f aca="false">IF($F355="","",IFERROR(INDEX(商品档案!$H$6:$H$65,MATCH($F355,商品档案!$A$6:$A$65,0)),""))</f>
        <v/>
      </c>
      <c r="U355" s="58" t="str">
        <f aca="false">IF($F355="","",IFERROR(INDEX(商品档案!$I$6:$I$65,MATCH($F355,商品档案!$A$6:$A$65,0)),""))</f>
        <v/>
      </c>
      <c r="V355" s="59" t="str">
        <f aca="false">IF($F355="","",SUMIFS(进销存台账!$N$6:$N$65,进销存台账!$A$6:$A$65,$C355,进销存台账!$B$6:$B$65,$F355))</f>
        <v/>
      </c>
      <c r="W355" s="60" t="n">
        <f aca="false">IF(OR($D355="销售出库",$D355="销售退回"),ROUND(N($J355)*N($V355),2),0)</f>
        <v>0</v>
      </c>
      <c r="X355" s="58" t="str">
        <f aca="false">IF($E355="","",IFERROR(INDEX(往来单位!$D$6:$D$85,MATCH($E355,往来单位!$A$6:$A$85,0)),"否"))</f>
        <v/>
      </c>
      <c r="Y355" s="61" t="str">
        <f aca="false">IF($B355="","",YEAR($B355))</f>
        <v/>
      </c>
      <c r="Z355" s="58" t="str">
        <f aca="false">IF($B355="","",TEXT($B355,"yyyy-mm"))</f>
        <v/>
      </c>
    </row>
    <row r="356" customFormat="false" ht="15" hidden="false" customHeight="false" outlineLevel="0" collapsed="false">
      <c r="A356" s="53" t="str">
        <f aca="false">IF($B356="","",ROW()-5)</f>
        <v/>
      </c>
      <c r="B356" s="54"/>
      <c r="C356" s="33"/>
      <c r="D356" s="33"/>
      <c r="E356" s="32"/>
      <c r="F356" s="39"/>
      <c r="G356" s="48" t="str">
        <f aca="false">IF($F356="","",IFERROR(INDEX(商品档案!$B$6:$B$65,MATCH($F356,商品档案!$A$6:$A$65,0)),""))</f>
        <v/>
      </c>
      <c r="H356" s="48" t="str">
        <f aca="false">IF($F356="","",IFERROR(INDEX(商品档案!$C$6:$C$65,MATCH($F356,商品档案!$A$6:$A$65,0)),""))</f>
        <v/>
      </c>
      <c r="I356" s="55" t="str">
        <f aca="false">IF($F356="","",IFERROR(INDEX(商品档案!$D$6:$D$65,MATCH($F356,商品档案!$A$6:$A$65,0)),""))</f>
        <v/>
      </c>
      <c r="J356" s="49"/>
      <c r="K356" s="56"/>
      <c r="L356" s="33"/>
      <c r="M356" s="39"/>
      <c r="N356" s="41"/>
      <c r="O356" s="41"/>
      <c r="P356" s="25" t="str">
        <f aca="false">IF(AND($B356="",$D356="",$F356=""),"",IF(NOT(ISNUMBER($B356)),"日期无效",IF(ISNA(MATCH($C356,参数设置!$A$10:$A$12,0)),"公司无效",IF(ISNA(MATCH($D356,记账规则!$A$6:$A$9,0)),"业务类型无效",IF(ISNA(MATCH($F356,商品档案!$A$6:$A$65,0)),"商品编码无效",IF(IFERROR(INDEX(商品档案!$E$6:$E$65,MATCH($F356,商品档案!$A$6:$A$65,0)),"")&lt;&gt;$C356,"商品不属于该公司",IF(AND($E356&lt;&gt;"",ISNA(MATCH($E356,往来单位!$A$6:$A$85,0))),"往来单位未建档",IF(N($J356)=0,"数量为 0",IF(N($K356)=0,"单价为 0",IF(AND(LEFT($D356,2)="销售",$U356=""),"该商品没设成本科目",IF(YEAR($B356)&lt;&gt;参数设置!$B$5,"不在本会计年度","OK")))))))))))</f>
        <v/>
      </c>
      <c r="Q356" s="57" t="str">
        <f aca="false">IF($F356="","",ROUND(N($J356)*N($K356),2))</f>
        <v/>
      </c>
      <c r="R356" s="58" t="str">
        <f aca="false">IF($D356="","",IF(LEFT($D356,2)="销售","应收账款","应付账款"))</f>
        <v/>
      </c>
      <c r="S356" s="58" t="str">
        <f aca="false">IF($F356="","",IFERROR(INDEX(商品档案!$G$6:$G$65,MATCH($F356,商品档案!$A$6:$A$65,0)),""))</f>
        <v/>
      </c>
      <c r="T356" s="58" t="str">
        <f aca="false">IF($F356="","",IFERROR(INDEX(商品档案!$H$6:$H$65,MATCH($F356,商品档案!$A$6:$A$65,0)),""))</f>
        <v/>
      </c>
      <c r="U356" s="58" t="str">
        <f aca="false">IF($F356="","",IFERROR(INDEX(商品档案!$I$6:$I$65,MATCH($F356,商品档案!$A$6:$A$65,0)),""))</f>
        <v/>
      </c>
      <c r="V356" s="59" t="str">
        <f aca="false">IF($F356="","",SUMIFS(进销存台账!$N$6:$N$65,进销存台账!$A$6:$A$65,$C356,进销存台账!$B$6:$B$65,$F356))</f>
        <v/>
      </c>
      <c r="W356" s="60" t="n">
        <f aca="false">IF(OR($D356="销售出库",$D356="销售退回"),ROUND(N($J356)*N($V356),2),0)</f>
        <v>0</v>
      </c>
      <c r="X356" s="58" t="str">
        <f aca="false">IF($E356="","",IFERROR(INDEX(往来单位!$D$6:$D$85,MATCH($E356,往来单位!$A$6:$A$85,0)),"否"))</f>
        <v/>
      </c>
      <c r="Y356" s="61" t="str">
        <f aca="false">IF($B356="","",YEAR($B356))</f>
        <v/>
      </c>
      <c r="Z356" s="58" t="str">
        <f aca="false">IF($B356="","",TEXT($B356,"yyyy-mm"))</f>
        <v/>
      </c>
    </row>
    <row r="357" customFormat="false" ht="15" hidden="false" customHeight="false" outlineLevel="0" collapsed="false">
      <c r="A357" s="53" t="str">
        <f aca="false">IF($B357="","",ROW()-5)</f>
        <v/>
      </c>
      <c r="B357" s="54"/>
      <c r="C357" s="33"/>
      <c r="D357" s="33"/>
      <c r="E357" s="32"/>
      <c r="F357" s="39"/>
      <c r="G357" s="48" t="str">
        <f aca="false">IF($F357="","",IFERROR(INDEX(商品档案!$B$6:$B$65,MATCH($F357,商品档案!$A$6:$A$65,0)),""))</f>
        <v/>
      </c>
      <c r="H357" s="48" t="str">
        <f aca="false">IF($F357="","",IFERROR(INDEX(商品档案!$C$6:$C$65,MATCH($F357,商品档案!$A$6:$A$65,0)),""))</f>
        <v/>
      </c>
      <c r="I357" s="55" t="str">
        <f aca="false">IF($F357="","",IFERROR(INDEX(商品档案!$D$6:$D$65,MATCH($F357,商品档案!$A$6:$A$65,0)),""))</f>
        <v/>
      </c>
      <c r="J357" s="49"/>
      <c r="K357" s="56"/>
      <c r="L357" s="33"/>
      <c r="M357" s="39"/>
      <c r="N357" s="41"/>
      <c r="O357" s="41"/>
      <c r="P357" s="25" t="str">
        <f aca="false">IF(AND($B357="",$D357="",$F357=""),"",IF(NOT(ISNUMBER($B357)),"日期无效",IF(ISNA(MATCH($C357,参数设置!$A$10:$A$12,0)),"公司无效",IF(ISNA(MATCH($D357,记账规则!$A$6:$A$9,0)),"业务类型无效",IF(ISNA(MATCH($F357,商品档案!$A$6:$A$65,0)),"商品编码无效",IF(IFERROR(INDEX(商品档案!$E$6:$E$65,MATCH($F357,商品档案!$A$6:$A$65,0)),"")&lt;&gt;$C357,"商品不属于该公司",IF(AND($E357&lt;&gt;"",ISNA(MATCH($E357,往来单位!$A$6:$A$85,0))),"往来单位未建档",IF(N($J357)=0,"数量为 0",IF(N($K357)=0,"单价为 0",IF(AND(LEFT($D357,2)="销售",$U357=""),"该商品没设成本科目",IF(YEAR($B357)&lt;&gt;参数设置!$B$5,"不在本会计年度","OK")))))))))))</f>
        <v/>
      </c>
      <c r="Q357" s="57" t="str">
        <f aca="false">IF($F357="","",ROUND(N($J357)*N($K357),2))</f>
        <v/>
      </c>
      <c r="R357" s="58" t="str">
        <f aca="false">IF($D357="","",IF(LEFT($D357,2)="销售","应收账款","应付账款"))</f>
        <v/>
      </c>
      <c r="S357" s="58" t="str">
        <f aca="false">IF($F357="","",IFERROR(INDEX(商品档案!$G$6:$G$65,MATCH($F357,商品档案!$A$6:$A$65,0)),""))</f>
        <v/>
      </c>
      <c r="T357" s="58" t="str">
        <f aca="false">IF($F357="","",IFERROR(INDEX(商品档案!$H$6:$H$65,MATCH($F357,商品档案!$A$6:$A$65,0)),""))</f>
        <v/>
      </c>
      <c r="U357" s="58" t="str">
        <f aca="false">IF($F357="","",IFERROR(INDEX(商品档案!$I$6:$I$65,MATCH($F357,商品档案!$A$6:$A$65,0)),""))</f>
        <v/>
      </c>
      <c r="V357" s="59" t="str">
        <f aca="false">IF($F357="","",SUMIFS(进销存台账!$N$6:$N$65,进销存台账!$A$6:$A$65,$C357,进销存台账!$B$6:$B$65,$F357))</f>
        <v/>
      </c>
      <c r="W357" s="60" t="n">
        <f aca="false">IF(OR($D357="销售出库",$D357="销售退回"),ROUND(N($J357)*N($V357),2),0)</f>
        <v>0</v>
      </c>
      <c r="X357" s="58" t="str">
        <f aca="false">IF($E357="","",IFERROR(INDEX(往来单位!$D$6:$D$85,MATCH($E357,往来单位!$A$6:$A$85,0)),"否"))</f>
        <v/>
      </c>
      <c r="Y357" s="61" t="str">
        <f aca="false">IF($B357="","",YEAR($B357))</f>
        <v/>
      </c>
      <c r="Z357" s="58" t="str">
        <f aca="false">IF($B357="","",TEXT($B357,"yyyy-mm"))</f>
        <v/>
      </c>
    </row>
    <row r="358" customFormat="false" ht="15" hidden="false" customHeight="false" outlineLevel="0" collapsed="false">
      <c r="A358" s="53" t="str">
        <f aca="false">IF($B358="","",ROW()-5)</f>
        <v/>
      </c>
      <c r="B358" s="54"/>
      <c r="C358" s="33"/>
      <c r="D358" s="33"/>
      <c r="E358" s="32"/>
      <c r="F358" s="39"/>
      <c r="G358" s="48" t="str">
        <f aca="false">IF($F358="","",IFERROR(INDEX(商品档案!$B$6:$B$65,MATCH($F358,商品档案!$A$6:$A$65,0)),""))</f>
        <v/>
      </c>
      <c r="H358" s="48" t="str">
        <f aca="false">IF($F358="","",IFERROR(INDEX(商品档案!$C$6:$C$65,MATCH($F358,商品档案!$A$6:$A$65,0)),""))</f>
        <v/>
      </c>
      <c r="I358" s="55" t="str">
        <f aca="false">IF($F358="","",IFERROR(INDEX(商品档案!$D$6:$D$65,MATCH($F358,商品档案!$A$6:$A$65,0)),""))</f>
        <v/>
      </c>
      <c r="J358" s="49"/>
      <c r="K358" s="56"/>
      <c r="L358" s="33"/>
      <c r="M358" s="39"/>
      <c r="N358" s="41"/>
      <c r="O358" s="41"/>
      <c r="P358" s="25" t="str">
        <f aca="false">IF(AND($B358="",$D358="",$F358=""),"",IF(NOT(ISNUMBER($B358)),"日期无效",IF(ISNA(MATCH($C358,参数设置!$A$10:$A$12,0)),"公司无效",IF(ISNA(MATCH($D358,记账规则!$A$6:$A$9,0)),"业务类型无效",IF(ISNA(MATCH($F358,商品档案!$A$6:$A$65,0)),"商品编码无效",IF(IFERROR(INDEX(商品档案!$E$6:$E$65,MATCH($F358,商品档案!$A$6:$A$65,0)),"")&lt;&gt;$C358,"商品不属于该公司",IF(AND($E358&lt;&gt;"",ISNA(MATCH($E358,往来单位!$A$6:$A$85,0))),"往来单位未建档",IF(N($J358)=0,"数量为 0",IF(N($K358)=0,"单价为 0",IF(AND(LEFT($D358,2)="销售",$U358=""),"该商品没设成本科目",IF(YEAR($B358)&lt;&gt;参数设置!$B$5,"不在本会计年度","OK")))))))))))</f>
        <v/>
      </c>
      <c r="Q358" s="57" t="str">
        <f aca="false">IF($F358="","",ROUND(N($J358)*N($K358),2))</f>
        <v/>
      </c>
      <c r="R358" s="58" t="str">
        <f aca="false">IF($D358="","",IF(LEFT($D358,2)="销售","应收账款","应付账款"))</f>
        <v/>
      </c>
      <c r="S358" s="58" t="str">
        <f aca="false">IF($F358="","",IFERROR(INDEX(商品档案!$G$6:$G$65,MATCH($F358,商品档案!$A$6:$A$65,0)),""))</f>
        <v/>
      </c>
      <c r="T358" s="58" t="str">
        <f aca="false">IF($F358="","",IFERROR(INDEX(商品档案!$H$6:$H$65,MATCH($F358,商品档案!$A$6:$A$65,0)),""))</f>
        <v/>
      </c>
      <c r="U358" s="58" t="str">
        <f aca="false">IF($F358="","",IFERROR(INDEX(商品档案!$I$6:$I$65,MATCH($F358,商品档案!$A$6:$A$65,0)),""))</f>
        <v/>
      </c>
      <c r="V358" s="59" t="str">
        <f aca="false">IF($F358="","",SUMIFS(进销存台账!$N$6:$N$65,进销存台账!$A$6:$A$65,$C358,进销存台账!$B$6:$B$65,$F358))</f>
        <v/>
      </c>
      <c r="W358" s="60" t="n">
        <f aca="false">IF(OR($D358="销售出库",$D358="销售退回"),ROUND(N($J358)*N($V358),2),0)</f>
        <v>0</v>
      </c>
      <c r="X358" s="58" t="str">
        <f aca="false">IF($E358="","",IFERROR(INDEX(往来单位!$D$6:$D$85,MATCH($E358,往来单位!$A$6:$A$85,0)),"否"))</f>
        <v/>
      </c>
      <c r="Y358" s="61" t="str">
        <f aca="false">IF($B358="","",YEAR($B358))</f>
        <v/>
      </c>
      <c r="Z358" s="58" t="str">
        <f aca="false">IF($B358="","",TEXT($B358,"yyyy-mm"))</f>
        <v/>
      </c>
    </row>
    <row r="359" customFormat="false" ht="15" hidden="false" customHeight="false" outlineLevel="0" collapsed="false">
      <c r="A359" s="53" t="str">
        <f aca="false">IF($B359="","",ROW()-5)</f>
        <v/>
      </c>
      <c r="B359" s="54"/>
      <c r="C359" s="33"/>
      <c r="D359" s="33"/>
      <c r="E359" s="32"/>
      <c r="F359" s="39"/>
      <c r="G359" s="48" t="str">
        <f aca="false">IF($F359="","",IFERROR(INDEX(商品档案!$B$6:$B$65,MATCH($F359,商品档案!$A$6:$A$65,0)),""))</f>
        <v/>
      </c>
      <c r="H359" s="48" t="str">
        <f aca="false">IF($F359="","",IFERROR(INDEX(商品档案!$C$6:$C$65,MATCH($F359,商品档案!$A$6:$A$65,0)),""))</f>
        <v/>
      </c>
      <c r="I359" s="55" t="str">
        <f aca="false">IF($F359="","",IFERROR(INDEX(商品档案!$D$6:$D$65,MATCH($F359,商品档案!$A$6:$A$65,0)),""))</f>
        <v/>
      </c>
      <c r="J359" s="49"/>
      <c r="K359" s="56"/>
      <c r="L359" s="33"/>
      <c r="M359" s="39"/>
      <c r="N359" s="41"/>
      <c r="O359" s="41"/>
      <c r="P359" s="25" t="str">
        <f aca="false">IF(AND($B359="",$D359="",$F359=""),"",IF(NOT(ISNUMBER($B359)),"日期无效",IF(ISNA(MATCH($C359,参数设置!$A$10:$A$12,0)),"公司无效",IF(ISNA(MATCH($D359,记账规则!$A$6:$A$9,0)),"业务类型无效",IF(ISNA(MATCH($F359,商品档案!$A$6:$A$65,0)),"商品编码无效",IF(IFERROR(INDEX(商品档案!$E$6:$E$65,MATCH($F359,商品档案!$A$6:$A$65,0)),"")&lt;&gt;$C359,"商品不属于该公司",IF(AND($E359&lt;&gt;"",ISNA(MATCH($E359,往来单位!$A$6:$A$85,0))),"往来单位未建档",IF(N($J359)=0,"数量为 0",IF(N($K359)=0,"单价为 0",IF(AND(LEFT($D359,2)="销售",$U359=""),"该商品没设成本科目",IF(YEAR($B359)&lt;&gt;参数设置!$B$5,"不在本会计年度","OK")))))))))))</f>
        <v/>
      </c>
      <c r="Q359" s="57" t="str">
        <f aca="false">IF($F359="","",ROUND(N($J359)*N($K359),2))</f>
        <v/>
      </c>
      <c r="R359" s="58" t="str">
        <f aca="false">IF($D359="","",IF(LEFT($D359,2)="销售","应收账款","应付账款"))</f>
        <v/>
      </c>
      <c r="S359" s="58" t="str">
        <f aca="false">IF($F359="","",IFERROR(INDEX(商品档案!$G$6:$G$65,MATCH($F359,商品档案!$A$6:$A$65,0)),""))</f>
        <v/>
      </c>
      <c r="T359" s="58" t="str">
        <f aca="false">IF($F359="","",IFERROR(INDEX(商品档案!$H$6:$H$65,MATCH($F359,商品档案!$A$6:$A$65,0)),""))</f>
        <v/>
      </c>
      <c r="U359" s="58" t="str">
        <f aca="false">IF($F359="","",IFERROR(INDEX(商品档案!$I$6:$I$65,MATCH($F359,商品档案!$A$6:$A$65,0)),""))</f>
        <v/>
      </c>
      <c r="V359" s="59" t="str">
        <f aca="false">IF($F359="","",SUMIFS(进销存台账!$N$6:$N$65,进销存台账!$A$6:$A$65,$C359,进销存台账!$B$6:$B$65,$F359))</f>
        <v/>
      </c>
      <c r="W359" s="60" t="n">
        <f aca="false">IF(OR($D359="销售出库",$D359="销售退回"),ROUND(N($J359)*N($V359),2),0)</f>
        <v>0</v>
      </c>
      <c r="X359" s="58" t="str">
        <f aca="false">IF($E359="","",IFERROR(INDEX(往来单位!$D$6:$D$85,MATCH($E359,往来单位!$A$6:$A$85,0)),"否"))</f>
        <v/>
      </c>
      <c r="Y359" s="61" t="str">
        <f aca="false">IF($B359="","",YEAR($B359))</f>
        <v/>
      </c>
      <c r="Z359" s="58" t="str">
        <f aca="false">IF($B359="","",TEXT($B359,"yyyy-mm"))</f>
        <v/>
      </c>
    </row>
    <row r="360" customFormat="false" ht="15" hidden="false" customHeight="false" outlineLevel="0" collapsed="false">
      <c r="A360" s="53" t="str">
        <f aca="false">IF($B360="","",ROW()-5)</f>
        <v/>
      </c>
      <c r="B360" s="54"/>
      <c r="C360" s="33"/>
      <c r="D360" s="33"/>
      <c r="E360" s="32"/>
      <c r="F360" s="39"/>
      <c r="G360" s="48" t="str">
        <f aca="false">IF($F360="","",IFERROR(INDEX(商品档案!$B$6:$B$65,MATCH($F360,商品档案!$A$6:$A$65,0)),""))</f>
        <v/>
      </c>
      <c r="H360" s="48" t="str">
        <f aca="false">IF($F360="","",IFERROR(INDEX(商品档案!$C$6:$C$65,MATCH($F360,商品档案!$A$6:$A$65,0)),""))</f>
        <v/>
      </c>
      <c r="I360" s="55" t="str">
        <f aca="false">IF($F360="","",IFERROR(INDEX(商品档案!$D$6:$D$65,MATCH($F360,商品档案!$A$6:$A$65,0)),""))</f>
        <v/>
      </c>
      <c r="J360" s="49"/>
      <c r="K360" s="56"/>
      <c r="L360" s="33"/>
      <c r="M360" s="39"/>
      <c r="N360" s="41"/>
      <c r="O360" s="41"/>
      <c r="P360" s="25" t="str">
        <f aca="false">IF(AND($B360="",$D360="",$F360=""),"",IF(NOT(ISNUMBER($B360)),"日期无效",IF(ISNA(MATCH($C360,参数设置!$A$10:$A$12,0)),"公司无效",IF(ISNA(MATCH($D360,记账规则!$A$6:$A$9,0)),"业务类型无效",IF(ISNA(MATCH($F360,商品档案!$A$6:$A$65,0)),"商品编码无效",IF(IFERROR(INDEX(商品档案!$E$6:$E$65,MATCH($F360,商品档案!$A$6:$A$65,0)),"")&lt;&gt;$C360,"商品不属于该公司",IF(AND($E360&lt;&gt;"",ISNA(MATCH($E360,往来单位!$A$6:$A$85,0))),"往来单位未建档",IF(N($J360)=0,"数量为 0",IF(N($K360)=0,"单价为 0",IF(AND(LEFT($D360,2)="销售",$U360=""),"该商品没设成本科目",IF(YEAR($B360)&lt;&gt;参数设置!$B$5,"不在本会计年度","OK")))))))))))</f>
        <v/>
      </c>
      <c r="Q360" s="57" t="str">
        <f aca="false">IF($F360="","",ROUND(N($J360)*N($K360),2))</f>
        <v/>
      </c>
      <c r="R360" s="58" t="str">
        <f aca="false">IF($D360="","",IF(LEFT($D360,2)="销售","应收账款","应付账款"))</f>
        <v/>
      </c>
      <c r="S360" s="58" t="str">
        <f aca="false">IF($F360="","",IFERROR(INDEX(商品档案!$G$6:$G$65,MATCH($F360,商品档案!$A$6:$A$65,0)),""))</f>
        <v/>
      </c>
      <c r="T360" s="58" t="str">
        <f aca="false">IF($F360="","",IFERROR(INDEX(商品档案!$H$6:$H$65,MATCH($F360,商品档案!$A$6:$A$65,0)),""))</f>
        <v/>
      </c>
      <c r="U360" s="58" t="str">
        <f aca="false">IF($F360="","",IFERROR(INDEX(商品档案!$I$6:$I$65,MATCH($F360,商品档案!$A$6:$A$65,0)),""))</f>
        <v/>
      </c>
      <c r="V360" s="59" t="str">
        <f aca="false">IF($F360="","",SUMIFS(进销存台账!$N$6:$N$65,进销存台账!$A$6:$A$65,$C360,进销存台账!$B$6:$B$65,$F360))</f>
        <v/>
      </c>
      <c r="W360" s="60" t="n">
        <f aca="false">IF(OR($D360="销售出库",$D360="销售退回"),ROUND(N($J360)*N($V360),2),0)</f>
        <v>0</v>
      </c>
      <c r="X360" s="58" t="str">
        <f aca="false">IF($E360="","",IFERROR(INDEX(往来单位!$D$6:$D$85,MATCH($E360,往来单位!$A$6:$A$85,0)),"否"))</f>
        <v/>
      </c>
      <c r="Y360" s="61" t="str">
        <f aca="false">IF($B360="","",YEAR($B360))</f>
        <v/>
      </c>
      <c r="Z360" s="58" t="str">
        <f aca="false">IF($B360="","",TEXT($B360,"yyyy-mm"))</f>
        <v/>
      </c>
    </row>
    <row r="361" customFormat="false" ht="15" hidden="false" customHeight="false" outlineLevel="0" collapsed="false">
      <c r="A361" s="53" t="str">
        <f aca="false">IF($B361="","",ROW()-5)</f>
        <v/>
      </c>
      <c r="B361" s="54"/>
      <c r="C361" s="33"/>
      <c r="D361" s="33"/>
      <c r="E361" s="32"/>
      <c r="F361" s="39"/>
      <c r="G361" s="48" t="str">
        <f aca="false">IF($F361="","",IFERROR(INDEX(商品档案!$B$6:$B$65,MATCH($F361,商品档案!$A$6:$A$65,0)),""))</f>
        <v/>
      </c>
      <c r="H361" s="48" t="str">
        <f aca="false">IF($F361="","",IFERROR(INDEX(商品档案!$C$6:$C$65,MATCH($F361,商品档案!$A$6:$A$65,0)),""))</f>
        <v/>
      </c>
      <c r="I361" s="55" t="str">
        <f aca="false">IF($F361="","",IFERROR(INDEX(商品档案!$D$6:$D$65,MATCH($F361,商品档案!$A$6:$A$65,0)),""))</f>
        <v/>
      </c>
      <c r="J361" s="49"/>
      <c r="K361" s="56"/>
      <c r="L361" s="33"/>
      <c r="M361" s="39"/>
      <c r="N361" s="41"/>
      <c r="O361" s="41"/>
      <c r="P361" s="25" t="str">
        <f aca="false">IF(AND($B361="",$D361="",$F361=""),"",IF(NOT(ISNUMBER($B361)),"日期无效",IF(ISNA(MATCH($C361,参数设置!$A$10:$A$12,0)),"公司无效",IF(ISNA(MATCH($D361,记账规则!$A$6:$A$9,0)),"业务类型无效",IF(ISNA(MATCH($F361,商品档案!$A$6:$A$65,0)),"商品编码无效",IF(IFERROR(INDEX(商品档案!$E$6:$E$65,MATCH($F361,商品档案!$A$6:$A$65,0)),"")&lt;&gt;$C361,"商品不属于该公司",IF(AND($E361&lt;&gt;"",ISNA(MATCH($E361,往来单位!$A$6:$A$85,0))),"往来单位未建档",IF(N($J361)=0,"数量为 0",IF(N($K361)=0,"单价为 0",IF(AND(LEFT($D361,2)="销售",$U361=""),"该商品没设成本科目",IF(YEAR($B361)&lt;&gt;参数设置!$B$5,"不在本会计年度","OK")))))))))))</f>
        <v/>
      </c>
      <c r="Q361" s="57" t="str">
        <f aca="false">IF($F361="","",ROUND(N($J361)*N($K361),2))</f>
        <v/>
      </c>
      <c r="R361" s="58" t="str">
        <f aca="false">IF($D361="","",IF(LEFT($D361,2)="销售","应收账款","应付账款"))</f>
        <v/>
      </c>
      <c r="S361" s="58" t="str">
        <f aca="false">IF($F361="","",IFERROR(INDEX(商品档案!$G$6:$G$65,MATCH($F361,商品档案!$A$6:$A$65,0)),""))</f>
        <v/>
      </c>
      <c r="T361" s="58" t="str">
        <f aca="false">IF($F361="","",IFERROR(INDEX(商品档案!$H$6:$H$65,MATCH($F361,商品档案!$A$6:$A$65,0)),""))</f>
        <v/>
      </c>
      <c r="U361" s="58" t="str">
        <f aca="false">IF($F361="","",IFERROR(INDEX(商品档案!$I$6:$I$65,MATCH($F361,商品档案!$A$6:$A$65,0)),""))</f>
        <v/>
      </c>
      <c r="V361" s="59" t="str">
        <f aca="false">IF($F361="","",SUMIFS(进销存台账!$N$6:$N$65,进销存台账!$A$6:$A$65,$C361,进销存台账!$B$6:$B$65,$F361))</f>
        <v/>
      </c>
      <c r="W361" s="60" t="n">
        <f aca="false">IF(OR($D361="销售出库",$D361="销售退回"),ROUND(N($J361)*N($V361),2),0)</f>
        <v>0</v>
      </c>
      <c r="X361" s="58" t="str">
        <f aca="false">IF($E361="","",IFERROR(INDEX(往来单位!$D$6:$D$85,MATCH($E361,往来单位!$A$6:$A$85,0)),"否"))</f>
        <v/>
      </c>
      <c r="Y361" s="61" t="str">
        <f aca="false">IF($B361="","",YEAR($B361))</f>
        <v/>
      </c>
      <c r="Z361" s="58" t="str">
        <f aca="false">IF($B361="","",TEXT($B361,"yyyy-mm"))</f>
        <v/>
      </c>
    </row>
    <row r="362" customFormat="false" ht="15" hidden="false" customHeight="false" outlineLevel="0" collapsed="false">
      <c r="A362" s="53" t="str">
        <f aca="false">IF($B362="","",ROW()-5)</f>
        <v/>
      </c>
      <c r="B362" s="54"/>
      <c r="C362" s="33"/>
      <c r="D362" s="33"/>
      <c r="E362" s="32"/>
      <c r="F362" s="39"/>
      <c r="G362" s="48" t="str">
        <f aca="false">IF($F362="","",IFERROR(INDEX(商品档案!$B$6:$B$65,MATCH($F362,商品档案!$A$6:$A$65,0)),""))</f>
        <v/>
      </c>
      <c r="H362" s="48" t="str">
        <f aca="false">IF($F362="","",IFERROR(INDEX(商品档案!$C$6:$C$65,MATCH($F362,商品档案!$A$6:$A$65,0)),""))</f>
        <v/>
      </c>
      <c r="I362" s="55" t="str">
        <f aca="false">IF($F362="","",IFERROR(INDEX(商品档案!$D$6:$D$65,MATCH($F362,商品档案!$A$6:$A$65,0)),""))</f>
        <v/>
      </c>
      <c r="J362" s="49"/>
      <c r="K362" s="56"/>
      <c r="L362" s="33"/>
      <c r="M362" s="39"/>
      <c r="N362" s="41"/>
      <c r="O362" s="41"/>
      <c r="P362" s="25" t="str">
        <f aca="false">IF(AND($B362="",$D362="",$F362=""),"",IF(NOT(ISNUMBER($B362)),"日期无效",IF(ISNA(MATCH($C362,参数设置!$A$10:$A$12,0)),"公司无效",IF(ISNA(MATCH($D362,记账规则!$A$6:$A$9,0)),"业务类型无效",IF(ISNA(MATCH($F362,商品档案!$A$6:$A$65,0)),"商品编码无效",IF(IFERROR(INDEX(商品档案!$E$6:$E$65,MATCH($F362,商品档案!$A$6:$A$65,0)),"")&lt;&gt;$C362,"商品不属于该公司",IF(AND($E362&lt;&gt;"",ISNA(MATCH($E362,往来单位!$A$6:$A$85,0))),"往来单位未建档",IF(N($J362)=0,"数量为 0",IF(N($K362)=0,"单价为 0",IF(AND(LEFT($D362,2)="销售",$U362=""),"该商品没设成本科目",IF(YEAR($B362)&lt;&gt;参数设置!$B$5,"不在本会计年度","OK")))))))))))</f>
        <v/>
      </c>
      <c r="Q362" s="57" t="str">
        <f aca="false">IF($F362="","",ROUND(N($J362)*N($K362),2))</f>
        <v/>
      </c>
      <c r="R362" s="58" t="str">
        <f aca="false">IF($D362="","",IF(LEFT($D362,2)="销售","应收账款","应付账款"))</f>
        <v/>
      </c>
      <c r="S362" s="58" t="str">
        <f aca="false">IF($F362="","",IFERROR(INDEX(商品档案!$G$6:$G$65,MATCH($F362,商品档案!$A$6:$A$65,0)),""))</f>
        <v/>
      </c>
      <c r="T362" s="58" t="str">
        <f aca="false">IF($F362="","",IFERROR(INDEX(商品档案!$H$6:$H$65,MATCH($F362,商品档案!$A$6:$A$65,0)),""))</f>
        <v/>
      </c>
      <c r="U362" s="58" t="str">
        <f aca="false">IF($F362="","",IFERROR(INDEX(商品档案!$I$6:$I$65,MATCH($F362,商品档案!$A$6:$A$65,0)),""))</f>
        <v/>
      </c>
      <c r="V362" s="59" t="str">
        <f aca="false">IF($F362="","",SUMIFS(进销存台账!$N$6:$N$65,进销存台账!$A$6:$A$65,$C362,进销存台账!$B$6:$B$65,$F362))</f>
        <v/>
      </c>
      <c r="W362" s="60" t="n">
        <f aca="false">IF(OR($D362="销售出库",$D362="销售退回"),ROUND(N($J362)*N($V362),2),0)</f>
        <v>0</v>
      </c>
      <c r="X362" s="58" t="str">
        <f aca="false">IF($E362="","",IFERROR(INDEX(往来单位!$D$6:$D$85,MATCH($E362,往来单位!$A$6:$A$85,0)),"否"))</f>
        <v/>
      </c>
      <c r="Y362" s="61" t="str">
        <f aca="false">IF($B362="","",YEAR($B362))</f>
        <v/>
      </c>
      <c r="Z362" s="58" t="str">
        <f aca="false">IF($B362="","",TEXT($B362,"yyyy-mm"))</f>
        <v/>
      </c>
    </row>
    <row r="363" customFormat="false" ht="15" hidden="false" customHeight="false" outlineLevel="0" collapsed="false">
      <c r="A363" s="53" t="str">
        <f aca="false">IF($B363="","",ROW()-5)</f>
        <v/>
      </c>
      <c r="B363" s="54"/>
      <c r="C363" s="33"/>
      <c r="D363" s="33"/>
      <c r="E363" s="32"/>
      <c r="F363" s="39"/>
      <c r="G363" s="48" t="str">
        <f aca="false">IF($F363="","",IFERROR(INDEX(商品档案!$B$6:$B$65,MATCH($F363,商品档案!$A$6:$A$65,0)),""))</f>
        <v/>
      </c>
      <c r="H363" s="48" t="str">
        <f aca="false">IF($F363="","",IFERROR(INDEX(商品档案!$C$6:$C$65,MATCH($F363,商品档案!$A$6:$A$65,0)),""))</f>
        <v/>
      </c>
      <c r="I363" s="55" t="str">
        <f aca="false">IF($F363="","",IFERROR(INDEX(商品档案!$D$6:$D$65,MATCH($F363,商品档案!$A$6:$A$65,0)),""))</f>
        <v/>
      </c>
      <c r="J363" s="49"/>
      <c r="K363" s="56"/>
      <c r="L363" s="33"/>
      <c r="M363" s="39"/>
      <c r="N363" s="41"/>
      <c r="O363" s="41"/>
      <c r="P363" s="25" t="str">
        <f aca="false">IF(AND($B363="",$D363="",$F363=""),"",IF(NOT(ISNUMBER($B363)),"日期无效",IF(ISNA(MATCH($C363,参数设置!$A$10:$A$12,0)),"公司无效",IF(ISNA(MATCH($D363,记账规则!$A$6:$A$9,0)),"业务类型无效",IF(ISNA(MATCH($F363,商品档案!$A$6:$A$65,0)),"商品编码无效",IF(IFERROR(INDEX(商品档案!$E$6:$E$65,MATCH($F363,商品档案!$A$6:$A$65,0)),"")&lt;&gt;$C363,"商品不属于该公司",IF(AND($E363&lt;&gt;"",ISNA(MATCH($E363,往来单位!$A$6:$A$85,0))),"往来单位未建档",IF(N($J363)=0,"数量为 0",IF(N($K363)=0,"单价为 0",IF(AND(LEFT($D363,2)="销售",$U363=""),"该商品没设成本科目",IF(YEAR($B363)&lt;&gt;参数设置!$B$5,"不在本会计年度","OK")))))))))))</f>
        <v/>
      </c>
      <c r="Q363" s="57" t="str">
        <f aca="false">IF($F363="","",ROUND(N($J363)*N($K363),2))</f>
        <v/>
      </c>
      <c r="R363" s="58" t="str">
        <f aca="false">IF($D363="","",IF(LEFT($D363,2)="销售","应收账款","应付账款"))</f>
        <v/>
      </c>
      <c r="S363" s="58" t="str">
        <f aca="false">IF($F363="","",IFERROR(INDEX(商品档案!$G$6:$G$65,MATCH($F363,商品档案!$A$6:$A$65,0)),""))</f>
        <v/>
      </c>
      <c r="T363" s="58" t="str">
        <f aca="false">IF($F363="","",IFERROR(INDEX(商品档案!$H$6:$H$65,MATCH($F363,商品档案!$A$6:$A$65,0)),""))</f>
        <v/>
      </c>
      <c r="U363" s="58" t="str">
        <f aca="false">IF($F363="","",IFERROR(INDEX(商品档案!$I$6:$I$65,MATCH($F363,商品档案!$A$6:$A$65,0)),""))</f>
        <v/>
      </c>
      <c r="V363" s="59" t="str">
        <f aca="false">IF($F363="","",SUMIFS(进销存台账!$N$6:$N$65,进销存台账!$A$6:$A$65,$C363,进销存台账!$B$6:$B$65,$F363))</f>
        <v/>
      </c>
      <c r="W363" s="60" t="n">
        <f aca="false">IF(OR($D363="销售出库",$D363="销售退回"),ROUND(N($J363)*N($V363),2),0)</f>
        <v>0</v>
      </c>
      <c r="X363" s="58" t="str">
        <f aca="false">IF($E363="","",IFERROR(INDEX(往来单位!$D$6:$D$85,MATCH($E363,往来单位!$A$6:$A$85,0)),"否"))</f>
        <v/>
      </c>
      <c r="Y363" s="61" t="str">
        <f aca="false">IF($B363="","",YEAR($B363))</f>
        <v/>
      </c>
      <c r="Z363" s="58" t="str">
        <f aca="false">IF($B363="","",TEXT($B363,"yyyy-mm"))</f>
        <v/>
      </c>
    </row>
    <row r="364" customFormat="false" ht="15" hidden="false" customHeight="false" outlineLevel="0" collapsed="false">
      <c r="A364" s="53" t="str">
        <f aca="false">IF($B364="","",ROW()-5)</f>
        <v/>
      </c>
      <c r="B364" s="54"/>
      <c r="C364" s="33"/>
      <c r="D364" s="33"/>
      <c r="E364" s="32"/>
      <c r="F364" s="39"/>
      <c r="G364" s="48" t="str">
        <f aca="false">IF($F364="","",IFERROR(INDEX(商品档案!$B$6:$B$65,MATCH($F364,商品档案!$A$6:$A$65,0)),""))</f>
        <v/>
      </c>
      <c r="H364" s="48" t="str">
        <f aca="false">IF($F364="","",IFERROR(INDEX(商品档案!$C$6:$C$65,MATCH($F364,商品档案!$A$6:$A$65,0)),""))</f>
        <v/>
      </c>
      <c r="I364" s="55" t="str">
        <f aca="false">IF($F364="","",IFERROR(INDEX(商品档案!$D$6:$D$65,MATCH($F364,商品档案!$A$6:$A$65,0)),""))</f>
        <v/>
      </c>
      <c r="J364" s="49"/>
      <c r="K364" s="56"/>
      <c r="L364" s="33"/>
      <c r="M364" s="39"/>
      <c r="N364" s="41"/>
      <c r="O364" s="41"/>
      <c r="P364" s="25" t="str">
        <f aca="false">IF(AND($B364="",$D364="",$F364=""),"",IF(NOT(ISNUMBER($B364)),"日期无效",IF(ISNA(MATCH($C364,参数设置!$A$10:$A$12,0)),"公司无效",IF(ISNA(MATCH($D364,记账规则!$A$6:$A$9,0)),"业务类型无效",IF(ISNA(MATCH($F364,商品档案!$A$6:$A$65,0)),"商品编码无效",IF(IFERROR(INDEX(商品档案!$E$6:$E$65,MATCH($F364,商品档案!$A$6:$A$65,0)),"")&lt;&gt;$C364,"商品不属于该公司",IF(AND($E364&lt;&gt;"",ISNA(MATCH($E364,往来单位!$A$6:$A$85,0))),"往来单位未建档",IF(N($J364)=0,"数量为 0",IF(N($K364)=0,"单价为 0",IF(AND(LEFT($D364,2)="销售",$U364=""),"该商品没设成本科目",IF(YEAR($B364)&lt;&gt;参数设置!$B$5,"不在本会计年度","OK")))))))))))</f>
        <v/>
      </c>
      <c r="Q364" s="57" t="str">
        <f aca="false">IF($F364="","",ROUND(N($J364)*N($K364),2))</f>
        <v/>
      </c>
      <c r="R364" s="58" t="str">
        <f aca="false">IF($D364="","",IF(LEFT($D364,2)="销售","应收账款","应付账款"))</f>
        <v/>
      </c>
      <c r="S364" s="58" t="str">
        <f aca="false">IF($F364="","",IFERROR(INDEX(商品档案!$G$6:$G$65,MATCH($F364,商品档案!$A$6:$A$65,0)),""))</f>
        <v/>
      </c>
      <c r="T364" s="58" t="str">
        <f aca="false">IF($F364="","",IFERROR(INDEX(商品档案!$H$6:$H$65,MATCH($F364,商品档案!$A$6:$A$65,0)),""))</f>
        <v/>
      </c>
      <c r="U364" s="58" t="str">
        <f aca="false">IF($F364="","",IFERROR(INDEX(商品档案!$I$6:$I$65,MATCH($F364,商品档案!$A$6:$A$65,0)),""))</f>
        <v/>
      </c>
      <c r="V364" s="59" t="str">
        <f aca="false">IF($F364="","",SUMIFS(进销存台账!$N$6:$N$65,进销存台账!$A$6:$A$65,$C364,进销存台账!$B$6:$B$65,$F364))</f>
        <v/>
      </c>
      <c r="W364" s="60" t="n">
        <f aca="false">IF(OR($D364="销售出库",$D364="销售退回"),ROUND(N($J364)*N($V364),2),0)</f>
        <v>0</v>
      </c>
      <c r="X364" s="58" t="str">
        <f aca="false">IF($E364="","",IFERROR(INDEX(往来单位!$D$6:$D$85,MATCH($E364,往来单位!$A$6:$A$85,0)),"否"))</f>
        <v/>
      </c>
      <c r="Y364" s="61" t="str">
        <f aca="false">IF($B364="","",YEAR($B364))</f>
        <v/>
      </c>
      <c r="Z364" s="58" t="str">
        <f aca="false">IF($B364="","",TEXT($B364,"yyyy-mm"))</f>
        <v/>
      </c>
    </row>
    <row r="365" customFormat="false" ht="15" hidden="false" customHeight="false" outlineLevel="0" collapsed="false">
      <c r="A365" s="53" t="str">
        <f aca="false">IF($B365="","",ROW()-5)</f>
        <v/>
      </c>
      <c r="B365" s="54"/>
      <c r="C365" s="33"/>
      <c r="D365" s="33"/>
      <c r="E365" s="32"/>
      <c r="F365" s="39"/>
      <c r="G365" s="48" t="str">
        <f aca="false">IF($F365="","",IFERROR(INDEX(商品档案!$B$6:$B$65,MATCH($F365,商品档案!$A$6:$A$65,0)),""))</f>
        <v/>
      </c>
      <c r="H365" s="48" t="str">
        <f aca="false">IF($F365="","",IFERROR(INDEX(商品档案!$C$6:$C$65,MATCH($F365,商品档案!$A$6:$A$65,0)),""))</f>
        <v/>
      </c>
      <c r="I365" s="55" t="str">
        <f aca="false">IF($F365="","",IFERROR(INDEX(商品档案!$D$6:$D$65,MATCH($F365,商品档案!$A$6:$A$65,0)),""))</f>
        <v/>
      </c>
      <c r="J365" s="49"/>
      <c r="K365" s="56"/>
      <c r="L365" s="33"/>
      <c r="M365" s="39"/>
      <c r="N365" s="41"/>
      <c r="O365" s="41"/>
      <c r="P365" s="25" t="str">
        <f aca="false">IF(AND($B365="",$D365="",$F365=""),"",IF(NOT(ISNUMBER($B365)),"日期无效",IF(ISNA(MATCH($C365,参数设置!$A$10:$A$12,0)),"公司无效",IF(ISNA(MATCH($D365,记账规则!$A$6:$A$9,0)),"业务类型无效",IF(ISNA(MATCH($F365,商品档案!$A$6:$A$65,0)),"商品编码无效",IF(IFERROR(INDEX(商品档案!$E$6:$E$65,MATCH($F365,商品档案!$A$6:$A$65,0)),"")&lt;&gt;$C365,"商品不属于该公司",IF(AND($E365&lt;&gt;"",ISNA(MATCH($E365,往来单位!$A$6:$A$85,0))),"往来单位未建档",IF(N($J365)=0,"数量为 0",IF(N($K365)=0,"单价为 0",IF(AND(LEFT($D365,2)="销售",$U365=""),"该商品没设成本科目",IF(YEAR($B365)&lt;&gt;参数设置!$B$5,"不在本会计年度","OK")))))))))))</f>
        <v/>
      </c>
      <c r="Q365" s="57" t="str">
        <f aca="false">IF($F365="","",ROUND(N($J365)*N($K365),2))</f>
        <v/>
      </c>
      <c r="R365" s="58" t="str">
        <f aca="false">IF($D365="","",IF(LEFT($D365,2)="销售","应收账款","应付账款"))</f>
        <v/>
      </c>
      <c r="S365" s="58" t="str">
        <f aca="false">IF($F365="","",IFERROR(INDEX(商品档案!$G$6:$G$65,MATCH($F365,商品档案!$A$6:$A$65,0)),""))</f>
        <v/>
      </c>
      <c r="T365" s="58" t="str">
        <f aca="false">IF($F365="","",IFERROR(INDEX(商品档案!$H$6:$H$65,MATCH($F365,商品档案!$A$6:$A$65,0)),""))</f>
        <v/>
      </c>
      <c r="U365" s="58" t="str">
        <f aca="false">IF($F365="","",IFERROR(INDEX(商品档案!$I$6:$I$65,MATCH($F365,商品档案!$A$6:$A$65,0)),""))</f>
        <v/>
      </c>
      <c r="V365" s="59" t="str">
        <f aca="false">IF($F365="","",SUMIFS(进销存台账!$N$6:$N$65,进销存台账!$A$6:$A$65,$C365,进销存台账!$B$6:$B$65,$F365))</f>
        <v/>
      </c>
      <c r="W365" s="60" t="n">
        <f aca="false">IF(OR($D365="销售出库",$D365="销售退回"),ROUND(N($J365)*N($V365),2),0)</f>
        <v>0</v>
      </c>
      <c r="X365" s="58" t="str">
        <f aca="false">IF($E365="","",IFERROR(INDEX(往来单位!$D$6:$D$85,MATCH($E365,往来单位!$A$6:$A$85,0)),"否"))</f>
        <v/>
      </c>
      <c r="Y365" s="61" t="str">
        <f aca="false">IF($B365="","",YEAR($B365))</f>
        <v/>
      </c>
      <c r="Z365" s="58" t="str">
        <f aca="false">IF($B365="","",TEXT($B365,"yyyy-mm"))</f>
        <v/>
      </c>
    </row>
    <row r="366" customFormat="false" ht="15" hidden="false" customHeight="false" outlineLevel="0" collapsed="false">
      <c r="A366" s="53" t="str">
        <f aca="false">IF($B366="","",ROW()-5)</f>
        <v/>
      </c>
      <c r="B366" s="54"/>
      <c r="C366" s="33"/>
      <c r="D366" s="33"/>
      <c r="E366" s="32"/>
      <c r="F366" s="39"/>
      <c r="G366" s="48" t="str">
        <f aca="false">IF($F366="","",IFERROR(INDEX(商品档案!$B$6:$B$65,MATCH($F366,商品档案!$A$6:$A$65,0)),""))</f>
        <v/>
      </c>
      <c r="H366" s="48" t="str">
        <f aca="false">IF($F366="","",IFERROR(INDEX(商品档案!$C$6:$C$65,MATCH($F366,商品档案!$A$6:$A$65,0)),""))</f>
        <v/>
      </c>
      <c r="I366" s="55" t="str">
        <f aca="false">IF($F366="","",IFERROR(INDEX(商品档案!$D$6:$D$65,MATCH($F366,商品档案!$A$6:$A$65,0)),""))</f>
        <v/>
      </c>
      <c r="J366" s="49"/>
      <c r="K366" s="56"/>
      <c r="L366" s="33"/>
      <c r="M366" s="39"/>
      <c r="N366" s="41"/>
      <c r="O366" s="41"/>
      <c r="P366" s="25" t="str">
        <f aca="false">IF(AND($B366="",$D366="",$F366=""),"",IF(NOT(ISNUMBER($B366)),"日期无效",IF(ISNA(MATCH($C366,参数设置!$A$10:$A$12,0)),"公司无效",IF(ISNA(MATCH($D366,记账规则!$A$6:$A$9,0)),"业务类型无效",IF(ISNA(MATCH($F366,商品档案!$A$6:$A$65,0)),"商品编码无效",IF(IFERROR(INDEX(商品档案!$E$6:$E$65,MATCH($F366,商品档案!$A$6:$A$65,0)),"")&lt;&gt;$C366,"商品不属于该公司",IF(AND($E366&lt;&gt;"",ISNA(MATCH($E366,往来单位!$A$6:$A$85,0))),"往来单位未建档",IF(N($J366)=0,"数量为 0",IF(N($K366)=0,"单价为 0",IF(AND(LEFT($D366,2)="销售",$U366=""),"该商品没设成本科目",IF(YEAR($B366)&lt;&gt;参数设置!$B$5,"不在本会计年度","OK")))))))))))</f>
        <v/>
      </c>
      <c r="Q366" s="57" t="str">
        <f aca="false">IF($F366="","",ROUND(N($J366)*N($K366),2))</f>
        <v/>
      </c>
      <c r="R366" s="58" t="str">
        <f aca="false">IF($D366="","",IF(LEFT($D366,2)="销售","应收账款","应付账款"))</f>
        <v/>
      </c>
      <c r="S366" s="58" t="str">
        <f aca="false">IF($F366="","",IFERROR(INDEX(商品档案!$G$6:$G$65,MATCH($F366,商品档案!$A$6:$A$65,0)),""))</f>
        <v/>
      </c>
      <c r="T366" s="58" t="str">
        <f aca="false">IF($F366="","",IFERROR(INDEX(商品档案!$H$6:$H$65,MATCH($F366,商品档案!$A$6:$A$65,0)),""))</f>
        <v/>
      </c>
      <c r="U366" s="58" t="str">
        <f aca="false">IF($F366="","",IFERROR(INDEX(商品档案!$I$6:$I$65,MATCH($F366,商品档案!$A$6:$A$65,0)),""))</f>
        <v/>
      </c>
      <c r="V366" s="59" t="str">
        <f aca="false">IF($F366="","",SUMIFS(进销存台账!$N$6:$N$65,进销存台账!$A$6:$A$65,$C366,进销存台账!$B$6:$B$65,$F366))</f>
        <v/>
      </c>
      <c r="W366" s="60" t="n">
        <f aca="false">IF(OR($D366="销售出库",$D366="销售退回"),ROUND(N($J366)*N($V366),2),0)</f>
        <v>0</v>
      </c>
      <c r="X366" s="58" t="str">
        <f aca="false">IF($E366="","",IFERROR(INDEX(往来单位!$D$6:$D$85,MATCH($E366,往来单位!$A$6:$A$85,0)),"否"))</f>
        <v/>
      </c>
      <c r="Y366" s="61" t="str">
        <f aca="false">IF($B366="","",YEAR($B366))</f>
        <v/>
      </c>
      <c r="Z366" s="58" t="str">
        <f aca="false">IF($B366="","",TEXT($B366,"yyyy-mm"))</f>
        <v/>
      </c>
    </row>
    <row r="367" customFormat="false" ht="15" hidden="false" customHeight="false" outlineLevel="0" collapsed="false">
      <c r="A367" s="53" t="str">
        <f aca="false">IF($B367="","",ROW()-5)</f>
        <v/>
      </c>
      <c r="B367" s="54"/>
      <c r="C367" s="33"/>
      <c r="D367" s="33"/>
      <c r="E367" s="32"/>
      <c r="F367" s="39"/>
      <c r="G367" s="48" t="str">
        <f aca="false">IF($F367="","",IFERROR(INDEX(商品档案!$B$6:$B$65,MATCH($F367,商品档案!$A$6:$A$65,0)),""))</f>
        <v/>
      </c>
      <c r="H367" s="48" t="str">
        <f aca="false">IF($F367="","",IFERROR(INDEX(商品档案!$C$6:$C$65,MATCH($F367,商品档案!$A$6:$A$65,0)),""))</f>
        <v/>
      </c>
      <c r="I367" s="55" t="str">
        <f aca="false">IF($F367="","",IFERROR(INDEX(商品档案!$D$6:$D$65,MATCH($F367,商品档案!$A$6:$A$65,0)),""))</f>
        <v/>
      </c>
      <c r="J367" s="49"/>
      <c r="K367" s="56"/>
      <c r="L367" s="33"/>
      <c r="M367" s="39"/>
      <c r="N367" s="41"/>
      <c r="O367" s="41"/>
      <c r="P367" s="25" t="str">
        <f aca="false">IF(AND($B367="",$D367="",$F367=""),"",IF(NOT(ISNUMBER($B367)),"日期无效",IF(ISNA(MATCH($C367,参数设置!$A$10:$A$12,0)),"公司无效",IF(ISNA(MATCH($D367,记账规则!$A$6:$A$9,0)),"业务类型无效",IF(ISNA(MATCH($F367,商品档案!$A$6:$A$65,0)),"商品编码无效",IF(IFERROR(INDEX(商品档案!$E$6:$E$65,MATCH($F367,商品档案!$A$6:$A$65,0)),"")&lt;&gt;$C367,"商品不属于该公司",IF(AND($E367&lt;&gt;"",ISNA(MATCH($E367,往来单位!$A$6:$A$85,0))),"往来单位未建档",IF(N($J367)=0,"数量为 0",IF(N($K367)=0,"单价为 0",IF(AND(LEFT($D367,2)="销售",$U367=""),"该商品没设成本科目",IF(YEAR($B367)&lt;&gt;参数设置!$B$5,"不在本会计年度","OK")))))))))))</f>
        <v/>
      </c>
      <c r="Q367" s="57" t="str">
        <f aca="false">IF($F367="","",ROUND(N($J367)*N($K367),2))</f>
        <v/>
      </c>
      <c r="R367" s="58" t="str">
        <f aca="false">IF($D367="","",IF(LEFT($D367,2)="销售","应收账款","应付账款"))</f>
        <v/>
      </c>
      <c r="S367" s="58" t="str">
        <f aca="false">IF($F367="","",IFERROR(INDEX(商品档案!$G$6:$G$65,MATCH($F367,商品档案!$A$6:$A$65,0)),""))</f>
        <v/>
      </c>
      <c r="T367" s="58" t="str">
        <f aca="false">IF($F367="","",IFERROR(INDEX(商品档案!$H$6:$H$65,MATCH($F367,商品档案!$A$6:$A$65,0)),""))</f>
        <v/>
      </c>
      <c r="U367" s="58" t="str">
        <f aca="false">IF($F367="","",IFERROR(INDEX(商品档案!$I$6:$I$65,MATCH($F367,商品档案!$A$6:$A$65,0)),""))</f>
        <v/>
      </c>
      <c r="V367" s="59" t="str">
        <f aca="false">IF($F367="","",SUMIFS(进销存台账!$N$6:$N$65,进销存台账!$A$6:$A$65,$C367,进销存台账!$B$6:$B$65,$F367))</f>
        <v/>
      </c>
      <c r="W367" s="60" t="n">
        <f aca="false">IF(OR($D367="销售出库",$D367="销售退回"),ROUND(N($J367)*N($V367),2),0)</f>
        <v>0</v>
      </c>
      <c r="X367" s="58" t="str">
        <f aca="false">IF($E367="","",IFERROR(INDEX(往来单位!$D$6:$D$85,MATCH($E367,往来单位!$A$6:$A$85,0)),"否"))</f>
        <v/>
      </c>
      <c r="Y367" s="61" t="str">
        <f aca="false">IF($B367="","",YEAR($B367))</f>
        <v/>
      </c>
      <c r="Z367" s="58" t="str">
        <f aca="false">IF($B367="","",TEXT($B367,"yyyy-mm"))</f>
        <v/>
      </c>
    </row>
    <row r="368" customFormat="false" ht="15" hidden="false" customHeight="false" outlineLevel="0" collapsed="false">
      <c r="A368" s="53" t="str">
        <f aca="false">IF($B368="","",ROW()-5)</f>
        <v/>
      </c>
      <c r="B368" s="54"/>
      <c r="C368" s="33"/>
      <c r="D368" s="33"/>
      <c r="E368" s="32"/>
      <c r="F368" s="39"/>
      <c r="G368" s="48" t="str">
        <f aca="false">IF($F368="","",IFERROR(INDEX(商品档案!$B$6:$B$65,MATCH($F368,商品档案!$A$6:$A$65,0)),""))</f>
        <v/>
      </c>
      <c r="H368" s="48" t="str">
        <f aca="false">IF($F368="","",IFERROR(INDEX(商品档案!$C$6:$C$65,MATCH($F368,商品档案!$A$6:$A$65,0)),""))</f>
        <v/>
      </c>
      <c r="I368" s="55" t="str">
        <f aca="false">IF($F368="","",IFERROR(INDEX(商品档案!$D$6:$D$65,MATCH($F368,商品档案!$A$6:$A$65,0)),""))</f>
        <v/>
      </c>
      <c r="J368" s="49"/>
      <c r="K368" s="56"/>
      <c r="L368" s="33"/>
      <c r="M368" s="39"/>
      <c r="N368" s="41"/>
      <c r="O368" s="41"/>
      <c r="P368" s="25" t="str">
        <f aca="false">IF(AND($B368="",$D368="",$F368=""),"",IF(NOT(ISNUMBER($B368)),"日期无效",IF(ISNA(MATCH($C368,参数设置!$A$10:$A$12,0)),"公司无效",IF(ISNA(MATCH($D368,记账规则!$A$6:$A$9,0)),"业务类型无效",IF(ISNA(MATCH($F368,商品档案!$A$6:$A$65,0)),"商品编码无效",IF(IFERROR(INDEX(商品档案!$E$6:$E$65,MATCH($F368,商品档案!$A$6:$A$65,0)),"")&lt;&gt;$C368,"商品不属于该公司",IF(AND($E368&lt;&gt;"",ISNA(MATCH($E368,往来单位!$A$6:$A$85,0))),"往来单位未建档",IF(N($J368)=0,"数量为 0",IF(N($K368)=0,"单价为 0",IF(AND(LEFT($D368,2)="销售",$U368=""),"该商品没设成本科目",IF(YEAR($B368)&lt;&gt;参数设置!$B$5,"不在本会计年度","OK")))))))))))</f>
        <v/>
      </c>
      <c r="Q368" s="57" t="str">
        <f aca="false">IF($F368="","",ROUND(N($J368)*N($K368),2))</f>
        <v/>
      </c>
      <c r="R368" s="58" t="str">
        <f aca="false">IF($D368="","",IF(LEFT($D368,2)="销售","应收账款","应付账款"))</f>
        <v/>
      </c>
      <c r="S368" s="58" t="str">
        <f aca="false">IF($F368="","",IFERROR(INDEX(商品档案!$G$6:$G$65,MATCH($F368,商品档案!$A$6:$A$65,0)),""))</f>
        <v/>
      </c>
      <c r="T368" s="58" t="str">
        <f aca="false">IF($F368="","",IFERROR(INDEX(商品档案!$H$6:$H$65,MATCH($F368,商品档案!$A$6:$A$65,0)),""))</f>
        <v/>
      </c>
      <c r="U368" s="58" t="str">
        <f aca="false">IF($F368="","",IFERROR(INDEX(商品档案!$I$6:$I$65,MATCH($F368,商品档案!$A$6:$A$65,0)),""))</f>
        <v/>
      </c>
      <c r="V368" s="59" t="str">
        <f aca="false">IF($F368="","",SUMIFS(进销存台账!$N$6:$N$65,进销存台账!$A$6:$A$65,$C368,进销存台账!$B$6:$B$65,$F368))</f>
        <v/>
      </c>
      <c r="W368" s="60" t="n">
        <f aca="false">IF(OR($D368="销售出库",$D368="销售退回"),ROUND(N($J368)*N($V368),2),0)</f>
        <v>0</v>
      </c>
      <c r="X368" s="58" t="str">
        <f aca="false">IF($E368="","",IFERROR(INDEX(往来单位!$D$6:$D$85,MATCH($E368,往来单位!$A$6:$A$85,0)),"否"))</f>
        <v/>
      </c>
      <c r="Y368" s="61" t="str">
        <f aca="false">IF($B368="","",YEAR($B368))</f>
        <v/>
      </c>
      <c r="Z368" s="58" t="str">
        <f aca="false">IF($B368="","",TEXT($B368,"yyyy-mm"))</f>
        <v/>
      </c>
    </row>
    <row r="369" customFormat="false" ht="15" hidden="false" customHeight="false" outlineLevel="0" collapsed="false">
      <c r="A369" s="53" t="str">
        <f aca="false">IF($B369="","",ROW()-5)</f>
        <v/>
      </c>
      <c r="B369" s="54"/>
      <c r="C369" s="33"/>
      <c r="D369" s="33"/>
      <c r="E369" s="32"/>
      <c r="F369" s="39"/>
      <c r="G369" s="48" t="str">
        <f aca="false">IF($F369="","",IFERROR(INDEX(商品档案!$B$6:$B$65,MATCH($F369,商品档案!$A$6:$A$65,0)),""))</f>
        <v/>
      </c>
      <c r="H369" s="48" t="str">
        <f aca="false">IF($F369="","",IFERROR(INDEX(商品档案!$C$6:$C$65,MATCH($F369,商品档案!$A$6:$A$65,0)),""))</f>
        <v/>
      </c>
      <c r="I369" s="55" t="str">
        <f aca="false">IF($F369="","",IFERROR(INDEX(商品档案!$D$6:$D$65,MATCH($F369,商品档案!$A$6:$A$65,0)),""))</f>
        <v/>
      </c>
      <c r="J369" s="49"/>
      <c r="K369" s="56"/>
      <c r="L369" s="33"/>
      <c r="M369" s="39"/>
      <c r="N369" s="41"/>
      <c r="O369" s="41"/>
      <c r="P369" s="25" t="str">
        <f aca="false">IF(AND($B369="",$D369="",$F369=""),"",IF(NOT(ISNUMBER($B369)),"日期无效",IF(ISNA(MATCH($C369,参数设置!$A$10:$A$12,0)),"公司无效",IF(ISNA(MATCH($D369,记账规则!$A$6:$A$9,0)),"业务类型无效",IF(ISNA(MATCH($F369,商品档案!$A$6:$A$65,0)),"商品编码无效",IF(IFERROR(INDEX(商品档案!$E$6:$E$65,MATCH($F369,商品档案!$A$6:$A$65,0)),"")&lt;&gt;$C369,"商品不属于该公司",IF(AND($E369&lt;&gt;"",ISNA(MATCH($E369,往来单位!$A$6:$A$85,0))),"往来单位未建档",IF(N($J369)=0,"数量为 0",IF(N($K369)=0,"单价为 0",IF(AND(LEFT($D369,2)="销售",$U369=""),"该商品没设成本科目",IF(YEAR($B369)&lt;&gt;参数设置!$B$5,"不在本会计年度","OK")))))))))))</f>
        <v/>
      </c>
      <c r="Q369" s="57" t="str">
        <f aca="false">IF($F369="","",ROUND(N($J369)*N($K369),2))</f>
        <v/>
      </c>
      <c r="R369" s="58" t="str">
        <f aca="false">IF($D369="","",IF(LEFT($D369,2)="销售","应收账款","应付账款"))</f>
        <v/>
      </c>
      <c r="S369" s="58" t="str">
        <f aca="false">IF($F369="","",IFERROR(INDEX(商品档案!$G$6:$G$65,MATCH($F369,商品档案!$A$6:$A$65,0)),""))</f>
        <v/>
      </c>
      <c r="T369" s="58" t="str">
        <f aca="false">IF($F369="","",IFERROR(INDEX(商品档案!$H$6:$H$65,MATCH($F369,商品档案!$A$6:$A$65,0)),""))</f>
        <v/>
      </c>
      <c r="U369" s="58" t="str">
        <f aca="false">IF($F369="","",IFERROR(INDEX(商品档案!$I$6:$I$65,MATCH($F369,商品档案!$A$6:$A$65,0)),""))</f>
        <v/>
      </c>
      <c r="V369" s="59" t="str">
        <f aca="false">IF($F369="","",SUMIFS(进销存台账!$N$6:$N$65,进销存台账!$A$6:$A$65,$C369,进销存台账!$B$6:$B$65,$F369))</f>
        <v/>
      </c>
      <c r="W369" s="60" t="n">
        <f aca="false">IF(OR($D369="销售出库",$D369="销售退回"),ROUND(N($J369)*N($V369),2),0)</f>
        <v>0</v>
      </c>
      <c r="X369" s="58" t="str">
        <f aca="false">IF($E369="","",IFERROR(INDEX(往来单位!$D$6:$D$85,MATCH($E369,往来单位!$A$6:$A$85,0)),"否"))</f>
        <v/>
      </c>
      <c r="Y369" s="61" t="str">
        <f aca="false">IF($B369="","",YEAR($B369))</f>
        <v/>
      </c>
      <c r="Z369" s="58" t="str">
        <f aca="false">IF($B369="","",TEXT($B369,"yyyy-mm"))</f>
        <v/>
      </c>
    </row>
    <row r="370" customFormat="false" ht="15" hidden="false" customHeight="false" outlineLevel="0" collapsed="false">
      <c r="A370" s="53" t="str">
        <f aca="false">IF($B370="","",ROW()-5)</f>
        <v/>
      </c>
      <c r="B370" s="54"/>
      <c r="C370" s="33"/>
      <c r="D370" s="33"/>
      <c r="E370" s="32"/>
      <c r="F370" s="39"/>
      <c r="G370" s="48" t="str">
        <f aca="false">IF($F370="","",IFERROR(INDEX(商品档案!$B$6:$B$65,MATCH($F370,商品档案!$A$6:$A$65,0)),""))</f>
        <v/>
      </c>
      <c r="H370" s="48" t="str">
        <f aca="false">IF($F370="","",IFERROR(INDEX(商品档案!$C$6:$C$65,MATCH($F370,商品档案!$A$6:$A$65,0)),""))</f>
        <v/>
      </c>
      <c r="I370" s="55" t="str">
        <f aca="false">IF($F370="","",IFERROR(INDEX(商品档案!$D$6:$D$65,MATCH($F370,商品档案!$A$6:$A$65,0)),""))</f>
        <v/>
      </c>
      <c r="J370" s="49"/>
      <c r="K370" s="56"/>
      <c r="L370" s="33"/>
      <c r="M370" s="39"/>
      <c r="N370" s="41"/>
      <c r="O370" s="41"/>
      <c r="P370" s="25" t="str">
        <f aca="false">IF(AND($B370="",$D370="",$F370=""),"",IF(NOT(ISNUMBER($B370)),"日期无效",IF(ISNA(MATCH($C370,参数设置!$A$10:$A$12,0)),"公司无效",IF(ISNA(MATCH($D370,记账规则!$A$6:$A$9,0)),"业务类型无效",IF(ISNA(MATCH($F370,商品档案!$A$6:$A$65,0)),"商品编码无效",IF(IFERROR(INDEX(商品档案!$E$6:$E$65,MATCH($F370,商品档案!$A$6:$A$65,0)),"")&lt;&gt;$C370,"商品不属于该公司",IF(AND($E370&lt;&gt;"",ISNA(MATCH($E370,往来单位!$A$6:$A$85,0))),"往来单位未建档",IF(N($J370)=0,"数量为 0",IF(N($K370)=0,"单价为 0",IF(AND(LEFT($D370,2)="销售",$U370=""),"该商品没设成本科目",IF(YEAR($B370)&lt;&gt;参数设置!$B$5,"不在本会计年度","OK")))))))))))</f>
        <v/>
      </c>
      <c r="Q370" s="57" t="str">
        <f aca="false">IF($F370="","",ROUND(N($J370)*N($K370),2))</f>
        <v/>
      </c>
      <c r="R370" s="58" t="str">
        <f aca="false">IF($D370="","",IF(LEFT($D370,2)="销售","应收账款","应付账款"))</f>
        <v/>
      </c>
      <c r="S370" s="58" t="str">
        <f aca="false">IF($F370="","",IFERROR(INDEX(商品档案!$G$6:$G$65,MATCH($F370,商品档案!$A$6:$A$65,0)),""))</f>
        <v/>
      </c>
      <c r="T370" s="58" t="str">
        <f aca="false">IF($F370="","",IFERROR(INDEX(商品档案!$H$6:$H$65,MATCH($F370,商品档案!$A$6:$A$65,0)),""))</f>
        <v/>
      </c>
      <c r="U370" s="58" t="str">
        <f aca="false">IF($F370="","",IFERROR(INDEX(商品档案!$I$6:$I$65,MATCH($F370,商品档案!$A$6:$A$65,0)),""))</f>
        <v/>
      </c>
      <c r="V370" s="59" t="str">
        <f aca="false">IF($F370="","",SUMIFS(进销存台账!$N$6:$N$65,进销存台账!$A$6:$A$65,$C370,进销存台账!$B$6:$B$65,$F370))</f>
        <v/>
      </c>
      <c r="W370" s="60" t="n">
        <f aca="false">IF(OR($D370="销售出库",$D370="销售退回"),ROUND(N($J370)*N($V370),2),0)</f>
        <v>0</v>
      </c>
      <c r="X370" s="58" t="str">
        <f aca="false">IF($E370="","",IFERROR(INDEX(往来单位!$D$6:$D$85,MATCH($E370,往来单位!$A$6:$A$85,0)),"否"))</f>
        <v/>
      </c>
      <c r="Y370" s="61" t="str">
        <f aca="false">IF($B370="","",YEAR($B370))</f>
        <v/>
      </c>
      <c r="Z370" s="58" t="str">
        <f aca="false">IF($B370="","",TEXT($B370,"yyyy-mm"))</f>
        <v/>
      </c>
    </row>
    <row r="371" customFormat="false" ht="15" hidden="false" customHeight="false" outlineLevel="0" collapsed="false">
      <c r="A371" s="53" t="str">
        <f aca="false">IF($B371="","",ROW()-5)</f>
        <v/>
      </c>
      <c r="B371" s="54"/>
      <c r="C371" s="33"/>
      <c r="D371" s="33"/>
      <c r="E371" s="32"/>
      <c r="F371" s="39"/>
      <c r="G371" s="48" t="str">
        <f aca="false">IF($F371="","",IFERROR(INDEX(商品档案!$B$6:$B$65,MATCH($F371,商品档案!$A$6:$A$65,0)),""))</f>
        <v/>
      </c>
      <c r="H371" s="48" t="str">
        <f aca="false">IF($F371="","",IFERROR(INDEX(商品档案!$C$6:$C$65,MATCH($F371,商品档案!$A$6:$A$65,0)),""))</f>
        <v/>
      </c>
      <c r="I371" s="55" t="str">
        <f aca="false">IF($F371="","",IFERROR(INDEX(商品档案!$D$6:$D$65,MATCH($F371,商品档案!$A$6:$A$65,0)),""))</f>
        <v/>
      </c>
      <c r="J371" s="49"/>
      <c r="K371" s="56"/>
      <c r="L371" s="33"/>
      <c r="M371" s="39"/>
      <c r="N371" s="41"/>
      <c r="O371" s="41"/>
      <c r="P371" s="25" t="str">
        <f aca="false">IF(AND($B371="",$D371="",$F371=""),"",IF(NOT(ISNUMBER($B371)),"日期无效",IF(ISNA(MATCH($C371,参数设置!$A$10:$A$12,0)),"公司无效",IF(ISNA(MATCH($D371,记账规则!$A$6:$A$9,0)),"业务类型无效",IF(ISNA(MATCH($F371,商品档案!$A$6:$A$65,0)),"商品编码无效",IF(IFERROR(INDEX(商品档案!$E$6:$E$65,MATCH($F371,商品档案!$A$6:$A$65,0)),"")&lt;&gt;$C371,"商品不属于该公司",IF(AND($E371&lt;&gt;"",ISNA(MATCH($E371,往来单位!$A$6:$A$85,0))),"往来单位未建档",IF(N($J371)=0,"数量为 0",IF(N($K371)=0,"单价为 0",IF(AND(LEFT($D371,2)="销售",$U371=""),"该商品没设成本科目",IF(YEAR($B371)&lt;&gt;参数设置!$B$5,"不在本会计年度","OK")))))))))))</f>
        <v/>
      </c>
      <c r="Q371" s="57" t="str">
        <f aca="false">IF($F371="","",ROUND(N($J371)*N($K371),2))</f>
        <v/>
      </c>
      <c r="R371" s="58" t="str">
        <f aca="false">IF($D371="","",IF(LEFT($D371,2)="销售","应收账款","应付账款"))</f>
        <v/>
      </c>
      <c r="S371" s="58" t="str">
        <f aca="false">IF($F371="","",IFERROR(INDEX(商品档案!$G$6:$G$65,MATCH($F371,商品档案!$A$6:$A$65,0)),""))</f>
        <v/>
      </c>
      <c r="T371" s="58" t="str">
        <f aca="false">IF($F371="","",IFERROR(INDEX(商品档案!$H$6:$H$65,MATCH($F371,商品档案!$A$6:$A$65,0)),""))</f>
        <v/>
      </c>
      <c r="U371" s="58" t="str">
        <f aca="false">IF($F371="","",IFERROR(INDEX(商品档案!$I$6:$I$65,MATCH($F371,商品档案!$A$6:$A$65,0)),""))</f>
        <v/>
      </c>
      <c r="V371" s="59" t="str">
        <f aca="false">IF($F371="","",SUMIFS(进销存台账!$N$6:$N$65,进销存台账!$A$6:$A$65,$C371,进销存台账!$B$6:$B$65,$F371))</f>
        <v/>
      </c>
      <c r="W371" s="60" t="n">
        <f aca="false">IF(OR($D371="销售出库",$D371="销售退回"),ROUND(N($J371)*N($V371),2),0)</f>
        <v>0</v>
      </c>
      <c r="X371" s="58" t="str">
        <f aca="false">IF($E371="","",IFERROR(INDEX(往来单位!$D$6:$D$85,MATCH($E371,往来单位!$A$6:$A$85,0)),"否"))</f>
        <v/>
      </c>
      <c r="Y371" s="61" t="str">
        <f aca="false">IF($B371="","",YEAR($B371))</f>
        <v/>
      </c>
      <c r="Z371" s="58" t="str">
        <f aca="false">IF($B371="","",TEXT($B371,"yyyy-mm"))</f>
        <v/>
      </c>
    </row>
    <row r="372" customFormat="false" ht="15" hidden="false" customHeight="false" outlineLevel="0" collapsed="false">
      <c r="A372" s="53" t="str">
        <f aca="false">IF($B372="","",ROW()-5)</f>
        <v/>
      </c>
      <c r="B372" s="54"/>
      <c r="C372" s="33"/>
      <c r="D372" s="33"/>
      <c r="E372" s="32"/>
      <c r="F372" s="39"/>
      <c r="G372" s="48" t="str">
        <f aca="false">IF($F372="","",IFERROR(INDEX(商品档案!$B$6:$B$65,MATCH($F372,商品档案!$A$6:$A$65,0)),""))</f>
        <v/>
      </c>
      <c r="H372" s="48" t="str">
        <f aca="false">IF($F372="","",IFERROR(INDEX(商品档案!$C$6:$C$65,MATCH($F372,商品档案!$A$6:$A$65,0)),""))</f>
        <v/>
      </c>
      <c r="I372" s="55" t="str">
        <f aca="false">IF($F372="","",IFERROR(INDEX(商品档案!$D$6:$D$65,MATCH($F372,商品档案!$A$6:$A$65,0)),""))</f>
        <v/>
      </c>
      <c r="J372" s="49"/>
      <c r="K372" s="56"/>
      <c r="L372" s="33"/>
      <c r="M372" s="39"/>
      <c r="N372" s="41"/>
      <c r="O372" s="41"/>
      <c r="P372" s="25" t="str">
        <f aca="false">IF(AND($B372="",$D372="",$F372=""),"",IF(NOT(ISNUMBER($B372)),"日期无效",IF(ISNA(MATCH($C372,参数设置!$A$10:$A$12,0)),"公司无效",IF(ISNA(MATCH($D372,记账规则!$A$6:$A$9,0)),"业务类型无效",IF(ISNA(MATCH($F372,商品档案!$A$6:$A$65,0)),"商品编码无效",IF(IFERROR(INDEX(商品档案!$E$6:$E$65,MATCH($F372,商品档案!$A$6:$A$65,0)),"")&lt;&gt;$C372,"商品不属于该公司",IF(AND($E372&lt;&gt;"",ISNA(MATCH($E372,往来单位!$A$6:$A$85,0))),"往来单位未建档",IF(N($J372)=0,"数量为 0",IF(N($K372)=0,"单价为 0",IF(AND(LEFT($D372,2)="销售",$U372=""),"该商品没设成本科目",IF(YEAR($B372)&lt;&gt;参数设置!$B$5,"不在本会计年度","OK")))))))))))</f>
        <v/>
      </c>
      <c r="Q372" s="57" t="str">
        <f aca="false">IF($F372="","",ROUND(N($J372)*N($K372),2))</f>
        <v/>
      </c>
      <c r="R372" s="58" t="str">
        <f aca="false">IF($D372="","",IF(LEFT($D372,2)="销售","应收账款","应付账款"))</f>
        <v/>
      </c>
      <c r="S372" s="58" t="str">
        <f aca="false">IF($F372="","",IFERROR(INDEX(商品档案!$G$6:$G$65,MATCH($F372,商品档案!$A$6:$A$65,0)),""))</f>
        <v/>
      </c>
      <c r="T372" s="58" t="str">
        <f aca="false">IF($F372="","",IFERROR(INDEX(商品档案!$H$6:$H$65,MATCH($F372,商品档案!$A$6:$A$65,0)),""))</f>
        <v/>
      </c>
      <c r="U372" s="58" t="str">
        <f aca="false">IF($F372="","",IFERROR(INDEX(商品档案!$I$6:$I$65,MATCH($F372,商品档案!$A$6:$A$65,0)),""))</f>
        <v/>
      </c>
      <c r="V372" s="59" t="str">
        <f aca="false">IF($F372="","",SUMIFS(进销存台账!$N$6:$N$65,进销存台账!$A$6:$A$65,$C372,进销存台账!$B$6:$B$65,$F372))</f>
        <v/>
      </c>
      <c r="W372" s="60" t="n">
        <f aca="false">IF(OR($D372="销售出库",$D372="销售退回"),ROUND(N($J372)*N($V372),2),0)</f>
        <v>0</v>
      </c>
      <c r="X372" s="58" t="str">
        <f aca="false">IF($E372="","",IFERROR(INDEX(往来单位!$D$6:$D$85,MATCH($E372,往来单位!$A$6:$A$85,0)),"否"))</f>
        <v/>
      </c>
      <c r="Y372" s="61" t="str">
        <f aca="false">IF($B372="","",YEAR($B372))</f>
        <v/>
      </c>
      <c r="Z372" s="58" t="str">
        <f aca="false">IF($B372="","",TEXT($B372,"yyyy-mm"))</f>
        <v/>
      </c>
    </row>
    <row r="373" customFormat="false" ht="15" hidden="false" customHeight="false" outlineLevel="0" collapsed="false">
      <c r="A373" s="53" t="str">
        <f aca="false">IF($B373="","",ROW()-5)</f>
        <v/>
      </c>
      <c r="B373" s="54"/>
      <c r="C373" s="33"/>
      <c r="D373" s="33"/>
      <c r="E373" s="32"/>
      <c r="F373" s="39"/>
      <c r="G373" s="48" t="str">
        <f aca="false">IF($F373="","",IFERROR(INDEX(商品档案!$B$6:$B$65,MATCH($F373,商品档案!$A$6:$A$65,0)),""))</f>
        <v/>
      </c>
      <c r="H373" s="48" t="str">
        <f aca="false">IF($F373="","",IFERROR(INDEX(商品档案!$C$6:$C$65,MATCH($F373,商品档案!$A$6:$A$65,0)),""))</f>
        <v/>
      </c>
      <c r="I373" s="55" t="str">
        <f aca="false">IF($F373="","",IFERROR(INDEX(商品档案!$D$6:$D$65,MATCH($F373,商品档案!$A$6:$A$65,0)),""))</f>
        <v/>
      </c>
      <c r="J373" s="49"/>
      <c r="K373" s="56"/>
      <c r="L373" s="33"/>
      <c r="M373" s="39"/>
      <c r="N373" s="41"/>
      <c r="O373" s="41"/>
      <c r="P373" s="25" t="str">
        <f aca="false">IF(AND($B373="",$D373="",$F373=""),"",IF(NOT(ISNUMBER($B373)),"日期无效",IF(ISNA(MATCH($C373,参数设置!$A$10:$A$12,0)),"公司无效",IF(ISNA(MATCH($D373,记账规则!$A$6:$A$9,0)),"业务类型无效",IF(ISNA(MATCH($F373,商品档案!$A$6:$A$65,0)),"商品编码无效",IF(IFERROR(INDEX(商品档案!$E$6:$E$65,MATCH($F373,商品档案!$A$6:$A$65,0)),"")&lt;&gt;$C373,"商品不属于该公司",IF(AND($E373&lt;&gt;"",ISNA(MATCH($E373,往来单位!$A$6:$A$85,0))),"往来单位未建档",IF(N($J373)=0,"数量为 0",IF(N($K373)=0,"单价为 0",IF(AND(LEFT($D373,2)="销售",$U373=""),"该商品没设成本科目",IF(YEAR($B373)&lt;&gt;参数设置!$B$5,"不在本会计年度","OK")))))))))))</f>
        <v/>
      </c>
      <c r="Q373" s="57" t="str">
        <f aca="false">IF($F373="","",ROUND(N($J373)*N($K373),2))</f>
        <v/>
      </c>
      <c r="R373" s="58" t="str">
        <f aca="false">IF($D373="","",IF(LEFT($D373,2)="销售","应收账款","应付账款"))</f>
        <v/>
      </c>
      <c r="S373" s="58" t="str">
        <f aca="false">IF($F373="","",IFERROR(INDEX(商品档案!$G$6:$G$65,MATCH($F373,商品档案!$A$6:$A$65,0)),""))</f>
        <v/>
      </c>
      <c r="T373" s="58" t="str">
        <f aca="false">IF($F373="","",IFERROR(INDEX(商品档案!$H$6:$H$65,MATCH($F373,商品档案!$A$6:$A$65,0)),""))</f>
        <v/>
      </c>
      <c r="U373" s="58" t="str">
        <f aca="false">IF($F373="","",IFERROR(INDEX(商品档案!$I$6:$I$65,MATCH($F373,商品档案!$A$6:$A$65,0)),""))</f>
        <v/>
      </c>
      <c r="V373" s="59" t="str">
        <f aca="false">IF($F373="","",SUMIFS(进销存台账!$N$6:$N$65,进销存台账!$A$6:$A$65,$C373,进销存台账!$B$6:$B$65,$F373))</f>
        <v/>
      </c>
      <c r="W373" s="60" t="n">
        <f aca="false">IF(OR($D373="销售出库",$D373="销售退回"),ROUND(N($J373)*N($V373),2),0)</f>
        <v>0</v>
      </c>
      <c r="X373" s="58" t="str">
        <f aca="false">IF($E373="","",IFERROR(INDEX(往来单位!$D$6:$D$85,MATCH($E373,往来单位!$A$6:$A$85,0)),"否"))</f>
        <v/>
      </c>
      <c r="Y373" s="61" t="str">
        <f aca="false">IF($B373="","",YEAR($B373))</f>
        <v/>
      </c>
      <c r="Z373" s="58" t="str">
        <f aca="false">IF($B373="","",TEXT($B373,"yyyy-mm"))</f>
        <v/>
      </c>
    </row>
    <row r="374" customFormat="false" ht="15" hidden="false" customHeight="false" outlineLevel="0" collapsed="false">
      <c r="A374" s="53" t="str">
        <f aca="false">IF($B374="","",ROW()-5)</f>
        <v/>
      </c>
      <c r="B374" s="54"/>
      <c r="C374" s="33"/>
      <c r="D374" s="33"/>
      <c r="E374" s="32"/>
      <c r="F374" s="39"/>
      <c r="G374" s="48" t="str">
        <f aca="false">IF($F374="","",IFERROR(INDEX(商品档案!$B$6:$B$65,MATCH($F374,商品档案!$A$6:$A$65,0)),""))</f>
        <v/>
      </c>
      <c r="H374" s="48" t="str">
        <f aca="false">IF($F374="","",IFERROR(INDEX(商品档案!$C$6:$C$65,MATCH($F374,商品档案!$A$6:$A$65,0)),""))</f>
        <v/>
      </c>
      <c r="I374" s="55" t="str">
        <f aca="false">IF($F374="","",IFERROR(INDEX(商品档案!$D$6:$D$65,MATCH($F374,商品档案!$A$6:$A$65,0)),""))</f>
        <v/>
      </c>
      <c r="J374" s="49"/>
      <c r="K374" s="56"/>
      <c r="L374" s="33"/>
      <c r="M374" s="39"/>
      <c r="N374" s="41"/>
      <c r="O374" s="41"/>
      <c r="P374" s="25" t="str">
        <f aca="false">IF(AND($B374="",$D374="",$F374=""),"",IF(NOT(ISNUMBER($B374)),"日期无效",IF(ISNA(MATCH($C374,参数设置!$A$10:$A$12,0)),"公司无效",IF(ISNA(MATCH($D374,记账规则!$A$6:$A$9,0)),"业务类型无效",IF(ISNA(MATCH($F374,商品档案!$A$6:$A$65,0)),"商品编码无效",IF(IFERROR(INDEX(商品档案!$E$6:$E$65,MATCH($F374,商品档案!$A$6:$A$65,0)),"")&lt;&gt;$C374,"商品不属于该公司",IF(AND($E374&lt;&gt;"",ISNA(MATCH($E374,往来单位!$A$6:$A$85,0))),"往来单位未建档",IF(N($J374)=0,"数量为 0",IF(N($K374)=0,"单价为 0",IF(AND(LEFT($D374,2)="销售",$U374=""),"该商品没设成本科目",IF(YEAR($B374)&lt;&gt;参数设置!$B$5,"不在本会计年度","OK")))))))))))</f>
        <v/>
      </c>
      <c r="Q374" s="57" t="str">
        <f aca="false">IF($F374="","",ROUND(N($J374)*N($K374),2))</f>
        <v/>
      </c>
      <c r="R374" s="58" t="str">
        <f aca="false">IF($D374="","",IF(LEFT($D374,2)="销售","应收账款","应付账款"))</f>
        <v/>
      </c>
      <c r="S374" s="58" t="str">
        <f aca="false">IF($F374="","",IFERROR(INDEX(商品档案!$G$6:$G$65,MATCH($F374,商品档案!$A$6:$A$65,0)),""))</f>
        <v/>
      </c>
      <c r="T374" s="58" t="str">
        <f aca="false">IF($F374="","",IFERROR(INDEX(商品档案!$H$6:$H$65,MATCH($F374,商品档案!$A$6:$A$65,0)),""))</f>
        <v/>
      </c>
      <c r="U374" s="58" t="str">
        <f aca="false">IF($F374="","",IFERROR(INDEX(商品档案!$I$6:$I$65,MATCH($F374,商品档案!$A$6:$A$65,0)),""))</f>
        <v/>
      </c>
      <c r="V374" s="59" t="str">
        <f aca="false">IF($F374="","",SUMIFS(进销存台账!$N$6:$N$65,进销存台账!$A$6:$A$65,$C374,进销存台账!$B$6:$B$65,$F374))</f>
        <v/>
      </c>
      <c r="W374" s="60" t="n">
        <f aca="false">IF(OR($D374="销售出库",$D374="销售退回"),ROUND(N($J374)*N($V374),2),0)</f>
        <v>0</v>
      </c>
      <c r="X374" s="58" t="str">
        <f aca="false">IF($E374="","",IFERROR(INDEX(往来单位!$D$6:$D$85,MATCH($E374,往来单位!$A$6:$A$85,0)),"否"))</f>
        <v/>
      </c>
      <c r="Y374" s="61" t="str">
        <f aca="false">IF($B374="","",YEAR($B374))</f>
        <v/>
      </c>
      <c r="Z374" s="58" t="str">
        <f aca="false">IF($B374="","",TEXT($B374,"yyyy-mm"))</f>
        <v/>
      </c>
    </row>
    <row r="375" customFormat="false" ht="15" hidden="false" customHeight="false" outlineLevel="0" collapsed="false">
      <c r="A375" s="53" t="str">
        <f aca="false">IF($B375="","",ROW()-5)</f>
        <v/>
      </c>
      <c r="B375" s="54"/>
      <c r="C375" s="33"/>
      <c r="D375" s="33"/>
      <c r="E375" s="32"/>
      <c r="F375" s="39"/>
      <c r="G375" s="48" t="str">
        <f aca="false">IF($F375="","",IFERROR(INDEX(商品档案!$B$6:$B$65,MATCH($F375,商品档案!$A$6:$A$65,0)),""))</f>
        <v/>
      </c>
      <c r="H375" s="48" t="str">
        <f aca="false">IF($F375="","",IFERROR(INDEX(商品档案!$C$6:$C$65,MATCH($F375,商品档案!$A$6:$A$65,0)),""))</f>
        <v/>
      </c>
      <c r="I375" s="55" t="str">
        <f aca="false">IF($F375="","",IFERROR(INDEX(商品档案!$D$6:$D$65,MATCH($F375,商品档案!$A$6:$A$65,0)),""))</f>
        <v/>
      </c>
      <c r="J375" s="49"/>
      <c r="K375" s="56"/>
      <c r="L375" s="33"/>
      <c r="M375" s="39"/>
      <c r="N375" s="41"/>
      <c r="O375" s="41"/>
      <c r="P375" s="25" t="str">
        <f aca="false">IF(AND($B375="",$D375="",$F375=""),"",IF(NOT(ISNUMBER($B375)),"日期无效",IF(ISNA(MATCH($C375,参数设置!$A$10:$A$12,0)),"公司无效",IF(ISNA(MATCH($D375,记账规则!$A$6:$A$9,0)),"业务类型无效",IF(ISNA(MATCH($F375,商品档案!$A$6:$A$65,0)),"商品编码无效",IF(IFERROR(INDEX(商品档案!$E$6:$E$65,MATCH($F375,商品档案!$A$6:$A$65,0)),"")&lt;&gt;$C375,"商品不属于该公司",IF(AND($E375&lt;&gt;"",ISNA(MATCH($E375,往来单位!$A$6:$A$85,0))),"往来单位未建档",IF(N($J375)=0,"数量为 0",IF(N($K375)=0,"单价为 0",IF(AND(LEFT($D375,2)="销售",$U375=""),"该商品没设成本科目",IF(YEAR($B375)&lt;&gt;参数设置!$B$5,"不在本会计年度","OK")))))))))))</f>
        <v/>
      </c>
      <c r="Q375" s="57" t="str">
        <f aca="false">IF($F375="","",ROUND(N($J375)*N($K375),2))</f>
        <v/>
      </c>
      <c r="R375" s="58" t="str">
        <f aca="false">IF($D375="","",IF(LEFT($D375,2)="销售","应收账款","应付账款"))</f>
        <v/>
      </c>
      <c r="S375" s="58" t="str">
        <f aca="false">IF($F375="","",IFERROR(INDEX(商品档案!$G$6:$G$65,MATCH($F375,商品档案!$A$6:$A$65,0)),""))</f>
        <v/>
      </c>
      <c r="T375" s="58" t="str">
        <f aca="false">IF($F375="","",IFERROR(INDEX(商品档案!$H$6:$H$65,MATCH($F375,商品档案!$A$6:$A$65,0)),""))</f>
        <v/>
      </c>
      <c r="U375" s="58" t="str">
        <f aca="false">IF($F375="","",IFERROR(INDEX(商品档案!$I$6:$I$65,MATCH($F375,商品档案!$A$6:$A$65,0)),""))</f>
        <v/>
      </c>
      <c r="V375" s="59" t="str">
        <f aca="false">IF($F375="","",SUMIFS(进销存台账!$N$6:$N$65,进销存台账!$A$6:$A$65,$C375,进销存台账!$B$6:$B$65,$F375))</f>
        <v/>
      </c>
      <c r="W375" s="60" t="n">
        <f aca="false">IF(OR($D375="销售出库",$D375="销售退回"),ROUND(N($J375)*N($V375),2),0)</f>
        <v>0</v>
      </c>
      <c r="X375" s="58" t="str">
        <f aca="false">IF($E375="","",IFERROR(INDEX(往来单位!$D$6:$D$85,MATCH($E375,往来单位!$A$6:$A$85,0)),"否"))</f>
        <v/>
      </c>
      <c r="Y375" s="61" t="str">
        <f aca="false">IF($B375="","",YEAR($B375))</f>
        <v/>
      </c>
      <c r="Z375" s="58" t="str">
        <f aca="false">IF($B375="","",TEXT($B375,"yyyy-mm"))</f>
        <v/>
      </c>
    </row>
    <row r="376" customFormat="false" ht="15" hidden="false" customHeight="false" outlineLevel="0" collapsed="false">
      <c r="A376" s="53" t="str">
        <f aca="false">IF($B376="","",ROW()-5)</f>
        <v/>
      </c>
      <c r="B376" s="54"/>
      <c r="C376" s="33"/>
      <c r="D376" s="33"/>
      <c r="E376" s="32"/>
      <c r="F376" s="39"/>
      <c r="G376" s="48" t="str">
        <f aca="false">IF($F376="","",IFERROR(INDEX(商品档案!$B$6:$B$65,MATCH($F376,商品档案!$A$6:$A$65,0)),""))</f>
        <v/>
      </c>
      <c r="H376" s="48" t="str">
        <f aca="false">IF($F376="","",IFERROR(INDEX(商品档案!$C$6:$C$65,MATCH($F376,商品档案!$A$6:$A$65,0)),""))</f>
        <v/>
      </c>
      <c r="I376" s="55" t="str">
        <f aca="false">IF($F376="","",IFERROR(INDEX(商品档案!$D$6:$D$65,MATCH($F376,商品档案!$A$6:$A$65,0)),""))</f>
        <v/>
      </c>
      <c r="J376" s="49"/>
      <c r="K376" s="56"/>
      <c r="L376" s="33"/>
      <c r="M376" s="39"/>
      <c r="N376" s="41"/>
      <c r="O376" s="41"/>
      <c r="P376" s="25" t="str">
        <f aca="false">IF(AND($B376="",$D376="",$F376=""),"",IF(NOT(ISNUMBER($B376)),"日期无效",IF(ISNA(MATCH($C376,参数设置!$A$10:$A$12,0)),"公司无效",IF(ISNA(MATCH($D376,记账规则!$A$6:$A$9,0)),"业务类型无效",IF(ISNA(MATCH($F376,商品档案!$A$6:$A$65,0)),"商品编码无效",IF(IFERROR(INDEX(商品档案!$E$6:$E$65,MATCH($F376,商品档案!$A$6:$A$65,0)),"")&lt;&gt;$C376,"商品不属于该公司",IF(AND($E376&lt;&gt;"",ISNA(MATCH($E376,往来单位!$A$6:$A$85,0))),"往来单位未建档",IF(N($J376)=0,"数量为 0",IF(N($K376)=0,"单价为 0",IF(AND(LEFT($D376,2)="销售",$U376=""),"该商品没设成本科目",IF(YEAR($B376)&lt;&gt;参数设置!$B$5,"不在本会计年度","OK")))))))))))</f>
        <v/>
      </c>
      <c r="Q376" s="57" t="str">
        <f aca="false">IF($F376="","",ROUND(N($J376)*N($K376),2))</f>
        <v/>
      </c>
      <c r="R376" s="58" t="str">
        <f aca="false">IF($D376="","",IF(LEFT($D376,2)="销售","应收账款","应付账款"))</f>
        <v/>
      </c>
      <c r="S376" s="58" t="str">
        <f aca="false">IF($F376="","",IFERROR(INDEX(商品档案!$G$6:$G$65,MATCH($F376,商品档案!$A$6:$A$65,0)),""))</f>
        <v/>
      </c>
      <c r="T376" s="58" t="str">
        <f aca="false">IF($F376="","",IFERROR(INDEX(商品档案!$H$6:$H$65,MATCH($F376,商品档案!$A$6:$A$65,0)),""))</f>
        <v/>
      </c>
      <c r="U376" s="58" t="str">
        <f aca="false">IF($F376="","",IFERROR(INDEX(商品档案!$I$6:$I$65,MATCH($F376,商品档案!$A$6:$A$65,0)),""))</f>
        <v/>
      </c>
      <c r="V376" s="59" t="str">
        <f aca="false">IF($F376="","",SUMIFS(进销存台账!$N$6:$N$65,进销存台账!$A$6:$A$65,$C376,进销存台账!$B$6:$B$65,$F376))</f>
        <v/>
      </c>
      <c r="W376" s="60" t="n">
        <f aca="false">IF(OR($D376="销售出库",$D376="销售退回"),ROUND(N($J376)*N($V376),2),0)</f>
        <v>0</v>
      </c>
      <c r="X376" s="58" t="str">
        <f aca="false">IF($E376="","",IFERROR(INDEX(往来单位!$D$6:$D$85,MATCH($E376,往来单位!$A$6:$A$85,0)),"否"))</f>
        <v/>
      </c>
      <c r="Y376" s="61" t="str">
        <f aca="false">IF($B376="","",YEAR($B376))</f>
        <v/>
      </c>
      <c r="Z376" s="58" t="str">
        <f aca="false">IF($B376="","",TEXT($B376,"yyyy-mm"))</f>
        <v/>
      </c>
    </row>
    <row r="377" customFormat="false" ht="15" hidden="false" customHeight="false" outlineLevel="0" collapsed="false">
      <c r="A377" s="53" t="str">
        <f aca="false">IF($B377="","",ROW()-5)</f>
        <v/>
      </c>
      <c r="B377" s="54"/>
      <c r="C377" s="33"/>
      <c r="D377" s="33"/>
      <c r="E377" s="32"/>
      <c r="F377" s="39"/>
      <c r="G377" s="48" t="str">
        <f aca="false">IF($F377="","",IFERROR(INDEX(商品档案!$B$6:$B$65,MATCH($F377,商品档案!$A$6:$A$65,0)),""))</f>
        <v/>
      </c>
      <c r="H377" s="48" t="str">
        <f aca="false">IF($F377="","",IFERROR(INDEX(商品档案!$C$6:$C$65,MATCH($F377,商品档案!$A$6:$A$65,0)),""))</f>
        <v/>
      </c>
      <c r="I377" s="55" t="str">
        <f aca="false">IF($F377="","",IFERROR(INDEX(商品档案!$D$6:$D$65,MATCH($F377,商品档案!$A$6:$A$65,0)),""))</f>
        <v/>
      </c>
      <c r="J377" s="49"/>
      <c r="K377" s="56"/>
      <c r="L377" s="33"/>
      <c r="M377" s="39"/>
      <c r="N377" s="41"/>
      <c r="O377" s="41"/>
      <c r="P377" s="25" t="str">
        <f aca="false">IF(AND($B377="",$D377="",$F377=""),"",IF(NOT(ISNUMBER($B377)),"日期无效",IF(ISNA(MATCH($C377,参数设置!$A$10:$A$12,0)),"公司无效",IF(ISNA(MATCH($D377,记账规则!$A$6:$A$9,0)),"业务类型无效",IF(ISNA(MATCH($F377,商品档案!$A$6:$A$65,0)),"商品编码无效",IF(IFERROR(INDEX(商品档案!$E$6:$E$65,MATCH($F377,商品档案!$A$6:$A$65,0)),"")&lt;&gt;$C377,"商品不属于该公司",IF(AND($E377&lt;&gt;"",ISNA(MATCH($E377,往来单位!$A$6:$A$85,0))),"往来单位未建档",IF(N($J377)=0,"数量为 0",IF(N($K377)=0,"单价为 0",IF(AND(LEFT($D377,2)="销售",$U377=""),"该商品没设成本科目",IF(YEAR($B377)&lt;&gt;参数设置!$B$5,"不在本会计年度","OK")))))))))))</f>
        <v/>
      </c>
      <c r="Q377" s="57" t="str">
        <f aca="false">IF($F377="","",ROUND(N($J377)*N($K377),2))</f>
        <v/>
      </c>
      <c r="R377" s="58" t="str">
        <f aca="false">IF($D377="","",IF(LEFT($D377,2)="销售","应收账款","应付账款"))</f>
        <v/>
      </c>
      <c r="S377" s="58" t="str">
        <f aca="false">IF($F377="","",IFERROR(INDEX(商品档案!$G$6:$G$65,MATCH($F377,商品档案!$A$6:$A$65,0)),""))</f>
        <v/>
      </c>
      <c r="T377" s="58" t="str">
        <f aca="false">IF($F377="","",IFERROR(INDEX(商品档案!$H$6:$H$65,MATCH($F377,商品档案!$A$6:$A$65,0)),""))</f>
        <v/>
      </c>
      <c r="U377" s="58" t="str">
        <f aca="false">IF($F377="","",IFERROR(INDEX(商品档案!$I$6:$I$65,MATCH($F377,商品档案!$A$6:$A$65,0)),""))</f>
        <v/>
      </c>
      <c r="V377" s="59" t="str">
        <f aca="false">IF($F377="","",SUMIFS(进销存台账!$N$6:$N$65,进销存台账!$A$6:$A$65,$C377,进销存台账!$B$6:$B$65,$F377))</f>
        <v/>
      </c>
      <c r="W377" s="60" t="n">
        <f aca="false">IF(OR($D377="销售出库",$D377="销售退回"),ROUND(N($J377)*N($V377),2),0)</f>
        <v>0</v>
      </c>
      <c r="X377" s="58" t="str">
        <f aca="false">IF($E377="","",IFERROR(INDEX(往来单位!$D$6:$D$85,MATCH($E377,往来单位!$A$6:$A$85,0)),"否"))</f>
        <v/>
      </c>
      <c r="Y377" s="61" t="str">
        <f aca="false">IF($B377="","",YEAR($B377))</f>
        <v/>
      </c>
      <c r="Z377" s="58" t="str">
        <f aca="false">IF($B377="","",TEXT($B377,"yyyy-mm"))</f>
        <v/>
      </c>
    </row>
    <row r="378" customFormat="false" ht="15" hidden="false" customHeight="false" outlineLevel="0" collapsed="false">
      <c r="A378" s="53" t="str">
        <f aca="false">IF($B378="","",ROW()-5)</f>
        <v/>
      </c>
      <c r="B378" s="54"/>
      <c r="C378" s="33"/>
      <c r="D378" s="33"/>
      <c r="E378" s="32"/>
      <c r="F378" s="39"/>
      <c r="G378" s="48" t="str">
        <f aca="false">IF($F378="","",IFERROR(INDEX(商品档案!$B$6:$B$65,MATCH($F378,商品档案!$A$6:$A$65,0)),""))</f>
        <v/>
      </c>
      <c r="H378" s="48" t="str">
        <f aca="false">IF($F378="","",IFERROR(INDEX(商品档案!$C$6:$C$65,MATCH($F378,商品档案!$A$6:$A$65,0)),""))</f>
        <v/>
      </c>
      <c r="I378" s="55" t="str">
        <f aca="false">IF($F378="","",IFERROR(INDEX(商品档案!$D$6:$D$65,MATCH($F378,商品档案!$A$6:$A$65,0)),""))</f>
        <v/>
      </c>
      <c r="J378" s="49"/>
      <c r="K378" s="56"/>
      <c r="L378" s="33"/>
      <c r="M378" s="39"/>
      <c r="N378" s="41"/>
      <c r="O378" s="41"/>
      <c r="P378" s="25" t="str">
        <f aca="false">IF(AND($B378="",$D378="",$F378=""),"",IF(NOT(ISNUMBER($B378)),"日期无效",IF(ISNA(MATCH($C378,参数设置!$A$10:$A$12,0)),"公司无效",IF(ISNA(MATCH($D378,记账规则!$A$6:$A$9,0)),"业务类型无效",IF(ISNA(MATCH($F378,商品档案!$A$6:$A$65,0)),"商品编码无效",IF(IFERROR(INDEX(商品档案!$E$6:$E$65,MATCH($F378,商品档案!$A$6:$A$65,0)),"")&lt;&gt;$C378,"商品不属于该公司",IF(AND($E378&lt;&gt;"",ISNA(MATCH($E378,往来单位!$A$6:$A$85,0))),"往来单位未建档",IF(N($J378)=0,"数量为 0",IF(N($K378)=0,"单价为 0",IF(AND(LEFT($D378,2)="销售",$U378=""),"该商品没设成本科目",IF(YEAR($B378)&lt;&gt;参数设置!$B$5,"不在本会计年度","OK")))))))))))</f>
        <v/>
      </c>
      <c r="Q378" s="57" t="str">
        <f aca="false">IF($F378="","",ROUND(N($J378)*N($K378),2))</f>
        <v/>
      </c>
      <c r="R378" s="58" t="str">
        <f aca="false">IF($D378="","",IF(LEFT($D378,2)="销售","应收账款","应付账款"))</f>
        <v/>
      </c>
      <c r="S378" s="58" t="str">
        <f aca="false">IF($F378="","",IFERROR(INDEX(商品档案!$G$6:$G$65,MATCH($F378,商品档案!$A$6:$A$65,0)),""))</f>
        <v/>
      </c>
      <c r="T378" s="58" t="str">
        <f aca="false">IF($F378="","",IFERROR(INDEX(商品档案!$H$6:$H$65,MATCH($F378,商品档案!$A$6:$A$65,0)),""))</f>
        <v/>
      </c>
      <c r="U378" s="58" t="str">
        <f aca="false">IF($F378="","",IFERROR(INDEX(商品档案!$I$6:$I$65,MATCH($F378,商品档案!$A$6:$A$65,0)),""))</f>
        <v/>
      </c>
      <c r="V378" s="59" t="str">
        <f aca="false">IF($F378="","",SUMIFS(进销存台账!$N$6:$N$65,进销存台账!$A$6:$A$65,$C378,进销存台账!$B$6:$B$65,$F378))</f>
        <v/>
      </c>
      <c r="W378" s="60" t="n">
        <f aca="false">IF(OR($D378="销售出库",$D378="销售退回"),ROUND(N($J378)*N($V378),2),0)</f>
        <v>0</v>
      </c>
      <c r="X378" s="58" t="str">
        <f aca="false">IF($E378="","",IFERROR(INDEX(往来单位!$D$6:$D$85,MATCH($E378,往来单位!$A$6:$A$85,0)),"否"))</f>
        <v/>
      </c>
      <c r="Y378" s="61" t="str">
        <f aca="false">IF($B378="","",YEAR($B378))</f>
        <v/>
      </c>
      <c r="Z378" s="58" t="str">
        <f aca="false">IF($B378="","",TEXT($B378,"yyyy-mm"))</f>
        <v/>
      </c>
    </row>
    <row r="379" customFormat="false" ht="15" hidden="false" customHeight="false" outlineLevel="0" collapsed="false">
      <c r="A379" s="53" t="str">
        <f aca="false">IF($B379="","",ROW()-5)</f>
        <v/>
      </c>
      <c r="B379" s="54"/>
      <c r="C379" s="33"/>
      <c r="D379" s="33"/>
      <c r="E379" s="32"/>
      <c r="F379" s="39"/>
      <c r="G379" s="48" t="str">
        <f aca="false">IF($F379="","",IFERROR(INDEX(商品档案!$B$6:$B$65,MATCH($F379,商品档案!$A$6:$A$65,0)),""))</f>
        <v/>
      </c>
      <c r="H379" s="48" t="str">
        <f aca="false">IF($F379="","",IFERROR(INDEX(商品档案!$C$6:$C$65,MATCH($F379,商品档案!$A$6:$A$65,0)),""))</f>
        <v/>
      </c>
      <c r="I379" s="55" t="str">
        <f aca="false">IF($F379="","",IFERROR(INDEX(商品档案!$D$6:$D$65,MATCH($F379,商品档案!$A$6:$A$65,0)),""))</f>
        <v/>
      </c>
      <c r="J379" s="49"/>
      <c r="K379" s="56"/>
      <c r="L379" s="33"/>
      <c r="M379" s="39"/>
      <c r="N379" s="41"/>
      <c r="O379" s="41"/>
      <c r="P379" s="25" t="str">
        <f aca="false">IF(AND($B379="",$D379="",$F379=""),"",IF(NOT(ISNUMBER($B379)),"日期无效",IF(ISNA(MATCH($C379,参数设置!$A$10:$A$12,0)),"公司无效",IF(ISNA(MATCH($D379,记账规则!$A$6:$A$9,0)),"业务类型无效",IF(ISNA(MATCH($F379,商品档案!$A$6:$A$65,0)),"商品编码无效",IF(IFERROR(INDEX(商品档案!$E$6:$E$65,MATCH($F379,商品档案!$A$6:$A$65,0)),"")&lt;&gt;$C379,"商品不属于该公司",IF(AND($E379&lt;&gt;"",ISNA(MATCH($E379,往来单位!$A$6:$A$85,0))),"往来单位未建档",IF(N($J379)=0,"数量为 0",IF(N($K379)=0,"单价为 0",IF(AND(LEFT($D379,2)="销售",$U379=""),"该商品没设成本科目",IF(YEAR($B379)&lt;&gt;参数设置!$B$5,"不在本会计年度","OK")))))))))))</f>
        <v/>
      </c>
      <c r="Q379" s="57" t="str">
        <f aca="false">IF($F379="","",ROUND(N($J379)*N($K379),2))</f>
        <v/>
      </c>
      <c r="R379" s="58" t="str">
        <f aca="false">IF($D379="","",IF(LEFT($D379,2)="销售","应收账款","应付账款"))</f>
        <v/>
      </c>
      <c r="S379" s="58" t="str">
        <f aca="false">IF($F379="","",IFERROR(INDEX(商品档案!$G$6:$G$65,MATCH($F379,商品档案!$A$6:$A$65,0)),""))</f>
        <v/>
      </c>
      <c r="T379" s="58" t="str">
        <f aca="false">IF($F379="","",IFERROR(INDEX(商品档案!$H$6:$H$65,MATCH($F379,商品档案!$A$6:$A$65,0)),""))</f>
        <v/>
      </c>
      <c r="U379" s="58" t="str">
        <f aca="false">IF($F379="","",IFERROR(INDEX(商品档案!$I$6:$I$65,MATCH($F379,商品档案!$A$6:$A$65,0)),""))</f>
        <v/>
      </c>
      <c r="V379" s="59" t="str">
        <f aca="false">IF($F379="","",SUMIFS(进销存台账!$N$6:$N$65,进销存台账!$A$6:$A$65,$C379,进销存台账!$B$6:$B$65,$F379))</f>
        <v/>
      </c>
      <c r="W379" s="60" t="n">
        <f aca="false">IF(OR($D379="销售出库",$D379="销售退回"),ROUND(N($J379)*N($V379),2),0)</f>
        <v>0</v>
      </c>
      <c r="X379" s="58" t="str">
        <f aca="false">IF($E379="","",IFERROR(INDEX(往来单位!$D$6:$D$85,MATCH($E379,往来单位!$A$6:$A$85,0)),"否"))</f>
        <v/>
      </c>
      <c r="Y379" s="61" t="str">
        <f aca="false">IF($B379="","",YEAR($B379))</f>
        <v/>
      </c>
      <c r="Z379" s="58" t="str">
        <f aca="false">IF($B379="","",TEXT($B379,"yyyy-mm"))</f>
        <v/>
      </c>
    </row>
    <row r="380" customFormat="false" ht="15" hidden="false" customHeight="false" outlineLevel="0" collapsed="false">
      <c r="A380" s="53" t="str">
        <f aca="false">IF($B380="","",ROW()-5)</f>
        <v/>
      </c>
      <c r="B380" s="54"/>
      <c r="C380" s="33"/>
      <c r="D380" s="33"/>
      <c r="E380" s="32"/>
      <c r="F380" s="39"/>
      <c r="G380" s="48" t="str">
        <f aca="false">IF($F380="","",IFERROR(INDEX(商品档案!$B$6:$B$65,MATCH($F380,商品档案!$A$6:$A$65,0)),""))</f>
        <v/>
      </c>
      <c r="H380" s="48" t="str">
        <f aca="false">IF($F380="","",IFERROR(INDEX(商品档案!$C$6:$C$65,MATCH($F380,商品档案!$A$6:$A$65,0)),""))</f>
        <v/>
      </c>
      <c r="I380" s="55" t="str">
        <f aca="false">IF($F380="","",IFERROR(INDEX(商品档案!$D$6:$D$65,MATCH($F380,商品档案!$A$6:$A$65,0)),""))</f>
        <v/>
      </c>
      <c r="J380" s="49"/>
      <c r="K380" s="56"/>
      <c r="L380" s="33"/>
      <c r="M380" s="39"/>
      <c r="N380" s="41"/>
      <c r="O380" s="41"/>
      <c r="P380" s="25" t="str">
        <f aca="false">IF(AND($B380="",$D380="",$F380=""),"",IF(NOT(ISNUMBER($B380)),"日期无效",IF(ISNA(MATCH($C380,参数设置!$A$10:$A$12,0)),"公司无效",IF(ISNA(MATCH($D380,记账规则!$A$6:$A$9,0)),"业务类型无效",IF(ISNA(MATCH($F380,商品档案!$A$6:$A$65,0)),"商品编码无效",IF(IFERROR(INDEX(商品档案!$E$6:$E$65,MATCH($F380,商品档案!$A$6:$A$65,0)),"")&lt;&gt;$C380,"商品不属于该公司",IF(AND($E380&lt;&gt;"",ISNA(MATCH($E380,往来单位!$A$6:$A$85,0))),"往来单位未建档",IF(N($J380)=0,"数量为 0",IF(N($K380)=0,"单价为 0",IF(AND(LEFT($D380,2)="销售",$U380=""),"该商品没设成本科目",IF(YEAR($B380)&lt;&gt;参数设置!$B$5,"不在本会计年度","OK")))))))))))</f>
        <v/>
      </c>
      <c r="Q380" s="57" t="str">
        <f aca="false">IF($F380="","",ROUND(N($J380)*N($K380),2))</f>
        <v/>
      </c>
      <c r="R380" s="58" t="str">
        <f aca="false">IF($D380="","",IF(LEFT($D380,2)="销售","应收账款","应付账款"))</f>
        <v/>
      </c>
      <c r="S380" s="58" t="str">
        <f aca="false">IF($F380="","",IFERROR(INDEX(商品档案!$G$6:$G$65,MATCH($F380,商品档案!$A$6:$A$65,0)),""))</f>
        <v/>
      </c>
      <c r="T380" s="58" t="str">
        <f aca="false">IF($F380="","",IFERROR(INDEX(商品档案!$H$6:$H$65,MATCH($F380,商品档案!$A$6:$A$65,0)),""))</f>
        <v/>
      </c>
      <c r="U380" s="58" t="str">
        <f aca="false">IF($F380="","",IFERROR(INDEX(商品档案!$I$6:$I$65,MATCH($F380,商品档案!$A$6:$A$65,0)),""))</f>
        <v/>
      </c>
      <c r="V380" s="59" t="str">
        <f aca="false">IF($F380="","",SUMIFS(进销存台账!$N$6:$N$65,进销存台账!$A$6:$A$65,$C380,进销存台账!$B$6:$B$65,$F380))</f>
        <v/>
      </c>
      <c r="W380" s="60" t="n">
        <f aca="false">IF(OR($D380="销售出库",$D380="销售退回"),ROUND(N($J380)*N($V380),2),0)</f>
        <v>0</v>
      </c>
      <c r="X380" s="58" t="str">
        <f aca="false">IF($E380="","",IFERROR(INDEX(往来单位!$D$6:$D$85,MATCH($E380,往来单位!$A$6:$A$85,0)),"否"))</f>
        <v/>
      </c>
      <c r="Y380" s="61" t="str">
        <f aca="false">IF($B380="","",YEAR($B380))</f>
        <v/>
      </c>
      <c r="Z380" s="58" t="str">
        <f aca="false">IF($B380="","",TEXT($B380,"yyyy-mm"))</f>
        <v/>
      </c>
    </row>
    <row r="381" customFormat="false" ht="15" hidden="false" customHeight="false" outlineLevel="0" collapsed="false">
      <c r="A381" s="53" t="str">
        <f aca="false">IF($B381="","",ROW()-5)</f>
        <v/>
      </c>
      <c r="B381" s="54"/>
      <c r="C381" s="33"/>
      <c r="D381" s="33"/>
      <c r="E381" s="32"/>
      <c r="F381" s="39"/>
      <c r="G381" s="48" t="str">
        <f aca="false">IF($F381="","",IFERROR(INDEX(商品档案!$B$6:$B$65,MATCH($F381,商品档案!$A$6:$A$65,0)),""))</f>
        <v/>
      </c>
      <c r="H381" s="48" t="str">
        <f aca="false">IF($F381="","",IFERROR(INDEX(商品档案!$C$6:$C$65,MATCH($F381,商品档案!$A$6:$A$65,0)),""))</f>
        <v/>
      </c>
      <c r="I381" s="55" t="str">
        <f aca="false">IF($F381="","",IFERROR(INDEX(商品档案!$D$6:$D$65,MATCH($F381,商品档案!$A$6:$A$65,0)),""))</f>
        <v/>
      </c>
      <c r="J381" s="49"/>
      <c r="K381" s="56"/>
      <c r="L381" s="33"/>
      <c r="M381" s="39"/>
      <c r="N381" s="41"/>
      <c r="O381" s="41"/>
      <c r="P381" s="25" t="str">
        <f aca="false">IF(AND($B381="",$D381="",$F381=""),"",IF(NOT(ISNUMBER($B381)),"日期无效",IF(ISNA(MATCH($C381,参数设置!$A$10:$A$12,0)),"公司无效",IF(ISNA(MATCH($D381,记账规则!$A$6:$A$9,0)),"业务类型无效",IF(ISNA(MATCH($F381,商品档案!$A$6:$A$65,0)),"商品编码无效",IF(IFERROR(INDEX(商品档案!$E$6:$E$65,MATCH($F381,商品档案!$A$6:$A$65,0)),"")&lt;&gt;$C381,"商品不属于该公司",IF(AND($E381&lt;&gt;"",ISNA(MATCH($E381,往来单位!$A$6:$A$85,0))),"往来单位未建档",IF(N($J381)=0,"数量为 0",IF(N($K381)=0,"单价为 0",IF(AND(LEFT($D381,2)="销售",$U381=""),"该商品没设成本科目",IF(YEAR($B381)&lt;&gt;参数设置!$B$5,"不在本会计年度","OK")))))))))))</f>
        <v/>
      </c>
      <c r="Q381" s="57" t="str">
        <f aca="false">IF($F381="","",ROUND(N($J381)*N($K381),2))</f>
        <v/>
      </c>
      <c r="R381" s="58" t="str">
        <f aca="false">IF($D381="","",IF(LEFT($D381,2)="销售","应收账款","应付账款"))</f>
        <v/>
      </c>
      <c r="S381" s="58" t="str">
        <f aca="false">IF($F381="","",IFERROR(INDEX(商品档案!$G$6:$G$65,MATCH($F381,商品档案!$A$6:$A$65,0)),""))</f>
        <v/>
      </c>
      <c r="T381" s="58" t="str">
        <f aca="false">IF($F381="","",IFERROR(INDEX(商品档案!$H$6:$H$65,MATCH($F381,商品档案!$A$6:$A$65,0)),""))</f>
        <v/>
      </c>
      <c r="U381" s="58" t="str">
        <f aca="false">IF($F381="","",IFERROR(INDEX(商品档案!$I$6:$I$65,MATCH($F381,商品档案!$A$6:$A$65,0)),""))</f>
        <v/>
      </c>
      <c r="V381" s="59" t="str">
        <f aca="false">IF($F381="","",SUMIFS(进销存台账!$N$6:$N$65,进销存台账!$A$6:$A$65,$C381,进销存台账!$B$6:$B$65,$F381))</f>
        <v/>
      </c>
      <c r="W381" s="60" t="n">
        <f aca="false">IF(OR($D381="销售出库",$D381="销售退回"),ROUND(N($J381)*N($V381),2),0)</f>
        <v>0</v>
      </c>
      <c r="X381" s="58" t="str">
        <f aca="false">IF($E381="","",IFERROR(INDEX(往来单位!$D$6:$D$85,MATCH($E381,往来单位!$A$6:$A$85,0)),"否"))</f>
        <v/>
      </c>
      <c r="Y381" s="61" t="str">
        <f aca="false">IF($B381="","",YEAR($B381))</f>
        <v/>
      </c>
      <c r="Z381" s="58" t="str">
        <f aca="false">IF($B381="","",TEXT($B381,"yyyy-mm"))</f>
        <v/>
      </c>
    </row>
    <row r="382" customFormat="false" ht="15" hidden="false" customHeight="false" outlineLevel="0" collapsed="false">
      <c r="A382" s="53" t="str">
        <f aca="false">IF($B382="","",ROW()-5)</f>
        <v/>
      </c>
      <c r="B382" s="54"/>
      <c r="C382" s="33"/>
      <c r="D382" s="33"/>
      <c r="E382" s="32"/>
      <c r="F382" s="39"/>
      <c r="G382" s="48" t="str">
        <f aca="false">IF($F382="","",IFERROR(INDEX(商品档案!$B$6:$B$65,MATCH($F382,商品档案!$A$6:$A$65,0)),""))</f>
        <v/>
      </c>
      <c r="H382" s="48" t="str">
        <f aca="false">IF($F382="","",IFERROR(INDEX(商品档案!$C$6:$C$65,MATCH($F382,商品档案!$A$6:$A$65,0)),""))</f>
        <v/>
      </c>
      <c r="I382" s="55" t="str">
        <f aca="false">IF($F382="","",IFERROR(INDEX(商品档案!$D$6:$D$65,MATCH($F382,商品档案!$A$6:$A$65,0)),""))</f>
        <v/>
      </c>
      <c r="J382" s="49"/>
      <c r="K382" s="56"/>
      <c r="L382" s="33"/>
      <c r="M382" s="39"/>
      <c r="N382" s="41"/>
      <c r="O382" s="41"/>
      <c r="P382" s="25" t="str">
        <f aca="false">IF(AND($B382="",$D382="",$F382=""),"",IF(NOT(ISNUMBER($B382)),"日期无效",IF(ISNA(MATCH($C382,参数设置!$A$10:$A$12,0)),"公司无效",IF(ISNA(MATCH($D382,记账规则!$A$6:$A$9,0)),"业务类型无效",IF(ISNA(MATCH($F382,商品档案!$A$6:$A$65,0)),"商品编码无效",IF(IFERROR(INDEX(商品档案!$E$6:$E$65,MATCH($F382,商品档案!$A$6:$A$65,0)),"")&lt;&gt;$C382,"商品不属于该公司",IF(AND($E382&lt;&gt;"",ISNA(MATCH($E382,往来单位!$A$6:$A$85,0))),"往来单位未建档",IF(N($J382)=0,"数量为 0",IF(N($K382)=0,"单价为 0",IF(AND(LEFT($D382,2)="销售",$U382=""),"该商品没设成本科目",IF(YEAR($B382)&lt;&gt;参数设置!$B$5,"不在本会计年度","OK")))))))))))</f>
        <v/>
      </c>
      <c r="Q382" s="57" t="str">
        <f aca="false">IF($F382="","",ROUND(N($J382)*N($K382),2))</f>
        <v/>
      </c>
      <c r="R382" s="58" t="str">
        <f aca="false">IF($D382="","",IF(LEFT($D382,2)="销售","应收账款","应付账款"))</f>
        <v/>
      </c>
      <c r="S382" s="58" t="str">
        <f aca="false">IF($F382="","",IFERROR(INDEX(商品档案!$G$6:$G$65,MATCH($F382,商品档案!$A$6:$A$65,0)),""))</f>
        <v/>
      </c>
      <c r="T382" s="58" t="str">
        <f aca="false">IF($F382="","",IFERROR(INDEX(商品档案!$H$6:$H$65,MATCH($F382,商品档案!$A$6:$A$65,0)),""))</f>
        <v/>
      </c>
      <c r="U382" s="58" t="str">
        <f aca="false">IF($F382="","",IFERROR(INDEX(商品档案!$I$6:$I$65,MATCH($F382,商品档案!$A$6:$A$65,0)),""))</f>
        <v/>
      </c>
      <c r="V382" s="59" t="str">
        <f aca="false">IF($F382="","",SUMIFS(进销存台账!$N$6:$N$65,进销存台账!$A$6:$A$65,$C382,进销存台账!$B$6:$B$65,$F382))</f>
        <v/>
      </c>
      <c r="W382" s="60" t="n">
        <f aca="false">IF(OR($D382="销售出库",$D382="销售退回"),ROUND(N($J382)*N($V382),2),0)</f>
        <v>0</v>
      </c>
      <c r="X382" s="58" t="str">
        <f aca="false">IF($E382="","",IFERROR(INDEX(往来单位!$D$6:$D$85,MATCH($E382,往来单位!$A$6:$A$85,0)),"否"))</f>
        <v/>
      </c>
      <c r="Y382" s="61" t="str">
        <f aca="false">IF($B382="","",YEAR($B382))</f>
        <v/>
      </c>
      <c r="Z382" s="58" t="str">
        <f aca="false">IF($B382="","",TEXT($B382,"yyyy-mm"))</f>
        <v/>
      </c>
    </row>
    <row r="383" customFormat="false" ht="15" hidden="false" customHeight="false" outlineLevel="0" collapsed="false">
      <c r="A383" s="53" t="str">
        <f aca="false">IF($B383="","",ROW()-5)</f>
        <v/>
      </c>
      <c r="B383" s="54"/>
      <c r="C383" s="33"/>
      <c r="D383" s="33"/>
      <c r="E383" s="32"/>
      <c r="F383" s="39"/>
      <c r="G383" s="48" t="str">
        <f aca="false">IF($F383="","",IFERROR(INDEX(商品档案!$B$6:$B$65,MATCH($F383,商品档案!$A$6:$A$65,0)),""))</f>
        <v/>
      </c>
      <c r="H383" s="48" t="str">
        <f aca="false">IF($F383="","",IFERROR(INDEX(商品档案!$C$6:$C$65,MATCH($F383,商品档案!$A$6:$A$65,0)),""))</f>
        <v/>
      </c>
      <c r="I383" s="55" t="str">
        <f aca="false">IF($F383="","",IFERROR(INDEX(商品档案!$D$6:$D$65,MATCH($F383,商品档案!$A$6:$A$65,0)),""))</f>
        <v/>
      </c>
      <c r="J383" s="49"/>
      <c r="K383" s="56"/>
      <c r="L383" s="33"/>
      <c r="M383" s="39"/>
      <c r="N383" s="41"/>
      <c r="O383" s="41"/>
      <c r="P383" s="25" t="str">
        <f aca="false">IF(AND($B383="",$D383="",$F383=""),"",IF(NOT(ISNUMBER($B383)),"日期无效",IF(ISNA(MATCH($C383,参数设置!$A$10:$A$12,0)),"公司无效",IF(ISNA(MATCH($D383,记账规则!$A$6:$A$9,0)),"业务类型无效",IF(ISNA(MATCH($F383,商品档案!$A$6:$A$65,0)),"商品编码无效",IF(IFERROR(INDEX(商品档案!$E$6:$E$65,MATCH($F383,商品档案!$A$6:$A$65,0)),"")&lt;&gt;$C383,"商品不属于该公司",IF(AND($E383&lt;&gt;"",ISNA(MATCH($E383,往来单位!$A$6:$A$85,0))),"往来单位未建档",IF(N($J383)=0,"数量为 0",IF(N($K383)=0,"单价为 0",IF(AND(LEFT($D383,2)="销售",$U383=""),"该商品没设成本科目",IF(YEAR($B383)&lt;&gt;参数设置!$B$5,"不在本会计年度","OK")))))))))))</f>
        <v/>
      </c>
      <c r="Q383" s="57" t="str">
        <f aca="false">IF($F383="","",ROUND(N($J383)*N($K383),2))</f>
        <v/>
      </c>
      <c r="R383" s="58" t="str">
        <f aca="false">IF($D383="","",IF(LEFT($D383,2)="销售","应收账款","应付账款"))</f>
        <v/>
      </c>
      <c r="S383" s="58" t="str">
        <f aca="false">IF($F383="","",IFERROR(INDEX(商品档案!$G$6:$G$65,MATCH($F383,商品档案!$A$6:$A$65,0)),""))</f>
        <v/>
      </c>
      <c r="T383" s="58" t="str">
        <f aca="false">IF($F383="","",IFERROR(INDEX(商品档案!$H$6:$H$65,MATCH($F383,商品档案!$A$6:$A$65,0)),""))</f>
        <v/>
      </c>
      <c r="U383" s="58" t="str">
        <f aca="false">IF($F383="","",IFERROR(INDEX(商品档案!$I$6:$I$65,MATCH($F383,商品档案!$A$6:$A$65,0)),""))</f>
        <v/>
      </c>
      <c r="V383" s="59" t="str">
        <f aca="false">IF($F383="","",SUMIFS(进销存台账!$N$6:$N$65,进销存台账!$A$6:$A$65,$C383,进销存台账!$B$6:$B$65,$F383))</f>
        <v/>
      </c>
      <c r="W383" s="60" t="n">
        <f aca="false">IF(OR($D383="销售出库",$D383="销售退回"),ROUND(N($J383)*N($V383),2),0)</f>
        <v>0</v>
      </c>
      <c r="X383" s="58" t="str">
        <f aca="false">IF($E383="","",IFERROR(INDEX(往来单位!$D$6:$D$85,MATCH($E383,往来单位!$A$6:$A$85,0)),"否"))</f>
        <v/>
      </c>
      <c r="Y383" s="61" t="str">
        <f aca="false">IF($B383="","",YEAR($B383))</f>
        <v/>
      </c>
      <c r="Z383" s="58" t="str">
        <f aca="false">IF($B383="","",TEXT($B383,"yyyy-mm"))</f>
        <v/>
      </c>
    </row>
    <row r="384" customFormat="false" ht="15" hidden="false" customHeight="false" outlineLevel="0" collapsed="false">
      <c r="A384" s="53" t="str">
        <f aca="false">IF($B384="","",ROW()-5)</f>
        <v/>
      </c>
      <c r="B384" s="54"/>
      <c r="C384" s="33"/>
      <c r="D384" s="33"/>
      <c r="E384" s="32"/>
      <c r="F384" s="39"/>
      <c r="G384" s="48" t="str">
        <f aca="false">IF($F384="","",IFERROR(INDEX(商品档案!$B$6:$B$65,MATCH($F384,商品档案!$A$6:$A$65,0)),""))</f>
        <v/>
      </c>
      <c r="H384" s="48" t="str">
        <f aca="false">IF($F384="","",IFERROR(INDEX(商品档案!$C$6:$C$65,MATCH($F384,商品档案!$A$6:$A$65,0)),""))</f>
        <v/>
      </c>
      <c r="I384" s="55" t="str">
        <f aca="false">IF($F384="","",IFERROR(INDEX(商品档案!$D$6:$D$65,MATCH($F384,商品档案!$A$6:$A$65,0)),""))</f>
        <v/>
      </c>
      <c r="J384" s="49"/>
      <c r="K384" s="56"/>
      <c r="L384" s="33"/>
      <c r="M384" s="39"/>
      <c r="N384" s="41"/>
      <c r="O384" s="41"/>
      <c r="P384" s="25" t="str">
        <f aca="false">IF(AND($B384="",$D384="",$F384=""),"",IF(NOT(ISNUMBER($B384)),"日期无效",IF(ISNA(MATCH($C384,参数设置!$A$10:$A$12,0)),"公司无效",IF(ISNA(MATCH($D384,记账规则!$A$6:$A$9,0)),"业务类型无效",IF(ISNA(MATCH($F384,商品档案!$A$6:$A$65,0)),"商品编码无效",IF(IFERROR(INDEX(商品档案!$E$6:$E$65,MATCH($F384,商品档案!$A$6:$A$65,0)),"")&lt;&gt;$C384,"商品不属于该公司",IF(AND($E384&lt;&gt;"",ISNA(MATCH($E384,往来单位!$A$6:$A$85,0))),"往来单位未建档",IF(N($J384)=0,"数量为 0",IF(N($K384)=0,"单价为 0",IF(AND(LEFT($D384,2)="销售",$U384=""),"该商品没设成本科目",IF(YEAR($B384)&lt;&gt;参数设置!$B$5,"不在本会计年度","OK")))))))))))</f>
        <v/>
      </c>
      <c r="Q384" s="57" t="str">
        <f aca="false">IF($F384="","",ROUND(N($J384)*N($K384),2))</f>
        <v/>
      </c>
      <c r="R384" s="58" t="str">
        <f aca="false">IF($D384="","",IF(LEFT($D384,2)="销售","应收账款","应付账款"))</f>
        <v/>
      </c>
      <c r="S384" s="58" t="str">
        <f aca="false">IF($F384="","",IFERROR(INDEX(商品档案!$G$6:$G$65,MATCH($F384,商品档案!$A$6:$A$65,0)),""))</f>
        <v/>
      </c>
      <c r="T384" s="58" t="str">
        <f aca="false">IF($F384="","",IFERROR(INDEX(商品档案!$H$6:$H$65,MATCH($F384,商品档案!$A$6:$A$65,0)),""))</f>
        <v/>
      </c>
      <c r="U384" s="58" t="str">
        <f aca="false">IF($F384="","",IFERROR(INDEX(商品档案!$I$6:$I$65,MATCH($F384,商品档案!$A$6:$A$65,0)),""))</f>
        <v/>
      </c>
      <c r="V384" s="59" t="str">
        <f aca="false">IF($F384="","",SUMIFS(进销存台账!$N$6:$N$65,进销存台账!$A$6:$A$65,$C384,进销存台账!$B$6:$B$65,$F384))</f>
        <v/>
      </c>
      <c r="W384" s="60" t="n">
        <f aca="false">IF(OR($D384="销售出库",$D384="销售退回"),ROUND(N($J384)*N($V384),2),0)</f>
        <v>0</v>
      </c>
      <c r="X384" s="58" t="str">
        <f aca="false">IF($E384="","",IFERROR(INDEX(往来单位!$D$6:$D$85,MATCH($E384,往来单位!$A$6:$A$85,0)),"否"))</f>
        <v/>
      </c>
      <c r="Y384" s="61" t="str">
        <f aca="false">IF($B384="","",YEAR($B384))</f>
        <v/>
      </c>
      <c r="Z384" s="58" t="str">
        <f aca="false">IF($B384="","",TEXT($B384,"yyyy-mm"))</f>
        <v/>
      </c>
    </row>
    <row r="385" customFormat="false" ht="15" hidden="false" customHeight="false" outlineLevel="0" collapsed="false">
      <c r="A385" s="53" t="str">
        <f aca="false">IF($B385="","",ROW()-5)</f>
        <v/>
      </c>
      <c r="B385" s="54"/>
      <c r="C385" s="33"/>
      <c r="D385" s="33"/>
      <c r="E385" s="32"/>
      <c r="F385" s="39"/>
      <c r="G385" s="48" t="str">
        <f aca="false">IF($F385="","",IFERROR(INDEX(商品档案!$B$6:$B$65,MATCH($F385,商品档案!$A$6:$A$65,0)),""))</f>
        <v/>
      </c>
      <c r="H385" s="48" t="str">
        <f aca="false">IF($F385="","",IFERROR(INDEX(商品档案!$C$6:$C$65,MATCH($F385,商品档案!$A$6:$A$65,0)),""))</f>
        <v/>
      </c>
      <c r="I385" s="55" t="str">
        <f aca="false">IF($F385="","",IFERROR(INDEX(商品档案!$D$6:$D$65,MATCH($F385,商品档案!$A$6:$A$65,0)),""))</f>
        <v/>
      </c>
      <c r="J385" s="49"/>
      <c r="K385" s="56"/>
      <c r="L385" s="33"/>
      <c r="M385" s="39"/>
      <c r="N385" s="41"/>
      <c r="O385" s="41"/>
      <c r="P385" s="25" t="str">
        <f aca="false">IF(AND($B385="",$D385="",$F385=""),"",IF(NOT(ISNUMBER($B385)),"日期无效",IF(ISNA(MATCH($C385,参数设置!$A$10:$A$12,0)),"公司无效",IF(ISNA(MATCH($D385,记账规则!$A$6:$A$9,0)),"业务类型无效",IF(ISNA(MATCH($F385,商品档案!$A$6:$A$65,0)),"商品编码无效",IF(IFERROR(INDEX(商品档案!$E$6:$E$65,MATCH($F385,商品档案!$A$6:$A$65,0)),"")&lt;&gt;$C385,"商品不属于该公司",IF(AND($E385&lt;&gt;"",ISNA(MATCH($E385,往来单位!$A$6:$A$85,0))),"往来单位未建档",IF(N($J385)=0,"数量为 0",IF(N($K385)=0,"单价为 0",IF(AND(LEFT($D385,2)="销售",$U385=""),"该商品没设成本科目",IF(YEAR($B385)&lt;&gt;参数设置!$B$5,"不在本会计年度","OK")))))))))))</f>
        <v/>
      </c>
      <c r="Q385" s="57" t="str">
        <f aca="false">IF($F385="","",ROUND(N($J385)*N($K385),2))</f>
        <v/>
      </c>
      <c r="R385" s="58" t="str">
        <f aca="false">IF($D385="","",IF(LEFT($D385,2)="销售","应收账款","应付账款"))</f>
        <v/>
      </c>
      <c r="S385" s="58" t="str">
        <f aca="false">IF($F385="","",IFERROR(INDEX(商品档案!$G$6:$G$65,MATCH($F385,商品档案!$A$6:$A$65,0)),""))</f>
        <v/>
      </c>
      <c r="T385" s="58" t="str">
        <f aca="false">IF($F385="","",IFERROR(INDEX(商品档案!$H$6:$H$65,MATCH($F385,商品档案!$A$6:$A$65,0)),""))</f>
        <v/>
      </c>
      <c r="U385" s="58" t="str">
        <f aca="false">IF($F385="","",IFERROR(INDEX(商品档案!$I$6:$I$65,MATCH($F385,商品档案!$A$6:$A$65,0)),""))</f>
        <v/>
      </c>
      <c r="V385" s="59" t="str">
        <f aca="false">IF($F385="","",SUMIFS(进销存台账!$N$6:$N$65,进销存台账!$A$6:$A$65,$C385,进销存台账!$B$6:$B$65,$F385))</f>
        <v/>
      </c>
      <c r="W385" s="60" t="n">
        <f aca="false">IF(OR($D385="销售出库",$D385="销售退回"),ROUND(N($J385)*N($V385),2),0)</f>
        <v>0</v>
      </c>
      <c r="X385" s="58" t="str">
        <f aca="false">IF($E385="","",IFERROR(INDEX(往来单位!$D$6:$D$85,MATCH($E385,往来单位!$A$6:$A$85,0)),"否"))</f>
        <v/>
      </c>
      <c r="Y385" s="61" t="str">
        <f aca="false">IF($B385="","",YEAR($B385))</f>
        <v/>
      </c>
      <c r="Z385" s="58" t="str">
        <f aca="false">IF($B385="","",TEXT($B385,"yyyy-mm"))</f>
        <v/>
      </c>
    </row>
    <row r="386" customFormat="false" ht="15" hidden="false" customHeight="false" outlineLevel="0" collapsed="false">
      <c r="A386" s="53" t="str">
        <f aca="false">IF($B386="","",ROW()-5)</f>
        <v/>
      </c>
      <c r="B386" s="54"/>
      <c r="C386" s="33"/>
      <c r="D386" s="33"/>
      <c r="E386" s="32"/>
      <c r="F386" s="39"/>
      <c r="G386" s="48" t="str">
        <f aca="false">IF($F386="","",IFERROR(INDEX(商品档案!$B$6:$B$65,MATCH($F386,商品档案!$A$6:$A$65,0)),""))</f>
        <v/>
      </c>
      <c r="H386" s="48" t="str">
        <f aca="false">IF($F386="","",IFERROR(INDEX(商品档案!$C$6:$C$65,MATCH($F386,商品档案!$A$6:$A$65,0)),""))</f>
        <v/>
      </c>
      <c r="I386" s="55" t="str">
        <f aca="false">IF($F386="","",IFERROR(INDEX(商品档案!$D$6:$D$65,MATCH($F386,商品档案!$A$6:$A$65,0)),""))</f>
        <v/>
      </c>
      <c r="J386" s="49"/>
      <c r="K386" s="56"/>
      <c r="L386" s="33"/>
      <c r="M386" s="39"/>
      <c r="N386" s="41"/>
      <c r="O386" s="41"/>
      <c r="P386" s="25" t="str">
        <f aca="false">IF(AND($B386="",$D386="",$F386=""),"",IF(NOT(ISNUMBER($B386)),"日期无效",IF(ISNA(MATCH($C386,参数设置!$A$10:$A$12,0)),"公司无效",IF(ISNA(MATCH($D386,记账规则!$A$6:$A$9,0)),"业务类型无效",IF(ISNA(MATCH($F386,商品档案!$A$6:$A$65,0)),"商品编码无效",IF(IFERROR(INDEX(商品档案!$E$6:$E$65,MATCH($F386,商品档案!$A$6:$A$65,0)),"")&lt;&gt;$C386,"商品不属于该公司",IF(AND($E386&lt;&gt;"",ISNA(MATCH($E386,往来单位!$A$6:$A$85,0))),"往来单位未建档",IF(N($J386)=0,"数量为 0",IF(N($K386)=0,"单价为 0",IF(AND(LEFT($D386,2)="销售",$U386=""),"该商品没设成本科目",IF(YEAR($B386)&lt;&gt;参数设置!$B$5,"不在本会计年度","OK")))))))))))</f>
        <v/>
      </c>
      <c r="Q386" s="57" t="str">
        <f aca="false">IF($F386="","",ROUND(N($J386)*N($K386),2))</f>
        <v/>
      </c>
      <c r="R386" s="58" t="str">
        <f aca="false">IF($D386="","",IF(LEFT($D386,2)="销售","应收账款","应付账款"))</f>
        <v/>
      </c>
      <c r="S386" s="58" t="str">
        <f aca="false">IF($F386="","",IFERROR(INDEX(商品档案!$G$6:$G$65,MATCH($F386,商品档案!$A$6:$A$65,0)),""))</f>
        <v/>
      </c>
      <c r="T386" s="58" t="str">
        <f aca="false">IF($F386="","",IFERROR(INDEX(商品档案!$H$6:$H$65,MATCH($F386,商品档案!$A$6:$A$65,0)),""))</f>
        <v/>
      </c>
      <c r="U386" s="58" t="str">
        <f aca="false">IF($F386="","",IFERROR(INDEX(商品档案!$I$6:$I$65,MATCH($F386,商品档案!$A$6:$A$65,0)),""))</f>
        <v/>
      </c>
      <c r="V386" s="59" t="str">
        <f aca="false">IF($F386="","",SUMIFS(进销存台账!$N$6:$N$65,进销存台账!$A$6:$A$65,$C386,进销存台账!$B$6:$B$65,$F386))</f>
        <v/>
      </c>
      <c r="W386" s="60" t="n">
        <f aca="false">IF(OR($D386="销售出库",$D386="销售退回"),ROUND(N($J386)*N($V386),2),0)</f>
        <v>0</v>
      </c>
      <c r="X386" s="58" t="str">
        <f aca="false">IF($E386="","",IFERROR(INDEX(往来单位!$D$6:$D$85,MATCH($E386,往来单位!$A$6:$A$85,0)),"否"))</f>
        <v/>
      </c>
      <c r="Y386" s="61" t="str">
        <f aca="false">IF($B386="","",YEAR($B386))</f>
        <v/>
      </c>
      <c r="Z386" s="58" t="str">
        <f aca="false">IF($B386="","",TEXT($B386,"yyyy-mm"))</f>
        <v/>
      </c>
    </row>
    <row r="387" customFormat="false" ht="15" hidden="false" customHeight="false" outlineLevel="0" collapsed="false">
      <c r="A387" s="53" t="str">
        <f aca="false">IF($B387="","",ROW()-5)</f>
        <v/>
      </c>
      <c r="B387" s="54"/>
      <c r="C387" s="33"/>
      <c r="D387" s="33"/>
      <c r="E387" s="32"/>
      <c r="F387" s="39"/>
      <c r="G387" s="48" t="str">
        <f aca="false">IF($F387="","",IFERROR(INDEX(商品档案!$B$6:$B$65,MATCH($F387,商品档案!$A$6:$A$65,0)),""))</f>
        <v/>
      </c>
      <c r="H387" s="48" t="str">
        <f aca="false">IF($F387="","",IFERROR(INDEX(商品档案!$C$6:$C$65,MATCH($F387,商品档案!$A$6:$A$65,0)),""))</f>
        <v/>
      </c>
      <c r="I387" s="55" t="str">
        <f aca="false">IF($F387="","",IFERROR(INDEX(商品档案!$D$6:$D$65,MATCH($F387,商品档案!$A$6:$A$65,0)),""))</f>
        <v/>
      </c>
      <c r="J387" s="49"/>
      <c r="K387" s="56"/>
      <c r="L387" s="33"/>
      <c r="M387" s="39"/>
      <c r="N387" s="41"/>
      <c r="O387" s="41"/>
      <c r="P387" s="25" t="str">
        <f aca="false">IF(AND($B387="",$D387="",$F387=""),"",IF(NOT(ISNUMBER($B387)),"日期无效",IF(ISNA(MATCH($C387,参数设置!$A$10:$A$12,0)),"公司无效",IF(ISNA(MATCH($D387,记账规则!$A$6:$A$9,0)),"业务类型无效",IF(ISNA(MATCH($F387,商品档案!$A$6:$A$65,0)),"商品编码无效",IF(IFERROR(INDEX(商品档案!$E$6:$E$65,MATCH($F387,商品档案!$A$6:$A$65,0)),"")&lt;&gt;$C387,"商品不属于该公司",IF(AND($E387&lt;&gt;"",ISNA(MATCH($E387,往来单位!$A$6:$A$85,0))),"往来单位未建档",IF(N($J387)=0,"数量为 0",IF(N($K387)=0,"单价为 0",IF(AND(LEFT($D387,2)="销售",$U387=""),"该商品没设成本科目",IF(YEAR($B387)&lt;&gt;参数设置!$B$5,"不在本会计年度","OK")))))))))))</f>
        <v/>
      </c>
      <c r="Q387" s="57" t="str">
        <f aca="false">IF($F387="","",ROUND(N($J387)*N($K387),2))</f>
        <v/>
      </c>
      <c r="R387" s="58" t="str">
        <f aca="false">IF($D387="","",IF(LEFT($D387,2)="销售","应收账款","应付账款"))</f>
        <v/>
      </c>
      <c r="S387" s="58" t="str">
        <f aca="false">IF($F387="","",IFERROR(INDEX(商品档案!$G$6:$G$65,MATCH($F387,商品档案!$A$6:$A$65,0)),""))</f>
        <v/>
      </c>
      <c r="T387" s="58" t="str">
        <f aca="false">IF($F387="","",IFERROR(INDEX(商品档案!$H$6:$H$65,MATCH($F387,商品档案!$A$6:$A$65,0)),""))</f>
        <v/>
      </c>
      <c r="U387" s="58" t="str">
        <f aca="false">IF($F387="","",IFERROR(INDEX(商品档案!$I$6:$I$65,MATCH($F387,商品档案!$A$6:$A$65,0)),""))</f>
        <v/>
      </c>
      <c r="V387" s="59" t="str">
        <f aca="false">IF($F387="","",SUMIFS(进销存台账!$N$6:$N$65,进销存台账!$A$6:$A$65,$C387,进销存台账!$B$6:$B$65,$F387))</f>
        <v/>
      </c>
      <c r="W387" s="60" t="n">
        <f aca="false">IF(OR($D387="销售出库",$D387="销售退回"),ROUND(N($J387)*N($V387),2),0)</f>
        <v>0</v>
      </c>
      <c r="X387" s="58" t="str">
        <f aca="false">IF($E387="","",IFERROR(INDEX(往来单位!$D$6:$D$85,MATCH($E387,往来单位!$A$6:$A$85,0)),"否"))</f>
        <v/>
      </c>
      <c r="Y387" s="61" t="str">
        <f aca="false">IF($B387="","",YEAR($B387))</f>
        <v/>
      </c>
      <c r="Z387" s="58" t="str">
        <f aca="false">IF($B387="","",TEXT($B387,"yyyy-mm"))</f>
        <v/>
      </c>
    </row>
    <row r="388" customFormat="false" ht="15" hidden="false" customHeight="false" outlineLevel="0" collapsed="false">
      <c r="A388" s="53" t="str">
        <f aca="false">IF($B388="","",ROW()-5)</f>
        <v/>
      </c>
      <c r="B388" s="54"/>
      <c r="C388" s="33"/>
      <c r="D388" s="33"/>
      <c r="E388" s="32"/>
      <c r="F388" s="39"/>
      <c r="G388" s="48" t="str">
        <f aca="false">IF($F388="","",IFERROR(INDEX(商品档案!$B$6:$B$65,MATCH($F388,商品档案!$A$6:$A$65,0)),""))</f>
        <v/>
      </c>
      <c r="H388" s="48" t="str">
        <f aca="false">IF($F388="","",IFERROR(INDEX(商品档案!$C$6:$C$65,MATCH($F388,商品档案!$A$6:$A$65,0)),""))</f>
        <v/>
      </c>
      <c r="I388" s="55" t="str">
        <f aca="false">IF($F388="","",IFERROR(INDEX(商品档案!$D$6:$D$65,MATCH($F388,商品档案!$A$6:$A$65,0)),""))</f>
        <v/>
      </c>
      <c r="J388" s="49"/>
      <c r="K388" s="56"/>
      <c r="L388" s="33"/>
      <c r="M388" s="39"/>
      <c r="N388" s="41"/>
      <c r="O388" s="41"/>
      <c r="P388" s="25" t="str">
        <f aca="false">IF(AND($B388="",$D388="",$F388=""),"",IF(NOT(ISNUMBER($B388)),"日期无效",IF(ISNA(MATCH($C388,参数设置!$A$10:$A$12,0)),"公司无效",IF(ISNA(MATCH($D388,记账规则!$A$6:$A$9,0)),"业务类型无效",IF(ISNA(MATCH($F388,商品档案!$A$6:$A$65,0)),"商品编码无效",IF(IFERROR(INDEX(商品档案!$E$6:$E$65,MATCH($F388,商品档案!$A$6:$A$65,0)),"")&lt;&gt;$C388,"商品不属于该公司",IF(AND($E388&lt;&gt;"",ISNA(MATCH($E388,往来单位!$A$6:$A$85,0))),"往来单位未建档",IF(N($J388)=0,"数量为 0",IF(N($K388)=0,"单价为 0",IF(AND(LEFT($D388,2)="销售",$U388=""),"该商品没设成本科目",IF(YEAR($B388)&lt;&gt;参数设置!$B$5,"不在本会计年度","OK")))))))))))</f>
        <v/>
      </c>
      <c r="Q388" s="57" t="str">
        <f aca="false">IF($F388="","",ROUND(N($J388)*N($K388),2))</f>
        <v/>
      </c>
      <c r="R388" s="58" t="str">
        <f aca="false">IF($D388="","",IF(LEFT($D388,2)="销售","应收账款","应付账款"))</f>
        <v/>
      </c>
      <c r="S388" s="58" t="str">
        <f aca="false">IF($F388="","",IFERROR(INDEX(商品档案!$G$6:$G$65,MATCH($F388,商品档案!$A$6:$A$65,0)),""))</f>
        <v/>
      </c>
      <c r="T388" s="58" t="str">
        <f aca="false">IF($F388="","",IFERROR(INDEX(商品档案!$H$6:$H$65,MATCH($F388,商品档案!$A$6:$A$65,0)),""))</f>
        <v/>
      </c>
      <c r="U388" s="58" t="str">
        <f aca="false">IF($F388="","",IFERROR(INDEX(商品档案!$I$6:$I$65,MATCH($F388,商品档案!$A$6:$A$65,0)),""))</f>
        <v/>
      </c>
      <c r="V388" s="59" t="str">
        <f aca="false">IF($F388="","",SUMIFS(进销存台账!$N$6:$N$65,进销存台账!$A$6:$A$65,$C388,进销存台账!$B$6:$B$65,$F388))</f>
        <v/>
      </c>
      <c r="W388" s="60" t="n">
        <f aca="false">IF(OR($D388="销售出库",$D388="销售退回"),ROUND(N($J388)*N($V388),2),0)</f>
        <v>0</v>
      </c>
      <c r="X388" s="58" t="str">
        <f aca="false">IF($E388="","",IFERROR(INDEX(往来单位!$D$6:$D$85,MATCH($E388,往来单位!$A$6:$A$85,0)),"否"))</f>
        <v/>
      </c>
      <c r="Y388" s="61" t="str">
        <f aca="false">IF($B388="","",YEAR($B388))</f>
        <v/>
      </c>
      <c r="Z388" s="58" t="str">
        <f aca="false">IF($B388="","",TEXT($B388,"yyyy-mm"))</f>
        <v/>
      </c>
    </row>
    <row r="389" customFormat="false" ht="15" hidden="false" customHeight="false" outlineLevel="0" collapsed="false">
      <c r="A389" s="53" t="str">
        <f aca="false">IF($B389="","",ROW()-5)</f>
        <v/>
      </c>
      <c r="B389" s="54"/>
      <c r="C389" s="33"/>
      <c r="D389" s="33"/>
      <c r="E389" s="32"/>
      <c r="F389" s="39"/>
      <c r="G389" s="48" t="str">
        <f aca="false">IF($F389="","",IFERROR(INDEX(商品档案!$B$6:$B$65,MATCH($F389,商品档案!$A$6:$A$65,0)),""))</f>
        <v/>
      </c>
      <c r="H389" s="48" t="str">
        <f aca="false">IF($F389="","",IFERROR(INDEX(商品档案!$C$6:$C$65,MATCH($F389,商品档案!$A$6:$A$65,0)),""))</f>
        <v/>
      </c>
      <c r="I389" s="55" t="str">
        <f aca="false">IF($F389="","",IFERROR(INDEX(商品档案!$D$6:$D$65,MATCH($F389,商品档案!$A$6:$A$65,0)),""))</f>
        <v/>
      </c>
      <c r="J389" s="49"/>
      <c r="K389" s="56"/>
      <c r="L389" s="33"/>
      <c r="M389" s="39"/>
      <c r="N389" s="41"/>
      <c r="O389" s="41"/>
      <c r="P389" s="25" t="str">
        <f aca="false">IF(AND($B389="",$D389="",$F389=""),"",IF(NOT(ISNUMBER($B389)),"日期无效",IF(ISNA(MATCH($C389,参数设置!$A$10:$A$12,0)),"公司无效",IF(ISNA(MATCH($D389,记账规则!$A$6:$A$9,0)),"业务类型无效",IF(ISNA(MATCH($F389,商品档案!$A$6:$A$65,0)),"商品编码无效",IF(IFERROR(INDEX(商品档案!$E$6:$E$65,MATCH($F389,商品档案!$A$6:$A$65,0)),"")&lt;&gt;$C389,"商品不属于该公司",IF(AND($E389&lt;&gt;"",ISNA(MATCH($E389,往来单位!$A$6:$A$85,0))),"往来单位未建档",IF(N($J389)=0,"数量为 0",IF(N($K389)=0,"单价为 0",IF(AND(LEFT($D389,2)="销售",$U389=""),"该商品没设成本科目",IF(YEAR($B389)&lt;&gt;参数设置!$B$5,"不在本会计年度","OK")))))))))))</f>
        <v/>
      </c>
      <c r="Q389" s="57" t="str">
        <f aca="false">IF($F389="","",ROUND(N($J389)*N($K389),2))</f>
        <v/>
      </c>
      <c r="R389" s="58" t="str">
        <f aca="false">IF($D389="","",IF(LEFT($D389,2)="销售","应收账款","应付账款"))</f>
        <v/>
      </c>
      <c r="S389" s="58" t="str">
        <f aca="false">IF($F389="","",IFERROR(INDEX(商品档案!$G$6:$G$65,MATCH($F389,商品档案!$A$6:$A$65,0)),""))</f>
        <v/>
      </c>
      <c r="T389" s="58" t="str">
        <f aca="false">IF($F389="","",IFERROR(INDEX(商品档案!$H$6:$H$65,MATCH($F389,商品档案!$A$6:$A$65,0)),""))</f>
        <v/>
      </c>
      <c r="U389" s="58" t="str">
        <f aca="false">IF($F389="","",IFERROR(INDEX(商品档案!$I$6:$I$65,MATCH($F389,商品档案!$A$6:$A$65,0)),""))</f>
        <v/>
      </c>
      <c r="V389" s="59" t="str">
        <f aca="false">IF($F389="","",SUMIFS(进销存台账!$N$6:$N$65,进销存台账!$A$6:$A$65,$C389,进销存台账!$B$6:$B$65,$F389))</f>
        <v/>
      </c>
      <c r="W389" s="60" t="n">
        <f aca="false">IF(OR($D389="销售出库",$D389="销售退回"),ROUND(N($J389)*N($V389),2),0)</f>
        <v>0</v>
      </c>
      <c r="X389" s="58" t="str">
        <f aca="false">IF($E389="","",IFERROR(INDEX(往来单位!$D$6:$D$85,MATCH($E389,往来单位!$A$6:$A$85,0)),"否"))</f>
        <v/>
      </c>
      <c r="Y389" s="61" t="str">
        <f aca="false">IF($B389="","",YEAR($B389))</f>
        <v/>
      </c>
      <c r="Z389" s="58" t="str">
        <f aca="false">IF($B389="","",TEXT($B389,"yyyy-mm"))</f>
        <v/>
      </c>
    </row>
    <row r="390" customFormat="false" ht="15" hidden="false" customHeight="false" outlineLevel="0" collapsed="false">
      <c r="A390" s="53" t="str">
        <f aca="false">IF($B390="","",ROW()-5)</f>
        <v/>
      </c>
      <c r="B390" s="54"/>
      <c r="C390" s="33"/>
      <c r="D390" s="33"/>
      <c r="E390" s="32"/>
      <c r="F390" s="39"/>
      <c r="G390" s="48" t="str">
        <f aca="false">IF($F390="","",IFERROR(INDEX(商品档案!$B$6:$B$65,MATCH($F390,商品档案!$A$6:$A$65,0)),""))</f>
        <v/>
      </c>
      <c r="H390" s="48" t="str">
        <f aca="false">IF($F390="","",IFERROR(INDEX(商品档案!$C$6:$C$65,MATCH($F390,商品档案!$A$6:$A$65,0)),""))</f>
        <v/>
      </c>
      <c r="I390" s="55" t="str">
        <f aca="false">IF($F390="","",IFERROR(INDEX(商品档案!$D$6:$D$65,MATCH($F390,商品档案!$A$6:$A$65,0)),""))</f>
        <v/>
      </c>
      <c r="J390" s="49"/>
      <c r="K390" s="56"/>
      <c r="L390" s="33"/>
      <c r="M390" s="39"/>
      <c r="N390" s="41"/>
      <c r="O390" s="41"/>
      <c r="P390" s="25" t="str">
        <f aca="false">IF(AND($B390="",$D390="",$F390=""),"",IF(NOT(ISNUMBER($B390)),"日期无效",IF(ISNA(MATCH($C390,参数设置!$A$10:$A$12,0)),"公司无效",IF(ISNA(MATCH($D390,记账规则!$A$6:$A$9,0)),"业务类型无效",IF(ISNA(MATCH($F390,商品档案!$A$6:$A$65,0)),"商品编码无效",IF(IFERROR(INDEX(商品档案!$E$6:$E$65,MATCH($F390,商品档案!$A$6:$A$65,0)),"")&lt;&gt;$C390,"商品不属于该公司",IF(AND($E390&lt;&gt;"",ISNA(MATCH($E390,往来单位!$A$6:$A$85,0))),"往来单位未建档",IF(N($J390)=0,"数量为 0",IF(N($K390)=0,"单价为 0",IF(AND(LEFT($D390,2)="销售",$U390=""),"该商品没设成本科目",IF(YEAR($B390)&lt;&gt;参数设置!$B$5,"不在本会计年度","OK")))))))))))</f>
        <v/>
      </c>
      <c r="Q390" s="57" t="str">
        <f aca="false">IF($F390="","",ROUND(N($J390)*N($K390),2))</f>
        <v/>
      </c>
      <c r="R390" s="58" t="str">
        <f aca="false">IF($D390="","",IF(LEFT($D390,2)="销售","应收账款","应付账款"))</f>
        <v/>
      </c>
      <c r="S390" s="58" t="str">
        <f aca="false">IF($F390="","",IFERROR(INDEX(商品档案!$G$6:$G$65,MATCH($F390,商品档案!$A$6:$A$65,0)),""))</f>
        <v/>
      </c>
      <c r="T390" s="58" t="str">
        <f aca="false">IF($F390="","",IFERROR(INDEX(商品档案!$H$6:$H$65,MATCH($F390,商品档案!$A$6:$A$65,0)),""))</f>
        <v/>
      </c>
      <c r="U390" s="58" t="str">
        <f aca="false">IF($F390="","",IFERROR(INDEX(商品档案!$I$6:$I$65,MATCH($F390,商品档案!$A$6:$A$65,0)),""))</f>
        <v/>
      </c>
      <c r="V390" s="59" t="str">
        <f aca="false">IF($F390="","",SUMIFS(进销存台账!$N$6:$N$65,进销存台账!$A$6:$A$65,$C390,进销存台账!$B$6:$B$65,$F390))</f>
        <v/>
      </c>
      <c r="W390" s="60" t="n">
        <f aca="false">IF(OR($D390="销售出库",$D390="销售退回"),ROUND(N($J390)*N($V390),2),0)</f>
        <v>0</v>
      </c>
      <c r="X390" s="58" t="str">
        <f aca="false">IF($E390="","",IFERROR(INDEX(往来单位!$D$6:$D$85,MATCH($E390,往来单位!$A$6:$A$85,0)),"否"))</f>
        <v/>
      </c>
      <c r="Y390" s="61" t="str">
        <f aca="false">IF($B390="","",YEAR($B390))</f>
        <v/>
      </c>
      <c r="Z390" s="58" t="str">
        <f aca="false">IF($B390="","",TEXT($B390,"yyyy-mm"))</f>
        <v/>
      </c>
    </row>
    <row r="391" customFormat="false" ht="15" hidden="false" customHeight="false" outlineLevel="0" collapsed="false">
      <c r="A391" s="53" t="str">
        <f aca="false">IF($B391="","",ROW()-5)</f>
        <v/>
      </c>
      <c r="B391" s="54"/>
      <c r="C391" s="33"/>
      <c r="D391" s="33"/>
      <c r="E391" s="32"/>
      <c r="F391" s="39"/>
      <c r="G391" s="48" t="str">
        <f aca="false">IF($F391="","",IFERROR(INDEX(商品档案!$B$6:$B$65,MATCH($F391,商品档案!$A$6:$A$65,0)),""))</f>
        <v/>
      </c>
      <c r="H391" s="48" t="str">
        <f aca="false">IF($F391="","",IFERROR(INDEX(商品档案!$C$6:$C$65,MATCH($F391,商品档案!$A$6:$A$65,0)),""))</f>
        <v/>
      </c>
      <c r="I391" s="55" t="str">
        <f aca="false">IF($F391="","",IFERROR(INDEX(商品档案!$D$6:$D$65,MATCH($F391,商品档案!$A$6:$A$65,0)),""))</f>
        <v/>
      </c>
      <c r="J391" s="49"/>
      <c r="K391" s="56"/>
      <c r="L391" s="33"/>
      <c r="M391" s="39"/>
      <c r="N391" s="41"/>
      <c r="O391" s="41"/>
      <c r="P391" s="25" t="str">
        <f aca="false">IF(AND($B391="",$D391="",$F391=""),"",IF(NOT(ISNUMBER($B391)),"日期无效",IF(ISNA(MATCH($C391,参数设置!$A$10:$A$12,0)),"公司无效",IF(ISNA(MATCH($D391,记账规则!$A$6:$A$9,0)),"业务类型无效",IF(ISNA(MATCH($F391,商品档案!$A$6:$A$65,0)),"商品编码无效",IF(IFERROR(INDEX(商品档案!$E$6:$E$65,MATCH($F391,商品档案!$A$6:$A$65,0)),"")&lt;&gt;$C391,"商品不属于该公司",IF(AND($E391&lt;&gt;"",ISNA(MATCH($E391,往来单位!$A$6:$A$85,0))),"往来单位未建档",IF(N($J391)=0,"数量为 0",IF(N($K391)=0,"单价为 0",IF(AND(LEFT($D391,2)="销售",$U391=""),"该商品没设成本科目",IF(YEAR($B391)&lt;&gt;参数设置!$B$5,"不在本会计年度","OK")))))))))))</f>
        <v/>
      </c>
      <c r="Q391" s="57" t="str">
        <f aca="false">IF($F391="","",ROUND(N($J391)*N($K391),2))</f>
        <v/>
      </c>
      <c r="R391" s="58" t="str">
        <f aca="false">IF($D391="","",IF(LEFT($D391,2)="销售","应收账款","应付账款"))</f>
        <v/>
      </c>
      <c r="S391" s="58" t="str">
        <f aca="false">IF($F391="","",IFERROR(INDEX(商品档案!$G$6:$G$65,MATCH($F391,商品档案!$A$6:$A$65,0)),""))</f>
        <v/>
      </c>
      <c r="T391" s="58" t="str">
        <f aca="false">IF($F391="","",IFERROR(INDEX(商品档案!$H$6:$H$65,MATCH($F391,商品档案!$A$6:$A$65,0)),""))</f>
        <v/>
      </c>
      <c r="U391" s="58" t="str">
        <f aca="false">IF($F391="","",IFERROR(INDEX(商品档案!$I$6:$I$65,MATCH($F391,商品档案!$A$6:$A$65,0)),""))</f>
        <v/>
      </c>
      <c r="V391" s="59" t="str">
        <f aca="false">IF($F391="","",SUMIFS(进销存台账!$N$6:$N$65,进销存台账!$A$6:$A$65,$C391,进销存台账!$B$6:$B$65,$F391))</f>
        <v/>
      </c>
      <c r="W391" s="60" t="n">
        <f aca="false">IF(OR($D391="销售出库",$D391="销售退回"),ROUND(N($J391)*N($V391),2),0)</f>
        <v>0</v>
      </c>
      <c r="X391" s="58" t="str">
        <f aca="false">IF($E391="","",IFERROR(INDEX(往来单位!$D$6:$D$85,MATCH($E391,往来单位!$A$6:$A$85,0)),"否"))</f>
        <v/>
      </c>
      <c r="Y391" s="61" t="str">
        <f aca="false">IF($B391="","",YEAR($B391))</f>
        <v/>
      </c>
      <c r="Z391" s="58" t="str">
        <f aca="false">IF($B391="","",TEXT($B391,"yyyy-mm"))</f>
        <v/>
      </c>
    </row>
    <row r="392" customFormat="false" ht="15" hidden="false" customHeight="false" outlineLevel="0" collapsed="false">
      <c r="A392" s="53" t="str">
        <f aca="false">IF($B392="","",ROW()-5)</f>
        <v/>
      </c>
      <c r="B392" s="54"/>
      <c r="C392" s="33"/>
      <c r="D392" s="33"/>
      <c r="E392" s="32"/>
      <c r="F392" s="39"/>
      <c r="G392" s="48" t="str">
        <f aca="false">IF($F392="","",IFERROR(INDEX(商品档案!$B$6:$B$65,MATCH($F392,商品档案!$A$6:$A$65,0)),""))</f>
        <v/>
      </c>
      <c r="H392" s="48" t="str">
        <f aca="false">IF($F392="","",IFERROR(INDEX(商品档案!$C$6:$C$65,MATCH($F392,商品档案!$A$6:$A$65,0)),""))</f>
        <v/>
      </c>
      <c r="I392" s="55" t="str">
        <f aca="false">IF($F392="","",IFERROR(INDEX(商品档案!$D$6:$D$65,MATCH($F392,商品档案!$A$6:$A$65,0)),""))</f>
        <v/>
      </c>
      <c r="J392" s="49"/>
      <c r="K392" s="56"/>
      <c r="L392" s="33"/>
      <c r="M392" s="39"/>
      <c r="N392" s="41"/>
      <c r="O392" s="41"/>
      <c r="P392" s="25" t="str">
        <f aca="false">IF(AND($B392="",$D392="",$F392=""),"",IF(NOT(ISNUMBER($B392)),"日期无效",IF(ISNA(MATCH($C392,参数设置!$A$10:$A$12,0)),"公司无效",IF(ISNA(MATCH($D392,记账规则!$A$6:$A$9,0)),"业务类型无效",IF(ISNA(MATCH($F392,商品档案!$A$6:$A$65,0)),"商品编码无效",IF(IFERROR(INDEX(商品档案!$E$6:$E$65,MATCH($F392,商品档案!$A$6:$A$65,0)),"")&lt;&gt;$C392,"商品不属于该公司",IF(AND($E392&lt;&gt;"",ISNA(MATCH($E392,往来单位!$A$6:$A$85,0))),"往来单位未建档",IF(N($J392)=0,"数量为 0",IF(N($K392)=0,"单价为 0",IF(AND(LEFT($D392,2)="销售",$U392=""),"该商品没设成本科目",IF(YEAR($B392)&lt;&gt;参数设置!$B$5,"不在本会计年度","OK")))))))))))</f>
        <v/>
      </c>
      <c r="Q392" s="57" t="str">
        <f aca="false">IF($F392="","",ROUND(N($J392)*N($K392),2))</f>
        <v/>
      </c>
      <c r="R392" s="58" t="str">
        <f aca="false">IF($D392="","",IF(LEFT($D392,2)="销售","应收账款","应付账款"))</f>
        <v/>
      </c>
      <c r="S392" s="58" t="str">
        <f aca="false">IF($F392="","",IFERROR(INDEX(商品档案!$G$6:$G$65,MATCH($F392,商品档案!$A$6:$A$65,0)),""))</f>
        <v/>
      </c>
      <c r="T392" s="58" t="str">
        <f aca="false">IF($F392="","",IFERROR(INDEX(商品档案!$H$6:$H$65,MATCH($F392,商品档案!$A$6:$A$65,0)),""))</f>
        <v/>
      </c>
      <c r="U392" s="58" t="str">
        <f aca="false">IF($F392="","",IFERROR(INDEX(商品档案!$I$6:$I$65,MATCH($F392,商品档案!$A$6:$A$65,0)),""))</f>
        <v/>
      </c>
      <c r="V392" s="59" t="str">
        <f aca="false">IF($F392="","",SUMIFS(进销存台账!$N$6:$N$65,进销存台账!$A$6:$A$65,$C392,进销存台账!$B$6:$B$65,$F392))</f>
        <v/>
      </c>
      <c r="W392" s="60" t="n">
        <f aca="false">IF(OR($D392="销售出库",$D392="销售退回"),ROUND(N($J392)*N($V392),2),0)</f>
        <v>0</v>
      </c>
      <c r="X392" s="58" t="str">
        <f aca="false">IF($E392="","",IFERROR(INDEX(往来单位!$D$6:$D$85,MATCH($E392,往来单位!$A$6:$A$85,0)),"否"))</f>
        <v/>
      </c>
      <c r="Y392" s="61" t="str">
        <f aca="false">IF($B392="","",YEAR($B392))</f>
        <v/>
      </c>
      <c r="Z392" s="58" t="str">
        <f aca="false">IF($B392="","",TEXT($B392,"yyyy-mm"))</f>
        <v/>
      </c>
    </row>
    <row r="393" customFormat="false" ht="15" hidden="false" customHeight="false" outlineLevel="0" collapsed="false">
      <c r="A393" s="53" t="str">
        <f aca="false">IF($B393="","",ROW()-5)</f>
        <v/>
      </c>
      <c r="B393" s="54"/>
      <c r="C393" s="33"/>
      <c r="D393" s="33"/>
      <c r="E393" s="32"/>
      <c r="F393" s="39"/>
      <c r="G393" s="48" t="str">
        <f aca="false">IF($F393="","",IFERROR(INDEX(商品档案!$B$6:$B$65,MATCH($F393,商品档案!$A$6:$A$65,0)),""))</f>
        <v/>
      </c>
      <c r="H393" s="48" t="str">
        <f aca="false">IF($F393="","",IFERROR(INDEX(商品档案!$C$6:$C$65,MATCH($F393,商品档案!$A$6:$A$65,0)),""))</f>
        <v/>
      </c>
      <c r="I393" s="55" t="str">
        <f aca="false">IF($F393="","",IFERROR(INDEX(商品档案!$D$6:$D$65,MATCH($F393,商品档案!$A$6:$A$65,0)),""))</f>
        <v/>
      </c>
      <c r="J393" s="49"/>
      <c r="K393" s="56"/>
      <c r="L393" s="33"/>
      <c r="M393" s="39"/>
      <c r="N393" s="41"/>
      <c r="O393" s="41"/>
      <c r="P393" s="25" t="str">
        <f aca="false">IF(AND($B393="",$D393="",$F393=""),"",IF(NOT(ISNUMBER($B393)),"日期无效",IF(ISNA(MATCH($C393,参数设置!$A$10:$A$12,0)),"公司无效",IF(ISNA(MATCH($D393,记账规则!$A$6:$A$9,0)),"业务类型无效",IF(ISNA(MATCH($F393,商品档案!$A$6:$A$65,0)),"商品编码无效",IF(IFERROR(INDEX(商品档案!$E$6:$E$65,MATCH($F393,商品档案!$A$6:$A$65,0)),"")&lt;&gt;$C393,"商品不属于该公司",IF(AND($E393&lt;&gt;"",ISNA(MATCH($E393,往来单位!$A$6:$A$85,0))),"往来单位未建档",IF(N($J393)=0,"数量为 0",IF(N($K393)=0,"单价为 0",IF(AND(LEFT($D393,2)="销售",$U393=""),"该商品没设成本科目",IF(YEAR($B393)&lt;&gt;参数设置!$B$5,"不在本会计年度","OK")))))))))))</f>
        <v/>
      </c>
      <c r="Q393" s="57" t="str">
        <f aca="false">IF($F393="","",ROUND(N($J393)*N($K393),2))</f>
        <v/>
      </c>
      <c r="R393" s="58" t="str">
        <f aca="false">IF($D393="","",IF(LEFT($D393,2)="销售","应收账款","应付账款"))</f>
        <v/>
      </c>
      <c r="S393" s="58" t="str">
        <f aca="false">IF($F393="","",IFERROR(INDEX(商品档案!$G$6:$G$65,MATCH($F393,商品档案!$A$6:$A$65,0)),""))</f>
        <v/>
      </c>
      <c r="T393" s="58" t="str">
        <f aca="false">IF($F393="","",IFERROR(INDEX(商品档案!$H$6:$H$65,MATCH($F393,商品档案!$A$6:$A$65,0)),""))</f>
        <v/>
      </c>
      <c r="U393" s="58" t="str">
        <f aca="false">IF($F393="","",IFERROR(INDEX(商品档案!$I$6:$I$65,MATCH($F393,商品档案!$A$6:$A$65,0)),""))</f>
        <v/>
      </c>
      <c r="V393" s="59" t="str">
        <f aca="false">IF($F393="","",SUMIFS(进销存台账!$N$6:$N$65,进销存台账!$A$6:$A$65,$C393,进销存台账!$B$6:$B$65,$F393))</f>
        <v/>
      </c>
      <c r="W393" s="60" t="n">
        <f aca="false">IF(OR($D393="销售出库",$D393="销售退回"),ROUND(N($J393)*N($V393),2),0)</f>
        <v>0</v>
      </c>
      <c r="X393" s="58" t="str">
        <f aca="false">IF($E393="","",IFERROR(INDEX(往来单位!$D$6:$D$85,MATCH($E393,往来单位!$A$6:$A$85,0)),"否"))</f>
        <v/>
      </c>
      <c r="Y393" s="61" t="str">
        <f aca="false">IF($B393="","",YEAR($B393))</f>
        <v/>
      </c>
      <c r="Z393" s="58" t="str">
        <f aca="false">IF($B393="","",TEXT($B393,"yyyy-mm"))</f>
        <v/>
      </c>
    </row>
    <row r="394" customFormat="false" ht="15" hidden="false" customHeight="false" outlineLevel="0" collapsed="false">
      <c r="A394" s="53" t="str">
        <f aca="false">IF($B394="","",ROW()-5)</f>
        <v/>
      </c>
      <c r="B394" s="54"/>
      <c r="C394" s="33"/>
      <c r="D394" s="33"/>
      <c r="E394" s="32"/>
      <c r="F394" s="39"/>
      <c r="G394" s="48" t="str">
        <f aca="false">IF($F394="","",IFERROR(INDEX(商品档案!$B$6:$B$65,MATCH($F394,商品档案!$A$6:$A$65,0)),""))</f>
        <v/>
      </c>
      <c r="H394" s="48" t="str">
        <f aca="false">IF($F394="","",IFERROR(INDEX(商品档案!$C$6:$C$65,MATCH($F394,商品档案!$A$6:$A$65,0)),""))</f>
        <v/>
      </c>
      <c r="I394" s="55" t="str">
        <f aca="false">IF($F394="","",IFERROR(INDEX(商品档案!$D$6:$D$65,MATCH($F394,商品档案!$A$6:$A$65,0)),""))</f>
        <v/>
      </c>
      <c r="J394" s="49"/>
      <c r="K394" s="56"/>
      <c r="L394" s="33"/>
      <c r="M394" s="39"/>
      <c r="N394" s="41"/>
      <c r="O394" s="41"/>
      <c r="P394" s="25" t="str">
        <f aca="false">IF(AND($B394="",$D394="",$F394=""),"",IF(NOT(ISNUMBER($B394)),"日期无效",IF(ISNA(MATCH($C394,参数设置!$A$10:$A$12,0)),"公司无效",IF(ISNA(MATCH($D394,记账规则!$A$6:$A$9,0)),"业务类型无效",IF(ISNA(MATCH($F394,商品档案!$A$6:$A$65,0)),"商品编码无效",IF(IFERROR(INDEX(商品档案!$E$6:$E$65,MATCH($F394,商品档案!$A$6:$A$65,0)),"")&lt;&gt;$C394,"商品不属于该公司",IF(AND($E394&lt;&gt;"",ISNA(MATCH($E394,往来单位!$A$6:$A$85,0))),"往来单位未建档",IF(N($J394)=0,"数量为 0",IF(N($K394)=0,"单价为 0",IF(AND(LEFT($D394,2)="销售",$U394=""),"该商品没设成本科目",IF(YEAR($B394)&lt;&gt;参数设置!$B$5,"不在本会计年度","OK")))))))))))</f>
        <v/>
      </c>
      <c r="Q394" s="57" t="str">
        <f aca="false">IF($F394="","",ROUND(N($J394)*N($K394),2))</f>
        <v/>
      </c>
      <c r="R394" s="58" t="str">
        <f aca="false">IF($D394="","",IF(LEFT($D394,2)="销售","应收账款","应付账款"))</f>
        <v/>
      </c>
      <c r="S394" s="58" t="str">
        <f aca="false">IF($F394="","",IFERROR(INDEX(商品档案!$G$6:$G$65,MATCH($F394,商品档案!$A$6:$A$65,0)),""))</f>
        <v/>
      </c>
      <c r="T394" s="58" t="str">
        <f aca="false">IF($F394="","",IFERROR(INDEX(商品档案!$H$6:$H$65,MATCH($F394,商品档案!$A$6:$A$65,0)),""))</f>
        <v/>
      </c>
      <c r="U394" s="58" t="str">
        <f aca="false">IF($F394="","",IFERROR(INDEX(商品档案!$I$6:$I$65,MATCH($F394,商品档案!$A$6:$A$65,0)),""))</f>
        <v/>
      </c>
      <c r="V394" s="59" t="str">
        <f aca="false">IF($F394="","",SUMIFS(进销存台账!$N$6:$N$65,进销存台账!$A$6:$A$65,$C394,进销存台账!$B$6:$B$65,$F394))</f>
        <v/>
      </c>
      <c r="W394" s="60" t="n">
        <f aca="false">IF(OR($D394="销售出库",$D394="销售退回"),ROUND(N($J394)*N($V394),2),0)</f>
        <v>0</v>
      </c>
      <c r="X394" s="58" t="str">
        <f aca="false">IF($E394="","",IFERROR(INDEX(往来单位!$D$6:$D$85,MATCH($E394,往来单位!$A$6:$A$85,0)),"否"))</f>
        <v/>
      </c>
      <c r="Y394" s="61" t="str">
        <f aca="false">IF($B394="","",YEAR($B394))</f>
        <v/>
      </c>
      <c r="Z394" s="58" t="str">
        <f aca="false">IF($B394="","",TEXT($B394,"yyyy-mm"))</f>
        <v/>
      </c>
    </row>
    <row r="395" customFormat="false" ht="15" hidden="false" customHeight="false" outlineLevel="0" collapsed="false">
      <c r="A395" s="53" t="str">
        <f aca="false">IF($B395="","",ROW()-5)</f>
        <v/>
      </c>
      <c r="B395" s="54"/>
      <c r="C395" s="33"/>
      <c r="D395" s="33"/>
      <c r="E395" s="32"/>
      <c r="F395" s="39"/>
      <c r="G395" s="48" t="str">
        <f aca="false">IF($F395="","",IFERROR(INDEX(商品档案!$B$6:$B$65,MATCH($F395,商品档案!$A$6:$A$65,0)),""))</f>
        <v/>
      </c>
      <c r="H395" s="48" t="str">
        <f aca="false">IF($F395="","",IFERROR(INDEX(商品档案!$C$6:$C$65,MATCH($F395,商品档案!$A$6:$A$65,0)),""))</f>
        <v/>
      </c>
      <c r="I395" s="55" t="str">
        <f aca="false">IF($F395="","",IFERROR(INDEX(商品档案!$D$6:$D$65,MATCH($F395,商品档案!$A$6:$A$65,0)),""))</f>
        <v/>
      </c>
      <c r="J395" s="49"/>
      <c r="K395" s="56"/>
      <c r="L395" s="33"/>
      <c r="M395" s="39"/>
      <c r="N395" s="41"/>
      <c r="O395" s="41"/>
      <c r="P395" s="25" t="str">
        <f aca="false">IF(AND($B395="",$D395="",$F395=""),"",IF(NOT(ISNUMBER($B395)),"日期无效",IF(ISNA(MATCH($C395,参数设置!$A$10:$A$12,0)),"公司无效",IF(ISNA(MATCH($D395,记账规则!$A$6:$A$9,0)),"业务类型无效",IF(ISNA(MATCH($F395,商品档案!$A$6:$A$65,0)),"商品编码无效",IF(IFERROR(INDEX(商品档案!$E$6:$E$65,MATCH($F395,商品档案!$A$6:$A$65,0)),"")&lt;&gt;$C395,"商品不属于该公司",IF(AND($E395&lt;&gt;"",ISNA(MATCH($E395,往来单位!$A$6:$A$85,0))),"往来单位未建档",IF(N($J395)=0,"数量为 0",IF(N($K395)=0,"单价为 0",IF(AND(LEFT($D395,2)="销售",$U395=""),"该商品没设成本科目",IF(YEAR($B395)&lt;&gt;参数设置!$B$5,"不在本会计年度","OK")))))))))))</f>
        <v/>
      </c>
      <c r="Q395" s="57" t="str">
        <f aca="false">IF($F395="","",ROUND(N($J395)*N($K395),2))</f>
        <v/>
      </c>
      <c r="R395" s="58" t="str">
        <f aca="false">IF($D395="","",IF(LEFT($D395,2)="销售","应收账款","应付账款"))</f>
        <v/>
      </c>
      <c r="S395" s="58" t="str">
        <f aca="false">IF($F395="","",IFERROR(INDEX(商品档案!$G$6:$G$65,MATCH($F395,商品档案!$A$6:$A$65,0)),""))</f>
        <v/>
      </c>
      <c r="T395" s="58" t="str">
        <f aca="false">IF($F395="","",IFERROR(INDEX(商品档案!$H$6:$H$65,MATCH($F395,商品档案!$A$6:$A$65,0)),""))</f>
        <v/>
      </c>
      <c r="U395" s="58" t="str">
        <f aca="false">IF($F395="","",IFERROR(INDEX(商品档案!$I$6:$I$65,MATCH($F395,商品档案!$A$6:$A$65,0)),""))</f>
        <v/>
      </c>
      <c r="V395" s="59" t="str">
        <f aca="false">IF($F395="","",SUMIFS(进销存台账!$N$6:$N$65,进销存台账!$A$6:$A$65,$C395,进销存台账!$B$6:$B$65,$F395))</f>
        <v/>
      </c>
      <c r="W395" s="60" t="n">
        <f aca="false">IF(OR($D395="销售出库",$D395="销售退回"),ROUND(N($J395)*N($V395),2),0)</f>
        <v>0</v>
      </c>
      <c r="X395" s="58" t="str">
        <f aca="false">IF($E395="","",IFERROR(INDEX(往来单位!$D$6:$D$85,MATCH($E395,往来单位!$A$6:$A$85,0)),"否"))</f>
        <v/>
      </c>
      <c r="Y395" s="61" t="str">
        <f aca="false">IF($B395="","",YEAR($B395))</f>
        <v/>
      </c>
      <c r="Z395" s="58" t="str">
        <f aca="false">IF($B395="","",TEXT($B395,"yyyy-mm"))</f>
        <v/>
      </c>
    </row>
    <row r="396" customFormat="false" ht="15" hidden="false" customHeight="false" outlineLevel="0" collapsed="false">
      <c r="A396" s="53" t="str">
        <f aca="false">IF($B396="","",ROW()-5)</f>
        <v/>
      </c>
      <c r="B396" s="54"/>
      <c r="C396" s="33"/>
      <c r="D396" s="33"/>
      <c r="E396" s="32"/>
      <c r="F396" s="39"/>
      <c r="G396" s="48" t="str">
        <f aca="false">IF($F396="","",IFERROR(INDEX(商品档案!$B$6:$B$65,MATCH($F396,商品档案!$A$6:$A$65,0)),""))</f>
        <v/>
      </c>
      <c r="H396" s="48" t="str">
        <f aca="false">IF($F396="","",IFERROR(INDEX(商品档案!$C$6:$C$65,MATCH($F396,商品档案!$A$6:$A$65,0)),""))</f>
        <v/>
      </c>
      <c r="I396" s="55" t="str">
        <f aca="false">IF($F396="","",IFERROR(INDEX(商品档案!$D$6:$D$65,MATCH($F396,商品档案!$A$6:$A$65,0)),""))</f>
        <v/>
      </c>
      <c r="J396" s="49"/>
      <c r="K396" s="56"/>
      <c r="L396" s="33"/>
      <c r="M396" s="39"/>
      <c r="N396" s="41"/>
      <c r="O396" s="41"/>
      <c r="P396" s="25" t="str">
        <f aca="false">IF(AND($B396="",$D396="",$F396=""),"",IF(NOT(ISNUMBER($B396)),"日期无效",IF(ISNA(MATCH($C396,参数设置!$A$10:$A$12,0)),"公司无效",IF(ISNA(MATCH($D396,记账规则!$A$6:$A$9,0)),"业务类型无效",IF(ISNA(MATCH($F396,商品档案!$A$6:$A$65,0)),"商品编码无效",IF(IFERROR(INDEX(商品档案!$E$6:$E$65,MATCH($F396,商品档案!$A$6:$A$65,0)),"")&lt;&gt;$C396,"商品不属于该公司",IF(AND($E396&lt;&gt;"",ISNA(MATCH($E396,往来单位!$A$6:$A$85,0))),"往来单位未建档",IF(N($J396)=0,"数量为 0",IF(N($K396)=0,"单价为 0",IF(AND(LEFT($D396,2)="销售",$U396=""),"该商品没设成本科目",IF(YEAR($B396)&lt;&gt;参数设置!$B$5,"不在本会计年度","OK")))))))))))</f>
        <v/>
      </c>
      <c r="Q396" s="57" t="str">
        <f aca="false">IF($F396="","",ROUND(N($J396)*N($K396),2))</f>
        <v/>
      </c>
      <c r="R396" s="58" t="str">
        <f aca="false">IF($D396="","",IF(LEFT($D396,2)="销售","应收账款","应付账款"))</f>
        <v/>
      </c>
      <c r="S396" s="58" t="str">
        <f aca="false">IF($F396="","",IFERROR(INDEX(商品档案!$G$6:$G$65,MATCH($F396,商品档案!$A$6:$A$65,0)),""))</f>
        <v/>
      </c>
      <c r="T396" s="58" t="str">
        <f aca="false">IF($F396="","",IFERROR(INDEX(商品档案!$H$6:$H$65,MATCH($F396,商品档案!$A$6:$A$65,0)),""))</f>
        <v/>
      </c>
      <c r="U396" s="58" t="str">
        <f aca="false">IF($F396="","",IFERROR(INDEX(商品档案!$I$6:$I$65,MATCH($F396,商品档案!$A$6:$A$65,0)),""))</f>
        <v/>
      </c>
      <c r="V396" s="59" t="str">
        <f aca="false">IF($F396="","",SUMIFS(进销存台账!$N$6:$N$65,进销存台账!$A$6:$A$65,$C396,进销存台账!$B$6:$B$65,$F396))</f>
        <v/>
      </c>
      <c r="W396" s="60" t="n">
        <f aca="false">IF(OR($D396="销售出库",$D396="销售退回"),ROUND(N($J396)*N($V396),2),0)</f>
        <v>0</v>
      </c>
      <c r="X396" s="58" t="str">
        <f aca="false">IF($E396="","",IFERROR(INDEX(往来单位!$D$6:$D$85,MATCH($E396,往来单位!$A$6:$A$85,0)),"否"))</f>
        <v/>
      </c>
      <c r="Y396" s="61" t="str">
        <f aca="false">IF($B396="","",YEAR($B396))</f>
        <v/>
      </c>
      <c r="Z396" s="58" t="str">
        <f aca="false">IF($B396="","",TEXT($B396,"yyyy-mm"))</f>
        <v/>
      </c>
    </row>
    <row r="397" customFormat="false" ht="15" hidden="false" customHeight="false" outlineLevel="0" collapsed="false">
      <c r="A397" s="53" t="str">
        <f aca="false">IF($B397="","",ROW()-5)</f>
        <v/>
      </c>
      <c r="B397" s="54"/>
      <c r="C397" s="33"/>
      <c r="D397" s="33"/>
      <c r="E397" s="32"/>
      <c r="F397" s="39"/>
      <c r="G397" s="48" t="str">
        <f aca="false">IF($F397="","",IFERROR(INDEX(商品档案!$B$6:$B$65,MATCH($F397,商品档案!$A$6:$A$65,0)),""))</f>
        <v/>
      </c>
      <c r="H397" s="48" t="str">
        <f aca="false">IF($F397="","",IFERROR(INDEX(商品档案!$C$6:$C$65,MATCH($F397,商品档案!$A$6:$A$65,0)),""))</f>
        <v/>
      </c>
      <c r="I397" s="55" t="str">
        <f aca="false">IF($F397="","",IFERROR(INDEX(商品档案!$D$6:$D$65,MATCH($F397,商品档案!$A$6:$A$65,0)),""))</f>
        <v/>
      </c>
      <c r="J397" s="49"/>
      <c r="K397" s="56"/>
      <c r="L397" s="33"/>
      <c r="M397" s="39"/>
      <c r="N397" s="41"/>
      <c r="O397" s="41"/>
      <c r="P397" s="25" t="str">
        <f aca="false">IF(AND($B397="",$D397="",$F397=""),"",IF(NOT(ISNUMBER($B397)),"日期无效",IF(ISNA(MATCH($C397,参数设置!$A$10:$A$12,0)),"公司无效",IF(ISNA(MATCH($D397,记账规则!$A$6:$A$9,0)),"业务类型无效",IF(ISNA(MATCH($F397,商品档案!$A$6:$A$65,0)),"商品编码无效",IF(IFERROR(INDEX(商品档案!$E$6:$E$65,MATCH($F397,商品档案!$A$6:$A$65,0)),"")&lt;&gt;$C397,"商品不属于该公司",IF(AND($E397&lt;&gt;"",ISNA(MATCH($E397,往来单位!$A$6:$A$85,0))),"往来单位未建档",IF(N($J397)=0,"数量为 0",IF(N($K397)=0,"单价为 0",IF(AND(LEFT($D397,2)="销售",$U397=""),"该商品没设成本科目",IF(YEAR($B397)&lt;&gt;参数设置!$B$5,"不在本会计年度","OK")))))))))))</f>
        <v/>
      </c>
      <c r="Q397" s="57" t="str">
        <f aca="false">IF($F397="","",ROUND(N($J397)*N($K397),2))</f>
        <v/>
      </c>
      <c r="R397" s="58" t="str">
        <f aca="false">IF($D397="","",IF(LEFT($D397,2)="销售","应收账款","应付账款"))</f>
        <v/>
      </c>
      <c r="S397" s="58" t="str">
        <f aca="false">IF($F397="","",IFERROR(INDEX(商品档案!$G$6:$G$65,MATCH($F397,商品档案!$A$6:$A$65,0)),""))</f>
        <v/>
      </c>
      <c r="T397" s="58" t="str">
        <f aca="false">IF($F397="","",IFERROR(INDEX(商品档案!$H$6:$H$65,MATCH($F397,商品档案!$A$6:$A$65,0)),""))</f>
        <v/>
      </c>
      <c r="U397" s="58" t="str">
        <f aca="false">IF($F397="","",IFERROR(INDEX(商品档案!$I$6:$I$65,MATCH($F397,商品档案!$A$6:$A$65,0)),""))</f>
        <v/>
      </c>
      <c r="V397" s="59" t="str">
        <f aca="false">IF($F397="","",SUMIFS(进销存台账!$N$6:$N$65,进销存台账!$A$6:$A$65,$C397,进销存台账!$B$6:$B$65,$F397))</f>
        <v/>
      </c>
      <c r="W397" s="60" t="n">
        <f aca="false">IF(OR($D397="销售出库",$D397="销售退回"),ROUND(N($J397)*N($V397),2),0)</f>
        <v>0</v>
      </c>
      <c r="X397" s="58" t="str">
        <f aca="false">IF($E397="","",IFERROR(INDEX(往来单位!$D$6:$D$85,MATCH($E397,往来单位!$A$6:$A$85,0)),"否"))</f>
        <v/>
      </c>
      <c r="Y397" s="61" t="str">
        <f aca="false">IF($B397="","",YEAR($B397))</f>
        <v/>
      </c>
      <c r="Z397" s="58" t="str">
        <f aca="false">IF($B397="","",TEXT($B397,"yyyy-mm"))</f>
        <v/>
      </c>
    </row>
    <row r="398" customFormat="false" ht="15" hidden="false" customHeight="false" outlineLevel="0" collapsed="false">
      <c r="A398" s="53" t="str">
        <f aca="false">IF($B398="","",ROW()-5)</f>
        <v/>
      </c>
      <c r="B398" s="54"/>
      <c r="C398" s="33"/>
      <c r="D398" s="33"/>
      <c r="E398" s="32"/>
      <c r="F398" s="39"/>
      <c r="G398" s="48" t="str">
        <f aca="false">IF($F398="","",IFERROR(INDEX(商品档案!$B$6:$B$65,MATCH($F398,商品档案!$A$6:$A$65,0)),""))</f>
        <v/>
      </c>
      <c r="H398" s="48" t="str">
        <f aca="false">IF($F398="","",IFERROR(INDEX(商品档案!$C$6:$C$65,MATCH($F398,商品档案!$A$6:$A$65,0)),""))</f>
        <v/>
      </c>
      <c r="I398" s="55" t="str">
        <f aca="false">IF($F398="","",IFERROR(INDEX(商品档案!$D$6:$D$65,MATCH($F398,商品档案!$A$6:$A$65,0)),""))</f>
        <v/>
      </c>
      <c r="J398" s="49"/>
      <c r="K398" s="56"/>
      <c r="L398" s="33"/>
      <c r="M398" s="39"/>
      <c r="N398" s="41"/>
      <c r="O398" s="41"/>
      <c r="P398" s="25" t="str">
        <f aca="false">IF(AND($B398="",$D398="",$F398=""),"",IF(NOT(ISNUMBER($B398)),"日期无效",IF(ISNA(MATCH($C398,参数设置!$A$10:$A$12,0)),"公司无效",IF(ISNA(MATCH($D398,记账规则!$A$6:$A$9,0)),"业务类型无效",IF(ISNA(MATCH($F398,商品档案!$A$6:$A$65,0)),"商品编码无效",IF(IFERROR(INDEX(商品档案!$E$6:$E$65,MATCH($F398,商品档案!$A$6:$A$65,0)),"")&lt;&gt;$C398,"商品不属于该公司",IF(AND($E398&lt;&gt;"",ISNA(MATCH($E398,往来单位!$A$6:$A$85,0))),"往来单位未建档",IF(N($J398)=0,"数量为 0",IF(N($K398)=0,"单价为 0",IF(AND(LEFT($D398,2)="销售",$U398=""),"该商品没设成本科目",IF(YEAR($B398)&lt;&gt;参数设置!$B$5,"不在本会计年度","OK")))))))))))</f>
        <v/>
      </c>
      <c r="Q398" s="57" t="str">
        <f aca="false">IF($F398="","",ROUND(N($J398)*N($K398),2))</f>
        <v/>
      </c>
      <c r="R398" s="58" t="str">
        <f aca="false">IF($D398="","",IF(LEFT($D398,2)="销售","应收账款","应付账款"))</f>
        <v/>
      </c>
      <c r="S398" s="58" t="str">
        <f aca="false">IF($F398="","",IFERROR(INDEX(商品档案!$G$6:$G$65,MATCH($F398,商品档案!$A$6:$A$65,0)),""))</f>
        <v/>
      </c>
      <c r="T398" s="58" t="str">
        <f aca="false">IF($F398="","",IFERROR(INDEX(商品档案!$H$6:$H$65,MATCH($F398,商品档案!$A$6:$A$65,0)),""))</f>
        <v/>
      </c>
      <c r="U398" s="58" t="str">
        <f aca="false">IF($F398="","",IFERROR(INDEX(商品档案!$I$6:$I$65,MATCH($F398,商品档案!$A$6:$A$65,0)),""))</f>
        <v/>
      </c>
      <c r="V398" s="59" t="str">
        <f aca="false">IF($F398="","",SUMIFS(进销存台账!$N$6:$N$65,进销存台账!$A$6:$A$65,$C398,进销存台账!$B$6:$B$65,$F398))</f>
        <v/>
      </c>
      <c r="W398" s="60" t="n">
        <f aca="false">IF(OR($D398="销售出库",$D398="销售退回"),ROUND(N($J398)*N($V398),2),0)</f>
        <v>0</v>
      </c>
      <c r="X398" s="58" t="str">
        <f aca="false">IF($E398="","",IFERROR(INDEX(往来单位!$D$6:$D$85,MATCH($E398,往来单位!$A$6:$A$85,0)),"否"))</f>
        <v/>
      </c>
      <c r="Y398" s="61" t="str">
        <f aca="false">IF($B398="","",YEAR($B398))</f>
        <v/>
      </c>
      <c r="Z398" s="58" t="str">
        <f aca="false">IF($B398="","",TEXT($B398,"yyyy-mm"))</f>
        <v/>
      </c>
    </row>
    <row r="399" customFormat="false" ht="15" hidden="false" customHeight="false" outlineLevel="0" collapsed="false">
      <c r="A399" s="53" t="str">
        <f aca="false">IF($B399="","",ROW()-5)</f>
        <v/>
      </c>
      <c r="B399" s="54"/>
      <c r="C399" s="33"/>
      <c r="D399" s="33"/>
      <c r="E399" s="32"/>
      <c r="F399" s="39"/>
      <c r="G399" s="48" t="str">
        <f aca="false">IF($F399="","",IFERROR(INDEX(商品档案!$B$6:$B$65,MATCH($F399,商品档案!$A$6:$A$65,0)),""))</f>
        <v/>
      </c>
      <c r="H399" s="48" t="str">
        <f aca="false">IF($F399="","",IFERROR(INDEX(商品档案!$C$6:$C$65,MATCH($F399,商品档案!$A$6:$A$65,0)),""))</f>
        <v/>
      </c>
      <c r="I399" s="55" t="str">
        <f aca="false">IF($F399="","",IFERROR(INDEX(商品档案!$D$6:$D$65,MATCH($F399,商品档案!$A$6:$A$65,0)),""))</f>
        <v/>
      </c>
      <c r="J399" s="49"/>
      <c r="K399" s="56"/>
      <c r="L399" s="33"/>
      <c r="M399" s="39"/>
      <c r="N399" s="41"/>
      <c r="O399" s="41"/>
      <c r="P399" s="25" t="str">
        <f aca="false">IF(AND($B399="",$D399="",$F399=""),"",IF(NOT(ISNUMBER($B399)),"日期无效",IF(ISNA(MATCH($C399,参数设置!$A$10:$A$12,0)),"公司无效",IF(ISNA(MATCH($D399,记账规则!$A$6:$A$9,0)),"业务类型无效",IF(ISNA(MATCH($F399,商品档案!$A$6:$A$65,0)),"商品编码无效",IF(IFERROR(INDEX(商品档案!$E$6:$E$65,MATCH($F399,商品档案!$A$6:$A$65,0)),"")&lt;&gt;$C399,"商品不属于该公司",IF(AND($E399&lt;&gt;"",ISNA(MATCH($E399,往来单位!$A$6:$A$85,0))),"往来单位未建档",IF(N($J399)=0,"数量为 0",IF(N($K399)=0,"单价为 0",IF(AND(LEFT($D399,2)="销售",$U399=""),"该商品没设成本科目",IF(YEAR($B399)&lt;&gt;参数设置!$B$5,"不在本会计年度","OK")))))))))))</f>
        <v/>
      </c>
      <c r="Q399" s="57" t="str">
        <f aca="false">IF($F399="","",ROUND(N($J399)*N($K399),2))</f>
        <v/>
      </c>
      <c r="R399" s="58" t="str">
        <f aca="false">IF($D399="","",IF(LEFT($D399,2)="销售","应收账款","应付账款"))</f>
        <v/>
      </c>
      <c r="S399" s="58" t="str">
        <f aca="false">IF($F399="","",IFERROR(INDEX(商品档案!$G$6:$G$65,MATCH($F399,商品档案!$A$6:$A$65,0)),""))</f>
        <v/>
      </c>
      <c r="T399" s="58" t="str">
        <f aca="false">IF($F399="","",IFERROR(INDEX(商品档案!$H$6:$H$65,MATCH($F399,商品档案!$A$6:$A$65,0)),""))</f>
        <v/>
      </c>
      <c r="U399" s="58" t="str">
        <f aca="false">IF($F399="","",IFERROR(INDEX(商品档案!$I$6:$I$65,MATCH($F399,商品档案!$A$6:$A$65,0)),""))</f>
        <v/>
      </c>
      <c r="V399" s="59" t="str">
        <f aca="false">IF($F399="","",SUMIFS(进销存台账!$N$6:$N$65,进销存台账!$A$6:$A$65,$C399,进销存台账!$B$6:$B$65,$F399))</f>
        <v/>
      </c>
      <c r="W399" s="60" t="n">
        <f aca="false">IF(OR($D399="销售出库",$D399="销售退回"),ROUND(N($J399)*N($V399),2),0)</f>
        <v>0</v>
      </c>
      <c r="X399" s="58" t="str">
        <f aca="false">IF($E399="","",IFERROR(INDEX(往来单位!$D$6:$D$85,MATCH($E399,往来单位!$A$6:$A$85,0)),"否"))</f>
        <v/>
      </c>
      <c r="Y399" s="61" t="str">
        <f aca="false">IF($B399="","",YEAR($B399))</f>
        <v/>
      </c>
      <c r="Z399" s="58" t="str">
        <f aca="false">IF($B399="","",TEXT($B399,"yyyy-mm"))</f>
        <v/>
      </c>
    </row>
    <row r="400" customFormat="false" ht="15" hidden="false" customHeight="false" outlineLevel="0" collapsed="false">
      <c r="A400" s="53" t="str">
        <f aca="false">IF($B400="","",ROW()-5)</f>
        <v/>
      </c>
      <c r="B400" s="54"/>
      <c r="C400" s="33"/>
      <c r="D400" s="33"/>
      <c r="E400" s="32"/>
      <c r="F400" s="39"/>
      <c r="G400" s="48" t="str">
        <f aca="false">IF($F400="","",IFERROR(INDEX(商品档案!$B$6:$B$65,MATCH($F400,商品档案!$A$6:$A$65,0)),""))</f>
        <v/>
      </c>
      <c r="H400" s="48" t="str">
        <f aca="false">IF($F400="","",IFERROR(INDEX(商品档案!$C$6:$C$65,MATCH($F400,商品档案!$A$6:$A$65,0)),""))</f>
        <v/>
      </c>
      <c r="I400" s="55" t="str">
        <f aca="false">IF($F400="","",IFERROR(INDEX(商品档案!$D$6:$D$65,MATCH($F400,商品档案!$A$6:$A$65,0)),""))</f>
        <v/>
      </c>
      <c r="J400" s="49"/>
      <c r="K400" s="56"/>
      <c r="L400" s="33"/>
      <c r="M400" s="39"/>
      <c r="N400" s="41"/>
      <c r="O400" s="41"/>
      <c r="P400" s="25" t="str">
        <f aca="false">IF(AND($B400="",$D400="",$F400=""),"",IF(NOT(ISNUMBER($B400)),"日期无效",IF(ISNA(MATCH($C400,参数设置!$A$10:$A$12,0)),"公司无效",IF(ISNA(MATCH($D400,记账规则!$A$6:$A$9,0)),"业务类型无效",IF(ISNA(MATCH($F400,商品档案!$A$6:$A$65,0)),"商品编码无效",IF(IFERROR(INDEX(商品档案!$E$6:$E$65,MATCH($F400,商品档案!$A$6:$A$65,0)),"")&lt;&gt;$C400,"商品不属于该公司",IF(AND($E400&lt;&gt;"",ISNA(MATCH($E400,往来单位!$A$6:$A$85,0))),"往来单位未建档",IF(N($J400)=0,"数量为 0",IF(N($K400)=0,"单价为 0",IF(AND(LEFT($D400,2)="销售",$U400=""),"该商品没设成本科目",IF(YEAR($B400)&lt;&gt;参数设置!$B$5,"不在本会计年度","OK")))))))))))</f>
        <v/>
      </c>
      <c r="Q400" s="57" t="str">
        <f aca="false">IF($F400="","",ROUND(N($J400)*N($K400),2))</f>
        <v/>
      </c>
      <c r="R400" s="58" t="str">
        <f aca="false">IF($D400="","",IF(LEFT($D400,2)="销售","应收账款","应付账款"))</f>
        <v/>
      </c>
      <c r="S400" s="58" t="str">
        <f aca="false">IF($F400="","",IFERROR(INDEX(商品档案!$G$6:$G$65,MATCH($F400,商品档案!$A$6:$A$65,0)),""))</f>
        <v/>
      </c>
      <c r="T400" s="58" t="str">
        <f aca="false">IF($F400="","",IFERROR(INDEX(商品档案!$H$6:$H$65,MATCH($F400,商品档案!$A$6:$A$65,0)),""))</f>
        <v/>
      </c>
      <c r="U400" s="58" t="str">
        <f aca="false">IF($F400="","",IFERROR(INDEX(商品档案!$I$6:$I$65,MATCH($F400,商品档案!$A$6:$A$65,0)),""))</f>
        <v/>
      </c>
      <c r="V400" s="59" t="str">
        <f aca="false">IF($F400="","",SUMIFS(进销存台账!$N$6:$N$65,进销存台账!$A$6:$A$65,$C400,进销存台账!$B$6:$B$65,$F400))</f>
        <v/>
      </c>
      <c r="W400" s="60" t="n">
        <f aca="false">IF(OR($D400="销售出库",$D400="销售退回"),ROUND(N($J400)*N($V400),2),0)</f>
        <v>0</v>
      </c>
      <c r="X400" s="58" t="str">
        <f aca="false">IF($E400="","",IFERROR(INDEX(往来单位!$D$6:$D$85,MATCH($E400,往来单位!$A$6:$A$85,0)),"否"))</f>
        <v/>
      </c>
      <c r="Y400" s="61" t="str">
        <f aca="false">IF($B400="","",YEAR($B400))</f>
        <v/>
      </c>
      <c r="Z400" s="58" t="str">
        <f aca="false">IF($B400="","",TEXT($B400,"yyyy-mm"))</f>
        <v/>
      </c>
    </row>
    <row r="401" customFormat="false" ht="15" hidden="false" customHeight="false" outlineLevel="0" collapsed="false">
      <c r="A401" s="53" t="str">
        <f aca="false">IF($B401="","",ROW()-5)</f>
        <v/>
      </c>
      <c r="B401" s="54"/>
      <c r="C401" s="33"/>
      <c r="D401" s="33"/>
      <c r="E401" s="32"/>
      <c r="F401" s="39"/>
      <c r="G401" s="48" t="str">
        <f aca="false">IF($F401="","",IFERROR(INDEX(商品档案!$B$6:$B$65,MATCH($F401,商品档案!$A$6:$A$65,0)),""))</f>
        <v/>
      </c>
      <c r="H401" s="48" t="str">
        <f aca="false">IF($F401="","",IFERROR(INDEX(商品档案!$C$6:$C$65,MATCH($F401,商品档案!$A$6:$A$65,0)),""))</f>
        <v/>
      </c>
      <c r="I401" s="55" t="str">
        <f aca="false">IF($F401="","",IFERROR(INDEX(商品档案!$D$6:$D$65,MATCH($F401,商品档案!$A$6:$A$65,0)),""))</f>
        <v/>
      </c>
      <c r="J401" s="49"/>
      <c r="K401" s="56"/>
      <c r="L401" s="33"/>
      <c r="M401" s="39"/>
      <c r="N401" s="41"/>
      <c r="O401" s="41"/>
      <c r="P401" s="25" t="str">
        <f aca="false">IF(AND($B401="",$D401="",$F401=""),"",IF(NOT(ISNUMBER($B401)),"日期无效",IF(ISNA(MATCH($C401,参数设置!$A$10:$A$12,0)),"公司无效",IF(ISNA(MATCH($D401,记账规则!$A$6:$A$9,0)),"业务类型无效",IF(ISNA(MATCH($F401,商品档案!$A$6:$A$65,0)),"商品编码无效",IF(IFERROR(INDEX(商品档案!$E$6:$E$65,MATCH($F401,商品档案!$A$6:$A$65,0)),"")&lt;&gt;$C401,"商品不属于该公司",IF(AND($E401&lt;&gt;"",ISNA(MATCH($E401,往来单位!$A$6:$A$85,0))),"往来单位未建档",IF(N($J401)=0,"数量为 0",IF(N($K401)=0,"单价为 0",IF(AND(LEFT($D401,2)="销售",$U401=""),"该商品没设成本科目",IF(YEAR($B401)&lt;&gt;参数设置!$B$5,"不在本会计年度","OK")))))))))))</f>
        <v/>
      </c>
      <c r="Q401" s="57" t="str">
        <f aca="false">IF($F401="","",ROUND(N($J401)*N($K401),2))</f>
        <v/>
      </c>
      <c r="R401" s="58" t="str">
        <f aca="false">IF($D401="","",IF(LEFT($D401,2)="销售","应收账款","应付账款"))</f>
        <v/>
      </c>
      <c r="S401" s="58" t="str">
        <f aca="false">IF($F401="","",IFERROR(INDEX(商品档案!$G$6:$G$65,MATCH($F401,商品档案!$A$6:$A$65,0)),""))</f>
        <v/>
      </c>
      <c r="T401" s="58" t="str">
        <f aca="false">IF($F401="","",IFERROR(INDEX(商品档案!$H$6:$H$65,MATCH($F401,商品档案!$A$6:$A$65,0)),""))</f>
        <v/>
      </c>
      <c r="U401" s="58" t="str">
        <f aca="false">IF($F401="","",IFERROR(INDEX(商品档案!$I$6:$I$65,MATCH($F401,商品档案!$A$6:$A$65,0)),""))</f>
        <v/>
      </c>
      <c r="V401" s="59" t="str">
        <f aca="false">IF($F401="","",SUMIFS(进销存台账!$N$6:$N$65,进销存台账!$A$6:$A$65,$C401,进销存台账!$B$6:$B$65,$F401))</f>
        <v/>
      </c>
      <c r="W401" s="60" t="n">
        <f aca="false">IF(OR($D401="销售出库",$D401="销售退回"),ROUND(N($J401)*N($V401),2),0)</f>
        <v>0</v>
      </c>
      <c r="X401" s="58" t="str">
        <f aca="false">IF($E401="","",IFERROR(INDEX(往来单位!$D$6:$D$85,MATCH($E401,往来单位!$A$6:$A$85,0)),"否"))</f>
        <v/>
      </c>
      <c r="Y401" s="61" t="str">
        <f aca="false">IF($B401="","",YEAR($B401))</f>
        <v/>
      </c>
      <c r="Z401" s="58" t="str">
        <f aca="false">IF($B401="","",TEXT($B401,"yyyy-mm"))</f>
        <v/>
      </c>
    </row>
    <row r="402" customFormat="false" ht="15" hidden="false" customHeight="false" outlineLevel="0" collapsed="false">
      <c r="A402" s="53" t="str">
        <f aca="false">IF($B402="","",ROW()-5)</f>
        <v/>
      </c>
      <c r="B402" s="54"/>
      <c r="C402" s="33"/>
      <c r="D402" s="33"/>
      <c r="E402" s="32"/>
      <c r="F402" s="39"/>
      <c r="G402" s="48" t="str">
        <f aca="false">IF($F402="","",IFERROR(INDEX(商品档案!$B$6:$B$65,MATCH($F402,商品档案!$A$6:$A$65,0)),""))</f>
        <v/>
      </c>
      <c r="H402" s="48" t="str">
        <f aca="false">IF($F402="","",IFERROR(INDEX(商品档案!$C$6:$C$65,MATCH($F402,商品档案!$A$6:$A$65,0)),""))</f>
        <v/>
      </c>
      <c r="I402" s="55" t="str">
        <f aca="false">IF($F402="","",IFERROR(INDEX(商品档案!$D$6:$D$65,MATCH($F402,商品档案!$A$6:$A$65,0)),""))</f>
        <v/>
      </c>
      <c r="J402" s="49"/>
      <c r="K402" s="56"/>
      <c r="L402" s="33"/>
      <c r="M402" s="39"/>
      <c r="N402" s="41"/>
      <c r="O402" s="41"/>
      <c r="P402" s="25" t="str">
        <f aca="false">IF(AND($B402="",$D402="",$F402=""),"",IF(NOT(ISNUMBER($B402)),"日期无效",IF(ISNA(MATCH($C402,参数设置!$A$10:$A$12,0)),"公司无效",IF(ISNA(MATCH($D402,记账规则!$A$6:$A$9,0)),"业务类型无效",IF(ISNA(MATCH($F402,商品档案!$A$6:$A$65,0)),"商品编码无效",IF(IFERROR(INDEX(商品档案!$E$6:$E$65,MATCH($F402,商品档案!$A$6:$A$65,0)),"")&lt;&gt;$C402,"商品不属于该公司",IF(AND($E402&lt;&gt;"",ISNA(MATCH($E402,往来单位!$A$6:$A$85,0))),"往来单位未建档",IF(N($J402)=0,"数量为 0",IF(N($K402)=0,"单价为 0",IF(AND(LEFT($D402,2)="销售",$U402=""),"该商品没设成本科目",IF(YEAR($B402)&lt;&gt;参数设置!$B$5,"不在本会计年度","OK")))))))))))</f>
        <v/>
      </c>
      <c r="Q402" s="57" t="str">
        <f aca="false">IF($F402="","",ROUND(N($J402)*N($K402),2))</f>
        <v/>
      </c>
      <c r="R402" s="58" t="str">
        <f aca="false">IF($D402="","",IF(LEFT($D402,2)="销售","应收账款","应付账款"))</f>
        <v/>
      </c>
      <c r="S402" s="58" t="str">
        <f aca="false">IF($F402="","",IFERROR(INDEX(商品档案!$G$6:$G$65,MATCH($F402,商品档案!$A$6:$A$65,0)),""))</f>
        <v/>
      </c>
      <c r="T402" s="58" t="str">
        <f aca="false">IF($F402="","",IFERROR(INDEX(商品档案!$H$6:$H$65,MATCH($F402,商品档案!$A$6:$A$65,0)),""))</f>
        <v/>
      </c>
      <c r="U402" s="58" t="str">
        <f aca="false">IF($F402="","",IFERROR(INDEX(商品档案!$I$6:$I$65,MATCH($F402,商品档案!$A$6:$A$65,0)),""))</f>
        <v/>
      </c>
      <c r="V402" s="59" t="str">
        <f aca="false">IF($F402="","",SUMIFS(进销存台账!$N$6:$N$65,进销存台账!$A$6:$A$65,$C402,进销存台账!$B$6:$B$65,$F402))</f>
        <v/>
      </c>
      <c r="W402" s="60" t="n">
        <f aca="false">IF(OR($D402="销售出库",$D402="销售退回"),ROUND(N($J402)*N($V402),2),0)</f>
        <v>0</v>
      </c>
      <c r="X402" s="58" t="str">
        <f aca="false">IF($E402="","",IFERROR(INDEX(往来单位!$D$6:$D$85,MATCH($E402,往来单位!$A$6:$A$85,0)),"否"))</f>
        <v/>
      </c>
      <c r="Y402" s="61" t="str">
        <f aca="false">IF($B402="","",YEAR($B402))</f>
        <v/>
      </c>
      <c r="Z402" s="58" t="str">
        <f aca="false">IF($B402="","",TEXT($B402,"yyyy-mm"))</f>
        <v/>
      </c>
    </row>
    <row r="403" customFormat="false" ht="15" hidden="false" customHeight="false" outlineLevel="0" collapsed="false">
      <c r="A403" s="53" t="str">
        <f aca="false">IF($B403="","",ROW()-5)</f>
        <v/>
      </c>
      <c r="B403" s="54"/>
      <c r="C403" s="33"/>
      <c r="D403" s="33"/>
      <c r="E403" s="32"/>
      <c r="F403" s="39"/>
      <c r="G403" s="48" t="str">
        <f aca="false">IF($F403="","",IFERROR(INDEX(商品档案!$B$6:$B$65,MATCH($F403,商品档案!$A$6:$A$65,0)),""))</f>
        <v/>
      </c>
      <c r="H403" s="48" t="str">
        <f aca="false">IF($F403="","",IFERROR(INDEX(商品档案!$C$6:$C$65,MATCH($F403,商品档案!$A$6:$A$65,0)),""))</f>
        <v/>
      </c>
      <c r="I403" s="55" t="str">
        <f aca="false">IF($F403="","",IFERROR(INDEX(商品档案!$D$6:$D$65,MATCH($F403,商品档案!$A$6:$A$65,0)),""))</f>
        <v/>
      </c>
      <c r="J403" s="49"/>
      <c r="K403" s="56"/>
      <c r="L403" s="33"/>
      <c r="M403" s="39"/>
      <c r="N403" s="41"/>
      <c r="O403" s="41"/>
      <c r="P403" s="25" t="str">
        <f aca="false">IF(AND($B403="",$D403="",$F403=""),"",IF(NOT(ISNUMBER($B403)),"日期无效",IF(ISNA(MATCH($C403,参数设置!$A$10:$A$12,0)),"公司无效",IF(ISNA(MATCH($D403,记账规则!$A$6:$A$9,0)),"业务类型无效",IF(ISNA(MATCH($F403,商品档案!$A$6:$A$65,0)),"商品编码无效",IF(IFERROR(INDEX(商品档案!$E$6:$E$65,MATCH($F403,商品档案!$A$6:$A$65,0)),"")&lt;&gt;$C403,"商品不属于该公司",IF(AND($E403&lt;&gt;"",ISNA(MATCH($E403,往来单位!$A$6:$A$85,0))),"往来单位未建档",IF(N($J403)=0,"数量为 0",IF(N($K403)=0,"单价为 0",IF(AND(LEFT($D403,2)="销售",$U403=""),"该商品没设成本科目",IF(YEAR($B403)&lt;&gt;参数设置!$B$5,"不在本会计年度","OK")))))))))))</f>
        <v/>
      </c>
      <c r="Q403" s="57" t="str">
        <f aca="false">IF($F403="","",ROUND(N($J403)*N($K403),2))</f>
        <v/>
      </c>
      <c r="R403" s="58" t="str">
        <f aca="false">IF($D403="","",IF(LEFT($D403,2)="销售","应收账款","应付账款"))</f>
        <v/>
      </c>
      <c r="S403" s="58" t="str">
        <f aca="false">IF($F403="","",IFERROR(INDEX(商品档案!$G$6:$G$65,MATCH($F403,商品档案!$A$6:$A$65,0)),""))</f>
        <v/>
      </c>
      <c r="T403" s="58" t="str">
        <f aca="false">IF($F403="","",IFERROR(INDEX(商品档案!$H$6:$H$65,MATCH($F403,商品档案!$A$6:$A$65,0)),""))</f>
        <v/>
      </c>
      <c r="U403" s="58" t="str">
        <f aca="false">IF($F403="","",IFERROR(INDEX(商品档案!$I$6:$I$65,MATCH($F403,商品档案!$A$6:$A$65,0)),""))</f>
        <v/>
      </c>
      <c r="V403" s="59" t="str">
        <f aca="false">IF($F403="","",SUMIFS(进销存台账!$N$6:$N$65,进销存台账!$A$6:$A$65,$C403,进销存台账!$B$6:$B$65,$F403))</f>
        <v/>
      </c>
      <c r="W403" s="60" t="n">
        <f aca="false">IF(OR($D403="销售出库",$D403="销售退回"),ROUND(N($J403)*N($V403),2),0)</f>
        <v>0</v>
      </c>
      <c r="X403" s="58" t="str">
        <f aca="false">IF($E403="","",IFERROR(INDEX(往来单位!$D$6:$D$85,MATCH($E403,往来单位!$A$6:$A$85,0)),"否"))</f>
        <v/>
      </c>
      <c r="Y403" s="61" t="str">
        <f aca="false">IF($B403="","",YEAR($B403))</f>
        <v/>
      </c>
      <c r="Z403" s="58" t="str">
        <f aca="false">IF($B403="","",TEXT($B403,"yyyy-mm"))</f>
        <v/>
      </c>
    </row>
    <row r="404" customFormat="false" ht="15" hidden="false" customHeight="false" outlineLevel="0" collapsed="false">
      <c r="A404" s="53" t="str">
        <f aca="false">IF($B404="","",ROW()-5)</f>
        <v/>
      </c>
      <c r="B404" s="54"/>
      <c r="C404" s="33"/>
      <c r="D404" s="33"/>
      <c r="E404" s="32"/>
      <c r="F404" s="39"/>
      <c r="G404" s="48" t="str">
        <f aca="false">IF($F404="","",IFERROR(INDEX(商品档案!$B$6:$B$65,MATCH($F404,商品档案!$A$6:$A$65,0)),""))</f>
        <v/>
      </c>
      <c r="H404" s="48" t="str">
        <f aca="false">IF($F404="","",IFERROR(INDEX(商品档案!$C$6:$C$65,MATCH($F404,商品档案!$A$6:$A$65,0)),""))</f>
        <v/>
      </c>
      <c r="I404" s="55" t="str">
        <f aca="false">IF($F404="","",IFERROR(INDEX(商品档案!$D$6:$D$65,MATCH($F404,商品档案!$A$6:$A$65,0)),""))</f>
        <v/>
      </c>
      <c r="J404" s="49"/>
      <c r="K404" s="56"/>
      <c r="L404" s="33"/>
      <c r="M404" s="39"/>
      <c r="N404" s="41"/>
      <c r="O404" s="41"/>
      <c r="P404" s="25" t="str">
        <f aca="false">IF(AND($B404="",$D404="",$F404=""),"",IF(NOT(ISNUMBER($B404)),"日期无效",IF(ISNA(MATCH($C404,参数设置!$A$10:$A$12,0)),"公司无效",IF(ISNA(MATCH($D404,记账规则!$A$6:$A$9,0)),"业务类型无效",IF(ISNA(MATCH($F404,商品档案!$A$6:$A$65,0)),"商品编码无效",IF(IFERROR(INDEX(商品档案!$E$6:$E$65,MATCH($F404,商品档案!$A$6:$A$65,0)),"")&lt;&gt;$C404,"商品不属于该公司",IF(AND($E404&lt;&gt;"",ISNA(MATCH($E404,往来单位!$A$6:$A$85,0))),"往来单位未建档",IF(N($J404)=0,"数量为 0",IF(N($K404)=0,"单价为 0",IF(AND(LEFT($D404,2)="销售",$U404=""),"该商品没设成本科目",IF(YEAR($B404)&lt;&gt;参数设置!$B$5,"不在本会计年度","OK")))))))))))</f>
        <v/>
      </c>
      <c r="Q404" s="57" t="str">
        <f aca="false">IF($F404="","",ROUND(N($J404)*N($K404),2))</f>
        <v/>
      </c>
      <c r="R404" s="58" t="str">
        <f aca="false">IF($D404="","",IF(LEFT($D404,2)="销售","应收账款","应付账款"))</f>
        <v/>
      </c>
      <c r="S404" s="58" t="str">
        <f aca="false">IF($F404="","",IFERROR(INDEX(商品档案!$G$6:$G$65,MATCH($F404,商品档案!$A$6:$A$65,0)),""))</f>
        <v/>
      </c>
      <c r="T404" s="58" t="str">
        <f aca="false">IF($F404="","",IFERROR(INDEX(商品档案!$H$6:$H$65,MATCH($F404,商品档案!$A$6:$A$65,0)),""))</f>
        <v/>
      </c>
      <c r="U404" s="58" t="str">
        <f aca="false">IF($F404="","",IFERROR(INDEX(商品档案!$I$6:$I$65,MATCH($F404,商品档案!$A$6:$A$65,0)),""))</f>
        <v/>
      </c>
      <c r="V404" s="59" t="str">
        <f aca="false">IF($F404="","",SUMIFS(进销存台账!$N$6:$N$65,进销存台账!$A$6:$A$65,$C404,进销存台账!$B$6:$B$65,$F404))</f>
        <v/>
      </c>
      <c r="W404" s="60" t="n">
        <f aca="false">IF(OR($D404="销售出库",$D404="销售退回"),ROUND(N($J404)*N($V404),2),0)</f>
        <v>0</v>
      </c>
      <c r="X404" s="58" t="str">
        <f aca="false">IF($E404="","",IFERROR(INDEX(往来单位!$D$6:$D$85,MATCH($E404,往来单位!$A$6:$A$85,0)),"否"))</f>
        <v/>
      </c>
      <c r="Y404" s="61" t="str">
        <f aca="false">IF($B404="","",YEAR($B404))</f>
        <v/>
      </c>
      <c r="Z404" s="58" t="str">
        <f aca="false">IF($B404="","",TEXT($B404,"yyyy-mm"))</f>
        <v/>
      </c>
    </row>
    <row r="405" customFormat="false" ht="15" hidden="false" customHeight="false" outlineLevel="0" collapsed="false">
      <c r="A405" s="53" t="str">
        <f aca="false">IF($B405="","",ROW()-5)</f>
        <v/>
      </c>
      <c r="B405" s="54"/>
      <c r="C405" s="33"/>
      <c r="D405" s="33"/>
      <c r="E405" s="32"/>
      <c r="F405" s="39"/>
      <c r="G405" s="48" t="str">
        <f aca="false">IF($F405="","",IFERROR(INDEX(商品档案!$B$6:$B$65,MATCH($F405,商品档案!$A$6:$A$65,0)),""))</f>
        <v/>
      </c>
      <c r="H405" s="48" t="str">
        <f aca="false">IF($F405="","",IFERROR(INDEX(商品档案!$C$6:$C$65,MATCH($F405,商品档案!$A$6:$A$65,0)),""))</f>
        <v/>
      </c>
      <c r="I405" s="55" t="str">
        <f aca="false">IF($F405="","",IFERROR(INDEX(商品档案!$D$6:$D$65,MATCH($F405,商品档案!$A$6:$A$65,0)),""))</f>
        <v/>
      </c>
      <c r="J405" s="49"/>
      <c r="K405" s="56"/>
      <c r="L405" s="33"/>
      <c r="M405" s="39"/>
      <c r="N405" s="41"/>
      <c r="O405" s="41"/>
      <c r="P405" s="25" t="str">
        <f aca="false">IF(AND($B405="",$D405="",$F405=""),"",IF(NOT(ISNUMBER($B405)),"日期无效",IF(ISNA(MATCH($C405,参数设置!$A$10:$A$12,0)),"公司无效",IF(ISNA(MATCH($D405,记账规则!$A$6:$A$9,0)),"业务类型无效",IF(ISNA(MATCH($F405,商品档案!$A$6:$A$65,0)),"商品编码无效",IF(IFERROR(INDEX(商品档案!$E$6:$E$65,MATCH($F405,商品档案!$A$6:$A$65,0)),"")&lt;&gt;$C405,"商品不属于该公司",IF(AND($E405&lt;&gt;"",ISNA(MATCH($E405,往来单位!$A$6:$A$85,0))),"往来单位未建档",IF(N($J405)=0,"数量为 0",IF(N($K405)=0,"单价为 0",IF(AND(LEFT($D405,2)="销售",$U405=""),"该商品没设成本科目",IF(YEAR($B405)&lt;&gt;参数设置!$B$5,"不在本会计年度","OK")))))))))))</f>
        <v/>
      </c>
      <c r="Q405" s="57" t="str">
        <f aca="false">IF($F405="","",ROUND(N($J405)*N($K405),2))</f>
        <v/>
      </c>
      <c r="R405" s="58" t="str">
        <f aca="false">IF($D405="","",IF(LEFT($D405,2)="销售","应收账款","应付账款"))</f>
        <v/>
      </c>
      <c r="S405" s="58" t="str">
        <f aca="false">IF($F405="","",IFERROR(INDEX(商品档案!$G$6:$G$65,MATCH($F405,商品档案!$A$6:$A$65,0)),""))</f>
        <v/>
      </c>
      <c r="T405" s="58" t="str">
        <f aca="false">IF($F405="","",IFERROR(INDEX(商品档案!$H$6:$H$65,MATCH($F405,商品档案!$A$6:$A$65,0)),""))</f>
        <v/>
      </c>
      <c r="U405" s="58" t="str">
        <f aca="false">IF($F405="","",IFERROR(INDEX(商品档案!$I$6:$I$65,MATCH($F405,商品档案!$A$6:$A$65,0)),""))</f>
        <v/>
      </c>
      <c r="V405" s="59" t="str">
        <f aca="false">IF($F405="","",SUMIFS(进销存台账!$N$6:$N$65,进销存台账!$A$6:$A$65,$C405,进销存台账!$B$6:$B$65,$F405))</f>
        <v/>
      </c>
      <c r="W405" s="60" t="n">
        <f aca="false">IF(OR($D405="销售出库",$D405="销售退回"),ROUND(N($J405)*N($V405),2),0)</f>
        <v>0</v>
      </c>
      <c r="X405" s="58" t="str">
        <f aca="false">IF($E405="","",IFERROR(INDEX(往来单位!$D$6:$D$85,MATCH($E405,往来单位!$A$6:$A$85,0)),"否"))</f>
        <v/>
      </c>
      <c r="Y405" s="61" t="str">
        <f aca="false">IF($B405="","",YEAR($B405))</f>
        <v/>
      </c>
      <c r="Z405" s="58" t="str">
        <f aca="false">IF($B405="","",TEXT($B405,"yyyy-mm"))</f>
        <v/>
      </c>
    </row>
    <row r="406" customFormat="false" ht="15" hidden="false" customHeight="false" outlineLevel="0" collapsed="false">
      <c r="A406" s="53" t="str">
        <f aca="false">IF($B406="","",ROW()-5)</f>
        <v/>
      </c>
      <c r="B406" s="54"/>
      <c r="C406" s="33"/>
      <c r="D406" s="33"/>
      <c r="E406" s="32"/>
      <c r="F406" s="39"/>
      <c r="G406" s="48" t="str">
        <f aca="false">IF($F406="","",IFERROR(INDEX(商品档案!$B$6:$B$65,MATCH($F406,商品档案!$A$6:$A$65,0)),""))</f>
        <v/>
      </c>
      <c r="H406" s="48" t="str">
        <f aca="false">IF($F406="","",IFERROR(INDEX(商品档案!$C$6:$C$65,MATCH($F406,商品档案!$A$6:$A$65,0)),""))</f>
        <v/>
      </c>
      <c r="I406" s="55" t="str">
        <f aca="false">IF($F406="","",IFERROR(INDEX(商品档案!$D$6:$D$65,MATCH($F406,商品档案!$A$6:$A$65,0)),""))</f>
        <v/>
      </c>
      <c r="J406" s="49"/>
      <c r="K406" s="56"/>
      <c r="L406" s="33"/>
      <c r="M406" s="39"/>
      <c r="N406" s="41"/>
      <c r="O406" s="41"/>
      <c r="P406" s="25" t="str">
        <f aca="false">IF(AND($B406="",$D406="",$F406=""),"",IF(NOT(ISNUMBER($B406)),"日期无效",IF(ISNA(MATCH($C406,参数设置!$A$10:$A$12,0)),"公司无效",IF(ISNA(MATCH($D406,记账规则!$A$6:$A$9,0)),"业务类型无效",IF(ISNA(MATCH($F406,商品档案!$A$6:$A$65,0)),"商品编码无效",IF(IFERROR(INDEX(商品档案!$E$6:$E$65,MATCH($F406,商品档案!$A$6:$A$65,0)),"")&lt;&gt;$C406,"商品不属于该公司",IF(AND($E406&lt;&gt;"",ISNA(MATCH($E406,往来单位!$A$6:$A$85,0))),"往来单位未建档",IF(N($J406)=0,"数量为 0",IF(N($K406)=0,"单价为 0",IF(AND(LEFT($D406,2)="销售",$U406=""),"该商品没设成本科目",IF(YEAR($B406)&lt;&gt;参数设置!$B$5,"不在本会计年度","OK")))))))))))</f>
        <v/>
      </c>
      <c r="Q406" s="57" t="str">
        <f aca="false">IF($F406="","",ROUND(N($J406)*N($K406),2))</f>
        <v/>
      </c>
      <c r="R406" s="58" t="str">
        <f aca="false">IF($D406="","",IF(LEFT($D406,2)="销售","应收账款","应付账款"))</f>
        <v/>
      </c>
      <c r="S406" s="58" t="str">
        <f aca="false">IF($F406="","",IFERROR(INDEX(商品档案!$G$6:$G$65,MATCH($F406,商品档案!$A$6:$A$65,0)),""))</f>
        <v/>
      </c>
      <c r="T406" s="58" t="str">
        <f aca="false">IF($F406="","",IFERROR(INDEX(商品档案!$H$6:$H$65,MATCH($F406,商品档案!$A$6:$A$65,0)),""))</f>
        <v/>
      </c>
      <c r="U406" s="58" t="str">
        <f aca="false">IF($F406="","",IFERROR(INDEX(商品档案!$I$6:$I$65,MATCH($F406,商品档案!$A$6:$A$65,0)),""))</f>
        <v/>
      </c>
      <c r="V406" s="59" t="str">
        <f aca="false">IF($F406="","",SUMIFS(进销存台账!$N$6:$N$65,进销存台账!$A$6:$A$65,$C406,进销存台账!$B$6:$B$65,$F406))</f>
        <v/>
      </c>
      <c r="W406" s="60" t="n">
        <f aca="false">IF(OR($D406="销售出库",$D406="销售退回"),ROUND(N($J406)*N($V406),2),0)</f>
        <v>0</v>
      </c>
      <c r="X406" s="58" t="str">
        <f aca="false">IF($E406="","",IFERROR(INDEX(往来单位!$D$6:$D$85,MATCH($E406,往来单位!$A$6:$A$85,0)),"否"))</f>
        <v/>
      </c>
      <c r="Y406" s="61" t="str">
        <f aca="false">IF($B406="","",YEAR($B406))</f>
        <v/>
      </c>
      <c r="Z406" s="58" t="str">
        <f aca="false">IF($B406="","",TEXT($B406,"yyyy-mm"))</f>
        <v/>
      </c>
    </row>
    <row r="407" customFormat="false" ht="15" hidden="false" customHeight="false" outlineLevel="0" collapsed="false">
      <c r="A407" s="53" t="str">
        <f aca="false">IF($B407="","",ROW()-5)</f>
        <v/>
      </c>
      <c r="B407" s="54"/>
      <c r="C407" s="33"/>
      <c r="D407" s="33"/>
      <c r="E407" s="32"/>
      <c r="F407" s="39"/>
      <c r="G407" s="48" t="str">
        <f aca="false">IF($F407="","",IFERROR(INDEX(商品档案!$B$6:$B$65,MATCH($F407,商品档案!$A$6:$A$65,0)),""))</f>
        <v/>
      </c>
      <c r="H407" s="48" t="str">
        <f aca="false">IF($F407="","",IFERROR(INDEX(商品档案!$C$6:$C$65,MATCH($F407,商品档案!$A$6:$A$65,0)),""))</f>
        <v/>
      </c>
      <c r="I407" s="55" t="str">
        <f aca="false">IF($F407="","",IFERROR(INDEX(商品档案!$D$6:$D$65,MATCH($F407,商品档案!$A$6:$A$65,0)),""))</f>
        <v/>
      </c>
      <c r="J407" s="49"/>
      <c r="K407" s="56"/>
      <c r="L407" s="33"/>
      <c r="M407" s="39"/>
      <c r="N407" s="41"/>
      <c r="O407" s="41"/>
      <c r="P407" s="25" t="str">
        <f aca="false">IF(AND($B407="",$D407="",$F407=""),"",IF(NOT(ISNUMBER($B407)),"日期无效",IF(ISNA(MATCH($C407,参数设置!$A$10:$A$12,0)),"公司无效",IF(ISNA(MATCH($D407,记账规则!$A$6:$A$9,0)),"业务类型无效",IF(ISNA(MATCH($F407,商品档案!$A$6:$A$65,0)),"商品编码无效",IF(IFERROR(INDEX(商品档案!$E$6:$E$65,MATCH($F407,商品档案!$A$6:$A$65,0)),"")&lt;&gt;$C407,"商品不属于该公司",IF(AND($E407&lt;&gt;"",ISNA(MATCH($E407,往来单位!$A$6:$A$85,0))),"往来单位未建档",IF(N($J407)=0,"数量为 0",IF(N($K407)=0,"单价为 0",IF(AND(LEFT($D407,2)="销售",$U407=""),"该商品没设成本科目",IF(YEAR($B407)&lt;&gt;参数设置!$B$5,"不在本会计年度","OK")))))))))))</f>
        <v/>
      </c>
      <c r="Q407" s="57" t="str">
        <f aca="false">IF($F407="","",ROUND(N($J407)*N($K407),2))</f>
        <v/>
      </c>
      <c r="R407" s="58" t="str">
        <f aca="false">IF($D407="","",IF(LEFT($D407,2)="销售","应收账款","应付账款"))</f>
        <v/>
      </c>
      <c r="S407" s="58" t="str">
        <f aca="false">IF($F407="","",IFERROR(INDEX(商品档案!$G$6:$G$65,MATCH($F407,商品档案!$A$6:$A$65,0)),""))</f>
        <v/>
      </c>
      <c r="T407" s="58" t="str">
        <f aca="false">IF($F407="","",IFERROR(INDEX(商品档案!$H$6:$H$65,MATCH($F407,商品档案!$A$6:$A$65,0)),""))</f>
        <v/>
      </c>
      <c r="U407" s="58" t="str">
        <f aca="false">IF($F407="","",IFERROR(INDEX(商品档案!$I$6:$I$65,MATCH($F407,商品档案!$A$6:$A$65,0)),""))</f>
        <v/>
      </c>
      <c r="V407" s="59" t="str">
        <f aca="false">IF($F407="","",SUMIFS(进销存台账!$N$6:$N$65,进销存台账!$A$6:$A$65,$C407,进销存台账!$B$6:$B$65,$F407))</f>
        <v/>
      </c>
      <c r="W407" s="60" t="n">
        <f aca="false">IF(OR($D407="销售出库",$D407="销售退回"),ROUND(N($J407)*N($V407),2),0)</f>
        <v>0</v>
      </c>
      <c r="X407" s="58" t="str">
        <f aca="false">IF($E407="","",IFERROR(INDEX(往来单位!$D$6:$D$85,MATCH($E407,往来单位!$A$6:$A$85,0)),"否"))</f>
        <v/>
      </c>
      <c r="Y407" s="61" t="str">
        <f aca="false">IF($B407="","",YEAR($B407))</f>
        <v/>
      </c>
      <c r="Z407" s="58" t="str">
        <f aca="false">IF($B407="","",TEXT($B407,"yyyy-mm"))</f>
        <v/>
      </c>
    </row>
    <row r="408" customFormat="false" ht="15" hidden="false" customHeight="false" outlineLevel="0" collapsed="false">
      <c r="A408" s="53" t="str">
        <f aca="false">IF($B408="","",ROW()-5)</f>
        <v/>
      </c>
      <c r="B408" s="54"/>
      <c r="C408" s="33"/>
      <c r="D408" s="33"/>
      <c r="E408" s="32"/>
      <c r="F408" s="39"/>
      <c r="G408" s="48" t="str">
        <f aca="false">IF($F408="","",IFERROR(INDEX(商品档案!$B$6:$B$65,MATCH($F408,商品档案!$A$6:$A$65,0)),""))</f>
        <v/>
      </c>
      <c r="H408" s="48" t="str">
        <f aca="false">IF($F408="","",IFERROR(INDEX(商品档案!$C$6:$C$65,MATCH($F408,商品档案!$A$6:$A$65,0)),""))</f>
        <v/>
      </c>
      <c r="I408" s="55" t="str">
        <f aca="false">IF($F408="","",IFERROR(INDEX(商品档案!$D$6:$D$65,MATCH($F408,商品档案!$A$6:$A$65,0)),""))</f>
        <v/>
      </c>
      <c r="J408" s="49"/>
      <c r="K408" s="56"/>
      <c r="L408" s="33"/>
      <c r="M408" s="39"/>
      <c r="N408" s="41"/>
      <c r="O408" s="41"/>
      <c r="P408" s="25" t="str">
        <f aca="false">IF(AND($B408="",$D408="",$F408=""),"",IF(NOT(ISNUMBER($B408)),"日期无效",IF(ISNA(MATCH($C408,参数设置!$A$10:$A$12,0)),"公司无效",IF(ISNA(MATCH($D408,记账规则!$A$6:$A$9,0)),"业务类型无效",IF(ISNA(MATCH($F408,商品档案!$A$6:$A$65,0)),"商品编码无效",IF(IFERROR(INDEX(商品档案!$E$6:$E$65,MATCH($F408,商品档案!$A$6:$A$65,0)),"")&lt;&gt;$C408,"商品不属于该公司",IF(AND($E408&lt;&gt;"",ISNA(MATCH($E408,往来单位!$A$6:$A$85,0))),"往来单位未建档",IF(N($J408)=0,"数量为 0",IF(N($K408)=0,"单价为 0",IF(AND(LEFT($D408,2)="销售",$U408=""),"该商品没设成本科目",IF(YEAR($B408)&lt;&gt;参数设置!$B$5,"不在本会计年度","OK")))))))))))</f>
        <v/>
      </c>
      <c r="Q408" s="57" t="str">
        <f aca="false">IF($F408="","",ROUND(N($J408)*N($K408),2))</f>
        <v/>
      </c>
      <c r="R408" s="58" t="str">
        <f aca="false">IF($D408="","",IF(LEFT($D408,2)="销售","应收账款","应付账款"))</f>
        <v/>
      </c>
      <c r="S408" s="58" t="str">
        <f aca="false">IF($F408="","",IFERROR(INDEX(商品档案!$G$6:$G$65,MATCH($F408,商品档案!$A$6:$A$65,0)),""))</f>
        <v/>
      </c>
      <c r="T408" s="58" t="str">
        <f aca="false">IF($F408="","",IFERROR(INDEX(商品档案!$H$6:$H$65,MATCH($F408,商品档案!$A$6:$A$65,0)),""))</f>
        <v/>
      </c>
      <c r="U408" s="58" t="str">
        <f aca="false">IF($F408="","",IFERROR(INDEX(商品档案!$I$6:$I$65,MATCH($F408,商品档案!$A$6:$A$65,0)),""))</f>
        <v/>
      </c>
      <c r="V408" s="59" t="str">
        <f aca="false">IF($F408="","",SUMIFS(进销存台账!$N$6:$N$65,进销存台账!$A$6:$A$65,$C408,进销存台账!$B$6:$B$65,$F408))</f>
        <v/>
      </c>
      <c r="W408" s="60" t="n">
        <f aca="false">IF(OR($D408="销售出库",$D408="销售退回"),ROUND(N($J408)*N($V408),2),0)</f>
        <v>0</v>
      </c>
      <c r="X408" s="58" t="str">
        <f aca="false">IF($E408="","",IFERROR(INDEX(往来单位!$D$6:$D$85,MATCH($E408,往来单位!$A$6:$A$85,0)),"否"))</f>
        <v/>
      </c>
      <c r="Y408" s="61" t="str">
        <f aca="false">IF($B408="","",YEAR($B408))</f>
        <v/>
      </c>
      <c r="Z408" s="58" t="str">
        <f aca="false">IF($B408="","",TEXT($B408,"yyyy-mm"))</f>
        <v/>
      </c>
    </row>
    <row r="409" customFormat="false" ht="15" hidden="false" customHeight="false" outlineLevel="0" collapsed="false">
      <c r="A409" s="53" t="str">
        <f aca="false">IF($B409="","",ROW()-5)</f>
        <v/>
      </c>
      <c r="B409" s="54"/>
      <c r="C409" s="33"/>
      <c r="D409" s="33"/>
      <c r="E409" s="32"/>
      <c r="F409" s="39"/>
      <c r="G409" s="48" t="str">
        <f aca="false">IF($F409="","",IFERROR(INDEX(商品档案!$B$6:$B$65,MATCH($F409,商品档案!$A$6:$A$65,0)),""))</f>
        <v/>
      </c>
      <c r="H409" s="48" t="str">
        <f aca="false">IF($F409="","",IFERROR(INDEX(商品档案!$C$6:$C$65,MATCH($F409,商品档案!$A$6:$A$65,0)),""))</f>
        <v/>
      </c>
      <c r="I409" s="55" t="str">
        <f aca="false">IF($F409="","",IFERROR(INDEX(商品档案!$D$6:$D$65,MATCH($F409,商品档案!$A$6:$A$65,0)),""))</f>
        <v/>
      </c>
      <c r="J409" s="49"/>
      <c r="K409" s="56"/>
      <c r="L409" s="33"/>
      <c r="M409" s="39"/>
      <c r="N409" s="41"/>
      <c r="O409" s="41"/>
      <c r="P409" s="25" t="str">
        <f aca="false">IF(AND($B409="",$D409="",$F409=""),"",IF(NOT(ISNUMBER($B409)),"日期无效",IF(ISNA(MATCH($C409,参数设置!$A$10:$A$12,0)),"公司无效",IF(ISNA(MATCH($D409,记账规则!$A$6:$A$9,0)),"业务类型无效",IF(ISNA(MATCH($F409,商品档案!$A$6:$A$65,0)),"商品编码无效",IF(IFERROR(INDEX(商品档案!$E$6:$E$65,MATCH($F409,商品档案!$A$6:$A$65,0)),"")&lt;&gt;$C409,"商品不属于该公司",IF(AND($E409&lt;&gt;"",ISNA(MATCH($E409,往来单位!$A$6:$A$85,0))),"往来单位未建档",IF(N($J409)=0,"数量为 0",IF(N($K409)=0,"单价为 0",IF(AND(LEFT($D409,2)="销售",$U409=""),"该商品没设成本科目",IF(YEAR($B409)&lt;&gt;参数设置!$B$5,"不在本会计年度","OK")))))))))))</f>
        <v/>
      </c>
      <c r="Q409" s="57" t="str">
        <f aca="false">IF($F409="","",ROUND(N($J409)*N($K409),2))</f>
        <v/>
      </c>
      <c r="R409" s="58" t="str">
        <f aca="false">IF($D409="","",IF(LEFT($D409,2)="销售","应收账款","应付账款"))</f>
        <v/>
      </c>
      <c r="S409" s="58" t="str">
        <f aca="false">IF($F409="","",IFERROR(INDEX(商品档案!$G$6:$G$65,MATCH($F409,商品档案!$A$6:$A$65,0)),""))</f>
        <v/>
      </c>
      <c r="T409" s="58" t="str">
        <f aca="false">IF($F409="","",IFERROR(INDEX(商品档案!$H$6:$H$65,MATCH($F409,商品档案!$A$6:$A$65,0)),""))</f>
        <v/>
      </c>
      <c r="U409" s="58" t="str">
        <f aca="false">IF($F409="","",IFERROR(INDEX(商品档案!$I$6:$I$65,MATCH($F409,商品档案!$A$6:$A$65,0)),""))</f>
        <v/>
      </c>
      <c r="V409" s="59" t="str">
        <f aca="false">IF($F409="","",SUMIFS(进销存台账!$N$6:$N$65,进销存台账!$A$6:$A$65,$C409,进销存台账!$B$6:$B$65,$F409))</f>
        <v/>
      </c>
      <c r="W409" s="60" t="n">
        <f aca="false">IF(OR($D409="销售出库",$D409="销售退回"),ROUND(N($J409)*N($V409),2),0)</f>
        <v>0</v>
      </c>
      <c r="X409" s="58" t="str">
        <f aca="false">IF($E409="","",IFERROR(INDEX(往来单位!$D$6:$D$85,MATCH($E409,往来单位!$A$6:$A$85,0)),"否"))</f>
        <v/>
      </c>
      <c r="Y409" s="61" t="str">
        <f aca="false">IF($B409="","",YEAR($B409))</f>
        <v/>
      </c>
      <c r="Z409" s="58" t="str">
        <f aca="false">IF($B409="","",TEXT($B409,"yyyy-mm"))</f>
        <v/>
      </c>
    </row>
    <row r="410" customFormat="false" ht="15" hidden="false" customHeight="false" outlineLevel="0" collapsed="false">
      <c r="A410" s="53" t="str">
        <f aca="false">IF($B410="","",ROW()-5)</f>
        <v/>
      </c>
      <c r="B410" s="54"/>
      <c r="C410" s="33"/>
      <c r="D410" s="33"/>
      <c r="E410" s="32"/>
      <c r="F410" s="39"/>
      <c r="G410" s="48" t="str">
        <f aca="false">IF($F410="","",IFERROR(INDEX(商品档案!$B$6:$B$65,MATCH($F410,商品档案!$A$6:$A$65,0)),""))</f>
        <v/>
      </c>
      <c r="H410" s="48" t="str">
        <f aca="false">IF($F410="","",IFERROR(INDEX(商品档案!$C$6:$C$65,MATCH($F410,商品档案!$A$6:$A$65,0)),""))</f>
        <v/>
      </c>
      <c r="I410" s="55" t="str">
        <f aca="false">IF($F410="","",IFERROR(INDEX(商品档案!$D$6:$D$65,MATCH($F410,商品档案!$A$6:$A$65,0)),""))</f>
        <v/>
      </c>
      <c r="J410" s="49"/>
      <c r="K410" s="56"/>
      <c r="L410" s="33"/>
      <c r="M410" s="39"/>
      <c r="N410" s="41"/>
      <c r="O410" s="41"/>
      <c r="P410" s="25" t="str">
        <f aca="false">IF(AND($B410="",$D410="",$F410=""),"",IF(NOT(ISNUMBER($B410)),"日期无效",IF(ISNA(MATCH($C410,参数设置!$A$10:$A$12,0)),"公司无效",IF(ISNA(MATCH($D410,记账规则!$A$6:$A$9,0)),"业务类型无效",IF(ISNA(MATCH($F410,商品档案!$A$6:$A$65,0)),"商品编码无效",IF(IFERROR(INDEX(商品档案!$E$6:$E$65,MATCH($F410,商品档案!$A$6:$A$65,0)),"")&lt;&gt;$C410,"商品不属于该公司",IF(AND($E410&lt;&gt;"",ISNA(MATCH($E410,往来单位!$A$6:$A$85,0))),"往来单位未建档",IF(N($J410)=0,"数量为 0",IF(N($K410)=0,"单价为 0",IF(AND(LEFT($D410,2)="销售",$U410=""),"该商品没设成本科目",IF(YEAR($B410)&lt;&gt;参数设置!$B$5,"不在本会计年度","OK")))))))))))</f>
        <v/>
      </c>
      <c r="Q410" s="57" t="str">
        <f aca="false">IF($F410="","",ROUND(N($J410)*N($K410),2))</f>
        <v/>
      </c>
      <c r="R410" s="58" t="str">
        <f aca="false">IF($D410="","",IF(LEFT($D410,2)="销售","应收账款","应付账款"))</f>
        <v/>
      </c>
      <c r="S410" s="58" t="str">
        <f aca="false">IF($F410="","",IFERROR(INDEX(商品档案!$G$6:$G$65,MATCH($F410,商品档案!$A$6:$A$65,0)),""))</f>
        <v/>
      </c>
      <c r="T410" s="58" t="str">
        <f aca="false">IF($F410="","",IFERROR(INDEX(商品档案!$H$6:$H$65,MATCH($F410,商品档案!$A$6:$A$65,0)),""))</f>
        <v/>
      </c>
      <c r="U410" s="58" t="str">
        <f aca="false">IF($F410="","",IFERROR(INDEX(商品档案!$I$6:$I$65,MATCH($F410,商品档案!$A$6:$A$65,0)),""))</f>
        <v/>
      </c>
      <c r="V410" s="59" t="str">
        <f aca="false">IF($F410="","",SUMIFS(进销存台账!$N$6:$N$65,进销存台账!$A$6:$A$65,$C410,进销存台账!$B$6:$B$65,$F410))</f>
        <v/>
      </c>
      <c r="W410" s="60" t="n">
        <f aca="false">IF(OR($D410="销售出库",$D410="销售退回"),ROUND(N($J410)*N($V410),2),0)</f>
        <v>0</v>
      </c>
      <c r="X410" s="58" t="str">
        <f aca="false">IF($E410="","",IFERROR(INDEX(往来单位!$D$6:$D$85,MATCH($E410,往来单位!$A$6:$A$85,0)),"否"))</f>
        <v/>
      </c>
      <c r="Y410" s="61" t="str">
        <f aca="false">IF($B410="","",YEAR($B410))</f>
        <v/>
      </c>
      <c r="Z410" s="58" t="str">
        <f aca="false">IF($B410="","",TEXT($B410,"yyyy-mm"))</f>
        <v/>
      </c>
    </row>
    <row r="411" customFormat="false" ht="15" hidden="false" customHeight="false" outlineLevel="0" collapsed="false">
      <c r="A411" s="53" t="str">
        <f aca="false">IF($B411="","",ROW()-5)</f>
        <v/>
      </c>
      <c r="B411" s="54"/>
      <c r="C411" s="33"/>
      <c r="D411" s="33"/>
      <c r="E411" s="32"/>
      <c r="F411" s="39"/>
      <c r="G411" s="48" t="str">
        <f aca="false">IF($F411="","",IFERROR(INDEX(商品档案!$B$6:$B$65,MATCH($F411,商品档案!$A$6:$A$65,0)),""))</f>
        <v/>
      </c>
      <c r="H411" s="48" t="str">
        <f aca="false">IF($F411="","",IFERROR(INDEX(商品档案!$C$6:$C$65,MATCH($F411,商品档案!$A$6:$A$65,0)),""))</f>
        <v/>
      </c>
      <c r="I411" s="55" t="str">
        <f aca="false">IF($F411="","",IFERROR(INDEX(商品档案!$D$6:$D$65,MATCH($F411,商品档案!$A$6:$A$65,0)),""))</f>
        <v/>
      </c>
      <c r="J411" s="49"/>
      <c r="K411" s="56"/>
      <c r="L411" s="33"/>
      <c r="M411" s="39"/>
      <c r="N411" s="41"/>
      <c r="O411" s="41"/>
      <c r="P411" s="25" t="str">
        <f aca="false">IF(AND($B411="",$D411="",$F411=""),"",IF(NOT(ISNUMBER($B411)),"日期无效",IF(ISNA(MATCH($C411,参数设置!$A$10:$A$12,0)),"公司无效",IF(ISNA(MATCH($D411,记账规则!$A$6:$A$9,0)),"业务类型无效",IF(ISNA(MATCH($F411,商品档案!$A$6:$A$65,0)),"商品编码无效",IF(IFERROR(INDEX(商品档案!$E$6:$E$65,MATCH($F411,商品档案!$A$6:$A$65,0)),"")&lt;&gt;$C411,"商品不属于该公司",IF(AND($E411&lt;&gt;"",ISNA(MATCH($E411,往来单位!$A$6:$A$85,0))),"往来单位未建档",IF(N($J411)=0,"数量为 0",IF(N($K411)=0,"单价为 0",IF(AND(LEFT($D411,2)="销售",$U411=""),"该商品没设成本科目",IF(YEAR($B411)&lt;&gt;参数设置!$B$5,"不在本会计年度","OK")))))))))))</f>
        <v/>
      </c>
      <c r="Q411" s="57" t="str">
        <f aca="false">IF($F411="","",ROUND(N($J411)*N($K411),2))</f>
        <v/>
      </c>
      <c r="R411" s="58" t="str">
        <f aca="false">IF($D411="","",IF(LEFT($D411,2)="销售","应收账款","应付账款"))</f>
        <v/>
      </c>
      <c r="S411" s="58" t="str">
        <f aca="false">IF($F411="","",IFERROR(INDEX(商品档案!$G$6:$G$65,MATCH($F411,商品档案!$A$6:$A$65,0)),""))</f>
        <v/>
      </c>
      <c r="T411" s="58" t="str">
        <f aca="false">IF($F411="","",IFERROR(INDEX(商品档案!$H$6:$H$65,MATCH($F411,商品档案!$A$6:$A$65,0)),""))</f>
        <v/>
      </c>
      <c r="U411" s="58" t="str">
        <f aca="false">IF($F411="","",IFERROR(INDEX(商品档案!$I$6:$I$65,MATCH($F411,商品档案!$A$6:$A$65,0)),""))</f>
        <v/>
      </c>
      <c r="V411" s="59" t="str">
        <f aca="false">IF($F411="","",SUMIFS(进销存台账!$N$6:$N$65,进销存台账!$A$6:$A$65,$C411,进销存台账!$B$6:$B$65,$F411))</f>
        <v/>
      </c>
      <c r="W411" s="60" t="n">
        <f aca="false">IF(OR($D411="销售出库",$D411="销售退回"),ROUND(N($J411)*N($V411),2),0)</f>
        <v>0</v>
      </c>
      <c r="X411" s="58" t="str">
        <f aca="false">IF($E411="","",IFERROR(INDEX(往来单位!$D$6:$D$85,MATCH($E411,往来单位!$A$6:$A$85,0)),"否"))</f>
        <v/>
      </c>
      <c r="Y411" s="61" t="str">
        <f aca="false">IF($B411="","",YEAR($B411))</f>
        <v/>
      </c>
      <c r="Z411" s="58" t="str">
        <f aca="false">IF($B411="","",TEXT($B411,"yyyy-mm"))</f>
        <v/>
      </c>
    </row>
    <row r="412" customFormat="false" ht="15" hidden="false" customHeight="false" outlineLevel="0" collapsed="false">
      <c r="A412" s="53" t="str">
        <f aca="false">IF($B412="","",ROW()-5)</f>
        <v/>
      </c>
      <c r="B412" s="54"/>
      <c r="C412" s="33"/>
      <c r="D412" s="33"/>
      <c r="E412" s="32"/>
      <c r="F412" s="39"/>
      <c r="G412" s="48" t="str">
        <f aca="false">IF($F412="","",IFERROR(INDEX(商品档案!$B$6:$B$65,MATCH($F412,商品档案!$A$6:$A$65,0)),""))</f>
        <v/>
      </c>
      <c r="H412" s="48" t="str">
        <f aca="false">IF($F412="","",IFERROR(INDEX(商品档案!$C$6:$C$65,MATCH($F412,商品档案!$A$6:$A$65,0)),""))</f>
        <v/>
      </c>
      <c r="I412" s="55" t="str">
        <f aca="false">IF($F412="","",IFERROR(INDEX(商品档案!$D$6:$D$65,MATCH($F412,商品档案!$A$6:$A$65,0)),""))</f>
        <v/>
      </c>
      <c r="J412" s="49"/>
      <c r="K412" s="56"/>
      <c r="L412" s="33"/>
      <c r="M412" s="39"/>
      <c r="N412" s="41"/>
      <c r="O412" s="41"/>
      <c r="P412" s="25" t="str">
        <f aca="false">IF(AND($B412="",$D412="",$F412=""),"",IF(NOT(ISNUMBER($B412)),"日期无效",IF(ISNA(MATCH($C412,参数设置!$A$10:$A$12,0)),"公司无效",IF(ISNA(MATCH($D412,记账规则!$A$6:$A$9,0)),"业务类型无效",IF(ISNA(MATCH($F412,商品档案!$A$6:$A$65,0)),"商品编码无效",IF(IFERROR(INDEX(商品档案!$E$6:$E$65,MATCH($F412,商品档案!$A$6:$A$65,0)),"")&lt;&gt;$C412,"商品不属于该公司",IF(AND($E412&lt;&gt;"",ISNA(MATCH($E412,往来单位!$A$6:$A$85,0))),"往来单位未建档",IF(N($J412)=0,"数量为 0",IF(N($K412)=0,"单价为 0",IF(AND(LEFT($D412,2)="销售",$U412=""),"该商品没设成本科目",IF(YEAR($B412)&lt;&gt;参数设置!$B$5,"不在本会计年度","OK")))))))))))</f>
        <v/>
      </c>
      <c r="Q412" s="57" t="str">
        <f aca="false">IF($F412="","",ROUND(N($J412)*N($K412),2))</f>
        <v/>
      </c>
      <c r="R412" s="58" t="str">
        <f aca="false">IF($D412="","",IF(LEFT($D412,2)="销售","应收账款","应付账款"))</f>
        <v/>
      </c>
      <c r="S412" s="58" t="str">
        <f aca="false">IF($F412="","",IFERROR(INDEX(商品档案!$G$6:$G$65,MATCH($F412,商品档案!$A$6:$A$65,0)),""))</f>
        <v/>
      </c>
      <c r="T412" s="58" t="str">
        <f aca="false">IF($F412="","",IFERROR(INDEX(商品档案!$H$6:$H$65,MATCH($F412,商品档案!$A$6:$A$65,0)),""))</f>
        <v/>
      </c>
      <c r="U412" s="58" t="str">
        <f aca="false">IF($F412="","",IFERROR(INDEX(商品档案!$I$6:$I$65,MATCH($F412,商品档案!$A$6:$A$65,0)),""))</f>
        <v/>
      </c>
      <c r="V412" s="59" t="str">
        <f aca="false">IF($F412="","",SUMIFS(进销存台账!$N$6:$N$65,进销存台账!$A$6:$A$65,$C412,进销存台账!$B$6:$B$65,$F412))</f>
        <v/>
      </c>
      <c r="W412" s="60" t="n">
        <f aca="false">IF(OR($D412="销售出库",$D412="销售退回"),ROUND(N($J412)*N($V412),2),0)</f>
        <v>0</v>
      </c>
      <c r="X412" s="58" t="str">
        <f aca="false">IF($E412="","",IFERROR(INDEX(往来单位!$D$6:$D$85,MATCH($E412,往来单位!$A$6:$A$85,0)),"否"))</f>
        <v/>
      </c>
      <c r="Y412" s="61" t="str">
        <f aca="false">IF($B412="","",YEAR($B412))</f>
        <v/>
      </c>
      <c r="Z412" s="58" t="str">
        <f aca="false">IF($B412="","",TEXT($B412,"yyyy-mm"))</f>
        <v/>
      </c>
    </row>
    <row r="413" customFormat="false" ht="15" hidden="false" customHeight="false" outlineLevel="0" collapsed="false">
      <c r="A413" s="53" t="str">
        <f aca="false">IF($B413="","",ROW()-5)</f>
        <v/>
      </c>
      <c r="B413" s="54"/>
      <c r="C413" s="33"/>
      <c r="D413" s="33"/>
      <c r="E413" s="32"/>
      <c r="F413" s="39"/>
      <c r="G413" s="48" t="str">
        <f aca="false">IF($F413="","",IFERROR(INDEX(商品档案!$B$6:$B$65,MATCH($F413,商品档案!$A$6:$A$65,0)),""))</f>
        <v/>
      </c>
      <c r="H413" s="48" t="str">
        <f aca="false">IF($F413="","",IFERROR(INDEX(商品档案!$C$6:$C$65,MATCH($F413,商品档案!$A$6:$A$65,0)),""))</f>
        <v/>
      </c>
      <c r="I413" s="55" t="str">
        <f aca="false">IF($F413="","",IFERROR(INDEX(商品档案!$D$6:$D$65,MATCH($F413,商品档案!$A$6:$A$65,0)),""))</f>
        <v/>
      </c>
      <c r="J413" s="49"/>
      <c r="K413" s="56"/>
      <c r="L413" s="33"/>
      <c r="M413" s="39"/>
      <c r="N413" s="41"/>
      <c r="O413" s="41"/>
      <c r="P413" s="25" t="str">
        <f aca="false">IF(AND($B413="",$D413="",$F413=""),"",IF(NOT(ISNUMBER($B413)),"日期无效",IF(ISNA(MATCH($C413,参数设置!$A$10:$A$12,0)),"公司无效",IF(ISNA(MATCH($D413,记账规则!$A$6:$A$9,0)),"业务类型无效",IF(ISNA(MATCH($F413,商品档案!$A$6:$A$65,0)),"商品编码无效",IF(IFERROR(INDEX(商品档案!$E$6:$E$65,MATCH($F413,商品档案!$A$6:$A$65,0)),"")&lt;&gt;$C413,"商品不属于该公司",IF(AND($E413&lt;&gt;"",ISNA(MATCH($E413,往来单位!$A$6:$A$85,0))),"往来单位未建档",IF(N($J413)=0,"数量为 0",IF(N($K413)=0,"单价为 0",IF(AND(LEFT($D413,2)="销售",$U413=""),"该商品没设成本科目",IF(YEAR($B413)&lt;&gt;参数设置!$B$5,"不在本会计年度","OK")))))))))))</f>
        <v/>
      </c>
      <c r="Q413" s="57" t="str">
        <f aca="false">IF($F413="","",ROUND(N($J413)*N($K413),2))</f>
        <v/>
      </c>
      <c r="R413" s="58" t="str">
        <f aca="false">IF($D413="","",IF(LEFT($D413,2)="销售","应收账款","应付账款"))</f>
        <v/>
      </c>
      <c r="S413" s="58" t="str">
        <f aca="false">IF($F413="","",IFERROR(INDEX(商品档案!$G$6:$G$65,MATCH($F413,商品档案!$A$6:$A$65,0)),""))</f>
        <v/>
      </c>
      <c r="T413" s="58" t="str">
        <f aca="false">IF($F413="","",IFERROR(INDEX(商品档案!$H$6:$H$65,MATCH($F413,商品档案!$A$6:$A$65,0)),""))</f>
        <v/>
      </c>
      <c r="U413" s="58" t="str">
        <f aca="false">IF($F413="","",IFERROR(INDEX(商品档案!$I$6:$I$65,MATCH($F413,商品档案!$A$6:$A$65,0)),""))</f>
        <v/>
      </c>
      <c r="V413" s="59" t="str">
        <f aca="false">IF($F413="","",SUMIFS(进销存台账!$N$6:$N$65,进销存台账!$A$6:$A$65,$C413,进销存台账!$B$6:$B$65,$F413))</f>
        <v/>
      </c>
      <c r="W413" s="60" t="n">
        <f aca="false">IF(OR($D413="销售出库",$D413="销售退回"),ROUND(N($J413)*N($V413),2),0)</f>
        <v>0</v>
      </c>
      <c r="X413" s="58" t="str">
        <f aca="false">IF($E413="","",IFERROR(INDEX(往来单位!$D$6:$D$85,MATCH($E413,往来单位!$A$6:$A$85,0)),"否"))</f>
        <v/>
      </c>
      <c r="Y413" s="61" t="str">
        <f aca="false">IF($B413="","",YEAR($B413))</f>
        <v/>
      </c>
      <c r="Z413" s="58" t="str">
        <f aca="false">IF($B413="","",TEXT($B413,"yyyy-mm"))</f>
        <v/>
      </c>
    </row>
    <row r="414" customFormat="false" ht="15" hidden="false" customHeight="false" outlineLevel="0" collapsed="false">
      <c r="A414" s="53" t="str">
        <f aca="false">IF($B414="","",ROW()-5)</f>
        <v/>
      </c>
      <c r="B414" s="54"/>
      <c r="C414" s="33"/>
      <c r="D414" s="33"/>
      <c r="E414" s="32"/>
      <c r="F414" s="39"/>
      <c r="G414" s="48" t="str">
        <f aca="false">IF($F414="","",IFERROR(INDEX(商品档案!$B$6:$B$65,MATCH($F414,商品档案!$A$6:$A$65,0)),""))</f>
        <v/>
      </c>
      <c r="H414" s="48" t="str">
        <f aca="false">IF($F414="","",IFERROR(INDEX(商品档案!$C$6:$C$65,MATCH($F414,商品档案!$A$6:$A$65,0)),""))</f>
        <v/>
      </c>
      <c r="I414" s="55" t="str">
        <f aca="false">IF($F414="","",IFERROR(INDEX(商品档案!$D$6:$D$65,MATCH($F414,商品档案!$A$6:$A$65,0)),""))</f>
        <v/>
      </c>
      <c r="J414" s="49"/>
      <c r="K414" s="56"/>
      <c r="L414" s="33"/>
      <c r="M414" s="39"/>
      <c r="N414" s="41"/>
      <c r="O414" s="41"/>
      <c r="P414" s="25" t="str">
        <f aca="false">IF(AND($B414="",$D414="",$F414=""),"",IF(NOT(ISNUMBER($B414)),"日期无效",IF(ISNA(MATCH($C414,参数设置!$A$10:$A$12,0)),"公司无效",IF(ISNA(MATCH($D414,记账规则!$A$6:$A$9,0)),"业务类型无效",IF(ISNA(MATCH($F414,商品档案!$A$6:$A$65,0)),"商品编码无效",IF(IFERROR(INDEX(商品档案!$E$6:$E$65,MATCH($F414,商品档案!$A$6:$A$65,0)),"")&lt;&gt;$C414,"商品不属于该公司",IF(AND($E414&lt;&gt;"",ISNA(MATCH($E414,往来单位!$A$6:$A$85,0))),"往来单位未建档",IF(N($J414)=0,"数量为 0",IF(N($K414)=0,"单价为 0",IF(AND(LEFT($D414,2)="销售",$U414=""),"该商品没设成本科目",IF(YEAR($B414)&lt;&gt;参数设置!$B$5,"不在本会计年度","OK")))))))))))</f>
        <v/>
      </c>
      <c r="Q414" s="57" t="str">
        <f aca="false">IF($F414="","",ROUND(N($J414)*N($K414),2))</f>
        <v/>
      </c>
      <c r="R414" s="58" t="str">
        <f aca="false">IF($D414="","",IF(LEFT($D414,2)="销售","应收账款","应付账款"))</f>
        <v/>
      </c>
      <c r="S414" s="58" t="str">
        <f aca="false">IF($F414="","",IFERROR(INDEX(商品档案!$G$6:$G$65,MATCH($F414,商品档案!$A$6:$A$65,0)),""))</f>
        <v/>
      </c>
      <c r="T414" s="58" t="str">
        <f aca="false">IF($F414="","",IFERROR(INDEX(商品档案!$H$6:$H$65,MATCH($F414,商品档案!$A$6:$A$65,0)),""))</f>
        <v/>
      </c>
      <c r="U414" s="58" t="str">
        <f aca="false">IF($F414="","",IFERROR(INDEX(商品档案!$I$6:$I$65,MATCH($F414,商品档案!$A$6:$A$65,0)),""))</f>
        <v/>
      </c>
      <c r="V414" s="59" t="str">
        <f aca="false">IF($F414="","",SUMIFS(进销存台账!$N$6:$N$65,进销存台账!$A$6:$A$65,$C414,进销存台账!$B$6:$B$65,$F414))</f>
        <v/>
      </c>
      <c r="W414" s="60" t="n">
        <f aca="false">IF(OR($D414="销售出库",$D414="销售退回"),ROUND(N($J414)*N($V414),2),0)</f>
        <v>0</v>
      </c>
      <c r="X414" s="58" t="str">
        <f aca="false">IF($E414="","",IFERROR(INDEX(往来单位!$D$6:$D$85,MATCH($E414,往来单位!$A$6:$A$85,0)),"否"))</f>
        <v/>
      </c>
      <c r="Y414" s="61" t="str">
        <f aca="false">IF($B414="","",YEAR($B414))</f>
        <v/>
      </c>
      <c r="Z414" s="58" t="str">
        <f aca="false">IF($B414="","",TEXT($B414,"yyyy-mm"))</f>
        <v/>
      </c>
    </row>
    <row r="415" customFormat="false" ht="15" hidden="false" customHeight="false" outlineLevel="0" collapsed="false">
      <c r="A415" s="53" t="str">
        <f aca="false">IF($B415="","",ROW()-5)</f>
        <v/>
      </c>
      <c r="B415" s="54"/>
      <c r="C415" s="33"/>
      <c r="D415" s="33"/>
      <c r="E415" s="32"/>
      <c r="F415" s="39"/>
      <c r="G415" s="48" t="str">
        <f aca="false">IF($F415="","",IFERROR(INDEX(商品档案!$B$6:$B$65,MATCH($F415,商品档案!$A$6:$A$65,0)),""))</f>
        <v/>
      </c>
      <c r="H415" s="48" t="str">
        <f aca="false">IF($F415="","",IFERROR(INDEX(商品档案!$C$6:$C$65,MATCH($F415,商品档案!$A$6:$A$65,0)),""))</f>
        <v/>
      </c>
      <c r="I415" s="55" t="str">
        <f aca="false">IF($F415="","",IFERROR(INDEX(商品档案!$D$6:$D$65,MATCH($F415,商品档案!$A$6:$A$65,0)),""))</f>
        <v/>
      </c>
      <c r="J415" s="49"/>
      <c r="K415" s="56"/>
      <c r="L415" s="33"/>
      <c r="M415" s="39"/>
      <c r="N415" s="41"/>
      <c r="O415" s="41"/>
      <c r="P415" s="25" t="str">
        <f aca="false">IF(AND($B415="",$D415="",$F415=""),"",IF(NOT(ISNUMBER($B415)),"日期无效",IF(ISNA(MATCH($C415,参数设置!$A$10:$A$12,0)),"公司无效",IF(ISNA(MATCH($D415,记账规则!$A$6:$A$9,0)),"业务类型无效",IF(ISNA(MATCH($F415,商品档案!$A$6:$A$65,0)),"商品编码无效",IF(IFERROR(INDEX(商品档案!$E$6:$E$65,MATCH($F415,商品档案!$A$6:$A$65,0)),"")&lt;&gt;$C415,"商品不属于该公司",IF(AND($E415&lt;&gt;"",ISNA(MATCH($E415,往来单位!$A$6:$A$85,0))),"往来单位未建档",IF(N($J415)=0,"数量为 0",IF(N($K415)=0,"单价为 0",IF(AND(LEFT($D415,2)="销售",$U415=""),"该商品没设成本科目",IF(YEAR($B415)&lt;&gt;参数设置!$B$5,"不在本会计年度","OK")))))))))))</f>
        <v/>
      </c>
      <c r="Q415" s="57" t="str">
        <f aca="false">IF($F415="","",ROUND(N($J415)*N($K415),2))</f>
        <v/>
      </c>
      <c r="R415" s="58" t="str">
        <f aca="false">IF($D415="","",IF(LEFT($D415,2)="销售","应收账款","应付账款"))</f>
        <v/>
      </c>
      <c r="S415" s="58" t="str">
        <f aca="false">IF($F415="","",IFERROR(INDEX(商品档案!$G$6:$G$65,MATCH($F415,商品档案!$A$6:$A$65,0)),""))</f>
        <v/>
      </c>
      <c r="T415" s="58" t="str">
        <f aca="false">IF($F415="","",IFERROR(INDEX(商品档案!$H$6:$H$65,MATCH($F415,商品档案!$A$6:$A$65,0)),""))</f>
        <v/>
      </c>
      <c r="U415" s="58" t="str">
        <f aca="false">IF($F415="","",IFERROR(INDEX(商品档案!$I$6:$I$65,MATCH($F415,商品档案!$A$6:$A$65,0)),""))</f>
        <v/>
      </c>
      <c r="V415" s="59" t="str">
        <f aca="false">IF($F415="","",SUMIFS(进销存台账!$N$6:$N$65,进销存台账!$A$6:$A$65,$C415,进销存台账!$B$6:$B$65,$F415))</f>
        <v/>
      </c>
      <c r="W415" s="60" t="n">
        <f aca="false">IF(OR($D415="销售出库",$D415="销售退回"),ROUND(N($J415)*N($V415),2),0)</f>
        <v>0</v>
      </c>
      <c r="X415" s="58" t="str">
        <f aca="false">IF($E415="","",IFERROR(INDEX(往来单位!$D$6:$D$85,MATCH($E415,往来单位!$A$6:$A$85,0)),"否"))</f>
        <v/>
      </c>
      <c r="Y415" s="61" t="str">
        <f aca="false">IF($B415="","",YEAR($B415))</f>
        <v/>
      </c>
      <c r="Z415" s="58" t="str">
        <f aca="false">IF($B415="","",TEXT($B415,"yyyy-mm"))</f>
        <v/>
      </c>
    </row>
    <row r="416" customFormat="false" ht="15" hidden="false" customHeight="false" outlineLevel="0" collapsed="false">
      <c r="A416" s="53" t="str">
        <f aca="false">IF($B416="","",ROW()-5)</f>
        <v/>
      </c>
      <c r="B416" s="54"/>
      <c r="C416" s="33"/>
      <c r="D416" s="33"/>
      <c r="E416" s="32"/>
      <c r="F416" s="39"/>
      <c r="G416" s="48" t="str">
        <f aca="false">IF($F416="","",IFERROR(INDEX(商品档案!$B$6:$B$65,MATCH($F416,商品档案!$A$6:$A$65,0)),""))</f>
        <v/>
      </c>
      <c r="H416" s="48" t="str">
        <f aca="false">IF($F416="","",IFERROR(INDEX(商品档案!$C$6:$C$65,MATCH($F416,商品档案!$A$6:$A$65,0)),""))</f>
        <v/>
      </c>
      <c r="I416" s="55" t="str">
        <f aca="false">IF($F416="","",IFERROR(INDEX(商品档案!$D$6:$D$65,MATCH($F416,商品档案!$A$6:$A$65,0)),""))</f>
        <v/>
      </c>
      <c r="J416" s="49"/>
      <c r="K416" s="56"/>
      <c r="L416" s="33"/>
      <c r="M416" s="39"/>
      <c r="N416" s="41"/>
      <c r="O416" s="41"/>
      <c r="P416" s="25" t="str">
        <f aca="false">IF(AND($B416="",$D416="",$F416=""),"",IF(NOT(ISNUMBER($B416)),"日期无效",IF(ISNA(MATCH($C416,参数设置!$A$10:$A$12,0)),"公司无效",IF(ISNA(MATCH($D416,记账规则!$A$6:$A$9,0)),"业务类型无效",IF(ISNA(MATCH($F416,商品档案!$A$6:$A$65,0)),"商品编码无效",IF(IFERROR(INDEX(商品档案!$E$6:$E$65,MATCH($F416,商品档案!$A$6:$A$65,0)),"")&lt;&gt;$C416,"商品不属于该公司",IF(AND($E416&lt;&gt;"",ISNA(MATCH($E416,往来单位!$A$6:$A$85,0))),"往来单位未建档",IF(N($J416)=0,"数量为 0",IF(N($K416)=0,"单价为 0",IF(AND(LEFT($D416,2)="销售",$U416=""),"该商品没设成本科目",IF(YEAR($B416)&lt;&gt;参数设置!$B$5,"不在本会计年度","OK")))))))))))</f>
        <v/>
      </c>
      <c r="Q416" s="57" t="str">
        <f aca="false">IF($F416="","",ROUND(N($J416)*N($K416),2))</f>
        <v/>
      </c>
      <c r="R416" s="58" t="str">
        <f aca="false">IF($D416="","",IF(LEFT($D416,2)="销售","应收账款","应付账款"))</f>
        <v/>
      </c>
      <c r="S416" s="58" t="str">
        <f aca="false">IF($F416="","",IFERROR(INDEX(商品档案!$G$6:$G$65,MATCH($F416,商品档案!$A$6:$A$65,0)),""))</f>
        <v/>
      </c>
      <c r="T416" s="58" t="str">
        <f aca="false">IF($F416="","",IFERROR(INDEX(商品档案!$H$6:$H$65,MATCH($F416,商品档案!$A$6:$A$65,0)),""))</f>
        <v/>
      </c>
      <c r="U416" s="58" t="str">
        <f aca="false">IF($F416="","",IFERROR(INDEX(商品档案!$I$6:$I$65,MATCH($F416,商品档案!$A$6:$A$65,0)),""))</f>
        <v/>
      </c>
      <c r="V416" s="59" t="str">
        <f aca="false">IF($F416="","",SUMIFS(进销存台账!$N$6:$N$65,进销存台账!$A$6:$A$65,$C416,进销存台账!$B$6:$B$65,$F416))</f>
        <v/>
      </c>
      <c r="W416" s="60" t="n">
        <f aca="false">IF(OR($D416="销售出库",$D416="销售退回"),ROUND(N($J416)*N($V416),2),0)</f>
        <v>0</v>
      </c>
      <c r="X416" s="58" t="str">
        <f aca="false">IF($E416="","",IFERROR(INDEX(往来单位!$D$6:$D$85,MATCH($E416,往来单位!$A$6:$A$85,0)),"否"))</f>
        <v/>
      </c>
      <c r="Y416" s="61" t="str">
        <f aca="false">IF($B416="","",YEAR($B416))</f>
        <v/>
      </c>
      <c r="Z416" s="58" t="str">
        <f aca="false">IF($B416="","",TEXT($B416,"yyyy-mm"))</f>
        <v/>
      </c>
    </row>
    <row r="417" customFormat="false" ht="15" hidden="false" customHeight="false" outlineLevel="0" collapsed="false">
      <c r="A417" s="53" t="str">
        <f aca="false">IF($B417="","",ROW()-5)</f>
        <v/>
      </c>
      <c r="B417" s="54"/>
      <c r="C417" s="33"/>
      <c r="D417" s="33"/>
      <c r="E417" s="32"/>
      <c r="F417" s="39"/>
      <c r="G417" s="48" t="str">
        <f aca="false">IF($F417="","",IFERROR(INDEX(商品档案!$B$6:$B$65,MATCH($F417,商品档案!$A$6:$A$65,0)),""))</f>
        <v/>
      </c>
      <c r="H417" s="48" t="str">
        <f aca="false">IF($F417="","",IFERROR(INDEX(商品档案!$C$6:$C$65,MATCH($F417,商品档案!$A$6:$A$65,0)),""))</f>
        <v/>
      </c>
      <c r="I417" s="55" t="str">
        <f aca="false">IF($F417="","",IFERROR(INDEX(商品档案!$D$6:$D$65,MATCH($F417,商品档案!$A$6:$A$65,0)),""))</f>
        <v/>
      </c>
      <c r="J417" s="49"/>
      <c r="K417" s="56"/>
      <c r="L417" s="33"/>
      <c r="M417" s="39"/>
      <c r="N417" s="41"/>
      <c r="O417" s="41"/>
      <c r="P417" s="25" t="str">
        <f aca="false">IF(AND($B417="",$D417="",$F417=""),"",IF(NOT(ISNUMBER($B417)),"日期无效",IF(ISNA(MATCH($C417,参数设置!$A$10:$A$12,0)),"公司无效",IF(ISNA(MATCH($D417,记账规则!$A$6:$A$9,0)),"业务类型无效",IF(ISNA(MATCH($F417,商品档案!$A$6:$A$65,0)),"商品编码无效",IF(IFERROR(INDEX(商品档案!$E$6:$E$65,MATCH($F417,商品档案!$A$6:$A$65,0)),"")&lt;&gt;$C417,"商品不属于该公司",IF(AND($E417&lt;&gt;"",ISNA(MATCH($E417,往来单位!$A$6:$A$85,0))),"往来单位未建档",IF(N($J417)=0,"数量为 0",IF(N($K417)=0,"单价为 0",IF(AND(LEFT($D417,2)="销售",$U417=""),"该商品没设成本科目",IF(YEAR($B417)&lt;&gt;参数设置!$B$5,"不在本会计年度","OK")))))))))))</f>
        <v/>
      </c>
      <c r="Q417" s="57" t="str">
        <f aca="false">IF($F417="","",ROUND(N($J417)*N($K417),2))</f>
        <v/>
      </c>
      <c r="R417" s="58" t="str">
        <f aca="false">IF($D417="","",IF(LEFT($D417,2)="销售","应收账款","应付账款"))</f>
        <v/>
      </c>
      <c r="S417" s="58" t="str">
        <f aca="false">IF($F417="","",IFERROR(INDEX(商品档案!$G$6:$G$65,MATCH($F417,商品档案!$A$6:$A$65,0)),""))</f>
        <v/>
      </c>
      <c r="T417" s="58" t="str">
        <f aca="false">IF($F417="","",IFERROR(INDEX(商品档案!$H$6:$H$65,MATCH($F417,商品档案!$A$6:$A$65,0)),""))</f>
        <v/>
      </c>
      <c r="U417" s="58" t="str">
        <f aca="false">IF($F417="","",IFERROR(INDEX(商品档案!$I$6:$I$65,MATCH($F417,商品档案!$A$6:$A$65,0)),""))</f>
        <v/>
      </c>
      <c r="V417" s="59" t="str">
        <f aca="false">IF($F417="","",SUMIFS(进销存台账!$N$6:$N$65,进销存台账!$A$6:$A$65,$C417,进销存台账!$B$6:$B$65,$F417))</f>
        <v/>
      </c>
      <c r="W417" s="60" t="n">
        <f aca="false">IF(OR($D417="销售出库",$D417="销售退回"),ROUND(N($J417)*N($V417),2),0)</f>
        <v>0</v>
      </c>
      <c r="X417" s="58" t="str">
        <f aca="false">IF($E417="","",IFERROR(INDEX(往来单位!$D$6:$D$85,MATCH($E417,往来单位!$A$6:$A$85,0)),"否"))</f>
        <v/>
      </c>
      <c r="Y417" s="61" t="str">
        <f aca="false">IF($B417="","",YEAR($B417))</f>
        <v/>
      </c>
      <c r="Z417" s="58" t="str">
        <f aca="false">IF($B417="","",TEXT($B417,"yyyy-mm"))</f>
        <v/>
      </c>
    </row>
    <row r="418" customFormat="false" ht="15" hidden="false" customHeight="false" outlineLevel="0" collapsed="false">
      <c r="A418" s="53" t="str">
        <f aca="false">IF($B418="","",ROW()-5)</f>
        <v/>
      </c>
      <c r="B418" s="54"/>
      <c r="C418" s="33"/>
      <c r="D418" s="33"/>
      <c r="E418" s="32"/>
      <c r="F418" s="39"/>
      <c r="G418" s="48" t="str">
        <f aca="false">IF($F418="","",IFERROR(INDEX(商品档案!$B$6:$B$65,MATCH($F418,商品档案!$A$6:$A$65,0)),""))</f>
        <v/>
      </c>
      <c r="H418" s="48" t="str">
        <f aca="false">IF($F418="","",IFERROR(INDEX(商品档案!$C$6:$C$65,MATCH($F418,商品档案!$A$6:$A$65,0)),""))</f>
        <v/>
      </c>
      <c r="I418" s="55" t="str">
        <f aca="false">IF($F418="","",IFERROR(INDEX(商品档案!$D$6:$D$65,MATCH($F418,商品档案!$A$6:$A$65,0)),""))</f>
        <v/>
      </c>
      <c r="J418" s="49"/>
      <c r="K418" s="56"/>
      <c r="L418" s="33"/>
      <c r="M418" s="39"/>
      <c r="N418" s="41"/>
      <c r="O418" s="41"/>
      <c r="P418" s="25" t="str">
        <f aca="false">IF(AND($B418="",$D418="",$F418=""),"",IF(NOT(ISNUMBER($B418)),"日期无效",IF(ISNA(MATCH($C418,参数设置!$A$10:$A$12,0)),"公司无效",IF(ISNA(MATCH($D418,记账规则!$A$6:$A$9,0)),"业务类型无效",IF(ISNA(MATCH($F418,商品档案!$A$6:$A$65,0)),"商品编码无效",IF(IFERROR(INDEX(商品档案!$E$6:$E$65,MATCH($F418,商品档案!$A$6:$A$65,0)),"")&lt;&gt;$C418,"商品不属于该公司",IF(AND($E418&lt;&gt;"",ISNA(MATCH($E418,往来单位!$A$6:$A$85,0))),"往来单位未建档",IF(N($J418)=0,"数量为 0",IF(N($K418)=0,"单价为 0",IF(AND(LEFT($D418,2)="销售",$U418=""),"该商品没设成本科目",IF(YEAR($B418)&lt;&gt;参数设置!$B$5,"不在本会计年度","OK")))))))))))</f>
        <v/>
      </c>
      <c r="Q418" s="57" t="str">
        <f aca="false">IF($F418="","",ROUND(N($J418)*N($K418),2))</f>
        <v/>
      </c>
      <c r="R418" s="58" t="str">
        <f aca="false">IF($D418="","",IF(LEFT($D418,2)="销售","应收账款","应付账款"))</f>
        <v/>
      </c>
      <c r="S418" s="58" t="str">
        <f aca="false">IF($F418="","",IFERROR(INDEX(商品档案!$G$6:$G$65,MATCH($F418,商品档案!$A$6:$A$65,0)),""))</f>
        <v/>
      </c>
      <c r="T418" s="58" t="str">
        <f aca="false">IF($F418="","",IFERROR(INDEX(商品档案!$H$6:$H$65,MATCH($F418,商品档案!$A$6:$A$65,0)),""))</f>
        <v/>
      </c>
      <c r="U418" s="58" t="str">
        <f aca="false">IF($F418="","",IFERROR(INDEX(商品档案!$I$6:$I$65,MATCH($F418,商品档案!$A$6:$A$65,0)),""))</f>
        <v/>
      </c>
      <c r="V418" s="59" t="str">
        <f aca="false">IF($F418="","",SUMIFS(进销存台账!$N$6:$N$65,进销存台账!$A$6:$A$65,$C418,进销存台账!$B$6:$B$65,$F418))</f>
        <v/>
      </c>
      <c r="W418" s="60" t="n">
        <f aca="false">IF(OR($D418="销售出库",$D418="销售退回"),ROUND(N($J418)*N($V418),2),0)</f>
        <v>0</v>
      </c>
      <c r="X418" s="58" t="str">
        <f aca="false">IF($E418="","",IFERROR(INDEX(往来单位!$D$6:$D$85,MATCH($E418,往来单位!$A$6:$A$85,0)),"否"))</f>
        <v/>
      </c>
      <c r="Y418" s="61" t="str">
        <f aca="false">IF($B418="","",YEAR($B418))</f>
        <v/>
      </c>
      <c r="Z418" s="58" t="str">
        <f aca="false">IF($B418="","",TEXT($B418,"yyyy-mm"))</f>
        <v/>
      </c>
    </row>
    <row r="419" customFormat="false" ht="15" hidden="false" customHeight="false" outlineLevel="0" collapsed="false">
      <c r="A419" s="53" t="str">
        <f aca="false">IF($B419="","",ROW()-5)</f>
        <v/>
      </c>
      <c r="B419" s="54"/>
      <c r="C419" s="33"/>
      <c r="D419" s="33"/>
      <c r="E419" s="32"/>
      <c r="F419" s="39"/>
      <c r="G419" s="48" t="str">
        <f aca="false">IF($F419="","",IFERROR(INDEX(商品档案!$B$6:$B$65,MATCH($F419,商品档案!$A$6:$A$65,0)),""))</f>
        <v/>
      </c>
      <c r="H419" s="48" t="str">
        <f aca="false">IF($F419="","",IFERROR(INDEX(商品档案!$C$6:$C$65,MATCH($F419,商品档案!$A$6:$A$65,0)),""))</f>
        <v/>
      </c>
      <c r="I419" s="55" t="str">
        <f aca="false">IF($F419="","",IFERROR(INDEX(商品档案!$D$6:$D$65,MATCH($F419,商品档案!$A$6:$A$65,0)),""))</f>
        <v/>
      </c>
      <c r="J419" s="49"/>
      <c r="K419" s="56"/>
      <c r="L419" s="33"/>
      <c r="M419" s="39"/>
      <c r="N419" s="41"/>
      <c r="O419" s="41"/>
      <c r="P419" s="25" t="str">
        <f aca="false">IF(AND($B419="",$D419="",$F419=""),"",IF(NOT(ISNUMBER($B419)),"日期无效",IF(ISNA(MATCH($C419,参数设置!$A$10:$A$12,0)),"公司无效",IF(ISNA(MATCH($D419,记账规则!$A$6:$A$9,0)),"业务类型无效",IF(ISNA(MATCH($F419,商品档案!$A$6:$A$65,0)),"商品编码无效",IF(IFERROR(INDEX(商品档案!$E$6:$E$65,MATCH($F419,商品档案!$A$6:$A$65,0)),"")&lt;&gt;$C419,"商品不属于该公司",IF(AND($E419&lt;&gt;"",ISNA(MATCH($E419,往来单位!$A$6:$A$85,0))),"往来单位未建档",IF(N($J419)=0,"数量为 0",IF(N($K419)=0,"单价为 0",IF(AND(LEFT($D419,2)="销售",$U419=""),"该商品没设成本科目",IF(YEAR($B419)&lt;&gt;参数设置!$B$5,"不在本会计年度","OK")))))))))))</f>
        <v/>
      </c>
      <c r="Q419" s="57" t="str">
        <f aca="false">IF($F419="","",ROUND(N($J419)*N($K419),2))</f>
        <v/>
      </c>
      <c r="R419" s="58" t="str">
        <f aca="false">IF($D419="","",IF(LEFT($D419,2)="销售","应收账款","应付账款"))</f>
        <v/>
      </c>
      <c r="S419" s="58" t="str">
        <f aca="false">IF($F419="","",IFERROR(INDEX(商品档案!$G$6:$G$65,MATCH($F419,商品档案!$A$6:$A$65,0)),""))</f>
        <v/>
      </c>
      <c r="T419" s="58" t="str">
        <f aca="false">IF($F419="","",IFERROR(INDEX(商品档案!$H$6:$H$65,MATCH($F419,商品档案!$A$6:$A$65,0)),""))</f>
        <v/>
      </c>
      <c r="U419" s="58" t="str">
        <f aca="false">IF($F419="","",IFERROR(INDEX(商品档案!$I$6:$I$65,MATCH($F419,商品档案!$A$6:$A$65,0)),""))</f>
        <v/>
      </c>
      <c r="V419" s="59" t="str">
        <f aca="false">IF($F419="","",SUMIFS(进销存台账!$N$6:$N$65,进销存台账!$A$6:$A$65,$C419,进销存台账!$B$6:$B$65,$F419))</f>
        <v/>
      </c>
      <c r="W419" s="60" t="n">
        <f aca="false">IF(OR($D419="销售出库",$D419="销售退回"),ROUND(N($J419)*N($V419),2),0)</f>
        <v>0</v>
      </c>
      <c r="X419" s="58" t="str">
        <f aca="false">IF($E419="","",IFERROR(INDEX(往来单位!$D$6:$D$85,MATCH($E419,往来单位!$A$6:$A$85,0)),"否"))</f>
        <v/>
      </c>
      <c r="Y419" s="61" t="str">
        <f aca="false">IF($B419="","",YEAR($B419))</f>
        <v/>
      </c>
      <c r="Z419" s="58" t="str">
        <f aca="false">IF($B419="","",TEXT($B419,"yyyy-mm"))</f>
        <v/>
      </c>
    </row>
    <row r="420" customFormat="false" ht="15" hidden="false" customHeight="false" outlineLevel="0" collapsed="false">
      <c r="A420" s="53" t="str">
        <f aca="false">IF($B420="","",ROW()-5)</f>
        <v/>
      </c>
      <c r="B420" s="54"/>
      <c r="C420" s="33"/>
      <c r="D420" s="33"/>
      <c r="E420" s="32"/>
      <c r="F420" s="39"/>
      <c r="G420" s="48" t="str">
        <f aca="false">IF($F420="","",IFERROR(INDEX(商品档案!$B$6:$B$65,MATCH($F420,商品档案!$A$6:$A$65,0)),""))</f>
        <v/>
      </c>
      <c r="H420" s="48" t="str">
        <f aca="false">IF($F420="","",IFERROR(INDEX(商品档案!$C$6:$C$65,MATCH($F420,商品档案!$A$6:$A$65,0)),""))</f>
        <v/>
      </c>
      <c r="I420" s="55" t="str">
        <f aca="false">IF($F420="","",IFERROR(INDEX(商品档案!$D$6:$D$65,MATCH($F420,商品档案!$A$6:$A$65,0)),""))</f>
        <v/>
      </c>
      <c r="J420" s="49"/>
      <c r="K420" s="56"/>
      <c r="L420" s="33"/>
      <c r="M420" s="39"/>
      <c r="N420" s="41"/>
      <c r="O420" s="41"/>
      <c r="P420" s="25" t="str">
        <f aca="false">IF(AND($B420="",$D420="",$F420=""),"",IF(NOT(ISNUMBER($B420)),"日期无效",IF(ISNA(MATCH($C420,参数设置!$A$10:$A$12,0)),"公司无效",IF(ISNA(MATCH($D420,记账规则!$A$6:$A$9,0)),"业务类型无效",IF(ISNA(MATCH($F420,商品档案!$A$6:$A$65,0)),"商品编码无效",IF(IFERROR(INDEX(商品档案!$E$6:$E$65,MATCH($F420,商品档案!$A$6:$A$65,0)),"")&lt;&gt;$C420,"商品不属于该公司",IF(AND($E420&lt;&gt;"",ISNA(MATCH($E420,往来单位!$A$6:$A$85,0))),"往来单位未建档",IF(N($J420)=0,"数量为 0",IF(N($K420)=0,"单价为 0",IF(AND(LEFT($D420,2)="销售",$U420=""),"该商品没设成本科目",IF(YEAR($B420)&lt;&gt;参数设置!$B$5,"不在本会计年度","OK")))))))))))</f>
        <v/>
      </c>
      <c r="Q420" s="57" t="str">
        <f aca="false">IF($F420="","",ROUND(N($J420)*N($K420),2))</f>
        <v/>
      </c>
      <c r="R420" s="58" t="str">
        <f aca="false">IF($D420="","",IF(LEFT($D420,2)="销售","应收账款","应付账款"))</f>
        <v/>
      </c>
      <c r="S420" s="58" t="str">
        <f aca="false">IF($F420="","",IFERROR(INDEX(商品档案!$G$6:$G$65,MATCH($F420,商品档案!$A$6:$A$65,0)),""))</f>
        <v/>
      </c>
      <c r="T420" s="58" t="str">
        <f aca="false">IF($F420="","",IFERROR(INDEX(商品档案!$H$6:$H$65,MATCH($F420,商品档案!$A$6:$A$65,0)),""))</f>
        <v/>
      </c>
      <c r="U420" s="58" t="str">
        <f aca="false">IF($F420="","",IFERROR(INDEX(商品档案!$I$6:$I$65,MATCH($F420,商品档案!$A$6:$A$65,0)),""))</f>
        <v/>
      </c>
      <c r="V420" s="59" t="str">
        <f aca="false">IF($F420="","",SUMIFS(进销存台账!$N$6:$N$65,进销存台账!$A$6:$A$65,$C420,进销存台账!$B$6:$B$65,$F420))</f>
        <v/>
      </c>
      <c r="W420" s="60" t="n">
        <f aca="false">IF(OR($D420="销售出库",$D420="销售退回"),ROUND(N($J420)*N($V420),2),0)</f>
        <v>0</v>
      </c>
      <c r="X420" s="58" t="str">
        <f aca="false">IF($E420="","",IFERROR(INDEX(往来单位!$D$6:$D$85,MATCH($E420,往来单位!$A$6:$A$85,0)),"否"))</f>
        <v/>
      </c>
      <c r="Y420" s="61" t="str">
        <f aca="false">IF($B420="","",YEAR($B420))</f>
        <v/>
      </c>
      <c r="Z420" s="58" t="str">
        <f aca="false">IF($B420="","",TEXT($B420,"yyyy-mm"))</f>
        <v/>
      </c>
    </row>
    <row r="421" customFormat="false" ht="15" hidden="false" customHeight="false" outlineLevel="0" collapsed="false">
      <c r="A421" s="53" t="str">
        <f aca="false">IF($B421="","",ROW()-5)</f>
        <v/>
      </c>
      <c r="B421" s="54"/>
      <c r="C421" s="33"/>
      <c r="D421" s="33"/>
      <c r="E421" s="32"/>
      <c r="F421" s="39"/>
      <c r="G421" s="48" t="str">
        <f aca="false">IF($F421="","",IFERROR(INDEX(商品档案!$B$6:$B$65,MATCH($F421,商品档案!$A$6:$A$65,0)),""))</f>
        <v/>
      </c>
      <c r="H421" s="48" t="str">
        <f aca="false">IF($F421="","",IFERROR(INDEX(商品档案!$C$6:$C$65,MATCH($F421,商品档案!$A$6:$A$65,0)),""))</f>
        <v/>
      </c>
      <c r="I421" s="55" t="str">
        <f aca="false">IF($F421="","",IFERROR(INDEX(商品档案!$D$6:$D$65,MATCH($F421,商品档案!$A$6:$A$65,0)),""))</f>
        <v/>
      </c>
      <c r="J421" s="49"/>
      <c r="K421" s="56"/>
      <c r="L421" s="33"/>
      <c r="M421" s="39"/>
      <c r="N421" s="41"/>
      <c r="O421" s="41"/>
      <c r="P421" s="25" t="str">
        <f aca="false">IF(AND($B421="",$D421="",$F421=""),"",IF(NOT(ISNUMBER($B421)),"日期无效",IF(ISNA(MATCH($C421,参数设置!$A$10:$A$12,0)),"公司无效",IF(ISNA(MATCH($D421,记账规则!$A$6:$A$9,0)),"业务类型无效",IF(ISNA(MATCH($F421,商品档案!$A$6:$A$65,0)),"商品编码无效",IF(IFERROR(INDEX(商品档案!$E$6:$E$65,MATCH($F421,商品档案!$A$6:$A$65,0)),"")&lt;&gt;$C421,"商品不属于该公司",IF(AND($E421&lt;&gt;"",ISNA(MATCH($E421,往来单位!$A$6:$A$85,0))),"往来单位未建档",IF(N($J421)=0,"数量为 0",IF(N($K421)=0,"单价为 0",IF(AND(LEFT($D421,2)="销售",$U421=""),"该商品没设成本科目",IF(YEAR($B421)&lt;&gt;参数设置!$B$5,"不在本会计年度","OK")))))))))))</f>
        <v/>
      </c>
      <c r="Q421" s="57" t="str">
        <f aca="false">IF($F421="","",ROUND(N($J421)*N($K421),2))</f>
        <v/>
      </c>
      <c r="R421" s="58" t="str">
        <f aca="false">IF($D421="","",IF(LEFT($D421,2)="销售","应收账款","应付账款"))</f>
        <v/>
      </c>
      <c r="S421" s="58" t="str">
        <f aca="false">IF($F421="","",IFERROR(INDEX(商品档案!$G$6:$G$65,MATCH($F421,商品档案!$A$6:$A$65,0)),""))</f>
        <v/>
      </c>
      <c r="T421" s="58" t="str">
        <f aca="false">IF($F421="","",IFERROR(INDEX(商品档案!$H$6:$H$65,MATCH($F421,商品档案!$A$6:$A$65,0)),""))</f>
        <v/>
      </c>
      <c r="U421" s="58" t="str">
        <f aca="false">IF($F421="","",IFERROR(INDEX(商品档案!$I$6:$I$65,MATCH($F421,商品档案!$A$6:$A$65,0)),""))</f>
        <v/>
      </c>
      <c r="V421" s="59" t="str">
        <f aca="false">IF($F421="","",SUMIFS(进销存台账!$N$6:$N$65,进销存台账!$A$6:$A$65,$C421,进销存台账!$B$6:$B$65,$F421))</f>
        <v/>
      </c>
      <c r="W421" s="60" t="n">
        <f aca="false">IF(OR($D421="销售出库",$D421="销售退回"),ROUND(N($J421)*N($V421),2),0)</f>
        <v>0</v>
      </c>
      <c r="X421" s="58" t="str">
        <f aca="false">IF($E421="","",IFERROR(INDEX(往来单位!$D$6:$D$85,MATCH($E421,往来单位!$A$6:$A$85,0)),"否"))</f>
        <v/>
      </c>
      <c r="Y421" s="61" t="str">
        <f aca="false">IF($B421="","",YEAR($B421))</f>
        <v/>
      </c>
      <c r="Z421" s="58" t="str">
        <f aca="false">IF($B421="","",TEXT($B421,"yyyy-mm"))</f>
        <v/>
      </c>
    </row>
    <row r="422" customFormat="false" ht="15" hidden="false" customHeight="false" outlineLevel="0" collapsed="false">
      <c r="A422" s="53" t="str">
        <f aca="false">IF($B422="","",ROW()-5)</f>
        <v/>
      </c>
      <c r="B422" s="54"/>
      <c r="C422" s="33"/>
      <c r="D422" s="33"/>
      <c r="E422" s="32"/>
      <c r="F422" s="39"/>
      <c r="G422" s="48" t="str">
        <f aca="false">IF($F422="","",IFERROR(INDEX(商品档案!$B$6:$B$65,MATCH($F422,商品档案!$A$6:$A$65,0)),""))</f>
        <v/>
      </c>
      <c r="H422" s="48" t="str">
        <f aca="false">IF($F422="","",IFERROR(INDEX(商品档案!$C$6:$C$65,MATCH($F422,商品档案!$A$6:$A$65,0)),""))</f>
        <v/>
      </c>
      <c r="I422" s="55" t="str">
        <f aca="false">IF($F422="","",IFERROR(INDEX(商品档案!$D$6:$D$65,MATCH($F422,商品档案!$A$6:$A$65,0)),""))</f>
        <v/>
      </c>
      <c r="J422" s="49"/>
      <c r="K422" s="56"/>
      <c r="L422" s="33"/>
      <c r="M422" s="39"/>
      <c r="N422" s="41"/>
      <c r="O422" s="41"/>
      <c r="P422" s="25" t="str">
        <f aca="false">IF(AND($B422="",$D422="",$F422=""),"",IF(NOT(ISNUMBER($B422)),"日期无效",IF(ISNA(MATCH($C422,参数设置!$A$10:$A$12,0)),"公司无效",IF(ISNA(MATCH($D422,记账规则!$A$6:$A$9,0)),"业务类型无效",IF(ISNA(MATCH($F422,商品档案!$A$6:$A$65,0)),"商品编码无效",IF(IFERROR(INDEX(商品档案!$E$6:$E$65,MATCH($F422,商品档案!$A$6:$A$65,0)),"")&lt;&gt;$C422,"商品不属于该公司",IF(AND($E422&lt;&gt;"",ISNA(MATCH($E422,往来单位!$A$6:$A$85,0))),"往来单位未建档",IF(N($J422)=0,"数量为 0",IF(N($K422)=0,"单价为 0",IF(AND(LEFT($D422,2)="销售",$U422=""),"该商品没设成本科目",IF(YEAR($B422)&lt;&gt;参数设置!$B$5,"不在本会计年度","OK")))))))))))</f>
        <v/>
      </c>
      <c r="Q422" s="57" t="str">
        <f aca="false">IF($F422="","",ROUND(N($J422)*N($K422),2))</f>
        <v/>
      </c>
      <c r="R422" s="58" t="str">
        <f aca="false">IF($D422="","",IF(LEFT($D422,2)="销售","应收账款","应付账款"))</f>
        <v/>
      </c>
      <c r="S422" s="58" t="str">
        <f aca="false">IF($F422="","",IFERROR(INDEX(商品档案!$G$6:$G$65,MATCH($F422,商品档案!$A$6:$A$65,0)),""))</f>
        <v/>
      </c>
      <c r="T422" s="58" t="str">
        <f aca="false">IF($F422="","",IFERROR(INDEX(商品档案!$H$6:$H$65,MATCH($F422,商品档案!$A$6:$A$65,0)),""))</f>
        <v/>
      </c>
      <c r="U422" s="58" t="str">
        <f aca="false">IF($F422="","",IFERROR(INDEX(商品档案!$I$6:$I$65,MATCH($F422,商品档案!$A$6:$A$65,0)),""))</f>
        <v/>
      </c>
      <c r="V422" s="59" t="str">
        <f aca="false">IF($F422="","",SUMIFS(进销存台账!$N$6:$N$65,进销存台账!$A$6:$A$65,$C422,进销存台账!$B$6:$B$65,$F422))</f>
        <v/>
      </c>
      <c r="W422" s="60" t="n">
        <f aca="false">IF(OR($D422="销售出库",$D422="销售退回"),ROUND(N($J422)*N($V422),2),0)</f>
        <v>0</v>
      </c>
      <c r="X422" s="58" t="str">
        <f aca="false">IF($E422="","",IFERROR(INDEX(往来单位!$D$6:$D$85,MATCH($E422,往来单位!$A$6:$A$85,0)),"否"))</f>
        <v/>
      </c>
      <c r="Y422" s="61" t="str">
        <f aca="false">IF($B422="","",YEAR($B422))</f>
        <v/>
      </c>
      <c r="Z422" s="58" t="str">
        <f aca="false">IF($B422="","",TEXT($B422,"yyyy-mm"))</f>
        <v/>
      </c>
    </row>
    <row r="423" customFormat="false" ht="15" hidden="false" customHeight="false" outlineLevel="0" collapsed="false">
      <c r="A423" s="53" t="str">
        <f aca="false">IF($B423="","",ROW()-5)</f>
        <v/>
      </c>
      <c r="B423" s="54"/>
      <c r="C423" s="33"/>
      <c r="D423" s="33"/>
      <c r="E423" s="32"/>
      <c r="F423" s="39"/>
      <c r="G423" s="48" t="str">
        <f aca="false">IF($F423="","",IFERROR(INDEX(商品档案!$B$6:$B$65,MATCH($F423,商品档案!$A$6:$A$65,0)),""))</f>
        <v/>
      </c>
      <c r="H423" s="48" t="str">
        <f aca="false">IF($F423="","",IFERROR(INDEX(商品档案!$C$6:$C$65,MATCH($F423,商品档案!$A$6:$A$65,0)),""))</f>
        <v/>
      </c>
      <c r="I423" s="55" t="str">
        <f aca="false">IF($F423="","",IFERROR(INDEX(商品档案!$D$6:$D$65,MATCH($F423,商品档案!$A$6:$A$65,0)),""))</f>
        <v/>
      </c>
      <c r="J423" s="49"/>
      <c r="K423" s="56"/>
      <c r="L423" s="33"/>
      <c r="M423" s="39"/>
      <c r="N423" s="41"/>
      <c r="O423" s="41"/>
      <c r="P423" s="25" t="str">
        <f aca="false">IF(AND($B423="",$D423="",$F423=""),"",IF(NOT(ISNUMBER($B423)),"日期无效",IF(ISNA(MATCH($C423,参数设置!$A$10:$A$12,0)),"公司无效",IF(ISNA(MATCH($D423,记账规则!$A$6:$A$9,0)),"业务类型无效",IF(ISNA(MATCH($F423,商品档案!$A$6:$A$65,0)),"商品编码无效",IF(IFERROR(INDEX(商品档案!$E$6:$E$65,MATCH($F423,商品档案!$A$6:$A$65,0)),"")&lt;&gt;$C423,"商品不属于该公司",IF(AND($E423&lt;&gt;"",ISNA(MATCH($E423,往来单位!$A$6:$A$85,0))),"往来单位未建档",IF(N($J423)=0,"数量为 0",IF(N($K423)=0,"单价为 0",IF(AND(LEFT($D423,2)="销售",$U423=""),"该商品没设成本科目",IF(YEAR($B423)&lt;&gt;参数设置!$B$5,"不在本会计年度","OK")))))))))))</f>
        <v/>
      </c>
      <c r="Q423" s="57" t="str">
        <f aca="false">IF($F423="","",ROUND(N($J423)*N($K423),2))</f>
        <v/>
      </c>
      <c r="R423" s="58" t="str">
        <f aca="false">IF($D423="","",IF(LEFT($D423,2)="销售","应收账款","应付账款"))</f>
        <v/>
      </c>
      <c r="S423" s="58" t="str">
        <f aca="false">IF($F423="","",IFERROR(INDEX(商品档案!$G$6:$G$65,MATCH($F423,商品档案!$A$6:$A$65,0)),""))</f>
        <v/>
      </c>
      <c r="T423" s="58" t="str">
        <f aca="false">IF($F423="","",IFERROR(INDEX(商品档案!$H$6:$H$65,MATCH($F423,商品档案!$A$6:$A$65,0)),""))</f>
        <v/>
      </c>
      <c r="U423" s="58" t="str">
        <f aca="false">IF($F423="","",IFERROR(INDEX(商品档案!$I$6:$I$65,MATCH($F423,商品档案!$A$6:$A$65,0)),""))</f>
        <v/>
      </c>
      <c r="V423" s="59" t="str">
        <f aca="false">IF($F423="","",SUMIFS(进销存台账!$N$6:$N$65,进销存台账!$A$6:$A$65,$C423,进销存台账!$B$6:$B$65,$F423))</f>
        <v/>
      </c>
      <c r="W423" s="60" t="n">
        <f aca="false">IF(OR($D423="销售出库",$D423="销售退回"),ROUND(N($J423)*N($V423),2),0)</f>
        <v>0</v>
      </c>
      <c r="X423" s="58" t="str">
        <f aca="false">IF($E423="","",IFERROR(INDEX(往来单位!$D$6:$D$85,MATCH($E423,往来单位!$A$6:$A$85,0)),"否"))</f>
        <v/>
      </c>
      <c r="Y423" s="61" t="str">
        <f aca="false">IF($B423="","",YEAR($B423))</f>
        <v/>
      </c>
      <c r="Z423" s="58" t="str">
        <f aca="false">IF($B423="","",TEXT($B423,"yyyy-mm"))</f>
        <v/>
      </c>
    </row>
    <row r="424" customFormat="false" ht="15" hidden="false" customHeight="false" outlineLevel="0" collapsed="false">
      <c r="A424" s="53" t="str">
        <f aca="false">IF($B424="","",ROW()-5)</f>
        <v/>
      </c>
      <c r="B424" s="54"/>
      <c r="C424" s="33"/>
      <c r="D424" s="33"/>
      <c r="E424" s="32"/>
      <c r="F424" s="39"/>
      <c r="G424" s="48" t="str">
        <f aca="false">IF($F424="","",IFERROR(INDEX(商品档案!$B$6:$B$65,MATCH($F424,商品档案!$A$6:$A$65,0)),""))</f>
        <v/>
      </c>
      <c r="H424" s="48" t="str">
        <f aca="false">IF($F424="","",IFERROR(INDEX(商品档案!$C$6:$C$65,MATCH($F424,商品档案!$A$6:$A$65,0)),""))</f>
        <v/>
      </c>
      <c r="I424" s="55" t="str">
        <f aca="false">IF($F424="","",IFERROR(INDEX(商品档案!$D$6:$D$65,MATCH($F424,商品档案!$A$6:$A$65,0)),""))</f>
        <v/>
      </c>
      <c r="J424" s="49"/>
      <c r="K424" s="56"/>
      <c r="L424" s="33"/>
      <c r="M424" s="39"/>
      <c r="N424" s="41"/>
      <c r="O424" s="41"/>
      <c r="P424" s="25" t="str">
        <f aca="false">IF(AND($B424="",$D424="",$F424=""),"",IF(NOT(ISNUMBER($B424)),"日期无效",IF(ISNA(MATCH($C424,参数设置!$A$10:$A$12,0)),"公司无效",IF(ISNA(MATCH($D424,记账规则!$A$6:$A$9,0)),"业务类型无效",IF(ISNA(MATCH($F424,商品档案!$A$6:$A$65,0)),"商品编码无效",IF(IFERROR(INDEX(商品档案!$E$6:$E$65,MATCH($F424,商品档案!$A$6:$A$65,0)),"")&lt;&gt;$C424,"商品不属于该公司",IF(AND($E424&lt;&gt;"",ISNA(MATCH($E424,往来单位!$A$6:$A$85,0))),"往来单位未建档",IF(N($J424)=0,"数量为 0",IF(N($K424)=0,"单价为 0",IF(AND(LEFT($D424,2)="销售",$U424=""),"该商品没设成本科目",IF(YEAR($B424)&lt;&gt;参数设置!$B$5,"不在本会计年度","OK")))))))))))</f>
        <v/>
      </c>
      <c r="Q424" s="57" t="str">
        <f aca="false">IF($F424="","",ROUND(N($J424)*N($K424),2))</f>
        <v/>
      </c>
      <c r="R424" s="58" t="str">
        <f aca="false">IF($D424="","",IF(LEFT($D424,2)="销售","应收账款","应付账款"))</f>
        <v/>
      </c>
      <c r="S424" s="58" t="str">
        <f aca="false">IF($F424="","",IFERROR(INDEX(商品档案!$G$6:$G$65,MATCH($F424,商品档案!$A$6:$A$65,0)),""))</f>
        <v/>
      </c>
      <c r="T424" s="58" t="str">
        <f aca="false">IF($F424="","",IFERROR(INDEX(商品档案!$H$6:$H$65,MATCH($F424,商品档案!$A$6:$A$65,0)),""))</f>
        <v/>
      </c>
      <c r="U424" s="58" t="str">
        <f aca="false">IF($F424="","",IFERROR(INDEX(商品档案!$I$6:$I$65,MATCH($F424,商品档案!$A$6:$A$65,0)),""))</f>
        <v/>
      </c>
      <c r="V424" s="59" t="str">
        <f aca="false">IF($F424="","",SUMIFS(进销存台账!$N$6:$N$65,进销存台账!$A$6:$A$65,$C424,进销存台账!$B$6:$B$65,$F424))</f>
        <v/>
      </c>
      <c r="W424" s="60" t="n">
        <f aca="false">IF(OR($D424="销售出库",$D424="销售退回"),ROUND(N($J424)*N($V424),2),0)</f>
        <v>0</v>
      </c>
      <c r="X424" s="58" t="str">
        <f aca="false">IF($E424="","",IFERROR(INDEX(往来单位!$D$6:$D$85,MATCH($E424,往来单位!$A$6:$A$85,0)),"否"))</f>
        <v/>
      </c>
      <c r="Y424" s="61" t="str">
        <f aca="false">IF($B424="","",YEAR($B424))</f>
        <v/>
      </c>
      <c r="Z424" s="58" t="str">
        <f aca="false">IF($B424="","",TEXT($B424,"yyyy-mm"))</f>
        <v/>
      </c>
    </row>
    <row r="425" customFormat="false" ht="15" hidden="false" customHeight="false" outlineLevel="0" collapsed="false">
      <c r="A425" s="53" t="str">
        <f aca="false">IF($B425="","",ROW()-5)</f>
        <v/>
      </c>
      <c r="B425" s="54"/>
      <c r="C425" s="33"/>
      <c r="D425" s="33"/>
      <c r="E425" s="32"/>
      <c r="F425" s="39"/>
      <c r="G425" s="48" t="str">
        <f aca="false">IF($F425="","",IFERROR(INDEX(商品档案!$B$6:$B$65,MATCH($F425,商品档案!$A$6:$A$65,0)),""))</f>
        <v/>
      </c>
      <c r="H425" s="48" t="str">
        <f aca="false">IF($F425="","",IFERROR(INDEX(商品档案!$C$6:$C$65,MATCH($F425,商品档案!$A$6:$A$65,0)),""))</f>
        <v/>
      </c>
      <c r="I425" s="55" t="str">
        <f aca="false">IF($F425="","",IFERROR(INDEX(商品档案!$D$6:$D$65,MATCH($F425,商品档案!$A$6:$A$65,0)),""))</f>
        <v/>
      </c>
      <c r="J425" s="49"/>
      <c r="K425" s="56"/>
      <c r="L425" s="33"/>
      <c r="M425" s="39"/>
      <c r="N425" s="41"/>
      <c r="O425" s="41"/>
      <c r="P425" s="25" t="str">
        <f aca="false">IF(AND($B425="",$D425="",$F425=""),"",IF(NOT(ISNUMBER($B425)),"日期无效",IF(ISNA(MATCH($C425,参数设置!$A$10:$A$12,0)),"公司无效",IF(ISNA(MATCH($D425,记账规则!$A$6:$A$9,0)),"业务类型无效",IF(ISNA(MATCH($F425,商品档案!$A$6:$A$65,0)),"商品编码无效",IF(IFERROR(INDEX(商品档案!$E$6:$E$65,MATCH($F425,商品档案!$A$6:$A$65,0)),"")&lt;&gt;$C425,"商品不属于该公司",IF(AND($E425&lt;&gt;"",ISNA(MATCH($E425,往来单位!$A$6:$A$85,0))),"往来单位未建档",IF(N($J425)=0,"数量为 0",IF(N($K425)=0,"单价为 0",IF(AND(LEFT($D425,2)="销售",$U425=""),"该商品没设成本科目",IF(YEAR($B425)&lt;&gt;参数设置!$B$5,"不在本会计年度","OK")))))))))))</f>
        <v/>
      </c>
      <c r="Q425" s="57" t="str">
        <f aca="false">IF($F425="","",ROUND(N($J425)*N($K425),2))</f>
        <v/>
      </c>
      <c r="R425" s="58" t="str">
        <f aca="false">IF($D425="","",IF(LEFT($D425,2)="销售","应收账款","应付账款"))</f>
        <v/>
      </c>
      <c r="S425" s="58" t="str">
        <f aca="false">IF($F425="","",IFERROR(INDEX(商品档案!$G$6:$G$65,MATCH($F425,商品档案!$A$6:$A$65,0)),""))</f>
        <v/>
      </c>
      <c r="T425" s="58" t="str">
        <f aca="false">IF($F425="","",IFERROR(INDEX(商品档案!$H$6:$H$65,MATCH($F425,商品档案!$A$6:$A$65,0)),""))</f>
        <v/>
      </c>
      <c r="U425" s="58" t="str">
        <f aca="false">IF($F425="","",IFERROR(INDEX(商品档案!$I$6:$I$65,MATCH($F425,商品档案!$A$6:$A$65,0)),""))</f>
        <v/>
      </c>
      <c r="V425" s="59" t="str">
        <f aca="false">IF($F425="","",SUMIFS(进销存台账!$N$6:$N$65,进销存台账!$A$6:$A$65,$C425,进销存台账!$B$6:$B$65,$F425))</f>
        <v/>
      </c>
      <c r="W425" s="60" t="n">
        <f aca="false">IF(OR($D425="销售出库",$D425="销售退回"),ROUND(N($J425)*N($V425),2),0)</f>
        <v>0</v>
      </c>
      <c r="X425" s="58" t="str">
        <f aca="false">IF($E425="","",IFERROR(INDEX(往来单位!$D$6:$D$85,MATCH($E425,往来单位!$A$6:$A$85,0)),"否"))</f>
        <v/>
      </c>
      <c r="Y425" s="61" t="str">
        <f aca="false">IF($B425="","",YEAR($B425))</f>
        <v/>
      </c>
      <c r="Z425" s="58" t="str">
        <f aca="false">IF($B425="","",TEXT($B425,"yyyy-mm"))</f>
        <v/>
      </c>
    </row>
    <row r="426" customFormat="false" ht="15" hidden="false" customHeight="false" outlineLevel="0" collapsed="false">
      <c r="A426" s="53" t="str">
        <f aca="false">IF($B426="","",ROW()-5)</f>
        <v/>
      </c>
      <c r="B426" s="54"/>
      <c r="C426" s="33"/>
      <c r="D426" s="33"/>
      <c r="E426" s="32"/>
      <c r="F426" s="39"/>
      <c r="G426" s="48" t="str">
        <f aca="false">IF($F426="","",IFERROR(INDEX(商品档案!$B$6:$B$65,MATCH($F426,商品档案!$A$6:$A$65,0)),""))</f>
        <v/>
      </c>
      <c r="H426" s="48" t="str">
        <f aca="false">IF($F426="","",IFERROR(INDEX(商品档案!$C$6:$C$65,MATCH($F426,商品档案!$A$6:$A$65,0)),""))</f>
        <v/>
      </c>
      <c r="I426" s="55" t="str">
        <f aca="false">IF($F426="","",IFERROR(INDEX(商品档案!$D$6:$D$65,MATCH($F426,商品档案!$A$6:$A$65,0)),""))</f>
        <v/>
      </c>
      <c r="J426" s="49"/>
      <c r="K426" s="56"/>
      <c r="L426" s="33"/>
      <c r="M426" s="39"/>
      <c r="N426" s="41"/>
      <c r="O426" s="41"/>
      <c r="P426" s="25" t="str">
        <f aca="false">IF(AND($B426="",$D426="",$F426=""),"",IF(NOT(ISNUMBER($B426)),"日期无效",IF(ISNA(MATCH($C426,参数设置!$A$10:$A$12,0)),"公司无效",IF(ISNA(MATCH($D426,记账规则!$A$6:$A$9,0)),"业务类型无效",IF(ISNA(MATCH($F426,商品档案!$A$6:$A$65,0)),"商品编码无效",IF(IFERROR(INDEX(商品档案!$E$6:$E$65,MATCH($F426,商品档案!$A$6:$A$65,0)),"")&lt;&gt;$C426,"商品不属于该公司",IF(AND($E426&lt;&gt;"",ISNA(MATCH($E426,往来单位!$A$6:$A$85,0))),"往来单位未建档",IF(N($J426)=0,"数量为 0",IF(N($K426)=0,"单价为 0",IF(AND(LEFT($D426,2)="销售",$U426=""),"该商品没设成本科目",IF(YEAR($B426)&lt;&gt;参数设置!$B$5,"不在本会计年度","OK")))))))))))</f>
        <v/>
      </c>
      <c r="Q426" s="57" t="str">
        <f aca="false">IF($F426="","",ROUND(N($J426)*N($K426),2))</f>
        <v/>
      </c>
      <c r="R426" s="58" t="str">
        <f aca="false">IF($D426="","",IF(LEFT($D426,2)="销售","应收账款","应付账款"))</f>
        <v/>
      </c>
      <c r="S426" s="58" t="str">
        <f aca="false">IF($F426="","",IFERROR(INDEX(商品档案!$G$6:$G$65,MATCH($F426,商品档案!$A$6:$A$65,0)),""))</f>
        <v/>
      </c>
      <c r="T426" s="58" t="str">
        <f aca="false">IF($F426="","",IFERROR(INDEX(商品档案!$H$6:$H$65,MATCH($F426,商品档案!$A$6:$A$65,0)),""))</f>
        <v/>
      </c>
      <c r="U426" s="58" t="str">
        <f aca="false">IF($F426="","",IFERROR(INDEX(商品档案!$I$6:$I$65,MATCH($F426,商品档案!$A$6:$A$65,0)),""))</f>
        <v/>
      </c>
      <c r="V426" s="59" t="str">
        <f aca="false">IF($F426="","",SUMIFS(进销存台账!$N$6:$N$65,进销存台账!$A$6:$A$65,$C426,进销存台账!$B$6:$B$65,$F426))</f>
        <v/>
      </c>
      <c r="W426" s="60" t="n">
        <f aca="false">IF(OR($D426="销售出库",$D426="销售退回"),ROUND(N($J426)*N($V426),2),0)</f>
        <v>0</v>
      </c>
      <c r="X426" s="58" t="str">
        <f aca="false">IF($E426="","",IFERROR(INDEX(往来单位!$D$6:$D$85,MATCH($E426,往来单位!$A$6:$A$85,0)),"否"))</f>
        <v/>
      </c>
      <c r="Y426" s="61" t="str">
        <f aca="false">IF($B426="","",YEAR($B426))</f>
        <v/>
      </c>
      <c r="Z426" s="58" t="str">
        <f aca="false">IF($B426="","",TEXT($B426,"yyyy-mm"))</f>
        <v/>
      </c>
    </row>
    <row r="427" customFormat="false" ht="15" hidden="false" customHeight="false" outlineLevel="0" collapsed="false">
      <c r="A427" s="53" t="str">
        <f aca="false">IF($B427="","",ROW()-5)</f>
        <v/>
      </c>
      <c r="B427" s="54"/>
      <c r="C427" s="33"/>
      <c r="D427" s="33"/>
      <c r="E427" s="32"/>
      <c r="F427" s="39"/>
      <c r="G427" s="48" t="str">
        <f aca="false">IF($F427="","",IFERROR(INDEX(商品档案!$B$6:$B$65,MATCH($F427,商品档案!$A$6:$A$65,0)),""))</f>
        <v/>
      </c>
      <c r="H427" s="48" t="str">
        <f aca="false">IF($F427="","",IFERROR(INDEX(商品档案!$C$6:$C$65,MATCH($F427,商品档案!$A$6:$A$65,0)),""))</f>
        <v/>
      </c>
      <c r="I427" s="55" t="str">
        <f aca="false">IF($F427="","",IFERROR(INDEX(商品档案!$D$6:$D$65,MATCH($F427,商品档案!$A$6:$A$65,0)),""))</f>
        <v/>
      </c>
      <c r="J427" s="49"/>
      <c r="K427" s="56"/>
      <c r="L427" s="33"/>
      <c r="M427" s="39"/>
      <c r="N427" s="41"/>
      <c r="O427" s="41"/>
      <c r="P427" s="25" t="str">
        <f aca="false">IF(AND($B427="",$D427="",$F427=""),"",IF(NOT(ISNUMBER($B427)),"日期无效",IF(ISNA(MATCH($C427,参数设置!$A$10:$A$12,0)),"公司无效",IF(ISNA(MATCH($D427,记账规则!$A$6:$A$9,0)),"业务类型无效",IF(ISNA(MATCH($F427,商品档案!$A$6:$A$65,0)),"商品编码无效",IF(IFERROR(INDEX(商品档案!$E$6:$E$65,MATCH($F427,商品档案!$A$6:$A$65,0)),"")&lt;&gt;$C427,"商品不属于该公司",IF(AND($E427&lt;&gt;"",ISNA(MATCH($E427,往来单位!$A$6:$A$85,0))),"往来单位未建档",IF(N($J427)=0,"数量为 0",IF(N($K427)=0,"单价为 0",IF(AND(LEFT($D427,2)="销售",$U427=""),"该商品没设成本科目",IF(YEAR($B427)&lt;&gt;参数设置!$B$5,"不在本会计年度","OK")))))))))))</f>
        <v/>
      </c>
      <c r="Q427" s="57" t="str">
        <f aca="false">IF($F427="","",ROUND(N($J427)*N($K427),2))</f>
        <v/>
      </c>
      <c r="R427" s="58" t="str">
        <f aca="false">IF($D427="","",IF(LEFT($D427,2)="销售","应收账款","应付账款"))</f>
        <v/>
      </c>
      <c r="S427" s="58" t="str">
        <f aca="false">IF($F427="","",IFERROR(INDEX(商品档案!$G$6:$G$65,MATCH($F427,商品档案!$A$6:$A$65,0)),""))</f>
        <v/>
      </c>
      <c r="T427" s="58" t="str">
        <f aca="false">IF($F427="","",IFERROR(INDEX(商品档案!$H$6:$H$65,MATCH($F427,商品档案!$A$6:$A$65,0)),""))</f>
        <v/>
      </c>
      <c r="U427" s="58" t="str">
        <f aca="false">IF($F427="","",IFERROR(INDEX(商品档案!$I$6:$I$65,MATCH($F427,商品档案!$A$6:$A$65,0)),""))</f>
        <v/>
      </c>
      <c r="V427" s="59" t="str">
        <f aca="false">IF($F427="","",SUMIFS(进销存台账!$N$6:$N$65,进销存台账!$A$6:$A$65,$C427,进销存台账!$B$6:$B$65,$F427))</f>
        <v/>
      </c>
      <c r="W427" s="60" t="n">
        <f aca="false">IF(OR($D427="销售出库",$D427="销售退回"),ROUND(N($J427)*N($V427),2),0)</f>
        <v>0</v>
      </c>
      <c r="X427" s="58" t="str">
        <f aca="false">IF($E427="","",IFERROR(INDEX(往来单位!$D$6:$D$85,MATCH($E427,往来单位!$A$6:$A$85,0)),"否"))</f>
        <v/>
      </c>
      <c r="Y427" s="61" t="str">
        <f aca="false">IF($B427="","",YEAR($B427))</f>
        <v/>
      </c>
      <c r="Z427" s="58" t="str">
        <f aca="false">IF($B427="","",TEXT($B427,"yyyy-mm"))</f>
        <v/>
      </c>
    </row>
    <row r="428" customFormat="false" ht="15" hidden="false" customHeight="false" outlineLevel="0" collapsed="false">
      <c r="A428" s="53" t="str">
        <f aca="false">IF($B428="","",ROW()-5)</f>
        <v/>
      </c>
      <c r="B428" s="54"/>
      <c r="C428" s="33"/>
      <c r="D428" s="33"/>
      <c r="E428" s="32"/>
      <c r="F428" s="39"/>
      <c r="G428" s="48" t="str">
        <f aca="false">IF($F428="","",IFERROR(INDEX(商品档案!$B$6:$B$65,MATCH($F428,商品档案!$A$6:$A$65,0)),""))</f>
        <v/>
      </c>
      <c r="H428" s="48" t="str">
        <f aca="false">IF($F428="","",IFERROR(INDEX(商品档案!$C$6:$C$65,MATCH($F428,商品档案!$A$6:$A$65,0)),""))</f>
        <v/>
      </c>
      <c r="I428" s="55" t="str">
        <f aca="false">IF($F428="","",IFERROR(INDEX(商品档案!$D$6:$D$65,MATCH($F428,商品档案!$A$6:$A$65,0)),""))</f>
        <v/>
      </c>
      <c r="J428" s="49"/>
      <c r="K428" s="56"/>
      <c r="L428" s="33"/>
      <c r="M428" s="39"/>
      <c r="N428" s="41"/>
      <c r="O428" s="41"/>
      <c r="P428" s="25" t="str">
        <f aca="false">IF(AND($B428="",$D428="",$F428=""),"",IF(NOT(ISNUMBER($B428)),"日期无效",IF(ISNA(MATCH($C428,参数设置!$A$10:$A$12,0)),"公司无效",IF(ISNA(MATCH($D428,记账规则!$A$6:$A$9,0)),"业务类型无效",IF(ISNA(MATCH($F428,商品档案!$A$6:$A$65,0)),"商品编码无效",IF(IFERROR(INDEX(商品档案!$E$6:$E$65,MATCH($F428,商品档案!$A$6:$A$65,0)),"")&lt;&gt;$C428,"商品不属于该公司",IF(AND($E428&lt;&gt;"",ISNA(MATCH($E428,往来单位!$A$6:$A$85,0))),"往来单位未建档",IF(N($J428)=0,"数量为 0",IF(N($K428)=0,"单价为 0",IF(AND(LEFT($D428,2)="销售",$U428=""),"该商品没设成本科目",IF(YEAR($B428)&lt;&gt;参数设置!$B$5,"不在本会计年度","OK")))))))))))</f>
        <v/>
      </c>
      <c r="Q428" s="57" t="str">
        <f aca="false">IF($F428="","",ROUND(N($J428)*N($K428),2))</f>
        <v/>
      </c>
      <c r="R428" s="58" t="str">
        <f aca="false">IF($D428="","",IF(LEFT($D428,2)="销售","应收账款","应付账款"))</f>
        <v/>
      </c>
      <c r="S428" s="58" t="str">
        <f aca="false">IF($F428="","",IFERROR(INDEX(商品档案!$G$6:$G$65,MATCH($F428,商品档案!$A$6:$A$65,0)),""))</f>
        <v/>
      </c>
      <c r="T428" s="58" t="str">
        <f aca="false">IF($F428="","",IFERROR(INDEX(商品档案!$H$6:$H$65,MATCH($F428,商品档案!$A$6:$A$65,0)),""))</f>
        <v/>
      </c>
      <c r="U428" s="58" t="str">
        <f aca="false">IF($F428="","",IFERROR(INDEX(商品档案!$I$6:$I$65,MATCH($F428,商品档案!$A$6:$A$65,0)),""))</f>
        <v/>
      </c>
      <c r="V428" s="59" t="str">
        <f aca="false">IF($F428="","",SUMIFS(进销存台账!$N$6:$N$65,进销存台账!$A$6:$A$65,$C428,进销存台账!$B$6:$B$65,$F428))</f>
        <v/>
      </c>
      <c r="W428" s="60" t="n">
        <f aca="false">IF(OR($D428="销售出库",$D428="销售退回"),ROUND(N($J428)*N($V428),2),0)</f>
        <v>0</v>
      </c>
      <c r="X428" s="58" t="str">
        <f aca="false">IF($E428="","",IFERROR(INDEX(往来单位!$D$6:$D$85,MATCH($E428,往来单位!$A$6:$A$85,0)),"否"))</f>
        <v/>
      </c>
      <c r="Y428" s="61" t="str">
        <f aca="false">IF($B428="","",YEAR($B428))</f>
        <v/>
      </c>
      <c r="Z428" s="58" t="str">
        <f aca="false">IF($B428="","",TEXT($B428,"yyyy-mm"))</f>
        <v/>
      </c>
    </row>
    <row r="429" customFormat="false" ht="15" hidden="false" customHeight="false" outlineLevel="0" collapsed="false">
      <c r="A429" s="53" t="str">
        <f aca="false">IF($B429="","",ROW()-5)</f>
        <v/>
      </c>
      <c r="B429" s="54"/>
      <c r="C429" s="33"/>
      <c r="D429" s="33"/>
      <c r="E429" s="32"/>
      <c r="F429" s="39"/>
      <c r="G429" s="48" t="str">
        <f aca="false">IF($F429="","",IFERROR(INDEX(商品档案!$B$6:$B$65,MATCH($F429,商品档案!$A$6:$A$65,0)),""))</f>
        <v/>
      </c>
      <c r="H429" s="48" t="str">
        <f aca="false">IF($F429="","",IFERROR(INDEX(商品档案!$C$6:$C$65,MATCH($F429,商品档案!$A$6:$A$65,0)),""))</f>
        <v/>
      </c>
      <c r="I429" s="55" t="str">
        <f aca="false">IF($F429="","",IFERROR(INDEX(商品档案!$D$6:$D$65,MATCH($F429,商品档案!$A$6:$A$65,0)),""))</f>
        <v/>
      </c>
      <c r="J429" s="49"/>
      <c r="K429" s="56"/>
      <c r="L429" s="33"/>
      <c r="M429" s="39"/>
      <c r="N429" s="41"/>
      <c r="O429" s="41"/>
      <c r="P429" s="25" t="str">
        <f aca="false">IF(AND($B429="",$D429="",$F429=""),"",IF(NOT(ISNUMBER($B429)),"日期无效",IF(ISNA(MATCH($C429,参数设置!$A$10:$A$12,0)),"公司无效",IF(ISNA(MATCH($D429,记账规则!$A$6:$A$9,0)),"业务类型无效",IF(ISNA(MATCH($F429,商品档案!$A$6:$A$65,0)),"商品编码无效",IF(IFERROR(INDEX(商品档案!$E$6:$E$65,MATCH($F429,商品档案!$A$6:$A$65,0)),"")&lt;&gt;$C429,"商品不属于该公司",IF(AND($E429&lt;&gt;"",ISNA(MATCH($E429,往来单位!$A$6:$A$85,0))),"往来单位未建档",IF(N($J429)=0,"数量为 0",IF(N($K429)=0,"单价为 0",IF(AND(LEFT($D429,2)="销售",$U429=""),"该商品没设成本科目",IF(YEAR($B429)&lt;&gt;参数设置!$B$5,"不在本会计年度","OK")))))))))))</f>
        <v/>
      </c>
      <c r="Q429" s="57" t="str">
        <f aca="false">IF($F429="","",ROUND(N($J429)*N($K429),2))</f>
        <v/>
      </c>
      <c r="R429" s="58" t="str">
        <f aca="false">IF($D429="","",IF(LEFT($D429,2)="销售","应收账款","应付账款"))</f>
        <v/>
      </c>
      <c r="S429" s="58" t="str">
        <f aca="false">IF($F429="","",IFERROR(INDEX(商品档案!$G$6:$G$65,MATCH($F429,商品档案!$A$6:$A$65,0)),""))</f>
        <v/>
      </c>
      <c r="T429" s="58" t="str">
        <f aca="false">IF($F429="","",IFERROR(INDEX(商品档案!$H$6:$H$65,MATCH($F429,商品档案!$A$6:$A$65,0)),""))</f>
        <v/>
      </c>
      <c r="U429" s="58" t="str">
        <f aca="false">IF($F429="","",IFERROR(INDEX(商品档案!$I$6:$I$65,MATCH($F429,商品档案!$A$6:$A$65,0)),""))</f>
        <v/>
      </c>
      <c r="V429" s="59" t="str">
        <f aca="false">IF($F429="","",SUMIFS(进销存台账!$N$6:$N$65,进销存台账!$A$6:$A$65,$C429,进销存台账!$B$6:$B$65,$F429))</f>
        <v/>
      </c>
      <c r="W429" s="60" t="n">
        <f aca="false">IF(OR($D429="销售出库",$D429="销售退回"),ROUND(N($J429)*N($V429),2),0)</f>
        <v>0</v>
      </c>
      <c r="X429" s="58" t="str">
        <f aca="false">IF($E429="","",IFERROR(INDEX(往来单位!$D$6:$D$85,MATCH($E429,往来单位!$A$6:$A$85,0)),"否"))</f>
        <v/>
      </c>
      <c r="Y429" s="61" t="str">
        <f aca="false">IF($B429="","",YEAR($B429))</f>
        <v/>
      </c>
      <c r="Z429" s="58" t="str">
        <f aca="false">IF($B429="","",TEXT($B429,"yyyy-mm"))</f>
        <v/>
      </c>
    </row>
    <row r="430" customFormat="false" ht="15" hidden="false" customHeight="false" outlineLevel="0" collapsed="false">
      <c r="A430" s="53" t="str">
        <f aca="false">IF($B430="","",ROW()-5)</f>
        <v/>
      </c>
      <c r="B430" s="54"/>
      <c r="C430" s="33"/>
      <c r="D430" s="33"/>
      <c r="E430" s="32"/>
      <c r="F430" s="39"/>
      <c r="G430" s="48" t="str">
        <f aca="false">IF($F430="","",IFERROR(INDEX(商品档案!$B$6:$B$65,MATCH($F430,商品档案!$A$6:$A$65,0)),""))</f>
        <v/>
      </c>
      <c r="H430" s="48" t="str">
        <f aca="false">IF($F430="","",IFERROR(INDEX(商品档案!$C$6:$C$65,MATCH($F430,商品档案!$A$6:$A$65,0)),""))</f>
        <v/>
      </c>
      <c r="I430" s="55" t="str">
        <f aca="false">IF($F430="","",IFERROR(INDEX(商品档案!$D$6:$D$65,MATCH($F430,商品档案!$A$6:$A$65,0)),""))</f>
        <v/>
      </c>
      <c r="J430" s="49"/>
      <c r="K430" s="56"/>
      <c r="L430" s="33"/>
      <c r="M430" s="39"/>
      <c r="N430" s="41"/>
      <c r="O430" s="41"/>
      <c r="P430" s="25" t="str">
        <f aca="false">IF(AND($B430="",$D430="",$F430=""),"",IF(NOT(ISNUMBER($B430)),"日期无效",IF(ISNA(MATCH($C430,参数设置!$A$10:$A$12,0)),"公司无效",IF(ISNA(MATCH($D430,记账规则!$A$6:$A$9,0)),"业务类型无效",IF(ISNA(MATCH($F430,商品档案!$A$6:$A$65,0)),"商品编码无效",IF(IFERROR(INDEX(商品档案!$E$6:$E$65,MATCH($F430,商品档案!$A$6:$A$65,0)),"")&lt;&gt;$C430,"商品不属于该公司",IF(AND($E430&lt;&gt;"",ISNA(MATCH($E430,往来单位!$A$6:$A$85,0))),"往来单位未建档",IF(N($J430)=0,"数量为 0",IF(N($K430)=0,"单价为 0",IF(AND(LEFT($D430,2)="销售",$U430=""),"该商品没设成本科目",IF(YEAR($B430)&lt;&gt;参数设置!$B$5,"不在本会计年度","OK")))))))))))</f>
        <v/>
      </c>
      <c r="Q430" s="57" t="str">
        <f aca="false">IF($F430="","",ROUND(N($J430)*N($K430),2))</f>
        <v/>
      </c>
      <c r="R430" s="58" t="str">
        <f aca="false">IF($D430="","",IF(LEFT($D430,2)="销售","应收账款","应付账款"))</f>
        <v/>
      </c>
      <c r="S430" s="58" t="str">
        <f aca="false">IF($F430="","",IFERROR(INDEX(商品档案!$G$6:$G$65,MATCH($F430,商品档案!$A$6:$A$65,0)),""))</f>
        <v/>
      </c>
      <c r="T430" s="58" t="str">
        <f aca="false">IF($F430="","",IFERROR(INDEX(商品档案!$H$6:$H$65,MATCH($F430,商品档案!$A$6:$A$65,0)),""))</f>
        <v/>
      </c>
      <c r="U430" s="58" t="str">
        <f aca="false">IF($F430="","",IFERROR(INDEX(商品档案!$I$6:$I$65,MATCH($F430,商品档案!$A$6:$A$65,0)),""))</f>
        <v/>
      </c>
      <c r="V430" s="59" t="str">
        <f aca="false">IF($F430="","",SUMIFS(进销存台账!$N$6:$N$65,进销存台账!$A$6:$A$65,$C430,进销存台账!$B$6:$B$65,$F430))</f>
        <v/>
      </c>
      <c r="W430" s="60" t="n">
        <f aca="false">IF(OR($D430="销售出库",$D430="销售退回"),ROUND(N($J430)*N($V430),2),0)</f>
        <v>0</v>
      </c>
      <c r="X430" s="58" t="str">
        <f aca="false">IF($E430="","",IFERROR(INDEX(往来单位!$D$6:$D$85,MATCH($E430,往来单位!$A$6:$A$85,0)),"否"))</f>
        <v/>
      </c>
      <c r="Y430" s="61" t="str">
        <f aca="false">IF($B430="","",YEAR($B430))</f>
        <v/>
      </c>
      <c r="Z430" s="58" t="str">
        <f aca="false">IF($B430="","",TEXT($B430,"yyyy-mm"))</f>
        <v/>
      </c>
    </row>
    <row r="431" customFormat="false" ht="15" hidden="false" customHeight="false" outlineLevel="0" collapsed="false">
      <c r="A431" s="53" t="str">
        <f aca="false">IF($B431="","",ROW()-5)</f>
        <v/>
      </c>
      <c r="B431" s="54"/>
      <c r="C431" s="33"/>
      <c r="D431" s="33"/>
      <c r="E431" s="32"/>
      <c r="F431" s="39"/>
      <c r="G431" s="48" t="str">
        <f aca="false">IF($F431="","",IFERROR(INDEX(商品档案!$B$6:$B$65,MATCH($F431,商品档案!$A$6:$A$65,0)),""))</f>
        <v/>
      </c>
      <c r="H431" s="48" t="str">
        <f aca="false">IF($F431="","",IFERROR(INDEX(商品档案!$C$6:$C$65,MATCH($F431,商品档案!$A$6:$A$65,0)),""))</f>
        <v/>
      </c>
      <c r="I431" s="55" t="str">
        <f aca="false">IF($F431="","",IFERROR(INDEX(商品档案!$D$6:$D$65,MATCH($F431,商品档案!$A$6:$A$65,0)),""))</f>
        <v/>
      </c>
      <c r="J431" s="49"/>
      <c r="K431" s="56"/>
      <c r="L431" s="33"/>
      <c r="M431" s="39"/>
      <c r="N431" s="41"/>
      <c r="O431" s="41"/>
      <c r="P431" s="25" t="str">
        <f aca="false">IF(AND($B431="",$D431="",$F431=""),"",IF(NOT(ISNUMBER($B431)),"日期无效",IF(ISNA(MATCH($C431,参数设置!$A$10:$A$12,0)),"公司无效",IF(ISNA(MATCH($D431,记账规则!$A$6:$A$9,0)),"业务类型无效",IF(ISNA(MATCH($F431,商品档案!$A$6:$A$65,0)),"商品编码无效",IF(IFERROR(INDEX(商品档案!$E$6:$E$65,MATCH($F431,商品档案!$A$6:$A$65,0)),"")&lt;&gt;$C431,"商品不属于该公司",IF(AND($E431&lt;&gt;"",ISNA(MATCH($E431,往来单位!$A$6:$A$85,0))),"往来单位未建档",IF(N($J431)=0,"数量为 0",IF(N($K431)=0,"单价为 0",IF(AND(LEFT($D431,2)="销售",$U431=""),"该商品没设成本科目",IF(YEAR($B431)&lt;&gt;参数设置!$B$5,"不在本会计年度","OK")))))))))))</f>
        <v/>
      </c>
      <c r="Q431" s="57" t="str">
        <f aca="false">IF($F431="","",ROUND(N($J431)*N($K431),2))</f>
        <v/>
      </c>
      <c r="R431" s="58" t="str">
        <f aca="false">IF($D431="","",IF(LEFT($D431,2)="销售","应收账款","应付账款"))</f>
        <v/>
      </c>
      <c r="S431" s="58" t="str">
        <f aca="false">IF($F431="","",IFERROR(INDEX(商品档案!$G$6:$G$65,MATCH($F431,商品档案!$A$6:$A$65,0)),""))</f>
        <v/>
      </c>
      <c r="T431" s="58" t="str">
        <f aca="false">IF($F431="","",IFERROR(INDEX(商品档案!$H$6:$H$65,MATCH($F431,商品档案!$A$6:$A$65,0)),""))</f>
        <v/>
      </c>
      <c r="U431" s="58" t="str">
        <f aca="false">IF($F431="","",IFERROR(INDEX(商品档案!$I$6:$I$65,MATCH($F431,商品档案!$A$6:$A$65,0)),""))</f>
        <v/>
      </c>
      <c r="V431" s="59" t="str">
        <f aca="false">IF($F431="","",SUMIFS(进销存台账!$N$6:$N$65,进销存台账!$A$6:$A$65,$C431,进销存台账!$B$6:$B$65,$F431))</f>
        <v/>
      </c>
      <c r="W431" s="60" t="n">
        <f aca="false">IF(OR($D431="销售出库",$D431="销售退回"),ROUND(N($J431)*N($V431),2),0)</f>
        <v>0</v>
      </c>
      <c r="X431" s="58" t="str">
        <f aca="false">IF($E431="","",IFERROR(INDEX(往来单位!$D$6:$D$85,MATCH($E431,往来单位!$A$6:$A$85,0)),"否"))</f>
        <v/>
      </c>
      <c r="Y431" s="61" t="str">
        <f aca="false">IF($B431="","",YEAR($B431))</f>
        <v/>
      </c>
      <c r="Z431" s="58" t="str">
        <f aca="false">IF($B431="","",TEXT($B431,"yyyy-mm"))</f>
        <v/>
      </c>
    </row>
    <row r="432" customFormat="false" ht="15" hidden="false" customHeight="false" outlineLevel="0" collapsed="false">
      <c r="A432" s="53" t="str">
        <f aca="false">IF($B432="","",ROW()-5)</f>
        <v/>
      </c>
      <c r="B432" s="54"/>
      <c r="C432" s="33"/>
      <c r="D432" s="33"/>
      <c r="E432" s="32"/>
      <c r="F432" s="39"/>
      <c r="G432" s="48" t="str">
        <f aca="false">IF($F432="","",IFERROR(INDEX(商品档案!$B$6:$B$65,MATCH($F432,商品档案!$A$6:$A$65,0)),""))</f>
        <v/>
      </c>
      <c r="H432" s="48" t="str">
        <f aca="false">IF($F432="","",IFERROR(INDEX(商品档案!$C$6:$C$65,MATCH($F432,商品档案!$A$6:$A$65,0)),""))</f>
        <v/>
      </c>
      <c r="I432" s="55" t="str">
        <f aca="false">IF($F432="","",IFERROR(INDEX(商品档案!$D$6:$D$65,MATCH($F432,商品档案!$A$6:$A$65,0)),""))</f>
        <v/>
      </c>
      <c r="J432" s="49"/>
      <c r="K432" s="56"/>
      <c r="L432" s="33"/>
      <c r="M432" s="39"/>
      <c r="N432" s="41"/>
      <c r="O432" s="41"/>
      <c r="P432" s="25" t="str">
        <f aca="false">IF(AND($B432="",$D432="",$F432=""),"",IF(NOT(ISNUMBER($B432)),"日期无效",IF(ISNA(MATCH($C432,参数设置!$A$10:$A$12,0)),"公司无效",IF(ISNA(MATCH($D432,记账规则!$A$6:$A$9,0)),"业务类型无效",IF(ISNA(MATCH($F432,商品档案!$A$6:$A$65,0)),"商品编码无效",IF(IFERROR(INDEX(商品档案!$E$6:$E$65,MATCH($F432,商品档案!$A$6:$A$65,0)),"")&lt;&gt;$C432,"商品不属于该公司",IF(AND($E432&lt;&gt;"",ISNA(MATCH($E432,往来单位!$A$6:$A$85,0))),"往来单位未建档",IF(N($J432)=0,"数量为 0",IF(N($K432)=0,"单价为 0",IF(AND(LEFT($D432,2)="销售",$U432=""),"该商品没设成本科目",IF(YEAR($B432)&lt;&gt;参数设置!$B$5,"不在本会计年度","OK")))))))))))</f>
        <v/>
      </c>
      <c r="Q432" s="57" t="str">
        <f aca="false">IF($F432="","",ROUND(N($J432)*N($K432),2))</f>
        <v/>
      </c>
      <c r="R432" s="58" t="str">
        <f aca="false">IF($D432="","",IF(LEFT($D432,2)="销售","应收账款","应付账款"))</f>
        <v/>
      </c>
      <c r="S432" s="58" t="str">
        <f aca="false">IF($F432="","",IFERROR(INDEX(商品档案!$G$6:$G$65,MATCH($F432,商品档案!$A$6:$A$65,0)),""))</f>
        <v/>
      </c>
      <c r="T432" s="58" t="str">
        <f aca="false">IF($F432="","",IFERROR(INDEX(商品档案!$H$6:$H$65,MATCH($F432,商品档案!$A$6:$A$65,0)),""))</f>
        <v/>
      </c>
      <c r="U432" s="58" t="str">
        <f aca="false">IF($F432="","",IFERROR(INDEX(商品档案!$I$6:$I$65,MATCH($F432,商品档案!$A$6:$A$65,0)),""))</f>
        <v/>
      </c>
      <c r="V432" s="59" t="str">
        <f aca="false">IF($F432="","",SUMIFS(进销存台账!$N$6:$N$65,进销存台账!$A$6:$A$65,$C432,进销存台账!$B$6:$B$65,$F432))</f>
        <v/>
      </c>
      <c r="W432" s="60" t="n">
        <f aca="false">IF(OR($D432="销售出库",$D432="销售退回"),ROUND(N($J432)*N($V432),2),0)</f>
        <v>0</v>
      </c>
      <c r="X432" s="58" t="str">
        <f aca="false">IF($E432="","",IFERROR(INDEX(往来单位!$D$6:$D$85,MATCH($E432,往来单位!$A$6:$A$85,0)),"否"))</f>
        <v/>
      </c>
      <c r="Y432" s="61" t="str">
        <f aca="false">IF($B432="","",YEAR($B432))</f>
        <v/>
      </c>
      <c r="Z432" s="58" t="str">
        <f aca="false">IF($B432="","",TEXT($B432,"yyyy-mm"))</f>
        <v/>
      </c>
    </row>
    <row r="433" customFormat="false" ht="15" hidden="false" customHeight="false" outlineLevel="0" collapsed="false">
      <c r="A433" s="53" t="str">
        <f aca="false">IF($B433="","",ROW()-5)</f>
        <v/>
      </c>
      <c r="B433" s="54"/>
      <c r="C433" s="33"/>
      <c r="D433" s="33"/>
      <c r="E433" s="32"/>
      <c r="F433" s="39"/>
      <c r="G433" s="48" t="str">
        <f aca="false">IF($F433="","",IFERROR(INDEX(商品档案!$B$6:$B$65,MATCH($F433,商品档案!$A$6:$A$65,0)),""))</f>
        <v/>
      </c>
      <c r="H433" s="48" t="str">
        <f aca="false">IF($F433="","",IFERROR(INDEX(商品档案!$C$6:$C$65,MATCH($F433,商品档案!$A$6:$A$65,0)),""))</f>
        <v/>
      </c>
      <c r="I433" s="55" t="str">
        <f aca="false">IF($F433="","",IFERROR(INDEX(商品档案!$D$6:$D$65,MATCH($F433,商品档案!$A$6:$A$65,0)),""))</f>
        <v/>
      </c>
      <c r="J433" s="49"/>
      <c r="K433" s="56"/>
      <c r="L433" s="33"/>
      <c r="M433" s="39"/>
      <c r="N433" s="41"/>
      <c r="O433" s="41"/>
      <c r="P433" s="25" t="str">
        <f aca="false">IF(AND($B433="",$D433="",$F433=""),"",IF(NOT(ISNUMBER($B433)),"日期无效",IF(ISNA(MATCH($C433,参数设置!$A$10:$A$12,0)),"公司无效",IF(ISNA(MATCH($D433,记账规则!$A$6:$A$9,0)),"业务类型无效",IF(ISNA(MATCH($F433,商品档案!$A$6:$A$65,0)),"商品编码无效",IF(IFERROR(INDEX(商品档案!$E$6:$E$65,MATCH($F433,商品档案!$A$6:$A$65,0)),"")&lt;&gt;$C433,"商品不属于该公司",IF(AND($E433&lt;&gt;"",ISNA(MATCH($E433,往来单位!$A$6:$A$85,0))),"往来单位未建档",IF(N($J433)=0,"数量为 0",IF(N($K433)=0,"单价为 0",IF(AND(LEFT($D433,2)="销售",$U433=""),"该商品没设成本科目",IF(YEAR($B433)&lt;&gt;参数设置!$B$5,"不在本会计年度","OK")))))))))))</f>
        <v/>
      </c>
      <c r="Q433" s="57" t="str">
        <f aca="false">IF($F433="","",ROUND(N($J433)*N($K433),2))</f>
        <v/>
      </c>
      <c r="R433" s="58" t="str">
        <f aca="false">IF($D433="","",IF(LEFT($D433,2)="销售","应收账款","应付账款"))</f>
        <v/>
      </c>
      <c r="S433" s="58" t="str">
        <f aca="false">IF($F433="","",IFERROR(INDEX(商品档案!$G$6:$G$65,MATCH($F433,商品档案!$A$6:$A$65,0)),""))</f>
        <v/>
      </c>
      <c r="T433" s="58" t="str">
        <f aca="false">IF($F433="","",IFERROR(INDEX(商品档案!$H$6:$H$65,MATCH($F433,商品档案!$A$6:$A$65,0)),""))</f>
        <v/>
      </c>
      <c r="U433" s="58" t="str">
        <f aca="false">IF($F433="","",IFERROR(INDEX(商品档案!$I$6:$I$65,MATCH($F433,商品档案!$A$6:$A$65,0)),""))</f>
        <v/>
      </c>
      <c r="V433" s="59" t="str">
        <f aca="false">IF($F433="","",SUMIFS(进销存台账!$N$6:$N$65,进销存台账!$A$6:$A$65,$C433,进销存台账!$B$6:$B$65,$F433))</f>
        <v/>
      </c>
      <c r="W433" s="60" t="n">
        <f aca="false">IF(OR($D433="销售出库",$D433="销售退回"),ROUND(N($J433)*N($V433),2),0)</f>
        <v>0</v>
      </c>
      <c r="X433" s="58" t="str">
        <f aca="false">IF($E433="","",IFERROR(INDEX(往来单位!$D$6:$D$85,MATCH($E433,往来单位!$A$6:$A$85,0)),"否"))</f>
        <v/>
      </c>
      <c r="Y433" s="61" t="str">
        <f aca="false">IF($B433="","",YEAR($B433))</f>
        <v/>
      </c>
      <c r="Z433" s="58" t="str">
        <f aca="false">IF($B433="","",TEXT($B433,"yyyy-mm"))</f>
        <v/>
      </c>
    </row>
    <row r="434" customFormat="false" ht="15" hidden="false" customHeight="false" outlineLevel="0" collapsed="false">
      <c r="A434" s="53" t="str">
        <f aca="false">IF($B434="","",ROW()-5)</f>
        <v/>
      </c>
      <c r="B434" s="54"/>
      <c r="C434" s="33"/>
      <c r="D434" s="33"/>
      <c r="E434" s="32"/>
      <c r="F434" s="39"/>
      <c r="G434" s="48" t="str">
        <f aca="false">IF($F434="","",IFERROR(INDEX(商品档案!$B$6:$B$65,MATCH($F434,商品档案!$A$6:$A$65,0)),""))</f>
        <v/>
      </c>
      <c r="H434" s="48" t="str">
        <f aca="false">IF($F434="","",IFERROR(INDEX(商品档案!$C$6:$C$65,MATCH($F434,商品档案!$A$6:$A$65,0)),""))</f>
        <v/>
      </c>
      <c r="I434" s="55" t="str">
        <f aca="false">IF($F434="","",IFERROR(INDEX(商品档案!$D$6:$D$65,MATCH($F434,商品档案!$A$6:$A$65,0)),""))</f>
        <v/>
      </c>
      <c r="J434" s="49"/>
      <c r="K434" s="56"/>
      <c r="L434" s="33"/>
      <c r="M434" s="39"/>
      <c r="N434" s="41"/>
      <c r="O434" s="41"/>
      <c r="P434" s="25" t="str">
        <f aca="false">IF(AND($B434="",$D434="",$F434=""),"",IF(NOT(ISNUMBER($B434)),"日期无效",IF(ISNA(MATCH($C434,参数设置!$A$10:$A$12,0)),"公司无效",IF(ISNA(MATCH($D434,记账规则!$A$6:$A$9,0)),"业务类型无效",IF(ISNA(MATCH($F434,商品档案!$A$6:$A$65,0)),"商品编码无效",IF(IFERROR(INDEX(商品档案!$E$6:$E$65,MATCH($F434,商品档案!$A$6:$A$65,0)),"")&lt;&gt;$C434,"商品不属于该公司",IF(AND($E434&lt;&gt;"",ISNA(MATCH($E434,往来单位!$A$6:$A$85,0))),"往来单位未建档",IF(N($J434)=0,"数量为 0",IF(N($K434)=0,"单价为 0",IF(AND(LEFT($D434,2)="销售",$U434=""),"该商品没设成本科目",IF(YEAR($B434)&lt;&gt;参数设置!$B$5,"不在本会计年度","OK")))))))))))</f>
        <v/>
      </c>
      <c r="Q434" s="57" t="str">
        <f aca="false">IF($F434="","",ROUND(N($J434)*N($K434),2))</f>
        <v/>
      </c>
      <c r="R434" s="58" t="str">
        <f aca="false">IF($D434="","",IF(LEFT($D434,2)="销售","应收账款","应付账款"))</f>
        <v/>
      </c>
      <c r="S434" s="58" t="str">
        <f aca="false">IF($F434="","",IFERROR(INDEX(商品档案!$G$6:$G$65,MATCH($F434,商品档案!$A$6:$A$65,0)),""))</f>
        <v/>
      </c>
      <c r="T434" s="58" t="str">
        <f aca="false">IF($F434="","",IFERROR(INDEX(商品档案!$H$6:$H$65,MATCH($F434,商品档案!$A$6:$A$65,0)),""))</f>
        <v/>
      </c>
      <c r="U434" s="58" t="str">
        <f aca="false">IF($F434="","",IFERROR(INDEX(商品档案!$I$6:$I$65,MATCH($F434,商品档案!$A$6:$A$65,0)),""))</f>
        <v/>
      </c>
      <c r="V434" s="59" t="str">
        <f aca="false">IF($F434="","",SUMIFS(进销存台账!$N$6:$N$65,进销存台账!$A$6:$A$65,$C434,进销存台账!$B$6:$B$65,$F434))</f>
        <v/>
      </c>
      <c r="W434" s="60" t="n">
        <f aca="false">IF(OR($D434="销售出库",$D434="销售退回"),ROUND(N($J434)*N($V434),2),0)</f>
        <v>0</v>
      </c>
      <c r="X434" s="58" t="str">
        <f aca="false">IF($E434="","",IFERROR(INDEX(往来单位!$D$6:$D$85,MATCH($E434,往来单位!$A$6:$A$85,0)),"否"))</f>
        <v/>
      </c>
      <c r="Y434" s="61" t="str">
        <f aca="false">IF($B434="","",YEAR($B434))</f>
        <v/>
      </c>
      <c r="Z434" s="58" t="str">
        <f aca="false">IF($B434="","",TEXT($B434,"yyyy-mm"))</f>
        <v/>
      </c>
    </row>
    <row r="435" customFormat="false" ht="15" hidden="false" customHeight="false" outlineLevel="0" collapsed="false">
      <c r="A435" s="53" t="str">
        <f aca="false">IF($B435="","",ROW()-5)</f>
        <v/>
      </c>
      <c r="B435" s="54"/>
      <c r="C435" s="33"/>
      <c r="D435" s="33"/>
      <c r="E435" s="32"/>
      <c r="F435" s="39"/>
      <c r="G435" s="48" t="str">
        <f aca="false">IF($F435="","",IFERROR(INDEX(商品档案!$B$6:$B$65,MATCH($F435,商品档案!$A$6:$A$65,0)),""))</f>
        <v/>
      </c>
      <c r="H435" s="48" t="str">
        <f aca="false">IF($F435="","",IFERROR(INDEX(商品档案!$C$6:$C$65,MATCH($F435,商品档案!$A$6:$A$65,0)),""))</f>
        <v/>
      </c>
      <c r="I435" s="55" t="str">
        <f aca="false">IF($F435="","",IFERROR(INDEX(商品档案!$D$6:$D$65,MATCH($F435,商品档案!$A$6:$A$65,0)),""))</f>
        <v/>
      </c>
      <c r="J435" s="49"/>
      <c r="K435" s="56"/>
      <c r="L435" s="33"/>
      <c r="M435" s="39"/>
      <c r="N435" s="41"/>
      <c r="O435" s="41"/>
      <c r="P435" s="25" t="str">
        <f aca="false">IF(AND($B435="",$D435="",$F435=""),"",IF(NOT(ISNUMBER($B435)),"日期无效",IF(ISNA(MATCH($C435,参数设置!$A$10:$A$12,0)),"公司无效",IF(ISNA(MATCH($D435,记账规则!$A$6:$A$9,0)),"业务类型无效",IF(ISNA(MATCH($F435,商品档案!$A$6:$A$65,0)),"商品编码无效",IF(IFERROR(INDEX(商品档案!$E$6:$E$65,MATCH($F435,商品档案!$A$6:$A$65,0)),"")&lt;&gt;$C435,"商品不属于该公司",IF(AND($E435&lt;&gt;"",ISNA(MATCH($E435,往来单位!$A$6:$A$85,0))),"往来单位未建档",IF(N($J435)=0,"数量为 0",IF(N($K435)=0,"单价为 0",IF(AND(LEFT($D435,2)="销售",$U435=""),"该商品没设成本科目",IF(YEAR($B435)&lt;&gt;参数设置!$B$5,"不在本会计年度","OK")))))))))))</f>
        <v/>
      </c>
      <c r="Q435" s="57" t="str">
        <f aca="false">IF($F435="","",ROUND(N($J435)*N($K435),2))</f>
        <v/>
      </c>
      <c r="R435" s="58" t="str">
        <f aca="false">IF($D435="","",IF(LEFT($D435,2)="销售","应收账款","应付账款"))</f>
        <v/>
      </c>
      <c r="S435" s="58" t="str">
        <f aca="false">IF($F435="","",IFERROR(INDEX(商品档案!$G$6:$G$65,MATCH($F435,商品档案!$A$6:$A$65,0)),""))</f>
        <v/>
      </c>
      <c r="T435" s="58" t="str">
        <f aca="false">IF($F435="","",IFERROR(INDEX(商品档案!$H$6:$H$65,MATCH($F435,商品档案!$A$6:$A$65,0)),""))</f>
        <v/>
      </c>
      <c r="U435" s="58" t="str">
        <f aca="false">IF($F435="","",IFERROR(INDEX(商品档案!$I$6:$I$65,MATCH($F435,商品档案!$A$6:$A$65,0)),""))</f>
        <v/>
      </c>
      <c r="V435" s="59" t="str">
        <f aca="false">IF($F435="","",SUMIFS(进销存台账!$N$6:$N$65,进销存台账!$A$6:$A$65,$C435,进销存台账!$B$6:$B$65,$F435))</f>
        <v/>
      </c>
      <c r="W435" s="60" t="n">
        <f aca="false">IF(OR($D435="销售出库",$D435="销售退回"),ROUND(N($J435)*N($V435),2),0)</f>
        <v>0</v>
      </c>
      <c r="X435" s="58" t="str">
        <f aca="false">IF($E435="","",IFERROR(INDEX(往来单位!$D$6:$D$85,MATCH($E435,往来单位!$A$6:$A$85,0)),"否"))</f>
        <v/>
      </c>
      <c r="Y435" s="61" t="str">
        <f aca="false">IF($B435="","",YEAR($B435))</f>
        <v/>
      </c>
      <c r="Z435" s="58" t="str">
        <f aca="false">IF($B435="","",TEXT($B435,"yyyy-mm"))</f>
        <v/>
      </c>
    </row>
    <row r="436" customFormat="false" ht="15" hidden="false" customHeight="false" outlineLevel="0" collapsed="false">
      <c r="A436" s="53" t="str">
        <f aca="false">IF($B436="","",ROW()-5)</f>
        <v/>
      </c>
      <c r="B436" s="54"/>
      <c r="C436" s="33"/>
      <c r="D436" s="33"/>
      <c r="E436" s="32"/>
      <c r="F436" s="39"/>
      <c r="G436" s="48" t="str">
        <f aca="false">IF($F436="","",IFERROR(INDEX(商品档案!$B$6:$B$65,MATCH($F436,商品档案!$A$6:$A$65,0)),""))</f>
        <v/>
      </c>
      <c r="H436" s="48" t="str">
        <f aca="false">IF($F436="","",IFERROR(INDEX(商品档案!$C$6:$C$65,MATCH($F436,商品档案!$A$6:$A$65,0)),""))</f>
        <v/>
      </c>
      <c r="I436" s="55" t="str">
        <f aca="false">IF($F436="","",IFERROR(INDEX(商品档案!$D$6:$D$65,MATCH($F436,商品档案!$A$6:$A$65,0)),""))</f>
        <v/>
      </c>
      <c r="J436" s="49"/>
      <c r="K436" s="56"/>
      <c r="L436" s="33"/>
      <c r="M436" s="39"/>
      <c r="N436" s="41"/>
      <c r="O436" s="41"/>
      <c r="P436" s="25" t="str">
        <f aca="false">IF(AND($B436="",$D436="",$F436=""),"",IF(NOT(ISNUMBER($B436)),"日期无效",IF(ISNA(MATCH($C436,参数设置!$A$10:$A$12,0)),"公司无效",IF(ISNA(MATCH($D436,记账规则!$A$6:$A$9,0)),"业务类型无效",IF(ISNA(MATCH($F436,商品档案!$A$6:$A$65,0)),"商品编码无效",IF(IFERROR(INDEX(商品档案!$E$6:$E$65,MATCH($F436,商品档案!$A$6:$A$65,0)),"")&lt;&gt;$C436,"商品不属于该公司",IF(AND($E436&lt;&gt;"",ISNA(MATCH($E436,往来单位!$A$6:$A$85,0))),"往来单位未建档",IF(N($J436)=0,"数量为 0",IF(N($K436)=0,"单价为 0",IF(AND(LEFT($D436,2)="销售",$U436=""),"该商品没设成本科目",IF(YEAR($B436)&lt;&gt;参数设置!$B$5,"不在本会计年度","OK")))))))))))</f>
        <v/>
      </c>
      <c r="Q436" s="57" t="str">
        <f aca="false">IF($F436="","",ROUND(N($J436)*N($K436),2))</f>
        <v/>
      </c>
      <c r="R436" s="58" t="str">
        <f aca="false">IF($D436="","",IF(LEFT($D436,2)="销售","应收账款","应付账款"))</f>
        <v/>
      </c>
      <c r="S436" s="58" t="str">
        <f aca="false">IF($F436="","",IFERROR(INDEX(商品档案!$G$6:$G$65,MATCH($F436,商品档案!$A$6:$A$65,0)),""))</f>
        <v/>
      </c>
      <c r="T436" s="58" t="str">
        <f aca="false">IF($F436="","",IFERROR(INDEX(商品档案!$H$6:$H$65,MATCH($F436,商品档案!$A$6:$A$65,0)),""))</f>
        <v/>
      </c>
      <c r="U436" s="58" t="str">
        <f aca="false">IF($F436="","",IFERROR(INDEX(商品档案!$I$6:$I$65,MATCH($F436,商品档案!$A$6:$A$65,0)),""))</f>
        <v/>
      </c>
      <c r="V436" s="59" t="str">
        <f aca="false">IF($F436="","",SUMIFS(进销存台账!$N$6:$N$65,进销存台账!$A$6:$A$65,$C436,进销存台账!$B$6:$B$65,$F436))</f>
        <v/>
      </c>
      <c r="W436" s="60" t="n">
        <f aca="false">IF(OR($D436="销售出库",$D436="销售退回"),ROUND(N($J436)*N($V436),2),0)</f>
        <v>0</v>
      </c>
      <c r="X436" s="58" t="str">
        <f aca="false">IF($E436="","",IFERROR(INDEX(往来单位!$D$6:$D$85,MATCH($E436,往来单位!$A$6:$A$85,0)),"否"))</f>
        <v/>
      </c>
      <c r="Y436" s="61" t="str">
        <f aca="false">IF($B436="","",YEAR($B436))</f>
        <v/>
      </c>
      <c r="Z436" s="58" t="str">
        <f aca="false">IF($B436="","",TEXT($B436,"yyyy-mm"))</f>
        <v/>
      </c>
    </row>
    <row r="437" customFormat="false" ht="15" hidden="false" customHeight="false" outlineLevel="0" collapsed="false">
      <c r="A437" s="53" t="str">
        <f aca="false">IF($B437="","",ROW()-5)</f>
        <v/>
      </c>
      <c r="B437" s="54"/>
      <c r="C437" s="33"/>
      <c r="D437" s="33"/>
      <c r="E437" s="32"/>
      <c r="F437" s="39"/>
      <c r="G437" s="48" t="str">
        <f aca="false">IF($F437="","",IFERROR(INDEX(商品档案!$B$6:$B$65,MATCH($F437,商品档案!$A$6:$A$65,0)),""))</f>
        <v/>
      </c>
      <c r="H437" s="48" t="str">
        <f aca="false">IF($F437="","",IFERROR(INDEX(商品档案!$C$6:$C$65,MATCH($F437,商品档案!$A$6:$A$65,0)),""))</f>
        <v/>
      </c>
      <c r="I437" s="55" t="str">
        <f aca="false">IF($F437="","",IFERROR(INDEX(商品档案!$D$6:$D$65,MATCH($F437,商品档案!$A$6:$A$65,0)),""))</f>
        <v/>
      </c>
      <c r="J437" s="49"/>
      <c r="K437" s="56"/>
      <c r="L437" s="33"/>
      <c r="M437" s="39"/>
      <c r="N437" s="41"/>
      <c r="O437" s="41"/>
      <c r="P437" s="25" t="str">
        <f aca="false">IF(AND($B437="",$D437="",$F437=""),"",IF(NOT(ISNUMBER($B437)),"日期无效",IF(ISNA(MATCH($C437,参数设置!$A$10:$A$12,0)),"公司无效",IF(ISNA(MATCH($D437,记账规则!$A$6:$A$9,0)),"业务类型无效",IF(ISNA(MATCH($F437,商品档案!$A$6:$A$65,0)),"商品编码无效",IF(IFERROR(INDEX(商品档案!$E$6:$E$65,MATCH($F437,商品档案!$A$6:$A$65,0)),"")&lt;&gt;$C437,"商品不属于该公司",IF(AND($E437&lt;&gt;"",ISNA(MATCH($E437,往来单位!$A$6:$A$85,0))),"往来单位未建档",IF(N($J437)=0,"数量为 0",IF(N($K437)=0,"单价为 0",IF(AND(LEFT($D437,2)="销售",$U437=""),"该商品没设成本科目",IF(YEAR($B437)&lt;&gt;参数设置!$B$5,"不在本会计年度","OK")))))))))))</f>
        <v/>
      </c>
      <c r="Q437" s="57" t="str">
        <f aca="false">IF($F437="","",ROUND(N($J437)*N($K437),2))</f>
        <v/>
      </c>
      <c r="R437" s="58" t="str">
        <f aca="false">IF($D437="","",IF(LEFT($D437,2)="销售","应收账款","应付账款"))</f>
        <v/>
      </c>
      <c r="S437" s="58" t="str">
        <f aca="false">IF($F437="","",IFERROR(INDEX(商品档案!$G$6:$G$65,MATCH($F437,商品档案!$A$6:$A$65,0)),""))</f>
        <v/>
      </c>
      <c r="T437" s="58" t="str">
        <f aca="false">IF($F437="","",IFERROR(INDEX(商品档案!$H$6:$H$65,MATCH($F437,商品档案!$A$6:$A$65,0)),""))</f>
        <v/>
      </c>
      <c r="U437" s="58" t="str">
        <f aca="false">IF($F437="","",IFERROR(INDEX(商品档案!$I$6:$I$65,MATCH($F437,商品档案!$A$6:$A$65,0)),""))</f>
        <v/>
      </c>
      <c r="V437" s="59" t="str">
        <f aca="false">IF($F437="","",SUMIFS(进销存台账!$N$6:$N$65,进销存台账!$A$6:$A$65,$C437,进销存台账!$B$6:$B$65,$F437))</f>
        <v/>
      </c>
      <c r="W437" s="60" t="n">
        <f aca="false">IF(OR($D437="销售出库",$D437="销售退回"),ROUND(N($J437)*N($V437),2),0)</f>
        <v>0</v>
      </c>
      <c r="X437" s="58" t="str">
        <f aca="false">IF($E437="","",IFERROR(INDEX(往来单位!$D$6:$D$85,MATCH($E437,往来单位!$A$6:$A$85,0)),"否"))</f>
        <v/>
      </c>
      <c r="Y437" s="61" t="str">
        <f aca="false">IF($B437="","",YEAR($B437))</f>
        <v/>
      </c>
      <c r="Z437" s="58" t="str">
        <f aca="false">IF($B437="","",TEXT($B437,"yyyy-mm"))</f>
        <v/>
      </c>
    </row>
    <row r="438" customFormat="false" ht="15" hidden="false" customHeight="false" outlineLevel="0" collapsed="false">
      <c r="A438" s="53" t="str">
        <f aca="false">IF($B438="","",ROW()-5)</f>
        <v/>
      </c>
      <c r="B438" s="54"/>
      <c r="C438" s="33"/>
      <c r="D438" s="33"/>
      <c r="E438" s="32"/>
      <c r="F438" s="39"/>
      <c r="G438" s="48" t="str">
        <f aca="false">IF($F438="","",IFERROR(INDEX(商品档案!$B$6:$B$65,MATCH($F438,商品档案!$A$6:$A$65,0)),""))</f>
        <v/>
      </c>
      <c r="H438" s="48" t="str">
        <f aca="false">IF($F438="","",IFERROR(INDEX(商品档案!$C$6:$C$65,MATCH($F438,商品档案!$A$6:$A$65,0)),""))</f>
        <v/>
      </c>
      <c r="I438" s="55" t="str">
        <f aca="false">IF($F438="","",IFERROR(INDEX(商品档案!$D$6:$D$65,MATCH($F438,商品档案!$A$6:$A$65,0)),""))</f>
        <v/>
      </c>
      <c r="J438" s="49"/>
      <c r="K438" s="56"/>
      <c r="L438" s="33"/>
      <c r="M438" s="39"/>
      <c r="N438" s="41"/>
      <c r="O438" s="41"/>
      <c r="P438" s="25" t="str">
        <f aca="false">IF(AND($B438="",$D438="",$F438=""),"",IF(NOT(ISNUMBER($B438)),"日期无效",IF(ISNA(MATCH($C438,参数设置!$A$10:$A$12,0)),"公司无效",IF(ISNA(MATCH($D438,记账规则!$A$6:$A$9,0)),"业务类型无效",IF(ISNA(MATCH($F438,商品档案!$A$6:$A$65,0)),"商品编码无效",IF(IFERROR(INDEX(商品档案!$E$6:$E$65,MATCH($F438,商品档案!$A$6:$A$65,0)),"")&lt;&gt;$C438,"商品不属于该公司",IF(AND($E438&lt;&gt;"",ISNA(MATCH($E438,往来单位!$A$6:$A$85,0))),"往来单位未建档",IF(N($J438)=0,"数量为 0",IF(N($K438)=0,"单价为 0",IF(AND(LEFT($D438,2)="销售",$U438=""),"该商品没设成本科目",IF(YEAR($B438)&lt;&gt;参数设置!$B$5,"不在本会计年度","OK")))))))))))</f>
        <v/>
      </c>
      <c r="Q438" s="57" t="str">
        <f aca="false">IF($F438="","",ROUND(N($J438)*N($K438),2))</f>
        <v/>
      </c>
      <c r="R438" s="58" t="str">
        <f aca="false">IF($D438="","",IF(LEFT($D438,2)="销售","应收账款","应付账款"))</f>
        <v/>
      </c>
      <c r="S438" s="58" t="str">
        <f aca="false">IF($F438="","",IFERROR(INDEX(商品档案!$G$6:$G$65,MATCH($F438,商品档案!$A$6:$A$65,0)),""))</f>
        <v/>
      </c>
      <c r="T438" s="58" t="str">
        <f aca="false">IF($F438="","",IFERROR(INDEX(商品档案!$H$6:$H$65,MATCH($F438,商品档案!$A$6:$A$65,0)),""))</f>
        <v/>
      </c>
      <c r="U438" s="58" t="str">
        <f aca="false">IF($F438="","",IFERROR(INDEX(商品档案!$I$6:$I$65,MATCH($F438,商品档案!$A$6:$A$65,0)),""))</f>
        <v/>
      </c>
      <c r="V438" s="59" t="str">
        <f aca="false">IF($F438="","",SUMIFS(进销存台账!$N$6:$N$65,进销存台账!$A$6:$A$65,$C438,进销存台账!$B$6:$B$65,$F438))</f>
        <v/>
      </c>
      <c r="W438" s="60" t="n">
        <f aca="false">IF(OR($D438="销售出库",$D438="销售退回"),ROUND(N($J438)*N($V438),2),0)</f>
        <v>0</v>
      </c>
      <c r="X438" s="58" t="str">
        <f aca="false">IF($E438="","",IFERROR(INDEX(往来单位!$D$6:$D$85,MATCH($E438,往来单位!$A$6:$A$85,0)),"否"))</f>
        <v/>
      </c>
      <c r="Y438" s="61" t="str">
        <f aca="false">IF($B438="","",YEAR($B438))</f>
        <v/>
      </c>
      <c r="Z438" s="58" t="str">
        <f aca="false">IF($B438="","",TEXT($B438,"yyyy-mm"))</f>
        <v/>
      </c>
    </row>
    <row r="439" customFormat="false" ht="15" hidden="false" customHeight="false" outlineLevel="0" collapsed="false">
      <c r="A439" s="53" t="str">
        <f aca="false">IF($B439="","",ROW()-5)</f>
        <v/>
      </c>
      <c r="B439" s="54"/>
      <c r="C439" s="33"/>
      <c r="D439" s="33"/>
      <c r="E439" s="32"/>
      <c r="F439" s="39"/>
      <c r="G439" s="48" t="str">
        <f aca="false">IF($F439="","",IFERROR(INDEX(商品档案!$B$6:$B$65,MATCH($F439,商品档案!$A$6:$A$65,0)),""))</f>
        <v/>
      </c>
      <c r="H439" s="48" t="str">
        <f aca="false">IF($F439="","",IFERROR(INDEX(商品档案!$C$6:$C$65,MATCH($F439,商品档案!$A$6:$A$65,0)),""))</f>
        <v/>
      </c>
      <c r="I439" s="55" t="str">
        <f aca="false">IF($F439="","",IFERROR(INDEX(商品档案!$D$6:$D$65,MATCH($F439,商品档案!$A$6:$A$65,0)),""))</f>
        <v/>
      </c>
      <c r="J439" s="49"/>
      <c r="K439" s="56"/>
      <c r="L439" s="33"/>
      <c r="M439" s="39"/>
      <c r="N439" s="41"/>
      <c r="O439" s="41"/>
      <c r="P439" s="25" t="str">
        <f aca="false">IF(AND($B439="",$D439="",$F439=""),"",IF(NOT(ISNUMBER($B439)),"日期无效",IF(ISNA(MATCH($C439,参数设置!$A$10:$A$12,0)),"公司无效",IF(ISNA(MATCH($D439,记账规则!$A$6:$A$9,0)),"业务类型无效",IF(ISNA(MATCH($F439,商品档案!$A$6:$A$65,0)),"商品编码无效",IF(IFERROR(INDEX(商品档案!$E$6:$E$65,MATCH($F439,商品档案!$A$6:$A$65,0)),"")&lt;&gt;$C439,"商品不属于该公司",IF(AND($E439&lt;&gt;"",ISNA(MATCH($E439,往来单位!$A$6:$A$85,0))),"往来单位未建档",IF(N($J439)=0,"数量为 0",IF(N($K439)=0,"单价为 0",IF(AND(LEFT($D439,2)="销售",$U439=""),"该商品没设成本科目",IF(YEAR($B439)&lt;&gt;参数设置!$B$5,"不在本会计年度","OK")))))))))))</f>
        <v/>
      </c>
      <c r="Q439" s="57" t="str">
        <f aca="false">IF($F439="","",ROUND(N($J439)*N($K439),2))</f>
        <v/>
      </c>
      <c r="R439" s="58" t="str">
        <f aca="false">IF($D439="","",IF(LEFT($D439,2)="销售","应收账款","应付账款"))</f>
        <v/>
      </c>
      <c r="S439" s="58" t="str">
        <f aca="false">IF($F439="","",IFERROR(INDEX(商品档案!$G$6:$G$65,MATCH($F439,商品档案!$A$6:$A$65,0)),""))</f>
        <v/>
      </c>
      <c r="T439" s="58" t="str">
        <f aca="false">IF($F439="","",IFERROR(INDEX(商品档案!$H$6:$H$65,MATCH($F439,商品档案!$A$6:$A$65,0)),""))</f>
        <v/>
      </c>
      <c r="U439" s="58" t="str">
        <f aca="false">IF($F439="","",IFERROR(INDEX(商品档案!$I$6:$I$65,MATCH($F439,商品档案!$A$6:$A$65,0)),""))</f>
        <v/>
      </c>
      <c r="V439" s="59" t="str">
        <f aca="false">IF($F439="","",SUMIFS(进销存台账!$N$6:$N$65,进销存台账!$A$6:$A$65,$C439,进销存台账!$B$6:$B$65,$F439))</f>
        <v/>
      </c>
      <c r="W439" s="60" t="n">
        <f aca="false">IF(OR($D439="销售出库",$D439="销售退回"),ROUND(N($J439)*N($V439),2),0)</f>
        <v>0</v>
      </c>
      <c r="X439" s="58" t="str">
        <f aca="false">IF($E439="","",IFERROR(INDEX(往来单位!$D$6:$D$85,MATCH($E439,往来单位!$A$6:$A$85,0)),"否"))</f>
        <v/>
      </c>
      <c r="Y439" s="61" t="str">
        <f aca="false">IF($B439="","",YEAR($B439))</f>
        <v/>
      </c>
      <c r="Z439" s="58" t="str">
        <f aca="false">IF($B439="","",TEXT($B439,"yyyy-mm"))</f>
        <v/>
      </c>
    </row>
    <row r="440" customFormat="false" ht="15" hidden="false" customHeight="false" outlineLevel="0" collapsed="false">
      <c r="A440" s="53" t="str">
        <f aca="false">IF($B440="","",ROW()-5)</f>
        <v/>
      </c>
      <c r="B440" s="54"/>
      <c r="C440" s="33"/>
      <c r="D440" s="33"/>
      <c r="E440" s="32"/>
      <c r="F440" s="39"/>
      <c r="G440" s="48" t="str">
        <f aca="false">IF($F440="","",IFERROR(INDEX(商品档案!$B$6:$B$65,MATCH($F440,商品档案!$A$6:$A$65,0)),""))</f>
        <v/>
      </c>
      <c r="H440" s="48" t="str">
        <f aca="false">IF($F440="","",IFERROR(INDEX(商品档案!$C$6:$C$65,MATCH($F440,商品档案!$A$6:$A$65,0)),""))</f>
        <v/>
      </c>
      <c r="I440" s="55" t="str">
        <f aca="false">IF($F440="","",IFERROR(INDEX(商品档案!$D$6:$D$65,MATCH($F440,商品档案!$A$6:$A$65,0)),""))</f>
        <v/>
      </c>
      <c r="J440" s="49"/>
      <c r="K440" s="56"/>
      <c r="L440" s="33"/>
      <c r="M440" s="39"/>
      <c r="N440" s="41"/>
      <c r="O440" s="41"/>
      <c r="P440" s="25" t="str">
        <f aca="false">IF(AND($B440="",$D440="",$F440=""),"",IF(NOT(ISNUMBER($B440)),"日期无效",IF(ISNA(MATCH($C440,参数设置!$A$10:$A$12,0)),"公司无效",IF(ISNA(MATCH($D440,记账规则!$A$6:$A$9,0)),"业务类型无效",IF(ISNA(MATCH($F440,商品档案!$A$6:$A$65,0)),"商品编码无效",IF(IFERROR(INDEX(商品档案!$E$6:$E$65,MATCH($F440,商品档案!$A$6:$A$65,0)),"")&lt;&gt;$C440,"商品不属于该公司",IF(AND($E440&lt;&gt;"",ISNA(MATCH($E440,往来单位!$A$6:$A$85,0))),"往来单位未建档",IF(N($J440)=0,"数量为 0",IF(N($K440)=0,"单价为 0",IF(AND(LEFT($D440,2)="销售",$U440=""),"该商品没设成本科目",IF(YEAR($B440)&lt;&gt;参数设置!$B$5,"不在本会计年度","OK")))))))))))</f>
        <v/>
      </c>
      <c r="Q440" s="57" t="str">
        <f aca="false">IF($F440="","",ROUND(N($J440)*N($K440),2))</f>
        <v/>
      </c>
      <c r="R440" s="58" t="str">
        <f aca="false">IF($D440="","",IF(LEFT($D440,2)="销售","应收账款","应付账款"))</f>
        <v/>
      </c>
      <c r="S440" s="58" t="str">
        <f aca="false">IF($F440="","",IFERROR(INDEX(商品档案!$G$6:$G$65,MATCH($F440,商品档案!$A$6:$A$65,0)),""))</f>
        <v/>
      </c>
      <c r="T440" s="58" t="str">
        <f aca="false">IF($F440="","",IFERROR(INDEX(商品档案!$H$6:$H$65,MATCH($F440,商品档案!$A$6:$A$65,0)),""))</f>
        <v/>
      </c>
      <c r="U440" s="58" t="str">
        <f aca="false">IF($F440="","",IFERROR(INDEX(商品档案!$I$6:$I$65,MATCH($F440,商品档案!$A$6:$A$65,0)),""))</f>
        <v/>
      </c>
      <c r="V440" s="59" t="str">
        <f aca="false">IF($F440="","",SUMIFS(进销存台账!$N$6:$N$65,进销存台账!$A$6:$A$65,$C440,进销存台账!$B$6:$B$65,$F440))</f>
        <v/>
      </c>
      <c r="W440" s="60" t="n">
        <f aca="false">IF(OR($D440="销售出库",$D440="销售退回"),ROUND(N($J440)*N($V440),2),0)</f>
        <v>0</v>
      </c>
      <c r="X440" s="58" t="str">
        <f aca="false">IF($E440="","",IFERROR(INDEX(往来单位!$D$6:$D$85,MATCH($E440,往来单位!$A$6:$A$85,0)),"否"))</f>
        <v/>
      </c>
      <c r="Y440" s="61" t="str">
        <f aca="false">IF($B440="","",YEAR($B440))</f>
        <v/>
      </c>
      <c r="Z440" s="58" t="str">
        <f aca="false">IF($B440="","",TEXT($B440,"yyyy-mm"))</f>
        <v/>
      </c>
    </row>
    <row r="441" customFormat="false" ht="15" hidden="false" customHeight="false" outlineLevel="0" collapsed="false">
      <c r="A441" s="53" t="str">
        <f aca="false">IF($B441="","",ROW()-5)</f>
        <v/>
      </c>
      <c r="B441" s="54"/>
      <c r="C441" s="33"/>
      <c r="D441" s="33"/>
      <c r="E441" s="32"/>
      <c r="F441" s="39"/>
      <c r="G441" s="48" t="str">
        <f aca="false">IF($F441="","",IFERROR(INDEX(商品档案!$B$6:$B$65,MATCH($F441,商品档案!$A$6:$A$65,0)),""))</f>
        <v/>
      </c>
      <c r="H441" s="48" t="str">
        <f aca="false">IF($F441="","",IFERROR(INDEX(商品档案!$C$6:$C$65,MATCH($F441,商品档案!$A$6:$A$65,0)),""))</f>
        <v/>
      </c>
      <c r="I441" s="55" t="str">
        <f aca="false">IF($F441="","",IFERROR(INDEX(商品档案!$D$6:$D$65,MATCH($F441,商品档案!$A$6:$A$65,0)),""))</f>
        <v/>
      </c>
      <c r="J441" s="49"/>
      <c r="K441" s="56"/>
      <c r="L441" s="33"/>
      <c r="M441" s="39"/>
      <c r="N441" s="41"/>
      <c r="O441" s="41"/>
      <c r="P441" s="25" t="str">
        <f aca="false">IF(AND($B441="",$D441="",$F441=""),"",IF(NOT(ISNUMBER($B441)),"日期无效",IF(ISNA(MATCH($C441,参数设置!$A$10:$A$12,0)),"公司无效",IF(ISNA(MATCH($D441,记账规则!$A$6:$A$9,0)),"业务类型无效",IF(ISNA(MATCH($F441,商品档案!$A$6:$A$65,0)),"商品编码无效",IF(IFERROR(INDEX(商品档案!$E$6:$E$65,MATCH($F441,商品档案!$A$6:$A$65,0)),"")&lt;&gt;$C441,"商品不属于该公司",IF(AND($E441&lt;&gt;"",ISNA(MATCH($E441,往来单位!$A$6:$A$85,0))),"往来单位未建档",IF(N($J441)=0,"数量为 0",IF(N($K441)=0,"单价为 0",IF(AND(LEFT($D441,2)="销售",$U441=""),"该商品没设成本科目",IF(YEAR($B441)&lt;&gt;参数设置!$B$5,"不在本会计年度","OK")))))))))))</f>
        <v/>
      </c>
      <c r="Q441" s="57" t="str">
        <f aca="false">IF($F441="","",ROUND(N($J441)*N($K441),2))</f>
        <v/>
      </c>
      <c r="R441" s="58" t="str">
        <f aca="false">IF($D441="","",IF(LEFT($D441,2)="销售","应收账款","应付账款"))</f>
        <v/>
      </c>
      <c r="S441" s="58" t="str">
        <f aca="false">IF($F441="","",IFERROR(INDEX(商品档案!$G$6:$G$65,MATCH($F441,商品档案!$A$6:$A$65,0)),""))</f>
        <v/>
      </c>
      <c r="T441" s="58" t="str">
        <f aca="false">IF($F441="","",IFERROR(INDEX(商品档案!$H$6:$H$65,MATCH($F441,商品档案!$A$6:$A$65,0)),""))</f>
        <v/>
      </c>
      <c r="U441" s="58" t="str">
        <f aca="false">IF($F441="","",IFERROR(INDEX(商品档案!$I$6:$I$65,MATCH($F441,商品档案!$A$6:$A$65,0)),""))</f>
        <v/>
      </c>
      <c r="V441" s="59" t="str">
        <f aca="false">IF($F441="","",SUMIFS(进销存台账!$N$6:$N$65,进销存台账!$A$6:$A$65,$C441,进销存台账!$B$6:$B$65,$F441))</f>
        <v/>
      </c>
      <c r="W441" s="60" t="n">
        <f aca="false">IF(OR($D441="销售出库",$D441="销售退回"),ROUND(N($J441)*N($V441),2),0)</f>
        <v>0</v>
      </c>
      <c r="X441" s="58" t="str">
        <f aca="false">IF($E441="","",IFERROR(INDEX(往来单位!$D$6:$D$85,MATCH($E441,往来单位!$A$6:$A$85,0)),"否"))</f>
        <v/>
      </c>
      <c r="Y441" s="61" t="str">
        <f aca="false">IF($B441="","",YEAR($B441))</f>
        <v/>
      </c>
      <c r="Z441" s="58" t="str">
        <f aca="false">IF($B441="","",TEXT($B441,"yyyy-mm"))</f>
        <v/>
      </c>
    </row>
    <row r="442" customFormat="false" ht="15" hidden="false" customHeight="false" outlineLevel="0" collapsed="false">
      <c r="A442" s="53" t="str">
        <f aca="false">IF($B442="","",ROW()-5)</f>
        <v/>
      </c>
      <c r="B442" s="54"/>
      <c r="C442" s="33"/>
      <c r="D442" s="33"/>
      <c r="E442" s="32"/>
      <c r="F442" s="39"/>
      <c r="G442" s="48" t="str">
        <f aca="false">IF($F442="","",IFERROR(INDEX(商品档案!$B$6:$B$65,MATCH($F442,商品档案!$A$6:$A$65,0)),""))</f>
        <v/>
      </c>
      <c r="H442" s="48" t="str">
        <f aca="false">IF($F442="","",IFERROR(INDEX(商品档案!$C$6:$C$65,MATCH($F442,商品档案!$A$6:$A$65,0)),""))</f>
        <v/>
      </c>
      <c r="I442" s="55" t="str">
        <f aca="false">IF($F442="","",IFERROR(INDEX(商品档案!$D$6:$D$65,MATCH($F442,商品档案!$A$6:$A$65,0)),""))</f>
        <v/>
      </c>
      <c r="J442" s="49"/>
      <c r="K442" s="56"/>
      <c r="L442" s="33"/>
      <c r="M442" s="39"/>
      <c r="N442" s="41"/>
      <c r="O442" s="41"/>
      <c r="P442" s="25" t="str">
        <f aca="false">IF(AND($B442="",$D442="",$F442=""),"",IF(NOT(ISNUMBER($B442)),"日期无效",IF(ISNA(MATCH($C442,参数设置!$A$10:$A$12,0)),"公司无效",IF(ISNA(MATCH($D442,记账规则!$A$6:$A$9,0)),"业务类型无效",IF(ISNA(MATCH($F442,商品档案!$A$6:$A$65,0)),"商品编码无效",IF(IFERROR(INDEX(商品档案!$E$6:$E$65,MATCH($F442,商品档案!$A$6:$A$65,0)),"")&lt;&gt;$C442,"商品不属于该公司",IF(AND($E442&lt;&gt;"",ISNA(MATCH($E442,往来单位!$A$6:$A$85,0))),"往来单位未建档",IF(N($J442)=0,"数量为 0",IF(N($K442)=0,"单价为 0",IF(AND(LEFT($D442,2)="销售",$U442=""),"该商品没设成本科目",IF(YEAR($B442)&lt;&gt;参数设置!$B$5,"不在本会计年度","OK")))))))))))</f>
        <v/>
      </c>
      <c r="Q442" s="57" t="str">
        <f aca="false">IF($F442="","",ROUND(N($J442)*N($K442),2))</f>
        <v/>
      </c>
      <c r="R442" s="58" t="str">
        <f aca="false">IF($D442="","",IF(LEFT($D442,2)="销售","应收账款","应付账款"))</f>
        <v/>
      </c>
      <c r="S442" s="58" t="str">
        <f aca="false">IF($F442="","",IFERROR(INDEX(商品档案!$G$6:$G$65,MATCH($F442,商品档案!$A$6:$A$65,0)),""))</f>
        <v/>
      </c>
      <c r="T442" s="58" t="str">
        <f aca="false">IF($F442="","",IFERROR(INDEX(商品档案!$H$6:$H$65,MATCH($F442,商品档案!$A$6:$A$65,0)),""))</f>
        <v/>
      </c>
      <c r="U442" s="58" t="str">
        <f aca="false">IF($F442="","",IFERROR(INDEX(商品档案!$I$6:$I$65,MATCH($F442,商品档案!$A$6:$A$65,0)),""))</f>
        <v/>
      </c>
      <c r="V442" s="59" t="str">
        <f aca="false">IF($F442="","",SUMIFS(进销存台账!$N$6:$N$65,进销存台账!$A$6:$A$65,$C442,进销存台账!$B$6:$B$65,$F442))</f>
        <v/>
      </c>
      <c r="W442" s="60" t="n">
        <f aca="false">IF(OR($D442="销售出库",$D442="销售退回"),ROUND(N($J442)*N($V442),2),0)</f>
        <v>0</v>
      </c>
      <c r="X442" s="58" t="str">
        <f aca="false">IF($E442="","",IFERROR(INDEX(往来单位!$D$6:$D$85,MATCH($E442,往来单位!$A$6:$A$85,0)),"否"))</f>
        <v/>
      </c>
      <c r="Y442" s="61" t="str">
        <f aca="false">IF($B442="","",YEAR($B442))</f>
        <v/>
      </c>
      <c r="Z442" s="58" t="str">
        <f aca="false">IF($B442="","",TEXT($B442,"yyyy-mm"))</f>
        <v/>
      </c>
    </row>
    <row r="443" customFormat="false" ht="15" hidden="false" customHeight="false" outlineLevel="0" collapsed="false">
      <c r="A443" s="53" t="str">
        <f aca="false">IF($B443="","",ROW()-5)</f>
        <v/>
      </c>
      <c r="B443" s="54"/>
      <c r="C443" s="33"/>
      <c r="D443" s="33"/>
      <c r="E443" s="32"/>
      <c r="F443" s="39"/>
      <c r="G443" s="48" t="str">
        <f aca="false">IF($F443="","",IFERROR(INDEX(商品档案!$B$6:$B$65,MATCH($F443,商品档案!$A$6:$A$65,0)),""))</f>
        <v/>
      </c>
      <c r="H443" s="48" t="str">
        <f aca="false">IF($F443="","",IFERROR(INDEX(商品档案!$C$6:$C$65,MATCH($F443,商品档案!$A$6:$A$65,0)),""))</f>
        <v/>
      </c>
      <c r="I443" s="55" t="str">
        <f aca="false">IF($F443="","",IFERROR(INDEX(商品档案!$D$6:$D$65,MATCH($F443,商品档案!$A$6:$A$65,0)),""))</f>
        <v/>
      </c>
      <c r="J443" s="49"/>
      <c r="K443" s="56"/>
      <c r="L443" s="33"/>
      <c r="M443" s="39"/>
      <c r="N443" s="41"/>
      <c r="O443" s="41"/>
      <c r="P443" s="25" t="str">
        <f aca="false">IF(AND($B443="",$D443="",$F443=""),"",IF(NOT(ISNUMBER($B443)),"日期无效",IF(ISNA(MATCH($C443,参数设置!$A$10:$A$12,0)),"公司无效",IF(ISNA(MATCH($D443,记账规则!$A$6:$A$9,0)),"业务类型无效",IF(ISNA(MATCH($F443,商品档案!$A$6:$A$65,0)),"商品编码无效",IF(IFERROR(INDEX(商品档案!$E$6:$E$65,MATCH($F443,商品档案!$A$6:$A$65,0)),"")&lt;&gt;$C443,"商品不属于该公司",IF(AND($E443&lt;&gt;"",ISNA(MATCH($E443,往来单位!$A$6:$A$85,0))),"往来单位未建档",IF(N($J443)=0,"数量为 0",IF(N($K443)=0,"单价为 0",IF(AND(LEFT($D443,2)="销售",$U443=""),"该商品没设成本科目",IF(YEAR($B443)&lt;&gt;参数设置!$B$5,"不在本会计年度","OK")))))))))))</f>
        <v/>
      </c>
      <c r="Q443" s="57" t="str">
        <f aca="false">IF($F443="","",ROUND(N($J443)*N($K443),2))</f>
        <v/>
      </c>
      <c r="R443" s="58" t="str">
        <f aca="false">IF($D443="","",IF(LEFT($D443,2)="销售","应收账款","应付账款"))</f>
        <v/>
      </c>
      <c r="S443" s="58" t="str">
        <f aca="false">IF($F443="","",IFERROR(INDEX(商品档案!$G$6:$G$65,MATCH($F443,商品档案!$A$6:$A$65,0)),""))</f>
        <v/>
      </c>
      <c r="T443" s="58" t="str">
        <f aca="false">IF($F443="","",IFERROR(INDEX(商品档案!$H$6:$H$65,MATCH($F443,商品档案!$A$6:$A$65,0)),""))</f>
        <v/>
      </c>
      <c r="U443" s="58" t="str">
        <f aca="false">IF($F443="","",IFERROR(INDEX(商品档案!$I$6:$I$65,MATCH($F443,商品档案!$A$6:$A$65,0)),""))</f>
        <v/>
      </c>
      <c r="V443" s="59" t="str">
        <f aca="false">IF($F443="","",SUMIFS(进销存台账!$N$6:$N$65,进销存台账!$A$6:$A$65,$C443,进销存台账!$B$6:$B$65,$F443))</f>
        <v/>
      </c>
      <c r="W443" s="60" t="n">
        <f aca="false">IF(OR($D443="销售出库",$D443="销售退回"),ROUND(N($J443)*N($V443),2),0)</f>
        <v>0</v>
      </c>
      <c r="X443" s="58" t="str">
        <f aca="false">IF($E443="","",IFERROR(INDEX(往来单位!$D$6:$D$85,MATCH($E443,往来单位!$A$6:$A$85,0)),"否"))</f>
        <v/>
      </c>
      <c r="Y443" s="61" t="str">
        <f aca="false">IF($B443="","",YEAR($B443))</f>
        <v/>
      </c>
      <c r="Z443" s="58" t="str">
        <f aca="false">IF($B443="","",TEXT($B443,"yyyy-mm"))</f>
        <v/>
      </c>
    </row>
    <row r="444" customFormat="false" ht="15" hidden="false" customHeight="false" outlineLevel="0" collapsed="false">
      <c r="A444" s="53" t="str">
        <f aca="false">IF($B444="","",ROW()-5)</f>
        <v/>
      </c>
      <c r="B444" s="54"/>
      <c r="C444" s="33"/>
      <c r="D444" s="33"/>
      <c r="E444" s="32"/>
      <c r="F444" s="39"/>
      <c r="G444" s="48" t="str">
        <f aca="false">IF($F444="","",IFERROR(INDEX(商品档案!$B$6:$B$65,MATCH($F444,商品档案!$A$6:$A$65,0)),""))</f>
        <v/>
      </c>
      <c r="H444" s="48" t="str">
        <f aca="false">IF($F444="","",IFERROR(INDEX(商品档案!$C$6:$C$65,MATCH($F444,商品档案!$A$6:$A$65,0)),""))</f>
        <v/>
      </c>
      <c r="I444" s="55" t="str">
        <f aca="false">IF($F444="","",IFERROR(INDEX(商品档案!$D$6:$D$65,MATCH($F444,商品档案!$A$6:$A$65,0)),""))</f>
        <v/>
      </c>
      <c r="J444" s="49"/>
      <c r="K444" s="56"/>
      <c r="L444" s="33"/>
      <c r="M444" s="39"/>
      <c r="N444" s="41"/>
      <c r="O444" s="41"/>
      <c r="P444" s="25" t="str">
        <f aca="false">IF(AND($B444="",$D444="",$F444=""),"",IF(NOT(ISNUMBER($B444)),"日期无效",IF(ISNA(MATCH($C444,参数设置!$A$10:$A$12,0)),"公司无效",IF(ISNA(MATCH($D444,记账规则!$A$6:$A$9,0)),"业务类型无效",IF(ISNA(MATCH($F444,商品档案!$A$6:$A$65,0)),"商品编码无效",IF(IFERROR(INDEX(商品档案!$E$6:$E$65,MATCH($F444,商品档案!$A$6:$A$65,0)),"")&lt;&gt;$C444,"商品不属于该公司",IF(AND($E444&lt;&gt;"",ISNA(MATCH($E444,往来单位!$A$6:$A$85,0))),"往来单位未建档",IF(N($J444)=0,"数量为 0",IF(N($K444)=0,"单价为 0",IF(AND(LEFT($D444,2)="销售",$U444=""),"该商品没设成本科目",IF(YEAR($B444)&lt;&gt;参数设置!$B$5,"不在本会计年度","OK")))))))))))</f>
        <v/>
      </c>
      <c r="Q444" s="57" t="str">
        <f aca="false">IF($F444="","",ROUND(N($J444)*N($K444),2))</f>
        <v/>
      </c>
      <c r="R444" s="58" t="str">
        <f aca="false">IF($D444="","",IF(LEFT($D444,2)="销售","应收账款","应付账款"))</f>
        <v/>
      </c>
      <c r="S444" s="58" t="str">
        <f aca="false">IF($F444="","",IFERROR(INDEX(商品档案!$G$6:$G$65,MATCH($F444,商品档案!$A$6:$A$65,0)),""))</f>
        <v/>
      </c>
      <c r="T444" s="58" t="str">
        <f aca="false">IF($F444="","",IFERROR(INDEX(商品档案!$H$6:$H$65,MATCH($F444,商品档案!$A$6:$A$65,0)),""))</f>
        <v/>
      </c>
      <c r="U444" s="58" t="str">
        <f aca="false">IF($F444="","",IFERROR(INDEX(商品档案!$I$6:$I$65,MATCH($F444,商品档案!$A$6:$A$65,0)),""))</f>
        <v/>
      </c>
      <c r="V444" s="59" t="str">
        <f aca="false">IF($F444="","",SUMIFS(进销存台账!$N$6:$N$65,进销存台账!$A$6:$A$65,$C444,进销存台账!$B$6:$B$65,$F444))</f>
        <v/>
      </c>
      <c r="W444" s="60" t="n">
        <f aca="false">IF(OR($D444="销售出库",$D444="销售退回"),ROUND(N($J444)*N($V444),2),0)</f>
        <v>0</v>
      </c>
      <c r="X444" s="58" t="str">
        <f aca="false">IF($E444="","",IFERROR(INDEX(往来单位!$D$6:$D$85,MATCH($E444,往来单位!$A$6:$A$85,0)),"否"))</f>
        <v/>
      </c>
      <c r="Y444" s="61" t="str">
        <f aca="false">IF($B444="","",YEAR($B444))</f>
        <v/>
      </c>
      <c r="Z444" s="58" t="str">
        <f aca="false">IF($B444="","",TEXT($B444,"yyyy-mm"))</f>
        <v/>
      </c>
    </row>
    <row r="445" customFormat="false" ht="15" hidden="false" customHeight="false" outlineLevel="0" collapsed="false">
      <c r="A445" s="53" t="str">
        <f aca="false">IF($B445="","",ROW()-5)</f>
        <v/>
      </c>
      <c r="B445" s="54"/>
      <c r="C445" s="33"/>
      <c r="D445" s="33"/>
      <c r="E445" s="32"/>
      <c r="F445" s="39"/>
      <c r="G445" s="48" t="str">
        <f aca="false">IF($F445="","",IFERROR(INDEX(商品档案!$B$6:$B$65,MATCH($F445,商品档案!$A$6:$A$65,0)),""))</f>
        <v/>
      </c>
      <c r="H445" s="48" t="str">
        <f aca="false">IF($F445="","",IFERROR(INDEX(商品档案!$C$6:$C$65,MATCH($F445,商品档案!$A$6:$A$65,0)),""))</f>
        <v/>
      </c>
      <c r="I445" s="55" t="str">
        <f aca="false">IF($F445="","",IFERROR(INDEX(商品档案!$D$6:$D$65,MATCH($F445,商品档案!$A$6:$A$65,0)),""))</f>
        <v/>
      </c>
      <c r="J445" s="49"/>
      <c r="K445" s="56"/>
      <c r="L445" s="33"/>
      <c r="M445" s="39"/>
      <c r="N445" s="41"/>
      <c r="O445" s="41"/>
      <c r="P445" s="25" t="str">
        <f aca="false">IF(AND($B445="",$D445="",$F445=""),"",IF(NOT(ISNUMBER($B445)),"日期无效",IF(ISNA(MATCH($C445,参数设置!$A$10:$A$12,0)),"公司无效",IF(ISNA(MATCH($D445,记账规则!$A$6:$A$9,0)),"业务类型无效",IF(ISNA(MATCH($F445,商品档案!$A$6:$A$65,0)),"商品编码无效",IF(IFERROR(INDEX(商品档案!$E$6:$E$65,MATCH($F445,商品档案!$A$6:$A$65,0)),"")&lt;&gt;$C445,"商品不属于该公司",IF(AND($E445&lt;&gt;"",ISNA(MATCH($E445,往来单位!$A$6:$A$85,0))),"往来单位未建档",IF(N($J445)=0,"数量为 0",IF(N($K445)=0,"单价为 0",IF(AND(LEFT($D445,2)="销售",$U445=""),"该商品没设成本科目",IF(YEAR($B445)&lt;&gt;参数设置!$B$5,"不在本会计年度","OK")))))))))))</f>
        <v/>
      </c>
      <c r="Q445" s="57" t="str">
        <f aca="false">IF($F445="","",ROUND(N($J445)*N($K445),2))</f>
        <v/>
      </c>
      <c r="R445" s="58" t="str">
        <f aca="false">IF($D445="","",IF(LEFT($D445,2)="销售","应收账款","应付账款"))</f>
        <v/>
      </c>
      <c r="S445" s="58" t="str">
        <f aca="false">IF($F445="","",IFERROR(INDEX(商品档案!$G$6:$G$65,MATCH($F445,商品档案!$A$6:$A$65,0)),""))</f>
        <v/>
      </c>
      <c r="T445" s="58" t="str">
        <f aca="false">IF($F445="","",IFERROR(INDEX(商品档案!$H$6:$H$65,MATCH($F445,商品档案!$A$6:$A$65,0)),""))</f>
        <v/>
      </c>
      <c r="U445" s="58" t="str">
        <f aca="false">IF($F445="","",IFERROR(INDEX(商品档案!$I$6:$I$65,MATCH($F445,商品档案!$A$6:$A$65,0)),""))</f>
        <v/>
      </c>
      <c r="V445" s="59" t="str">
        <f aca="false">IF($F445="","",SUMIFS(进销存台账!$N$6:$N$65,进销存台账!$A$6:$A$65,$C445,进销存台账!$B$6:$B$65,$F445))</f>
        <v/>
      </c>
      <c r="W445" s="60" t="n">
        <f aca="false">IF(OR($D445="销售出库",$D445="销售退回"),ROUND(N($J445)*N($V445),2),0)</f>
        <v>0</v>
      </c>
      <c r="X445" s="58" t="str">
        <f aca="false">IF($E445="","",IFERROR(INDEX(往来单位!$D$6:$D$85,MATCH($E445,往来单位!$A$6:$A$85,0)),"否"))</f>
        <v/>
      </c>
      <c r="Y445" s="61" t="str">
        <f aca="false">IF($B445="","",YEAR($B445))</f>
        <v/>
      </c>
      <c r="Z445" s="58" t="str">
        <f aca="false">IF($B445="","",TEXT($B445,"yyyy-mm"))</f>
        <v/>
      </c>
    </row>
    <row r="446" customFormat="false" ht="15" hidden="false" customHeight="false" outlineLevel="0" collapsed="false">
      <c r="A446" s="53" t="str">
        <f aca="false">IF($B446="","",ROW()-5)</f>
        <v/>
      </c>
      <c r="B446" s="54"/>
      <c r="C446" s="33"/>
      <c r="D446" s="33"/>
      <c r="E446" s="32"/>
      <c r="F446" s="39"/>
      <c r="G446" s="48" t="str">
        <f aca="false">IF($F446="","",IFERROR(INDEX(商品档案!$B$6:$B$65,MATCH($F446,商品档案!$A$6:$A$65,0)),""))</f>
        <v/>
      </c>
      <c r="H446" s="48" t="str">
        <f aca="false">IF($F446="","",IFERROR(INDEX(商品档案!$C$6:$C$65,MATCH($F446,商品档案!$A$6:$A$65,0)),""))</f>
        <v/>
      </c>
      <c r="I446" s="55" t="str">
        <f aca="false">IF($F446="","",IFERROR(INDEX(商品档案!$D$6:$D$65,MATCH($F446,商品档案!$A$6:$A$65,0)),""))</f>
        <v/>
      </c>
      <c r="J446" s="49"/>
      <c r="K446" s="56"/>
      <c r="L446" s="33"/>
      <c r="M446" s="39"/>
      <c r="N446" s="41"/>
      <c r="O446" s="41"/>
      <c r="P446" s="25" t="str">
        <f aca="false">IF(AND($B446="",$D446="",$F446=""),"",IF(NOT(ISNUMBER($B446)),"日期无效",IF(ISNA(MATCH($C446,参数设置!$A$10:$A$12,0)),"公司无效",IF(ISNA(MATCH($D446,记账规则!$A$6:$A$9,0)),"业务类型无效",IF(ISNA(MATCH($F446,商品档案!$A$6:$A$65,0)),"商品编码无效",IF(IFERROR(INDEX(商品档案!$E$6:$E$65,MATCH($F446,商品档案!$A$6:$A$65,0)),"")&lt;&gt;$C446,"商品不属于该公司",IF(AND($E446&lt;&gt;"",ISNA(MATCH($E446,往来单位!$A$6:$A$85,0))),"往来单位未建档",IF(N($J446)=0,"数量为 0",IF(N($K446)=0,"单价为 0",IF(AND(LEFT($D446,2)="销售",$U446=""),"该商品没设成本科目",IF(YEAR($B446)&lt;&gt;参数设置!$B$5,"不在本会计年度","OK")))))))))))</f>
        <v/>
      </c>
      <c r="Q446" s="57" t="str">
        <f aca="false">IF($F446="","",ROUND(N($J446)*N($K446),2))</f>
        <v/>
      </c>
      <c r="R446" s="58" t="str">
        <f aca="false">IF($D446="","",IF(LEFT($D446,2)="销售","应收账款","应付账款"))</f>
        <v/>
      </c>
      <c r="S446" s="58" t="str">
        <f aca="false">IF($F446="","",IFERROR(INDEX(商品档案!$G$6:$G$65,MATCH($F446,商品档案!$A$6:$A$65,0)),""))</f>
        <v/>
      </c>
      <c r="T446" s="58" t="str">
        <f aca="false">IF($F446="","",IFERROR(INDEX(商品档案!$H$6:$H$65,MATCH($F446,商品档案!$A$6:$A$65,0)),""))</f>
        <v/>
      </c>
      <c r="U446" s="58" t="str">
        <f aca="false">IF($F446="","",IFERROR(INDEX(商品档案!$I$6:$I$65,MATCH($F446,商品档案!$A$6:$A$65,0)),""))</f>
        <v/>
      </c>
      <c r="V446" s="59" t="str">
        <f aca="false">IF($F446="","",SUMIFS(进销存台账!$N$6:$N$65,进销存台账!$A$6:$A$65,$C446,进销存台账!$B$6:$B$65,$F446))</f>
        <v/>
      </c>
      <c r="W446" s="60" t="n">
        <f aca="false">IF(OR($D446="销售出库",$D446="销售退回"),ROUND(N($J446)*N($V446),2),0)</f>
        <v>0</v>
      </c>
      <c r="X446" s="58" t="str">
        <f aca="false">IF($E446="","",IFERROR(INDEX(往来单位!$D$6:$D$85,MATCH($E446,往来单位!$A$6:$A$85,0)),"否"))</f>
        <v/>
      </c>
      <c r="Y446" s="61" t="str">
        <f aca="false">IF($B446="","",YEAR($B446))</f>
        <v/>
      </c>
      <c r="Z446" s="58" t="str">
        <f aca="false">IF($B446="","",TEXT($B446,"yyyy-mm"))</f>
        <v/>
      </c>
    </row>
    <row r="447" customFormat="false" ht="15" hidden="false" customHeight="false" outlineLevel="0" collapsed="false">
      <c r="A447" s="53" t="str">
        <f aca="false">IF($B447="","",ROW()-5)</f>
        <v/>
      </c>
      <c r="B447" s="54"/>
      <c r="C447" s="33"/>
      <c r="D447" s="33"/>
      <c r="E447" s="32"/>
      <c r="F447" s="39"/>
      <c r="G447" s="48" t="str">
        <f aca="false">IF($F447="","",IFERROR(INDEX(商品档案!$B$6:$B$65,MATCH($F447,商品档案!$A$6:$A$65,0)),""))</f>
        <v/>
      </c>
      <c r="H447" s="48" t="str">
        <f aca="false">IF($F447="","",IFERROR(INDEX(商品档案!$C$6:$C$65,MATCH($F447,商品档案!$A$6:$A$65,0)),""))</f>
        <v/>
      </c>
      <c r="I447" s="55" t="str">
        <f aca="false">IF($F447="","",IFERROR(INDEX(商品档案!$D$6:$D$65,MATCH($F447,商品档案!$A$6:$A$65,0)),""))</f>
        <v/>
      </c>
      <c r="J447" s="49"/>
      <c r="K447" s="56"/>
      <c r="L447" s="33"/>
      <c r="M447" s="39"/>
      <c r="N447" s="41"/>
      <c r="O447" s="41"/>
      <c r="P447" s="25" t="str">
        <f aca="false">IF(AND($B447="",$D447="",$F447=""),"",IF(NOT(ISNUMBER($B447)),"日期无效",IF(ISNA(MATCH($C447,参数设置!$A$10:$A$12,0)),"公司无效",IF(ISNA(MATCH($D447,记账规则!$A$6:$A$9,0)),"业务类型无效",IF(ISNA(MATCH($F447,商品档案!$A$6:$A$65,0)),"商品编码无效",IF(IFERROR(INDEX(商品档案!$E$6:$E$65,MATCH($F447,商品档案!$A$6:$A$65,0)),"")&lt;&gt;$C447,"商品不属于该公司",IF(AND($E447&lt;&gt;"",ISNA(MATCH($E447,往来单位!$A$6:$A$85,0))),"往来单位未建档",IF(N($J447)=0,"数量为 0",IF(N($K447)=0,"单价为 0",IF(AND(LEFT($D447,2)="销售",$U447=""),"该商品没设成本科目",IF(YEAR($B447)&lt;&gt;参数设置!$B$5,"不在本会计年度","OK")))))))))))</f>
        <v/>
      </c>
      <c r="Q447" s="57" t="str">
        <f aca="false">IF($F447="","",ROUND(N($J447)*N($K447),2))</f>
        <v/>
      </c>
      <c r="R447" s="58" t="str">
        <f aca="false">IF($D447="","",IF(LEFT($D447,2)="销售","应收账款","应付账款"))</f>
        <v/>
      </c>
      <c r="S447" s="58" t="str">
        <f aca="false">IF($F447="","",IFERROR(INDEX(商品档案!$G$6:$G$65,MATCH($F447,商品档案!$A$6:$A$65,0)),""))</f>
        <v/>
      </c>
      <c r="T447" s="58" t="str">
        <f aca="false">IF($F447="","",IFERROR(INDEX(商品档案!$H$6:$H$65,MATCH($F447,商品档案!$A$6:$A$65,0)),""))</f>
        <v/>
      </c>
      <c r="U447" s="58" t="str">
        <f aca="false">IF($F447="","",IFERROR(INDEX(商品档案!$I$6:$I$65,MATCH($F447,商品档案!$A$6:$A$65,0)),""))</f>
        <v/>
      </c>
      <c r="V447" s="59" t="str">
        <f aca="false">IF($F447="","",SUMIFS(进销存台账!$N$6:$N$65,进销存台账!$A$6:$A$65,$C447,进销存台账!$B$6:$B$65,$F447))</f>
        <v/>
      </c>
      <c r="W447" s="60" t="n">
        <f aca="false">IF(OR($D447="销售出库",$D447="销售退回"),ROUND(N($J447)*N($V447),2),0)</f>
        <v>0</v>
      </c>
      <c r="X447" s="58" t="str">
        <f aca="false">IF($E447="","",IFERROR(INDEX(往来单位!$D$6:$D$85,MATCH($E447,往来单位!$A$6:$A$85,0)),"否"))</f>
        <v/>
      </c>
      <c r="Y447" s="61" t="str">
        <f aca="false">IF($B447="","",YEAR($B447))</f>
        <v/>
      </c>
      <c r="Z447" s="58" t="str">
        <f aca="false">IF($B447="","",TEXT($B447,"yyyy-mm"))</f>
        <v/>
      </c>
    </row>
    <row r="448" customFormat="false" ht="15" hidden="false" customHeight="false" outlineLevel="0" collapsed="false">
      <c r="A448" s="53" t="str">
        <f aca="false">IF($B448="","",ROW()-5)</f>
        <v/>
      </c>
      <c r="B448" s="54"/>
      <c r="C448" s="33"/>
      <c r="D448" s="33"/>
      <c r="E448" s="32"/>
      <c r="F448" s="39"/>
      <c r="G448" s="48" t="str">
        <f aca="false">IF($F448="","",IFERROR(INDEX(商品档案!$B$6:$B$65,MATCH($F448,商品档案!$A$6:$A$65,0)),""))</f>
        <v/>
      </c>
      <c r="H448" s="48" t="str">
        <f aca="false">IF($F448="","",IFERROR(INDEX(商品档案!$C$6:$C$65,MATCH($F448,商品档案!$A$6:$A$65,0)),""))</f>
        <v/>
      </c>
      <c r="I448" s="55" t="str">
        <f aca="false">IF($F448="","",IFERROR(INDEX(商品档案!$D$6:$D$65,MATCH($F448,商品档案!$A$6:$A$65,0)),""))</f>
        <v/>
      </c>
      <c r="J448" s="49"/>
      <c r="K448" s="56"/>
      <c r="L448" s="33"/>
      <c r="M448" s="39"/>
      <c r="N448" s="41"/>
      <c r="O448" s="41"/>
      <c r="P448" s="25" t="str">
        <f aca="false">IF(AND($B448="",$D448="",$F448=""),"",IF(NOT(ISNUMBER($B448)),"日期无效",IF(ISNA(MATCH($C448,参数设置!$A$10:$A$12,0)),"公司无效",IF(ISNA(MATCH($D448,记账规则!$A$6:$A$9,0)),"业务类型无效",IF(ISNA(MATCH($F448,商品档案!$A$6:$A$65,0)),"商品编码无效",IF(IFERROR(INDEX(商品档案!$E$6:$E$65,MATCH($F448,商品档案!$A$6:$A$65,0)),"")&lt;&gt;$C448,"商品不属于该公司",IF(AND($E448&lt;&gt;"",ISNA(MATCH($E448,往来单位!$A$6:$A$85,0))),"往来单位未建档",IF(N($J448)=0,"数量为 0",IF(N($K448)=0,"单价为 0",IF(AND(LEFT($D448,2)="销售",$U448=""),"该商品没设成本科目",IF(YEAR($B448)&lt;&gt;参数设置!$B$5,"不在本会计年度","OK")))))))))))</f>
        <v/>
      </c>
      <c r="Q448" s="57" t="str">
        <f aca="false">IF($F448="","",ROUND(N($J448)*N($K448),2))</f>
        <v/>
      </c>
      <c r="R448" s="58" t="str">
        <f aca="false">IF($D448="","",IF(LEFT($D448,2)="销售","应收账款","应付账款"))</f>
        <v/>
      </c>
      <c r="S448" s="58" t="str">
        <f aca="false">IF($F448="","",IFERROR(INDEX(商品档案!$G$6:$G$65,MATCH($F448,商品档案!$A$6:$A$65,0)),""))</f>
        <v/>
      </c>
      <c r="T448" s="58" t="str">
        <f aca="false">IF($F448="","",IFERROR(INDEX(商品档案!$H$6:$H$65,MATCH($F448,商品档案!$A$6:$A$65,0)),""))</f>
        <v/>
      </c>
      <c r="U448" s="58" t="str">
        <f aca="false">IF($F448="","",IFERROR(INDEX(商品档案!$I$6:$I$65,MATCH($F448,商品档案!$A$6:$A$65,0)),""))</f>
        <v/>
      </c>
      <c r="V448" s="59" t="str">
        <f aca="false">IF($F448="","",SUMIFS(进销存台账!$N$6:$N$65,进销存台账!$A$6:$A$65,$C448,进销存台账!$B$6:$B$65,$F448))</f>
        <v/>
      </c>
      <c r="W448" s="60" t="n">
        <f aca="false">IF(OR($D448="销售出库",$D448="销售退回"),ROUND(N($J448)*N($V448),2),0)</f>
        <v>0</v>
      </c>
      <c r="X448" s="58" t="str">
        <f aca="false">IF($E448="","",IFERROR(INDEX(往来单位!$D$6:$D$85,MATCH($E448,往来单位!$A$6:$A$85,0)),"否"))</f>
        <v/>
      </c>
      <c r="Y448" s="61" t="str">
        <f aca="false">IF($B448="","",YEAR($B448))</f>
        <v/>
      </c>
      <c r="Z448" s="58" t="str">
        <f aca="false">IF($B448="","",TEXT($B448,"yyyy-mm"))</f>
        <v/>
      </c>
    </row>
    <row r="449" customFormat="false" ht="15" hidden="false" customHeight="false" outlineLevel="0" collapsed="false">
      <c r="A449" s="53" t="str">
        <f aca="false">IF($B449="","",ROW()-5)</f>
        <v/>
      </c>
      <c r="B449" s="54"/>
      <c r="C449" s="33"/>
      <c r="D449" s="33"/>
      <c r="E449" s="32"/>
      <c r="F449" s="39"/>
      <c r="G449" s="48" t="str">
        <f aca="false">IF($F449="","",IFERROR(INDEX(商品档案!$B$6:$B$65,MATCH($F449,商品档案!$A$6:$A$65,0)),""))</f>
        <v/>
      </c>
      <c r="H449" s="48" t="str">
        <f aca="false">IF($F449="","",IFERROR(INDEX(商品档案!$C$6:$C$65,MATCH($F449,商品档案!$A$6:$A$65,0)),""))</f>
        <v/>
      </c>
      <c r="I449" s="55" t="str">
        <f aca="false">IF($F449="","",IFERROR(INDEX(商品档案!$D$6:$D$65,MATCH($F449,商品档案!$A$6:$A$65,0)),""))</f>
        <v/>
      </c>
      <c r="J449" s="49"/>
      <c r="K449" s="56"/>
      <c r="L449" s="33"/>
      <c r="M449" s="39"/>
      <c r="N449" s="41"/>
      <c r="O449" s="41"/>
      <c r="P449" s="25" t="str">
        <f aca="false">IF(AND($B449="",$D449="",$F449=""),"",IF(NOT(ISNUMBER($B449)),"日期无效",IF(ISNA(MATCH($C449,参数设置!$A$10:$A$12,0)),"公司无效",IF(ISNA(MATCH($D449,记账规则!$A$6:$A$9,0)),"业务类型无效",IF(ISNA(MATCH($F449,商品档案!$A$6:$A$65,0)),"商品编码无效",IF(IFERROR(INDEX(商品档案!$E$6:$E$65,MATCH($F449,商品档案!$A$6:$A$65,0)),"")&lt;&gt;$C449,"商品不属于该公司",IF(AND($E449&lt;&gt;"",ISNA(MATCH($E449,往来单位!$A$6:$A$85,0))),"往来单位未建档",IF(N($J449)=0,"数量为 0",IF(N($K449)=0,"单价为 0",IF(AND(LEFT($D449,2)="销售",$U449=""),"该商品没设成本科目",IF(YEAR($B449)&lt;&gt;参数设置!$B$5,"不在本会计年度","OK")))))))))))</f>
        <v/>
      </c>
      <c r="Q449" s="57" t="str">
        <f aca="false">IF($F449="","",ROUND(N($J449)*N($K449),2))</f>
        <v/>
      </c>
      <c r="R449" s="58" t="str">
        <f aca="false">IF($D449="","",IF(LEFT($D449,2)="销售","应收账款","应付账款"))</f>
        <v/>
      </c>
      <c r="S449" s="58" t="str">
        <f aca="false">IF($F449="","",IFERROR(INDEX(商品档案!$G$6:$G$65,MATCH($F449,商品档案!$A$6:$A$65,0)),""))</f>
        <v/>
      </c>
      <c r="T449" s="58" t="str">
        <f aca="false">IF($F449="","",IFERROR(INDEX(商品档案!$H$6:$H$65,MATCH($F449,商品档案!$A$6:$A$65,0)),""))</f>
        <v/>
      </c>
      <c r="U449" s="58" t="str">
        <f aca="false">IF($F449="","",IFERROR(INDEX(商品档案!$I$6:$I$65,MATCH($F449,商品档案!$A$6:$A$65,0)),""))</f>
        <v/>
      </c>
      <c r="V449" s="59" t="str">
        <f aca="false">IF($F449="","",SUMIFS(进销存台账!$N$6:$N$65,进销存台账!$A$6:$A$65,$C449,进销存台账!$B$6:$B$65,$F449))</f>
        <v/>
      </c>
      <c r="W449" s="60" t="n">
        <f aca="false">IF(OR($D449="销售出库",$D449="销售退回"),ROUND(N($J449)*N($V449),2),0)</f>
        <v>0</v>
      </c>
      <c r="X449" s="58" t="str">
        <f aca="false">IF($E449="","",IFERROR(INDEX(往来单位!$D$6:$D$85,MATCH($E449,往来单位!$A$6:$A$85,0)),"否"))</f>
        <v/>
      </c>
      <c r="Y449" s="61" t="str">
        <f aca="false">IF($B449="","",YEAR($B449))</f>
        <v/>
      </c>
      <c r="Z449" s="58" t="str">
        <f aca="false">IF($B449="","",TEXT($B449,"yyyy-mm"))</f>
        <v/>
      </c>
    </row>
    <row r="450" customFormat="false" ht="15" hidden="false" customHeight="false" outlineLevel="0" collapsed="false">
      <c r="A450" s="53" t="str">
        <f aca="false">IF($B450="","",ROW()-5)</f>
        <v/>
      </c>
      <c r="B450" s="54"/>
      <c r="C450" s="33"/>
      <c r="D450" s="33"/>
      <c r="E450" s="32"/>
      <c r="F450" s="39"/>
      <c r="G450" s="48" t="str">
        <f aca="false">IF($F450="","",IFERROR(INDEX(商品档案!$B$6:$B$65,MATCH($F450,商品档案!$A$6:$A$65,0)),""))</f>
        <v/>
      </c>
      <c r="H450" s="48" t="str">
        <f aca="false">IF($F450="","",IFERROR(INDEX(商品档案!$C$6:$C$65,MATCH($F450,商品档案!$A$6:$A$65,0)),""))</f>
        <v/>
      </c>
      <c r="I450" s="55" t="str">
        <f aca="false">IF($F450="","",IFERROR(INDEX(商品档案!$D$6:$D$65,MATCH($F450,商品档案!$A$6:$A$65,0)),""))</f>
        <v/>
      </c>
      <c r="J450" s="49"/>
      <c r="K450" s="56"/>
      <c r="L450" s="33"/>
      <c r="M450" s="39"/>
      <c r="N450" s="41"/>
      <c r="O450" s="41"/>
      <c r="P450" s="25" t="str">
        <f aca="false">IF(AND($B450="",$D450="",$F450=""),"",IF(NOT(ISNUMBER($B450)),"日期无效",IF(ISNA(MATCH($C450,参数设置!$A$10:$A$12,0)),"公司无效",IF(ISNA(MATCH($D450,记账规则!$A$6:$A$9,0)),"业务类型无效",IF(ISNA(MATCH($F450,商品档案!$A$6:$A$65,0)),"商品编码无效",IF(IFERROR(INDEX(商品档案!$E$6:$E$65,MATCH($F450,商品档案!$A$6:$A$65,0)),"")&lt;&gt;$C450,"商品不属于该公司",IF(AND($E450&lt;&gt;"",ISNA(MATCH($E450,往来单位!$A$6:$A$85,0))),"往来单位未建档",IF(N($J450)=0,"数量为 0",IF(N($K450)=0,"单价为 0",IF(AND(LEFT($D450,2)="销售",$U450=""),"该商品没设成本科目",IF(YEAR($B450)&lt;&gt;参数设置!$B$5,"不在本会计年度","OK")))))))))))</f>
        <v/>
      </c>
      <c r="Q450" s="57" t="str">
        <f aca="false">IF($F450="","",ROUND(N($J450)*N($K450),2))</f>
        <v/>
      </c>
      <c r="R450" s="58" t="str">
        <f aca="false">IF($D450="","",IF(LEFT($D450,2)="销售","应收账款","应付账款"))</f>
        <v/>
      </c>
      <c r="S450" s="58" t="str">
        <f aca="false">IF($F450="","",IFERROR(INDEX(商品档案!$G$6:$G$65,MATCH($F450,商品档案!$A$6:$A$65,0)),""))</f>
        <v/>
      </c>
      <c r="T450" s="58" t="str">
        <f aca="false">IF($F450="","",IFERROR(INDEX(商品档案!$H$6:$H$65,MATCH($F450,商品档案!$A$6:$A$65,0)),""))</f>
        <v/>
      </c>
      <c r="U450" s="58" t="str">
        <f aca="false">IF($F450="","",IFERROR(INDEX(商品档案!$I$6:$I$65,MATCH($F450,商品档案!$A$6:$A$65,0)),""))</f>
        <v/>
      </c>
      <c r="V450" s="59" t="str">
        <f aca="false">IF($F450="","",SUMIFS(进销存台账!$N$6:$N$65,进销存台账!$A$6:$A$65,$C450,进销存台账!$B$6:$B$65,$F450))</f>
        <v/>
      </c>
      <c r="W450" s="60" t="n">
        <f aca="false">IF(OR($D450="销售出库",$D450="销售退回"),ROUND(N($J450)*N($V450),2),0)</f>
        <v>0</v>
      </c>
      <c r="X450" s="58" t="str">
        <f aca="false">IF($E450="","",IFERROR(INDEX(往来单位!$D$6:$D$85,MATCH($E450,往来单位!$A$6:$A$85,0)),"否"))</f>
        <v/>
      </c>
      <c r="Y450" s="61" t="str">
        <f aca="false">IF($B450="","",YEAR($B450))</f>
        <v/>
      </c>
      <c r="Z450" s="58" t="str">
        <f aca="false">IF($B450="","",TEXT($B450,"yyyy-mm"))</f>
        <v/>
      </c>
    </row>
    <row r="451" customFormat="false" ht="15" hidden="false" customHeight="false" outlineLevel="0" collapsed="false">
      <c r="A451" s="53" t="str">
        <f aca="false">IF($B451="","",ROW()-5)</f>
        <v/>
      </c>
      <c r="B451" s="54"/>
      <c r="C451" s="33"/>
      <c r="D451" s="33"/>
      <c r="E451" s="32"/>
      <c r="F451" s="39"/>
      <c r="G451" s="48" t="str">
        <f aca="false">IF($F451="","",IFERROR(INDEX(商品档案!$B$6:$B$65,MATCH($F451,商品档案!$A$6:$A$65,0)),""))</f>
        <v/>
      </c>
      <c r="H451" s="48" t="str">
        <f aca="false">IF($F451="","",IFERROR(INDEX(商品档案!$C$6:$C$65,MATCH($F451,商品档案!$A$6:$A$65,0)),""))</f>
        <v/>
      </c>
      <c r="I451" s="55" t="str">
        <f aca="false">IF($F451="","",IFERROR(INDEX(商品档案!$D$6:$D$65,MATCH($F451,商品档案!$A$6:$A$65,0)),""))</f>
        <v/>
      </c>
      <c r="J451" s="49"/>
      <c r="K451" s="56"/>
      <c r="L451" s="33"/>
      <c r="M451" s="39"/>
      <c r="N451" s="41"/>
      <c r="O451" s="41"/>
      <c r="P451" s="25" t="str">
        <f aca="false">IF(AND($B451="",$D451="",$F451=""),"",IF(NOT(ISNUMBER($B451)),"日期无效",IF(ISNA(MATCH($C451,参数设置!$A$10:$A$12,0)),"公司无效",IF(ISNA(MATCH($D451,记账规则!$A$6:$A$9,0)),"业务类型无效",IF(ISNA(MATCH($F451,商品档案!$A$6:$A$65,0)),"商品编码无效",IF(IFERROR(INDEX(商品档案!$E$6:$E$65,MATCH($F451,商品档案!$A$6:$A$65,0)),"")&lt;&gt;$C451,"商品不属于该公司",IF(AND($E451&lt;&gt;"",ISNA(MATCH($E451,往来单位!$A$6:$A$85,0))),"往来单位未建档",IF(N($J451)=0,"数量为 0",IF(N($K451)=0,"单价为 0",IF(AND(LEFT($D451,2)="销售",$U451=""),"该商品没设成本科目",IF(YEAR($B451)&lt;&gt;参数设置!$B$5,"不在本会计年度","OK")))))))))))</f>
        <v/>
      </c>
      <c r="Q451" s="57" t="str">
        <f aca="false">IF($F451="","",ROUND(N($J451)*N($K451),2))</f>
        <v/>
      </c>
      <c r="R451" s="58" t="str">
        <f aca="false">IF($D451="","",IF(LEFT($D451,2)="销售","应收账款","应付账款"))</f>
        <v/>
      </c>
      <c r="S451" s="58" t="str">
        <f aca="false">IF($F451="","",IFERROR(INDEX(商品档案!$G$6:$G$65,MATCH($F451,商品档案!$A$6:$A$65,0)),""))</f>
        <v/>
      </c>
      <c r="T451" s="58" t="str">
        <f aca="false">IF($F451="","",IFERROR(INDEX(商品档案!$H$6:$H$65,MATCH($F451,商品档案!$A$6:$A$65,0)),""))</f>
        <v/>
      </c>
      <c r="U451" s="58" t="str">
        <f aca="false">IF($F451="","",IFERROR(INDEX(商品档案!$I$6:$I$65,MATCH($F451,商品档案!$A$6:$A$65,0)),""))</f>
        <v/>
      </c>
      <c r="V451" s="59" t="str">
        <f aca="false">IF($F451="","",SUMIFS(进销存台账!$N$6:$N$65,进销存台账!$A$6:$A$65,$C451,进销存台账!$B$6:$B$65,$F451))</f>
        <v/>
      </c>
      <c r="W451" s="60" t="n">
        <f aca="false">IF(OR($D451="销售出库",$D451="销售退回"),ROUND(N($J451)*N($V451),2),0)</f>
        <v>0</v>
      </c>
      <c r="X451" s="58" t="str">
        <f aca="false">IF($E451="","",IFERROR(INDEX(往来单位!$D$6:$D$85,MATCH($E451,往来单位!$A$6:$A$85,0)),"否"))</f>
        <v/>
      </c>
      <c r="Y451" s="61" t="str">
        <f aca="false">IF($B451="","",YEAR($B451))</f>
        <v/>
      </c>
      <c r="Z451" s="58" t="str">
        <f aca="false">IF($B451="","",TEXT($B451,"yyyy-mm"))</f>
        <v/>
      </c>
    </row>
    <row r="452" customFormat="false" ht="15" hidden="false" customHeight="false" outlineLevel="0" collapsed="false">
      <c r="A452" s="53" t="str">
        <f aca="false">IF($B452="","",ROW()-5)</f>
        <v/>
      </c>
      <c r="B452" s="54"/>
      <c r="C452" s="33"/>
      <c r="D452" s="33"/>
      <c r="E452" s="32"/>
      <c r="F452" s="39"/>
      <c r="G452" s="48" t="str">
        <f aca="false">IF($F452="","",IFERROR(INDEX(商品档案!$B$6:$B$65,MATCH($F452,商品档案!$A$6:$A$65,0)),""))</f>
        <v/>
      </c>
      <c r="H452" s="48" t="str">
        <f aca="false">IF($F452="","",IFERROR(INDEX(商品档案!$C$6:$C$65,MATCH($F452,商品档案!$A$6:$A$65,0)),""))</f>
        <v/>
      </c>
      <c r="I452" s="55" t="str">
        <f aca="false">IF($F452="","",IFERROR(INDEX(商品档案!$D$6:$D$65,MATCH($F452,商品档案!$A$6:$A$65,0)),""))</f>
        <v/>
      </c>
      <c r="J452" s="49"/>
      <c r="K452" s="56"/>
      <c r="L452" s="33"/>
      <c r="M452" s="39"/>
      <c r="N452" s="41"/>
      <c r="O452" s="41"/>
      <c r="P452" s="25" t="str">
        <f aca="false">IF(AND($B452="",$D452="",$F452=""),"",IF(NOT(ISNUMBER($B452)),"日期无效",IF(ISNA(MATCH($C452,参数设置!$A$10:$A$12,0)),"公司无效",IF(ISNA(MATCH($D452,记账规则!$A$6:$A$9,0)),"业务类型无效",IF(ISNA(MATCH($F452,商品档案!$A$6:$A$65,0)),"商品编码无效",IF(IFERROR(INDEX(商品档案!$E$6:$E$65,MATCH($F452,商品档案!$A$6:$A$65,0)),"")&lt;&gt;$C452,"商品不属于该公司",IF(AND($E452&lt;&gt;"",ISNA(MATCH($E452,往来单位!$A$6:$A$85,0))),"往来单位未建档",IF(N($J452)=0,"数量为 0",IF(N($K452)=0,"单价为 0",IF(AND(LEFT($D452,2)="销售",$U452=""),"该商品没设成本科目",IF(YEAR($B452)&lt;&gt;参数设置!$B$5,"不在本会计年度","OK")))))))))))</f>
        <v/>
      </c>
      <c r="Q452" s="57" t="str">
        <f aca="false">IF($F452="","",ROUND(N($J452)*N($K452),2))</f>
        <v/>
      </c>
      <c r="R452" s="58" t="str">
        <f aca="false">IF($D452="","",IF(LEFT($D452,2)="销售","应收账款","应付账款"))</f>
        <v/>
      </c>
      <c r="S452" s="58" t="str">
        <f aca="false">IF($F452="","",IFERROR(INDEX(商品档案!$G$6:$G$65,MATCH($F452,商品档案!$A$6:$A$65,0)),""))</f>
        <v/>
      </c>
      <c r="T452" s="58" t="str">
        <f aca="false">IF($F452="","",IFERROR(INDEX(商品档案!$H$6:$H$65,MATCH($F452,商品档案!$A$6:$A$65,0)),""))</f>
        <v/>
      </c>
      <c r="U452" s="58" t="str">
        <f aca="false">IF($F452="","",IFERROR(INDEX(商品档案!$I$6:$I$65,MATCH($F452,商品档案!$A$6:$A$65,0)),""))</f>
        <v/>
      </c>
      <c r="V452" s="59" t="str">
        <f aca="false">IF($F452="","",SUMIFS(进销存台账!$N$6:$N$65,进销存台账!$A$6:$A$65,$C452,进销存台账!$B$6:$B$65,$F452))</f>
        <v/>
      </c>
      <c r="W452" s="60" t="n">
        <f aca="false">IF(OR($D452="销售出库",$D452="销售退回"),ROUND(N($J452)*N($V452),2),0)</f>
        <v>0</v>
      </c>
      <c r="X452" s="58" t="str">
        <f aca="false">IF($E452="","",IFERROR(INDEX(往来单位!$D$6:$D$85,MATCH($E452,往来单位!$A$6:$A$85,0)),"否"))</f>
        <v/>
      </c>
      <c r="Y452" s="61" t="str">
        <f aca="false">IF($B452="","",YEAR($B452))</f>
        <v/>
      </c>
      <c r="Z452" s="58" t="str">
        <f aca="false">IF($B452="","",TEXT($B452,"yyyy-mm"))</f>
        <v/>
      </c>
    </row>
    <row r="453" customFormat="false" ht="15" hidden="false" customHeight="false" outlineLevel="0" collapsed="false">
      <c r="A453" s="53" t="str">
        <f aca="false">IF($B453="","",ROW()-5)</f>
        <v/>
      </c>
      <c r="B453" s="54"/>
      <c r="C453" s="33"/>
      <c r="D453" s="33"/>
      <c r="E453" s="32"/>
      <c r="F453" s="39"/>
      <c r="G453" s="48" t="str">
        <f aca="false">IF($F453="","",IFERROR(INDEX(商品档案!$B$6:$B$65,MATCH($F453,商品档案!$A$6:$A$65,0)),""))</f>
        <v/>
      </c>
      <c r="H453" s="48" t="str">
        <f aca="false">IF($F453="","",IFERROR(INDEX(商品档案!$C$6:$C$65,MATCH($F453,商品档案!$A$6:$A$65,0)),""))</f>
        <v/>
      </c>
      <c r="I453" s="55" t="str">
        <f aca="false">IF($F453="","",IFERROR(INDEX(商品档案!$D$6:$D$65,MATCH($F453,商品档案!$A$6:$A$65,0)),""))</f>
        <v/>
      </c>
      <c r="J453" s="49"/>
      <c r="K453" s="56"/>
      <c r="L453" s="33"/>
      <c r="M453" s="39"/>
      <c r="N453" s="41"/>
      <c r="O453" s="41"/>
      <c r="P453" s="25" t="str">
        <f aca="false">IF(AND($B453="",$D453="",$F453=""),"",IF(NOT(ISNUMBER($B453)),"日期无效",IF(ISNA(MATCH($C453,参数设置!$A$10:$A$12,0)),"公司无效",IF(ISNA(MATCH($D453,记账规则!$A$6:$A$9,0)),"业务类型无效",IF(ISNA(MATCH($F453,商品档案!$A$6:$A$65,0)),"商品编码无效",IF(IFERROR(INDEX(商品档案!$E$6:$E$65,MATCH($F453,商品档案!$A$6:$A$65,0)),"")&lt;&gt;$C453,"商品不属于该公司",IF(AND($E453&lt;&gt;"",ISNA(MATCH($E453,往来单位!$A$6:$A$85,0))),"往来单位未建档",IF(N($J453)=0,"数量为 0",IF(N($K453)=0,"单价为 0",IF(AND(LEFT($D453,2)="销售",$U453=""),"该商品没设成本科目",IF(YEAR($B453)&lt;&gt;参数设置!$B$5,"不在本会计年度","OK")))))))))))</f>
        <v/>
      </c>
      <c r="Q453" s="57" t="str">
        <f aca="false">IF($F453="","",ROUND(N($J453)*N($K453),2))</f>
        <v/>
      </c>
      <c r="R453" s="58" t="str">
        <f aca="false">IF($D453="","",IF(LEFT($D453,2)="销售","应收账款","应付账款"))</f>
        <v/>
      </c>
      <c r="S453" s="58" t="str">
        <f aca="false">IF($F453="","",IFERROR(INDEX(商品档案!$G$6:$G$65,MATCH($F453,商品档案!$A$6:$A$65,0)),""))</f>
        <v/>
      </c>
      <c r="T453" s="58" t="str">
        <f aca="false">IF($F453="","",IFERROR(INDEX(商品档案!$H$6:$H$65,MATCH($F453,商品档案!$A$6:$A$65,0)),""))</f>
        <v/>
      </c>
      <c r="U453" s="58" t="str">
        <f aca="false">IF($F453="","",IFERROR(INDEX(商品档案!$I$6:$I$65,MATCH($F453,商品档案!$A$6:$A$65,0)),""))</f>
        <v/>
      </c>
      <c r="V453" s="59" t="str">
        <f aca="false">IF($F453="","",SUMIFS(进销存台账!$N$6:$N$65,进销存台账!$A$6:$A$65,$C453,进销存台账!$B$6:$B$65,$F453))</f>
        <v/>
      </c>
      <c r="W453" s="60" t="n">
        <f aca="false">IF(OR($D453="销售出库",$D453="销售退回"),ROUND(N($J453)*N($V453),2),0)</f>
        <v>0</v>
      </c>
      <c r="X453" s="58" t="str">
        <f aca="false">IF($E453="","",IFERROR(INDEX(往来单位!$D$6:$D$85,MATCH($E453,往来单位!$A$6:$A$85,0)),"否"))</f>
        <v/>
      </c>
      <c r="Y453" s="61" t="str">
        <f aca="false">IF($B453="","",YEAR($B453))</f>
        <v/>
      </c>
      <c r="Z453" s="58" t="str">
        <f aca="false">IF($B453="","",TEXT($B453,"yyyy-mm"))</f>
        <v/>
      </c>
    </row>
    <row r="454" customFormat="false" ht="15" hidden="false" customHeight="false" outlineLevel="0" collapsed="false">
      <c r="A454" s="53" t="str">
        <f aca="false">IF($B454="","",ROW()-5)</f>
        <v/>
      </c>
      <c r="B454" s="54"/>
      <c r="C454" s="33"/>
      <c r="D454" s="33"/>
      <c r="E454" s="32"/>
      <c r="F454" s="39"/>
      <c r="G454" s="48" t="str">
        <f aca="false">IF($F454="","",IFERROR(INDEX(商品档案!$B$6:$B$65,MATCH($F454,商品档案!$A$6:$A$65,0)),""))</f>
        <v/>
      </c>
      <c r="H454" s="48" t="str">
        <f aca="false">IF($F454="","",IFERROR(INDEX(商品档案!$C$6:$C$65,MATCH($F454,商品档案!$A$6:$A$65,0)),""))</f>
        <v/>
      </c>
      <c r="I454" s="55" t="str">
        <f aca="false">IF($F454="","",IFERROR(INDEX(商品档案!$D$6:$D$65,MATCH($F454,商品档案!$A$6:$A$65,0)),""))</f>
        <v/>
      </c>
      <c r="J454" s="49"/>
      <c r="K454" s="56"/>
      <c r="L454" s="33"/>
      <c r="M454" s="39"/>
      <c r="N454" s="41"/>
      <c r="O454" s="41"/>
      <c r="P454" s="25" t="str">
        <f aca="false">IF(AND($B454="",$D454="",$F454=""),"",IF(NOT(ISNUMBER($B454)),"日期无效",IF(ISNA(MATCH($C454,参数设置!$A$10:$A$12,0)),"公司无效",IF(ISNA(MATCH($D454,记账规则!$A$6:$A$9,0)),"业务类型无效",IF(ISNA(MATCH($F454,商品档案!$A$6:$A$65,0)),"商品编码无效",IF(IFERROR(INDEX(商品档案!$E$6:$E$65,MATCH($F454,商品档案!$A$6:$A$65,0)),"")&lt;&gt;$C454,"商品不属于该公司",IF(AND($E454&lt;&gt;"",ISNA(MATCH($E454,往来单位!$A$6:$A$85,0))),"往来单位未建档",IF(N($J454)=0,"数量为 0",IF(N($K454)=0,"单价为 0",IF(AND(LEFT($D454,2)="销售",$U454=""),"该商品没设成本科目",IF(YEAR($B454)&lt;&gt;参数设置!$B$5,"不在本会计年度","OK")))))))))))</f>
        <v/>
      </c>
      <c r="Q454" s="57" t="str">
        <f aca="false">IF($F454="","",ROUND(N($J454)*N($K454),2))</f>
        <v/>
      </c>
      <c r="R454" s="58" t="str">
        <f aca="false">IF($D454="","",IF(LEFT($D454,2)="销售","应收账款","应付账款"))</f>
        <v/>
      </c>
      <c r="S454" s="58" t="str">
        <f aca="false">IF($F454="","",IFERROR(INDEX(商品档案!$G$6:$G$65,MATCH($F454,商品档案!$A$6:$A$65,0)),""))</f>
        <v/>
      </c>
      <c r="T454" s="58" t="str">
        <f aca="false">IF($F454="","",IFERROR(INDEX(商品档案!$H$6:$H$65,MATCH($F454,商品档案!$A$6:$A$65,0)),""))</f>
        <v/>
      </c>
      <c r="U454" s="58" t="str">
        <f aca="false">IF($F454="","",IFERROR(INDEX(商品档案!$I$6:$I$65,MATCH($F454,商品档案!$A$6:$A$65,0)),""))</f>
        <v/>
      </c>
      <c r="V454" s="59" t="str">
        <f aca="false">IF($F454="","",SUMIFS(进销存台账!$N$6:$N$65,进销存台账!$A$6:$A$65,$C454,进销存台账!$B$6:$B$65,$F454))</f>
        <v/>
      </c>
      <c r="W454" s="60" t="n">
        <f aca="false">IF(OR($D454="销售出库",$D454="销售退回"),ROUND(N($J454)*N($V454),2),0)</f>
        <v>0</v>
      </c>
      <c r="X454" s="58" t="str">
        <f aca="false">IF($E454="","",IFERROR(INDEX(往来单位!$D$6:$D$85,MATCH($E454,往来单位!$A$6:$A$85,0)),"否"))</f>
        <v/>
      </c>
      <c r="Y454" s="61" t="str">
        <f aca="false">IF($B454="","",YEAR($B454))</f>
        <v/>
      </c>
      <c r="Z454" s="58" t="str">
        <f aca="false">IF($B454="","",TEXT($B454,"yyyy-mm"))</f>
        <v/>
      </c>
    </row>
    <row r="455" customFormat="false" ht="15" hidden="false" customHeight="false" outlineLevel="0" collapsed="false">
      <c r="A455" s="53" t="str">
        <f aca="false">IF($B455="","",ROW()-5)</f>
        <v/>
      </c>
      <c r="B455" s="54"/>
      <c r="C455" s="33"/>
      <c r="D455" s="33"/>
      <c r="E455" s="32"/>
      <c r="F455" s="39"/>
      <c r="G455" s="48" t="str">
        <f aca="false">IF($F455="","",IFERROR(INDEX(商品档案!$B$6:$B$65,MATCH($F455,商品档案!$A$6:$A$65,0)),""))</f>
        <v/>
      </c>
      <c r="H455" s="48" t="str">
        <f aca="false">IF($F455="","",IFERROR(INDEX(商品档案!$C$6:$C$65,MATCH($F455,商品档案!$A$6:$A$65,0)),""))</f>
        <v/>
      </c>
      <c r="I455" s="55" t="str">
        <f aca="false">IF($F455="","",IFERROR(INDEX(商品档案!$D$6:$D$65,MATCH($F455,商品档案!$A$6:$A$65,0)),""))</f>
        <v/>
      </c>
      <c r="J455" s="49"/>
      <c r="K455" s="56"/>
      <c r="L455" s="33"/>
      <c r="M455" s="39"/>
      <c r="N455" s="41"/>
      <c r="O455" s="41"/>
      <c r="P455" s="25" t="str">
        <f aca="false">IF(AND($B455="",$D455="",$F455=""),"",IF(NOT(ISNUMBER($B455)),"日期无效",IF(ISNA(MATCH($C455,参数设置!$A$10:$A$12,0)),"公司无效",IF(ISNA(MATCH($D455,记账规则!$A$6:$A$9,0)),"业务类型无效",IF(ISNA(MATCH($F455,商品档案!$A$6:$A$65,0)),"商品编码无效",IF(IFERROR(INDEX(商品档案!$E$6:$E$65,MATCH($F455,商品档案!$A$6:$A$65,0)),"")&lt;&gt;$C455,"商品不属于该公司",IF(AND($E455&lt;&gt;"",ISNA(MATCH($E455,往来单位!$A$6:$A$85,0))),"往来单位未建档",IF(N($J455)=0,"数量为 0",IF(N($K455)=0,"单价为 0",IF(AND(LEFT($D455,2)="销售",$U455=""),"该商品没设成本科目",IF(YEAR($B455)&lt;&gt;参数设置!$B$5,"不在本会计年度","OK")))))))))))</f>
        <v/>
      </c>
      <c r="Q455" s="57" t="str">
        <f aca="false">IF($F455="","",ROUND(N($J455)*N($K455),2))</f>
        <v/>
      </c>
      <c r="R455" s="58" t="str">
        <f aca="false">IF($D455="","",IF(LEFT($D455,2)="销售","应收账款","应付账款"))</f>
        <v/>
      </c>
      <c r="S455" s="58" t="str">
        <f aca="false">IF($F455="","",IFERROR(INDEX(商品档案!$G$6:$G$65,MATCH($F455,商品档案!$A$6:$A$65,0)),""))</f>
        <v/>
      </c>
      <c r="T455" s="58" t="str">
        <f aca="false">IF($F455="","",IFERROR(INDEX(商品档案!$H$6:$H$65,MATCH($F455,商品档案!$A$6:$A$65,0)),""))</f>
        <v/>
      </c>
      <c r="U455" s="58" t="str">
        <f aca="false">IF($F455="","",IFERROR(INDEX(商品档案!$I$6:$I$65,MATCH($F455,商品档案!$A$6:$A$65,0)),""))</f>
        <v/>
      </c>
      <c r="V455" s="59" t="str">
        <f aca="false">IF($F455="","",SUMIFS(进销存台账!$N$6:$N$65,进销存台账!$A$6:$A$65,$C455,进销存台账!$B$6:$B$65,$F455))</f>
        <v/>
      </c>
      <c r="W455" s="60" t="n">
        <f aca="false">IF(OR($D455="销售出库",$D455="销售退回"),ROUND(N($J455)*N($V455),2),0)</f>
        <v>0</v>
      </c>
      <c r="X455" s="58" t="str">
        <f aca="false">IF($E455="","",IFERROR(INDEX(往来单位!$D$6:$D$85,MATCH($E455,往来单位!$A$6:$A$85,0)),"否"))</f>
        <v/>
      </c>
      <c r="Y455" s="61" t="str">
        <f aca="false">IF($B455="","",YEAR($B455))</f>
        <v/>
      </c>
      <c r="Z455" s="58" t="str">
        <f aca="false">IF($B455="","",TEXT($B455,"yyyy-mm"))</f>
        <v/>
      </c>
    </row>
    <row r="456" customFormat="false" ht="15" hidden="false" customHeight="false" outlineLevel="0" collapsed="false">
      <c r="A456" s="53" t="str">
        <f aca="false">IF($B456="","",ROW()-5)</f>
        <v/>
      </c>
      <c r="B456" s="54"/>
      <c r="C456" s="33"/>
      <c r="D456" s="33"/>
      <c r="E456" s="32"/>
      <c r="F456" s="39"/>
      <c r="G456" s="48" t="str">
        <f aca="false">IF($F456="","",IFERROR(INDEX(商品档案!$B$6:$B$65,MATCH($F456,商品档案!$A$6:$A$65,0)),""))</f>
        <v/>
      </c>
      <c r="H456" s="48" t="str">
        <f aca="false">IF($F456="","",IFERROR(INDEX(商品档案!$C$6:$C$65,MATCH($F456,商品档案!$A$6:$A$65,0)),""))</f>
        <v/>
      </c>
      <c r="I456" s="55" t="str">
        <f aca="false">IF($F456="","",IFERROR(INDEX(商品档案!$D$6:$D$65,MATCH($F456,商品档案!$A$6:$A$65,0)),""))</f>
        <v/>
      </c>
      <c r="J456" s="49"/>
      <c r="K456" s="56"/>
      <c r="L456" s="33"/>
      <c r="M456" s="39"/>
      <c r="N456" s="41"/>
      <c r="O456" s="41"/>
      <c r="P456" s="25" t="str">
        <f aca="false">IF(AND($B456="",$D456="",$F456=""),"",IF(NOT(ISNUMBER($B456)),"日期无效",IF(ISNA(MATCH($C456,参数设置!$A$10:$A$12,0)),"公司无效",IF(ISNA(MATCH($D456,记账规则!$A$6:$A$9,0)),"业务类型无效",IF(ISNA(MATCH($F456,商品档案!$A$6:$A$65,0)),"商品编码无效",IF(IFERROR(INDEX(商品档案!$E$6:$E$65,MATCH($F456,商品档案!$A$6:$A$65,0)),"")&lt;&gt;$C456,"商品不属于该公司",IF(AND($E456&lt;&gt;"",ISNA(MATCH($E456,往来单位!$A$6:$A$85,0))),"往来单位未建档",IF(N($J456)=0,"数量为 0",IF(N($K456)=0,"单价为 0",IF(AND(LEFT($D456,2)="销售",$U456=""),"该商品没设成本科目",IF(YEAR($B456)&lt;&gt;参数设置!$B$5,"不在本会计年度","OK")))))))))))</f>
        <v/>
      </c>
      <c r="Q456" s="57" t="str">
        <f aca="false">IF($F456="","",ROUND(N($J456)*N($K456),2))</f>
        <v/>
      </c>
      <c r="R456" s="58" t="str">
        <f aca="false">IF($D456="","",IF(LEFT($D456,2)="销售","应收账款","应付账款"))</f>
        <v/>
      </c>
      <c r="S456" s="58" t="str">
        <f aca="false">IF($F456="","",IFERROR(INDEX(商品档案!$G$6:$G$65,MATCH($F456,商品档案!$A$6:$A$65,0)),""))</f>
        <v/>
      </c>
      <c r="T456" s="58" t="str">
        <f aca="false">IF($F456="","",IFERROR(INDEX(商品档案!$H$6:$H$65,MATCH($F456,商品档案!$A$6:$A$65,0)),""))</f>
        <v/>
      </c>
      <c r="U456" s="58" t="str">
        <f aca="false">IF($F456="","",IFERROR(INDEX(商品档案!$I$6:$I$65,MATCH($F456,商品档案!$A$6:$A$65,0)),""))</f>
        <v/>
      </c>
      <c r="V456" s="59" t="str">
        <f aca="false">IF($F456="","",SUMIFS(进销存台账!$N$6:$N$65,进销存台账!$A$6:$A$65,$C456,进销存台账!$B$6:$B$65,$F456))</f>
        <v/>
      </c>
      <c r="W456" s="60" t="n">
        <f aca="false">IF(OR($D456="销售出库",$D456="销售退回"),ROUND(N($J456)*N($V456),2),0)</f>
        <v>0</v>
      </c>
      <c r="X456" s="58" t="str">
        <f aca="false">IF($E456="","",IFERROR(INDEX(往来单位!$D$6:$D$85,MATCH($E456,往来单位!$A$6:$A$85,0)),"否"))</f>
        <v/>
      </c>
      <c r="Y456" s="61" t="str">
        <f aca="false">IF($B456="","",YEAR($B456))</f>
        <v/>
      </c>
      <c r="Z456" s="58" t="str">
        <f aca="false">IF($B456="","",TEXT($B456,"yyyy-mm"))</f>
        <v/>
      </c>
    </row>
    <row r="457" customFormat="false" ht="15" hidden="false" customHeight="false" outlineLevel="0" collapsed="false">
      <c r="A457" s="53" t="str">
        <f aca="false">IF($B457="","",ROW()-5)</f>
        <v/>
      </c>
      <c r="B457" s="54"/>
      <c r="C457" s="33"/>
      <c r="D457" s="33"/>
      <c r="E457" s="32"/>
      <c r="F457" s="39"/>
      <c r="G457" s="48" t="str">
        <f aca="false">IF($F457="","",IFERROR(INDEX(商品档案!$B$6:$B$65,MATCH($F457,商品档案!$A$6:$A$65,0)),""))</f>
        <v/>
      </c>
      <c r="H457" s="48" t="str">
        <f aca="false">IF($F457="","",IFERROR(INDEX(商品档案!$C$6:$C$65,MATCH($F457,商品档案!$A$6:$A$65,0)),""))</f>
        <v/>
      </c>
      <c r="I457" s="55" t="str">
        <f aca="false">IF($F457="","",IFERROR(INDEX(商品档案!$D$6:$D$65,MATCH($F457,商品档案!$A$6:$A$65,0)),""))</f>
        <v/>
      </c>
      <c r="J457" s="49"/>
      <c r="K457" s="56"/>
      <c r="L457" s="33"/>
      <c r="M457" s="39"/>
      <c r="N457" s="41"/>
      <c r="O457" s="41"/>
      <c r="P457" s="25" t="str">
        <f aca="false">IF(AND($B457="",$D457="",$F457=""),"",IF(NOT(ISNUMBER($B457)),"日期无效",IF(ISNA(MATCH($C457,参数设置!$A$10:$A$12,0)),"公司无效",IF(ISNA(MATCH($D457,记账规则!$A$6:$A$9,0)),"业务类型无效",IF(ISNA(MATCH($F457,商品档案!$A$6:$A$65,0)),"商品编码无效",IF(IFERROR(INDEX(商品档案!$E$6:$E$65,MATCH($F457,商品档案!$A$6:$A$65,0)),"")&lt;&gt;$C457,"商品不属于该公司",IF(AND($E457&lt;&gt;"",ISNA(MATCH($E457,往来单位!$A$6:$A$85,0))),"往来单位未建档",IF(N($J457)=0,"数量为 0",IF(N($K457)=0,"单价为 0",IF(AND(LEFT($D457,2)="销售",$U457=""),"该商品没设成本科目",IF(YEAR($B457)&lt;&gt;参数设置!$B$5,"不在本会计年度","OK")))))))))))</f>
        <v/>
      </c>
      <c r="Q457" s="57" t="str">
        <f aca="false">IF($F457="","",ROUND(N($J457)*N($K457),2))</f>
        <v/>
      </c>
      <c r="R457" s="58" t="str">
        <f aca="false">IF($D457="","",IF(LEFT($D457,2)="销售","应收账款","应付账款"))</f>
        <v/>
      </c>
      <c r="S457" s="58" t="str">
        <f aca="false">IF($F457="","",IFERROR(INDEX(商品档案!$G$6:$G$65,MATCH($F457,商品档案!$A$6:$A$65,0)),""))</f>
        <v/>
      </c>
      <c r="T457" s="58" t="str">
        <f aca="false">IF($F457="","",IFERROR(INDEX(商品档案!$H$6:$H$65,MATCH($F457,商品档案!$A$6:$A$65,0)),""))</f>
        <v/>
      </c>
      <c r="U457" s="58" t="str">
        <f aca="false">IF($F457="","",IFERROR(INDEX(商品档案!$I$6:$I$65,MATCH($F457,商品档案!$A$6:$A$65,0)),""))</f>
        <v/>
      </c>
      <c r="V457" s="59" t="str">
        <f aca="false">IF($F457="","",SUMIFS(进销存台账!$N$6:$N$65,进销存台账!$A$6:$A$65,$C457,进销存台账!$B$6:$B$65,$F457))</f>
        <v/>
      </c>
      <c r="W457" s="60" t="n">
        <f aca="false">IF(OR($D457="销售出库",$D457="销售退回"),ROUND(N($J457)*N($V457),2),0)</f>
        <v>0</v>
      </c>
      <c r="X457" s="58" t="str">
        <f aca="false">IF($E457="","",IFERROR(INDEX(往来单位!$D$6:$D$85,MATCH($E457,往来单位!$A$6:$A$85,0)),"否"))</f>
        <v/>
      </c>
      <c r="Y457" s="61" t="str">
        <f aca="false">IF($B457="","",YEAR($B457))</f>
        <v/>
      </c>
      <c r="Z457" s="58" t="str">
        <f aca="false">IF($B457="","",TEXT($B457,"yyyy-mm"))</f>
        <v/>
      </c>
    </row>
    <row r="458" customFormat="false" ht="15" hidden="false" customHeight="false" outlineLevel="0" collapsed="false">
      <c r="A458" s="53" t="str">
        <f aca="false">IF($B458="","",ROW()-5)</f>
        <v/>
      </c>
      <c r="B458" s="54"/>
      <c r="C458" s="33"/>
      <c r="D458" s="33"/>
      <c r="E458" s="32"/>
      <c r="F458" s="39"/>
      <c r="G458" s="48" t="str">
        <f aca="false">IF($F458="","",IFERROR(INDEX(商品档案!$B$6:$B$65,MATCH($F458,商品档案!$A$6:$A$65,0)),""))</f>
        <v/>
      </c>
      <c r="H458" s="48" t="str">
        <f aca="false">IF($F458="","",IFERROR(INDEX(商品档案!$C$6:$C$65,MATCH($F458,商品档案!$A$6:$A$65,0)),""))</f>
        <v/>
      </c>
      <c r="I458" s="55" t="str">
        <f aca="false">IF($F458="","",IFERROR(INDEX(商品档案!$D$6:$D$65,MATCH($F458,商品档案!$A$6:$A$65,0)),""))</f>
        <v/>
      </c>
      <c r="J458" s="49"/>
      <c r="K458" s="56"/>
      <c r="L458" s="33"/>
      <c r="M458" s="39"/>
      <c r="N458" s="41"/>
      <c r="O458" s="41"/>
      <c r="P458" s="25" t="str">
        <f aca="false">IF(AND($B458="",$D458="",$F458=""),"",IF(NOT(ISNUMBER($B458)),"日期无效",IF(ISNA(MATCH($C458,参数设置!$A$10:$A$12,0)),"公司无效",IF(ISNA(MATCH($D458,记账规则!$A$6:$A$9,0)),"业务类型无效",IF(ISNA(MATCH($F458,商品档案!$A$6:$A$65,0)),"商品编码无效",IF(IFERROR(INDEX(商品档案!$E$6:$E$65,MATCH($F458,商品档案!$A$6:$A$65,0)),"")&lt;&gt;$C458,"商品不属于该公司",IF(AND($E458&lt;&gt;"",ISNA(MATCH($E458,往来单位!$A$6:$A$85,0))),"往来单位未建档",IF(N($J458)=0,"数量为 0",IF(N($K458)=0,"单价为 0",IF(AND(LEFT($D458,2)="销售",$U458=""),"该商品没设成本科目",IF(YEAR($B458)&lt;&gt;参数设置!$B$5,"不在本会计年度","OK")))))))))))</f>
        <v/>
      </c>
      <c r="Q458" s="57" t="str">
        <f aca="false">IF($F458="","",ROUND(N($J458)*N($K458),2))</f>
        <v/>
      </c>
      <c r="R458" s="58" t="str">
        <f aca="false">IF($D458="","",IF(LEFT($D458,2)="销售","应收账款","应付账款"))</f>
        <v/>
      </c>
      <c r="S458" s="58" t="str">
        <f aca="false">IF($F458="","",IFERROR(INDEX(商品档案!$G$6:$G$65,MATCH($F458,商品档案!$A$6:$A$65,0)),""))</f>
        <v/>
      </c>
      <c r="T458" s="58" t="str">
        <f aca="false">IF($F458="","",IFERROR(INDEX(商品档案!$H$6:$H$65,MATCH($F458,商品档案!$A$6:$A$65,0)),""))</f>
        <v/>
      </c>
      <c r="U458" s="58" t="str">
        <f aca="false">IF($F458="","",IFERROR(INDEX(商品档案!$I$6:$I$65,MATCH($F458,商品档案!$A$6:$A$65,0)),""))</f>
        <v/>
      </c>
      <c r="V458" s="59" t="str">
        <f aca="false">IF($F458="","",SUMIFS(进销存台账!$N$6:$N$65,进销存台账!$A$6:$A$65,$C458,进销存台账!$B$6:$B$65,$F458))</f>
        <v/>
      </c>
      <c r="W458" s="60" t="n">
        <f aca="false">IF(OR($D458="销售出库",$D458="销售退回"),ROUND(N($J458)*N($V458),2),0)</f>
        <v>0</v>
      </c>
      <c r="X458" s="58" t="str">
        <f aca="false">IF($E458="","",IFERROR(INDEX(往来单位!$D$6:$D$85,MATCH($E458,往来单位!$A$6:$A$85,0)),"否"))</f>
        <v/>
      </c>
      <c r="Y458" s="61" t="str">
        <f aca="false">IF($B458="","",YEAR($B458))</f>
        <v/>
      </c>
      <c r="Z458" s="58" t="str">
        <f aca="false">IF($B458="","",TEXT($B458,"yyyy-mm"))</f>
        <v/>
      </c>
    </row>
    <row r="459" customFormat="false" ht="15" hidden="false" customHeight="false" outlineLevel="0" collapsed="false">
      <c r="A459" s="53" t="str">
        <f aca="false">IF($B459="","",ROW()-5)</f>
        <v/>
      </c>
      <c r="B459" s="54"/>
      <c r="C459" s="33"/>
      <c r="D459" s="33"/>
      <c r="E459" s="32"/>
      <c r="F459" s="39"/>
      <c r="G459" s="48" t="str">
        <f aca="false">IF($F459="","",IFERROR(INDEX(商品档案!$B$6:$B$65,MATCH($F459,商品档案!$A$6:$A$65,0)),""))</f>
        <v/>
      </c>
      <c r="H459" s="48" t="str">
        <f aca="false">IF($F459="","",IFERROR(INDEX(商品档案!$C$6:$C$65,MATCH($F459,商品档案!$A$6:$A$65,0)),""))</f>
        <v/>
      </c>
      <c r="I459" s="55" t="str">
        <f aca="false">IF($F459="","",IFERROR(INDEX(商品档案!$D$6:$D$65,MATCH($F459,商品档案!$A$6:$A$65,0)),""))</f>
        <v/>
      </c>
      <c r="J459" s="49"/>
      <c r="K459" s="56"/>
      <c r="L459" s="33"/>
      <c r="M459" s="39"/>
      <c r="N459" s="41"/>
      <c r="O459" s="41"/>
      <c r="P459" s="25" t="str">
        <f aca="false">IF(AND($B459="",$D459="",$F459=""),"",IF(NOT(ISNUMBER($B459)),"日期无效",IF(ISNA(MATCH($C459,参数设置!$A$10:$A$12,0)),"公司无效",IF(ISNA(MATCH($D459,记账规则!$A$6:$A$9,0)),"业务类型无效",IF(ISNA(MATCH($F459,商品档案!$A$6:$A$65,0)),"商品编码无效",IF(IFERROR(INDEX(商品档案!$E$6:$E$65,MATCH($F459,商品档案!$A$6:$A$65,0)),"")&lt;&gt;$C459,"商品不属于该公司",IF(AND($E459&lt;&gt;"",ISNA(MATCH($E459,往来单位!$A$6:$A$85,0))),"往来单位未建档",IF(N($J459)=0,"数量为 0",IF(N($K459)=0,"单价为 0",IF(AND(LEFT($D459,2)="销售",$U459=""),"该商品没设成本科目",IF(YEAR($B459)&lt;&gt;参数设置!$B$5,"不在本会计年度","OK")))))))))))</f>
        <v/>
      </c>
      <c r="Q459" s="57" t="str">
        <f aca="false">IF($F459="","",ROUND(N($J459)*N($K459),2))</f>
        <v/>
      </c>
      <c r="R459" s="58" t="str">
        <f aca="false">IF($D459="","",IF(LEFT($D459,2)="销售","应收账款","应付账款"))</f>
        <v/>
      </c>
      <c r="S459" s="58" t="str">
        <f aca="false">IF($F459="","",IFERROR(INDEX(商品档案!$G$6:$G$65,MATCH($F459,商品档案!$A$6:$A$65,0)),""))</f>
        <v/>
      </c>
      <c r="T459" s="58" t="str">
        <f aca="false">IF($F459="","",IFERROR(INDEX(商品档案!$H$6:$H$65,MATCH($F459,商品档案!$A$6:$A$65,0)),""))</f>
        <v/>
      </c>
      <c r="U459" s="58" t="str">
        <f aca="false">IF($F459="","",IFERROR(INDEX(商品档案!$I$6:$I$65,MATCH($F459,商品档案!$A$6:$A$65,0)),""))</f>
        <v/>
      </c>
      <c r="V459" s="59" t="str">
        <f aca="false">IF($F459="","",SUMIFS(进销存台账!$N$6:$N$65,进销存台账!$A$6:$A$65,$C459,进销存台账!$B$6:$B$65,$F459))</f>
        <v/>
      </c>
      <c r="W459" s="60" t="n">
        <f aca="false">IF(OR($D459="销售出库",$D459="销售退回"),ROUND(N($J459)*N($V459),2),0)</f>
        <v>0</v>
      </c>
      <c r="X459" s="58" t="str">
        <f aca="false">IF($E459="","",IFERROR(INDEX(往来单位!$D$6:$D$85,MATCH($E459,往来单位!$A$6:$A$85,0)),"否"))</f>
        <v/>
      </c>
      <c r="Y459" s="61" t="str">
        <f aca="false">IF($B459="","",YEAR($B459))</f>
        <v/>
      </c>
      <c r="Z459" s="58" t="str">
        <f aca="false">IF($B459="","",TEXT($B459,"yyyy-mm"))</f>
        <v/>
      </c>
    </row>
    <row r="460" customFormat="false" ht="15" hidden="false" customHeight="false" outlineLevel="0" collapsed="false">
      <c r="A460" s="53" t="str">
        <f aca="false">IF($B460="","",ROW()-5)</f>
        <v/>
      </c>
      <c r="B460" s="54"/>
      <c r="C460" s="33"/>
      <c r="D460" s="33"/>
      <c r="E460" s="32"/>
      <c r="F460" s="39"/>
      <c r="G460" s="48" t="str">
        <f aca="false">IF($F460="","",IFERROR(INDEX(商品档案!$B$6:$B$65,MATCH($F460,商品档案!$A$6:$A$65,0)),""))</f>
        <v/>
      </c>
      <c r="H460" s="48" t="str">
        <f aca="false">IF($F460="","",IFERROR(INDEX(商品档案!$C$6:$C$65,MATCH($F460,商品档案!$A$6:$A$65,0)),""))</f>
        <v/>
      </c>
      <c r="I460" s="55" t="str">
        <f aca="false">IF($F460="","",IFERROR(INDEX(商品档案!$D$6:$D$65,MATCH($F460,商品档案!$A$6:$A$65,0)),""))</f>
        <v/>
      </c>
      <c r="J460" s="49"/>
      <c r="K460" s="56"/>
      <c r="L460" s="33"/>
      <c r="M460" s="39"/>
      <c r="N460" s="41"/>
      <c r="O460" s="41"/>
      <c r="P460" s="25" t="str">
        <f aca="false">IF(AND($B460="",$D460="",$F460=""),"",IF(NOT(ISNUMBER($B460)),"日期无效",IF(ISNA(MATCH($C460,参数设置!$A$10:$A$12,0)),"公司无效",IF(ISNA(MATCH($D460,记账规则!$A$6:$A$9,0)),"业务类型无效",IF(ISNA(MATCH($F460,商品档案!$A$6:$A$65,0)),"商品编码无效",IF(IFERROR(INDEX(商品档案!$E$6:$E$65,MATCH($F460,商品档案!$A$6:$A$65,0)),"")&lt;&gt;$C460,"商品不属于该公司",IF(AND($E460&lt;&gt;"",ISNA(MATCH($E460,往来单位!$A$6:$A$85,0))),"往来单位未建档",IF(N($J460)=0,"数量为 0",IF(N($K460)=0,"单价为 0",IF(AND(LEFT($D460,2)="销售",$U460=""),"该商品没设成本科目",IF(YEAR($B460)&lt;&gt;参数设置!$B$5,"不在本会计年度","OK")))))))))))</f>
        <v/>
      </c>
      <c r="Q460" s="57" t="str">
        <f aca="false">IF($F460="","",ROUND(N($J460)*N($K460),2))</f>
        <v/>
      </c>
      <c r="R460" s="58" t="str">
        <f aca="false">IF($D460="","",IF(LEFT($D460,2)="销售","应收账款","应付账款"))</f>
        <v/>
      </c>
      <c r="S460" s="58" t="str">
        <f aca="false">IF($F460="","",IFERROR(INDEX(商品档案!$G$6:$G$65,MATCH($F460,商品档案!$A$6:$A$65,0)),""))</f>
        <v/>
      </c>
      <c r="T460" s="58" t="str">
        <f aca="false">IF($F460="","",IFERROR(INDEX(商品档案!$H$6:$H$65,MATCH($F460,商品档案!$A$6:$A$65,0)),""))</f>
        <v/>
      </c>
      <c r="U460" s="58" t="str">
        <f aca="false">IF($F460="","",IFERROR(INDEX(商品档案!$I$6:$I$65,MATCH($F460,商品档案!$A$6:$A$65,0)),""))</f>
        <v/>
      </c>
      <c r="V460" s="59" t="str">
        <f aca="false">IF($F460="","",SUMIFS(进销存台账!$N$6:$N$65,进销存台账!$A$6:$A$65,$C460,进销存台账!$B$6:$B$65,$F460))</f>
        <v/>
      </c>
      <c r="W460" s="60" t="n">
        <f aca="false">IF(OR($D460="销售出库",$D460="销售退回"),ROUND(N($J460)*N($V460),2),0)</f>
        <v>0</v>
      </c>
      <c r="X460" s="58" t="str">
        <f aca="false">IF($E460="","",IFERROR(INDEX(往来单位!$D$6:$D$85,MATCH($E460,往来单位!$A$6:$A$85,0)),"否"))</f>
        <v/>
      </c>
      <c r="Y460" s="61" t="str">
        <f aca="false">IF($B460="","",YEAR($B460))</f>
        <v/>
      </c>
      <c r="Z460" s="58" t="str">
        <f aca="false">IF($B460="","",TEXT($B460,"yyyy-mm"))</f>
        <v/>
      </c>
    </row>
    <row r="461" customFormat="false" ht="15" hidden="false" customHeight="false" outlineLevel="0" collapsed="false">
      <c r="A461" s="53" t="str">
        <f aca="false">IF($B461="","",ROW()-5)</f>
        <v/>
      </c>
      <c r="B461" s="54"/>
      <c r="C461" s="33"/>
      <c r="D461" s="33"/>
      <c r="E461" s="32"/>
      <c r="F461" s="39"/>
      <c r="G461" s="48" t="str">
        <f aca="false">IF($F461="","",IFERROR(INDEX(商品档案!$B$6:$B$65,MATCH($F461,商品档案!$A$6:$A$65,0)),""))</f>
        <v/>
      </c>
      <c r="H461" s="48" t="str">
        <f aca="false">IF($F461="","",IFERROR(INDEX(商品档案!$C$6:$C$65,MATCH($F461,商品档案!$A$6:$A$65,0)),""))</f>
        <v/>
      </c>
      <c r="I461" s="55" t="str">
        <f aca="false">IF($F461="","",IFERROR(INDEX(商品档案!$D$6:$D$65,MATCH($F461,商品档案!$A$6:$A$65,0)),""))</f>
        <v/>
      </c>
      <c r="J461" s="49"/>
      <c r="K461" s="56"/>
      <c r="L461" s="33"/>
      <c r="M461" s="39"/>
      <c r="N461" s="41"/>
      <c r="O461" s="41"/>
      <c r="P461" s="25" t="str">
        <f aca="false">IF(AND($B461="",$D461="",$F461=""),"",IF(NOT(ISNUMBER($B461)),"日期无效",IF(ISNA(MATCH($C461,参数设置!$A$10:$A$12,0)),"公司无效",IF(ISNA(MATCH($D461,记账规则!$A$6:$A$9,0)),"业务类型无效",IF(ISNA(MATCH($F461,商品档案!$A$6:$A$65,0)),"商品编码无效",IF(IFERROR(INDEX(商品档案!$E$6:$E$65,MATCH($F461,商品档案!$A$6:$A$65,0)),"")&lt;&gt;$C461,"商品不属于该公司",IF(AND($E461&lt;&gt;"",ISNA(MATCH($E461,往来单位!$A$6:$A$85,0))),"往来单位未建档",IF(N($J461)=0,"数量为 0",IF(N($K461)=0,"单价为 0",IF(AND(LEFT($D461,2)="销售",$U461=""),"该商品没设成本科目",IF(YEAR($B461)&lt;&gt;参数设置!$B$5,"不在本会计年度","OK")))))))))))</f>
        <v/>
      </c>
      <c r="Q461" s="57" t="str">
        <f aca="false">IF($F461="","",ROUND(N($J461)*N($K461),2))</f>
        <v/>
      </c>
      <c r="R461" s="58" t="str">
        <f aca="false">IF($D461="","",IF(LEFT($D461,2)="销售","应收账款","应付账款"))</f>
        <v/>
      </c>
      <c r="S461" s="58" t="str">
        <f aca="false">IF($F461="","",IFERROR(INDEX(商品档案!$G$6:$G$65,MATCH($F461,商品档案!$A$6:$A$65,0)),""))</f>
        <v/>
      </c>
      <c r="T461" s="58" t="str">
        <f aca="false">IF($F461="","",IFERROR(INDEX(商品档案!$H$6:$H$65,MATCH($F461,商品档案!$A$6:$A$65,0)),""))</f>
        <v/>
      </c>
      <c r="U461" s="58" t="str">
        <f aca="false">IF($F461="","",IFERROR(INDEX(商品档案!$I$6:$I$65,MATCH($F461,商品档案!$A$6:$A$65,0)),""))</f>
        <v/>
      </c>
      <c r="V461" s="59" t="str">
        <f aca="false">IF($F461="","",SUMIFS(进销存台账!$N$6:$N$65,进销存台账!$A$6:$A$65,$C461,进销存台账!$B$6:$B$65,$F461))</f>
        <v/>
      </c>
      <c r="W461" s="60" t="n">
        <f aca="false">IF(OR($D461="销售出库",$D461="销售退回"),ROUND(N($J461)*N($V461),2),0)</f>
        <v>0</v>
      </c>
      <c r="X461" s="58" t="str">
        <f aca="false">IF($E461="","",IFERROR(INDEX(往来单位!$D$6:$D$85,MATCH($E461,往来单位!$A$6:$A$85,0)),"否"))</f>
        <v/>
      </c>
      <c r="Y461" s="61" t="str">
        <f aca="false">IF($B461="","",YEAR($B461))</f>
        <v/>
      </c>
      <c r="Z461" s="58" t="str">
        <f aca="false">IF($B461="","",TEXT($B461,"yyyy-mm"))</f>
        <v/>
      </c>
    </row>
    <row r="462" customFormat="false" ht="15" hidden="false" customHeight="false" outlineLevel="0" collapsed="false">
      <c r="A462" s="53" t="str">
        <f aca="false">IF($B462="","",ROW()-5)</f>
        <v/>
      </c>
      <c r="B462" s="54"/>
      <c r="C462" s="33"/>
      <c r="D462" s="33"/>
      <c r="E462" s="32"/>
      <c r="F462" s="39"/>
      <c r="G462" s="48" t="str">
        <f aca="false">IF($F462="","",IFERROR(INDEX(商品档案!$B$6:$B$65,MATCH($F462,商品档案!$A$6:$A$65,0)),""))</f>
        <v/>
      </c>
      <c r="H462" s="48" t="str">
        <f aca="false">IF($F462="","",IFERROR(INDEX(商品档案!$C$6:$C$65,MATCH($F462,商品档案!$A$6:$A$65,0)),""))</f>
        <v/>
      </c>
      <c r="I462" s="55" t="str">
        <f aca="false">IF($F462="","",IFERROR(INDEX(商品档案!$D$6:$D$65,MATCH($F462,商品档案!$A$6:$A$65,0)),""))</f>
        <v/>
      </c>
      <c r="J462" s="49"/>
      <c r="K462" s="56"/>
      <c r="L462" s="33"/>
      <c r="M462" s="39"/>
      <c r="N462" s="41"/>
      <c r="O462" s="41"/>
      <c r="P462" s="25" t="str">
        <f aca="false">IF(AND($B462="",$D462="",$F462=""),"",IF(NOT(ISNUMBER($B462)),"日期无效",IF(ISNA(MATCH($C462,参数设置!$A$10:$A$12,0)),"公司无效",IF(ISNA(MATCH($D462,记账规则!$A$6:$A$9,0)),"业务类型无效",IF(ISNA(MATCH($F462,商品档案!$A$6:$A$65,0)),"商品编码无效",IF(IFERROR(INDEX(商品档案!$E$6:$E$65,MATCH($F462,商品档案!$A$6:$A$65,0)),"")&lt;&gt;$C462,"商品不属于该公司",IF(AND($E462&lt;&gt;"",ISNA(MATCH($E462,往来单位!$A$6:$A$85,0))),"往来单位未建档",IF(N($J462)=0,"数量为 0",IF(N($K462)=0,"单价为 0",IF(AND(LEFT($D462,2)="销售",$U462=""),"该商品没设成本科目",IF(YEAR($B462)&lt;&gt;参数设置!$B$5,"不在本会计年度","OK")))))))))))</f>
        <v/>
      </c>
      <c r="Q462" s="57" t="str">
        <f aca="false">IF($F462="","",ROUND(N($J462)*N($K462),2))</f>
        <v/>
      </c>
      <c r="R462" s="58" t="str">
        <f aca="false">IF($D462="","",IF(LEFT($D462,2)="销售","应收账款","应付账款"))</f>
        <v/>
      </c>
      <c r="S462" s="58" t="str">
        <f aca="false">IF($F462="","",IFERROR(INDEX(商品档案!$G$6:$G$65,MATCH($F462,商品档案!$A$6:$A$65,0)),""))</f>
        <v/>
      </c>
      <c r="T462" s="58" t="str">
        <f aca="false">IF($F462="","",IFERROR(INDEX(商品档案!$H$6:$H$65,MATCH($F462,商品档案!$A$6:$A$65,0)),""))</f>
        <v/>
      </c>
      <c r="U462" s="58" t="str">
        <f aca="false">IF($F462="","",IFERROR(INDEX(商品档案!$I$6:$I$65,MATCH($F462,商品档案!$A$6:$A$65,0)),""))</f>
        <v/>
      </c>
      <c r="V462" s="59" t="str">
        <f aca="false">IF($F462="","",SUMIFS(进销存台账!$N$6:$N$65,进销存台账!$A$6:$A$65,$C462,进销存台账!$B$6:$B$65,$F462))</f>
        <v/>
      </c>
      <c r="W462" s="60" t="n">
        <f aca="false">IF(OR($D462="销售出库",$D462="销售退回"),ROUND(N($J462)*N($V462),2),0)</f>
        <v>0</v>
      </c>
      <c r="X462" s="58" t="str">
        <f aca="false">IF($E462="","",IFERROR(INDEX(往来单位!$D$6:$D$85,MATCH($E462,往来单位!$A$6:$A$85,0)),"否"))</f>
        <v/>
      </c>
      <c r="Y462" s="61" t="str">
        <f aca="false">IF($B462="","",YEAR($B462))</f>
        <v/>
      </c>
      <c r="Z462" s="58" t="str">
        <f aca="false">IF($B462="","",TEXT($B462,"yyyy-mm"))</f>
        <v/>
      </c>
    </row>
    <row r="463" customFormat="false" ht="15" hidden="false" customHeight="false" outlineLevel="0" collapsed="false">
      <c r="A463" s="53" t="str">
        <f aca="false">IF($B463="","",ROW()-5)</f>
        <v/>
      </c>
      <c r="B463" s="54"/>
      <c r="C463" s="33"/>
      <c r="D463" s="33"/>
      <c r="E463" s="32"/>
      <c r="F463" s="39"/>
      <c r="G463" s="48" t="str">
        <f aca="false">IF($F463="","",IFERROR(INDEX(商品档案!$B$6:$B$65,MATCH($F463,商品档案!$A$6:$A$65,0)),""))</f>
        <v/>
      </c>
      <c r="H463" s="48" t="str">
        <f aca="false">IF($F463="","",IFERROR(INDEX(商品档案!$C$6:$C$65,MATCH($F463,商品档案!$A$6:$A$65,0)),""))</f>
        <v/>
      </c>
      <c r="I463" s="55" t="str">
        <f aca="false">IF($F463="","",IFERROR(INDEX(商品档案!$D$6:$D$65,MATCH($F463,商品档案!$A$6:$A$65,0)),""))</f>
        <v/>
      </c>
      <c r="J463" s="49"/>
      <c r="K463" s="56"/>
      <c r="L463" s="33"/>
      <c r="M463" s="39"/>
      <c r="N463" s="41"/>
      <c r="O463" s="41"/>
      <c r="P463" s="25" t="str">
        <f aca="false">IF(AND($B463="",$D463="",$F463=""),"",IF(NOT(ISNUMBER($B463)),"日期无效",IF(ISNA(MATCH($C463,参数设置!$A$10:$A$12,0)),"公司无效",IF(ISNA(MATCH($D463,记账规则!$A$6:$A$9,0)),"业务类型无效",IF(ISNA(MATCH($F463,商品档案!$A$6:$A$65,0)),"商品编码无效",IF(IFERROR(INDEX(商品档案!$E$6:$E$65,MATCH($F463,商品档案!$A$6:$A$65,0)),"")&lt;&gt;$C463,"商品不属于该公司",IF(AND($E463&lt;&gt;"",ISNA(MATCH($E463,往来单位!$A$6:$A$85,0))),"往来单位未建档",IF(N($J463)=0,"数量为 0",IF(N($K463)=0,"单价为 0",IF(AND(LEFT($D463,2)="销售",$U463=""),"该商品没设成本科目",IF(YEAR($B463)&lt;&gt;参数设置!$B$5,"不在本会计年度","OK")))))))))))</f>
        <v/>
      </c>
      <c r="Q463" s="57" t="str">
        <f aca="false">IF($F463="","",ROUND(N($J463)*N($K463),2))</f>
        <v/>
      </c>
      <c r="R463" s="58" t="str">
        <f aca="false">IF($D463="","",IF(LEFT($D463,2)="销售","应收账款","应付账款"))</f>
        <v/>
      </c>
      <c r="S463" s="58" t="str">
        <f aca="false">IF($F463="","",IFERROR(INDEX(商品档案!$G$6:$G$65,MATCH($F463,商品档案!$A$6:$A$65,0)),""))</f>
        <v/>
      </c>
      <c r="T463" s="58" t="str">
        <f aca="false">IF($F463="","",IFERROR(INDEX(商品档案!$H$6:$H$65,MATCH($F463,商品档案!$A$6:$A$65,0)),""))</f>
        <v/>
      </c>
      <c r="U463" s="58" t="str">
        <f aca="false">IF($F463="","",IFERROR(INDEX(商品档案!$I$6:$I$65,MATCH($F463,商品档案!$A$6:$A$65,0)),""))</f>
        <v/>
      </c>
      <c r="V463" s="59" t="str">
        <f aca="false">IF($F463="","",SUMIFS(进销存台账!$N$6:$N$65,进销存台账!$A$6:$A$65,$C463,进销存台账!$B$6:$B$65,$F463))</f>
        <v/>
      </c>
      <c r="W463" s="60" t="n">
        <f aca="false">IF(OR($D463="销售出库",$D463="销售退回"),ROUND(N($J463)*N($V463),2),0)</f>
        <v>0</v>
      </c>
      <c r="X463" s="58" t="str">
        <f aca="false">IF($E463="","",IFERROR(INDEX(往来单位!$D$6:$D$85,MATCH($E463,往来单位!$A$6:$A$85,0)),"否"))</f>
        <v/>
      </c>
      <c r="Y463" s="61" t="str">
        <f aca="false">IF($B463="","",YEAR($B463))</f>
        <v/>
      </c>
      <c r="Z463" s="58" t="str">
        <f aca="false">IF($B463="","",TEXT($B463,"yyyy-mm"))</f>
        <v/>
      </c>
    </row>
    <row r="464" customFormat="false" ht="15" hidden="false" customHeight="false" outlineLevel="0" collapsed="false">
      <c r="A464" s="53" t="str">
        <f aca="false">IF($B464="","",ROW()-5)</f>
        <v/>
      </c>
      <c r="B464" s="54"/>
      <c r="C464" s="33"/>
      <c r="D464" s="33"/>
      <c r="E464" s="32"/>
      <c r="F464" s="39"/>
      <c r="G464" s="48" t="str">
        <f aca="false">IF($F464="","",IFERROR(INDEX(商品档案!$B$6:$B$65,MATCH($F464,商品档案!$A$6:$A$65,0)),""))</f>
        <v/>
      </c>
      <c r="H464" s="48" t="str">
        <f aca="false">IF($F464="","",IFERROR(INDEX(商品档案!$C$6:$C$65,MATCH($F464,商品档案!$A$6:$A$65,0)),""))</f>
        <v/>
      </c>
      <c r="I464" s="55" t="str">
        <f aca="false">IF($F464="","",IFERROR(INDEX(商品档案!$D$6:$D$65,MATCH($F464,商品档案!$A$6:$A$65,0)),""))</f>
        <v/>
      </c>
      <c r="J464" s="49"/>
      <c r="K464" s="56"/>
      <c r="L464" s="33"/>
      <c r="M464" s="39"/>
      <c r="N464" s="41"/>
      <c r="O464" s="41"/>
      <c r="P464" s="25" t="str">
        <f aca="false">IF(AND($B464="",$D464="",$F464=""),"",IF(NOT(ISNUMBER($B464)),"日期无效",IF(ISNA(MATCH($C464,参数设置!$A$10:$A$12,0)),"公司无效",IF(ISNA(MATCH($D464,记账规则!$A$6:$A$9,0)),"业务类型无效",IF(ISNA(MATCH($F464,商品档案!$A$6:$A$65,0)),"商品编码无效",IF(IFERROR(INDEX(商品档案!$E$6:$E$65,MATCH($F464,商品档案!$A$6:$A$65,0)),"")&lt;&gt;$C464,"商品不属于该公司",IF(AND($E464&lt;&gt;"",ISNA(MATCH($E464,往来单位!$A$6:$A$85,0))),"往来单位未建档",IF(N($J464)=0,"数量为 0",IF(N($K464)=0,"单价为 0",IF(AND(LEFT($D464,2)="销售",$U464=""),"该商品没设成本科目",IF(YEAR($B464)&lt;&gt;参数设置!$B$5,"不在本会计年度","OK")))))))))))</f>
        <v/>
      </c>
      <c r="Q464" s="57" t="str">
        <f aca="false">IF($F464="","",ROUND(N($J464)*N($K464),2))</f>
        <v/>
      </c>
      <c r="R464" s="58" t="str">
        <f aca="false">IF($D464="","",IF(LEFT($D464,2)="销售","应收账款","应付账款"))</f>
        <v/>
      </c>
      <c r="S464" s="58" t="str">
        <f aca="false">IF($F464="","",IFERROR(INDEX(商品档案!$G$6:$G$65,MATCH($F464,商品档案!$A$6:$A$65,0)),""))</f>
        <v/>
      </c>
      <c r="T464" s="58" t="str">
        <f aca="false">IF($F464="","",IFERROR(INDEX(商品档案!$H$6:$H$65,MATCH($F464,商品档案!$A$6:$A$65,0)),""))</f>
        <v/>
      </c>
      <c r="U464" s="58" t="str">
        <f aca="false">IF($F464="","",IFERROR(INDEX(商品档案!$I$6:$I$65,MATCH($F464,商品档案!$A$6:$A$65,0)),""))</f>
        <v/>
      </c>
      <c r="V464" s="59" t="str">
        <f aca="false">IF($F464="","",SUMIFS(进销存台账!$N$6:$N$65,进销存台账!$A$6:$A$65,$C464,进销存台账!$B$6:$B$65,$F464))</f>
        <v/>
      </c>
      <c r="W464" s="60" t="n">
        <f aca="false">IF(OR($D464="销售出库",$D464="销售退回"),ROUND(N($J464)*N($V464),2),0)</f>
        <v>0</v>
      </c>
      <c r="X464" s="58" t="str">
        <f aca="false">IF($E464="","",IFERROR(INDEX(往来单位!$D$6:$D$85,MATCH($E464,往来单位!$A$6:$A$85,0)),"否"))</f>
        <v/>
      </c>
      <c r="Y464" s="61" t="str">
        <f aca="false">IF($B464="","",YEAR($B464))</f>
        <v/>
      </c>
      <c r="Z464" s="58" t="str">
        <f aca="false">IF($B464="","",TEXT($B464,"yyyy-mm"))</f>
        <v/>
      </c>
    </row>
    <row r="465" customFormat="false" ht="15" hidden="false" customHeight="false" outlineLevel="0" collapsed="false">
      <c r="A465" s="53" t="str">
        <f aca="false">IF($B465="","",ROW()-5)</f>
        <v/>
      </c>
      <c r="B465" s="54"/>
      <c r="C465" s="33"/>
      <c r="D465" s="33"/>
      <c r="E465" s="32"/>
      <c r="F465" s="39"/>
      <c r="G465" s="48" t="str">
        <f aca="false">IF($F465="","",IFERROR(INDEX(商品档案!$B$6:$B$65,MATCH($F465,商品档案!$A$6:$A$65,0)),""))</f>
        <v/>
      </c>
      <c r="H465" s="48" t="str">
        <f aca="false">IF($F465="","",IFERROR(INDEX(商品档案!$C$6:$C$65,MATCH($F465,商品档案!$A$6:$A$65,0)),""))</f>
        <v/>
      </c>
      <c r="I465" s="55" t="str">
        <f aca="false">IF($F465="","",IFERROR(INDEX(商品档案!$D$6:$D$65,MATCH($F465,商品档案!$A$6:$A$65,0)),""))</f>
        <v/>
      </c>
      <c r="J465" s="49"/>
      <c r="K465" s="56"/>
      <c r="L465" s="33"/>
      <c r="M465" s="39"/>
      <c r="N465" s="41"/>
      <c r="O465" s="41"/>
      <c r="P465" s="25" t="str">
        <f aca="false">IF(AND($B465="",$D465="",$F465=""),"",IF(NOT(ISNUMBER($B465)),"日期无效",IF(ISNA(MATCH($C465,参数设置!$A$10:$A$12,0)),"公司无效",IF(ISNA(MATCH($D465,记账规则!$A$6:$A$9,0)),"业务类型无效",IF(ISNA(MATCH($F465,商品档案!$A$6:$A$65,0)),"商品编码无效",IF(IFERROR(INDEX(商品档案!$E$6:$E$65,MATCH($F465,商品档案!$A$6:$A$65,0)),"")&lt;&gt;$C465,"商品不属于该公司",IF(AND($E465&lt;&gt;"",ISNA(MATCH($E465,往来单位!$A$6:$A$85,0))),"往来单位未建档",IF(N($J465)=0,"数量为 0",IF(N($K465)=0,"单价为 0",IF(AND(LEFT($D465,2)="销售",$U465=""),"该商品没设成本科目",IF(YEAR($B465)&lt;&gt;参数设置!$B$5,"不在本会计年度","OK")))))))))))</f>
        <v/>
      </c>
      <c r="Q465" s="57" t="str">
        <f aca="false">IF($F465="","",ROUND(N($J465)*N($K465),2))</f>
        <v/>
      </c>
      <c r="R465" s="58" t="str">
        <f aca="false">IF($D465="","",IF(LEFT($D465,2)="销售","应收账款","应付账款"))</f>
        <v/>
      </c>
      <c r="S465" s="58" t="str">
        <f aca="false">IF($F465="","",IFERROR(INDEX(商品档案!$G$6:$G$65,MATCH($F465,商品档案!$A$6:$A$65,0)),""))</f>
        <v/>
      </c>
      <c r="T465" s="58" t="str">
        <f aca="false">IF($F465="","",IFERROR(INDEX(商品档案!$H$6:$H$65,MATCH($F465,商品档案!$A$6:$A$65,0)),""))</f>
        <v/>
      </c>
      <c r="U465" s="58" t="str">
        <f aca="false">IF($F465="","",IFERROR(INDEX(商品档案!$I$6:$I$65,MATCH($F465,商品档案!$A$6:$A$65,0)),""))</f>
        <v/>
      </c>
      <c r="V465" s="59" t="str">
        <f aca="false">IF($F465="","",SUMIFS(进销存台账!$N$6:$N$65,进销存台账!$A$6:$A$65,$C465,进销存台账!$B$6:$B$65,$F465))</f>
        <v/>
      </c>
      <c r="W465" s="60" t="n">
        <f aca="false">IF(OR($D465="销售出库",$D465="销售退回"),ROUND(N($J465)*N($V465),2),0)</f>
        <v>0</v>
      </c>
      <c r="X465" s="58" t="str">
        <f aca="false">IF($E465="","",IFERROR(INDEX(往来单位!$D$6:$D$85,MATCH($E465,往来单位!$A$6:$A$85,0)),"否"))</f>
        <v/>
      </c>
      <c r="Y465" s="61" t="str">
        <f aca="false">IF($B465="","",YEAR($B465))</f>
        <v/>
      </c>
      <c r="Z465" s="58" t="str">
        <f aca="false">IF($B465="","",TEXT($B465,"yyyy-mm"))</f>
        <v/>
      </c>
    </row>
    <row r="466" customFormat="false" ht="15" hidden="false" customHeight="false" outlineLevel="0" collapsed="false">
      <c r="A466" s="53" t="str">
        <f aca="false">IF($B466="","",ROW()-5)</f>
        <v/>
      </c>
      <c r="B466" s="54"/>
      <c r="C466" s="33"/>
      <c r="D466" s="33"/>
      <c r="E466" s="32"/>
      <c r="F466" s="39"/>
      <c r="G466" s="48" t="str">
        <f aca="false">IF($F466="","",IFERROR(INDEX(商品档案!$B$6:$B$65,MATCH($F466,商品档案!$A$6:$A$65,0)),""))</f>
        <v/>
      </c>
      <c r="H466" s="48" t="str">
        <f aca="false">IF($F466="","",IFERROR(INDEX(商品档案!$C$6:$C$65,MATCH($F466,商品档案!$A$6:$A$65,0)),""))</f>
        <v/>
      </c>
      <c r="I466" s="55" t="str">
        <f aca="false">IF($F466="","",IFERROR(INDEX(商品档案!$D$6:$D$65,MATCH($F466,商品档案!$A$6:$A$65,0)),""))</f>
        <v/>
      </c>
      <c r="J466" s="49"/>
      <c r="K466" s="56"/>
      <c r="L466" s="33"/>
      <c r="M466" s="39"/>
      <c r="N466" s="41"/>
      <c r="O466" s="41"/>
      <c r="P466" s="25" t="str">
        <f aca="false">IF(AND($B466="",$D466="",$F466=""),"",IF(NOT(ISNUMBER($B466)),"日期无效",IF(ISNA(MATCH($C466,参数设置!$A$10:$A$12,0)),"公司无效",IF(ISNA(MATCH($D466,记账规则!$A$6:$A$9,0)),"业务类型无效",IF(ISNA(MATCH($F466,商品档案!$A$6:$A$65,0)),"商品编码无效",IF(IFERROR(INDEX(商品档案!$E$6:$E$65,MATCH($F466,商品档案!$A$6:$A$65,0)),"")&lt;&gt;$C466,"商品不属于该公司",IF(AND($E466&lt;&gt;"",ISNA(MATCH($E466,往来单位!$A$6:$A$85,0))),"往来单位未建档",IF(N($J466)=0,"数量为 0",IF(N($K466)=0,"单价为 0",IF(AND(LEFT($D466,2)="销售",$U466=""),"该商品没设成本科目",IF(YEAR($B466)&lt;&gt;参数设置!$B$5,"不在本会计年度","OK")))))))))))</f>
        <v/>
      </c>
      <c r="Q466" s="57" t="str">
        <f aca="false">IF($F466="","",ROUND(N($J466)*N($K466),2))</f>
        <v/>
      </c>
      <c r="R466" s="58" t="str">
        <f aca="false">IF($D466="","",IF(LEFT($D466,2)="销售","应收账款","应付账款"))</f>
        <v/>
      </c>
      <c r="S466" s="58" t="str">
        <f aca="false">IF($F466="","",IFERROR(INDEX(商品档案!$G$6:$G$65,MATCH($F466,商品档案!$A$6:$A$65,0)),""))</f>
        <v/>
      </c>
      <c r="T466" s="58" t="str">
        <f aca="false">IF($F466="","",IFERROR(INDEX(商品档案!$H$6:$H$65,MATCH($F466,商品档案!$A$6:$A$65,0)),""))</f>
        <v/>
      </c>
      <c r="U466" s="58" t="str">
        <f aca="false">IF($F466="","",IFERROR(INDEX(商品档案!$I$6:$I$65,MATCH($F466,商品档案!$A$6:$A$65,0)),""))</f>
        <v/>
      </c>
      <c r="V466" s="59" t="str">
        <f aca="false">IF($F466="","",SUMIFS(进销存台账!$N$6:$N$65,进销存台账!$A$6:$A$65,$C466,进销存台账!$B$6:$B$65,$F466))</f>
        <v/>
      </c>
      <c r="W466" s="60" t="n">
        <f aca="false">IF(OR($D466="销售出库",$D466="销售退回"),ROUND(N($J466)*N($V466),2),0)</f>
        <v>0</v>
      </c>
      <c r="X466" s="58" t="str">
        <f aca="false">IF($E466="","",IFERROR(INDEX(往来单位!$D$6:$D$85,MATCH($E466,往来单位!$A$6:$A$85,0)),"否"))</f>
        <v/>
      </c>
      <c r="Y466" s="61" t="str">
        <f aca="false">IF($B466="","",YEAR($B466))</f>
        <v/>
      </c>
      <c r="Z466" s="58" t="str">
        <f aca="false">IF($B466="","",TEXT($B466,"yyyy-mm"))</f>
        <v/>
      </c>
    </row>
    <row r="467" customFormat="false" ht="15" hidden="false" customHeight="false" outlineLevel="0" collapsed="false">
      <c r="A467" s="53" t="str">
        <f aca="false">IF($B467="","",ROW()-5)</f>
        <v/>
      </c>
      <c r="B467" s="54"/>
      <c r="C467" s="33"/>
      <c r="D467" s="33"/>
      <c r="E467" s="32"/>
      <c r="F467" s="39"/>
      <c r="G467" s="48" t="str">
        <f aca="false">IF($F467="","",IFERROR(INDEX(商品档案!$B$6:$B$65,MATCH($F467,商品档案!$A$6:$A$65,0)),""))</f>
        <v/>
      </c>
      <c r="H467" s="48" t="str">
        <f aca="false">IF($F467="","",IFERROR(INDEX(商品档案!$C$6:$C$65,MATCH($F467,商品档案!$A$6:$A$65,0)),""))</f>
        <v/>
      </c>
      <c r="I467" s="55" t="str">
        <f aca="false">IF($F467="","",IFERROR(INDEX(商品档案!$D$6:$D$65,MATCH($F467,商品档案!$A$6:$A$65,0)),""))</f>
        <v/>
      </c>
      <c r="J467" s="49"/>
      <c r="K467" s="56"/>
      <c r="L467" s="33"/>
      <c r="M467" s="39"/>
      <c r="N467" s="41"/>
      <c r="O467" s="41"/>
      <c r="P467" s="25" t="str">
        <f aca="false">IF(AND($B467="",$D467="",$F467=""),"",IF(NOT(ISNUMBER($B467)),"日期无效",IF(ISNA(MATCH($C467,参数设置!$A$10:$A$12,0)),"公司无效",IF(ISNA(MATCH($D467,记账规则!$A$6:$A$9,0)),"业务类型无效",IF(ISNA(MATCH($F467,商品档案!$A$6:$A$65,0)),"商品编码无效",IF(IFERROR(INDEX(商品档案!$E$6:$E$65,MATCH($F467,商品档案!$A$6:$A$65,0)),"")&lt;&gt;$C467,"商品不属于该公司",IF(AND($E467&lt;&gt;"",ISNA(MATCH($E467,往来单位!$A$6:$A$85,0))),"往来单位未建档",IF(N($J467)=0,"数量为 0",IF(N($K467)=0,"单价为 0",IF(AND(LEFT($D467,2)="销售",$U467=""),"该商品没设成本科目",IF(YEAR($B467)&lt;&gt;参数设置!$B$5,"不在本会计年度","OK")))))))))))</f>
        <v/>
      </c>
      <c r="Q467" s="57" t="str">
        <f aca="false">IF($F467="","",ROUND(N($J467)*N($K467),2))</f>
        <v/>
      </c>
      <c r="R467" s="58" t="str">
        <f aca="false">IF($D467="","",IF(LEFT($D467,2)="销售","应收账款","应付账款"))</f>
        <v/>
      </c>
      <c r="S467" s="58" t="str">
        <f aca="false">IF($F467="","",IFERROR(INDEX(商品档案!$G$6:$G$65,MATCH($F467,商品档案!$A$6:$A$65,0)),""))</f>
        <v/>
      </c>
      <c r="T467" s="58" t="str">
        <f aca="false">IF($F467="","",IFERROR(INDEX(商品档案!$H$6:$H$65,MATCH($F467,商品档案!$A$6:$A$65,0)),""))</f>
        <v/>
      </c>
      <c r="U467" s="58" t="str">
        <f aca="false">IF($F467="","",IFERROR(INDEX(商品档案!$I$6:$I$65,MATCH($F467,商品档案!$A$6:$A$65,0)),""))</f>
        <v/>
      </c>
      <c r="V467" s="59" t="str">
        <f aca="false">IF($F467="","",SUMIFS(进销存台账!$N$6:$N$65,进销存台账!$A$6:$A$65,$C467,进销存台账!$B$6:$B$65,$F467))</f>
        <v/>
      </c>
      <c r="W467" s="60" t="n">
        <f aca="false">IF(OR($D467="销售出库",$D467="销售退回"),ROUND(N($J467)*N($V467),2),0)</f>
        <v>0</v>
      </c>
      <c r="X467" s="58" t="str">
        <f aca="false">IF($E467="","",IFERROR(INDEX(往来单位!$D$6:$D$85,MATCH($E467,往来单位!$A$6:$A$85,0)),"否"))</f>
        <v/>
      </c>
      <c r="Y467" s="61" t="str">
        <f aca="false">IF($B467="","",YEAR($B467))</f>
        <v/>
      </c>
      <c r="Z467" s="58" t="str">
        <f aca="false">IF($B467="","",TEXT($B467,"yyyy-mm"))</f>
        <v/>
      </c>
    </row>
    <row r="468" customFormat="false" ht="15" hidden="false" customHeight="false" outlineLevel="0" collapsed="false">
      <c r="A468" s="53" t="str">
        <f aca="false">IF($B468="","",ROW()-5)</f>
        <v/>
      </c>
      <c r="B468" s="54"/>
      <c r="C468" s="33"/>
      <c r="D468" s="33"/>
      <c r="E468" s="32"/>
      <c r="F468" s="39"/>
      <c r="G468" s="48" t="str">
        <f aca="false">IF($F468="","",IFERROR(INDEX(商品档案!$B$6:$B$65,MATCH($F468,商品档案!$A$6:$A$65,0)),""))</f>
        <v/>
      </c>
      <c r="H468" s="48" t="str">
        <f aca="false">IF($F468="","",IFERROR(INDEX(商品档案!$C$6:$C$65,MATCH($F468,商品档案!$A$6:$A$65,0)),""))</f>
        <v/>
      </c>
      <c r="I468" s="55" t="str">
        <f aca="false">IF($F468="","",IFERROR(INDEX(商品档案!$D$6:$D$65,MATCH($F468,商品档案!$A$6:$A$65,0)),""))</f>
        <v/>
      </c>
      <c r="J468" s="49"/>
      <c r="K468" s="56"/>
      <c r="L468" s="33"/>
      <c r="M468" s="39"/>
      <c r="N468" s="41"/>
      <c r="O468" s="41"/>
      <c r="P468" s="25" t="str">
        <f aca="false">IF(AND($B468="",$D468="",$F468=""),"",IF(NOT(ISNUMBER($B468)),"日期无效",IF(ISNA(MATCH($C468,参数设置!$A$10:$A$12,0)),"公司无效",IF(ISNA(MATCH($D468,记账规则!$A$6:$A$9,0)),"业务类型无效",IF(ISNA(MATCH($F468,商品档案!$A$6:$A$65,0)),"商品编码无效",IF(IFERROR(INDEX(商品档案!$E$6:$E$65,MATCH($F468,商品档案!$A$6:$A$65,0)),"")&lt;&gt;$C468,"商品不属于该公司",IF(AND($E468&lt;&gt;"",ISNA(MATCH($E468,往来单位!$A$6:$A$85,0))),"往来单位未建档",IF(N($J468)=0,"数量为 0",IF(N($K468)=0,"单价为 0",IF(AND(LEFT($D468,2)="销售",$U468=""),"该商品没设成本科目",IF(YEAR($B468)&lt;&gt;参数设置!$B$5,"不在本会计年度","OK")))))))))))</f>
        <v/>
      </c>
      <c r="Q468" s="57" t="str">
        <f aca="false">IF($F468="","",ROUND(N($J468)*N($K468),2))</f>
        <v/>
      </c>
      <c r="R468" s="58" t="str">
        <f aca="false">IF($D468="","",IF(LEFT($D468,2)="销售","应收账款","应付账款"))</f>
        <v/>
      </c>
      <c r="S468" s="58" t="str">
        <f aca="false">IF($F468="","",IFERROR(INDEX(商品档案!$G$6:$G$65,MATCH($F468,商品档案!$A$6:$A$65,0)),""))</f>
        <v/>
      </c>
      <c r="T468" s="58" t="str">
        <f aca="false">IF($F468="","",IFERROR(INDEX(商品档案!$H$6:$H$65,MATCH($F468,商品档案!$A$6:$A$65,0)),""))</f>
        <v/>
      </c>
      <c r="U468" s="58" t="str">
        <f aca="false">IF($F468="","",IFERROR(INDEX(商品档案!$I$6:$I$65,MATCH($F468,商品档案!$A$6:$A$65,0)),""))</f>
        <v/>
      </c>
      <c r="V468" s="59" t="str">
        <f aca="false">IF($F468="","",SUMIFS(进销存台账!$N$6:$N$65,进销存台账!$A$6:$A$65,$C468,进销存台账!$B$6:$B$65,$F468))</f>
        <v/>
      </c>
      <c r="W468" s="60" t="n">
        <f aca="false">IF(OR($D468="销售出库",$D468="销售退回"),ROUND(N($J468)*N($V468),2),0)</f>
        <v>0</v>
      </c>
      <c r="X468" s="58" t="str">
        <f aca="false">IF($E468="","",IFERROR(INDEX(往来单位!$D$6:$D$85,MATCH($E468,往来单位!$A$6:$A$85,0)),"否"))</f>
        <v/>
      </c>
      <c r="Y468" s="61" t="str">
        <f aca="false">IF($B468="","",YEAR($B468))</f>
        <v/>
      </c>
      <c r="Z468" s="58" t="str">
        <f aca="false">IF($B468="","",TEXT($B468,"yyyy-mm"))</f>
        <v/>
      </c>
    </row>
    <row r="469" customFormat="false" ht="15" hidden="false" customHeight="false" outlineLevel="0" collapsed="false">
      <c r="A469" s="53" t="str">
        <f aca="false">IF($B469="","",ROW()-5)</f>
        <v/>
      </c>
      <c r="B469" s="54"/>
      <c r="C469" s="33"/>
      <c r="D469" s="33"/>
      <c r="E469" s="32"/>
      <c r="F469" s="39"/>
      <c r="G469" s="48" t="str">
        <f aca="false">IF($F469="","",IFERROR(INDEX(商品档案!$B$6:$B$65,MATCH($F469,商品档案!$A$6:$A$65,0)),""))</f>
        <v/>
      </c>
      <c r="H469" s="48" t="str">
        <f aca="false">IF($F469="","",IFERROR(INDEX(商品档案!$C$6:$C$65,MATCH($F469,商品档案!$A$6:$A$65,0)),""))</f>
        <v/>
      </c>
      <c r="I469" s="55" t="str">
        <f aca="false">IF($F469="","",IFERROR(INDEX(商品档案!$D$6:$D$65,MATCH($F469,商品档案!$A$6:$A$65,0)),""))</f>
        <v/>
      </c>
      <c r="J469" s="49"/>
      <c r="K469" s="56"/>
      <c r="L469" s="33"/>
      <c r="M469" s="39"/>
      <c r="N469" s="41"/>
      <c r="O469" s="41"/>
      <c r="P469" s="25" t="str">
        <f aca="false">IF(AND($B469="",$D469="",$F469=""),"",IF(NOT(ISNUMBER($B469)),"日期无效",IF(ISNA(MATCH($C469,参数设置!$A$10:$A$12,0)),"公司无效",IF(ISNA(MATCH($D469,记账规则!$A$6:$A$9,0)),"业务类型无效",IF(ISNA(MATCH($F469,商品档案!$A$6:$A$65,0)),"商品编码无效",IF(IFERROR(INDEX(商品档案!$E$6:$E$65,MATCH($F469,商品档案!$A$6:$A$65,0)),"")&lt;&gt;$C469,"商品不属于该公司",IF(AND($E469&lt;&gt;"",ISNA(MATCH($E469,往来单位!$A$6:$A$85,0))),"往来单位未建档",IF(N($J469)=0,"数量为 0",IF(N($K469)=0,"单价为 0",IF(AND(LEFT($D469,2)="销售",$U469=""),"该商品没设成本科目",IF(YEAR($B469)&lt;&gt;参数设置!$B$5,"不在本会计年度","OK")))))))))))</f>
        <v/>
      </c>
      <c r="Q469" s="57" t="str">
        <f aca="false">IF($F469="","",ROUND(N($J469)*N($K469),2))</f>
        <v/>
      </c>
      <c r="R469" s="58" t="str">
        <f aca="false">IF($D469="","",IF(LEFT($D469,2)="销售","应收账款","应付账款"))</f>
        <v/>
      </c>
      <c r="S469" s="58" t="str">
        <f aca="false">IF($F469="","",IFERROR(INDEX(商品档案!$G$6:$G$65,MATCH($F469,商品档案!$A$6:$A$65,0)),""))</f>
        <v/>
      </c>
      <c r="T469" s="58" t="str">
        <f aca="false">IF($F469="","",IFERROR(INDEX(商品档案!$H$6:$H$65,MATCH($F469,商品档案!$A$6:$A$65,0)),""))</f>
        <v/>
      </c>
      <c r="U469" s="58" t="str">
        <f aca="false">IF($F469="","",IFERROR(INDEX(商品档案!$I$6:$I$65,MATCH($F469,商品档案!$A$6:$A$65,0)),""))</f>
        <v/>
      </c>
      <c r="V469" s="59" t="str">
        <f aca="false">IF($F469="","",SUMIFS(进销存台账!$N$6:$N$65,进销存台账!$A$6:$A$65,$C469,进销存台账!$B$6:$B$65,$F469))</f>
        <v/>
      </c>
      <c r="W469" s="60" t="n">
        <f aca="false">IF(OR($D469="销售出库",$D469="销售退回"),ROUND(N($J469)*N($V469),2),0)</f>
        <v>0</v>
      </c>
      <c r="X469" s="58" t="str">
        <f aca="false">IF($E469="","",IFERROR(INDEX(往来单位!$D$6:$D$85,MATCH($E469,往来单位!$A$6:$A$85,0)),"否"))</f>
        <v/>
      </c>
      <c r="Y469" s="61" t="str">
        <f aca="false">IF($B469="","",YEAR($B469))</f>
        <v/>
      </c>
      <c r="Z469" s="58" t="str">
        <f aca="false">IF($B469="","",TEXT($B469,"yyyy-mm"))</f>
        <v/>
      </c>
    </row>
    <row r="470" customFormat="false" ht="15" hidden="false" customHeight="false" outlineLevel="0" collapsed="false">
      <c r="A470" s="53" t="str">
        <f aca="false">IF($B470="","",ROW()-5)</f>
        <v/>
      </c>
      <c r="B470" s="54"/>
      <c r="C470" s="33"/>
      <c r="D470" s="33"/>
      <c r="E470" s="32"/>
      <c r="F470" s="39"/>
      <c r="G470" s="48" t="str">
        <f aca="false">IF($F470="","",IFERROR(INDEX(商品档案!$B$6:$B$65,MATCH($F470,商品档案!$A$6:$A$65,0)),""))</f>
        <v/>
      </c>
      <c r="H470" s="48" t="str">
        <f aca="false">IF($F470="","",IFERROR(INDEX(商品档案!$C$6:$C$65,MATCH($F470,商品档案!$A$6:$A$65,0)),""))</f>
        <v/>
      </c>
      <c r="I470" s="55" t="str">
        <f aca="false">IF($F470="","",IFERROR(INDEX(商品档案!$D$6:$D$65,MATCH($F470,商品档案!$A$6:$A$65,0)),""))</f>
        <v/>
      </c>
      <c r="J470" s="49"/>
      <c r="K470" s="56"/>
      <c r="L470" s="33"/>
      <c r="M470" s="39"/>
      <c r="N470" s="41"/>
      <c r="O470" s="41"/>
      <c r="P470" s="25" t="str">
        <f aca="false">IF(AND($B470="",$D470="",$F470=""),"",IF(NOT(ISNUMBER($B470)),"日期无效",IF(ISNA(MATCH($C470,参数设置!$A$10:$A$12,0)),"公司无效",IF(ISNA(MATCH($D470,记账规则!$A$6:$A$9,0)),"业务类型无效",IF(ISNA(MATCH($F470,商品档案!$A$6:$A$65,0)),"商品编码无效",IF(IFERROR(INDEX(商品档案!$E$6:$E$65,MATCH($F470,商品档案!$A$6:$A$65,0)),"")&lt;&gt;$C470,"商品不属于该公司",IF(AND($E470&lt;&gt;"",ISNA(MATCH($E470,往来单位!$A$6:$A$85,0))),"往来单位未建档",IF(N($J470)=0,"数量为 0",IF(N($K470)=0,"单价为 0",IF(AND(LEFT($D470,2)="销售",$U470=""),"该商品没设成本科目",IF(YEAR($B470)&lt;&gt;参数设置!$B$5,"不在本会计年度","OK")))))))))))</f>
        <v/>
      </c>
      <c r="Q470" s="57" t="str">
        <f aca="false">IF($F470="","",ROUND(N($J470)*N($K470),2))</f>
        <v/>
      </c>
      <c r="R470" s="58" t="str">
        <f aca="false">IF($D470="","",IF(LEFT($D470,2)="销售","应收账款","应付账款"))</f>
        <v/>
      </c>
      <c r="S470" s="58" t="str">
        <f aca="false">IF($F470="","",IFERROR(INDEX(商品档案!$G$6:$G$65,MATCH($F470,商品档案!$A$6:$A$65,0)),""))</f>
        <v/>
      </c>
      <c r="T470" s="58" t="str">
        <f aca="false">IF($F470="","",IFERROR(INDEX(商品档案!$H$6:$H$65,MATCH($F470,商品档案!$A$6:$A$65,0)),""))</f>
        <v/>
      </c>
      <c r="U470" s="58" t="str">
        <f aca="false">IF($F470="","",IFERROR(INDEX(商品档案!$I$6:$I$65,MATCH($F470,商品档案!$A$6:$A$65,0)),""))</f>
        <v/>
      </c>
      <c r="V470" s="59" t="str">
        <f aca="false">IF($F470="","",SUMIFS(进销存台账!$N$6:$N$65,进销存台账!$A$6:$A$65,$C470,进销存台账!$B$6:$B$65,$F470))</f>
        <v/>
      </c>
      <c r="W470" s="60" t="n">
        <f aca="false">IF(OR($D470="销售出库",$D470="销售退回"),ROUND(N($J470)*N($V470),2),0)</f>
        <v>0</v>
      </c>
      <c r="X470" s="58" t="str">
        <f aca="false">IF($E470="","",IFERROR(INDEX(往来单位!$D$6:$D$85,MATCH($E470,往来单位!$A$6:$A$85,0)),"否"))</f>
        <v/>
      </c>
      <c r="Y470" s="61" t="str">
        <f aca="false">IF($B470="","",YEAR($B470))</f>
        <v/>
      </c>
      <c r="Z470" s="58" t="str">
        <f aca="false">IF($B470="","",TEXT($B470,"yyyy-mm"))</f>
        <v/>
      </c>
    </row>
    <row r="471" customFormat="false" ht="15" hidden="false" customHeight="false" outlineLevel="0" collapsed="false">
      <c r="A471" s="53" t="str">
        <f aca="false">IF($B471="","",ROW()-5)</f>
        <v/>
      </c>
      <c r="B471" s="54"/>
      <c r="C471" s="33"/>
      <c r="D471" s="33"/>
      <c r="E471" s="32"/>
      <c r="F471" s="39"/>
      <c r="G471" s="48" t="str">
        <f aca="false">IF($F471="","",IFERROR(INDEX(商品档案!$B$6:$B$65,MATCH($F471,商品档案!$A$6:$A$65,0)),""))</f>
        <v/>
      </c>
      <c r="H471" s="48" t="str">
        <f aca="false">IF($F471="","",IFERROR(INDEX(商品档案!$C$6:$C$65,MATCH($F471,商品档案!$A$6:$A$65,0)),""))</f>
        <v/>
      </c>
      <c r="I471" s="55" t="str">
        <f aca="false">IF($F471="","",IFERROR(INDEX(商品档案!$D$6:$D$65,MATCH($F471,商品档案!$A$6:$A$65,0)),""))</f>
        <v/>
      </c>
      <c r="J471" s="49"/>
      <c r="K471" s="56"/>
      <c r="L471" s="33"/>
      <c r="M471" s="39"/>
      <c r="N471" s="41"/>
      <c r="O471" s="41"/>
      <c r="P471" s="25" t="str">
        <f aca="false">IF(AND($B471="",$D471="",$F471=""),"",IF(NOT(ISNUMBER($B471)),"日期无效",IF(ISNA(MATCH($C471,参数设置!$A$10:$A$12,0)),"公司无效",IF(ISNA(MATCH($D471,记账规则!$A$6:$A$9,0)),"业务类型无效",IF(ISNA(MATCH($F471,商品档案!$A$6:$A$65,0)),"商品编码无效",IF(IFERROR(INDEX(商品档案!$E$6:$E$65,MATCH($F471,商品档案!$A$6:$A$65,0)),"")&lt;&gt;$C471,"商品不属于该公司",IF(AND($E471&lt;&gt;"",ISNA(MATCH($E471,往来单位!$A$6:$A$85,0))),"往来单位未建档",IF(N($J471)=0,"数量为 0",IF(N($K471)=0,"单价为 0",IF(AND(LEFT($D471,2)="销售",$U471=""),"该商品没设成本科目",IF(YEAR($B471)&lt;&gt;参数设置!$B$5,"不在本会计年度","OK")))))))))))</f>
        <v/>
      </c>
      <c r="Q471" s="57" t="str">
        <f aca="false">IF($F471="","",ROUND(N($J471)*N($K471),2))</f>
        <v/>
      </c>
      <c r="R471" s="58" t="str">
        <f aca="false">IF($D471="","",IF(LEFT($D471,2)="销售","应收账款","应付账款"))</f>
        <v/>
      </c>
      <c r="S471" s="58" t="str">
        <f aca="false">IF($F471="","",IFERROR(INDEX(商品档案!$G$6:$G$65,MATCH($F471,商品档案!$A$6:$A$65,0)),""))</f>
        <v/>
      </c>
      <c r="T471" s="58" t="str">
        <f aca="false">IF($F471="","",IFERROR(INDEX(商品档案!$H$6:$H$65,MATCH($F471,商品档案!$A$6:$A$65,0)),""))</f>
        <v/>
      </c>
      <c r="U471" s="58" t="str">
        <f aca="false">IF($F471="","",IFERROR(INDEX(商品档案!$I$6:$I$65,MATCH($F471,商品档案!$A$6:$A$65,0)),""))</f>
        <v/>
      </c>
      <c r="V471" s="59" t="str">
        <f aca="false">IF($F471="","",SUMIFS(进销存台账!$N$6:$N$65,进销存台账!$A$6:$A$65,$C471,进销存台账!$B$6:$B$65,$F471))</f>
        <v/>
      </c>
      <c r="W471" s="60" t="n">
        <f aca="false">IF(OR($D471="销售出库",$D471="销售退回"),ROUND(N($J471)*N($V471),2),0)</f>
        <v>0</v>
      </c>
      <c r="X471" s="58" t="str">
        <f aca="false">IF($E471="","",IFERROR(INDEX(往来单位!$D$6:$D$85,MATCH($E471,往来单位!$A$6:$A$85,0)),"否"))</f>
        <v/>
      </c>
      <c r="Y471" s="61" t="str">
        <f aca="false">IF($B471="","",YEAR($B471))</f>
        <v/>
      </c>
      <c r="Z471" s="58" t="str">
        <f aca="false">IF($B471="","",TEXT($B471,"yyyy-mm"))</f>
        <v/>
      </c>
    </row>
    <row r="472" customFormat="false" ht="15" hidden="false" customHeight="false" outlineLevel="0" collapsed="false">
      <c r="A472" s="53" t="str">
        <f aca="false">IF($B472="","",ROW()-5)</f>
        <v/>
      </c>
      <c r="B472" s="54"/>
      <c r="C472" s="33"/>
      <c r="D472" s="33"/>
      <c r="E472" s="32"/>
      <c r="F472" s="39"/>
      <c r="G472" s="48" t="str">
        <f aca="false">IF($F472="","",IFERROR(INDEX(商品档案!$B$6:$B$65,MATCH($F472,商品档案!$A$6:$A$65,0)),""))</f>
        <v/>
      </c>
      <c r="H472" s="48" t="str">
        <f aca="false">IF($F472="","",IFERROR(INDEX(商品档案!$C$6:$C$65,MATCH($F472,商品档案!$A$6:$A$65,0)),""))</f>
        <v/>
      </c>
      <c r="I472" s="55" t="str">
        <f aca="false">IF($F472="","",IFERROR(INDEX(商品档案!$D$6:$D$65,MATCH($F472,商品档案!$A$6:$A$65,0)),""))</f>
        <v/>
      </c>
      <c r="J472" s="49"/>
      <c r="K472" s="56"/>
      <c r="L472" s="33"/>
      <c r="M472" s="39"/>
      <c r="N472" s="41"/>
      <c r="O472" s="41"/>
      <c r="P472" s="25" t="str">
        <f aca="false">IF(AND($B472="",$D472="",$F472=""),"",IF(NOT(ISNUMBER($B472)),"日期无效",IF(ISNA(MATCH($C472,参数设置!$A$10:$A$12,0)),"公司无效",IF(ISNA(MATCH($D472,记账规则!$A$6:$A$9,0)),"业务类型无效",IF(ISNA(MATCH($F472,商品档案!$A$6:$A$65,0)),"商品编码无效",IF(IFERROR(INDEX(商品档案!$E$6:$E$65,MATCH($F472,商品档案!$A$6:$A$65,0)),"")&lt;&gt;$C472,"商品不属于该公司",IF(AND($E472&lt;&gt;"",ISNA(MATCH($E472,往来单位!$A$6:$A$85,0))),"往来单位未建档",IF(N($J472)=0,"数量为 0",IF(N($K472)=0,"单价为 0",IF(AND(LEFT($D472,2)="销售",$U472=""),"该商品没设成本科目",IF(YEAR($B472)&lt;&gt;参数设置!$B$5,"不在本会计年度","OK")))))))))))</f>
        <v/>
      </c>
      <c r="Q472" s="57" t="str">
        <f aca="false">IF($F472="","",ROUND(N($J472)*N($K472),2))</f>
        <v/>
      </c>
      <c r="R472" s="58" t="str">
        <f aca="false">IF($D472="","",IF(LEFT($D472,2)="销售","应收账款","应付账款"))</f>
        <v/>
      </c>
      <c r="S472" s="58" t="str">
        <f aca="false">IF($F472="","",IFERROR(INDEX(商品档案!$G$6:$G$65,MATCH($F472,商品档案!$A$6:$A$65,0)),""))</f>
        <v/>
      </c>
      <c r="T472" s="58" t="str">
        <f aca="false">IF($F472="","",IFERROR(INDEX(商品档案!$H$6:$H$65,MATCH($F472,商品档案!$A$6:$A$65,0)),""))</f>
        <v/>
      </c>
      <c r="U472" s="58" t="str">
        <f aca="false">IF($F472="","",IFERROR(INDEX(商品档案!$I$6:$I$65,MATCH($F472,商品档案!$A$6:$A$65,0)),""))</f>
        <v/>
      </c>
      <c r="V472" s="59" t="str">
        <f aca="false">IF($F472="","",SUMIFS(进销存台账!$N$6:$N$65,进销存台账!$A$6:$A$65,$C472,进销存台账!$B$6:$B$65,$F472))</f>
        <v/>
      </c>
      <c r="W472" s="60" t="n">
        <f aca="false">IF(OR($D472="销售出库",$D472="销售退回"),ROUND(N($J472)*N($V472),2),0)</f>
        <v>0</v>
      </c>
      <c r="X472" s="58" t="str">
        <f aca="false">IF($E472="","",IFERROR(INDEX(往来单位!$D$6:$D$85,MATCH($E472,往来单位!$A$6:$A$85,0)),"否"))</f>
        <v/>
      </c>
      <c r="Y472" s="61" t="str">
        <f aca="false">IF($B472="","",YEAR($B472))</f>
        <v/>
      </c>
      <c r="Z472" s="58" t="str">
        <f aca="false">IF($B472="","",TEXT($B472,"yyyy-mm"))</f>
        <v/>
      </c>
    </row>
    <row r="473" customFormat="false" ht="15" hidden="false" customHeight="false" outlineLevel="0" collapsed="false">
      <c r="A473" s="53" t="str">
        <f aca="false">IF($B473="","",ROW()-5)</f>
        <v/>
      </c>
      <c r="B473" s="54"/>
      <c r="C473" s="33"/>
      <c r="D473" s="33"/>
      <c r="E473" s="32"/>
      <c r="F473" s="39"/>
      <c r="G473" s="48" t="str">
        <f aca="false">IF($F473="","",IFERROR(INDEX(商品档案!$B$6:$B$65,MATCH($F473,商品档案!$A$6:$A$65,0)),""))</f>
        <v/>
      </c>
      <c r="H473" s="48" t="str">
        <f aca="false">IF($F473="","",IFERROR(INDEX(商品档案!$C$6:$C$65,MATCH($F473,商品档案!$A$6:$A$65,0)),""))</f>
        <v/>
      </c>
      <c r="I473" s="55" t="str">
        <f aca="false">IF($F473="","",IFERROR(INDEX(商品档案!$D$6:$D$65,MATCH($F473,商品档案!$A$6:$A$65,0)),""))</f>
        <v/>
      </c>
      <c r="J473" s="49"/>
      <c r="K473" s="56"/>
      <c r="L473" s="33"/>
      <c r="M473" s="39"/>
      <c r="N473" s="41"/>
      <c r="O473" s="41"/>
      <c r="P473" s="25" t="str">
        <f aca="false">IF(AND($B473="",$D473="",$F473=""),"",IF(NOT(ISNUMBER($B473)),"日期无效",IF(ISNA(MATCH($C473,参数设置!$A$10:$A$12,0)),"公司无效",IF(ISNA(MATCH($D473,记账规则!$A$6:$A$9,0)),"业务类型无效",IF(ISNA(MATCH($F473,商品档案!$A$6:$A$65,0)),"商品编码无效",IF(IFERROR(INDEX(商品档案!$E$6:$E$65,MATCH($F473,商品档案!$A$6:$A$65,0)),"")&lt;&gt;$C473,"商品不属于该公司",IF(AND($E473&lt;&gt;"",ISNA(MATCH($E473,往来单位!$A$6:$A$85,0))),"往来单位未建档",IF(N($J473)=0,"数量为 0",IF(N($K473)=0,"单价为 0",IF(AND(LEFT($D473,2)="销售",$U473=""),"该商品没设成本科目",IF(YEAR($B473)&lt;&gt;参数设置!$B$5,"不在本会计年度","OK")))))))))))</f>
        <v/>
      </c>
      <c r="Q473" s="57" t="str">
        <f aca="false">IF($F473="","",ROUND(N($J473)*N($K473),2))</f>
        <v/>
      </c>
      <c r="R473" s="58" t="str">
        <f aca="false">IF($D473="","",IF(LEFT($D473,2)="销售","应收账款","应付账款"))</f>
        <v/>
      </c>
      <c r="S473" s="58" t="str">
        <f aca="false">IF($F473="","",IFERROR(INDEX(商品档案!$G$6:$G$65,MATCH($F473,商品档案!$A$6:$A$65,0)),""))</f>
        <v/>
      </c>
      <c r="T473" s="58" t="str">
        <f aca="false">IF($F473="","",IFERROR(INDEX(商品档案!$H$6:$H$65,MATCH($F473,商品档案!$A$6:$A$65,0)),""))</f>
        <v/>
      </c>
      <c r="U473" s="58" t="str">
        <f aca="false">IF($F473="","",IFERROR(INDEX(商品档案!$I$6:$I$65,MATCH($F473,商品档案!$A$6:$A$65,0)),""))</f>
        <v/>
      </c>
      <c r="V473" s="59" t="str">
        <f aca="false">IF($F473="","",SUMIFS(进销存台账!$N$6:$N$65,进销存台账!$A$6:$A$65,$C473,进销存台账!$B$6:$B$65,$F473))</f>
        <v/>
      </c>
      <c r="W473" s="60" t="n">
        <f aca="false">IF(OR($D473="销售出库",$D473="销售退回"),ROUND(N($J473)*N($V473),2),0)</f>
        <v>0</v>
      </c>
      <c r="X473" s="58" t="str">
        <f aca="false">IF($E473="","",IFERROR(INDEX(往来单位!$D$6:$D$85,MATCH($E473,往来单位!$A$6:$A$85,0)),"否"))</f>
        <v/>
      </c>
      <c r="Y473" s="61" t="str">
        <f aca="false">IF($B473="","",YEAR($B473))</f>
        <v/>
      </c>
      <c r="Z473" s="58" t="str">
        <f aca="false">IF($B473="","",TEXT($B473,"yyyy-mm"))</f>
        <v/>
      </c>
    </row>
    <row r="474" customFormat="false" ht="15" hidden="false" customHeight="false" outlineLevel="0" collapsed="false">
      <c r="A474" s="53" t="str">
        <f aca="false">IF($B474="","",ROW()-5)</f>
        <v/>
      </c>
      <c r="B474" s="54"/>
      <c r="C474" s="33"/>
      <c r="D474" s="33"/>
      <c r="E474" s="32"/>
      <c r="F474" s="39"/>
      <c r="G474" s="48" t="str">
        <f aca="false">IF($F474="","",IFERROR(INDEX(商品档案!$B$6:$B$65,MATCH($F474,商品档案!$A$6:$A$65,0)),""))</f>
        <v/>
      </c>
      <c r="H474" s="48" t="str">
        <f aca="false">IF($F474="","",IFERROR(INDEX(商品档案!$C$6:$C$65,MATCH($F474,商品档案!$A$6:$A$65,0)),""))</f>
        <v/>
      </c>
      <c r="I474" s="55" t="str">
        <f aca="false">IF($F474="","",IFERROR(INDEX(商品档案!$D$6:$D$65,MATCH($F474,商品档案!$A$6:$A$65,0)),""))</f>
        <v/>
      </c>
      <c r="J474" s="49"/>
      <c r="K474" s="56"/>
      <c r="L474" s="33"/>
      <c r="M474" s="39"/>
      <c r="N474" s="41"/>
      <c r="O474" s="41"/>
      <c r="P474" s="25" t="str">
        <f aca="false">IF(AND($B474="",$D474="",$F474=""),"",IF(NOT(ISNUMBER($B474)),"日期无效",IF(ISNA(MATCH($C474,参数设置!$A$10:$A$12,0)),"公司无效",IF(ISNA(MATCH($D474,记账规则!$A$6:$A$9,0)),"业务类型无效",IF(ISNA(MATCH($F474,商品档案!$A$6:$A$65,0)),"商品编码无效",IF(IFERROR(INDEX(商品档案!$E$6:$E$65,MATCH($F474,商品档案!$A$6:$A$65,0)),"")&lt;&gt;$C474,"商品不属于该公司",IF(AND($E474&lt;&gt;"",ISNA(MATCH($E474,往来单位!$A$6:$A$85,0))),"往来单位未建档",IF(N($J474)=0,"数量为 0",IF(N($K474)=0,"单价为 0",IF(AND(LEFT($D474,2)="销售",$U474=""),"该商品没设成本科目",IF(YEAR($B474)&lt;&gt;参数设置!$B$5,"不在本会计年度","OK")))))))))))</f>
        <v/>
      </c>
      <c r="Q474" s="57" t="str">
        <f aca="false">IF($F474="","",ROUND(N($J474)*N($K474),2))</f>
        <v/>
      </c>
      <c r="R474" s="58" t="str">
        <f aca="false">IF($D474="","",IF(LEFT($D474,2)="销售","应收账款","应付账款"))</f>
        <v/>
      </c>
      <c r="S474" s="58" t="str">
        <f aca="false">IF($F474="","",IFERROR(INDEX(商品档案!$G$6:$G$65,MATCH($F474,商品档案!$A$6:$A$65,0)),""))</f>
        <v/>
      </c>
      <c r="T474" s="58" t="str">
        <f aca="false">IF($F474="","",IFERROR(INDEX(商品档案!$H$6:$H$65,MATCH($F474,商品档案!$A$6:$A$65,0)),""))</f>
        <v/>
      </c>
      <c r="U474" s="58" t="str">
        <f aca="false">IF($F474="","",IFERROR(INDEX(商品档案!$I$6:$I$65,MATCH($F474,商品档案!$A$6:$A$65,0)),""))</f>
        <v/>
      </c>
      <c r="V474" s="59" t="str">
        <f aca="false">IF($F474="","",SUMIFS(进销存台账!$N$6:$N$65,进销存台账!$A$6:$A$65,$C474,进销存台账!$B$6:$B$65,$F474))</f>
        <v/>
      </c>
      <c r="W474" s="60" t="n">
        <f aca="false">IF(OR($D474="销售出库",$D474="销售退回"),ROUND(N($J474)*N($V474),2),0)</f>
        <v>0</v>
      </c>
      <c r="X474" s="58" t="str">
        <f aca="false">IF($E474="","",IFERROR(INDEX(往来单位!$D$6:$D$85,MATCH($E474,往来单位!$A$6:$A$85,0)),"否"))</f>
        <v/>
      </c>
      <c r="Y474" s="61" t="str">
        <f aca="false">IF($B474="","",YEAR($B474))</f>
        <v/>
      </c>
      <c r="Z474" s="58" t="str">
        <f aca="false">IF($B474="","",TEXT($B474,"yyyy-mm"))</f>
        <v/>
      </c>
    </row>
    <row r="475" customFormat="false" ht="15" hidden="false" customHeight="false" outlineLevel="0" collapsed="false">
      <c r="A475" s="53" t="str">
        <f aca="false">IF($B475="","",ROW()-5)</f>
        <v/>
      </c>
      <c r="B475" s="54"/>
      <c r="C475" s="33"/>
      <c r="D475" s="33"/>
      <c r="E475" s="32"/>
      <c r="F475" s="39"/>
      <c r="G475" s="48" t="str">
        <f aca="false">IF($F475="","",IFERROR(INDEX(商品档案!$B$6:$B$65,MATCH($F475,商品档案!$A$6:$A$65,0)),""))</f>
        <v/>
      </c>
      <c r="H475" s="48" t="str">
        <f aca="false">IF($F475="","",IFERROR(INDEX(商品档案!$C$6:$C$65,MATCH($F475,商品档案!$A$6:$A$65,0)),""))</f>
        <v/>
      </c>
      <c r="I475" s="55" t="str">
        <f aca="false">IF($F475="","",IFERROR(INDEX(商品档案!$D$6:$D$65,MATCH($F475,商品档案!$A$6:$A$65,0)),""))</f>
        <v/>
      </c>
      <c r="J475" s="49"/>
      <c r="K475" s="56"/>
      <c r="L475" s="33"/>
      <c r="M475" s="39"/>
      <c r="N475" s="41"/>
      <c r="O475" s="41"/>
      <c r="P475" s="25" t="str">
        <f aca="false">IF(AND($B475="",$D475="",$F475=""),"",IF(NOT(ISNUMBER($B475)),"日期无效",IF(ISNA(MATCH($C475,参数设置!$A$10:$A$12,0)),"公司无效",IF(ISNA(MATCH($D475,记账规则!$A$6:$A$9,0)),"业务类型无效",IF(ISNA(MATCH($F475,商品档案!$A$6:$A$65,0)),"商品编码无效",IF(IFERROR(INDEX(商品档案!$E$6:$E$65,MATCH($F475,商品档案!$A$6:$A$65,0)),"")&lt;&gt;$C475,"商品不属于该公司",IF(AND($E475&lt;&gt;"",ISNA(MATCH($E475,往来单位!$A$6:$A$85,0))),"往来单位未建档",IF(N($J475)=0,"数量为 0",IF(N($K475)=0,"单价为 0",IF(AND(LEFT($D475,2)="销售",$U475=""),"该商品没设成本科目",IF(YEAR($B475)&lt;&gt;参数设置!$B$5,"不在本会计年度","OK")))))))))))</f>
        <v/>
      </c>
      <c r="Q475" s="57" t="str">
        <f aca="false">IF($F475="","",ROUND(N($J475)*N($K475),2))</f>
        <v/>
      </c>
      <c r="R475" s="58" t="str">
        <f aca="false">IF($D475="","",IF(LEFT($D475,2)="销售","应收账款","应付账款"))</f>
        <v/>
      </c>
      <c r="S475" s="58" t="str">
        <f aca="false">IF($F475="","",IFERROR(INDEX(商品档案!$G$6:$G$65,MATCH($F475,商品档案!$A$6:$A$65,0)),""))</f>
        <v/>
      </c>
      <c r="T475" s="58" t="str">
        <f aca="false">IF($F475="","",IFERROR(INDEX(商品档案!$H$6:$H$65,MATCH($F475,商品档案!$A$6:$A$65,0)),""))</f>
        <v/>
      </c>
      <c r="U475" s="58" t="str">
        <f aca="false">IF($F475="","",IFERROR(INDEX(商品档案!$I$6:$I$65,MATCH($F475,商品档案!$A$6:$A$65,0)),""))</f>
        <v/>
      </c>
      <c r="V475" s="59" t="str">
        <f aca="false">IF($F475="","",SUMIFS(进销存台账!$N$6:$N$65,进销存台账!$A$6:$A$65,$C475,进销存台账!$B$6:$B$65,$F475))</f>
        <v/>
      </c>
      <c r="W475" s="60" t="n">
        <f aca="false">IF(OR($D475="销售出库",$D475="销售退回"),ROUND(N($J475)*N($V475),2),0)</f>
        <v>0</v>
      </c>
      <c r="X475" s="58" t="str">
        <f aca="false">IF($E475="","",IFERROR(INDEX(往来单位!$D$6:$D$85,MATCH($E475,往来单位!$A$6:$A$85,0)),"否"))</f>
        <v/>
      </c>
      <c r="Y475" s="61" t="str">
        <f aca="false">IF($B475="","",YEAR($B475))</f>
        <v/>
      </c>
      <c r="Z475" s="58" t="str">
        <f aca="false">IF($B475="","",TEXT($B475,"yyyy-mm"))</f>
        <v/>
      </c>
    </row>
    <row r="476" customFormat="false" ht="15" hidden="false" customHeight="false" outlineLevel="0" collapsed="false">
      <c r="A476" s="53" t="str">
        <f aca="false">IF($B476="","",ROW()-5)</f>
        <v/>
      </c>
      <c r="B476" s="54"/>
      <c r="C476" s="33"/>
      <c r="D476" s="33"/>
      <c r="E476" s="32"/>
      <c r="F476" s="39"/>
      <c r="G476" s="48" t="str">
        <f aca="false">IF($F476="","",IFERROR(INDEX(商品档案!$B$6:$B$65,MATCH($F476,商品档案!$A$6:$A$65,0)),""))</f>
        <v/>
      </c>
      <c r="H476" s="48" t="str">
        <f aca="false">IF($F476="","",IFERROR(INDEX(商品档案!$C$6:$C$65,MATCH($F476,商品档案!$A$6:$A$65,0)),""))</f>
        <v/>
      </c>
      <c r="I476" s="55" t="str">
        <f aca="false">IF($F476="","",IFERROR(INDEX(商品档案!$D$6:$D$65,MATCH($F476,商品档案!$A$6:$A$65,0)),""))</f>
        <v/>
      </c>
      <c r="J476" s="49"/>
      <c r="K476" s="56"/>
      <c r="L476" s="33"/>
      <c r="M476" s="39"/>
      <c r="N476" s="41"/>
      <c r="O476" s="41"/>
      <c r="P476" s="25" t="str">
        <f aca="false">IF(AND($B476="",$D476="",$F476=""),"",IF(NOT(ISNUMBER($B476)),"日期无效",IF(ISNA(MATCH($C476,参数设置!$A$10:$A$12,0)),"公司无效",IF(ISNA(MATCH($D476,记账规则!$A$6:$A$9,0)),"业务类型无效",IF(ISNA(MATCH($F476,商品档案!$A$6:$A$65,0)),"商品编码无效",IF(IFERROR(INDEX(商品档案!$E$6:$E$65,MATCH($F476,商品档案!$A$6:$A$65,0)),"")&lt;&gt;$C476,"商品不属于该公司",IF(AND($E476&lt;&gt;"",ISNA(MATCH($E476,往来单位!$A$6:$A$85,0))),"往来单位未建档",IF(N($J476)=0,"数量为 0",IF(N($K476)=0,"单价为 0",IF(AND(LEFT($D476,2)="销售",$U476=""),"该商品没设成本科目",IF(YEAR($B476)&lt;&gt;参数设置!$B$5,"不在本会计年度","OK")))))))))))</f>
        <v/>
      </c>
      <c r="Q476" s="57" t="str">
        <f aca="false">IF($F476="","",ROUND(N($J476)*N($K476),2))</f>
        <v/>
      </c>
      <c r="R476" s="58" t="str">
        <f aca="false">IF($D476="","",IF(LEFT($D476,2)="销售","应收账款","应付账款"))</f>
        <v/>
      </c>
      <c r="S476" s="58" t="str">
        <f aca="false">IF($F476="","",IFERROR(INDEX(商品档案!$G$6:$G$65,MATCH($F476,商品档案!$A$6:$A$65,0)),""))</f>
        <v/>
      </c>
      <c r="T476" s="58" t="str">
        <f aca="false">IF($F476="","",IFERROR(INDEX(商品档案!$H$6:$H$65,MATCH($F476,商品档案!$A$6:$A$65,0)),""))</f>
        <v/>
      </c>
      <c r="U476" s="58" t="str">
        <f aca="false">IF($F476="","",IFERROR(INDEX(商品档案!$I$6:$I$65,MATCH($F476,商品档案!$A$6:$A$65,0)),""))</f>
        <v/>
      </c>
      <c r="V476" s="59" t="str">
        <f aca="false">IF($F476="","",SUMIFS(进销存台账!$N$6:$N$65,进销存台账!$A$6:$A$65,$C476,进销存台账!$B$6:$B$65,$F476))</f>
        <v/>
      </c>
      <c r="W476" s="60" t="n">
        <f aca="false">IF(OR($D476="销售出库",$D476="销售退回"),ROUND(N($J476)*N($V476),2),0)</f>
        <v>0</v>
      </c>
      <c r="X476" s="58" t="str">
        <f aca="false">IF($E476="","",IFERROR(INDEX(往来单位!$D$6:$D$85,MATCH($E476,往来单位!$A$6:$A$85,0)),"否"))</f>
        <v/>
      </c>
      <c r="Y476" s="61" t="str">
        <f aca="false">IF($B476="","",YEAR($B476))</f>
        <v/>
      </c>
      <c r="Z476" s="58" t="str">
        <f aca="false">IF($B476="","",TEXT($B476,"yyyy-mm"))</f>
        <v/>
      </c>
    </row>
    <row r="477" customFormat="false" ht="15" hidden="false" customHeight="false" outlineLevel="0" collapsed="false">
      <c r="A477" s="53" t="str">
        <f aca="false">IF($B477="","",ROW()-5)</f>
        <v/>
      </c>
      <c r="B477" s="54"/>
      <c r="C477" s="33"/>
      <c r="D477" s="33"/>
      <c r="E477" s="32"/>
      <c r="F477" s="39"/>
      <c r="G477" s="48" t="str">
        <f aca="false">IF($F477="","",IFERROR(INDEX(商品档案!$B$6:$B$65,MATCH($F477,商品档案!$A$6:$A$65,0)),""))</f>
        <v/>
      </c>
      <c r="H477" s="48" t="str">
        <f aca="false">IF($F477="","",IFERROR(INDEX(商品档案!$C$6:$C$65,MATCH($F477,商品档案!$A$6:$A$65,0)),""))</f>
        <v/>
      </c>
      <c r="I477" s="55" t="str">
        <f aca="false">IF($F477="","",IFERROR(INDEX(商品档案!$D$6:$D$65,MATCH($F477,商品档案!$A$6:$A$65,0)),""))</f>
        <v/>
      </c>
      <c r="J477" s="49"/>
      <c r="K477" s="56"/>
      <c r="L477" s="33"/>
      <c r="M477" s="39"/>
      <c r="N477" s="41"/>
      <c r="O477" s="41"/>
      <c r="P477" s="25" t="str">
        <f aca="false">IF(AND($B477="",$D477="",$F477=""),"",IF(NOT(ISNUMBER($B477)),"日期无效",IF(ISNA(MATCH($C477,参数设置!$A$10:$A$12,0)),"公司无效",IF(ISNA(MATCH($D477,记账规则!$A$6:$A$9,0)),"业务类型无效",IF(ISNA(MATCH($F477,商品档案!$A$6:$A$65,0)),"商品编码无效",IF(IFERROR(INDEX(商品档案!$E$6:$E$65,MATCH($F477,商品档案!$A$6:$A$65,0)),"")&lt;&gt;$C477,"商品不属于该公司",IF(AND($E477&lt;&gt;"",ISNA(MATCH($E477,往来单位!$A$6:$A$85,0))),"往来单位未建档",IF(N($J477)=0,"数量为 0",IF(N($K477)=0,"单价为 0",IF(AND(LEFT($D477,2)="销售",$U477=""),"该商品没设成本科目",IF(YEAR($B477)&lt;&gt;参数设置!$B$5,"不在本会计年度","OK")))))))))))</f>
        <v/>
      </c>
      <c r="Q477" s="57" t="str">
        <f aca="false">IF($F477="","",ROUND(N($J477)*N($K477),2))</f>
        <v/>
      </c>
      <c r="R477" s="58" t="str">
        <f aca="false">IF($D477="","",IF(LEFT($D477,2)="销售","应收账款","应付账款"))</f>
        <v/>
      </c>
      <c r="S477" s="58" t="str">
        <f aca="false">IF($F477="","",IFERROR(INDEX(商品档案!$G$6:$G$65,MATCH($F477,商品档案!$A$6:$A$65,0)),""))</f>
        <v/>
      </c>
      <c r="T477" s="58" t="str">
        <f aca="false">IF($F477="","",IFERROR(INDEX(商品档案!$H$6:$H$65,MATCH($F477,商品档案!$A$6:$A$65,0)),""))</f>
        <v/>
      </c>
      <c r="U477" s="58" t="str">
        <f aca="false">IF($F477="","",IFERROR(INDEX(商品档案!$I$6:$I$65,MATCH($F477,商品档案!$A$6:$A$65,0)),""))</f>
        <v/>
      </c>
      <c r="V477" s="59" t="str">
        <f aca="false">IF($F477="","",SUMIFS(进销存台账!$N$6:$N$65,进销存台账!$A$6:$A$65,$C477,进销存台账!$B$6:$B$65,$F477))</f>
        <v/>
      </c>
      <c r="W477" s="60" t="n">
        <f aca="false">IF(OR($D477="销售出库",$D477="销售退回"),ROUND(N($J477)*N($V477),2),0)</f>
        <v>0</v>
      </c>
      <c r="X477" s="58" t="str">
        <f aca="false">IF($E477="","",IFERROR(INDEX(往来单位!$D$6:$D$85,MATCH($E477,往来单位!$A$6:$A$85,0)),"否"))</f>
        <v/>
      </c>
      <c r="Y477" s="61" t="str">
        <f aca="false">IF($B477="","",YEAR($B477))</f>
        <v/>
      </c>
      <c r="Z477" s="58" t="str">
        <f aca="false">IF($B477="","",TEXT($B477,"yyyy-mm"))</f>
        <v/>
      </c>
    </row>
    <row r="478" customFormat="false" ht="15" hidden="false" customHeight="false" outlineLevel="0" collapsed="false">
      <c r="A478" s="53" t="str">
        <f aca="false">IF($B478="","",ROW()-5)</f>
        <v/>
      </c>
      <c r="B478" s="54"/>
      <c r="C478" s="33"/>
      <c r="D478" s="33"/>
      <c r="E478" s="32"/>
      <c r="F478" s="39"/>
      <c r="G478" s="48" t="str">
        <f aca="false">IF($F478="","",IFERROR(INDEX(商品档案!$B$6:$B$65,MATCH($F478,商品档案!$A$6:$A$65,0)),""))</f>
        <v/>
      </c>
      <c r="H478" s="48" t="str">
        <f aca="false">IF($F478="","",IFERROR(INDEX(商品档案!$C$6:$C$65,MATCH($F478,商品档案!$A$6:$A$65,0)),""))</f>
        <v/>
      </c>
      <c r="I478" s="55" t="str">
        <f aca="false">IF($F478="","",IFERROR(INDEX(商品档案!$D$6:$D$65,MATCH($F478,商品档案!$A$6:$A$65,0)),""))</f>
        <v/>
      </c>
      <c r="J478" s="49"/>
      <c r="K478" s="56"/>
      <c r="L478" s="33"/>
      <c r="M478" s="39"/>
      <c r="N478" s="41"/>
      <c r="O478" s="41"/>
      <c r="P478" s="25" t="str">
        <f aca="false">IF(AND($B478="",$D478="",$F478=""),"",IF(NOT(ISNUMBER($B478)),"日期无效",IF(ISNA(MATCH($C478,参数设置!$A$10:$A$12,0)),"公司无效",IF(ISNA(MATCH($D478,记账规则!$A$6:$A$9,0)),"业务类型无效",IF(ISNA(MATCH($F478,商品档案!$A$6:$A$65,0)),"商品编码无效",IF(IFERROR(INDEX(商品档案!$E$6:$E$65,MATCH($F478,商品档案!$A$6:$A$65,0)),"")&lt;&gt;$C478,"商品不属于该公司",IF(AND($E478&lt;&gt;"",ISNA(MATCH($E478,往来单位!$A$6:$A$85,0))),"往来单位未建档",IF(N($J478)=0,"数量为 0",IF(N($K478)=0,"单价为 0",IF(AND(LEFT($D478,2)="销售",$U478=""),"该商品没设成本科目",IF(YEAR($B478)&lt;&gt;参数设置!$B$5,"不在本会计年度","OK")))))))))))</f>
        <v/>
      </c>
      <c r="Q478" s="57" t="str">
        <f aca="false">IF($F478="","",ROUND(N($J478)*N($K478),2))</f>
        <v/>
      </c>
      <c r="R478" s="58" t="str">
        <f aca="false">IF($D478="","",IF(LEFT($D478,2)="销售","应收账款","应付账款"))</f>
        <v/>
      </c>
      <c r="S478" s="58" t="str">
        <f aca="false">IF($F478="","",IFERROR(INDEX(商品档案!$G$6:$G$65,MATCH($F478,商品档案!$A$6:$A$65,0)),""))</f>
        <v/>
      </c>
      <c r="T478" s="58" t="str">
        <f aca="false">IF($F478="","",IFERROR(INDEX(商品档案!$H$6:$H$65,MATCH($F478,商品档案!$A$6:$A$65,0)),""))</f>
        <v/>
      </c>
      <c r="U478" s="58" t="str">
        <f aca="false">IF($F478="","",IFERROR(INDEX(商品档案!$I$6:$I$65,MATCH($F478,商品档案!$A$6:$A$65,0)),""))</f>
        <v/>
      </c>
      <c r="V478" s="59" t="str">
        <f aca="false">IF($F478="","",SUMIFS(进销存台账!$N$6:$N$65,进销存台账!$A$6:$A$65,$C478,进销存台账!$B$6:$B$65,$F478))</f>
        <v/>
      </c>
      <c r="W478" s="60" t="n">
        <f aca="false">IF(OR($D478="销售出库",$D478="销售退回"),ROUND(N($J478)*N($V478),2),0)</f>
        <v>0</v>
      </c>
      <c r="X478" s="58" t="str">
        <f aca="false">IF($E478="","",IFERROR(INDEX(往来单位!$D$6:$D$85,MATCH($E478,往来单位!$A$6:$A$85,0)),"否"))</f>
        <v/>
      </c>
      <c r="Y478" s="61" t="str">
        <f aca="false">IF($B478="","",YEAR($B478))</f>
        <v/>
      </c>
      <c r="Z478" s="58" t="str">
        <f aca="false">IF($B478="","",TEXT($B478,"yyyy-mm"))</f>
        <v/>
      </c>
    </row>
    <row r="479" customFormat="false" ht="15" hidden="false" customHeight="false" outlineLevel="0" collapsed="false">
      <c r="A479" s="53" t="str">
        <f aca="false">IF($B479="","",ROW()-5)</f>
        <v/>
      </c>
      <c r="B479" s="54"/>
      <c r="C479" s="33"/>
      <c r="D479" s="33"/>
      <c r="E479" s="32"/>
      <c r="F479" s="39"/>
      <c r="G479" s="48" t="str">
        <f aca="false">IF($F479="","",IFERROR(INDEX(商品档案!$B$6:$B$65,MATCH($F479,商品档案!$A$6:$A$65,0)),""))</f>
        <v/>
      </c>
      <c r="H479" s="48" t="str">
        <f aca="false">IF($F479="","",IFERROR(INDEX(商品档案!$C$6:$C$65,MATCH($F479,商品档案!$A$6:$A$65,0)),""))</f>
        <v/>
      </c>
      <c r="I479" s="55" t="str">
        <f aca="false">IF($F479="","",IFERROR(INDEX(商品档案!$D$6:$D$65,MATCH($F479,商品档案!$A$6:$A$65,0)),""))</f>
        <v/>
      </c>
      <c r="J479" s="49"/>
      <c r="K479" s="56"/>
      <c r="L479" s="33"/>
      <c r="M479" s="39"/>
      <c r="N479" s="41"/>
      <c r="O479" s="41"/>
      <c r="P479" s="25" t="str">
        <f aca="false">IF(AND($B479="",$D479="",$F479=""),"",IF(NOT(ISNUMBER($B479)),"日期无效",IF(ISNA(MATCH($C479,参数设置!$A$10:$A$12,0)),"公司无效",IF(ISNA(MATCH($D479,记账规则!$A$6:$A$9,0)),"业务类型无效",IF(ISNA(MATCH($F479,商品档案!$A$6:$A$65,0)),"商品编码无效",IF(IFERROR(INDEX(商品档案!$E$6:$E$65,MATCH($F479,商品档案!$A$6:$A$65,0)),"")&lt;&gt;$C479,"商品不属于该公司",IF(AND($E479&lt;&gt;"",ISNA(MATCH($E479,往来单位!$A$6:$A$85,0))),"往来单位未建档",IF(N($J479)=0,"数量为 0",IF(N($K479)=0,"单价为 0",IF(AND(LEFT($D479,2)="销售",$U479=""),"该商品没设成本科目",IF(YEAR($B479)&lt;&gt;参数设置!$B$5,"不在本会计年度","OK")))))))))))</f>
        <v/>
      </c>
      <c r="Q479" s="57" t="str">
        <f aca="false">IF($F479="","",ROUND(N($J479)*N($K479),2))</f>
        <v/>
      </c>
      <c r="R479" s="58" t="str">
        <f aca="false">IF($D479="","",IF(LEFT($D479,2)="销售","应收账款","应付账款"))</f>
        <v/>
      </c>
      <c r="S479" s="58" t="str">
        <f aca="false">IF($F479="","",IFERROR(INDEX(商品档案!$G$6:$G$65,MATCH($F479,商品档案!$A$6:$A$65,0)),""))</f>
        <v/>
      </c>
      <c r="T479" s="58" t="str">
        <f aca="false">IF($F479="","",IFERROR(INDEX(商品档案!$H$6:$H$65,MATCH($F479,商品档案!$A$6:$A$65,0)),""))</f>
        <v/>
      </c>
      <c r="U479" s="58" t="str">
        <f aca="false">IF($F479="","",IFERROR(INDEX(商品档案!$I$6:$I$65,MATCH($F479,商品档案!$A$6:$A$65,0)),""))</f>
        <v/>
      </c>
      <c r="V479" s="59" t="str">
        <f aca="false">IF($F479="","",SUMIFS(进销存台账!$N$6:$N$65,进销存台账!$A$6:$A$65,$C479,进销存台账!$B$6:$B$65,$F479))</f>
        <v/>
      </c>
      <c r="W479" s="60" t="n">
        <f aca="false">IF(OR($D479="销售出库",$D479="销售退回"),ROUND(N($J479)*N($V479),2),0)</f>
        <v>0</v>
      </c>
      <c r="X479" s="58" t="str">
        <f aca="false">IF($E479="","",IFERROR(INDEX(往来单位!$D$6:$D$85,MATCH($E479,往来单位!$A$6:$A$85,0)),"否"))</f>
        <v/>
      </c>
      <c r="Y479" s="61" t="str">
        <f aca="false">IF($B479="","",YEAR($B479))</f>
        <v/>
      </c>
      <c r="Z479" s="58" t="str">
        <f aca="false">IF($B479="","",TEXT($B479,"yyyy-mm"))</f>
        <v/>
      </c>
    </row>
    <row r="480" customFormat="false" ht="15" hidden="false" customHeight="false" outlineLevel="0" collapsed="false">
      <c r="A480" s="53" t="str">
        <f aca="false">IF($B480="","",ROW()-5)</f>
        <v/>
      </c>
      <c r="B480" s="54"/>
      <c r="C480" s="33"/>
      <c r="D480" s="33"/>
      <c r="E480" s="32"/>
      <c r="F480" s="39"/>
      <c r="G480" s="48" t="str">
        <f aca="false">IF($F480="","",IFERROR(INDEX(商品档案!$B$6:$B$65,MATCH($F480,商品档案!$A$6:$A$65,0)),""))</f>
        <v/>
      </c>
      <c r="H480" s="48" t="str">
        <f aca="false">IF($F480="","",IFERROR(INDEX(商品档案!$C$6:$C$65,MATCH($F480,商品档案!$A$6:$A$65,0)),""))</f>
        <v/>
      </c>
      <c r="I480" s="55" t="str">
        <f aca="false">IF($F480="","",IFERROR(INDEX(商品档案!$D$6:$D$65,MATCH($F480,商品档案!$A$6:$A$65,0)),""))</f>
        <v/>
      </c>
      <c r="J480" s="49"/>
      <c r="K480" s="56"/>
      <c r="L480" s="33"/>
      <c r="M480" s="39"/>
      <c r="N480" s="41"/>
      <c r="O480" s="41"/>
      <c r="P480" s="25" t="str">
        <f aca="false">IF(AND($B480="",$D480="",$F480=""),"",IF(NOT(ISNUMBER($B480)),"日期无效",IF(ISNA(MATCH($C480,参数设置!$A$10:$A$12,0)),"公司无效",IF(ISNA(MATCH($D480,记账规则!$A$6:$A$9,0)),"业务类型无效",IF(ISNA(MATCH($F480,商品档案!$A$6:$A$65,0)),"商品编码无效",IF(IFERROR(INDEX(商品档案!$E$6:$E$65,MATCH($F480,商品档案!$A$6:$A$65,0)),"")&lt;&gt;$C480,"商品不属于该公司",IF(AND($E480&lt;&gt;"",ISNA(MATCH($E480,往来单位!$A$6:$A$85,0))),"往来单位未建档",IF(N($J480)=0,"数量为 0",IF(N($K480)=0,"单价为 0",IF(AND(LEFT($D480,2)="销售",$U480=""),"该商品没设成本科目",IF(YEAR($B480)&lt;&gt;参数设置!$B$5,"不在本会计年度","OK")))))))))))</f>
        <v/>
      </c>
      <c r="Q480" s="57" t="str">
        <f aca="false">IF($F480="","",ROUND(N($J480)*N($K480),2))</f>
        <v/>
      </c>
      <c r="R480" s="58" t="str">
        <f aca="false">IF($D480="","",IF(LEFT($D480,2)="销售","应收账款","应付账款"))</f>
        <v/>
      </c>
      <c r="S480" s="58" t="str">
        <f aca="false">IF($F480="","",IFERROR(INDEX(商品档案!$G$6:$G$65,MATCH($F480,商品档案!$A$6:$A$65,0)),""))</f>
        <v/>
      </c>
      <c r="T480" s="58" t="str">
        <f aca="false">IF($F480="","",IFERROR(INDEX(商品档案!$H$6:$H$65,MATCH($F480,商品档案!$A$6:$A$65,0)),""))</f>
        <v/>
      </c>
      <c r="U480" s="58" t="str">
        <f aca="false">IF($F480="","",IFERROR(INDEX(商品档案!$I$6:$I$65,MATCH($F480,商品档案!$A$6:$A$65,0)),""))</f>
        <v/>
      </c>
      <c r="V480" s="59" t="str">
        <f aca="false">IF($F480="","",SUMIFS(进销存台账!$N$6:$N$65,进销存台账!$A$6:$A$65,$C480,进销存台账!$B$6:$B$65,$F480))</f>
        <v/>
      </c>
      <c r="W480" s="60" t="n">
        <f aca="false">IF(OR($D480="销售出库",$D480="销售退回"),ROUND(N($J480)*N($V480),2),0)</f>
        <v>0</v>
      </c>
      <c r="X480" s="58" t="str">
        <f aca="false">IF($E480="","",IFERROR(INDEX(往来单位!$D$6:$D$85,MATCH($E480,往来单位!$A$6:$A$85,0)),"否"))</f>
        <v/>
      </c>
      <c r="Y480" s="61" t="str">
        <f aca="false">IF($B480="","",YEAR($B480))</f>
        <v/>
      </c>
      <c r="Z480" s="58" t="str">
        <f aca="false">IF($B480="","",TEXT($B480,"yyyy-mm"))</f>
        <v/>
      </c>
    </row>
    <row r="481" customFormat="false" ht="15" hidden="false" customHeight="false" outlineLevel="0" collapsed="false">
      <c r="A481" s="53" t="str">
        <f aca="false">IF($B481="","",ROW()-5)</f>
        <v/>
      </c>
      <c r="B481" s="54"/>
      <c r="C481" s="33"/>
      <c r="D481" s="33"/>
      <c r="E481" s="32"/>
      <c r="F481" s="39"/>
      <c r="G481" s="48" t="str">
        <f aca="false">IF($F481="","",IFERROR(INDEX(商品档案!$B$6:$B$65,MATCH($F481,商品档案!$A$6:$A$65,0)),""))</f>
        <v/>
      </c>
      <c r="H481" s="48" t="str">
        <f aca="false">IF($F481="","",IFERROR(INDEX(商品档案!$C$6:$C$65,MATCH($F481,商品档案!$A$6:$A$65,0)),""))</f>
        <v/>
      </c>
      <c r="I481" s="55" t="str">
        <f aca="false">IF($F481="","",IFERROR(INDEX(商品档案!$D$6:$D$65,MATCH($F481,商品档案!$A$6:$A$65,0)),""))</f>
        <v/>
      </c>
      <c r="J481" s="49"/>
      <c r="K481" s="56"/>
      <c r="L481" s="33"/>
      <c r="M481" s="39"/>
      <c r="N481" s="41"/>
      <c r="O481" s="41"/>
      <c r="P481" s="25" t="str">
        <f aca="false">IF(AND($B481="",$D481="",$F481=""),"",IF(NOT(ISNUMBER($B481)),"日期无效",IF(ISNA(MATCH($C481,参数设置!$A$10:$A$12,0)),"公司无效",IF(ISNA(MATCH($D481,记账规则!$A$6:$A$9,0)),"业务类型无效",IF(ISNA(MATCH($F481,商品档案!$A$6:$A$65,0)),"商品编码无效",IF(IFERROR(INDEX(商品档案!$E$6:$E$65,MATCH($F481,商品档案!$A$6:$A$65,0)),"")&lt;&gt;$C481,"商品不属于该公司",IF(AND($E481&lt;&gt;"",ISNA(MATCH($E481,往来单位!$A$6:$A$85,0))),"往来单位未建档",IF(N($J481)=0,"数量为 0",IF(N($K481)=0,"单价为 0",IF(AND(LEFT($D481,2)="销售",$U481=""),"该商品没设成本科目",IF(YEAR($B481)&lt;&gt;参数设置!$B$5,"不在本会计年度","OK")))))))))))</f>
        <v/>
      </c>
      <c r="Q481" s="57" t="str">
        <f aca="false">IF($F481="","",ROUND(N($J481)*N($K481),2))</f>
        <v/>
      </c>
      <c r="R481" s="58" t="str">
        <f aca="false">IF($D481="","",IF(LEFT($D481,2)="销售","应收账款","应付账款"))</f>
        <v/>
      </c>
      <c r="S481" s="58" t="str">
        <f aca="false">IF($F481="","",IFERROR(INDEX(商品档案!$G$6:$G$65,MATCH($F481,商品档案!$A$6:$A$65,0)),""))</f>
        <v/>
      </c>
      <c r="T481" s="58" t="str">
        <f aca="false">IF($F481="","",IFERROR(INDEX(商品档案!$H$6:$H$65,MATCH($F481,商品档案!$A$6:$A$65,0)),""))</f>
        <v/>
      </c>
      <c r="U481" s="58" t="str">
        <f aca="false">IF($F481="","",IFERROR(INDEX(商品档案!$I$6:$I$65,MATCH($F481,商品档案!$A$6:$A$65,0)),""))</f>
        <v/>
      </c>
      <c r="V481" s="59" t="str">
        <f aca="false">IF($F481="","",SUMIFS(进销存台账!$N$6:$N$65,进销存台账!$A$6:$A$65,$C481,进销存台账!$B$6:$B$65,$F481))</f>
        <v/>
      </c>
      <c r="W481" s="60" t="n">
        <f aca="false">IF(OR($D481="销售出库",$D481="销售退回"),ROUND(N($J481)*N($V481),2),0)</f>
        <v>0</v>
      </c>
      <c r="X481" s="58" t="str">
        <f aca="false">IF($E481="","",IFERROR(INDEX(往来单位!$D$6:$D$85,MATCH($E481,往来单位!$A$6:$A$85,0)),"否"))</f>
        <v/>
      </c>
      <c r="Y481" s="61" t="str">
        <f aca="false">IF($B481="","",YEAR($B481))</f>
        <v/>
      </c>
      <c r="Z481" s="58" t="str">
        <f aca="false">IF($B481="","",TEXT($B481,"yyyy-mm"))</f>
        <v/>
      </c>
    </row>
    <row r="482" customFormat="false" ht="15" hidden="false" customHeight="false" outlineLevel="0" collapsed="false">
      <c r="A482" s="53" t="str">
        <f aca="false">IF($B482="","",ROW()-5)</f>
        <v/>
      </c>
      <c r="B482" s="54"/>
      <c r="C482" s="33"/>
      <c r="D482" s="33"/>
      <c r="E482" s="32"/>
      <c r="F482" s="39"/>
      <c r="G482" s="48" t="str">
        <f aca="false">IF($F482="","",IFERROR(INDEX(商品档案!$B$6:$B$65,MATCH($F482,商品档案!$A$6:$A$65,0)),""))</f>
        <v/>
      </c>
      <c r="H482" s="48" t="str">
        <f aca="false">IF($F482="","",IFERROR(INDEX(商品档案!$C$6:$C$65,MATCH($F482,商品档案!$A$6:$A$65,0)),""))</f>
        <v/>
      </c>
      <c r="I482" s="55" t="str">
        <f aca="false">IF($F482="","",IFERROR(INDEX(商品档案!$D$6:$D$65,MATCH($F482,商品档案!$A$6:$A$65,0)),""))</f>
        <v/>
      </c>
      <c r="J482" s="49"/>
      <c r="K482" s="56"/>
      <c r="L482" s="33"/>
      <c r="M482" s="39"/>
      <c r="N482" s="41"/>
      <c r="O482" s="41"/>
      <c r="P482" s="25" t="str">
        <f aca="false">IF(AND($B482="",$D482="",$F482=""),"",IF(NOT(ISNUMBER($B482)),"日期无效",IF(ISNA(MATCH($C482,参数设置!$A$10:$A$12,0)),"公司无效",IF(ISNA(MATCH($D482,记账规则!$A$6:$A$9,0)),"业务类型无效",IF(ISNA(MATCH($F482,商品档案!$A$6:$A$65,0)),"商品编码无效",IF(IFERROR(INDEX(商品档案!$E$6:$E$65,MATCH($F482,商品档案!$A$6:$A$65,0)),"")&lt;&gt;$C482,"商品不属于该公司",IF(AND($E482&lt;&gt;"",ISNA(MATCH($E482,往来单位!$A$6:$A$85,0))),"往来单位未建档",IF(N($J482)=0,"数量为 0",IF(N($K482)=0,"单价为 0",IF(AND(LEFT($D482,2)="销售",$U482=""),"该商品没设成本科目",IF(YEAR($B482)&lt;&gt;参数设置!$B$5,"不在本会计年度","OK")))))))))))</f>
        <v/>
      </c>
      <c r="Q482" s="57" t="str">
        <f aca="false">IF($F482="","",ROUND(N($J482)*N($K482),2))</f>
        <v/>
      </c>
      <c r="R482" s="58" t="str">
        <f aca="false">IF($D482="","",IF(LEFT($D482,2)="销售","应收账款","应付账款"))</f>
        <v/>
      </c>
      <c r="S482" s="58" t="str">
        <f aca="false">IF($F482="","",IFERROR(INDEX(商品档案!$G$6:$G$65,MATCH($F482,商品档案!$A$6:$A$65,0)),""))</f>
        <v/>
      </c>
      <c r="T482" s="58" t="str">
        <f aca="false">IF($F482="","",IFERROR(INDEX(商品档案!$H$6:$H$65,MATCH($F482,商品档案!$A$6:$A$65,0)),""))</f>
        <v/>
      </c>
      <c r="U482" s="58" t="str">
        <f aca="false">IF($F482="","",IFERROR(INDEX(商品档案!$I$6:$I$65,MATCH($F482,商品档案!$A$6:$A$65,0)),""))</f>
        <v/>
      </c>
      <c r="V482" s="59" t="str">
        <f aca="false">IF($F482="","",SUMIFS(进销存台账!$N$6:$N$65,进销存台账!$A$6:$A$65,$C482,进销存台账!$B$6:$B$65,$F482))</f>
        <v/>
      </c>
      <c r="W482" s="60" t="n">
        <f aca="false">IF(OR($D482="销售出库",$D482="销售退回"),ROUND(N($J482)*N($V482),2),0)</f>
        <v>0</v>
      </c>
      <c r="X482" s="58" t="str">
        <f aca="false">IF($E482="","",IFERROR(INDEX(往来单位!$D$6:$D$85,MATCH($E482,往来单位!$A$6:$A$85,0)),"否"))</f>
        <v/>
      </c>
      <c r="Y482" s="61" t="str">
        <f aca="false">IF($B482="","",YEAR($B482))</f>
        <v/>
      </c>
      <c r="Z482" s="58" t="str">
        <f aca="false">IF($B482="","",TEXT($B482,"yyyy-mm"))</f>
        <v/>
      </c>
    </row>
    <row r="483" customFormat="false" ht="15" hidden="false" customHeight="false" outlineLevel="0" collapsed="false">
      <c r="A483" s="53" t="str">
        <f aca="false">IF($B483="","",ROW()-5)</f>
        <v/>
      </c>
      <c r="B483" s="54"/>
      <c r="C483" s="33"/>
      <c r="D483" s="33"/>
      <c r="E483" s="32"/>
      <c r="F483" s="39"/>
      <c r="G483" s="48" t="str">
        <f aca="false">IF($F483="","",IFERROR(INDEX(商品档案!$B$6:$B$65,MATCH($F483,商品档案!$A$6:$A$65,0)),""))</f>
        <v/>
      </c>
      <c r="H483" s="48" t="str">
        <f aca="false">IF($F483="","",IFERROR(INDEX(商品档案!$C$6:$C$65,MATCH($F483,商品档案!$A$6:$A$65,0)),""))</f>
        <v/>
      </c>
      <c r="I483" s="55" t="str">
        <f aca="false">IF($F483="","",IFERROR(INDEX(商品档案!$D$6:$D$65,MATCH($F483,商品档案!$A$6:$A$65,0)),""))</f>
        <v/>
      </c>
      <c r="J483" s="49"/>
      <c r="K483" s="56"/>
      <c r="L483" s="33"/>
      <c r="M483" s="39"/>
      <c r="N483" s="41"/>
      <c r="O483" s="41"/>
      <c r="P483" s="25" t="str">
        <f aca="false">IF(AND($B483="",$D483="",$F483=""),"",IF(NOT(ISNUMBER($B483)),"日期无效",IF(ISNA(MATCH($C483,参数设置!$A$10:$A$12,0)),"公司无效",IF(ISNA(MATCH($D483,记账规则!$A$6:$A$9,0)),"业务类型无效",IF(ISNA(MATCH($F483,商品档案!$A$6:$A$65,0)),"商品编码无效",IF(IFERROR(INDEX(商品档案!$E$6:$E$65,MATCH($F483,商品档案!$A$6:$A$65,0)),"")&lt;&gt;$C483,"商品不属于该公司",IF(AND($E483&lt;&gt;"",ISNA(MATCH($E483,往来单位!$A$6:$A$85,0))),"往来单位未建档",IF(N($J483)=0,"数量为 0",IF(N($K483)=0,"单价为 0",IF(AND(LEFT($D483,2)="销售",$U483=""),"该商品没设成本科目",IF(YEAR($B483)&lt;&gt;参数设置!$B$5,"不在本会计年度","OK")))))))))))</f>
        <v/>
      </c>
      <c r="Q483" s="57" t="str">
        <f aca="false">IF($F483="","",ROUND(N($J483)*N($K483),2))</f>
        <v/>
      </c>
      <c r="R483" s="58" t="str">
        <f aca="false">IF($D483="","",IF(LEFT($D483,2)="销售","应收账款","应付账款"))</f>
        <v/>
      </c>
      <c r="S483" s="58" t="str">
        <f aca="false">IF($F483="","",IFERROR(INDEX(商品档案!$G$6:$G$65,MATCH($F483,商品档案!$A$6:$A$65,0)),""))</f>
        <v/>
      </c>
      <c r="T483" s="58" t="str">
        <f aca="false">IF($F483="","",IFERROR(INDEX(商品档案!$H$6:$H$65,MATCH($F483,商品档案!$A$6:$A$65,0)),""))</f>
        <v/>
      </c>
      <c r="U483" s="58" t="str">
        <f aca="false">IF($F483="","",IFERROR(INDEX(商品档案!$I$6:$I$65,MATCH($F483,商品档案!$A$6:$A$65,0)),""))</f>
        <v/>
      </c>
      <c r="V483" s="59" t="str">
        <f aca="false">IF($F483="","",SUMIFS(进销存台账!$N$6:$N$65,进销存台账!$A$6:$A$65,$C483,进销存台账!$B$6:$B$65,$F483))</f>
        <v/>
      </c>
      <c r="W483" s="60" t="n">
        <f aca="false">IF(OR($D483="销售出库",$D483="销售退回"),ROUND(N($J483)*N($V483),2),0)</f>
        <v>0</v>
      </c>
      <c r="X483" s="58" t="str">
        <f aca="false">IF($E483="","",IFERROR(INDEX(往来单位!$D$6:$D$85,MATCH($E483,往来单位!$A$6:$A$85,0)),"否"))</f>
        <v/>
      </c>
      <c r="Y483" s="61" t="str">
        <f aca="false">IF($B483="","",YEAR($B483))</f>
        <v/>
      </c>
      <c r="Z483" s="58" t="str">
        <f aca="false">IF($B483="","",TEXT($B483,"yyyy-mm"))</f>
        <v/>
      </c>
    </row>
    <row r="484" customFormat="false" ht="15" hidden="false" customHeight="false" outlineLevel="0" collapsed="false">
      <c r="A484" s="53" t="str">
        <f aca="false">IF($B484="","",ROW()-5)</f>
        <v/>
      </c>
      <c r="B484" s="54"/>
      <c r="C484" s="33"/>
      <c r="D484" s="33"/>
      <c r="E484" s="32"/>
      <c r="F484" s="39"/>
      <c r="G484" s="48" t="str">
        <f aca="false">IF($F484="","",IFERROR(INDEX(商品档案!$B$6:$B$65,MATCH($F484,商品档案!$A$6:$A$65,0)),""))</f>
        <v/>
      </c>
      <c r="H484" s="48" t="str">
        <f aca="false">IF($F484="","",IFERROR(INDEX(商品档案!$C$6:$C$65,MATCH($F484,商品档案!$A$6:$A$65,0)),""))</f>
        <v/>
      </c>
      <c r="I484" s="55" t="str">
        <f aca="false">IF($F484="","",IFERROR(INDEX(商品档案!$D$6:$D$65,MATCH($F484,商品档案!$A$6:$A$65,0)),""))</f>
        <v/>
      </c>
      <c r="J484" s="49"/>
      <c r="K484" s="56"/>
      <c r="L484" s="33"/>
      <c r="M484" s="39"/>
      <c r="N484" s="41"/>
      <c r="O484" s="41"/>
      <c r="P484" s="25" t="str">
        <f aca="false">IF(AND($B484="",$D484="",$F484=""),"",IF(NOT(ISNUMBER($B484)),"日期无效",IF(ISNA(MATCH($C484,参数设置!$A$10:$A$12,0)),"公司无效",IF(ISNA(MATCH($D484,记账规则!$A$6:$A$9,0)),"业务类型无效",IF(ISNA(MATCH($F484,商品档案!$A$6:$A$65,0)),"商品编码无效",IF(IFERROR(INDEX(商品档案!$E$6:$E$65,MATCH($F484,商品档案!$A$6:$A$65,0)),"")&lt;&gt;$C484,"商品不属于该公司",IF(AND($E484&lt;&gt;"",ISNA(MATCH($E484,往来单位!$A$6:$A$85,0))),"往来单位未建档",IF(N($J484)=0,"数量为 0",IF(N($K484)=0,"单价为 0",IF(AND(LEFT($D484,2)="销售",$U484=""),"该商品没设成本科目",IF(YEAR($B484)&lt;&gt;参数设置!$B$5,"不在本会计年度","OK")))))))))))</f>
        <v/>
      </c>
      <c r="Q484" s="57" t="str">
        <f aca="false">IF($F484="","",ROUND(N($J484)*N($K484),2))</f>
        <v/>
      </c>
      <c r="R484" s="58" t="str">
        <f aca="false">IF($D484="","",IF(LEFT($D484,2)="销售","应收账款","应付账款"))</f>
        <v/>
      </c>
      <c r="S484" s="58" t="str">
        <f aca="false">IF($F484="","",IFERROR(INDEX(商品档案!$G$6:$G$65,MATCH($F484,商品档案!$A$6:$A$65,0)),""))</f>
        <v/>
      </c>
      <c r="T484" s="58" t="str">
        <f aca="false">IF($F484="","",IFERROR(INDEX(商品档案!$H$6:$H$65,MATCH($F484,商品档案!$A$6:$A$65,0)),""))</f>
        <v/>
      </c>
      <c r="U484" s="58" t="str">
        <f aca="false">IF($F484="","",IFERROR(INDEX(商品档案!$I$6:$I$65,MATCH($F484,商品档案!$A$6:$A$65,0)),""))</f>
        <v/>
      </c>
      <c r="V484" s="59" t="str">
        <f aca="false">IF($F484="","",SUMIFS(进销存台账!$N$6:$N$65,进销存台账!$A$6:$A$65,$C484,进销存台账!$B$6:$B$65,$F484))</f>
        <v/>
      </c>
      <c r="W484" s="60" t="n">
        <f aca="false">IF(OR($D484="销售出库",$D484="销售退回"),ROUND(N($J484)*N($V484),2),0)</f>
        <v>0</v>
      </c>
      <c r="X484" s="58" t="str">
        <f aca="false">IF($E484="","",IFERROR(INDEX(往来单位!$D$6:$D$85,MATCH($E484,往来单位!$A$6:$A$85,0)),"否"))</f>
        <v/>
      </c>
      <c r="Y484" s="61" t="str">
        <f aca="false">IF($B484="","",YEAR($B484))</f>
        <v/>
      </c>
      <c r="Z484" s="58" t="str">
        <f aca="false">IF($B484="","",TEXT($B484,"yyyy-mm"))</f>
        <v/>
      </c>
    </row>
    <row r="485" customFormat="false" ht="15" hidden="false" customHeight="false" outlineLevel="0" collapsed="false">
      <c r="A485" s="53" t="str">
        <f aca="false">IF($B485="","",ROW()-5)</f>
        <v/>
      </c>
      <c r="B485" s="54"/>
      <c r="C485" s="33"/>
      <c r="D485" s="33"/>
      <c r="E485" s="32"/>
      <c r="F485" s="39"/>
      <c r="G485" s="48" t="str">
        <f aca="false">IF($F485="","",IFERROR(INDEX(商品档案!$B$6:$B$65,MATCH($F485,商品档案!$A$6:$A$65,0)),""))</f>
        <v/>
      </c>
      <c r="H485" s="48" t="str">
        <f aca="false">IF($F485="","",IFERROR(INDEX(商品档案!$C$6:$C$65,MATCH($F485,商品档案!$A$6:$A$65,0)),""))</f>
        <v/>
      </c>
      <c r="I485" s="55" t="str">
        <f aca="false">IF($F485="","",IFERROR(INDEX(商品档案!$D$6:$D$65,MATCH($F485,商品档案!$A$6:$A$65,0)),""))</f>
        <v/>
      </c>
      <c r="J485" s="49"/>
      <c r="K485" s="56"/>
      <c r="L485" s="33"/>
      <c r="M485" s="39"/>
      <c r="N485" s="41"/>
      <c r="O485" s="41"/>
      <c r="P485" s="25" t="str">
        <f aca="false">IF(AND($B485="",$D485="",$F485=""),"",IF(NOT(ISNUMBER($B485)),"日期无效",IF(ISNA(MATCH($C485,参数设置!$A$10:$A$12,0)),"公司无效",IF(ISNA(MATCH($D485,记账规则!$A$6:$A$9,0)),"业务类型无效",IF(ISNA(MATCH($F485,商品档案!$A$6:$A$65,0)),"商品编码无效",IF(IFERROR(INDEX(商品档案!$E$6:$E$65,MATCH($F485,商品档案!$A$6:$A$65,0)),"")&lt;&gt;$C485,"商品不属于该公司",IF(AND($E485&lt;&gt;"",ISNA(MATCH($E485,往来单位!$A$6:$A$85,0))),"往来单位未建档",IF(N($J485)=0,"数量为 0",IF(N($K485)=0,"单价为 0",IF(AND(LEFT($D485,2)="销售",$U485=""),"该商品没设成本科目",IF(YEAR($B485)&lt;&gt;参数设置!$B$5,"不在本会计年度","OK")))))))))))</f>
        <v/>
      </c>
      <c r="Q485" s="57" t="str">
        <f aca="false">IF($F485="","",ROUND(N($J485)*N($K485),2))</f>
        <v/>
      </c>
      <c r="R485" s="58" t="str">
        <f aca="false">IF($D485="","",IF(LEFT($D485,2)="销售","应收账款","应付账款"))</f>
        <v/>
      </c>
      <c r="S485" s="58" t="str">
        <f aca="false">IF($F485="","",IFERROR(INDEX(商品档案!$G$6:$G$65,MATCH($F485,商品档案!$A$6:$A$65,0)),""))</f>
        <v/>
      </c>
      <c r="T485" s="58" t="str">
        <f aca="false">IF($F485="","",IFERROR(INDEX(商品档案!$H$6:$H$65,MATCH($F485,商品档案!$A$6:$A$65,0)),""))</f>
        <v/>
      </c>
      <c r="U485" s="58" t="str">
        <f aca="false">IF($F485="","",IFERROR(INDEX(商品档案!$I$6:$I$65,MATCH($F485,商品档案!$A$6:$A$65,0)),""))</f>
        <v/>
      </c>
      <c r="V485" s="59" t="str">
        <f aca="false">IF($F485="","",SUMIFS(进销存台账!$N$6:$N$65,进销存台账!$A$6:$A$65,$C485,进销存台账!$B$6:$B$65,$F485))</f>
        <v/>
      </c>
      <c r="W485" s="60" t="n">
        <f aca="false">IF(OR($D485="销售出库",$D485="销售退回"),ROUND(N($J485)*N($V485),2),0)</f>
        <v>0</v>
      </c>
      <c r="X485" s="58" t="str">
        <f aca="false">IF($E485="","",IFERROR(INDEX(往来单位!$D$6:$D$85,MATCH($E485,往来单位!$A$6:$A$85,0)),"否"))</f>
        <v/>
      </c>
      <c r="Y485" s="61" t="str">
        <f aca="false">IF($B485="","",YEAR($B485))</f>
        <v/>
      </c>
      <c r="Z485" s="58" t="str">
        <f aca="false">IF($B485="","",TEXT($B485,"yyyy-mm"))</f>
        <v/>
      </c>
    </row>
    <row r="486" customFormat="false" ht="15" hidden="false" customHeight="false" outlineLevel="0" collapsed="false">
      <c r="A486" s="53" t="str">
        <f aca="false">IF($B486="","",ROW()-5)</f>
        <v/>
      </c>
      <c r="B486" s="54"/>
      <c r="C486" s="33"/>
      <c r="D486" s="33"/>
      <c r="E486" s="32"/>
      <c r="F486" s="39"/>
      <c r="G486" s="48" t="str">
        <f aca="false">IF($F486="","",IFERROR(INDEX(商品档案!$B$6:$B$65,MATCH($F486,商品档案!$A$6:$A$65,0)),""))</f>
        <v/>
      </c>
      <c r="H486" s="48" t="str">
        <f aca="false">IF($F486="","",IFERROR(INDEX(商品档案!$C$6:$C$65,MATCH($F486,商品档案!$A$6:$A$65,0)),""))</f>
        <v/>
      </c>
      <c r="I486" s="55" t="str">
        <f aca="false">IF($F486="","",IFERROR(INDEX(商品档案!$D$6:$D$65,MATCH($F486,商品档案!$A$6:$A$65,0)),""))</f>
        <v/>
      </c>
      <c r="J486" s="49"/>
      <c r="K486" s="56"/>
      <c r="L486" s="33"/>
      <c r="M486" s="39"/>
      <c r="N486" s="41"/>
      <c r="O486" s="41"/>
      <c r="P486" s="25" t="str">
        <f aca="false">IF(AND($B486="",$D486="",$F486=""),"",IF(NOT(ISNUMBER($B486)),"日期无效",IF(ISNA(MATCH($C486,参数设置!$A$10:$A$12,0)),"公司无效",IF(ISNA(MATCH($D486,记账规则!$A$6:$A$9,0)),"业务类型无效",IF(ISNA(MATCH($F486,商品档案!$A$6:$A$65,0)),"商品编码无效",IF(IFERROR(INDEX(商品档案!$E$6:$E$65,MATCH($F486,商品档案!$A$6:$A$65,0)),"")&lt;&gt;$C486,"商品不属于该公司",IF(AND($E486&lt;&gt;"",ISNA(MATCH($E486,往来单位!$A$6:$A$85,0))),"往来单位未建档",IF(N($J486)=0,"数量为 0",IF(N($K486)=0,"单价为 0",IF(AND(LEFT($D486,2)="销售",$U486=""),"该商品没设成本科目",IF(YEAR($B486)&lt;&gt;参数设置!$B$5,"不在本会计年度","OK")))))))))))</f>
        <v/>
      </c>
      <c r="Q486" s="57" t="str">
        <f aca="false">IF($F486="","",ROUND(N($J486)*N($K486),2))</f>
        <v/>
      </c>
      <c r="R486" s="58" t="str">
        <f aca="false">IF($D486="","",IF(LEFT($D486,2)="销售","应收账款","应付账款"))</f>
        <v/>
      </c>
      <c r="S486" s="58" t="str">
        <f aca="false">IF($F486="","",IFERROR(INDEX(商品档案!$G$6:$G$65,MATCH($F486,商品档案!$A$6:$A$65,0)),""))</f>
        <v/>
      </c>
      <c r="T486" s="58" t="str">
        <f aca="false">IF($F486="","",IFERROR(INDEX(商品档案!$H$6:$H$65,MATCH($F486,商品档案!$A$6:$A$65,0)),""))</f>
        <v/>
      </c>
      <c r="U486" s="58" t="str">
        <f aca="false">IF($F486="","",IFERROR(INDEX(商品档案!$I$6:$I$65,MATCH($F486,商品档案!$A$6:$A$65,0)),""))</f>
        <v/>
      </c>
      <c r="V486" s="59" t="str">
        <f aca="false">IF($F486="","",SUMIFS(进销存台账!$N$6:$N$65,进销存台账!$A$6:$A$65,$C486,进销存台账!$B$6:$B$65,$F486))</f>
        <v/>
      </c>
      <c r="W486" s="60" t="n">
        <f aca="false">IF(OR($D486="销售出库",$D486="销售退回"),ROUND(N($J486)*N($V486),2),0)</f>
        <v>0</v>
      </c>
      <c r="X486" s="58" t="str">
        <f aca="false">IF($E486="","",IFERROR(INDEX(往来单位!$D$6:$D$85,MATCH($E486,往来单位!$A$6:$A$85,0)),"否"))</f>
        <v/>
      </c>
      <c r="Y486" s="61" t="str">
        <f aca="false">IF($B486="","",YEAR($B486))</f>
        <v/>
      </c>
      <c r="Z486" s="58" t="str">
        <f aca="false">IF($B486="","",TEXT($B486,"yyyy-mm"))</f>
        <v/>
      </c>
    </row>
    <row r="487" customFormat="false" ht="15" hidden="false" customHeight="false" outlineLevel="0" collapsed="false">
      <c r="A487" s="53" t="str">
        <f aca="false">IF($B487="","",ROW()-5)</f>
        <v/>
      </c>
      <c r="B487" s="54"/>
      <c r="C487" s="33"/>
      <c r="D487" s="33"/>
      <c r="E487" s="32"/>
      <c r="F487" s="39"/>
      <c r="G487" s="48" t="str">
        <f aca="false">IF($F487="","",IFERROR(INDEX(商品档案!$B$6:$B$65,MATCH($F487,商品档案!$A$6:$A$65,0)),""))</f>
        <v/>
      </c>
      <c r="H487" s="48" t="str">
        <f aca="false">IF($F487="","",IFERROR(INDEX(商品档案!$C$6:$C$65,MATCH($F487,商品档案!$A$6:$A$65,0)),""))</f>
        <v/>
      </c>
      <c r="I487" s="55" t="str">
        <f aca="false">IF($F487="","",IFERROR(INDEX(商品档案!$D$6:$D$65,MATCH($F487,商品档案!$A$6:$A$65,0)),""))</f>
        <v/>
      </c>
      <c r="J487" s="49"/>
      <c r="K487" s="56"/>
      <c r="L487" s="33"/>
      <c r="M487" s="39"/>
      <c r="N487" s="41"/>
      <c r="O487" s="41"/>
      <c r="P487" s="25" t="str">
        <f aca="false">IF(AND($B487="",$D487="",$F487=""),"",IF(NOT(ISNUMBER($B487)),"日期无效",IF(ISNA(MATCH($C487,参数设置!$A$10:$A$12,0)),"公司无效",IF(ISNA(MATCH($D487,记账规则!$A$6:$A$9,0)),"业务类型无效",IF(ISNA(MATCH($F487,商品档案!$A$6:$A$65,0)),"商品编码无效",IF(IFERROR(INDEX(商品档案!$E$6:$E$65,MATCH($F487,商品档案!$A$6:$A$65,0)),"")&lt;&gt;$C487,"商品不属于该公司",IF(AND($E487&lt;&gt;"",ISNA(MATCH($E487,往来单位!$A$6:$A$85,0))),"往来单位未建档",IF(N($J487)=0,"数量为 0",IF(N($K487)=0,"单价为 0",IF(AND(LEFT($D487,2)="销售",$U487=""),"该商品没设成本科目",IF(YEAR($B487)&lt;&gt;参数设置!$B$5,"不在本会计年度","OK")))))))))))</f>
        <v/>
      </c>
      <c r="Q487" s="57" t="str">
        <f aca="false">IF($F487="","",ROUND(N($J487)*N($K487),2))</f>
        <v/>
      </c>
      <c r="R487" s="58" t="str">
        <f aca="false">IF($D487="","",IF(LEFT($D487,2)="销售","应收账款","应付账款"))</f>
        <v/>
      </c>
      <c r="S487" s="58" t="str">
        <f aca="false">IF($F487="","",IFERROR(INDEX(商品档案!$G$6:$G$65,MATCH($F487,商品档案!$A$6:$A$65,0)),""))</f>
        <v/>
      </c>
      <c r="T487" s="58" t="str">
        <f aca="false">IF($F487="","",IFERROR(INDEX(商品档案!$H$6:$H$65,MATCH($F487,商品档案!$A$6:$A$65,0)),""))</f>
        <v/>
      </c>
      <c r="U487" s="58" t="str">
        <f aca="false">IF($F487="","",IFERROR(INDEX(商品档案!$I$6:$I$65,MATCH($F487,商品档案!$A$6:$A$65,0)),""))</f>
        <v/>
      </c>
      <c r="V487" s="59" t="str">
        <f aca="false">IF($F487="","",SUMIFS(进销存台账!$N$6:$N$65,进销存台账!$A$6:$A$65,$C487,进销存台账!$B$6:$B$65,$F487))</f>
        <v/>
      </c>
      <c r="W487" s="60" t="n">
        <f aca="false">IF(OR($D487="销售出库",$D487="销售退回"),ROUND(N($J487)*N($V487),2),0)</f>
        <v>0</v>
      </c>
      <c r="X487" s="58" t="str">
        <f aca="false">IF($E487="","",IFERROR(INDEX(往来单位!$D$6:$D$85,MATCH($E487,往来单位!$A$6:$A$85,0)),"否"))</f>
        <v/>
      </c>
      <c r="Y487" s="61" t="str">
        <f aca="false">IF($B487="","",YEAR($B487))</f>
        <v/>
      </c>
      <c r="Z487" s="58" t="str">
        <f aca="false">IF($B487="","",TEXT($B487,"yyyy-mm"))</f>
        <v/>
      </c>
    </row>
    <row r="488" customFormat="false" ht="15" hidden="false" customHeight="false" outlineLevel="0" collapsed="false">
      <c r="A488" s="53" t="str">
        <f aca="false">IF($B488="","",ROW()-5)</f>
        <v/>
      </c>
      <c r="B488" s="54"/>
      <c r="C488" s="33"/>
      <c r="D488" s="33"/>
      <c r="E488" s="32"/>
      <c r="F488" s="39"/>
      <c r="G488" s="48" t="str">
        <f aca="false">IF($F488="","",IFERROR(INDEX(商品档案!$B$6:$B$65,MATCH($F488,商品档案!$A$6:$A$65,0)),""))</f>
        <v/>
      </c>
      <c r="H488" s="48" t="str">
        <f aca="false">IF($F488="","",IFERROR(INDEX(商品档案!$C$6:$C$65,MATCH($F488,商品档案!$A$6:$A$65,0)),""))</f>
        <v/>
      </c>
      <c r="I488" s="55" t="str">
        <f aca="false">IF($F488="","",IFERROR(INDEX(商品档案!$D$6:$D$65,MATCH($F488,商品档案!$A$6:$A$65,0)),""))</f>
        <v/>
      </c>
      <c r="J488" s="49"/>
      <c r="K488" s="56"/>
      <c r="L488" s="33"/>
      <c r="M488" s="39"/>
      <c r="N488" s="41"/>
      <c r="O488" s="41"/>
      <c r="P488" s="25" t="str">
        <f aca="false">IF(AND($B488="",$D488="",$F488=""),"",IF(NOT(ISNUMBER($B488)),"日期无效",IF(ISNA(MATCH($C488,参数设置!$A$10:$A$12,0)),"公司无效",IF(ISNA(MATCH($D488,记账规则!$A$6:$A$9,0)),"业务类型无效",IF(ISNA(MATCH($F488,商品档案!$A$6:$A$65,0)),"商品编码无效",IF(IFERROR(INDEX(商品档案!$E$6:$E$65,MATCH($F488,商品档案!$A$6:$A$65,0)),"")&lt;&gt;$C488,"商品不属于该公司",IF(AND($E488&lt;&gt;"",ISNA(MATCH($E488,往来单位!$A$6:$A$85,0))),"往来单位未建档",IF(N($J488)=0,"数量为 0",IF(N($K488)=0,"单价为 0",IF(AND(LEFT($D488,2)="销售",$U488=""),"该商品没设成本科目",IF(YEAR($B488)&lt;&gt;参数设置!$B$5,"不在本会计年度","OK")))))))))))</f>
        <v/>
      </c>
      <c r="Q488" s="57" t="str">
        <f aca="false">IF($F488="","",ROUND(N($J488)*N($K488),2))</f>
        <v/>
      </c>
      <c r="R488" s="58" t="str">
        <f aca="false">IF($D488="","",IF(LEFT($D488,2)="销售","应收账款","应付账款"))</f>
        <v/>
      </c>
      <c r="S488" s="58" t="str">
        <f aca="false">IF($F488="","",IFERROR(INDEX(商品档案!$G$6:$G$65,MATCH($F488,商品档案!$A$6:$A$65,0)),""))</f>
        <v/>
      </c>
      <c r="T488" s="58" t="str">
        <f aca="false">IF($F488="","",IFERROR(INDEX(商品档案!$H$6:$H$65,MATCH($F488,商品档案!$A$6:$A$65,0)),""))</f>
        <v/>
      </c>
      <c r="U488" s="58" t="str">
        <f aca="false">IF($F488="","",IFERROR(INDEX(商品档案!$I$6:$I$65,MATCH($F488,商品档案!$A$6:$A$65,0)),""))</f>
        <v/>
      </c>
      <c r="V488" s="59" t="str">
        <f aca="false">IF($F488="","",SUMIFS(进销存台账!$N$6:$N$65,进销存台账!$A$6:$A$65,$C488,进销存台账!$B$6:$B$65,$F488))</f>
        <v/>
      </c>
      <c r="W488" s="60" t="n">
        <f aca="false">IF(OR($D488="销售出库",$D488="销售退回"),ROUND(N($J488)*N($V488),2),0)</f>
        <v>0</v>
      </c>
      <c r="X488" s="58" t="str">
        <f aca="false">IF($E488="","",IFERROR(INDEX(往来单位!$D$6:$D$85,MATCH($E488,往来单位!$A$6:$A$85,0)),"否"))</f>
        <v/>
      </c>
      <c r="Y488" s="61" t="str">
        <f aca="false">IF($B488="","",YEAR($B488))</f>
        <v/>
      </c>
      <c r="Z488" s="58" t="str">
        <f aca="false">IF($B488="","",TEXT($B488,"yyyy-mm"))</f>
        <v/>
      </c>
    </row>
    <row r="489" customFormat="false" ht="15" hidden="false" customHeight="false" outlineLevel="0" collapsed="false">
      <c r="A489" s="53" t="str">
        <f aca="false">IF($B489="","",ROW()-5)</f>
        <v/>
      </c>
      <c r="B489" s="54"/>
      <c r="C489" s="33"/>
      <c r="D489" s="33"/>
      <c r="E489" s="32"/>
      <c r="F489" s="39"/>
      <c r="G489" s="48" t="str">
        <f aca="false">IF($F489="","",IFERROR(INDEX(商品档案!$B$6:$B$65,MATCH($F489,商品档案!$A$6:$A$65,0)),""))</f>
        <v/>
      </c>
      <c r="H489" s="48" t="str">
        <f aca="false">IF($F489="","",IFERROR(INDEX(商品档案!$C$6:$C$65,MATCH($F489,商品档案!$A$6:$A$65,0)),""))</f>
        <v/>
      </c>
      <c r="I489" s="55" t="str">
        <f aca="false">IF($F489="","",IFERROR(INDEX(商品档案!$D$6:$D$65,MATCH($F489,商品档案!$A$6:$A$65,0)),""))</f>
        <v/>
      </c>
      <c r="J489" s="49"/>
      <c r="K489" s="56"/>
      <c r="L489" s="33"/>
      <c r="M489" s="39"/>
      <c r="N489" s="41"/>
      <c r="O489" s="41"/>
      <c r="P489" s="25" t="str">
        <f aca="false">IF(AND($B489="",$D489="",$F489=""),"",IF(NOT(ISNUMBER($B489)),"日期无效",IF(ISNA(MATCH($C489,参数设置!$A$10:$A$12,0)),"公司无效",IF(ISNA(MATCH($D489,记账规则!$A$6:$A$9,0)),"业务类型无效",IF(ISNA(MATCH($F489,商品档案!$A$6:$A$65,0)),"商品编码无效",IF(IFERROR(INDEX(商品档案!$E$6:$E$65,MATCH($F489,商品档案!$A$6:$A$65,0)),"")&lt;&gt;$C489,"商品不属于该公司",IF(AND($E489&lt;&gt;"",ISNA(MATCH($E489,往来单位!$A$6:$A$85,0))),"往来单位未建档",IF(N($J489)=0,"数量为 0",IF(N($K489)=0,"单价为 0",IF(AND(LEFT($D489,2)="销售",$U489=""),"该商品没设成本科目",IF(YEAR($B489)&lt;&gt;参数设置!$B$5,"不在本会计年度","OK")))))))))))</f>
        <v/>
      </c>
      <c r="Q489" s="57" t="str">
        <f aca="false">IF($F489="","",ROUND(N($J489)*N($K489),2))</f>
        <v/>
      </c>
      <c r="R489" s="58" t="str">
        <f aca="false">IF($D489="","",IF(LEFT($D489,2)="销售","应收账款","应付账款"))</f>
        <v/>
      </c>
      <c r="S489" s="58" t="str">
        <f aca="false">IF($F489="","",IFERROR(INDEX(商品档案!$G$6:$G$65,MATCH($F489,商品档案!$A$6:$A$65,0)),""))</f>
        <v/>
      </c>
      <c r="T489" s="58" t="str">
        <f aca="false">IF($F489="","",IFERROR(INDEX(商品档案!$H$6:$H$65,MATCH($F489,商品档案!$A$6:$A$65,0)),""))</f>
        <v/>
      </c>
      <c r="U489" s="58" t="str">
        <f aca="false">IF($F489="","",IFERROR(INDEX(商品档案!$I$6:$I$65,MATCH($F489,商品档案!$A$6:$A$65,0)),""))</f>
        <v/>
      </c>
      <c r="V489" s="59" t="str">
        <f aca="false">IF($F489="","",SUMIFS(进销存台账!$N$6:$N$65,进销存台账!$A$6:$A$65,$C489,进销存台账!$B$6:$B$65,$F489))</f>
        <v/>
      </c>
      <c r="W489" s="60" t="n">
        <f aca="false">IF(OR($D489="销售出库",$D489="销售退回"),ROUND(N($J489)*N($V489),2),0)</f>
        <v>0</v>
      </c>
      <c r="X489" s="58" t="str">
        <f aca="false">IF($E489="","",IFERROR(INDEX(往来单位!$D$6:$D$85,MATCH($E489,往来单位!$A$6:$A$85,0)),"否"))</f>
        <v/>
      </c>
      <c r="Y489" s="61" t="str">
        <f aca="false">IF($B489="","",YEAR($B489))</f>
        <v/>
      </c>
      <c r="Z489" s="58" t="str">
        <f aca="false">IF($B489="","",TEXT($B489,"yyyy-mm"))</f>
        <v/>
      </c>
    </row>
    <row r="490" customFormat="false" ht="15" hidden="false" customHeight="false" outlineLevel="0" collapsed="false">
      <c r="A490" s="53" t="str">
        <f aca="false">IF($B490="","",ROW()-5)</f>
        <v/>
      </c>
      <c r="B490" s="54"/>
      <c r="C490" s="33"/>
      <c r="D490" s="33"/>
      <c r="E490" s="32"/>
      <c r="F490" s="39"/>
      <c r="G490" s="48" t="str">
        <f aca="false">IF($F490="","",IFERROR(INDEX(商品档案!$B$6:$B$65,MATCH($F490,商品档案!$A$6:$A$65,0)),""))</f>
        <v/>
      </c>
      <c r="H490" s="48" t="str">
        <f aca="false">IF($F490="","",IFERROR(INDEX(商品档案!$C$6:$C$65,MATCH($F490,商品档案!$A$6:$A$65,0)),""))</f>
        <v/>
      </c>
      <c r="I490" s="55" t="str">
        <f aca="false">IF($F490="","",IFERROR(INDEX(商品档案!$D$6:$D$65,MATCH($F490,商品档案!$A$6:$A$65,0)),""))</f>
        <v/>
      </c>
      <c r="J490" s="49"/>
      <c r="K490" s="56"/>
      <c r="L490" s="33"/>
      <c r="M490" s="39"/>
      <c r="N490" s="41"/>
      <c r="O490" s="41"/>
      <c r="P490" s="25" t="str">
        <f aca="false">IF(AND($B490="",$D490="",$F490=""),"",IF(NOT(ISNUMBER($B490)),"日期无效",IF(ISNA(MATCH($C490,参数设置!$A$10:$A$12,0)),"公司无效",IF(ISNA(MATCH($D490,记账规则!$A$6:$A$9,0)),"业务类型无效",IF(ISNA(MATCH($F490,商品档案!$A$6:$A$65,0)),"商品编码无效",IF(IFERROR(INDEX(商品档案!$E$6:$E$65,MATCH($F490,商品档案!$A$6:$A$65,0)),"")&lt;&gt;$C490,"商品不属于该公司",IF(AND($E490&lt;&gt;"",ISNA(MATCH($E490,往来单位!$A$6:$A$85,0))),"往来单位未建档",IF(N($J490)=0,"数量为 0",IF(N($K490)=0,"单价为 0",IF(AND(LEFT($D490,2)="销售",$U490=""),"该商品没设成本科目",IF(YEAR($B490)&lt;&gt;参数设置!$B$5,"不在本会计年度","OK")))))))))))</f>
        <v/>
      </c>
      <c r="Q490" s="57" t="str">
        <f aca="false">IF($F490="","",ROUND(N($J490)*N($K490),2))</f>
        <v/>
      </c>
      <c r="R490" s="58" t="str">
        <f aca="false">IF($D490="","",IF(LEFT($D490,2)="销售","应收账款","应付账款"))</f>
        <v/>
      </c>
      <c r="S490" s="58" t="str">
        <f aca="false">IF($F490="","",IFERROR(INDEX(商品档案!$G$6:$G$65,MATCH($F490,商品档案!$A$6:$A$65,0)),""))</f>
        <v/>
      </c>
      <c r="T490" s="58" t="str">
        <f aca="false">IF($F490="","",IFERROR(INDEX(商品档案!$H$6:$H$65,MATCH($F490,商品档案!$A$6:$A$65,0)),""))</f>
        <v/>
      </c>
      <c r="U490" s="58" t="str">
        <f aca="false">IF($F490="","",IFERROR(INDEX(商品档案!$I$6:$I$65,MATCH($F490,商品档案!$A$6:$A$65,0)),""))</f>
        <v/>
      </c>
      <c r="V490" s="59" t="str">
        <f aca="false">IF($F490="","",SUMIFS(进销存台账!$N$6:$N$65,进销存台账!$A$6:$A$65,$C490,进销存台账!$B$6:$B$65,$F490))</f>
        <v/>
      </c>
      <c r="W490" s="60" t="n">
        <f aca="false">IF(OR($D490="销售出库",$D490="销售退回"),ROUND(N($J490)*N($V490),2),0)</f>
        <v>0</v>
      </c>
      <c r="X490" s="58" t="str">
        <f aca="false">IF($E490="","",IFERROR(INDEX(往来单位!$D$6:$D$85,MATCH($E490,往来单位!$A$6:$A$85,0)),"否"))</f>
        <v/>
      </c>
      <c r="Y490" s="61" t="str">
        <f aca="false">IF($B490="","",YEAR($B490))</f>
        <v/>
      </c>
      <c r="Z490" s="58" t="str">
        <f aca="false">IF($B490="","",TEXT($B490,"yyyy-mm"))</f>
        <v/>
      </c>
    </row>
    <row r="491" customFormat="false" ht="15" hidden="false" customHeight="false" outlineLevel="0" collapsed="false">
      <c r="A491" s="53" t="str">
        <f aca="false">IF($B491="","",ROW()-5)</f>
        <v/>
      </c>
      <c r="B491" s="54"/>
      <c r="C491" s="33"/>
      <c r="D491" s="33"/>
      <c r="E491" s="32"/>
      <c r="F491" s="39"/>
      <c r="G491" s="48" t="str">
        <f aca="false">IF($F491="","",IFERROR(INDEX(商品档案!$B$6:$B$65,MATCH($F491,商品档案!$A$6:$A$65,0)),""))</f>
        <v/>
      </c>
      <c r="H491" s="48" t="str">
        <f aca="false">IF($F491="","",IFERROR(INDEX(商品档案!$C$6:$C$65,MATCH($F491,商品档案!$A$6:$A$65,0)),""))</f>
        <v/>
      </c>
      <c r="I491" s="55" t="str">
        <f aca="false">IF($F491="","",IFERROR(INDEX(商品档案!$D$6:$D$65,MATCH($F491,商品档案!$A$6:$A$65,0)),""))</f>
        <v/>
      </c>
      <c r="J491" s="49"/>
      <c r="K491" s="56"/>
      <c r="L491" s="33"/>
      <c r="M491" s="39"/>
      <c r="N491" s="41"/>
      <c r="O491" s="41"/>
      <c r="P491" s="25" t="str">
        <f aca="false">IF(AND($B491="",$D491="",$F491=""),"",IF(NOT(ISNUMBER($B491)),"日期无效",IF(ISNA(MATCH($C491,参数设置!$A$10:$A$12,0)),"公司无效",IF(ISNA(MATCH($D491,记账规则!$A$6:$A$9,0)),"业务类型无效",IF(ISNA(MATCH($F491,商品档案!$A$6:$A$65,0)),"商品编码无效",IF(IFERROR(INDEX(商品档案!$E$6:$E$65,MATCH($F491,商品档案!$A$6:$A$65,0)),"")&lt;&gt;$C491,"商品不属于该公司",IF(AND($E491&lt;&gt;"",ISNA(MATCH($E491,往来单位!$A$6:$A$85,0))),"往来单位未建档",IF(N($J491)=0,"数量为 0",IF(N($K491)=0,"单价为 0",IF(AND(LEFT($D491,2)="销售",$U491=""),"该商品没设成本科目",IF(YEAR($B491)&lt;&gt;参数设置!$B$5,"不在本会计年度","OK")))))))))))</f>
        <v/>
      </c>
      <c r="Q491" s="57" t="str">
        <f aca="false">IF($F491="","",ROUND(N($J491)*N($K491),2))</f>
        <v/>
      </c>
      <c r="R491" s="58" t="str">
        <f aca="false">IF($D491="","",IF(LEFT($D491,2)="销售","应收账款","应付账款"))</f>
        <v/>
      </c>
      <c r="S491" s="58" t="str">
        <f aca="false">IF($F491="","",IFERROR(INDEX(商品档案!$G$6:$G$65,MATCH($F491,商品档案!$A$6:$A$65,0)),""))</f>
        <v/>
      </c>
      <c r="T491" s="58" t="str">
        <f aca="false">IF($F491="","",IFERROR(INDEX(商品档案!$H$6:$H$65,MATCH($F491,商品档案!$A$6:$A$65,0)),""))</f>
        <v/>
      </c>
      <c r="U491" s="58" t="str">
        <f aca="false">IF($F491="","",IFERROR(INDEX(商品档案!$I$6:$I$65,MATCH($F491,商品档案!$A$6:$A$65,0)),""))</f>
        <v/>
      </c>
      <c r="V491" s="59" t="str">
        <f aca="false">IF($F491="","",SUMIFS(进销存台账!$N$6:$N$65,进销存台账!$A$6:$A$65,$C491,进销存台账!$B$6:$B$65,$F491))</f>
        <v/>
      </c>
      <c r="W491" s="60" t="n">
        <f aca="false">IF(OR($D491="销售出库",$D491="销售退回"),ROUND(N($J491)*N($V491),2),0)</f>
        <v>0</v>
      </c>
      <c r="X491" s="58" t="str">
        <f aca="false">IF($E491="","",IFERROR(INDEX(往来单位!$D$6:$D$85,MATCH($E491,往来单位!$A$6:$A$85,0)),"否"))</f>
        <v/>
      </c>
      <c r="Y491" s="61" t="str">
        <f aca="false">IF($B491="","",YEAR($B491))</f>
        <v/>
      </c>
      <c r="Z491" s="58" t="str">
        <f aca="false">IF($B491="","",TEXT($B491,"yyyy-mm"))</f>
        <v/>
      </c>
    </row>
    <row r="492" customFormat="false" ht="15" hidden="false" customHeight="false" outlineLevel="0" collapsed="false">
      <c r="A492" s="53" t="str">
        <f aca="false">IF($B492="","",ROW()-5)</f>
        <v/>
      </c>
      <c r="B492" s="54"/>
      <c r="C492" s="33"/>
      <c r="D492" s="33"/>
      <c r="E492" s="32"/>
      <c r="F492" s="39"/>
      <c r="G492" s="48" t="str">
        <f aca="false">IF($F492="","",IFERROR(INDEX(商品档案!$B$6:$B$65,MATCH($F492,商品档案!$A$6:$A$65,0)),""))</f>
        <v/>
      </c>
      <c r="H492" s="48" t="str">
        <f aca="false">IF($F492="","",IFERROR(INDEX(商品档案!$C$6:$C$65,MATCH($F492,商品档案!$A$6:$A$65,0)),""))</f>
        <v/>
      </c>
      <c r="I492" s="55" t="str">
        <f aca="false">IF($F492="","",IFERROR(INDEX(商品档案!$D$6:$D$65,MATCH($F492,商品档案!$A$6:$A$65,0)),""))</f>
        <v/>
      </c>
      <c r="J492" s="49"/>
      <c r="K492" s="56"/>
      <c r="L492" s="33"/>
      <c r="M492" s="39"/>
      <c r="N492" s="41"/>
      <c r="O492" s="41"/>
      <c r="P492" s="25" t="str">
        <f aca="false">IF(AND($B492="",$D492="",$F492=""),"",IF(NOT(ISNUMBER($B492)),"日期无效",IF(ISNA(MATCH($C492,参数设置!$A$10:$A$12,0)),"公司无效",IF(ISNA(MATCH($D492,记账规则!$A$6:$A$9,0)),"业务类型无效",IF(ISNA(MATCH($F492,商品档案!$A$6:$A$65,0)),"商品编码无效",IF(IFERROR(INDEX(商品档案!$E$6:$E$65,MATCH($F492,商品档案!$A$6:$A$65,0)),"")&lt;&gt;$C492,"商品不属于该公司",IF(AND($E492&lt;&gt;"",ISNA(MATCH($E492,往来单位!$A$6:$A$85,0))),"往来单位未建档",IF(N($J492)=0,"数量为 0",IF(N($K492)=0,"单价为 0",IF(AND(LEFT($D492,2)="销售",$U492=""),"该商品没设成本科目",IF(YEAR($B492)&lt;&gt;参数设置!$B$5,"不在本会计年度","OK")))))))))))</f>
        <v/>
      </c>
      <c r="Q492" s="57" t="str">
        <f aca="false">IF($F492="","",ROUND(N($J492)*N($K492),2))</f>
        <v/>
      </c>
      <c r="R492" s="58" t="str">
        <f aca="false">IF($D492="","",IF(LEFT($D492,2)="销售","应收账款","应付账款"))</f>
        <v/>
      </c>
      <c r="S492" s="58" t="str">
        <f aca="false">IF($F492="","",IFERROR(INDEX(商品档案!$G$6:$G$65,MATCH($F492,商品档案!$A$6:$A$65,0)),""))</f>
        <v/>
      </c>
      <c r="T492" s="58" t="str">
        <f aca="false">IF($F492="","",IFERROR(INDEX(商品档案!$H$6:$H$65,MATCH($F492,商品档案!$A$6:$A$65,0)),""))</f>
        <v/>
      </c>
      <c r="U492" s="58" t="str">
        <f aca="false">IF($F492="","",IFERROR(INDEX(商品档案!$I$6:$I$65,MATCH($F492,商品档案!$A$6:$A$65,0)),""))</f>
        <v/>
      </c>
      <c r="V492" s="59" t="str">
        <f aca="false">IF($F492="","",SUMIFS(进销存台账!$N$6:$N$65,进销存台账!$A$6:$A$65,$C492,进销存台账!$B$6:$B$65,$F492))</f>
        <v/>
      </c>
      <c r="W492" s="60" t="n">
        <f aca="false">IF(OR($D492="销售出库",$D492="销售退回"),ROUND(N($J492)*N($V492),2),0)</f>
        <v>0</v>
      </c>
      <c r="X492" s="58" t="str">
        <f aca="false">IF($E492="","",IFERROR(INDEX(往来单位!$D$6:$D$85,MATCH($E492,往来单位!$A$6:$A$85,0)),"否"))</f>
        <v/>
      </c>
      <c r="Y492" s="61" t="str">
        <f aca="false">IF($B492="","",YEAR($B492))</f>
        <v/>
      </c>
      <c r="Z492" s="58" t="str">
        <f aca="false">IF($B492="","",TEXT($B492,"yyyy-mm"))</f>
        <v/>
      </c>
    </row>
    <row r="493" customFormat="false" ht="15" hidden="false" customHeight="false" outlineLevel="0" collapsed="false">
      <c r="A493" s="53" t="str">
        <f aca="false">IF($B493="","",ROW()-5)</f>
        <v/>
      </c>
      <c r="B493" s="54"/>
      <c r="C493" s="33"/>
      <c r="D493" s="33"/>
      <c r="E493" s="32"/>
      <c r="F493" s="39"/>
      <c r="G493" s="48" t="str">
        <f aca="false">IF($F493="","",IFERROR(INDEX(商品档案!$B$6:$B$65,MATCH($F493,商品档案!$A$6:$A$65,0)),""))</f>
        <v/>
      </c>
      <c r="H493" s="48" t="str">
        <f aca="false">IF($F493="","",IFERROR(INDEX(商品档案!$C$6:$C$65,MATCH($F493,商品档案!$A$6:$A$65,0)),""))</f>
        <v/>
      </c>
      <c r="I493" s="55" t="str">
        <f aca="false">IF($F493="","",IFERROR(INDEX(商品档案!$D$6:$D$65,MATCH($F493,商品档案!$A$6:$A$65,0)),""))</f>
        <v/>
      </c>
      <c r="J493" s="49"/>
      <c r="K493" s="56"/>
      <c r="L493" s="33"/>
      <c r="M493" s="39"/>
      <c r="N493" s="41"/>
      <c r="O493" s="41"/>
      <c r="P493" s="25" t="str">
        <f aca="false">IF(AND($B493="",$D493="",$F493=""),"",IF(NOT(ISNUMBER($B493)),"日期无效",IF(ISNA(MATCH($C493,参数设置!$A$10:$A$12,0)),"公司无效",IF(ISNA(MATCH($D493,记账规则!$A$6:$A$9,0)),"业务类型无效",IF(ISNA(MATCH($F493,商品档案!$A$6:$A$65,0)),"商品编码无效",IF(IFERROR(INDEX(商品档案!$E$6:$E$65,MATCH($F493,商品档案!$A$6:$A$65,0)),"")&lt;&gt;$C493,"商品不属于该公司",IF(AND($E493&lt;&gt;"",ISNA(MATCH($E493,往来单位!$A$6:$A$85,0))),"往来单位未建档",IF(N($J493)=0,"数量为 0",IF(N($K493)=0,"单价为 0",IF(AND(LEFT($D493,2)="销售",$U493=""),"该商品没设成本科目",IF(YEAR($B493)&lt;&gt;参数设置!$B$5,"不在本会计年度","OK")))))))))))</f>
        <v/>
      </c>
      <c r="Q493" s="57" t="str">
        <f aca="false">IF($F493="","",ROUND(N($J493)*N($K493),2))</f>
        <v/>
      </c>
      <c r="R493" s="58" t="str">
        <f aca="false">IF($D493="","",IF(LEFT($D493,2)="销售","应收账款","应付账款"))</f>
        <v/>
      </c>
      <c r="S493" s="58" t="str">
        <f aca="false">IF($F493="","",IFERROR(INDEX(商品档案!$G$6:$G$65,MATCH($F493,商品档案!$A$6:$A$65,0)),""))</f>
        <v/>
      </c>
      <c r="T493" s="58" t="str">
        <f aca="false">IF($F493="","",IFERROR(INDEX(商品档案!$H$6:$H$65,MATCH($F493,商品档案!$A$6:$A$65,0)),""))</f>
        <v/>
      </c>
      <c r="U493" s="58" t="str">
        <f aca="false">IF($F493="","",IFERROR(INDEX(商品档案!$I$6:$I$65,MATCH($F493,商品档案!$A$6:$A$65,0)),""))</f>
        <v/>
      </c>
      <c r="V493" s="59" t="str">
        <f aca="false">IF($F493="","",SUMIFS(进销存台账!$N$6:$N$65,进销存台账!$A$6:$A$65,$C493,进销存台账!$B$6:$B$65,$F493))</f>
        <v/>
      </c>
      <c r="W493" s="60" t="n">
        <f aca="false">IF(OR($D493="销售出库",$D493="销售退回"),ROUND(N($J493)*N($V493),2),0)</f>
        <v>0</v>
      </c>
      <c r="X493" s="58" t="str">
        <f aca="false">IF($E493="","",IFERROR(INDEX(往来单位!$D$6:$D$85,MATCH($E493,往来单位!$A$6:$A$85,0)),"否"))</f>
        <v/>
      </c>
      <c r="Y493" s="61" t="str">
        <f aca="false">IF($B493="","",YEAR($B493))</f>
        <v/>
      </c>
      <c r="Z493" s="58" t="str">
        <f aca="false">IF($B493="","",TEXT($B493,"yyyy-mm"))</f>
        <v/>
      </c>
    </row>
    <row r="494" customFormat="false" ht="15" hidden="false" customHeight="false" outlineLevel="0" collapsed="false">
      <c r="A494" s="53" t="str">
        <f aca="false">IF($B494="","",ROW()-5)</f>
        <v/>
      </c>
      <c r="B494" s="54"/>
      <c r="C494" s="33"/>
      <c r="D494" s="33"/>
      <c r="E494" s="32"/>
      <c r="F494" s="39"/>
      <c r="G494" s="48" t="str">
        <f aca="false">IF($F494="","",IFERROR(INDEX(商品档案!$B$6:$B$65,MATCH($F494,商品档案!$A$6:$A$65,0)),""))</f>
        <v/>
      </c>
      <c r="H494" s="48" t="str">
        <f aca="false">IF($F494="","",IFERROR(INDEX(商品档案!$C$6:$C$65,MATCH($F494,商品档案!$A$6:$A$65,0)),""))</f>
        <v/>
      </c>
      <c r="I494" s="55" t="str">
        <f aca="false">IF($F494="","",IFERROR(INDEX(商品档案!$D$6:$D$65,MATCH($F494,商品档案!$A$6:$A$65,0)),""))</f>
        <v/>
      </c>
      <c r="J494" s="49"/>
      <c r="K494" s="56"/>
      <c r="L494" s="33"/>
      <c r="M494" s="39"/>
      <c r="N494" s="41"/>
      <c r="O494" s="41"/>
      <c r="P494" s="25" t="str">
        <f aca="false">IF(AND($B494="",$D494="",$F494=""),"",IF(NOT(ISNUMBER($B494)),"日期无效",IF(ISNA(MATCH($C494,参数设置!$A$10:$A$12,0)),"公司无效",IF(ISNA(MATCH($D494,记账规则!$A$6:$A$9,0)),"业务类型无效",IF(ISNA(MATCH($F494,商品档案!$A$6:$A$65,0)),"商品编码无效",IF(IFERROR(INDEX(商品档案!$E$6:$E$65,MATCH($F494,商品档案!$A$6:$A$65,0)),"")&lt;&gt;$C494,"商品不属于该公司",IF(AND($E494&lt;&gt;"",ISNA(MATCH($E494,往来单位!$A$6:$A$85,0))),"往来单位未建档",IF(N($J494)=0,"数量为 0",IF(N($K494)=0,"单价为 0",IF(AND(LEFT($D494,2)="销售",$U494=""),"该商品没设成本科目",IF(YEAR($B494)&lt;&gt;参数设置!$B$5,"不在本会计年度","OK")))))))))))</f>
        <v/>
      </c>
      <c r="Q494" s="57" t="str">
        <f aca="false">IF($F494="","",ROUND(N($J494)*N($K494),2))</f>
        <v/>
      </c>
      <c r="R494" s="58" t="str">
        <f aca="false">IF($D494="","",IF(LEFT($D494,2)="销售","应收账款","应付账款"))</f>
        <v/>
      </c>
      <c r="S494" s="58" t="str">
        <f aca="false">IF($F494="","",IFERROR(INDEX(商品档案!$G$6:$G$65,MATCH($F494,商品档案!$A$6:$A$65,0)),""))</f>
        <v/>
      </c>
      <c r="T494" s="58" t="str">
        <f aca="false">IF($F494="","",IFERROR(INDEX(商品档案!$H$6:$H$65,MATCH($F494,商品档案!$A$6:$A$65,0)),""))</f>
        <v/>
      </c>
      <c r="U494" s="58" t="str">
        <f aca="false">IF($F494="","",IFERROR(INDEX(商品档案!$I$6:$I$65,MATCH($F494,商品档案!$A$6:$A$65,0)),""))</f>
        <v/>
      </c>
      <c r="V494" s="59" t="str">
        <f aca="false">IF($F494="","",SUMIFS(进销存台账!$N$6:$N$65,进销存台账!$A$6:$A$65,$C494,进销存台账!$B$6:$B$65,$F494))</f>
        <v/>
      </c>
      <c r="W494" s="60" t="n">
        <f aca="false">IF(OR($D494="销售出库",$D494="销售退回"),ROUND(N($J494)*N($V494),2),0)</f>
        <v>0</v>
      </c>
      <c r="X494" s="58" t="str">
        <f aca="false">IF($E494="","",IFERROR(INDEX(往来单位!$D$6:$D$85,MATCH($E494,往来单位!$A$6:$A$85,0)),"否"))</f>
        <v/>
      </c>
      <c r="Y494" s="61" t="str">
        <f aca="false">IF($B494="","",YEAR($B494))</f>
        <v/>
      </c>
      <c r="Z494" s="58" t="str">
        <f aca="false">IF($B494="","",TEXT($B494,"yyyy-mm"))</f>
        <v/>
      </c>
    </row>
    <row r="495" customFormat="false" ht="15" hidden="false" customHeight="false" outlineLevel="0" collapsed="false">
      <c r="A495" s="53" t="str">
        <f aca="false">IF($B495="","",ROW()-5)</f>
        <v/>
      </c>
      <c r="B495" s="54"/>
      <c r="C495" s="33"/>
      <c r="D495" s="33"/>
      <c r="E495" s="32"/>
      <c r="F495" s="39"/>
      <c r="G495" s="48" t="str">
        <f aca="false">IF($F495="","",IFERROR(INDEX(商品档案!$B$6:$B$65,MATCH($F495,商品档案!$A$6:$A$65,0)),""))</f>
        <v/>
      </c>
      <c r="H495" s="48" t="str">
        <f aca="false">IF($F495="","",IFERROR(INDEX(商品档案!$C$6:$C$65,MATCH($F495,商品档案!$A$6:$A$65,0)),""))</f>
        <v/>
      </c>
      <c r="I495" s="55" t="str">
        <f aca="false">IF($F495="","",IFERROR(INDEX(商品档案!$D$6:$D$65,MATCH($F495,商品档案!$A$6:$A$65,0)),""))</f>
        <v/>
      </c>
      <c r="J495" s="49"/>
      <c r="K495" s="56"/>
      <c r="L495" s="33"/>
      <c r="M495" s="39"/>
      <c r="N495" s="41"/>
      <c r="O495" s="41"/>
      <c r="P495" s="25" t="str">
        <f aca="false">IF(AND($B495="",$D495="",$F495=""),"",IF(NOT(ISNUMBER($B495)),"日期无效",IF(ISNA(MATCH($C495,参数设置!$A$10:$A$12,0)),"公司无效",IF(ISNA(MATCH($D495,记账规则!$A$6:$A$9,0)),"业务类型无效",IF(ISNA(MATCH($F495,商品档案!$A$6:$A$65,0)),"商品编码无效",IF(IFERROR(INDEX(商品档案!$E$6:$E$65,MATCH($F495,商品档案!$A$6:$A$65,0)),"")&lt;&gt;$C495,"商品不属于该公司",IF(AND($E495&lt;&gt;"",ISNA(MATCH($E495,往来单位!$A$6:$A$85,0))),"往来单位未建档",IF(N($J495)=0,"数量为 0",IF(N($K495)=0,"单价为 0",IF(AND(LEFT($D495,2)="销售",$U495=""),"该商品没设成本科目",IF(YEAR($B495)&lt;&gt;参数设置!$B$5,"不在本会计年度","OK")))))))))))</f>
        <v/>
      </c>
      <c r="Q495" s="57" t="str">
        <f aca="false">IF($F495="","",ROUND(N($J495)*N($K495),2))</f>
        <v/>
      </c>
      <c r="R495" s="58" t="str">
        <f aca="false">IF($D495="","",IF(LEFT($D495,2)="销售","应收账款","应付账款"))</f>
        <v/>
      </c>
      <c r="S495" s="58" t="str">
        <f aca="false">IF($F495="","",IFERROR(INDEX(商品档案!$G$6:$G$65,MATCH($F495,商品档案!$A$6:$A$65,0)),""))</f>
        <v/>
      </c>
      <c r="T495" s="58" t="str">
        <f aca="false">IF($F495="","",IFERROR(INDEX(商品档案!$H$6:$H$65,MATCH($F495,商品档案!$A$6:$A$65,0)),""))</f>
        <v/>
      </c>
      <c r="U495" s="58" t="str">
        <f aca="false">IF($F495="","",IFERROR(INDEX(商品档案!$I$6:$I$65,MATCH($F495,商品档案!$A$6:$A$65,0)),""))</f>
        <v/>
      </c>
      <c r="V495" s="59" t="str">
        <f aca="false">IF($F495="","",SUMIFS(进销存台账!$N$6:$N$65,进销存台账!$A$6:$A$65,$C495,进销存台账!$B$6:$B$65,$F495))</f>
        <v/>
      </c>
      <c r="W495" s="60" t="n">
        <f aca="false">IF(OR($D495="销售出库",$D495="销售退回"),ROUND(N($J495)*N($V495),2),0)</f>
        <v>0</v>
      </c>
      <c r="X495" s="58" t="str">
        <f aca="false">IF($E495="","",IFERROR(INDEX(往来单位!$D$6:$D$85,MATCH($E495,往来单位!$A$6:$A$85,0)),"否"))</f>
        <v/>
      </c>
      <c r="Y495" s="61" t="str">
        <f aca="false">IF($B495="","",YEAR($B495))</f>
        <v/>
      </c>
      <c r="Z495" s="58" t="str">
        <f aca="false">IF($B495="","",TEXT($B495,"yyyy-mm"))</f>
        <v/>
      </c>
    </row>
    <row r="496" customFormat="false" ht="15" hidden="false" customHeight="false" outlineLevel="0" collapsed="false">
      <c r="A496" s="53" t="str">
        <f aca="false">IF($B496="","",ROW()-5)</f>
        <v/>
      </c>
      <c r="B496" s="54"/>
      <c r="C496" s="33"/>
      <c r="D496" s="33"/>
      <c r="E496" s="32"/>
      <c r="F496" s="39"/>
      <c r="G496" s="48" t="str">
        <f aca="false">IF($F496="","",IFERROR(INDEX(商品档案!$B$6:$B$65,MATCH($F496,商品档案!$A$6:$A$65,0)),""))</f>
        <v/>
      </c>
      <c r="H496" s="48" t="str">
        <f aca="false">IF($F496="","",IFERROR(INDEX(商品档案!$C$6:$C$65,MATCH($F496,商品档案!$A$6:$A$65,0)),""))</f>
        <v/>
      </c>
      <c r="I496" s="55" t="str">
        <f aca="false">IF($F496="","",IFERROR(INDEX(商品档案!$D$6:$D$65,MATCH($F496,商品档案!$A$6:$A$65,0)),""))</f>
        <v/>
      </c>
      <c r="J496" s="49"/>
      <c r="K496" s="56"/>
      <c r="L496" s="33"/>
      <c r="M496" s="39"/>
      <c r="N496" s="41"/>
      <c r="O496" s="41"/>
      <c r="P496" s="25" t="str">
        <f aca="false">IF(AND($B496="",$D496="",$F496=""),"",IF(NOT(ISNUMBER($B496)),"日期无效",IF(ISNA(MATCH($C496,参数设置!$A$10:$A$12,0)),"公司无效",IF(ISNA(MATCH($D496,记账规则!$A$6:$A$9,0)),"业务类型无效",IF(ISNA(MATCH($F496,商品档案!$A$6:$A$65,0)),"商品编码无效",IF(IFERROR(INDEX(商品档案!$E$6:$E$65,MATCH($F496,商品档案!$A$6:$A$65,0)),"")&lt;&gt;$C496,"商品不属于该公司",IF(AND($E496&lt;&gt;"",ISNA(MATCH($E496,往来单位!$A$6:$A$85,0))),"往来单位未建档",IF(N($J496)=0,"数量为 0",IF(N($K496)=0,"单价为 0",IF(AND(LEFT($D496,2)="销售",$U496=""),"该商品没设成本科目",IF(YEAR($B496)&lt;&gt;参数设置!$B$5,"不在本会计年度","OK")))))))))))</f>
        <v/>
      </c>
      <c r="Q496" s="57" t="str">
        <f aca="false">IF($F496="","",ROUND(N($J496)*N($K496),2))</f>
        <v/>
      </c>
      <c r="R496" s="58" t="str">
        <f aca="false">IF($D496="","",IF(LEFT($D496,2)="销售","应收账款","应付账款"))</f>
        <v/>
      </c>
      <c r="S496" s="58" t="str">
        <f aca="false">IF($F496="","",IFERROR(INDEX(商品档案!$G$6:$G$65,MATCH($F496,商品档案!$A$6:$A$65,0)),""))</f>
        <v/>
      </c>
      <c r="T496" s="58" t="str">
        <f aca="false">IF($F496="","",IFERROR(INDEX(商品档案!$H$6:$H$65,MATCH($F496,商品档案!$A$6:$A$65,0)),""))</f>
        <v/>
      </c>
      <c r="U496" s="58" t="str">
        <f aca="false">IF($F496="","",IFERROR(INDEX(商品档案!$I$6:$I$65,MATCH($F496,商品档案!$A$6:$A$65,0)),""))</f>
        <v/>
      </c>
      <c r="V496" s="59" t="str">
        <f aca="false">IF($F496="","",SUMIFS(进销存台账!$N$6:$N$65,进销存台账!$A$6:$A$65,$C496,进销存台账!$B$6:$B$65,$F496))</f>
        <v/>
      </c>
      <c r="W496" s="60" t="n">
        <f aca="false">IF(OR($D496="销售出库",$D496="销售退回"),ROUND(N($J496)*N($V496),2),0)</f>
        <v>0</v>
      </c>
      <c r="X496" s="58" t="str">
        <f aca="false">IF($E496="","",IFERROR(INDEX(往来单位!$D$6:$D$85,MATCH($E496,往来单位!$A$6:$A$85,0)),"否"))</f>
        <v/>
      </c>
      <c r="Y496" s="61" t="str">
        <f aca="false">IF($B496="","",YEAR($B496))</f>
        <v/>
      </c>
      <c r="Z496" s="58" t="str">
        <f aca="false">IF($B496="","",TEXT($B496,"yyyy-mm"))</f>
        <v/>
      </c>
    </row>
    <row r="497" customFormat="false" ht="15" hidden="false" customHeight="false" outlineLevel="0" collapsed="false">
      <c r="A497" s="53" t="str">
        <f aca="false">IF($B497="","",ROW()-5)</f>
        <v/>
      </c>
      <c r="B497" s="54"/>
      <c r="C497" s="33"/>
      <c r="D497" s="33"/>
      <c r="E497" s="32"/>
      <c r="F497" s="39"/>
      <c r="G497" s="48" t="str">
        <f aca="false">IF($F497="","",IFERROR(INDEX(商品档案!$B$6:$B$65,MATCH($F497,商品档案!$A$6:$A$65,0)),""))</f>
        <v/>
      </c>
      <c r="H497" s="48" t="str">
        <f aca="false">IF($F497="","",IFERROR(INDEX(商品档案!$C$6:$C$65,MATCH($F497,商品档案!$A$6:$A$65,0)),""))</f>
        <v/>
      </c>
      <c r="I497" s="55" t="str">
        <f aca="false">IF($F497="","",IFERROR(INDEX(商品档案!$D$6:$D$65,MATCH($F497,商品档案!$A$6:$A$65,0)),""))</f>
        <v/>
      </c>
      <c r="J497" s="49"/>
      <c r="K497" s="56"/>
      <c r="L497" s="33"/>
      <c r="M497" s="39"/>
      <c r="N497" s="41"/>
      <c r="O497" s="41"/>
      <c r="P497" s="25" t="str">
        <f aca="false">IF(AND($B497="",$D497="",$F497=""),"",IF(NOT(ISNUMBER($B497)),"日期无效",IF(ISNA(MATCH($C497,参数设置!$A$10:$A$12,0)),"公司无效",IF(ISNA(MATCH($D497,记账规则!$A$6:$A$9,0)),"业务类型无效",IF(ISNA(MATCH($F497,商品档案!$A$6:$A$65,0)),"商品编码无效",IF(IFERROR(INDEX(商品档案!$E$6:$E$65,MATCH($F497,商品档案!$A$6:$A$65,0)),"")&lt;&gt;$C497,"商品不属于该公司",IF(AND($E497&lt;&gt;"",ISNA(MATCH($E497,往来单位!$A$6:$A$85,0))),"往来单位未建档",IF(N($J497)=0,"数量为 0",IF(N($K497)=0,"单价为 0",IF(AND(LEFT($D497,2)="销售",$U497=""),"该商品没设成本科目",IF(YEAR($B497)&lt;&gt;参数设置!$B$5,"不在本会计年度","OK")))))))))))</f>
        <v/>
      </c>
      <c r="Q497" s="57" t="str">
        <f aca="false">IF($F497="","",ROUND(N($J497)*N($K497),2))</f>
        <v/>
      </c>
      <c r="R497" s="58" t="str">
        <f aca="false">IF($D497="","",IF(LEFT($D497,2)="销售","应收账款","应付账款"))</f>
        <v/>
      </c>
      <c r="S497" s="58" t="str">
        <f aca="false">IF($F497="","",IFERROR(INDEX(商品档案!$G$6:$G$65,MATCH($F497,商品档案!$A$6:$A$65,0)),""))</f>
        <v/>
      </c>
      <c r="T497" s="58" t="str">
        <f aca="false">IF($F497="","",IFERROR(INDEX(商品档案!$H$6:$H$65,MATCH($F497,商品档案!$A$6:$A$65,0)),""))</f>
        <v/>
      </c>
      <c r="U497" s="58" t="str">
        <f aca="false">IF($F497="","",IFERROR(INDEX(商品档案!$I$6:$I$65,MATCH($F497,商品档案!$A$6:$A$65,0)),""))</f>
        <v/>
      </c>
      <c r="V497" s="59" t="str">
        <f aca="false">IF($F497="","",SUMIFS(进销存台账!$N$6:$N$65,进销存台账!$A$6:$A$65,$C497,进销存台账!$B$6:$B$65,$F497))</f>
        <v/>
      </c>
      <c r="W497" s="60" t="n">
        <f aca="false">IF(OR($D497="销售出库",$D497="销售退回"),ROUND(N($J497)*N($V497),2),0)</f>
        <v>0</v>
      </c>
      <c r="X497" s="58" t="str">
        <f aca="false">IF($E497="","",IFERROR(INDEX(往来单位!$D$6:$D$85,MATCH($E497,往来单位!$A$6:$A$85,0)),"否"))</f>
        <v/>
      </c>
      <c r="Y497" s="61" t="str">
        <f aca="false">IF($B497="","",YEAR($B497))</f>
        <v/>
      </c>
      <c r="Z497" s="58" t="str">
        <f aca="false">IF($B497="","",TEXT($B497,"yyyy-mm"))</f>
        <v/>
      </c>
    </row>
    <row r="498" customFormat="false" ht="15" hidden="false" customHeight="false" outlineLevel="0" collapsed="false">
      <c r="A498" s="53" t="str">
        <f aca="false">IF($B498="","",ROW()-5)</f>
        <v/>
      </c>
      <c r="B498" s="54"/>
      <c r="C498" s="33"/>
      <c r="D498" s="33"/>
      <c r="E498" s="32"/>
      <c r="F498" s="39"/>
      <c r="G498" s="48" t="str">
        <f aca="false">IF($F498="","",IFERROR(INDEX(商品档案!$B$6:$B$65,MATCH($F498,商品档案!$A$6:$A$65,0)),""))</f>
        <v/>
      </c>
      <c r="H498" s="48" t="str">
        <f aca="false">IF($F498="","",IFERROR(INDEX(商品档案!$C$6:$C$65,MATCH($F498,商品档案!$A$6:$A$65,0)),""))</f>
        <v/>
      </c>
      <c r="I498" s="55" t="str">
        <f aca="false">IF($F498="","",IFERROR(INDEX(商品档案!$D$6:$D$65,MATCH($F498,商品档案!$A$6:$A$65,0)),""))</f>
        <v/>
      </c>
      <c r="J498" s="49"/>
      <c r="K498" s="56"/>
      <c r="L498" s="33"/>
      <c r="M498" s="39"/>
      <c r="N498" s="41"/>
      <c r="O498" s="41"/>
      <c r="P498" s="25" t="str">
        <f aca="false">IF(AND($B498="",$D498="",$F498=""),"",IF(NOT(ISNUMBER($B498)),"日期无效",IF(ISNA(MATCH($C498,参数设置!$A$10:$A$12,0)),"公司无效",IF(ISNA(MATCH($D498,记账规则!$A$6:$A$9,0)),"业务类型无效",IF(ISNA(MATCH($F498,商品档案!$A$6:$A$65,0)),"商品编码无效",IF(IFERROR(INDEX(商品档案!$E$6:$E$65,MATCH($F498,商品档案!$A$6:$A$65,0)),"")&lt;&gt;$C498,"商品不属于该公司",IF(AND($E498&lt;&gt;"",ISNA(MATCH($E498,往来单位!$A$6:$A$85,0))),"往来单位未建档",IF(N($J498)=0,"数量为 0",IF(N($K498)=0,"单价为 0",IF(AND(LEFT($D498,2)="销售",$U498=""),"该商品没设成本科目",IF(YEAR($B498)&lt;&gt;参数设置!$B$5,"不在本会计年度","OK")))))))))))</f>
        <v/>
      </c>
      <c r="Q498" s="57" t="str">
        <f aca="false">IF($F498="","",ROUND(N($J498)*N($K498),2))</f>
        <v/>
      </c>
      <c r="R498" s="58" t="str">
        <f aca="false">IF($D498="","",IF(LEFT($D498,2)="销售","应收账款","应付账款"))</f>
        <v/>
      </c>
      <c r="S498" s="58" t="str">
        <f aca="false">IF($F498="","",IFERROR(INDEX(商品档案!$G$6:$G$65,MATCH($F498,商品档案!$A$6:$A$65,0)),""))</f>
        <v/>
      </c>
      <c r="T498" s="58" t="str">
        <f aca="false">IF($F498="","",IFERROR(INDEX(商品档案!$H$6:$H$65,MATCH($F498,商品档案!$A$6:$A$65,0)),""))</f>
        <v/>
      </c>
      <c r="U498" s="58" t="str">
        <f aca="false">IF($F498="","",IFERROR(INDEX(商品档案!$I$6:$I$65,MATCH($F498,商品档案!$A$6:$A$65,0)),""))</f>
        <v/>
      </c>
      <c r="V498" s="59" t="str">
        <f aca="false">IF($F498="","",SUMIFS(进销存台账!$N$6:$N$65,进销存台账!$A$6:$A$65,$C498,进销存台账!$B$6:$B$65,$F498))</f>
        <v/>
      </c>
      <c r="W498" s="60" t="n">
        <f aca="false">IF(OR($D498="销售出库",$D498="销售退回"),ROUND(N($J498)*N($V498),2),0)</f>
        <v>0</v>
      </c>
      <c r="X498" s="58" t="str">
        <f aca="false">IF($E498="","",IFERROR(INDEX(往来单位!$D$6:$D$85,MATCH($E498,往来单位!$A$6:$A$85,0)),"否"))</f>
        <v/>
      </c>
      <c r="Y498" s="61" t="str">
        <f aca="false">IF($B498="","",YEAR($B498))</f>
        <v/>
      </c>
      <c r="Z498" s="58" t="str">
        <f aca="false">IF($B498="","",TEXT($B498,"yyyy-mm"))</f>
        <v/>
      </c>
    </row>
    <row r="499" customFormat="false" ht="15" hidden="false" customHeight="false" outlineLevel="0" collapsed="false">
      <c r="A499" s="53" t="str">
        <f aca="false">IF($B499="","",ROW()-5)</f>
        <v/>
      </c>
      <c r="B499" s="54"/>
      <c r="C499" s="33"/>
      <c r="D499" s="33"/>
      <c r="E499" s="32"/>
      <c r="F499" s="39"/>
      <c r="G499" s="48" t="str">
        <f aca="false">IF($F499="","",IFERROR(INDEX(商品档案!$B$6:$B$65,MATCH($F499,商品档案!$A$6:$A$65,0)),""))</f>
        <v/>
      </c>
      <c r="H499" s="48" t="str">
        <f aca="false">IF($F499="","",IFERROR(INDEX(商品档案!$C$6:$C$65,MATCH($F499,商品档案!$A$6:$A$65,0)),""))</f>
        <v/>
      </c>
      <c r="I499" s="55" t="str">
        <f aca="false">IF($F499="","",IFERROR(INDEX(商品档案!$D$6:$D$65,MATCH($F499,商品档案!$A$6:$A$65,0)),""))</f>
        <v/>
      </c>
      <c r="J499" s="49"/>
      <c r="K499" s="56"/>
      <c r="L499" s="33"/>
      <c r="M499" s="39"/>
      <c r="N499" s="41"/>
      <c r="O499" s="41"/>
      <c r="P499" s="25" t="str">
        <f aca="false">IF(AND($B499="",$D499="",$F499=""),"",IF(NOT(ISNUMBER($B499)),"日期无效",IF(ISNA(MATCH($C499,参数设置!$A$10:$A$12,0)),"公司无效",IF(ISNA(MATCH($D499,记账规则!$A$6:$A$9,0)),"业务类型无效",IF(ISNA(MATCH($F499,商品档案!$A$6:$A$65,0)),"商品编码无效",IF(IFERROR(INDEX(商品档案!$E$6:$E$65,MATCH($F499,商品档案!$A$6:$A$65,0)),"")&lt;&gt;$C499,"商品不属于该公司",IF(AND($E499&lt;&gt;"",ISNA(MATCH($E499,往来单位!$A$6:$A$85,0))),"往来单位未建档",IF(N($J499)=0,"数量为 0",IF(N($K499)=0,"单价为 0",IF(AND(LEFT($D499,2)="销售",$U499=""),"该商品没设成本科目",IF(YEAR($B499)&lt;&gt;参数设置!$B$5,"不在本会计年度","OK")))))))))))</f>
        <v/>
      </c>
      <c r="Q499" s="57" t="str">
        <f aca="false">IF($F499="","",ROUND(N($J499)*N($K499),2))</f>
        <v/>
      </c>
      <c r="R499" s="58" t="str">
        <f aca="false">IF($D499="","",IF(LEFT($D499,2)="销售","应收账款","应付账款"))</f>
        <v/>
      </c>
      <c r="S499" s="58" t="str">
        <f aca="false">IF($F499="","",IFERROR(INDEX(商品档案!$G$6:$G$65,MATCH($F499,商品档案!$A$6:$A$65,0)),""))</f>
        <v/>
      </c>
      <c r="T499" s="58" t="str">
        <f aca="false">IF($F499="","",IFERROR(INDEX(商品档案!$H$6:$H$65,MATCH($F499,商品档案!$A$6:$A$65,0)),""))</f>
        <v/>
      </c>
      <c r="U499" s="58" t="str">
        <f aca="false">IF($F499="","",IFERROR(INDEX(商品档案!$I$6:$I$65,MATCH($F499,商品档案!$A$6:$A$65,0)),""))</f>
        <v/>
      </c>
      <c r="V499" s="59" t="str">
        <f aca="false">IF($F499="","",SUMIFS(进销存台账!$N$6:$N$65,进销存台账!$A$6:$A$65,$C499,进销存台账!$B$6:$B$65,$F499))</f>
        <v/>
      </c>
      <c r="W499" s="60" t="n">
        <f aca="false">IF(OR($D499="销售出库",$D499="销售退回"),ROUND(N($J499)*N($V499),2),0)</f>
        <v>0</v>
      </c>
      <c r="X499" s="58" t="str">
        <f aca="false">IF($E499="","",IFERROR(INDEX(往来单位!$D$6:$D$85,MATCH($E499,往来单位!$A$6:$A$85,0)),"否"))</f>
        <v/>
      </c>
      <c r="Y499" s="61" t="str">
        <f aca="false">IF($B499="","",YEAR($B499))</f>
        <v/>
      </c>
      <c r="Z499" s="58" t="str">
        <f aca="false">IF($B499="","",TEXT($B499,"yyyy-mm"))</f>
        <v/>
      </c>
    </row>
    <row r="500" customFormat="false" ht="15" hidden="false" customHeight="false" outlineLevel="0" collapsed="false">
      <c r="A500" s="53" t="str">
        <f aca="false">IF($B500="","",ROW()-5)</f>
        <v/>
      </c>
      <c r="B500" s="54"/>
      <c r="C500" s="33"/>
      <c r="D500" s="33"/>
      <c r="E500" s="32"/>
      <c r="F500" s="39"/>
      <c r="G500" s="48" t="str">
        <f aca="false">IF($F500="","",IFERROR(INDEX(商品档案!$B$6:$B$65,MATCH($F500,商品档案!$A$6:$A$65,0)),""))</f>
        <v/>
      </c>
      <c r="H500" s="48" t="str">
        <f aca="false">IF($F500="","",IFERROR(INDEX(商品档案!$C$6:$C$65,MATCH($F500,商品档案!$A$6:$A$65,0)),""))</f>
        <v/>
      </c>
      <c r="I500" s="55" t="str">
        <f aca="false">IF($F500="","",IFERROR(INDEX(商品档案!$D$6:$D$65,MATCH($F500,商品档案!$A$6:$A$65,0)),""))</f>
        <v/>
      </c>
      <c r="J500" s="49"/>
      <c r="K500" s="56"/>
      <c r="L500" s="33"/>
      <c r="M500" s="39"/>
      <c r="N500" s="41"/>
      <c r="O500" s="41"/>
      <c r="P500" s="25" t="str">
        <f aca="false">IF(AND($B500="",$D500="",$F500=""),"",IF(NOT(ISNUMBER($B500)),"日期无效",IF(ISNA(MATCH($C500,参数设置!$A$10:$A$12,0)),"公司无效",IF(ISNA(MATCH($D500,记账规则!$A$6:$A$9,0)),"业务类型无效",IF(ISNA(MATCH($F500,商品档案!$A$6:$A$65,0)),"商品编码无效",IF(IFERROR(INDEX(商品档案!$E$6:$E$65,MATCH($F500,商品档案!$A$6:$A$65,0)),"")&lt;&gt;$C500,"商品不属于该公司",IF(AND($E500&lt;&gt;"",ISNA(MATCH($E500,往来单位!$A$6:$A$85,0))),"往来单位未建档",IF(N($J500)=0,"数量为 0",IF(N($K500)=0,"单价为 0",IF(AND(LEFT($D500,2)="销售",$U500=""),"该商品没设成本科目",IF(YEAR($B500)&lt;&gt;参数设置!$B$5,"不在本会计年度","OK")))))))))))</f>
        <v/>
      </c>
      <c r="Q500" s="57" t="str">
        <f aca="false">IF($F500="","",ROUND(N($J500)*N($K500),2))</f>
        <v/>
      </c>
      <c r="R500" s="58" t="str">
        <f aca="false">IF($D500="","",IF(LEFT($D500,2)="销售","应收账款","应付账款"))</f>
        <v/>
      </c>
      <c r="S500" s="58" t="str">
        <f aca="false">IF($F500="","",IFERROR(INDEX(商品档案!$G$6:$G$65,MATCH($F500,商品档案!$A$6:$A$65,0)),""))</f>
        <v/>
      </c>
      <c r="T500" s="58" t="str">
        <f aca="false">IF($F500="","",IFERROR(INDEX(商品档案!$H$6:$H$65,MATCH($F500,商品档案!$A$6:$A$65,0)),""))</f>
        <v/>
      </c>
      <c r="U500" s="58" t="str">
        <f aca="false">IF($F500="","",IFERROR(INDEX(商品档案!$I$6:$I$65,MATCH($F500,商品档案!$A$6:$A$65,0)),""))</f>
        <v/>
      </c>
      <c r="V500" s="59" t="str">
        <f aca="false">IF($F500="","",SUMIFS(进销存台账!$N$6:$N$65,进销存台账!$A$6:$A$65,$C500,进销存台账!$B$6:$B$65,$F500))</f>
        <v/>
      </c>
      <c r="W500" s="60" t="n">
        <f aca="false">IF(OR($D500="销售出库",$D500="销售退回"),ROUND(N($J500)*N($V500),2),0)</f>
        <v>0</v>
      </c>
      <c r="X500" s="58" t="str">
        <f aca="false">IF($E500="","",IFERROR(INDEX(往来单位!$D$6:$D$85,MATCH($E500,往来单位!$A$6:$A$85,0)),"否"))</f>
        <v/>
      </c>
      <c r="Y500" s="61" t="str">
        <f aca="false">IF($B500="","",YEAR($B500))</f>
        <v/>
      </c>
      <c r="Z500" s="58" t="str">
        <f aca="false">IF($B500="","",TEXT($B500,"yyyy-mm"))</f>
        <v/>
      </c>
    </row>
    <row r="501" customFormat="false" ht="15" hidden="false" customHeight="false" outlineLevel="0" collapsed="false">
      <c r="A501" s="53" t="str">
        <f aca="false">IF($B501="","",ROW()-5)</f>
        <v/>
      </c>
      <c r="B501" s="54"/>
      <c r="C501" s="33"/>
      <c r="D501" s="33"/>
      <c r="E501" s="32"/>
      <c r="F501" s="39"/>
      <c r="G501" s="48" t="str">
        <f aca="false">IF($F501="","",IFERROR(INDEX(商品档案!$B$6:$B$65,MATCH($F501,商品档案!$A$6:$A$65,0)),""))</f>
        <v/>
      </c>
      <c r="H501" s="48" t="str">
        <f aca="false">IF($F501="","",IFERROR(INDEX(商品档案!$C$6:$C$65,MATCH($F501,商品档案!$A$6:$A$65,0)),""))</f>
        <v/>
      </c>
      <c r="I501" s="55" t="str">
        <f aca="false">IF($F501="","",IFERROR(INDEX(商品档案!$D$6:$D$65,MATCH($F501,商品档案!$A$6:$A$65,0)),""))</f>
        <v/>
      </c>
      <c r="J501" s="49"/>
      <c r="K501" s="56"/>
      <c r="L501" s="33"/>
      <c r="M501" s="39"/>
      <c r="N501" s="41"/>
      <c r="O501" s="41"/>
      <c r="P501" s="25" t="str">
        <f aca="false">IF(AND($B501="",$D501="",$F501=""),"",IF(NOT(ISNUMBER($B501)),"日期无效",IF(ISNA(MATCH($C501,参数设置!$A$10:$A$12,0)),"公司无效",IF(ISNA(MATCH($D501,记账规则!$A$6:$A$9,0)),"业务类型无效",IF(ISNA(MATCH($F501,商品档案!$A$6:$A$65,0)),"商品编码无效",IF(IFERROR(INDEX(商品档案!$E$6:$E$65,MATCH($F501,商品档案!$A$6:$A$65,0)),"")&lt;&gt;$C501,"商品不属于该公司",IF(AND($E501&lt;&gt;"",ISNA(MATCH($E501,往来单位!$A$6:$A$85,0))),"往来单位未建档",IF(N($J501)=0,"数量为 0",IF(N($K501)=0,"单价为 0",IF(AND(LEFT($D501,2)="销售",$U501=""),"该商品没设成本科目",IF(YEAR($B501)&lt;&gt;参数设置!$B$5,"不在本会计年度","OK")))))))))))</f>
        <v/>
      </c>
      <c r="Q501" s="57" t="str">
        <f aca="false">IF($F501="","",ROUND(N($J501)*N($K501),2))</f>
        <v/>
      </c>
      <c r="R501" s="58" t="str">
        <f aca="false">IF($D501="","",IF(LEFT($D501,2)="销售","应收账款","应付账款"))</f>
        <v/>
      </c>
      <c r="S501" s="58" t="str">
        <f aca="false">IF($F501="","",IFERROR(INDEX(商品档案!$G$6:$G$65,MATCH($F501,商品档案!$A$6:$A$65,0)),""))</f>
        <v/>
      </c>
      <c r="T501" s="58" t="str">
        <f aca="false">IF($F501="","",IFERROR(INDEX(商品档案!$H$6:$H$65,MATCH($F501,商品档案!$A$6:$A$65,0)),""))</f>
        <v/>
      </c>
      <c r="U501" s="58" t="str">
        <f aca="false">IF($F501="","",IFERROR(INDEX(商品档案!$I$6:$I$65,MATCH($F501,商品档案!$A$6:$A$65,0)),""))</f>
        <v/>
      </c>
      <c r="V501" s="59" t="str">
        <f aca="false">IF($F501="","",SUMIFS(进销存台账!$N$6:$N$65,进销存台账!$A$6:$A$65,$C501,进销存台账!$B$6:$B$65,$F501))</f>
        <v/>
      </c>
      <c r="W501" s="60" t="n">
        <f aca="false">IF(OR($D501="销售出库",$D501="销售退回"),ROUND(N($J501)*N($V501),2),0)</f>
        <v>0</v>
      </c>
      <c r="X501" s="58" t="str">
        <f aca="false">IF($E501="","",IFERROR(INDEX(往来单位!$D$6:$D$85,MATCH($E501,往来单位!$A$6:$A$85,0)),"否"))</f>
        <v/>
      </c>
      <c r="Y501" s="61" t="str">
        <f aca="false">IF($B501="","",YEAR($B501))</f>
        <v/>
      </c>
      <c r="Z501" s="58" t="str">
        <f aca="false">IF($B501="","",TEXT($B501,"yyyy-mm"))</f>
        <v/>
      </c>
    </row>
    <row r="502" customFormat="false" ht="15" hidden="false" customHeight="false" outlineLevel="0" collapsed="false">
      <c r="A502" s="53" t="str">
        <f aca="false">IF($B502="","",ROW()-5)</f>
        <v/>
      </c>
      <c r="B502" s="54"/>
      <c r="C502" s="33"/>
      <c r="D502" s="33"/>
      <c r="E502" s="32"/>
      <c r="F502" s="39"/>
      <c r="G502" s="48" t="str">
        <f aca="false">IF($F502="","",IFERROR(INDEX(商品档案!$B$6:$B$65,MATCH($F502,商品档案!$A$6:$A$65,0)),""))</f>
        <v/>
      </c>
      <c r="H502" s="48" t="str">
        <f aca="false">IF($F502="","",IFERROR(INDEX(商品档案!$C$6:$C$65,MATCH($F502,商品档案!$A$6:$A$65,0)),""))</f>
        <v/>
      </c>
      <c r="I502" s="55" t="str">
        <f aca="false">IF($F502="","",IFERROR(INDEX(商品档案!$D$6:$D$65,MATCH($F502,商品档案!$A$6:$A$65,0)),""))</f>
        <v/>
      </c>
      <c r="J502" s="49"/>
      <c r="K502" s="56"/>
      <c r="L502" s="33"/>
      <c r="M502" s="39"/>
      <c r="N502" s="41"/>
      <c r="O502" s="41"/>
      <c r="P502" s="25" t="str">
        <f aca="false">IF(AND($B502="",$D502="",$F502=""),"",IF(NOT(ISNUMBER($B502)),"日期无效",IF(ISNA(MATCH($C502,参数设置!$A$10:$A$12,0)),"公司无效",IF(ISNA(MATCH($D502,记账规则!$A$6:$A$9,0)),"业务类型无效",IF(ISNA(MATCH($F502,商品档案!$A$6:$A$65,0)),"商品编码无效",IF(IFERROR(INDEX(商品档案!$E$6:$E$65,MATCH($F502,商品档案!$A$6:$A$65,0)),"")&lt;&gt;$C502,"商品不属于该公司",IF(AND($E502&lt;&gt;"",ISNA(MATCH($E502,往来单位!$A$6:$A$85,0))),"往来单位未建档",IF(N($J502)=0,"数量为 0",IF(N($K502)=0,"单价为 0",IF(AND(LEFT($D502,2)="销售",$U502=""),"该商品没设成本科目",IF(YEAR($B502)&lt;&gt;参数设置!$B$5,"不在本会计年度","OK")))))))))))</f>
        <v/>
      </c>
      <c r="Q502" s="57" t="str">
        <f aca="false">IF($F502="","",ROUND(N($J502)*N($K502),2))</f>
        <v/>
      </c>
      <c r="R502" s="58" t="str">
        <f aca="false">IF($D502="","",IF(LEFT($D502,2)="销售","应收账款","应付账款"))</f>
        <v/>
      </c>
      <c r="S502" s="58" t="str">
        <f aca="false">IF($F502="","",IFERROR(INDEX(商品档案!$G$6:$G$65,MATCH($F502,商品档案!$A$6:$A$65,0)),""))</f>
        <v/>
      </c>
      <c r="T502" s="58" t="str">
        <f aca="false">IF($F502="","",IFERROR(INDEX(商品档案!$H$6:$H$65,MATCH($F502,商品档案!$A$6:$A$65,0)),""))</f>
        <v/>
      </c>
      <c r="U502" s="58" t="str">
        <f aca="false">IF($F502="","",IFERROR(INDEX(商品档案!$I$6:$I$65,MATCH($F502,商品档案!$A$6:$A$65,0)),""))</f>
        <v/>
      </c>
      <c r="V502" s="59" t="str">
        <f aca="false">IF($F502="","",SUMIFS(进销存台账!$N$6:$N$65,进销存台账!$A$6:$A$65,$C502,进销存台账!$B$6:$B$65,$F502))</f>
        <v/>
      </c>
      <c r="W502" s="60" t="n">
        <f aca="false">IF(OR($D502="销售出库",$D502="销售退回"),ROUND(N($J502)*N($V502),2),0)</f>
        <v>0</v>
      </c>
      <c r="X502" s="58" t="str">
        <f aca="false">IF($E502="","",IFERROR(INDEX(往来单位!$D$6:$D$85,MATCH($E502,往来单位!$A$6:$A$85,0)),"否"))</f>
        <v/>
      </c>
      <c r="Y502" s="61" t="str">
        <f aca="false">IF($B502="","",YEAR($B502))</f>
        <v/>
      </c>
      <c r="Z502" s="58" t="str">
        <f aca="false">IF($B502="","",TEXT($B502,"yyyy-mm"))</f>
        <v/>
      </c>
    </row>
    <row r="503" customFormat="false" ht="15" hidden="false" customHeight="false" outlineLevel="0" collapsed="false">
      <c r="A503" s="53" t="str">
        <f aca="false">IF($B503="","",ROW()-5)</f>
        <v/>
      </c>
      <c r="B503" s="54"/>
      <c r="C503" s="33"/>
      <c r="D503" s="33"/>
      <c r="E503" s="32"/>
      <c r="F503" s="39"/>
      <c r="G503" s="48" t="str">
        <f aca="false">IF($F503="","",IFERROR(INDEX(商品档案!$B$6:$B$65,MATCH($F503,商品档案!$A$6:$A$65,0)),""))</f>
        <v/>
      </c>
      <c r="H503" s="48" t="str">
        <f aca="false">IF($F503="","",IFERROR(INDEX(商品档案!$C$6:$C$65,MATCH($F503,商品档案!$A$6:$A$65,0)),""))</f>
        <v/>
      </c>
      <c r="I503" s="55" t="str">
        <f aca="false">IF($F503="","",IFERROR(INDEX(商品档案!$D$6:$D$65,MATCH($F503,商品档案!$A$6:$A$65,0)),""))</f>
        <v/>
      </c>
      <c r="J503" s="49"/>
      <c r="K503" s="56"/>
      <c r="L503" s="33"/>
      <c r="M503" s="39"/>
      <c r="N503" s="41"/>
      <c r="O503" s="41"/>
      <c r="P503" s="25" t="str">
        <f aca="false">IF(AND($B503="",$D503="",$F503=""),"",IF(NOT(ISNUMBER($B503)),"日期无效",IF(ISNA(MATCH($C503,参数设置!$A$10:$A$12,0)),"公司无效",IF(ISNA(MATCH($D503,记账规则!$A$6:$A$9,0)),"业务类型无效",IF(ISNA(MATCH($F503,商品档案!$A$6:$A$65,0)),"商品编码无效",IF(IFERROR(INDEX(商品档案!$E$6:$E$65,MATCH($F503,商品档案!$A$6:$A$65,0)),"")&lt;&gt;$C503,"商品不属于该公司",IF(AND($E503&lt;&gt;"",ISNA(MATCH($E503,往来单位!$A$6:$A$85,0))),"往来单位未建档",IF(N($J503)=0,"数量为 0",IF(N($K503)=0,"单价为 0",IF(AND(LEFT($D503,2)="销售",$U503=""),"该商品没设成本科目",IF(YEAR($B503)&lt;&gt;参数设置!$B$5,"不在本会计年度","OK")))))))))))</f>
        <v/>
      </c>
      <c r="Q503" s="57" t="str">
        <f aca="false">IF($F503="","",ROUND(N($J503)*N($K503),2))</f>
        <v/>
      </c>
      <c r="R503" s="58" t="str">
        <f aca="false">IF($D503="","",IF(LEFT($D503,2)="销售","应收账款","应付账款"))</f>
        <v/>
      </c>
      <c r="S503" s="58" t="str">
        <f aca="false">IF($F503="","",IFERROR(INDEX(商品档案!$G$6:$G$65,MATCH($F503,商品档案!$A$6:$A$65,0)),""))</f>
        <v/>
      </c>
      <c r="T503" s="58" t="str">
        <f aca="false">IF($F503="","",IFERROR(INDEX(商品档案!$H$6:$H$65,MATCH($F503,商品档案!$A$6:$A$65,0)),""))</f>
        <v/>
      </c>
      <c r="U503" s="58" t="str">
        <f aca="false">IF($F503="","",IFERROR(INDEX(商品档案!$I$6:$I$65,MATCH($F503,商品档案!$A$6:$A$65,0)),""))</f>
        <v/>
      </c>
      <c r="V503" s="59" t="str">
        <f aca="false">IF($F503="","",SUMIFS(进销存台账!$N$6:$N$65,进销存台账!$A$6:$A$65,$C503,进销存台账!$B$6:$B$65,$F503))</f>
        <v/>
      </c>
      <c r="W503" s="60" t="n">
        <f aca="false">IF(OR($D503="销售出库",$D503="销售退回"),ROUND(N($J503)*N($V503),2),0)</f>
        <v>0</v>
      </c>
      <c r="X503" s="58" t="str">
        <f aca="false">IF($E503="","",IFERROR(INDEX(往来单位!$D$6:$D$85,MATCH($E503,往来单位!$A$6:$A$85,0)),"否"))</f>
        <v/>
      </c>
      <c r="Y503" s="61" t="str">
        <f aca="false">IF($B503="","",YEAR($B503))</f>
        <v/>
      </c>
      <c r="Z503" s="58" t="str">
        <f aca="false">IF($B503="","",TEXT($B503,"yyyy-mm"))</f>
        <v/>
      </c>
    </row>
    <row r="504" customFormat="false" ht="15" hidden="false" customHeight="false" outlineLevel="0" collapsed="false">
      <c r="A504" s="53" t="str">
        <f aca="false">IF($B504="","",ROW()-5)</f>
        <v/>
      </c>
      <c r="B504" s="54"/>
      <c r="C504" s="33"/>
      <c r="D504" s="33"/>
      <c r="E504" s="32"/>
      <c r="F504" s="39"/>
      <c r="G504" s="48" t="str">
        <f aca="false">IF($F504="","",IFERROR(INDEX(商品档案!$B$6:$B$65,MATCH($F504,商品档案!$A$6:$A$65,0)),""))</f>
        <v/>
      </c>
      <c r="H504" s="48" t="str">
        <f aca="false">IF($F504="","",IFERROR(INDEX(商品档案!$C$6:$C$65,MATCH($F504,商品档案!$A$6:$A$65,0)),""))</f>
        <v/>
      </c>
      <c r="I504" s="55" t="str">
        <f aca="false">IF($F504="","",IFERROR(INDEX(商品档案!$D$6:$D$65,MATCH($F504,商品档案!$A$6:$A$65,0)),""))</f>
        <v/>
      </c>
      <c r="J504" s="49"/>
      <c r="K504" s="56"/>
      <c r="L504" s="33"/>
      <c r="M504" s="39"/>
      <c r="N504" s="41"/>
      <c r="O504" s="41"/>
      <c r="P504" s="25" t="str">
        <f aca="false">IF(AND($B504="",$D504="",$F504=""),"",IF(NOT(ISNUMBER($B504)),"日期无效",IF(ISNA(MATCH($C504,参数设置!$A$10:$A$12,0)),"公司无效",IF(ISNA(MATCH($D504,记账规则!$A$6:$A$9,0)),"业务类型无效",IF(ISNA(MATCH($F504,商品档案!$A$6:$A$65,0)),"商品编码无效",IF(IFERROR(INDEX(商品档案!$E$6:$E$65,MATCH($F504,商品档案!$A$6:$A$65,0)),"")&lt;&gt;$C504,"商品不属于该公司",IF(AND($E504&lt;&gt;"",ISNA(MATCH($E504,往来单位!$A$6:$A$85,0))),"往来单位未建档",IF(N($J504)=0,"数量为 0",IF(N($K504)=0,"单价为 0",IF(AND(LEFT($D504,2)="销售",$U504=""),"该商品没设成本科目",IF(YEAR($B504)&lt;&gt;参数设置!$B$5,"不在本会计年度","OK")))))))))))</f>
        <v/>
      </c>
      <c r="Q504" s="57" t="str">
        <f aca="false">IF($F504="","",ROUND(N($J504)*N($K504),2))</f>
        <v/>
      </c>
      <c r="R504" s="58" t="str">
        <f aca="false">IF($D504="","",IF(LEFT($D504,2)="销售","应收账款","应付账款"))</f>
        <v/>
      </c>
      <c r="S504" s="58" t="str">
        <f aca="false">IF($F504="","",IFERROR(INDEX(商品档案!$G$6:$G$65,MATCH($F504,商品档案!$A$6:$A$65,0)),""))</f>
        <v/>
      </c>
      <c r="T504" s="58" t="str">
        <f aca="false">IF($F504="","",IFERROR(INDEX(商品档案!$H$6:$H$65,MATCH($F504,商品档案!$A$6:$A$65,0)),""))</f>
        <v/>
      </c>
      <c r="U504" s="58" t="str">
        <f aca="false">IF($F504="","",IFERROR(INDEX(商品档案!$I$6:$I$65,MATCH($F504,商品档案!$A$6:$A$65,0)),""))</f>
        <v/>
      </c>
      <c r="V504" s="59" t="str">
        <f aca="false">IF($F504="","",SUMIFS(进销存台账!$N$6:$N$65,进销存台账!$A$6:$A$65,$C504,进销存台账!$B$6:$B$65,$F504))</f>
        <v/>
      </c>
      <c r="W504" s="60" t="n">
        <f aca="false">IF(OR($D504="销售出库",$D504="销售退回"),ROUND(N($J504)*N($V504),2),0)</f>
        <v>0</v>
      </c>
      <c r="X504" s="58" t="str">
        <f aca="false">IF($E504="","",IFERROR(INDEX(往来单位!$D$6:$D$85,MATCH($E504,往来单位!$A$6:$A$85,0)),"否"))</f>
        <v/>
      </c>
      <c r="Y504" s="61" t="str">
        <f aca="false">IF($B504="","",YEAR($B504))</f>
        <v/>
      </c>
      <c r="Z504" s="58" t="str">
        <f aca="false">IF($B504="","",TEXT($B504,"yyyy-mm"))</f>
        <v/>
      </c>
    </row>
    <row r="505" customFormat="false" ht="15" hidden="false" customHeight="false" outlineLevel="0" collapsed="false">
      <c r="A505" s="53" t="str">
        <f aca="false">IF($B505="","",ROW()-5)</f>
        <v/>
      </c>
      <c r="B505" s="54"/>
      <c r="C505" s="33"/>
      <c r="D505" s="33"/>
      <c r="E505" s="32"/>
      <c r="F505" s="39"/>
      <c r="G505" s="48" t="str">
        <f aca="false">IF($F505="","",IFERROR(INDEX(商品档案!$B$6:$B$65,MATCH($F505,商品档案!$A$6:$A$65,0)),""))</f>
        <v/>
      </c>
      <c r="H505" s="48" t="str">
        <f aca="false">IF($F505="","",IFERROR(INDEX(商品档案!$C$6:$C$65,MATCH($F505,商品档案!$A$6:$A$65,0)),""))</f>
        <v/>
      </c>
      <c r="I505" s="55" t="str">
        <f aca="false">IF($F505="","",IFERROR(INDEX(商品档案!$D$6:$D$65,MATCH($F505,商品档案!$A$6:$A$65,0)),""))</f>
        <v/>
      </c>
      <c r="J505" s="49"/>
      <c r="K505" s="56"/>
      <c r="L505" s="33"/>
      <c r="M505" s="39"/>
      <c r="N505" s="41"/>
      <c r="O505" s="41"/>
      <c r="P505" s="25" t="str">
        <f aca="false">IF(AND($B505="",$D505="",$F505=""),"",IF(NOT(ISNUMBER($B505)),"日期无效",IF(ISNA(MATCH($C505,参数设置!$A$10:$A$12,0)),"公司无效",IF(ISNA(MATCH($D505,记账规则!$A$6:$A$9,0)),"业务类型无效",IF(ISNA(MATCH($F505,商品档案!$A$6:$A$65,0)),"商品编码无效",IF(IFERROR(INDEX(商品档案!$E$6:$E$65,MATCH($F505,商品档案!$A$6:$A$65,0)),"")&lt;&gt;$C505,"商品不属于该公司",IF(AND($E505&lt;&gt;"",ISNA(MATCH($E505,往来单位!$A$6:$A$85,0))),"往来单位未建档",IF(N($J505)=0,"数量为 0",IF(N($K505)=0,"单价为 0",IF(AND(LEFT($D505,2)="销售",$U505=""),"该商品没设成本科目",IF(YEAR($B505)&lt;&gt;参数设置!$B$5,"不在本会计年度","OK")))))))))))</f>
        <v/>
      </c>
      <c r="Q505" s="57" t="str">
        <f aca="false">IF($F505="","",ROUND(N($J505)*N($K505),2))</f>
        <v/>
      </c>
      <c r="R505" s="58" t="str">
        <f aca="false">IF($D505="","",IF(LEFT($D505,2)="销售","应收账款","应付账款"))</f>
        <v/>
      </c>
      <c r="S505" s="58" t="str">
        <f aca="false">IF($F505="","",IFERROR(INDEX(商品档案!$G$6:$G$65,MATCH($F505,商品档案!$A$6:$A$65,0)),""))</f>
        <v/>
      </c>
      <c r="T505" s="58" t="str">
        <f aca="false">IF($F505="","",IFERROR(INDEX(商品档案!$H$6:$H$65,MATCH($F505,商品档案!$A$6:$A$65,0)),""))</f>
        <v/>
      </c>
      <c r="U505" s="58" t="str">
        <f aca="false">IF($F505="","",IFERROR(INDEX(商品档案!$I$6:$I$65,MATCH($F505,商品档案!$A$6:$A$65,0)),""))</f>
        <v/>
      </c>
      <c r="V505" s="59" t="str">
        <f aca="false">IF($F505="","",SUMIFS(进销存台账!$N$6:$N$65,进销存台账!$A$6:$A$65,$C505,进销存台账!$B$6:$B$65,$F505))</f>
        <v/>
      </c>
      <c r="W505" s="60" t="n">
        <f aca="false">IF(OR($D505="销售出库",$D505="销售退回"),ROUND(N($J505)*N($V505),2),0)</f>
        <v>0</v>
      </c>
      <c r="X505" s="58" t="str">
        <f aca="false">IF($E505="","",IFERROR(INDEX(往来单位!$D$6:$D$85,MATCH($E505,往来单位!$A$6:$A$85,0)),"否"))</f>
        <v/>
      </c>
      <c r="Y505" s="61" t="str">
        <f aca="false">IF($B505="","",YEAR($B505))</f>
        <v/>
      </c>
      <c r="Z505" s="58" t="str">
        <f aca="false">IF($B505="","",TEXT($B505,"yyyy-mm"))</f>
        <v/>
      </c>
    </row>
    <row r="506" customFormat="false" ht="15" hidden="false" customHeight="false" outlineLevel="0" collapsed="false">
      <c r="A506" s="53" t="str">
        <f aca="false">IF($B506="","",ROW()-5)</f>
        <v/>
      </c>
      <c r="B506" s="54"/>
      <c r="C506" s="33"/>
      <c r="D506" s="33"/>
      <c r="E506" s="32"/>
      <c r="F506" s="39"/>
      <c r="G506" s="48" t="str">
        <f aca="false">IF($F506="","",IFERROR(INDEX(商品档案!$B$6:$B$65,MATCH($F506,商品档案!$A$6:$A$65,0)),""))</f>
        <v/>
      </c>
      <c r="H506" s="48" t="str">
        <f aca="false">IF($F506="","",IFERROR(INDEX(商品档案!$C$6:$C$65,MATCH($F506,商品档案!$A$6:$A$65,0)),""))</f>
        <v/>
      </c>
      <c r="I506" s="55" t="str">
        <f aca="false">IF($F506="","",IFERROR(INDEX(商品档案!$D$6:$D$65,MATCH($F506,商品档案!$A$6:$A$65,0)),""))</f>
        <v/>
      </c>
      <c r="J506" s="49"/>
      <c r="K506" s="56"/>
      <c r="L506" s="33"/>
      <c r="M506" s="39"/>
      <c r="N506" s="41"/>
      <c r="O506" s="41"/>
      <c r="P506" s="25" t="str">
        <f aca="false">IF(AND($B506="",$D506="",$F506=""),"",IF(NOT(ISNUMBER($B506)),"日期无效",IF(ISNA(MATCH($C506,参数设置!$A$10:$A$12,0)),"公司无效",IF(ISNA(MATCH($D506,记账规则!$A$6:$A$9,0)),"业务类型无效",IF(ISNA(MATCH($F506,商品档案!$A$6:$A$65,0)),"商品编码无效",IF(IFERROR(INDEX(商品档案!$E$6:$E$65,MATCH($F506,商品档案!$A$6:$A$65,0)),"")&lt;&gt;$C506,"商品不属于该公司",IF(AND($E506&lt;&gt;"",ISNA(MATCH($E506,往来单位!$A$6:$A$85,0))),"往来单位未建档",IF(N($J506)=0,"数量为 0",IF(N($K506)=0,"单价为 0",IF(AND(LEFT($D506,2)="销售",$U506=""),"该商品没设成本科目",IF(YEAR($B506)&lt;&gt;参数设置!$B$5,"不在本会计年度","OK")))))))))))</f>
        <v/>
      </c>
      <c r="Q506" s="57" t="str">
        <f aca="false">IF($F506="","",ROUND(N($J506)*N($K506),2))</f>
        <v/>
      </c>
      <c r="R506" s="58" t="str">
        <f aca="false">IF($D506="","",IF(LEFT($D506,2)="销售","应收账款","应付账款"))</f>
        <v/>
      </c>
      <c r="S506" s="58" t="str">
        <f aca="false">IF($F506="","",IFERROR(INDEX(商品档案!$G$6:$G$65,MATCH($F506,商品档案!$A$6:$A$65,0)),""))</f>
        <v/>
      </c>
      <c r="T506" s="58" t="str">
        <f aca="false">IF($F506="","",IFERROR(INDEX(商品档案!$H$6:$H$65,MATCH($F506,商品档案!$A$6:$A$65,0)),""))</f>
        <v/>
      </c>
      <c r="U506" s="58" t="str">
        <f aca="false">IF($F506="","",IFERROR(INDEX(商品档案!$I$6:$I$65,MATCH($F506,商品档案!$A$6:$A$65,0)),""))</f>
        <v/>
      </c>
      <c r="V506" s="59" t="str">
        <f aca="false">IF($F506="","",SUMIFS(进销存台账!$N$6:$N$65,进销存台账!$A$6:$A$65,$C506,进销存台账!$B$6:$B$65,$F506))</f>
        <v/>
      </c>
      <c r="W506" s="60" t="n">
        <f aca="false">IF(OR($D506="销售出库",$D506="销售退回"),ROUND(N($J506)*N($V506),2),0)</f>
        <v>0</v>
      </c>
      <c r="X506" s="58" t="str">
        <f aca="false">IF($E506="","",IFERROR(INDEX(往来单位!$D$6:$D$85,MATCH($E506,往来单位!$A$6:$A$85,0)),"否"))</f>
        <v/>
      </c>
      <c r="Y506" s="61" t="str">
        <f aca="false">IF($B506="","",YEAR($B506))</f>
        <v/>
      </c>
      <c r="Z506" s="58" t="str">
        <f aca="false">IF($B506="","",TEXT($B506,"yyyy-mm"))</f>
        <v/>
      </c>
    </row>
    <row r="507" customFormat="false" ht="15" hidden="false" customHeight="false" outlineLevel="0" collapsed="false">
      <c r="A507" s="53" t="str">
        <f aca="false">IF($B507="","",ROW()-5)</f>
        <v/>
      </c>
      <c r="B507" s="54"/>
      <c r="C507" s="33"/>
      <c r="D507" s="33"/>
      <c r="E507" s="32"/>
      <c r="F507" s="39"/>
      <c r="G507" s="48" t="str">
        <f aca="false">IF($F507="","",IFERROR(INDEX(商品档案!$B$6:$B$65,MATCH($F507,商品档案!$A$6:$A$65,0)),""))</f>
        <v/>
      </c>
      <c r="H507" s="48" t="str">
        <f aca="false">IF($F507="","",IFERROR(INDEX(商品档案!$C$6:$C$65,MATCH($F507,商品档案!$A$6:$A$65,0)),""))</f>
        <v/>
      </c>
      <c r="I507" s="55" t="str">
        <f aca="false">IF($F507="","",IFERROR(INDEX(商品档案!$D$6:$D$65,MATCH($F507,商品档案!$A$6:$A$65,0)),""))</f>
        <v/>
      </c>
      <c r="J507" s="49"/>
      <c r="K507" s="56"/>
      <c r="L507" s="33"/>
      <c r="M507" s="39"/>
      <c r="N507" s="41"/>
      <c r="O507" s="41"/>
      <c r="P507" s="25" t="str">
        <f aca="false">IF(AND($B507="",$D507="",$F507=""),"",IF(NOT(ISNUMBER($B507)),"日期无效",IF(ISNA(MATCH($C507,参数设置!$A$10:$A$12,0)),"公司无效",IF(ISNA(MATCH($D507,记账规则!$A$6:$A$9,0)),"业务类型无效",IF(ISNA(MATCH($F507,商品档案!$A$6:$A$65,0)),"商品编码无效",IF(IFERROR(INDEX(商品档案!$E$6:$E$65,MATCH($F507,商品档案!$A$6:$A$65,0)),"")&lt;&gt;$C507,"商品不属于该公司",IF(AND($E507&lt;&gt;"",ISNA(MATCH($E507,往来单位!$A$6:$A$85,0))),"往来单位未建档",IF(N($J507)=0,"数量为 0",IF(N($K507)=0,"单价为 0",IF(AND(LEFT($D507,2)="销售",$U507=""),"该商品没设成本科目",IF(YEAR($B507)&lt;&gt;参数设置!$B$5,"不在本会计年度","OK")))))))))))</f>
        <v/>
      </c>
      <c r="Q507" s="57" t="str">
        <f aca="false">IF($F507="","",ROUND(N($J507)*N($K507),2))</f>
        <v/>
      </c>
      <c r="R507" s="58" t="str">
        <f aca="false">IF($D507="","",IF(LEFT($D507,2)="销售","应收账款","应付账款"))</f>
        <v/>
      </c>
      <c r="S507" s="58" t="str">
        <f aca="false">IF($F507="","",IFERROR(INDEX(商品档案!$G$6:$G$65,MATCH($F507,商品档案!$A$6:$A$65,0)),""))</f>
        <v/>
      </c>
      <c r="T507" s="58" t="str">
        <f aca="false">IF($F507="","",IFERROR(INDEX(商品档案!$H$6:$H$65,MATCH($F507,商品档案!$A$6:$A$65,0)),""))</f>
        <v/>
      </c>
      <c r="U507" s="58" t="str">
        <f aca="false">IF($F507="","",IFERROR(INDEX(商品档案!$I$6:$I$65,MATCH($F507,商品档案!$A$6:$A$65,0)),""))</f>
        <v/>
      </c>
      <c r="V507" s="59" t="str">
        <f aca="false">IF($F507="","",SUMIFS(进销存台账!$N$6:$N$65,进销存台账!$A$6:$A$65,$C507,进销存台账!$B$6:$B$65,$F507))</f>
        <v/>
      </c>
      <c r="W507" s="60" t="n">
        <f aca="false">IF(OR($D507="销售出库",$D507="销售退回"),ROUND(N($J507)*N($V507),2),0)</f>
        <v>0</v>
      </c>
      <c r="X507" s="58" t="str">
        <f aca="false">IF($E507="","",IFERROR(INDEX(往来单位!$D$6:$D$85,MATCH($E507,往来单位!$A$6:$A$85,0)),"否"))</f>
        <v/>
      </c>
      <c r="Y507" s="61" t="str">
        <f aca="false">IF($B507="","",YEAR($B507))</f>
        <v/>
      </c>
      <c r="Z507" s="58" t="str">
        <f aca="false">IF($B507="","",TEXT($B507,"yyyy-mm"))</f>
        <v/>
      </c>
    </row>
    <row r="508" customFormat="false" ht="15" hidden="false" customHeight="false" outlineLevel="0" collapsed="false">
      <c r="A508" s="53" t="str">
        <f aca="false">IF($B508="","",ROW()-5)</f>
        <v/>
      </c>
      <c r="B508" s="54"/>
      <c r="C508" s="33"/>
      <c r="D508" s="33"/>
      <c r="E508" s="32"/>
      <c r="F508" s="39"/>
      <c r="G508" s="48" t="str">
        <f aca="false">IF($F508="","",IFERROR(INDEX(商品档案!$B$6:$B$65,MATCH($F508,商品档案!$A$6:$A$65,0)),""))</f>
        <v/>
      </c>
      <c r="H508" s="48" t="str">
        <f aca="false">IF($F508="","",IFERROR(INDEX(商品档案!$C$6:$C$65,MATCH($F508,商品档案!$A$6:$A$65,0)),""))</f>
        <v/>
      </c>
      <c r="I508" s="55" t="str">
        <f aca="false">IF($F508="","",IFERROR(INDEX(商品档案!$D$6:$D$65,MATCH($F508,商品档案!$A$6:$A$65,0)),""))</f>
        <v/>
      </c>
      <c r="J508" s="49"/>
      <c r="K508" s="56"/>
      <c r="L508" s="33"/>
      <c r="M508" s="39"/>
      <c r="N508" s="41"/>
      <c r="O508" s="41"/>
      <c r="P508" s="25" t="str">
        <f aca="false">IF(AND($B508="",$D508="",$F508=""),"",IF(NOT(ISNUMBER($B508)),"日期无效",IF(ISNA(MATCH($C508,参数设置!$A$10:$A$12,0)),"公司无效",IF(ISNA(MATCH($D508,记账规则!$A$6:$A$9,0)),"业务类型无效",IF(ISNA(MATCH($F508,商品档案!$A$6:$A$65,0)),"商品编码无效",IF(IFERROR(INDEX(商品档案!$E$6:$E$65,MATCH($F508,商品档案!$A$6:$A$65,0)),"")&lt;&gt;$C508,"商品不属于该公司",IF(AND($E508&lt;&gt;"",ISNA(MATCH($E508,往来单位!$A$6:$A$85,0))),"往来单位未建档",IF(N($J508)=0,"数量为 0",IF(N($K508)=0,"单价为 0",IF(AND(LEFT($D508,2)="销售",$U508=""),"该商品没设成本科目",IF(YEAR($B508)&lt;&gt;参数设置!$B$5,"不在本会计年度","OK")))))))))))</f>
        <v/>
      </c>
      <c r="Q508" s="57" t="str">
        <f aca="false">IF($F508="","",ROUND(N($J508)*N($K508),2))</f>
        <v/>
      </c>
      <c r="R508" s="58" t="str">
        <f aca="false">IF($D508="","",IF(LEFT($D508,2)="销售","应收账款","应付账款"))</f>
        <v/>
      </c>
      <c r="S508" s="58" t="str">
        <f aca="false">IF($F508="","",IFERROR(INDEX(商品档案!$G$6:$G$65,MATCH($F508,商品档案!$A$6:$A$65,0)),""))</f>
        <v/>
      </c>
      <c r="T508" s="58" t="str">
        <f aca="false">IF($F508="","",IFERROR(INDEX(商品档案!$H$6:$H$65,MATCH($F508,商品档案!$A$6:$A$65,0)),""))</f>
        <v/>
      </c>
      <c r="U508" s="58" t="str">
        <f aca="false">IF($F508="","",IFERROR(INDEX(商品档案!$I$6:$I$65,MATCH($F508,商品档案!$A$6:$A$65,0)),""))</f>
        <v/>
      </c>
      <c r="V508" s="59" t="str">
        <f aca="false">IF($F508="","",SUMIFS(进销存台账!$N$6:$N$65,进销存台账!$A$6:$A$65,$C508,进销存台账!$B$6:$B$65,$F508))</f>
        <v/>
      </c>
      <c r="W508" s="60" t="n">
        <f aca="false">IF(OR($D508="销售出库",$D508="销售退回"),ROUND(N($J508)*N($V508),2),0)</f>
        <v>0</v>
      </c>
      <c r="X508" s="58" t="str">
        <f aca="false">IF($E508="","",IFERROR(INDEX(往来单位!$D$6:$D$85,MATCH($E508,往来单位!$A$6:$A$85,0)),"否"))</f>
        <v/>
      </c>
      <c r="Y508" s="61" t="str">
        <f aca="false">IF($B508="","",YEAR($B508))</f>
        <v/>
      </c>
      <c r="Z508" s="58" t="str">
        <f aca="false">IF($B508="","",TEXT($B508,"yyyy-mm"))</f>
        <v/>
      </c>
    </row>
    <row r="509" customFormat="false" ht="15" hidden="false" customHeight="false" outlineLevel="0" collapsed="false">
      <c r="A509" s="53" t="str">
        <f aca="false">IF($B509="","",ROW()-5)</f>
        <v/>
      </c>
      <c r="B509" s="54"/>
      <c r="C509" s="33"/>
      <c r="D509" s="33"/>
      <c r="E509" s="32"/>
      <c r="F509" s="39"/>
      <c r="G509" s="48" t="str">
        <f aca="false">IF($F509="","",IFERROR(INDEX(商品档案!$B$6:$B$65,MATCH($F509,商品档案!$A$6:$A$65,0)),""))</f>
        <v/>
      </c>
      <c r="H509" s="48" t="str">
        <f aca="false">IF($F509="","",IFERROR(INDEX(商品档案!$C$6:$C$65,MATCH($F509,商品档案!$A$6:$A$65,0)),""))</f>
        <v/>
      </c>
      <c r="I509" s="55" t="str">
        <f aca="false">IF($F509="","",IFERROR(INDEX(商品档案!$D$6:$D$65,MATCH($F509,商品档案!$A$6:$A$65,0)),""))</f>
        <v/>
      </c>
      <c r="J509" s="49"/>
      <c r="K509" s="56"/>
      <c r="L509" s="33"/>
      <c r="M509" s="39"/>
      <c r="N509" s="41"/>
      <c r="O509" s="41"/>
      <c r="P509" s="25" t="str">
        <f aca="false">IF(AND($B509="",$D509="",$F509=""),"",IF(NOT(ISNUMBER($B509)),"日期无效",IF(ISNA(MATCH($C509,参数设置!$A$10:$A$12,0)),"公司无效",IF(ISNA(MATCH($D509,记账规则!$A$6:$A$9,0)),"业务类型无效",IF(ISNA(MATCH($F509,商品档案!$A$6:$A$65,0)),"商品编码无效",IF(IFERROR(INDEX(商品档案!$E$6:$E$65,MATCH($F509,商品档案!$A$6:$A$65,0)),"")&lt;&gt;$C509,"商品不属于该公司",IF(AND($E509&lt;&gt;"",ISNA(MATCH($E509,往来单位!$A$6:$A$85,0))),"往来单位未建档",IF(N($J509)=0,"数量为 0",IF(N($K509)=0,"单价为 0",IF(AND(LEFT($D509,2)="销售",$U509=""),"该商品没设成本科目",IF(YEAR($B509)&lt;&gt;参数设置!$B$5,"不在本会计年度","OK")))))))))))</f>
        <v/>
      </c>
      <c r="Q509" s="57" t="str">
        <f aca="false">IF($F509="","",ROUND(N($J509)*N($K509),2))</f>
        <v/>
      </c>
      <c r="R509" s="58" t="str">
        <f aca="false">IF($D509="","",IF(LEFT($D509,2)="销售","应收账款","应付账款"))</f>
        <v/>
      </c>
      <c r="S509" s="58" t="str">
        <f aca="false">IF($F509="","",IFERROR(INDEX(商品档案!$G$6:$G$65,MATCH($F509,商品档案!$A$6:$A$65,0)),""))</f>
        <v/>
      </c>
      <c r="T509" s="58" t="str">
        <f aca="false">IF($F509="","",IFERROR(INDEX(商品档案!$H$6:$H$65,MATCH($F509,商品档案!$A$6:$A$65,0)),""))</f>
        <v/>
      </c>
      <c r="U509" s="58" t="str">
        <f aca="false">IF($F509="","",IFERROR(INDEX(商品档案!$I$6:$I$65,MATCH($F509,商品档案!$A$6:$A$65,0)),""))</f>
        <v/>
      </c>
      <c r="V509" s="59" t="str">
        <f aca="false">IF($F509="","",SUMIFS(进销存台账!$N$6:$N$65,进销存台账!$A$6:$A$65,$C509,进销存台账!$B$6:$B$65,$F509))</f>
        <v/>
      </c>
      <c r="W509" s="60" t="n">
        <f aca="false">IF(OR($D509="销售出库",$D509="销售退回"),ROUND(N($J509)*N($V509),2),0)</f>
        <v>0</v>
      </c>
      <c r="X509" s="58" t="str">
        <f aca="false">IF($E509="","",IFERROR(INDEX(往来单位!$D$6:$D$85,MATCH($E509,往来单位!$A$6:$A$85,0)),"否"))</f>
        <v/>
      </c>
      <c r="Y509" s="61" t="str">
        <f aca="false">IF($B509="","",YEAR($B509))</f>
        <v/>
      </c>
      <c r="Z509" s="58" t="str">
        <f aca="false">IF($B509="","",TEXT($B509,"yyyy-mm"))</f>
        <v/>
      </c>
    </row>
    <row r="510" customFormat="false" ht="15" hidden="false" customHeight="false" outlineLevel="0" collapsed="false">
      <c r="A510" s="53" t="str">
        <f aca="false">IF($B510="","",ROW()-5)</f>
        <v/>
      </c>
      <c r="B510" s="54"/>
      <c r="C510" s="33"/>
      <c r="D510" s="33"/>
      <c r="E510" s="32"/>
      <c r="F510" s="39"/>
      <c r="G510" s="48" t="str">
        <f aca="false">IF($F510="","",IFERROR(INDEX(商品档案!$B$6:$B$65,MATCH($F510,商品档案!$A$6:$A$65,0)),""))</f>
        <v/>
      </c>
      <c r="H510" s="48" t="str">
        <f aca="false">IF($F510="","",IFERROR(INDEX(商品档案!$C$6:$C$65,MATCH($F510,商品档案!$A$6:$A$65,0)),""))</f>
        <v/>
      </c>
      <c r="I510" s="55" t="str">
        <f aca="false">IF($F510="","",IFERROR(INDEX(商品档案!$D$6:$D$65,MATCH($F510,商品档案!$A$6:$A$65,0)),""))</f>
        <v/>
      </c>
      <c r="J510" s="49"/>
      <c r="K510" s="56"/>
      <c r="L510" s="33"/>
      <c r="M510" s="39"/>
      <c r="N510" s="41"/>
      <c r="O510" s="41"/>
      <c r="P510" s="25" t="str">
        <f aca="false">IF(AND($B510="",$D510="",$F510=""),"",IF(NOT(ISNUMBER($B510)),"日期无效",IF(ISNA(MATCH($C510,参数设置!$A$10:$A$12,0)),"公司无效",IF(ISNA(MATCH($D510,记账规则!$A$6:$A$9,0)),"业务类型无效",IF(ISNA(MATCH($F510,商品档案!$A$6:$A$65,0)),"商品编码无效",IF(IFERROR(INDEX(商品档案!$E$6:$E$65,MATCH($F510,商品档案!$A$6:$A$65,0)),"")&lt;&gt;$C510,"商品不属于该公司",IF(AND($E510&lt;&gt;"",ISNA(MATCH($E510,往来单位!$A$6:$A$85,0))),"往来单位未建档",IF(N($J510)=0,"数量为 0",IF(N($K510)=0,"单价为 0",IF(AND(LEFT($D510,2)="销售",$U510=""),"该商品没设成本科目",IF(YEAR($B510)&lt;&gt;参数设置!$B$5,"不在本会计年度","OK")))))))))))</f>
        <v/>
      </c>
      <c r="Q510" s="57" t="str">
        <f aca="false">IF($F510="","",ROUND(N($J510)*N($K510),2))</f>
        <v/>
      </c>
      <c r="R510" s="58" t="str">
        <f aca="false">IF($D510="","",IF(LEFT($D510,2)="销售","应收账款","应付账款"))</f>
        <v/>
      </c>
      <c r="S510" s="58" t="str">
        <f aca="false">IF($F510="","",IFERROR(INDEX(商品档案!$G$6:$G$65,MATCH($F510,商品档案!$A$6:$A$65,0)),""))</f>
        <v/>
      </c>
      <c r="T510" s="58" t="str">
        <f aca="false">IF($F510="","",IFERROR(INDEX(商品档案!$H$6:$H$65,MATCH($F510,商品档案!$A$6:$A$65,0)),""))</f>
        <v/>
      </c>
      <c r="U510" s="58" t="str">
        <f aca="false">IF($F510="","",IFERROR(INDEX(商品档案!$I$6:$I$65,MATCH($F510,商品档案!$A$6:$A$65,0)),""))</f>
        <v/>
      </c>
      <c r="V510" s="59" t="str">
        <f aca="false">IF($F510="","",SUMIFS(进销存台账!$N$6:$N$65,进销存台账!$A$6:$A$65,$C510,进销存台账!$B$6:$B$65,$F510))</f>
        <v/>
      </c>
      <c r="W510" s="60" t="n">
        <f aca="false">IF(OR($D510="销售出库",$D510="销售退回"),ROUND(N($J510)*N($V510),2),0)</f>
        <v>0</v>
      </c>
      <c r="X510" s="58" t="str">
        <f aca="false">IF($E510="","",IFERROR(INDEX(往来单位!$D$6:$D$85,MATCH($E510,往来单位!$A$6:$A$85,0)),"否"))</f>
        <v/>
      </c>
      <c r="Y510" s="61" t="str">
        <f aca="false">IF($B510="","",YEAR($B510))</f>
        <v/>
      </c>
      <c r="Z510" s="58" t="str">
        <f aca="false">IF($B510="","",TEXT($B510,"yyyy-mm"))</f>
        <v/>
      </c>
    </row>
    <row r="511" customFormat="false" ht="15" hidden="false" customHeight="false" outlineLevel="0" collapsed="false">
      <c r="A511" s="53" t="str">
        <f aca="false">IF($B511="","",ROW()-5)</f>
        <v/>
      </c>
      <c r="B511" s="54"/>
      <c r="C511" s="33"/>
      <c r="D511" s="33"/>
      <c r="E511" s="32"/>
      <c r="F511" s="39"/>
      <c r="G511" s="48" t="str">
        <f aca="false">IF($F511="","",IFERROR(INDEX(商品档案!$B$6:$B$65,MATCH($F511,商品档案!$A$6:$A$65,0)),""))</f>
        <v/>
      </c>
      <c r="H511" s="48" t="str">
        <f aca="false">IF($F511="","",IFERROR(INDEX(商品档案!$C$6:$C$65,MATCH($F511,商品档案!$A$6:$A$65,0)),""))</f>
        <v/>
      </c>
      <c r="I511" s="55" t="str">
        <f aca="false">IF($F511="","",IFERROR(INDEX(商品档案!$D$6:$D$65,MATCH($F511,商品档案!$A$6:$A$65,0)),""))</f>
        <v/>
      </c>
      <c r="J511" s="49"/>
      <c r="K511" s="56"/>
      <c r="L511" s="33"/>
      <c r="M511" s="39"/>
      <c r="N511" s="41"/>
      <c r="O511" s="41"/>
      <c r="P511" s="25" t="str">
        <f aca="false">IF(AND($B511="",$D511="",$F511=""),"",IF(NOT(ISNUMBER($B511)),"日期无效",IF(ISNA(MATCH($C511,参数设置!$A$10:$A$12,0)),"公司无效",IF(ISNA(MATCH($D511,记账规则!$A$6:$A$9,0)),"业务类型无效",IF(ISNA(MATCH($F511,商品档案!$A$6:$A$65,0)),"商品编码无效",IF(IFERROR(INDEX(商品档案!$E$6:$E$65,MATCH($F511,商品档案!$A$6:$A$65,0)),"")&lt;&gt;$C511,"商品不属于该公司",IF(AND($E511&lt;&gt;"",ISNA(MATCH($E511,往来单位!$A$6:$A$85,0))),"往来单位未建档",IF(N($J511)=0,"数量为 0",IF(N($K511)=0,"单价为 0",IF(AND(LEFT($D511,2)="销售",$U511=""),"该商品没设成本科目",IF(YEAR($B511)&lt;&gt;参数设置!$B$5,"不在本会计年度","OK")))))))))))</f>
        <v/>
      </c>
      <c r="Q511" s="57" t="str">
        <f aca="false">IF($F511="","",ROUND(N($J511)*N($K511),2))</f>
        <v/>
      </c>
      <c r="R511" s="58" t="str">
        <f aca="false">IF($D511="","",IF(LEFT($D511,2)="销售","应收账款","应付账款"))</f>
        <v/>
      </c>
      <c r="S511" s="58" t="str">
        <f aca="false">IF($F511="","",IFERROR(INDEX(商品档案!$G$6:$G$65,MATCH($F511,商品档案!$A$6:$A$65,0)),""))</f>
        <v/>
      </c>
      <c r="T511" s="58" t="str">
        <f aca="false">IF($F511="","",IFERROR(INDEX(商品档案!$H$6:$H$65,MATCH($F511,商品档案!$A$6:$A$65,0)),""))</f>
        <v/>
      </c>
      <c r="U511" s="58" t="str">
        <f aca="false">IF($F511="","",IFERROR(INDEX(商品档案!$I$6:$I$65,MATCH($F511,商品档案!$A$6:$A$65,0)),""))</f>
        <v/>
      </c>
      <c r="V511" s="59" t="str">
        <f aca="false">IF($F511="","",SUMIFS(进销存台账!$N$6:$N$65,进销存台账!$A$6:$A$65,$C511,进销存台账!$B$6:$B$65,$F511))</f>
        <v/>
      </c>
      <c r="W511" s="60" t="n">
        <f aca="false">IF(OR($D511="销售出库",$D511="销售退回"),ROUND(N($J511)*N($V511),2),0)</f>
        <v>0</v>
      </c>
      <c r="X511" s="58" t="str">
        <f aca="false">IF($E511="","",IFERROR(INDEX(往来单位!$D$6:$D$85,MATCH($E511,往来单位!$A$6:$A$85,0)),"否"))</f>
        <v/>
      </c>
      <c r="Y511" s="61" t="str">
        <f aca="false">IF($B511="","",YEAR($B511))</f>
        <v/>
      </c>
      <c r="Z511" s="58" t="str">
        <f aca="false">IF($B511="","",TEXT($B511,"yyyy-mm"))</f>
        <v/>
      </c>
    </row>
    <row r="512" customFormat="false" ht="15" hidden="false" customHeight="false" outlineLevel="0" collapsed="false">
      <c r="A512" s="53" t="str">
        <f aca="false">IF($B512="","",ROW()-5)</f>
        <v/>
      </c>
      <c r="B512" s="54"/>
      <c r="C512" s="33"/>
      <c r="D512" s="33"/>
      <c r="E512" s="32"/>
      <c r="F512" s="39"/>
      <c r="G512" s="48" t="str">
        <f aca="false">IF($F512="","",IFERROR(INDEX(商品档案!$B$6:$B$65,MATCH($F512,商品档案!$A$6:$A$65,0)),""))</f>
        <v/>
      </c>
      <c r="H512" s="48" t="str">
        <f aca="false">IF($F512="","",IFERROR(INDEX(商品档案!$C$6:$C$65,MATCH($F512,商品档案!$A$6:$A$65,0)),""))</f>
        <v/>
      </c>
      <c r="I512" s="55" t="str">
        <f aca="false">IF($F512="","",IFERROR(INDEX(商品档案!$D$6:$D$65,MATCH($F512,商品档案!$A$6:$A$65,0)),""))</f>
        <v/>
      </c>
      <c r="J512" s="49"/>
      <c r="K512" s="56"/>
      <c r="L512" s="33"/>
      <c r="M512" s="39"/>
      <c r="N512" s="41"/>
      <c r="O512" s="41"/>
      <c r="P512" s="25" t="str">
        <f aca="false">IF(AND($B512="",$D512="",$F512=""),"",IF(NOT(ISNUMBER($B512)),"日期无效",IF(ISNA(MATCH($C512,参数设置!$A$10:$A$12,0)),"公司无效",IF(ISNA(MATCH($D512,记账规则!$A$6:$A$9,0)),"业务类型无效",IF(ISNA(MATCH($F512,商品档案!$A$6:$A$65,0)),"商品编码无效",IF(IFERROR(INDEX(商品档案!$E$6:$E$65,MATCH($F512,商品档案!$A$6:$A$65,0)),"")&lt;&gt;$C512,"商品不属于该公司",IF(AND($E512&lt;&gt;"",ISNA(MATCH($E512,往来单位!$A$6:$A$85,0))),"往来单位未建档",IF(N($J512)=0,"数量为 0",IF(N($K512)=0,"单价为 0",IF(AND(LEFT($D512,2)="销售",$U512=""),"该商品没设成本科目",IF(YEAR($B512)&lt;&gt;参数设置!$B$5,"不在本会计年度","OK")))))))))))</f>
        <v/>
      </c>
      <c r="Q512" s="57" t="str">
        <f aca="false">IF($F512="","",ROUND(N($J512)*N($K512),2))</f>
        <v/>
      </c>
      <c r="R512" s="58" t="str">
        <f aca="false">IF($D512="","",IF(LEFT($D512,2)="销售","应收账款","应付账款"))</f>
        <v/>
      </c>
      <c r="S512" s="58" t="str">
        <f aca="false">IF($F512="","",IFERROR(INDEX(商品档案!$G$6:$G$65,MATCH($F512,商品档案!$A$6:$A$65,0)),""))</f>
        <v/>
      </c>
      <c r="T512" s="58" t="str">
        <f aca="false">IF($F512="","",IFERROR(INDEX(商品档案!$H$6:$H$65,MATCH($F512,商品档案!$A$6:$A$65,0)),""))</f>
        <v/>
      </c>
      <c r="U512" s="58" t="str">
        <f aca="false">IF($F512="","",IFERROR(INDEX(商品档案!$I$6:$I$65,MATCH($F512,商品档案!$A$6:$A$65,0)),""))</f>
        <v/>
      </c>
      <c r="V512" s="59" t="str">
        <f aca="false">IF($F512="","",SUMIFS(进销存台账!$N$6:$N$65,进销存台账!$A$6:$A$65,$C512,进销存台账!$B$6:$B$65,$F512))</f>
        <v/>
      </c>
      <c r="W512" s="60" t="n">
        <f aca="false">IF(OR($D512="销售出库",$D512="销售退回"),ROUND(N($J512)*N($V512),2),0)</f>
        <v>0</v>
      </c>
      <c r="X512" s="58" t="str">
        <f aca="false">IF($E512="","",IFERROR(INDEX(往来单位!$D$6:$D$85,MATCH($E512,往来单位!$A$6:$A$85,0)),"否"))</f>
        <v/>
      </c>
      <c r="Y512" s="61" t="str">
        <f aca="false">IF($B512="","",YEAR($B512))</f>
        <v/>
      </c>
      <c r="Z512" s="58" t="str">
        <f aca="false">IF($B512="","",TEXT($B512,"yyyy-mm"))</f>
        <v/>
      </c>
    </row>
    <row r="513" customFormat="false" ht="15" hidden="false" customHeight="false" outlineLevel="0" collapsed="false">
      <c r="A513" s="53" t="str">
        <f aca="false">IF($B513="","",ROW()-5)</f>
        <v/>
      </c>
      <c r="B513" s="54"/>
      <c r="C513" s="33"/>
      <c r="D513" s="33"/>
      <c r="E513" s="32"/>
      <c r="F513" s="39"/>
      <c r="G513" s="48" t="str">
        <f aca="false">IF($F513="","",IFERROR(INDEX(商品档案!$B$6:$B$65,MATCH($F513,商品档案!$A$6:$A$65,0)),""))</f>
        <v/>
      </c>
      <c r="H513" s="48" t="str">
        <f aca="false">IF($F513="","",IFERROR(INDEX(商品档案!$C$6:$C$65,MATCH($F513,商品档案!$A$6:$A$65,0)),""))</f>
        <v/>
      </c>
      <c r="I513" s="55" t="str">
        <f aca="false">IF($F513="","",IFERROR(INDEX(商品档案!$D$6:$D$65,MATCH($F513,商品档案!$A$6:$A$65,0)),""))</f>
        <v/>
      </c>
      <c r="J513" s="49"/>
      <c r="K513" s="56"/>
      <c r="L513" s="33"/>
      <c r="M513" s="39"/>
      <c r="N513" s="41"/>
      <c r="O513" s="41"/>
      <c r="P513" s="25" t="str">
        <f aca="false">IF(AND($B513="",$D513="",$F513=""),"",IF(NOT(ISNUMBER($B513)),"日期无效",IF(ISNA(MATCH($C513,参数设置!$A$10:$A$12,0)),"公司无效",IF(ISNA(MATCH($D513,记账规则!$A$6:$A$9,0)),"业务类型无效",IF(ISNA(MATCH($F513,商品档案!$A$6:$A$65,0)),"商品编码无效",IF(IFERROR(INDEX(商品档案!$E$6:$E$65,MATCH($F513,商品档案!$A$6:$A$65,0)),"")&lt;&gt;$C513,"商品不属于该公司",IF(AND($E513&lt;&gt;"",ISNA(MATCH($E513,往来单位!$A$6:$A$85,0))),"往来单位未建档",IF(N($J513)=0,"数量为 0",IF(N($K513)=0,"单价为 0",IF(AND(LEFT($D513,2)="销售",$U513=""),"该商品没设成本科目",IF(YEAR($B513)&lt;&gt;参数设置!$B$5,"不在本会计年度","OK")))))))))))</f>
        <v/>
      </c>
      <c r="Q513" s="57" t="str">
        <f aca="false">IF($F513="","",ROUND(N($J513)*N($K513),2))</f>
        <v/>
      </c>
      <c r="R513" s="58" t="str">
        <f aca="false">IF($D513="","",IF(LEFT($D513,2)="销售","应收账款","应付账款"))</f>
        <v/>
      </c>
      <c r="S513" s="58" t="str">
        <f aca="false">IF($F513="","",IFERROR(INDEX(商品档案!$G$6:$G$65,MATCH($F513,商品档案!$A$6:$A$65,0)),""))</f>
        <v/>
      </c>
      <c r="T513" s="58" t="str">
        <f aca="false">IF($F513="","",IFERROR(INDEX(商品档案!$H$6:$H$65,MATCH($F513,商品档案!$A$6:$A$65,0)),""))</f>
        <v/>
      </c>
      <c r="U513" s="58" t="str">
        <f aca="false">IF($F513="","",IFERROR(INDEX(商品档案!$I$6:$I$65,MATCH($F513,商品档案!$A$6:$A$65,0)),""))</f>
        <v/>
      </c>
      <c r="V513" s="59" t="str">
        <f aca="false">IF($F513="","",SUMIFS(进销存台账!$N$6:$N$65,进销存台账!$A$6:$A$65,$C513,进销存台账!$B$6:$B$65,$F513))</f>
        <v/>
      </c>
      <c r="W513" s="60" t="n">
        <f aca="false">IF(OR($D513="销售出库",$D513="销售退回"),ROUND(N($J513)*N($V513),2),0)</f>
        <v>0</v>
      </c>
      <c r="X513" s="58" t="str">
        <f aca="false">IF($E513="","",IFERROR(INDEX(往来单位!$D$6:$D$85,MATCH($E513,往来单位!$A$6:$A$85,0)),"否"))</f>
        <v/>
      </c>
      <c r="Y513" s="61" t="str">
        <f aca="false">IF($B513="","",YEAR($B513))</f>
        <v/>
      </c>
      <c r="Z513" s="58" t="str">
        <f aca="false">IF($B513="","",TEXT($B513,"yyyy-mm"))</f>
        <v/>
      </c>
    </row>
    <row r="514" customFormat="false" ht="15" hidden="false" customHeight="false" outlineLevel="0" collapsed="false">
      <c r="A514" s="53" t="str">
        <f aca="false">IF($B514="","",ROW()-5)</f>
        <v/>
      </c>
      <c r="B514" s="54"/>
      <c r="C514" s="33"/>
      <c r="D514" s="33"/>
      <c r="E514" s="32"/>
      <c r="F514" s="39"/>
      <c r="G514" s="48" t="str">
        <f aca="false">IF($F514="","",IFERROR(INDEX(商品档案!$B$6:$B$65,MATCH($F514,商品档案!$A$6:$A$65,0)),""))</f>
        <v/>
      </c>
      <c r="H514" s="48" t="str">
        <f aca="false">IF($F514="","",IFERROR(INDEX(商品档案!$C$6:$C$65,MATCH($F514,商品档案!$A$6:$A$65,0)),""))</f>
        <v/>
      </c>
      <c r="I514" s="55" t="str">
        <f aca="false">IF($F514="","",IFERROR(INDEX(商品档案!$D$6:$D$65,MATCH($F514,商品档案!$A$6:$A$65,0)),""))</f>
        <v/>
      </c>
      <c r="J514" s="49"/>
      <c r="K514" s="56"/>
      <c r="L514" s="33"/>
      <c r="M514" s="39"/>
      <c r="N514" s="41"/>
      <c r="O514" s="41"/>
      <c r="P514" s="25" t="str">
        <f aca="false">IF(AND($B514="",$D514="",$F514=""),"",IF(NOT(ISNUMBER($B514)),"日期无效",IF(ISNA(MATCH($C514,参数设置!$A$10:$A$12,0)),"公司无效",IF(ISNA(MATCH($D514,记账规则!$A$6:$A$9,0)),"业务类型无效",IF(ISNA(MATCH($F514,商品档案!$A$6:$A$65,0)),"商品编码无效",IF(IFERROR(INDEX(商品档案!$E$6:$E$65,MATCH($F514,商品档案!$A$6:$A$65,0)),"")&lt;&gt;$C514,"商品不属于该公司",IF(AND($E514&lt;&gt;"",ISNA(MATCH($E514,往来单位!$A$6:$A$85,0))),"往来单位未建档",IF(N($J514)=0,"数量为 0",IF(N($K514)=0,"单价为 0",IF(AND(LEFT($D514,2)="销售",$U514=""),"该商品没设成本科目",IF(YEAR($B514)&lt;&gt;参数设置!$B$5,"不在本会计年度","OK")))))))))))</f>
        <v/>
      </c>
      <c r="Q514" s="57" t="str">
        <f aca="false">IF($F514="","",ROUND(N($J514)*N($K514),2))</f>
        <v/>
      </c>
      <c r="R514" s="58" t="str">
        <f aca="false">IF($D514="","",IF(LEFT($D514,2)="销售","应收账款","应付账款"))</f>
        <v/>
      </c>
      <c r="S514" s="58" t="str">
        <f aca="false">IF($F514="","",IFERROR(INDEX(商品档案!$G$6:$G$65,MATCH($F514,商品档案!$A$6:$A$65,0)),""))</f>
        <v/>
      </c>
      <c r="T514" s="58" t="str">
        <f aca="false">IF($F514="","",IFERROR(INDEX(商品档案!$H$6:$H$65,MATCH($F514,商品档案!$A$6:$A$65,0)),""))</f>
        <v/>
      </c>
      <c r="U514" s="58" t="str">
        <f aca="false">IF($F514="","",IFERROR(INDEX(商品档案!$I$6:$I$65,MATCH($F514,商品档案!$A$6:$A$65,0)),""))</f>
        <v/>
      </c>
      <c r="V514" s="59" t="str">
        <f aca="false">IF($F514="","",SUMIFS(进销存台账!$N$6:$N$65,进销存台账!$A$6:$A$65,$C514,进销存台账!$B$6:$B$65,$F514))</f>
        <v/>
      </c>
      <c r="W514" s="60" t="n">
        <f aca="false">IF(OR($D514="销售出库",$D514="销售退回"),ROUND(N($J514)*N($V514),2),0)</f>
        <v>0</v>
      </c>
      <c r="X514" s="58" t="str">
        <f aca="false">IF($E514="","",IFERROR(INDEX(往来单位!$D$6:$D$85,MATCH($E514,往来单位!$A$6:$A$85,0)),"否"))</f>
        <v/>
      </c>
      <c r="Y514" s="61" t="str">
        <f aca="false">IF($B514="","",YEAR($B514))</f>
        <v/>
      </c>
      <c r="Z514" s="58" t="str">
        <f aca="false">IF($B514="","",TEXT($B514,"yyyy-mm"))</f>
        <v/>
      </c>
    </row>
    <row r="515" customFormat="false" ht="15" hidden="false" customHeight="false" outlineLevel="0" collapsed="false">
      <c r="A515" s="53" t="str">
        <f aca="false">IF($B515="","",ROW()-5)</f>
        <v/>
      </c>
      <c r="B515" s="54"/>
      <c r="C515" s="33"/>
      <c r="D515" s="33"/>
      <c r="E515" s="32"/>
      <c r="F515" s="39"/>
      <c r="G515" s="48" t="str">
        <f aca="false">IF($F515="","",IFERROR(INDEX(商品档案!$B$6:$B$65,MATCH($F515,商品档案!$A$6:$A$65,0)),""))</f>
        <v/>
      </c>
      <c r="H515" s="48" t="str">
        <f aca="false">IF($F515="","",IFERROR(INDEX(商品档案!$C$6:$C$65,MATCH($F515,商品档案!$A$6:$A$65,0)),""))</f>
        <v/>
      </c>
      <c r="I515" s="55" t="str">
        <f aca="false">IF($F515="","",IFERROR(INDEX(商品档案!$D$6:$D$65,MATCH($F515,商品档案!$A$6:$A$65,0)),""))</f>
        <v/>
      </c>
      <c r="J515" s="49"/>
      <c r="K515" s="56"/>
      <c r="L515" s="33"/>
      <c r="M515" s="39"/>
      <c r="N515" s="41"/>
      <c r="O515" s="41"/>
      <c r="P515" s="25" t="str">
        <f aca="false">IF(AND($B515="",$D515="",$F515=""),"",IF(NOT(ISNUMBER($B515)),"日期无效",IF(ISNA(MATCH($C515,参数设置!$A$10:$A$12,0)),"公司无效",IF(ISNA(MATCH($D515,记账规则!$A$6:$A$9,0)),"业务类型无效",IF(ISNA(MATCH($F515,商品档案!$A$6:$A$65,0)),"商品编码无效",IF(IFERROR(INDEX(商品档案!$E$6:$E$65,MATCH($F515,商品档案!$A$6:$A$65,0)),"")&lt;&gt;$C515,"商品不属于该公司",IF(AND($E515&lt;&gt;"",ISNA(MATCH($E515,往来单位!$A$6:$A$85,0))),"往来单位未建档",IF(N($J515)=0,"数量为 0",IF(N($K515)=0,"单价为 0",IF(AND(LEFT($D515,2)="销售",$U515=""),"该商品没设成本科目",IF(YEAR($B515)&lt;&gt;参数设置!$B$5,"不在本会计年度","OK")))))))))))</f>
        <v/>
      </c>
      <c r="Q515" s="57" t="str">
        <f aca="false">IF($F515="","",ROUND(N($J515)*N($K515),2))</f>
        <v/>
      </c>
      <c r="R515" s="58" t="str">
        <f aca="false">IF($D515="","",IF(LEFT($D515,2)="销售","应收账款","应付账款"))</f>
        <v/>
      </c>
      <c r="S515" s="58" t="str">
        <f aca="false">IF($F515="","",IFERROR(INDEX(商品档案!$G$6:$G$65,MATCH($F515,商品档案!$A$6:$A$65,0)),""))</f>
        <v/>
      </c>
      <c r="T515" s="58" t="str">
        <f aca="false">IF($F515="","",IFERROR(INDEX(商品档案!$H$6:$H$65,MATCH($F515,商品档案!$A$6:$A$65,0)),""))</f>
        <v/>
      </c>
      <c r="U515" s="58" t="str">
        <f aca="false">IF($F515="","",IFERROR(INDEX(商品档案!$I$6:$I$65,MATCH($F515,商品档案!$A$6:$A$65,0)),""))</f>
        <v/>
      </c>
      <c r="V515" s="59" t="str">
        <f aca="false">IF($F515="","",SUMIFS(进销存台账!$N$6:$N$65,进销存台账!$A$6:$A$65,$C515,进销存台账!$B$6:$B$65,$F515))</f>
        <v/>
      </c>
      <c r="W515" s="60" t="n">
        <f aca="false">IF(OR($D515="销售出库",$D515="销售退回"),ROUND(N($J515)*N($V515),2),0)</f>
        <v>0</v>
      </c>
      <c r="X515" s="58" t="str">
        <f aca="false">IF($E515="","",IFERROR(INDEX(往来单位!$D$6:$D$85,MATCH($E515,往来单位!$A$6:$A$85,0)),"否"))</f>
        <v/>
      </c>
      <c r="Y515" s="61" t="str">
        <f aca="false">IF($B515="","",YEAR($B515))</f>
        <v/>
      </c>
      <c r="Z515" s="58" t="str">
        <f aca="false">IF($B515="","",TEXT($B515,"yyyy-mm"))</f>
        <v/>
      </c>
    </row>
    <row r="516" customFormat="false" ht="15" hidden="false" customHeight="false" outlineLevel="0" collapsed="false">
      <c r="A516" s="53" t="str">
        <f aca="false">IF($B516="","",ROW()-5)</f>
        <v/>
      </c>
      <c r="B516" s="54"/>
      <c r="C516" s="33"/>
      <c r="D516" s="33"/>
      <c r="E516" s="32"/>
      <c r="F516" s="39"/>
      <c r="G516" s="48" t="str">
        <f aca="false">IF($F516="","",IFERROR(INDEX(商品档案!$B$6:$B$65,MATCH($F516,商品档案!$A$6:$A$65,0)),""))</f>
        <v/>
      </c>
      <c r="H516" s="48" t="str">
        <f aca="false">IF($F516="","",IFERROR(INDEX(商品档案!$C$6:$C$65,MATCH($F516,商品档案!$A$6:$A$65,0)),""))</f>
        <v/>
      </c>
      <c r="I516" s="55" t="str">
        <f aca="false">IF($F516="","",IFERROR(INDEX(商品档案!$D$6:$D$65,MATCH($F516,商品档案!$A$6:$A$65,0)),""))</f>
        <v/>
      </c>
      <c r="J516" s="49"/>
      <c r="K516" s="56"/>
      <c r="L516" s="33"/>
      <c r="M516" s="39"/>
      <c r="N516" s="41"/>
      <c r="O516" s="41"/>
      <c r="P516" s="25" t="str">
        <f aca="false">IF(AND($B516="",$D516="",$F516=""),"",IF(NOT(ISNUMBER($B516)),"日期无效",IF(ISNA(MATCH($C516,参数设置!$A$10:$A$12,0)),"公司无效",IF(ISNA(MATCH($D516,记账规则!$A$6:$A$9,0)),"业务类型无效",IF(ISNA(MATCH($F516,商品档案!$A$6:$A$65,0)),"商品编码无效",IF(IFERROR(INDEX(商品档案!$E$6:$E$65,MATCH($F516,商品档案!$A$6:$A$65,0)),"")&lt;&gt;$C516,"商品不属于该公司",IF(AND($E516&lt;&gt;"",ISNA(MATCH($E516,往来单位!$A$6:$A$85,0))),"往来单位未建档",IF(N($J516)=0,"数量为 0",IF(N($K516)=0,"单价为 0",IF(AND(LEFT($D516,2)="销售",$U516=""),"该商品没设成本科目",IF(YEAR($B516)&lt;&gt;参数设置!$B$5,"不在本会计年度","OK")))))))))))</f>
        <v/>
      </c>
      <c r="Q516" s="57" t="str">
        <f aca="false">IF($F516="","",ROUND(N($J516)*N($K516),2))</f>
        <v/>
      </c>
      <c r="R516" s="58" t="str">
        <f aca="false">IF($D516="","",IF(LEFT($D516,2)="销售","应收账款","应付账款"))</f>
        <v/>
      </c>
      <c r="S516" s="58" t="str">
        <f aca="false">IF($F516="","",IFERROR(INDEX(商品档案!$G$6:$G$65,MATCH($F516,商品档案!$A$6:$A$65,0)),""))</f>
        <v/>
      </c>
      <c r="T516" s="58" t="str">
        <f aca="false">IF($F516="","",IFERROR(INDEX(商品档案!$H$6:$H$65,MATCH($F516,商品档案!$A$6:$A$65,0)),""))</f>
        <v/>
      </c>
      <c r="U516" s="58" t="str">
        <f aca="false">IF($F516="","",IFERROR(INDEX(商品档案!$I$6:$I$65,MATCH($F516,商品档案!$A$6:$A$65,0)),""))</f>
        <v/>
      </c>
      <c r="V516" s="59" t="str">
        <f aca="false">IF($F516="","",SUMIFS(进销存台账!$N$6:$N$65,进销存台账!$A$6:$A$65,$C516,进销存台账!$B$6:$B$65,$F516))</f>
        <v/>
      </c>
      <c r="W516" s="60" t="n">
        <f aca="false">IF(OR($D516="销售出库",$D516="销售退回"),ROUND(N($J516)*N($V516),2),0)</f>
        <v>0</v>
      </c>
      <c r="X516" s="58" t="str">
        <f aca="false">IF($E516="","",IFERROR(INDEX(往来单位!$D$6:$D$85,MATCH($E516,往来单位!$A$6:$A$85,0)),"否"))</f>
        <v/>
      </c>
      <c r="Y516" s="61" t="str">
        <f aca="false">IF($B516="","",YEAR($B516))</f>
        <v/>
      </c>
      <c r="Z516" s="58" t="str">
        <f aca="false">IF($B516="","",TEXT($B516,"yyyy-mm"))</f>
        <v/>
      </c>
    </row>
    <row r="517" customFormat="false" ht="15" hidden="false" customHeight="false" outlineLevel="0" collapsed="false">
      <c r="A517" s="53" t="str">
        <f aca="false">IF($B517="","",ROW()-5)</f>
        <v/>
      </c>
      <c r="B517" s="54"/>
      <c r="C517" s="33"/>
      <c r="D517" s="33"/>
      <c r="E517" s="32"/>
      <c r="F517" s="39"/>
      <c r="G517" s="48" t="str">
        <f aca="false">IF($F517="","",IFERROR(INDEX(商品档案!$B$6:$B$65,MATCH($F517,商品档案!$A$6:$A$65,0)),""))</f>
        <v/>
      </c>
      <c r="H517" s="48" t="str">
        <f aca="false">IF($F517="","",IFERROR(INDEX(商品档案!$C$6:$C$65,MATCH($F517,商品档案!$A$6:$A$65,0)),""))</f>
        <v/>
      </c>
      <c r="I517" s="55" t="str">
        <f aca="false">IF($F517="","",IFERROR(INDEX(商品档案!$D$6:$D$65,MATCH($F517,商品档案!$A$6:$A$65,0)),""))</f>
        <v/>
      </c>
      <c r="J517" s="49"/>
      <c r="K517" s="56"/>
      <c r="L517" s="33"/>
      <c r="M517" s="39"/>
      <c r="N517" s="41"/>
      <c r="O517" s="41"/>
      <c r="P517" s="25" t="str">
        <f aca="false">IF(AND($B517="",$D517="",$F517=""),"",IF(NOT(ISNUMBER($B517)),"日期无效",IF(ISNA(MATCH($C517,参数设置!$A$10:$A$12,0)),"公司无效",IF(ISNA(MATCH($D517,记账规则!$A$6:$A$9,0)),"业务类型无效",IF(ISNA(MATCH($F517,商品档案!$A$6:$A$65,0)),"商品编码无效",IF(IFERROR(INDEX(商品档案!$E$6:$E$65,MATCH($F517,商品档案!$A$6:$A$65,0)),"")&lt;&gt;$C517,"商品不属于该公司",IF(AND($E517&lt;&gt;"",ISNA(MATCH($E517,往来单位!$A$6:$A$85,0))),"往来单位未建档",IF(N($J517)=0,"数量为 0",IF(N($K517)=0,"单价为 0",IF(AND(LEFT($D517,2)="销售",$U517=""),"该商品没设成本科目",IF(YEAR($B517)&lt;&gt;参数设置!$B$5,"不在本会计年度","OK")))))))))))</f>
        <v/>
      </c>
      <c r="Q517" s="57" t="str">
        <f aca="false">IF($F517="","",ROUND(N($J517)*N($K517),2))</f>
        <v/>
      </c>
      <c r="R517" s="58" t="str">
        <f aca="false">IF($D517="","",IF(LEFT($D517,2)="销售","应收账款","应付账款"))</f>
        <v/>
      </c>
      <c r="S517" s="58" t="str">
        <f aca="false">IF($F517="","",IFERROR(INDEX(商品档案!$G$6:$G$65,MATCH($F517,商品档案!$A$6:$A$65,0)),""))</f>
        <v/>
      </c>
      <c r="T517" s="58" t="str">
        <f aca="false">IF($F517="","",IFERROR(INDEX(商品档案!$H$6:$H$65,MATCH($F517,商品档案!$A$6:$A$65,0)),""))</f>
        <v/>
      </c>
      <c r="U517" s="58" t="str">
        <f aca="false">IF($F517="","",IFERROR(INDEX(商品档案!$I$6:$I$65,MATCH($F517,商品档案!$A$6:$A$65,0)),""))</f>
        <v/>
      </c>
      <c r="V517" s="59" t="str">
        <f aca="false">IF($F517="","",SUMIFS(进销存台账!$N$6:$N$65,进销存台账!$A$6:$A$65,$C517,进销存台账!$B$6:$B$65,$F517))</f>
        <v/>
      </c>
      <c r="W517" s="60" t="n">
        <f aca="false">IF(OR($D517="销售出库",$D517="销售退回"),ROUND(N($J517)*N($V517),2),0)</f>
        <v>0</v>
      </c>
      <c r="X517" s="58" t="str">
        <f aca="false">IF($E517="","",IFERROR(INDEX(往来单位!$D$6:$D$85,MATCH($E517,往来单位!$A$6:$A$85,0)),"否"))</f>
        <v/>
      </c>
      <c r="Y517" s="61" t="str">
        <f aca="false">IF($B517="","",YEAR($B517))</f>
        <v/>
      </c>
      <c r="Z517" s="58" t="str">
        <f aca="false">IF($B517="","",TEXT($B517,"yyyy-mm"))</f>
        <v/>
      </c>
    </row>
    <row r="518" customFormat="false" ht="15" hidden="false" customHeight="false" outlineLevel="0" collapsed="false">
      <c r="A518" s="53" t="str">
        <f aca="false">IF($B518="","",ROW()-5)</f>
        <v/>
      </c>
      <c r="B518" s="54"/>
      <c r="C518" s="33"/>
      <c r="D518" s="33"/>
      <c r="E518" s="32"/>
      <c r="F518" s="39"/>
      <c r="G518" s="48" t="str">
        <f aca="false">IF($F518="","",IFERROR(INDEX(商品档案!$B$6:$B$65,MATCH($F518,商品档案!$A$6:$A$65,0)),""))</f>
        <v/>
      </c>
      <c r="H518" s="48" t="str">
        <f aca="false">IF($F518="","",IFERROR(INDEX(商品档案!$C$6:$C$65,MATCH($F518,商品档案!$A$6:$A$65,0)),""))</f>
        <v/>
      </c>
      <c r="I518" s="55" t="str">
        <f aca="false">IF($F518="","",IFERROR(INDEX(商品档案!$D$6:$D$65,MATCH($F518,商品档案!$A$6:$A$65,0)),""))</f>
        <v/>
      </c>
      <c r="J518" s="49"/>
      <c r="K518" s="56"/>
      <c r="L518" s="33"/>
      <c r="M518" s="39"/>
      <c r="N518" s="41"/>
      <c r="O518" s="41"/>
      <c r="P518" s="25" t="str">
        <f aca="false">IF(AND($B518="",$D518="",$F518=""),"",IF(NOT(ISNUMBER($B518)),"日期无效",IF(ISNA(MATCH($C518,参数设置!$A$10:$A$12,0)),"公司无效",IF(ISNA(MATCH($D518,记账规则!$A$6:$A$9,0)),"业务类型无效",IF(ISNA(MATCH($F518,商品档案!$A$6:$A$65,0)),"商品编码无效",IF(IFERROR(INDEX(商品档案!$E$6:$E$65,MATCH($F518,商品档案!$A$6:$A$65,0)),"")&lt;&gt;$C518,"商品不属于该公司",IF(AND($E518&lt;&gt;"",ISNA(MATCH($E518,往来单位!$A$6:$A$85,0))),"往来单位未建档",IF(N($J518)=0,"数量为 0",IF(N($K518)=0,"单价为 0",IF(AND(LEFT($D518,2)="销售",$U518=""),"该商品没设成本科目",IF(YEAR($B518)&lt;&gt;参数设置!$B$5,"不在本会计年度","OK")))))))))))</f>
        <v/>
      </c>
      <c r="Q518" s="57" t="str">
        <f aca="false">IF($F518="","",ROUND(N($J518)*N($K518),2))</f>
        <v/>
      </c>
      <c r="R518" s="58" t="str">
        <f aca="false">IF($D518="","",IF(LEFT($D518,2)="销售","应收账款","应付账款"))</f>
        <v/>
      </c>
      <c r="S518" s="58" t="str">
        <f aca="false">IF($F518="","",IFERROR(INDEX(商品档案!$G$6:$G$65,MATCH($F518,商品档案!$A$6:$A$65,0)),""))</f>
        <v/>
      </c>
      <c r="T518" s="58" t="str">
        <f aca="false">IF($F518="","",IFERROR(INDEX(商品档案!$H$6:$H$65,MATCH($F518,商品档案!$A$6:$A$65,0)),""))</f>
        <v/>
      </c>
      <c r="U518" s="58" t="str">
        <f aca="false">IF($F518="","",IFERROR(INDEX(商品档案!$I$6:$I$65,MATCH($F518,商品档案!$A$6:$A$65,0)),""))</f>
        <v/>
      </c>
      <c r="V518" s="59" t="str">
        <f aca="false">IF($F518="","",SUMIFS(进销存台账!$N$6:$N$65,进销存台账!$A$6:$A$65,$C518,进销存台账!$B$6:$B$65,$F518))</f>
        <v/>
      </c>
      <c r="W518" s="60" t="n">
        <f aca="false">IF(OR($D518="销售出库",$D518="销售退回"),ROUND(N($J518)*N($V518),2),0)</f>
        <v>0</v>
      </c>
      <c r="X518" s="58" t="str">
        <f aca="false">IF($E518="","",IFERROR(INDEX(往来单位!$D$6:$D$85,MATCH($E518,往来单位!$A$6:$A$85,0)),"否"))</f>
        <v/>
      </c>
      <c r="Y518" s="61" t="str">
        <f aca="false">IF($B518="","",YEAR($B518))</f>
        <v/>
      </c>
      <c r="Z518" s="58" t="str">
        <f aca="false">IF($B518="","",TEXT($B518,"yyyy-mm"))</f>
        <v/>
      </c>
    </row>
    <row r="519" customFormat="false" ht="15" hidden="false" customHeight="false" outlineLevel="0" collapsed="false">
      <c r="A519" s="53" t="str">
        <f aca="false">IF($B519="","",ROW()-5)</f>
        <v/>
      </c>
      <c r="B519" s="54"/>
      <c r="C519" s="33"/>
      <c r="D519" s="33"/>
      <c r="E519" s="32"/>
      <c r="F519" s="39"/>
      <c r="G519" s="48" t="str">
        <f aca="false">IF($F519="","",IFERROR(INDEX(商品档案!$B$6:$B$65,MATCH($F519,商品档案!$A$6:$A$65,0)),""))</f>
        <v/>
      </c>
      <c r="H519" s="48" t="str">
        <f aca="false">IF($F519="","",IFERROR(INDEX(商品档案!$C$6:$C$65,MATCH($F519,商品档案!$A$6:$A$65,0)),""))</f>
        <v/>
      </c>
      <c r="I519" s="55" t="str">
        <f aca="false">IF($F519="","",IFERROR(INDEX(商品档案!$D$6:$D$65,MATCH($F519,商品档案!$A$6:$A$65,0)),""))</f>
        <v/>
      </c>
      <c r="J519" s="49"/>
      <c r="K519" s="56"/>
      <c r="L519" s="33"/>
      <c r="M519" s="39"/>
      <c r="N519" s="41"/>
      <c r="O519" s="41"/>
      <c r="P519" s="25" t="str">
        <f aca="false">IF(AND($B519="",$D519="",$F519=""),"",IF(NOT(ISNUMBER($B519)),"日期无效",IF(ISNA(MATCH($C519,参数设置!$A$10:$A$12,0)),"公司无效",IF(ISNA(MATCH($D519,记账规则!$A$6:$A$9,0)),"业务类型无效",IF(ISNA(MATCH($F519,商品档案!$A$6:$A$65,0)),"商品编码无效",IF(IFERROR(INDEX(商品档案!$E$6:$E$65,MATCH($F519,商品档案!$A$6:$A$65,0)),"")&lt;&gt;$C519,"商品不属于该公司",IF(AND($E519&lt;&gt;"",ISNA(MATCH($E519,往来单位!$A$6:$A$85,0))),"往来单位未建档",IF(N($J519)=0,"数量为 0",IF(N($K519)=0,"单价为 0",IF(AND(LEFT($D519,2)="销售",$U519=""),"该商品没设成本科目",IF(YEAR($B519)&lt;&gt;参数设置!$B$5,"不在本会计年度","OK")))))))))))</f>
        <v/>
      </c>
      <c r="Q519" s="57" t="str">
        <f aca="false">IF($F519="","",ROUND(N($J519)*N($K519),2))</f>
        <v/>
      </c>
      <c r="R519" s="58" t="str">
        <f aca="false">IF($D519="","",IF(LEFT($D519,2)="销售","应收账款","应付账款"))</f>
        <v/>
      </c>
      <c r="S519" s="58" t="str">
        <f aca="false">IF($F519="","",IFERROR(INDEX(商品档案!$G$6:$G$65,MATCH($F519,商品档案!$A$6:$A$65,0)),""))</f>
        <v/>
      </c>
      <c r="T519" s="58" t="str">
        <f aca="false">IF($F519="","",IFERROR(INDEX(商品档案!$H$6:$H$65,MATCH($F519,商品档案!$A$6:$A$65,0)),""))</f>
        <v/>
      </c>
      <c r="U519" s="58" t="str">
        <f aca="false">IF($F519="","",IFERROR(INDEX(商品档案!$I$6:$I$65,MATCH($F519,商品档案!$A$6:$A$65,0)),""))</f>
        <v/>
      </c>
      <c r="V519" s="59" t="str">
        <f aca="false">IF($F519="","",SUMIFS(进销存台账!$N$6:$N$65,进销存台账!$A$6:$A$65,$C519,进销存台账!$B$6:$B$65,$F519))</f>
        <v/>
      </c>
      <c r="W519" s="60" t="n">
        <f aca="false">IF(OR($D519="销售出库",$D519="销售退回"),ROUND(N($J519)*N($V519),2),0)</f>
        <v>0</v>
      </c>
      <c r="X519" s="58" t="str">
        <f aca="false">IF($E519="","",IFERROR(INDEX(往来单位!$D$6:$D$85,MATCH($E519,往来单位!$A$6:$A$85,0)),"否"))</f>
        <v/>
      </c>
      <c r="Y519" s="61" t="str">
        <f aca="false">IF($B519="","",YEAR($B519))</f>
        <v/>
      </c>
      <c r="Z519" s="58" t="str">
        <f aca="false">IF($B519="","",TEXT($B519,"yyyy-mm"))</f>
        <v/>
      </c>
    </row>
    <row r="520" customFormat="false" ht="15" hidden="false" customHeight="false" outlineLevel="0" collapsed="false">
      <c r="A520" s="53" t="str">
        <f aca="false">IF($B520="","",ROW()-5)</f>
        <v/>
      </c>
      <c r="B520" s="54"/>
      <c r="C520" s="33"/>
      <c r="D520" s="33"/>
      <c r="E520" s="32"/>
      <c r="F520" s="39"/>
      <c r="G520" s="48" t="str">
        <f aca="false">IF($F520="","",IFERROR(INDEX(商品档案!$B$6:$B$65,MATCH($F520,商品档案!$A$6:$A$65,0)),""))</f>
        <v/>
      </c>
      <c r="H520" s="48" t="str">
        <f aca="false">IF($F520="","",IFERROR(INDEX(商品档案!$C$6:$C$65,MATCH($F520,商品档案!$A$6:$A$65,0)),""))</f>
        <v/>
      </c>
      <c r="I520" s="55" t="str">
        <f aca="false">IF($F520="","",IFERROR(INDEX(商品档案!$D$6:$D$65,MATCH($F520,商品档案!$A$6:$A$65,0)),""))</f>
        <v/>
      </c>
      <c r="J520" s="49"/>
      <c r="K520" s="56"/>
      <c r="L520" s="33"/>
      <c r="M520" s="39"/>
      <c r="N520" s="41"/>
      <c r="O520" s="41"/>
      <c r="P520" s="25" t="str">
        <f aca="false">IF(AND($B520="",$D520="",$F520=""),"",IF(NOT(ISNUMBER($B520)),"日期无效",IF(ISNA(MATCH($C520,参数设置!$A$10:$A$12,0)),"公司无效",IF(ISNA(MATCH($D520,记账规则!$A$6:$A$9,0)),"业务类型无效",IF(ISNA(MATCH($F520,商品档案!$A$6:$A$65,0)),"商品编码无效",IF(IFERROR(INDEX(商品档案!$E$6:$E$65,MATCH($F520,商品档案!$A$6:$A$65,0)),"")&lt;&gt;$C520,"商品不属于该公司",IF(AND($E520&lt;&gt;"",ISNA(MATCH($E520,往来单位!$A$6:$A$85,0))),"往来单位未建档",IF(N($J520)=0,"数量为 0",IF(N($K520)=0,"单价为 0",IF(AND(LEFT($D520,2)="销售",$U520=""),"该商品没设成本科目",IF(YEAR($B520)&lt;&gt;参数设置!$B$5,"不在本会计年度","OK")))))))))))</f>
        <v/>
      </c>
      <c r="Q520" s="57" t="str">
        <f aca="false">IF($F520="","",ROUND(N($J520)*N($K520),2))</f>
        <v/>
      </c>
      <c r="R520" s="58" t="str">
        <f aca="false">IF($D520="","",IF(LEFT($D520,2)="销售","应收账款","应付账款"))</f>
        <v/>
      </c>
      <c r="S520" s="58" t="str">
        <f aca="false">IF($F520="","",IFERROR(INDEX(商品档案!$G$6:$G$65,MATCH($F520,商品档案!$A$6:$A$65,0)),""))</f>
        <v/>
      </c>
      <c r="T520" s="58" t="str">
        <f aca="false">IF($F520="","",IFERROR(INDEX(商品档案!$H$6:$H$65,MATCH($F520,商品档案!$A$6:$A$65,0)),""))</f>
        <v/>
      </c>
      <c r="U520" s="58" t="str">
        <f aca="false">IF($F520="","",IFERROR(INDEX(商品档案!$I$6:$I$65,MATCH($F520,商品档案!$A$6:$A$65,0)),""))</f>
        <v/>
      </c>
      <c r="V520" s="59" t="str">
        <f aca="false">IF($F520="","",SUMIFS(进销存台账!$N$6:$N$65,进销存台账!$A$6:$A$65,$C520,进销存台账!$B$6:$B$65,$F520))</f>
        <v/>
      </c>
      <c r="W520" s="60" t="n">
        <f aca="false">IF(OR($D520="销售出库",$D520="销售退回"),ROUND(N($J520)*N($V520),2),0)</f>
        <v>0</v>
      </c>
      <c r="X520" s="58" t="str">
        <f aca="false">IF($E520="","",IFERROR(INDEX(往来单位!$D$6:$D$85,MATCH($E520,往来单位!$A$6:$A$85,0)),"否"))</f>
        <v/>
      </c>
      <c r="Y520" s="61" t="str">
        <f aca="false">IF($B520="","",YEAR($B520))</f>
        <v/>
      </c>
      <c r="Z520" s="58" t="str">
        <f aca="false">IF($B520="","",TEXT($B520,"yyyy-mm"))</f>
        <v/>
      </c>
    </row>
    <row r="521" customFormat="false" ht="15" hidden="false" customHeight="false" outlineLevel="0" collapsed="false">
      <c r="A521" s="53" t="str">
        <f aca="false">IF($B521="","",ROW()-5)</f>
        <v/>
      </c>
      <c r="B521" s="54"/>
      <c r="C521" s="33"/>
      <c r="D521" s="33"/>
      <c r="E521" s="32"/>
      <c r="F521" s="39"/>
      <c r="G521" s="48" t="str">
        <f aca="false">IF($F521="","",IFERROR(INDEX(商品档案!$B$6:$B$65,MATCH($F521,商品档案!$A$6:$A$65,0)),""))</f>
        <v/>
      </c>
      <c r="H521" s="48" t="str">
        <f aca="false">IF($F521="","",IFERROR(INDEX(商品档案!$C$6:$C$65,MATCH($F521,商品档案!$A$6:$A$65,0)),""))</f>
        <v/>
      </c>
      <c r="I521" s="55" t="str">
        <f aca="false">IF($F521="","",IFERROR(INDEX(商品档案!$D$6:$D$65,MATCH($F521,商品档案!$A$6:$A$65,0)),""))</f>
        <v/>
      </c>
      <c r="J521" s="49"/>
      <c r="K521" s="56"/>
      <c r="L521" s="33"/>
      <c r="M521" s="39"/>
      <c r="N521" s="41"/>
      <c r="O521" s="41"/>
      <c r="P521" s="25" t="str">
        <f aca="false">IF(AND($B521="",$D521="",$F521=""),"",IF(NOT(ISNUMBER($B521)),"日期无效",IF(ISNA(MATCH($C521,参数设置!$A$10:$A$12,0)),"公司无效",IF(ISNA(MATCH($D521,记账规则!$A$6:$A$9,0)),"业务类型无效",IF(ISNA(MATCH($F521,商品档案!$A$6:$A$65,0)),"商品编码无效",IF(IFERROR(INDEX(商品档案!$E$6:$E$65,MATCH($F521,商品档案!$A$6:$A$65,0)),"")&lt;&gt;$C521,"商品不属于该公司",IF(AND($E521&lt;&gt;"",ISNA(MATCH($E521,往来单位!$A$6:$A$85,0))),"往来单位未建档",IF(N($J521)=0,"数量为 0",IF(N($K521)=0,"单价为 0",IF(AND(LEFT($D521,2)="销售",$U521=""),"该商品没设成本科目",IF(YEAR($B521)&lt;&gt;参数设置!$B$5,"不在本会计年度","OK")))))))))))</f>
        <v/>
      </c>
      <c r="Q521" s="57" t="str">
        <f aca="false">IF($F521="","",ROUND(N($J521)*N($K521),2))</f>
        <v/>
      </c>
      <c r="R521" s="58" t="str">
        <f aca="false">IF($D521="","",IF(LEFT($D521,2)="销售","应收账款","应付账款"))</f>
        <v/>
      </c>
      <c r="S521" s="58" t="str">
        <f aca="false">IF($F521="","",IFERROR(INDEX(商品档案!$G$6:$G$65,MATCH($F521,商品档案!$A$6:$A$65,0)),""))</f>
        <v/>
      </c>
      <c r="T521" s="58" t="str">
        <f aca="false">IF($F521="","",IFERROR(INDEX(商品档案!$H$6:$H$65,MATCH($F521,商品档案!$A$6:$A$65,0)),""))</f>
        <v/>
      </c>
      <c r="U521" s="58" t="str">
        <f aca="false">IF($F521="","",IFERROR(INDEX(商品档案!$I$6:$I$65,MATCH($F521,商品档案!$A$6:$A$65,0)),""))</f>
        <v/>
      </c>
      <c r="V521" s="59" t="str">
        <f aca="false">IF($F521="","",SUMIFS(进销存台账!$N$6:$N$65,进销存台账!$A$6:$A$65,$C521,进销存台账!$B$6:$B$65,$F521))</f>
        <v/>
      </c>
      <c r="W521" s="60" t="n">
        <f aca="false">IF(OR($D521="销售出库",$D521="销售退回"),ROUND(N($J521)*N($V521),2),0)</f>
        <v>0</v>
      </c>
      <c r="X521" s="58" t="str">
        <f aca="false">IF($E521="","",IFERROR(INDEX(往来单位!$D$6:$D$85,MATCH($E521,往来单位!$A$6:$A$85,0)),"否"))</f>
        <v/>
      </c>
      <c r="Y521" s="61" t="str">
        <f aca="false">IF($B521="","",YEAR($B521))</f>
        <v/>
      </c>
      <c r="Z521" s="58" t="str">
        <f aca="false">IF($B521="","",TEXT($B521,"yyyy-mm"))</f>
        <v/>
      </c>
    </row>
    <row r="522" customFormat="false" ht="15" hidden="false" customHeight="false" outlineLevel="0" collapsed="false">
      <c r="A522" s="53" t="str">
        <f aca="false">IF($B522="","",ROW()-5)</f>
        <v/>
      </c>
      <c r="B522" s="54"/>
      <c r="C522" s="33"/>
      <c r="D522" s="33"/>
      <c r="E522" s="32"/>
      <c r="F522" s="39"/>
      <c r="G522" s="48" t="str">
        <f aca="false">IF($F522="","",IFERROR(INDEX(商品档案!$B$6:$B$65,MATCH($F522,商品档案!$A$6:$A$65,0)),""))</f>
        <v/>
      </c>
      <c r="H522" s="48" t="str">
        <f aca="false">IF($F522="","",IFERROR(INDEX(商品档案!$C$6:$C$65,MATCH($F522,商品档案!$A$6:$A$65,0)),""))</f>
        <v/>
      </c>
      <c r="I522" s="55" t="str">
        <f aca="false">IF($F522="","",IFERROR(INDEX(商品档案!$D$6:$D$65,MATCH($F522,商品档案!$A$6:$A$65,0)),""))</f>
        <v/>
      </c>
      <c r="J522" s="49"/>
      <c r="K522" s="56"/>
      <c r="L522" s="33"/>
      <c r="M522" s="39"/>
      <c r="N522" s="41"/>
      <c r="O522" s="41"/>
      <c r="P522" s="25" t="str">
        <f aca="false">IF(AND($B522="",$D522="",$F522=""),"",IF(NOT(ISNUMBER($B522)),"日期无效",IF(ISNA(MATCH($C522,参数设置!$A$10:$A$12,0)),"公司无效",IF(ISNA(MATCH($D522,记账规则!$A$6:$A$9,0)),"业务类型无效",IF(ISNA(MATCH($F522,商品档案!$A$6:$A$65,0)),"商品编码无效",IF(IFERROR(INDEX(商品档案!$E$6:$E$65,MATCH($F522,商品档案!$A$6:$A$65,0)),"")&lt;&gt;$C522,"商品不属于该公司",IF(AND($E522&lt;&gt;"",ISNA(MATCH($E522,往来单位!$A$6:$A$85,0))),"往来单位未建档",IF(N($J522)=0,"数量为 0",IF(N($K522)=0,"单价为 0",IF(AND(LEFT($D522,2)="销售",$U522=""),"该商品没设成本科目",IF(YEAR($B522)&lt;&gt;参数设置!$B$5,"不在本会计年度","OK")))))))))))</f>
        <v/>
      </c>
      <c r="Q522" s="57" t="str">
        <f aca="false">IF($F522="","",ROUND(N($J522)*N($K522),2))</f>
        <v/>
      </c>
      <c r="R522" s="58" t="str">
        <f aca="false">IF($D522="","",IF(LEFT($D522,2)="销售","应收账款","应付账款"))</f>
        <v/>
      </c>
      <c r="S522" s="58" t="str">
        <f aca="false">IF($F522="","",IFERROR(INDEX(商品档案!$G$6:$G$65,MATCH($F522,商品档案!$A$6:$A$65,0)),""))</f>
        <v/>
      </c>
      <c r="T522" s="58" t="str">
        <f aca="false">IF($F522="","",IFERROR(INDEX(商品档案!$H$6:$H$65,MATCH($F522,商品档案!$A$6:$A$65,0)),""))</f>
        <v/>
      </c>
      <c r="U522" s="58" t="str">
        <f aca="false">IF($F522="","",IFERROR(INDEX(商品档案!$I$6:$I$65,MATCH($F522,商品档案!$A$6:$A$65,0)),""))</f>
        <v/>
      </c>
      <c r="V522" s="59" t="str">
        <f aca="false">IF($F522="","",SUMIFS(进销存台账!$N$6:$N$65,进销存台账!$A$6:$A$65,$C522,进销存台账!$B$6:$B$65,$F522))</f>
        <v/>
      </c>
      <c r="W522" s="60" t="n">
        <f aca="false">IF(OR($D522="销售出库",$D522="销售退回"),ROUND(N($J522)*N($V522),2),0)</f>
        <v>0</v>
      </c>
      <c r="X522" s="58" t="str">
        <f aca="false">IF($E522="","",IFERROR(INDEX(往来单位!$D$6:$D$85,MATCH($E522,往来单位!$A$6:$A$85,0)),"否"))</f>
        <v/>
      </c>
      <c r="Y522" s="61" t="str">
        <f aca="false">IF($B522="","",YEAR($B522))</f>
        <v/>
      </c>
      <c r="Z522" s="58" t="str">
        <f aca="false">IF($B522="","",TEXT($B522,"yyyy-mm"))</f>
        <v/>
      </c>
    </row>
    <row r="523" customFormat="false" ht="15" hidden="false" customHeight="false" outlineLevel="0" collapsed="false">
      <c r="A523" s="53" t="str">
        <f aca="false">IF($B523="","",ROW()-5)</f>
        <v/>
      </c>
      <c r="B523" s="54"/>
      <c r="C523" s="33"/>
      <c r="D523" s="33"/>
      <c r="E523" s="32"/>
      <c r="F523" s="39"/>
      <c r="G523" s="48" t="str">
        <f aca="false">IF($F523="","",IFERROR(INDEX(商品档案!$B$6:$B$65,MATCH($F523,商品档案!$A$6:$A$65,0)),""))</f>
        <v/>
      </c>
      <c r="H523" s="48" t="str">
        <f aca="false">IF($F523="","",IFERROR(INDEX(商品档案!$C$6:$C$65,MATCH($F523,商品档案!$A$6:$A$65,0)),""))</f>
        <v/>
      </c>
      <c r="I523" s="55" t="str">
        <f aca="false">IF($F523="","",IFERROR(INDEX(商品档案!$D$6:$D$65,MATCH($F523,商品档案!$A$6:$A$65,0)),""))</f>
        <v/>
      </c>
      <c r="J523" s="49"/>
      <c r="K523" s="56"/>
      <c r="L523" s="33"/>
      <c r="M523" s="39"/>
      <c r="N523" s="41"/>
      <c r="O523" s="41"/>
      <c r="P523" s="25" t="str">
        <f aca="false">IF(AND($B523="",$D523="",$F523=""),"",IF(NOT(ISNUMBER($B523)),"日期无效",IF(ISNA(MATCH($C523,参数设置!$A$10:$A$12,0)),"公司无效",IF(ISNA(MATCH($D523,记账规则!$A$6:$A$9,0)),"业务类型无效",IF(ISNA(MATCH($F523,商品档案!$A$6:$A$65,0)),"商品编码无效",IF(IFERROR(INDEX(商品档案!$E$6:$E$65,MATCH($F523,商品档案!$A$6:$A$65,0)),"")&lt;&gt;$C523,"商品不属于该公司",IF(AND($E523&lt;&gt;"",ISNA(MATCH($E523,往来单位!$A$6:$A$85,0))),"往来单位未建档",IF(N($J523)=0,"数量为 0",IF(N($K523)=0,"单价为 0",IF(AND(LEFT($D523,2)="销售",$U523=""),"该商品没设成本科目",IF(YEAR($B523)&lt;&gt;参数设置!$B$5,"不在本会计年度","OK")))))))))))</f>
        <v/>
      </c>
      <c r="Q523" s="57" t="str">
        <f aca="false">IF($F523="","",ROUND(N($J523)*N($K523),2))</f>
        <v/>
      </c>
      <c r="R523" s="58" t="str">
        <f aca="false">IF($D523="","",IF(LEFT($D523,2)="销售","应收账款","应付账款"))</f>
        <v/>
      </c>
      <c r="S523" s="58" t="str">
        <f aca="false">IF($F523="","",IFERROR(INDEX(商品档案!$G$6:$G$65,MATCH($F523,商品档案!$A$6:$A$65,0)),""))</f>
        <v/>
      </c>
      <c r="T523" s="58" t="str">
        <f aca="false">IF($F523="","",IFERROR(INDEX(商品档案!$H$6:$H$65,MATCH($F523,商品档案!$A$6:$A$65,0)),""))</f>
        <v/>
      </c>
      <c r="U523" s="58" t="str">
        <f aca="false">IF($F523="","",IFERROR(INDEX(商品档案!$I$6:$I$65,MATCH($F523,商品档案!$A$6:$A$65,0)),""))</f>
        <v/>
      </c>
      <c r="V523" s="59" t="str">
        <f aca="false">IF($F523="","",SUMIFS(进销存台账!$N$6:$N$65,进销存台账!$A$6:$A$65,$C523,进销存台账!$B$6:$B$65,$F523))</f>
        <v/>
      </c>
      <c r="W523" s="60" t="n">
        <f aca="false">IF(OR($D523="销售出库",$D523="销售退回"),ROUND(N($J523)*N($V523),2),0)</f>
        <v>0</v>
      </c>
      <c r="X523" s="58" t="str">
        <f aca="false">IF($E523="","",IFERROR(INDEX(往来单位!$D$6:$D$85,MATCH($E523,往来单位!$A$6:$A$85,0)),"否"))</f>
        <v/>
      </c>
      <c r="Y523" s="61" t="str">
        <f aca="false">IF($B523="","",YEAR($B523))</f>
        <v/>
      </c>
      <c r="Z523" s="58" t="str">
        <f aca="false">IF($B523="","",TEXT($B523,"yyyy-mm"))</f>
        <v/>
      </c>
    </row>
    <row r="524" customFormat="false" ht="15" hidden="false" customHeight="false" outlineLevel="0" collapsed="false">
      <c r="A524" s="53" t="str">
        <f aca="false">IF($B524="","",ROW()-5)</f>
        <v/>
      </c>
      <c r="B524" s="54"/>
      <c r="C524" s="33"/>
      <c r="D524" s="33"/>
      <c r="E524" s="32"/>
      <c r="F524" s="39"/>
      <c r="G524" s="48" t="str">
        <f aca="false">IF($F524="","",IFERROR(INDEX(商品档案!$B$6:$B$65,MATCH($F524,商品档案!$A$6:$A$65,0)),""))</f>
        <v/>
      </c>
      <c r="H524" s="48" t="str">
        <f aca="false">IF($F524="","",IFERROR(INDEX(商品档案!$C$6:$C$65,MATCH($F524,商品档案!$A$6:$A$65,0)),""))</f>
        <v/>
      </c>
      <c r="I524" s="55" t="str">
        <f aca="false">IF($F524="","",IFERROR(INDEX(商品档案!$D$6:$D$65,MATCH($F524,商品档案!$A$6:$A$65,0)),""))</f>
        <v/>
      </c>
      <c r="J524" s="49"/>
      <c r="K524" s="56"/>
      <c r="L524" s="33"/>
      <c r="M524" s="39"/>
      <c r="N524" s="41"/>
      <c r="O524" s="41"/>
      <c r="P524" s="25" t="str">
        <f aca="false">IF(AND($B524="",$D524="",$F524=""),"",IF(NOT(ISNUMBER($B524)),"日期无效",IF(ISNA(MATCH($C524,参数设置!$A$10:$A$12,0)),"公司无效",IF(ISNA(MATCH($D524,记账规则!$A$6:$A$9,0)),"业务类型无效",IF(ISNA(MATCH($F524,商品档案!$A$6:$A$65,0)),"商品编码无效",IF(IFERROR(INDEX(商品档案!$E$6:$E$65,MATCH($F524,商品档案!$A$6:$A$65,0)),"")&lt;&gt;$C524,"商品不属于该公司",IF(AND($E524&lt;&gt;"",ISNA(MATCH($E524,往来单位!$A$6:$A$85,0))),"往来单位未建档",IF(N($J524)=0,"数量为 0",IF(N($K524)=0,"单价为 0",IF(AND(LEFT($D524,2)="销售",$U524=""),"该商品没设成本科目",IF(YEAR($B524)&lt;&gt;参数设置!$B$5,"不在本会计年度","OK")))))))))))</f>
        <v/>
      </c>
      <c r="Q524" s="57" t="str">
        <f aca="false">IF($F524="","",ROUND(N($J524)*N($K524),2))</f>
        <v/>
      </c>
      <c r="R524" s="58" t="str">
        <f aca="false">IF($D524="","",IF(LEFT($D524,2)="销售","应收账款","应付账款"))</f>
        <v/>
      </c>
      <c r="S524" s="58" t="str">
        <f aca="false">IF($F524="","",IFERROR(INDEX(商品档案!$G$6:$G$65,MATCH($F524,商品档案!$A$6:$A$65,0)),""))</f>
        <v/>
      </c>
      <c r="T524" s="58" t="str">
        <f aca="false">IF($F524="","",IFERROR(INDEX(商品档案!$H$6:$H$65,MATCH($F524,商品档案!$A$6:$A$65,0)),""))</f>
        <v/>
      </c>
      <c r="U524" s="58" t="str">
        <f aca="false">IF($F524="","",IFERROR(INDEX(商品档案!$I$6:$I$65,MATCH($F524,商品档案!$A$6:$A$65,0)),""))</f>
        <v/>
      </c>
      <c r="V524" s="59" t="str">
        <f aca="false">IF($F524="","",SUMIFS(进销存台账!$N$6:$N$65,进销存台账!$A$6:$A$65,$C524,进销存台账!$B$6:$B$65,$F524))</f>
        <v/>
      </c>
      <c r="W524" s="60" t="n">
        <f aca="false">IF(OR($D524="销售出库",$D524="销售退回"),ROUND(N($J524)*N($V524),2),0)</f>
        <v>0</v>
      </c>
      <c r="X524" s="58" t="str">
        <f aca="false">IF($E524="","",IFERROR(INDEX(往来单位!$D$6:$D$85,MATCH($E524,往来单位!$A$6:$A$85,0)),"否"))</f>
        <v/>
      </c>
      <c r="Y524" s="61" t="str">
        <f aca="false">IF($B524="","",YEAR($B524))</f>
        <v/>
      </c>
      <c r="Z524" s="58" t="str">
        <f aca="false">IF($B524="","",TEXT($B524,"yyyy-mm"))</f>
        <v/>
      </c>
    </row>
    <row r="525" customFormat="false" ht="15" hidden="false" customHeight="false" outlineLevel="0" collapsed="false">
      <c r="A525" s="53" t="str">
        <f aca="false">IF($B525="","",ROW()-5)</f>
        <v/>
      </c>
      <c r="B525" s="54"/>
      <c r="C525" s="33"/>
      <c r="D525" s="33"/>
      <c r="E525" s="32"/>
      <c r="F525" s="39"/>
      <c r="G525" s="48" t="str">
        <f aca="false">IF($F525="","",IFERROR(INDEX(商品档案!$B$6:$B$65,MATCH($F525,商品档案!$A$6:$A$65,0)),""))</f>
        <v/>
      </c>
      <c r="H525" s="48" t="str">
        <f aca="false">IF($F525="","",IFERROR(INDEX(商品档案!$C$6:$C$65,MATCH($F525,商品档案!$A$6:$A$65,0)),""))</f>
        <v/>
      </c>
      <c r="I525" s="55" t="str">
        <f aca="false">IF($F525="","",IFERROR(INDEX(商品档案!$D$6:$D$65,MATCH($F525,商品档案!$A$6:$A$65,0)),""))</f>
        <v/>
      </c>
      <c r="J525" s="49"/>
      <c r="K525" s="56"/>
      <c r="L525" s="33"/>
      <c r="M525" s="39"/>
      <c r="N525" s="41"/>
      <c r="O525" s="41"/>
      <c r="P525" s="25" t="str">
        <f aca="false">IF(AND($B525="",$D525="",$F525=""),"",IF(NOT(ISNUMBER($B525)),"日期无效",IF(ISNA(MATCH($C525,参数设置!$A$10:$A$12,0)),"公司无效",IF(ISNA(MATCH($D525,记账规则!$A$6:$A$9,0)),"业务类型无效",IF(ISNA(MATCH($F525,商品档案!$A$6:$A$65,0)),"商品编码无效",IF(IFERROR(INDEX(商品档案!$E$6:$E$65,MATCH($F525,商品档案!$A$6:$A$65,0)),"")&lt;&gt;$C525,"商品不属于该公司",IF(AND($E525&lt;&gt;"",ISNA(MATCH($E525,往来单位!$A$6:$A$85,0))),"往来单位未建档",IF(N($J525)=0,"数量为 0",IF(N($K525)=0,"单价为 0",IF(AND(LEFT($D525,2)="销售",$U525=""),"该商品没设成本科目",IF(YEAR($B525)&lt;&gt;参数设置!$B$5,"不在本会计年度","OK")))))))))))</f>
        <v/>
      </c>
      <c r="Q525" s="57" t="str">
        <f aca="false">IF($F525="","",ROUND(N($J525)*N($K525),2))</f>
        <v/>
      </c>
      <c r="R525" s="58" t="str">
        <f aca="false">IF($D525="","",IF(LEFT($D525,2)="销售","应收账款","应付账款"))</f>
        <v/>
      </c>
      <c r="S525" s="58" t="str">
        <f aca="false">IF($F525="","",IFERROR(INDEX(商品档案!$G$6:$G$65,MATCH($F525,商品档案!$A$6:$A$65,0)),""))</f>
        <v/>
      </c>
      <c r="T525" s="58" t="str">
        <f aca="false">IF($F525="","",IFERROR(INDEX(商品档案!$H$6:$H$65,MATCH($F525,商品档案!$A$6:$A$65,0)),""))</f>
        <v/>
      </c>
      <c r="U525" s="58" t="str">
        <f aca="false">IF($F525="","",IFERROR(INDEX(商品档案!$I$6:$I$65,MATCH($F525,商品档案!$A$6:$A$65,0)),""))</f>
        <v/>
      </c>
      <c r="V525" s="59" t="str">
        <f aca="false">IF($F525="","",SUMIFS(进销存台账!$N$6:$N$65,进销存台账!$A$6:$A$65,$C525,进销存台账!$B$6:$B$65,$F525))</f>
        <v/>
      </c>
      <c r="W525" s="60" t="n">
        <f aca="false">IF(OR($D525="销售出库",$D525="销售退回"),ROUND(N($J525)*N($V525),2),0)</f>
        <v>0</v>
      </c>
      <c r="X525" s="58" t="str">
        <f aca="false">IF($E525="","",IFERROR(INDEX(往来单位!$D$6:$D$85,MATCH($E525,往来单位!$A$6:$A$85,0)),"否"))</f>
        <v/>
      </c>
      <c r="Y525" s="61" t="str">
        <f aca="false">IF($B525="","",YEAR($B525))</f>
        <v/>
      </c>
      <c r="Z525" s="58" t="str">
        <f aca="false">IF($B525="","",TEXT($B525,"yyyy-mm"))</f>
        <v/>
      </c>
    </row>
    <row r="526" customFormat="false" ht="15" hidden="false" customHeight="false" outlineLevel="0" collapsed="false">
      <c r="A526" s="53" t="str">
        <f aca="false">IF($B526="","",ROW()-5)</f>
        <v/>
      </c>
      <c r="B526" s="54"/>
      <c r="C526" s="33"/>
      <c r="D526" s="33"/>
      <c r="E526" s="32"/>
      <c r="F526" s="39"/>
      <c r="G526" s="48" t="str">
        <f aca="false">IF($F526="","",IFERROR(INDEX(商品档案!$B$6:$B$65,MATCH($F526,商品档案!$A$6:$A$65,0)),""))</f>
        <v/>
      </c>
      <c r="H526" s="48" t="str">
        <f aca="false">IF($F526="","",IFERROR(INDEX(商品档案!$C$6:$C$65,MATCH($F526,商品档案!$A$6:$A$65,0)),""))</f>
        <v/>
      </c>
      <c r="I526" s="55" t="str">
        <f aca="false">IF($F526="","",IFERROR(INDEX(商品档案!$D$6:$D$65,MATCH($F526,商品档案!$A$6:$A$65,0)),""))</f>
        <v/>
      </c>
      <c r="J526" s="49"/>
      <c r="K526" s="56"/>
      <c r="L526" s="33"/>
      <c r="M526" s="39"/>
      <c r="N526" s="41"/>
      <c r="O526" s="41"/>
      <c r="P526" s="25" t="str">
        <f aca="false">IF(AND($B526="",$D526="",$F526=""),"",IF(NOT(ISNUMBER($B526)),"日期无效",IF(ISNA(MATCH($C526,参数设置!$A$10:$A$12,0)),"公司无效",IF(ISNA(MATCH($D526,记账规则!$A$6:$A$9,0)),"业务类型无效",IF(ISNA(MATCH($F526,商品档案!$A$6:$A$65,0)),"商品编码无效",IF(IFERROR(INDEX(商品档案!$E$6:$E$65,MATCH($F526,商品档案!$A$6:$A$65,0)),"")&lt;&gt;$C526,"商品不属于该公司",IF(AND($E526&lt;&gt;"",ISNA(MATCH($E526,往来单位!$A$6:$A$85,0))),"往来单位未建档",IF(N($J526)=0,"数量为 0",IF(N($K526)=0,"单价为 0",IF(AND(LEFT($D526,2)="销售",$U526=""),"该商品没设成本科目",IF(YEAR($B526)&lt;&gt;参数设置!$B$5,"不在本会计年度","OK")))))))))))</f>
        <v/>
      </c>
      <c r="Q526" s="57" t="str">
        <f aca="false">IF($F526="","",ROUND(N($J526)*N($K526),2))</f>
        <v/>
      </c>
      <c r="R526" s="58" t="str">
        <f aca="false">IF($D526="","",IF(LEFT($D526,2)="销售","应收账款","应付账款"))</f>
        <v/>
      </c>
      <c r="S526" s="58" t="str">
        <f aca="false">IF($F526="","",IFERROR(INDEX(商品档案!$G$6:$G$65,MATCH($F526,商品档案!$A$6:$A$65,0)),""))</f>
        <v/>
      </c>
      <c r="T526" s="58" t="str">
        <f aca="false">IF($F526="","",IFERROR(INDEX(商品档案!$H$6:$H$65,MATCH($F526,商品档案!$A$6:$A$65,0)),""))</f>
        <v/>
      </c>
      <c r="U526" s="58" t="str">
        <f aca="false">IF($F526="","",IFERROR(INDEX(商品档案!$I$6:$I$65,MATCH($F526,商品档案!$A$6:$A$65,0)),""))</f>
        <v/>
      </c>
      <c r="V526" s="59" t="str">
        <f aca="false">IF($F526="","",SUMIFS(进销存台账!$N$6:$N$65,进销存台账!$A$6:$A$65,$C526,进销存台账!$B$6:$B$65,$F526))</f>
        <v/>
      </c>
      <c r="W526" s="60" t="n">
        <f aca="false">IF(OR($D526="销售出库",$D526="销售退回"),ROUND(N($J526)*N($V526),2),0)</f>
        <v>0</v>
      </c>
      <c r="X526" s="58" t="str">
        <f aca="false">IF($E526="","",IFERROR(INDEX(往来单位!$D$6:$D$85,MATCH($E526,往来单位!$A$6:$A$85,0)),"否"))</f>
        <v/>
      </c>
      <c r="Y526" s="61" t="str">
        <f aca="false">IF($B526="","",YEAR($B526))</f>
        <v/>
      </c>
      <c r="Z526" s="58" t="str">
        <f aca="false">IF($B526="","",TEXT($B526,"yyyy-mm"))</f>
        <v/>
      </c>
    </row>
    <row r="527" customFormat="false" ht="15" hidden="false" customHeight="false" outlineLevel="0" collapsed="false">
      <c r="A527" s="53" t="str">
        <f aca="false">IF($B527="","",ROW()-5)</f>
        <v/>
      </c>
      <c r="B527" s="54"/>
      <c r="C527" s="33"/>
      <c r="D527" s="33"/>
      <c r="E527" s="32"/>
      <c r="F527" s="39"/>
      <c r="G527" s="48" t="str">
        <f aca="false">IF($F527="","",IFERROR(INDEX(商品档案!$B$6:$B$65,MATCH($F527,商品档案!$A$6:$A$65,0)),""))</f>
        <v/>
      </c>
      <c r="H527" s="48" t="str">
        <f aca="false">IF($F527="","",IFERROR(INDEX(商品档案!$C$6:$C$65,MATCH($F527,商品档案!$A$6:$A$65,0)),""))</f>
        <v/>
      </c>
      <c r="I527" s="55" t="str">
        <f aca="false">IF($F527="","",IFERROR(INDEX(商品档案!$D$6:$D$65,MATCH($F527,商品档案!$A$6:$A$65,0)),""))</f>
        <v/>
      </c>
      <c r="J527" s="49"/>
      <c r="K527" s="56"/>
      <c r="L527" s="33"/>
      <c r="M527" s="39"/>
      <c r="N527" s="41"/>
      <c r="O527" s="41"/>
      <c r="P527" s="25" t="str">
        <f aca="false">IF(AND($B527="",$D527="",$F527=""),"",IF(NOT(ISNUMBER($B527)),"日期无效",IF(ISNA(MATCH($C527,参数设置!$A$10:$A$12,0)),"公司无效",IF(ISNA(MATCH($D527,记账规则!$A$6:$A$9,0)),"业务类型无效",IF(ISNA(MATCH($F527,商品档案!$A$6:$A$65,0)),"商品编码无效",IF(IFERROR(INDEX(商品档案!$E$6:$E$65,MATCH($F527,商品档案!$A$6:$A$65,0)),"")&lt;&gt;$C527,"商品不属于该公司",IF(AND($E527&lt;&gt;"",ISNA(MATCH($E527,往来单位!$A$6:$A$85,0))),"往来单位未建档",IF(N($J527)=0,"数量为 0",IF(N($K527)=0,"单价为 0",IF(AND(LEFT($D527,2)="销售",$U527=""),"该商品没设成本科目",IF(YEAR($B527)&lt;&gt;参数设置!$B$5,"不在本会计年度","OK")))))))))))</f>
        <v/>
      </c>
      <c r="Q527" s="57" t="str">
        <f aca="false">IF($F527="","",ROUND(N($J527)*N($K527),2))</f>
        <v/>
      </c>
      <c r="R527" s="58" t="str">
        <f aca="false">IF($D527="","",IF(LEFT($D527,2)="销售","应收账款","应付账款"))</f>
        <v/>
      </c>
      <c r="S527" s="58" t="str">
        <f aca="false">IF($F527="","",IFERROR(INDEX(商品档案!$G$6:$G$65,MATCH($F527,商品档案!$A$6:$A$65,0)),""))</f>
        <v/>
      </c>
      <c r="T527" s="58" t="str">
        <f aca="false">IF($F527="","",IFERROR(INDEX(商品档案!$H$6:$H$65,MATCH($F527,商品档案!$A$6:$A$65,0)),""))</f>
        <v/>
      </c>
      <c r="U527" s="58" t="str">
        <f aca="false">IF($F527="","",IFERROR(INDEX(商品档案!$I$6:$I$65,MATCH($F527,商品档案!$A$6:$A$65,0)),""))</f>
        <v/>
      </c>
      <c r="V527" s="59" t="str">
        <f aca="false">IF($F527="","",SUMIFS(进销存台账!$N$6:$N$65,进销存台账!$A$6:$A$65,$C527,进销存台账!$B$6:$B$65,$F527))</f>
        <v/>
      </c>
      <c r="W527" s="60" t="n">
        <f aca="false">IF(OR($D527="销售出库",$D527="销售退回"),ROUND(N($J527)*N($V527),2),0)</f>
        <v>0</v>
      </c>
      <c r="X527" s="58" t="str">
        <f aca="false">IF($E527="","",IFERROR(INDEX(往来单位!$D$6:$D$85,MATCH($E527,往来单位!$A$6:$A$85,0)),"否"))</f>
        <v/>
      </c>
      <c r="Y527" s="61" t="str">
        <f aca="false">IF($B527="","",YEAR($B527))</f>
        <v/>
      </c>
      <c r="Z527" s="58" t="str">
        <f aca="false">IF($B527="","",TEXT($B527,"yyyy-mm"))</f>
        <v/>
      </c>
    </row>
    <row r="528" customFormat="false" ht="15" hidden="false" customHeight="false" outlineLevel="0" collapsed="false">
      <c r="A528" s="53" t="str">
        <f aca="false">IF($B528="","",ROW()-5)</f>
        <v/>
      </c>
      <c r="B528" s="54"/>
      <c r="C528" s="33"/>
      <c r="D528" s="33"/>
      <c r="E528" s="32"/>
      <c r="F528" s="39"/>
      <c r="G528" s="48" t="str">
        <f aca="false">IF($F528="","",IFERROR(INDEX(商品档案!$B$6:$B$65,MATCH($F528,商品档案!$A$6:$A$65,0)),""))</f>
        <v/>
      </c>
      <c r="H528" s="48" t="str">
        <f aca="false">IF($F528="","",IFERROR(INDEX(商品档案!$C$6:$C$65,MATCH($F528,商品档案!$A$6:$A$65,0)),""))</f>
        <v/>
      </c>
      <c r="I528" s="55" t="str">
        <f aca="false">IF($F528="","",IFERROR(INDEX(商品档案!$D$6:$D$65,MATCH($F528,商品档案!$A$6:$A$65,0)),""))</f>
        <v/>
      </c>
      <c r="J528" s="49"/>
      <c r="K528" s="56"/>
      <c r="L528" s="33"/>
      <c r="M528" s="39"/>
      <c r="N528" s="41"/>
      <c r="O528" s="41"/>
      <c r="P528" s="25" t="str">
        <f aca="false">IF(AND($B528="",$D528="",$F528=""),"",IF(NOT(ISNUMBER($B528)),"日期无效",IF(ISNA(MATCH($C528,参数设置!$A$10:$A$12,0)),"公司无效",IF(ISNA(MATCH($D528,记账规则!$A$6:$A$9,0)),"业务类型无效",IF(ISNA(MATCH($F528,商品档案!$A$6:$A$65,0)),"商品编码无效",IF(IFERROR(INDEX(商品档案!$E$6:$E$65,MATCH($F528,商品档案!$A$6:$A$65,0)),"")&lt;&gt;$C528,"商品不属于该公司",IF(AND($E528&lt;&gt;"",ISNA(MATCH($E528,往来单位!$A$6:$A$85,0))),"往来单位未建档",IF(N($J528)=0,"数量为 0",IF(N($K528)=0,"单价为 0",IF(AND(LEFT($D528,2)="销售",$U528=""),"该商品没设成本科目",IF(YEAR($B528)&lt;&gt;参数设置!$B$5,"不在本会计年度","OK")))))))))))</f>
        <v/>
      </c>
      <c r="Q528" s="57" t="str">
        <f aca="false">IF($F528="","",ROUND(N($J528)*N($K528),2))</f>
        <v/>
      </c>
      <c r="R528" s="58" t="str">
        <f aca="false">IF($D528="","",IF(LEFT($D528,2)="销售","应收账款","应付账款"))</f>
        <v/>
      </c>
      <c r="S528" s="58" t="str">
        <f aca="false">IF($F528="","",IFERROR(INDEX(商品档案!$G$6:$G$65,MATCH($F528,商品档案!$A$6:$A$65,0)),""))</f>
        <v/>
      </c>
      <c r="T528" s="58" t="str">
        <f aca="false">IF($F528="","",IFERROR(INDEX(商品档案!$H$6:$H$65,MATCH($F528,商品档案!$A$6:$A$65,0)),""))</f>
        <v/>
      </c>
      <c r="U528" s="58" t="str">
        <f aca="false">IF($F528="","",IFERROR(INDEX(商品档案!$I$6:$I$65,MATCH($F528,商品档案!$A$6:$A$65,0)),""))</f>
        <v/>
      </c>
      <c r="V528" s="59" t="str">
        <f aca="false">IF($F528="","",SUMIFS(进销存台账!$N$6:$N$65,进销存台账!$A$6:$A$65,$C528,进销存台账!$B$6:$B$65,$F528))</f>
        <v/>
      </c>
      <c r="W528" s="60" t="n">
        <f aca="false">IF(OR($D528="销售出库",$D528="销售退回"),ROUND(N($J528)*N($V528),2),0)</f>
        <v>0</v>
      </c>
      <c r="X528" s="58" t="str">
        <f aca="false">IF($E528="","",IFERROR(INDEX(往来单位!$D$6:$D$85,MATCH($E528,往来单位!$A$6:$A$85,0)),"否"))</f>
        <v/>
      </c>
      <c r="Y528" s="61" t="str">
        <f aca="false">IF($B528="","",YEAR($B528))</f>
        <v/>
      </c>
      <c r="Z528" s="58" t="str">
        <f aca="false">IF($B528="","",TEXT($B528,"yyyy-mm"))</f>
        <v/>
      </c>
    </row>
    <row r="529" customFormat="false" ht="15" hidden="false" customHeight="false" outlineLevel="0" collapsed="false">
      <c r="A529" s="53" t="str">
        <f aca="false">IF($B529="","",ROW()-5)</f>
        <v/>
      </c>
      <c r="B529" s="54"/>
      <c r="C529" s="33"/>
      <c r="D529" s="33"/>
      <c r="E529" s="32"/>
      <c r="F529" s="39"/>
      <c r="G529" s="48" t="str">
        <f aca="false">IF($F529="","",IFERROR(INDEX(商品档案!$B$6:$B$65,MATCH($F529,商品档案!$A$6:$A$65,0)),""))</f>
        <v/>
      </c>
      <c r="H529" s="48" t="str">
        <f aca="false">IF($F529="","",IFERROR(INDEX(商品档案!$C$6:$C$65,MATCH($F529,商品档案!$A$6:$A$65,0)),""))</f>
        <v/>
      </c>
      <c r="I529" s="55" t="str">
        <f aca="false">IF($F529="","",IFERROR(INDEX(商品档案!$D$6:$D$65,MATCH($F529,商品档案!$A$6:$A$65,0)),""))</f>
        <v/>
      </c>
      <c r="J529" s="49"/>
      <c r="K529" s="56"/>
      <c r="L529" s="33"/>
      <c r="M529" s="39"/>
      <c r="N529" s="41"/>
      <c r="O529" s="41"/>
      <c r="P529" s="25" t="str">
        <f aca="false">IF(AND($B529="",$D529="",$F529=""),"",IF(NOT(ISNUMBER($B529)),"日期无效",IF(ISNA(MATCH($C529,参数设置!$A$10:$A$12,0)),"公司无效",IF(ISNA(MATCH($D529,记账规则!$A$6:$A$9,0)),"业务类型无效",IF(ISNA(MATCH($F529,商品档案!$A$6:$A$65,0)),"商品编码无效",IF(IFERROR(INDEX(商品档案!$E$6:$E$65,MATCH($F529,商品档案!$A$6:$A$65,0)),"")&lt;&gt;$C529,"商品不属于该公司",IF(AND($E529&lt;&gt;"",ISNA(MATCH($E529,往来单位!$A$6:$A$85,0))),"往来单位未建档",IF(N($J529)=0,"数量为 0",IF(N($K529)=0,"单价为 0",IF(AND(LEFT($D529,2)="销售",$U529=""),"该商品没设成本科目",IF(YEAR($B529)&lt;&gt;参数设置!$B$5,"不在本会计年度","OK")))))))))))</f>
        <v/>
      </c>
      <c r="Q529" s="57" t="str">
        <f aca="false">IF($F529="","",ROUND(N($J529)*N($K529),2))</f>
        <v/>
      </c>
      <c r="R529" s="58" t="str">
        <f aca="false">IF($D529="","",IF(LEFT($D529,2)="销售","应收账款","应付账款"))</f>
        <v/>
      </c>
      <c r="S529" s="58" t="str">
        <f aca="false">IF($F529="","",IFERROR(INDEX(商品档案!$G$6:$G$65,MATCH($F529,商品档案!$A$6:$A$65,0)),""))</f>
        <v/>
      </c>
      <c r="T529" s="58" t="str">
        <f aca="false">IF($F529="","",IFERROR(INDEX(商品档案!$H$6:$H$65,MATCH($F529,商品档案!$A$6:$A$65,0)),""))</f>
        <v/>
      </c>
      <c r="U529" s="58" t="str">
        <f aca="false">IF($F529="","",IFERROR(INDEX(商品档案!$I$6:$I$65,MATCH($F529,商品档案!$A$6:$A$65,0)),""))</f>
        <v/>
      </c>
      <c r="V529" s="59" t="str">
        <f aca="false">IF($F529="","",SUMIFS(进销存台账!$N$6:$N$65,进销存台账!$A$6:$A$65,$C529,进销存台账!$B$6:$B$65,$F529))</f>
        <v/>
      </c>
      <c r="W529" s="60" t="n">
        <f aca="false">IF(OR($D529="销售出库",$D529="销售退回"),ROUND(N($J529)*N($V529),2),0)</f>
        <v>0</v>
      </c>
      <c r="X529" s="58" t="str">
        <f aca="false">IF($E529="","",IFERROR(INDEX(往来单位!$D$6:$D$85,MATCH($E529,往来单位!$A$6:$A$85,0)),"否"))</f>
        <v/>
      </c>
      <c r="Y529" s="61" t="str">
        <f aca="false">IF($B529="","",YEAR($B529))</f>
        <v/>
      </c>
      <c r="Z529" s="58" t="str">
        <f aca="false">IF($B529="","",TEXT($B529,"yyyy-mm"))</f>
        <v/>
      </c>
    </row>
    <row r="530" customFormat="false" ht="15" hidden="false" customHeight="false" outlineLevel="0" collapsed="false">
      <c r="A530" s="53" t="str">
        <f aca="false">IF($B530="","",ROW()-5)</f>
        <v/>
      </c>
      <c r="B530" s="54"/>
      <c r="C530" s="33"/>
      <c r="D530" s="33"/>
      <c r="E530" s="32"/>
      <c r="F530" s="39"/>
      <c r="G530" s="48" t="str">
        <f aca="false">IF($F530="","",IFERROR(INDEX(商品档案!$B$6:$B$65,MATCH($F530,商品档案!$A$6:$A$65,0)),""))</f>
        <v/>
      </c>
      <c r="H530" s="48" t="str">
        <f aca="false">IF($F530="","",IFERROR(INDEX(商品档案!$C$6:$C$65,MATCH($F530,商品档案!$A$6:$A$65,0)),""))</f>
        <v/>
      </c>
      <c r="I530" s="55" t="str">
        <f aca="false">IF($F530="","",IFERROR(INDEX(商品档案!$D$6:$D$65,MATCH($F530,商品档案!$A$6:$A$65,0)),""))</f>
        <v/>
      </c>
      <c r="J530" s="49"/>
      <c r="K530" s="56"/>
      <c r="L530" s="33"/>
      <c r="M530" s="39"/>
      <c r="N530" s="41"/>
      <c r="O530" s="41"/>
      <c r="P530" s="25" t="str">
        <f aca="false">IF(AND($B530="",$D530="",$F530=""),"",IF(NOT(ISNUMBER($B530)),"日期无效",IF(ISNA(MATCH($C530,参数设置!$A$10:$A$12,0)),"公司无效",IF(ISNA(MATCH($D530,记账规则!$A$6:$A$9,0)),"业务类型无效",IF(ISNA(MATCH($F530,商品档案!$A$6:$A$65,0)),"商品编码无效",IF(IFERROR(INDEX(商品档案!$E$6:$E$65,MATCH($F530,商品档案!$A$6:$A$65,0)),"")&lt;&gt;$C530,"商品不属于该公司",IF(AND($E530&lt;&gt;"",ISNA(MATCH($E530,往来单位!$A$6:$A$85,0))),"往来单位未建档",IF(N($J530)=0,"数量为 0",IF(N($K530)=0,"单价为 0",IF(AND(LEFT($D530,2)="销售",$U530=""),"该商品没设成本科目",IF(YEAR($B530)&lt;&gt;参数设置!$B$5,"不在本会计年度","OK")))))))))))</f>
        <v/>
      </c>
      <c r="Q530" s="57" t="str">
        <f aca="false">IF($F530="","",ROUND(N($J530)*N($K530),2))</f>
        <v/>
      </c>
      <c r="R530" s="58" t="str">
        <f aca="false">IF($D530="","",IF(LEFT($D530,2)="销售","应收账款","应付账款"))</f>
        <v/>
      </c>
      <c r="S530" s="58" t="str">
        <f aca="false">IF($F530="","",IFERROR(INDEX(商品档案!$G$6:$G$65,MATCH($F530,商品档案!$A$6:$A$65,0)),""))</f>
        <v/>
      </c>
      <c r="T530" s="58" t="str">
        <f aca="false">IF($F530="","",IFERROR(INDEX(商品档案!$H$6:$H$65,MATCH($F530,商品档案!$A$6:$A$65,0)),""))</f>
        <v/>
      </c>
      <c r="U530" s="58" t="str">
        <f aca="false">IF($F530="","",IFERROR(INDEX(商品档案!$I$6:$I$65,MATCH($F530,商品档案!$A$6:$A$65,0)),""))</f>
        <v/>
      </c>
      <c r="V530" s="59" t="str">
        <f aca="false">IF($F530="","",SUMIFS(进销存台账!$N$6:$N$65,进销存台账!$A$6:$A$65,$C530,进销存台账!$B$6:$B$65,$F530))</f>
        <v/>
      </c>
      <c r="W530" s="60" t="n">
        <f aca="false">IF(OR($D530="销售出库",$D530="销售退回"),ROUND(N($J530)*N($V530),2),0)</f>
        <v>0</v>
      </c>
      <c r="X530" s="58" t="str">
        <f aca="false">IF($E530="","",IFERROR(INDEX(往来单位!$D$6:$D$85,MATCH($E530,往来单位!$A$6:$A$85,0)),"否"))</f>
        <v/>
      </c>
      <c r="Y530" s="61" t="str">
        <f aca="false">IF($B530="","",YEAR($B530))</f>
        <v/>
      </c>
      <c r="Z530" s="58" t="str">
        <f aca="false">IF($B530="","",TEXT($B530,"yyyy-mm"))</f>
        <v/>
      </c>
    </row>
    <row r="531" customFormat="false" ht="15" hidden="false" customHeight="false" outlineLevel="0" collapsed="false">
      <c r="A531" s="53" t="str">
        <f aca="false">IF($B531="","",ROW()-5)</f>
        <v/>
      </c>
      <c r="B531" s="54"/>
      <c r="C531" s="33"/>
      <c r="D531" s="33"/>
      <c r="E531" s="32"/>
      <c r="F531" s="39"/>
      <c r="G531" s="48" t="str">
        <f aca="false">IF($F531="","",IFERROR(INDEX(商品档案!$B$6:$B$65,MATCH($F531,商品档案!$A$6:$A$65,0)),""))</f>
        <v/>
      </c>
      <c r="H531" s="48" t="str">
        <f aca="false">IF($F531="","",IFERROR(INDEX(商品档案!$C$6:$C$65,MATCH($F531,商品档案!$A$6:$A$65,0)),""))</f>
        <v/>
      </c>
      <c r="I531" s="55" t="str">
        <f aca="false">IF($F531="","",IFERROR(INDEX(商品档案!$D$6:$D$65,MATCH($F531,商品档案!$A$6:$A$65,0)),""))</f>
        <v/>
      </c>
      <c r="J531" s="49"/>
      <c r="K531" s="56"/>
      <c r="L531" s="33"/>
      <c r="M531" s="39"/>
      <c r="N531" s="41"/>
      <c r="O531" s="41"/>
      <c r="P531" s="25" t="str">
        <f aca="false">IF(AND($B531="",$D531="",$F531=""),"",IF(NOT(ISNUMBER($B531)),"日期无效",IF(ISNA(MATCH($C531,参数设置!$A$10:$A$12,0)),"公司无效",IF(ISNA(MATCH($D531,记账规则!$A$6:$A$9,0)),"业务类型无效",IF(ISNA(MATCH($F531,商品档案!$A$6:$A$65,0)),"商品编码无效",IF(IFERROR(INDEX(商品档案!$E$6:$E$65,MATCH($F531,商品档案!$A$6:$A$65,0)),"")&lt;&gt;$C531,"商品不属于该公司",IF(AND($E531&lt;&gt;"",ISNA(MATCH($E531,往来单位!$A$6:$A$85,0))),"往来单位未建档",IF(N($J531)=0,"数量为 0",IF(N($K531)=0,"单价为 0",IF(AND(LEFT($D531,2)="销售",$U531=""),"该商品没设成本科目",IF(YEAR($B531)&lt;&gt;参数设置!$B$5,"不在本会计年度","OK")))))))))))</f>
        <v/>
      </c>
      <c r="Q531" s="57" t="str">
        <f aca="false">IF($F531="","",ROUND(N($J531)*N($K531),2))</f>
        <v/>
      </c>
      <c r="R531" s="58" t="str">
        <f aca="false">IF($D531="","",IF(LEFT($D531,2)="销售","应收账款","应付账款"))</f>
        <v/>
      </c>
      <c r="S531" s="58" t="str">
        <f aca="false">IF($F531="","",IFERROR(INDEX(商品档案!$G$6:$G$65,MATCH($F531,商品档案!$A$6:$A$65,0)),""))</f>
        <v/>
      </c>
      <c r="T531" s="58" t="str">
        <f aca="false">IF($F531="","",IFERROR(INDEX(商品档案!$H$6:$H$65,MATCH($F531,商品档案!$A$6:$A$65,0)),""))</f>
        <v/>
      </c>
      <c r="U531" s="58" t="str">
        <f aca="false">IF($F531="","",IFERROR(INDEX(商品档案!$I$6:$I$65,MATCH($F531,商品档案!$A$6:$A$65,0)),""))</f>
        <v/>
      </c>
      <c r="V531" s="59" t="str">
        <f aca="false">IF($F531="","",SUMIFS(进销存台账!$N$6:$N$65,进销存台账!$A$6:$A$65,$C531,进销存台账!$B$6:$B$65,$F531))</f>
        <v/>
      </c>
      <c r="W531" s="60" t="n">
        <f aca="false">IF(OR($D531="销售出库",$D531="销售退回"),ROUND(N($J531)*N($V531),2),0)</f>
        <v>0</v>
      </c>
      <c r="X531" s="58" t="str">
        <f aca="false">IF($E531="","",IFERROR(INDEX(往来单位!$D$6:$D$85,MATCH($E531,往来单位!$A$6:$A$85,0)),"否"))</f>
        <v/>
      </c>
      <c r="Y531" s="61" t="str">
        <f aca="false">IF($B531="","",YEAR($B531))</f>
        <v/>
      </c>
      <c r="Z531" s="58" t="str">
        <f aca="false">IF($B531="","",TEXT($B531,"yyyy-mm"))</f>
        <v/>
      </c>
    </row>
    <row r="532" customFormat="false" ht="15" hidden="false" customHeight="false" outlineLevel="0" collapsed="false">
      <c r="A532" s="53" t="str">
        <f aca="false">IF($B532="","",ROW()-5)</f>
        <v/>
      </c>
      <c r="B532" s="54"/>
      <c r="C532" s="33"/>
      <c r="D532" s="33"/>
      <c r="E532" s="32"/>
      <c r="F532" s="39"/>
      <c r="G532" s="48" t="str">
        <f aca="false">IF($F532="","",IFERROR(INDEX(商品档案!$B$6:$B$65,MATCH($F532,商品档案!$A$6:$A$65,0)),""))</f>
        <v/>
      </c>
      <c r="H532" s="48" t="str">
        <f aca="false">IF($F532="","",IFERROR(INDEX(商品档案!$C$6:$C$65,MATCH($F532,商品档案!$A$6:$A$65,0)),""))</f>
        <v/>
      </c>
      <c r="I532" s="55" t="str">
        <f aca="false">IF($F532="","",IFERROR(INDEX(商品档案!$D$6:$D$65,MATCH($F532,商品档案!$A$6:$A$65,0)),""))</f>
        <v/>
      </c>
      <c r="J532" s="49"/>
      <c r="K532" s="56"/>
      <c r="L532" s="33"/>
      <c r="M532" s="39"/>
      <c r="N532" s="41"/>
      <c r="O532" s="41"/>
      <c r="P532" s="25" t="str">
        <f aca="false">IF(AND($B532="",$D532="",$F532=""),"",IF(NOT(ISNUMBER($B532)),"日期无效",IF(ISNA(MATCH($C532,参数设置!$A$10:$A$12,0)),"公司无效",IF(ISNA(MATCH($D532,记账规则!$A$6:$A$9,0)),"业务类型无效",IF(ISNA(MATCH($F532,商品档案!$A$6:$A$65,0)),"商品编码无效",IF(IFERROR(INDEX(商品档案!$E$6:$E$65,MATCH($F532,商品档案!$A$6:$A$65,0)),"")&lt;&gt;$C532,"商品不属于该公司",IF(AND($E532&lt;&gt;"",ISNA(MATCH($E532,往来单位!$A$6:$A$85,0))),"往来单位未建档",IF(N($J532)=0,"数量为 0",IF(N($K532)=0,"单价为 0",IF(AND(LEFT($D532,2)="销售",$U532=""),"该商品没设成本科目",IF(YEAR($B532)&lt;&gt;参数设置!$B$5,"不在本会计年度","OK")))))))))))</f>
        <v/>
      </c>
      <c r="Q532" s="57" t="str">
        <f aca="false">IF($F532="","",ROUND(N($J532)*N($K532),2))</f>
        <v/>
      </c>
      <c r="R532" s="58" t="str">
        <f aca="false">IF($D532="","",IF(LEFT($D532,2)="销售","应收账款","应付账款"))</f>
        <v/>
      </c>
      <c r="S532" s="58" t="str">
        <f aca="false">IF($F532="","",IFERROR(INDEX(商品档案!$G$6:$G$65,MATCH($F532,商品档案!$A$6:$A$65,0)),""))</f>
        <v/>
      </c>
      <c r="T532" s="58" t="str">
        <f aca="false">IF($F532="","",IFERROR(INDEX(商品档案!$H$6:$H$65,MATCH($F532,商品档案!$A$6:$A$65,0)),""))</f>
        <v/>
      </c>
      <c r="U532" s="58" t="str">
        <f aca="false">IF($F532="","",IFERROR(INDEX(商品档案!$I$6:$I$65,MATCH($F532,商品档案!$A$6:$A$65,0)),""))</f>
        <v/>
      </c>
      <c r="V532" s="59" t="str">
        <f aca="false">IF($F532="","",SUMIFS(进销存台账!$N$6:$N$65,进销存台账!$A$6:$A$65,$C532,进销存台账!$B$6:$B$65,$F532))</f>
        <v/>
      </c>
      <c r="W532" s="60" t="n">
        <f aca="false">IF(OR($D532="销售出库",$D532="销售退回"),ROUND(N($J532)*N($V532),2),0)</f>
        <v>0</v>
      </c>
      <c r="X532" s="58" t="str">
        <f aca="false">IF($E532="","",IFERROR(INDEX(往来单位!$D$6:$D$85,MATCH($E532,往来单位!$A$6:$A$85,0)),"否"))</f>
        <v/>
      </c>
      <c r="Y532" s="61" t="str">
        <f aca="false">IF($B532="","",YEAR($B532))</f>
        <v/>
      </c>
      <c r="Z532" s="58" t="str">
        <f aca="false">IF($B532="","",TEXT($B532,"yyyy-mm"))</f>
        <v/>
      </c>
    </row>
    <row r="533" customFormat="false" ht="15" hidden="false" customHeight="false" outlineLevel="0" collapsed="false">
      <c r="A533" s="53" t="str">
        <f aca="false">IF($B533="","",ROW()-5)</f>
        <v/>
      </c>
      <c r="B533" s="54"/>
      <c r="C533" s="33"/>
      <c r="D533" s="33"/>
      <c r="E533" s="32"/>
      <c r="F533" s="39"/>
      <c r="G533" s="48" t="str">
        <f aca="false">IF($F533="","",IFERROR(INDEX(商品档案!$B$6:$B$65,MATCH($F533,商品档案!$A$6:$A$65,0)),""))</f>
        <v/>
      </c>
      <c r="H533" s="48" t="str">
        <f aca="false">IF($F533="","",IFERROR(INDEX(商品档案!$C$6:$C$65,MATCH($F533,商品档案!$A$6:$A$65,0)),""))</f>
        <v/>
      </c>
      <c r="I533" s="55" t="str">
        <f aca="false">IF($F533="","",IFERROR(INDEX(商品档案!$D$6:$D$65,MATCH($F533,商品档案!$A$6:$A$65,0)),""))</f>
        <v/>
      </c>
      <c r="J533" s="49"/>
      <c r="K533" s="56"/>
      <c r="L533" s="33"/>
      <c r="M533" s="39"/>
      <c r="N533" s="41"/>
      <c r="O533" s="41"/>
      <c r="P533" s="25" t="str">
        <f aca="false">IF(AND($B533="",$D533="",$F533=""),"",IF(NOT(ISNUMBER($B533)),"日期无效",IF(ISNA(MATCH($C533,参数设置!$A$10:$A$12,0)),"公司无效",IF(ISNA(MATCH($D533,记账规则!$A$6:$A$9,0)),"业务类型无效",IF(ISNA(MATCH($F533,商品档案!$A$6:$A$65,0)),"商品编码无效",IF(IFERROR(INDEX(商品档案!$E$6:$E$65,MATCH($F533,商品档案!$A$6:$A$65,0)),"")&lt;&gt;$C533,"商品不属于该公司",IF(AND($E533&lt;&gt;"",ISNA(MATCH($E533,往来单位!$A$6:$A$85,0))),"往来单位未建档",IF(N($J533)=0,"数量为 0",IF(N($K533)=0,"单价为 0",IF(AND(LEFT($D533,2)="销售",$U533=""),"该商品没设成本科目",IF(YEAR($B533)&lt;&gt;参数设置!$B$5,"不在本会计年度","OK")))))))))))</f>
        <v/>
      </c>
      <c r="Q533" s="57" t="str">
        <f aca="false">IF($F533="","",ROUND(N($J533)*N($K533),2))</f>
        <v/>
      </c>
      <c r="R533" s="58" t="str">
        <f aca="false">IF($D533="","",IF(LEFT($D533,2)="销售","应收账款","应付账款"))</f>
        <v/>
      </c>
      <c r="S533" s="58" t="str">
        <f aca="false">IF($F533="","",IFERROR(INDEX(商品档案!$G$6:$G$65,MATCH($F533,商品档案!$A$6:$A$65,0)),""))</f>
        <v/>
      </c>
      <c r="T533" s="58" t="str">
        <f aca="false">IF($F533="","",IFERROR(INDEX(商品档案!$H$6:$H$65,MATCH($F533,商品档案!$A$6:$A$65,0)),""))</f>
        <v/>
      </c>
      <c r="U533" s="58" t="str">
        <f aca="false">IF($F533="","",IFERROR(INDEX(商品档案!$I$6:$I$65,MATCH($F533,商品档案!$A$6:$A$65,0)),""))</f>
        <v/>
      </c>
      <c r="V533" s="59" t="str">
        <f aca="false">IF($F533="","",SUMIFS(进销存台账!$N$6:$N$65,进销存台账!$A$6:$A$65,$C533,进销存台账!$B$6:$B$65,$F533))</f>
        <v/>
      </c>
      <c r="W533" s="60" t="n">
        <f aca="false">IF(OR($D533="销售出库",$D533="销售退回"),ROUND(N($J533)*N($V533),2),0)</f>
        <v>0</v>
      </c>
      <c r="X533" s="58" t="str">
        <f aca="false">IF($E533="","",IFERROR(INDEX(往来单位!$D$6:$D$85,MATCH($E533,往来单位!$A$6:$A$85,0)),"否"))</f>
        <v/>
      </c>
      <c r="Y533" s="61" t="str">
        <f aca="false">IF($B533="","",YEAR($B533))</f>
        <v/>
      </c>
      <c r="Z533" s="58" t="str">
        <f aca="false">IF($B533="","",TEXT($B533,"yyyy-mm"))</f>
        <v/>
      </c>
    </row>
    <row r="534" customFormat="false" ht="15" hidden="false" customHeight="false" outlineLevel="0" collapsed="false">
      <c r="A534" s="53" t="str">
        <f aca="false">IF($B534="","",ROW()-5)</f>
        <v/>
      </c>
      <c r="B534" s="54"/>
      <c r="C534" s="33"/>
      <c r="D534" s="33"/>
      <c r="E534" s="32"/>
      <c r="F534" s="39"/>
      <c r="G534" s="48" t="str">
        <f aca="false">IF($F534="","",IFERROR(INDEX(商品档案!$B$6:$B$65,MATCH($F534,商品档案!$A$6:$A$65,0)),""))</f>
        <v/>
      </c>
      <c r="H534" s="48" t="str">
        <f aca="false">IF($F534="","",IFERROR(INDEX(商品档案!$C$6:$C$65,MATCH($F534,商品档案!$A$6:$A$65,0)),""))</f>
        <v/>
      </c>
      <c r="I534" s="55" t="str">
        <f aca="false">IF($F534="","",IFERROR(INDEX(商品档案!$D$6:$D$65,MATCH($F534,商品档案!$A$6:$A$65,0)),""))</f>
        <v/>
      </c>
      <c r="J534" s="49"/>
      <c r="K534" s="56"/>
      <c r="L534" s="33"/>
      <c r="M534" s="39"/>
      <c r="N534" s="41"/>
      <c r="O534" s="41"/>
      <c r="P534" s="25" t="str">
        <f aca="false">IF(AND($B534="",$D534="",$F534=""),"",IF(NOT(ISNUMBER($B534)),"日期无效",IF(ISNA(MATCH($C534,参数设置!$A$10:$A$12,0)),"公司无效",IF(ISNA(MATCH($D534,记账规则!$A$6:$A$9,0)),"业务类型无效",IF(ISNA(MATCH($F534,商品档案!$A$6:$A$65,0)),"商品编码无效",IF(IFERROR(INDEX(商品档案!$E$6:$E$65,MATCH($F534,商品档案!$A$6:$A$65,0)),"")&lt;&gt;$C534,"商品不属于该公司",IF(AND($E534&lt;&gt;"",ISNA(MATCH($E534,往来单位!$A$6:$A$85,0))),"往来单位未建档",IF(N($J534)=0,"数量为 0",IF(N($K534)=0,"单价为 0",IF(AND(LEFT($D534,2)="销售",$U534=""),"该商品没设成本科目",IF(YEAR($B534)&lt;&gt;参数设置!$B$5,"不在本会计年度","OK")))))))))))</f>
        <v/>
      </c>
      <c r="Q534" s="57" t="str">
        <f aca="false">IF($F534="","",ROUND(N($J534)*N($K534),2))</f>
        <v/>
      </c>
      <c r="R534" s="58" t="str">
        <f aca="false">IF($D534="","",IF(LEFT($D534,2)="销售","应收账款","应付账款"))</f>
        <v/>
      </c>
      <c r="S534" s="58" t="str">
        <f aca="false">IF($F534="","",IFERROR(INDEX(商品档案!$G$6:$G$65,MATCH($F534,商品档案!$A$6:$A$65,0)),""))</f>
        <v/>
      </c>
      <c r="T534" s="58" t="str">
        <f aca="false">IF($F534="","",IFERROR(INDEX(商品档案!$H$6:$H$65,MATCH($F534,商品档案!$A$6:$A$65,0)),""))</f>
        <v/>
      </c>
      <c r="U534" s="58" t="str">
        <f aca="false">IF($F534="","",IFERROR(INDEX(商品档案!$I$6:$I$65,MATCH($F534,商品档案!$A$6:$A$65,0)),""))</f>
        <v/>
      </c>
      <c r="V534" s="59" t="str">
        <f aca="false">IF($F534="","",SUMIFS(进销存台账!$N$6:$N$65,进销存台账!$A$6:$A$65,$C534,进销存台账!$B$6:$B$65,$F534))</f>
        <v/>
      </c>
      <c r="W534" s="60" t="n">
        <f aca="false">IF(OR($D534="销售出库",$D534="销售退回"),ROUND(N($J534)*N($V534),2),0)</f>
        <v>0</v>
      </c>
      <c r="X534" s="58" t="str">
        <f aca="false">IF($E534="","",IFERROR(INDEX(往来单位!$D$6:$D$85,MATCH($E534,往来单位!$A$6:$A$85,0)),"否"))</f>
        <v/>
      </c>
      <c r="Y534" s="61" t="str">
        <f aca="false">IF($B534="","",YEAR($B534))</f>
        <v/>
      </c>
      <c r="Z534" s="58" t="str">
        <f aca="false">IF($B534="","",TEXT($B534,"yyyy-mm"))</f>
        <v/>
      </c>
    </row>
    <row r="535" customFormat="false" ht="15" hidden="false" customHeight="false" outlineLevel="0" collapsed="false">
      <c r="A535" s="53" t="str">
        <f aca="false">IF($B535="","",ROW()-5)</f>
        <v/>
      </c>
      <c r="B535" s="54"/>
      <c r="C535" s="33"/>
      <c r="D535" s="33"/>
      <c r="E535" s="32"/>
      <c r="F535" s="39"/>
      <c r="G535" s="48" t="str">
        <f aca="false">IF($F535="","",IFERROR(INDEX(商品档案!$B$6:$B$65,MATCH($F535,商品档案!$A$6:$A$65,0)),""))</f>
        <v/>
      </c>
      <c r="H535" s="48" t="str">
        <f aca="false">IF($F535="","",IFERROR(INDEX(商品档案!$C$6:$C$65,MATCH($F535,商品档案!$A$6:$A$65,0)),""))</f>
        <v/>
      </c>
      <c r="I535" s="55" t="str">
        <f aca="false">IF($F535="","",IFERROR(INDEX(商品档案!$D$6:$D$65,MATCH($F535,商品档案!$A$6:$A$65,0)),""))</f>
        <v/>
      </c>
      <c r="J535" s="49"/>
      <c r="K535" s="56"/>
      <c r="L535" s="33"/>
      <c r="M535" s="39"/>
      <c r="N535" s="41"/>
      <c r="O535" s="41"/>
      <c r="P535" s="25" t="str">
        <f aca="false">IF(AND($B535="",$D535="",$F535=""),"",IF(NOT(ISNUMBER($B535)),"日期无效",IF(ISNA(MATCH($C535,参数设置!$A$10:$A$12,0)),"公司无效",IF(ISNA(MATCH($D535,记账规则!$A$6:$A$9,0)),"业务类型无效",IF(ISNA(MATCH($F535,商品档案!$A$6:$A$65,0)),"商品编码无效",IF(IFERROR(INDEX(商品档案!$E$6:$E$65,MATCH($F535,商品档案!$A$6:$A$65,0)),"")&lt;&gt;$C535,"商品不属于该公司",IF(AND($E535&lt;&gt;"",ISNA(MATCH($E535,往来单位!$A$6:$A$85,0))),"往来单位未建档",IF(N($J535)=0,"数量为 0",IF(N($K535)=0,"单价为 0",IF(AND(LEFT($D535,2)="销售",$U535=""),"该商品没设成本科目",IF(YEAR($B535)&lt;&gt;参数设置!$B$5,"不在本会计年度","OK")))))))))))</f>
        <v/>
      </c>
      <c r="Q535" s="57" t="str">
        <f aca="false">IF($F535="","",ROUND(N($J535)*N($K535),2))</f>
        <v/>
      </c>
      <c r="R535" s="58" t="str">
        <f aca="false">IF($D535="","",IF(LEFT($D535,2)="销售","应收账款","应付账款"))</f>
        <v/>
      </c>
      <c r="S535" s="58" t="str">
        <f aca="false">IF($F535="","",IFERROR(INDEX(商品档案!$G$6:$G$65,MATCH($F535,商品档案!$A$6:$A$65,0)),""))</f>
        <v/>
      </c>
      <c r="T535" s="58" t="str">
        <f aca="false">IF($F535="","",IFERROR(INDEX(商品档案!$H$6:$H$65,MATCH($F535,商品档案!$A$6:$A$65,0)),""))</f>
        <v/>
      </c>
      <c r="U535" s="58" t="str">
        <f aca="false">IF($F535="","",IFERROR(INDEX(商品档案!$I$6:$I$65,MATCH($F535,商品档案!$A$6:$A$65,0)),""))</f>
        <v/>
      </c>
      <c r="V535" s="59" t="str">
        <f aca="false">IF($F535="","",SUMIFS(进销存台账!$N$6:$N$65,进销存台账!$A$6:$A$65,$C535,进销存台账!$B$6:$B$65,$F535))</f>
        <v/>
      </c>
      <c r="W535" s="60" t="n">
        <f aca="false">IF(OR($D535="销售出库",$D535="销售退回"),ROUND(N($J535)*N($V535),2),0)</f>
        <v>0</v>
      </c>
      <c r="X535" s="58" t="str">
        <f aca="false">IF($E535="","",IFERROR(INDEX(往来单位!$D$6:$D$85,MATCH($E535,往来单位!$A$6:$A$85,0)),"否"))</f>
        <v/>
      </c>
      <c r="Y535" s="61" t="str">
        <f aca="false">IF($B535="","",YEAR($B535))</f>
        <v/>
      </c>
      <c r="Z535" s="58" t="str">
        <f aca="false">IF($B535="","",TEXT($B535,"yyyy-mm"))</f>
        <v/>
      </c>
    </row>
    <row r="536" customFormat="false" ht="15" hidden="false" customHeight="false" outlineLevel="0" collapsed="false">
      <c r="A536" s="53" t="str">
        <f aca="false">IF($B536="","",ROW()-5)</f>
        <v/>
      </c>
      <c r="B536" s="54"/>
      <c r="C536" s="33"/>
      <c r="D536" s="33"/>
      <c r="E536" s="32"/>
      <c r="F536" s="39"/>
      <c r="G536" s="48" t="str">
        <f aca="false">IF($F536="","",IFERROR(INDEX(商品档案!$B$6:$B$65,MATCH($F536,商品档案!$A$6:$A$65,0)),""))</f>
        <v/>
      </c>
      <c r="H536" s="48" t="str">
        <f aca="false">IF($F536="","",IFERROR(INDEX(商品档案!$C$6:$C$65,MATCH($F536,商品档案!$A$6:$A$65,0)),""))</f>
        <v/>
      </c>
      <c r="I536" s="55" t="str">
        <f aca="false">IF($F536="","",IFERROR(INDEX(商品档案!$D$6:$D$65,MATCH($F536,商品档案!$A$6:$A$65,0)),""))</f>
        <v/>
      </c>
      <c r="J536" s="49"/>
      <c r="K536" s="56"/>
      <c r="L536" s="33"/>
      <c r="M536" s="39"/>
      <c r="N536" s="41"/>
      <c r="O536" s="41"/>
      <c r="P536" s="25" t="str">
        <f aca="false">IF(AND($B536="",$D536="",$F536=""),"",IF(NOT(ISNUMBER($B536)),"日期无效",IF(ISNA(MATCH($C536,参数设置!$A$10:$A$12,0)),"公司无效",IF(ISNA(MATCH($D536,记账规则!$A$6:$A$9,0)),"业务类型无效",IF(ISNA(MATCH($F536,商品档案!$A$6:$A$65,0)),"商品编码无效",IF(IFERROR(INDEX(商品档案!$E$6:$E$65,MATCH($F536,商品档案!$A$6:$A$65,0)),"")&lt;&gt;$C536,"商品不属于该公司",IF(AND($E536&lt;&gt;"",ISNA(MATCH($E536,往来单位!$A$6:$A$85,0))),"往来单位未建档",IF(N($J536)=0,"数量为 0",IF(N($K536)=0,"单价为 0",IF(AND(LEFT($D536,2)="销售",$U536=""),"该商品没设成本科目",IF(YEAR($B536)&lt;&gt;参数设置!$B$5,"不在本会计年度","OK")))))))))))</f>
        <v/>
      </c>
      <c r="Q536" s="57" t="str">
        <f aca="false">IF($F536="","",ROUND(N($J536)*N($K536),2))</f>
        <v/>
      </c>
      <c r="R536" s="58" t="str">
        <f aca="false">IF($D536="","",IF(LEFT($D536,2)="销售","应收账款","应付账款"))</f>
        <v/>
      </c>
      <c r="S536" s="58" t="str">
        <f aca="false">IF($F536="","",IFERROR(INDEX(商品档案!$G$6:$G$65,MATCH($F536,商品档案!$A$6:$A$65,0)),""))</f>
        <v/>
      </c>
      <c r="T536" s="58" t="str">
        <f aca="false">IF($F536="","",IFERROR(INDEX(商品档案!$H$6:$H$65,MATCH($F536,商品档案!$A$6:$A$65,0)),""))</f>
        <v/>
      </c>
      <c r="U536" s="58" t="str">
        <f aca="false">IF($F536="","",IFERROR(INDEX(商品档案!$I$6:$I$65,MATCH($F536,商品档案!$A$6:$A$65,0)),""))</f>
        <v/>
      </c>
      <c r="V536" s="59" t="str">
        <f aca="false">IF($F536="","",SUMIFS(进销存台账!$N$6:$N$65,进销存台账!$A$6:$A$65,$C536,进销存台账!$B$6:$B$65,$F536))</f>
        <v/>
      </c>
      <c r="W536" s="60" t="n">
        <f aca="false">IF(OR($D536="销售出库",$D536="销售退回"),ROUND(N($J536)*N($V536),2),0)</f>
        <v>0</v>
      </c>
      <c r="X536" s="58" t="str">
        <f aca="false">IF($E536="","",IFERROR(INDEX(往来单位!$D$6:$D$85,MATCH($E536,往来单位!$A$6:$A$85,0)),"否"))</f>
        <v/>
      </c>
      <c r="Y536" s="61" t="str">
        <f aca="false">IF($B536="","",YEAR($B536))</f>
        <v/>
      </c>
      <c r="Z536" s="58" t="str">
        <f aca="false">IF($B536="","",TEXT($B536,"yyyy-mm"))</f>
        <v/>
      </c>
    </row>
    <row r="537" customFormat="false" ht="15" hidden="false" customHeight="false" outlineLevel="0" collapsed="false">
      <c r="A537" s="53" t="str">
        <f aca="false">IF($B537="","",ROW()-5)</f>
        <v/>
      </c>
      <c r="B537" s="54"/>
      <c r="C537" s="33"/>
      <c r="D537" s="33"/>
      <c r="E537" s="32"/>
      <c r="F537" s="39"/>
      <c r="G537" s="48" t="str">
        <f aca="false">IF($F537="","",IFERROR(INDEX(商品档案!$B$6:$B$65,MATCH($F537,商品档案!$A$6:$A$65,0)),""))</f>
        <v/>
      </c>
      <c r="H537" s="48" t="str">
        <f aca="false">IF($F537="","",IFERROR(INDEX(商品档案!$C$6:$C$65,MATCH($F537,商品档案!$A$6:$A$65,0)),""))</f>
        <v/>
      </c>
      <c r="I537" s="55" t="str">
        <f aca="false">IF($F537="","",IFERROR(INDEX(商品档案!$D$6:$D$65,MATCH($F537,商品档案!$A$6:$A$65,0)),""))</f>
        <v/>
      </c>
      <c r="J537" s="49"/>
      <c r="K537" s="56"/>
      <c r="L537" s="33"/>
      <c r="M537" s="39"/>
      <c r="N537" s="41"/>
      <c r="O537" s="41"/>
      <c r="P537" s="25" t="str">
        <f aca="false">IF(AND($B537="",$D537="",$F537=""),"",IF(NOT(ISNUMBER($B537)),"日期无效",IF(ISNA(MATCH($C537,参数设置!$A$10:$A$12,0)),"公司无效",IF(ISNA(MATCH($D537,记账规则!$A$6:$A$9,0)),"业务类型无效",IF(ISNA(MATCH($F537,商品档案!$A$6:$A$65,0)),"商品编码无效",IF(IFERROR(INDEX(商品档案!$E$6:$E$65,MATCH($F537,商品档案!$A$6:$A$65,0)),"")&lt;&gt;$C537,"商品不属于该公司",IF(AND($E537&lt;&gt;"",ISNA(MATCH($E537,往来单位!$A$6:$A$85,0))),"往来单位未建档",IF(N($J537)=0,"数量为 0",IF(N($K537)=0,"单价为 0",IF(AND(LEFT($D537,2)="销售",$U537=""),"该商品没设成本科目",IF(YEAR($B537)&lt;&gt;参数设置!$B$5,"不在本会计年度","OK")))))))))))</f>
        <v/>
      </c>
      <c r="Q537" s="57" t="str">
        <f aca="false">IF($F537="","",ROUND(N($J537)*N($K537),2))</f>
        <v/>
      </c>
      <c r="R537" s="58" t="str">
        <f aca="false">IF($D537="","",IF(LEFT($D537,2)="销售","应收账款","应付账款"))</f>
        <v/>
      </c>
      <c r="S537" s="58" t="str">
        <f aca="false">IF($F537="","",IFERROR(INDEX(商品档案!$G$6:$G$65,MATCH($F537,商品档案!$A$6:$A$65,0)),""))</f>
        <v/>
      </c>
      <c r="T537" s="58" t="str">
        <f aca="false">IF($F537="","",IFERROR(INDEX(商品档案!$H$6:$H$65,MATCH($F537,商品档案!$A$6:$A$65,0)),""))</f>
        <v/>
      </c>
      <c r="U537" s="58" t="str">
        <f aca="false">IF($F537="","",IFERROR(INDEX(商品档案!$I$6:$I$65,MATCH($F537,商品档案!$A$6:$A$65,0)),""))</f>
        <v/>
      </c>
      <c r="V537" s="59" t="str">
        <f aca="false">IF($F537="","",SUMIFS(进销存台账!$N$6:$N$65,进销存台账!$A$6:$A$65,$C537,进销存台账!$B$6:$B$65,$F537))</f>
        <v/>
      </c>
      <c r="W537" s="60" t="n">
        <f aca="false">IF(OR($D537="销售出库",$D537="销售退回"),ROUND(N($J537)*N($V537),2),0)</f>
        <v>0</v>
      </c>
      <c r="X537" s="58" t="str">
        <f aca="false">IF($E537="","",IFERROR(INDEX(往来单位!$D$6:$D$85,MATCH($E537,往来单位!$A$6:$A$85,0)),"否"))</f>
        <v/>
      </c>
      <c r="Y537" s="61" t="str">
        <f aca="false">IF($B537="","",YEAR($B537))</f>
        <v/>
      </c>
      <c r="Z537" s="58" t="str">
        <f aca="false">IF($B537="","",TEXT($B537,"yyyy-mm"))</f>
        <v/>
      </c>
    </row>
    <row r="538" customFormat="false" ht="15" hidden="false" customHeight="false" outlineLevel="0" collapsed="false">
      <c r="A538" s="53" t="str">
        <f aca="false">IF($B538="","",ROW()-5)</f>
        <v/>
      </c>
      <c r="B538" s="54"/>
      <c r="C538" s="33"/>
      <c r="D538" s="33"/>
      <c r="E538" s="32"/>
      <c r="F538" s="39"/>
      <c r="G538" s="48" t="str">
        <f aca="false">IF($F538="","",IFERROR(INDEX(商品档案!$B$6:$B$65,MATCH($F538,商品档案!$A$6:$A$65,0)),""))</f>
        <v/>
      </c>
      <c r="H538" s="48" t="str">
        <f aca="false">IF($F538="","",IFERROR(INDEX(商品档案!$C$6:$C$65,MATCH($F538,商品档案!$A$6:$A$65,0)),""))</f>
        <v/>
      </c>
      <c r="I538" s="55" t="str">
        <f aca="false">IF($F538="","",IFERROR(INDEX(商品档案!$D$6:$D$65,MATCH($F538,商品档案!$A$6:$A$65,0)),""))</f>
        <v/>
      </c>
      <c r="J538" s="49"/>
      <c r="K538" s="56"/>
      <c r="L538" s="33"/>
      <c r="M538" s="39"/>
      <c r="N538" s="41"/>
      <c r="O538" s="41"/>
      <c r="P538" s="25" t="str">
        <f aca="false">IF(AND($B538="",$D538="",$F538=""),"",IF(NOT(ISNUMBER($B538)),"日期无效",IF(ISNA(MATCH($C538,参数设置!$A$10:$A$12,0)),"公司无效",IF(ISNA(MATCH($D538,记账规则!$A$6:$A$9,0)),"业务类型无效",IF(ISNA(MATCH($F538,商品档案!$A$6:$A$65,0)),"商品编码无效",IF(IFERROR(INDEX(商品档案!$E$6:$E$65,MATCH($F538,商品档案!$A$6:$A$65,0)),"")&lt;&gt;$C538,"商品不属于该公司",IF(AND($E538&lt;&gt;"",ISNA(MATCH($E538,往来单位!$A$6:$A$85,0))),"往来单位未建档",IF(N($J538)=0,"数量为 0",IF(N($K538)=0,"单价为 0",IF(AND(LEFT($D538,2)="销售",$U538=""),"该商品没设成本科目",IF(YEAR($B538)&lt;&gt;参数设置!$B$5,"不在本会计年度","OK")))))))))))</f>
        <v/>
      </c>
      <c r="Q538" s="57" t="str">
        <f aca="false">IF($F538="","",ROUND(N($J538)*N($K538),2))</f>
        <v/>
      </c>
      <c r="R538" s="58" t="str">
        <f aca="false">IF($D538="","",IF(LEFT($D538,2)="销售","应收账款","应付账款"))</f>
        <v/>
      </c>
      <c r="S538" s="58" t="str">
        <f aca="false">IF($F538="","",IFERROR(INDEX(商品档案!$G$6:$G$65,MATCH($F538,商品档案!$A$6:$A$65,0)),""))</f>
        <v/>
      </c>
      <c r="T538" s="58" t="str">
        <f aca="false">IF($F538="","",IFERROR(INDEX(商品档案!$H$6:$H$65,MATCH($F538,商品档案!$A$6:$A$65,0)),""))</f>
        <v/>
      </c>
      <c r="U538" s="58" t="str">
        <f aca="false">IF($F538="","",IFERROR(INDEX(商品档案!$I$6:$I$65,MATCH($F538,商品档案!$A$6:$A$65,0)),""))</f>
        <v/>
      </c>
      <c r="V538" s="59" t="str">
        <f aca="false">IF($F538="","",SUMIFS(进销存台账!$N$6:$N$65,进销存台账!$A$6:$A$65,$C538,进销存台账!$B$6:$B$65,$F538))</f>
        <v/>
      </c>
      <c r="W538" s="60" t="n">
        <f aca="false">IF(OR($D538="销售出库",$D538="销售退回"),ROUND(N($J538)*N($V538),2),0)</f>
        <v>0</v>
      </c>
      <c r="X538" s="58" t="str">
        <f aca="false">IF($E538="","",IFERROR(INDEX(往来单位!$D$6:$D$85,MATCH($E538,往来单位!$A$6:$A$85,0)),"否"))</f>
        <v/>
      </c>
      <c r="Y538" s="61" t="str">
        <f aca="false">IF($B538="","",YEAR($B538))</f>
        <v/>
      </c>
      <c r="Z538" s="58" t="str">
        <f aca="false">IF($B538="","",TEXT($B538,"yyyy-mm"))</f>
        <v/>
      </c>
    </row>
    <row r="539" customFormat="false" ht="15" hidden="false" customHeight="false" outlineLevel="0" collapsed="false">
      <c r="A539" s="53" t="str">
        <f aca="false">IF($B539="","",ROW()-5)</f>
        <v/>
      </c>
      <c r="B539" s="54"/>
      <c r="C539" s="33"/>
      <c r="D539" s="33"/>
      <c r="E539" s="32"/>
      <c r="F539" s="39"/>
      <c r="G539" s="48" t="str">
        <f aca="false">IF($F539="","",IFERROR(INDEX(商品档案!$B$6:$B$65,MATCH($F539,商品档案!$A$6:$A$65,0)),""))</f>
        <v/>
      </c>
      <c r="H539" s="48" t="str">
        <f aca="false">IF($F539="","",IFERROR(INDEX(商品档案!$C$6:$C$65,MATCH($F539,商品档案!$A$6:$A$65,0)),""))</f>
        <v/>
      </c>
      <c r="I539" s="55" t="str">
        <f aca="false">IF($F539="","",IFERROR(INDEX(商品档案!$D$6:$D$65,MATCH($F539,商品档案!$A$6:$A$65,0)),""))</f>
        <v/>
      </c>
      <c r="J539" s="49"/>
      <c r="K539" s="56"/>
      <c r="L539" s="33"/>
      <c r="M539" s="39"/>
      <c r="N539" s="41"/>
      <c r="O539" s="41"/>
      <c r="P539" s="25" t="str">
        <f aca="false">IF(AND($B539="",$D539="",$F539=""),"",IF(NOT(ISNUMBER($B539)),"日期无效",IF(ISNA(MATCH($C539,参数设置!$A$10:$A$12,0)),"公司无效",IF(ISNA(MATCH($D539,记账规则!$A$6:$A$9,0)),"业务类型无效",IF(ISNA(MATCH($F539,商品档案!$A$6:$A$65,0)),"商品编码无效",IF(IFERROR(INDEX(商品档案!$E$6:$E$65,MATCH($F539,商品档案!$A$6:$A$65,0)),"")&lt;&gt;$C539,"商品不属于该公司",IF(AND($E539&lt;&gt;"",ISNA(MATCH($E539,往来单位!$A$6:$A$85,0))),"往来单位未建档",IF(N($J539)=0,"数量为 0",IF(N($K539)=0,"单价为 0",IF(AND(LEFT($D539,2)="销售",$U539=""),"该商品没设成本科目",IF(YEAR($B539)&lt;&gt;参数设置!$B$5,"不在本会计年度","OK")))))))))))</f>
        <v/>
      </c>
      <c r="Q539" s="57" t="str">
        <f aca="false">IF($F539="","",ROUND(N($J539)*N($K539),2))</f>
        <v/>
      </c>
      <c r="R539" s="58" t="str">
        <f aca="false">IF($D539="","",IF(LEFT($D539,2)="销售","应收账款","应付账款"))</f>
        <v/>
      </c>
      <c r="S539" s="58" t="str">
        <f aca="false">IF($F539="","",IFERROR(INDEX(商品档案!$G$6:$G$65,MATCH($F539,商品档案!$A$6:$A$65,0)),""))</f>
        <v/>
      </c>
      <c r="T539" s="58" t="str">
        <f aca="false">IF($F539="","",IFERROR(INDEX(商品档案!$H$6:$H$65,MATCH($F539,商品档案!$A$6:$A$65,0)),""))</f>
        <v/>
      </c>
      <c r="U539" s="58" t="str">
        <f aca="false">IF($F539="","",IFERROR(INDEX(商品档案!$I$6:$I$65,MATCH($F539,商品档案!$A$6:$A$65,0)),""))</f>
        <v/>
      </c>
      <c r="V539" s="59" t="str">
        <f aca="false">IF($F539="","",SUMIFS(进销存台账!$N$6:$N$65,进销存台账!$A$6:$A$65,$C539,进销存台账!$B$6:$B$65,$F539))</f>
        <v/>
      </c>
      <c r="W539" s="60" t="n">
        <f aca="false">IF(OR($D539="销售出库",$D539="销售退回"),ROUND(N($J539)*N($V539),2),0)</f>
        <v>0</v>
      </c>
      <c r="X539" s="58" t="str">
        <f aca="false">IF($E539="","",IFERROR(INDEX(往来单位!$D$6:$D$85,MATCH($E539,往来单位!$A$6:$A$85,0)),"否"))</f>
        <v/>
      </c>
      <c r="Y539" s="61" t="str">
        <f aca="false">IF($B539="","",YEAR($B539))</f>
        <v/>
      </c>
      <c r="Z539" s="58" t="str">
        <f aca="false">IF($B539="","",TEXT($B539,"yyyy-mm"))</f>
        <v/>
      </c>
    </row>
    <row r="540" customFormat="false" ht="15" hidden="false" customHeight="false" outlineLevel="0" collapsed="false">
      <c r="A540" s="53" t="str">
        <f aca="false">IF($B540="","",ROW()-5)</f>
        <v/>
      </c>
      <c r="B540" s="54"/>
      <c r="C540" s="33"/>
      <c r="D540" s="33"/>
      <c r="E540" s="32"/>
      <c r="F540" s="39"/>
      <c r="G540" s="48" t="str">
        <f aca="false">IF($F540="","",IFERROR(INDEX(商品档案!$B$6:$B$65,MATCH($F540,商品档案!$A$6:$A$65,0)),""))</f>
        <v/>
      </c>
      <c r="H540" s="48" t="str">
        <f aca="false">IF($F540="","",IFERROR(INDEX(商品档案!$C$6:$C$65,MATCH($F540,商品档案!$A$6:$A$65,0)),""))</f>
        <v/>
      </c>
      <c r="I540" s="55" t="str">
        <f aca="false">IF($F540="","",IFERROR(INDEX(商品档案!$D$6:$D$65,MATCH($F540,商品档案!$A$6:$A$65,0)),""))</f>
        <v/>
      </c>
      <c r="J540" s="49"/>
      <c r="K540" s="56"/>
      <c r="L540" s="33"/>
      <c r="M540" s="39"/>
      <c r="N540" s="41"/>
      <c r="O540" s="41"/>
      <c r="P540" s="25" t="str">
        <f aca="false">IF(AND($B540="",$D540="",$F540=""),"",IF(NOT(ISNUMBER($B540)),"日期无效",IF(ISNA(MATCH($C540,参数设置!$A$10:$A$12,0)),"公司无效",IF(ISNA(MATCH($D540,记账规则!$A$6:$A$9,0)),"业务类型无效",IF(ISNA(MATCH($F540,商品档案!$A$6:$A$65,0)),"商品编码无效",IF(IFERROR(INDEX(商品档案!$E$6:$E$65,MATCH($F540,商品档案!$A$6:$A$65,0)),"")&lt;&gt;$C540,"商品不属于该公司",IF(AND($E540&lt;&gt;"",ISNA(MATCH($E540,往来单位!$A$6:$A$85,0))),"往来单位未建档",IF(N($J540)=0,"数量为 0",IF(N($K540)=0,"单价为 0",IF(AND(LEFT($D540,2)="销售",$U540=""),"该商品没设成本科目",IF(YEAR($B540)&lt;&gt;参数设置!$B$5,"不在本会计年度","OK")))))))))))</f>
        <v/>
      </c>
      <c r="Q540" s="57" t="str">
        <f aca="false">IF($F540="","",ROUND(N($J540)*N($K540),2))</f>
        <v/>
      </c>
      <c r="R540" s="58" t="str">
        <f aca="false">IF($D540="","",IF(LEFT($D540,2)="销售","应收账款","应付账款"))</f>
        <v/>
      </c>
      <c r="S540" s="58" t="str">
        <f aca="false">IF($F540="","",IFERROR(INDEX(商品档案!$G$6:$G$65,MATCH($F540,商品档案!$A$6:$A$65,0)),""))</f>
        <v/>
      </c>
      <c r="T540" s="58" t="str">
        <f aca="false">IF($F540="","",IFERROR(INDEX(商品档案!$H$6:$H$65,MATCH($F540,商品档案!$A$6:$A$65,0)),""))</f>
        <v/>
      </c>
      <c r="U540" s="58" t="str">
        <f aca="false">IF($F540="","",IFERROR(INDEX(商品档案!$I$6:$I$65,MATCH($F540,商品档案!$A$6:$A$65,0)),""))</f>
        <v/>
      </c>
      <c r="V540" s="59" t="str">
        <f aca="false">IF($F540="","",SUMIFS(进销存台账!$N$6:$N$65,进销存台账!$A$6:$A$65,$C540,进销存台账!$B$6:$B$65,$F540))</f>
        <v/>
      </c>
      <c r="W540" s="60" t="n">
        <f aca="false">IF(OR($D540="销售出库",$D540="销售退回"),ROUND(N($J540)*N($V540),2),0)</f>
        <v>0</v>
      </c>
      <c r="X540" s="58" t="str">
        <f aca="false">IF($E540="","",IFERROR(INDEX(往来单位!$D$6:$D$85,MATCH($E540,往来单位!$A$6:$A$85,0)),"否"))</f>
        <v/>
      </c>
      <c r="Y540" s="61" t="str">
        <f aca="false">IF($B540="","",YEAR($B540))</f>
        <v/>
      </c>
      <c r="Z540" s="58" t="str">
        <f aca="false">IF($B540="","",TEXT($B540,"yyyy-mm"))</f>
        <v/>
      </c>
    </row>
    <row r="541" customFormat="false" ht="15" hidden="false" customHeight="false" outlineLevel="0" collapsed="false">
      <c r="A541" s="53" t="str">
        <f aca="false">IF($B541="","",ROW()-5)</f>
        <v/>
      </c>
      <c r="B541" s="54"/>
      <c r="C541" s="33"/>
      <c r="D541" s="33"/>
      <c r="E541" s="32"/>
      <c r="F541" s="39"/>
      <c r="G541" s="48" t="str">
        <f aca="false">IF($F541="","",IFERROR(INDEX(商品档案!$B$6:$B$65,MATCH($F541,商品档案!$A$6:$A$65,0)),""))</f>
        <v/>
      </c>
      <c r="H541" s="48" t="str">
        <f aca="false">IF($F541="","",IFERROR(INDEX(商品档案!$C$6:$C$65,MATCH($F541,商品档案!$A$6:$A$65,0)),""))</f>
        <v/>
      </c>
      <c r="I541" s="55" t="str">
        <f aca="false">IF($F541="","",IFERROR(INDEX(商品档案!$D$6:$D$65,MATCH($F541,商品档案!$A$6:$A$65,0)),""))</f>
        <v/>
      </c>
      <c r="J541" s="49"/>
      <c r="K541" s="56"/>
      <c r="L541" s="33"/>
      <c r="M541" s="39"/>
      <c r="N541" s="41"/>
      <c r="O541" s="41"/>
      <c r="P541" s="25" t="str">
        <f aca="false">IF(AND($B541="",$D541="",$F541=""),"",IF(NOT(ISNUMBER($B541)),"日期无效",IF(ISNA(MATCH($C541,参数设置!$A$10:$A$12,0)),"公司无效",IF(ISNA(MATCH($D541,记账规则!$A$6:$A$9,0)),"业务类型无效",IF(ISNA(MATCH($F541,商品档案!$A$6:$A$65,0)),"商品编码无效",IF(IFERROR(INDEX(商品档案!$E$6:$E$65,MATCH($F541,商品档案!$A$6:$A$65,0)),"")&lt;&gt;$C541,"商品不属于该公司",IF(AND($E541&lt;&gt;"",ISNA(MATCH($E541,往来单位!$A$6:$A$85,0))),"往来单位未建档",IF(N($J541)=0,"数量为 0",IF(N($K541)=0,"单价为 0",IF(AND(LEFT($D541,2)="销售",$U541=""),"该商品没设成本科目",IF(YEAR($B541)&lt;&gt;参数设置!$B$5,"不在本会计年度","OK")))))))))))</f>
        <v/>
      </c>
      <c r="Q541" s="57" t="str">
        <f aca="false">IF($F541="","",ROUND(N($J541)*N($K541),2))</f>
        <v/>
      </c>
      <c r="R541" s="58" t="str">
        <f aca="false">IF($D541="","",IF(LEFT($D541,2)="销售","应收账款","应付账款"))</f>
        <v/>
      </c>
      <c r="S541" s="58" t="str">
        <f aca="false">IF($F541="","",IFERROR(INDEX(商品档案!$G$6:$G$65,MATCH($F541,商品档案!$A$6:$A$65,0)),""))</f>
        <v/>
      </c>
      <c r="T541" s="58" t="str">
        <f aca="false">IF($F541="","",IFERROR(INDEX(商品档案!$H$6:$H$65,MATCH($F541,商品档案!$A$6:$A$65,0)),""))</f>
        <v/>
      </c>
      <c r="U541" s="58" t="str">
        <f aca="false">IF($F541="","",IFERROR(INDEX(商品档案!$I$6:$I$65,MATCH($F541,商品档案!$A$6:$A$65,0)),""))</f>
        <v/>
      </c>
      <c r="V541" s="59" t="str">
        <f aca="false">IF($F541="","",SUMIFS(进销存台账!$N$6:$N$65,进销存台账!$A$6:$A$65,$C541,进销存台账!$B$6:$B$65,$F541))</f>
        <v/>
      </c>
      <c r="W541" s="60" t="n">
        <f aca="false">IF(OR($D541="销售出库",$D541="销售退回"),ROUND(N($J541)*N($V541),2),0)</f>
        <v>0</v>
      </c>
      <c r="X541" s="58" t="str">
        <f aca="false">IF($E541="","",IFERROR(INDEX(往来单位!$D$6:$D$85,MATCH($E541,往来单位!$A$6:$A$85,0)),"否"))</f>
        <v/>
      </c>
      <c r="Y541" s="61" t="str">
        <f aca="false">IF($B541="","",YEAR($B541))</f>
        <v/>
      </c>
      <c r="Z541" s="58" t="str">
        <f aca="false">IF($B541="","",TEXT($B541,"yyyy-mm"))</f>
        <v/>
      </c>
    </row>
    <row r="542" customFormat="false" ht="15" hidden="false" customHeight="false" outlineLevel="0" collapsed="false">
      <c r="A542" s="53" t="str">
        <f aca="false">IF($B542="","",ROW()-5)</f>
        <v/>
      </c>
      <c r="B542" s="54"/>
      <c r="C542" s="33"/>
      <c r="D542" s="33"/>
      <c r="E542" s="32"/>
      <c r="F542" s="39"/>
      <c r="G542" s="48" t="str">
        <f aca="false">IF($F542="","",IFERROR(INDEX(商品档案!$B$6:$B$65,MATCH($F542,商品档案!$A$6:$A$65,0)),""))</f>
        <v/>
      </c>
      <c r="H542" s="48" t="str">
        <f aca="false">IF($F542="","",IFERROR(INDEX(商品档案!$C$6:$C$65,MATCH($F542,商品档案!$A$6:$A$65,0)),""))</f>
        <v/>
      </c>
      <c r="I542" s="55" t="str">
        <f aca="false">IF($F542="","",IFERROR(INDEX(商品档案!$D$6:$D$65,MATCH($F542,商品档案!$A$6:$A$65,0)),""))</f>
        <v/>
      </c>
      <c r="J542" s="49"/>
      <c r="K542" s="56"/>
      <c r="L542" s="33"/>
      <c r="M542" s="39"/>
      <c r="N542" s="41"/>
      <c r="O542" s="41"/>
      <c r="P542" s="25" t="str">
        <f aca="false">IF(AND($B542="",$D542="",$F542=""),"",IF(NOT(ISNUMBER($B542)),"日期无效",IF(ISNA(MATCH($C542,参数设置!$A$10:$A$12,0)),"公司无效",IF(ISNA(MATCH($D542,记账规则!$A$6:$A$9,0)),"业务类型无效",IF(ISNA(MATCH($F542,商品档案!$A$6:$A$65,0)),"商品编码无效",IF(IFERROR(INDEX(商品档案!$E$6:$E$65,MATCH($F542,商品档案!$A$6:$A$65,0)),"")&lt;&gt;$C542,"商品不属于该公司",IF(AND($E542&lt;&gt;"",ISNA(MATCH($E542,往来单位!$A$6:$A$85,0))),"往来单位未建档",IF(N($J542)=0,"数量为 0",IF(N($K542)=0,"单价为 0",IF(AND(LEFT($D542,2)="销售",$U542=""),"该商品没设成本科目",IF(YEAR($B542)&lt;&gt;参数设置!$B$5,"不在本会计年度","OK")))))))))))</f>
        <v/>
      </c>
      <c r="Q542" s="57" t="str">
        <f aca="false">IF($F542="","",ROUND(N($J542)*N($K542),2))</f>
        <v/>
      </c>
      <c r="R542" s="58" t="str">
        <f aca="false">IF($D542="","",IF(LEFT($D542,2)="销售","应收账款","应付账款"))</f>
        <v/>
      </c>
      <c r="S542" s="58" t="str">
        <f aca="false">IF($F542="","",IFERROR(INDEX(商品档案!$G$6:$G$65,MATCH($F542,商品档案!$A$6:$A$65,0)),""))</f>
        <v/>
      </c>
      <c r="T542" s="58" t="str">
        <f aca="false">IF($F542="","",IFERROR(INDEX(商品档案!$H$6:$H$65,MATCH($F542,商品档案!$A$6:$A$65,0)),""))</f>
        <v/>
      </c>
      <c r="U542" s="58" t="str">
        <f aca="false">IF($F542="","",IFERROR(INDEX(商品档案!$I$6:$I$65,MATCH($F542,商品档案!$A$6:$A$65,0)),""))</f>
        <v/>
      </c>
      <c r="V542" s="59" t="str">
        <f aca="false">IF($F542="","",SUMIFS(进销存台账!$N$6:$N$65,进销存台账!$A$6:$A$65,$C542,进销存台账!$B$6:$B$65,$F542))</f>
        <v/>
      </c>
      <c r="W542" s="60" t="n">
        <f aca="false">IF(OR($D542="销售出库",$D542="销售退回"),ROUND(N($J542)*N($V542),2),0)</f>
        <v>0</v>
      </c>
      <c r="X542" s="58" t="str">
        <f aca="false">IF($E542="","",IFERROR(INDEX(往来单位!$D$6:$D$85,MATCH($E542,往来单位!$A$6:$A$85,0)),"否"))</f>
        <v/>
      </c>
      <c r="Y542" s="61" t="str">
        <f aca="false">IF($B542="","",YEAR($B542))</f>
        <v/>
      </c>
      <c r="Z542" s="58" t="str">
        <f aca="false">IF($B542="","",TEXT($B542,"yyyy-mm"))</f>
        <v/>
      </c>
    </row>
    <row r="543" customFormat="false" ht="15" hidden="false" customHeight="false" outlineLevel="0" collapsed="false">
      <c r="A543" s="53" t="str">
        <f aca="false">IF($B543="","",ROW()-5)</f>
        <v/>
      </c>
      <c r="B543" s="54"/>
      <c r="C543" s="33"/>
      <c r="D543" s="33"/>
      <c r="E543" s="32"/>
      <c r="F543" s="39"/>
      <c r="G543" s="48" t="str">
        <f aca="false">IF($F543="","",IFERROR(INDEX(商品档案!$B$6:$B$65,MATCH($F543,商品档案!$A$6:$A$65,0)),""))</f>
        <v/>
      </c>
      <c r="H543" s="48" t="str">
        <f aca="false">IF($F543="","",IFERROR(INDEX(商品档案!$C$6:$C$65,MATCH($F543,商品档案!$A$6:$A$65,0)),""))</f>
        <v/>
      </c>
      <c r="I543" s="55" t="str">
        <f aca="false">IF($F543="","",IFERROR(INDEX(商品档案!$D$6:$D$65,MATCH($F543,商品档案!$A$6:$A$65,0)),""))</f>
        <v/>
      </c>
      <c r="J543" s="49"/>
      <c r="K543" s="56"/>
      <c r="L543" s="33"/>
      <c r="M543" s="39"/>
      <c r="N543" s="41"/>
      <c r="O543" s="41"/>
      <c r="P543" s="25" t="str">
        <f aca="false">IF(AND($B543="",$D543="",$F543=""),"",IF(NOT(ISNUMBER($B543)),"日期无效",IF(ISNA(MATCH($C543,参数设置!$A$10:$A$12,0)),"公司无效",IF(ISNA(MATCH($D543,记账规则!$A$6:$A$9,0)),"业务类型无效",IF(ISNA(MATCH($F543,商品档案!$A$6:$A$65,0)),"商品编码无效",IF(IFERROR(INDEX(商品档案!$E$6:$E$65,MATCH($F543,商品档案!$A$6:$A$65,0)),"")&lt;&gt;$C543,"商品不属于该公司",IF(AND($E543&lt;&gt;"",ISNA(MATCH($E543,往来单位!$A$6:$A$85,0))),"往来单位未建档",IF(N($J543)=0,"数量为 0",IF(N($K543)=0,"单价为 0",IF(AND(LEFT($D543,2)="销售",$U543=""),"该商品没设成本科目",IF(YEAR($B543)&lt;&gt;参数设置!$B$5,"不在本会计年度","OK")))))))))))</f>
        <v/>
      </c>
      <c r="Q543" s="57" t="str">
        <f aca="false">IF($F543="","",ROUND(N($J543)*N($K543),2))</f>
        <v/>
      </c>
      <c r="R543" s="58" t="str">
        <f aca="false">IF($D543="","",IF(LEFT($D543,2)="销售","应收账款","应付账款"))</f>
        <v/>
      </c>
      <c r="S543" s="58" t="str">
        <f aca="false">IF($F543="","",IFERROR(INDEX(商品档案!$G$6:$G$65,MATCH($F543,商品档案!$A$6:$A$65,0)),""))</f>
        <v/>
      </c>
      <c r="T543" s="58" t="str">
        <f aca="false">IF($F543="","",IFERROR(INDEX(商品档案!$H$6:$H$65,MATCH($F543,商品档案!$A$6:$A$65,0)),""))</f>
        <v/>
      </c>
      <c r="U543" s="58" t="str">
        <f aca="false">IF($F543="","",IFERROR(INDEX(商品档案!$I$6:$I$65,MATCH($F543,商品档案!$A$6:$A$65,0)),""))</f>
        <v/>
      </c>
      <c r="V543" s="59" t="str">
        <f aca="false">IF($F543="","",SUMIFS(进销存台账!$N$6:$N$65,进销存台账!$A$6:$A$65,$C543,进销存台账!$B$6:$B$65,$F543))</f>
        <v/>
      </c>
      <c r="W543" s="60" t="n">
        <f aca="false">IF(OR($D543="销售出库",$D543="销售退回"),ROUND(N($J543)*N($V543),2),0)</f>
        <v>0</v>
      </c>
      <c r="X543" s="58" t="str">
        <f aca="false">IF($E543="","",IFERROR(INDEX(往来单位!$D$6:$D$85,MATCH($E543,往来单位!$A$6:$A$85,0)),"否"))</f>
        <v/>
      </c>
      <c r="Y543" s="61" t="str">
        <f aca="false">IF($B543="","",YEAR($B543))</f>
        <v/>
      </c>
      <c r="Z543" s="58" t="str">
        <f aca="false">IF($B543="","",TEXT($B543,"yyyy-mm"))</f>
        <v/>
      </c>
    </row>
    <row r="544" customFormat="false" ht="15" hidden="false" customHeight="false" outlineLevel="0" collapsed="false">
      <c r="A544" s="53" t="str">
        <f aca="false">IF($B544="","",ROW()-5)</f>
        <v/>
      </c>
      <c r="B544" s="54"/>
      <c r="C544" s="33"/>
      <c r="D544" s="33"/>
      <c r="E544" s="32"/>
      <c r="F544" s="39"/>
      <c r="G544" s="48" t="str">
        <f aca="false">IF($F544="","",IFERROR(INDEX(商品档案!$B$6:$B$65,MATCH($F544,商品档案!$A$6:$A$65,0)),""))</f>
        <v/>
      </c>
      <c r="H544" s="48" t="str">
        <f aca="false">IF($F544="","",IFERROR(INDEX(商品档案!$C$6:$C$65,MATCH($F544,商品档案!$A$6:$A$65,0)),""))</f>
        <v/>
      </c>
      <c r="I544" s="55" t="str">
        <f aca="false">IF($F544="","",IFERROR(INDEX(商品档案!$D$6:$D$65,MATCH($F544,商品档案!$A$6:$A$65,0)),""))</f>
        <v/>
      </c>
      <c r="J544" s="49"/>
      <c r="K544" s="56"/>
      <c r="L544" s="33"/>
      <c r="M544" s="39"/>
      <c r="N544" s="41"/>
      <c r="O544" s="41"/>
      <c r="P544" s="25" t="str">
        <f aca="false">IF(AND($B544="",$D544="",$F544=""),"",IF(NOT(ISNUMBER($B544)),"日期无效",IF(ISNA(MATCH($C544,参数设置!$A$10:$A$12,0)),"公司无效",IF(ISNA(MATCH($D544,记账规则!$A$6:$A$9,0)),"业务类型无效",IF(ISNA(MATCH($F544,商品档案!$A$6:$A$65,0)),"商品编码无效",IF(IFERROR(INDEX(商品档案!$E$6:$E$65,MATCH($F544,商品档案!$A$6:$A$65,0)),"")&lt;&gt;$C544,"商品不属于该公司",IF(AND($E544&lt;&gt;"",ISNA(MATCH($E544,往来单位!$A$6:$A$85,0))),"往来单位未建档",IF(N($J544)=0,"数量为 0",IF(N($K544)=0,"单价为 0",IF(AND(LEFT($D544,2)="销售",$U544=""),"该商品没设成本科目",IF(YEAR($B544)&lt;&gt;参数设置!$B$5,"不在本会计年度","OK")))))))))))</f>
        <v/>
      </c>
      <c r="Q544" s="57" t="str">
        <f aca="false">IF($F544="","",ROUND(N($J544)*N($K544),2))</f>
        <v/>
      </c>
      <c r="R544" s="58" t="str">
        <f aca="false">IF($D544="","",IF(LEFT($D544,2)="销售","应收账款","应付账款"))</f>
        <v/>
      </c>
      <c r="S544" s="58" t="str">
        <f aca="false">IF($F544="","",IFERROR(INDEX(商品档案!$G$6:$G$65,MATCH($F544,商品档案!$A$6:$A$65,0)),""))</f>
        <v/>
      </c>
      <c r="T544" s="58" t="str">
        <f aca="false">IF($F544="","",IFERROR(INDEX(商品档案!$H$6:$H$65,MATCH($F544,商品档案!$A$6:$A$65,0)),""))</f>
        <v/>
      </c>
      <c r="U544" s="58" t="str">
        <f aca="false">IF($F544="","",IFERROR(INDEX(商品档案!$I$6:$I$65,MATCH($F544,商品档案!$A$6:$A$65,0)),""))</f>
        <v/>
      </c>
      <c r="V544" s="59" t="str">
        <f aca="false">IF($F544="","",SUMIFS(进销存台账!$N$6:$N$65,进销存台账!$A$6:$A$65,$C544,进销存台账!$B$6:$B$65,$F544))</f>
        <v/>
      </c>
      <c r="W544" s="60" t="n">
        <f aca="false">IF(OR($D544="销售出库",$D544="销售退回"),ROUND(N($J544)*N($V544),2),0)</f>
        <v>0</v>
      </c>
      <c r="X544" s="58" t="str">
        <f aca="false">IF($E544="","",IFERROR(INDEX(往来单位!$D$6:$D$85,MATCH($E544,往来单位!$A$6:$A$85,0)),"否"))</f>
        <v/>
      </c>
      <c r="Y544" s="61" t="str">
        <f aca="false">IF($B544="","",YEAR($B544))</f>
        <v/>
      </c>
      <c r="Z544" s="58" t="str">
        <f aca="false">IF($B544="","",TEXT($B544,"yyyy-mm"))</f>
        <v/>
      </c>
    </row>
    <row r="545" customFormat="false" ht="15" hidden="false" customHeight="false" outlineLevel="0" collapsed="false">
      <c r="A545" s="53" t="str">
        <f aca="false">IF($B545="","",ROW()-5)</f>
        <v/>
      </c>
      <c r="B545" s="54"/>
      <c r="C545" s="33"/>
      <c r="D545" s="33"/>
      <c r="E545" s="32"/>
      <c r="F545" s="39"/>
      <c r="G545" s="48" t="str">
        <f aca="false">IF($F545="","",IFERROR(INDEX(商品档案!$B$6:$B$65,MATCH($F545,商品档案!$A$6:$A$65,0)),""))</f>
        <v/>
      </c>
      <c r="H545" s="48" t="str">
        <f aca="false">IF($F545="","",IFERROR(INDEX(商品档案!$C$6:$C$65,MATCH($F545,商品档案!$A$6:$A$65,0)),""))</f>
        <v/>
      </c>
      <c r="I545" s="55" t="str">
        <f aca="false">IF($F545="","",IFERROR(INDEX(商品档案!$D$6:$D$65,MATCH($F545,商品档案!$A$6:$A$65,0)),""))</f>
        <v/>
      </c>
      <c r="J545" s="49"/>
      <c r="K545" s="56"/>
      <c r="L545" s="33"/>
      <c r="M545" s="39"/>
      <c r="N545" s="41"/>
      <c r="O545" s="41"/>
      <c r="P545" s="25" t="str">
        <f aca="false">IF(AND($B545="",$D545="",$F545=""),"",IF(NOT(ISNUMBER($B545)),"日期无效",IF(ISNA(MATCH($C545,参数设置!$A$10:$A$12,0)),"公司无效",IF(ISNA(MATCH($D545,记账规则!$A$6:$A$9,0)),"业务类型无效",IF(ISNA(MATCH($F545,商品档案!$A$6:$A$65,0)),"商品编码无效",IF(IFERROR(INDEX(商品档案!$E$6:$E$65,MATCH($F545,商品档案!$A$6:$A$65,0)),"")&lt;&gt;$C545,"商品不属于该公司",IF(AND($E545&lt;&gt;"",ISNA(MATCH($E545,往来单位!$A$6:$A$85,0))),"往来单位未建档",IF(N($J545)=0,"数量为 0",IF(N($K545)=0,"单价为 0",IF(AND(LEFT($D545,2)="销售",$U545=""),"该商品没设成本科目",IF(YEAR($B545)&lt;&gt;参数设置!$B$5,"不在本会计年度","OK")))))))))))</f>
        <v/>
      </c>
      <c r="Q545" s="57" t="str">
        <f aca="false">IF($F545="","",ROUND(N($J545)*N($K545),2))</f>
        <v/>
      </c>
      <c r="R545" s="58" t="str">
        <f aca="false">IF($D545="","",IF(LEFT($D545,2)="销售","应收账款","应付账款"))</f>
        <v/>
      </c>
      <c r="S545" s="58" t="str">
        <f aca="false">IF($F545="","",IFERROR(INDEX(商品档案!$G$6:$G$65,MATCH($F545,商品档案!$A$6:$A$65,0)),""))</f>
        <v/>
      </c>
      <c r="T545" s="58" t="str">
        <f aca="false">IF($F545="","",IFERROR(INDEX(商品档案!$H$6:$H$65,MATCH($F545,商品档案!$A$6:$A$65,0)),""))</f>
        <v/>
      </c>
      <c r="U545" s="58" t="str">
        <f aca="false">IF($F545="","",IFERROR(INDEX(商品档案!$I$6:$I$65,MATCH($F545,商品档案!$A$6:$A$65,0)),""))</f>
        <v/>
      </c>
      <c r="V545" s="59" t="str">
        <f aca="false">IF($F545="","",SUMIFS(进销存台账!$N$6:$N$65,进销存台账!$A$6:$A$65,$C545,进销存台账!$B$6:$B$65,$F545))</f>
        <v/>
      </c>
      <c r="W545" s="60" t="n">
        <f aca="false">IF(OR($D545="销售出库",$D545="销售退回"),ROUND(N($J545)*N($V545),2),0)</f>
        <v>0</v>
      </c>
      <c r="X545" s="58" t="str">
        <f aca="false">IF($E545="","",IFERROR(INDEX(往来单位!$D$6:$D$85,MATCH($E545,往来单位!$A$6:$A$85,0)),"否"))</f>
        <v/>
      </c>
      <c r="Y545" s="61" t="str">
        <f aca="false">IF($B545="","",YEAR($B545))</f>
        <v/>
      </c>
      <c r="Z545" s="58" t="str">
        <f aca="false">IF($B545="","",TEXT($B545,"yyyy-mm"))</f>
        <v/>
      </c>
    </row>
    <row r="546" customFormat="false" ht="15" hidden="false" customHeight="false" outlineLevel="0" collapsed="false">
      <c r="A546" s="53" t="str">
        <f aca="false">IF($B546="","",ROW()-5)</f>
        <v/>
      </c>
      <c r="B546" s="54"/>
      <c r="C546" s="33"/>
      <c r="D546" s="33"/>
      <c r="E546" s="32"/>
      <c r="F546" s="39"/>
      <c r="G546" s="48" t="str">
        <f aca="false">IF($F546="","",IFERROR(INDEX(商品档案!$B$6:$B$65,MATCH($F546,商品档案!$A$6:$A$65,0)),""))</f>
        <v/>
      </c>
      <c r="H546" s="48" t="str">
        <f aca="false">IF($F546="","",IFERROR(INDEX(商品档案!$C$6:$C$65,MATCH($F546,商品档案!$A$6:$A$65,0)),""))</f>
        <v/>
      </c>
      <c r="I546" s="55" t="str">
        <f aca="false">IF($F546="","",IFERROR(INDEX(商品档案!$D$6:$D$65,MATCH($F546,商品档案!$A$6:$A$65,0)),""))</f>
        <v/>
      </c>
      <c r="J546" s="49"/>
      <c r="K546" s="56"/>
      <c r="L546" s="33"/>
      <c r="M546" s="39"/>
      <c r="N546" s="41"/>
      <c r="O546" s="41"/>
      <c r="P546" s="25" t="str">
        <f aca="false">IF(AND($B546="",$D546="",$F546=""),"",IF(NOT(ISNUMBER($B546)),"日期无效",IF(ISNA(MATCH($C546,参数设置!$A$10:$A$12,0)),"公司无效",IF(ISNA(MATCH($D546,记账规则!$A$6:$A$9,0)),"业务类型无效",IF(ISNA(MATCH($F546,商品档案!$A$6:$A$65,0)),"商品编码无效",IF(IFERROR(INDEX(商品档案!$E$6:$E$65,MATCH($F546,商品档案!$A$6:$A$65,0)),"")&lt;&gt;$C546,"商品不属于该公司",IF(AND($E546&lt;&gt;"",ISNA(MATCH($E546,往来单位!$A$6:$A$85,0))),"往来单位未建档",IF(N($J546)=0,"数量为 0",IF(N($K546)=0,"单价为 0",IF(AND(LEFT($D546,2)="销售",$U546=""),"该商品没设成本科目",IF(YEAR($B546)&lt;&gt;参数设置!$B$5,"不在本会计年度","OK")))))))))))</f>
        <v/>
      </c>
      <c r="Q546" s="57" t="str">
        <f aca="false">IF($F546="","",ROUND(N($J546)*N($K546),2))</f>
        <v/>
      </c>
      <c r="R546" s="58" t="str">
        <f aca="false">IF($D546="","",IF(LEFT($D546,2)="销售","应收账款","应付账款"))</f>
        <v/>
      </c>
      <c r="S546" s="58" t="str">
        <f aca="false">IF($F546="","",IFERROR(INDEX(商品档案!$G$6:$G$65,MATCH($F546,商品档案!$A$6:$A$65,0)),""))</f>
        <v/>
      </c>
      <c r="T546" s="58" t="str">
        <f aca="false">IF($F546="","",IFERROR(INDEX(商品档案!$H$6:$H$65,MATCH($F546,商品档案!$A$6:$A$65,0)),""))</f>
        <v/>
      </c>
      <c r="U546" s="58" t="str">
        <f aca="false">IF($F546="","",IFERROR(INDEX(商品档案!$I$6:$I$65,MATCH($F546,商品档案!$A$6:$A$65,0)),""))</f>
        <v/>
      </c>
      <c r="V546" s="59" t="str">
        <f aca="false">IF($F546="","",SUMIFS(进销存台账!$N$6:$N$65,进销存台账!$A$6:$A$65,$C546,进销存台账!$B$6:$B$65,$F546))</f>
        <v/>
      </c>
      <c r="W546" s="60" t="n">
        <f aca="false">IF(OR($D546="销售出库",$D546="销售退回"),ROUND(N($J546)*N($V546),2),0)</f>
        <v>0</v>
      </c>
      <c r="X546" s="58" t="str">
        <f aca="false">IF($E546="","",IFERROR(INDEX(往来单位!$D$6:$D$85,MATCH($E546,往来单位!$A$6:$A$85,0)),"否"))</f>
        <v/>
      </c>
      <c r="Y546" s="61" t="str">
        <f aca="false">IF($B546="","",YEAR($B546))</f>
        <v/>
      </c>
      <c r="Z546" s="58" t="str">
        <f aca="false">IF($B546="","",TEXT($B546,"yyyy-mm"))</f>
        <v/>
      </c>
    </row>
    <row r="547" customFormat="false" ht="15" hidden="false" customHeight="false" outlineLevel="0" collapsed="false">
      <c r="A547" s="53" t="str">
        <f aca="false">IF($B547="","",ROW()-5)</f>
        <v/>
      </c>
      <c r="B547" s="54"/>
      <c r="C547" s="33"/>
      <c r="D547" s="33"/>
      <c r="E547" s="32"/>
      <c r="F547" s="39"/>
      <c r="G547" s="48" t="str">
        <f aca="false">IF($F547="","",IFERROR(INDEX(商品档案!$B$6:$B$65,MATCH($F547,商品档案!$A$6:$A$65,0)),""))</f>
        <v/>
      </c>
      <c r="H547" s="48" t="str">
        <f aca="false">IF($F547="","",IFERROR(INDEX(商品档案!$C$6:$C$65,MATCH($F547,商品档案!$A$6:$A$65,0)),""))</f>
        <v/>
      </c>
      <c r="I547" s="55" t="str">
        <f aca="false">IF($F547="","",IFERROR(INDEX(商品档案!$D$6:$D$65,MATCH($F547,商品档案!$A$6:$A$65,0)),""))</f>
        <v/>
      </c>
      <c r="J547" s="49"/>
      <c r="K547" s="56"/>
      <c r="L547" s="33"/>
      <c r="M547" s="39"/>
      <c r="N547" s="41"/>
      <c r="O547" s="41"/>
      <c r="P547" s="25" t="str">
        <f aca="false">IF(AND($B547="",$D547="",$F547=""),"",IF(NOT(ISNUMBER($B547)),"日期无效",IF(ISNA(MATCH($C547,参数设置!$A$10:$A$12,0)),"公司无效",IF(ISNA(MATCH($D547,记账规则!$A$6:$A$9,0)),"业务类型无效",IF(ISNA(MATCH($F547,商品档案!$A$6:$A$65,0)),"商品编码无效",IF(IFERROR(INDEX(商品档案!$E$6:$E$65,MATCH($F547,商品档案!$A$6:$A$65,0)),"")&lt;&gt;$C547,"商品不属于该公司",IF(AND($E547&lt;&gt;"",ISNA(MATCH($E547,往来单位!$A$6:$A$85,0))),"往来单位未建档",IF(N($J547)=0,"数量为 0",IF(N($K547)=0,"单价为 0",IF(AND(LEFT($D547,2)="销售",$U547=""),"该商品没设成本科目",IF(YEAR($B547)&lt;&gt;参数设置!$B$5,"不在本会计年度","OK")))))))))))</f>
        <v/>
      </c>
      <c r="Q547" s="57" t="str">
        <f aca="false">IF($F547="","",ROUND(N($J547)*N($K547),2))</f>
        <v/>
      </c>
      <c r="R547" s="58" t="str">
        <f aca="false">IF($D547="","",IF(LEFT($D547,2)="销售","应收账款","应付账款"))</f>
        <v/>
      </c>
      <c r="S547" s="58" t="str">
        <f aca="false">IF($F547="","",IFERROR(INDEX(商品档案!$G$6:$G$65,MATCH($F547,商品档案!$A$6:$A$65,0)),""))</f>
        <v/>
      </c>
      <c r="T547" s="58" t="str">
        <f aca="false">IF($F547="","",IFERROR(INDEX(商品档案!$H$6:$H$65,MATCH($F547,商品档案!$A$6:$A$65,0)),""))</f>
        <v/>
      </c>
      <c r="U547" s="58" t="str">
        <f aca="false">IF($F547="","",IFERROR(INDEX(商品档案!$I$6:$I$65,MATCH($F547,商品档案!$A$6:$A$65,0)),""))</f>
        <v/>
      </c>
      <c r="V547" s="59" t="str">
        <f aca="false">IF($F547="","",SUMIFS(进销存台账!$N$6:$N$65,进销存台账!$A$6:$A$65,$C547,进销存台账!$B$6:$B$65,$F547))</f>
        <v/>
      </c>
      <c r="W547" s="60" t="n">
        <f aca="false">IF(OR($D547="销售出库",$D547="销售退回"),ROUND(N($J547)*N($V547),2),0)</f>
        <v>0</v>
      </c>
      <c r="X547" s="58" t="str">
        <f aca="false">IF($E547="","",IFERROR(INDEX(往来单位!$D$6:$D$85,MATCH($E547,往来单位!$A$6:$A$85,0)),"否"))</f>
        <v/>
      </c>
      <c r="Y547" s="61" t="str">
        <f aca="false">IF($B547="","",YEAR($B547))</f>
        <v/>
      </c>
      <c r="Z547" s="58" t="str">
        <f aca="false">IF($B547="","",TEXT($B547,"yyyy-mm"))</f>
        <v/>
      </c>
    </row>
    <row r="548" customFormat="false" ht="15" hidden="false" customHeight="false" outlineLevel="0" collapsed="false">
      <c r="A548" s="53" t="str">
        <f aca="false">IF($B548="","",ROW()-5)</f>
        <v/>
      </c>
      <c r="B548" s="54"/>
      <c r="C548" s="33"/>
      <c r="D548" s="33"/>
      <c r="E548" s="32"/>
      <c r="F548" s="39"/>
      <c r="G548" s="48" t="str">
        <f aca="false">IF($F548="","",IFERROR(INDEX(商品档案!$B$6:$B$65,MATCH($F548,商品档案!$A$6:$A$65,0)),""))</f>
        <v/>
      </c>
      <c r="H548" s="48" t="str">
        <f aca="false">IF($F548="","",IFERROR(INDEX(商品档案!$C$6:$C$65,MATCH($F548,商品档案!$A$6:$A$65,0)),""))</f>
        <v/>
      </c>
      <c r="I548" s="55" t="str">
        <f aca="false">IF($F548="","",IFERROR(INDEX(商品档案!$D$6:$D$65,MATCH($F548,商品档案!$A$6:$A$65,0)),""))</f>
        <v/>
      </c>
      <c r="J548" s="49"/>
      <c r="K548" s="56"/>
      <c r="L548" s="33"/>
      <c r="M548" s="39"/>
      <c r="N548" s="41"/>
      <c r="O548" s="41"/>
      <c r="P548" s="25" t="str">
        <f aca="false">IF(AND($B548="",$D548="",$F548=""),"",IF(NOT(ISNUMBER($B548)),"日期无效",IF(ISNA(MATCH($C548,参数设置!$A$10:$A$12,0)),"公司无效",IF(ISNA(MATCH($D548,记账规则!$A$6:$A$9,0)),"业务类型无效",IF(ISNA(MATCH($F548,商品档案!$A$6:$A$65,0)),"商品编码无效",IF(IFERROR(INDEX(商品档案!$E$6:$E$65,MATCH($F548,商品档案!$A$6:$A$65,0)),"")&lt;&gt;$C548,"商品不属于该公司",IF(AND($E548&lt;&gt;"",ISNA(MATCH($E548,往来单位!$A$6:$A$85,0))),"往来单位未建档",IF(N($J548)=0,"数量为 0",IF(N($K548)=0,"单价为 0",IF(AND(LEFT($D548,2)="销售",$U548=""),"该商品没设成本科目",IF(YEAR($B548)&lt;&gt;参数设置!$B$5,"不在本会计年度","OK")))))))))))</f>
        <v/>
      </c>
      <c r="Q548" s="57" t="str">
        <f aca="false">IF($F548="","",ROUND(N($J548)*N($K548),2))</f>
        <v/>
      </c>
      <c r="R548" s="58" t="str">
        <f aca="false">IF($D548="","",IF(LEFT($D548,2)="销售","应收账款","应付账款"))</f>
        <v/>
      </c>
      <c r="S548" s="58" t="str">
        <f aca="false">IF($F548="","",IFERROR(INDEX(商品档案!$G$6:$G$65,MATCH($F548,商品档案!$A$6:$A$65,0)),""))</f>
        <v/>
      </c>
      <c r="T548" s="58" t="str">
        <f aca="false">IF($F548="","",IFERROR(INDEX(商品档案!$H$6:$H$65,MATCH($F548,商品档案!$A$6:$A$65,0)),""))</f>
        <v/>
      </c>
      <c r="U548" s="58" t="str">
        <f aca="false">IF($F548="","",IFERROR(INDEX(商品档案!$I$6:$I$65,MATCH($F548,商品档案!$A$6:$A$65,0)),""))</f>
        <v/>
      </c>
      <c r="V548" s="59" t="str">
        <f aca="false">IF($F548="","",SUMIFS(进销存台账!$N$6:$N$65,进销存台账!$A$6:$A$65,$C548,进销存台账!$B$6:$B$65,$F548))</f>
        <v/>
      </c>
      <c r="W548" s="60" t="n">
        <f aca="false">IF(OR($D548="销售出库",$D548="销售退回"),ROUND(N($J548)*N($V548),2),0)</f>
        <v>0</v>
      </c>
      <c r="X548" s="58" t="str">
        <f aca="false">IF($E548="","",IFERROR(INDEX(往来单位!$D$6:$D$85,MATCH($E548,往来单位!$A$6:$A$85,0)),"否"))</f>
        <v/>
      </c>
      <c r="Y548" s="61" t="str">
        <f aca="false">IF($B548="","",YEAR($B548))</f>
        <v/>
      </c>
      <c r="Z548" s="58" t="str">
        <f aca="false">IF($B548="","",TEXT($B548,"yyyy-mm"))</f>
        <v/>
      </c>
    </row>
    <row r="549" customFormat="false" ht="15" hidden="false" customHeight="false" outlineLevel="0" collapsed="false">
      <c r="A549" s="53" t="str">
        <f aca="false">IF($B549="","",ROW()-5)</f>
        <v/>
      </c>
      <c r="B549" s="54"/>
      <c r="C549" s="33"/>
      <c r="D549" s="33"/>
      <c r="E549" s="32"/>
      <c r="F549" s="39"/>
      <c r="G549" s="48" t="str">
        <f aca="false">IF($F549="","",IFERROR(INDEX(商品档案!$B$6:$B$65,MATCH($F549,商品档案!$A$6:$A$65,0)),""))</f>
        <v/>
      </c>
      <c r="H549" s="48" t="str">
        <f aca="false">IF($F549="","",IFERROR(INDEX(商品档案!$C$6:$C$65,MATCH($F549,商品档案!$A$6:$A$65,0)),""))</f>
        <v/>
      </c>
      <c r="I549" s="55" t="str">
        <f aca="false">IF($F549="","",IFERROR(INDEX(商品档案!$D$6:$D$65,MATCH($F549,商品档案!$A$6:$A$65,0)),""))</f>
        <v/>
      </c>
      <c r="J549" s="49"/>
      <c r="K549" s="56"/>
      <c r="L549" s="33"/>
      <c r="M549" s="39"/>
      <c r="N549" s="41"/>
      <c r="O549" s="41"/>
      <c r="P549" s="25" t="str">
        <f aca="false">IF(AND($B549="",$D549="",$F549=""),"",IF(NOT(ISNUMBER($B549)),"日期无效",IF(ISNA(MATCH($C549,参数设置!$A$10:$A$12,0)),"公司无效",IF(ISNA(MATCH($D549,记账规则!$A$6:$A$9,0)),"业务类型无效",IF(ISNA(MATCH($F549,商品档案!$A$6:$A$65,0)),"商品编码无效",IF(IFERROR(INDEX(商品档案!$E$6:$E$65,MATCH($F549,商品档案!$A$6:$A$65,0)),"")&lt;&gt;$C549,"商品不属于该公司",IF(AND($E549&lt;&gt;"",ISNA(MATCH($E549,往来单位!$A$6:$A$85,0))),"往来单位未建档",IF(N($J549)=0,"数量为 0",IF(N($K549)=0,"单价为 0",IF(AND(LEFT($D549,2)="销售",$U549=""),"该商品没设成本科目",IF(YEAR($B549)&lt;&gt;参数设置!$B$5,"不在本会计年度","OK")))))))))))</f>
        <v/>
      </c>
      <c r="Q549" s="57" t="str">
        <f aca="false">IF($F549="","",ROUND(N($J549)*N($K549),2))</f>
        <v/>
      </c>
      <c r="R549" s="58" t="str">
        <f aca="false">IF($D549="","",IF(LEFT($D549,2)="销售","应收账款","应付账款"))</f>
        <v/>
      </c>
      <c r="S549" s="58" t="str">
        <f aca="false">IF($F549="","",IFERROR(INDEX(商品档案!$G$6:$G$65,MATCH($F549,商品档案!$A$6:$A$65,0)),""))</f>
        <v/>
      </c>
      <c r="T549" s="58" t="str">
        <f aca="false">IF($F549="","",IFERROR(INDEX(商品档案!$H$6:$H$65,MATCH($F549,商品档案!$A$6:$A$65,0)),""))</f>
        <v/>
      </c>
      <c r="U549" s="58" t="str">
        <f aca="false">IF($F549="","",IFERROR(INDEX(商品档案!$I$6:$I$65,MATCH($F549,商品档案!$A$6:$A$65,0)),""))</f>
        <v/>
      </c>
      <c r="V549" s="59" t="str">
        <f aca="false">IF($F549="","",SUMIFS(进销存台账!$N$6:$N$65,进销存台账!$A$6:$A$65,$C549,进销存台账!$B$6:$B$65,$F549))</f>
        <v/>
      </c>
      <c r="W549" s="60" t="n">
        <f aca="false">IF(OR($D549="销售出库",$D549="销售退回"),ROUND(N($J549)*N($V549),2),0)</f>
        <v>0</v>
      </c>
      <c r="X549" s="58" t="str">
        <f aca="false">IF($E549="","",IFERROR(INDEX(往来单位!$D$6:$D$85,MATCH($E549,往来单位!$A$6:$A$85,0)),"否"))</f>
        <v/>
      </c>
      <c r="Y549" s="61" t="str">
        <f aca="false">IF($B549="","",YEAR($B549))</f>
        <v/>
      </c>
      <c r="Z549" s="58" t="str">
        <f aca="false">IF($B549="","",TEXT($B549,"yyyy-mm"))</f>
        <v/>
      </c>
    </row>
    <row r="550" customFormat="false" ht="15" hidden="false" customHeight="false" outlineLevel="0" collapsed="false">
      <c r="A550" s="53" t="str">
        <f aca="false">IF($B550="","",ROW()-5)</f>
        <v/>
      </c>
      <c r="B550" s="54"/>
      <c r="C550" s="33"/>
      <c r="D550" s="33"/>
      <c r="E550" s="32"/>
      <c r="F550" s="39"/>
      <c r="G550" s="48" t="str">
        <f aca="false">IF($F550="","",IFERROR(INDEX(商品档案!$B$6:$B$65,MATCH($F550,商品档案!$A$6:$A$65,0)),""))</f>
        <v/>
      </c>
      <c r="H550" s="48" t="str">
        <f aca="false">IF($F550="","",IFERROR(INDEX(商品档案!$C$6:$C$65,MATCH($F550,商品档案!$A$6:$A$65,0)),""))</f>
        <v/>
      </c>
      <c r="I550" s="55" t="str">
        <f aca="false">IF($F550="","",IFERROR(INDEX(商品档案!$D$6:$D$65,MATCH($F550,商品档案!$A$6:$A$65,0)),""))</f>
        <v/>
      </c>
      <c r="J550" s="49"/>
      <c r="K550" s="56"/>
      <c r="L550" s="33"/>
      <c r="M550" s="39"/>
      <c r="N550" s="41"/>
      <c r="O550" s="41"/>
      <c r="P550" s="25" t="str">
        <f aca="false">IF(AND($B550="",$D550="",$F550=""),"",IF(NOT(ISNUMBER($B550)),"日期无效",IF(ISNA(MATCH($C550,参数设置!$A$10:$A$12,0)),"公司无效",IF(ISNA(MATCH($D550,记账规则!$A$6:$A$9,0)),"业务类型无效",IF(ISNA(MATCH($F550,商品档案!$A$6:$A$65,0)),"商品编码无效",IF(IFERROR(INDEX(商品档案!$E$6:$E$65,MATCH($F550,商品档案!$A$6:$A$65,0)),"")&lt;&gt;$C550,"商品不属于该公司",IF(AND($E550&lt;&gt;"",ISNA(MATCH($E550,往来单位!$A$6:$A$85,0))),"往来单位未建档",IF(N($J550)=0,"数量为 0",IF(N($K550)=0,"单价为 0",IF(AND(LEFT($D550,2)="销售",$U550=""),"该商品没设成本科目",IF(YEAR($B550)&lt;&gt;参数设置!$B$5,"不在本会计年度","OK")))))))))))</f>
        <v/>
      </c>
      <c r="Q550" s="57" t="str">
        <f aca="false">IF($F550="","",ROUND(N($J550)*N($K550),2))</f>
        <v/>
      </c>
      <c r="R550" s="58" t="str">
        <f aca="false">IF($D550="","",IF(LEFT($D550,2)="销售","应收账款","应付账款"))</f>
        <v/>
      </c>
      <c r="S550" s="58" t="str">
        <f aca="false">IF($F550="","",IFERROR(INDEX(商品档案!$G$6:$G$65,MATCH($F550,商品档案!$A$6:$A$65,0)),""))</f>
        <v/>
      </c>
      <c r="T550" s="58" t="str">
        <f aca="false">IF($F550="","",IFERROR(INDEX(商品档案!$H$6:$H$65,MATCH($F550,商品档案!$A$6:$A$65,0)),""))</f>
        <v/>
      </c>
      <c r="U550" s="58" t="str">
        <f aca="false">IF($F550="","",IFERROR(INDEX(商品档案!$I$6:$I$65,MATCH($F550,商品档案!$A$6:$A$65,0)),""))</f>
        <v/>
      </c>
      <c r="V550" s="59" t="str">
        <f aca="false">IF($F550="","",SUMIFS(进销存台账!$N$6:$N$65,进销存台账!$A$6:$A$65,$C550,进销存台账!$B$6:$B$65,$F550))</f>
        <v/>
      </c>
      <c r="W550" s="60" t="n">
        <f aca="false">IF(OR($D550="销售出库",$D550="销售退回"),ROUND(N($J550)*N($V550),2),0)</f>
        <v>0</v>
      </c>
      <c r="X550" s="58" t="str">
        <f aca="false">IF($E550="","",IFERROR(INDEX(往来单位!$D$6:$D$85,MATCH($E550,往来单位!$A$6:$A$85,0)),"否"))</f>
        <v/>
      </c>
      <c r="Y550" s="61" t="str">
        <f aca="false">IF($B550="","",YEAR($B550))</f>
        <v/>
      </c>
      <c r="Z550" s="58" t="str">
        <f aca="false">IF($B550="","",TEXT($B550,"yyyy-mm"))</f>
        <v/>
      </c>
    </row>
    <row r="551" customFormat="false" ht="15" hidden="false" customHeight="false" outlineLevel="0" collapsed="false">
      <c r="A551" s="53" t="str">
        <f aca="false">IF($B551="","",ROW()-5)</f>
        <v/>
      </c>
      <c r="B551" s="54"/>
      <c r="C551" s="33"/>
      <c r="D551" s="33"/>
      <c r="E551" s="32"/>
      <c r="F551" s="39"/>
      <c r="G551" s="48" t="str">
        <f aca="false">IF($F551="","",IFERROR(INDEX(商品档案!$B$6:$B$65,MATCH($F551,商品档案!$A$6:$A$65,0)),""))</f>
        <v/>
      </c>
      <c r="H551" s="48" t="str">
        <f aca="false">IF($F551="","",IFERROR(INDEX(商品档案!$C$6:$C$65,MATCH($F551,商品档案!$A$6:$A$65,0)),""))</f>
        <v/>
      </c>
      <c r="I551" s="55" t="str">
        <f aca="false">IF($F551="","",IFERROR(INDEX(商品档案!$D$6:$D$65,MATCH($F551,商品档案!$A$6:$A$65,0)),""))</f>
        <v/>
      </c>
      <c r="J551" s="49"/>
      <c r="K551" s="56"/>
      <c r="L551" s="33"/>
      <c r="M551" s="39"/>
      <c r="N551" s="41"/>
      <c r="O551" s="41"/>
      <c r="P551" s="25" t="str">
        <f aca="false">IF(AND($B551="",$D551="",$F551=""),"",IF(NOT(ISNUMBER($B551)),"日期无效",IF(ISNA(MATCH($C551,参数设置!$A$10:$A$12,0)),"公司无效",IF(ISNA(MATCH($D551,记账规则!$A$6:$A$9,0)),"业务类型无效",IF(ISNA(MATCH($F551,商品档案!$A$6:$A$65,0)),"商品编码无效",IF(IFERROR(INDEX(商品档案!$E$6:$E$65,MATCH($F551,商品档案!$A$6:$A$65,0)),"")&lt;&gt;$C551,"商品不属于该公司",IF(AND($E551&lt;&gt;"",ISNA(MATCH($E551,往来单位!$A$6:$A$85,0))),"往来单位未建档",IF(N($J551)=0,"数量为 0",IF(N($K551)=0,"单价为 0",IF(AND(LEFT($D551,2)="销售",$U551=""),"该商品没设成本科目",IF(YEAR($B551)&lt;&gt;参数设置!$B$5,"不在本会计年度","OK")))))))))))</f>
        <v/>
      </c>
      <c r="Q551" s="57" t="str">
        <f aca="false">IF($F551="","",ROUND(N($J551)*N($K551),2))</f>
        <v/>
      </c>
      <c r="R551" s="58" t="str">
        <f aca="false">IF($D551="","",IF(LEFT($D551,2)="销售","应收账款","应付账款"))</f>
        <v/>
      </c>
      <c r="S551" s="58" t="str">
        <f aca="false">IF($F551="","",IFERROR(INDEX(商品档案!$G$6:$G$65,MATCH($F551,商品档案!$A$6:$A$65,0)),""))</f>
        <v/>
      </c>
      <c r="T551" s="58" t="str">
        <f aca="false">IF($F551="","",IFERROR(INDEX(商品档案!$H$6:$H$65,MATCH($F551,商品档案!$A$6:$A$65,0)),""))</f>
        <v/>
      </c>
      <c r="U551" s="58" t="str">
        <f aca="false">IF($F551="","",IFERROR(INDEX(商品档案!$I$6:$I$65,MATCH($F551,商品档案!$A$6:$A$65,0)),""))</f>
        <v/>
      </c>
      <c r="V551" s="59" t="str">
        <f aca="false">IF($F551="","",SUMIFS(进销存台账!$N$6:$N$65,进销存台账!$A$6:$A$65,$C551,进销存台账!$B$6:$B$65,$F551))</f>
        <v/>
      </c>
      <c r="W551" s="60" t="n">
        <f aca="false">IF(OR($D551="销售出库",$D551="销售退回"),ROUND(N($J551)*N($V551),2),0)</f>
        <v>0</v>
      </c>
      <c r="X551" s="58" t="str">
        <f aca="false">IF($E551="","",IFERROR(INDEX(往来单位!$D$6:$D$85,MATCH($E551,往来单位!$A$6:$A$85,0)),"否"))</f>
        <v/>
      </c>
      <c r="Y551" s="61" t="str">
        <f aca="false">IF($B551="","",YEAR($B551))</f>
        <v/>
      </c>
      <c r="Z551" s="58" t="str">
        <f aca="false">IF($B551="","",TEXT($B551,"yyyy-mm"))</f>
        <v/>
      </c>
    </row>
    <row r="552" customFormat="false" ht="15" hidden="false" customHeight="false" outlineLevel="0" collapsed="false">
      <c r="A552" s="53" t="str">
        <f aca="false">IF($B552="","",ROW()-5)</f>
        <v/>
      </c>
      <c r="B552" s="54"/>
      <c r="C552" s="33"/>
      <c r="D552" s="33"/>
      <c r="E552" s="32"/>
      <c r="F552" s="39"/>
      <c r="G552" s="48" t="str">
        <f aca="false">IF($F552="","",IFERROR(INDEX(商品档案!$B$6:$B$65,MATCH($F552,商品档案!$A$6:$A$65,0)),""))</f>
        <v/>
      </c>
      <c r="H552" s="48" t="str">
        <f aca="false">IF($F552="","",IFERROR(INDEX(商品档案!$C$6:$C$65,MATCH($F552,商品档案!$A$6:$A$65,0)),""))</f>
        <v/>
      </c>
      <c r="I552" s="55" t="str">
        <f aca="false">IF($F552="","",IFERROR(INDEX(商品档案!$D$6:$D$65,MATCH($F552,商品档案!$A$6:$A$65,0)),""))</f>
        <v/>
      </c>
      <c r="J552" s="49"/>
      <c r="K552" s="56"/>
      <c r="L552" s="33"/>
      <c r="M552" s="39"/>
      <c r="N552" s="41"/>
      <c r="O552" s="41"/>
      <c r="P552" s="25" t="str">
        <f aca="false">IF(AND($B552="",$D552="",$F552=""),"",IF(NOT(ISNUMBER($B552)),"日期无效",IF(ISNA(MATCH($C552,参数设置!$A$10:$A$12,0)),"公司无效",IF(ISNA(MATCH($D552,记账规则!$A$6:$A$9,0)),"业务类型无效",IF(ISNA(MATCH($F552,商品档案!$A$6:$A$65,0)),"商品编码无效",IF(IFERROR(INDEX(商品档案!$E$6:$E$65,MATCH($F552,商品档案!$A$6:$A$65,0)),"")&lt;&gt;$C552,"商品不属于该公司",IF(AND($E552&lt;&gt;"",ISNA(MATCH($E552,往来单位!$A$6:$A$85,0))),"往来单位未建档",IF(N($J552)=0,"数量为 0",IF(N($K552)=0,"单价为 0",IF(AND(LEFT($D552,2)="销售",$U552=""),"该商品没设成本科目",IF(YEAR($B552)&lt;&gt;参数设置!$B$5,"不在本会计年度","OK")))))))))))</f>
        <v/>
      </c>
      <c r="Q552" s="57" t="str">
        <f aca="false">IF($F552="","",ROUND(N($J552)*N($K552),2))</f>
        <v/>
      </c>
      <c r="R552" s="58" t="str">
        <f aca="false">IF($D552="","",IF(LEFT($D552,2)="销售","应收账款","应付账款"))</f>
        <v/>
      </c>
      <c r="S552" s="58" t="str">
        <f aca="false">IF($F552="","",IFERROR(INDEX(商品档案!$G$6:$G$65,MATCH($F552,商品档案!$A$6:$A$65,0)),""))</f>
        <v/>
      </c>
      <c r="T552" s="58" t="str">
        <f aca="false">IF($F552="","",IFERROR(INDEX(商品档案!$H$6:$H$65,MATCH($F552,商品档案!$A$6:$A$65,0)),""))</f>
        <v/>
      </c>
      <c r="U552" s="58" t="str">
        <f aca="false">IF($F552="","",IFERROR(INDEX(商品档案!$I$6:$I$65,MATCH($F552,商品档案!$A$6:$A$65,0)),""))</f>
        <v/>
      </c>
      <c r="V552" s="59" t="str">
        <f aca="false">IF($F552="","",SUMIFS(进销存台账!$N$6:$N$65,进销存台账!$A$6:$A$65,$C552,进销存台账!$B$6:$B$65,$F552))</f>
        <v/>
      </c>
      <c r="W552" s="60" t="n">
        <f aca="false">IF(OR($D552="销售出库",$D552="销售退回"),ROUND(N($J552)*N($V552),2),0)</f>
        <v>0</v>
      </c>
      <c r="X552" s="58" t="str">
        <f aca="false">IF($E552="","",IFERROR(INDEX(往来单位!$D$6:$D$85,MATCH($E552,往来单位!$A$6:$A$85,0)),"否"))</f>
        <v/>
      </c>
      <c r="Y552" s="61" t="str">
        <f aca="false">IF($B552="","",YEAR($B552))</f>
        <v/>
      </c>
      <c r="Z552" s="58" t="str">
        <f aca="false">IF($B552="","",TEXT($B552,"yyyy-mm"))</f>
        <v/>
      </c>
    </row>
    <row r="553" customFormat="false" ht="15" hidden="false" customHeight="false" outlineLevel="0" collapsed="false">
      <c r="A553" s="53" t="str">
        <f aca="false">IF($B553="","",ROW()-5)</f>
        <v/>
      </c>
      <c r="B553" s="54"/>
      <c r="C553" s="33"/>
      <c r="D553" s="33"/>
      <c r="E553" s="32"/>
      <c r="F553" s="39"/>
      <c r="G553" s="48" t="str">
        <f aca="false">IF($F553="","",IFERROR(INDEX(商品档案!$B$6:$B$65,MATCH($F553,商品档案!$A$6:$A$65,0)),""))</f>
        <v/>
      </c>
      <c r="H553" s="48" t="str">
        <f aca="false">IF($F553="","",IFERROR(INDEX(商品档案!$C$6:$C$65,MATCH($F553,商品档案!$A$6:$A$65,0)),""))</f>
        <v/>
      </c>
      <c r="I553" s="55" t="str">
        <f aca="false">IF($F553="","",IFERROR(INDEX(商品档案!$D$6:$D$65,MATCH($F553,商品档案!$A$6:$A$65,0)),""))</f>
        <v/>
      </c>
      <c r="J553" s="49"/>
      <c r="K553" s="56"/>
      <c r="L553" s="33"/>
      <c r="M553" s="39"/>
      <c r="N553" s="41"/>
      <c r="O553" s="41"/>
      <c r="P553" s="25" t="str">
        <f aca="false">IF(AND($B553="",$D553="",$F553=""),"",IF(NOT(ISNUMBER($B553)),"日期无效",IF(ISNA(MATCH($C553,参数设置!$A$10:$A$12,0)),"公司无效",IF(ISNA(MATCH($D553,记账规则!$A$6:$A$9,0)),"业务类型无效",IF(ISNA(MATCH($F553,商品档案!$A$6:$A$65,0)),"商品编码无效",IF(IFERROR(INDEX(商品档案!$E$6:$E$65,MATCH($F553,商品档案!$A$6:$A$65,0)),"")&lt;&gt;$C553,"商品不属于该公司",IF(AND($E553&lt;&gt;"",ISNA(MATCH($E553,往来单位!$A$6:$A$85,0))),"往来单位未建档",IF(N($J553)=0,"数量为 0",IF(N($K553)=0,"单价为 0",IF(AND(LEFT($D553,2)="销售",$U553=""),"该商品没设成本科目",IF(YEAR($B553)&lt;&gt;参数设置!$B$5,"不在本会计年度","OK")))))))))))</f>
        <v/>
      </c>
      <c r="Q553" s="57" t="str">
        <f aca="false">IF($F553="","",ROUND(N($J553)*N($K553),2))</f>
        <v/>
      </c>
      <c r="R553" s="58" t="str">
        <f aca="false">IF($D553="","",IF(LEFT($D553,2)="销售","应收账款","应付账款"))</f>
        <v/>
      </c>
      <c r="S553" s="58" t="str">
        <f aca="false">IF($F553="","",IFERROR(INDEX(商品档案!$G$6:$G$65,MATCH($F553,商品档案!$A$6:$A$65,0)),""))</f>
        <v/>
      </c>
      <c r="T553" s="58" t="str">
        <f aca="false">IF($F553="","",IFERROR(INDEX(商品档案!$H$6:$H$65,MATCH($F553,商品档案!$A$6:$A$65,0)),""))</f>
        <v/>
      </c>
      <c r="U553" s="58" t="str">
        <f aca="false">IF($F553="","",IFERROR(INDEX(商品档案!$I$6:$I$65,MATCH($F553,商品档案!$A$6:$A$65,0)),""))</f>
        <v/>
      </c>
      <c r="V553" s="59" t="str">
        <f aca="false">IF($F553="","",SUMIFS(进销存台账!$N$6:$N$65,进销存台账!$A$6:$A$65,$C553,进销存台账!$B$6:$B$65,$F553))</f>
        <v/>
      </c>
      <c r="W553" s="60" t="n">
        <f aca="false">IF(OR($D553="销售出库",$D553="销售退回"),ROUND(N($J553)*N($V553),2),0)</f>
        <v>0</v>
      </c>
      <c r="X553" s="58" t="str">
        <f aca="false">IF($E553="","",IFERROR(INDEX(往来单位!$D$6:$D$85,MATCH($E553,往来单位!$A$6:$A$85,0)),"否"))</f>
        <v/>
      </c>
      <c r="Y553" s="61" t="str">
        <f aca="false">IF($B553="","",YEAR($B553))</f>
        <v/>
      </c>
      <c r="Z553" s="58" t="str">
        <f aca="false">IF($B553="","",TEXT($B553,"yyyy-mm"))</f>
        <v/>
      </c>
    </row>
    <row r="554" customFormat="false" ht="15" hidden="false" customHeight="false" outlineLevel="0" collapsed="false">
      <c r="A554" s="53" t="str">
        <f aca="false">IF($B554="","",ROW()-5)</f>
        <v/>
      </c>
      <c r="B554" s="54"/>
      <c r="C554" s="33"/>
      <c r="D554" s="33"/>
      <c r="E554" s="32"/>
      <c r="F554" s="39"/>
      <c r="G554" s="48" t="str">
        <f aca="false">IF($F554="","",IFERROR(INDEX(商品档案!$B$6:$B$65,MATCH($F554,商品档案!$A$6:$A$65,0)),""))</f>
        <v/>
      </c>
      <c r="H554" s="48" t="str">
        <f aca="false">IF($F554="","",IFERROR(INDEX(商品档案!$C$6:$C$65,MATCH($F554,商品档案!$A$6:$A$65,0)),""))</f>
        <v/>
      </c>
      <c r="I554" s="55" t="str">
        <f aca="false">IF($F554="","",IFERROR(INDEX(商品档案!$D$6:$D$65,MATCH($F554,商品档案!$A$6:$A$65,0)),""))</f>
        <v/>
      </c>
      <c r="J554" s="49"/>
      <c r="K554" s="56"/>
      <c r="L554" s="33"/>
      <c r="M554" s="39"/>
      <c r="N554" s="41"/>
      <c r="O554" s="41"/>
      <c r="P554" s="25" t="str">
        <f aca="false">IF(AND($B554="",$D554="",$F554=""),"",IF(NOT(ISNUMBER($B554)),"日期无效",IF(ISNA(MATCH($C554,参数设置!$A$10:$A$12,0)),"公司无效",IF(ISNA(MATCH($D554,记账规则!$A$6:$A$9,0)),"业务类型无效",IF(ISNA(MATCH($F554,商品档案!$A$6:$A$65,0)),"商品编码无效",IF(IFERROR(INDEX(商品档案!$E$6:$E$65,MATCH($F554,商品档案!$A$6:$A$65,0)),"")&lt;&gt;$C554,"商品不属于该公司",IF(AND($E554&lt;&gt;"",ISNA(MATCH($E554,往来单位!$A$6:$A$85,0))),"往来单位未建档",IF(N($J554)=0,"数量为 0",IF(N($K554)=0,"单价为 0",IF(AND(LEFT($D554,2)="销售",$U554=""),"该商品没设成本科目",IF(YEAR($B554)&lt;&gt;参数设置!$B$5,"不在本会计年度","OK")))))))))))</f>
        <v/>
      </c>
      <c r="Q554" s="57" t="str">
        <f aca="false">IF($F554="","",ROUND(N($J554)*N($K554),2))</f>
        <v/>
      </c>
      <c r="R554" s="58" t="str">
        <f aca="false">IF($D554="","",IF(LEFT($D554,2)="销售","应收账款","应付账款"))</f>
        <v/>
      </c>
      <c r="S554" s="58" t="str">
        <f aca="false">IF($F554="","",IFERROR(INDEX(商品档案!$G$6:$G$65,MATCH($F554,商品档案!$A$6:$A$65,0)),""))</f>
        <v/>
      </c>
      <c r="T554" s="58" t="str">
        <f aca="false">IF($F554="","",IFERROR(INDEX(商品档案!$H$6:$H$65,MATCH($F554,商品档案!$A$6:$A$65,0)),""))</f>
        <v/>
      </c>
      <c r="U554" s="58" t="str">
        <f aca="false">IF($F554="","",IFERROR(INDEX(商品档案!$I$6:$I$65,MATCH($F554,商品档案!$A$6:$A$65,0)),""))</f>
        <v/>
      </c>
      <c r="V554" s="59" t="str">
        <f aca="false">IF($F554="","",SUMIFS(进销存台账!$N$6:$N$65,进销存台账!$A$6:$A$65,$C554,进销存台账!$B$6:$B$65,$F554))</f>
        <v/>
      </c>
      <c r="W554" s="60" t="n">
        <f aca="false">IF(OR($D554="销售出库",$D554="销售退回"),ROUND(N($J554)*N($V554),2),0)</f>
        <v>0</v>
      </c>
      <c r="X554" s="58" t="str">
        <f aca="false">IF($E554="","",IFERROR(INDEX(往来单位!$D$6:$D$85,MATCH($E554,往来单位!$A$6:$A$85,0)),"否"))</f>
        <v/>
      </c>
      <c r="Y554" s="61" t="str">
        <f aca="false">IF($B554="","",YEAR($B554))</f>
        <v/>
      </c>
      <c r="Z554" s="58" t="str">
        <f aca="false">IF($B554="","",TEXT($B554,"yyyy-mm"))</f>
        <v/>
      </c>
    </row>
    <row r="555" customFormat="false" ht="15" hidden="false" customHeight="false" outlineLevel="0" collapsed="false">
      <c r="A555" s="53" t="str">
        <f aca="false">IF($B555="","",ROW()-5)</f>
        <v/>
      </c>
      <c r="B555" s="54"/>
      <c r="C555" s="33"/>
      <c r="D555" s="33"/>
      <c r="E555" s="32"/>
      <c r="F555" s="39"/>
      <c r="G555" s="48" t="str">
        <f aca="false">IF($F555="","",IFERROR(INDEX(商品档案!$B$6:$B$65,MATCH($F555,商品档案!$A$6:$A$65,0)),""))</f>
        <v/>
      </c>
      <c r="H555" s="48" t="str">
        <f aca="false">IF($F555="","",IFERROR(INDEX(商品档案!$C$6:$C$65,MATCH($F555,商品档案!$A$6:$A$65,0)),""))</f>
        <v/>
      </c>
      <c r="I555" s="55" t="str">
        <f aca="false">IF($F555="","",IFERROR(INDEX(商品档案!$D$6:$D$65,MATCH($F555,商品档案!$A$6:$A$65,0)),""))</f>
        <v/>
      </c>
      <c r="J555" s="49"/>
      <c r="K555" s="56"/>
      <c r="L555" s="33"/>
      <c r="M555" s="39"/>
      <c r="N555" s="41"/>
      <c r="O555" s="41"/>
      <c r="P555" s="25" t="str">
        <f aca="false">IF(AND($B555="",$D555="",$F555=""),"",IF(NOT(ISNUMBER($B555)),"日期无效",IF(ISNA(MATCH($C555,参数设置!$A$10:$A$12,0)),"公司无效",IF(ISNA(MATCH($D555,记账规则!$A$6:$A$9,0)),"业务类型无效",IF(ISNA(MATCH($F555,商品档案!$A$6:$A$65,0)),"商品编码无效",IF(IFERROR(INDEX(商品档案!$E$6:$E$65,MATCH($F555,商品档案!$A$6:$A$65,0)),"")&lt;&gt;$C555,"商品不属于该公司",IF(AND($E555&lt;&gt;"",ISNA(MATCH($E555,往来单位!$A$6:$A$85,0))),"往来单位未建档",IF(N($J555)=0,"数量为 0",IF(N($K555)=0,"单价为 0",IF(AND(LEFT($D555,2)="销售",$U555=""),"该商品没设成本科目",IF(YEAR($B555)&lt;&gt;参数设置!$B$5,"不在本会计年度","OK")))))))))))</f>
        <v/>
      </c>
      <c r="Q555" s="57" t="str">
        <f aca="false">IF($F555="","",ROUND(N($J555)*N($K555),2))</f>
        <v/>
      </c>
      <c r="R555" s="58" t="str">
        <f aca="false">IF($D555="","",IF(LEFT($D555,2)="销售","应收账款","应付账款"))</f>
        <v/>
      </c>
      <c r="S555" s="58" t="str">
        <f aca="false">IF($F555="","",IFERROR(INDEX(商品档案!$G$6:$G$65,MATCH($F555,商品档案!$A$6:$A$65,0)),""))</f>
        <v/>
      </c>
      <c r="T555" s="58" t="str">
        <f aca="false">IF($F555="","",IFERROR(INDEX(商品档案!$H$6:$H$65,MATCH($F555,商品档案!$A$6:$A$65,0)),""))</f>
        <v/>
      </c>
      <c r="U555" s="58" t="str">
        <f aca="false">IF($F555="","",IFERROR(INDEX(商品档案!$I$6:$I$65,MATCH($F555,商品档案!$A$6:$A$65,0)),""))</f>
        <v/>
      </c>
      <c r="V555" s="59" t="str">
        <f aca="false">IF($F555="","",SUMIFS(进销存台账!$N$6:$N$65,进销存台账!$A$6:$A$65,$C555,进销存台账!$B$6:$B$65,$F555))</f>
        <v/>
      </c>
      <c r="W555" s="60" t="n">
        <f aca="false">IF(OR($D555="销售出库",$D555="销售退回"),ROUND(N($J555)*N($V555),2),0)</f>
        <v>0</v>
      </c>
      <c r="X555" s="58" t="str">
        <f aca="false">IF($E555="","",IFERROR(INDEX(往来单位!$D$6:$D$85,MATCH($E555,往来单位!$A$6:$A$85,0)),"否"))</f>
        <v/>
      </c>
      <c r="Y555" s="61" t="str">
        <f aca="false">IF($B555="","",YEAR($B555))</f>
        <v/>
      </c>
      <c r="Z555" s="58" t="str">
        <f aca="false">IF($B555="","",TEXT($B555,"yyyy-mm"))</f>
        <v/>
      </c>
    </row>
    <row r="556" customFormat="false" ht="15" hidden="false" customHeight="false" outlineLevel="0" collapsed="false">
      <c r="A556" s="53" t="str">
        <f aca="false">IF($B556="","",ROW()-5)</f>
        <v/>
      </c>
      <c r="B556" s="54"/>
      <c r="C556" s="33"/>
      <c r="D556" s="33"/>
      <c r="E556" s="32"/>
      <c r="F556" s="39"/>
      <c r="G556" s="48" t="str">
        <f aca="false">IF($F556="","",IFERROR(INDEX(商品档案!$B$6:$B$65,MATCH($F556,商品档案!$A$6:$A$65,0)),""))</f>
        <v/>
      </c>
      <c r="H556" s="48" t="str">
        <f aca="false">IF($F556="","",IFERROR(INDEX(商品档案!$C$6:$C$65,MATCH($F556,商品档案!$A$6:$A$65,0)),""))</f>
        <v/>
      </c>
      <c r="I556" s="55" t="str">
        <f aca="false">IF($F556="","",IFERROR(INDEX(商品档案!$D$6:$D$65,MATCH($F556,商品档案!$A$6:$A$65,0)),""))</f>
        <v/>
      </c>
      <c r="J556" s="49"/>
      <c r="K556" s="56"/>
      <c r="L556" s="33"/>
      <c r="M556" s="39"/>
      <c r="N556" s="41"/>
      <c r="O556" s="41"/>
      <c r="P556" s="25" t="str">
        <f aca="false">IF(AND($B556="",$D556="",$F556=""),"",IF(NOT(ISNUMBER($B556)),"日期无效",IF(ISNA(MATCH($C556,参数设置!$A$10:$A$12,0)),"公司无效",IF(ISNA(MATCH($D556,记账规则!$A$6:$A$9,0)),"业务类型无效",IF(ISNA(MATCH($F556,商品档案!$A$6:$A$65,0)),"商品编码无效",IF(IFERROR(INDEX(商品档案!$E$6:$E$65,MATCH($F556,商品档案!$A$6:$A$65,0)),"")&lt;&gt;$C556,"商品不属于该公司",IF(AND($E556&lt;&gt;"",ISNA(MATCH($E556,往来单位!$A$6:$A$85,0))),"往来单位未建档",IF(N($J556)=0,"数量为 0",IF(N($K556)=0,"单价为 0",IF(AND(LEFT($D556,2)="销售",$U556=""),"该商品没设成本科目",IF(YEAR($B556)&lt;&gt;参数设置!$B$5,"不在本会计年度","OK")))))))))))</f>
        <v/>
      </c>
      <c r="Q556" s="57" t="str">
        <f aca="false">IF($F556="","",ROUND(N($J556)*N($K556),2))</f>
        <v/>
      </c>
      <c r="R556" s="58" t="str">
        <f aca="false">IF($D556="","",IF(LEFT($D556,2)="销售","应收账款","应付账款"))</f>
        <v/>
      </c>
      <c r="S556" s="58" t="str">
        <f aca="false">IF($F556="","",IFERROR(INDEX(商品档案!$G$6:$G$65,MATCH($F556,商品档案!$A$6:$A$65,0)),""))</f>
        <v/>
      </c>
      <c r="T556" s="58" t="str">
        <f aca="false">IF($F556="","",IFERROR(INDEX(商品档案!$H$6:$H$65,MATCH($F556,商品档案!$A$6:$A$65,0)),""))</f>
        <v/>
      </c>
      <c r="U556" s="58" t="str">
        <f aca="false">IF($F556="","",IFERROR(INDEX(商品档案!$I$6:$I$65,MATCH($F556,商品档案!$A$6:$A$65,0)),""))</f>
        <v/>
      </c>
      <c r="V556" s="59" t="str">
        <f aca="false">IF($F556="","",SUMIFS(进销存台账!$N$6:$N$65,进销存台账!$A$6:$A$65,$C556,进销存台账!$B$6:$B$65,$F556))</f>
        <v/>
      </c>
      <c r="W556" s="60" t="n">
        <f aca="false">IF(OR($D556="销售出库",$D556="销售退回"),ROUND(N($J556)*N($V556),2),0)</f>
        <v>0</v>
      </c>
      <c r="X556" s="58" t="str">
        <f aca="false">IF($E556="","",IFERROR(INDEX(往来单位!$D$6:$D$85,MATCH($E556,往来单位!$A$6:$A$85,0)),"否"))</f>
        <v/>
      </c>
      <c r="Y556" s="61" t="str">
        <f aca="false">IF($B556="","",YEAR($B556))</f>
        <v/>
      </c>
      <c r="Z556" s="58" t="str">
        <f aca="false">IF($B556="","",TEXT($B556,"yyyy-mm"))</f>
        <v/>
      </c>
    </row>
    <row r="557" customFormat="false" ht="15" hidden="false" customHeight="false" outlineLevel="0" collapsed="false">
      <c r="A557" s="53" t="str">
        <f aca="false">IF($B557="","",ROW()-5)</f>
        <v/>
      </c>
      <c r="B557" s="54"/>
      <c r="C557" s="33"/>
      <c r="D557" s="33"/>
      <c r="E557" s="32"/>
      <c r="F557" s="39"/>
      <c r="G557" s="48" t="str">
        <f aca="false">IF($F557="","",IFERROR(INDEX(商品档案!$B$6:$B$65,MATCH($F557,商品档案!$A$6:$A$65,0)),""))</f>
        <v/>
      </c>
      <c r="H557" s="48" t="str">
        <f aca="false">IF($F557="","",IFERROR(INDEX(商品档案!$C$6:$C$65,MATCH($F557,商品档案!$A$6:$A$65,0)),""))</f>
        <v/>
      </c>
      <c r="I557" s="55" t="str">
        <f aca="false">IF($F557="","",IFERROR(INDEX(商品档案!$D$6:$D$65,MATCH($F557,商品档案!$A$6:$A$65,0)),""))</f>
        <v/>
      </c>
      <c r="J557" s="49"/>
      <c r="K557" s="56"/>
      <c r="L557" s="33"/>
      <c r="M557" s="39"/>
      <c r="N557" s="41"/>
      <c r="O557" s="41"/>
      <c r="P557" s="25" t="str">
        <f aca="false">IF(AND($B557="",$D557="",$F557=""),"",IF(NOT(ISNUMBER($B557)),"日期无效",IF(ISNA(MATCH($C557,参数设置!$A$10:$A$12,0)),"公司无效",IF(ISNA(MATCH($D557,记账规则!$A$6:$A$9,0)),"业务类型无效",IF(ISNA(MATCH($F557,商品档案!$A$6:$A$65,0)),"商品编码无效",IF(IFERROR(INDEX(商品档案!$E$6:$E$65,MATCH($F557,商品档案!$A$6:$A$65,0)),"")&lt;&gt;$C557,"商品不属于该公司",IF(AND($E557&lt;&gt;"",ISNA(MATCH($E557,往来单位!$A$6:$A$85,0))),"往来单位未建档",IF(N($J557)=0,"数量为 0",IF(N($K557)=0,"单价为 0",IF(AND(LEFT($D557,2)="销售",$U557=""),"该商品没设成本科目",IF(YEAR($B557)&lt;&gt;参数设置!$B$5,"不在本会计年度","OK")))))))))))</f>
        <v/>
      </c>
      <c r="Q557" s="57" t="str">
        <f aca="false">IF($F557="","",ROUND(N($J557)*N($K557),2))</f>
        <v/>
      </c>
      <c r="R557" s="58" t="str">
        <f aca="false">IF($D557="","",IF(LEFT($D557,2)="销售","应收账款","应付账款"))</f>
        <v/>
      </c>
      <c r="S557" s="58" t="str">
        <f aca="false">IF($F557="","",IFERROR(INDEX(商品档案!$G$6:$G$65,MATCH($F557,商品档案!$A$6:$A$65,0)),""))</f>
        <v/>
      </c>
      <c r="T557" s="58" t="str">
        <f aca="false">IF($F557="","",IFERROR(INDEX(商品档案!$H$6:$H$65,MATCH($F557,商品档案!$A$6:$A$65,0)),""))</f>
        <v/>
      </c>
      <c r="U557" s="58" t="str">
        <f aca="false">IF($F557="","",IFERROR(INDEX(商品档案!$I$6:$I$65,MATCH($F557,商品档案!$A$6:$A$65,0)),""))</f>
        <v/>
      </c>
      <c r="V557" s="59" t="str">
        <f aca="false">IF($F557="","",SUMIFS(进销存台账!$N$6:$N$65,进销存台账!$A$6:$A$65,$C557,进销存台账!$B$6:$B$65,$F557))</f>
        <v/>
      </c>
      <c r="W557" s="60" t="n">
        <f aca="false">IF(OR($D557="销售出库",$D557="销售退回"),ROUND(N($J557)*N($V557),2),0)</f>
        <v>0</v>
      </c>
      <c r="X557" s="58" t="str">
        <f aca="false">IF($E557="","",IFERROR(INDEX(往来单位!$D$6:$D$85,MATCH($E557,往来单位!$A$6:$A$85,0)),"否"))</f>
        <v/>
      </c>
      <c r="Y557" s="61" t="str">
        <f aca="false">IF($B557="","",YEAR($B557))</f>
        <v/>
      </c>
      <c r="Z557" s="58" t="str">
        <f aca="false">IF($B557="","",TEXT($B557,"yyyy-mm"))</f>
        <v/>
      </c>
    </row>
    <row r="558" customFormat="false" ht="15" hidden="false" customHeight="false" outlineLevel="0" collapsed="false">
      <c r="A558" s="53" t="str">
        <f aca="false">IF($B558="","",ROW()-5)</f>
        <v/>
      </c>
      <c r="B558" s="54"/>
      <c r="C558" s="33"/>
      <c r="D558" s="33"/>
      <c r="E558" s="32"/>
      <c r="F558" s="39"/>
      <c r="G558" s="48" t="str">
        <f aca="false">IF($F558="","",IFERROR(INDEX(商品档案!$B$6:$B$65,MATCH($F558,商品档案!$A$6:$A$65,0)),""))</f>
        <v/>
      </c>
      <c r="H558" s="48" t="str">
        <f aca="false">IF($F558="","",IFERROR(INDEX(商品档案!$C$6:$C$65,MATCH($F558,商品档案!$A$6:$A$65,0)),""))</f>
        <v/>
      </c>
      <c r="I558" s="55" t="str">
        <f aca="false">IF($F558="","",IFERROR(INDEX(商品档案!$D$6:$D$65,MATCH($F558,商品档案!$A$6:$A$65,0)),""))</f>
        <v/>
      </c>
      <c r="J558" s="49"/>
      <c r="K558" s="56"/>
      <c r="L558" s="33"/>
      <c r="M558" s="39"/>
      <c r="N558" s="41"/>
      <c r="O558" s="41"/>
      <c r="P558" s="25" t="str">
        <f aca="false">IF(AND($B558="",$D558="",$F558=""),"",IF(NOT(ISNUMBER($B558)),"日期无效",IF(ISNA(MATCH($C558,参数设置!$A$10:$A$12,0)),"公司无效",IF(ISNA(MATCH($D558,记账规则!$A$6:$A$9,0)),"业务类型无效",IF(ISNA(MATCH($F558,商品档案!$A$6:$A$65,0)),"商品编码无效",IF(IFERROR(INDEX(商品档案!$E$6:$E$65,MATCH($F558,商品档案!$A$6:$A$65,0)),"")&lt;&gt;$C558,"商品不属于该公司",IF(AND($E558&lt;&gt;"",ISNA(MATCH($E558,往来单位!$A$6:$A$85,0))),"往来单位未建档",IF(N($J558)=0,"数量为 0",IF(N($K558)=0,"单价为 0",IF(AND(LEFT($D558,2)="销售",$U558=""),"该商品没设成本科目",IF(YEAR($B558)&lt;&gt;参数设置!$B$5,"不在本会计年度","OK")))))))))))</f>
        <v/>
      </c>
      <c r="Q558" s="57" t="str">
        <f aca="false">IF($F558="","",ROUND(N($J558)*N($K558),2))</f>
        <v/>
      </c>
      <c r="R558" s="58" t="str">
        <f aca="false">IF($D558="","",IF(LEFT($D558,2)="销售","应收账款","应付账款"))</f>
        <v/>
      </c>
      <c r="S558" s="58" t="str">
        <f aca="false">IF($F558="","",IFERROR(INDEX(商品档案!$G$6:$G$65,MATCH($F558,商品档案!$A$6:$A$65,0)),""))</f>
        <v/>
      </c>
      <c r="T558" s="58" t="str">
        <f aca="false">IF($F558="","",IFERROR(INDEX(商品档案!$H$6:$H$65,MATCH($F558,商品档案!$A$6:$A$65,0)),""))</f>
        <v/>
      </c>
      <c r="U558" s="58" t="str">
        <f aca="false">IF($F558="","",IFERROR(INDEX(商品档案!$I$6:$I$65,MATCH($F558,商品档案!$A$6:$A$65,0)),""))</f>
        <v/>
      </c>
      <c r="V558" s="59" t="str">
        <f aca="false">IF($F558="","",SUMIFS(进销存台账!$N$6:$N$65,进销存台账!$A$6:$A$65,$C558,进销存台账!$B$6:$B$65,$F558))</f>
        <v/>
      </c>
      <c r="W558" s="60" t="n">
        <f aca="false">IF(OR($D558="销售出库",$D558="销售退回"),ROUND(N($J558)*N($V558),2),0)</f>
        <v>0</v>
      </c>
      <c r="X558" s="58" t="str">
        <f aca="false">IF($E558="","",IFERROR(INDEX(往来单位!$D$6:$D$85,MATCH($E558,往来单位!$A$6:$A$85,0)),"否"))</f>
        <v/>
      </c>
      <c r="Y558" s="61" t="str">
        <f aca="false">IF($B558="","",YEAR($B558))</f>
        <v/>
      </c>
      <c r="Z558" s="58" t="str">
        <f aca="false">IF($B558="","",TEXT($B558,"yyyy-mm"))</f>
        <v/>
      </c>
    </row>
    <row r="559" customFormat="false" ht="15" hidden="false" customHeight="false" outlineLevel="0" collapsed="false">
      <c r="A559" s="53" t="str">
        <f aca="false">IF($B559="","",ROW()-5)</f>
        <v/>
      </c>
      <c r="B559" s="54"/>
      <c r="C559" s="33"/>
      <c r="D559" s="33"/>
      <c r="E559" s="32"/>
      <c r="F559" s="39"/>
      <c r="G559" s="48" t="str">
        <f aca="false">IF($F559="","",IFERROR(INDEX(商品档案!$B$6:$B$65,MATCH($F559,商品档案!$A$6:$A$65,0)),""))</f>
        <v/>
      </c>
      <c r="H559" s="48" t="str">
        <f aca="false">IF($F559="","",IFERROR(INDEX(商品档案!$C$6:$C$65,MATCH($F559,商品档案!$A$6:$A$65,0)),""))</f>
        <v/>
      </c>
      <c r="I559" s="55" t="str">
        <f aca="false">IF($F559="","",IFERROR(INDEX(商品档案!$D$6:$D$65,MATCH($F559,商品档案!$A$6:$A$65,0)),""))</f>
        <v/>
      </c>
      <c r="J559" s="49"/>
      <c r="K559" s="56"/>
      <c r="L559" s="33"/>
      <c r="M559" s="39"/>
      <c r="N559" s="41"/>
      <c r="O559" s="41"/>
      <c r="P559" s="25" t="str">
        <f aca="false">IF(AND($B559="",$D559="",$F559=""),"",IF(NOT(ISNUMBER($B559)),"日期无效",IF(ISNA(MATCH($C559,参数设置!$A$10:$A$12,0)),"公司无效",IF(ISNA(MATCH($D559,记账规则!$A$6:$A$9,0)),"业务类型无效",IF(ISNA(MATCH($F559,商品档案!$A$6:$A$65,0)),"商品编码无效",IF(IFERROR(INDEX(商品档案!$E$6:$E$65,MATCH($F559,商品档案!$A$6:$A$65,0)),"")&lt;&gt;$C559,"商品不属于该公司",IF(AND($E559&lt;&gt;"",ISNA(MATCH($E559,往来单位!$A$6:$A$85,0))),"往来单位未建档",IF(N($J559)=0,"数量为 0",IF(N($K559)=0,"单价为 0",IF(AND(LEFT($D559,2)="销售",$U559=""),"该商品没设成本科目",IF(YEAR($B559)&lt;&gt;参数设置!$B$5,"不在本会计年度","OK")))))))))))</f>
        <v/>
      </c>
      <c r="Q559" s="57" t="str">
        <f aca="false">IF($F559="","",ROUND(N($J559)*N($K559),2))</f>
        <v/>
      </c>
      <c r="R559" s="58" t="str">
        <f aca="false">IF($D559="","",IF(LEFT($D559,2)="销售","应收账款","应付账款"))</f>
        <v/>
      </c>
      <c r="S559" s="58" t="str">
        <f aca="false">IF($F559="","",IFERROR(INDEX(商品档案!$G$6:$G$65,MATCH($F559,商品档案!$A$6:$A$65,0)),""))</f>
        <v/>
      </c>
      <c r="T559" s="58" t="str">
        <f aca="false">IF($F559="","",IFERROR(INDEX(商品档案!$H$6:$H$65,MATCH($F559,商品档案!$A$6:$A$65,0)),""))</f>
        <v/>
      </c>
      <c r="U559" s="58" t="str">
        <f aca="false">IF($F559="","",IFERROR(INDEX(商品档案!$I$6:$I$65,MATCH($F559,商品档案!$A$6:$A$65,0)),""))</f>
        <v/>
      </c>
      <c r="V559" s="59" t="str">
        <f aca="false">IF($F559="","",SUMIFS(进销存台账!$N$6:$N$65,进销存台账!$A$6:$A$65,$C559,进销存台账!$B$6:$B$65,$F559))</f>
        <v/>
      </c>
      <c r="W559" s="60" t="n">
        <f aca="false">IF(OR($D559="销售出库",$D559="销售退回"),ROUND(N($J559)*N($V559),2),0)</f>
        <v>0</v>
      </c>
      <c r="X559" s="58" t="str">
        <f aca="false">IF($E559="","",IFERROR(INDEX(往来单位!$D$6:$D$85,MATCH($E559,往来单位!$A$6:$A$85,0)),"否"))</f>
        <v/>
      </c>
      <c r="Y559" s="61" t="str">
        <f aca="false">IF($B559="","",YEAR($B559))</f>
        <v/>
      </c>
      <c r="Z559" s="58" t="str">
        <f aca="false">IF($B559="","",TEXT($B559,"yyyy-mm"))</f>
        <v/>
      </c>
    </row>
    <row r="560" customFormat="false" ht="15" hidden="false" customHeight="false" outlineLevel="0" collapsed="false">
      <c r="A560" s="53" t="str">
        <f aca="false">IF($B560="","",ROW()-5)</f>
        <v/>
      </c>
      <c r="B560" s="54"/>
      <c r="C560" s="33"/>
      <c r="D560" s="33"/>
      <c r="E560" s="32"/>
      <c r="F560" s="39"/>
      <c r="G560" s="48" t="str">
        <f aca="false">IF($F560="","",IFERROR(INDEX(商品档案!$B$6:$B$65,MATCH($F560,商品档案!$A$6:$A$65,0)),""))</f>
        <v/>
      </c>
      <c r="H560" s="48" t="str">
        <f aca="false">IF($F560="","",IFERROR(INDEX(商品档案!$C$6:$C$65,MATCH($F560,商品档案!$A$6:$A$65,0)),""))</f>
        <v/>
      </c>
      <c r="I560" s="55" t="str">
        <f aca="false">IF($F560="","",IFERROR(INDEX(商品档案!$D$6:$D$65,MATCH($F560,商品档案!$A$6:$A$65,0)),""))</f>
        <v/>
      </c>
      <c r="J560" s="49"/>
      <c r="K560" s="56"/>
      <c r="L560" s="33"/>
      <c r="M560" s="39"/>
      <c r="N560" s="41"/>
      <c r="O560" s="41"/>
      <c r="P560" s="25" t="str">
        <f aca="false">IF(AND($B560="",$D560="",$F560=""),"",IF(NOT(ISNUMBER($B560)),"日期无效",IF(ISNA(MATCH($C560,参数设置!$A$10:$A$12,0)),"公司无效",IF(ISNA(MATCH($D560,记账规则!$A$6:$A$9,0)),"业务类型无效",IF(ISNA(MATCH($F560,商品档案!$A$6:$A$65,0)),"商品编码无效",IF(IFERROR(INDEX(商品档案!$E$6:$E$65,MATCH($F560,商品档案!$A$6:$A$65,0)),"")&lt;&gt;$C560,"商品不属于该公司",IF(AND($E560&lt;&gt;"",ISNA(MATCH($E560,往来单位!$A$6:$A$85,0))),"往来单位未建档",IF(N($J560)=0,"数量为 0",IF(N($K560)=0,"单价为 0",IF(AND(LEFT($D560,2)="销售",$U560=""),"该商品没设成本科目",IF(YEAR($B560)&lt;&gt;参数设置!$B$5,"不在本会计年度","OK")))))))))))</f>
        <v/>
      </c>
      <c r="Q560" s="57" t="str">
        <f aca="false">IF($F560="","",ROUND(N($J560)*N($K560),2))</f>
        <v/>
      </c>
      <c r="R560" s="58" t="str">
        <f aca="false">IF($D560="","",IF(LEFT($D560,2)="销售","应收账款","应付账款"))</f>
        <v/>
      </c>
      <c r="S560" s="58" t="str">
        <f aca="false">IF($F560="","",IFERROR(INDEX(商品档案!$G$6:$G$65,MATCH($F560,商品档案!$A$6:$A$65,0)),""))</f>
        <v/>
      </c>
      <c r="T560" s="58" t="str">
        <f aca="false">IF($F560="","",IFERROR(INDEX(商品档案!$H$6:$H$65,MATCH($F560,商品档案!$A$6:$A$65,0)),""))</f>
        <v/>
      </c>
      <c r="U560" s="58" t="str">
        <f aca="false">IF($F560="","",IFERROR(INDEX(商品档案!$I$6:$I$65,MATCH($F560,商品档案!$A$6:$A$65,0)),""))</f>
        <v/>
      </c>
      <c r="V560" s="59" t="str">
        <f aca="false">IF($F560="","",SUMIFS(进销存台账!$N$6:$N$65,进销存台账!$A$6:$A$65,$C560,进销存台账!$B$6:$B$65,$F560))</f>
        <v/>
      </c>
      <c r="W560" s="60" t="n">
        <f aca="false">IF(OR($D560="销售出库",$D560="销售退回"),ROUND(N($J560)*N($V560),2),0)</f>
        <v>0</v>
      </c>
      <c r="X560" s="58" t="str">
        <f aca="false">IF($E560="","",IFERROR(INDEX(往来单位!$D$6:$D$85,MATCH($E560,往来单位!$A$6:$A$85,0)),"否"))</f>
        <v/>
      </c>
      <c r="Y560" s="61" t="str">
        <f aca="false">IF($B560="","",YEAR($B560))</f>
        <v/>
      </c>
      <c r="Z560" s="58" t="str">
        <f aca="false">IF($B560="","",TEXT($B560,"yyyy-mm"))</f>
        <v/>
      </c>
    </row>
    <row r="561" customFormat="false" ht="15" hidden="false" customHeight="false" outlineLevel="0" collapsed="false">
      <c r="A561" s="53" t="str">
        <f aca="false">IF($B561="","",ROW()-5)</f>
        <v/>
      </c>
      <c r="B561" s="54"/>
      <c r="C561" s="33"/>
      <c r="D561" s="33"/>
      <c r="E561" s="32"/>
      <c r="F561" s="39"/>
      <c r="G561" s="48" t="str">
        <f aca="false">IF($F561="","",IFERROR(INDEX(商品档案!$B$6:$B$65,MATCH($F561,商品档案!$A$6:$A$65,0)),""))</f>
        <v/>
      </c>
      <c r="H561" s="48" t="str">
        <f aca="false">IF($F561="","",IFERROR(INDEX(商品档案!$C$6:$C$65,MATCH($F561,商品档案!$A$6:$A$65,0)),""))</f>
        <v/>
      </c>
      <c r="I561" s="55" t="str">
        <f aca="false">IF($F561="","",IFERROR(INDEX(商品档案!$D$6:$D$65,MATCH($F561,商品档案!$A$6:$A$65,0)),""))</f>
        <v/>
      </c>
      <c r="J561" s="49"/>
      <c r="K561" s="56"/>
      <c r="L561" s="33"/>
      <c r="M561" s="39"/>
      <c r="N561" s="41"/>
      <c r="O561" s="41"/>
      <c r="P561" s="25" t="str">
        <f aca="false">IF(AND($B561="",$D561="",$F561=""),"",IF(NOT(ISNUMBER($B561)),"日期无效",IF(ISNA(MATCH($C561,参数设置!$A$10:$A$12,0)),"公司无效",IF(ISNA(MATCH($D561,记账规则!$A$6:$A$9,0)),"业务类型无效",IF(ISNA(MATCH($F561,商品档案!$A$6:$A$65,0)),"商品编码无效",IF(IFERROR(INDEX(商品档案!$E$6:$E$65,MATCH($F561,商品档案!$A$6:$A$65,0)),"")&lt;&gt;$C561,"商品不属于该公司",IF(AND($E561&lt;&gt;"",ISNA(MATCH($E561,往来单位!$A$6:$A$85,0))),"往来单位未建档",IF(N($J561)=0,"数量为 0",IF(N($K561)=0,"单价为 0",IF(AND(LEFT($D561,2)="销售",$U561=""),"该商品没设成本科目",IF(YEAR($B561)&lt;&gt;参数设置!$B$5,"不在本会计年度","OK")))))))))))</f>
        <v/>
      </c>
      <c r="Q561" s="57" t="str">
        <f aca="false">IF($F561="","",ROUND(N($J561)*N($K561),2))</f>
        <v/>
      </c>
      <c r="R561" s="58" t="str">
        <f aca="false">IF($D561="","",IF(LEFT($D561,2)="销售","应收账款","应付账款"))</f>
        <v/>
      </c>
      <c r="S561" s="58" t="str">
        <f aca="false">IF($F561="","",IFERROR(INDEX(商品档案!$G$6:$G$65,MATCH($F561,商品档案!$A$6:$A$65,0)),""))</f>
        <v/>
      </c>
      <c r="T561" s="58" t="str">
        <f aca="false">IF($F561="","",IFERROR(INDEX(商品档案!$H$6:$H$65,MATCH($F561,商品档案!$A$6:$A$65,0)),""))</f>
        <v/>
      </c>
      <c r="U561" s="58" t="str">
        <f aca="false">IF($F561="","",IFERROR(INDEX(商品档案!$I$6:$I$65,MATCH($F561,商品档案!$A$6:$A$65,0)),""))</f>
        <v/>
      </c>
      <c r="V561" s="59" t="str">
        <f aca="false">IF($F561="","",SUMIFS(进销存台账!$N$6:$N$65,进销存台账!$A$6:$A$65,$C561,进销存台账!$B$6:$B$65,$F561))</f>
        <v/>
      </c>
      <c r="W561" s="60" t="n">
        <f aca="false">IF(OR($D561="销售出库",$D561="销售退回"),ROUND(N($J561)*N($V561),2),0)</f>
        <v>0</v>
      </c>
      <c r="X561" s="58" t="str">
        <f aca="false">IF($E561="","",IFERROR(INDEX(往来单位!$D$6:$D$85,MATCH($E561,往来单位!$A$6:$A$85,0)),"否"))</f>
        <v/>
      </c>
      <c r="Y561" s="61" t="str">
        <f aca="false">IF($B561="","",YEAR($B561))</f>
        <v/>
      </c>
      <c r="Z561" s="58" t="str">
        <f aca="false">IF($B561="","",TEXT($B561,"yyyy-mm"))</f>
        <v/>
      </c>
    </row>
    <row r="562" customFormat="false" ht="15" hidden="false" customHeight="false" outlineLevel="0" collapsed="false">
      <c r="A562" s="53" t="str">
        <f aca="false">IF($B562="","",ROW()-5)</f>
        <v/>
      </c>
      <c r="B562" s="54"/>
      <c r="C562" s="33"/>
      <c r="D562" s="33"/>
      <c r="E562" s="32"/>
      <c r="F562" s="39"/>
      <c r="G562" s="48" t="str">
        <f aca="false">IF($F562="","",IFERROR(INDEX(商品档案!$B$6:$B$65,MATCH($F562,商品档案!$A$6:$A$65,0)),""))</f>
        <v/>
      </c>
      <c r="H562" s="48" t="str">
        <f aca="false">IF($F562="","",IFERROR(INDEX(商品档案!$C$6:$C$65,MATCH($F562,商品档案!$A$6:$A$65,0)),""))</f>
        <v/>
      </c>
      <c r="I562" s="55" t="str">
        <f aca="false">IF($F562="","",IFERROR(INDEX(商品档案!$D$6:$D$65,MATCH($F562,商品档案!$A$6:$A$65,0)),""))</f>
        <v/>
      </c>
      <c r="J562" s="49"/>
      <c r="K562" s="56"/>
      <c r="L562" s="33"/>
      <c r="M562" s="39"/>
      <c r="N562" s="41"/>
      <c r="O562" s="41"/>
      <c r="P562" s="25" t="str">
        <f aca="false">IF(AND($B562="",$D562="",$F562=""),"",IF(NOT(ISNUMBER($B562)),"日期无效",IF(ISNA(MATCH($C562,参数设置!$A$10:$A$12,0)),"公司无效",IF(ISNA(MATCH($D562,记账规则!$A$6:$A$9,0)),"业务类型无效",IF(ISNA(MATCH($F562,商品档案!$A$6:$A$65,0)),"商品编码无效",IF(IFERROR(INDEX(商品档案!$E$6:$E$65,MATCH($F562,商品档案!$A$6:$A$65,0)),"")&lt;&gt;$C562,"商品不属于该公司",IF(AND($E562&lt;&gt;"",ISNA(MATCH($E562,往来单位!$A$6:$A$85,0))),"往来单位未建档",IF(N($J562)=0,"数量为 0",IF(N($K562)=0,"单价为 0",IF(AND(LEFT($D562,2)="销售",$U562=""),"该商品没设成本科目",IF(YEAR($B562)&lt;&gt;参数设置!$B$5,"不在本会计年度","OK")))))))))))</f>
        <v/>
      </c>
      <c r="Q562" s="57" t="str">
        <f aca="false">IF($F562="","",ROUND(N($J562)*N($K562),2))</f>
        <v/>
      </c>
      <c r="R562" s="58" t="str">
        <f aca="false">IF($D562="","",IF(LEFT($D562,2)="销售","应收账款","应付账款"))</f>
        <v/>
      </c>
      <c r="S562" s="58" t="str">
        <f aca="false">IF($F562="","",IFERROR(INDEX(商品档案!$G$6:$G$65,MATCH($F562,商品档案!$A$6:$A$65,0)),""))</f>
        <v/>
      </c>
      <c r="T562" s="58" t="str">
        <f aca="false">IF($F562="","",IFERROR(INDEX(商品档案!$H$6:$H$65,MATCH($F562,商品档案!$A$6:$A$65,0)),""))</f>
        <v/>
      </c>
      <c r="U562" s="58" t="str">
        <f aca="false">IF($F562="","",IFERROR(INDEX(商品档案!$I$6:$I$65,MATCH($F562,商品档案!$A$6:$A$65,0)),""))</f>
        <v/>
      </c>
      <c r="V562" s="59" t="str">
        <f aca="false">IF($F562="","",SUMIFS(进销存台账!$N$6:$N$65,进销存台账!$A$6:$A$65,$C562,进销存台账!$B$6:$B$65,$F562))</f>
        <v/>
      </c>
      <c r="W562" s="60" t="n">
        <f aca="false">IF(OR($D562="销售出库",$D562="销售退回"),ROUND(N($J562)*N($V562),2),0)</f>
        <v>0</v>
      </c>
      <c r="X562" s="58" t="str">
        <f aca="false">IF($E562="","",IFERROR(INDEX(往来单位!$D$6:$D$85,MATCH($E562,往来单位!$A$6:$A$85,0)),"否"))</f>
        <v/>
      </c>
      <c r="Y562" s="61" t="str">
        <f aca="false">IF($B562="","",YEAR($B562))</f>
        <v/>
      </c>
      <c r="Z562" s="58" t="str">
        <f aca="false">IF($B562="","",TEXT($B562,"yyyy-mm"))</f>
        <v/>
      </c>
    </row>
    <row r="563" customFormat="false" ht="15" hidden="false" customHeight="false" outlineLevel="0" collapsed="false">
      <c r="A563" s="53" t="str">
        <f aca="false">IF($B563="","",ROW()-5)</f>
        <v/>
      </c>
      <c r="B563" s="54"/>
      <c r="C563" s="33"/>
      <c r="D563" s="33"/>
      <c r="E563" s="32"/>
      <c r="F563" s="39"/>
      <c r="G563" s="48" t="str">
        <f aca="false">IF($F563="","",IFERROR(INDEX(商品档案!$B$6:$B$65,MATCH($F563,商品档案!$A$6:$A$65,0)),""))</f>
        <v/>
      </c>
      <c r="H563" s="48" t="str">
        <f aca="false">IF($F563="","",IFERROR(INDEX(商品档案!$C$6:$C$65,MATCH($F563,商品档案!$A$6:$A$65,0)),""))</f>
        <v/>
      </c>
      <c r="I563" s="55" t="str">
        <f aca="false">IF($F563="","",IFERROR(INDEX(商品档案!$D$6:$D$65,MATCH($F563,商品档案!$A$6:$A$65,0)),""))</f>
        <v/>
      </c>
      <c r="J563" s="49"/>
      <c r="K563" s="56"/>
      <c r="L563" s="33"/>
      <c r="M563" s="39"/>
      <c r="N563" s="41"/>
      <c r="O563" s="41"/>
      <c r="P563" s="25" t="str">
        <f aca="false">IF(AND($B563="",$D563="",$F563=""),"",IF(NOT(ISNUMBER($B563)),"日期无效",IF(ISNA(MATCH($C563,参数设置!$A$10:$A$12,0)),"公司无效",IF(ISNA(MATCH($D563,记账规则!$A$6:$A$9,0)),"业务类型无效",IF(ISNA(MATCH($F563,商品档案!$A$6:$A$65,0)),"商品编码无效",IF(IFERROR(INDEX(商品档案!$E$6:$E$65,MATCH($F563,商品档案!$A$6:$A$65,0)),"")&lt;&gt;$C563,"商品不属于该公司",IF(AND($E563&lt;&gt;"",ISNA(MATCH($E563,往来单位!$A$6:$A$85,0))),"往来单位未建档",IF(N($J563)=0,"数量为 0",IF(N($K563)=0,"单价为 0",IF(AND(LEFT($D563,2)="销售",$U563=""),"该商品没设成本科目",IF(YEAR($B563)&lt;&gt;参数设置!$B$5,"不在本会计年度","OK")))))))))))</f>
        <v/>
      </c>
      <c r="Q563" s="57" t="str">
        <f aca="false">IF($F563="","",ROUND(N($J563)*N($K563),2))</f>
        <v/>
      </c>
      <c r="R563" s="58" t="str">
        <f aca="false">IF($D563="","",IF(LEFT($D563,2)="销售","应收账款","应付账款"))</f>
        <v/>
      </c>
      <c r="S563" s="58" t="str">
        <f aca="false">IF($F563="","",IFERROR(INDEX(商品档案!$G$6:$G$65,MATCH($F563,商品档案!$A$6:$A$65,0)),""))</f>
        <v/>
      </c>
      <c r="T563" s="58" t="str">
        <f aca="false">IF($F563="","",IFERROR(INDEX(商品档案!$H$6:$H$65,MATCH($F563,商品档案!$A$6:$A$65,0)),""))</f>
        <v/>
      </c>
      <c r="U563" s="58" t="str">
        <f aca="false">IF($F563="","",IFERROR(INDEX(商品档案!$I$6:$I$65,MATCH($F563,商品档案!$A$6:$A$65,0)),""))</f>
        <v/>
      </c>
      <c r="V563" s="59" t="str">
        <f aca="false">IF($F563="","",SUMIFS(进销存台账!$N$6:$N$65,进销存台账!$A$6:$A$65,$C563,进销存台账!$B$6:$B$65,$F563))</f>
        <v/>
      </c>
      <c r="W563" s="60" t="n">
        <f aca="false">IF(OR($D563="销售出库",$D563="销售退回"),ROUND(N($J563)*N($V563),2),0)</f>
        <v>0</v>
      </c>
      <c r="X563" s="58" t="str">
        <f aca="false">IF($E563="","",IFERROR(INDEX(往来单位!$D$6:$D$85,MATCH($E563,往来单位!$A$6:$A$85,0)),"否"))</f>
        <v/>
      </c>
      <c r="Y563" s="61" t="str">
        <f aca="false">IF($B563="","",YEAR($B563))</f>
        <v/>
      </c>
      <c r="Z563" s="58" t="str">
        <f aca="false">IF($B563="","",TEXT($B563,"yyyy-mm"))</f>
        <v/>
      </c>
    </row>
    <row r="564" customFormat="false" ht="15" hidden="false" customHeight="false" outlineLevel="0" collapsed="false">
      <c r="A564" s="53" t="str">
        <f aca="false">IF($B564="","",ROW()-5)</f>
        <v/>
      </c>
      <c r="B564" s="54"/>
      <c r="C564" s="33"/>
      <c r="D564" s="33"/>
      <c r="E564" s="32"/>
      <c r="F564" s="39"/>
      <c r="G564" s="48" t="str">
        <f aca="false">IF($F564="","",IFERROR(INDEX(商品档案!$B$6:$B$65,MATCH($F564,商品档案!$A$6:$A$65,0)),""))</f>
        <v/>
      </c>
      <c r="H564" s="48" t="str">
        <f aca="false">IF($F564="","",IFERROR(INDEX(商品档案!$C$6:$C$65,MATCH($F564,商品档案!$A$6:$A$65,0)),""))</f>
        <v/>
      </c>
      <c r="I564" s="55" t="str">
        <f aca="false">IF($F564="","",IFERROR(INDEX(商品档案!$D$6:$D$65,MATCH($F564,商品档案!$A$6:$A$65,0)),""))</f>
        <v/>
      </c>
      <c r="J564" s="49"/>
      <c r="K564" s="56"/>
      <c r="L564" s="33"/>
      <c r="M564" s="39"/>
      <c r="N564" s="41"/>
      <c r="O564" s="41"/>
      <c r="P564" s="25" t="str">
        <f aca="false">IF(AND($B564="",$D564="",$F564=""),"",IF(NOT(ISNUMBER($B564)),"日期无效",IF(ISNA(MATCH($C564,参数设置!$A$10:$A$12,0)),"公司无效",IF(ISNA(MATCH($D564,记账规则!$A$6:$A$9,0)),"业务类型无效",IF(ISNA(MATCH($F564,商品档案!$A$6:$A$65,0)),"商品编码无效",IF(IFERROR(INDEX(商品档案!$E$6:$E$65,MATCH($F564,商品档案!$A$6:$A$65,0)),"")&lt;&gt;$C564,"商品不属于该公司",IF(AND($E564&lt;&gt;"",ISNA(MATCH($E564,往来单位!$A$6:$A$85,0))),"往来单位未建档",IF(N($J564)=0,"数量为 0",IF(N($K564)=0,"单价为 0",IF(AND(LEFT($D564,2)="销售",$U564=""),"该商品没设成本科目",IF(YEAR($B564)&lt;&gt;参数设置!$B$5,"不在本会计年度","OK")))))))))))</f>
        <v/>
      </c>
      <c r="Q564" s="57" t="str">
        <f aca="false">IF($F564="","",ROUND(N($J564)*N($K564),2))</f>
        <v/>
      </c>
      <c r="R564" s="58" t="str">
        <f aca="false">IF($D564="","",IF(LEFT($D564,2)="销售","应收账款","应付账款"))</f>
        <v/>
      </c>
      <c r="S564" s="58" t="str">
        <f aca="false">IF($F564="","",IFERROR(INDEX(商品档案!$G$6:$G$65,MATCH($F564,商品档案!$A$6:$A$65,0)),""))</f>
        <v/>
      </c>
      <c r="T564" s="58" t="str">
        <f aca="false">IF($F564="","",IFERROR(INDEX(商品档案!$H$6:$H$65,MATCH($F564,商品档案!$A$6:$A$65,0)),""))</f>
        <v/>
      </c>
      <c r="U564" s="58" t="str">
        <f aca="false">IF($F564="","",IFERROR(INDEX(商品档案!$I$6:$I$65,MATCH($F564,商品档案!$A$6:$A$65,0)),""))</f>
        <v/>
      </c>
      <c r="V564" s="59" t="str">
        <f aca="false">IF($F564="","",SUMIFS(进销存台账!$N$6:$N$65,进销存台账!$A$6:$A$65,$C564,进销存台账!$B$6:$B$65,$F564))</f>
        <v/>
      </c>
      <c r="W564" s="60" t="n">
        <f aca="false">IF(OR($D564="销售出库",$D564="销售退回"),ROUND(N($J564)*N($V564),2),0)</f>
        <v>0</v>
      </c>
      <c r="X564" s="58" t="str">
        <f aca="false">IF($E564="","",IFERROR(INDEX(往来单位!$D$6:$D$85,MATCH($E564,往来单位!$A$6:$A$85,0)),"否"))</f>
        <v/>
      </c>
      <c r="Y564" s="61" t="str">
        <f aca="false">IF($B564="","",YEAR($B564))</f>
        <v/>
      </c>
      <c r="Z564" s="58" t="str">
        <f aca="false">IF($B564="","",TEXT($B564,"yyyy-mm"))</f>
        <v/>
      </c>
    </row>
    <row r="565" customFormat="false" ht="15" hidden="false" customHeight="false" outlineLevel="0" collapsed="false">
      <c r="A565" s="53" t="str">
        <f aca="false">IF($B565="","",ROW()-5)</f>
        <v/>
      </c>
      <c r="B565" s="54"/>
      <c r="C565" s="33"/>
      <c r="D565" s="33"/>
      <c r="E565" s="32"/>
      <c r="F565" s="39"/>
      <c r="G565" s="48" t="str">
        <f aca="false">IF($F565="","",IFERROR(INDEX(商品档案!$B$6:$B$65,MATCH($F565,商品档案!$A$6:$A$65,0)),""))</f>
        <v/>
      </c>
      <c r="H565" s="48" t="str">
        <f aca="false">IF($F565="","",IFERROR(INDEX(商品档案!$C$6:$C$65,MATCH($F565,商品档案!$A$6:$A$65,0)),""))</f>
        <v/>
      </c>
      <c r="I565" s="55" t="str">
        <f aca="false">IF($F565="","",IFERROR(INDEX(商品档案!$D$6:$D$65,MATCH($F565,商品档案!$A$6:$A$65,0)),""))</f>
        <v/>
      </c>
      <c r="J565" s="49"/>
      <c r="K565" s="56"/>
      <c r="L565" s="33"/>
      <c r="M565" s="39"/>
      <c r="N565" s="41"/>
      <c r="O565" s="41"/>
      <c r="P565" s="25" t="str">
        <f aca="false">IF(AND($B565="",$D565="",$F565=""),"",IF(NOT(ISNUMBER($B565)),"日期无效",IF(ISNA(MATCH($C565,参数设置!$A$10:$A$12,0)),"公司无效",IF(ISNA(MATCH($D565,记账规则!$A$6:$A$9,0)),"业务类型无效",IF(ISNA(MATCH($F565,商品档案!$A$6:$A$65,0)),"商品编码无效",IF(IFERROR(INDEX(商品档案!$E$6:$E$65,MATCH($F565,商品档案!$A$6:$A$65,0)),"")&lt;&gt;$C565,"商品不属于该公司",IF(AND($E565&lt;&gt;"",ISNA(MATCH($E565,往来单位!$A$6:$A$85,0))),"往来单位未建档",IF(N($J565)=0,"数量为 0",IF(N($K565)=0,"单价为 0",IF(AND(LEFT($D565,2)="销售",$U565=""),"该商品没设成本科目",IF(YEAR($B565)&lt;&gt;参数设置!$B$5,"不在本会计年度","OK")))))))))))</f>
        <v/>
      </c>
      <c r="Q565" s="57" t="str">
        <f aca="false">IF($F565="","",ROUND(N($J565)*N($K565),2))</f>
        <v/>
      </c>
      <c r="R565" s="58" t="str">
        <f aca="false">IF($D565="","",IF(LEFT($D565,2)="销售","应收账款","应付账款"))</f>
        <v/>
      </c>
      <c r="S565" s="58" t="str">
        <f aca="false">IF($F565="","",IFERROR(INDEX(商品档案!$G$6:$G$65,MATCH($F565,商品档案!$A$6:$A$65,0)),""))</f>
        <v/>
      </c>
      <c r="T565" s="58" t="str">
        <f aca="false">IF($F565="","",IFERROR(INDEX(商品档案!$H$6:$H$65,MATCH($F565,商品档案!$A$6:$A$65,0)),""))</f>
        <v/>
      </c>
      <c r="U565" s="58" t="str">
        <f aca="false">IF($F565="","",IFERROR(INDEX(商品档案!$I$6:$I$65,MATCH($F565,商品档案!$A$6:$A$65,0)),""))</f>
        <v/>
      </c>
      <c r="V565" s="59" t="str">
        <f aca="false">IF($F565="","",SUMIFS(进销存台账!$N$6:$N$65,进销存台账!$A$6:$A$65,$C565,进销存台账!$B$6:$B$65,$F565))</f>
        <v/>
      </c>
      <c r="W565" s="60" t="n">
        <f aca="false">IF(OR($D565="销售出库",$D565="销售退回"),ROUND(N($J565)*N($V565),2),0)</f>
        <v>0</v>
      </c>
      <c r="X565" s="58" t="str">
        <f aca="false">IF($E565="","",IFERROR(INDEX(往来单位!$D$6:$D$85,MATCH($E565,往来单位!$A$6:$A$85,0)),"否"))</f>
        <v/>
      </c>
      <c r="Y565" s="61" t="str">
        <f aca="false">IF($B565="","",YEAR($B565))</f>
        <v/>
      </c>
      <c r="Z565" s="58" t="str">
        <f aca="false">IF($B565="","",TEXT($B565,"yyyy-mm"))</f>
        <v/>
      </c>
    </row>
    <row r="566" customFormat="false" ht="15" hidden="false" customHeight="false" outlineLevel="0" collapsed="false">
      <c r="A566" s="53" t="str">
        <f aca="false">IF($B566="","",ROW()-5)</f>
        <v/>
      </c>
      <c r="B566" s="54"/>
      <c r="C566" s="33"/>
      <c r="D566" s="33"/>
      <c r="E566" s="32"/>
      <c r="F566" s="39"/>
      <c r="G566" s="48" t="str">
        <f aca="false">IF($F566="","",IFERROR(INDEX(商品档案!$B$6:$B$65,MATCH($F566,商品档案!$A$6:$A$65,0)),""))</f>
        <v/>
      </c>
      <c r="H566" s="48" t="str">
        <f aca="false">IF($F566="","",IFERROR(INDEX(商品档案!$C$6:$C$65,MATCH($F566,商品档案!$A$6:$A$65,0)),""))</f>
        <v/>
      </c>
      <c r="I566" s="55" t="str">
        <f aca="false">IF($F566="","",IFERROR(INDEX(商品档案!$D$6:$D$65,MATCH($F566,商品档案!$A$6:$A$65,0)),""))</f>
        <v/>
      </c>
      <c r="J566" s="49"/>
      <c r="K566" s="56"/>
      <c r="L566" s="33"/>
      <c r="M566" s="39"/>
      <c r="N566" s="41"/>
      <c r="O566" s="41"/>
      <c r="P566" s="25" t="str">
        <f aca="false">IF(AND($B566="",$D566="",$F566=""),"",IF(NOT(ISNUMBER($B566)),"日期无效",IF(ISNA(MATCH($C566,参数设置!$A$10:$A$12,0)),"公司无效",IF(ISNA(MATCH($D566,记账规则!$A$6:$A$9,0)),"业务类型无效",IF(ISNA(MATCH($F566,商品档案!$A$6:$A$65,0)),"商品编码无效",IF(IFERROR(INDEX(商品档案!$E$6:$E$65,MATCH($F566,商品档案!$A$6:$A$65,0)),"")&lt;&gt;$C566,"商品不属于该公司",IF(AND($E566&lt;&gt;"",ISNA(MATCH($E566,往来单位!$A$6:$A$85,0))),"往来单位未建档",IF(N($J566)=0,"数量为 0",IF(N($K566)=0,"单价为 0",IF(AND(LEFT($D566,2)="销售",$U566=""),"该商品没设成本科目",IF(YEAR($B566)&lt;&gt;参数设置!$B$5,"不在本会计年度","OK")))))))))))</f>
        <v/>
      </c>
      <c r="Q566" s="57" t="str">
        <f aca="false">IF($F566="","",ROUND(N($J566)*N($K566),2))</f>
        <v/>
      </c>
      <c r="R566" s="58" t="str">
        <f aca="false">IF($D566="","",IF(LEFT($D566,2)="销售","应收账款","应付账款"))</f>
        <v/>
      </c>
      <c r="S566" s="58" t="str">
        <f aca="false">IF($F566="","",IFERROR(INDEX(商品档案!$G$6:$G$65,MATCH($F566,商品档案!$A$6:$A$65,0)),""))</f>
        <v/>
      </c>
      <c r="T566" s="58" t="str">
        <f aca="false">IF($F566="","",IFERROR(INDEX(商品档案!$H$6:$H$65,MATCH($F566,商品档案!$A$6:$A$65,0)),""))</f>
        <v/>
      </c>
      <c r="U566" s="58" t="str">
        <f aca="false">IF($F566="","",IFERROR(INDEX(商品档案!$I$6:$I$65,MATCH($F566,商品档案!$A$6:$A$65,0)),""))</f>
        <v/>
      </c>
      <c r="V566" s="59" t="str">
        <f aca="false">IF($F566="","",SUMIFS(进销存台账!$N$6:$N$65,进销存台账!$A$6:$A$65,$C566,进销存台账!$B$6:$B$65,$F566))</f>
        <v/>
      </c>
      <c r="W566" s="60" t="n">
        <f aca="false">IF(OR($D566="销售出库",$D566="销售退回"),ROUND(N($J566)*N($V566),2),0)</f>
        <v>0</v>
      </c>
      <c r="X566" s="58" t="str">
        <f aca="false">IF($E566="","",IFERROR(INDEX(往来单位!$D$6:$D$85,MATCH($E566,往来单位!$A$6:$A$85,0)),"否"))</f>
        <v/>
      </c>
      <c r="Y566" s="61" t="str">
        <f aca="false">IF($B566="","",YEAR($B566))</f>
        <v/>
      </c>
      <c r="Z566" s="58" t="str">
        <f aca="false">IF($B566="","",TEXT($B566,"yyyy-mm"))</f>
        <v/>
      </c>
    </row>
    <row r="567" customFormat="false" ht="15" hidden="false" customHeight="false" outlineLevel="0" collapsed="false">
      <c r="A567" s="53" t="str">
        <f aca="false">IF($B567="","",ROW()-5)</f>
        <v/>
      </c>
      <c r="B567" s="54"/>
      <c r="C567" s="33"/>
      <c r="D567" s="33"/>
      <c r="E567" s="32"/>
      <c r="F567" s="39"/>
      <c r="G567" s="48" t="str">
        <f aca="false">IF($F567="","",IFERROR(INDEX(商品档案!$B$6:$B$65,MATCH($F567,商品档案!$A$6:$A$65,0)),""))</f>
        <v/>
      </c>
      <c r="H567" s="48" t="str">
        <f aca="false">IF($F567="","",IFERROR(INDEX(商品档案!$C$6:$C$65,MATCH($F567,商品档案!$A$6:$A$65,0)),""))</f>
        <v/>
      </c>
      <c r="I567" s="55" t="str">
        <f aca="false">IF($F567="","",IFERROR(INDEX(商品档案!$D$6:$D$65,MATCH($F567,商品档案!$A$6:$A$65,0)),""))</f>
        <v/>
      </c>
      <c r="J567" s="49"/>
      <c r="K567" s="56"/>
      <c r="L567" s="33"/>
      <c r="M567" s="39"/>
      <c r="N567" s="41"/>
      <c r="O567" s="41"/>
      <c r="P567" s="25" t="str">
        <f aca="false">IF(AND($B567="",$D567="",$F567=""),"",IF(NOT(ISNUMBER($B567)),"日期无效",IF(ISNA(MATCH($C567,参数设置!$A$10:$A$12,0)),"公司无效",IF(ISNA(MATCH($D567,记账规则!$A$6:$A$9,0)),"业务类型无效",IF(ISNA(MATCH($F567,商品档案!$A$6:$A$65,0)),"商品编码无效",IF(IFERROR(INDEX(商品档案!$E$6:$E$65,MATCH($F567,商品档案!$A$6:$A$65,0)),"")&lt;&gt;$C567,"商品不属于该公司",IF(AND($E567&lt;&gt;"",ISNA(MATCH($E567,往来单位!$A$6:$A$85,0))),"往来单位未建档",IF(N($J567)=0,"数量为 0",IF(N($K567)=0,"单价为 0",IF(AND(LEFT($D567,2)="销售",$U567=""),"该商品没设成本科目",IF(YEAR($B567)&lt;&gt;参数设置!$B$5,"不在本会计年度","OK")))))))))))</f>
        <v/>
      </c>
      <c r="Q567" s="57" t="str">
        <f aca="false">IF($F567="","",ROUND(N($J567)*N($K567),2))</f>
        <v/>
      </c>
      <c r="R567" s="58" t="str">
        <f aca="false">IF($D567="","",IF(LEFT($D567,2)="销售","应收账款","应付账款"))</f>
        <v/>
      </c>
      <c r="S567" s="58" t="str">
        <f aca="false">IF($F567="","",IFERROR(INDEX(商品档案!$G$6:$G$65,MATCH($F567,商品档案!$A$6:$A$65,0)),""))</f>
        <v/>
      </c>
      <c r="T567" s="58" t="str">
        <f aca="false">IF($F567="","",IFERROR(INDEX(商品档案!$H$6:$H$65,MATCH($F567,商品档案!$A$6:$A$65,0)),""))</f>
        <v/>
      </c>
      <c r="U567" s="58" t="str">
        <f aca="false">IF($F567="","",IFERROR(INDEX(商品档案!$I$6:$I$65,MATCH($F567,商品档案!$A$6:$A$65,0)),""))</f>
        <v/>
      </c>
      <c r="V567" s="59" t="str">
        <f aca="false">IF($F567="","",SUMIFS(进销存台账!$N$6:$N$65,进销存台账!$A$6:$A$65,$C567,进销存台账!$B$6:$B$65,$F567))</f>
        <v/>
      </c>
      <c r="W567" s="60" t="n">
        <f aca="false">IF(OR($D567="销售出库",$D567="销售退回"),ROUND(N($J567)*N($V567),2),0)</f>
        <v>0</v>
      </c>
      <c r="X567" s="58" t="str">
        <f aca="false">IF($E567="","",IFERROR(INDEX(往来单位!$D$6:$D$85,MATCH($E567,往来单位!$A$6:$A$85,0)),"否"))</f>
        <v/>
      </c>
      <c r="Y567" s="61" t="str">
        <f aca="false">IF($B567="","",YEAR($B567))</f>
        <v/>
      </c>
      <c r="Z567" s="58" t="str">
        <f aca="false">IF($B567="","",TEXT($B567,"yyyy-mm"))</f>
        <v/>
      </c>
    </row>
    <row r="568" customFormat="false" ht="15" hidden="false" customHeight="false" outlineLevel="0" collapsed="false">
      <c r="A568" s="53" t="str">
        <f aca="false">IF($B568="","",ROW()-5)</f>
        <v/>
      </c>
      <c r="B568" s="54"/>
      <c r="C568" s="33"/>
      <c r="D568" s="33"/>
      <c r="E568" s="32"/>
      <c r="F568" s="39"/>
      <c r="G568" s="48" t="str">
        <f aca="false">IF($F568="","",IFERROR(INDEX(商品档案!$B$6:$B$65,MATCH($F568,商品档案!$A$6:$A$65,0)),""))</f>
        <v/>
      </c>
      <c r="H568" s="48" t="str">
        <f aca="false">IF($F568="","",IFERROR(INDEX(商品档案!$C$6:$C$65,MATCH($F568,商品档案!$A$6:$A$65,0)),""))</f>
        <v/>
      </c>
      <c r="I568" s="55" t="str">
        <f aca="false">IF($F568="","",IFERROR(INDEX(商品档案!$D$6:$D$65,MATCH($F568,商品档案!$A$6:$A$65,0)),""))</f>
        <v/>
      </c>
      <c r="J568" s="49"/>
      <c r="K568" s="56"/>
      <c r="L568" s="33"/>
      <c r="M568" s="39"/>
      <c r="N568" s="41"/>
      <c r="O568" s="41"/>
      <c r="P568" s="25" t="str">
        <f aca="false">IF(AND($B568="",$D568="",$F568=""),"",IF(NOT(ISNUMBER($B568)),"日期无效",IF(ISNA(MATCH($C568,参数设置!$A$10:$A$12,0)),"公司无效",IF(ISNA(MATCH($D568,记账规则!$A$6:$A$9,0)),"业务类型无效",IF(ISNA(MATCH($F568,商品档案!$A$6:$A$65,0)),"商品编码无效",IF(IFERROR(INDEX(商品档案!$E$6:$E$65,MATCH($F568,商品档案!$A$6:$A$65,0)),"")&lt;&gt;$C568,"商品不属于该公司",IF(AND($E568&lt;&gt;"",ISNA(MATCH($E568,往来单位!$A$6:$A$85,0))),"往来单位未建档",IF(N($J568)=0,"数量为 0",IF(N($K568)=0,"单价为 0",IF(AND(LEFT($D568,2)="销售",$U568=""),"该商品没设成本科目",IF(YEAR($B568)&lt;&gt;参数设置!$B$5,"不在本会计年度","OK")))))))))))</f>
        <v/>
      </c>
      <c r="Q568" s="57" t="str">
        <f aca="false">IF($F568="","",ROUND(N($J568)*N($K568),2))</f>
        <v/>
      </c>
      <c r="R568" s="58" t="str">
        <f aca="false">IF($D568="","",IF(LEFT($D568,2)="销售","应收账款","应付账款"))</f>
        <v/>
      </c>
      <c r="S568" s="58" t="str">
        <f aca="false">IF($F568="","",IFERROR(INDEX(商品档案!$G$6:$G$65,MATCH($F568,商品档案!$A$6:$A$65,0)),""))</f>
        <v/>
      </c>
      <c r="T568" s="58" t="str">
        <f aca="false">IF($F568="","",IFERROR(INDEX(商品档案!$H$6:$H$65,MATCH($F568,商品档案!$A$6:$A$65,0)),""))</f>
        <v/>
      </c>
      <c r="U568" s="58" t="str">
        <f aca="false">IF($F568="","",IFERROR(INDEX(商品档案!$I$6:$I$65,MATCH($F568,商品档案!$A$6:$A$65,0)),""))</f>
        <v/>
      </c>
      <c r="V568" s="59" t="str">
        <f aca="false">IF($F568="","",SUMIFS(进销存台账!$N$6:$N$65,进销存台账!$A$6:$A$65,$C568,进销存台账!$B$6:$B$65,$F568))</f>
        <v/>
      </c>
      <c r="W568" s="60" t="n">
        <f aca="false">IF(OR($D568="销售出库",$D568="销售退回"),ROUND(N($J568)*N($V568),2),0)</f>
        <v>0</v>
      </c>
      <c r="X568" s="58" t="str">
        <f aca="false">IF($E568="","",IFERROR(INDEX(往来单位!$D$6:$D$85,MATCH($E568,往来单位!$A$6:$A$85,0)),"否"))</f>
        <v/>
      </c>
      <c r="Y568" s="61" t="str">
        <f aca="false">IF($B568="","",YEAR($B568))</f>
        <v/>
      </c>
      <c r="Z568" s="58" t="str">
        <f aca="false">IF($B568="","",TEXT($B568,"yyyy-mm"))</f>
        <v/>
      </c>
    </row>
    <row r="569" customFormat="false" ht="15" hidden="false" customHeight="false" outlineLevel="0" collapsed="false">
      <c r="A569" s="53" t="str">
        <f aca="false">IF($B569="","",ROW()-5)</f>
        <v/>
      </c>
      <c r="B569" s="54"/>
      <c r="C569" s="33"/>
      <c r="D569" s="33"/>
      <c r="E569" s="32"/>
      <c r="F569" s="39"/>
      <c r="G569" s="48" t="str">
        <f aca="false">IF($F569="","",IFERROR(INDEX(商品档案!$B$6:$B$65,MATCH($F569,商品档案!$A$6:$A$65,0)),""))</f>
        <v/>
      </c>
      <c r="H569" s="48" t="str">
        <f aca="false">IF($F569="","",IFERROR(INDEX(商品档案!$C$6:$C$65,MATCH($F569,商品档案!$A$6:$A$65,0)),""))</f>
        <v/>
      </c>
      <c r="I569" s="55" t="str">
        <f aca="false">IF($F569="","",IFERROR(INDEX(商品档案!$D$6:$D$65,MATCH($F569,商品档案!$A$6:$A$65,0)),""))</f>
        <v/>
      </c>
      <c r="J569" s="49"/>
      <c r="K569" s="56"/>
      <c r="L569" s="33"/>
      <c r="M569" s="39"/>
      <c r="N569" s="41"/>
      <c r="O569" s="41"/>
      <c r="P569" s="25" t="str">
        <f aca="false">IF(AND($B569="",$D569="",$F569=""),"",IF(NOT(ISNUMBER($B569)),"日期无效",IF(ISNA(MATCH($C569,参数设置!$A$10:$A$12,0)),"公司无效",IF(ISNA(MATCH($D569,记账规则!$A$6:$A$9,0)),"业务类型无效",IF(ISNA(MATCH($F569,商品档案!$A$6:$A$65,0)),"商品编码无效",IF(IFERROR(INDEX(商品档案!$E$6:$E$65,MATCH($F569,商品档案!$A$6:$A$65,0)),"")&lt;&gt;$C569,"商品不属于该公司",IF(AND($E569&lt;&gt;"",ISNA(MATCH($E569,往来单位!$A$6:$A$85,0))),"往来单位未建档",IF(N($J569)=0,"数量为 0",IF(N($K569)=0,"单价为 0",IF(AND(LEFT($D569,2)="销售",$U569=""),"该商品没设成本科目",IF(YEAR($B569)&lt;&gt;参数设置!$B$5,"不在本会计年度","OK")))))))))))</f>
        <v/>
      </c>
      <c r="Q569" s="57" t="str">
        <f aca="false">IF($F569="","",ROUND(N($J569)*N($K569),2))</f>
        <v/>
      </c>
      <c r="R569" s="58" t="str">
        <f aca="false">IF($D569="","",IF(LEFT($D569,2)="销售","应收账款","应付账款"))</f>
        <v/>
      </c>
      <c r="S569" s="58" t="str">
        <f aca="false">IF($F569="","",IFERROR(INDEX(商品档案!$G$6:$G$65,MATCH($F569,商品档案!$A$6:$A$65,0)),""))</f>
        <v/>
      </c>
      <c r="T569" s="58" t="str">
        <f aca="false">IF($F569="","",IFERROR(INDEX(商品档案!$H$6:$H$65,MATCH($F569,商品档案!$A$6:$A$65,0)),""))</f>
        <v/>
      </c>
      <c r="U569" s="58" t="str">
        <f aca="false">IF($F569="","",IFERROR(INDEX(商品档案!$I$6:$I$65,MATCH($F569,商品档案!$A$6:$A$65,0)),""))</f>
        <v/>
      </c>
      <c r="V569" s="59" t="str">
        <f aca="false">IF($F569="","",SUMIFS(进销存台账!$N$6:$N$65,进销存台账!$A$6:$A$65,$C569,进销存台账!$B$6:$B$65,$F569))</f>
        <v/>
      </c>
      <c r="W569" s="60" t="n">
        <f aca="false">IF(OR($D569="销售出库",$D569="销售退回"),ROUND(N($J569)*N($V569),2),0)</f>
        <v>0</v>
      </c>
      <c r="X569" s="58" t="str">
        <f aca="false">IF($E569="","",IFERROR(INDEX(往来单位!$D$6:$D$85,MATCH($E569,往来单位!$A$6:$A$85,0)),"否"))</f>
        <v/>
      </c>
      <c r="Y569" s="61" t="str">
        <f aca="false">IF($B569="","",YEAR($B569))</f>
        <v/>
      </c>
      <c r="Z569" s="58" t="str">
        <f aca="false">IF($B569="","",TEXT($B569,"yyyy-mm"))</f>
        <v/>
      </c>
    </row>
    <row r="570" customFormat="false" ht="15" hidden="false" customHeight="false" outlineLevel="0" collapsed="false">
      <c r="A570" s="53" t="str">
        <f aca="false">IF($B570="","",ROW()-5)</f>
        <v/>
      </c>
      <c r="B570" s="54"/>
      <c r="C570" s="33"/>
      <c r="D570" s="33"/>
      <c r="E570" s="32"/>
      <c r="F570" s="39"/>
      <c r="G570" s="48" t="str">
        <f aca="false">IF($F570="","",IFERROR(INDEX(商品档案!$B$6:$B$65,MATCH($F570,商品档案!$A$6:$A$65,0)),""))</f>
        <v/>
      </c>
      <c r="H570" s="48" t="str">
        <f aca="false">IF($F570="","",IFERROR(INDEX(商品档案!$C$6:$C$65,MATCH($F570,商品档案!$A$6:$A$65,0)),""))</f>
        <v/>
      </c>
      <c r="I570" s="55" t="str">
        <f aca="false">IF($F570="","",IFERROR(INDEX(商品档案!$D$6:$D$65,MATCH($F570,商品档案!$A$6:$A$65,0)),""))</f>
        <v/>
      </c>
      <c r="J570" s="49"/>
      <c r="K570" s="56"/>
      <c r="L570" s="33"/>
      <c r="M570" s="39"/>
      <c r="N570" s="41"/>
      <c r="O570" s="41"/>
      <c r="P570" s="25" t="str">
        <f aca="false">IF(AND($B570="",$D570="",$F570=""),"",IF(NOT(ISNUMBER($B570)),"日期无效",IF(ISNA(MATCH($C570,参数设置!$A$10:$A$12,0)),"公司无效",IF(ISNA(MATCH($D570,记账规则!$A$6:$A$9,0)),"业务类型无效",IF(ISNA(MATCH($F570,商品档案!$A$6:$A$65,0)),"商品编码无效",IF(IFERROR(INDEX(商品档案!$E$6:$E$65,MATCH($F570,商品档案!$A$6:$A$65,0)),"")&lt;&gt;$C570,"商品不属于该公司",IF(AND($E570&lt;&gt;"",ISNA(MATCH($E570,往来单位!$A$6:$A$85,0))),"往来单位未建档",IF(N($J570)=0,"数量为 0",IF(N($K570)=0,"单价为 0",IF(AND(LEFT($D570,2)="销售",$U570=""),"该商品没设成本科目",IF(YEAR($B570)&lt;&gt;参数设置!$B$5,"不在本会计年度","OK")))))))))))</f>
        <v/>
      </c>
      <c r="Q570" s="57" t="str">
        <f aca="false">IF($F570="","",ROUND(N($J570)*N($K570),2))</f>
        <v/>
      </c>
      <c r="R570" s="58" t="str">
        <f aca="false">IF($D570="","",IF(LEFT($D570,2)="销售","应收账款","应付账款"))</f>
        <v/>
      </c>
      <c r="S570" s="58" t="str">
        <f aca="false">IF($F570="","",IFERROR(INDEX(商品档案!$G$6:$G$65,MATCH($F570,商品档案!$A$6:$A$65,0)),""))</f>
        <v/>
      </c>
      <c r="T570" s="58" t="str">
        <f aca="false">IF($F570="","",IFERROR(INDEX(商品档案!$H$6:$H$65,MATCH($F570,商品档案!$A$6:$A$65,0)),""))</f>
        <v/>
      </c>
      <c r="U570" s="58" t="str">
        <f aca="false">IF($F570="","",IFERROR(INDEX(商品档案!$I$6:$I$65,MATCH($F570,商品档案!$A$6:$A$65,0)),""))</f>
        <v/>
      </c>
      <c r="V570" s="59" t="str">
        <f aca="false">IF($F570="","",SUMIFS(进销存台账!$N$6:$N$65,进销存台账!$A$6:$A$65,$C570,进销存台账!$B$6:$B$65,$F570))</f>
        <v/>
      </c>
      <c r="W570" s="60" t="n">
        <f aca="false">IF(OR($D570="销售出库",$D570="销售退回"),ROUND(N($J570)*N($V570),2),0)</f>
        <v>0</v>
      </c>
      <c r="X570" s="58" t="str">
        <f aca="false">IF($E570="","",IFERROR(INDEX(往来单位!$D$6:$D$85,MATCH($E570,往来单位!$A$6:$A$85,0)),"否"))</f>
        <v/>
      </c>
      <c r="Y570" s="61" t="str">
        <f aca="false">IF($B570="","",YEAR($B570))</f>
        <v/>
      </c>
      <c r="Z570" s="58" t="str">
        <f aca="false">IF($B570="","",TEXT($B570,"yyyy-mm"))</f>
        <v/>
      </c>
    </row>
    <row r="571" customFormat="false" ht="15" hidden="false" customHeight="false" outlineLevel="0" collapsed="false">
      <c r="A571" s="53" t="str">
        <f aca="false">IF($B571="","",ROW()-5)</f>
        <v/>
      </c>
      <c r="B571" s="54"/>
      <c r="C571" s="33"/>
      <c r="D571" s="33"/>
      <c r="E571" s="32"/>
      <c r="F571" s="39"/>
      <c r="G571" s="48" t="str">
        <f aca="false">IF($F571="","",IFERROR(INDEX(商品档案!$B$6:$B$65,MATCH($F571,商品档案!$A$6:$A$65,0)),""))</f>
        <v/>
      </c>
      <c r="H571" s="48" t="str">
        <f aca="false">IF($F571="","",IFERROR(INDEX(商品档案!$C$6:$C$65,MATCH($F571,商品档案!$A$6:$A$65,0)),""))</f>
        <v/>
      </c>
      <c r="I571" s="55" t="str">
        <f aca="false">IF($F571="","",IFERROR(INDEX(商品档案!$D$6:$D$65,MATCH($F571,商品档案!$A$6:$A$65,0)),""))</f>
        <v/>
      </c>
      <c r="J571" s="49"/>
      <c r="K571" s="56"/>
      <c r="L571" s="33"/>
      <c r="M571" s="39"/>
      <c r="N571" s="41"/>
      <c r="O571" s="41"/>
      <c r="P571" s="25" t="str">
        <f aca="false">IF(AND($B571="",$D571="",$F571=""),"",IF(NOT(ISNUMBER($B571)),"日期无效",IF(ISNA(MATCH($C571,参数设置!$A$10:$A$12,0)),"公司无效",IF(ISNA(MATCH($D571,记账规则!$A$6:$A$9,0)),"业务类型无效",IF(ISNA(MATCH($F571,商品档案!$A$6:$A$65,0)),"商品编码无效",IF(IFERROR(INDEX(商品档案!$E$6:$E$65,MATCH($F571,商品档案!$A$6:$A$65,0)),"")&lt;&gt;$C571,"商品不属于该公司",IF(AND($E571&lt;&gt;"",ISNA(MATCH($E571,往来单位!$A$6:$A$85,0))),"往来单位未建档",IF(N($J571)=0,"数量为 0",IF(N($K571)=0,"单价为 0",IF(AND(LEFT($D571,2)="销售",$U571=""),"该商品没设成本科目",IF(YEAR($B571)&lt;&gt;参数设置!$B$5,"不在本会计年度","OK")))))))))))</f>
        <v/>
      </c>
      <c r="Q571" s="57" t="str">
        <f aca="false">IF($F571="","",ROUND(N($J571)*N($K571),2))</f>
        <v/>
      </c>
      <c r="R571" s="58" t="str">
        <f aca="false">IF($D571="","",IF(LEFT($D571,2)="销售","应收账款","应付账款"))</f>
        <v/>
      </c>
      <c r="S571" s="58" t="str">
        <f aca="false">IF($F571="","",IFERROR(INDEX(商品档案!$G$6:$G$65,MATCH($F571,商品档案!$A$6:$A$65,0)),""))</f>
        <v/>
      </c>
      <c r="T571" s="58" t="str">
        <f aca="false">IF($F571="","",IFERROR(INDEX(商品档案!$H$6:$H$65,MATCH($F571,商品档案!$A$6:$A$65,0)),""))</f>
        <v/>
      </c>
      <c r="U571" s="58" t="str">
        <f aca="false">IF($F571="","",IFERROR(INDEX(商品档案!$I$6:$I$65,MATCH($F571,商品档案!$A$6:$A$65,0)),""))</f>
        <v/>
      </c>
      <c r="V571" s="59" t="str">
        <f aca="false">IF($F571="","",SUMIFS(进销存台账!$N$6:$N$65,进销存台账!$A$6:$A$65,$C571,进销存台账!$B$6:$B$65,$F571))</f>
        <v/>
      </c>
      <c r="W571" s="60" t="n">
        <f aca="false">IF(OR($D571="销售出库",$D571="销售退回"),ROUND(N($J571)*N($V571),2),0)</f>
        <v>0</v>
      </c>
      <c r="X571" s="58" t="str">
        <f aca="false">IF($E571="","",IFERROR(INDEX(往来单位!$D$6:$D$85,MATCH($E571,往来单位!$A$6:$A$85,0)),"否"))</f>
        <v/>
      </c>
      <c r="Y571" s="61" t="str">
        <f aca="false">IF($B571="","",YEAR($B571))</f>
        <v/>
      </c>
      <c r="Z571" s="58" t="str">
        <f aca="false">IF($B571="","",TEXT($B571,"yyyy-mm"))</f>
        <v/>
      </c>
    </row>
    <row r="572" customFormat="false" ht="15" hidden="false" customHeight="false" outlineLevel="0" collapsed="false">
      <c r="A572" s="53" t="str">
        <f aca="false">IF($B572="","",ROW()-5)</f>
        <v/>
      </c>
      <c r="B572" s="54"/>
      <c r="C572" s="33"/>
      <c r="D572" s="33"/>
      <c r="E572" s="32"/>
      <c r="F572" s="39"/>
      <c r="G572" s="48" t="str">
        <f aca="false">IF($F572="","",IFERROR(INDEX(商品档案!$B$6:$B$65,MATCH($F572,商品档案!$A$6:$A$65,0)),""))</f>
        <v/>
      </c>
      <c r="H572" s="48" t="str">
        <f aca="false">IF($F572="","",IFERROR(INDEX(商品档案!$C$6:$C$65,MATCH($F572,商品档案!$A$6:$A$65,0)),""))</f>
        <v/>
      </c>
      <c r="I572" s="55" t="str">
        <f aca="false">IF($F572="","",IFERROR(INDEX(商品档案!$D$6:$D$65,MATCH($F572,商品档案!$A$6:$A$65,0)),""))</f>
        <v/>
      </c>
      <c r="J572" s="49"/>
      <c r="K572" s="56"/>
      <c r="L572" s="33"/>
      <c r="M572" s="39"/>
      <c r="N572" s="41"/>
      <c r="O572" s="41"/>
      <c r="P572" s="25" t="str">
        <f aca="false">IF(AND($B572="",$D572="",$F572=""),"",IF(NOT(ISNUMBER($B572)),"日期无效",IF(ISNA(MATCH($C572,参数设置!$A$10:$A$12,0)),"公司无效",IF(ISNA(MATCH($D572,记账规则!$A$6:$A$9,0)),"业务类型无效",IF(ISNA(MATCH($F572,商品档案!$A$6:$A$65,0)),"商品编码无效",IF(IFERROR(INDEX(商品档案!$E$6:$E$65,MATCH($F572,商品档案!$A$6:$A$65,0)),"")&lt;&gt;$C572,"商品不属于该公司",IF(AND($E572&lt;&gt;"",ISNA(MATCH($E572,往来单位!$A$6:$A$85,0))),"往来单位未建档",IF(N($J572)=0,"数量为 0",IF(N($K572)=0,"单价为 0",IF(AND(LEFT($D572,2)="销售",$U572=""),"该商品没设成本科目",IF(YEAR($B572)&lt;&gt;参数设置!$B$5,"不在本会计年度","OK")))))))))))</f>
        <v/>
      </c>
      <c r="Q572" s="57" t="str">
        <f aca="false">IF($F572="","",ROUND(N($J572)*N($K572),2))</f>
        <v/>
      </c>
      <c r="R572" s="58" t="str">
        <f aca="false">IF($D572="","",IF(LEFT($D572,2)="销售","应收账款","应付账款"))</f>
        <v/>
      </c>
      <c r="S572" s="58" t="str">
        <f aca="false">IF($F572="","",IFERROR(INDEX(商品档案!$G$6:$G$65,MATCH($F572,商品档案!$A$6:$A$65,0)),""))</f>
        <v/>
      </c>
      <c r="T572" s="58" t="str">
        <f aca="false">IF($F572="","",IFERROR(INDEX(商品档案!$H$6:$H$65,MATCH($F572,商品档案!$A$6:$A$65,0)),""))</f>
        <v/>
      </c>
      <c r="U572" s="58" t="str">
        <f aca="false">IF($F572="","",IFERROR(INDEX(商品档案!$I$6:$I$65,MATCH($F572,商品档案!$A$6:$A$65,0)),""))</f>
        <v/>
      </c>
      <c r="V572" s="59" t="str">
        <f aca="false">IF($F572="","",SUMIFS(进销存台账!$N$6:$N$65,进销存台账!$A$6:$A$65,$C572,进销存台账!$B$6:$B$65,$F572))</f>
        <v/>
      </c>
      <c r="W572" s="60" t="n">
        <f aca="false">IF(OR($D572="销售出库",$D572="销售退回"),ROUND(N($J572)*N($V572),2),0)</f>
        <v>0</v>
      </c>
      <c r="X572" s="58" t="str">
        <f aca="false">IF($E572="","",IFERROR(INDEX(往来单位!$D$6:$D$85,MATCH($E572,往来单位!$A$6:$A$85,0)),"否"))</f>
        <v/>
      </c>
      <c r="Y572" s="61" t="str">
        <f aca="false">IF($B572="","",YEAR($B572))</f>
        <v/>
      </c>
      <c r="Z572" s="58" t="str">
        <f aca="false">IF($B572="","",TEXT($B572,"yyyy-mm"))</f>
        <v/>
      </c>
    </row>
    <row r="573" customFormat="false" ht="15" hidden="false" customHeight="false" outlineLevel="0" collapsed="false">
      <c r="A573" s="53" t="str">
        <f aca="false">IF($B573="","",ROW()-5)</f>
        <v/>
      </c>
      <c r="B573" s="54"/>
      <c r="C573" s="33"/>
      <c r="D573" s="33"/>
      <c r="E573" s="32"/>
      <c r="F573" s="39"/>
      <c r="G573" s="48" t="str">
        <f aca="false">IF($F573="","",IFERROR(INDEX(商品档案!$B$6:$B$65,MATCH($F573,商品档案!$A$6:$A$65,0)),""))</f>
        <v/>
      </c>
      <c r="H573" s="48" t="str">
        <f aca="false">IF($F573="","",IFERROR(INDEX(商品档案!$C$6:$C$65,MATCH($F573,商品档案!$A$6:$A$65,0)),""))</f>
        <v/>
      </c>
      <c r="I573" s="55" t="str">
        <f aca="false">IF($F573="","",IFERROR(INDEX(商品档案!$D$6:$D$65,MATCH($F573,商品档案!$A$6:$A$65,0)),""))</f>
        <v/>
      </c>
      <c r="J573" s="49"/>
      <c r="K573" s="56"/>
      <c r="L573" s="33"/>
      <c r="M573" s="39"/>
      <c r="N573" s="41"/>
      <c r="O573" s="41"/>
      <c r="P573" s="25" t="str">
        <f aca="false">IF(AND($B573="",$D573="",$F573=""),"",IF(NOT(ISNUMBER($B573)),"日期无效",IF(ISNA(MATCH($C573,参数设置!$A$10:$A$12,0)),"公司无效",IF(ISNA(MATCH($D573,记账规则!$A$6:$A$9,0)),"业务类型无效",IF(ISNA(MATCH($F573,商品档案!$A$6:$A$65,0)),"商品编码无效",IF(IFERROR(INDEX(商品档案!$E$6:$E$65,MATCH($F573,商品档案!$A$6:$A$65,0)),"")&lt;&gt;$C573,"商品不属于该公司",IF(AND($E573&lt;&gt;"",ISNA(MATCH($E573,往来单位!$A$6:$A$85,0))),"往来单位未建档",IF(N($J573)=0,"数量为 0",IF(N($K573)=0,"单价为 0",IF(AND(LEFT($D573,2)="销售",$U573=""),"该商品没设成本科目",IF(YEAR($B573)&lt;&gt;参数设置!$B$5,"不在本会计年度","OK")))))))))))</f>
        <v/>
      </c>
      <c r="Q573" s="57" t="str">
        <f aca="false">IF($F573="","",ROUND(N($J573)*N($K573),2))</f>
        <v/>
      </c>
      <c r="R573" s="58" t="str">
        <f aca="false">IF($D573="","",IF(LEFT($D573,2)="销售","应收账款","应付账款"))</f>
        <v/>
      </c>
      <c r="S573" s="58" t="str">
        <f aca="false">IF($F573="","",IFERROR(INDEX(商品档案!$G$6:$G$65,MATCH($F573,商品档案!$A$6:$A$65,0)),""))</f>
        <v/>
      </c>
      <c r="T573" s="58" t="str">
        <f aca="false">IF($F573="","",IFERROR(INDEX(商品档案!$H$6:$H$65,MATCH($F573,商品档案!$A$6:$A$65,0)),""))</f>
        <v/>
      </c>
      <c r="U573" s="58" t="str">
        <f aca="false">IF($F573="","",IFERROR(INDEX(商品档案!$I$6:$I$65,MATCH($F573,商品档案!$A$6:$A$65,0)),""))</f>
        <v/>
      </c>
      <c r="V573" s="59" t="str">
        <f aca="false">IF($F573="","",SUMIFS(进销存台账!$N$6:$N$65,进销存台账!$A$6:$A$65,$C573,进销存台账!$B$6:$B$65,$F573))</f>
        <v/>
      </c>
      <c r="W573" s="60" t="n">
        <f aca="false">IF(OR($D573="销售出库",$D573="销售退回"),ROUND(N($J573)*N($V573),2),0)</f>
        <v>0</v>
      </c>
      <c r="X573" s="58" t="str">
        <f aca="false">IF($E573="","",IFERROR(INDEX(往来单位!$D$6:$D$85,MATCH($E573,往来单位!$A$6:$A$85,0)),"否"))</f>
        <v/>
      </c>
      <c r="Y573" s="61" t="str">
        <f aca="false">IF($B573="","",YEAR($B573))</f>
        <v/>
      </c>
      <c r="Z573" s="58" t="str">
        <f aca="false">IF($B573="","",TEXT($B573,"yyyy-mm"))</f>
        <v/>
      </c>
    </row>
    <row r="574" customFormat="false" ht="15" hidden="false" customHeight="false" outlineLevel="0" collapsed="false">
      <c r="A574" s="53" t="str">
        <f aca="false">IF($B574="","",ROW()-5)</f>
        <v/>
      </c>
      <c r="B574" s="54"/>
      <c r="C574" s="33"/>
      <c r="D574" s="33"/>
      <c r="E574" s="32"/>
      <c r="F574" s="39"/>
      <c r="G574" s="48" t="str">
        <f aca="false">IF($F574="","",IFERROR(INDEX(商品档案!$B$6:$B$65,MATCH($F574,商品档案!$A$6:$A$65,0)),""))</f>
        <v/>
      </c>
      <c r="H574" s="48" t="str">
        <f aca="false">IF($F574="","",IFERROR(INDEX(商品档案!$C$6:$C$65,MATCH($F574,商品档案!$A$6:$A$65,0)),""))</f>
        <v/>
      </c>
      <c r="I574" s="55" t="str">
        <f aca="false">IF($F574="","",IFERROR(INDEX(商品档案!$D$6:$D$65,MATCH($F574,商品档案!$A$6:$A$65,0)),""))</f>
        <v/>
      </c>
      <c r="J574" s="49"/>
      <c r="K574" s="56"/>
      <c r="L574" s="33"/>
      <c r="M574" s="39"/>
      <c r="N574" s="41"/>
      <c r="O574" s="41"/>
      <c r="P574" s="25" t="str">
        <f aca="false">IF(AND($B574="",$D574="",$F574=""),"",IF(NOT(ISNUMBER($B574)),"日期无效",IF(ISNA(MATCH($C574,参数设置!$A$10:$A$12,0)),"公司无效",IF(ISNA(MATCH($D574,记账规则!$A$6:$A$9,0)),"业务类型无效",IF(ISNA(MATCH($F574,商品档案!$A$6:$A$65,0)),"商品编码无效",IF(IFERROR(INDEX(商品档案!$E$6:$E$65,MATCH($F574,商品档案!$A$6:$A$65,0)),"")&lt;&gt;$C574,"商品不属于该公司",IF(AND($E574&lt;&gt;"",ISNA(MATCH($E574,往来单位!$A$6:$A$85,0))),"往来单位未建档",IF(N($J574)=0,"数量为 0",IF(N($K574)=0,"单价为 0",IF(AND(LEFT($D574,2)="销售",$U574=""),"该商品没设成本科目",IF(YEAR($B574)&lt;&gt;参数设置!$B$5,"不在本会计年度","OK")))))))))))</f>
        <v/>
      </c>
      <c r="Q574" s="57" t="str">
        <f aca="false">IF($F574="","",ROUND(N($J574)*N($K574),2))</f>
        <v/>
      </c>
      <c r="R574" s="58" t="str">
        <f aca="false">IF($D574="","",IF(LEFT($D574,2)="销售","应收账款","应付账款"))</f>
        <v/>
      </c>
      <c r="S574" s="58" t="str">
        <f aca="false">IF($F574="","",IFERROR(INDEX(商品档案!$G$6:$G$65,MATCH($F574,商品档案!$A$6:$A$65,0)),""))</f>
        <v/>
      </c>
      <c r="T574" s="58" t="str">
        <f aca="false">IF($F574="","",IFERROR(INDEX(商品档案!$H$6:$H$65,MATCH($F574,商品档案!$A$6:$A$65,0)),""))</f>
        <v/>
      </c>
      <c r="U574" s="58" t="str">
        <f aca="false">IF($F574="","",IFERROR(INDEX(商品档案!$I$6:$I$65,MATCH($F574,商品档案!$A$6:$A$65,0)),""))</f>
        <v/>
      </c>
      <c r="V574" s="59" t="str">
        <f aca="false">IF($F574="","",SUMIFS(进销存台账!$N$6:$N$65,进销存台账!$A$6:$A$65,$C574,进销存台账!$B$6:$B$65,$F574))</f>
        <v/>
      </c>
      <c r="W574" s="60" t="n">
        <f aca="false">IF(OR($D574="销售出库",$D574="销售退回"),ROUND(N($J574)*N($V574),2),0)</f>
        <v>0</v>
      </c>
      <c r="X574" s="58" t="str">
        <f aca="false">IF($E574="","",IFERROR(INDEX(往来单位!$D$6:$D$85,MATCH($E574,往来单位!$A$6:$A$85,0)),"否"))</f>
        <v/>
      </c>
      <c r="Y574" s="61" t="str">
        <f aca="false">IF($B574="","",YEAR($B574))</f>
        <v/>
      </c>
      <c r="Z574" s="58" t="str">
        <f aca="false">IF($B574="","",TEXT($B574,"yyyy-mm"))</f>
        <v/>
      </c>
    </row>
    <row r="575" customFormat="false" ht="15" hidden="false" customHeight="false" outlineLevel="0" collapsed="false">
      <c r="A575" s="53" t="str">
        <f aca="false">IF($B575="","",ROW()-5)</f>
        <v/>
      </c>
      <c r="B575" s="54"/>
      <c r="C575" s="33"/>
      <c r="D575" s="33"/>
      <c r="E575" s="32"/>
      <c r="F575" s="39"/>
      <c r="G575" s="48" t="str">
        <f aca="false">IF($F575="","",IFERROR(INDEX(商品档案!$B$6:$B$65,MATCH($F575,商品档案!$A$6:$A$65,0)),""))</f>
        <v/>
      </c>
      <c r="H575" s="48" t="str">
        <f aca="false">IF($F575="","",IFERROR(INDEX(商品档案!$C$6:$C$65,MATCH($F575,商品档案!$A$6:$A$65,0)),""))</f>
        <v/>
      </c>
      <c r="I575" s="55" t="str">
        <f aca="false">IF($F575="","",IFERROR(INDEX(商品档案!$D$6:$D$65,MATCH($F575,商品档案!$A$6:$A$65,0)),""))</f>
        <v/>
      </c>
      <c r="J575" s="49"/>
      <c r="K575" s="56"/>
      <c r="L575" s="33"/>
      <c r="M575" s="39"/>
      <c r="N575" s="41"/>
      <c r="O575" s="41"/>
      <c r="P575" s="25" t="str">
        <f aca="false">IF(AND($B575="",$D575="",$F575=""),"",IF(NOT(ISNUMBER($B575)),"日期无效",IF(ISNA(MATCH($C575,参数设置!$A$10:$A$12,0)),"公司无效",IF(ISNA(MATCH($D575,记账规则!$A$6:$A$9,0)),"业务类型无效",IF(ISNA(MATCH($F575,商品档案!$A$6:$A$65,0)),"商品编码无效",IF(IFERROR(INDEX(商品档案!$E$6:$E$65,MATCH($F575,商品档案!$A$6:$A$65,0)),"")&lt;&gt;$C575,"商品不属于该公司",IF(AND($E575&lt;&gt;"",ISNA(MATCH($E575,往来单位!$A$6:$A$85,0))),"往来单位未建档",IF(N($J575)=0,"数量为 0",IF(N($K575)=0,"单价为 0",IF(AND(LEFT($D575,2)="销售",$U575=""),"该商品没设成本科目",IF(YEAR($B575)&lt;&gt;参数设置!$B$5,"不在本会计年度","OK")))))))))))</f>
        <v/>
      </c>
      <c r="Q575" s="57" t="str">
        <f aca="false">IF($F575="","",ROUND(N($J575)*N($K575),2))</f>
        <v/>
      </c>
      <c r="R575" s="58" t="str">
        <f aca="false">IF($D575="","",IF(LEFT($D575,2)="销售","应收账款","应付账款"))</f>
        <v/>
      </c>
      <c r="S575" s="58" t="str">
        <f aca="false">IF($F575="","",IFERROR(INDEX(商品档案!$G$6:$G$65,MATCH($F575,商品档案!$A$6:$A$65,0)),""))</f>
        <v/>
      </c>
      <c r="T575" s="58" t="str">
        <f aca="false">IF($F575="","",IFERROR(INDEX(商品档案!$H$6:$H$65,MATCH($F575,商品档案!$A$6:$A$65,0)),""))</f>
        <v/>
      </c>
      <c r="U575" s="58" t="str">
        <f aca="false">IF($F575="","",IFERROR(INDEX(商品档案!$I$6:$I$65,MATCH($F575,商品档案!$A$6:$A$65,0)),""))</f>
        <v/>
      </c>
      <c r="V575" s="59" t="str">
        <f aca="false">IF($F575="","",SUMIFS(进销存台账!$N$6:$N$65,进销存台账!$A$6:$A$65,$C575,进销存台账!$B$6:$B$65,$F575))</f>
        <v/>
      </c>
      <c r="W575" s="60" t="n">
        <f aca="false">IF(OR($D575="销售出库",$D575="销售退回"),ROUND(N($J575)*N($V575),2),0)</f>
        <v>0</v>
      </c>
      <c r="X575" s="58" t="str">
        <f aca="false">IF($E575="","",IFERROR(INDEX(往来单位!$D$6:$D$85,MATCH($E575,往来单位!$A$6:$A$85,0)),"否"))</f>
        <v/>
      </c>
      <c r="Y575" s="61" t="str">
        <f aca="false">IF($B575="","",YEAR($B575))</f>
        <v/>
      </c>
      <c r="Z575" s="58" t="str">
        <f aca="false">IF($B575="","",TEXT($B575,"yyyy-mm"))</f>
        <v/>
      </c>
    </row>
    <row r="576" customFormat="false" ht="15" hidden="false" customHeight="false" outlineLevel="0" collapsed="false">
      <c r="A576" s="53" t="str">
        <f aca="false">IF($B576="","",ROW()-5)</f>
        <v/>
      </c>
      <c r="B576" s="54"/>
      <c r="C576" s="33"/>
      <c r="D576" s="33"/>
      <c r="E576" s="32"/>
      <c r="F576" s="39"/>
      <c r="G576" s="48" t="str">
        <f aca="false">IF($F576="","",IFERROR(INDEX(商品档案!$B$6:$B$65,MATCH($F576,商品档案!$A$6:$A$65,0)),""))</f>
        <v/>
      </c>
      <c r="H576" s="48" t="str">
        <f aca="false">IF($F576="","",IFERROR(INDEX(商品档案!$C$6:$C$65,MATCH($F576,商品档案!$A$6:$A$65,0)),""))</f>
        <v/>
      </c>
      <c r="I576" s="55" t="str">
        <f aca="false">IF($F576="","",IFERROR(INDEX(商品档案!$D$6:$D$65,MATCH($F576,商品档案!$A$6:$A$65,0)),""))</f>
        <v/>
      </c>
      <c r="J576" s="49"/>
      <c r="K576" s="56"/>
      <c r="L576" s="33"/>
      <c r="M576" s="39"/>
      <c r="N576" s="41"/>
      <c r="O576" s="41"/>
      <c r="P576" s="25" t="str">
        <f aca="false">IF(AND($B576="",$D576="",$F576=""),"",IF(NOT(ISNUMBER($B576)),"日期无效",IF(ISNA(MATCH($C576,参数设置!$A$10:$A$12,0)),"公司无效",IF(ISNA(MATCH($D576,记账规则!$A$6:$A$9,0)),"业务类型无效",IF(ISNA(MATCH($F576,商品档案!$A$6:$A$65,0)),"商品编码无效",IF(IFERROR(INDEX(商品档案!$E$6:$E$65,MATCH($F576,商品档案!$A$6:$A$65,0)),"")&lt;&gt;$C576,"商品不属于该公司",IF(AND($E576&lt;&gt;"",ISNA(MATCH($E576,往来单位!$A$6:$A$85,0))),"往来单位未建档",IF(N($J576)=0,"数量为 0",IF(N($K576)=0,"单价为 0",IF(AND(LEFT($D576,2)="销售",$U576=""),"该商品没设成本科目",IF(YEAR($B576)&lt;&gt;参数设置!$B$5,"不在本会计年度","OK")))))))))))</f>
        <v/>
      </c>
      <c r="Q576" s="57" t="str">
        <f aca="false">IF($F576="","",ROUND(N($J576)*N($K576),2))</f>
        <v/>
      </c>
      <c r="R576" s="58" t="str">
        <f aca="false">IF($D576="","",IF(LEFT($D576,2)="销售","应收账款","应付账款"))</f>
        <v/>
      </c>
      <c r="S576" s="58" t="str">
        <f aca="false">IF($F576="","",IFERROR(INDEX(商品档案!$G$6:$G$65,MATCH($F576,商品档案!$A$6:$A$65,0)),""))</f>
        <v/>
      </c>
      <c r="T576" s="58" t="str">
        <f aca="false">IF($F576="","",IFERROR(INDEX(商品档案!$H$6:$H$65,MATCH($F576,商品档案!$A$6:$A$65,0)),""))</f>
        <v/>
      </c>
      <c r="U576" s="58" t="str">
        <f aca="false">IF($F576="","",IFERROR(INDEX(商品档案!$I$6:$I$65,MATCH($F576,商品档案!$A$6:$A$65,0)),""))</f>
        <v/>
      </c>
      <c r="V576" s="59" t="str">
        <f aca="false">IF($F576="","",SUMIFS(进销存台账!$N$6:$N$65,进销存台账!$A$6:$A$65,$C576,进销存台账!$B$6:$B$65,$F576))</f>
        <v/>
      </c>
      <c r="W576" s="60" t="n">
        <f aca="false">IF(OR($D576="销售出库",$D576="销售退回"),ROUND(N($J576)*N($V576),2),0)</f>
        <v>0</v>
      </c>
      <c r="X576" s="58" t="str">
        <f aca="false">IF($E576="","",IFERROR(INDEX(往来单位!$D$6:$D$85,MATCH($E576,往来单位!$A$6:$A$85,0)),"否"))</f>
        <v/>
      </c>
      <c r="Y576" s="61" t="str">
        <f aca="false">IF($B576="","",YEAR($B576))</f>
        <v/>
      </c>
      <c r="Z576" s="58" t="str">
        <f aca="false">IF($B576="","",TEXT($B576,"yyyy-mm"))</f>
        <v/>
      </c>
    </row>
    <row r="577" customFormat="false" ht="15" hidden="false" customHeight="false" outlineLevel="0" collapsed="false">
      <c r="A577" s="53" t="str">
        <f aca="false">IF($B577="","",ROW()-5)</f>
        <v/>
      </c>
      <c r="B577" s="54"/>
      <c r="C577" s="33"/>
      <c r="D577" s="33"/>
      <c r="E577" s="32"/>
      <c r="F577" s="39"/>
      <c r="G577" s="48" t="str">
        <f aca="false">IF($F577="","",IFERROR(INDEX(商品档案!$B$6:$B$65,MATCH($F577,商品档案!$A$6:$A$65,0)),""))</f>
        <v/>
      </c>
      <c r="H577" s="48" t="str">
        <f aca="false">IF($F577="","",IFERROR(INDEX(商品档案!$C$6:$C$65,MATCH($F577,商品档案!$A$6:$A$65,0)),""))</f>
        <v/>
      </c>
      <c r="I577" s="55" t="str">
        <f aca="false">IF($F577="","",IFERROR(INDEX(商品档案!$D$6:$D$65,MATCH($F577,商品档案!$A$6:$A$65,0)),""))</f>
        <v/>
      </c>
      <c r="J577" s="49"/>
      <c r="K577" s="56"/>
      <c r="L577" s="33"/>
      <c r="M577" s="39"/>
      <c r="N577" s="41"/>
      <c r="O577" s="41"/>
      <c r="P577" s="25" t="str">
        <f aca="false">IF(AND($B577="",$D577="",$F577=""),"",IF(NOT(ISNUMBER($B577)),"日期无效",IF(ISNA(MATCH($C577,参数设置!$A$10:$A$12,0)),"公司无效",IF(ISNA(MATCH($D577,记账规则!$A$6:$A$9,0)),"业务类型无效",IF(ISNA(MATCH($F577,商品档案!$A$6:$A$65,0)),"商品编码无效",IF(IFERROR(INDEX(商品档案!$E$6:$E$65,MATCH($F577,商品档案!$A$6:$A$65,0)),"")&lt;&gt;$C577,"商品不属于该公司",IF(AND($E577&lt;&gt;"",ISNA(MATCH($E577,往来单位!$A$6:$A$85,0))),"往来单位未建档",IF(N($J577)=0,"数量为 0",IF(N($K577)=0,"单价为 0",IF(AND(LEFT($D577,2)="销售",$U577=""),"该商品没设成本科目",IF(YEAR($B577)&lt;&gt;参数设置!$B$5,"不在本会计年度","OK")))))))))))</f>
        <v/>
      </c>
      <c r="Q577" s="57" t="str">
        <f aca="false">IF($F577="","",ROUND(N($J577)*N($K577),2))</f>
        <v/>
      </c>
      <c r="R577" s="58" t="str">
        <f aca="false">IF($D577="","",IF(LEFT($D577,2)="销售","应收账款","应付账款"))</f>
        <v/>
      </c>
      <c r="S577" s="58" t="str">
        <f aca="false">IF($F577="","",IFERROR(INDEX(商品档案!$G$6:$G$65,MATCH($F577,商品档案!$A$6:$A$65,0)),""))</f>
        <v/>
      </c>
      <c r="T577" s="58" t="str">
        <f aca="false">IF($F577="","",IFERROR(INDEX(商品档案!$H$6:$H$65,MATCH($F577,商品档案!$A$6:$A$65,0)),""))</f>
        <v/>
      </c>
      <c r="U577" s="58" t="str">
        <f aca="false">IF($F577="","",IFERROR(INDEX(商品档案!$I$6:$I$65,MATCH($F577,商品档案!$A$6:$A$65,0)),""))</f>
        <v/>
      </c>
      <c r="V577" s="59" t="str">
        <f aca="false">IF($F577="","",SUMIFS(进销存台账!$N$6:$N$65,进销存台账!$A$6:$A$65,$C577,进销存台账!$B$6:$B$65,$F577))</f>
        <v/>
      </c>
      <c r="W577" s="60" t="n">
        <f aca="false">IF(OR($D577="销售出库",$D577="销售退回"),ROUND(N($J577)*N($V577),2),0)</f>
        <v>0</v>
      </c>
      <c r="X577" s="58" t="str">
        <f aca="false">IF($E577="","",IFERROR(INDEX(往来单位!$D$6:$D$85,MATCH($E577,往来单位!$A$6:$A$85,0)),"否"))</f>
        <v/>
      </c>
      <c r="Y577" s="61" t="str">
        <f aca="false">IF($B577="","",YEAR($B577))</f>
        <v/>
      </c>
      <c r="Z577" s="58" t="str">
        <f aca="false">IF($B577="","",TEXT($B577,"yyyy-mm"))</f>
        <v/>
      </c>
    </row>
    <row r="578" customFormat="false" ht="15" hidden="false" customHeight="false" outlineLevel="0" collapsed="false">
      <c r="A578" s="53" t="str">
        <f aca="false">IF($B578="","",ROW()-5)</f>
        <v/>
      </c>
      <c r="B578" s="54"/>
      <c r="C578" s="33"/>
      <c r="D578" s="33"/>
      <c r="E578" s="32"/>
      <c r="F578" s="39"/>
      <c r="G578" s="48" t="str">
        <f aca="false">IF($F578="","",IFERROR(INDEX(商品档案!$B$6:$B$65,MATCH($F578,商品档案!$A$6:$A$65,0)),""))</f>
        <v/>
      </c>
      <c r="H578" s="48" t="str">
        <f aca="false">IF($F578="","",IFERROR(INDEX(商品档案!$C$6:$C$65,MATCH($F578,商品档案!$A$6:$A$65,0)),""))</f>
        <v/>
      </c>
      <c r="I578" s="55" t="str">
        <f aca="false">IF($F578="","",IFERROR(INDEX(商品档案!$D$6:$D$65,MATCH($F578,商品档案!$A$6:$A$65,0)),""))</f>
        <v/>
      </c>
      <c r="J578" s="49"/>
      <c r="K578" s="56"/>
      <c r="L578" s="33"/>
      <c r="M578" s="39"/>
      <c r="N578" s="41"/>
      <c r="O578" s="41"/>
      <c r="P578" s="25" t="str">
        <f aca="false">IF(AND($B578="",$D578="",$F578=""),"",IF(NOT(ISNUMBER($B578)),"日期无效",IF(ISNA(MATCH($C578,参数设置!$A$10:$A$12,0)),"公司无效",IF(ISNA(MATCH($D578,记账规则!$A$6:$A$9,0)),"业务类型无效",IF(ISNA(MATCH($F578,商品档案!$A$6:$A$65,0)),"商品编码无效",IF(IFERROR(INDEX(商品档案!$E$6:$E$65,MATCH($F578,商品档案!$A$6:$A$65,0)),"")&lt;&gt;$C578,"商品不属于该公司",IF(AND($E578&lt;&gt;"",ISNA(MATCH($E578,往来单位!$A$6:$A$85,0))),"往来单位未建档",IF(N($J578)=0,"数量为 0",IF(N($K578)=0,"单价为 0",IF(AND(LEFT($D578,2)="销售",$U578=""),"该商品没设成本科目",IF(YEAR($B578)&lt;&gt;参数设置!$B$5,"不在本会计年度","OK")))))))))))</f>
        <v/>
      </c>
      <c r="Q578" s="57" t="str">
        <f aca="false">IF($F578="","",ROUND(N($J578)*N($K578),2))</f>
        <v/>
      </c>
      <c r="R578" s="58" t="str">
        <f aca="false">IF($D578="","",IF(LEFT($D578,2)="销售","应收账款","应付账款"))</f>
        <v/>
      </c>
      <c r="S578" s="58" t="str">
        <f aca="false">IF($F578="","",IFERROR(INDEX(商品档案!$G$6:$G$65,MATCH($F578,商品档案!$A$6:$A$65,0)),""))</f>
        <v/>
      </c>
      <c r="T578" s="58" t="str">
        <f aca="false">IF($F578="","",IFERROR(INDEX(商品档案!$H$6:$H$65,MATCH($F578,商品档案!$A$6:$A$65,0)),""))</f>
        <v/>
      </c>
      <c r="U578" s="58" t="str">
        <f aca="false">IF($F578="","",IFERROR(INDEX(商品档案!$I$6:$I$65,MATCH($F578,商品档案!$A$6:$A$65,0)),""))</f>
        <v/>
      </c>
      <c r="V578" s="59" t="str">
        <f aca="false">IF($F578="","",SUMIFS(进销存台账!$N$6:$N$65,进销存台账!$A$6:$A$65,$C578,进销存台账!$B$6:$B$65,$F578))</f>
        <v/>
      </c>
      <c r="W578" s="60" t="n">
        <f aca="false">IF(OR($D578="销售出库",$D578="销售退回"),ROUND(N($J578)*N($V578),2),0)</f>
        <v>0</v>
      </c>
      <c r="X578" s="58" t="str">
        <f aca="false">IF($E578="","",IFERROR(INDEX(往来单位!$D$6:$D$85,MATCH($E578,往来单位!$A$6:$A$85,0)),"否"))</f>
        <v/>
      </c>
      <c r="Y578" s="61" t="str">
        <f aca="false">IF($B578="","",YEAR($B578))</f>
        <v/>
      </c>
      <c r="Z578" s="58" t="str">
        <f aca="false">IF($B578="","",TEXT($B578,"yyyy-mm"))</f>
        <v/>
      </c>
    </row>
    <row r="579" customFormat="false" ht="15" hidden="false" customHeight="false" outlineLevel="0" collapsed="false">
      <c r="A579" s="53" t="str">
        <f aca="false">IF($B579="","",ROW()-5)</f>
        <v/>
      </c>
      <c r="B579" s="54"/>
      <c r="C579" s="33"/>
      <c r="D579" s="33"/>
      <c r="E579" s="32"/>
      <c r="F579" s="39"/>
      <c r="G579" s="48" t="str">
        <f aca="false">IF($F579="","",IFERROR(INDEX(商品档案!$B$6:$B$65,MATCH($F579,商品档案!$A$6:$A$65,0)),""))</f>
        <v/>
      </c>
      <c r="H579" s="48" t="str">
        <f aca="false">IF($F579="","",IFERROR(INDEX(商品档案!$C$6:$C$65,MATCH($F579,商品档案!$A$6:$A$65,0)),""))</f>
        <v/>
      </c>
      <c r="I579" s="55" t="str">
        <f aca="false">IF($F579="","",IFERROR(INDEX(商品档案!$D$6:$D$65,MATCH($F579,商品档案!$A$6:$A$65,0)),""))</f>
        <v/>
      </c>
      <c r="J579" s="49"/>
      <c r="K579" s="56"/>
      <c r="L579" s="33"/>
      <c r="M579" s="39"/>
      <c r="N579" s="41"/>
      <c r="O579" s="41"/>
      <c r="P579" s="25" t="str">
        <f aca="false">IF(AND($B579="",$D579="",$F579=""),"",IF(NOT(ISNUMBER($B579)),"日期无效",IF(ISNA(MATCH($C579,参数设置!$A$10:$A$12,0)),"公司无效",IF(ISNA(MATCH($D579,记账规则!$A$6:$A$9,0)),"业务类型无效",IF(ISNA(MATCH($F579,商品档案!$A$6:$A$65,0)),"商品编码无效",IF(IFERROR(INDEX(商品档案!$E$6:$E$65,MATCH($F579,商品档案!$A$6:$A$65,0)),"")&lt;&gt;$C579,"商品不属于该公司",IF(AND($E579&lt;&gt;"",ISNA(MATCH($E579,往来单位!$A$6:$A$85,0))),"往来单位未建档",IF(N($J579)=0,"数量为 0",IF(N($K579)=0,"单价为 0",IF(AND(LEFT($D579,2)="销售",$U579=""),"该商品没设成本科目",IF(YEAR($B579)&lt;&gt;参数设置!$B$5,"不在本会计年度","OK")))))))))))</f>
        <v/>
      </c>
      <c r="Q579" s="57" t="str">
        <f aca="false">IF($F579="","",ROUND(N($J579)*N($K579),2))</f>
        <v/>
      </c>
      <c r="R579" s="58" t="str">
        <f aca="false">IF($D579="","",IF(LEFT($D579,2)="销售","应收账款","应付账款"))</f>
        <v/>
      </c>
      <c r="S579" s="58" t="str">
        <f aca="false">IF($F579="","",IFERROR(INDEX(商品档案!$G$6:$G$65,MATCH($F579,商品档案!$A$6:$A$65,0)),""))</f>
        <v/>
      </c>
      <c r="T579" s="58" t="str">
        <f aca="false">IF($F579="","",IFERROR(INDEX(商品档案!$H$6:$H$65,MATCH($F579,商品档案!$A$6:$A$65,0)),""))</f>
        <v/>
      </c>
      <c r="U579" s="58" t="str">
        <f aca="false">IF($F579="","",IFERROR(INDEX(商品档案!$I$6:$I$65,MATCH($F579,商品档案!$A$6:$A$65,0)),""))</f>
        <v/>
      </c>
      <c r="V579" s="59" t="str">
        <f aca="false">IF($F579="","",SUMIFS(进销存台账!$N$6:$N$65,进销存台账!$A$6:$A$65,$C579,进销存台账!$B$6:$B$65,$F579))</f>
        <v/>
      </c>
      <c r="W579" s="60" t="n">
        <f aca="false">IF(OR($D579="销售出库",$D579="销售退回"),ROUND(N($J579)*N($V579),2),0)</f>
        <v>0</v>
      </c>
      <c r="X579" s="58" t="str">
        <f aca="false">IF($E579="","",IFERROR(INDEX(往来单位!$D$6:$D$85,MATCH($E579,往来单位!$A$6:$A$85,0)),"否"))</f>
        <v/>
      </c>
      <c r="Y579" s="61" t="str">
        <f aca="false">IF($B579="","",YEAR($B579))</f>
        <v/>
      </c>
      <c r="Z579" s="58" t="str">
        <f aca="false">IF($B579="","",TEXT($B579,"yyyy-mm"))</f>
        <v/>
      </c>
    </row>
    <row r="580" customFormat="false" ht="15" hidden="false" customHeight="false" outlineLevel="0" collapsed="false">
      <c r="A580" s="53" t="str">
        <f aca="false">IF($B580="","",ROW()-5)</f>
        <v/>
      </c>
      <c r="B580" s="54"/>
      <c r="C580" s="33"/>
      <c r="D580" s="33"/>
      <c r="E580" s="32"/>
      <c r="F580" s="39"/>
      <c r="G580" s="48" t="str">
        <f aca="false">IF($F580="","",IFERROR(INDEX(商品档案!$B$6:$B$65,MATCH($F580,商品档案!$A$6:$A$65,0)),""))</f>
        <v/>
      </c>
      <c r="H580" s="48" t="str">
        <f aca="false">IF($F580="","",IFERROR(INDEX(商品档案!$C$6:$C$65,MATCH($F580,商品档案!$A$6:$A$65,0)),""))</f>
        <v/>
      </c>
      <c r="I580" s="55" t="str">
        <f aca="false">IF($F580="","",IFERROR(INDEX(商品档案!$D$6:$D$65,MATCH($F580,商品档案!$A$6:$A$65,0)),""))</f>
        <v/>
      </c>
      <c r="J580" s="49"/>
      <c r="K580" s="56"/>
      <c r="L580" s="33"/>
      <c r="M580" s="39"/>
      <c r="N580" s="41"/>
      <c r="O580" s="41"/>
      <c r="P580" s="25" t="str">
        <f aca="false">IF(AND($B580="",$D580="",$F580=""),"",IF(NOT(ISNUMBER($B580)),"日期无效",IF(ISNA(MATCH($C580,参数设置!$A$10:$A$12,0)),"公司无效",IF(ISNA(MATCH($D580,记账规则!$A$6:$A$9,0)),"业务类型无效",IF(ISNA(MATCH($F580,商品档案!$A$6:$A$65,0)),"商品编码无效",IF(IFERROR(INDEX(商品档案!$E$6:$E$65,MATCH($F580,商品档案!$A$6:$A$65,0)),"")&lt;&gt;$C580,"商品不属于该公司",IF(AND($E580&lt;&gt;"",ISNA(MATCH($E580,往来单位!$A$6:$A$85,0))),"往来单位未建档",IF(N($J580)=0,"数量为 0",IF(N($K580)=0,"单价为 0",IF(AND(LEFT($D580,2)="销售",$U580=""),"该商品没设成本科目",IF(YEAR($B580)&lt;&gt;参数设置!$B$5,"不在本会计年度","OK")))))))))))</f>
        <v/>
      </c>
      <c r="Q580" s="57" t="str">
        <f aca="false">IF($F580="","",ROUND(N($J580)*N($K580),2))</f>
        <v/>
      </c>
      <c r="R580" s="58" t="str">
        <f aca="false">IF($D580="","",IF(LEFT($D580,2)="销售","应收账款","应付账款"))</f>
        <v/>
      </c>
      <c r="S580" s="58" t="str">
        <f aca="false">IF($F580="","",IFERROR(INDEX(商品档案!$G$6:$G$65,MATCH($F580,商品档案!$A$6:$A$65,0)),""))</f>
        <v/>
      </c>
      <c r="T580" s="58" t="str">
        <f aca="false">IF($F580="","",IFERROR(INDEX(商品档案!$H$6:$H$65,MATCH($F580,商品档案!$A$6:$A$65,0)),""))</f>
        <v/>
      </c>
      <c r="U580" s="58" t="str">
        <f aca="false">IF($F580="","",IFERROR(INDEX(商品档案!$I$6:$I$65,MATCH($F580,商品档案!$A$6:$A$65,0)),""))</f>
        <v/>
      </c>
      <c r="V580" s="59" t="str">
        <f aca="false">IF($F580="","",SUMIFS(进销存台账!$N$6:$N$65,进销存台账!$A$6:$A$65,$C580,进销存台账!$B$6:$B$65,$F580))</f>
        <v/>
      </c>
      <c r="W580" s="60" t="n">
        <f aca="false">IF(OR($D580="销售出库",$D580="销售退回"),ROUND(N($J580)*N($V580),2),0)</f>
        <v>0</v>
      </c>
      <c r="X580" s="58" t="str">
        <f aca="false">IF($E580="","",IFERROR(INDEX(往来单位!$D$6:$D$85,MATCH($E580,往来单位!$A$6:$A$85,0)),"否"))</f>
        <v/>
      </c>
      <c r="Y580" s="61" t="str">
        <f aca="false">IF($B580="","",YEAR($B580))</f>
        <v/>
      </c>
      <c r="Z580" s="58" t="str">
        <f aca="false">IF($B580="","",TEXT($B580,"yyyy-mm"))</f>
        <v/>
      </c>
    </row>
    <row r="581" customFormat="false" ht="15" hidden="false" customHeight="false" outlineLevel="0" collapsed="false">
      <c r="A581" s="53" t="str">
        <f aca="false">IF($B581="","",ROW()-5)</f>
        <v/>
      </c>
      <c r="B581" s="54"/>
      <c r="C581" s="33"/>
      <c r="D581" s="33"/>
      <c r="E581" s="32"/>
      <c r="F581" s="39"/>
      <c r="G581" s="48" t="str">
        <f aca="false">IF($F581="","",IFERROR(INDEX(商品档案!$B$6:$B$65,MATCH($F581,商品档案!$A$6:$A$65,0)),""))</f>
        <v/>
      </c>
      <c r="H581" s="48" t="str">
        <f aca="false">IF($F581="","",IFERROR(INDEX(商品档案!$C$6:$C$65,MATCH($F581,商品档案!$A$6:$A$65,0)),""))</f>
        <v/>
      </c>
      <c r="I581" s="55" t="str">
        <f aca="false">IF($F581="","",IFERROR(INDEX(商品档案!$D$6:$D$65,MATCH($F581,商品档案!$A$6:$A$65,0)),""))</f>
        <v/>
      </c>
      <c r="J581" s="49"/>
      <c r="K581" s="56"/>
      <c r="L581" s="33"/>
      <c r="M581" s="39"/>
      <c r="N581" s="41"/>
      <c r="O581" s="41"/>
      <c r="P581" s="25" t="str">
        <f aca="false">IF(AND($B581="",$D581="",$F581=""),"",IF(NOT(ISNUMBER($B581)),"日期无效",IF(ISNA(MATCH($C581,参数设置!$A$10:$A$12,0)),"公司无效",IF(ISNA(MATCH($D581,记账规则!$A$6:$A$9,0)),"业务类型无效",IF(ISNA(MATCH($F581,商品档案!$A$6:$A$65,0)),"商品编码无效",IF(IFERROR(INDEX(商品档案!$E$6:$E$65,MATCH($F581,商品档案!$A$6:$A$65,0)),"")&lt;&gt;$C581,"商品不属于该公司",IF(AND($E581&lt;&gt;"",ISNA(MATCH($E581,往来单位!$A$6:$A$85,0))),"往来单位未建档",IF(N($J581)=0,"数量为 0",IF(N($K581)=0,"单价为 0",IF(AND(LEFT($D581,2)="销售",$U581=""),"该商品没设成本科目",IF(YEAR($B581)&lt;&gt;参数设置!$B$5,"不在本会计年度","OK")))))))))))</f>
        <v/>
      </c>
      <c r="Q581" s="57" t="str">
        <f aca="false">IF($F581="","",ROUND(N($J581)*N($K581),2))</f>
        <v/>
      </c>
      <c r="R581" s="58" t="str">
        <f aca="false">IF($D581="","",IF(LEFT($D581,2)="销售","应收账款","应付账款"))</f>
        <v/>
      </c>
      <c r="S581" s="58" t="str">
        <f aca="false">IF($F581="","",IFERROR(INDEX(商品档案!$G$6:$G$65,MATCH($F581,商品档案!$A$6:$A$65,0)),""))</f>
        <v/>
      </c>
      <c r="T581" s="58" t="str">
        <f aca="false">IF($F581="","",IFERROR(INDEX(商品档案!$H$6:$H$65,MATCH($F581,商品档案!$A$6:$A$65,0)),""))</f>
        <v/>
      </c>
      <c r="U581" s="58" t="str">
        <f aca="false">IF($F581="","",IFERROR(INDEX(商品档案!$I$6:$I$65,MATCH($F581,商品档案!$A$6:$A$65,0)),""))</f>
        <v/>
      </c>
      <c r="V581" s="59" t="str">
        <f aca="false">IF($F581="","",SUMIFS(进销存台账!$N$6:$N$65,进销存台账!$A$6:$A$65,$C581,进销存台账!$B$6:$B$65,$F581))</f>
        <v/>
      </c>
      <c r="W581" s="60" t="n">
        <f aca="false">IF(OR($D581="销售出库",$D581="销售退回"),ROUND(N($J581)*N($V581),2),0)</f>
        <v>0</v>
      </c>
      <c r="X581" s="58" t="str">
        <f aca="false">IF($E581="","",IFERROR(INDEX(往来单位!$D$6:$D$85,MATCH($E581,往来单位!$A$6:$A$85,0)),"否"))</f>
        <v/>
      </c>
      <c r="Y581" s="61" t="str">
        <f aca="false">IF($B581="","",YEAR($B581))</f>
        <v/>
      </c>
      <c r="Z581" s="58" t="str">
        <f aca="false">IF($B581="","",TEXT($B581,"yyyy-mm"))</f>
        <v/>
      </c>
    </row>
    <row r="582" customFormat="false" ht="15" hidden="false" customHeight="false" outlineLevel="0" collapsed="false">
      <c r="A582" s="53" t="str">
        <f aca="false">IF($B582="","",ROW()-5)</f>
        <v/>
      </c>
      <c r="B582" s="54"/>
      <c r="C582" s="33"/>
      <c r="D582" s="33"/>
      <c r="E582" s="32"/>
      <c r="F582" s="39"/>
      <c r="G582" s="48" t="str">
        <f aca="false">IF($F582="","",IFERROR(INDEX(商品档案!$B$6:$B$65,MATCH($F582,商品档案!$A$6:$A$65,0)),""))</f>
        <v/>
      </c>
      <c r="H582" s="48" t="str">
        <f aca="false">IF($F582="","",IFERROR(INDEX(商品档案!$C$6:$C$65,MATCH($F582,商品档案!$A$6:$A$65,0)),""))</f>
        <v/>
      </c>
      <c r="I582" s="55" t="str">
        <f aca="false">IF($F582="","",IFERROR(INDEX(商品档案!$D$6:$D$65,MATCH($F582,商品档案!$A$6:$A$65,0)),""))</f>
        <v/>
      </c>
      <c r="J582" s="49"/>
      <c r="K582" s="56"/>
      <c r="L582" s="33"/>
      <c r="M582" s="39"/>
      <c r="N582" s="41"/>
      <c r="O582" s="41"/>
      <c r="P582" s="25" t="str">
        <f aca="false">IF(AND($B582="",$D582="",$F582=""),"",IF(NOT(ISNUMBER($B582)),"日期无效",IF(ISNA(MATCH($C582,参数设置!$A$10:$A$12,0)),"公司无效",IF(ISNA(MATCH($D582,记账规则!$A$6:$A$9,0)),"业务类型无效",IF(ISNA(MATCH($F582,商品档案!$A$6:$A$65,0)),"商品编码无效",IF(IFERROR(INDEX(商品档案!$E$6:$E$65,MATCH($F582,商品档案!$A$6:$A$65,0)),"")&lt;&gt;$C582,"商品不属于该公司",IF(AND($E582&lt;&gt;"",ISNA(MATCH($E582,往来单位!$A$6:$A$85,0))),"往来单位未建档",IF(N($J582)=0,"数量为 0",IF(N($K582)=0,"单价为 0",IF(AND(LEFT($D582,2)="销售",$U582=""),"该商品没设成本科目",IF(YEAR($B582)&lt;&gt;参数设置!$B$5,"不在本会计年度","OK")))))))))))</f>
        <v/>
      </c>
      <c r="Q582" s="57" t="str">
        <f aca="false">IF($F582="","",ROUND(N($J582)*N($K582),2))</f>
        <v/>
      </c>
      <c r="R582" s="58" t="str">
        <f aca="false">IF($D582="","",IF(LEFT($D582,2)="销售","应收账款","应付账款"))</f>
        <v/>
      </c>
      <c r="S582" s="58" t="str">
        <f aca="false">IF($F582="","",IFERROR(INDEX(商品档案!$G$6:$G$65,MATCH($F582,商品档案!$A$6:$A$65,0)),""))</f>
        <v/>
      </c>
      <c r="T582" s="58" t="str">
        <f aca="false">IF($F582="","",IFERROR(INDEX(商品档案!$H$6:$H$65,MATCH($F582,商品档案!$A$6:$A$65,0)),""))</f>
        <v/>
      </c>
      <c r="U582" s="58" t="str">
        <f aca="false">IF($F582="","",IFERROR(INDEX(商品档案!$I$6:$I$65,MATCH($F582,商品档案!$A$6:$A$65,0)),""))</f>
        <v/>
      </c>
      <c r="V582" s="59" t="str">
        <f aca="false">IF($F582="","",SUMIFS(进销存台账!$N$6:$N$65,进销存台账!$A$6:$A$65,$C582,进销存台账!$B$6:$B$65,$F582))</f>
        <v/>
      </c>
      <c r="W582" s="60" t="n">
        <f aca="false">IF(OR($D582="销售出库",$D582="销售退回"),ROUND(N($J582)*N($V582),2),0)</f>
        <v>0</v>
      </c>
      <c r="X582" s="58" t="str">
        <f aca="false">IF($E582="","",IFERROR(INDEX(往来单位!$D$6:$D$85,MATCH($E582,往来单位!$A$6:$A$85,0)),"否"))</f>
        <v/>
      </c>
      <c r="Y582" s="61" t="str">
        <f aca="false">IF($B582="","",YEAR($B582))</f>
        <v/>
      </c>
      <c r="Z582" s="58" t="str">
        <f aca="false">IF($B582="","",TEXT($B582,"yyyy-mm"))</f>
        <v/>
      </c>
    </row>
    <row r="583" customFormat="false" ht="15" hidden="false" customHeight="false" outlineLevel="0" collapsed="false">
      <c r="A583" s="53" t="str">
        <f aca="false">IF($B583="","",ROW()-5)</f>
        <v/>
      </c>
      <c r="B583" s="54"/>
      <c r="C583" s="33"/>
      <c r="D583" s="33"/>
      <c r="E583" s="32"/>
      <c r="F583" s="39"/>
      <c r="G583" s="48" t="str">
        <f aca="false">IF($F583="","",IFERROR(INDEX(商品档案!$B$6:$B$65,MATCH($F583,商品档案!$A$6:$A$65,0)),""))</f>
        <v/>
      </c>
      <c r="H583" s="48" t="str">
        <f aca="false">IF($F583="","",IFERROR(INDEX(商品档案!$C$6:$C$65,MATCH($F583,商品档案!$A$6:$A$65,0)),""))</f>
        <v/>
      </c>
      <c r="I583" s="55" t="str">
        <f aca="false">IF($F583="","",IFERROR(INDEX(商品档案!$D$6:$D$65,MATCH($F583,商品档案!$A$6:$A$65,0)),""))</f>
        <v/>
      </c>
      <c r="J583" s="49"/>
      <c r="K583" s="56"/>
      <c r="L583" s="33"/>
      <c r="M583" s="39"/>
      <c r="N583" s="41"/>
      <c r="O583" s="41"/>
      <c r="P583" s="25" t="str">
        <f aca="false">IF(AND($B583="",$D583="",$F583=""),"",IF(NOT(ISNUMBER($B583)),"日期无效",IF(ISNA(MATCH($C583,参数设置!$A$10:$A$12,0)),"公司无效",IF(ISNA(MATCH($D583,记账规则!$A$6:$A$9,0)),"业务类型无效",IF(ISNA(MATCH($F583,商品档案!$A$6:$A$65,0)),"商品编码无效",IF(IFERROR(INDEX(商品档案!$E$6:$E$65,MATCH($F583,商品档案!$A$6:$A$65,0)),"")&lt;&gt;$C583,"商品不属于该公司",IF(AND($E583&lt;&gt;"",ISNA(MATCH($E583,往来单位!$A$6:$A$85,0))),"往来单位未建档",IF(N($J583)=0,"数量为 0",IF(N($K583)=0,"单价为 0",IF(AND(LEFT($D583,2)="销售",$U583=""),"该商品没设成本科目",IF(YEAR($B583)&lt;&gt;参数设置!$B$5,"不在本会计年度","OK")))))))))))</f>
        <v/>
      </c>
      <c r="Q583" s="57" t="str">
        <f aca="false">IF($F583="","",ROUND(N($J583)*N($K583),2))</f>
        <v/>
      </c>
      <c r="R583" s="58" t="str">
        <f aca="false">IF($D583="","",IF(LEFT($D583,2)="销售","应收账款","应付账款"))</f>
        <v/>
      </c>
      <c r="S583" s="58" t="str">
        <f aca="false">IF($F583="","",IFERROR(INDEX(商品档案!$G$6:$G$65,MATCH($F583,商品档案!$A$6:$A$65,0)),""))</f>
        <v/>
      </c>
      <c r="T583" s="58" t="str">
        <f aca="false">IF($F583="","",IFERROR(INDEX(商品档案!$H$6:$H$65,MATCH($F583,商品档案!$A$6:$A$65,0)),""))</f>
        <v/>
      </c>
      <c r="U583" s="58" t="str">
        <f aca="false">IF($F583="","",IFERROR(INDEX(商品档案!$I$6:$I$65,MATCH($F583,商品档案!$A$6:$A$65,0)),""))</f>
        <v/>
      </c>
      <c r="V583" s="59" t="str">
        <f aca="false">IF($F583="","",SUMIFS(进销存台账!$N$6:$N$65,进销存台账!$A$6:$A$65,$C583,进销存台账!$B$6:$B$65,$F583))</f>
        <v/>
      </c>
      <c r="W583" s="60" t="n">
        <f aca="false">IF(OR($D583="销售出库",$D583="销售退回"),ROUND(N($J583)*N($V583),2),0)</f>
        <v>0</v>
      </c>
      <c r="X583" s="58" t="str">
        <f aca="false">IF($E583="","",IFERROR(INDEX(往来单位!$D$6:$D$85,MATCH($E583,往来单位!$A$6:$A$85,0)),"否"))</f>
        <v/>
      </c>
      <c r="Y583" s="61" t="str">
        <f aca="false">IF($B583="","",YEAR($B583))</f>
        <v/>
      </c>
      <c r="Z583" s="58" t="str">
        <f aca="false">IF($B583="","",TEXT($B583,"yyyy-mm"))</f>
        <v/>
      </c>
    </row>
    <row r="584" customFormat="false" ht="15" hidden="false" customHeight="false" outlineLevel="0" collapsed="false">
      <c r="A584" s="53" t="str">
        <f aca="false">IF($B584="","",ROW()-5)</f>
        <v/>
      </c>
      <c r="B584" s="54"/>
      <c r="C584" s="33"/>
      <c r="D584" s="33"/>
      <c r="E584" s="32"/>
      <c r="F584" s="39"/>
      <c r="G584" s="48" t="str">
        <f aca="false">IF($F584="","",IFERROR(INDEX(商品档案!$B$6:$B$65,MATCH($F584,商品档案!$A$6:$A$65,0)),""))</f>
        <v/>
      </c>
      <c r="H584" s="48" t="str">
        <f aca="false">IF($F584="","",IFERROR(INDEX(商品档案!$C$6:$C$65,MATCH($F584,商品档案!$A$6:$A$65,0)),""))</f>
        <v/>
      </c>
      <c r="I584" s="55" t="str">
        <f aca="false">IF($F584="","",IFERROR(INDEX(商品档案!$D$6:$D$65,MATCH($F584,商品档案!$A$6:$A$65,0)),""))</f>
        <v/>
      </c>
      <c r="J584" s="49"/>
      <c r="K584" s="56"/>
      <c r="L584" s="33"/>
      <c r="M584" s="39"/>
      <c r="N584" s="41"/>
      <c r="O584" s="41"/>
      <c r="P584" s="25" t="str">
        <f aca="false">IF(AND($B584="",$D584="",$F584=""),"",IF(NOT(ISNUMBER($B584)),"日期无效",IF(ISNA(MATCH($C584,参数设置!$A$10:$A$12,0)),"公司无效",IF(ISNA(MATCH($D584,记账规则!$A$6:$A$9,0)),"业务类型无效",IF(ISNA(MATCH($F584,商品档案!$A$6:$A$65,0)),"商品编码无效",IF(IFERROR(INDEX(商品档案!$E$6:$E$65,MATCH($F584,商品档案!$A$6:$A$65,0)),"")&lt;&gt;$C584,"商品不属于该公司",IF(AND($E584&lt;&gt;"",ISNA(MATCH($E584,往来单位!$A$6:$A$85,0))),"往来单位未建档",IF(N($J584)=0,"数量为 0",IF(N($K584)=0,"单价为 0",IF(AND(LEFT($D584,2)="销售",$U584=""),"该商品没设成本科目",IF(YEAR($B584)&lt;&gt;参数设置!$B$5,"不在本会计年度","OK")))))))))))</f>
        <v/>
      </c>
      <c r="Q584" s="57" t="str">
        <f aca="false">IF($F584="","",ROUND(N($J584)*N($K584),2))</f>
        <v/>
      </c>
      <c r="R584" s="58" t="str">
        <f aca="false">IF($D584="","",IF(LEFT($D584,2)="销售","应收账款","应付账款"))</f>
        <v/>
      </c>
      <c r="S584" s="58" t="str">
        <f aca="false">IF($F584="","",IFERROR(INDEX(商品档案!$G$6:$G$65,MATCH($F584,商品档案!$A$6:$A$65,0)),""))</f>
        <v/>
      </c>
      <c r="T584" s="58" t="str">
        <f aca="false">IF($F584="","",IFERROR(INDEX(商品档案!$H$6:$H$65,MATCH($F584,商品档案!$A$6:$A$65,0)),""))</f>
        <v/>
      </c>
      <c r="U584" s="58" t="str">
        <f aca="false">IF($F584="","",IFERROR(INDEX(商品档案!$I$6:$I$65,MATCH($F584,商品档案!$A$6:$A$65,0)),""))</f>
        <v/>
      </c>
      <c r="V584" s="59" t="str">
        <f aca="false">IF($F584="","",SUMIFS(进销存台账!$N$6:$N$65,进销存台账!$A$6:$A$65,$C584,进销存台账!$B$6:$B$65,$F584))</f>
        <v/>
      </c>
      <c r="W584" s="60" t="n">
        <f aca="false">IF(OR($D584="销售出库",$D584="销售退回"),ROUND(N($J584)*N($V584),2),0)</f>
        <v>0</v>
      </c>
      <c r="X584" s="58" t="str">
        <f aca="false">IF($E584="","",IFERROR(INDEX(往来单位!$D$6:$D$85,MATCH($E584,往来单位!$A$6:$A$85,0)),"否"))</f>
        <v/>
      </c>
      <c r="Y584" s="61" t="str">
        <f aca="false">IF($B584="","",YEAR($B584))</f>
        <v/>
      </c>
      <c r="Z584" s="58" t="str">
        <f aca="false">IF($B584="","",TEXT($B584,"yyyy-mm"))</f>
        <v/>
      </c>
    </row>
    <row r="585" customFormat="false" ht="15" hidden="false" customHeight="false" outlineLevel="0" collapsed="false">
      <c r="A585" s="53" t="str">
        <f aca="false">IF($B585="","",ROW()-5)</f>
        <v/>
      </c>
      <c r="B585" s="54"/>
      <c r="C585" s="33"/>
      <c r="D585" s="33"/>
      <c r="E585" s="32"/>
      <c r="F585" s="39"/>
      <c r="G585" s="48" t="str">
        <f aca="false">IF($F585="","",IFERROR(INDEX(商品档案!$B$6:$B$65,MATCH($F585,商品档案!$A$6:$A$65,0)),""))</f>
        <v/>
      </c>
      <c r="H585" s="48" t="str">
        <f aca="false">IF($F585="","",IFERROR(INDEX(商品档案!$C$6:$C$65,MATCH($F585,商品档案!$A$6:$A$65,0)),""))</f>
        <v/>
      </c>
      <c r="I585" s="55" t="str">
        <f aca="false">IF($F585="","",IFERROR(INDEX(商品档案!$D$6:$D$65,MATCH($F585,商品档案!$A$6:$A$65,0)),""))</f>
        <v/>
      </c>
      <c r="J585" s="49"/>
      <c r="K585" s="56"/>
      <c r="L585" s="33"/>
      <c r="M585" s="39"/>
      <c r="N585" s="41"/>
      <c r="O585" s="41"/>
      <c r="P585" s="25" t="str">
        <f aca="false">IF(AND($B585="",$D585="",$F585=""),"",IF(NOT(ISNUMBER($B585)),"日期无效",IF(ISNA(MATCH($C585,参数设置!$A$10:$A$12,0)),"公司无效",IF(ISNA(MATCH($D585,记账规则!$A$6:$A$9,0)),"业务类型无效",IF(ISNA(MATCH($F585,商品档案!$A$6:$A$65,0)),"商品编码无效",IF(IFERROR(INDEX(商品档案!$E$6:$E$65,MATCH($F585,商品档案!$A$6:$A$65,0)),"")&lt;&gt;$C585,"商品不属于该公司",IF(AND($E585&lt;&gt;"",ISNA(MATCH($E585,往来单位!$A$6:$A$85,0))),"往来单位未建档",IF(N($J585)=0,"数量为 0",IF(N($K585)=0,"单价为 0",IF(AND(LEFT($D585,2)="销售",$U585=""),"该商品没设成本科目",IF(YEAR($B585)&lt;&gt;参数设置!$B$5,"不在本会计年度","OK")))))))))))</f>
        <v/>
      </c>
      <c r="Q585" s="57" t="str">
        <f aca="false">IF($F585="","",ROUND(N($J585)*N($K585),2))</f>
        <v/>
      </c>
      <c r="R585" s="58" t="str">
        <f aca="false">IF($D585="","",IF(LEFT($D585,2)="销售","应收账款","应付账款"))</f>
        <v/>
      </c>
      <c r="S585" s="58" t="str">
        <f aca="false">IF($F585="","",IFERROR(INDEX(商品档案!$G$6:$G$65,MATCH($F585,商品档案!$A$6:$A$65,0)),""))</f>
        <v/>
      </c>
      <c r="T585" s="58" t="str">
        <f aca="false">IF($F585="","",IFERROR(INDEX(商品档案!$H$6:$H$65,MATCH($F585,商品档案!$A$6:$A$65,0)),""))</f>
        <v/>
      </c>
      <c r="U585" s="58" t="str">
        <f aca="false">IF($F585="","",IFERROR(INDEX(商品档案!$I$6:$I$65,MATCH($F585,商品档案!$A$6:$A$65,0)),""))</f>
        <v/>
      </c>
      <c r="V585" s="59" t="str">
        <f aca="false">IF($F585="","",SUMIFS(进销存台账!$N$6:$N$65,进销存台账!$A$6:$A$65,$C585,进销存台账!$B$6:$B$65,$F585))</f>
        <v/>
      </c>
      <c r="W585" s="60" t="n">
        <f aca="false">IF(OR($D585="销售出库",$D585="销售退回"),ROUND(N($J585)*N($V585),2),0)</f>
        <v>0</v>
      </c>
      <c r="X585" s="58" t="str">
        <f aca="false">IF($E585="","",IFERROR(INDEX(往来单位!$D$6:$D$85,MATCH($E585,往来单位!$A$6:$A$85,0)),"否"))</f>
        <v/>
      </c>
      <c r="Y585" s="61" t="str">
        <f aca="false">IF($B585="","",YEAR($B585))</f>
        <v/>
      </c>
      <c r="Z585" s="58" t="str">
        <f aca="false">IF($B585="","",TEXT($B585,"yyyy-mm"))</f>
        <v/>
      </c>
    </row>
    <row r="586" customFormat="false" ht="15" hidden="false" customHeight="false" outlineLevel="0" collapsed="false">
      <c r="A586" s="53" t="str">
        <f aca="false">IF($B586="","",ROW()-5)</f>
        <v/>
      </c>
      <c r="B586" s="54"/>
      <c r="C586" s="33"/>
      <c r="D586" s="33"/>
      <c r="E586" s="32"/>
      <c r="F586" s="39"/>
      <c r="G586" s="48" t="str">
        <f aca="false">IF($F586="","",IFERROR(INDEX(商品档案!$B$6:$B$65,MATCH($F586,商品档案!$A$6:$A$65,0)),""))</f>
        <v/>
      </c>
      <c r="H586" s="48" t="str">
        <f aca="false">IF($F586="","",IFERROR(INDEX(商品档案!$C$6:$C$65,MATCH($F586,商品档案!$A$6:$A$65,0)),""))</f>
        <v/>
      </c>
      <c r="I586" s="55" t="str">
        <f aca="false">IF($F586="","",IFERROR(INDEX(商品档案!$D$6:$D$65,MATCH($F586,商品档案!$A$6:$A$65,0)),""))</f>
        <v/>
      </c>
      <c r="J586" s="49"/>
      <c r="K586" s="56"/>
      <c r="L586" s="33"/>
      <c r="M586" s="39"/>
      <c r="N586" s="41"/>
      <c r="O586" s="41"/>
      <c r="P586" s="25" t="str">
        <f aca="false">IF(AND($B586="",$D586="",$F586=""),"",IF(NOT(ISNUMBER($B586)),"日期无效",IF(ISNA(MATCH($C586,参数设置!$A$10:$A$12,0)),"公司无效",IF(ISNA(MATCH($D586,记账规则!$A$6:$A$9,0)),"业务类型无效",IF(ISNA(MATCH($F586,商品档案!$A$6:$A$65,0)),"商品编码无效",IF(IFERROR(INDEX(商品档案!$E$6:$E$65,MATCH($F586,商品档案!$A$6:$A$65,0)),"")&lt;&gt;$C586,"商品不属于该公司",IF(AND($E586&lt;&gt;"",ISNA(MATCH($E586,往来单位!$A$6:$A$85,0))),"往来单位未建档",IF(N($J586)=0,"数量为 0",IF(N($K586)=0,"单价为 0",IF(AND(LEFT($D586,2)="销售",$U586=""),"该商品没设成本科目",IF(YEAR($B586)&lt;&gt;参数设置!$B$5,"不在本会计年度","OK")))))))))))</f>
        <v/>
      </c>
      <c r="Q586" s="57" t="str">
        <f aca="false">IF($F586="","",ROUND(N($J586)*N($K586),2))</f>
        <v/>
      </c>
      <c r="R586" s="58" t="str">
        <f aca="false">IF($D586="","",IF(LEFT($D586,2)="销售","应收账款","应付账款"))</f>
        <v/>
      </c>
      <c r="S586" s="58" t="str">
        <f aca="false">IF($F586="","",IFERROR(INDEX(商品档案!$G$6:$G$65,MATCH($F586,商品档案!$A$6:$A$65,0)),""))</f>
        <v/>
      </c>
      <c r="T586" s="58" t="str">
        <f aca="false">IF($F586="","",IFERROR(INDEX(商品档案!$H$6:$H$65,MATCH($F586,商品档案!$A$6:$A$65,0)),""))</f>
        <v/>
      </c>
      <c r="U586" s="58" t="str">
        <f aca="false">IF($F586="","",IFERROR(INDEX(商品档案!$I$6:$I$65,MATCH($F586,商品档案!$A$6:$A$65,0)),""))</f>
        <v/>
      </c>
      <c r="V586" s="59" t="str">
        <f aca="false">IF($F586="","",SUMIFS(进销存台账!$N$6:$N$65,进销存台账!$A$6:$A$65,$C586,进销存台账!$B$6:$B$65,$F586))</f>
        <v/>
      </c>
      <c r="W586" s="60" t="n">
        <f aca="false">IF(OR($D586="销售出库",$D586="销售退回"),ROUND(N($J586)*N($V586),2),0)</f>
        <v>0</v>
      </c>
      <c r="X586" s="58" t="str">
        <f aca="false">IF($E586="","",IFERROR(INDEX(往来单位!$D$6:$D$85,MATCH($E586,往来单位!$A$6:$A$85,0)),"否"))</f>
        <v/>
      </c>
      <c r="Y586" s="61" t="str">
        <f aca="false">IF($B586="","",YEAR($B586))</f>
        <v/>
      </c>
      <c r="Z586" s="58" t="str">
        <f aca="false">IF($B586="","",TEXT($B586,"yyyy-mm"))</f>
        <v/>
      </c>
    </row>
    <row r="587" customFormat="false" ht="15" hidden="false" customHeight="false" outlineLevel="0" collapsed="false">
      <c r="A587" s="53" t="str">
        <f aca="false">IF($B587="","",ROW()-5)</f>
        <v/>
      </c>
      <c r="B587" s="54"/>
      <c r="C587" s="33"/>
      <c r="D587" s="33"/>
      <c r="E587" s="32"/>
      <c r="F587" s="39"/>
      <c r="G587" s="48" t="str">
        <f aca="false">IF($F587="","",IFERROR(INDEX(商品档案!$B$6:$B$65,MATCH($F587,商品档案!$A$6:$A$65,0)),""))</f>
        <v/>
      </c>
      <c r="H587" s="48" t="str">
        <f aca="false">IF($F587="","",IFERROR(INDEX(商品档案!$C$6:$C$65,MATCH($F587,商品档案!$A$6:$A$65,0)),""))</f>
        <v/>
      </c>
      <c r="I587" s="55" t="str">
        <f aca="false">IF($F587="","",IFERROR(INDEX(商品档案!$D$6:$D$65,MATCH($F587,商品档案!$A$6:$A$65,0)),""))</f>
        <v/>
      </c>
      <c r="J587" s="49"/>
      <c r="K587" s="56"/>
      <c r="L587" s="33"/>
      <c r="M587" s="39"/>
      <c r="N587" s="41"/>
      <c r="O587" s="41"/>
      <c r="P587" s="25" t="str">
        <f aca="false">IF(AND($B587="",$D587="",$F587=""),"",IF(NOT(ISNUMBER($B587)),"日期无效",IF(ISNA(MATCH($C587,参数设置!$A$10:$A$12,0)),"公司无效",IF(ISNA(MATCH($D587,记账规则!$A$6:$A$9,0)),"业务类型无效",IF(ISNA(MATCH($F587,商品档案!$A$6:$A$65,0)),"商品编码无效",IF(IFERROR(INDEX(商品档案!$E$6:$E$65,MATCH($F587,商品档案!$A$6:$A$65,0)),"")&lt;&gt;$C587,"商品不属于该公司",IF(AND($E587&lt;&gt;"",ISNA(MATCH($E587,往来单位!$A$6:$A$85,0))),"往来单位未建档",IF(N($J587)=0,"数量为 0",IF(N($K587)=0,"单价为 0",IF(AND(LEFT($D587,2)="销售",$U587=""),"该商品没设成本科目",IF(YEAR($B587)&lt;&gt;参数设置!$B$5,"不在本会计年度","OK")))))))))))</f>
        <v/>
      </c>
      <c r="Q587" s="57" t="str">
        <f aca="false">IF($F587="","",ROUND(N($J587)*N($K587),2))</f>
        <v/>
      </c>
      <c r="R587" s="58" t="str">
        <f aca="false">IF($D587="","",IF(LEFT($D587,2)="销售","应收账款","应付账款"))</f>
        <v/>
      </c>
      <c r="S587" s="58" t="str">
        <f aca="false">IF($F587="","",IFERROR(INDEX(商品档案!$G$6:$G$65,MATCH($F587,商品档案!$A$6:$A$65,0)),""))</f>
        <v/>
      </c>
      <c r="T587" s="58" t="str">
        <f aca="false">IF($F587="","",IFERROR(INDEX(商品档案!$H$6:$H$65,MATCH($F587,商品档案!$A$6:$A$65,0)),""))</f>
        <v/>
      </c>
      <c r="U587" s="58" t="str">
        <f aca="false">IF($F587="","",IFERROR(INDEX(商品档案!$I$6:$I$65,MATCH($F587,商品档案!$A$6:$A$65,0)),""))</f>
        <v/>
      </c>
      <c r="V587" s="59" t="str">
        <f aca="false">IF($F587="","",SUMIFS(进销存台账!$N$6:$N$65,进销存台账!$A$6:$A$65,$C587,进销存台账!$B$6:$B$65,$F587))</f>
        <v/>
      </c>
      <c r="W587" s="60" t="n">
        <f aca="false">IF(OR($D587="销售出库",$D587="销售退回"),ROUND(N($J587)*N($V587),2),0)</f>
        <v>0</v>
      </c>
      <c r="X587" s="58" t="str">
        <f aca="false">IF($E587="","",IFERROR(INDEX(往来单位!$D$6:$D$85,MATCH($E587,往来单位!$A$6:$A$85,0)),"否"))</f>
        <v/>
      </c>
      <c r="Y587" s="61" t="str">
        <f aca="false">IF($B587="","",YEAR($B587))</f>
        <v/>
      </c>
      <c r="Z587" s="58" t="str">
        <f aca="false">IF($B587="","",TEXT($B587,"yyyy-mm"))</f>
        <v/>
      </c>
    </row>
    <row r="588" customFormat="false" ht="15" hidden="false" customHeight="false" outlineLevel="0" collapsed="false">
      <c r="A588" s="53" t="str">
        <f aca="false">IF($B588="","",ROW()-5)</f>
        <v/>
      </c>
      <c r="B588" s="54"/>
      <c r="C588" s="33"/>
      <c r="D588" s="33"/>
      <c r="E588" s="32"/>
      <c r="F588" s="39"/>
      <c r="G588" s="48" t="str">
        <f aca="false">IF($F588="","",IFERROR(INDEX(商品档案!$B$6:$B$65,MATCH($F588,商品档案!$A$6:$A$65,0)),""))</f>
        <v/>
      </c>
      <c r="H588" s="48" t="str">
        <f aca="false">IF($F588="","",IFERROR(INDEX(商品档案!$C$6:$C$65,MATCH($F588,商品档案!$A$6:$A$65,0)),""))</f>
        <v/>
      </c>
      <c r="I588" s="55" t="str">
        <f aca="false">IF($F588="","",IFERROR(INDEX(商品档案!$D$6:$D$65,MATCH($F588,商品档案!$A$6:$A$65,0)),""))</f>
        <v/>
      </c>
      <c r="J588" s="49"/>
      <c r="K588" s="56"/>
      <c r="L588" s="33"/>
      <c r="M588" s="39"/>
      <c r="N588" s="41"/>
      <c r="O588" s="41"/>
      <c r="P588" s="25" t="str">
        <f aca="false">IF(AND($B588="",$D588="",$F588=""),"",IF(NOT(ISNUMBER($B588)),"日期无效",IF(ISNA(MATCH($C588,参数设置!$A$10:$A$12,0)),"公司无效",IF(ISNA(MATCH($D588,记账规则!$A$6:$A$9,0)),"业务类型无效",IF(ISNA(MATCH($F588,商品档案!$A$6:$A$65,0)),"商品编码无效",IF(IFERROR(INDEX(商品档案!$E$6:$E$65,MATCH($F588,商品档案!$A$6:$A$65,0)),"")&lt;&gt;$C588,"商品不属于该公司",IF(AND($E588&lt;&gt;"",ISNA(MATCH($E588,往来单位!$A$6:$A$85,0))),"往来单位未建档",IF(N($J588)=0,"数量为 0",IF(N($K588)=0,"单价为 0",IF(AND(LEFT($D588,2)="销售",$U588=""),"该商品没设成本科目",IF(YEAR($B588)&lt;&gt;参数设置!$B$5,"不在本会计年度","OK")))))))))))</f>
        <v/>
      </c>
      <c r="Q588" s="57" t="str">
        <f aca="false">IF($F588="","",ROUND(N($J588)*N($K588),2))</f>
        <v/>
      </c>
      <c r="R588" s="58" t="str">
        <f aca="false">IF($D588="","",IF(LEFT($D588,2)="销售","应收账款","应付账款"))</f>
        <v/>
      </c>
      <c r="S588" s="58" t="str">
        <f aca="false">IF($F588="","",IFERROR(INDEX(商品档案!$G$6:$G$65,MATCH($F588,商品档案!$A$6:$A$65,0)),""))</f>
        <v/>
      </c>
      <c r="T588" s="58" t="str">
        <f aca="false">IF($F588="","",IFERROR(INDEX(商品档案!$H$6:$H$65,MATCH($F588,商品档案!$A$6:$A$65,0)),""))</f>
        <v/>
      </c>
      <c r="U588" s="58" t="str">
        <f aca="false">IF($F588="","",IFERROR(INDEX(商品档案!$I$6:$I$65,MATCH($F588,商品档案!$A$6:$A$65,0)),""))</f>
        <v/>
      </c>
      <c r="V588" s="59" t="str">
        <f aca="false">IF($F588="","",SUMIFS(进销存台账!$N$6:$N$65,进销存台账!$A$6:$A$65,$C588,进销存台账!$B$6:$B$65,$F588))</f>
        <v/>
      </c>
      <c r="W588" s="60" t="n">
        <f aca="false">IF(OR($D588="销售出库",$D588="销售退回"),ROUND(N($J588)*N($V588),2),0)</f>
        <v>0</v>
      </c>
      <c r="X588" s="58" t="str">
        <f aca="false">IF($E588="","",IFERROR(INDEX(往来单位!$D$6:$D$85,MATCH($E588,往来单位!$A$6:$A$85,0)),"否"))</f>
        <v/>
      </c>
      <c r="Y588" s="61" t="str">
        <f aca="false">IF($B588="","",YEAR($B588))</f>
        <v/>
      </c>
      <c r="Z588" s="58" t="str">
        <f aca="false">IF($B588="","",TEXT($B588,"yyyy-mm"))</f>
        <v/>
      </c>
    </row>
    <row r="589" customFormat="false" ht="15" hidden="false" customHeight="false" outlineLevel="0" collapsed="false">
      <c r="A589" s="53" t="str">
        <f aca="false">IF($B589="","",ROW()-5)</f>
        <v/>
      </c>
      <c r="B589" s="54"/>
      <c r="C589" s="33"/>
      <c r="D589" s="33"/>
      <c r="E589" s="32"/>
      <c r="F589" s="39"/>
      <c r="G589" s="48" t="str">
        <f aca="false">IF($F589="","",IFERROR(INDEX(商品档案!$B$6:$B$65,MATCH($F589,商品档案!$A$6:$A$65,0)),""))</f>
        <v/>
      </c>
      <c r="H589" s="48" t="str">
        <f aca="false">IF($F589="","",IFERROR(INDEX(商品档案!$C$6:$C$65,MATCH($F589,商品档案!$A$6:$A$65,0)),""))</f>
        <v/>
      </c>
      <c r="I589" s="55" t="str">
        <f aca="false">IF($F589="","",IFERROR(INDEX(商品档案!$D$6:$D$65,MATCH($F589,商品档案!$A$6:$A$65,0)),""))</f>
        <v/>
      </c>
      <c r="J589" s="49"/>
      <c r="K589" s="56"/>
      <c r="L589" s="33"/>
      <c r="M589" s="39"/>
      <c r="N589" s="41"/>
      <c r="O589" s="41"/>
      <c r="P589" s="25" t="str">
        <f aca="false">IF(AND($B589="",$D589="",$F589=""),"",IF(NOT(ISNUMBER($B589)),"日期无效",IF(ISNA(MATCH($C589,参数设置!$A$10:$A$12,0)),"公司无效",IF(ISNA(MATCH($D589,记账规则!$A$6:$A$9,0)),"业务类型无效",IF(ISNA(MATCH($F589,商品档案!$A$6:$A$65,0)),"商品编码无效",IF(IFERROR(INDEX(商品档案!$E$6:$E$65,MATCH($F589,商品档案!$A$6:$A$65,0)),"")&lt;&gt;$C589,"商品不属于该公司",IF(AND($E589&lt;&gt;"",ISNA(MATCH($E589,往来单位!$A$6:$A$85,0))),"往来单位未建档",IF(N($J589)=0,"数量为 0",IF(N($K589)=0,"单价为 0",IF(AND(LEFT($D589,2)="销售",$U589=""),"该商品没设成本科目",IF(YEAR($B589)&lt;&gt;参数设置!$B$5,"不在本会计年度","OK")))))))))))</f>
        <v/>
      </c>
      <c r="Q589" s="57" t="str">
        <f aca="false">IF($F589="","",ROUND(N($J589)*N($K589),2))</f>
        <v/>
      </c>
      <c r="R589" s="58" t="str">
        <f aca="false">IF($D589="","",IF(LEFT($D589,2)="销售","应收账款","应付账款"))</f>
        <v/>
      </c>
      <c r="S589" s="58" t="str">
        <f aca="false">IF($F589="","",IFERROR(INDEX(商品档案!$G$6:$G$65,MATCH($F589,商品档案!$A$6:$A$65,0)),""))</f>
        <v/>
      </c>
      <c r="T589" s="58" t="str">
        <f aca="false">IF($F589="","",IFERROR(INDEX(商品档案!$H$6:$H$65,MATCH($F589,商品档案!$A$6:$A$65,0)),""))</f>
        <v/>
      </c>
      <c r="U589" s="58" t="str">
        <f aca="false">IF($F589="","",IFERROR(INDEX(商品档案!$I$6:$I$65,MATCH($F589,商品档案!$A$6:$A$65,0)),""))</f>
        <v/>
      </c>
      <c r="V589" s="59" t="str">
        <f aca="false">IF($F589="","",SUMIFS(进销存台账!$N$6:$N$65,进销存台账!$A$6:$A$65,$C589,进销存台账!$B$6:$B$65,$F589))</f>
        <v/>
      </c>
      <c r="W589" s="60" t="n">
        <f aca="false">IF(OR($D589="销售出库",$D589="销售退回"),ROUND(N($J589)*N($V589),2),0)</f>
        <v>0</v>
      </c>
      <c r="X589" s="58" t="str">
        <f aca="false">IF($E589="","",IFERROR(INDEX(往来单位!$D$6:$D$85,MATCH($E589,往来单位!$A$6:$A$85,0)),"否"))</f>
        <v/>
      </c>
      <c r="Y589" s="61" t="str">
        <f aca="false">IF($B589="","",YEAR($B589))</f>
        <v/>
      </c>
      <c r="Z589" s="58" t="str">
        <f aca="false">IF($B589="","",TEXT($B589,"yyyy-mm"))</f>
        <v/>
      </c>
    </row>
    <row r="590" customFormat="false" ht="15" hidden="false" customHeight="false" outlineLevel="0" collapsed="false">
      <c r="A590" s="53" t="str">
        <f aca="false">IF($B590="","",ROW()-5)</f>
        <v/>
      </c>
      <c r="B590" s="54"/>
      <c r="C590" s="33"/>
      <c r="D590" s="33"/>
      <c r="E590" s="32"/>
      <c r="F590" s="39"/>
      <c r="G590" s="48" t="str">
        <f aca="false">IF($F590="","",IFERROR(INDEX(商品档案!$B$6:$B$65,MATCH($F590,商品档案!$A$6:$A$65,0)),""))</f>
        <v/>
      </c>
      <c r="H590" s="48" t="str">
        <f aca="false">IF($F590="","",IFERROR(INDEX(商品档案!$C$6:$C$65,MATCH($F590,商品档案!$A$6:$A$65,0)),""))</f>
        <v/>
      </c>
      <c r="I590" s="55" t="str">
        <f aca="false">IF($F590="","",IFERROR(INDEX(商品档案!$D$6:$D$65,MATCH($F590,商品档案!$A$6:$A$65,0)),""))</f>
        <v/>
      </c>
      <c r="J590" s="49"/>
      <c r="K590" s="56"/>
      <c r="L590" s="33"/>
      <c r="M590" s="39"/>
      <c r="N590" s="41"/>
      <c r="O590" s="41"/>
      <c r="P590" s="25" t="str">
        <f aca="false">IF(AND($B590="",$D590="",$F590=""),"",IF(NOT(ISNUMBER($B590)),"日期无效",IF(ISNA(MATCH($C590,参数设置!$A$10:$A$12,0)),"公司无效",IF(ISNA(MATCH($D590,记账规则!$A$6:$A$9,0)),"业务类型无效",IF(ISNA(MATCH($F590,商品档案!$A$6:$A$65,0)),"商品编码无效",IF(IFERROR(INDEX(商品档案!$E$6:$E$65,MATCH($F590,商品档案!$A$6:$A$65,0)),"")&lt;&gt;$C590,"商品不属于该公司",IF(AND($E590&lt;&gt;"",ISNA(MATCH($E590,往来单位!$A$6:$A$85,0))),"往来单位未建档",IF(N($J590)=0,"数量为 0",IF(N($K590)=0,"单价为 0",IF(AND(LEFT($D590,2)="销售",$U590=""),"该商品没设成本科目",IF(YEAR($B590)&lt;&gt;参数设置!$B$5,"不在本会计年度","OK")))))))))))</f>
        <v/>
      </c>
      <c r="Q590" s="57" t="str">
        <f aca="false">IF($F590="","",ROUND(N($J590)*N($K590),2))</f>
        <v/>
      </c>
      <c r="R590" s="58" t="str">
        <f aca="false">IF($D590="","",IF(LEFT($D590,2)="销售","应收账款","应付账款"))</f>
        <v/>
      </c>
      <c r="S590" s="58" t="str">
        <f aca="false">IF($F590="","",IFERROR(INDEX(商品档案!$G$6:$G$65,MATCH($F590,商品档案!$A$6:$A$65,0)),""))</f>
        <v/>
      </c>
      <c r="T590" s="58" t="str">
        <f aca="false">IF($F590="","",IFERROR(INDEX(商品档案!$H$6:$H$65,MATCH($F590,商品档案!$A$6:$A$65,0)),""))</f>
        <v/>
      </c>
      <c r="U590" s="58" t="str">
        <f aca="false">IF($F590="","",IFERROR(INDEX(商品档案!$I$6:$I$65,MATCH($F590,商品档案!$A$6:$A$65,0)),""))</f>
        <v/>
      </c>
      <c r="V590" s="59" t="str">
        <f aca="false">IF($F590="","",SUMIFS(进销存台账!$N$6:$N$65,进销存台账!$A$6:$A$65,$C590,进销存台账!$B$6:$B$65,$F590))</f>
        <v/>
      </c>
      <c r="W590" s="60" t="n">
        <f aca="false">IF(OR($D590="销售出库",$D590="销售退回"),ROUND(N($J590)*N($V590),2),0)</f>
        <v>0</v>
      </c>
      <c r="X590" s="58" t="str">
        <f aca="false">IF($E590="","",IFERROR(INDEX(往来单位!$D$6:$D$85,MATCH($E590,往来单位!$A$6:$A$85,0)),"否"))</f>
        <v/>
      </c>
      <c r="Y590" s="61" t="str">
        <f aca="false">IF($B590="","",YEAR($B590))</f>
        <v/>
      </c>
      <c r="Z590" s="58" t="str">
        <f aca="false">IF($B590="","",TEXT($B590,"yyyy-mm"))</f>
        <v/>
      </c>
    </row>
    <row r="591" customFormat="false" ht="15" hidden="false" customHeight="false" outlineLevel="0" collapsed="false">
      <c r="A591" s="53" t="str">
        <f aca="false">IF($B591="","",ROW()-5)</f>
        <v/>
      </c>
      <c r="B591" s="54"/>
      <c r="C591" s="33"/>
      <c r="D591" s="33"/>
      <c r="E591" s="32"/>
      <c r="F591" s="39"/>
      <c r="G591" s="48" t="str">
        <f aca="false">IF($F591="","",IFERROR(INDEX(商品档案!$B$6:$B$65,MATCH($F591,商品档案!$A$6:$A$65,0)),""))</f>
        <v/>
      </c>
      <c r="H591" s="48" t="str">
        <f aca="false">IF($F591="","",IFERROR(INDEX(商品档案!$C$6:$C$65,MATCH($F591,商品档案!$A$6:$A$65,0)),""))</f>
        <v/>
      </c>
      <c r="I591" s="55" t="str">
        <f aca="false">IF($F591="","",IFERROR(INDEX(商品档案!$D$6:$D$65,MATCH($F591,商品档案!$A$6:$A$65,0)),""))</f>
        <v/>
      </c>
      <c r="J591" s="49"/>
      <c r="K591" s="56"/>
      <c r="L591" s="33"/>
      <c r="M591" s="39"/>
      <c r="N591" s="41"/>
      <c r="O591" s="41"/>
      <c r="P591" s="25" t="str">
        <f aca="false">IF(AND($B591="",$D591="",$F591=""),"",IF(NOT(ISNUMBER($B591)),"日期无效",IF(ISNA(MATCH($C591,参数设置!$A$10:$A$12,0)),"公司无效",IF(ISNA(MATCH($D591,记账规则!$A$6:$A$9,0)),"业务类型无效",IF(ISNA(MATCH($F591,商品档案!$A$6:$A$65,0)),"商品编码无效",IF(IFERROR(INDEX(商品档案!$E$6:$E$65,MATCH($F591,商品档案!$A$6:$A$65,0)),"")&lt;&gt;$C591,"商品不属于该公司",IF(AND($E591&lt;&gt;"",ISNA(MATCH($E591,往来单位!$A$6:$A$85,0))),"往来单位未建档",IF(N($J591)=0,"数量为 0",IF(N($K591)=0,"单价为 0",IF(AND(LEFT($D591,2)="销售",$U591=""),"该商品没设成本科目",IF(YEAR($B591)&lt;&gt;参数设置!$B$5,"不在本会计年度","OK")))))))))))</f>
        <v/>
      </c>
      <c r="Q591" s="57" t="str">
        <f aca="false">IF($F591="","",ROUND(N($J591)*N($K591),2))</f>
        <v/>
      </c>
      <c r="R591" s="58" t="str">
        <f aca="false">IF($D591="","",IF(LEFT($D591,2)="销售","应收账款","应付账款"))</f>
        <v/>
      </c>
      <c r="S591" s="58" t="str">
        <f aca="false">IF($F591="","",IFERROR(INDEX(商品档案!$G$6:$G$65,MATCH($F591,商品档案!$A$6:$A$65,0)),""))</f>
        <v/>
      </c>
      <c r="T591" s="58" t="str">
        <f aca="false">IF($F591="","",IFERROR(INDEX(商品档案!$H$6:$H$65,MATCH($F591,商品档案!$A$6:$A$65,0)),""))</f>
        <v/>
      </c>
      <c r="U591" s="58" t="str">
        <f aca="false">IF($F591="","",IFERROR(INDEX(商品档案!$I$6:$I$65,MATCH($F591,商品档案!$A$6:$A$65,0)),""))</f>
        <v/>
      </c>
      <c r="V591" s="59" t="str">
        <f aca="false">IF($F591="","",SUMIFS(进销存台账!$N$6:$N$65,进销存台账!$A$6:$A$65,$C591,进销存台账!$B$6:$B$65,$F591))</f>
        <v/>
      </c>
      <c r="W591" s="60" t="n">
        <f aca="false">IF(OR($D591="销售出库",$D591="销售退回"),ROUND(N($J591)*N($V591),2),0)</f>
        <v>0</v>
      </c>
      <c r="X591" s="58" t="str">
        <f aca="false">IF($E591="","",IFERROR(INDEX(往来单位!$D$6:$D$85,MATCH($E591,往来单位!$A$6:$A$85,0)),"否"))</f>
        <v/>
      </c>
      <c r="Y591" s="61" t="str">
        <f aca="false">IF($B591="","",YEAR($B591))</f>
        <v/>
      </c>
      <c r="Z591" s="58" t="str">
        <f aca="false">IF($B591="","",TEXT($B591,"yyyy-mm"))</f>
        <v/>
      </c>
    </row>
    <row r="592" customFormat="false" ht="15" hidden="false" customHeight="false" outlineLevel="0" collapsed="false">
      <c r="A592" s="53" t="str">
        <f aca="false">IF($B592="","",ROW()-5)</f>
        <v/>
      </c>
      <c r="B592" s="54"/>
      <c r="C592" s="33"/>
      <c r="D592" s="33"/>
      <c r="E592" s="32"/>
      <c r="F592" s="39"/>
      <c r="G592" s="48" t="str">
        <f aca="false">IF($F592="","",IFERROR(INDEX(商品档案!$B$6:$B$65,MATCH($F592,商品档案!$A$6:$A$65,0)),""))</f>
        <v/>
      </c>
      <c r="H592" s="48" t="str">
        <f aca="false">IF($F592="","",IFERROR(INDEX(商品档案!$C$6:$C$65,MATCH($F592,商品档案!$A$6:$A$65,0)),""))</f>
        <v/>
      </c>
      <c r="I592" s="55" t="str">
        <f aca="false">IF($F592="","",IFERROR(INDEX(商品档案!$D$6:$D$65,MATCH($F592,商品档案!$A$6:$A$65,0)),""))</f>
        <v/>
      </c>
      <c r="J592" s="49"/>
      <c r="K592" s="56"/>
      <c r="L592" s="33"/>
      <c r="M592" s="39"/>
      <c r="N592" s="41"/>
      <c r="O592" s="41"/>
      <c r="P592" s="25" t="str">
        <f aca="false">IF(AND($B592="",$D592="",$F592=""),"",IF(NOT(ISNUMBER($B592)),"日期无效",IF(ISNA(MATCH($C592,参数设置!$A$10:$A$12,0)),"公司无效",IF(ISNA(MATCH($D592,记账规则!$A$6:$A$9,0)),"业务类型无效",IF(ISNA(MATCH($F592,商品档案!$A$6:$A$65,0)),"商品编码无效",IF(IFERROR(INDEX(商品档案!$E$6:$E$65,MATCH($F592,商品档案!$A$6:$A$65,0)),"")&lt;&gt;$C592,"商品不属于该公司",IF(AND($E592&lt;&gt;"",ISNA(MATCH($E592,往来单位!$A$6:$A$85,0))),"往来单位未建档",IF(N($J592)=0,"数量为 0",IF(N($K592)=0,"单价为 0",IF(AND(LEFT($D592,2)="销售",$U592=""),"该商品没设成本科目",IF(YEAR($B592)&lt;&gt;参数设置!$B$5,"不在本会计年度","OK")))))))))))</f>
        <v/>
      </c>
      <c r="Q592" s="57" t="str">
        <f aca="false">IF($F592="","",ROUND(N($J592)*N($K592),2))</f>
        <v/>
      </c>
      <c r="R592" s="58" t="str">
        <f aca="false">IF($D592="","",IF(LEFT($D592,2)="销售","应收账款","应付账款"))</f>
        <v/>
      </c>
      <c r="S592" s="58" t="str">
        <f aca="false">IF($F592="","",IFERROR(INDEX(商品档案!$G$6:$G$65,MATCH($F592,商品档案!$A$6:$A$65,0)),""))</f>
        <v/>
      </c>
      <c r="T592" s="58" t="str">
        <f aca="false">IF($F592="","",IFERROR(INDEX(商品档案!$H$6:$H$65,MATCH($F592,商品档案!$A$6:$A$65,0)),""))</f>
        <v/>
      </c>
      <c r="U592" s="58" t="str">
        <f aca="false">IF($F592="","",IFERROR(INDEX(商品档案!$I$6:$I$65,MATCH($F592,商品档案!$A$6:$A$65,0)),""))</f>
        <v/>
      </c>
      <c r="V592" s="59" t="str">
        <f aca="false">IF($F592="","",SUMIFS(进销存台账!$N$6:$N$65,进销存台账!$A$6:$A$65,$C592,进销存台账!$B$6:$B$65,$F592))</f>
        <v/>
      </c>
      <c r="W592" s="60" t="n">
        <f aca="false">IF(OR($D592="销售出库",$D592="销售退回"),ROUND(N($J592)*N($V592),2),0)</f>
        <v>0</v>
      </c>
      <c r="X592" s="58" t="str">
        <f aca="false">IF($E592="","",IFERROR(INDEX(往来单位!$D$6:$D$85,MATCH($E592,往来单位!$A$6:$A$85,0)),"否"))</f>
        <v/>
      </c>
      <c r="Y592" s="61" t="str">
        <f aca="false">IF($B592="","",YEAR($B592))</f>
        <v/>
      </c>
      <c r="Z592" s="58" t="str">
        <f aca="false">IF($B592="","",TEXT($B592,"yyyy-mm"))</f>
        <v/>
      </c>
    </row>
    <row r="593" customFormat="false" ht="15" hidden="false" customHeight="false" outlineLevel="0" collapsed="false">
      <c r="A593" s="53" t="str">
        <f aca="false">IF($B593="","",ROW()-5)</f>
        <v/>
      </c>
      <c r="B593" s="54"/>
      <c r="C593" s="33"/>
      <c r="D593" s="33"/>
      <c r="E593" s="32"/>
      <c r="F593" s="39"/>
      <c r="G593" s="48" t="str">
        <f aca="false">IF($F593="","",IFERROR(INDEX(商品档案!$B$6:$B$65,MATCH($F593,商品档案!$A$6:$A$65,0)),""))</f>
        <v/>
      </c>
      <c r="H593" s="48" t="str">
        <f aca="false">IF($F593="","",IFERROR(INDEX(商品档案!$C$6:$C$65,MATCH($F593,商品档案!$A$6:$A$65,0)),""))</f>
        <v/>
      </c>
      <c r="I593" s="55" t="str">
        <f aca="false">IF($F593="","",IFERROR(INDEX(商品档案!$D$6:$D$65,MATCH($F593,商品档案!$A$6:$A$65,0)),""))</f>
        <v/>
      </c>
      <c r="J593" s="49"/>
      <c r="K593" s="56"/>
      <c r="L593" s="33"/>
      <c r="M593" s="39"/>
      <c r="N593" s="41"/>
      <c r="O593" s="41"/>
      <c r="P593" s="25" t="str">
        <f aca="false">IF(AND($B593="",$D593="",$F593=""),"",IF(NOT(ISNUMBER($B593)),"日期无效",IF(ISNA(MATCH($C593,参数设置!$A$10:$A$12,0)),"公司无效",IF(ISNA(MATCH($D593,记账规则!$A$6:$A$9,0)),"业务类型无效",IF(ISNA(MATCH($F593,商品档案!$A$6:$A$65,0)),"商品编码无效",IF(IFERROR(INDEX(商品档案!$E$6:$E$65,MATCH($F593,商品档案!$A$6:$A$65,0)),"")&lt;&gt;$C593,"商品不属于该公司",IF(AND($E593&lt;&gt;"",ISNA(MATCH($E593,往来单位!$A$6:$A$85,0))),"往来单位未建档",IF(N($J593)=0,"数量为 0",IF(N($K593)=0,"单价为 0",IF(AND(LEFT($D593,2)="销售",$U593=""),"该商品没设成本科目",IF(YEAR($B593)&lt;&gt;参数设置!$B$5,"不在本会计年度","OK")))))))))))</f>
        <v/>
      </c>
      <c r="Q593" s="57" t="str">
        <f aca="false">IF($F593="","",ROUND(N($J593)*N($K593),2))</f>
        <v/>
      </c>
      <c r="R593" s="58" t="str">
        <f aca="false">IF($D593="","",IF(LEFT($D593,2)="销售","应收账款","应付账款"))</f>
        <v/>
      </c>
      <c r="S593" s="58" t="str">
        <f aca="false">IF($F593="","",IFERROR(INDEX(商品档案!$G$6:$G$65,MATCH($F593,商品档案!$A$6:$A$65,0)),""))</f>
        <v/>
      </c>
      <c r="T593" s="58" t="str">
        <f aca="false">IF($F593="","",IFERROR(INDEX(商品档案!$H$6:$H$65,MATCH($F593,商品档案!$A$6:$A$65,0)),""))</f>
        <v/>
      </c>
      <c r="U593" s="58" t="str">
        <f aca="false">IF($F593="","",IFERROR(INDEX(商品档案!$I$6:$I$65,MATCH($F593,商品档案!$A$6:$A$65,0)),""))</f>
        <v/>
      </c>
      <c r="V593" s="59" t="str">
        <f aca="false">IF($F593="","",SUMIFS(进销存台账!$N$6:$N$65,进销存台账!$A$6:$A$65,$C593,进销存台账!$B$6:$B$65,$F593))</f>
        <v/>
      </c>
      <c r="W593" s="60" t="n">
        <f aca="false">IF(OR($D593="销售出库",$D593="销售退回"),ROUND(N($J593)*N($V593),2),0)</f>
        <v>0</v>
      </c>
      <c r="X593" s="58" t="str">
        <f aca="false">IF($E593="","",IFERROR(INDEX(往来单位!$D$6:$D$85,MATCH($E593,往来单位!$A$6:$A$85,0)),"否"))</f>
        <v/>
      </c>
      <c r="Y593" s="61" t="str">
        <f aca="false">IF($B593="","",YEAR($B593))</f>
        <v/>
      </c>
      <c r="Z593" s="58" t="str">
        <f aca="false">IF($B593="","",TEXT($B593,"yyyy-mm"))</f>
        <v/>
      </c>
    </row>
    <row r="594" customFormat="false" ht="15" hidden="false" customHeight="false" outlineLevel="0" collapsed="false">
      <c r="A594" s="53" t="str">
        <f aca="false">IF($B594="","",ROW()-5)</f>
        <v/>
      </c>
      <c r="B594" s="54"/>
      <c r="C594" s="33"/>
      <c r="D594" s="33"/>
      <c r="E594" s="32"/>
      <c r="F594" s="39"/>
      <c r="G594" s="48" t="str">
        <f aca="false">IF($F594="","",IFERROR(INDEX(商品档案!$B$6:$B$65,MATCH($F594,商品档案!$A$6:$A$65,0)),""))</f>
        <v/>
      </c>
      <c r="H594" s="48" t="str">
        <f aca="false">IF($F594="","",IFERROR(INDEX(商品档案!$C$6:$C$65,MATCH($F594,商品档案!$A$6:$A$65,0)),""))</f>
        <v/>
      </c>
      <c r="I594" s="55" t="str">
        <f aca="false">IF($F594="","",IFERROR(INDEX(商品档案!$D$6:$D$65,MATCH($F594,商品档案!$A$6:$A$65,0)),""))</f>
        <v/>
      </c>
      <c r="J594" s="49"/>
      <c r="K594" s="56"/>
      <c r="L594" s="33"/>
      <c r="M594" s="39"/>
      <c r="N594" s="41"/>
      <c r="O594" s="41"/>
      <c r="P594" s="25" t="str">
        <f aca="false">IF(AND($B594="",$D594="",$F594=""),"",IF(NOT(ISNUMBER($B594)),"日期无效",IF(ISNA(MATCH($C594,参数设置!$A$10:$A$12,0)),"公司无效",IF(ISNA(MATCH($D594,记账规则!$A$6:$A$9,0)),"业务类型无效",IF(ISNA(MATCH($F594,商品档案!$A$6:$A$65,0)),"商品编码无效",IF(IFERROR(INDEX(商品档案!$E$6:$E$65,MATCH($F594,商品档案!$A$6:$A$65,0)),"")&lt;&gt;$C594,"商品不属于该公司",IF(AND($E594&lt;&gt;"",ISNA(MATCH($E594,往来单位!$A$6:$A$85,0))),"往来单位未建档",IF(N($J594)=0,"数量为 0",IF(N($K594)=0,"单价为 0",IF(AND(LEFT($D594,2)="销售",$U594=""),"该商品没设成本科目",IF(YEAR($B594)&lt;&gt;参数设置!$B$5,"不在本会计年度","OK")))))))))))</f>
        <v/>
      </c>
      <c r="Q594" s="57" t="str">
        <f aca="false">IF($F594="","",ROUND(N($J594)*N($K594),2))</f>
        <v/>
      </c>
      <c r="R594" s="58" t="str">
        <f aca="false">IF($D594="","",IF(LEFT($D594,2)="销售","应收账款","应付账款"))</f>
        <v/>
      </c>
      <c r="S594" s="58" t="str">
        <f aca="false">IF($F594="","",IFERROR(INDEX(商品档案!$G$6:$G$65,MATCH($F594,商品档案!$A$6:$A$65,0)),""))</f>
        <v/>
      </c>
      <c r="T594" s="58" t="str">
        <f aca="false">IF($F594="","",IFERROR(INDEX(商品档案!$H$6:$H$65,MATCH($F594,商品档案!$A$6:$A$65,0)),""))</f>
        <v/>
      </c>
      <c r="U594" s="58" t="str">
        <f aca="false">IF($F594="","",IFERROR(INDEX(商品档案!$I$6:$I$65,MATCH($F594,商品档案!$A$6:$A$65,0)),""))</f>
        <v/>
      </c>
      <c r="V594" s="59" t="str">
        <f aca="false">IF($F594="","",SUMIFS(进销存台账!$N$6:$N$65,进销存台账!$A$6:$A$65,$C594,进销存台账!$B$6:$B$65,$F594))</f>
        <v/>
      </c>
      <c r="W594" s="60" t="n">
        <f aca="false">IF(OR($D594="销售出库",$D594="销售退回"),ROUND(N($J594)*N($V594),2),0)</f>
        <v>0</v>
      </c>
      <c r="X594" s="58" t="str">
        <f aca="false">IF($E594="","",IFERROR(INDEX(往来单位!$D$6:$D$85,MATCH($E594,往来单位!$A$6:$A$85,0)),"否"))</f>
        <v/>
      </c>
      <c r="Y594" s="61" t="str">
        <f aca="false">IF($B594="","",YEAR($B594))</f>
        <v/>
      </c>
      <c r="Z594" s="58" t="str">
        <f aca="false">IF($B594="","",TEXT($B594,"yyyy-mm"))</f>
        <v/>
      </c>
    </row>
    <row r="595" customFormat="false" ht="15" hidden="false" customHeight="false" outlineLevel="0" collapsed="false">
      <c r="A595" s="53" t="str">
        <f aca="false">IF($B595="","",ROW()-5)</f>
        <v/>
      </c>
      <c r="B595" s="54"/>
      <c r="C595" s="33"/>
      <c r="D595" s="33"/>
      <c r="E595" s="32"/>
      <c r="F595" s="39"/>
      <c r="G595" s="48" t="str">
        <f aca="false">IF($F595="","",IFERROR(INDEX(商品档案!$B$6:$B$65,MATCH($F595,商品档案!$A$6:$A$65,0)),""))</f>
        <v/>
      </c>
      <c r="H595" s="48" t="str">
        <f aca="false">IF($F595="","",IFERROR(INDEX(商品档案!$C$6:$C$65,MATCH($F595,商品档案!$A$6:$A$65,0)),""))</f>
        <v/>
      </c>
      <c r="I595" s="55" t="str">
        <f aca="false">IF($F595="","",IFERROR(INDEX(商品档案!$D$6:$D$65,MATCH($F595,商品档案!$A$6:$A$65,0)),""))</f>
        <v/>
      </c>
      <c r="J595" s="49"/>
      <c r="K595" s="56"/>
      <c r="L595" s="33"/>
      <c r="M595" s="39"/>
      <c r="N595" s="41"/>
      <c r="O595" s="41"/>
      <c r="P595" s="25" t="str">
        <f aca="false">IF(AND($B595="",$D595="",$F595=""),"",IF(NOT(ISNUMBER($B595)),"日期无效",IF(ISNA(MATCH($C595,参数设置!$A$10:$A$12,0)),"公司无效",IF(ISNA(MATCH($D595,记账规则!$A$6:$A$9,0)),"业务类型无效",IF(ISNA(MATCH($F595,商品档案!$A$6:$A$65,0)),"商品编码无效",IF(IFERROR(INDEX(商品档案!$E$6:$E$65,MATCH($F595,商品档案!$A$6:$A$65,0)),"")&lt;&gt;$C595,"商品不属于该公司",IF(AND($E595&lt;&gt;"",ISNA(MATCH($E595,往来单位!$A$6:$A$85,0))),"往来单位未建档",IF(N($J595)=0,"数量为 0",IF(N($K595)=0,"单价为 0",IF(AND(LEFT($D595,2)="销售",$U595=""),"该商品没设成本科目",IF(YEAR($B595)&lt;&gt;参数设置!$B$5,"不在本会计年度","OK")))))))))))</f>
        <v/>
      </c>
      <c r="Q595" s="57" t="str">
        <f aca="false">IF($F595="","",ROUND(N($J595)*N($K595),2))</f>
        <v/>
      </c>
      <c r="R595" s="58" t="str">
        <f aca="false">IF($D595="","",IF(LEFT($D595,2)="销售","应收账款","应付账款"))</f>
        <v/>
      </c>
      <c r="S595" s="58" t="str">
        <f aca="false">IF($F595="","",IFERROR(INDEX(商品档案!$G$6:$G$65,MATCH($F595,商品档案!$A$6:$A$65,0)),""))</f>
        <v/>
      </c>
      <c r="T595" s="58" t="str">
        <f aca="false">IF($F595="","",IFERROR(INDEX(商品档案!$H$6:$H$65,MATCH($F595,商品档案!$A$6:$A$65,0)),""))</f>
        <v/>
      </c>
      <c r="U595" s="58" t="str">
        <f aca="false">IF($F595="","",IFERROR(INDEX(商品档案!$I$6:$I$65,MATCH($F595,商品档案!$A$6:$A$65,0)),""))</f>
        <v/>
      </c>
      <c r="V595" s="59" t="str">
        <f aca="false">IF($F595="","",SUMIFS(进销存台账!$N$6:$N$65,进销存台账!$A$6:$A$65,$C595,进销存台账!$B$6:$B$65,$F595))</f>
        <v/>
      </c>
      <c r="W595" s="60" t="n">
        <f aca="false">IF(OR($D595="销售出库",$D595="销售退回"),ROUND(N($J595)*N($V595),2),0)</f>
        <v>0</v>
      </c>
      <c r="X595" s="58" t="str">
        <f aca="false">IF($E595="","",IFERROR(INDEX(往来单位!$D$6:$D$85,MATCH($E595,往来单位!$A$6:$A$85,0)),"否"))</f>
        <v/>
      </c>
      <c r="Y595" s="61" t="str">
        <f aca="false">IF($B595="","",YEAR($B595))</f>
        <v/>
      </c>
      <c r="Z595" s="58" t="str">
        <f aca="false">IF($B595="","",TEXT($B595,"yyyy-mm"))</f>
        <v/>
      </c>
    </row>
    <row r="596" customFormat="false" ht="15" hidden="false" customHeight="false" outlineLevel="0" collapsed="false">
      <c r="A596" s="53" t="str">
        <f aca="false">IF($B596="","",ROW()-5)</f>
        <v/>
      </c>
      <c r="B596" s="54"/>
      <c r="C596" s="33"/>
      <c r="D596" s="33"/>
      <c r="E596" s="32"/>
      <c r="F596" s="39"/>
      <c r="G596" s="48" t="str">
        <f aca="false">IF($F596="","",IFERROR(INDEX(商品档案!$B$6:$B$65,MATCH($F596,商品档案!$A$6:$A$65,0)),""))</f>
        <v/>
      </c>
      <c r="H596" s="48" t="str">
        <f aca="false">IF($F596="","",IFERROR(INDEX(商品档案!$C$6:$C$65,MATCH($F596,商品档案!$A$6:$A$65,0)),""))</f>
        <v/>
      </c>
      <c r="I596" s="55" t="str">
        <f aca="false">IF($F596="","",IFERROR(INDEX(商品档案!$D$6:$D$65,MATCH($F596,商品档案!$A$6:$A$65,0)),""))</f>
        <v/>
      </c>
      <c r="J596" s="49"/>
      <c r="K596" s="56"/>
      <c r="L596" s="33"/>
      <c r="M596" s="39"/>
      <c r="N596" s="41"/>
      <c r="O596" s="41"/>
      <c r="P596" s="25" t="str">
        <f aca="false">IF(AND($B596="",$D596="",$F596=""),"",IF(NOT(ISNUMBER($B596)),"日期无效",IF(ISNA(MATCH($C596,参数设置!$A$10:$A$12,0)),"公司无效",IF(ISNA(MATCH($D596,记账规则!$A$6:$A$9,0)),"业务类型无效",IF(ISNA(MATCH($F596,商品档案!$A$6:$A$65,0)),"商品编码无效",IF(IFERROR(INDEX(商品档案!$E$6:$E$65,MATCH($F596,商品档案!$A$6:$A$65,0)),"")&lt;&gt;$C596,"商品不属于该公司",IF(AND($E596&lt;&gt;"",ISNA(MATCH($E596,往来单位!$A$6:$A$85,0))),"往来单位未建档",IF(N($J596)=0,"数量为 0",IF(N($K596)=0,"单价为 0",IF(AND(LEFT($D596,2)="销售",$U596=""),"该商品没设成本科目",IF(YEAR($B596)&lt;&gt;参数设置!$B$5,"不在本会计年度","OK")))))))))))</f>
        <v/>
      </c>
      <c r="Q596" s="57" t="str">
        <f aca="false">IF($F596="","",ROUND(N($J596)*N($K596),2))</f>
        <v/>
      </c>
      <c r="R596" s="58" t="str">
        <f aca="false">IF($D596="","",IF(LEFT($D596,2)="销售","应收账款","应付账款"))</f>
        <v/>
      </c>
      <c r="S596" s="58" t="str">
        <f aca="false">IF($F596="","",IFERROR(INDEX(商品档案!$G$6:$G$65,MATCH($F596,商品档案!$A$6:$A$65,0)),""))</f>
        <v/>
      </c>
      <c r="T596" s="58" t="str">
        <f aca="false">IF($F596="","",IFERROR(INDEX(商品档案!$H$6:$H$65,MATCH($F596,商品档案!$A$6:$A$65,0)),""))</f>
        <v/>
      </c>
      <c r="U596" s="58" t="str">
        <f aca="false">IF($F596="","",IFERROR(INDEX(商品档案!$I$6:$I$65,MATCH($F596,商品档案!$A$6:$A$65,0)),""))</f>
        <v/>
      </c>
      <c r="V596" s="59" t="str">
        <f aca="false">IF($F596="","",SUMIFS(进销存台账!$N$6:$N$65,进销存台账!$A$6:$A$65,$C596,进销存台账!$B$6:$B$65,$F596))</f>
        <v/>
      </c>
      <c r="W596" s="60" t="n">
        <f aca="false">IF(OR($D596="销售出库",$D596="销售退回"),ROUND(N($J596)*N($V596),2),0)</f>
        <v>0</v>
      </c>
      <c r="X596" s="58" t="str">
        <f aca="false">IF($E596="","",IFERROR(INDEX(往来单位!$D$6:$D$85,MATCH($E596,往来单位!$A$6:$A$85,0)),"否"))</f>
        <v/>
      </c>
      <c r="Y596" s="61" t="str">
        <f aca="false">IF($B596="","",YEAR($B596))</f>
        <v/>
      </c>
      <c r="Z596" s="58" t="str">
        <f aca="false">IF($B596="","",TEXT($B596,"yyyy-mm"))</f>
        <v/>
      </c>
    </row>
    <row r="597" customFormat="false" ht="15" hidden="false" customHeight="false" outlineLevel="0" collapsed="false">
      <c r="A597" s="53" t="str">
        <f aca="false">IF($B597="","",ROW()-5)</f>
        <v/>
      </c>
      <c r="B597" s="54"/>
      <c r="C597" s="33"/>
      <c r="D597" s="33"/>
      <c r="E597" s="32"/>
      <c r="F597" s="39"/>
      <c r="G597" s="48" t="str">
        <f aca="false">IF($F597="","",IFERROR(INDEX(商品档案!$B$6:$B$65,MATCH($F597,商品档案!$A$6:$A$65,0)),""))</f>
        <v/>
      </c>
      <c r="H597" s="48" t="str">
        <f aca="false">IF($F597="","",IFERROR(INDEX(商品档案!$C$6:$C$65,MATCH($F597,商品档案!$A$6:$A$65,0)),""))</f>
        <v/>
      </c>
      <c r="I597" s="55" t="str">
        <f aca="false">IF($F597="","",IFERROR(INDEX(商品档案!$D$6:$D$65,MATCH($F597,商品档案!$A$6:$A$65,0)),""))</f>
        <v/>
      </c>
      <c r="J597" s="49"/>
      <c r="K597" s="56"/>
      <c r="L597" s="33"/>
      <c r="M597" s="39"/>
      <c r="N597" s="41"/>
      <c r="O597" s="41"/>
      <c r="P597" s="25" t="str">
        <f aca="false">IF(AND($B597="",$D597="",$F597=""),"",IF(NOT(ISNUMBER($B597)),"日期无效",IF(ISNA(MATCH($C597,参数设置!$A$10:$A$12,0)),"公司无效",IF(ISNA(MATCH($D597,记账规则!$A$6:$A$9,0)),"业务类型无效",IF(ISNA(MATCH($F597,商品档案!$A$6:$A$65,0)),"商品编码无效",IF(IFERROR(INDEX(商品档案!$E$6:$E$65,MATCH($F597,商品档案!$A$6:$A$65,0)),"")&lt;&gt;$C597,"商品不属于该公司",IF(AND($E597&lt;&gt;"",ISNA(MATCH($E597,往来单位!$A$6:$A$85,0))),"往来单位未建档",IF(N($J597)=0,"数量为 0",IF(N($K597)=0,"单价为 0",IF(AND(LEFT($D597,2)="销售",$U597=""),"该商品没设成本科目",IF(YEAR($B597)&lt;&gt;参数设置!$B$5,"不在本会计年度","OK")))))))))))</f>
        <v/>
      </c>
      <c r="Q597" s="57" t="str">
        <f aca="false">IF($F597="","",ROUND(N($J597)*N($K597),2))</f>
        <v/>
      </c>
      <c r="R597" s="58" t="str">
        <f aca="false">IF($D597="","",IF(LEFT($D597,2)="销售","应收账款","应付账款"))</f>
        <v/>
      </c>
      <c r="S597" s="58" t="str">
        <f aca="false">IF($F597="","",IFERROR(INDEX(商品档案!$G$6:$G$65,MATCH($F597,商品档案!$A$6:$A$65,0)),""))</f>
        <v/>
      </c>
      <c r="T597" s="58" t="str">
        <f aca="false">IF($F597="","",IFERROR(INDEX(商品档案!$H$6:$H$65,MATCH($F597,商品档案!$A$6:$A$65,0)),""))</f>
        <v/>
      </c>
      <c r="U597" s="58" t="str">
        <f aca="false">IF($F597="","",IFERROR(INDEX(商品档案!$I$6:$I$65,MATCH($F597,商品档案!$A$6:$A$65,0)),""))</f>
        <v/>
      </c>
      <c r="V597" s="59" t="str">
        <f aca="false">IF($F597="","",SUMIFS(进销存台账!$N$6:$N$65,进销存台账!$A$6:$A$65,$C597,进销存台账!$B$6:$B$65,$F597))</f>
        <v/>
      </c>
      <c r="W597" s="60" t="n">
        <f aca="false">IF(OR($D597="销售出库",$D597="销售退回"),ROUND(N($J597)*N($V597),2),0)</f>
        <v>0</v>
      </c>
      <c r="X597" s="58" t="str">
        <f aca="false">IF($E597="","",IFERROR(INDEX(往来单位!$D$6:$D$85,MATCH($E597,往来单位!$A$6:$A$85,0)),"否"))</f>
        <v/>
      </c>
      <c r="Y597" s="61" t="str">
        <f aca="false">IF($B597="","",YEAR($B597))</f>
        <v/>
      </c>
      <c r="Z597" s="58" t="str">
        <f aca="false">IF($B597="","",TEXT($B597,"yyyy-mm"))</f>
        <v/>
      </c>
    </row>
    <row r="598" customFormat="false" ht="15" hidden="false" customHeight="false" outlineLevel="0" collapsed="false">
      <c r="A598" s="53" t="str">
        <f aca="false">IF($B598="","",ROW()-5)</f>
        <v/>
      </c>
      <c r="B598" s="54"/>
      <c r="C598" s="33"/>
      <c r="D598" s="33"/>
      <c r="E598" s="32"/>
      <c r="F598" s="39"/>
      <c r="G598" s="48" t="str">
        <f aca="false">IF($F598="","",IFERROR(INDEX(商品档案!$B$6:$B$65,MATCH($F598,商品档案!$A$6:$A$65,0)),""))</f>
        <v/>
      </c>
      <c r="H598" s="48" t="str">
        <f aca="false">IF($F598="","",IFERROR(INDEX(商品档案!$C$6:$C$65,MATCH($F598,商品档案!$A$6:$A$65,0)),""))</f>
        <v/>
      </c>
      <c r="I598" s="55" t="str">
        <f aca="false">IF($F598="","",IFERROR(INDEX(商品档案!$D$6:$D$65,MATCH($F598,商品档案!$A$6:$A$65,0)),""))</f>
        <v/>
      </c>
      <c r="J598" s="49"/>
      <c r="K598" s="56"/>
      <c r="L598" s="33"/>
      <c r="M598" s="39"/>
      <c r="N598" s="41"/>
      <c r="O598" s="41"/>
      <c r="P598" s="25" t="str">
        <f aca="false">IF(AND($B598="",$D598="",$F598=""),"",IF(NOT(ISNUMBER($B598)),"日期无效",IF(ISNA(MATCH($C598,参数设置!$A$10:$A$12,0)),"公司无效",IF(ISNA(MATCH($D598,记账规则!$A$6:$A$9,0)),"业务类型无效",IF(ISNA(MATCH($F598,商品档案!$A$6:$A$65,0)),"商品编码无效",IF(IFERROR(INDEX(商品档案!$E$6:$E$65,MATCH($F598,商品档案!$A$6:$A$65,0)),"")&lt;&gt;$C598,"商品不属于该公司",IF(AND($E598&lt;&gt;"",ISNA(MATCH($E598,往来单位!$A$6:$A$85,0))),"往来单位未建档",IF(N($J598)=0,"数量为 0",IF(N($K598)=0,"单价为 0",IF(AND(LEFT($D598,2)="销售",$U598=""),"该商品没设成本科目",IF(YEAR($B598)&lt;&gt;参数设置!$B$5,"不在本会计年度","OK")))))))))))</f>
        <v/>
      </c>
      <c r="Q598" s="57" t="str">
        <f aca="false">IF($F598="","",ROUND(N($J598)*N($K598),2))</f>
        <v/>
      </c>
      <c r="R598" s="58" t="str">
        <f aca="false">IF($D598="","",IF(LEFT($D598,2)="销售","应收账款","应付账款"))</f>
        <v/>
      </c>
      <c r="S598" s="58" t="str">
        <f aca="false">IF($F598="","",IFERROR(INDEX(商品档案!$G$6:$G$65,MATCH($F598,商品档案!$A$6:$A$65,0)),""))</f>
        <v/>
      </c>
      <c r="T598" s="58" t="str">
        <f aca="false">IF($F598="","",IFERROR(INDEX(商品档案!$H$6:$H$65,MATCH($F598,商品档案!$A$6:$A$65,0)),""))</f>
        <v/>
      </c>
      <c r="U598" s="58" t="str">
        <f aca="false">IF($F598="","",IFERROR(INDEX(商品档案!$I$6:$I$65,MATCH($F598,商品档案!$A$6:$A$65,0)),""))</f>
        <v/>
      </c>
      <c r="V598" s="59" t="str">
        <f aca="false">IF($F598="","",SUMIFS(进销存台账!$N$6:$N$65,进销存台账!$A$6:$A$65,$C598,进销存台账!$B$6:$B$65,$F598))</f>
        <v/>
      </c>
      <c r="W598" s="60" t="n">
        <f aca="false">IF(OR($D598="销售出库",$D598="销售退回"),ROUND(N($J598)*N($V598),2),0)</f>
        <v>0</v>
      </c>
      <c r="X598" s="58" t="str">
        <f aca="false">IF($E598="","",IFERROR(INDEX(往来单位!$D$6:$D$85,MATCH($E598,往来单位!$A$6:$A$85,0)),"否"))</f>
        <v/>
      </c>
      <c r="Y598" s="61" t="str">
        <f aca="false">IF($B598="","",YEAR($B598))</f>
        <v/>
      </c>
      <c r="Z598" s="58" t="str">
        <f aca="false">IF($B598="","",TEXT($B598,"yyyy-mm"))</f>
        <v/>
      </c>
    </row>
    <row r="599" customFormat="false" ht="15" hidden="false" customHeight="false" outlineLevel="0" collapsed="false">
      <c r="A599" s="53" t="str">
        <f aca="false">IF($B599="","",ROW()-5)</f>
        <v/>
      </c>
      <c r="B599" s="54"/>
      <c r="C599" s="33"/>
      <c r="D599" s="33"/>
      <c r="E599" s="32"/>
      <c r="F599" s="39"/>
      <c r="G599" s="48" t="str">
        <f aca="false">IF($F599="","",IFERROR(INDEX(商品档案!$B$6:$B$65,MATCH($F599,商品档案!$A$6:$A$65,0)),""))</f>
        <v/>
      </c>
      <c r="H599" s="48" t="str">
        <f aca="false">IF($F599="","",IFERROR(INDEX(商品档案!$C$6:$C$65,MATCH($F599,商品档案!$A$6:$A$65,0)),""))</f>
        <v/>
      </c>
      <c r="I599" s="55" t="str">
        <f aca="false">IF($F599="","",IFERROR(INDEX(商品档案!$D$6:$D$65,MATCH($F599,商品档案!$A$6:$A$65,0)),""))</f>
        <v/>
      </c>
      <c r="J599" s="49"/>
      <c r="K599" s="56"/>
      <c r="L599" s="33"/>
      <c r="M599" s="39"/>
      <c r="N599" s="41"/>
      <c r="O599" s="41"/>
      <c r="P599" s="25" t="str">
        <f aca="false">IF(AND($B599="",$D599="",$F599=""),"",IF(NOT(ISNUMBER($B599)),"日期无效",IF(ISNA(MATCH($C599,参数设置!$A$10:$A$12,0)),"公司无效",IF(ISNA(MATCH($D599,记账规则!$A$6:$A$9,0)),"业务类型无效",IF(ISNA(MATCH($F599,商品档案!$A$6:$A$65,0)),"商品编码无效",IF(IFERROR(INDEX(商品档案!$E$6:$E$65,MATCH($F599,商品档案!$A$6:$A$65,0)),"")&lt;&gt;$C599,"商品不属于该公司",IF(AND($E599&lt;&gt;"",ISNA(MATCH($E599,往来单位!$A$6:$A$85,0))),"往来单位未建档",IF(N($J599)=0,"数量为 0",IF(N($K599)=0,"单价为 0",IF(AND(LEFT($D599,2)="销售",$U599=""),"该商品没设成本科目",IF(YEAR($B599)&lt;&gt;参数设置!$B$5,"不在本会计年度","OK")))))))))))</f>
        <v/>
      </c>
      <c r="Q599" s="57" t="str">
        <f aca="false">IF($F599="","",ROUND(N($J599)*N($K599),2))</f>
        <v/>
      </c>
      <c r="R599" s="58" t="str">
        <f aca="false">IF($D599="","",IF(LEFT($D599,2)="销售","应收账款","应付账款"))</f>
        <v/>
      </c>
      <c r="S599" s="58" t="str">
        <f aca="false">IF($F599="","",IFERROR(INDEX(商品档案!$G$6:$G$65,MATCH($F599,商品档案!$A$6:$A$65,0)),""))</f>
        <v/>
      </c>
      <c r="T599" s="58" t="str">
        <f aca="false">IF($F599="","",IFERROR(INDEX(商品档案!$H$6:$H$65,MATCH($F599,商品档案!$A$6:$A$65,0)),""))</f>
        <v/>
      </c>
      <c r="U599" s="58" t="str">
        <f aca="false">IF($F599="","",IFERROR(INDEX(商品档案!$I$6:$I$65,MATCH($F599,商品档案!$A$6:$A$65,0)),""))</f>
        <v/>
      </c>
      <c r="V599" s="59" t="str">
        <f aca="false">IF($F599="","",SUMIFS(进销存台账!$N$6:$N$65,进销存台账!$A$6:$A$65,$C599,进销存台账!$B$6:$B$65,$F599))</f>
        <v/>
      </c>
      <c r="W599" s="60" t="n">
        <f aca="false">IF(OR($D599="销售出库",$D599="销售退回"),ROUND(N($J599)*N($V599),2),0)</f>
        <v>0</v>
      </c>
      <c r="X599" s="58" t="str">
        <f aca="false">IF($E599="","",IFERROR(INDEX(往来单位!$D$6:$D$85,MATCH($E599,往来单位!$A$6:$A$85,0)),"否"))</f>
        <v/>
      </c>
      <c r="Y599" s="61" t="str">
        <f aca="false">IF($B599="","",YEAR($B599))</f>
        <v/>
      </c>
      <c r="Z599" s="58" t="str">
        <f aca="false">IF($B599="","",TEXT($B599,"yyyy-mm"))</f>
        <v/>
      </c>
    </row>
    <row r="600" customFormat="false" ht="15" hidden="false" customHeight="false" outlineLevel="0" collapsed="false">
      <c r="A600" s="53" t="str">
        <f aca="false">IF($B600="","",ROW()-5)</f>
        <v/>
      </c>
      <c r="B600" s="54"/>
      <c r="C600" s="33"/>
      <c r="D600" s="33"/>
      <c r="E600" s="32"/>
      <c r="F600" s="39"/>
      <c r="G600" s="48" t="str">
        <f aca="false">IF($F600="","",IFERROR(INDEX(商品档案!$B$6:$B$65,MATCH($F600,商品档案!$A$6:$A$65,0)),""))</f>
        <v/>
      </c>
      <c r="H600" s="48" t="str">
        <f aca="false">IF($F600="","",IFERROR(INDEX(商品档案!$C$6:$C$65,MATCH($F600,商品档案!$A$6:$A$65,0)),""))</f>
        <v/>
      </c>
      <c r="I600" s="55" t="str">
        <f aca="false">IF($F600="","",IFERROR(INDEX(商品档案!$D$6:$D$65,MATCH($F600,商品档案!$A$6:$A$65,0)),""))</f>
        <v/>
      </c>
      <c r="J600" s="49"/>
      <c r="K600" s="56"/>
      <c r="L600" s="33"/>
      <c r="M600" s="39"/>
      <c r="N600" s="41"/>
      <c r="O600" s="41"/>
      <c r="P600" s="25" t="str">
        <f aca="false">IF(AND($B600="",$D600="",$F600=""),"",IF(NOT(ISNUMBER($B600)),"日期无效",IF(ISNA(MATCH($C600,参数设置!$A$10:$A$12,0)),"公司无效",IF(ISNA(MATCH($D600,记账规则!$A$6:$A$9,0)),"业务类型无效",IF(ISNA(MATCH($F600,商品档案!$A$6:$A$65,0)),"商品编码无效",IF(IFERROR(INDEX(商品档案!$E$6:$E$65,MATCH($F600,商品档案!$A$6:$A$65,0)),"")&lt;&gt;$C600,"商品不属于该公司",IF(AND($E600&lt;&gt;"",ISNA(MATCH($E600,往来单位!$A$6:$A$85,0))),"往来单位未建档",IF(N($J600)=0,"数量为 0",IF(N($K600)=0,"单价为 0",IF(AND(LEFT($D600,2)="销售",$U600=""),"该商品没设成本科目",IF(YEAR($B600)&lt;&gt;参数设置!$B$5,"不在本会计年度","OK")))))))))))</f>
        <v/>
      </c>
      <c r="Q600" s="57" t="str">
        <f aca="false">IF($F600="","",ROUND(N($J600)*N($K600),2))</f>
        <v/>
      </c>
      <c r="R600" s="58" t="str">
        <f aca="false">IF($D600="","",IF(LEFT($D600,2)="销售","应收账款","应付账款"))</f>
        <v/>
      </c>
      <c r="S600" s="58" t="str">
        <f aca="false">IF($F600="","",IFERROR(INDEX(商品档案!$G$6:$G$65,MATCH($F600,商品档案!$A$6:$A$65,0)),""))</f>
        <v/>
      </c>
      <c r="T600" s="58" t="str">
        <f aca="false">IF($F600="","",IFERROR(INDEX(商品档案!$H$6:$H$65,MATCH($F600,商品档案!$A$6:$A$65,0)),""))</f>
        <v/>
      </c>
      <c r="U600" s="58" t="str">
        <f aca="false">IF($F600="","",IFERROR(INDEX(商品档案!$I$6:$I$65,MATCH($F600,商品档案!$A$6:$A$65,0)),""))</f>
        <v/>
      </c>
      <c r="V600" s="59" t="str">
        <f aca="false">IF($F600="","",SUMIFS(进销存台账!$N$6:$N$65,进销存台账!$A$6:$A$65,$C600,进销存台账!$B$6:$B$65,$F600))</f>
        <v/>
      </c>
      <c r="W600" s="60" t="n">
        <f aca="false">IF(OR($D600="销售出库",$D600="销售退回"),ROUND(N($J600)*N($V600),2),0)</f>
        <v>0</v>
      </c>
      <c r="X600" s="58" t="str">
        <f aca="false">IF($E600="","",IFERROR(INDEX(往来单位!$D$6:$D$85,MATCH($E600,往来单位!$A$6:$A$85,0)),"否"))</f>
        <v/>
      </c>
      <c r="Y600" s="61" t="str">
        <f aca="false">IF($B600="","",YEAR($B600))</f>
        <v/>
      </c>
      <c r="Z600" s="58" t="str">
        <f aca="false">IF($B600="","",TEXT($B600,"yyyy-mm"))</f>
        <v/>
      </c>
    </row>
    <row r="601" customFormat="false" ht="15" hidden="false" customHeight="false" outlineLevel="0" collapsed="false">
      <c r="A601" s="53" t="str">
        <f aca="false">IF($B601="","",ROW()-5)</f>
        <v/>
      </c>
      <c r="B601" s="54"/>
      <c r="C601" s="33"/>
      <c r="D601" s="33"/>
      <c r="E601" s="32"/>
      <c r="F601" s="39"/>
      <c r="G601" s="48" t="str">
        <f aca="false">IF($F601="","",IFERROR(INDEX(商品档案!$B$6:$B$65,MATCH($F601,商品档案!$A$6:$A$65,0)),""))</f>
        <v/>
      </c>
      <c r="H601" s="48" t="str">
        <f aca="false">IF($F601="","",IFERROR(INDEX(商品档案!$C$6:$C$65,MATCH($F601,商品档案!$A$6:$A$65,0)),""))</f>
        <v/>
      </c>
      <c r="I601" s="55" t="str">
        <f aca="false">IF($F601="","",IFERROR(INDEX(商品档案!$D$6:$D$65,MATCH($F601,商品档案!$A$6:$A$65,0)),""))</f>
        <v/>
      </c>
      <c r="J601" s="49"/>
      <c r="K601" s="56"/>
      <c r="L601" s="33"/>
      <c r="M601" s="39"/>
      <c r="N601" s="41"/>
      <c r="O601" s="41"/>
      <c r="P601" s="25" t="str">
        <f aca="false">IF(AND($B601="",$D601="",$F601=""),"",IF(NOT(ISNUMBER($B601)),"日期无效",IF(ISNA(MATCH($C601,参数设置!$A$10:$A$12,0)),"公司无效",IF(ISNA(MATCH($D601,记账规则!$A$6:$A$9,0)),"业务类型无效",IF(ISNA(MATCH($F601,商品档案!$A$6:$A$65,0)),"商品编码无效",IF(IFERROR(INDEX(商品档案!$E$6:$E$65,MATCH($F601,商品档案!$A$6:$A$65,0)),"")&lt;&gt;$C601,"商品不属于该公司",IF(AND($E601&lt;&gt;"",ISNA(MATCH($E601,往来单位!$A$6:$A$85,0))),"往来单位未建档",IF(N($J601)=0,"数量为 0",IF(N($K601)=0,"单价为 0",IF(AND(LEFT($D601,2)="销售",$U601=""),"该商品没设成本科目",IF(YEAR($B601)&lt;&gt;参数设置!$B$5,"不在本会计年度","OK")))))))))))</f>
        <v/>
      </c>
      <c r="Q601" s="57" t="str">
        <f aca="false">IF($F601="","",ROUND(N($J601)*N($K601),2))</f>
        <v/>
      </c>
      <c r="R601" s="58" t="str">
        <f aca="false">IF($D601="","",IF(LEFT($D601,2)="销售","应收账款","应付账款"))</f>
        <v/>
      </c>
      <c r="S601" s="58" t="str">
        <f aca="false">IF($F601="","",IFERROR(INDEX(商品档案!$G$6:$G$65,MATCH($F601,商品档案!$A$6:$A$65,0)),""))</f>
        <v/>
      </c>
      <c r="T601" s="58" t="str">
        <f aca="false">IF($F601="","",IFERROR(INDEX(商品档案!$H$6:$H$65,MATCH($F601,商品档案!$A$6:$A$65,0)),""))</f>
        <v/>
      </c>
      <c r="U601" s="58" t="str">
        <f aca="false">IF($F601="","",IFERROR(INDEX(商品档案!$I$6:$I$65,MATCH($F601,商品档案!$A$6:$A$65,0)),""))</f>
        <v/>
      </c>
      <c r="V601" s="59" t="str">
        <f aca="false">IF($F601="","",SUMIFS(进销存台账!$N$6:$N$65,进销存台账!$A$6:$A$65,$C601,进销存台账!$B$6:$B$65,$F601))</f>
        <v/>
      </c>
      <c r="W601" s="60" t="n">
        <f aca="false">IF(OR($D601="销售出库",$D601="销售退回"),ROUND(N($J601)*N($V601),2),0)</f>
        <v>0</v>
      </c>
      <c r="X601" s="58" t="str">
        <f aca="false">IF($E601="","",IFERROR(INDEX(往来单位!$D$6:$D$85,MATCH($E601,往来单位!$A$6:$A$85,0)),"否"))</f>
        <v/>
      </c>
      <c r="Y601" s="61" t="str">
        <f aca="false">IF($B601="","",YEAR($B601))</f>
        <v/>
      </c>
      <c r="Z601" s="58" t="str">
        <f aca="false">IF($B601="","",TEXT($B601,"yyyy-mm"))</f>
        <v/>
      </c>
    </row>
    <row r="602" customFormat="false" ht="15" hidden="false" customHeight="false" outlineLevel="0" collapsed="false">
      <c r="A602" s="53" t="str">
        <f aca="false">IF($B602="","",ROW()-5)</f>
        <v/>
      </c>
      <c r="B602" s="54"/>
      <c r="C602" s="33"/>
      <c r="D602" s="33"/>
      <c r="E602" s="32"/>
      <c r="F602" s="39"/>
      <c r="G602" s="48" t="str">
        <f aca="false">IF($F602="","",IFERROR(INDEX(商品档案!$B$6:$B$65,MATCH($F602,商品档案!$A$6:$A$65,0)),""))</f>
        <v/>
      </c>
      <c r="H602" s="48" t="str">
        <f aca="false">IF($F602="","",IFERROR(INDEX(商品档案!$C$6:$C$65,MATCH($F602,商品档案!$A$6:$A$65,0)),""))</f>
        <v/>
      </c>
      <c r="I602" s="55" t="str">
        <f aca="false">IF($F602="","",IFERROR(INDEX(商品档案!$D$6:$D$65,MATCH($F602,商品档案!$A$6:$A$65,0)),""))</f>
        <v/>
      </c>
      <c r="J602" s="49"/>
      <c r="K602" s="56"/>
      <c r="L602" s="33"/>
      <c r="M602" s="39"/>
      <c r="N602" s="41"/>
      <c r="O602" s="41"/>
      <c r="P602" s="25" t="str">
        <f aca="false">IF(AND($B602="",$D602="",$F602=""),"",IF(NOT(ISNUMBER($B602)),"日期无效",IF(ISNA(MATCH($C602,参数设置!$A$10:$A$12,0)),"公司无效",IF(ISNA(MATCH($D602,记账规则!$A$6:$A$9,0)),"业务类型无效",IF(ISNA(MATCH($F602,商品档案!$A$6:$A$65,0)),"商品编码无效",IF(IFERROR(INDEX(商品档案!$E$6:$E$65,MATCH($F602,商品档案!$A$6:$A$65,0)),"")&lt;&gt;$C602,"商品不属于该公司",IF(AND($E602&lt;&gt;"",ISNA(MATCH($E602,往来单位!$A$6:$A$85,0))),"往来单位未建档",IF(N($J602)=0,"数量为 0",IF(N($K602)=0,"单价为 0",IF(AND(LEFT($D602,2)="销售",$U602=""),"该商品没设成本科目",IF(YEAR($B602)&lt;&gt;参数设置!$B$5,"不在本会计年度","OK")))))))))))</f>
        <v/>
      </c>
      <c r="Q602" s="57" t="str">
        <f aca="false">IF($F602="","",ROUND(N($J602)*N($K602),2))</f>
        <v/>
      </c>
      <c r="R602" s="58" t="str">
        <f aca="false">IF($D602="","",IF(LEFT($D602,2)="销售","应收账款","应付账款"))</f>
        <v/>
      </c>
      <c r="S602" s="58" t="str">
        <f aca="false">IF($F602="","",IFERROR(INDEX(商品档案!$G$6:$G$65,MATCH($F602,商品档案!$A$6:$A$65,0)),""))</f>
        <v/>
      </c>
      <c r="T602" s="58" t="str">
        <f aca="false">IF($F602="","",IFERROR(INDEX(商品档案!$H$6:$H$65,MATCH($F602,商品档案!$A$6:$A$65,0)),""))</f>
        <v/>
      </c>
      <c r="U602" s="58" t="str">
        <f aca="false">IF($F602="","",IFERROR(INDEX(商品档案!$I$6:$I$65,MATCH($F602,商品档案!$A$6:$A$65,0)),""))</f>
        <v/>
      </c>
      <c r="V602" s="59" t="str">
        <f aca="false">IF($F602="","",SUMIFS(进销存台账!$N$6:$N$65,进销存台账!$A$6:$A$65,$C602,进销存台账!$B$6:$B$65,$F602))</f>
        <v/>
      </c>
      <c r="W602" s="60" t="n">
        <f aca="false">IF(OR($D602="销售出库",$D602="销售退回"),ROUND(N($J602)*N($V602),2),0)</f>
        <v>0</v>
      </c>
      <c r="X602" s="58" t="str">
        <f aca="false">IF($E602="","",IFERROR(INDEX(往来单位!$D$6:$D$85,MATCH($E602,往来单位!$A$6:$A$85,0)),"否"))</f>
        <v/>
      </c>
      <c r="Y602" s="61" t="str">
        <f aca="false">IF($B602="","",YEAR($B602))</f>
        <v/>
      </c>
      <c r="Z602" s="58" t="str">
        <f aca="false">IF($B602="","",TEXT($B602,"yyyy-mm"))</f>
        <v/>
      </c>
    </row>
    <row r="603" customFormat="false" ht="15" hidden="false" customHeight="false" outlineLevel="0" collapsed="false">
      <c r="A603" s="53" t="str">
        <f aca="false">IF($B603="","",ROW()-5)</f>
        <v/>
      </c>
      <c r="B603" s="54"/>
      <c r="C603" s="33"/>
      <c r="D603" s="33"/>
      <c r="E603" s="32"/>
      <c r="F603" s="39"/>
      <c r="G603" s="48" t="str">
        <f aca="false">IF($F603="","",IFERROR(INDEX(商品档案!$B$6:$B$65,MATCH($F603,商品档案!$A$6:$A$65,0)),""))</f>
        <v/>
      </c>
      <c r="H603" s="48" t="str">
        <f aca="false">IF($F603="","",IFERROR(INDEX(商品档案!$C$6:$C$65,MATCH($F603,商品档案!$A$6:$A$65,0)),""))</f>
        <v/>
      </c>
      <c r="I603" s="55" t="str">
        <f aca="false">IF($F603="","",IFERROR(INDEX(商品档案!$D$6:$D$65,MATCH($F603,商品档案!$A$6:$A$65,0)),""))</f>
        <v/>
      </c>
      <c r="J603" s="49"/>
      <c r="K603" s="56"/>
      <c r="L603" s="33"/>
      <c r="M603" s="39"/>
      <c r="N603" s="41"/>
      <c r="O603" s="41"/>
      <c r="P603" s="25" t="str">
        <f aca="false">IF(AND($B603="",$D603="",$F603=""),"",IF(NOT(ISNUMBER($B603)),"日期无效",IF(ISNA(MATCH($C603,参数设置!$A$10:$A$12,0)),"公司无效",IF(ISNA(MATCH($D603,记账规则!$A$6:$A$9,0)),"业务类型无效",IF(ISNA(MATCH($F603,商品档案!$A$6:$A$65,0)),"商品编码无效",IF(IFERROR(INDEX(商品档案!$E$6:$E$65,MATCH($F603,商品档案!$A$6:$A$65,0)),"")&lt;&gt;$C603,"商品不属于该公司",IF(AND($E603&lt;&gt;"",ISNA(MATCH($E603,往来单位!$A$6:$A$85,0))),"往来单位未建档",IF(N($J603)=0,"数量为 0",IF(N($K603)=0,"单价为 0",IF(AND(LEFT($D603,2)="销售",$U603=""),"该商品没设成本科目",IF(YEAR($B603)&lt;&gt;参数设置!$B$5,"不在本会计年度","OK")))))))))))</f>
        <v/>
      </c>
      <c r="Q603" s="57" t="str">
        <f aca="false">IF($F603="","",ROUND(N($J603)*N($K603),2))</f>
        <v/>
      </c>
      <c r="R603" s="58" t="str">
        <f aca="false">IF($D603="","",IF(LEFT($D603,2)="销售","应收账款","应付账款"))</f>
        <v/>
      </c>
      <c r="S603" s="58" t="str">
        <f aca="false">IF($F603="","",IFERROR(INDEX(商品档案!$G$6:$G$65,MATCH($F603,商品档案!$A$6:$A$65,0)),""))</f>
        <v/>
      </c>
      <c r="T603" s="58" t="str">
        <f aca="false">IF($F603="","",IFERROR(INDEX(商品档案!$H$6:$H$65,MATCH($F603,商品档案!$A$6:$A$65,0)),""))</f>
        <v/>
      </c>
      <c r="U603" s="58" t="str">
        <f aca="false">IF($F603="","",IFERROR(INDEX(商品档案!$I$6:$I$65,MATCH($F603,商品档案!$A$6:$A$65,0)),""))</f>
        <v/>
      </c>
      <c r="V603" s="59" t="str">
        <f aca="false">IF($F603="","",SUMIFS(进销存台账!$N$6:$N$65,进销存台账!$A$6:$A$65,$C603,进销存台账!$B$6:$B$65,$F603))</f>
        <v/>
      </c>
      <c r="W603" s="60" t="n">
        <f aca="false">IF(OR($D603="销售出库",$D603="销售退回"),ROUND(N($J603)*N($V603),2),0)</f>
        <v>0</v>
      </c>
      <c r="X603" s="58" t="str">
        <f aca="false">IF($E603="","",IFERROR(INDEX(往来单位!$D$6:$D$85,MATCH($E603,往来单位!$A$6:$A$85,0)),"否"))</f>
        <v/>
      </c>
      <c r="Y603" s="61" t="str">
        <f aca="false">IF($B603="","",YEAR($B603))</f>
        <v/>
      </c>
      <c r="Z603" s="58" t="str">
        <f aca="false">IF($B603="","",TEXT($B603,"yyyy-mm"))</f>
        <v/>
      </c>
    </row>
    <row r="604" customFormat="false" ht="15" hidden="false" customHeight="false" outlineLevel="0" collapsed="false">
      <c r="A604" s="53" t="str">
        <f aca="false">IF($B604="","",ROW()-5)</f>
        <v/>
      </c>
      <c r="B604" s="54"/>
      <c r="C604" s="33"/>
      <c r="D604" s="33"/>
      <c r="E604" s="32"/>
      <c r="F604" s="39"/>
      <c r="G604" s="48" t="str">
        <f aca="false">IF($F604="","",IFERROR(INDEX(商品档案!$B$6:$B$65,MATCH($F604,商品档案!$A$6:$A$65,0)),""))</f>
        <v/>
      </c>
      <c r="H604" s="48" t="str">
        <f aca="false">IF($F604="","",IFERROR(INDEX(商品档案!$C$6:$C$65,MATCH($F604,商品档案!$A$6:$A$65,0)),""))</f>
        <v/>
      </c>
      <c r="I604" s="55" t="str">
        <f aca="false">IF($F604="","",IFERROR(INDEX(商品档案!$D$6:$D$65,MATCH($F604,商品档案!$A$6:$A$65,0)),""))</f>
        <v/>
      </c>
      <c r="J604" s="49"/>
      <c r="K604" s="56"/>
      <c r="L604" s="33"/>
      <c r="M604" s="39"/>
      <c r="N604" s="41"/>
      <c r="O604" s="41"/>
      <c r="P604" s="25" t="str">
        <f aca="false">IF(AND($B604="",$D604="",$F604=""),"",IF(NOT(ISNUMBER($B604)),"日期无效",IF(ISNA(MATCH($C604,参数设置!$A$10:$A$12,0)),"公司无效",IF(ISNA(MATCH($D604,记账规则!$A$6:$A$9,0)),"业务类型无效",IF(ISNA(MATCH($F604,商品档案!$A$6:$A$65,0)),"商品编码无效",IF(IFERROR(INDEX(商品档案!$E$6:$E$65,MATCH($F604,商品档案!$A$6:$A$65,0)),"")&lt;&gt;$C604,"商品不属于该公司",IF(AND($E604&lt;&gt;"",ISNA(MATCH($E604,往来单位!$A$6:$A$85,0))),"往来单位未建档",IF(N($J604)=0,"数量为 0",IF(N($K604)=0,"单价为 0",IF(AND(LEFT($D604,2)="销售",$U604=""),"该商品没设成本科目",IF(YEAR($B604)&lt;&gt;参数设置!$B$5,"不在本会计年度","OK")))))))))))</f>
        <v/>
      </c>
      <c r="Q604" s="57" t="str">
        <f aca="false">IF($F604="","",ROUND(N($J604)*N($K604),2))</f>
        <v/>
      </c>
      <c r="R604" s="58" t="str">
        <f aca="false">IF($D604="","",IF(LEFT($D604,2)="销售","应收账款","应付账款"))</f>
        <v/>
      </c>
      <c r="S604" s="58" t="str">
        <f aca="false">IF($F604="","",IFERROR(INDEX(商品档案!$G$6:$G$65,MATCH($F604,商品档案!$A$6:$A$65,0)),""))</f>
        <v/>
      </c>
      <c r="T604" s="58" t="str">
        <f aca="false">IF($F604="","",IFERROR(INDEX(商品档案!$H$6:$H$65,MATCH($F604,商品档案!$A$6:$A$65,0)),""))</f>
        <v/>
      </c>
      <c r="U604" s="58" t="str">
        <f aca="false">IF($F604="","",IFERROR(INDEX(商品档案!$I$6:$I$65,MATCH($F604,商品档案!$A$6:$A$65,0)),""))</f>
        <v/>
      </c>
      <c r="V604" s="59" t="str">
        <f aca="false">IF($F604="","",SUMIFS(进销存台账!$N$6:$N$65,进销存台账!$A$6:$A$65,$C604,进销存台账!$B$6:$B$65,$F604))</f>
        <v/>
      </c>
      <c r="W604" s="60" t="n">
        <f aca="false">IF(OR($D604="销售出库",$D604="销售退回"),ROUND(N($J604)*N($V604),2),0)</f>
        <v>0</v>
      </c>
      <c r="X604" s="58" t="str">
        <f aca="false">IF($E604="","",IFERROR(INDEX(往来单位!$D$6:$D$85,MATCH($E604,往来单位!$A$6:$A$85,0)),"否"))</f>
        <v/>
      </c>
      <c r="Y604" s="61" t="str">
        <f aca="false">IF($B604="","",YEAR($B604))</f>
        <v/>
      </c>
      <c r="Z604" s="58" t="str">
        <f aca="false">IF($B604="","",TEXT($B604,"yyyy-mm"))</f>
        <v/>
      </c>
    </row>
    <row r="605" customFormat="false" ht="15" hidden="false" customHeight="false" outlineLevel="0" collapsed="false">
      <c r="A605" s="53" t="str">
        <f aca="false">IF($B605="","",ROW()-5)</f>
        <v/>
      </c>
      <c r="B605" s="54"/>
      <c r="C605" s="33"/>
      <c r="D605" s="33"/>
      <c r="E605" s="32"/>
      <c r="F605" s="39"/>
      <c r="G605" s="48" t="str">
        <f aca="false">IF($F605="","",IFERROR(INDEX(商品档案!$B$6:$B$65,MATCH($F605,商品档案!$A$6:$A$65,0)),""))</f>
        <v/>
      </c>
      <c r="H605" s="48" t="str">
        <f aca="false">IF($F605="","",IFERROR(INDEX(商品档案!$C$6:$C$65,MATCH($F605,商品档案!$A$6:$A$65,0)),""))</f>
        <v/>
      </c>
      <c r="I605" s="55" t="str">
        <f aca="false">IF($F605="","",IFERROR(INDEX(商品档案!$D$6:$D$65,MATCH($F605,商品档案!$A$6:$A$65,0)),""))</f>
        <v/>
      </c>
      <c r="J605" s="49"/>
      <c r="K605" s="56"/>
      <c r="L605" s="33"/>
      <c r="M605" s="39"/>
      <c r="N605" s="41"/>
      <c r="O605" s="41"/>
      <c r="P605" s="25" t="str">
        <f aca="false">IF(AND($B605="",$D605="",$F605=""),"",IF(NOT(ISNUMBER($B605)),"日期无效",IF(ISNA(MATCH($C605,参数设置!$A$10:$A$12,0)),"公司无效",IF(ISNA(MATCH($D605,记账规则!$A$6:$A$9,0)),"业务类型无效",IF(ISNA(MATCH($F605,商品档案!$A$6:$A$65,0)),"商品编码无效",IF(IFERROR(INDEX(商品档案!$E$6:$E$65,MATCH($F605,商品档案!$A$6:$A$65,0)),"")&lt;&gt;$C605,"商品不属于该公司",IF(AND($E605&lt;&gt;"",ISNA(MATCH($E605,往来单位!$A$6:$A$85,0))),"往来单位未建档",IF(N($J605)=0,"数量为 0",IF(N($K605)=0,"单价为 0",IF(AND(LEFT($D605,2)="销售",$U605=""),"该商品没设成本科目",IF(YEAR($B605)&lt;&gt;参数设置!$B$5,"不在本会计年度","OK")))))))))))</f>
        <v/>
      </c>
      <c r="Q605" s="57" t="str">
        <f aca="false">IF($F605="","",ROUND(N($J605)*N($K605),2))</f>
        <v/>
      </c>
      <c r="R605" s="58" t="str">
        <f aca="false">IF($D605="","",IF(LEFT($D605,2)="销售","应收账款","应付账款"))</f>
        <v/>
      </c>
      <c r="S605" s="58" t="str">
        <f aca="false">IF($F605="","",IFERROR(INDEX(商品档案!$G$6:$G$65,MATCH($F605,商品档案!$A$6:$A$65,0)),""))</f>
        <v/>
      </c>
      <c r="T605" s="58" t="str">
        <f aca="false">IF($F605="","",IFERROR(INDEX(商品档案!$H$6:$H$65,MATCH($F605,商品档案!$A$6:$A$65,0)),""))</f>
        <v/>
      </c>
      <c r="U605" s="58" t="str">
        <f aca="false">IF($F605="","",IFERROR(INDEX(商品档案!$I$6:$I$65,MATCH($F605,商品档案!$A$6:$A$65,0)),""))</f>
        <v/>
      </c>
      <c r="V605" s="59" t="str">
        <f aca="false">IF($F605="","",SUMIFS(进销存台账!$N$6:$N$65,进销存台账!$A$6:$A$65,$C605,进销存台账!$B$6:$B$65,$F605))</f>
        <v/>
      </c>
      <c r="W605" s="60" t="n">
        <f aca="false">IF(OR($D605="销售出库",$D605="销售退回"),ROUND(N($J605)*N($V605),2),0)</f>
        <v>0</v>
      </c>
      <c r="X605" s="58" t="str">
        <f aca="false">IF($E605="","",IFERROR(INDEX(往来单位!$D$6:$D$85,MATCH($E605,往来单位!$A$6:$A$85,0)),"否"))</f>
        <v/>
      </c>
      <c r="Y605" s="61" t="str">
        <f aca="false">IF($B605="","",YEAR($B605))</f>
        <v/>
      </c>
      <c r="Z605" s="58" t="str">
        <f aca="false">IF($B605="","",TEXT($B605,"yyyy-mm"))</f>
        <v/>
      </c>
    </row>
    <row r="606" customFormat="false" ht="15" hidden="false" customHeight="false" outlineLevel="0" collapsed="false">
      <c r="A606" s="53" t="str">
        <f aca="false">IF($B606="","",ROW()-5)</f>
        <v/>
      </c>
      <c r="B606" s="54"/>
      <c r="C606" s="33"/>
      <c r="D606" s="33"/>
      <c r="E606" s="32"/>
      <c r="F606" s="39"/>
      <c r="G606" s="48" t="str">
        <f aca="false">IF($F606="","",IFERROR(INDEX(商品档案!$B$6:$B$65,MATCH($F606,商品档案!$A$6:$A$65,0)),""))</f>
        <v/>
      </c>
      <c r="H606" s="48" t="str">
        <f aca="false">IF($F606="","",IFERROR(INDEX(商品档案!$C$6:$C$65,MATCH($F606,商品档案!$A$6:$A$65,0)),""))</f>
        <v/>
      </c>
      <c r="I606" s="55" t="str">
        <f aca="false">IF($F606="","",IFERROR(INDEX(商品档案!$D$6:$D$65,MATCH($F606,商品档案!$A$6:$A$65,0)),""))</f>
        <v/>
      </c>
      <c r="J606" s="49"/>
      <c r="K606" s="56"/>
      <c r="L606" s="33"/>
      <c r="M606" s="39"/>
      <c r="N606" s="41"/>
      <c r="O606" s="41"/>
      <c r="P606" s="25" t="str">
        <f aca="false">IF(AND($B606="",$D606="",$F606=""),"",IF(NOT(ISNUMBER($B606)),"日期无效",IF(ISNA(MATCH($C606,参数设置!$A$10:$A$12,0)),"公司无效",IF(ISNA(MATCH($D606,记账规则!$A$6:$A$9,0)),"业务类型无效",IF(ISNA(MATCH($F606,商品档案!$A$6:$A$65,0)),"商品编码无效",IF(IFERROR(INDEX(商品档案!$E$6:$E$65,MATCH($F606,商品档案!$A$6:$A$65,0)),"")&lt;&gt;$C606,"商品不属于该公司",IF(AND($E606&lt;&gt;"",ISNA(MATCH($E606,往来单位!$A$6:$A$85,0))),"往来单位未建档",IF(N($J606)=0,"数量为 0",IF(N($K606)=0,"单价为 0",IF(AND(LEFT($D606,2)="销售",$U606=""),"该商品没设成本科目",IF(YEAR($B606)&lt;&gt;参数设置!$B$5,"不在本会计年度","OK")))))))))))</f>
        <v/>
      </c>
      <c r="Q606" s="57" t="str">
        <f aca="false">IF($F606="","",ROUND(N($J606)*N($K606),2))</f>
        <v/>
      </c>
      <c r="R606" s="58" t="str">
        <f aca="false">IF($D606="","",IF(LEFT($D606,2)="销售","应收账款","应付账款"))</f>
        <v/>
      </c>
      <c r="S606" s="58" t="str">
        <f aca="false">IF($F606="","",IFERROR(INDEX(商品档案!$G$6:$G$65,MATCH($F606,商品档案!$A$6:$A$65,0)),""))</f>
        <v/>
      </c>
      <c r="T606" s="58" t="str">
        <f aca="false">IF($F606="","",IFERROR(INDEX(商品档案!$H$6:$H$65,MATCH($F606,商品档案!$A$6:$A$65,0)),""))</f>
        <v/>
      </c>
      <c r="U606" s="58" t="str">
        <f aca="false">IF($F606="","",IFERROR(INDEX(商品档案!$I$6:$I$65,MATCH($F606,商品档案!$A$6:$A$65,0)),""))</f>
        <v/>
      </c>
      <c r="V606" s="59" t="str">
        <f aca="false">IF($F606="","",SUMIFS(进销存台账!$N$6:$N$65,进销存台账!$A$6:$A$65,$C606,进销存台账!$B$6:$B$65,$F606))</f>
        <v/>
      </c>
      <c r="W606" s="60" t="n">
        <f aca="false">IF(OR($D606="销售出库",$D606="销售退回"),ROUND(N($J606)*N($V606),2),0)</f>
        <v>0</v>
      </c>
      <c r="X606" s="58" t="str">
        <f aca="false">IF($E606="","",IFERROR(INDEX(往来单位!$D$6:$D$85,MATCH($E606,往来单位!$A$6:$A$85,0)),"否"))</f>
        <v/>
      </c>
      <c r="Y606" s="61" t="str">
        <f aca="false">IF($B606="","",YEAR($B606))</f>
        <v/>
      </c>
      <c r="Z606" s="58" t="str">
        <f aca="false">IF($B606="","",TEXT($B606,"yyyy-mm"))</f>
        <v/>
      </c>
    </row>
    <row r="607" customFormat="false" ht="15" hidden="false" customHeight="false" outlineLevel="0" collapsed="false">
      <c r="A607" s="53" t="str">
        <f aca="false">IF($B607="","",ROW()-5)</f>
        <v/>
      </c>
      <c r="B607" s="54"/>
      <c r="C607" s="33"/>
      <c r="D607" s="33"/>
      <c r="E607" s="32"/>
      <c r="F607" s="39"/>
      <c r="G607" s="48" t="str">
        <f aca="false">IF($F607="","",IFERROR(INDEX(商品档案!$B$6:$B$65,MATCH($F607,商品档案!$A$6:$A$65,0)),""))</f>
        <v/>
      </c>
      <c r="H607" s="48" t="str">
        <f aca="false">IF($F607="","",IFERROR(INDEX(商品档案!$C$6:$C$65,MATCH($F607,商品档案!$A$6:$A$65,0)),""))</f>
        <v/>
      </c>
      <c r="I607" s="55" t="str">
        <f aca="false">IF($F607="","",IFERROR(INDEX(商品档案!$D$6:$D$65,MATCH($F607,商品档案!$A$6:$A$65,0)),""))</f>
        <v/>
      </c>
      <c r="J607" s="49"/>
      <c r="K607" s="56"/>
      <c r="L607" s="33"/>
      <c r="M607" s="39"/>
      <c r="N607" s="41"/>
      <c r="O607" s="41"/>
      <c r="P607" s="25" t="str">
        <f aca="false">IF(AND($B607="",$D607="",$F607=""),"",IF(NOT(ISNUMBER($B607)),"日期无效",IF(ISNA(MATCH($C607,参数设置!$A$10:$A$12,0)),"公司无效",IF(ISNA(MATCH($D607,记账规则!$A$6:$A$9,0)),"业务类型无效",IF(ISNA(MATCH($F607,商品档案!$A$6:$A$65,0)),"商品编码无效",IF(IFERROR(INDEX(商品档案!$E$6:$E$65,MATCH($F607,商品档案!$A$6:$A$65,0)),"")&lt;&gt;$C607,"商品不属于该公司",IF(AND($E607&lt;&gt;"",ISNA(MATCH($E607,往来单位!$A$6:$A$85,0))),"往来单位未建档",IF(N($J607)=0,"数量为 0",IF(N($K607)=0,"单价为 0",IF(AND(LEFT($D607,2)="销售",$U607=""),"该商品没设成本科目",IF(YEAR($B607)&lt;&gt;参数设置!$B$5,"不在本会计年度","OK")))))))))))</f>
        <v/>
      </c>
      <c r="Q607" s="57" t="str">
        <f aca="false">IF($F607="","",ROUND(N($J607)*N($K607),2))</f>
        <v/>
      </c>
      <c r="R607" s="58" t="str">
        <f aca="false">IF($D607="","",IF(LEFT($D607,2)="销售","应收账款","应付账款"))</f>
        <v/>
      </c>
      <c r="S607" s="58" t="str">
        <f aca="false">IF($F607="","",IFERROR(INDEX(商品档案!$G$6:$G$65,MATCH($F607,商品档案!$A$6:$A$65,0)),""))</f>
        <v/>
      </c>
      <c r="T607" s="58" t="str">
        <f aca="false">IF($F607="","",IFERROR(INDEX(商品档案!$H$6:$H$65,MATCH($F607,商品档案!$A$6:$A$65,0)),""))</f>
        <v/>
      </c>
      <c r="U607" s="58" t="str">
        <f aca="false">IF($F607="","",IFERROR(INDEX(商品档案!$I$6:$I$65,MATCH($F607,商品档案!$A$6:$A$65,0)),""))</f>
        <v/>
      </c>
      <c r="V607" s="59" t="str">
        <f aca="false">IF($F607="","",SUMIFS(进销存台账!$N$6:$N$65,进销存台账!$A$6:$A$65,$C607,进销存台账!$B$6:$B$65,$F607))</f>
        <v/>
      </c>
      <c r="W607" s="60" t="n">
        <f aca="false">IF(OR($D607="销售出库",$D607="销售退回"),ROUND(N($J607)*N($V607),2),0)</f>
        <v>0</v>
      </c>
      <c r="X607" s="58" t="str">
        <f aca="false">IF($E607="","",IFERROR(INDEX(往来单位!$D$6:$D$85,MATCH($E607,往来单位!$A$6:$A$85,0)),"否"))</f>
        <v/>
      </c>
      <c r="Y607" s="61" t="str">
        <f aca="false">IF($B607="","",YEAR($B607))</f>
        <v/>
      </c>
      <c r="Z607" s="58" t="str">
        <f aca="false">IF($B607="","",TEXT($B607,"yyyy-mm"))</f>
        <v/>
      </c>
    </row>
    <row r="608" customFormat="false" ht="15" hidden="false" customHeight="false" outlineLevel="0" collapsed="false">
      <c r="A608" s="53" t="str">
        <f aca="false">IF($B608="","",ROW()-5)</f>
        <v/>
      </c>
      <c r="B608" s="54"/>
      <c r="C608" s="33"/>
      <c r="D608" s="33"/>
      <c r="E608" s="32"/>
      <c r="F608" s="39"/>
      <c r="G608" s="48" t="str">
        <f aca="false">IF($F608="","",IFERROR(INDEX(商品档案!$B$6:$B$65,MATCH($F608,商品档案!$A$6:$A$65,0)),""))</f>
        <v/>
      </c>
      <c r="H608" s="48" t="str">
        <f aca="false">IF($F608="","",IFERROR(INDEX(商品档案!$C$6:$C$65,MATCH($F608,商品档案!$A$6:$A$65,0)),""))</f>
        <v/>
      </c>
      <c r="I608" s="55" t="str">
        <f aca="false">IF($F608="","",IFERROR(INDEX(商品档案!$D$6:$D$65,MATCH($F608,商品档案!$A$6:$A$65,0)),""))</f>
        <v/>
      </c>
      <c r="J608" s="49"/>
      <c r="K608" s="56"/>
      <c r="L608" s="33"/>
      <c r="M608" s="39"/>
      <c r="N608" s="41"/>
      <c r="O608" s="41"/>
      <c r="P608" s="25" t="str">
        <f aca="false">IF(AND($B608="",$D608="",$F608=""),"",IF(NOT(ISNUMBER($B608)),"日期无效",IF(ISNA(MATCH($C608,参数设置!$A$10:$A$12,0)),"公司无效",IF(ISNA(MATCH($D608,记账规则!$A$6:$A$9,0)),"业务类型无效",IF(ISNA(MATCH($F608,商品档案!$A$6:$A$65,0)),"商品编码无效",IF(IFERROR(INDEX(商品档案!$E$6:$E$65,MATCH($F608,商品档案!$A$6:$A$65,0)),"")&lt;&gt;$C608,"商品不属于该公司",IF(AND($E608&lt;&gt;"",ISNA(MATCH($E608,往来单位!$A$6:$A$85,0))),"往来单位未建档",IF(N($J608)=0,"数量为 0",IF(N($K608)=0,"单价为 0",IF(AND(LEFT($D608,2)="销售",$U608=""),"该商品没设成本科目",IF(YEAR($B608)&lt;&gt;参数设置!$B$5,"不在本会计年度","OK")))))))))))</f>
        <v/>
      </c>
      <c r="Q608" s="57" t="str">
        <f aca="false">IF($F608="","",ROUND(N($J608)*N($K608),2))</f>
        <v/>
      </c>
      <c r="R608" s="58" t="str">
        <f aca="false">IF($D608="","",IF(LEFT($D608,2)="销售","应收账款","应付账款"))</f>
        <v/>
      </c>
      <c r="S608" s="58" t="str">
        <f aca="false">IF($F608="","",IFERROR(INDEX(商品档案!$G$6:$G$65,MATCH($F608,商品档案!$A$6:$A$65,0)),""))</f>
        <v/>
      </c>
      <c r="T608" s="58" t="str">
        <f aca="false">IF($F608="","",IFERROR(INDEX(商品档案!$H$6:$H$65,MATCH($F608,商品档案!$A$6:$A$65,0)),""))</f>
        <v/>
      </c>
      <c r="U608" s="58" t="str">
        <f aca="false">IF($F608="","",IFERROR(INDEX(商品档案!$I$6:$I$65,MATCH($F608,商品档案!$A$6:$A$65,0)),""))</f>
        <v/>
      </c>
      <c r="V608" s="59" t="str">
        <f aca="false">IF($F608="","",SUMIFS(进销存台账!$N$6:$N$65,进销存台账!$A$6:$A$65,$C608,进销存台账!$B$6:$B$65,$F608))</f>
        <v/>
      </c>
      <c r="W608" s="60" t="n">
        <f aca="false">IF(OR($D608="销售出库",$D608="销售退回"),ROUND(N($J608)*N($V608),2),0)</f>
        <v>0</v>
      </c>
      <c r="X608" s="58" t="str">
        <f aca="false">IF($E608="","",IFERROR(INDEX(往来单位!$D$6:$D$85,MATCH($E608,往来单位!$A$6:$A$85,0)),"否"))</f>
        <v/>
      </c>
      <c r="Y608" s="61" t="str">
        <f aca="false">IF($B608="","",YEAR($B608))</f>
        <v/>
      </c>
      <c r="Z608" s="58" t="str">
        <f aca="false">IF($B608="","",TEXT($B608,"yyyy-mm"))</f>
        <v/>
      </c>
    </row>
    <row r="609" customFormat="false" ht="15" hidden="false" customHeight="false" outlineLevel="0" collapsed="false">
      <c r="A609" s="53" t="str">
        <f aca="false">IF($B609="","",ROW()-5)</f>
        <v/>
      </c>
      <c r="B609" s="54"/>
      <c r="C609" s="33"/>
      <c r="D609" s="33"/>
      <c r="E609" s="32"/>
      <c r="F609" s="39"/>
      <c r="G609" s="48" t="str">
        <f aca="false">IF($F609="","",IFERROR(INDEX(商品档案!$B$6:$B$65,MATCH($F609,商品档案!$A$6:$A$65,0)),""))</f>
        <v/>
      </c>
      <c r="H609" s="48" t="str">
        <f aca="false">IF($F609="","",IFERROR(INDEX(商品档案!$C$6:$C$65,MATCH($F609,商品档案!$A$6:$A$65,0)),""))</f>
        <v/>
      </c>
      <c r="I609" s="55" t="str">
        <f aca="false">IF($F609="","",IFERROR(INDEX(商品档案!$D$6:$D$65,MATCH($F609,商品档案!$A$6:$A$65,0)),""))</f>
        <v/>
      </c>
      <c r="J609" s="49"/>
      <c r="K609" s="56"/>
      <c r="L609" s="33"/>
      <c r="M609" s="39"/>
      <c r="N609" s="41"/>
      <c r="O609" s="41"/>
      <c r="P609" s="25" t="str">
        <f aca="false">IF(AND($B609="",$D609="",$F609=""),"",IF(NOT(ISNUMBER($B609)),"日期无效",IF(ISNA(MATCH($C609,参数设置!$A$10:$A$12,0)),"公司无效",IF(ISNA(MATCH($D609,记账规则!$A$6:$A$9,0)),"业务类型无效",IF(ISNA(MATCH($F609,商品档案!$A$6:$A$65,0)),"商品编码无效",IF(IFERROR(INDEX(商品档案!$E$6:$E$65,MATCH($F609,商品档案!$A$6:$A$65,0)),"")&lt;&gt;$C609,"商品不属于该公司",IF(AND($E609&lt;&gt;"",ISNA(MATCH($E609,往来单位!$A$6:$A$85,0))),"往来单位未建档",IF(N($J609)=0,"数量为 0",IF(N($K609)=0,"单价为 0",IF(AND(LEFT($D609,2)="销售",$U609=""),"该商品没设成本科目",IF(YEAR($B609)&lt;&gt;参数设置!$B$5,"不在本会计年度","OK")))))))))))</f>
        <v/>
      </c>
      <c r="Q609" s="57" t="str">
        <f aca="false">IF($F609="","",ROUND(N($J609)*N($K609),2))</f>
        <v/>
      </c>
      <c r="R609" s="58" t="str">
        <f aca="false">IF($D609="","",IF(LEFT($D609,2)="销售","应收账款","应付账款"))</f>
        <v/>
      </c>
      <c r="S609" s="58" t="str">
        <f aca="false">IF($F609="","",IFERROR(INDEX(商品档案!$G$6:$G$65,MATCH($F609,商品档案!$A$6:$A$65,0)),""))</f>
        <v/>
      </c>
      <c r="T609" s="58" t="str">
        <f aca="false">IF($F609="","",IFERROR(INDEX(商品档案!$H$6:$H$65,MATCH($F609,商品档案!$A$6:$A$65,0)),""))</f>
        <v/>
      </c>
      <c r="U609" s="58" t="str">
        <f aca="false">IF($F609="","",IFERROR(INDEX(商品档案!$I$6:$I$65,MATCH($F609,商品档案!$A$6:$A$65,0)),""))</f>
        <v/>
      </c>
      <c r="V609" s="59" t="str">
        <f aca="false">IF($F609="","",SUMIFS(进销存台账!$N$6:$N$65,进销存台账!$A$6:$A$65,$C609,进销存台账!$B$6:$B$65,$F609))</f>
        <v/>
      </c>
      <c r="W609" s="60" t="n">
        <f aca="false">IF(OR($D609="销售出库",$D609="销售退回"),ROUND(N($J609)*N($V609),2),0)</f>
        <v>0</v>
      </c>
      <c r="X609" s="58" t="str">
        <f aca="false">IF($E609="","",IFERROR(INDEX(往来单位!$D$6:$D$85,MATCH($E609,往来单位!$A$6:$A$85,0)),"否"))</f>
        <v/>
      </c>
      <c r="Y609" s="61" t="str">
        <f aca="false">IF($B609="","",YEAR($B609))</f>
        <v/>
      </c>
      <c r="Z609" s="58" t="str">
        <f aca="false">IF($B609="","",TEXT($B609,"yyyy-mm"))</f>
        <v/>
      </c>
    </row>
    <row r="610" customFormat="false" ht="15" hidden="false" customHeight="false" outlineLevel="0" collapsed="false">
      <c r="A610" s="53" t="str">
        <f aca="false">IF($B610="","",ROW()-5)</f>
        <v/>
      </c>
      <c r="B610" s="54"/>
      <c r="C610" s="33"/>
      <c r="D610" s="33"/>
      <c r="E610" s="32"/>
      <c r="F610" s="39"/>
      <c r="G610" s="48" t="str">
        <f aca="false">IF($F610="","",IFERROR(INDEX(商品档案!$B$6:$B$65,MATCH($F610,商品档案!$A$6:$A$65,0)),""))</f>
        <v/>
      </c>
      <c r="H610" s="48" t="str">
        <f aca="false">IF($F610="","",IFERROR(INDEX(商品档案!$C$6:$C$65,MATCH($F610,商品档案!$A$6:$A$65,0)),""))</f>
        <v/>
      </c>
      <c r="I610" s="55" t="str">
        <f aca="false">IF($F610="","",IFERROR(INDEX(商品档案!$D$6:$D$65,MATCH($F610,商品档案!$A$6:$A$65,0)),""))</f>
        <v/>
      </c>
      <c r="J610" s="49"/>
      <c r="K610" s="56"/>
      <c r="L610" s="33"/>
      <c r="M610" s="39"/>
      <c r="N610" s="41"/>
      <c r="O610" s="41"/>
      <c r="P610" s="25" t="str">
        <f aca="false">IF(AND($B610="",$D610="",$F610=""),"",IF(NOT(ISNUMBER($B610)),"日期无效",IF(ISNA(MATCH($C610,参数设置!$A$10:$A$12,0)),"公司无效",IF(ISNA(MATCH($D610,记账规则!$A$6:$A$9,0)),"业务类型无效",IF(ISNA(MATCH($F610,商品档案!$A$6:$A$65,0)),"商品编码无效",IF(IFERROR(INDEX(商品档案!$E$6:$E$65,MATCH($F610,商品档案!$A$6:$A$65,0)),"")&lt;&gt;$C610,"商品不属于该公司",IF(AND($E610&lt;&gt;"",ISNA(MATCH($E610,往来单位!$A$6:$A$85,0))),"往来单位未建档",IF(N($J610)=0,"数量为 0",IF(N($K610)=0,"单价为 0",IF(AND(LEFT($D610,2)="销售",$U610=""),"该商品没设成本科目",IF(YEAR($B610)&lt;&gt;参数设置!$B$5,"不在本会计年度","OK")))))))))))</f>
        <v/>
      </c>
      <c r="Q610" s="57" t="str">
        <f aca="false">IF($F610="","",ROUND(N($J610)*N($K610),2))</f>
        <v/>
      </c>
      <c r="R610" s="58" t="str">
        <f aca="false">IF($D610="","",IF(LEFT($D610,2)="销售","应收账款","应付账款"))</f>
        <v/>
      </c>
      <c r="S610" s="58" t="str">
        <f aca="false">IF($F610="","",IFERROR(INDEX(商品档案!$G$6:$G$65,MATCH($F610,商品档案!$A$6:$A$65,0)),""))</f>
        <v/>
      </c>
      <c r="T610" s="58" t="str">
        <f aca="false">IF($F610="","",IFERROR(INDEX(商品档案!$H$6:$H$65,MATCH($F610,商品档案!$A$6:$A$65,0)),""))</f>
        <v/>
      </c>
      <c r="U610" s="58" t="str">
        <f aca="false">IF($F610="","",IFERROR(INDEX(商品档案!$I$6:$I$65,MATCH($F610,商品档案!$A$6:$A$65,0)),""))</f>
        <v/>
      </c>
      <c r="V610" s="59" t="str">
        <f aca="false">IF($F610="","",SUMIFS(进销存台账!$N$6:$N$65,进销存台账!$A$6:$A$65,$C610,进销存台账!$B$6:$B$65,$F610))</f>
        <v/>
      </c>
      <c r="W610" s="60" t="n">
        <f aca="false">IF(OR($D610="销售出库",$D610="销售退回"),ROUND(N($J610)*N($V610),2),0)</f>
        <v>0</v>
      </c>
      <c r="X610" s="58" t="str">
        <f aca="false">IF($E610="","",IFERROR(INDEX(往来单位!$D$6:$D$85,MATCH($E610,往来单位!$A$6:$A$85,0)),"否"))</f>
        <v/>
      </c>
      <c r="Y610" s="61" t="str">
        <f aca="false">IF($B610="","",YEAR($B610))</f>
        <v/>
      </c>
      <c r="Z610" s="58" t="str">
        <f aca="false">IF($B610="","",TEXT($B610,"yyyy-mm"))</f>
        <v/>
      </c>
    </row>
    <row r="611" customFormat="false" ht="15" hidden="false" customHeight="false" outlineLevel="0" collapsed="false">
      <c r="A611" s="53" t="str">
        <f aca="false">IF($B611="","",ROW()-5)</f>
        <v/>
      </c>
      <c r="B611" s="54"/>
      <c r="C611" s="33"/>
      <c r="D611" s="33"/>
      <c r="E611" s="32"/>
      <c r="F611" s="39"/>
      <c r="G611" s="48" t="str">
        <f aca="false">IF($F611="","",IFERROR(INDEX(商品档案!$B$6:$B$65,MATCH($F611,商品档案!$A$6:$A$65,0)),""))</f>
        <v/>
      </c>
      <c r="H611" s="48" t="str">
        <f aca="false">IF($F611="","",IFERROR(INDEX(商品档案!$C$6:$C$65,MATCH($F611,商品档案!$A$6:$A$65,0)),""))</f>
        <v/>
      </c>
      <c r="I611" s="55" t="str">
        <f aca="false">IF($F611="","",IFERROR(INDEX(商品档案!$D$6:$D$65,MATCH($F611,商品档案!$A$6:$A$65,0)),""))</f>
        <v/>
      </c>
      <c r="J611" s="49"/>
      <c r="K611" s="56"/>
      <c r="L611" s="33"/>
      <c r="M611" s="39"/>
      <c r="N611" s="41"/>
      <c r="O611" s="41"/>
      <c r="P611" s="25" t="str">
        <f aca="false">IF(AND($B611="",$D611="",$F611=""),"",IF(NOT(ISNUMBER($B611)),"日期无效",IF(ISNA(MATCH($C611,参数设置!$A$10:$A$12,0)),"公司无效",IF(ISNA(MATCH($D611,记账规则!$A$6:$A$9,0)),"业务类型无效",IF(ISNA(MATCH($F611,商品档案!$A$6:$A$65,0)),"商品编码无效",IF(IFERROR(INDEX(商品档案!$E$6:$E$65,MATCH($F611,商品档案!$A$6:$A$65,0)),"")&lt;&gt;$C611,"商品不属于该公司",IF(AND($E611&lt;&gt;"",ISNA(MATCH($E611,往来单位!$A$6:$A$85,0))),"往来单位未建档",IF(N($J611)=0,"数量为 0",IF(N($K611)=0,"单价为 0",IF(AND(LEFT($D611,2)="销售",$U611=""),"该商品没设成本科目",IF(YEAR($B611)&lt;&gt;参数设置!$B$5,"不在本会计年度","OK")))))))))))</f>
        <v/>
      </c>
      <c r="Q611" s="57" t="str">
        <f aca="false">IF($F611="","",ROUND(N($J611)*N($K611),2))</f>
        <v/>
      </c>
      <c r="R611" s="58" t="str">
        <f aca="false">IF($D611="","",IF(LEFT($D611,2)="销售","应收账款","应付账款"))</f>
        <v/>
      </c>
      <c r="S611" s="58" t="str">
        <f aca="false">IF($F611="","",IFERROR(INDEX(商品档案!$G$6:$G$65,MATCH($F611,商品档案!$A$6:$A$65,0)),""))</f>
        <v/>
      </c>
      <c r="T611" s="58" t="str">
        <f aca="false">IF($F611="","",IFERROR(INDEX(商品档案!$H$6:$H$65,MATCH($F611,商品档案!$A$6:$A$65,0)),""))</f>
        <v/>
      </c>
      <c r="U611" s="58" t="str">
        <f aca="false">IF($F611="","",IFERROR(INDEX(商品档案!$I$6:$I$65,MATCH($F611,商品档案!$A$6:$A$65,0)),""))</f>
        <v/>
      </c>
      <c r="V611" s="59" t="str">
        <f aca="false">IF($F611="","",SUMIFS(进销存台账!$N$6:$N$65,进销存台账!$A$6:$A$65,$C611,进销存台账!$B$6:$B$65,$F611))</f>
        <v/>
      </c>
      <c r="W611" s="60" t="n">
        <f aca="false">IF(OR($D611="销售出库",$D611="销售退回"),ROUND(N($J611)*N($V611),2),0)</f>
        <v>0</v>
      </c>
      <c r="X611" s="58" t="str">
        <f aca="false">IF($E611="","",IFERROR(INDEX(往来单位!$D$6:$D$85,MATCH($E611,往来单位!$A$6:$A$85,0)),"否"))</f>
        <v/>
      </c>
      <c r="Y611" s="61" t="str">
        <f aca="false">IF($B611="","",YEAR($B611))</f>
        <v/>
      </c>
      <c r="Z611" s="58" t="str">
        <f aca="false">IF($B611="","",TEXT($B611,"yyyy-mm"))</f>
        <v/>
      </c>
    </row>
    <row r="612" customFormat="false" ht="15" hidden="false" customHeight="false" outlineLevel="0" collapsed="false">
      <c r="A612" s="53" t="str">
        <f aca="false">IF($B612="","",ROW()-5)</f>
        <v/>
      </c>
      <c r="B612" s="54"/>
      <c r="C612" s="33"/>
      <c r="D612" s="33"/>
      <c r="E612" s="32"/>
      <c r="F612" s="39"/>
      <c r="G612" s="48" t="str">
        <f aca="false">IF($F612="","",IFERROR(INDEX(商品档案!$B$6:$B$65,MATCH($F612,商品档案!$A$6:$A$65,0)),""))</f>
        <v/>
      </c>
      <c r="H612" s="48" t="str">
        <f aca="false">IF($F612="","",IFERROR(INDEX(商品档案!$C$6:$C$65,MATCH($F612,商品档案!$A$6:$A$65,0)),""))</f>
        <v/>
      </c>
      <c r="I612" s="55" t="str">
        <f aca="false">IF($F612="","",IFERROR(INDEX(商品档案!$D$6:$D$65,MATCH($F612,商品档案!$A$6:$A$65,0)),""))</f>
        <v/>
      </c>
      <c r="J612" s="49"/>
      <c r="K612" s="56"/>
      <c r="L612" s="33"/>
      <c r="M612" s="39"/>
      <c r="N612" s="41"/>
      <c r="O612" s="41"/>
      <c r="P612" s="25" t="str">
        <f aca="false">IF(AND($B612="",$D612="",$F612=""),"",IF(NOT(ISNUMBER($B612)),"日期无效",IF(ISNA(MATCH($C612,参数设置!$A$10:$A$12,0)),"公司无效",IF(ISNA(MATCH($D612,记账规则!$A$6:$A$9,0)),"业务类型无效",IF(ISNA(MATCH($F612,商品档案!$A$6:$A$65,0)),"商品编码无效",IF(IFERROR(INDEX(商品档案!$E$6:$E$65,MATCH($F612,商品档案!$A$6:$A$65,0)),"")&lt;&gt;$C612,"商品不属于该公司",IF(AND($E612&lt;&gt;"",ISNA(MATCH($E612,往来单位!$A$6:$A$85,0))),"往来单位未建档",IF(N($J612)=0,"数量为 0",IF(N($K612)=0,"单价为 0",IF(AND(LEFT($D612,2)="销售",$U612=""),"该商品没设成本科目",IF(YEAR($B612)&lt;&gt;参数设置!$B$5,"不在本会计年度","OK")))))))))))</f>
        <v/>
      </c>
      <c r="Q612" s="57" t="str">
        <f aca="false">IF($F612="","",ROUND(N($J612)*N($K612),2))</f>
        <v/>
      </c>
      <c r="R612" s="58" t="str">
        <f aca="false">IF($D612="","",IF(LEFT($D612,2)="销售","应收账款","应付账款"))</f>
        <v/>
      </c>
      <c r="S612" s="58" t="str">
        <f aca="false">IF($F612="","",IFERROR(INDEX(商品档案!$G$6:$G$65,MATCH($F612,商品档案!$A$6:$A$65,0)),""))</f>
        <v/>
      </c>
      <c r="T612" s="58" t="str">
        <f aca="false">IF($F612="","",IFERROR(INDEX(商品档案!$H$6:$H$65,MATCH($F612,商品档案!$A$6:$A$65,0)),""))</f>
        <v/>
      </c>
      <c r="U612" s="58" t="str">
        <f aca="false">IF($F612="","",IFERROR(INDEX(商品档案!$I$6:$I$65,MATCH($F612,商品档案!$A$6:$A$65,0)),""))</f>
        <v/>
      </c>
      <c r="V612" s="59" t="str">
        <f aca="false">IF($F612="","",SUMIFS(进销存台账!$N$6:$N$65,进销存台账!$A$6:$A$65,$C612,进销存台账!$B$6:$B$65,$F612))</f>
        <v/>
      </c>
      <c r="W612" s="60" t="n">
        <f aca="false">IF(OR($D612="销售出库",$D612="销售退回"),ROUND(N($J612)*N($V612),2),0)</f>
        <v>0</v>
      </c>
      <c r="X612" s="58" t="str">
        <f aca="false">IF($E612="","",IFERROR(INDEX(往来单位!$D$6:$D$85,MATCH($E612,往来单位!$A$6:$A$85,0)),"否"))</f>
        <v/>
      </c>
      <c r="Y612" s="61" t="str">
        <f aca="false">IF($B612="","",YEAR($B612))</f>
        <v/>
      </c>
      <c r="Z612" s="58" t="str">
        <f aca="false">IF($B612="","",TEXT($B612,"yyyy-mm"))</f>
        <v/>
      </c>
    </row>
    <row r="613" customFormat="false" ht="15" hidden="false" customHeight="false" outlineLevel="0" collapsed="false">
      <c r="A613" s="53" t="str">
        <f aca="false">IF($B613="","",ROW()-5)</f>
        <v/>
      </c>
      <c r="B613" s="54"/>
      <c r="C613" s="33"/>
      <c r="D613" s="33"/>
      <c r="E613" s="32"/>
      <c r="F613" s="39"/>
      <c r="G613" s="48" t="str">
        <f aca="false">IF($F613="","",IFERROR(INDEX(商品档案!$B$6:$B$65,MATCH($F613,商品档案!$A$6:$A$65,0)),""))</f>
        <v/>
      </c>
      <c r="H613" s="48" t="str">
        <f aca="false">IF($F613="","",IFERROR(INDEX(商品档案!$C$6:$C$65,MATCH($F613,商品档案!$A$6:$A$65,0)),""))</f>
        <v/>
      </c>
      <c r="I613" s="55" t="str">
        <f aca="false">IF($F613="","",IFERROR(INDEX(商品档案!$D$6:$D$65,MATCH($F613,商品档案!$A$6:$A$65,0)),""))</f>
        <v/>
      </c>
      <c r="J613" s="49"/>
      <c r="K613" s="56"/>
      <c r="L613" s="33"/>
      <c r="M613" s="39"/>
      <c r="N613" s="41"/>
      <c r="O613" s="41"/>
      <c r="P613" s="25" t="str">
        <f aca="false">IF(AND($B613="",$D613="",$F613=""),"",IF(NOT(ISNUMBER($B613)),"日期无效",IF(ISNA(MATCH($C613,参数设置!$A$10:$A$12,0)),"公司无效",IF(ISNA(MATCH($D613,记账规则!$A$6:$A$9,0)),"业务类型无效",IF(ISNA(MATCH($F613,商品档案!$A$6:$A$65,0)),"商品编码无效",IF(IFERROR(INDEX(商品档案!$E$6:$E$65,MATCH($F613,商品档案!$A$6:$A$65,0)),"")&lt;&gt;$C613,"商品不属于该公司",IF(AND($E613&lt;&gt;"",ISNA(MATCH($E613,往来单位!$A$6:$A$85,0))),"往来单位未建档",IF(N($J613)=0,"数量为 0",IF(N($K613)=0,"单价为 0",IF(AND(LEFT($D613,2)="销售",$U613=""),"该商品没设成本科目",IF(YEAR($B613)&lt;&gt;参数设置!$B$5,"不在本会计年度","OK")))))))))))</f>
        <v/>
      </c>
      <c r="Q613" s="57" t="str">
        <f aca="false">IF($F613="","",ROUND(N($J613)*N($K613),2))</f>
        <v/>
      </c>
      <c r="R613" s="58" t="str">
        <f aca="false">IF($D613="","",IF(LEFT($D613,2)="销售","应收账款","应付账款"))</f>
        <v/>
      </c>
      <c r="S613" s="58" t="str">
        <f aca="false">IF($F613="","",IFERROR(INDEX(商品档案!$G$6:$G$65,MATCH($F613,商品档案!$A$6:$A$65,0)),""))</f>
        <v/>
      </c>
      <c r="T613" s="58" t="str">
        <f aca="false">IF($F613="","",IFERROR(INDEX(商品档案!$H$6:$H$65,MATCH($F613,商品档案!$A$6:$A$65,0)),""))</f>
        <v/>
      </c>
      <c r="U613" s="58" t="str">
        <f aca="false">IF($F613="","",IFERROR(INDEX(商品档案!$I$6:$I$65,MATCH($F613,商品档案!$A$6:$A$65,0)),""))</f>
        <v/>
      </c>
      <c r="V613" s="59" t="str">
        <f aca="false">IF($F613="","",SUMIFS(进销存台账!$N$6:$N$65,进销存台账!$A$6:$A$65,$C613,进销存台账!$B$6:$B$65,$F613))</f>
        <v/>
      </c>
      <c r="W613" s="60" t="n">
        <f aca="false">IF(OR($D613="销售出库",$D613="销售退回"),ROUND(N($J613)*N($V613),2),0)</f>
        <v>0</v>
      </c>
      <c r="X613" s="58" t="str">
        <f aca="false">IF($E613="","",IFERROR(INDEX(往来单位!$D$6:$D$85,MATCH($E613,往来单位!$A$6:$A$85,0)),"否"))</f>
        <v/>
      </c>
      <c r="Y613" s="61" t="str">
        <f aca="false">IF($B613="","",YEAR($B613))</f>
        <v/>
      </c>
      <c r="Z613" s="58" t="str">
        <f aca="false">IF($B613="","",TEXT($B613,"yyyy-mm"))</f>
        <v/>
      </c>
    </row>
    <row r="614" customFormat="false" ht="15" hidden="false" customHeight="false" outlineLevel="0" collapsed="false">
      <c r="A614" s="53" t="str">
        <f aca="false">IF($B614="","",ROW()-5)</f>
        <v/>
      </c>
      <c r="B614" s="54"/>
      <c r="C614" s="33"/>
      <c r="D614" s="33"/>
      <c r="E614" s="32"/>
      <c r="F614" s="39"/>
      <c r="G614" s="48" t="str">
        <f aca="false">IF($F614="","",IFERROR(INDEX(商品档案!$B$6:$B$65,MATCH($F614,商品档案!$A$6:$A$65,0)),""))</f>
        <v/>
      </c>
      <c r="H614" s="48" t="str">
        <f aca="false">IF($F614="","",IFERROR(INDEX(商品档案!$C$6:$C$65,MATCH($F614,商品档案!$A$6:$A$65,0)),""))</f>
        <v/>
      </c>
      <c r="I614" s="55" t="str">
        <f aca="false">IF($F614="","",IFERROR(INDEX(商品档案!$D$6:$D$65,MATCH($F614,商品档案!$A$6:$A$65,0)),""))</f>
        <v/>
      </c>
      <c r="J614" s="49"/>
      <c r="K614" s="56"/>
      <c r="L614" s="33"/>
      <c r="M614" s="39"/>
      <c r="N614" s="41"/>
      <c r="O614" s="41"/>
      <c r="P614" s="25" t="str">
        <f aca="false">IF(AND($B614="",$D614="",$F614=""),"",IF(NOT(ISNUMBER($B614)),"日期无效",IF(ISNA(MATCH($C614,参数设置!$A$10:$A$12,0)),"公司无效",IF(ISNA(MATCH($D614,记账规则!$A$6:$A$9,0)),"业务类型无效",IF(ISNA(MATCH($F614,商品档案!$A$6:$A$65,0)),"商品编码无效",IF(IFERROR(INDEX(商品档案!$E$6:$E$65,MATCH($F614,商品档案!$A$6:$A$65,0)),"")&lt;&gt;$C614,"商品不属于该公司",IF(AND($E614&lt;&gt;"",ISNA(MATCH($E614,往来单位!$A$6:$A$85,0))),"往来单位未建档",IF(N($J614)=0,"数量为 0",IF(N($K614)=0,"单价为 0",IF(AND(LEFT($D614,2)="销售",$U614=""),"该商品没设成本科目",IF(YEAR($B614)&lt;&gt;参数设置!$B$5,"不在本会计年度","OK")))))))))))</f>
        <v/>
      </c>
      <c r="Q614" s="57" t="str">
        <f aca="false">IF($F614="","",ROUND(N($J614)*N($K614),2))</f>
        <v/>
      </c>
      <c r="R614" s="58" t="str">
        <f aca="false">IF($D614="","",IF(LEFT($D614,2)="销售","应收账款","应付账款"))</f>
        <v/>
      </c>
      <c r="S614" s="58" t="str">
        <f aca="false">IF($F614="","",IFERROR(INDEX(商品档案!$G$6:$G$65,MATCH($F614,商品档案!$A$6:$A$65,0)),""))</f>
        <v/>
      </c>
      <c r="T614" s="58" t="str">
        <f aca="false">IF($F614="","",IFERROR(INDEX(商品档案!$H$6:$H$65,MATCH($F614,商品档案!$A$6:$A$65,0)),""))</f>
        <v/>
      </c>
      <c r="U614" s="58" t="str">
        <f aca="false">IF($F614="","",IFERROR(INDEX(商品档案!$I$6:$I$65,MATCH($F614,商品档案!$A$6:$A$65,0)),""))</f>
        <v/>
      </c>
      <c r="V614" s="59" t="str">
        <f aca="false">IF($F614="","",SUMIFS(进销存台账!$N$6:$N$65,进销存台账!$A$6:$A$65,$C614,进销存台账!$B$6:$B$65,$F614))</f>
        <v/>
      </c>
      <c r="W614" s="60" t="n">
        <f aca="false">IF(OR($D614="销售出库",$D614="销售退回"),ROUND(N($J614)*N($V614),2),0)</f>
        <v>0</v>
      </c>
      <c r="X614" s="58" t="str">
        <f aca="false">IF($E614="","",IFERROR(INDEX(往来单位!$D$6:$D$85,MATCH($E614,往来单位!$A$6:$A$85,0)),"否"))</f>
        <v/>
      </c>
      <c r="Y614" s="61" t="str">
        <f aca="false">IF($B614="","",YEAR($B614))</f>
        <v/>
      </c>
      <c r="Z614" s="58" t="str">
        <f aca="false">IF($B614="","",TEXT($B614,"yyyy-mm"))</f>
        <v/>
      </c>
    </row>
    <row r="615" customFormat="false" ht="15" hidden="false" customHeight="false" outlineLevel="0" collapsed="false">
      <c r="A615" s="53" t="str">
        <f aca="false">IF($B615="","",ROW()-5)</f>
        <v/>
      </c>
      <c r="B615" s="54"/>
      <c r="C615" s="33"/>
      <c r="D615" s="33"/>
      <c r="E615" s="32"/>
      <c r="F615" s="39"/>
      <c r="G615" s="48" t="str">
        <f aca="false">IF($F615="","",IFERROR(INDEX(商品档案!$B$6:$B$65,MATCH($F615,商品档案!$A$6:$A$65,0)),""))</f>
        <v/>
      </c>
      <c r="H615" s="48" t="str">
        <f aca="false">IF($F615="","",IFERROR(INDEX(商品档案!$C$6:$C$65,MATCH($F615,商品档案!$A$6:$A$65,0)),""))</f>
        <v/>
      </c>
      <c r="I615" s="55" t="str">
        <f aca="false">IF($F615="","",IFERROR(INDEX(商品档案!$D$6:$D$65,MATCH($F615,商品档案!$A$6:$A$65,0)),""))</f>
        <v/>
      </c>
      <c r="J615" s="49"/>
      <c r="K615" s="56"/>
      <c r="L615" s="33"/>
      <c r="M615" s="39"/>
      <c r="N615" s="41"/>
      <c r="O615" s="41"/>
      <c r="P615" s="25" t="str">
        <f aca="false">IF(AND($B615="",$D615="",$F615=""),"",IF(NOT(ISNUMBER($B615)),"日期无效",IF(ISNA(MATCH($C615,参数设置!$A$10:$A$12,0)),"公司无效",IF(ISNA(MATCH($D615,记账规则!$A$6:$A$9,0)),"业务类型无效",IF(ISNA(MATCH($F615,商品档案!$A$6:$A$65,0)),"商品编码无效",IF(IFERROR(INDEX(商品档案!$E$6:$E$65,MATCH($F615,商品档案!$A$6:$A$65,0)),"")&lt;&gt;$C615,"商品不属于该公司",IF(AND($E615&lt;&gt;"",ISNA(MATCH($E615,往来单位!$A$6:$A$85,0))),"往来单位未建档",IF(N($J615)=0,"数量为 0",IF(N($K615)=0,"单价为 0",IF(AND(LEFT($D615,2)="销售",$U615=""),"该商品没设成本科目",IF(YEAR($B615)&lt;&gt;参数设置!$B$5,"不在本会计年度","OK")))))))))))</f>
        <v/>
      </c>
      <c r="Q615" s="57" t="str">
        <f aca="false">IF($F615="","",ROUND(N($J615)*N($K615),2))</f>
        <v/>
      </c>
      <c r="R615" s="58" t="str">
        <f aca="false">IF($D615="","",IF(LEFT($D615,2)="销售","应收账款","应付账款"))</f>
        <v/>
      </c>
      <c r="S615" s="58" t="str">
        <f aca="false">IF($F615="","",IFERROR(INDEX(商品档案!$G$6:$G$65,MATCH($F615,商品档案!$A$6:$A$65,0)),""))</f>
        <v/>
      </c>
      <c r="T615" s="58" t="str">
        <f aca="false">IF($F615="","",IFERROR(INDEX(商品档案!$H$6:$H$65,MATCH($F615,商品档案!$A$6:$A$65,0)),""))</f>
        <v/>
      </c>
      <c r="U615" s="58" t="str">
        <f aca="false">IF($F615="","",IFERROR(INDEX(商品档案!$I$6:$I$65,MATCH($F615,商品档案!$A$6:$A$65,0)),""))</f>
        <v/>
      </c>
      <c r="V615" s="59" t="str">
        <f aca="false">IF($F615="","",SUMIFS(进销存台账!$N$6:$N$65,进销存台账!$A$6:$A$65,$C615,进销存台账!$B$6:$B$65,$F615))</f>
        <v/>
      </c>
      <c r="W615" s="60" t="n">
        <f aca="false">IF(OR($D615="销售出库",$D615="销售退回"),ROUND(N($J615)*N($V615),2),0)</f>
        <v>0</v>
      </c>
      <c r="X615" s="58" t="str">
        <f aca="false">IF($E615="","",IFERROR(INDEX(往来单位!$D$6:$D$85,MATCH($E615,往来单位!$A$6:$A$85,0)),"否"))</f>
        <v/>
      </c>
      <c r="Y615" s="61" t="str">
        <f aca="false">IF($B615="","",YEAR($B615))</f>
        <v/>
      </c>
      <c r="Z615" s="58" t="str">
        <f aca="false">IF($B615="","",TEXT($B615,"yyyy-mm"))</f>
        <v/>
      </c>
    </row>
    <row r="616" customFormat="false" ht="15" hidden="false" customHeight="false" outlineLevel="0" collapsed="false">
      <c r="A616" s="53" t="str">
        <f aca="false">IF($B616="","",ROW()-5)</f>
        <v/>
      </c>
      <c r="B616" s="54"/>
      <c r="C616" s="33"/>
      <c r="D616" s="33"/>
      <c r="E616" s="32"/>
      <c r="F616" s="39"/>
      <c r="G616" s="48" t="str">
        <f aca="false">IF($F616="","",IFERROR(INDEX(商品档案!$B$6:$B$65,MATCH($F616,商品档案!$A$6:$A$65,0)),""))</f>
        <v/>
      </c>
      <c r="H616" s="48" t="str">
        <f aca="false">IF($F616="","",IFERROR(INDEX(商品档案!$C$6:$C$65,MATCH($F616,商品档案!$A$6:$A$65,0)),""))</f>
        <v/>
      </c>
      <c r="I616" s="55" t="str">
        <f aca="false">IF($F616="","",IFERROR(INDEX(商品档案!$D$6:$D$65,MATCH($F616,商品档案!$A$6:$A$65,0)),""))</f>
        <v/>
      </c>
      <c r="J616" s="49"/>
      <c r="K616" s="56"/>
      <c r="L616" s="33"/>
      <c r="M616" s="39"/>
      <c r="N616" s="41"/>
      <c r="O616" s="41"/>
      <c r="P616" s="25" t="str">
        <f aca="false">IF(AND($B616="",$D616="",$F616=""),"",IF(NOT(ISNUMBER($B616)),"日期无效",IF(ISNA(MATCH($C616,参数设置!$A$10:$A$12,0)),"公司无效",IF(ISNA(MATCH($D616,记账规则!$A$6:$A$9,0)),"业务类型无效",IF(ISNA(MATCH($F616,商品档案!$A$6:$A$65,0)),"商品编码无效",IF(IFERROR(INDEX(商品档案!$E$6:$E$65,MATCH($F616,商品档案!$A$6:$A$65,0)),"")&lt;&gt;$C616,"商品不属于该公司",IF(AND($E616&lt;&gt;"",ISNA(MATCH($E616,往来单位!$A$6:$A$85,0))),"往来单位未建档",IF(N($J616)=0,"数量为 0",IF(N($K616)=0,"单价为 0",IF(AND(LEFT($D616,2)="销售",$U616=""),"该商品没设成本科目",IF(YEAR($B616)&lt;&gt;参数设置!$B$5,"不在本会计年度","OK")))))))))))</f>
        <v/>
      </c>
      <c r="Q616" s="57" t="str">
        <f aca="false">IF($F616="","",ROUND(N($J616)*N($K616),2))</f>
        <v/>
      </c>
      <c r="R616" s="58" t="str">
        <f aca="false">IF($D616="","",IF(LEFT($D616,2)="销售","应收账款","应付账款"))</f>
        <v/>
      </c>
      <c r="S616" s="58" t="str">
        <f aca="false">IF($F616="","",IFERROR(INDEX(商品档案!$G$6:$G$65,MATCH($F616,商品档案!$A$6:$A$65,0)),""))</f>
        <v/>
      </c>
      <c r="T616" s="58" t="str">
        <f aca="false">IF($F616="","",IFERROR(INDEX(商品档案!$H$6:$H$65,MATCH($F616,商品档案!$A$6:$A$65,0)),""))</f>
        <v/>
      </c>
      <c r="U616" s="58" t="str">
        <f aca="false">IF($F616="","",IFERROR(INDEX(商品档案!$I$6:$I$65,MATCH($F616,商品档案!$A$6:$A$65,0)),""))</f>
        <v/>
      </c>
      <c r="V616" s="59" t="str">
        <f aca="false">IF($F616="","",SUMIFS(进销存台账!$N$6:$N$65,进销存台账!$A$6:$A$65,$C616,进销存台账!$B$6:$B$65,$F616))</f>
        <v/>
      </c>
      <c r="W616" s="60" t="n">
        <f aca="false">IF(OR($D616="销售出库",$D616="销售退回"),ROUND(N($J616)*N($V616),2),0)</f>
        <v>0</v>
      </c>
      <c r="X616" s="58" t="str">
        <f aca="false">IF($E616="","",IFERROR(INDEX(往来单位!$D$6:$D$85,MATCH($E616,往来单位!$A$6:$A$85,0)),"否"))</f>
        <v/>
      </c>
      <c r="Y616" s="61" t="str">
        <f aca="false">IF($B616="","",YEAR($B616))</f>
        <v/>
      </c>
      <c r="Z616" s="58" t="str">
        <f aca="false">IF($B616="","",TEXT($B616,"yyyy-mm"))</f>
        <v/>
      </c>
    </row>
    <row r="617" customFormat="false" ht="15" hidden="false" customHeight="false" outlineLevel="0" collapsed="false">
      <c r="A617" s="53" t="str">
        <f aca="false">IF($B617="","",ROW()-5)</f>
        <v/>
      </c>
      <c r="B617" s="54"/>
      <c r="C617" s="33"/>
      <c r="D617" s="33"/>
      <c r="E617" s="32"/>
      <c r="F617" s="39"/>
      <c r="G617" s="48" t="str">
        <f aca="false">IF($F617="","",IFERROR(INDEX(商品档案!$B$6:$B$65,MATCH($F617,商品档案!$A$6:$A$65,0)),""))</f>
        <v/>
      </c>
      <c r="H617" s="48" t="str">
        <f aca="false">IF($F617="","",IFERROR(INDEX(商品档案!$C$6:$C$65,MATCH($F617,商品档案!$A$6:$A$65,0)),""))</f>
        <v/>
      </c>
      <c r="I617" s="55" t="str">
        <f aca="false">IF($F617="","",IFERROR(INDEX(商品档案!$D$6:$D$65,MATCH($F617,商品档案!$A$6:$A$65,0)),""))</f>
        <v/>
      </c>
      <c r="J617" s="49"/>
      <c r="K617" s="56"/>
      <c r="L617" s="33"/>
      <c r="M617" s="39"/>
      <c r="N617" s="41"/>
      <c r="O617" s="41"/>
      <c r="P617" s="25" t="str">
        <f aca="false">IF(AND($B617="",$D617="",$F617=""),"",IF(NOT(ISNUMBER($B617)),"日期无效",IF(ISNA(MATCH($C617,参数设置!$A$10:$A$12,0)),"公司无效",IF(ISNA(MATCH($D617,记账规则!$A$6:$A$9,0)),"业务类型无效",IF(ISNA(MATCH($F617,商品档案!$A$6:$A$65,0)),"商品编码无效",IF(IFERROR(INDEX(商品档案!$E$6:$E$65,MATCH($F617,商品档案!$A$6:$A$65,0)),"")&lt;&gt;$C617,"商品不属于该公司",IF(AND($E617&lt;&gt;"",ISNA(MATCH($E617,往来单位!$A$6:$A$85,0))),"往来单位未建档",IF(N($J617)=0,"数量为 0",IF(N($K617)=0,"单价为 0",IF(AND(LEFT($D617,2)="销售",$U617=""),"该商品没设成本科目",IF(YEAR($B617)&lt;&gt;参数设置!$B$5,"不在本会计年度","OK")))))))))))</f>
        <v/>
      </c>
      <c r="Q617" s="57" t="str">
        <f aca="false">IF($F617="","",ROUND(N($J617)*N($K617),2))</f>
        <v/>
      </c>
      <c r="R617" s="58" t="str">
        <f aca="false">IF($D617="","",IF(LEFT($D617,2)="销售","应收账款","应付账款"))</f>
        <v/>
      </c>
      <c r="S617" s="58" t="str">
        <f aca="false">IF($F617="","",IFERROR(INDEX(商品档案!$G$6:$G$65,MATCH($F617,商品档案!$A$6:$A$65,0)),""))</f>
        <v/>
      </c>
      <c r="T617" s="58" t="str">
        <f aca="false">IF($F617="","",IFERROR(INDEX(商品档案!$H$6:$H$65,MATCH($F617,商品档案!$A$6:$A$65,0)),""))</f>
        <v/>
      </c>
      <c r="U617" s="58" t="str">
        <f aca="false">IF($F617="","",IFERROR(INDEX(商品档案!$I$6:$I$65,MATCH($F617,商品档案!$A$6:$A$65,0)),""))</f>
        <v/>
      </c>
      <c r="V617" s="59" t="str">
        <f aca="false">IF($F617="","",SUMIFS(进销存台账!$N$6:$N$65,进销存台账!$A$6:$A$65,$C617,进销存台账!$B$6:$B$65,$F617))</f>
        <v/>
      </c>
      <c r="W617" s="60" t="n">
        <f aca="false">IF(OR($D617="销售出库",$D617="销售退回"),ROUND(N($J617)*N($V617),2),0)</f>
        <v>0</v>
      </c>
      <c r="X617" s="58" t="str">
        <f aca="false">IF($E617="","",IFERROR(INDEX(往来单位!$D$6:$D$85,MATCH($E617,往来单位!$A$6:$A$85,0)),"否"))</f>
        <v/>
      </c>
      <c r="Y617" s="61" t="str">
        <f aca="false">IF($B617="","",YEAR($B617))</f>
        <v/>
      </c>
      <c r="Z617" s="58" t="str">
        <f aca="false">IF($B617="","",TEXT($B617,"yyyy-mm"))</f>
        <v/>
      </c>
    </row>
    <row r="618" customFormat="false" ht="15" hidden="false" customHeight="false" outlineLevel="0" collapsed="false">
      <c r="A618" s="53" t="str">
        <f aca="false">IF($B618="","",ROW()-5)</f>
        <v/>
      </c>
      <c r="B618" s="54"/>
      <c r="C618" s="33"/>
      <c r="D618" s="33"/>
      <c r="E618" s="32"/>
      <c r="F618" s="39"/>
      <c r="G618" s="48" t="str">
        <f aca="false">IF($F618="","",IFERROR(INDEX(商品档案!$B$6:$B$65,MATCH($F618,商品档案!$A$6:$A$65,0)),""))</f>
        <v/>
      </c>
      <c r="H618" s="48" t="str">
        <f aca="false">IF($F618="","",IFERROR(INDEX(商品档案!$C$6:$C$65,MATCH($F618,商品档案!$A$6:$A$65,0)),""))</f>
        <v/>
      </c>
      <c r="I618" s="55" t="str">
        <f aca="false">IF($F618="","",IFERROR(INDEX(商品档案!$D$6:$D$65,MATCH($F618,商品档案!$A$6:$A$65,0)),""))</f>
        <v/>
      </c>
      <c r="J618" s="49"/>
      <c r="K618" s="56"/>
      <c r="L618" s="33"/>
      <c r="M618" s="39"/>
      <c r="N618" s="41"/>
      <c r="O618" s="41"/>
      <c r="P618" s="25" t="str">
        <f aca="false">IF(AND($B618="",$D618="",$F618=""),"",IF(NOT(ISNUMBER($B618)),"日期无效",IF(ISNA(MATCH($C618,参数设置!$A$10:$A$12,0)),"公司无效",IF(ISNA(MATCH($D618,记账规则!$A$6:$A$9,0)),"业务类型无效",IF(ISNA(MATCH($F618,商品档案!$A$6:$A$65,0)),"商品编码无效",IF(IFERROR(INDEX(商品档案!$E$6:$E$65,MATCH($F618,商品档案!$A$6:$A$65,0)),"")&lt;&gt;$C618,"商品不属于该公司",IF(AND($E618&lt;&gt;"",ISNA(MATCH($E618,往来单位!$A$6:$A$85,0))),"往来单位未建档",IF(N($J618)=0,"数量为 0",IF(N($K618)=0,"单价为 0",IF(AND(LEFT($D618,2)="销售",$U618=""),"该商品没设成本科目",IF(YEAR($B618)&lt;&gt;参数设置!$B$5,"不在本会计年度","OK")))))))))))</f>
        <v/>
      </c>
      <c r="Q618" s="57" t="str">
        <f aca="false">IF($F618="","",ROUND(N($J618)*N($K618),2))</f>
        <v/>
      </c>
      <c r="R618" s="58" t="str">
        <f aca="false">IF($D618="","",IF(LEFT($D618,2)="销售","应收账款","应付账款"))</f>
        <v/>
      </c>
      <c r="S618" s="58" t="str">
        <f aca="false">IF($F618="","",IFERROR(INDEX(商品档案!$G$6:$G$65,MATCH($F618,商品档案!$A$6:$A$65,0)),""))</f>
        <v/>
      </c>
      <c r="T618" s="58" t="str">
        <f aca="false">IF($F618="","",IFERROR(INDEX(商品档案!$H$6:$H$65,MATCH($F618,商品档案!$A$6:$A$65,0)),""))</f>
        <v/>
      </c>
      <c r="U618" s="58" t="str">
        <f aca="false">IF($F618="","",IFERROR(INDEX(商品档案!$I$6:$I$65,MATCH($F618,商品档案!$A$6:$A$65,0)),""))</f>
        <v/>
      </c>
      <c r="V618" s="59" t="str">
        <f aca="false">IF($F618="","",SUMIFS(进销存台账!$N$6:$N$65,进销存台账!$A$6:$A$65,$C618,进销存台账!$B$6:$B$65,$F618))</f>
        <v/>
      </c>
      <c r="W618" s="60" t="n">
        <f aca="false">IF(OR($D618="销售出库",$D618="销售退回"),ROUND(N($J618)*N($V618),2),0)</f>
        <v>0</v>
      </c>
      <c r="X618" s="58" t="str">
        <f aca="false">IF($E618="","",IFERROR(INDEX(往来单位!$D$6:$D$85,MATCH($E618,往来单位!$A$6:$A$85,0)),"否"))</f>
        <v/>
      </c>
      <c r="Y618" s="61" t="str">
        <f aca="false">IF($B618="","",YEAR($B618))</f>
        <v/>
      </c>
      <c r="Z618" s="58" t="str">
        <f aca="false">IF($B618="","",TEXT($B618,"yyyy-mm"))</f>
        <v/>
      </c>
    </row>
    <row r="619" customFormat="false" ht="15" hidden="false" customHeight="false" outlineLevel="0" collapsed="false">
      <c r="A619" s="53" t="str">
        <f aca="false">IF($B619="","",ROW()-5)</f>
        <v/>
      </c>
      <c r="B619" s="54"/>
      <c r="C619" s="33"/>
      <c r="D619" s="33"/>
      <c r="E619" s="32"/>
      <c r="F619" s="39"/>
      <c r="G619" s="48" t="str">
        <f aca="false">IF($F619="","",IFERROR(INDEX(商品档案!$B$6:$B$65,MATCH($F619,商品档案!$A$6:$A$65,0)),""))</f>
        <v/>
      </c>
      <c r="H619" s="48" t="str">
        <f aca="false">IF($F619="","",IFERROR(INDEX(商品档案!$C$6:$C$65,MATCH($F619,商品档案!$A$6:$A$65,0)),""))</f>
        <v/>
      </c>
      <c r="I619" s="55" t="str">
        <f aca="false">IF($F619="","",IFERROR(INDEX(商品档案!$D$6:$D$65,MATCH($F619,商品档案!$A$6:$A$65,0)),""))</f>
        <v/>
      </c>
      <c r="J619" s="49"/>
      <c r="K619" s="56"/>
      <c r="L619" s="33"/>
      <c r="M619" s="39"/>
      <c r="N619" s="41"/>
      <c r="O619" s="41"/>
      <c r="P619" s="25" t="str">
        <f aca="false">IF(AND($B619="",$D619="",$F619=""),"",IF(NOT(ISNUMBER($B619)),"日期无效",IF(ISNA(MATCH($C619,参数设置!$A$10:$A$12,0)),"公司无效",IF(ISNA(MATCH($D619,记账规则!$A$6:$A$9,0)),"业务类型无效",IF(ISNA(MATCH($F619,商品档案!$A$6:$A$65,0)),"商品编码无效",IF(IFERROR(INDEX(商品档案!$E$6:$E$65,MATCH($F619,商品档案!$A$6:$A$65,0)),"")&lt;&gt;$C619,"商品不属于该公司",IF(AND($E619&lt;&gt;"",ISNA(MATCH($E619,往来单位!$A$6:$A$85,0))),"往来单位未建档",IF(N($J619)=0,"数量为 0",IF(N($K619)=0,"单价为 0",IF(AND(LEFT($D619,2)="销售",$U619=""),"该商品没设成本科目",IF(YEAR($B619)&lt;&gt;参数设置!$B$5,"不在本会计年度","OK")))))))))))</f>
        <v/>
      </c>
      <c r="Q619" s="57" t="str">
        <f aca="false">IF($F619="","",ROUND(N($J619)*N($K619),2))</f>
        <v/>
      </c>
      <c r="R619" s="58" t="str">
        <f aca="false">IF($D619="","",IF(LEFT($D619,2)="销售","应收账款","应付账款"))</f>
        <v/>
      </c>
      <c r="S619" s="58" t="str">
        <f aca="false">IF($F619="","",IFERROR(INDEX(商品档案!$G$6:$G$65,MATCH($F619,商品档案!$A$6:$A$65,0)),""))</f>
        <v/>
      </c>
      <c r="T619" s="58" t="str">
        <f aca="false">IF($F619="","",IFERROR(INDEX(商品档案!$H$6:$H$65,MATCH($F619,商品档案!$A$6:$A$65,0)),""))</f>
        <v/>
      </c>
      <c r="U619" s="58" t="str">
        <f aca="false">IF($F619="","",IFERROR(INDEX(商品档案!$I$6:$I$65,MATCH($F619,商品档案!$A$6:$A$65,0)),""))</f>
        <v/>
      </c>
      <c r="V619" s="59" t="str">
        <f aca="false">IF($F619="","",SUMIFS(进销存台账!$N$6:$N$65,进销存台账!$A$6:$A$65,$C619,进销存台账!$B$6:$B$65,$F619))</f>
        <v/>
      </c>
      <c r="W619" s="60" t="n">
        <f aca="false">IF(OR($D619="销售出库",$D619="销售退回"),ROUND(N($J619)*N($V619),2),0)</f>
        <v>0</v>
      </c>
      <c r="X619" s="58" t="str">
        <f aca="false">IF($E619="","",IFERROR(INDEX(往来单位!$D$6:$D$85,MATCH($E619,往来单位!$A$6:$A$85,0)),"否"))</f>
        <v/>
      </c>
      <c r="Y619" s="61" t="str">
        <f aca="false">IF($B619="","",YEAR($B619))</f>
        <v/>
      </c>
      <c r="Z619" s="58" t="str">
        <f aca="false">IF($B619="","",TEXT($B619,"yyyy-mm"))</f>
        <v/>
      </c>
    </row>
    <row r="620" customFormat="false" ht="15" hidden="false" customHeight="false" outlineLevel="0" collapsed="false">
      <c r="A620" s="53" t="str">
        <f aca="false">IF($B620="","",ROW()-5)</f>
        <v/>
      </c>
      <c r="B620" s="54"/>
      <c r="C620" s="33"/>
      <c r="D620" s="33"/>
      <c r="E620" s="32"/>
      <c r="F620" s="39"/>
      <c r="G620" s="48" t="str">
        <f aca="false">IF($F620="","",IFERROR(INDEX(商品档案!$B$6:$B$65,MATCH($F620,商品档案!$A$6:$A$65,0)),""))</f>
        <v/>
      </c>
      <c r="H620" s="48" t="str">
        <f aca="false">IF($F620="","",IFERROR(INDEX(商品档案!$C$6:$C$65,MATCH($F620,商品档案!$A$6:$A$65,0)),""))</f>
        <v/>
      </c>
      <c r="I620" s="55" t="str">
        <f aca="false">IF($F620="","",IFERROR(INDEX(商品档案!$D$6:$D$65,MATCH($F620,商品档案!$A$6:$A$65,0)),""))</f>
        <v/>
      </c>
      <c r="J620" s="49"/>
      <c r="K620" s="56"/>
      <c r="L620" s="33"/>
      <c r="M620" s="39"/>
      <c r="N620" s="41"/>
      <c r="O620" s="41"/>
      <c r="P620" s="25" t="str">
        <f aca="false">IF(AND($B620="",$D620="",$F620=""),"",IF(NOT(ISNUMBER($B620)),"日期无效",IF(ISNA(MATCH($C620,参数设置!$A$10:$A$12,0)),"公司无效",IF(ISNA(MATCH($D620,记账规则!$A$6:$A$9,0)),"业务类型无效",IF(ISNA(MATCH($F620,商品档案!$A$6:$A$65,0)),"商品编码无效",IF(IFERROR(INDEX(商品档案!$E$6:$E$65,MATCH($F620,商品档案!$A$6:$A$65,0)),"")&lt;&gt;$C620,"商品不属于该公司",IF(AND($E620&lt;&gt;"",ISNA(MATCH($E620,往来单位!$A$6:$A$85,0))),"往来单位未建档",IF(N($J620)=0,"数量为 0",IF(N($K620)=0,"单价为 0",IF(AND(LEFT($D620,2)="销售",$U620=""),"该商品没设成本科目",IF(YEAR($B620)&lt;&gt;参数设置!$B$5,"不在本会计年度","OK")))))))))))</f>
        <v/>
      </c>
      <c r="Q620" s="57" t="str">
        <f aca="false">IF($F620="","",ROUND(N($J620)*N($K620),2))</f>
        <v/>
      </c>
      <c r="R620" s="58" t="str">
        <f aca="false">IF($D620="","",IF(LEFT($D620,2)="销售","应收账款","应付账款"))</f>
        <v/>
      </c>
      <c r="S620" s="58" t="str">
        <f aca="false">IF($F620="","",IFERROR(INDEX(商品档案!$G$6:$G$65,MATCH($F620,商品档案!$A$6:$A$65,0)),""))</f>
        <v/>
      </c>
      <c r="T620" s="58" t="str">
        <f aca="false">IF($F620="","",IFERROR(INDEX(商品档案!$H$6:$H$65,MATCH($F620,商品档案!$A$6:$A$65,0)),""))</f>
        <v/>
      </c>
      <c r="U620" s="58" t="str">
        <f aca="false">IF($F620="","",IFERROR(INDEX(商品档案!$I$6:$I$65,MATCH($F620,商品档案!$A$6:$A$65,0)),""))</f>
        <v/>
      </c>
      <c r="V620" s="59" t="str">
        <f aca="false">IF($F620="","",SUMIFS(进销存台账!$N$6:$N$65,进销存台账!$A$6:$A$65,$C620,进销存台账!$B$6:$B$65,$F620))</f>
        <v/>
      </c>
      <c r="W620" s="60" t="n">
        <f aca="false">IF(OR($D620="销售出库",$D620="销售退回"),ROUND(N($J620)*N($V620),2),0)</f>
        <v>0</v>
      </c>
      <c r="X620" s="58" t="str">
        <f aca="false">IF($E620="","",IFERROR(INDEX(往来单位!$D$6:$D$85,MATCH($E620,往来单位!$A$6:$A$85,0)),"否"))</f>
        <v/>
      </c>
      <c r="Y620" s="61" t="str">
        <f aca="false">IF($B620="","",YEAR($B620))</f>
        <v/>
      </c>
      <c r="Z620" s="58" t="str">
        <f aca="false">IF($B620="","",TEXT($B620,"yyyy-mm"))</f>
        <v/>
      </c>
    </row>
    <row r="621" customFormat="false" ht="15" hidden="false" customHeight="false" outlineLevel="0" collapsed="false">
      <c r="A621" s="53" t="str">
        <f aca="false">IF($B621="","",ROW()-5)</f>
        <v/>
      </c>
      <c r="B621" s="54"/>
      <c r="C621" s="33"/>
      <c r="D621" s="33"/>
      <c r="E621" s="32"/>
      <c r="F621" s="39"/>
      <c r="G621" s="48" t="str">
        <f aca="false">IF($F621="","",IFERROR(INDEX(商品档案!$B$6:$B$65,MATCH($F621,商品档案!$A$6:$A$65,0)),""))</f>
        <v/>
      </c>
      <c r="H621" s="48" t="str">
        <f aca="false">IF($F621="","",IFERROR(INDEX(商品档案!$C$6:$C$65,MATCH($F621,商品档案!$A$6:$A$65,0)),""))</f>
        <v/>
      </c>
      <c r="I621" s="55" t="str">
        <f aca="false">IF($F621="","",IFERROR(INDEX(商品档案!$D$6:$D$65,MATCH($F621,商品档案!$A$6:$A$65,0)),""))</f>
        <v/>
      </c>
      <c r="J621" s="49"/>
      <c r="K621" s="56"/>
      <c r="L621" s="33"/>
      <c r="M621" s="39"/>
      <c r="N621" s="41"/>
      <c r="O621" s="41"/>
      <c r="P621" s="25" t="str">
        <f aca="false">IF(AND($B621="",$D621="",$F621=""),"",IF(NOT(ISNUMBER($B621)),"日期无效",IF(ISNA(MATCH($C621,参数设置!$A$10:$A$12,0)),"公司无效",IF(ISNA(MATCH($D621,记账规则!$A$6:$A$9,0)),"业务类型无效",IF(ISNA(MATCH($F621,商品档案!$A$6:$A$65,0)),"商品编码无效",IF(IFERROR(INDEX(商品档案!$E$6:$E$65,MATCH($F621,商品档案!$A$6:$A$65,0)),"")&lt;&gt;$C621,"商品不属于该公司",IF(AND($E621&lt;&gt;"",ISNA(MATCH($E621,往来单位!$A$6:$A$85,0))),"往来单位未建档",IF(N($J621)=0,"数量为 0",IF(N($K621)=0,"单价为 0",IF(AND(LEFT($D621,2)="销售",$U621=""),"该商品没设成本科目",IF(YEAR($B621)&lt;&gt;参数设置!$B$5,"不在本会计年度","OK")))))))))))</f>
        <v/>
      </c>
      <c r="Q621" s="57" t="str">
        <f aca="false">IF($F621="","",ROUND(N($J621)*N($K621),2))</f>
        <v/>
      </c>
      <c r="R621" s="58" t="str">
        <f aca="false">IF($D621="","",IF(LEFT($D621,2)="销售","应收账款","应付账款"))</f>
        <v/>
      </c>
      <c r="S621" s="58" t="str">
        <f aca="false">IF($F621="","",IFERROR(INDEX(商品档案!$G$6:$G$65,MATCH($F621,商品档案!$A$6:$A$65,0)),""))</f>
        <v/>
      </c>
      <c r="T621" s="58" t="str">
        <f aca="false">IF($F621="","",IFERROR(INDEX(商品档案!$H$6:$H$65,MATCH($F621,商品档案!$A$6:$A$65,0)),""))</f>
        <v/>
      </c>
      <c r="U621" s="58" t="str">
        <f aca="false">IF($F621="","",IFERROR(INDEX(商品档案!$I$6:$I$65,MATCH($F621,商品档案!$A$6:$A$65,0)),""))</f>
        <v/>
      </c>
      <c r="V621" s="59" t="str">
        <f aca="false">IF($F621="","",SUMIFS(进销存台账!$N$6:$N$65,进销存台账!$A$6:$A$65,$C621,进销存台账!$B$6:$B$65,$F621))</f>
        <v/>
      </c>
      <c r="W621" s="60" t="n">
        <f aca="false">IF(OR($D621="销售出库",$D621="销售退回"),ROUND(N($J621)*N($V621),2),0)</f>
        <v>0</v>
      </c>
      <c r="X621" s="58" t="str">
        <f aca="false">IF($E621="","",IFERROR(INDEX(往来单位!$D$6:$D$85,MATCH($E621,往来单位!$A$6:$A$85,0)),"否"))</f>
        <v/>
      </c>
      <c r="Y621" s="61" t="str">
        <f aca="false">IF($B621="","",YEAR($B621))</f>
        <v/>
      </c>
      <c r="Z621" s="58" t="str">
        <f aca="false">IF($B621="","",TEXT($B621,"yyyy-mm"))</f>
        <v/>
      </c>
    </row>
    <row r="622" customFormat="false" ht="15" hidden="false" customHeight="false" outlineLevel="0" collapsed="false">
      <c r="A622" s="53" t="str">
        <f aca="false">IF($B622="","",ROW()-5)</f>
        <v/>
      </c>
      <c r="B622" s="54"/>
      <c r="C622" s="33"/>
      <c r="D622" s="33"/>
      <c r="E622" s="32"/>
      <c r="F622" s="39"/>
      <c r="G622" s="48" t="str">
        <f aca="false">IF($F622="","",IFERROR(INDEX(商品档案!$B$6:$B$65,MATCH($F622,商品档案!$A$6:$A$65,0)),""))</f>
        <v/>
      </c>
      <c r="H622" s="48" t="str">
        <f aca="false">IF($F622="","",IFERROR(INDEX(商品档案!$C$6:$C$65,MATCH($F622,商品档案!$A$6:$A$65,0)),""))</f>
        <v/>
      </c>
      <c r="I622" s="55" t="str">
        <f aca="false">IF($F622="","",IFERROR(INDEX(商品档案!$D$6:$D$65,MATCH($F622,商品档案!$A$6:$A$65,0)),""))</f>
        <v/>
      </c>
      <c r="J622" s="49"/>
      <c r="K622" s="56"/>
      <c r="L622" s="33"/>
      <c r="M622" s="39"/>
      <c r="N622" s="41"/>
      <c r="O622" s="41"/>
      <c r="P622" s="25" t="str">
        <f aca="false">IF(AND($B622="",$D622="",$F622=""),"",IF(NOT(ISNUMBER($B622)),"日期无效",IF(ISNA(MATCH($C622,参数设置!$A$10:$A$12,0)),"公司无效",IF(ISNA(MATCH($D622,记账规则!$A$6:$A$9,0)),"业务类型无效",IF(ISNA(MATCH($F622,商品档案!$A$6:$A$65,0)),"商品编码无效",IF(IFERROR(INDEX(商品档案!$E$6:$E$65,MATCH($F622,商品档案!$A$6:$A$65,0)),"")&lt;&gt;$C622,"商品不属于该公司",IF(AND($E622&lt;&gt;"",ISNA(MATCH($E622,往来单位!$A$6:$A$85,0))),"往来单位未建档",IF(N($J622)=0,"数量为 0",IF(N($K622)=0,"单价为 0",IF(AND(LEFT($D622,2)="销售",$U622=""),"该商品没设成本科目",IF(YEAR($B622)&lt;&gt;参数设置!$B$5,"不在本会计年度","OK")))))))))))</f>
        <v/>
      </c>
      <c r="Q622" s="57" t="str">
        <f aca="false">IF($F622="","",ROUND(N($J622)*N($K622),2))</f>
        <v/>
      </c>
      <c r="R622" s="58" t="str">
        <f aca="false">IF($D622="","",IF(LEFT($D622,2)="销售","应收账款","应付账款"))</f>
        <v/>
      </c>
      <c r="S622" s="58" t="str">
        <f aca="false">IF($F622="","",IFERROR(INDEX(商品档案!$G$6:$G$65,MATCH($F622,商品档案!$A$6:$A$65,0)),""))</f>
        <v/>
      </c>
      <c r="T622" s="58" t="str">
        <f aca="false">IF($F622="","",IFERROR(INDEX(商品档案!$H$6:$H$65,MATCH($F622,商品档案!$A$6:$A$65,0)),""))</f>
        <v/>
      </c>
      <c r="U622" s="58" t="str">
        <f aca="false">IF($F622="","",IFERROR(INDEX(商品档案!$I$6:$I$65,MATCH($F622,商品档案!$A$6:$A$65,0)),""))</f>
        <v/>
      </c>
      <c r="V622" s="59" t="str">
        <f aca="false">IF($F622="","",SUMIFS(进销存台账!$N$6:$N$65,进销存台账!$A$6:$A$65,$C622,进销存台账!$B$6:$B$65,$F622))</f>
        <v/>
      </c>
      <c r="W622" s="60" t="n">
        <f aca="false">IF(OR($D622="销售出库",$D622="销售退回"),ROUND(N($J622)*N($V622),2),0)</f>
        <v>0</v>
      </c>
      <c r="X622" s="58" t="str">
        <f aca="false">IF($E622="","",IFERROR(INDEX(往来单位!$D$6:$D$85,MATCH($E622,往来单位!$A$6:$A$85,0)),"否"))</f>
        <v/>
      </c>
      <c r="Y622" s="61" t="str">
        <f aca="false">IF($B622="","",YEAR($B622))</f>
        <v/>
      </c>
      <c r="Z622" s="58" t="str">
        <f aca="false">IF($B622="","",TEXT($B622,"yyyy-mm"))</f>
        <v/>
      </c>
    </row>
    <row r="623" customFormat="false" ht="15" hidden="false" customHeight="false" outlineLevel="0" collapsed="false">
      <c r="A623" s="53" t="str">
        <f aca="false">IF($B623="","",ROW()-5)</f>
        <v/>
      </c>
      <c r="B623" s="54"/>
      <c r="C623" s="33"/>
      <c r="D623" s="33"/>
      <c r="E623" s="32"/>
      <c r="F623" s="39"/>
      <c r="G623" s="48" t="str">
        <f aca="false">IF($F623="","",IFERROR(INDEX(商品档案!$B$6:$B$65,MATCH($F623,商品档案!$A$6:$A$65,0)),""))</f>
        <v/>
      </c>
      <c r="H623" s="48" t="str">
        <f aca="false">IF($F623="","",IFERROR(INDEX(商品档案!$C$6:$C$65,MATCH($F623,商品档案!$A$6:$A$65,0)),""))</f>
        <v/>
      </c>
      <c r="I623" s="55" t="str">
        <f aca="false">IF($F623="","",IFERROR(INDEX(商品档案!$D$6:$D$65,MATCH($F623,商品档案!$A$6:$A$65,0)),""))</f>
        <v/>
      </c>
      <c r="J623" s="49"/>
      <c r="K623" s="56"/>
      <c r="L623" s="33"/>
      <c r="M623" s="39"/>
      <c r="N623" s="41"/>
      <c r="O623" s="41"/>
      <c r="P623" s="25" t="str">
        <f aca="false">IF(AND($B623="",$D623="",$F623=""),"",IF(NOT(ISNUMBER($B623)),"日期无效",IF(ISNA(MATCH($C623,参数设置!$A$10:$A$12,0)),"公司无效",IF(ISNA(MATCH($D623,记账规则!$A$6:$A$9,0)),"业务类型无效",IF(ISNA(MATCH($F623,商品档案!$A$6:$A$65,0)),"商品编码无效",IF(IFERROR(INDEX(商品档案!$E$6:$E$65,MATCH($F623,商品档案!$A$6:$A$65,0)),"")&lt;&gt;$C623,"商品不属于该公司",IF(AND($E623&lt;&gt;"",ISNA(MATCH($E623,往来单位!$A$6:$A$85,0))),"往来单位未建档",IF(N($J623)=0,"数量为 0",IF(N($K623)=0,"单价为 0",IF(AND(LEFT($D623,2)="销售",$U623=""),"该商品没设成本科目",IF(YEAR($B623)&lt;&gt;参数设置!$B$5,"不在本会计年度","OK")))))))))))</f>
        <v/>
      </c>
      <c r="Q623" s="57" t="str">
        <f aca="false">IF($F623="","",ROUND(N($J623)*N($K623),2))</f>
        <v/>
      </c>
      <c r="R623" s="58" t="str">
        <f aca="false">IF($D623="","",IF(LEFT($D623,2)="销售","应收账款","应付账款"))</f>
        <v/>
      </c>
      <c r="S623" s="58" t="str">
        <f aca="false">IF($F623="","",IFERROR(INDEX(商品档案!$G$6:$G$65,MATCH($F623,商品档案!$A$6:$A$65,0)),""))</f>
        <v/>
      </c>
      <c r="T623" s="58" t="str">
        <f aca="false">IF($F623="","",IFERROR(INDEX(商品档案!$H$6:$H$65,MATCH($F623,商品档案!$A$6:$A$65,0)),""))</f>
        <v/>
      </c>
      <c r="U623" s="58" t="str">
        <f aca="false">IF($F623="","",IFERROR(INDEX(商品档案!$I$6:$I$65,MATCH($F623,商品档案!$A$6:$A$65,0)),""))</f>
        <v/>
      </c>
      <c r="V623" s="59" t="str">
        <f aca="false">IF($F623="","",SUMIFS(进销存台账!$N$6:$N$65,进销存台账!$A$6:$A$65,$C623,进销存台账!$B$6:$B$65,$F623))</f>
        <v/>
      </c>
      <c r="W623" s="60" t="n">
        <f aca="false">IF(OR($D623="销售出库",$D623="销售退回"),ROUND(N($J623)*N($V623),2),0)</f>
        <v>0</v>
      </c>
      <c r="X623" s="58" t="str">
        <f aca="false">IF($E623="","",IFERROR(INDEX(往来单位!$D$6:$D$85,MATCH($E623,往来单位!$A$6:$A$85,0)),"否"))</f>
        <v/>
      </c>
      <c r="Y623" s="61" t="str">
        <f aca="false">IF($B623="","",YEAR($B623))</f>
        <v/>
      </c>
      <c r="Z623" s="58" t="str">
        <f aca="false">IF($B623="","",TEXT($B623,"yyyy-mm"))</f>
        <v/>
      </c>
    </row>
    <row r="624" customFormat="false" ht="15" hidden="false" customHeight="false" outlineLevel="0" collapsed="false">
      <c r="A624" s="53" t="str">
        <f aca="false">IF($B624="","",ROW()-5)</f>
        <v/>
      </c>
      <c r="B624" s="54"/>
      <c r="C624" s="33"/>
      <c r="D624" s="33"/>
      <c r="E624" s="32"/>
      <c r="F624" s="39"/>
      <c r="G624" s="48" t="str">
        <f aca="false">IF($F624="","",IFERROR(INDEX(商品档案!$B$6:$B$65,MATCH($F624,商品档案!$A$6:$A$65,0)),""))</f>
        <v/>
      </c>
      <c r="H624" s="48" t="str">
        <f aca="false">IF($F624="","",IFERROR(INDEX(商品档案!$C$6:$C$65,MATCH($F624,商品档案!$A$6:$A$65,0)),""))</f>
        <v/>
      </c>
      <c r="I624" s="55" t="str">
        <f aca="false">IF($F624="","",IFERROR(INDEX(商品档案!$D$6:$D$65,MATCH($F624,商品档案!$A$6:$A$65,0)),""))</f>
        <v/>
      </c>
      <c r="J624" s="49"/>
      <c r="K624" s="56"/>
      <c r="L624" s="33"/>
      <c r="M624" s="39"/>
      <c r="N624" s="41"/>
      <c r="O624" s="41"/>
      <c r="P624" s="25" t="str">
        <f aca="false">IF(AND($B624="",$D624="",$F624=""),"",IF(NOT(ISNUMBER($B624)),"日期无效",IF(ISNA(MATCH($C624,参数设置!$A$10:$A$12,0)),"公司无效",IF(ISNA(MATCH($D624,记账规则!$A$6:$A$9,0)),"业务类型无效",IF(ISNA(MATCH($F624,商品档案!$A$6:$A$65,0)),"商品编码无效",IF(IFERROR(INDEX(商品档案!$E$6:$E$65,MATCH($F624,商品档案!$A$6:$A$65,0)),"")&lt;&gt;$C624,"商品不属于该公司",IF(AND($E624&lt;&gt;"",ISNA(MATCH($E624,往来单位!$A$6:$A$85,0))),"往来单位未建档",IF(N($J624)=0,"数量为 0",IF(N($K624)=0,"单价为 0",IF(AND(LEFT($D624,2)="销售",$U624=""),"该商品没设成本科目",IF(YEAR($B624)&lt;&gt;参数设置!$B$5,"不在本会计年度","OK")))))))))))</f>
        <v/>
      </c>
      <c r="Q624" s="57" t="str">
        <f aca="false">IF($F624="","",ROUND(N($J624)*N($K624),2))</f>
        <v/>
      </c>
      <c r="R624" s="58" t="str">
        <f aca="false">IF($D624="","",IF(LEFT($D624,2)="销售","应收账款","应付账款"))</f>
        <v/>
      </c>
      <c r="S624" s="58" t="str">
        <f aca="false">IF($F624="","",IFERROR(INDEX(商品档案!$G$6:$G$65,MATCH($F624,商品档案!$A$6:$A$65,0)),""))</f>
        <v/>
      </c>
      <c r="T624" s="58" t="str">
        <f aca="false">IF($F624="","",IFERROR(INDEX(商品档案!$H$6:$H$65,MATCH($F624,商品档案!$A$6:$A$65,0)),""))</f>
        <v/>
      </c>
      <c r="U624" s="58" t="str">
        <f aca="false">IF($F624="","",IFERROR(INDEX(商品档案!$I$6:$I$65,MATCH($F624,商品档案!$A$6:$A$65,0)),""))</f>
        <v/>
      </c>
      <c r="V624" s="59" t="str">
        <f aca="false">IF($F624="","",SUMIFS(进销存台账!$N$6:$N$65,进销存台账!$A$6:$A$65,$C624,进销存台账!$B$6:$B$65,$F624))</f>
        <v/>
      </c>
      <c r="W624" s="60" t="n">
        <f aca="false">IF(OR($D624="销售出库",$D624="销售退回"),ROUND(N($J624)*N($V624),2),0)</f>
        <v>0</v>
      </c>
      <c r="X624" s="58" t="str">
        <f aca="false">IF($E624="","",IFERROR(INDEX(往来单位!$D$6:$D$85,MATCH($E624,往来单位!$A$6:$A$85,0)),"否"))</f>
        <v/>
      </c>
      <c r="Y624" s="61" t="str">
        <f aca="false">IF($B624="","",YEAR($B624))</f>
        <v/>
      </c>
      <c r="Z624" s="58" t="str">
        <f aca="false">IF($B624="","",TEXT($B624,"yyyy-mm"))</f>
        <v/>
      </c>
    </row>
    <row r="625" customFormat="false" ht="15" hidden="false" customHeight="false" outlineLevel="0" collapsed="false">
      <c r="A625" s="53" t="str">
        <f aca="false">IF($B625="","",ROW()-5)</f>
        <v/>
      </c>
      <c r="B625" s="54"/>
      <c r="C625" s="33"/>
      <c r="D625" s="33"/>
      <c r="E625" s="32"/>
      <c r="F625" s="39"/>
      <c r="G625" s="48" t="str">
        <f aca="false">IF($F625="","",IFERROR(INDEX(商品档案!$B$6:$B$65,MATCH($F625,商品档案!$A$6:$A$65,0)),""))</f>
        <v/>
      </c>
      <c r="H625" s="48" t="str">
        <f aca="false">IF($F625="","",IFERROR(INDEX(商品档案!$C$6:$C$65,MATCH($F625,商品档案!$A$6:$A$65,0)),""))</f>
        <v/>
      </c>
      <c r="I625" s="55" t="str">
        <f aca="false">IF($F625="","",IFERROR(INDEX(商品档案!$D$6:$D$65,MATCH($F625,商品档案!$A$6:$A$65,0)),""))</f>
        <v/>
      </c>
      <c r="J625" s="49"/>
      <c r="K625" s="56"/>
      <c r="L625" s="33"/>
      <c r="M625" s="39"/>
      <c r="N625" s="41"/>
      <c r="O625" s="41"/>
      <c r="P625" s="25" t="str">
        <f aca="false">IF(AND($B625="",$D625="",$F625=""),"",IF(NOT(ISNUMBER($B625)),"日期无效",IF(ISNA(MATCH($C625,参数设置!$A$10:$A$12,0)),"公司无效",IF(ISNA(MATCH($D625,记账规则!$A$6:$A$9,0)),"业务类型无效",IF(ISNA(MATCH($F625,商品档案!$A$6:$A$65,0)),"商品编码无效",IF(IFERROR(INDEX(商品档案!$E$6:$E$65,MATCH($F625,商品档案!$A$6:$A$65,0)),"")&lt;&gt;$C625,"商品不属于该公司",IF(AND($E625&lt;&gt;"",ISNA(MATCH($E625,往来单位!$A$6:$A$85,0))),"往来单位未建档",IF(N($J625)=0,"数量为 0",IF(N($K625)=0,"单价为 0",IF(AND(LEFT($D625,2)="销售",$U625=""),"该商品没设成本科目",IF(YEAR($B625)&lt;&gt;参数设置!$B$5,"不在本会计年度","OK")))))))))))</f>
        <v/>
      </c>
      <c r="Q625" s="57" t="str">
        <f aca="false">IF($F625="","",ROUND(N($J625)*N($K625),2))</f>
        <v/>
      </c>
      <c r="R625" s="58" t="str">
        <f aca="false">IF($D625="","",IF(LEFT($D625,2)="销售","应收账款","应付账款"))</f>
        <v/>
      </c>
      <c r="S625" s="58" t="str">
        <f aca="false">IF($F625="","",IFERROR(INDEX(商品档案!$G$6:$G$65,MATCH($F625,商品档案!$A$6:$A$65,0)),""))</f>
        <v/>
      </c>
      <c r="T625" s="58" t="str">
        <f aca="false">IF($F625="","",IFERROR(INDEX(商品档案!$H$6:$H$65,MATCH($F625,商品档案!$A$6:$A$65,0)),""))</f>
        <v/>
      </c>
      <c r="U625" s="58" t="str">
        <f aca="false">IF($F625="","",IFERROR(INDEX(商品档案!$I$6:$I$65,MATCH($F625,商品档案!$A$6:$A$65,0)),""))</f>
        <v/>
      </c>
      <c r="V625" s="59" t="str">
        <f aca="false">IF($F625="","",SUMIFS(进销存台账!$N$6:$N$65,进销存台账!$A$6:$A$65,$C625,进销存台账!$B$6:$B$65,$F625))</f>
        <v/>
      </c>
      <c r="W625" s="60" t="n">
        <f aca="false">IF(OR($D625="销售出库",$D625="销售退回"),ROUND(N($J625)*N($V625),2),0)</f>
        <v>0</v>
      </c>
      <c r="X625" s="58" t="str">
        <f aca="false">IF($E625="","",IFERROR(INDEX(往来单位!$D$6:$D$85,MATCH($E625,往来单位!$A$6:$A$85,0)),"否"))</f>
        <v/>
      </c>
      <c r="Y625" s="61" t="str">
        <f aca="false">IF($B625="","",YEAR($B625))</f>
        <v/>
      </c>
      <c r="Z625" s="58" t="str">
        <f aca="false">IF($B625="","",TEXT($B625,"yyyy-mm"))</f>
        <v/>
      </c>
    </row>
    <row r="626" customFormat="false" ht="15" hidden="false" customHeight="false" outlineLevel="0" collapsed="false">
      <c r="A626" s="53" t="str">
        <f aca="false">IF($B626="","",ROW()-5)</f>
        <v/>
      </c>
      <c r="B626" s="54"/>
      <c r="C626" s="33"/>
      <c r="D626" s="33"/>
      <c r="E626" s="32"/>
      <c r="F626" s="39"/>
      <c r="G626" s="48" t="str">
        <f aca="false">IF($F626="","",IFERROR(INDEX(商品档案!$B$6:$B$65,MATCH($F626,商品档案!$A$6:$A$65,0)),""))</f>
        <v/>
      </c>
      <c r="H626" s="48" t="str">
        <f aca="false">IF($F626="","",IFERROR(INDEX(商品档案!$C$6:$C$65,MATCH($F626,商品档案!$A$6:$A$65,0)),""))</f>
        <v/>
      </c>
      <c r="I626" s="55" t="str">
        <f aca="false">IF($F626="","",IFERROR(INDEX(商品档案!$D$6:$D$65,MATCH($F626,商品档案!$A$6:$A$65,0)),""))</f>
        <v/>
      </c>
      <c r="J626" s="49"/>
      <c r="K626" s="56"/>
      <c r="L626" s="33"/>
      <c r="M626" s="39"/>
      <c r="N626" s="41"/>
      <c r="O626" s="41"/>
      <c r="P626" s="25" t="str">
        <f aca="false">IF(AND($B626="",$D626="",$F626=""),"",IF(NOT(ISNUMBER($B626)),"日期无效",IF(ISNA(MATCH($C626,参数设置!$A$10:$A$12,0)),"公司无效",IF(ISNA(MATCH($D626,记账规则!$A$6:$A$9,0)),"业务类型无效",IF(ISNA(MATCH($F626,商品档案!$A$6:$A$65,0)),"商品编码无效",IF(IFERROR(INDEX(商品档案!$E$6:$E$65,MATCH($F626,商品档案!$A$6:$A$65,0)),"")&lt;&gt;$C626,"商品不属于该公司",IF(AND($E626&lt;&gt;"",ISNA(MATCH($E626,往来单位!$A$6:$A$85,0))),"往来单位未建档",IF(N($J626)=0,"数量为 0",IF(N($K626)=0,"单价为 0",IF(AND(LEFT($D626,2)="销售",$U626=""),"该商品没设成本科目",IF(YEAR($B626)&lt;&gt;参数设置!$B$5,"不在本会计年度","OK")))))))))))</f>
        <v/>
      </c>
      <c r="Q626" s="57" t="str">
        <f aca="false">IF($F626="","",ROUND(N($J626)*N($K626),2))</f>
        <v/>
      </c>
      <c r="R626" s="58" t="str">
        <f aca="false">IF($D626="","",IF(LEFT($D626,2)="销售","应收账款","应付账款"))</f>
        <v/>
      </c>
      <c r="S626" s="58" t="str">
        <f aca="false">IF($F626="","",IFERROR(INDEX(商品档案!$G$6:$G$65,MATCH($F626,商品档案!$A$6:$A$65,0)),""))</f>
        <v/>
      </c>
      <c r="T626" s="58" t="str">
        <f aca="false">IF($F626="","",IFERROR(INDEX(商品档案!$H$6:$H$65,MATCH($F626,商品档案!$A$6:$A$65,0)),""))</f>
        <v/>
      </c>
      <c r="U626" s="58" t="str">
        <f aca="false">IF($F626="","",IFERROR(INDEX(商品档案!$I$6:$I$65,MATCH($F626,商品档案!$A$6:$A$65,0)),""))</f>
        <v/>
      </c>
      <c r="V626" s="59" t="str">
        <f aca="false">IF($F626="","",SUMIFS(进销存台账!$N$6:$N$65,进销存台账!$A$6:$A$65,$C626,进销存台账!$B$6:$B$65,$F626))</f>
        <v/>
      </c>
      <c r="W626" s="60" t="n">
        <f aca="false">IF(OR($D626="销售出库",$D626="销售退回"),ROUND(N($J626)*N($V626),2),0)</f>
        <v>0</v>
      </c>
      <c r="X626" s="58" t="str">
        <f aca="false">IF($E626="","",IFERROR(INDEX(往来单位!$D$6:$D$85,MATCH($E626,往来单位!$A$6:$A$85,0)),"否"))</f>
        <v/>
      </c>
      <c r="Y626" s="61" t="str">
        <f aca="false">IF($B626="","",YEAR($B626))</f>
        <v/>
      </c>
      <c r="Z626" s="58" t="str">
        <f aca="false">IF($B626="","",TEXT($B626,"yyyy-mm"))</f>
        <v/>
      </c>
    </row>
    <row r="627" customFormat="false" ht="15" hidden="false" customHeight="false" outlineLevel="0" collapsed="false">
      <c r="A627" s="53" t="str">
        <f aca="false">IF($B627="","",ROW()-5)</f>
        <v/>
      </c>
      <c r="B627" s="54"/>
      <c r="C627" s="33"/>
      <c r="D627" s="33"/>
      <c r="E627" s="32"/>
      <c r="F627" s="39"/>
      <c r="G627" s="48" t="str">
        <f aca="false">IF($F627="","",IFERROR(INDEX(商品档案!$B$6:$B$65,MATCH($F627,商品档案!$A$6:$A$65,0)),""))</f>
        <v/>
      </c>
      <c r="H627" s="48" t="str">
        <f aca="false">IF($F627="","",IFERROR(INDEX(商品档案!$C$6:$C$65,MATCH($F627,商品档案!$A$6:$A$65,0)),""))</f>
        <v/>
      </c>
      <c r="I627" s="55" t="str">
        <f aca="false">IF($F627="","",IFERROR(INDEX(商品档案!$D$6:$D$65,MATCH($F627,商品档案!$A$6:$A$65,0)),""))</f>
        <v/>
      </c>
      <c r="J627" s="49"/>
      <c r="K627" s="56"/>
      <c r="L627" s="33"/>
      <c r="M627" s="39"/>
      <c r="N627" s="41"/>
      <c r="O627" s="41"/>
      <c r="P627" s="25" t="str">
        <f aca="false">IF(AND($B627="",$D627="",$F627=""),"",IF(NOT(ISNUMBER($B627)),"日期无效",IF(ISNA(MATCH($C627,参数设置!$A$10:$A$12,0)),"公司无效",IF(ISNA(MATCH($D627,记账规则!$A$6:$A$9,0)),"业务类型无效",IF(ISNA(MATCH($F627,商品档案!$A$6:$A$65,0)),"商品编码无效",IF(IFERROR(INDEX(商品档案!$E$6:$E$65,MATCH($F627,商品档案!$A$6:$A$65,0)),"")&lt;&gt;$C627,"商品不属于该公司",IF(AND($E627&lt;&gt;"",ISNA(MATCH($E627,往来单位!$A$6:$A$85,0))),"往来单位未建档",IF(N($J627)=0,"数量为 0",IF(N($K627)=0,"单价为 0",IF(AND(LEFT($D627,2)="销售",$U627=""),"该商品没设成本科目",IF(YEAR($B627)&lt;&gt;参数设置!$B$5,"不在本会计年度","OK")))))))))))</f>
        <v/>
      </c>
      <c r="Q627" s="57" t="str">
        <f aca="false">IF($F627="","",ROUND(N($J627)*N($K627),2))</f>
        <v/>
      </c>
      <c r="R627" s="58" t="str">
        <f aca="false">IF($D627="","",IF(LEFT($D627,2)="销售","应收账款","应付账款"))</f>
        <v/>
      </c>
      <c r="S627" s="58" t="str">
        <f aca="false">IF($F627="","",IFERROR(INDEX(商品档案!$G$6:$G$65,MATCH($F627,商品档案!$A$6:$A$65,0)),""))</f>
        <v/>
      </c>
      <c r="T627" s="58" t="str">
        <f aca="false">IF($F627="","",IFERROR(INDEX(商品档案!$H$6:$H$65,MATCH($F627,商品档案!$A$6:$A$65,0)),""))</f>
        <v/>
      </c>
      <c r="U627" s="58" t="str">
        <f aca="false">IF($F627="","",IFERROR(INDEX(商品档案!$I$6:$I$65,MATCH($F627,商品档案!$A$6:$A$65,0)),""))</f>
        <v/>
      </c>
      <c r="V627" s="59" t="str">
        <f aca="false">IF($F627="","",SUMIFS(进销存台账!$N$6:$N$65,进销存台账!$A$6:$A$65,$C627,进销存台账!$B$6:$B$65,$F627))</f>
        <v/>
      </c>
      <c r="W627" s="60" t="n">
        <f aca="false">IF(OR($D627="销售出库",$D627="销售退回"),ROUND(N($J627)*N($V627),2),0)</f>
        <v>0</v>
      </c>
      <c r="X627" s="58" t="str">
        <f aca="false">IF($E627="","",IFERROR(INDEX(往来单位!$D$6:$D$85,MATCH($E627,往来单位!$A$6:$A$85,0)),"否"))</f>
        <v/>
      </c>
      <c r="Y627" s="61" t="str">
        <f aca="false">IF($B627="","",YEAR($B627))</f>
        <v/>
      </c>
      <c r="Z627" s="58" t="str">
        <f aca="false">IF($B627="","",TEXT($B627,"yyyy-mm"))</f>
        <v/>
      </c>
    </row>
    <row r="628" customFormat="false" ht="15" hidden="false" customHeight="false" outlineLevel="0" collapsed="false">
      <c r="A628" s="53" t="str">
        <f aca="false">IF($B628="","",ROW()-5)</f>
        <v/>
      </c>
      <c r="B628" s="54"/>
      <c r="C628" s="33"/>
      <c r="D628" s="33"/>
      <c r="E628" s="32"/>
      <c r="F628" s="39"/>
      <c r="G628" s="48" t="str">
        <f aca="false">IF($F628="","",IFERROR(INDEX(商品档案!$B$6:$B$65,MATCH($F628,商品档案!$A$6:$A$65,0)),""))</f>
        <v/>
      </c>
      <c r="H628" s="48" t="str">
        <f aca="false">IF($F628="","",IFERROR(INDEX(商品档案!$C$6:$C$65,MATCH($F628,商品档案!$A$6:$A$65,0)),""))</f>
        <v/>
      </c>
      <c r="I628" s="55" t="str">
        <f aca="false">IF($F628="","",IFERROR(INDEX(商品档案!$D$6:$D$65,MATCH($F628,商品档案!$A$6:$A$65,0)),""))</f>
        <v/>
      </c>
      <c r="J628" s="49"/>
      <c r="K628" s="56"/>
      <c r="L628" s="33"/>
      <c r="M628" s="39"/>
      <c r="N628" s="41"/>
      <c r="O628" s="41"/>
      <c r="P628" s="25" t="str">
        <f aca="false">IF(AND($B628="",$D628="",$F628=""),"",IF(NOT(ISNUMBER($B628)),"日期无效",IF(ISNA(MATCH($C628,参数设置!$A$10:$A$12,0)),"公司无效",IF(ISNA(MATCH($D628,记账规则!$A$6:$A$9,0)),"业务类型无效",IF(ISNA(MATCH($F628,商品档案!$A$6:$A$65,0)),"商品编码无效",IF(IFERROR(INDEX(商品档案!$E$6:$E$65,MATCH($F628,商品档案!$A$6:$A$65,0)),"")&lt;&gt;$C628,"商品不属于该公司",IF(AND($E628&lt;&gt;"",ISNA(MATCH($E628,往来单位!$A$6:$A$85,0))),"往来单位未建档",IF(N($J628)=0,"数量为 0",IF(N($K628)=0,"单价为 0",IF(AND(LEFT($D628,2)="销售",$U628=""),"该商品没设成本科目",IF(YEAR($B628)&lt;&gt;参数设置!$B$5,"不在本会计年度","OK")))))))))))</f>
        <v/>
      </c>
      <c r="Q628" s="57" t="str">
        <f aca="false">IF($F628="","",ROUND(N($J628)*N($K628),2))</f>
        <v/>
      </c>
      <c r="R628" s="58" t="str">
        <f aca="false">IF($D628="","",IF(LEFT($D628,2)="销售","应收账款","应付账款"))</f>
        <v/>
      </c>
      <c r="S628" s="58" t="str">
        <f aca="false">IF($F628="","",IFERROR(INDEX(商品档案!$G$6:$G$65,MATCH($F628,商品档案!$A$6:$A$65,0)),""))</f>
        <v/>
      </c>
      <c r="T628" s="58" t="str">
        <f aca="false">IF($F628="","",IFERROR(INDEX(商品档案!$H$6:$H$65,MATCH($F628,商品档案!$A$6:$A$65,0)),""))</f>
        <v/>
      </c>
      <c r="U628" s="58" t="str">
        <f aca="false">IF($F628="","",IFERROR(INDEX(商品档案!$I$6:$I$65,MATCH($F628,商品档案!$A$6:$A$65,0)),""))</f>
        <v/>
      </c>
      <c r="V628" s="59" t="str">
        <f aca="false">IF($F628="","",SUMIFS(进销存台账!$N$6:$N$65,进销存台账!$A$6:$A$65,$C628,进销存台账!$B$6:$B$65,$F628))</f>
        <v/>
      </c>
      <c r="W628" s="60" t="n">
        <f aca="false">IF(OR($D628="销售出库",$D628="销售退回"),ROUND(N($J628)*N($V628),2),0)</f>
        <v>0</v>
      </c>
      <c r="X628" s="58" t="str">
        <f aca="false">IF($E628="","",IFERROR(INDEX(往来单位!$D$6:$D$85,MATCH($E628,往来单位!$A$6:$A$85,0)),"否"))</f>
        <v/>
      </c>
      <c r="Y628" s="61" t="str">
        <f aca="false">IF($B628="","",YEAR($B628))</f>
        <v/>
      </c>
      <c r="Z628" s="58" t="str">
        <f aca="false">IF($B628="","",TEXT($B628,"yyyy-mm"))</f>
        <v/>
      </c>
    </row>
    <row r="629" customFormat="false" ht="15" hidden="false" customHeight="false" outlineLevel="0" collapsed="false">
      <c r="A629" s="53" t="str">
        <f aca="false">IF($B629="","",ROW()-5)</f>
        <v/>
      </c>
      <c r="B629" s="54"/>
      <c r="C629" s="33"/>
      <c r="D629" s="33"/>
      <c r="E629" s="32"/>
      <c r="F629" s="39"/>
      <c r="G629" s="48" t="str">
        <f aca="false">IF($F629="","",IFERROR(INDEX(商品档案!$B$6:$B$65,MATCH($F629,商品档案!$A$6:$A$65,0)),""))</f>
        <v/>
      </c>
      <c r="H629" s="48" t="str">
        <f aca="false">IF($F629="","",IFERROR(INDEX(商品档案!$C$6:$C$65,MATCH($F629,商品档案!$A$6:$A$65,0)),""))</f>
        <v/>
      </c>
      <c r="I629" s="55" t="str">
        <f aca="false">IF($F629="","",IFERROR(INDEX(商品档案!$D$6:$D$65,MATCH($F629,商品档案!$A$6:$A$65,0)),""))</f>
        <v/>
      </c>
      <c r="J629" s="49"/>
      <c r="K629" s="56"/>
      <c r="L629" s="33"/>
      <c r="M629" s="39"/>
      <c r="N629" s="41"/>
      <c r="O629" s="41"/>
      <c r="P629" s="25" t="str">
        <f aca="false">IF(AND($B629="",$D629="",$F629=""),"",IF(NOT(ISNUMBER($B629)),"日期无效",IF(ISNA(MATCH($C629,参数设置!$A$10:$A$12,0)),"公司无效",IF(ISNA(MATCH($D629,记账规则!$A$6:$A$9,0)),"业务类型无效",IF(ISNA(MATCH($F629,商品档案!$A$6:$A$65,0)),"商品编码无效",IF(IFERROR(INDEX(商品档案!$E$6:$E$65,MATCH($F629,商品档案!$A$6:$A$65,0)),"")&lt;&gt;$C629,"商品不属于该公司",IF(AND($E629&lt;&gt;"",ISNA(MATCH($E629,往来单位!$A$6:$A$85,0))),"往来单位未建档",IF(N($J629)=0,"数量为 0",IF(N($K629)=0,"单价为 0",IF(AND(LEFT($D629,2)="销售",$U629=""),"该商品没设成本科目",IF(YEAR($B629)&lt;&gt;参数设置!$B$5,"不在本会计年度","OK")))))))))))</f>
        <v/>
      </c>
      <c r="Q629" s="57" t="str">
        <f aca="false">IF($F629="","",ROUND(N($J629)*N($K629),2))</f>
        <v/>
      </c>
      <c r="R629" s="58" t="str">
        <f aca="false">IF($D629="","",IF(LEFT($D629,2)="销售","应收账款","应付账款"))</f>
        <v/>
      </c>
      <c r="S629" s="58" t="str">
        <f aca="false">IF($F629="","",IFERROR(INDEX(商品档案!$G$6:$G$65,MATCH($F629,商品档案!$A$6:$A$65,0)),""))</f>
        <v/>
      </c>
      <c r="T629" s="58" t="str">
        <f aca="false">IF($F629="","",IFERROR(INDEX(商品档案!$H$6:$H$65,MATCH($F629,商品档案!$A$6:$A$65,0)),""))</f>
        <v/>
      </c>
      <c r="U629" s="58" t="str">
        <f aca="false">IF($F629="","",IFERROR(INDEX(商品档案!$I$6:$I$65,MATCH($F629,商品档案!$A$6:$A$65,0)),""))</f>
        <v/>
      </c>
      <c r="V629" s="59" t="str">
        <f aca="false">IF($F629="","",SUMIFS(进销存台账!$N$6:$N$65,进销存台账!$A$6:$A$65,$C629,进销存台账!$B$6:$B$65,$F629))</f>
        <v/>
      </c>
      <c r="W629" s="60" t="n">
        <f aca="false">IF(OR($D629="销售出库",$D629="销售退回"),ROUND(N($J629)*N($V629),2),0)</f>
        <v>0</v>
      </c>
      <c r="X629" s="58" t="str">
        <f aca="false">IF($E629="","",IFERROR(INDEX(往来单位!$D$6:$D$85,MATCH($E629,往来单位!$A$6:$A$85,0)),"否"))</f>
        <v/>
      </c>
      <c r="Y629" s="61" t="str">
        <f aca="false">IF($B629="","",YEAR($B629))</f>
        <v/>
      </c>
      <c r="Z629" s="58" t="str">
        <f aca="false">IF($B629="","",TEXT($B629,"yyyy-mm"))</f>
        <v/>
      </c>
    </row>
    <row r="630" customFormat="false" ht="15" hidden="false" customHeight="false" outlineLevel="0" collapsed="false">
      <c r="A630" s="53" t="str">
        <f aca="false">IF($B630="","",ROW()-5)</f>
        <v/>
      </c>
      <c r="B630" s="54"/>
      <c r="C630" s="33"/>
      <c r="D630" s="33"/>
      <c r="E630" s="32"/>
      <c r="F630" s="39"/>
      <c r="G630" s="48" t="str">
        <f aca="false">IF($F630="","",IFERROR(INDEX(商品档案!$B$6:$B$65,MATCH($F630,商品档案!$A$6:$A$65,0)),""))</f>
        <v/>
      </c>
      <c r="H630" s="48" t="str">
        <f aca="false">IF($F630="","",IFERROR(INDEX(商品档案!$C$6:$C$65,MATCH($F630,商品档案!$A$6:$A$65,0)),""))</f>
        <v/>
      </c>
      <c r="I630" s="55" t="str">
        <f aca="false">IF($F630="","",IFERROR(INDEX(商品档案!$D$6:$D$65,MATCH($F630,商品档案!$A$6:$A$65,0)),""))</f>
        <v/>
      </c>
      <c r="J630" s="49"/>
      <c r="K630" s="56"/>
      <c r="L630" s="33"/>
      <c r="M630" s="39"/>
      <c r="N630" s="41"/>
      <c r="O630" s="41"/>
      <c r="P630" s="25" t="str">
        <f aca="false">IF(AND($B630="",$D630="",$F630=""),"",IF(NOT(ISNUMBER($B630)),"日期无效",IF(ISNA(MATCH($C630,参数设置!$A$10:$A$12,0)),"公司无效",IF(ISNA(MATCH($D630,记账规则!$A$6:$A$9,0)),"业务类型无效",IF(ISNA(MATCH($F630,商品档案!$A$6:$A$65,0)),"商品编码无效",IF(IFERROR(INDEX(商品档案!$E$6:$E$65,MATCH($F630,商品档案!$A$6:$A$65,0)),"")&lt;&gt;$C630,"商品不属于该公司",IF(AND($E630&lt;&gt;"",ISNA(MATCH($E630,往来单位!$A$6:$A$85,0))),"往来单位未建档",IF(N($J630)=0,"数量为 0",IF(N($K630)=0,"单价为 0",IF(AND(LEFT($D630,2)="销售",$U630=""),"该商品没设成本科目",IF(YEAR($B630)&lt;&gt;参数设置!$B$5,"不在本会计年度","OK")))))))))))</f>
        <v/>
      </c>
      <c r="Q630" s="57" t="str">
        <f aca="false">IF($F630="","",ROUND(N($J630)*N($K630),2))</f>
        <v/>
      </c>
      <c r="R630" s="58" t="str">
        <f aca="false">IF($D630="","",IF(LEFT($D630,2)="销售","应收账款","应付账款"))</f>
        <v/>
      </c>
      <c r="S630" s="58" t="str">
        <f aca="false">IF($F630="","",IFERROR(INDEX(商品档案!$G$6:$G$65,MATCH($F630,商品档案!$A$6:$A$65,0)),""))</f>
        <v/>
      </c>
      <c r="T630" s="58" t="str">
        <f aca="false">IF($F630="","",IFERROR(INDEX(商品档案!$H$6:$H$65,MATCH($F630,商品档案!$A$6:$A$65,0)),""))</f>
        <v/>
      </c>
      <c r="U630" s="58" t="str">
        <f aca="false">IF($F630="","",IFERROR(INDEX(商品档案!$I$6:$I$65,MATCH($F630,商品档案!$A$6:$A$65,0)),""))</f>
        <v/>
      </c>
      <c r="V630" s="59" t="str">
        <f aca="false">IF($F630="","",SUMIFS(进销存台账!$N$6:$N$65,进销存台账!$A$6:$A$65,$C630,进销存台账!$B$6:$B$65,$F630))</f>
        <v/>
      </c>
      <c r="W630" s="60" t="n">
        <f aca="false">IF(OR($D630="销售出库",$D630="销售退回"),ROUND(N($J630)*N($V630),2),0)</f>
        <v>0</v>
      </c>
      <c r="X630" s="58" t="str">
        <f aca="false">IF($E630="","",IFERROR(INDEX(往来单位!$D$6:$D$85,MATCH($E630,往来单位!$A$6:$A$85,0)),"否"))</f>
        <v/>
      </c>
      <c r="Y630" s="61" t="str">
        <f aca="false">IF($B630="","",YEAR($B630))</f>
        <v/>
      </c>
      <c r="Z630" s="58" t="str">
        <f aca="false">IF($B630="","",TEXT($B630,"yyyy-mm"))</f>
        <v/>
      </c>
    </row>
    <row r="631" customFormat="false" ht="15" hidden="false" customHeight="false" outlineLevel="0" collapsed="false">
      <c r="A631" s="53" t="str">
        <f aca="false">IF($B631="","",ROW()-5)</f>
        <v/>
      </c>
      <c r="B631" s="54"/>
      <c r="C631" s="33"/>
      <c r="D631" s="33"/>
      <c r="E631" s="32"/>
      <c r="F631" s="39"/>
      <c r="G631" s="48" t="str">
        <f aca="false">IF($F631="","",IFERROR(INDEX(商品档案!$B$6:$B$65,MATCH($F631,商品档案!$A$6:$A$65,0)),""))</f>
        <v/>
      </c>
      <c r="H631" s="48" t="str">
        <f aca="false">IF($F631="","",IFERROR(INDEX(商品档案!$C$6:$C$65,MATCH($F631,商品档案!$A$6:$A$65,0)),""))</f>
        <v/>
      </c>
      <c r="I631" s="55" t="str">
        <f aca="false">IF($F631="","",IFERROR(INDEX(商品档案!$D$6:$D$65,MATCH($F631,商品档案!$A$6:$A$65,0)),""))</f>
        <v/>
      </c>
      <c r="J631" s="49"/>
      <c r="K631" s="56"/>
      <c r="L631" s="33"/>
      <c r="M631" s="39"/>
      <c r="N631" s="41"/>
      <c r="O631" s="41"/>
      <c r="P631" s="25" t="str">
        <f aca="false">IF(AND($B631="",$D631="",$F631=""),"",IF(NOT(ISNUMBER($B631)),"日期无效",IF(ISNA(MATCH($C631,参数设置!$A$10:$A$12,0)),"公司无效",IF(ISNA(MATCH($D631,记账规则!$A$6:$A$9,0)),"业务类型无效",IF(ISNA(MATCH($F631,商品档案!$A$6:$A$65,0)),"商品编码无效",IF(IFERROR(INDEX(商品档案!$E$6:$E$65,MATCH($F631,商品档案!$A$6:$A$65,0)),"")&lt;&gt;$C631,"商品不属于该公司",IF(AND($E631&lt;&gt;"",ISNA(MATCH($E631,往来单位!$A$6:$A$85,0))),"往来单位未建档",IF(N($J631)=0,"数量为 0",IF(N($K631)=0,"单价为 0",IF(AND(LEFT($D631,2)="销售",$U631=""),"该商品没设成本科目",IF(YEAR($B631)&lt;&gt;参数设置!$B$5,"不在本会计年度","OK")))))))))))</f>
        <v/>
      </c>
      <c r="Q631" s="57" t="str">
        <f aca="false">IF($F631="","",ROUND(N($J631)*N($K631),2))</f>
        <v/>
      </c>
      <c r="R631" s="58" t="str">
        <f aca="false">IF($D631="","",IF(LEFT($D631,2)="销售","应收账款","应付账款"))</f>
        <v/>
      </c>
      <c r="S631" s="58" t="str">
        <f aca="false">IF($F631="","",IFERROR(INDEX(商品档案!$G$6:$G$65,MATCH($F631,商品档案!$A$6:$A$65,0)),""))</f>
        <v/>
      </c>
      <c r="T631" s="58" t="str">
        <f aca="false">IF($F631="","",IFERROR(INDEX(商品档案!$H$6:$H$65,MATCH($F631,商品档案!$A$6:$A$65,0)),""))</f>
        <v/>
      </c>
      <c r="U631" s="58" t="str">
        <f aca="false">IF($F631="","",IFERROR(INDEX(商品档案!$I$6:$I$65,MATCH($F631,商品档案!$A$6:$A$65,0)),""))</f>
        <v/>
      </c>
      <c r="V631" s="59" t="str">
        <f aca="false">IF($F631="","",SUMIFS(进销存台账!$N$6:$N$65,进销存台账!$A$6:$A$65,$C631,进销存台账!$B$6:$B$65,$F631))</f>
        <v/>
      </c>
      <c r="W631" s="60" t="n">
        <f aca="false">IF(OR($D631="销售出库",$D631="销售退回"),ROUND(N($J631)*N($V631),2),0)</f>
        <v>0</v>
      </c>
      <c r="X631" s="58" t="str">
        <f aca="false">IF($E631="","",IFERROR(INDEX(往来单位!$D$6:$D$85,MATCH($E631,往来单位!$A$6:$A$85,0)),"否"))</f>
        <v/>
      </c>
      <c r="Y631" s="61" t="str">
        <f aca="false">IF($B631="","",YEAR($B631))</f>
        <v/>
      </c>
      <c r="Z631" s="58" t="str">
        <f aca="false">IF($B631="","",TEXT($B631,"yyyy-mm"))</f>
        <v/>
      </c>
    </row>
    <row r="632" customFormat="false" ht="15" hidden="false" customHeight="false" outlineLevel="0" collapsed="false">
      <c r="A632" s="53" t="str">
        <f aca="false">IF($B632="","",ROW()-5)</f>
        <v/>
      </c>
      <c r="B632" s="54"/>
      <c r="C632" s="33"/>
      <c r="D632" s="33"/>
      <c r="E632" s="32"/>
      <c r="F632" s="39"/>
      <c r="G632" s="48" t="str">
        <f aca="false">IF($F632="","",IFERROR(INDEX(商品档案!$B$6:$B$65,MATCH($F632,商品档案!$A$6:$A$65,0)),""))</f>
        <v/>
      </c>
      <c r="H632" s="48" t="str">
        <f aca="false">IF($F632="","",IFERROR(INDEX(商品档案!$C$6:$C$65,MATCH($F632,商品档案!$A$6:$A$65,0)),""))</f>
        <v/>
      </c>
      <c r="I632" s="55" t="str">
        <f aca="false">IF($F632="","",IFERROR(INDEX(商品档案!$D$6:$D$65,MATCH($F632,商品档案!$A$6:$A$65,0)),""))</f>
        <v/>
      </c>
      <c r="J632" s="49"/>
      <c r="K632" s="56"/>
      <c r="L632" s="33"/>
      <c r="M632" s="39"/>
      <c r="N632" s="41"/>
      <c r="O632" s="41"/>
      <c r="P632" s="25" t="str">
        <f aca="false">IF(AND($B632="",$D632="",$F632=""),"",IF(NOT(ISNUMBER($B632)),"日期无效",IF(ISNA(MATCH($C632,参数设置!$A$10:$A$12,0)),"公司无效",IF(ISNA(MATCH($D632,记账规则!$A$6:$A$9,0)),"业务类型无效",IF(ISNA(MATCH($F632,商品档案!$A$6:$A$65,0)),"商品编码无效",IF(IFERROR(INDEX(商品档案!$E$6:$E$65,MATCH($F632,商品档案!$A$6:$A$65,0)),"")&lt;&gt;$C632,"商品不属于该公司",IF(AND($E632&lt;&gt;"",ISNA(MATCH($E632,往来单位!$A$6:$A$85,0))),"往来单位未建档",IF(N($J632)=0,"数量为 0",IF(N($K632)=0,"单价为 0",IF(AND(LEFT($D632,2)="销售",$U632=""),"该商品没设成本科目",IF(YEAR($B632)&lt;&gt;参数设置!$B$5,"不在本会计年度","OK")))))))))))</f>
        <v/>
      </c>
      <c r="Q632" s="57" t="str">
        <f aca="false">IF($F632="","",ROUND(N($J632)*N($K632),2))</f>
        <v/>
      </c>
      <c r="R632" s="58" t="str">
        <f aca="false">IF($D632="","",IF(LEFT($D632,2)="销售","应收账款","应付账款"))</f>
        <v/>
      </c>
      <c r="S632" s="58" t="str">
        <f aca="false">IF($F632="","",IFERROR(INDEX(商品档案!$G$6:$G$65,MATCH($F632,商品档案!$A$6:$A$65,0)),""))</f>
        <v/>
      </c>
      <c r="T632" s="58" t="str">
        <f aca="false">IF($F632="","",IFERROR(INDEX(商品档案!$H$6:$H$65,MATCH($F632,商品档案!$A$6:$A$65,0)),""))</f>
        <v/>
      </c>
      <c r="U632" s="58" t="str">
        <f aca="false">IF($F632="","",IFERROR(INDEX(商品档案!$I$6:$I$65,MATCH($F632,商品档案!$A$6:$A$65,0)),""))</f>
        <v/>
      </c>
      <c r="V632" s="59" t="str">
        <f aca="false">IF($F632="","",SUMIFS(进销存台账!$N$6:$N$65,进销存台账!$A$6:$A$65,$C632,进销存台账!$B$6:$B$65,$F632))</f>
        <v/>
      </c>
      <c r="W632" s="60" t="n">
        <f aca="false">IF(OR($D632="销售出库",$D632="销售退回"),ROUND(N($J632)*N($V632),2),0)</f>
        <v>0</v>
      </c>
      <c r="X632" s="58" t="str">
        <f aca="false">IF($E632="","",IFERROR(INDEX(往来单位!$D$6:$D$85,MATCH($E632,往来单位!$A$6:$A$85,0)),"否"))</f>
        <v/>
      </c>
      <c r="Y632" s="61" t="str">
        <f aca="false">IF($B632="","",YEAR($B632))</f>
        <v/>
      </c>
      <c r="Z632" s="58" t="str">
        <f aca="false">IF($B632="","",TEXT($B632,"yyyy-mm"))</f>
        <v/>
      </c>
    </row>
    <row r="633" customFormat="false" ht="15" hidden="false" customHeight="false" outlineLevel="0" collapsed="false">
      <c r="A633" s="53" t="str">
        <f aca="false">IF($B633="","",ROW()-5)</f>
        <v/>
      </c>
      <c r="B633" s="54"/>
      <c r="C633" s="33"/>
      <c r="D633" s="33"/>
      <c r="E633" s="32"/>
      <c r="F633" s="39"/>
      <c r="G633" s="48" t="str">
        <f aca="false">IF($F633="","",IFERROR(INDEX(商品档案!$B$6:$B$65,MATCH($F633,商品档案!$A$6:$A$65,0)),""))</f>
        <v/>
      </c>
      <c r="H633" s="48" t="str">
        <f aca="false">IF($F633="","",IFERROR(INDEX(商品档案!$C$6:$C$65,MATCH($F633,商品档案!$A$6:$A$65,0)),""))</f>
        <v/>
      </c>
      <c r="I633" s="55" t="str">
        <f aca="false">IF($F633="","",IFERROR(INDEX(商品档案!$D$6:$D$65,MATCH($F633,商品档案!$A$6:$A$65,0)),""))</f>
        <v/>
      </c>
      <c r="J633" s="49"/>
      <c r="K633" s="56"/>
      <c r="L633" s="33"/>
      <c r="M633" s="39"/>
      <c r="N633" s="41"/>
      <c r="O633" s="41"/>
      <c r="P633" s="25" t="str">
        <f aca="false">IF(AND($B633="",$D633="",$F633=""),"",IF(NOT(ISNUMBER($B633)),"日期无效",IF(ISNA(MATCH($C633,参数设置!$A$10:$A$12,0)),"公司无效",IF(ISNA(MATCH($D633,记账规则!$A$6:$A$9,0)),"业务类型无效",IF(ISNA(MATCH($F633,商品档案!$A$6:$A$65,0)),"商品编码无效",IF(IFERROR(INDEX(商品档案!$E$6:$E$65,MATCH($F633,商品档案!$A$6:$A$65,0)),"")&lt;&gt;$C633,"商品不属于该公司",IF(AND($E633&lt;&gt;"",ISNA(MATCH($E633,往来单位!$A$6:$A$85,0))),"往来单位未建档",IF(N($J633)=0,"数量为 0",IF(N($K633)=0,"单价为 0",IF(AND(LEFT($D633,2)="销售",$U633=""),"该商品没设成本科目",IF(YEAR($B633)&lt;&gt;参数设置!$B$5,"不在本会计年度","OK")))))))))))</f>
        <v/>
      </c>
      <c r="Q633" s="57" t="str">
        <f aca="false">IF($F633="","",ROUND(N($J633)*N($K633),2))</f>
        <v/>
      </c>
      <c r="R633" s="58" t="str">
        <f aca="false">IF($D633="","",IF(LEFT($D633,2)="销售","应收账款","应付账款"))</f>
        <v/>
      </c>
      <c r="S633" s="58" t="str">
        <f aca="false">IF($F633="","",IFERROR(INDEX(商品档案!$G$6:$G$65,MATCH($F633,商品档案!$A$6:$A$65,0)),""))</f>
        <v/>
      </c>
      <c r="T633" s="58" t="str">
        <f aca="false">IF($F633="","",IFERROR(INDEX(商品档案!$H$6:$H$65,MATCH($F633,商品档案!$A$6:$A$65,0)),""))</f>
        <v/>
      </c>
      <c r="U633" s="58" t="str">
        <f aca="false">IF($F633="","",IFERROR(INDEX(商品档案!$I$6:$I$65,MATCH($F633,商品档案!$A$6:$A$65,0)),""))</f>
        <v/>
      </c>
      <c r="V633" s="59" t="str">
        <f aca="false">IF($F633="","",SUMIFS(进销存台账!$N$6:$N$65,进销存台账!$A$6:$A$65,$C633,进销存台账!$B$6:$B$65,$F633))</f>
        <v/>
      </c>
      <c r="W633" s="60" t="n">
        <f aca="false">IF(OR($D633="销售出库",$D633="销售退回"),ROUND(N($J633)*N($V633),2),0)</f>
        <v>0</v>
      </c>
      <c r="X633" s="58" t="str">
        <f aca="false">IF($E633="","",IFERROR(INDEX(往来单位!$D$6:$D$85,MATCH($E633,往来单位!$A$6:$A$85,0)),"否"))</f>
        <v/>
      </c>
      <c r="Y633" s="61" t="str">
        <f aca="false">IF($B633="","",YEAR($B633))</f>
        <v/>
      </c>
      <c r="Z633" s="58" t="str">
        <f aca="false">IF($B633="","",TEXT($B633,"yyyy-mm"))</f>
        <v/>
      </c>
    </row>
    <row r="634" customFormat="false" ht="15" hidden="false" customHeight="false" outlineLevel="0" collapsed="false">
      <c r="A634" s="53" t="str">
        <f aca="false">IF($B634="","",ROW()-5)</f>
        <v/>
      </c>
      <c r="B634" s="54"/>
      <c r="C634" s="33"/>
      <c r="D634" s="33"/>
      <c r="E634" s="32"/>
      <c r="F634" s="39"/>
      <c r="G634" s="48" t="str">
        <f aca="false">IF($F634="","",IFERROR(INDEX(商品档案!$B$6:$B$65,MATCH($F634,商品档案!$A$6:$A$65,0)),""))</f>
        <v/>
      </c>
      <c r="H634" s="48" t="str">
        <f aca="false">IF($F634="","",IFERROR(INDEX(商品档案!$C$6:$C$65,MATCH($F634,商品档案!$A$6:$A$65,0)),""))</f>
        <v/>
      </c>
      <c r="I634" s="55" t="str">
        <f aca="false">IF($F634="","",IFERROR(INDEX(商品档案!$D$6:$D$65,MATCH($F634,商品档案!$A$6:$A$65,0)),""))</f>
        <v/>
      </c>
      <c r="J634" s="49"/>
      <c r="K634" s="56"/>
      <c r="L634" s="33"/>
      <c r="M634" s="39"/>
      <c r="N634" s="41"/>
      <c r="O634" s="41"/>
      <c r="P634" s="25" t="str">
        <f aca="false">IF(AND($B634="",$D634="",$F634=""),"",IF(NOT(ISNUMBER($B634)),"日期无效",IF(ISNA(MATCH($C634,参数设置!$A$10:$A$12,0)),"公司无效",IF(ISNA(MATCH($D634,记账规则!$A$6:$A$9,0)),"业务类型无效",IF(ISNA(MATCH($F634,商品档案!$A$6:$A$65,0)),"商品编码无效",IF(IFERROR(INDEX(商品档案!$E$6:$E$65,MATCH($F634,商品档案!$A$6:$A$65,0)),"")&lt;&gt;$C634,"商品不属于该公司",IF(AND($E634&lt;&gt;"",ISNA(MATCH($E634,往来单位!$A$6:$A$85,0))),"往来单位未建档",IF(N($J634)=0,"数量为 0",IF(N($K634)=0,"单价为 0",IF(AND(LEFT($D634,2)="销售",$U634=""),"该商品没设成本科目",IF(YEAR($B634)&lt;&gt;参数设置!$B$5,"不在本会计年度","OK")))))))))))</f>
        <v/>
      </c>
      <c r="Q634" s="57" t="str">
        <f aca="false">IF($F634="","",ROUND(N($J634)*N($K634),2))</f>
        <v/>
      </c>
      <c r="R634" s="58" t="str">
        <f aca="false">IF($D634="","",IF(LEFT($D634,2)="销售","应收账款","应付账款"))</f>
        <v/>
      </c>
      <c r="S634" s="58" t="str">
        <f aca="false">IF($F634="","",IFERROR(INDEX(商品档案!$G$6:$G$65,MATCH($F634,商品档案!$A$6:$A$65,0)),""))</f>
        <v/>
      </c>
      <c r="T634" s="58" t="str">
        <f aca="false">IF($F634="","",IFERROR(INDEX(商品档案!$H$6:$H$65,MATCH($F634,商品档案!$A$6:$A$65,0)),""))</f>
        <v/>
      </c>
      <c r="U634" s="58" t="str">
        <f aca="false">IF($F634="","",IFERROR(INDEX(商品档案!$I$6:$I$65,MATCH($F634,商品档案!$A$6:$A$65,0)),""))</f>
        <v/>
      </c>
      <c r="V634" s="59" t="str">
        <f aca="false">IF($F634="","",SUMIFS(进销存台账!$N$6:$N$65,进销存台账!$A$6:$A$65,$C634,进销存台账!$B$6:$B$65,$F634))</f>
        <v/>
      </c>
      <c r="W634" s="60" t="n">
        <f aca="false">IF(OR($D634="销售出库",$D634="销售退回"),ROUND(N($J634)*N($V634),2),0)</f>
        <v>0</v>
      </c>
      <c r="X634" s="58" t="str">
        <f aca="false">IF($E634="","",IFERROR(INDEX(往来单位!$D$6:$D$85,MATCH($E634,往来单位!$A$6:$A$85,0)),"否"))</f>
        <v/>
      </c>
      <c r="Y634" s="61" t="str">
        <f aca="false">IF($B634="","",YEAR($B634))</f>
        <v/>
      </c>
      <c r="Z634" s="58" t="str">
        <f aca="false">IF($B634="","",TEXT($B634,"yyyy-mm"))</f>
        <v/>
      </c>
    </row>
    <row r="635" customFormat="false" ht="15" hidden="false" customHeight="false" outlineLevel="0" collapsed="false">
      <c r="A635" s="53" t="str">
        <f aca="false">IF($B635="","",ROW()-5)</f>
        <v/>
      </c>
      <c r="B635" s="54"/>
      <c r="C635" s="33"/>
      <c r="D635" s="33"/>
      <c r="E635" s="32"/>
      <c r="F635" s="39"/>
      <c r="G635" s="48" t="str">
        <f aca="false">IF($F635="","",IFERROR(INDEX(商品档案!$B$6:$B$65,MATCH($F635,商品档案!$A$6:$A$65,0)),""))</f>
        <v/>
      </c>
      <c r="H635" s="48" t="str">
        <f aca="false">IF($F635="","",IFERROR(INDEX(商品档案!$C$6:$C$65,MATCH($F635,商品档案!$A$6:$A$65,0)),""))</f>
        <v/>
      </c>
      <c r="I635" s="55" t="str">
        <f aca="false">IF($F635="","",IFERROR(INDEX(商品档案!$D$6:$D$65,MATCH($F635,商品档案!$A$6:$A$65,0)),""))</f>
        <v/>
      </c>
      <c r="J635" s="49"/>
      <c r="K635" s="56"/>
      <c r="L635" s="33"/>
      <c r="M635" s="39"/>
      <c r="N635" s="41"/>
      <c r="O635" s="41"/>
      <c r="P635" s="25" t="str">
        <f aca="false">IF(AND($B635="",$D635="",$F635=""),"",IF(NOT(ISNUMBER($B635)),"日期无效",IF(ISNA(MATCH($C635,参数设置!$A$10:$A$12,0)),"公司无效",IF(ISNA(MATCH($D635,记账规则!$A$6:$A$9,0)),"业务类型无效",IF(ISNA(MATCH($F635,商品档案!$A$6:$A$65,0)),"商品编码无效",IF(IFERROR(INDEX(商品档案!$E$6:$E$65,MATCH($F635,商品档案!$A$6:$A$65,0)),"")&lt;&gt;$C635,"商品不属于该公司",IF(AND($E635&lt;&gt;"",ISNA(MATCH($E635,往来单位!$A$6:$A$85,0))),"往来单位未建档",IF(N($J635)=0,"数量为 0",IF(N($K635)=0,"单价为 0",IF(AND(LEFT($D635,2)="销售",$U635=""),"该商品没设成本科目",IF(YEAR($B635)&lt;&gt;参数设置!$B$5,"不在本会计年度","OK")))))))))))</f>
        <v/>
      </c>
      <c r="Q635" s="57" t="str">
        <f aca="false">IF($F635="","",ROUND(N($J635)*N($K635),2))</f>
        <v/>
      </c>
      <c r="R635" s="58" t="str">
        <f aca="false">IF($D635="","",IF(LEFT($D635,2)="销售","应收账款","应付账款"))</f>
        <v/>
      </c>
      <c r="S635" s="58" t="str">
        <f aca="false">IF($F635="","",IFERROR(INDEX(商品档案!$G$6:$G$65,MATCH($F635,商品档案!$A$6:$A$65,0)),""))</f>
        <v/>
      </c>
      <c r="T635" s="58" t="str">
        <f aca="false">IF($F635="","",IFERROR(INDEX(商品档案!$H$6:$H$65,MATCH($F635,商品档案!$A$6:$A$65,0)),""))</f>
        <v/>
      </c>
      <c r="U635" s="58" t="str">
        <f aca="false">IF($F635="","",IFERROR(INDEX(商品档案!$I$6:$I$65,MATCH($F635,商品档案!$A$6:$A$65,0)),""))</f>
        <v/>
      </c>
      <c r="V635" s="59" t="str">
        <f aca="false">IF($F635="","",SUMIFS(进销存台账!$N$6:$N$65,进销存台账!$A$6:$A$65,$C635,进销存台账!$B$6:$B$65,$F635))</f>
        <v/>
      </c>
      <c r="W635" s="60" t="n">
        <f aca="false">IF(OR($D635="销售出库",$D635="销售退回"),ROUND(N($J635)*N($V635),2),0)</f>
        <v>0</v>
      </c>
      <c r="X635" s="58" t="str">
        <f aca="false">IF($E635="","",IFERROR(INDEX(往来单位!$D$6:$D$85,MATCH($E635,往来单位!$A$6:$A$85,0)),"否"))</f>
        <v/>
      </c>
      <c r="Y635" s="61" t="str">
        <f aca="false">IF($B635="","",YEAR($B635))</f>
        <v/>
      </c>
      <c r="Z635" s="58" t="str">
        <f aca="false">IF($B635="","",TEXT($B635,"yyyy-mm"))</f>
        <v/>
      </c>
    </row>
    <row r="636" customFormat="false" ht="15" hidden="false" customHeight="false" outlineLevel="0" collapsed="false">
      <c r="A636" s="53" t="str">
        <f aca="false">IF($B636="","",ROW()-5)</f>
        <v/>
      </c>
      <c r="B636" s="54"/>
      <c r="C636" s="33"/>
      <c r="D636" s="33"/>
      <c r="E636" s="32"/>
      <c r="F636" s="39"/>
      <c r="G636" s="48" t="str">
        <f aca="false">IF($F636="","",IFERROR(INDEX(商品档案!$B$6:$B$65,MATCH($F636,商品档案!$A$6:$A$65,0)),""))</f>
        <v/>
      </c>
      <c r="H636" s="48" t="str">
        <f aca="false">IF($F636="","",IFERROR(INDEX(商品档案!$C$6:$C$65,MATCH($F636,商品档案!$A$6:$A$65,0)),""))</f>
        <v/>
      </c>
      <c r="I636" s="55" t="str">
        <f aca="false">IF($F636="","",IFERROR(INDEX(商品档案!$D$6:$D$65,MATCH($F636,商品档案!$A$6:$A$65,0)),""))</f>
        <v/>
      </c>
      <c r="J636" s="49"/>
      <c r="K636" s="56"/>
      <c r="L636" s="33"/>
      <c r="M636" s="39"/>
      <c r="N636" s="41"/>
      <c r="O636" s="41"/>
      <c r="P636" s="25" t="str">
        <f aca="false">IF(AND($B636="",$D636="",$F636=""),"",IF(NOT(ISNUMBER($B636)),"日期无效",IF(ISNA(MATCH($C636,参数设置!$A$10:$A$12,0)),"公司无效",IF(ISNA(MATCH($D636,记账规则!$A$6:$A$9,0)),"业务类型无效",IF(ISNA(MATCH($F636,商品档案!$A$6:$A$65,0)),"商品编码无效",IF(IFERROR(INDEX(商品档案!$E$6:$E$65,MATCH($F636,商品档案!$A$6:$A$65,0)),"")&lt;&gt;$C636,"商品不属于该公司",IF(AND($E636&lt;&gt;"",ISNA(MATCH($E636,往来单位!$A$6:$A$85,0))),"往来单位未建档",IF(N($J636)=0,"数量为 0",IF(N($K636)=0,"单价为 0",IF(AND(LEFT($D636,2)="销售",$U636=""),"该商品没设成本科目",IF(YEAR($B636)&lt;&gt;参数设置!$B$5,"不在本会计年度","OK")))))))))))</f>
        <v/>
      </c>
      <c r="Q636" s="57" t="str">
        <f aca="false">IF($F636="","",ROUND(N($J636)*N($K636),2))</f>
        <v/>
      </c>
      <c r="R636" s="58" t="str">
        <f aca="false">IF($D636="","",IF(LEFT($D636,2)="销售","应收账款","应付账款"))</f>
        <v/>
      </c>
      <c r="S636" s="58" t="str">
        <f aca="false">IF($F636="","",IFERROR(INDEX(商品档案!$G$6:$G$65,MATCH($F636,商品档案!$A$6:$A$65,0)),""))</f>
        <v/>
      </c>
      <c r="T636" s="58" t="str">
        <f aca="false">IF($F636="","",IFERROR(INDEX(商品档案!$H$6:$H$65,MATCH($F636,商品档案!$A$6:$A$65,0)),""))</f>
        <v/>
      </c>
      <c r="U636" s="58" t="str">
        <f aca="false">IF($F636="","",IFERROR(INDEX(商品档案!$I$6:$I$65,MATCH($F636,商品档案!$A$6:$A$65,0)),""))</f>
        <v/>
      </c>
      <c r="V636" s="59" t="str">
        <f aca="false">IF($F636="","",SUMIFS(进销存台账!$N$6:$N$65,进销存台账!$A$6:$A$65,$C636,进销存台账!$B$6:$B$65,$F636))</f>
        <v/>
      </c>
      <c r="W636" s="60" t="n">
        <f aca="false">IF(OR($D636="销售出库",$D636="销售退回"),ROUND(N($J636)*N($V636),2),0)</f>
        <v>0</v>
      </c>
      <c r="X636" s="58" t="str">
        <f aca="false">IF($E636="","",IFERROR(INDEX(往来单位!$D$6:$D$85,MATCH($E636,往来单位!$A$6:$A$85,0)),"否"))</f>
        <v/>
      </c>
      <c r="Y636" s="61" t="str">
        <f aca="false">IF($B636="","",YEAR($B636))</f>
        <v/>
      </c>
      <c r="Z636" s="58" t="str">
        <f aca="false">IF($B636="","",TEXT($B636,"yyyy-mm"))</f>
        <v/>
      </c>
    </row>
    <row r="637" customFormat="false" ht="15" hidden="false" customHeight="false" outlineLevel="0" collapsed="false">
      <c r="A637" s="53" t="str">
        <f aca="false">IF($B637="","",ROW()-5)</f>
        <v/>
      </c>
      <c r="B637" s="54"/>
      <c r="C637" s="33"/>
      <c r="D637" s="33"/>
      <c r="E637" s="32"/>
      <c r="F637" s="39"/>
      <c r="G637" s="48" t="str">
        <f aca="false">IF($F637="","",IFERROR(INDEX(商品档案!$B$6:$B$65,MATCH($F637,商品档案!$A$6:$A$65,0)),""))</f>
        <v/>
      </c>
      <c r="H637" s="48" t="str">
        <f aca="false">IF($F637="","",IFERROR(INDEX(商品档案!$C$6:$C$65,MATCH($F637,商品档案!$A$6:$A$65,0)),""))</f>
        <v/>
      </c>
      <c r="I637" s="55" t="str">
        <f aca="false">IF($F637="","",IFERROR(INDEX(商品档案!$D$6:$D$65,MATCH($F637,商品档案!$A$6:$A$65,0)),""))</f>
        <v/>
      </c>
      <c r="J637" s="49"/>
      <c r="K637" s="56"/>
      <c r="L637" s="33"/>
      <c r="M637" s="39"/>
      <c r="N637" s="41"/>
      <c r="O637" s="41"/>
      <c r="P637" s="25" t="str">
        <f aca="false">IF(AND($B637="",$D637="",$F637=""),"",IF(NOT(ISNUMBER($B637)),"日期无效",IF(ISNA(MATCH($C637,参数设置!$A$10:$A$12,0)),"公司无效",IF(ISNA(MATCH($D637,记账规则!$A$6:$A$9,0)),"业务类型无效",IF(ISNA(MATCH($F637,商品档案!$A$6:$A$65,0)),"商品编码无效",IF(IFERROR(INDEX(商品档案!$E$6:$E$65,MATCH($F637,商品档案!$A$6:$A$65,0)),"")&lt;&gt;$C637,"商品不属于该公司",IF(AND($E637&lt;&gt;"",ISNA(MATCH($E637,往来单位!$A$6:$A$85,0))),"往来单位未建档",IF(N($J637)=0,"数量为 0",IF(N($K637)=0,"单价为 0",IF(AND(LEFT($D637,2)="销售",$U637=""),"该商品没设成本科目",IF(YEAR($B637)&lt;&gt;参数设置!$B$5,"不在本会计年度","OK")))))))))))</f>
        <v/>
      </c>
      <c r="Q637" s="57" t="str">
        <f aca="false">IF($F637="","",ROUND(N($J637)*N($K637),2))</f>
        <v/>
      </c>
      <c r="R637" s="58" t="str">
        <f aca="false">IF($D637="","",IF(LEFT($D637,2)="销售","应收账款","应付账款"))</f>
        <v/>
      </c>
      <c r="S637" s="58" t="str">
        <f aca="false">IF($F637="","",IFERROR(INDEX(商品档案!$G$6:$G$65,MATCH($F637,商品档案!$A$6:$A$65,0)),""))</f>
        <v/>
      </c>
      <c r="T637" s="58" t="str">
        <f aca="false">IF($F637="","",IFERROR(INDEX(商品档案!$H$6:$H$65,MATCH($F637,商品档案!$A$6:$A$65,0)),""))</f>
        <v/>
      </c>
      <c r="U637" s="58" t="str">
        <f aca="false">IF($F637="","",IFERROR(INDEX(商品档案!$I$6:$I$65,MATCH($F637,商品档案!$A$6:$A$65,0)),""))</f>
        <v/>
      </c>
      <c r="V637" s="59" t="str">
        <f aca="false">IF($F637="","",SUMIFS(进销存台账!$N$6:$N$65,进销存台账!$A$6:$A$65,$C637,进销存台账!$B$6:$B$65,$F637))</f>
        <v/>
      </c>
      <c r="W637" s="60" t="n">
        <f aca="false">IF(OR($D637="销售出库",$D637="销售退回"),ROUND(N($J637)*N($V637),2),0)</f>
        <v>0</v>
      </c>
      <c r="X637" s="58" t="str">
        <f aca="false">IF($E637="","",IFERROR(INDEX(往来单位!$D$6:$D$85,MATCH($E637,往来单位!$A$6:$A$85,0)),"否"))</f>
        <v/>
      </c>
      <c r="Y637" s="61" t="str">
        <f aca="false">IF($B637="","",YEAR($B637))</f>
        <v/>
      </c>
      <c r="Z637" s="58" t="str">
        <f aca="false">IF($B637="","",TEXT($B637,"yyyy-mm"))</f>
        <v/>
      </c>
    </row>
    <row r="638" customFormat="false" ht="15" hidden="false" customHeight="false" outlineLevel="0" collapsed="false">
      <c r="A638" s="53" t="str">
        <f aca="false">IF($B638="","",ROW()-5)</f>
        <v/>
      </c>
      <c r="B638" s="54"/>
      <c r="C638" s="33"/>
      <c r="D638" s="33"/>
      <c r="E638" s="32"/>
      <c r="F638" s="39"/>
      <c r="G638" s="48" t="str">
        <f aca="false">IF($F638="","",IFERROR(INDEX(商品档案!$B$6:$B$65,MATCH($F638,商品档案!$A$6:$A$65,0)),""))</f>
        <v/>
      </c>
      <c r="H638" s="48" t="str">
        <f aca="false">IF($F638="","",IFERROR(INDEX(商品档案!$C$6:$C$65,MATCH($F638,商品档案!$A$6:$A$65,0)),""))</f>
        <v/>
      </c>
      <c r="I638" s="55" t="str">
        <f aca="false">IF($F638="","",IFERROR(INDEX(商品档案!$D$6:$D$65,MATCH($F638,商品档案!$A$6:$A$65,0)),""))</f>
        <v/>
      </c>
      <c r="J638" s="49"/>
      <c r="K638" s="56"/>
      <c r="L638" s="33"/>
      <c r="M638" s="39"/>
      <c r="N638" s="41"/>
      <c r="O638" s="41"/>
      <c r="P638" s="25" t="str">
        <f aca="false">IF(AND($B638="",$D638="",$F638=""),"",IF(NOT(ISNUMBER($B638)),"日期无效",IF(ISNA(MATCH($C638,参数设置!$A$10:$A$12,0)),"公司无效",IF(ISNA(MATCH($D638,记账规则!$A$6:$A$9,0)),"业务类型无效",IF(ISNA(MATCH($F638,商品档案!$A$6:$A$65,0)),"商品编码无效",IF(IFERROR(INDEX(商品档案!$E$6:$E$65,MATCH($F638,商品档案!$A$6:$A$65,0)),"")&lt;&gt;$C638,"商品不属于该公司",IF(AND($E638&lt;&gt;"",ISNA(MATCH($E638,往来单位!$A$6:$A$85,0))),"往来单位未建档",IF(N($J638)=0,"数量为 0",IF(N($K638)=0,"单价为 0",IF(AND(LEFT($D638,2)="销售",$U638=""),"该商品没设成本科目",IF(YEAR($B638)&lt;&gt;参数设置!$B$5,"不在本会计年度","OK")))))))))))</f>
        <v/>
      </c>
      <c r="Q638" s="57" t="str">
        <f aca="false">IF($F638="","",ROUND(N($J638)*N($K638),2))</f>
        <v/>
      </c>
      <c r="R638" s="58" t="str">
        <f aca="false">IF($D638="","",IF(LEFT($D638,2)="销售","应收账款","应付账款"))</f>
        <v/>
      </c>
      <c r="S638" s="58" t="str">
        <f aca="false">IF($F638="","",IFERROR(INDEX(商品档案!$G$6:$G$65,MATCH($F638,商品档案!$A$6:$A$65,0)),""))</f>
        <v/>
      </c>
      <c r="T638" s="58" t="str">
        <f aca="false">IF($F638="","",IFERROR(INDEX(商品档案!$H$6:$H$65,MATCH($F638,商品档案!$A$6:$A$65,0)),""))</f>
        <v/>
      </c>
      <c r="U638" s="58" t="str">
        <f aca="false">IF($F638="","",IFERROR(INDEX(商品档案!$I$6:$I$65,MATCH($F638,商品档案!$A$6:$A$65,0)),""))</f>
        <v/>
      </c>
      <c r="V638" s="59" t="str">
        <f aca="false">IF($F638="","",SUMIFS(进销存台账!$N$6:$N$65,进销存台账!$A$6:$A$65,$C638,进销存台账!$B$6:$B$65,$F638))</f>
        <v/>
      </c>
      <c r="W638" s="60" t="n">
        <f aca="false">IF(OR($D638="销售出库",$D638="销售退回"),ROUND(N($J638)*N($V638),2),0)</f>
        <v>0</v>
      </c>
      <c r="X638" s="58" t="str">
        <f aca="false">IF($E638="","",IFERROR(INDEX(往来单位!$D$6:$D$85,MATCH($E638,往来单位!$A$6:$A$85,0)),"否"))</f>
        <v/>
      </c>
      <c r="Y638" s="61" t="str">
        <f aca="false">IF($B638="","",YEAR($B638))</f>
        <v/>
      </c>
      <c r="Z638" s="58" t="str">
        <f aca="false">IF($B638="","",TEXT($B638,"yyyy-mm"))</f>
        <v/>
      </c>
    </row>
    <row r="639" customFormat="false" ht="15" hidden="false" customHeight="false" outlineLevel="0" collapsed="false">
      <c r="A639" s="53" t="str">
        <f aca="false">IF($B639="","",ROW()-5)</f>
        <v/>
      </c>
      <c r="B639" s="54"/>
      <c r="C639" s="33"/>
      <c r="D639" s="33"/>
      <c r="E639" s="32"/>
      <c r="F639" s="39"/>
      <c r="G639" s="48" t="str">
        <f aca="false">IF($F639="","",IFERROR(INDEX(商品档案!$B$6:$B$65,MATCH($F639,商品档案!$A$6:$A$65,0)),""))</f>
        <v/>
      </c>
      <c r="H639" s="48" t="str">
        <f aca="false">IF($F639="","",IFERROR(INDEX(商品档案!$C$6:$C$65,MATCH($F639,商品档案!$A$6:$A$65,0)),""))</f>
        <v/>
      </c>
      <c r="I639" s="55" t="str">
        <f aca="false">IF($F639="","",IFERROR(INDEX(商品档案!$D$6:$D$65,MATCH($F639,商品档案!$A$6:$A$65,0)),""))</f>
        <v/>
      </c>
      <c r="J639" s="49"/>
      <c r="K639" s="56"/>
      <c r="L639" s="33"/>
      <c r="M639" s="39"/>
      <c r="N639" s="41"/>
      <c r="O639" s="41"/>
      <c r="P639" s="25" t="str">
        <f aca="false">IF(AND($B639="",$D639="",$F639=""),"",IF(NOT(ISNUMBER($B639)),"日期无效",IF(ISNA(MATCH($C639,参数设置!$A$10:$A$12,0)),"公司无效",IF(ISNA(MATCH($D639,记账规则!$A$6:$A$9,0)),"业务类型无效",IF(ISNA(MATCH($F639,商品档案!$A$6:$A$65,0)),"商品编码无效",IF(IFERROR(INDEX(商品档案!$E$6:$E$65,MATCH($F639,商品档案!$A$6:$A$65,0)),"")&lt;&gt;$C639,"商品不属于该公司",IF(AND($E639&lt;&gt;"",ISNA(MATCH($E639,往来单位!$A$6:$A$85,0))),"往来单位未建档",IF(N($J639)=0,"数量为 0",IF(N($K639)=0,"单价为 0",IF(AND(LEFT($D639,2)="销售",$U639=""),"该商品没设成本科目",IF(YEAR($B639)&lt;&gt;参数设置!$B$5,"不在本会计年度","OK")))))))))))</f>
        <v/>
      </c>
      <c r="Q639" s="57" t="str">
        <f aca="false">IF($F639="","",ROUND(N($J639)*N($K639),2))</f>
        <v/>
      </c>
      <c r="R639" s="58" t="str">
        <f aca="false">IF($D639="","",IF(LEFT($D639,2)="销售","应收账款","应付账款"))</f>
        <v/>
      </c>
      <c r="S639" s="58" t="str">
        <f aca="false">IF($F639="","",IFERROR(INDEX(商品档案!$G$6:$G$65,MATCH($F639,商品档案!$A$6:$A$65,0)),""))</f>
        <v/>
      </c>
      <c r="T639" s="58" t="str">
        <f aca="false">IF($F639="","",IFERROR(INDEX(商品档案!$H$6:$H$65,MATCH($F639,商品档案!$A$6:$A$65,0)),""))</f>
        <v/>
      </c>
      <c r="U639" s="58" t="str">
        <f aca="false">IF($F639="","",IFERROR(INDEX(商品档案!$I$6:$I$65,MATCH($F639,商品档案!$A$6:$A$65,0)),""))</f>
        <v/>
      </c>
      <c r="V639" s="59" t="str">
        <f aca="false">IF($F639="","",SUMIFS(进销存台账!$N$6:$N$65,进销存台账!$A$6:$A$65,$C639,进销存台账!$B$6:$B$65,$F639))</f>
        <v/>
      </c>
      <c r="W639" s="60" t="n">
        <f aca="false">IF(OR($D639="销售出库",$D639="销售退回"),ROUND(N($J639)*N($V639),2),0)</f>
        <v>0</v>
      </c>
      <c r="X639" s="58" t="str">
        <f aca="false">IF($E639="","",IFERROR(INDEX(往来单位!$D$6:$D$85,MATCH($E639,往来单位!$A$6:$A$85,0)),"否"))</f>
        <v/>
      </c>
      <c r="Y639" s="61" t="str">
        <f aca="false">IF($B639="","",YEAR($B639))</f>
        <v/>
      </c>
      <c r="Z639" s="58" t="str">
        <f aca="false">IF($B639="","",TEXT($B639,"yyyy-mm"))</f>
        <v/>
      </c>
    </row>
    <row r="640" customFormat="false" ht="15" hidden="false" customHeight="false" outlineLevel="0" collapsed="false">
      <c r="A640" s="53" t="str">
        <f aca="false">IF($B640="","",ROW()-5)</f>
        <v/>
      </c>
      <c r="B640" s="54"/>
      <c r="C640" s="33"/>
      <c r="D640" s="33"/>
      <c r="E640" s="32"/>
      <c r="F640" s="39"/>
      <c r="G640" s="48" t="str">
        <f aca="false">IF($F640="","",IFERROR(INDEX(商品档案!$B$6:$B$65,MATCH($F640,商品档案!$A$6:$A$65,0)),""))</f>
        <v/>
      </c>
      <c r="H640" s="48" t="str">
        <f aca="false">IF($F640="","",IFERROR(INDEX(商品档案!$C$6:$C$65,MATCH($F640,商品档案!$A$6:$A$65,0)),""))</f>
        <v/>
      </c>
      <c r="I640" s="55" t="str">
        <f aca="false">IF($F640="","",IFERROR(INDEX(商品档案!$D$6:$D$65,MATCH($F640,商品档案!$A$6:$A$65,0)),""))</f>
        <v/>
      </c>
      <c r="J640" s="49"/>
      <c r="K640" s="56"/>
      <c r="L640" s="33"/>
      <c r="M640" s="39"/>
      <c r="N640" s="41"/>
      <c r="O640" s="41"/>
      <c r="P640" s="25" t="str">
        <f aca="false">IF(AND($B640="",$D640="",$F640=""),"",IF(NOT(ISNUMBER($B640)),"日期无效",IF(ISNA(MATCH($C640,参数设置!$A$10:$A$12,0)),"公司无效",IF(ISNA(MATCH($D640,记账规则!$A$6:$A$9,0)),"业务类型无效",IF(ISNA(MATCH($F640,商品档案!$A$6:$A$65,0)),"商品编码无效",IF(IFERROR(INDEX(商品档案!$E$6:$E$65,MATCH($F640,商品档案!$A$6:$A$65,0)),"")&lt;&gt;$C640,"商品不属于该公司",IF(AND($E640&lt;&gt;"",ISNA(MATCH($E640,往来单位!$A$6:$A$85,0))),"往来单位未建档",IF(N($J640)=0,"数量为 0",IF(N($K640)=0,"单价为 0",IF(AND(LEFT($D640,2)="销售",$U640=""),"该商品没设成本科目",IF(YEAR($B640)&lt;&gt;参数设置!$B$5,"不在本会计年度","OK")))))))))))</f>
        <v/>
      </c>
      <c r="Q640" s="57" t="str">
        <f aca="false">IF($F640="","",ROUND(N($J640)*N($K640),2))</f>
        <v/>
      </c>
      <c r="R640" s="58" t="str">
        <f aca="false">IF($D640="","",IF(LEFT($D640,2)="销售","应收账款","应付账款"))</f>
        <v/>
      </c>
      <c r="S640" s="58" t="str">
        <f aca="false">IF($F640="","",IFERROR(INDEX(商品档案!$G$6:$G$65,MATCH($F640,商品档案!$A$6:$A$65,0)),""))</f>
        <v/>
      </c>
      <c r="T640" s="58" t="str">
        <f aca="false">IF($F640="","",IFERROR(INDEX(商品档案!$H$6:$H$65,MATCH($F640,商品档案!$A$6:$A$65,0)),""))</f>
        <v/>
      </c>
      <c r="U640" s="58" t="str">
        <f aca="false">IF($F640="","",IFERROR(INDEX(商品档案!$I$6:$I$65,MATCH($F640,商品档案!$A$6:$A$65,0)),""))</f>
        <v/>
      </c>
      <c r="V640" s="59" t="str">
        <f aca="false">IF($F640="","",SUMIFS(进销存台账!$N$6:$N$65,进销存台账!$A$6:$A$65,$C640,进销存台账!$B$6:$B$65,$F640))</f>
        <v/>
      </c>
      <c r="W640" s="60" t="n">
        <f aca="false">IF(OR($D640="销售出库",$D640="销售退回"),ROUND(N($J640)*N($V640),2),0)</f>
        <v>0</v>
      </c>
      <c r="X640" s="58" t="str">
        <f aca="false">IF($E640="","",IFERROR(INDEX(往来单位!$D$6:$D$85,MATCH($E640,往来单位!$A$6:$A$85,0)),"否"))</f>
        <v/>
      </c>
      <c r="Y640" s="61" t="str">
        <f aca="false">IF($B640="","",YEAR($B640))</f>
        <v/>
      </c>
      <c r="Z640" s="58" t="str">
        <f aca="false">IF($B640="","",TEXT($B640,"yyyy-mm"))</f>
        <v/>
      </c>
    </row>
    <row r="641" customFormat="false" ht="15" hidden="false" customHeight="false" outlineLevel="0" collapsed="false">
      <c r="A641" s="53" t="str">
        <f aca="false">IF($B641="","",ROW()-5)</f>
        <v/>
      </c>
      <c r="B641" s="54"/>
      <c r="C641" s="33"/>
      <c r="D641" s="33"/>
      <c r="E641" s="32"/>
      <c r="F641" s="39"/>
      <c r="G641" s="48" t="str">
        <f aca="false">IF($F641="","",IFERROR(INDEX(商品档案!$B$6:$B$65,MATCH($F641,商品档案!$A$6:$A$65,0)),""))</f>
        <v/>
      </c>
      <c r="H641" s="48" t="str">
        <f aca="false">IF($F641="","",IFERROR(INDEX(商品档案!$C$6:$C$65,MATCH($F641,商品档案!$A$6:$A$65,0)),""))</f>
        <v/>
      </c>
      <c r="I641" s="55" t="str">
        <f aca="false">IF($F641="","",IFERROR(INDEX(商品档案!$D$6:$D$65,MATCH($F641,商品档案!$A$6:$A$65,0)),""))</f>
        <v/>
      </c>
      <c r="J641" s="49"/>
      <c r="K641" s="56"/>
      <c r="L641" s="33"/>
      <c r="M641" s="39"/>
      <c r="N641" s="41"/>
      <c r="O641" s="41"/>
      <c r="P641" s="25" t="str">
        <f aca="false">IF(AND($B641="",$D641="",$F641=""),"",IF(NOT(ISNUMBER($B641)),"日期无效",IF(ISNA(MATCH($C641,参数设置!$A$10:$A$12,0)),"公司无效",IF(ISNA(MATCH($D641,记账规则!$A$6:$A$9,0)),"业务类型无效",IF(ISNA(MATCH($F641,商品档案!$A$6:$A$65,0)),"商品编码无效",IF(IFERROR(INDEX(商品档案!$E$6:$E$65,MATCH($F641,商品档案!$A$6:$A$65,0)),"")&lt;&gt;$C641,"商品不属于该公司",IF(AND($E641&lt;&gt;"",ISNA(MATCH($E641,往来单位!$A$6:$A$85,0))),"往来单位未建档",IF(N($J641)=0,"数量为 0",IF(N($K641)=0,"单价为 0",IF(AND(LEFT($D641,2)="销售",$U641=""),"该商品没设成本科目",IF(YEAR($B641)&lt;&gt;参数设置!$B$5,"不在本会计年度","OK")))))))))))</f>
        <v/>
      </c>
      <c r="Q641" s="57" t="str">
        <f aca="false">IF($F641="","",ROUND(N($J641)*N($K641),2))</f>
        <v/>
      </c>
      <c r="R641" s="58" t="str">
        <f aca="false">IF($D641="","",IF(LEFT($D641,2)="销售","应收账款","应付账款"))</f>
        <v/>
      </c>
      <c r="S641" s="58" t="str">
        <f aca="false">IF($F641="","",IFERROR(INDEX(商品档案!$G$6:$G$65,MATCH($F641,商品档案!$A$6:$A$65,0)),""))</f>
        <v/>
      </c>
      <c r="T641" s="58" t="str">
        <f aca="false">IF($F641="","",IFERROR(INDEX(商品档案!$H$6:$H$65,MATCH($F641,商品档案!$A$6:$A$65,0)),""))</f>
        <v/>
      </c>
      <c r="U641" s="58" t="str">
        <f aca="false">IF($F641="","",IFERROR(INDEX(商品档案!$I$6:$I$65,MATCH($F641,商品档案!$A$6:$A$65,0)),""))</f>
        <v/>
      </c>
      <c r="V641" s="59" t="str">
        <f aca="false">IF($F641="","",SUMIFS(进销存台账!$N$6:$N$65,进销存台账!$A$6:$A$65,$C641,进销存台账!$B$6:$B$65,$F641))</f>
        <v/>
      </c>
      <c r="W641" s="60" t="n">
        <f aca="false">IF(OR($D641="销售出库",$D641="销售退回"),ROUND(N($J641)*N($V641),2),0)</f>
        <v>0</v>
      </c>
      <c r="X641" s="58" t="str">
        <f aca="false">IF($E641="","",IFERROR(INDEX(往来单位!$D$6:$D$85,MATCH($E641,往来单位!$A$6:$A$85,0)),"否"))</f>
        <v/>
      </c>
      <c r="Y641" s="61" t="str">
        <f aca="false">IF($B641="","",YEAR($B641))</f>
        <v/>
      </c>
      <c r="Z641" s="58" t="str">
        <f aca="false">IF($B641="","",TEXT($B641,"yyyy-mm"))</f>
        <v/>
      </c>
    </row>
    <row r="642" customFormat="false" ht="15" hidden="false" customHeight="false" outlineLevel="0" collapsed="false">
      <c r="A642" s="53" t="str">
        <f aca="false">IF($B642="","",ROW()-5)</f>
        <v/>
      </c>
      <c r="B642" s="54"/>
      <c r="C642" s="33"/>
      <c r="D642" s="33"/>
      <c r="E642" s="32"/>
      <c r="F642" s="39"/>
      <c r="G642" s="48" t="str">
        <f aca="false">IF($F642="","",IFERROR(INDEX(商品档案!$B$6:$B$65,MATCH($F642,商品档案!$A$6:$A$65,0)),""))</f>
        <v/>
      </c>
      <c r="H642" s="48" t="str">
        <f aca="false">IF($F642="","",IFERROR(INDEX(商品档案!$C$6:$C$65,MATCH($F642,商品档案!$A$6:$A$65,0)),""))</f>
        <v/>
      </c>
      <c r="I642" s="55" t="str">
        <f aca="false">IF($F642="","",IFERROR(INDEX(商品档案!$D$6:$D$65,MATCH($F642,商品档案!$A$6:$A$65,0)),""))</f>
        <v/>
      </c>
      <c r="J642" s="49"/>
      <c r="K642" s="56"/>
      <c r="L642" s="33"/>
      <c r="M642" s="39"/>
      <c r="N642" s="41"/>
      <c r="O642" s="41"/>
      <c r="P642" s="25" t="str">
        <f aca="false">IF(AND($B642="",$D642="",$F642=""),"",IF(NOT(ISNUMBER($B642)),"日期无效",IF(ISNA(MATCH($C642,参数设置!$A$10:$A$12,0)),"公司无效",IF(ISNA(MATCH($D642,记账规则!$A$6:$A$9,0)),"业务类型无效",IF(ISNA(MATCH($F642,商品档案!$A$6:$A$65,0)),"商品编码无效",IF(IFERROR(INDEX(商品档案!$E$6:$E$65,MATCH($F642,商品档案!$A$6:$A$65,0)),"")&lt;&gt;$C642,"商品不属于该公司",IF(AND($E642&lt;&gt;"",ISNA(MATCH($E642,往来单位!$A$6:$A$85,0))),"往来单位未建档",IF(N($J642)=0,"数量为 0",IF(N($K642)=0,"单价为 0",IF(AND(LEFT($D642,2)="销售",$U642=""),"该商品没设成本科目",IF(YEAR($B642)&lt;&gt;参数设置!$B$5,"不在本会计年度","OK")))))))))))</f>
        <v/>
      </c>
      <c r="Q642" s="57" t="str">
        <f aca="false">IF($F642="","",ROUND(N($J642)*N($K642),2))</f>
        <v/>
      </c>
      <c r="R642" s="58" t="str">
        <f aca="false">IF($D642="","",IF(LEFT($D642,2)="销售","应收账款","应付账款"))</f>
        <v/>
      </c>
      <c r="S642" s="58" t="str">
        <f aca="false">IF($F642="","",IFERROR(INDEX(商品档案!$G$6:$G$65,MATCH($F642,商品档案!$A$6:$A$65,0)),""))</f>
        <v/>
      </c>
      <c r="T642" s="58" t="str">
        <f aca="false">IF($F642="","",IFERROR(INDEX(商品档案!$H$6:$H$65,MATCH($F642,商品档案!$A$6:$A$65,0)),""))</f>
        <v/>
      </c>
      <c r="U642" s="58" t="str">
        <f aca="false">IF($F642="","",IFERROR(INDEX(商品档案!$I$6:$I$65,MATCH($F642,商品档案!$A$6:$A$65,0)),""))</f>
        <v/>
      </c>
      <c r="V642" s="59" t="str">
        <f aca="false">IF($F642="","",SUMIFS(进销存台账!$N$6:$N$65,进销存台账!$A$6:$A$65,$C642,进销存台账!$B$6:$B$65,$F642))</f>
        <v/>
      </c>
      <c r="W642" s="60" t="n">
        <f aca="false">IF(OR($D642="销售出库",$D642="销售退回"),ROUND(N($J642)*N($V642),2),0)</f>
        <v>0</v>
      </c>
      <c r="X642" s="58" t="str">
        <f aca="false">IF($E642="","",IFERROR(INDEX(往来单位!$D$6:$D$85,MATCH($E642,往来单位!$A$6:$A$85,0)),"否"))</f>
        <v/>
      </c>
      <c r="Y642" s="61" t="str">
        <f aca="false">IF($B642="","",YEAR($B642))</f>
        <v/>
      </c>
      <c r="Z642" s="58" t="str">
        <f aca="false">IF($B642="","",TEXT($B642,"yyyy-mm"))</f>
        <v/>
      </c>
    </row>
    <row r="643" customFormat="false" ht="15" hidden="false" customHeight="false" outlineLevel="0" collapsed="false">
      <c r="A643" s="53" t="str">
        <f aca="false">IF($B643="","",ROW()-5)</f>
        <v/>
      </c>
      <c r="B643" s="54"/>
      <c r="C643" s="33"/>
      <c r="D643" s="33"/>
      <c r="E643" s="32"/>
      <c r="F643" s="39"/>
      <c r="G643" s="48" t="str">
        <f aca="false">IF($F643="","",IFERROR(INDEX(商品档案!$B$6:$B$65,MATCH($F643,商品档案!$A$6:$A$65,0)),""))</f>
        <v/>
      </c>
      <c r="H643" s="48" t="str">
        <f aca="false">IF($F643="","",IFERROR(INDEX(商品档案!$C$6:$C$65,MATCH($F643,商品档案!$A$6:$A$65,0)),""))</f>
        <v/>
      </c>
      <c r="I643" s="55" t="str">
        <f aca="false">IF($F643="","",IFERROR(INDEX(商品档案!$D$6:$D$65,MATCH($F643,商品档案!$A$6:$A$65,0)),""))</f>
        <v/>
      </c>
      <c r="J643" s="49"/>
      <c r="K643" s="56"/>
      <c r="L643" s="33"/>
      <c r="M643" s="39"/>
      <c r="N643" s="41"/>
      <c r="O643" s="41"/>
      <c r="P643" s="25" t="str">
        <f aca="false">IF(AND($B643="",$D643="",$F643=""),"",IF(NOT(ISNUMBER($B643)),"日期无效",IF(ISNA(MATCH($C643,参数设置!$A$10:$A$12,0)),"公司无效",IF(ISNA(MATCH($D643,记账规则!$A$6:$A$9,0)),"业务类型无效",IF(ISNA(MATCH($F643,商品档案!$A$6:$A$65,0)),"商品编码无效",IF(IFERROR(INDEX(商品档案!$E$6:$E$65,MATCH($F643,商品档案!$A$6:$A$65,0)),"")&lt;&gt;$C643,"商品不属于该公司",IF(AND($E643&lt;&gt;"",ISNA(MATCH($E643,往来单位!$A$6:$A$85,0))),"往来单位未建档",IF(N($J643)=0,"数量为 0",IF(N($K643)=0,"单价为 0",IF(AND(LEFT($D643,2)="销售",$U643=""),"该商品没设成本科目",IF(YEAR($B643)&lt;&gt;参数设置!$B$5,"不在本会计年度","OK")))))))))))</f>
        <v/>
      </c>
      <c r="Q643" s="57" t="str">
        <f aca="false">IF($F643="","",ROUND(N($J643)*N($K643),2))</f>
        <v/>
      </c>
      <c r="R643" s="58" t="str">
        <f aca="false">IF($D643="","",IF(LEFT($D643,2)="销售","应收账款","应付账款"))</f>
        <v/>
      </c>
      <c r="S643" s="58" t="str">
        <f aca="false">IF($F643="","",IFERROR(INDEX(商品档案!$G$6:$G$65,MATCH($F643,商品档案!$A$6:$A$65,0)),""))</f>
        <v/>
      </c>
      <c r="T643" s="58" t="str">
        <f aca="false">IF($F643="","",IFERROR(INDEX(商品档案!$H$6:$H$65,MATCH($F643,商品档案!$A$6:$A$65,0)),""))</f>
        <v/>
      </c>
      <c r="U643" s="58" t="str">
        <f aca="false">IF($F643="","",IFERROR(INDEX(商品档案!$I$6:$I$65,MATCH($F643,商品档案!$A$6:$A$65,0)),""))</f>
        <v/>
      </c>
      <c r="V643" s="59" t="str">
        <f aca="false">IF($F643="","",SUMIFS(进销存台账!$N$6:$N$65,进销存台账!$A$6:$A$65,$C643,进销存台账!$B$6:$B$65,$F643))</f>
        <v/>
      </c>
      <c r="W643" s="60" t="n">
        <f aca="false">IF(OR($D643="销售出库",$D643="销售退回"),ROUND(N($J643)*N($V643),2),0)</f>
        <v>0</v>
      </c>
      <c r="X643" s="58" t="str">
        <f aca="false">IF($E643="","",IFERROR(INDEX(往来单位!$D$6:$D$85,MATCH($E643,往来单位!$A$6:$A$85,0)),"否"))</f>
        <v/>
      </c>
      <c r="Y643" s="61" t="str">
        <f aca="false">IF($B643="","",YEAR($B643))</f>
        <v/>
      </c>
      <c r="Z643" s="58" t="str">
        <f aca="false">IF($B643="","",TEXT($B643,"yyyy-mm"))</f>
        <v/>
      </c>
    </row>
    <row r="644" customFormat="false" ht="15" hidden="false" customHeight="false" outlineLevel="0" collapsed="false">
      <c r="A644" s="53" t="str">
        <f aca="false">IF($B644="","",ROW()-5)</f>
        <v/>
      </c>
      <c r="B644" s="54"/>
      <c r="C644" s="33"/>
      <c r="D644" s="33"/>
      <c r="E644" s="32"/>
      <c r="F644" s="39"/>
      <c r="G644" s="48" t="str">
        <f aca="false">IF($F644="","",IFERROR(INDEX(商品档案!$B$6:$B$65,MATCH($F644,商品档案!$A$6:$A$65,0)),""))</f>
        <v/>
      </c>
      <c r="H644" s="48" t="str">
        <f aca="false">IF($F644="","",IFERROR(INDEX(商品档案!$C$6:$C$65,MATCH($F644,商品档案!$A$6:$A$65,0)),""))</f>
        <v/>
      </c>
      <c r="I644" s="55" t="str">
        <f aca="false">IF($F644="","",IFERROR(INDEX(商品档案!$D$6:$D$65,MATCH($F644,商品档案!$A$6:$A$65,0)),""))</f>
        <v/>
      </c>
      <c r="J644" s="49"/>
      <c r="K644" s="56"/>
      <c r="L644" s="33"/>
      <c r="M644" s="39"/>
      <c r="N644" s="41"/>
      <c r="O644" s="41"/>
      <c r="P644" s="25" t="str">
        <f aca="false">IF(AND($B644="",$D644="",$F644=""),"",IF(NOT(ISNUMBER($B644)),"日期无效",IF(ISNA(MATCH($C644,参数设置!$A$10:$A$12,0)),"公司无效",IF(ISNA(MATCH($D644,记账规则!$A$6:$A$9,0)),"业务类型无效",IF(ISNA(MATCH($F644,商品档案!$A$6:$A$65,0)),"商品编码无效",IF(IFERROR(INDEX(商品档案!$E$6:$E$65,MATCH($F644,商品档案!$A$6:$A$65,0)),"")&lt;&gt;$C644,"商品不属于该公司",IF(AND($E644&lt;&gt;"",ISNA(MATCH($E644,往来单位!$A$6:$A$85,0))),"往来单位未建档",IF(N($J644)=0,"数量为 0",IF(N($K644)=0,"单价为 0",IF(AND(LEFT($D644,2)="销售",$U644=""),"该商品没设成本科目",IF(YEAR($B644)&lt;&gt;参数设置!$B$5,"不在本会计年度","OK")))))))))))</f>
        <v/>
      </c>
      <c r="Q644" s="57" t="str">
        <f aca="false">IF($F644="","",ROUND(N($J644)*N($K644),2))</f>
        <v/>
      </c>
      <c r="R644" s="58" t="str">
        <f aca="false">IF($D644="","",IF(LEFT($D644,2)="销售","应收账款","应付账款"))</f>
        <v/>
      </c>
      <c r="S644" s="58" t="str">
        <f aca="false">IF($F644="","",IFERROR(INDEX(商品档案!$G$6:$G$65,MATCH($F644,商品档案!$A$6:$A$65,0)),""))</f>
        <v/>
      </c>
      <c r="T644" s="58" t="str">
        <f aca="false">IF($F644="","",IFERROR(INDEX(商品档案!$H$6:$H$65,MATCH($F644,商品档案!$A$6:$A$65,0)),""))</f>
        <v/>
      </c>
      <c r="U644" s="58" t="str">
        <f aca="false">IF($F644="","",IFERROR(INDEX(商品档案!$I$6:$I$65,MATCH($F644,商品档案!$A$6:$A$65,0)),""))</f>
        <v/>
      </c>
      <c r="V644" s="59" t="str">
        <f aca="false">IF($F644="","",SUMIFS(进销存台账!$N$6:$N$65,进销存台账!$A$6:$A$65,$C644,进销存台账!$B$6:$B$65,$F644))</f>
        <v/>
      </c>
      <c r="W644" s="60" t="n">
        <f aca="false">IF(OR($D644="销售出库",$D644="销售退回"),ROUND(N($J644)*N($V644),2),0)</f>
        <v>0</v>
      </c>
      <c r="X644" s="58" t="str">
        <f aca="false">IF($E644="","",IFERROR(INDEX(往来单位!$D$6:$D$85,MATCH($E644,往来单位!$A$6:$A$85,0)),"否"))</f>
        <v/>
      </c>
      <c r="Y644" s="61" t="str">
        <f aca="false">IF($B644="","",YEAR($B644))</f>
        <v/>
      </c>
      <c r="Z644" s="58" t="str">
        <f aca="false">IF($B644="","",TEXT($B644,"yyyy-mm"))</f>
        <v/>
      </c>
    </row>
    <row r="645" customFormat="false" ht="15" hidden="false" customHeight="false" outlineLevel="0" collapsed="false">
      <c r="A645" s="53" t="str">
        <f aca="false">IF($B645="","",ROW()-5)</f>
        <v/>
      </c>
      <c r="B645" s="54"/>
      <c r="C645" s="33"/>
      <c r="D645" s="33"/>
      <c r="E645" s="32"/>
      <c r="F645" s="39"/>
      <c r="G645" s="48" t="str">
        <f aca="false">IF($F645="","",IFERROR(INDEX(商品档案!$B$6:$B$65,MATCH($F645,商品档案!$A$6:$A$65,0)),""))</f>
        <v/>
      </c>
      <c r="H645" s="48" t="str">
        <f aca="false">IF($F645="","",IFERROR(INDEX(商品档案!$C$6:$C$65,MATCH($F645,商品档案!$A$6:$A$65,0)),""))</f>
        <v/>
      </c>
      <c r="I645" s="55" t="str">
        <f aca="false">IF($F645="","",IFERROR(INDEX(商品档案!$D$6:$D$65,MATCH($F645,商品档案!$A$6:$A$65,0)),""))</f>
        <v/>
      </c>
      <c r="J645" s="49"/>
      <c r="K645" s="56"/>
      <c r="L645" s="33"/>
      <c r="M645" s="39"/>
      <c r="N645" s="41"/>
      <c r="O645" s="41"/>
      <c r="P645" s="25" t="str">
        <f aca="false">IF(AND($B645="",$D645="",$F645=""),"",IF(NOT(ISNUMBER($B645)),"日期无效",IF(ISNA(MATCH($C645,参数设置!$A$10:$A$12,0)),"公司无效",IF(ISNA(MATCH($D645,记账规则!$A$6:$A$9,0)),"业务类型无效",IF(ISNA(MATCH($F645,商品档案!$A$6:$A$65,0)),"商品编码无效",IF(IFERROR(INDEX(商品档案!$E$6:$E$65,MATCH($F645,商品档案!$A$6:$A$65,0)),"")&lt;&gt;$C645,"商品不属于该公司",IF(AND($E645&lt;&gt;"",ISNA(MATCH($E645,往来单位!$A$6:$A$85,0))),"往来单位未建档",IF(N($J645)=0,"数量为 0",IF(N($K645)=0,"单价为 0",IF(AND(LEFT($D645,2)="销售",$U645=""),"该商品没设成本科目",IF(YEAR($B645)&lt;&gt;参数设置!$B$5,"不在本会计年度","OK")))))))))))</f>
        <v/>
      </c>
      <c r="Q645" s="57" t="str">
        <f aca="false">IF($F645="","",ROUND(N($J645)*N($K645),2))</f>
        <v/>
      </c>
      <c r="R645" s="58" t="str">
        <f aca="false">IF($D645="","",IF(LEFT($D645,2)="销售","应收账款","应付账款"))</f>
        <v/>
      </c>
      <c r="S645" s="58" t="str">
        <f aca="false">IF($F645="","",IFERROR(INDEX(商品档案!$G$6:$G$65,MATCH($F645,商品档案!$A$6:$A$65,0)),""))</f>
        <v/>
      </c>
      <c r="T645" s="58" t="str">
        <f aca="false">IF($F645="","",IFERROR(INDEX(商品档案!$H$6:$H$65,MATCH($F645,商品档案!$A$6:$A$65,0)),""))</f>
        <v/>
      </c>
      <c r="U645" s="58" t="str">
        <f aca="false">IF($F645="","",IFERROR(INDEX(商品档案!$I$6:$I$65,MATCH($F645,商品档案!$A$6:$A$65,0)),""))</f>
        <v/>
      </c>
      <c r="V645" s="59" t="str">
        <f aca="false">IF($F645="","",SUMIFS(进销存台账!$N$6:$N$65,进销存台账!$A$6:$A$65,$C645,进销存台账!$B$6:$B$65,$F645))</f>
        <v/>
      </c>
      <c r="W645" s="60" t="n">
        <f aca="false">IF(OR($D645="销售出库",$D645="销售退回"),ROUND(N($J645)*N($V645),2),0)</f>
        <v>0</v>
      </c>
      <c r="X645" s="58" t="str">
        <f aca="false">IF($E645="","",IFERROR(INDEX(往来单位!$D$6:$D$85,MATCH($E645,往来单位!$A$6:$A$85,0)),"否"))</f>
        <v/>
      </c>
      <c r="Y645" s="61" t="str">
        <f aca="false">IF($B645="","",YEAR($B645))</f>
        <v/>
      </c>
      <c r="Z645" s="58" t="str">
        <f aca="false">IF($B645="","",TEXT($B645,"yyyy-mm"))</f>
        <v/>
      </c>
    </row>
    <row r="646" customFormat="false" ht="15" hidden="false" customHeight="false" outlineLevel="0" collapsed="false">
      <c r="A646" s="53" t="str">
        <f aca="false">IF($B646="","",ROW()-5)</f>
        <v/>
      </c>
      <c r="B646" s="54"/>
      <c r="C646" s="33"/>
      <c r="D646" s="33"/>
      <c r="E646" s="32"/>
      <c r="F646" s="39"/>
      <c r="G646" s="48" t="str">
        <f aca="false">IF($F646="","",IFERROR(INDEX(商品档案!$B$6:$B$65,MATCH($F646,商品档案!$A$6:$A$65,0)),""))</f>
        <v/>
      </c>
      <c r="H646" s="48" t="str">
        <f aca="false">IF($F646="","",IFERROR(INDEX(商品档案!$C$6:$C$65,MATCH($F646,商品档案!$A$6:$A$65,0)),""))</f>
        <v/>
      </c>
      <c r="I646" s="55" t="str">
        <f aca="false">IF($F646="","",IFERROR(INDEX(商品档案!$D$6:$D$65,MATCH($F646,商品档案!$A$6:$A$65,0)),""))</f>
        <v/>
      </c>
      <c r="J646" s="49"/>
      <c r="K646" s="56"/>
      <c r="L646" s="33"/>
      <c r="M646" s="39"/>
      <c r="N646" s="41"/>
      <c r="O646" s="41"/>
      <c r="P646" s="25" t="str">
        <f aca="false">IF(AND($B646="",$D646="",$F646=""),"",IF(NOT(ISNUMBER($B646)),"日期无效",IF(ISNA(MATCH($C646,参数设置!$A$10:$A$12,0)),"公司无效",IF(ISNA(MATCH($D646,记账规则!$A$6:$A$9,0)),"业务类型无效",IF(ISNA(MATCH($F646,商品档案!$A$6:$A$65,0)),"商品编码无效",IF(IFERROR(INDEX(商品档案!$E$6:$E$65,MATCH($F646,商品档案!$A$6:$A$65,0)),"")&lt;&gt;$C646,"商品不属于该公司",IF(AND($E646&lt;&gt;"",ISNA(MATCH($E646,往来单位!$A$6:$A$85,0))),"往来单位未建档",IF(N($J646)=0,"数量为 0",IF(N($K646)=0,"单价为 0",IF(AND(LEFT($D646,2)="销售",$U646=""),"该商品没设成本科目",IF(YEAR($B646)&lt;&gt;参数设置!$B$5,"不在本会计年度","OK")))))))))))</f>
        <v/>
      </c>
      <c r="Q646" s="57" t="str">
        <f aca="false">IF($F646="","",ROUND(N($J646)*N($K646),2))</f>
        <v/>
      </c>
      <c r="R646" s="58" t="str">
        <f aca="false">IF($D646="","",IF(LEFT($D646,2)="销售","应收账款","应付账款"))</f>
        <v/>
      </c>
      <c r="S646" s="58" t="str">
        <f aca="false">IF($F646="","",IFERROR(INDEX(商品档案!$G$6:$G$65,MATCH($F646,商品档案!$A$6:$A$65,0)),""))</f>
        <v/>
      </c>
      <c r="T646" s="58" t="str">
        <f aca="false">IF($F646="","",IFERROR(INDEX(商品档案!$H$6:$H$65,MATCH($F646,商品档案!$A$6:$A$65,0)),""))</f>
        <v/>
      </c>
      <c r="U646" s="58" t="str">
        <f aca="false">IF($F646="","",IFERROR(INDEX(商品档案!$I$6:$I$65,MATCH($F646,商品档案!$A$6:$A$65,0)),""))</f>
        <v/>
      </c>
      <c r="V646" s="59" t="str">
        <f aca="false">IF($F646="","",SUMIFS(进销存台账!$N$6:$N$65,进销存台账!$A$6:$A$65,$C646,进销存台账!$B$6:$B$65,$F646))</f>
        <v/>
      </c>
      <c r="W646" s="60" t="n">
        <f aca="false">IF(OR($D646="销售出库",$D646="销售退回"),ROUND(N($J646)*N($V646),2),0)</f>
        <v>0</v>
      </c>
      <c r="X646" s="58" t="str">
        <f aca="false">IF($E646="","",IFERROR(INDEX(往来单位!$D$6:$D$85,MATCH($E646,往来单位!$A$6:$A$85,0)),"否"))</f>
        <v/>
      </c>
      <c r="Y646" s="61" t="str">
        <f aca="false">IF($B646="","",YEAR($B646))</f>
        <v/>
      </c>
      <c r="Z646" s="58" t="str">
        <f aca="false">IF($B646="","",TEXT($B646,"yyyy-mm"))</f>
        <v/>
      </c>
    </row>
    <row r="647" customFormat="false" ht="15" hidden="false" customHeight="false" outlineLevel="0" collapsed="false">
      <c r="A647" s="53" t="str">
        <f aca="false">IF($B647="","",ROW()-5)</f>
        <v/>
      </c>
      <c r="B647" s="54"/>
      <c r="C647" s="33"/>
      <c r="D647" s="33"/>
      <c r="E647" s="32"/>
      <c r="F647" s="39"/>
      <c r="G647" s="48" t="str">
        <f aca="false">IF($F647="","",IFERROR(INDEX(商品档案!$B$6:$B$65,MATCH($F647,商品档案!$A$6:$A$65,0)),""))</f>
        <v/>
      </c>
      <c r="H647" s="48" t="str">
        <f aca="false">IF($F647="","",IFERROR(INDEX(商品档案!$C$6:$C$65,MATCH($F647,商品档案!$A$6:$A$65,0)),""))</f>
        <v/>
      </c>
      <c r="I647" s="55" t="str">
        <f aca="false">IF($F647="","",IFERROR(INDEX(商品档案!$D$6:$D$65,MATCH($F647,商品档案!$A$6:$A$65,0)),""))</f>
        <v/>
      </c>
      <c r="J647" s="49"/>
      <c r="K647" s="56"/>
      <c r="L647" s="33"/>
      <c r="M647" s="39"/>
      <c r="N647" s="41"/>
      <c r="O647" s="41"/>
      <c r="P647" s="25" t="str">
        <f aca="false">IF(AND($B647="",$D647="",$F647=""),"",IF(NOT(ISNUMBER($B647)),"日期无效",IF(ISNA(MATCH($C647,参数设置!$A$10:$A$12,0)),"公司无效",IF(ISNA(MATCH($D647,记账规则!$A$6:$A$9,0)),"业务类型无效",IF(ISNA(MATCH($F647,商品档案!$A$6:$A$65,0)),"商品编码无效",IF(IFERROR(INDEX(商品档案!$E$6:$E$65,MATCH($F647,商品档案!$A$6:$A$65,0)),"")&lt;&gt;$C647,"商品不属于该公司",IF(AND($E647&lt;&gt;"",ISNA(MATCH($E647,往来单位!$A$6:$A$85,0))),"往来单位未建档",IF(N($J647)=0,"数量为 0",IF(N($K647)=0,"单价为 0",IF(AND(LEFT($D647,2)="销售",$U647=""),"该商品没设成本科目",IF(YEAR($B647)&lt;&gt;参数设置!$B$5,"不在本会计年度","OK")))))))))))</f>
        <v/>
      </c>
      <c r="Q647" s="57" t="str">
        <f aca="false">IF($F647="","",ROUND(N($J647)*N($K647),2))</f>
        <v/>
      </c>
      <c r="R647" s="58" t="str">
        <f aca="false">IF($D647="","",IF(LEFT($D647,2)="销售","应收账款","应付账款"))</f>
        <v/>
      </c>
      <c r="S647" s="58" t="str">
        <f aca="false">IF($F647="","",IFERROR(INDEX(商品档案!$G$6:$G$65,MATCH($F647,商品档案!$A$6:$A$65,0)),""))</f>
        <v/>
      </c>
      <c r="T647" s="58" t="str">
        <f aca="false">IF($F647="","",IFERROR(INDEX(商品档案!$H$6:$H$65,MATCH($F647,商品档案!$A$6:$A$65,0)),""))</f>
        <v/>
      </c>
      <c r="U647" s="58" t="str">
        <f aca="false">IF($F647="","",IFERROR(INDEX(商品档案!$I$6:$I$65,MATCH($F647,商品档案!$A$6:$A$65,0)),""))</f>
        <v/>
      </c>
      <c r="V647" s="59" t="str">
        <f aca="false">IF($F647="","",SUMIFS(进销存台账!$N$6:$N$65,进销存台账!$A$6:$A$65,$C647,进销存台账!$B$6:$B$65,$F647))</f>
        <v/>
      </c>
      <c r="W647" s="60" t="n">
        <f aca="false">IF(OR($D647="销售出库",$D647="销售退回"),ROUND(N($J647)*N($V647),2),0)</f>
        <v>0</v>
      </c>
      <c r="X647" s="58" t="str">
        <f aca="false">IF($E647="","",IFERROR(INDEX(往来单位!$D$6:$D$85,MATCH($E647,往来单位!$A$6:$A$85,0)),"否"))</f>
        <v/>
      </c>
      <c r="Y647" s="61" t="str">
        <f aca="false">IF($B647="","",YEAR($B647))</f>
        <v/>
      </c>
      <c r="Z647" s="58" t="str">
        <f aca="false">IF($B647="","",TEXT($B647,"yyyy-mm"))</f>
        <v/>
      </c>
    </row>
    <row r="648" customFormat="false" ht="15" hidden="false" customHeight="false" outlineLevel="0" collapsed="false">
      <c r="A648" s="53" t="str">
        <f aca="false">IF($B648="","",ROW()-5)</f>
        <v/>
      </c>
      <c r="B648" s="54"/>
      <c r="C648" s="33"/>
      <c r="D648" s="33"/>
      <c r="E648" s="32"/>
      <c r="F648" s="39"/>
      <c r="G648" s="48" t="str">
        <f aca="false">IF($F648="","",IFERROR(INDEX(商品档案!$B$6:$B$65,MATCH($F648,商品档案!$A$6:$A$65,0)),""))</f>
        <v/>
      </c>
      <c r="H648" s="48" t="str">
        <f aca="false">IF($F648="","",IFERROR(INDEX(商品档案!$C$6:$C$65,MATCH($F648,商品档案!$A$6:$A$65,0)),""))</f>
        <v/>
      </c>
      <c r="I648" s="55" t="str">
        <f aca="false">IF($F648="","",IFERROR(INDEX(商品档案!$D$6:$D$65,MATCH($F648,商品档案!$A$6:$A$65,0)),""))</f>
        <v/>
      </c>
      <c r="J648" s="49"/>
      <c r="K648" s="56"/>
      <c r="L648" s="33"/>
      <c r="M648" s="39"/>
      <c r="N648" s="41"/>
      <c r="O648" s="41"/>
      <c r="P648" s="25" t="str">
        <f aca="false">IF(AND($B648="",$D648="",$F648=""),"",IF(NOT(ISNUMBER($B648)),"日期无效",IF(ISNA(MATCH($C648,参数设置!$A$10:$A$12,0)),"公司无效",IF(ISNA(MATCH($D648,记账规则!$A$6:$A$9,0)),"业务类型无效",IF(ISNA(MATCH($F648,商品档案!$A$6:$A$65,0)),"商品编码无效",IF(IFERROR(INDEX(商品档案!$E$6:$E$65,MATCH($F648,商品档案!$A$6:$A$65,0)),"")&lt;&gt;$C648,"商品不属于该公司",IF(AND($E648&lt;&gt;"",ISNA(MATCH($E648,往来单位!$A$6:$A$85,0))),"往来单位未建档",IF(N($J648)=0,"数量为 0",IF(N($K648)=0,"单价为 0",IF(AND(LEFT($D648,2)="销售",$U648=""),"该商品没设成本科目",IF(YEAR($B648)&lt;&gt;参数设置!$B$5,"不在本会计年度","OK")))))))))))</f>
        <v/>
      </c>
      <c r="Q648" s="57" t="str">
        <f aca="false">IF($F648="","",ROUND(N($J648)*N($K648),2))</f>
        <v/>
      </c>
      <c r="R648" s="58" t="str">
        <f aca="false">IF($D648="","",IF(LEFT($D648,2)="销售","应收账款","应付账款"))</f>
        <v/>
      </c>
      <c r="S648" s="58" t="str">
        <f aca="false">IF($F648="","",IFERROR(INDEX(商品档案!$G$6:$G$65,MATCH($F648,商品档案!$A$6:$A$65,0)),""))</f>
        <v/>
      </c>
      <c r="T648" s="58" t="str">
        <f aca="false">IF($F648="","",IFERROR(INDEX(商品档案!$H$6:$H$65,MATCH($F648,商品档案!$A$6:$A$65,0)),""))</f>
        <v/>
      </c>
      <c r="U648" s="58" t="str">
        <f aca="false">IF($F648="","",IFERROR(INDEX(商品档案!$I$6:$I$65,MATCH($F648,商品档案!$A$6:$A$65,0)),""))</f>
        <v/>
      </c>
      <c r="V648" s="59" t="str">
        <f aca="false">IF($F648="","",SUMIFS(进销存台账!$N$6:$N$65,进销存台账!$A$6:$A$65,$C648,进销存台账!$B$6:$B$65,$F648))</f>
        <v/>
      </c>
      <c r="W648" s="60" t="n">
        <f aca="false">IF(OR($D648="销售出库",$D648="销售退回"),ROUND(N($J648)*N($V648),2),0)</f>
        <v>0</v>
      </c>
      <c r="X648" s="58" t="str">
        <f aca="false">IF($E648="","",IFERROR(INDEX(往来单位!$D$6:$D$85,MATCH($E648,往来单位!$A$6:$A$85,0)),"否"))</f>
        <v/>
      </c>
      <c r="Y648" s="61" t="str">
        <f aca="false">IF($B648="","",YEAR($B648))</f>
        <v/>
      </c>
      <c r="Z648" s="58" t="str">
        <f aca="false">IF($B648="","",TEXT($B648,"yyyy-mm"))</f>
        <v/>
      </c>
    </row>
    <row r="649" customFormat="false" ht="15" hidden="false" customHeight="false" outlineLevel="0" collapsed="false">
      <c r="A649" s="53" t="str">
        <f aca="false">IF($B649="","",ROW()-5)</f>
        <v/>
      </c>
      <c r="B649" s="54"/>
      <c r="C649" s="33"/>
      <c r="D649" s="33"/>
      <c r="E649" s="32"/>
      <c r="F649" s="39"/>
      <c r="G649" s="48" t="str">
        <f aca="false">IF($F649="","",IFERROR(INDEX(商品档案!$B$6:$B$65,MATCH($F649,商品档案!$A$6:$A$65,0)),""))</f>
        <v/>
      </c>
      <c r="H649" s="48" t="str">
        <f aca="false">IF($F649="","",IFERROR(INDEX(商品档案!$C$6:$C$65,MATCH($F649,商品档案!$A$6:$A$65,0)),""))</f>
        <v/>
      </c>
      <c r="I649" s="55" t="str">
        <f aca="false">IF($F649="","",IFERROR(INDEX(商品档案!$D$6:$D$65,MATCH($F649,商品档案!$A$6:$A$65,0)),""))</f>
        <v/>
      </c>
      <c r="J649" s="49"/>
      <c r="K649" s="56"/>
      <c r="L649" s="33"/>
      <c r="M649" s="39"/>
      <c r="N649" s="41"/>
      <c r="O649" s="41"/>
      <c r="P649" s="25" t="str">
        <f aca="false">IF(AND($B649="",$D649="",$F649=""),"",IF(NOT(ISNUMBER($B649)),"日期无效",IF(ISNA(MATCH($C649,参数设置!$A$10:$A$12,0)),"公司无效",IF(ISNA(MATCH($D649,记账规则!$A$6:$A$9,0)),"业务类型无效",IF(ISNA(MATCH($F649,商品档案!$A$6:$A$65,0)),"商品编码无效",IF(IFERROR(INDEX(商品档案!$E$6:$E$65,MATCH($F649,商品档案!$A$6:$A$65,0)),"")&lt;&gt;$C649,"商品不属于该公司",IF(AND($E649&lt;&gt;"",ISNA(MATCH($E649,往来单位!$A$6:$A$85,0))),"往来单位未建档",IF(N($J649)=0,"数量为 0",IF(N($K649)=0,"单价为 0",IF(AND(LEFT($D649,2)="销售",$U649=""),"该商品没设成本科目",IF(YEAR($B649)&lt;&gt;参数设置!$B$5,"不在本会计年度","OK")))))))))))</f>
        <v/>
      </c>
      <c r="Q649" s="57" t="str">
        <f aca="false">IF($F649="","",ROUND(N($J649)*N($K649),2))</f>
        <v/>
      </c>
      <c r="R649" s="58" t="str">
        <f aca="false">IF($D649="","",IF(LEFT($D649,2)="销售","应收账款","应付账款"))</f>
        <v/>
      </c>
      <c r="S649" s="58" t="str">
        <f aca="false">IF($F649="","",IFERROR(INDEX(商品档案!$G$6:$G$65,MATCH($F649,商品档案!$A$6:$A$65,0)),""))</f>
        <v/>
      </c>
      <c r="T649" s="58" t="str">
        <f aca="false">IF($F649="","",IFERROR(INDEX(商品档案!$H$6:$H$65,MATCH($F649,商品档案!$A$6:$A$65,0)),""))</f>
        <v/>
      </c>
      <c r="U649" s="58" t="str">
        <f aca="false">IF($F649="","",IFERROR(INDEX(商品档案!$I$6:$I$65,MATCH($F649,商品档案!$A$6:$A$65,0)),""))</f>
        <v/>
      </c>
      <c r="V649" s="59" t="str">
        <f aca="false">IF($F649="","",SUMIFS(进销存台账!$N$6:$N$65,进销存台账!$A$6:$A$65,$C649,进销存台账!$B$6:$B$65,$F649))</f>
        <v/>
      </c>
      <c r="W649" s="60" t="n">
        <f aca="false">IF(OR($D649="销售出库",$D649="销售退回"),ROUND(N($J649)*N($V649),2),0)</f>
        <v>0</v>
      </c>
      <c r="X649" s="58" t="str">
        <f aca="false">IF($E649="","",IFERROR(INDEX(往来单位!$D$6:$D$85,MATCH($E649,往来单位!$A$6:$A$85,0)),"否"))</f>
        <v/>
      </c>
      <c r="Y649" s="61" t="str">
        <f aca="false">IF($B649="","",YEAR($B649))</f>
        <v/>
      </c>
      <c r="Z649" s="58" t="str">
        <f aca="false">IF($B649="","",TEXT($B649,"yyyy-mm"))</f>
        <v/>
      </c>
    </row>
    <row r="650" customFormat="false" ht="15" hidden="false" customHeight="false" outlineLevel="0" collapsed="false">
      <c r="A650" s="53" t="str">
        <f aca="false">IF($B650="","",ROW()-5)</f>
        <v/>
      </c>
      <c r="B650" s="54"/>
      <c r="C650" s="33"/>
      <c r="D650" s="33"/>
      <c r="E650" s="32"/>
      <c r="F650" s="39"/>
      <c r="G650" s="48" t="str">
        <f aca="false">IF($F650="","",IFERROR(INDEX(商品档案!$B$6:$B$65,MATCH($F650,商品档案!$A$6:$A$65,0)),""))</f>
        <v/>
      </c>
      <c r="H650" s="48" t="str">
        <f aca="false">IF($F650="","",IFERROR(INDEX(商品档案!$C$6:$C$65,MATCH($F650,商品档案!$A$6:$A$65,0)),""))</f>
        <v/>
      </c>
      <c r="I650" s="55" t="str">
        <f aca="false">IF($F650="","",IFERROR(INDEX(商品档案!$D$6:$D$65,MATCH($F650,商品档案!$A$6:$A$65,0)),""))</f>
        <v/>
      </c>
      <c r="J650" s="49"/>
      <c r="K650" s="56"/>
      <c r="L650" s="33"/>
      <c r="M650" s="39"/>
      <c r="N650" s="41"/>
      <c r="O650" s="41"/>
      <c r="P650" s="25" t="str">
        <f aca="false">IF(AND($B650="",$D650="",$F650=""),"",IF(NOT(ISNUMBER($B650)),"日期无效",IF(ISNA(MATCH($C650,参数设置!$A$10:$A$12,0)),"公司无效",IF(ISNA(MATCH($D650,记账规则!$A$6:$A$9,0)),"业务类型无效",IF(ISNA(MATCH($F650,商品档案!$A$6:$A$65,0)),"商品编码无效",IF(IFERROR(INDEX(商品档案!$E$6:$E$65,MATCH($F650,商品档案!$A$6:$A$65,0)),"")&lt;&gt;$C650,"商品不属于该公司",IF(AND($E650&lt;&gt;"",ISNA(MATCH($E650,往来单位!$A$6:$A$85,0))),"往来单位未建档",IF(N($J650)=0,"数量为 0",IF(N($K650)=0,"单价为 0",IF(AND(LEFT($D650,2)="销售",$U650=""),"该商品没设成本科目",IF(YEAR($B650)&lt;&gt;参数设置!$B$5,"不在本会计年度","OK")))))))))))</f>
        <v/>
      </c>
      <c r="Q650" s="57" t="str">
        <f aca="false">IF($F650="","",ROUND(N($J650)*N($K650),2))</f>
        <v/>
      </c>
      <c r="R650" s="58" t="str">
        <f aca="false">IF($D650="","",IF(LEFT($D650,2)="销售","应收账款","应付账款"))</f>
        <v/>
      </c>
      <c r="S650" s="58" t="str">
        <f aca="false">IF($F650="","",IFERROR(INDEX(商品档案!$G$6:$G$65,MATCH($F650,商品档案!$A$6:$A$65,0)),""))</f>
        <v/>
      </c>
      <c r="T650" s="58" t="str">
        <f aca="false">IF($F650="","",IFERROR(INDEX(商品档案!$H$6:$H$65,MATCH($F650,商品档案!$A$6:$A$65,0)),""))</f>
        <v/>
      </c>
      <c r="U650" s="58" t="str">
        <f aca="false">IF($F650="","",IFERROR(INDEX(商品档案!$I$6:$I$65,MATCH($F650,商品档案!$A$6:$A$65,0)),""))</f>
        <v/>
      </c>
      <c r="V650" s="59" t="str">
        <f aca="false">IF($F650="","",SUMIFS(进销存台账!$N$6:$N$65,进销存台账!$A$6:$A$65,$C650,进销存台账!$B$6:$B$65,$F650))</f>
        <v/>
      </c>
      <c r="W650" s="60" t="n">
        <f aca="false">IF(OR($D650="销售出库",$D650="销售退回"),ROUND(N($J650)*N($V650),2),0)</f>
        <v>0</v>
      </c>
      <c r="X650" s="58" t="str">
        <f aca="false">IF($E650="","",IFERROR(INDEX(往来单位!$D$6:$D$85,MATCH($E650,往来单位!$A$6:$A$85,0)),"否"))</f>
        <v/>
      </c>
      <c r="Y650" s="61" t="str">
        <f aca="false">IF($B650="","",YEAR($B650))</f>
        <v/>
      </c>
      <c r="Z650" s="58" t="str">
        <f aca="false">IF($B650="","",TEXT($B650,"yyyy-mm"))</f>
        <v/>
      </c>
    </row>
    <row r="651" customFormat="false" ht="15" hidden="false" customHeight="false" outlineLevel="0" collapsed="false">
      <c r="A651" s="53" t="str">
        <f aca="false">IF($B651="","",ROW()-5)</f>
        <v/>
      </c>
      <c r="B651" s="54"/>
      <c r="C651" s="33"/>
      <c r="D651" s="33"/>
      <c r="E651" s="32"/>
      <c r="F651" s="39"/>
      <c r="G651" s="48" t="str">
        <f aca="false">IF($F651="","",IFERROR(INDEX(商品档案!$B$6:$B$65,MATCH($F651,商品档案!$A$6:$A$65,0)),""))</f>
        <v/>
      </c>
      <c r="H651" s="48" t="str">
        <f aca="false">IF($F651="","",IFERROR(INDEX(商品档案!$C$6:$C$65,MATCH($F651,商品档案!$A$6:$A$65,0)),""))</f>
        <v/>
      </c>
      <c r="I651" s="55" t="str">
        <f aca="false">IF($F651="","",IFERROR(INDEX(商品档案!$D$6:$D$65,MATCH($F651,商品档案!$A$6:$A$65,0)),""))</f>
        <v/>
      </c>
      <c r="J651" s="49"/>
      <c r="K651" s="56"/>
      <c r="L651" s="33"/>
      <c r="M651" s="39"/>
      <c r="N651" s="41"/>
      <c r="O651" s="41"/>
      <c r="P651" s="25" t="str">
        <f aca="false">IF(AND($B651="",$D651="",$F651=""),"",IF(NOT(ISNUMBER($B651)),"日期无效",IF(ISNA(MATCH($C651,参数设置!$A$10:$A$12,0)),"公司无效",IF(ISNA(MATCH($D651,记账规则!$A$6:$A$9,0)),"业务类型无效",IF(ISNA(MATCH($F651,商品档案!$A$6:$A$65,0)),"商品编码无效",IF(IFERROR(INDEX(商品档案!$E$6:$E$65,MATCH($F651,商品档案!$A$6:$A$65,0)),"")&lt;&gt;$C651,"商品不属于该公司",IF(AND($E651&lt;&gt;"",ISNA(MATCH($E651,往来单位!$A$6:$A$85,0))),"往来单位未建档",IF(N($J651)=0,"数量为 0",IF(N($K651)=0,"单价为 0",IF(AND(LEFT($D651,2)="销售",$U651=""),"该商品没设成本科目",IF(YEAR($B651)&lt;&gt;参数设置!$B$5,"不在本会计年度","OK")))))))))))</f>
        <v/>
      </c>
      <c r="Q651" s="57" t="str">
        <f aca="false">IF($F651="","",ROUND(N($J651)*N($K651),2))</f>
        <v/>
      </c>
      <c r="R651" s="58" t="str">
        <f aca="false">IF($D651="","",IF(LEFT($D651,2)="销售","应收账款","应付账款"))</f>
        <v/>
      </c>
      <c r="S651" s="58" t="str">
        <f aca="false">IF($F651="","",IFERROR(INDEX(商品档案!$G$6:$G$65,MATCH($F651,商品档案!$A$6:$A$65,0)),""))</f>
        <v/>
      </c>
      <c r="T651" s="58" t="str">
        <f aca="false">IF($F651="","",IFERROR(INDEX(商品档案!$H$6:$H$65,MATCH($F651,商品档案!$A$6:$A$65,0)),""))</f>
        <v/>
      </c>
      <c r="U651" s="58" t="str">
        <f aca="false">IF($F651="","",IFERROR(INDEX(商品档案!$I$6:$I$65,MATCH($F651,商品档案!$A$6:$A$65,0)),""))</f>
        <v/>
      </c>
      <c r="V651" s="59" t="str">
        <f aca="false">IF($F651="","",SUMIFS(进销存台账!$N$6:$N$65,进销存台账!$A$6:$A$65,$C651,进销存台账!$B$6:$B$65,$F651))</f>
        <v/>
      </c>
      <c r="W651" s="60" t="n">
        <f aca="false">IF(OR($D651="销售出库",$D651="销售退回"),ROUND(N($J651)*N($V651),2),0)</f>
        <v>0</v>
      </c>
      <c r="X651" s="58" t="str">
        <f aca="false">IF($E651="","",IFERROR(INDEX(往来单位!$D$6:$D$85,MATCH($E651,往来单位!$A$6:$A$85,0)),"否"))</f>
        <v/>
      </c>
      <c r="Y651" s="61" t="str">
        <f aca="false">IF($B651="","",YEAR($B651))</f>
        <v/>
      </c>
      <c r="Z651" s="58" t="str">
        <f aca="false">IF($B651="","",TEXT($B651,"yyyy-mm"))</f>
        <v/>
      </c>
    </row>
    <row r="652" customFormat="false" ht="15" hidden="false" customHeight="false" outlineLevel="0" collapsed="false">
      <c r="A652" s="53" t="str">
        <f aca="false">IF($B652="","",ROW()-5)</f>
        <v/>
      </c>
      <c r="B652" s="54"/>
      <c r="C652" s="33"/>
      <c r="D652" s="33"/>
      <c r="E652" s="32"/>
      <c r="F652" s="39"/>
      <c r="G652" s="48" t="str">
        <f aca="false">IF($F652="","",IFERROR(INDEX(商品档案!$B$6:$B$65,MATCH($F652,商品档案!$A$6:$A$65,0)),""))</f>
        <v/>
      </c>
      <c r="H652" s="48" t="str">
        <f aca="false">IF($F652="","",IFERROR(INDEX(商品档案!$C$6:$C$65,MATCH($F652,商品档案!$A$6:$A$65,0)),""))</f>
        <v/>
      </c>
      <c r="I652" s="55" t="str">
        <f aca="false">IF($F652="","",IFERROR(INDEX(商品档案!$D$6:$D$65,MATCH($F652,商品档案!$A$6:$A$65,0)),""))</f>
        <v/>
      </c>
      <c r="J652" s="49"/>
      <c r="K652" s="56"/>
      <c r="L652" s="33"/>
      <c r="M652" s="39"/>
      <c r="N652" s="41"/>
      <c r="O652" s="41"/>
      <c r="P652" s="25" t="str">
        <f aca="false">IF(AND($B652="",$D652="",$F652=""),"",IF(NOT(ISNUMBER($B652)),"日期无效",IF(ISNA(MATCH($C652,参数设置!$A$10:$A$12,0)),"公司无效",IF(ISNA(MATCH($D652,记账规则!$A$6:$A$9,0)),"业务类型无效",IF(ISNA(MATCH($F652,商品档案!$A$6:$A$65,0)),"商品编码无效",IF(IFERROR(INDEX(商品档案!$E$6:$E$65,MATCH($F652,商品档案!$A$6:$A$65,0)),"")&lt;&gt;$C652,"商品不属于该公司",IF(AND($E652&lt;&gt;"",ISNA(MATCH($E652,往来单位!$A$6:$A$85,0))),"往来单位未建档",IF(N($J652)=0,"数量为 0",IF(N($K652)=0,"单价为 0",IF(AND(LEFT($D652,2)="销售",$U652=""),"该商品没设成本科目",IF(YEAR($B652)&lt;&gt;参数设置!$B$5,"不在本会计年度","OK")))))))))))</f>
        <v/>
      </c>
      <c r="Q652" s="57" t="str">
        <f aca="false">IF($F652="","",ROUND(N($J652)*N($K652),2))</f>
        <v/>
      </c>
      <c r="R652" s="58" t="str">
        <f aca="false">IF($D652="","",IF(LEFT($D652,2)="销售","应收账款","应付账款"))</f>
        <v/>
      </c>
      <c r="S652" s="58" t="str">
        <f aca="false">IF($F652="","",IFERROR(INDEX(商品档案!$G$6:$G$65,MATCH($F652,商品档案!$A$6:$A$65,0)),""))</f>
        <v/>
      </c>
      <c r="T652" s="58" t="str">
        <f aca="false">IF($F652="","",IFERROR(INDEX(商品档案!$H$6:$H$65,MATCH($F652,商品档案!$A$6:$A$65,0)),""))</f>
        <v/>
      </c>
      <c r="U652" s="58" t="str">
        <f aca="false">IF($F652="","",IFERROR(INDEX(商品档案!$I$6:$I$65,MATCH($F652,商品档案!$A$6:$A$65,0)),""))</f>
        <v/>
      </c>
      <c r="V652" s="59" t="str">
        <f aca="false">IF($F652="","",SUMIFS(进销存台账!$N$6:$N$65,进销存台账!$A$6:$A$65,$C652,进销存台账!$B$6:$B$65,$F652))</f>
        <v/>
      </c>
      <c r="W652" s="60" t="n">
        <f aca="false">IF(OR($D652="销售出库",$D652="销售退回"),ROUND(N($J652)*N($V652),2),0)</f>
        <v>0</v>
      </c>
      <c r="X652" s="58" t="str">
        <f aca="false">IF($E652="","",IFERROR(INDEX(往来单位!$D$6:$D$85,MATCH($E652,往来单位!$A$6:$A$85,0)),"否"))</f>
        <v/>
      </c>
      <c r="Y652" s="61" t="str">
        <f aca="false">IF($B652="","",YEAR($B652))</f>
        <v/>
      </c>
      <c r="Z652" s="58" t="str">
        <f aca="false">IF($B652="","",TEXT($B652,"yyyy-mm"))</f>
        <v/>
      </c>
    </row>
    <row r="653" customFormat="false" ht="15" hidden="false" customHeight="false" outlineLevel="0" collapsed="false">
      <c r="A653" s="53" t="str">
        <f aca="false">IF($B653="","",ROW()-5)</f>
        <v/>
      </c>
      <c r="B653" s="54"/>
      <c r="C653" s="33"/>
      <c r="D653" s="33"/>
      <c r="E653" s="32"/>
      <c r="F653" s="39"/>
      <c r="G653" s="48" t="str">
        <f aca="false">IF($F653="","",IFERROR(INDEX(商品档案!$B$6:$B$65,MATCH($F653,商品档案!$A$6:$A$65,0)),""))</f>
        <v/>
      </c>
      <c r="H653" s="48" t="str">
        <f aca="false">IF($F653="","",IFERROR(INDEX(商品档案!$C$6:$C$65,MATCH($F653,商品档案!$A$6:$A$65,0)),""))</f>
        <v/>
      </c>
      <c r="I653" s="55" t="str">
        <f aca="false">IF($F653="","",IFERROR(INDEX(商品档案!$D$6:$D$65,MATCH($F653,商品档案!$A$6:$A$65,0)),""))</f>
        <v/>
      </c>
      <c r="J653" s="49"/>
      <c r="K653" s="56"/>
      <c r="L653" s="33"/>
      <c r="M653" s="39"/>
      <c r="N653" s="41"/>
      <c r="O653" s="41"/>
      <c r="P653" s="25" t="str">
        <f aca="false">IF(AND($B653="",$D653="",$F653=""),"",IF(NOT(ISNUMBER($B653)),"日期无效",IF(ISNA(MATCH($C653,参数设置!$A$10:$A$12,0)),"公司无效",IF(ISNA(MATCH($D653,记账规则!$A$6:$A$9,0)),"业务类型无效",IF(ISNA(MATCH($F653,商品档案!$A$6:$A$65,0)),"商品编码无效",IF(IFERROR(INDEX(商品档案!$E$6:$E$65,MATCH($F653,商品档案!$A$6:$A$65,0)),"")&lt;&gt;$C653,"商品不属于该公司",IF(AND($E653&lt;&gt;"",ISNA(MATCH($E653,往来单位!$A$6:$A$85,0))),"往来单位未建档",IF(N($J653)=0,"数量为 0",IF(N($K653)=0,"单价为 0",IF(AND(LEFT($D653,2)="销售",$U653=""),"该商品没设成本科目",IF(YEAR($B653)&lt;&gt;参数设置!$B$5,"不在本会计年度","OK")))))))))))</f>
        <v/>
      </c>
      <c r="Q653" s="57" t="str">
        <f aca="false">IF($F653="","",ROUND(N($J653)*N($K653),2))</f>
        <v/>
      </c>
      <c r="R653" s="58" t="str">
        <f aca="false">IF($D653="","",IF(LEFT($D653,2)="销售","应收账款","应付账款"))</f>
        <v/>
      </c>
      <c r="S653" s="58" t="str">
        <f aca="false">IF($F653="","",IFERROR(INDEX(商品档案!$G$6:$G$65,MATCH($F653,商品档案!$A$6:$A$65,0)),""))</f>
        <v/>
      </c>
      <c r="T653" s="58" t="str">
        <f aca="false">IF($F653="","",IFERROR(INDEX(商品档案!$H$6:$H$65,MATCH($F653,商品档案!$A$6:$A$65,0)),""))</f>
        <v/>
      </c>
      <c r="U653" s="58" t="str">
        <f aca="false">IF($F653="","",IFERROR(INDEX(商品档案!$I$6:$I$65,MATCH($F653,商品档案!$A$6:$A$65,0)),""))</f>
        <v/>
      </c>
      <c r="V653" s="59" t="str">
        <f aca="false">IF($F653="","",SUMIFS(进销存台账!$N$6:$N$65,进销存台账!$A$6:$A$65,$C653,进销存台账!$B$6:$B$65,$F653))</f>
        <v/>
      </c>
      <c r="W653" s="60" t="n">
        <f aca="false">IF(OR($D653="销售出库",$D653="销售退回"),ROUND(N($J653)*N($V653),2),0)</f>
        <v>0</v>
      </c>
      <c r="X653" s="58" t="str">
        <f aca="false">IF($E653="","",IFERROR(INDEX(往来单位!$D$6:$D$85,MATCH($E653,往来单位!$A$6:$A$85,0)),"否"))</f>
        <v/>
      </c>
      <c r="Y653" s="61" t="str">
        <f aca="false">IF($B653="","",YEAR($B653))</f>
        <v/>
      </c>
      <c r="Z653" s="58" t="str">
        <f aca="false">IF($B653="","",TEXT($B653,"yyyy-mm"))</f>
        <v/>
      </c>
    </row>
    <row r="654" customFormat="false" ht="15" hidden="false" customHeight="false" outlineLevel="0" collapsed="false">
      <c r="A654" s="53" t="str">
        <f aca="false">IF($B654="","",ROW()-5)</f>
        <v/>
      </c>
      <c r="B654" s="54"/>
      <c r="C654" s="33"/>
      <c r="D654" s="33"/>
      <c r="E654" s="32"/>
      <c r="F654" s="39"/>
      <c r="G654" s="48" t="str">
        <f aca="false">IF($F654="","",IFERROR(INDEX(商品档案!$B$6:$B$65,MATCH($F654,商品档案!$A$6:$A$65,0)),""))</f>
        <v/>
      </c>
      <c r="H654" s="48" t="str">
        <f aca="false">IF($F654="","",IFERROR(INDEX(商品档案!$C$6:$C$65,MATCH($F654,商品档案!$A$6:$A$65,0)),""))</f>
        <v/>
      </c>
      <c r="I654" s="55" t="str">
        <f aca="false">IF($F654="","",IFERROR(INDEX(商品档案!$D$6:$D$65,MATCH($F654,商品档案!$A$6:$A$65,0)),""))</f>
        <v/>
      </c>
      <c r="J654" s="49"/>
      <c r="K654" s="56"/>
      <c r="L654" s="33"/>
      <c r="M654" s="39"/>
      <c r="N654" s="41"/>
      <c r="O654" s="41"/>
      <c r="P654" s="25" t="str">
        <f aca="false">IF(AND($B654="",$D654="",$F654=""),"",IF(NOT(ISNUMBER($B654)),"日期无效",IF(ISNA(MATCH($C654,参数设置!$A$10:$A$12,0)),"公司无效",IF(ISNA(MATCH($D654,记账规则!$A$6:$A$9,0)),"业务类型无效",IF(ISNA(MATCH($F654,商品档案!$A$6:$A$65,0)),"商品编码无效",IF(IFERROR(INDEX(商品档案!$E$6:$E$65,MATCH($F654,商品档案!$A$6:$A$65,0)),"")&lt;&gt;$C654,"商品不属于该公司",IF(AND($E654&lt;&gt;"",ISNA(MATCH($E654,往来单位!$A$6:$A$85,0))),"往来单位未建档",IF(N($J654)=0,"数量为 0",IF(N($K654)=0,"单价为 0",IF(AND(LEFT($D654,2)="销售",$U654=""),"该商品没设成本科目",IF(YEAR($B654)&lt;&gt;参数设置!$B$5,"不在本会计年度","OK")))))))))))</f>
        <v/>
      </c>
      <c r="Q654" s="57" t="str">
        <f aca="false">IF($F654="","",ROUND(N($J654)*N($K654),2))</f>
        <v/>
      </c>
      <c r="R654" s="58" t="str">
        <f aca="false">IF($D654="","",IF(LEFT($D654,2)="销售","应收账款","应付账款"))</f>
        <v/>
      </c>
      <c r="S654" s="58" t="str">
        <f aca="false">IF($F654="","",IFERROR(INDEX(商品档案!$G$6:$G$65,MATCH($F654,商品档案!$A$6:$A$65,0)),""))</f>
        <v/>
      </c>
      <c r="T654" s="58" t="str">
        <f aca="false">IF($F654="","",IFERROR(INDEX(商品档案!$H$6:$H$65,MATCH($F654,商品档案!$A$6:$A$65,0)),""))</f>
        <v/>
      </c>
      <c r="U654" s="58" t="str">
        <f aca="false">IF($F654="","",IFERROR(INDEX(商品档案!$I$6:$I$65,MATCH($F654,商品档案!$A$6:$A$65,0)),""))</f>
        <v/>
      </c>
      <c r="V654" s="59" t="str">
        <f aca="false">IF($F654="","",SUMIFS(进销存台账!$N$6:$N$65,进销存台账!$A$6:$A$65,$C654,进销存台账!$B$6:$B$65,$F654))</f>
        <v/>
      </c>
      <c r="W654" s="60" t="n">
        <f aca="false">IF(OR($D654="销售出库",$D654="销售退回"),ROUND(N($J654)*N($V654),2),0)</f>
        <v>0</v>
      </c>
      <c r="X654" s="58" t="str">
        <f aca="false">IF($E654="","",IFERROR(INDEX(往来单位!$D$6:$D$85,MATCH($E654,往来单位!$A$6:$A$85,0)),"否"))</f>
        <v/>
      </c>
      <c r="Y654" s="61" t="str">
        <f aca="false">IF($B654="","",YEAR($B654))</f>
        <v/>
      </c>
      <c r="Z654" s="58" t="str">
        <f aca="false">IF($B654="","",TEXT($B654,"yyyy-mm"))</f>
        <v/>
      </c>
    </row>
    <row r="655" customFormat="false" ht="15" hidden="false" customHeight="false" outlineLevel="0" collapsed="false">
      <c r="A655" s="53" t="str">
        <f aca="false">IF($B655="","",ROW()-5)</f>
        <v/>
      </c>
      <c r="B655" s="54"/>
      <c r="C655" s="33"/>
      <c r="D655" s="33"/>
      <c r="E655" s="32"/>
      <c r="F655" s="39"/>
      <c r="G655" s="48" t="str">
        <f aca="false">IF($F655="","",IFERROR(INDEX(商品档案!$B$6:$B$65,MATCH($F655,商品档案!$A$6:$A$65,0)),""))</f>
        <v/>
      </c>
      <c r="H655" s="48" t="str">
        <f aca="false">IF($F655="","",IFERROR(INDEX(商品档案!$C$6:$C$65,MATCH($F655,商品档案!$A$6:$A$65,0)),""))</f>
        <v/>
      </c>
      <c r="I655" s="55" t="str">
        <f aca="false">IF($F655="","",IFERROR(INDEX(商品档案!$D$6:$D$65,MATCH($F655,商品档案!$A$6:$A$65,0)),""))</f>
        <v/>
      </c>
      <c r="J655" s="49"/>
      <c r="K655" s="56"/>
      <c r="L655" s="33"/>
      <c r="M655" s="39"/>
      <c r="N655" s="41"/>
      <c r="O655" s="41"/>
      <c r="P655" s="25" t="str">
        <f aca="false">IF(AND($B655="",$D655="",$F655=""),"",IF(NOT(ISNUMBER($B655)),"日期无效",IF(ISNA(MATCH($C655,参数设置!$A$10:$A$12,0)),"公司无效",IF(ISNA(MATCH($D655,记账规则!$A$6:$A$9,0)),"业务类型无效",IF(ISNA(MATCH($F655,商品档案!$A$6:$A$65,0)),"商品编码无效",IF(IFERROR(INDEX(商品档案!$E$6:$E$65,MATCH($F655,商品档案!$A$6:$A$65,0)),"")&lt;&gt;$C655,"商品不属于该公司",IF(AND($E655&lt;&gt;"",ISNA(MATCH($E655,往来单位!$A$6:$A$85,0))),"往来单位未建档",IF(N($J655)=0,"数量为 0",IF(N($K655)=0,"单价为 0",IF(AND(LEFT($D655,2)="销售",$U655=""),"该商品没设成本科目",IF(YEAR($B655)&lt;&gt;参数设置!$B$5,"不在本会计年度","OK")))))))))))</f>
        <v/>
      </c>
      <c r="Q655" s="57" t="str">
        <f aca="false">IF($F655="","",ROUND(N($J655)*N($K655),2))</f>
        <v/>
      </c>
      <c r="R655" s="58" t="str">
        <f aca="false">IF($D655="","",IF(LEFT($D655,2)="销售","应收账款","应付账款"))</f>
        <v/>
      </c>
      <c r="S655" s="58" t="str">
        <f aca="false">IF($F655="","",IFERROR(INDEX(商品档案!$G$6:$G$65,MATCH($F655,商品档案!$A$6:$A$65,0)),""))</f>
        <v/>
      </c>
      <c r="T655" s="58" t="str">
        <f aca="false">IF($F655="","",IFERROR(INDEX(商品档案!$H$6:$H$65,MATCH($F655,商品档案!$A$6:$A$65,0)),""))</f>
        <v/>
      </c>
      <c r="U655" s="58" t="str">
        <f aca="false">IF($F655="","",IFERROR(INDEX(商品档案!$I$6:$I$65,MATCH($F655,商品档案!$A$6:$A$65,0)),""))</f>
        <v/>
      </c>
      <c r="V655" s="59" t="str">
        <f aca="false">IF($F655="","",SUMIFS(进销存台账!$N$6:$N$65,进销存台账!$A$6:$A$65,$C655,进销存台账!$B$6:$B$65,$F655))</f>
        <v/>
      </c>
      <c r="W655" s="60" t="n">
        <f aca="false">IF(OR($D655="销售出库",$D655="销售退回"),ROUND(N($J655)*N($V655),2),0)</f>
        <v>0</v>
      </c>
      <c r="X655" s="58" t="str">
        <f aca="false">IF($E655="","",IFERROR(INDEX(往来单位!$D$6:$D$85,MATCH($E655,往来单位!$A$6:$A$85,0)),"否"))</f>
        <v/>
      </c>
      <c r="Y655" s="61" t="str">
        <f aca="false">IF($B655="","",YEAR($B655))</f>
        <v/>
      </c>
      <c r="Z655" s="58" t="str">
        <f aca="false">IF($B655="","",TEXT($B655,"yyyy-mm"))</f>
        <v/>
      </c>
    </row>
    <row r="656" customFormat="false" ht="15" hidden="false" customHeight="false" outlineLevel="0" collapsed="false">
      <c r="A656" s="53" t="str">
        <f aca="false">IF($B656="","",ROW()-5)</f>
        <v/>
      </c>
      <c r="B656" s="54"/>
      <c r="C656" s="33"/>
      <c r="D656" s="33"/>
      <c r="E656" s="32"/>
      <c r="F656" s="39"/>
      <c r="G656" s="48" t="str">
        <f aca="false">IF($F656="","",IFERROR(INDEX(商品档案!$B$6:$B$65,MATCH($F656,商品档案!$A$6:$A$65,0)),""))</f>
        <v/>
      </c>
      <c r="H656" s="48" t="str">
        <f aca="false">IF($F656="","",IFERROR(INDEX(商品档案!$C$6:$C$65,MATCH($F656,商品档案!$A$6:$A$65,0)),""))</f>
        <v/>
      </c>
      <c r="I656" s="55" t="str">
        <f aca="false">IF($F656="","",IFERROR(INDEX(商品档案!$D$6:$D$65,MATCH($F656,商品档案!$A$6:$A$65,0)),""))</f>
        <v/>
      </c>
      <c r="J656" s="49"/>
      <c r="K656" s="56"/>
      <c r="L656" s="33"/>
      <c r="M656" s="39"/>
      <c r="N656" s="41"/>
      <c r="O656" s="41"/>
      <c r="P656" s="25" t="str">
        <f aca="false">IF(AND($B656="",$D656="",$F656=""),"",IF(NOT(ISNUMBER($B656)),"日期无效",IF(ISNA(MATCH($C656,参数设置!$A$10:$A$12,0)),"公司无效",IF(ISNA(MATCH($D656,记账规则!$A$6:$A$9,0)),"业务类型无效",IF(ISNA(MATCH($F656,商品档案!$A$6:$A$65,0)),"商品编码无效",IF(IFERROR(INDEX(商品档案!$E$6:$E$65,MATCH($F656,商品档案!$A$6:$A$65,0)),"")&lt;&gt;$C656,"商品不属于该公司",IF(AND($E656&lt;&gt;"",ISNA(MATCH($E656,往来单位!$A$6:$A$85,0))),"往来单位未建档",IF(N($J656)=0,"数量为 0",IF(N($K656)=0,"单价为 0",IF(AND(LEFT($D656,2)="销售",$U656=""),"该商品没设成本科目",IF(YEAR($B656)&lt;&gt;参数设置!$B$5,"不在本会计年度","OK")))))))))))</f>
        <v/>
      </c>
      <c r="Q656" s="57" t="str">
        <f aca="false">IF($F656="","",ROUND(N($J656)*N($K656),2))</f>
        <v/>
      </c>
      <c r="R656" s="58" t="str">
        <f aca="false">IF($D656="","",IF(LEFT($D656,2)="销售","应收账款","应付账款"))</f>
        <v/>
      </c>
      <c r="S656" s="58" t="str">
        <f aca="false">IF($F656="","",IFERROR(INDEX(商品档案!$G$6:$G$65,MATCH($F656,商品档案!$A$6:$A$65,0)),""))</f>
        <v/>
      </c>
      <c r="T656" s="58" t="str">
        <f aca="false">IF($F656="","",IFERROR(INDEX(商品档案!$H$6:$H$65,MATCH($F656,商品档案!$A$6:$A$65,0)),""))</f>
        <v/>
      </c>
      <c r="U656" s="58" t="str">
        <f aca="false">IF($F656="","",IFERROR(INDEX(商品档案!$I$6:$I$65,MATCH($F656,商品档案!$A$6:$A$65,0)),""))</f>
        <v/>
      </c>
      <c r="V656" s="59" t="str">
        <f aca="false">IF($F656="","",SUMIFS(进销存台账!$N$6:$N$65,进销存台账!$A$6:$A$65,$C656,进销存台账!$B$6:$B$65,$F656))</f>
        <v/>
      </c>
      <c r="W656" s="60" t="n">
        <f aca="false">IF(OR($D656="销售出库",$D656="销售退回"),ROUND(N($J656)*N($V656),2),0)</f>
        <v>0</v>
      </c>
      <c r="X656" s="58" t="str">
        <f aca="false">IF($E656="","",IFERROR(INDEX(往来单位!$D$6:$D$85,MATCH($E656,往来单位!$A$6:$A$85,0)),"否"))</f>
        <v/>
      </c>
      <c r="Y656" s="61" t="str">
        <f aca="false">IF($B656="","",YEAR($B656))</f>
        <v/>
      </c>
      <c r="Z656" s="58" t="str">
        <f aca="false">IF($B656="","",TEXT($B656,"yyyy-mm"))</f>
        <v/>
      </c>
    </row>
    <row r="657" customFormat="false" ht="15" hidden="false" customHeight="false" outlineLevel="0" collapsed="false">
      <c r="A657" s="53" t="str">
        <f aca="false">IF($B657="","",ROW()-5)</f>
        <v/>
      </c>
      <c r="B657" s="54"/>
      <c r="C657" s="33"/>
      <c r="D657" s="33"/>
      <c r="E657" s="32"/>
      <c r="F657" s="39"/>
      <c r="G657" s="48" t="str">
        <f aca="false">IF($F657="","",IFERROR(INDEX(商品档案!$B$6:$B$65,MATCH($F657,商品档案!$A$6:$A$65,0)),""))</f>
        <v/>
      </c>
      <c r="H657" s="48" t="str">
        <f aca="false">IF($F657="","",IFERROR(INDEX(商品档案!$C$6:$C$65,MATCH($F657,商品档案!$A$6:$A$65,0)),""))</f>
        <v/>
      </c>
      <c r="I657" s="55" t="str">
        <f aca="false">IF($F657="","",IFERROR(INDEX(商品档案!$D$6:$D$65,MATCH($F657,商品档案!$A$6:$A$65,0)),""))</f>
        <v/>
      </c>
      <c r="J657" s="49"/>
      <c r="K657" s="56"/>
      <c r="L657" s="33"/>
      <c r="M657" s="39"/>
      <c r="N657" s="41"/>
      <c r="O657" s="41"/>
      <c r="P657" s="25" t="str">
        <f aca="false">IF(AND($B657="",$D657="",$F657=""),"",IF(NOT(ISNUMBER($B657)),"日期无效",IF(ISNA(MATCH($C657,参数设置!$A$10:$A$12,0)),"公司无效",IF(ISNA(MATCH($D657,记账规则!$A$6:$A$9,0)),"业务类型无效",IF(ISNA(MATCH($F657,商品档案!$A$6:$A$65,0)),"商品编码无效",IF(IFERROR(INDEX(商品档案!$E$6:$E$65,MATCH($F657,商品档案!$A$6:$A$65,0)),"")&lt;&gt;$C657,"商品不属于该公司",IF(AND($E657&lt;&gt;"",ISNA(MATCH($E657,往来单位!$A$6:$A$85,0))),"往来单位未建档",IF(N($J657)=0,"数量为 0",IF(N($K657)=0,"单价为 0",IF(AND(LEFT($D657,2)="销售",$U657=""),"该商品没设成本科目",IF(YEAR($B657)&lt;&gt;参数设置!$B$5,"不在本会计年度","OK")))))))))))</f>
        <v/>
      </c>
      <c r="Q657" s="57" t="str">
        <f aca="false">IF($F657="","",ROUND(N($J657)*N($K657),2))</f>
        <v/>
      </c>
      <c r="R657" s="58" t="str">
        <f aca="false">IF($D657="","",IF(LEFT($D657,2)="销售","应收账款","应付账款"))</f>
        <v/>
      </c>
      <c r="S657" s="58" t="str">
        <f aca="false">IF($F657="","",IFERROR(INDEX(商品档案!$G$6:$G$65,MATCH($F657,商品档案!$A$6:$A$65,0)),""))</f>
        <v/>
      </c>
      <c r="T657" s="58" t="str">
        <f aca="false">IF($F657="","",IFERROR(INDEX(商品档案!$H$6:$H$65,MATCH($F657,商品档案!$A$6:$A$65,0)),""))</f>
        <v/>
      </c>
      <c r="U657" s="58" t="str">
        <f aca="false">IF($F657="","",IFERROR(INDEX(商品档案!$I$6:$I$65,MATCH($F657,商品档案!$A$6:$A$65,0)),""))</f>
        <v/>
      </c>
      <c r="V657" s="59" t="str">
        <f aca="false">IF($F657="","",SUMIFS(进销存台账!$N$6:$N$65,进销存台账!$A$6:$A$65,$C657,进销存台账!$B$6:$B$65,$F657))</f>
        <v/>
      </c>
      <c r="W657" s="60" t="n">
        <f aca="false">IF(OR($D657="销售出库",$D657="销售退回"),ROUND(N($J657)*N($V657),2),0)</f>
        <v>0</v>
      </c>
      <c r="X657" s="58" t="str">
        <f aca="false">IF($E657="","",IFERROR(INDEX(往来单位!$D$6:$D$85,MATCH($E657,往来单位!$A$6:$A$85,0)),"否"))</f>
        <v/>
      </c>
      <c r="Y657" s="61" t="str">
        <f aca="false">IF($B657="","",YEAR($B657))</f>
        <v/>
      </c>
      <c r="Z657" s="58" t="str">
        <f aca="false">IF($B657="","",TEXT($B657,"yyyy-mm"))</f>
        <v/>
      </c>
    </row>
    <row r="658" customFormat="false" ht="15" hidden="false" customHeight="false" outlineLevel="0" collapsed="false">
      <c r="A658" s="53" t="str">
        <f aca="false">IF($B658="","",ROW()-5)</f>
        <v/>
      </c>
      <c r="B658" s="54"/>
      <c r="C658" s="33"/>
      <c r="D658" s="33"/>
      <c r="E658" s="32"/>
      <c r="F658" s="39"/>
      <c r="G658" s="48" t="str">
        <f aca="false">IF($F658="","",IFERROR(INDEX(商品档案!$B$6:$B$65,MATCH($F658,商品档案!$A$6:$A$65,0)),""))</f>
        <v/>
      </c>
      <c r="H658" s="48" t="str">
        <f aca="false">IF($F658="","",IFERROR(INDEX(商品档案!$C$6:$C$65,MATCH($F658,商品档案!$A$6:$A$65,0)),""))</f>
        <v/>
      </c>
      <c r="I658" s="55" t="str">
        <f aca="false">IF($F658="","",IFERROR(INDEX(商品档案!$D$6:$D$65,MATCH($F658,商品档案!$A$6:$A$65,0)),""))</f>
        <v/>
      </c>
      <c r="J658" s="49"/>
      <c r="K658" s="56"/>
      <c r="L658" s="33"/>
      <c r="M658" s="39"/>
      <c r="N658" s="41"/>
      <c r="O658" s="41"/>
      <c r="P658" s="25" t="str">
        <f aca="false">IF(AND($B658="",$D658="",$F658=""),"",IF(NOT(ISNUMBER($B658)),"日期无效",IF(ISNA(MATCH($C658,参数设置!$A$10:$A$12,0)),"公司无效",IF(ISNA(MATCH($D658,记账规则!$A$6:$A$9,0)),"业务类型无效",IF(ISNA(MATCH($F658,商品档案!$A$6:$A$65,0)),"商品编码无效",IF(IFERROR(INDEX(商品档案!$E$6:$E$65,MATCH($F658,商品档案!$A$6:$A$65,0)),"")&lt;&gt;$C658,"商品不属于该公司",IF(AND($E658&lt;&gt;"",ISNA(MATCH($E658,往来单位!$A$6:$A$85,0))),"往来单位未建档",IF(N($J658)=0,"数量为 0",IF(N($K658)=0,"单价为 0",IF(AND(LEFT($D658,2)="销售",$U658=""),"该商品没设成本科目",IF(YEAR($B658)&lt;&gt;参数设置!$B$5,"不在本会计年度","OK")))))))))))</f>
        <v/>
      </c>
      <c r="Q658" s="57" t="str">
        <f aca="false">IF($F658="","",ROUND(N($J658)*N($K658),2))</f>
        <v/>
      </c>
      <c r="R658" s="58" t="str">
        <f aca="false">IF($D658="","",IF(LEFT($D658,2)="销售","应收账款","应付账款"))</f>
        <v/>
      </c>
      <c r="S658" s="58" t="str">
        <f aca="false">IF($F658="","",IFERROR(INDEX(商品档案!$G$6:$G$65,MATCH($F658,商品档案!$A$6:$A$65,0)),""))</f>
        <v/>
      </c>
      <c r="T658" s="58" t="str">
        <f aca="false">IF($F658="","",IFERROR(INDEX(商品档案!$H$6:$H$65,MATCH($F658,商品档案!$A$6:$A$65,0)),""))</f>
        <v/>
      </c>
      <c r="U658" s="58" t="str">
        <f aca="false">IF($F658="","",IFERROR(INDEX(商品档案!$I$6:$I$65,MATCH($F658,商品档案!$A$6:$A$65,0)),""))</f>
        <v/>
      </c>
      <c r="V658" s="59" t="str">
        <f aca="false">IF($F658="","",SUMIFS(进销存台账!$N$6:$N$65,进销存台账!$A$6:$A$65,$C658,进销存台账!$B$6:$B$65,$F658))</f>
        <v/>
      </c>
      <c r="W658" s="60" t="n">
        <f aca="false">IF(OR($D658="销售出库",$D658="销售退回"),ROUND(N($J658)*N($V658),2),0)</f>
        <v>0</v>
      </c>
      <c r="X658" s="58" t="str">
        <f aca="false">IF($E658="","",IFERROR(INDEX(往来单位!$D$6:$D$85,MATCH($E658,往来单位!$A$6:$A$85,0)),"否"))</f>
        <v/>
      </c>
      <c r="Y658" s="61" t="str">
        <f aca="false">IF($B658="","",YEAR($B658))</f>
        <v/>
      </c>
      <c r="Z658" s="58" t="str">
        <f aca="false">IF($B658="","",TEXT($B658,"yyyy-mm"))</f>
        <v/>
      </c>
    </row>
    <row r="659" customFormat="false" ht="15" hidden="false" customHeight="false" outlineLevel="0" collapsed="false">
      <c r="A659" s="53" t="str">
        <f aca="false">IF($B659="","",ROW()-5)</f>
        <v/>
      </c>
      <c r="B659" s="54"/>
      <c r="C659" s="33"/>
      <c r="D659" s="33"/>
      <c r="E659" s="32"/>
      <c r="F659" s="39"/>
      <c r="G659" s="48" t="str">
        <f aca="false">IF($F659="","",IFERROR(INDEX(商品档案!$B$6:$B$65,MATCH($F659,商品档案!$A$6:$A$65,0)),""))</f>
        <v/>
      </c>
      <c r="H659" s="48" t="str">
        <f aca="false">IF($F659="","",IFERROR(INDEX(商品档案!$C$6:$C$65,MATCH($F659,商品档案!$A$6:$A$65,0)),""))</f>
        <v/>
      </c>
      <c r="I659" s="55" t="str">
        <f aca="false">IF($F659="","",IFERROR(INDEX(商品档案!$D$6:$D$65,MATCH($F659,商品档案!$A$6:$A$65,0)),""))</f>
        <v/>
      </c>
      <c r="J659" s="49"/>
      <c r="K659" s="56"/>
      <c r="L659" s="33"/>
      <c r="M659" s="39"/>
      <c r="N659" s="41"/>
      <c r="O659" s="41"/>
      <c r="P659" s="25" t="str">
        <f aca="false">IF(AND($B659="",$D659="",$F659=""),"",IF(NOT(ISNUMBER($B659)),"日期无效",IF(ISNA(MATCH($C659,参数设置!$A$10:$A$12,0)),"公司无效",IF(ISNA(MATCH($D659,记账规则!$A$6:$A$9,0)),"业务类型无效",IF(ISNA(MATCH($F659,商品档案!$A$6:$A$65,0)),"商品编码无效",IF(IFERROR(INDEX(商品档案!$E$6:$E$65,MATCH($F659,商品档案!$A$6:$A$65,0)),"")&lt;&gt;$C659,"商品不属于该公司",IF(AND($E659&lt;&gt;"",ISNA(MATCH($E659,往来单位!$A$6:$A$85,0))),"往来单位未建档",IF(N($J659)=0,"数量为 0",IF(N($K659)=0,"单价为 0",IF(AND(LEFT($D659,2)="销售",$U659=""),"该商品没设成本科目",IF(YEAR($B659)&lt;&gt;参数设置!$B$5,"不在本会计年度","OK")))))))))))</f>
        <v/>
      </c>
      <c r="Q659" s="57" t="str">
        <f aca="false">IF($F659="","",ROUND(N($J659)*N($K659),2))</f>
        <v/>
      </c>
      <c r="R659" s="58" t="str">
        <f aca="false">IF($D659="","",IF(LEFT($D659,2)="销售","应收账款","应付账款"))</f>
        <v/>
      </c>
      <c r="S659" s="58" t="str">
        <f aca="false">IF($F659="","",IFERROR(INDEX(商品档案!$G$6:$G$65,MATCH($F659,商品档案!$A$6:$A$65,0)),""))</f>
        <v/>
      </c>
      <c r="T659" s="58" t="str">
        <f aca="false">IF($F659="","",IFERROR(INDEX(商品档案!$H$6:$H$65,MATCH($F659,商品档案!$A$6:$A$65,0)),""))</f>
        <v/>
      </c>
      <c r="U659" s="58" t="str">
        <f aca="false">IF($F659="","",IFERROR(INDEX(商品档案!$I$6:$I$65,MATCH($F659,商品档案!$A$6:$A$65,0)),""))</f>
        <v/>
      </c>
      <c r="V659" s="59" t="str">
        <f aca="false">IF($F659="","",SUMIFS(进销存台账!$N$6:$N$65,进销存台账!$A$6:$A$65,$C659,进销存台账!$B$6:$B$65,$F659))</f>
        <v/>
      </c>
      <c r="W659" s="60" t="n">
        <f aca="false">IF(OR($D659="销售出库",$D659="销售退回"),ROUND(N($J659)*N($V659),2),0)</f>
        <v>0</v>
      </c>
      <c r="X659" s="58" t="str">
        <f aca="false">IF($E659="","",IFERROR(INDEX(往来单位!$D$6:$D$85,MATCH($E659,往来单位!$A$6:$A$85,0)),"否"))</f>
        <v/>
      </c>
      <c r="Y659" s="61" t="str">
        <f aca="false">IF($B659="","",YEAR($B659))</f>
        <v/>
      </c>
      <c r="Z659" s="58" t="str">
        <f aca="false">IF($B659="","",TEXT($B659,"yyyy-mm"))</f>
        <v/>
      </c>
    </row>
    <row r="660" customFormat="false" ht="15" hidden="false" customHeight="false" outlineLevel="0" collapsed="false">
      <c r="A660" s="53" t="str">
        <f aca="false">IF($B660="","",ROW()-5)</f>
        <v/>
      </c>
      <c r="B660" s="54"/>
      <c r="C660" s="33"/>
      <c r="D660" s="33"/>
      <c r="E660" s="32"/>
      <c r="F660" s="39"/>
      <c r="G660" s="48" t="str">
        <f aca="false">IF($F660="","",IFERROR(INDEX(商品档案!$B$6:$B$65,MATCH($F660,商品档案!$A$6:$A$65,0)),""))</f>
        <v/>
      </c>
      <c r="H660" s="48" t="str">
        <f aca="false">IF($F660="","",IFERROR(INDEX(商品档案!$C$6:$C$65,MATCH($F660,商品档案!$A$6:$A$65,0)),""))</f>
        <v/>
      </c>
      <c r="I660" s="55" t="str">
        <f aca="false">IF($F660="","",IFERROR(INDEX(商品档案!$D$6:$D$65,MATCH($F660,商品档案!$A$6:$A$65,0)),""))</f>
        <v/>
      </c>
      <c r="J660" s="49"/>
      <c r="K660" s="56"/>
      <c r="L660" s="33"/>
      <c r="M660" s="39"/>
      <c r="N660" s="41"/>
      <c r="O660" s="41"/>
      <c r="P660" s="25" t="str">
        <f aca="false">IF(AND($B660="",$D660="",$F660=""),"",IF(NOT(ISNUMBER($B660)),"日期无效",IF(ISNA(MATCH($C660,参数设置!$A$10:$A$12,0)),"公司无效",IF(ISNA(MATCH($D660,记账规则!$A$6:$A$9,0)),"业务类型无效",IF(ISNA(MATCH($F660,商品档案!$A$6:$A$65,0)),"商品编码无效",IF(IFERROR(INDEX(商品档案!$E$6:$E$65,MATCH($F660,商品档案!$A$6:$A$65,0)),"")&lt;&gt;$C660,"商品不属于该公司",IF(AND($E660&lt;&gt;"",ISNA(MATCH($E660,往来单位!$A$6:$A$85,0))),"往来单位未建档",IF(N($J660)=0,"数量为 0",IF(N($K660)=0,"单价为 0",IF(AND(LEFT($D660,2)="销售",$U660=""),"该商品没设成本科目",IF(YEAR($B660)&lt;&gt;参数设置!$B$5,"不在本会计年度","OK")))))))))))</f>
        <v/>
      </c>
      <c r="Q660" s="57" t="str">
        <f aca="false">IF($F660="","",ROUND(N($J660)*N($K660),2))</f>
        <v/>
      </c>
      <c r="R660" s="58" t="str">
        <f aca="false">IF($D660="","",IF(LEFT($D660,2)="销售","应收账款","应付账款"))</f>
        <v/>
      </c>
      <c r="S660" s="58" t="str">
        <f aca="false">IF($F660="","",IFERROR(INDEX(商品档案!$G$6:$G$65,MATCH($F660,商品档案!$A$6:$A$65,0)),""))</f>
        <v/>
      </c>
      <c r="T660" s="58" t="str">
        <f aca="false">IF($F660="","",IFERROR(INDEX(商品档案!$H$6:$H$65,MATCH($F660,商品档案!$A$6:$A$65,0)),""))</f>
        <v/>
      </c>
      <c r="U660" s="58" t="str">
        <f aca="false">IF($F660="","",IFERROR(INDEX(商品档案!$I$6:$I$65,MATCH($F660,商品档案!$A$6:$A$65,0)),""))</f>
        <v/>
      </c>
      <c r="V660" s="59" t="str">
        <f aca="false">IF($F660="","",SUMIFS(进销存台账!$N$6:$N$65,进销存台账!$A$6:$A$65,$C660,进销存台账!$B$6:$B$65,$F660))</f>
        <v/>
      </c>
      <c r="W660" s="60" t="n">
        <f aca="false">IF(OR($D660="销售出库",$D660="销售退回"),ROUND(N($J660)*N($V660),2),0)</f>
        <v>0</v>
      </c>
      <c r="X660" s="58" t="str">
        <f aca="false">IF($E660="","",IFERROR(INDEX(往来单位!$D$6:$D$85,MATCH($E660,往来单位!$A$6:$A$85,0)),"否"))</f>
        <v/>
      </c>
      <c r="Y660" s="61" t="str">
        <f aca="false">IF($B660="","",YEAR($B660))</f>
        <v/>
      </c>
      <c r="Z660" s="58" t="str">
        <f aca="false">IF($B660="","",TEXT($B660,"yyyy-mm"))</f>
        <v/>
      </c>
    </row>
    <row r="661" customFormat="false" ht="15" hidden="false" customHeight="false" outlineLevel="0" collapsed="false">
      <c r="A661" s="53" t="str">
        <f aca="false">IF($B661="","",ROW()-5)</f>
        <v/>
      </c>
      <c r="B661" s="54"/>
      <c r="C661" s="33"/>
      <c r="D661" s="33"/>
      <c r="E661" s="32"/>
      <c r="F661" s="39"/>
      <c r="G661" s="48" t="str">
        <f aca="false">IF($F661="","",IFERROR(INDEX(商品档案!$B$6:$B$65,MATCH($F661,商品档案!$A$6:$A$65,0)),""))</f>
        <v/>
      </c>
      <c r="H661" s="48" t="str">
        <f aca="false">IF($F661="","",IFERROR(INDEX(商品档案!$C$6:$C$65,MATCH($F661,商品档案!$A$6:$A$65,0)),""))</f>
        <v/>
      </c>
      <c r="I661" s="55" t="str">
        <f aca="false">IF($F661="","",IFERROR(INDEX(商品档案!$D$6:$D$65,MATCH($F661,商品档案!$A$6:$A$65,0)),""))</f>
        <v/>
      </c>
      <c r="J661" s="49"/>
      <c r="K661" s="56"/>
      <c r="L661" s="33"/>
      <c r="M661" s="39"/>
      <c r="N661" s="41"/>
      <c r="O661" s="41"/>
      <c r="P661" s="25" t="str">
        <f aca="false">IF(AND($B661="",$D661="",$F661=""),"",IF(NOT(ISNUMBER($B661)),"日期无效",IF(ISNA(MATCH($C661,参数设置!$A$10:$A$12,0)),"公司无效",IF(ISNA(MATCH($D661,记账规则!$A$6:$A$9,0)),"业务类型无效",IF(ISNA(MATCH($F661,商品档案!$A$6:$A$65,0)),"商品编码无效",IF(IFERROR(INDEX(商品档案!$E$6:$E$65,MATCH($F661,商品档案!$A$6:$A$65,0)),"")&lt;&gt;$C661,"商品不属于该公司",IF(AND($E661&lt;&gt;"",ISNA(MATCH($E661,往来单位!$A$6:$A$85,0))),"往来单位未建档",IF(N($J661)=0,"数量为 0",IF(N($K661)=0,"单价为 0",IF(AND(LEFT($D661,2)="销售",$U661=""),"该商品没设成本科目",IF(YEAR($B661)&lt;&gt;参数设置!$B$5,"不在本会计年度","OK")))))))))))</f>
        <v/>
      </c>
      <c r="Q661" s="57" t="str">
        <f aca="false">IF($F661="","",ROUND(N($J661)*N($K661),2))</f>
        <v/>
      </c>
      <c r="R661" s="58" t="str">
        <f aca="false">IF($D661="","",IF(LEFT($D661,2)="销售","应收账款","应付账款"))</f>
        <v/>
      </c>
      <c r="S661" s="58" t="str">
        <f aca="false">IF($F661="","",IFERROR(INDEX(商品档案!$G$6:$G$65,MATCH($F661,商品档案!$A$6:$A$65,0)),""))</f>
        <v/>
      </c>
      <c r="T661" s="58" t="str">
        <f aca="false">IF($F661="","",IFERROR(INDEX(商品档案!$H$6:$H$65,MATCH($F661,商品档案!$A$6:$A$65,0)),""))</f>
        <v/>
      </c>
      <c r="U661" s="58" t="str">
        <f aca="false">IF($F661="","",IFERROR(INDEX(商品档案!$I$6:$I$65,MATCH($F661,商品档案!$A$6:$A$65,0)),""))</f>
        <v/>
      </c>
      <c r="V661" s="59" t="str">
        <f aca="false">IF($F661="","",SUMIFS(进销存台账!$N$6:$N$65,进销存台账!$A$6:$A$65,$C661,进销存台账!$B$6:$B$65,$F661))</f>
        <v/>
      </c>
      <c r="W661" s="60" t="n">
        <f aca="false">IF(OR($D661="销售出库",$D661="销售退回"),ROUND(N($J661)*N($V661),2),0)</f>
        <v>0</v>
      </c>
      <c r="X661" s="58" t="str">
        <f aca="false">IF($E661="","",IFERROR(INDEX(往来单位!$D$6:$D$85,MATCH($E661,往来单位!$A$6:$A$85,0)),"否"))</f>
        <v/>
      </c>
      <c r="Y661" s="61" t="str">
        <f aca="false">IF($B661="","",YEAR($B661))</f>
        <v/>
      </c>
      <c r="Z661" s="58" t="str">
        <f aca="false">IF($B661="","",TEXT($B661,"yyyy-mm"))</f>
        <v/>
      </c>
    </row>
    <row r="662" customFormat="false" ht="15" hidden="false" customHeight="false" outlineLevel="0" collapsed="false">
      <c r="A662" s="53" t="str">
        <f aca="false">IF($B662="","",ROW()-5)</f>
        <v/>
      </c>
      <c r="B662" s="54"/>
      <c r="C662" s="33"/>
      <c r="D662" s="33"/>
      <c r="E662" s="32"/>
      <c r="F662" s="39"/>
      <c r="G662" s="48" t="str">
        <f aca="false">IF($F662="","",IFERROR(INDEX(商品档案!$B$6:$B$65,MATCH($F662,商品档案!$A$6:$A$65,0)),""))</f>
        <v/>
      </c>
      <c r="H662" s="48" t="str">
        <f aca="false">IF($F662="","",IFERROR(INDEX(商品档案!$C$6:$C$65,MATCH($F662,商品档案!$A$6:$A$65,0)),""))</f>
        <v/>
      </c>
      <c r="I662" s="55" t="str">
        <f aca="false">IF($F662="","",IFERROR(INDEX(商品档案!$D$6:$D$65,MATCH($F662,商品档案!$A$6:$A$65,0)),""))</f>
        <v/>
      </c>
      <c r="J662" s="49"/>
      <c r="K662" s="56"/>
      <c r="L662" s="33"/>
      <c r="M662" s="39"/>
      <c r="N662" s="41"/>
      <c r="O662" s="41"/>
      <c r="P662" s="25" t="str">
        <f aca="false">IF(AND($B662="",$D662="",$F662=""),"",IF(NOT(ISNUMBER($B662)),"日期无效",IF(ISNA(MATCH($C662,参数设置!$A$10:$A$12,0)),"公司无效",IF(ISNA(MATCH($D662,记账规则!$A$6:$A$9,0)),"业务类型无效",IF(ISNA(MATCH($F662,商品档案!$A$6:$A$65,0)),"商品编码无效",IF(IFERROR(INDEX(商品档案!$E$6:$E$65,MATCH($F662,商品档案!$A$6:$A$65,0)),"")&lt;&gt;$C662,"商品不属于该公司",IF(AND($E662&lt;&gt;"",ISNA(MATCH($E662,往来单位!$A$6:$A$85,0))),"往来单位未建档",IF(N($J662)=0,"数量为 0",IF(N($K662)=0,"单价为 0",IF(AND(LEFT($D662,2)="销售",$U662=""),"该商品没设成本科目",IF(YEAR($B662)&lt;&gt;参数设置!$B$5,"不在本会计年度","OK")))))))))))</f>
        <v/>
      </c>
      <c r="Q662" s="57" t="str">
        <f aca="false">IF($F662="","",ROUND(N($J662)*N($K662),2))</f>
        <v/>
      </c>
      <c r="R662" s="58" t="str">
        <f aca="false">IF($D662="","",IF(LEFT($D662,2)="销售","应收账款","应付账款"))</f>
        <v/>
      </c>
      <c r="S662" s="58" t="str">
        <f aca="false">IF($F662="","",IFERROR(INDEX(商品档案!$G$6:$G$65,MATCH($F662,商品档案!$A$6:$A$65,0)),""))</f>
        <v/>
      </c>
      <c r="T662" s="58" t="str">
        <f aca="false">IF($F662="","",IFERROR(INDEX(商品档案!$H$6:$H$65,MATCH($F662,商品档案!$A$6:$A$65,0)),""))</f>
        <v/>
      </c>
      <c r="U662" s="58" t="str">
        <f aca="false">IF($F662="","",IFERROR(INDEX(商品档案!$I$6:$I$65,MATCH($F662,商品档案!$A$6:$A$65,0)),""))</f>
        <v/>
      </c>
      <c r="V662" s="59" t="str">
        <f aca="false">IF($F662="","",SUMIFS(进销存台账!$N$6:$N$65,进销存台账!$A$6:$A$65,$C662,进销存台账!$B$6:$B$65,$F662))</f>
        <v/>
      </c>
      <c r="W662" s="60" t="n">
        <f aca="false">IF(OR($D662="销售出库",$D662="销售退回"),ROUND(N($J662)*N($V662),2),0)</f>
        <v>0</v>
      </c>
      <c r="X662" s="58" t="str">
        <f aca="false">IF($E662="","",IFERROR(INDEX(往来单位!$D$6:$D$85,MATCH($E662,往来单位!$A$6:$A$85,0)),"否"))</f>
        <v/>
      </c>
      <c r="Y662" s="61" t="str">
        <f aca="false">IF($B662="","",YEAR($B662))</f>
        <v/>
      </c>
      <c r="Z662" s="58" t="str">
        <f aca="false">IF($B662="","",TEXT($B662,"yyyy-mm"))</f>
        <v/>
      </c>
    </row>
    <row r="663" customFormat="false" ht="15" hidden="false" customHeight="false" outlineLevel="0" collapsed="false">
      <c r="A663" s="53" t="str">
        <f aca="false">IF($B663="","",ROW()-5)</f>
        <v/>
      </c>
      <c r="B663" s="54"/>
      <c r="C663" s="33"/>
      <c r="D663" s="33"/>
      <c r="E663" s="32"/>
      <c r="F663" s="39"/>
      <c r="G663" s="48" t="str">
        <f aca="false">IF($F663="","",IFERROR(INDEX(商品档案!$B$6:$B$65,MATCH($F663,商品档案!$A$6:$A$65,0)),""))</f>
        <v/>
      </c>
      <c r="H663" s="48" t="str">
        <f aca="false">IF($F663="","",IFERROR(INDEX(商品档案!$C$6:$C$65,MATCH($F663,商品档案!$A$6:$A$65,0)),""))</f>
        <v/>
      </c>
      <c r="I663" s="55" t="str">
        <f aca="false">IF($F663="","",IFERROR(INDEX(商品档案!$D$6:$D$65,MATCH($F663,商品档案!$A$6:$A$65,0)),""))</f>
        <v/>
      </c>
      <c r="J663" s="49"/>
      <c r="K663" s="56"/>
      <c r="L663" s="33"/>
      <c r="M663" s="39"/>
      <c r="N663" s="41"/>
      <c r="O663" s="41"/>
      <c r="P663" s="25" t="str">
        <f aca="false">IF(AND($B663="",$D663="",$F663=""),"",IF(NOT(ISNUMBER($B663)),"日期无效",IF(ISNA(MATCH($C663,参数设置!$A$10:$A$12,0)),"公司无效",IF(ISNA(MATCH($D663,记账规则!$A$6:$A$9,0)),"业务类型无效",IF(ISNA(MATCH($F663,商品档案!$A$6:$A$65,0)),"商品编码无效",IF(IFERROR(INDEX(商品档案!$E$6:$E$65,MATCH($F663,商品档案!$A$6:$A$65,0)),"")&lt;&gt;$C663,"商品不属于该公司",IF(AND($E663&lt;&gt;"",ISNA(MATCH($E663,往来单位!$A$6:$A$85,0))),"往来单位未建档",IF(N($J663)=0,"数量为 0",IF(N($K663)=0,"单价为 0",IF(AND(LEFT($D663,2)="销售",$U663=""),"该商品没设成本科目",IF(YEAR($B663)&lt;&gt;参数设置!$B$5,"不在本会计年度","OK")))))))))))</f>
        <v/>
      </c>
      <c r="Q663" s="57" t="str">
        <f aca="false">IF($F663="","",ROUND(N($J663)*N($K663),2))</f>
        <v/>
      </c>
      <c r="R663" s="58" t="str">
        <f aca="false">IF($D663="","",IF(LEFT($D663,2)="销售","应收账款","应付账款"))</f>
        <v/>
      </c>
      <c r="S663" s="58" t="str">
        <f aca="false">IF($F663="","",IFERROR(INDEX(商品档案!$G$6:$G$65,MATCH($F663,商品档案!$A$6:$A$65,0)),""))</f>
        <v/>
      </c>
      <c r="T663" s="58" t="str">
        <f aca="false">IF($F663="","",IFERROR(INDEX(商品档案!$H$6:$H$65,MATCH($F663,商品档案!$A$6:$A$65,0)),""))</f>
        <v/>
      </c>
      <c r="U663" s="58" t="str">
        <f aca="false">IF($F663="","",IFERROR(INDEX(商品档案!$I$6:$I$65,MATCH($F663,商品档案!$A$6:$A$65,0)),""))</f>
        <v/>
      </c>
      <c r="V663" s="59" t="str">
        <f aca="false">IF($F663="","",SUMIFS(进销存台账!$N$6:$N$65,进销存台账!$A$6:$A$65,$C663,进销存台账!$B$6:$B$65,$F663))</f>
        <v/>
      </c>
      <c r="W663" s="60" t="n">
        <f aca="false">IF(OR($D663="销售出库",$D663="销售退回"),ROUND(N($J663)*N($V663),2),0)</f>
        <v>0</v>
      </c>
      <c r="X663" s="58" t="str">
        <f aca="false">IF($E663="","",IFERROR(INDEX(往来单位!$D$6:$D$85,MATCH($E663,往来单位!$A$6:$A$85,0)),"否"))</f>
        <v/>
      </c>
      <c r="Y663" s="61" t="str">
        <f aca="false">IF($B663="","",YEAR($B663))</f>
        <v/>
      </c>
      <c r="Z663" s="58" t="str">
        <f aca="false">IF($B663="","",TEXT($B663,"yyyy-mm"))</f>
        <v/>
      </c>
    </row>
    <row r="664" customFormat="false" ht="15" hidden="false" customHeight="false" outlineLevel="0" collapsed="false">
      <c r="A664" s="53" t="str">
        <f aca="false">IF($B664="","",ROW()-5)</f>
        <v/>
      </c>
      <c r="B664" s="54"/>
      <c r="C664" s="33"/>
      <c r="D664" s="33"/>
      <c r="E664" s="32"/>
      <c r="F664" s="39"/>
      <c r="G664" s="48" t="str">
        <f aca="false">IF($F664="","",IFERROR(INDEX(商品档案!$B$6:$B$65,MATCH($F664,商品档案!$A$6:$A$65,0)),""))</f>
        <v/>
      </c>
      <c r="H664" s="48" t="str">
        <f aca="false">IF($F664="","",IFERROR(INDEX(商品档案!$C$6:$C$65,MATCH($F664,商品档案!$A$6:$A$65,0)),""))</f>
        <v/>
      </c>
      <c r="I664" s="55" t="str">
        <f aca="false">IF($F664="","",IFERROR(INDEX(商品档案!$D$6:$D$65,MATCH($F664,商品档案!$A$6:$A$65,0)),""))</f>
        <v/>
      </c>
      <c r="J664" s="49"/>
      <c r="K664" s="56"/>
      <c r="L664" s="33"/>
      <c r="M664" s="39"/>
      <c r="N664" s="41"/>
      <c r="O664" s="41"/>
      <c r="P664" s="25" t="str">
        <f aca="false">IF(AND($B664="",$D664="",$F664=""),"",IF(NOT(ISNUMBER($B664)),"日期无效",IF(ISNA(MATCH($C664,参数设置!$A$10:$A$12,0)),"公司无效",IF(ISNA(MATCH($D664,记账规则!$A$6:$A$9,0)),"业务类型无效",IF(ISNA(MATCH($F664,商品档案!$A$6:$A$65,0)),"商品编码无效",IF(IFERROR(INDEX(商品档案!$E$6:$E$65,MATCH($F664,商品档案!$A$6:$A$65,0)),"")&lt;&gt;$C664,"商品不属于该公司",IF(AND($E664&lt;&gt;"",ISNA(MATCH($E664,往来单位!$A$6:$A$85,0))),"往来单位未建档",IF(N($J664)=0,"数量为 0",IF(N($K664)=0,"单价为 0",IF(AND(LEFT($D664,2)="销售",$U664=""),"该商品没设成本科目",IF(YEAR($B664)&lt;&gt;参数设置!$B$5,"不在本会计年度","OK")))))))))))</f>
        <v/>
      </c>
      <c r="Q664" s="57" t="str">
        <f aca="false">IF($F664="","",ROUND(N($J664)*N($K664),2))</f>
        <v/>
      </c>
      <c r="R664" s="58" t="str">
        <f aca="false">IF($D664="","",IF(LEFT($D664,2)="销售","应收账款","应付账款"))</f>
        <v/>
      </c>
      <c r="S664" s="58" t="str">
        <f aca="false">IF($F664="","",IFERROR(INDEX(商品档案!$G$6:$G$65,MATCH($F664,商品档案!$A$6:$A$65,0)),""))</f>
        <v/>
      </c>
      <c r="T664" s="58" t="str">
        <f aca="false">IF($F664="","",IFERROR(INDEX(商品档案!$H$6:$H$65,MATCH($F664,商品档案!$A$6:$A$65,0)),""))</f>
        <v/>
      </c>
      <c r="U664" s="58" t="str">
        <f aca="false">IF($F664="","",IFERROR(INDEX(商品档案!$I$6:$I$65,MATCH($F664,商品档案!$A$6:$A$65,0)),""))</f>
        <v/>
      </c>
      <c r="V664" s="59" t="str">
        <f aca="false">IF($F664="","",SUMIFS(进销存台账!$N$6:$N$65,进销存台账!$A$6:$A$65,$C664,进销存台账!$B$6:$B$65,$F664))</f>
        <v/>
      </c>
      <c r="W664" s="60" t="n">
        <f aca="false">IF(OR($D664="销售出库",$D664="销售退回"),ROUND(N($J664)*N($V664),2),0)</f>
        <v>0</v>
      </c>
      <c r="X664" s="58" t="str">
        <f aca="false">IF($E664="","",IFERROR(INDEX(往来单位!$D$6:$D$85,MATCH($E664,往来单位!$A$6:$A$85,0)),"否"))</f>
        <v/>
      </c>
      <c r="Y664" s="61" t="str">
        <f aca="false">IF($B664="","",YEAR($B664))</f>
        <v/>
      </c>
      <c r="Z664" s="58" t="str">
        <f aca="false">IF($B664="","",TEXT($B664,"yyyy-mm"))</f>
        <v/>
      </c>
    </row>
    <row r="665" customFormat="false" ht="15" hidden="false" customHeight="false" outlineLevel="0" collapsed="false">
      <c r="A665" s="53" t="str">
        <f aca="false">IF($B665="","",ROW()-5)</f>
        <v/>
      </c>
      <c r="B665" s="54"/>
      <c r="C665" s="33"/>
      <c r="D665" s="33"/>
      <c r="E665" s="32"/>
      <c r="F665" s="39"/>
      <c r="G665" s="48" t="str">
        <f aca="false">IF($F665="","",IFERROR(INDEX(商品档案!$B$6:$B$65,MATCH($F665,商品档案!$A$6:$A$65,0)),""))</f>
        <v/>
      </c>
      <c r="H665" s="48" t="str">
        <f aca="false">IF($F665="","",IFERROR(INDEX(商品档案!$C$6:$C$65,MATCH($F665,商品档案!$A$6:$A$65,0)),""))</f>
        <v/>
      </c>
      <c r="I665" s="55" t="str">
        <f aca="false">IF($F665="","",IFERROR(INDEX(商品档案!$D$6:$D$65,MATCH($F665,商品档案!$A$6:$A$65,0)),""))</f>
        <v/>
      </c>
      <c r="J665" s="49"/>
      <c r="K665" s="56"/>
      <c r="L665" s="33"/>
      <c r="M665" s="39"/>
      <c r="N665" s="41"/>
      <c r="O665" s="41"/>
      <c r="P665" s="25" t="str">
        <f aca="false">IF(AND($B665="",$D665="",$F665=""),"",IF(NOT(ISNUMBER($B665)),"日期无效",IF(ISNA(MATCH($C665,参数设置!$A$10:$A$12,0)),"公司无效",IF(ISNA(MATCH($D665,记账规则!$A$6:$A$9,0)),"业务类型无效",IF(ISNA(MATCH($F665,商品档案!$A$6:$A$65,0)),"商品编码无效",IF(IFERROR(INDEX(商品档案!$E$6:$E$65,MATCH($F665,商品档案!$A$6:$A$65,0)),"")&lt;&gt;$C665,"商品不属于该公司",IF(AND($E665&lt;&gt;"",ISNA(MATCH($E665,往来单位!$A$6:$A$85,0))),"往来单位未建档",IF(N($J665)=0,"数量为 0",IF(N($K665)=0,"单价为 0",IF(AND(LEFT($D665,2)="销售",$U665=""),"该商品没设成本科目",IF(YEAR($B665)&lt;&gt;参数设置!$B$5,"不在本会计年度","OK")))))))))))</f>
        <v/>
      </c>
      <c r="Q665" s="57" t="str">
        <f aca="false">IF($F665="","",ROUND(N($J665)*N($K665),2))</f>
        <v/>
      </c>
      <c r="R665" s="58" t="str">
        <f aca="false">IF($D665="","",IF(LEFT($D665,2)="销售","应收账款","应付账款"))</f>
        <v/>
      </c>
      <c r="S665" s="58" t="str">
        <f aca="false">IF($F665="","",IFERROR(INDEX(商品档案!$G$6:$G$65,MATCH($F665,商品档案!$A$6:$A$65,0)),""))</f>
        <v/>
      </c>
      <c r="T665" s="58" t="str">
        <f aca="false">IF($F665="","",IFERROR(INDEX(商品档案!$H$6:$H$65,MATCH($F665,商品档案!$A$6:$A$65,0)),""))</f>
        <v/>
      </c>
      <c r="U665" s="58" t="str">
        <f aca="false">IF($F665="","",IFERROR(INDEX(商品档案!$I$6:$I$65,MATCH($F665,商品档案!$A$6:$A$65,0)),""))</f>
        <v/>
      </c>
      <c r="V665" s="59" t="str">
        <f aca="false">IF($F665="","",SUMIFS(进销存台账!$N$6:$N$65,进销存台账!$A$6:$A$65,$C665,进销存台账!$B$6:$B$65,$F665))</f>
        <v/>
      </c>
      <c r="W665" s="60" t="n">
        <f aca="false">IF(OR($D665="销售出库",$D665="销售退回"),ROUND(N($J665)*N($V665),2),0)</f>
        <v>0</v>
      </c>
      <c r="X665" s="58" t="str">
        <f aca="false">IF($E665="","",IFERROR(INDEX(往来单位!$D$6:$D$85,MATCH($E665,往来单位!$A$6:$A$85,0)),"否"))</f>
        <v/>
      </c>
      <c r="Y665" s="61" t="str">
        <f aca="false">IF($B665="","",YEAR($B665))</f>
        <v/>
      </c>
      <c r="Z665" s="58" t="str">
        <f aca="false">IF($B665="","",TEXT($B665,"yyyy-mm"))</f>
        <v/>
      </c>
    </row>
    <row r="666" customFormat="false" ht="15" hidden="false" customHeight="false" outlineLevel="0" collapsed="false">
      <c r="A666" s="53" t="str">
        <f aca="false">IF($B666="","",ROW()-5)</f>
        <v/>
      </c>
      <c r="B666" s="54"/>
      <c r="C666" s="33"/>
      <c r="D666" s="33"/>
      <c r="E666" s="32"/>
      <c r="F666" s="39"/>
      <c r="G666" s="48" t="str">
        <f aca="false">IF($F666="","",IFERROR(INDEX(商品档案!$B$6:$B$65,MATCH($F666,商品档案!$A$6:$A$65,0)),""))</f>
        <v/>
      </c>
      <c r="H666" s="48" t="str">
        <f aca="false">IF($F666="","",IFERROR(INDEX(商品档案!$C$6:$C$65,MATCH($F666,商品档案!$A$6:$A$65,0)),""))</f>
        <v/>
      </c>
      <c r="I666" s="55" t="str">
        <f aca="false">IF($F666="","",IFERROR(INDEX(商品档案!$D$6:$D$65,MATCH($F666,商品档案!$A$6:$A$65,0)),""))</f>
        <v/>
      </c>
      <c r="J666" s="49"/>
      <c r="K666" s="56"/>
      <c r="L666" s="33"/>
      <c r="M666" s="39"/>
      <c r="N666" s="41"/>
      <c r="O666" s="41"/>
      <c r="P666" s="25" t="str">
        <f aca="false">IF(AND($B666="",$D666="",$F666=""),"",IF(NOT(ISNUMBER($B666)),"日期无效",IF(ISNA(MATCH($C666,参数设置!$A$10:$A$12,0)),"公司无效",IF(ISNA(MATCH($D666,记账规则!$A$6:$A$9,0)),"业务类型无效",IF(ISNA(MATCH($F666,商品档案!$A$6:$A$65,0)),"商品编码无效",IF(IFERROR(INDEX(商品档案!$E$6:$E$65,MATCH($F666,商品档案!$A$6:$A$65,0)),"")&lt;&gt;$C666,"商品不属于该公司",IF(AND($E666&lt;&gt;"",ISNA(MATCH($E666,往来单位!$A$6:$A$85,0))),"往来单位未建档",IF(N($J666)=0,"数量为 0",IF(N($K666)=0,"单价为 0",IF(AND(LEFT($D666,2)="销售",$U666=""),"该商品没设成本科目",IF(YEAR($B666)&lt;&gt;参数设置!$B$5,"不在本会计年度","OK")))))))))))</f>
        <v/>
      </c>
      <c r="Q666" s="57" t="str">
        <f aca="false">IF($F666="","",ROUND(N($J666)*N($K666),2))</f>
        <v/>
      </c>
      <c r="R666" s="58" t="str">
        <f aca="false">IF($D666="","",IF(LEFT($D666,2)="销售","应收账款","应付账款"))</f>
        <v/>
      </c>
      <c r="S666" s="58" t="str">
        <f aca="false">IF($F666="","",IFERROR(INDEX(商品档案!$G$6:$G$65,MATCH($F666,商品档案!$A$6:$A$65,0)),""))</f>
        <v/>
      </c>
      <c r="T666" s="58" t="str">
        <f aca="false">IF($F666="","",IFERROR(INDEX(商品档案!$H$6:$H$65,MATCH($F666,商品档案!$A$6:$A$65,0)),""))</f>
        <v/>
      </c>
      <c r="U666" s="58" t="str">
        <f aca="false">IF($F666="","",IFERROR(INDEX(商品档案!$I$6:$I$65,MATCH($F666,商品档案!$A$6:$A$65,0)),""))</f>
        <v/>
      </c>
      <c r="V666" s="59" t="str">
        <f aca="false">IF($F666="","",SUMIFS(进销存台账!$N$6:$N$65,进销存台账!$A$6:$A$65,$C666,进销存台账!$B$6:$B$65,$F666))</f>
        <v/>
      </c>
      <c r="W666" s="60" t="n">
        <f aca="false">IF(OR($D666="销售出库",$D666="销售退回"),ROUND(N($J666)*N($V666),2),0)</f>
        <v>0</v>
      </c>
      <c r="X666" s="58" t="str">
        <f aca="false">IF($E666="","",IFERROR(INDEX(往来单位!$D$6:$D$85,MATCH($E666,往来单位!$A$6:$A$85,0)),"否"))</f>
        <v/>
      </c>
      <c r="Y666" s="61" t="str">
        <f aca="false">IF($B666="","",YEAR($B666))</f>
        <v/>
      </c>
      <c r="Z666" s="58" t="str">
        <f aca="false">IF($B666="","",TEXT($B666,"yyyy-mm"))</f>
        <v/>
      </c>
    </row>
    <row r="667" customFormat="false" ht="15" hidden="false" customHeight="false" outlineLevel="0" collapsed="false">
      <c r="A667" s="53" t="str">
        <f aca="false">IF($B667="","",ROW()-5)</f>
        <v/>
      </c>
      <c r="B667" s="54"/>
      <c r="C667" s="33"/>
      <c r="D667" s="33"/>
      <c r="E667" s="32"/>
      <c r="F667" s="39"/>
      <c r="G667" s="48" t="str">
        <f aca="false">IF($F667="","",IFERROR(INDEX(商品档案!$B$6:$B$65,MATCH($F667,商品档案!$A$6:$A$65,0)),""))</f>
        <v/>
      </c>
      <c r="H667" s="48" t="str">
        <f aca="false">IF($F667="","",IFERROR(INDEX(商品档案!$C$6:$C$65,MATCH($F667,商品档案!$A$6:$A$65,0)),""))</f>
        <v/>
      </c>
      <c r="I667" s="55" t="str">
        <f aca="false">IF($F667="","",IFERROR(INDEX(商品档案!$D$6:$D$65,MATCH($F667,商品档案!$A$6:$A$65,0)),""))</f>
        <v/>
      </c>
      <c r="J667" s="49"/>
      <c r="K667" s="56"/>
      <c r="L667" s="33"/>
      <c r="M667" s="39"/>
      <c r="N667" s="41"/>
      <c r="O667" s="41"/>
      <c r="P667" s="25" t="str">
        <f aca="false">IF(AND($B667="",$D667="",$F667=""),"",IF(NOT(ISNUMBER($B667)),"日期无效",IF(ISNA(MATCH($C667,参数设置!$A$10:$A$12,0)),"公司无效",IF(ISNA(MATCH($D667,记账规则!$A$6:$A$9,0)),"业务类型无效",IF(ISNA(MATCH($F667,商品档案!$A$6:$A$65,0)),"商品编码无效",IF(IFERROR(INDEX(商品档案!$E$6:$E$65,MATCH($F667,商品档案!$A$6:$A$65,0)),"")&lt;&gt;$C667,"商品不属于该公司",IF(AND($E667&lt;&gt;"",ISNA(MATCH($E667,往来单位!$A$6:$A$85,0))),"往来单位未建档",IF(N($J667)=0,"数量为 0",IF(N($K667)=0,"单价为 0",IF(AND(LEFT($D667,2)="销售",$U667=""),"该商品没设成本科目",IF(YEAR($B667)&lt;&gt;参数设置!$B$5,"不在本会计年度","OK")))))))))))</f>
        <v/>
      </c>
      <c r="Q667" s="57" t="str">
        <f aca="false">IF($F667="","",ROUND(N($J667)*N($K667),2))</f>
        <v/>
      </c>
      <c r="R667" s="58" t="str">
        <f aca="false">IF($D667="","",IF(LEFT($D667,2)="销售","应收账款","应付账款"))</f>
        <v/>
      </c>
      <c r="S667" s="58" t="str">
        <f aca="false">IF($F667="","",IFERROR(INDEX(商品档案!$G$6:$G$65,MATCH($F667,商品档案!$A$6:$A$65,0)),""))</f>
        <v/>
      </c>
      <c r="T667" s="58" t="str">
        <f aca="false">IF($F667="","",IFERROR(INDEX(商品档案!$H$6:$H$65,MATCH($F667,商品档案!$A$6:$A$65,0)),""))</f>
        <v/>
      </c>
      <c r="U667" s="58" t="str">
        <f aca="false">IF($F667="","",IFERROR(INDEX(商品档案!$I$6:$I$65,MATCH($F667,商品档案!$A$6:$A$65,0)),""))</f>
        <v/>
      </c>
      <c r="V667" s="59" t="str">
        <f aca="false">IF($F667="","",SUMIFS(进销存台账!$N$6:$N$65,进销存台账!$A$6:$A$65,$C667,进销存台账!$B$6:$B$65,$F667))</f>
        <v/>
      </c>
      <c r="W667" s="60" t="n">
        <f aca="false">IF(OR($D667="销售出库",$D667="销售退回"),ROUND(N($J667)*N($V667),2),0)</f>
        <v>0</v>
      </c>
      <c r="X667" s="58" t="str">
        <f aca="false">IF($E667="","",IFERROR(INDEX(往来单位!$D$6:$D$85,MATCH($E667,往来单位!$A$6:$A$85,0)),"否"))</f>
        <v/>
      </c>
      <c r="Y667" s="61" t="str">
        <f aca="false">IF($B667="","",YEAR($B667))</f>
        <v/>
      </c>
      <c r="Z667" s="58" t="str">
        <f aca="false">IF($B667="","",TEXT($B667,"yyyy-mm"))</f>
        <v/>
      </c>
    </row>
    <row r="668" customFormat="false" ht="15" hidden="false" customHeight="false" outlineLevel="0" collapsed="false">
      <c r="A668" s="53" t="str">
        <f aca="false">IF($B668="","",ROW()-5)</f>
        <v/>
      </c>
      <c r="B668" s="54"/>
      <c r="C668" s="33"/>
      <c r="D668" s="33"/>
      <c r="E668" s="32"/>
      <c r="F668" s="39"/>
      <c r="G668" s="48" t="str">
        <f aca="false">IF($F668="","",IFERROR(INDEX(商品档案!$B$6:$B$65,MATCH($F668,商品档案!$A$6:$A$65,0)),""))</f>
        <v/>
      </c>
      <c r="H668" s="48" t="str">
        <f aca="false">IF($F668="","",IFERROR(INDEX(商品档案!$C$6:$C$65,MATCH($F668,商品档案!$A$6:$A$65,0)),""))</f>
        <v/>
      </c>
      <c r="I668" s="55" t="str">
        <f aca="false">IF($F668="","",IFERROR(INDEX(商品档案!$D$6:$D$65,MATCH($F668,商品档案!$A$6:$A$65,0)),""))</f>
        <v/>
      </c>
      <c r="J668" s="49"/>
      <c r="K668" s="56"/>
      <c r="L668" s="33"/>
      <c r="M668" s="39"/>
      <c r="N668" s="41"/>
      <c r="O668" s="41"/>
      <c r="P668" s="25" t="str">
        <f aca="false">IF(AND($B668="",$D668="",$F668=""),"",IF(NOT(ISNUMBER($B668)),"日期无效",IF(ISNA(MATCH($C668,参数设置!$A$10:$A$12,0)),"公司无效",IF(ISNA(MATCH($D668,记账规则!$A$6:$A$9,0)),"业务类型无效",IF(ISNA(MATCH($F668,商品档案!$A$6:$A$65,0)),"商品编码无效",IF(IFERROR(INDEX(商品档案!$E$6:$E$65,MATCH($F668,商品档案!$A$6:$A$65,0)),"")&lt;&gt;$C668,"商品不属于该公司",IF(AND($E668&lt;&gt;"",ISNA(MATCH($E668,往来单位!$A$6:$A$85,0))),"往来单位未建档",IF(N($J668)=0,"数量为 0",IF(N($K668)=0,"单价为 0",IF(AND(LEFT($D668,2)="销售",$U668=""),"该商品没设成本科目",IF(YEAR($B668)&lt;&gt;参数设置!$B$5,"不在本会计年度","OK")))))))))))</f>
        <v/>
      </c>
      <c r="Q668" s="57" t="str">
        <f aca="false">IF($F668="","",ROUND(N($J668)*N($K668),2))</f>
        <v/>
      </c>
      <c r="R668" s="58" t="str">
        <f aca="false">IF($D668="","",IF(LEFT($D668,2)="销售","应收账款","应付账款"))</f>
        <v/>
      </c>
      <c r="S668" s="58" t="str">
        <f aca="false">IF($F668="","",IFERROR(INDEX(商品档案!$G$6:$G$65,MATCH($F668,商品档案!$A$6:$A$65,0)),""))</f>
        <v/>
      </c>
      <c r="T668" s="58" t="str">
        <f aca="false">IF($F668="","",IFERROR(INDEX(商品档案!$H$6:$H$65,MATCH($F668,商品档案!$A$6:$A$65,0)),""))</f>
        <v/>
      </c>
      <c r="U668" s="58" t="str">
        <f aca="false">IF($F668="","",IFERROR(INDEX(商品档案!$I$6:$I$65,MATCH($F668,商品档案!$A$6:$A$65,0)),""))</f>
        <v/>
      </c>
      <c r="V668" s="59" t="str">
        <f aca="false">IF($F668="","",SUMIFS(进销存台账!$N$6:$N$65,进销存台账!$A$6:$A$65,$C668,进销存台账!$B$6:$B$65,$F668))</f>
        <v/>
      </c>
      <c r="W668" s="60" t="n">
        <f aca="false">IF(OR($D668="销售出库",$D668="销售退回"),ROUND(N($J668)*N($V668),2),0)</f>
        <v>0</v>
      </c>
      <c r="X668" s="58" t="str">
        <f aca="false">IF($E668="","",IFERROR(INDEX(往来单位!$D$6:$D$85,MATCH($E668,往来单位!$A$6:$A$85,0)),"否"))</f>
        <v/>
      </c>
      <c r="Y668" s="61" t="str">
        <f aca="false">IF($B668="","",YEAR($B668))</f>
        <v/>
      </c>
      <c r="Z668" s="58" t="str">
        <f aca="false">IF($B668="","",TEXT($B668,"yyyy-mm"))</f>
        <v/>
      </c>
    </row>
    <row r="669" customFormat="false" ht="15" hidden="false" customHeight="false" outlineLevel="0" collapsed="false">
      <c r="A669" s="53" t="str">
        <f aca="false">IF($B669="","",ROW()-5)</f>
        <v/>
      </c>
      <c r="B669" s="54"/>
      <c r="C669" s="33"/>
      <c r="D669" s="33"/>
      <c r="E669" s="32"/>
      <c r="F669" s="39"/>
      <c r="G669" s="48" t="str">
        <f aca="false">IF($F669="","",IFERROR(INDEX(商品档案!$B$6:$B$65,MATCH($F669,商品档案!$A$6:$A$65,0)),""))</f>
        <v/>
      </c>
      <c r="H669" s="48" t="str">
        <f aca="false">IF($F669="","",IFERROR(INDEX(商品档案!$C$6:$C$65,MATCH($F669,商品档案!$A$6:$A$65,0)),""))</f>
        <v/>
      </c>
      <c r="I669" s="55" t="str">
        <f aca="false">IF($F669="","",IFERROR(INDEX(商品档案!$D$6:$D$65,MATCH($F669,商品档案!$A$6:$A$65,0)),""))</f>
        <v/>
      </c>
      <c r="J669" s="49"/>
      <c r="K669" s="56"/>
      <c r="L669" s="33"/>
      <c r="M669" s="39"/>
      <c r="N669" s="41"/>
      <c r="O669" s="41"/>
      <c r="P669" s="25" t="str">
        <f aca="false">IF(AND($B669="",$D669="",$F669=""),"",IF(NOT(ISNUMBER($B669)),"日期无效",IF(ISNA(MATCH($C669,参数设置!$A$10:$A$12,0)),"公司无效",IF(ISNA(MATCH($D669,记账规则!$A$6:$A$9,0)),"业务类型无效",IF(ISNA(MATCH($F669,商品档案!$A$6:$A$65,0)),"商品编码无效",IF(IFERROR(INDEX(商品档案!$E$6:$E$65,MATCH($F669,商品档案!$A$6:$A$65,0)),"")&lt;&gt;$C669,"商品不属于该公司",IF(AND($E669&lt;&gt;"",ISNA(MATCH($E669,往来单位!$A$6:$A$85,0))),"往来单位未建档",IF(N($J669)=0,"数量为 0",IF(N($K669)=0,"单价为 0",IF(AND(LEFT($D669,2)="销售",$U669=""),"该商品没设成本科目",IF(YEAR($B669)&lt;&gt;参数设置!$B$5,"不在本会计年度","OK")))))))))))</f>
        <v/>
      </c>
      <c r="Q669" s="57" t="str">
        <f aca="false">IF($F669="","",ROUND(N($J669)*N($K669),2))</f>
        <v/>
      </c>
      <c r="R669" s="58" t="str">
        <f aca="false">IF($D669="","",IF(LEFT($D669,2)="销售","应收账款","应付账款"))</f>
        <v/>
      </c>
      <c r="S669" s="58" t="str">
        <f aca="false">IF($F669="","",IFERROR(INDEX(商品档案!$G$6:$G$65,MATCH($F669,商品档案!$A$6:$A$65,0)),""))</f>
        <v/>
      </c>
      <c r="T669" s="58" t="str">
        <f aca="false">IF($F669="","",IFERROR(INDEX(商品档案!$H$6:$H$65,MATCH($F669,商品档案!$A$6:$A$65,0)),""))</f>
        <v/>
      </c>
      <c r="U669" s="58" t="str">
        <f aca="false">IF($F669="","",IFERROR(INDEX(商品档案!$I$6:$I$65,MATCH($F669,商品档案!$A$6:$A$65,0)),""))</f>
        <v/>
      </c>
      <c r="V669" s="59" t="str">
        <f aca="false">IF($F669="","",SUMIFS(进销存台账!$N$6:$N$65,进销存台账!$A$6:$A$65,$C669,进销存台账!$B$6:$B$65,$F669))</f>
        <v/>
      </c>
      <c r="W669" s="60" t="n">
        <f aca="false">IF(OR($D669="销售出库",$D669="销售退回"),ROUND(N($J669)*N($V669),2),0)</f>
        <v>0</v>
      </c>
      <c r="X669" s="58" t="str">
        <f aca="false">IF($E669="","",IFERROR(INDEX(往来单位!$D$6:$D$85,MATCH($E669,往来单位!$A$6:$A$85,0)),"否"))</f>
        <v/>
      </c>
      <c r="Y669" s="61" t="str">
        <f aca="false">IF($B669="","",YEAR($B669))</f>
        <v/>
      </c>
      <c r="Z669" s="58" t="str">
        <f aca="false">IF($B669="","",TEXT($B669,"yyyy-mm"))</f>
        <v/>
      </c>
    </row>
    <row r="670" customFormat="false" ht="15" hidden="false" customHeight="false" outlineLevel="0" collapsed="false">
      <c r="A670" s="53" t="str">
        <f aca="false">IF($B670="","",ROW()-5)</f>
        <v/>
      </c>
      <c r="B670" s="54"/>
      <c r="C670" s="33"/>
      <c r="D670" s="33"/>
      <c r="E670" s="32"/>
      <c r="F670" s="39"/>
      <c r="G670" s="48" t="str">
        <f aca="false">IF($F670="","",IFERROR(INDEX(商品档案!$B$6:$B$65,MATCH($F670,商品档案!$A$6:$A$65,0)),""))</f>
        <v/>
      </c>
      <c r="H670" s="48" t="str">
        <f aca="false">IF($F670="","",IFERROR(INDEX(商品档案!$C$6:$C$65,MATCH($F670,商品档案!$A$6:$A$65,0)),""))</f>
        <v/>
      </c>
      <c r="I670" s="55" t="str">
        <f aca="false">IF($F670="","",IFERROR(INDEX(商品档案!$D$6:$D$65,MATCH($F670,商品档案!$A$6:$A$65,0)),""))</f>
        <v/>
      </c>
      <c r="J670" s="49"/>
      <c r="K670" s="56"/>
      <c r="L670" s="33"/>
      <c r="M670" s="39"/>
      <c r="N670" s="41"/>
      <c r="O670" s="41"/>
      <c r="P670" s="25" t="str">
        <f aca="false">IF(AND($B670="",$D670="",$F670=""),"",IF(NOT(ISNUMBER($B670)),"日期无效",IF(ISNA(MATCH($C670,参数设置!$A$10:$A$12,0)),"公司无效",IF(ISNA(MATCH($D670,记账规则!$A$6:$A$9,0)),"业务类型无效",IF(ISNA(MATCH($F670,商品档案!$A$6:$A$65,0)),"商品编码无效",IF(IFERROR(INDEX(商品档案!$E$6:$E$65,MATCH($F670,商品档案!$A$6:$A$65,0)),"")&lt;&gt;$C670,"商品不属于该公司",IF(AND($E670&lt;&gt;"",ISNA(MATCH($E670,往来单位!$A$6:$A$85,0))),"往来单位未建档",IF(N($J670)=0,"数量为 0",IF(N($K670)=0,"单价为 0",IF(AND(LEFT($D670,2)="销售",$U670=""),"该商品没设成本科目",IF(YEAR($B670)&lt;&gt;参数设置!$B$5,"不在本会计年度","OK")))))))))))</f>
        <v/>
      </c>
      <c r="Q670" s="57" t="str">
        <f aca="false">IF($F670="","",ROUND(N($J670)*N($K670),2))</f>
        <v/>
      </c>
      <c r="R670" s="58" t="str">
        <f aca="false">IF($D670="","",IF(LEFT($D670,2)="销售","应收账款","应付账款"))</f>
        <v/>
      </c>
      <c r="S670" s="58" t="str">
        <f aca="false">IF($F670="","",IFERROR(INDEX(商品档案!$G$6:$G$65,MATCH($F670,商品档案!$A$6:$A$65,0)),""))</f>
        <v/>
      </c>
      <c r="T670" s="58" t="str">
        <f aca="false">IF($F670="","",IFERROR(INDEX(商品档案!$H$6:$H$65,MATCH($F670,商品档案!$A$6:$A$65,0)),""))</f>
        <v/>
      </c>
      <c r="U670" s="58" t="str">
        <f aca="false">IF($F670="","",IFERROR(INDEX(商品档案!$I$6:$I$65,MATCH($F670,商品档案!$A$6:$A$65,0)),""))</f>
        <v/>
      </c>
      <c r="V670" s="59" t="str">
        <f aca="false">IF($F670="","",SUMIFS(进销存台账!$N$6:$N$65,进销存台账!$A$6:$A$65,$C670,进销存台账!$B$6:$B$65,$F670))</f>
        <v/>
      </c>
      <c r="W670" s="60" t="n">
        <f aca="false">IF(OR($D670="销售出库",$D670="销售退回"),ROUND(N($J670)*N($V670),2),0)</f>
        <v>0</v>
      </c>
      <c r="X670" s="58" t="str">
        <f aca="false">IF($E670="","",IFERROR(INDEX(往来单位!$D$6:$D$85,MATCH($E670,往来单位!$A$6:$A$85,0)),"否"))</f>
        <v/>
      </c>
      <c r="Y670" s="61" t="str">
        <f aca="false">IF($B670="","",YEAR($B670))</f>
        <v/>
      </c>
      <c r="Z670" s="58" t="str">
        <f aca="false">IF($B670="","",TEXT($B670,"yyyy-mm"))</f>
        <v/>
      </c>
    </row>
    <row r="671" customFormat="false" ht="15" hidden="false" customHeight="false" outlineLevel="0" collapsed="false">
      <c r="A671" s="53" t="str">
        <f aca="false">IF($B671="","",ROW()-5)</f>
        <v/>
      </c>
      <c r="B671" s="54"/>
      <c r="C671" s="33"/>
      <c r="D671" s="33"/>
      <c r="E671" s="32"/>
      <c r="F671" s="39"/>
      <c r="G671" s="48" t="str">
        <f aca="false">IF($F671="","",IFERROR(INDEX(商品档案!$B$6:$B$65,MATCH($F671,商品档案!$A$6:$A$65,0)),""))</f>
        <v/>
      </c>
      <c r="H671" s="48" t="str">
        <f aca="false">IF($F671="","",IFERROR(INDEX(商品档案!$C$6:$C$65,MATCH($F671,商品档案!$A$6:$A$65,0)),""))</f>
        <v/>
      </c>
      <c r="I671" s="55" t="str">
        <f aca="false">IF($F671="","",IFERROR(INDEX(商品档案!$D$6:$D$65,MATCH($F671,商品档案!$A$6:$A$65,0)),""))</f>
        <v/>
      </c>
      <c r="J671" s="49"/>
      <c r="K671" s="56"/>
      <c r="L671" s="33"/>
      <c r="M671" s="39"/>
      <c r="N671" s="41"/>
      <c r="O671" s="41"/>
      <c r="P671" s="25" t="str">
        <f aca="false">IF(AND($B671="",$D671="",$F671=""),"",IF(NOT(ISNUMBER($B671)),"日期无效",IF(ISNA(MATCH($C671,参数设置!$A$10:$A$12,0)),"公司无效",IF(ISNA(MATCH($D671,记账规则!$A$6:$A$9,0)),"业务类型无效",IF(ISNA(MATCH($F671,商品档案!$A$6:$A$65,0)),"商品编码无效",IF(IFERROR(INDEX(商品档案!$E$6:$E$65,MATCH($F671,商品档案!$A$6:$A$65,0)),"")&lt;&gt;$C671,"商品不属于该公司",IF(AND($E671&lt;&gt;"",ISNA(MATCH($E671,往来单位!$A$6:$A$85,0))),"往来单位未建档",IF(N($J671)=0,"数量为 0",IF(N($K671)=0,"单价为 0",IF(AND(LEFT($D671,2)="销售",$U671=""),"该商品没设成本科目",IF(YEAR($B671)&lt;&gt;参数设置!$B$5,"不在本会计年度","OK")))))))))))</f>
        <v/>
      </c>
      <c r="Q671" s="57" t="str">
        <f aca="false">IF($F671="","",ROUND(N($J671)*N($K671),2))</f>
        <v/>
      </c>
      <c r="R671" s="58" t="str">
        <f aca="false">IF($D671="","",IF(LEFT($D671,2)="销售","应收账款","应付账款"))</f>
        <v/>
      </c>
      <c r="S671" s="58" t="str">
        <f aca="false">IF($F671="","",IFERROR(INDEX(商品档案!$G$6:$G$65,MATCH($F671,商品档案!$A$6:$A$65,0)),""))</f>
        <v/>
      </c>
      <c r="T671" s="58" t="str">
        <f aca="false">IF($F671="","",IFERROR(INDEX(商品档案!$H$6:$H$65,MATCH($F671,商品档案!$A$6:$A$65,0)),""))</f>
        <v/>
      </c>
      <c r="U671" s="58" t="str">
        <f aca="false">IF($F671="","",IFERROR(INDEX(商品档案!$I$6:$I$65,MATCH($F671,商品档案!$A$6:$A$65,0)),""))</f>
        <v/>
      </c>
      <c r="V671" s="59" t="str">
        <f aca="false">IF($F671="","",SUMIFS(进销存台账!$N$6:$N$65,进销存台账!$A$6:$A$65,$C671,进销存台账!$B$6:$B$65,$F671))</f>
        <v/>
      </c>
      <c r="W671" s="60" t="n">
        <f aca="false">IF(OR($D671="销售出库",$D671="销售退回"),ROUND(N($J671)*N($V671),2),0)</f>
        <v>0</v>
      </c>
      <c r="X671" s="58" t="str">
        <f aca="false">IF($E671="","",IFERROR(INDEX(往来单位!$D$6:$D$85,MATCH($E671,往来单位!$A$6:$A$85,0)),"否"))</f>
        <v/>
      </c>
      <c r="Y671" s="61" t="str">
        <f aca="false">IF($B671="","",YEAR($B671))</f>
        <v/>
      </c>
      <c r="Z671" s="58" t="str">
        <f aca="false">IF($B671="","",TEXT($B671,"yyyy-mm"))</f>
        <v/>
      </c>
    </row>
    <row r="672" customFormat="false" ht="15" hidden="false" customHeight="false" outlineLevel="0" collapsed="false">
      <c r="A672" s="53" t="str">
        <f aca="false">IF($B672="","",ROW()-5)</f>
        <v/>
      </c>
      <c r="B672" s="54"/>
      <c r="C672" s="33"/>
      <c r="D672" s="33"/>
      <c r="E672" s="32"/>
      <c r="F672" s="39"/>
      <c r="G672" s="48" t="str">
        <f aca="false">IF($F672="","",IFERROR(INDEX(商品档案!$B$6:$B$65,MATCH($F672,商品档案!$A$6:$A$65,0)),""))</f>
        <v/>
      </c>
      <c r="H672" s="48" t="str">
        <f aca="false">IF($F672="","",IFERROR(INDEX(商品档案!$C$6:$C$65,MATCH($F672,商品档案!$A$6:$A$65,0)),""))</f>
        <v/>
      </c>
      <c r="I672" s="55" t="str">
        <f aca="false">IF($F672="","",IFERROR(INDEX(商品档案!$D$6:$D$65,MATCH($F672,商品档案!$A$6:$A$65,0)),""))</f>
        <v/>
      </c>
      <c r="J672" s="49"/>
      <c r="K672" s="56"/>
      <c r="L672" s="33"/>
      <c r="M672" s="39"/>
      <c r="N672" s="41"/>
      <c r="O672" s="41"/>
      <c r="P672" s="25" t="str">
        <f aca="false">IF(AND($B672="",$D672="",$F672=""),"",IF(NOT(ISNUMBER($B672)),"日期无效",IF(ISNA(MATCH($C672,参数设置!$A$10:$A$12,0)),"公司无效",IF(ISNA(MATCH($D672,记账规则!$A$6:$A$9,0)),"业务类型无效",IF(ISNA(MATCH($F672,商品档案!$A$6:$A$65,0)),"商品编码无效",IF(IFERROR(INDEX(商品档案!$E$6:$E$65,MATCH($F672,商品档案!$A$6:$A$65,0)),"")&lt;&gt;$C672,"商品不属于该公司",IF(AND($E672&lt;&gt;"",ISNA(MATCH($E672,往来单位!$A$6:$A$85,0))),"往来单位未建档",IF(N($J672)=0,"数量为 0",IF(N($K672)=0,"单价为 0",IF(AND(LEFT($D672,2)="销售",$U672=""),"该商品没设成本科目",IF(YEAR($B672)&lt;&gt;参数设置!$B$5,"不在本会计年度","OK")))))))))))</f>
        <v/>
      </c>
      <c r="Q672" s="57" t="str">
        <f aca="false">IF($F672="","",ROUND(N($J672)*N($K672),2))</f>
        <v/>
      </c>
      <c r="R672" s="58" t="str">
        <f aca="false">IF($D672="","",IF(LEFT($D672,2)="销售","应收账款","应付账款"))</f>
        <v/>
      </c>
      <c r="S672" s="58" t="str">
        <f aca="false">IF($F672="","",IFERROR(INDEX(商品档案!$G$6:$G$65,MATCH($F672,商品档案!$A$6:$A$65,0)),""))</f>
        <v/>
      </c>
      <c r="T672" s="58" t="str">
        <f aca="false">IF($F672="","",IFERROR(INDEX(商品档案!$H$6:$H$65,MATCH($F672,商品档案!$A$6:$A$65,0)),""))</f>
        <v/>
      </c>
      <c r="U672" s="58" t="str">
        <f aca="false">IF($F672="","",IFERROR(INDEX(商品档案!$I$6:$I$65,MATCH($F672,商品档案!$A$6:$A$65,0)),""))</f>
        <v/>
      </c>
      <c r="V672" s="59" t="str">
        <f aca="false">IF($F672="","",SUMIFS(进销存台账!$N$6:$N$65,进销存台账!$A$6:$A$65,$C672,进销存台账!$B$6:$B$65,$F672))</f>
        <v/>
      </c>
      <c r="W672" s="60" t="n">
        <f aca="false">IF(OR($D672="销售出库",$D672="销售退回"),ROUND(N($J672)*N($V672),2),0)</f>
        <v>0</v>
      </c>
      <c r="X672" s="58" t="str">
        <f aca="false">IF($E672="","",IFERROR(INDEX(往来单位!$D$6:$D$85,MATCH($E672,往来单位!$A$6:$A$85,0)),"否"))</f>
        <v/>
      </c>
      <c r="Y672" s="61" t="str">
        <f aca="false">IF($B672="","",YEAR($B672))</f>
        <v/>
      </c>
      <c r="Z672" s="58" t="str">
        <f aca="false">IF($B672="","",TEXT($B672,"yyyy-mm"))</f>
        <v/>
      </c>
    </row>
    <row r="673" customFormat="false" ht="15" hidden="false" customHeight="false" outlineLevel="0" collapsed="false">
      <c r="A673" s="53" t="str">
        <f aca="false">IF($B673="","",ROW()-5)</f>
        <v/>
      </c>
      <c r="B673" s="54"/>
      <c r="C673" s="33"/>
      <c r="D673" s="33"/>
      <c r="E673" s="32"/>
      <c r="F673" s="39"/>
      <c r="G673" s="48" t="str">
        <f aca="false">IF($F673="","",IFERROR(INDEX(商品档案!$B$6:$B$65,MATCH($F673,商品档案!$A$6:$A$65,0)),""))</f>
        <v/>
      </c>
      <c r="H673" s="48" t="str">
        <f aca="false">IF($F673="","",IFERROR(INDEX(商品档案!$C$6:$C$65,MATCH($F673,商品档案!$A$6:$A$65,0)),""))</f>
        <v/>
      </c>
      <c r="I673" s="55" t="str">
        <f aca="false">IF($F673="","",IFERROR(INDEX(商品档案!$D$6:$D$65,MATCH($F673,商品档案!$A$6:$A$65,0)),""))</f>
        <v/>
      </c>
      <c r="J673" s="49"/>
      <c r="K673" s="56"/>
      <c r="L673" s="33"/>
      <c r="M673" s="39"/>
      <c r="N673" s="41"/>
      <c r="O673" s="41"/>
      <c r="P673" s="25" t="str">
        <f aca="false">IF(AND($B673="",$D673="",$F673=""),"",IF(NOT(ISNUMBER($B673)),"日期无效",IF(ISNA(MATCH($C673,参数设置!$A$10:$A$12,0)),"公司无效",IF(ISNA(MATCH($D673,记账规则!$A$6:$A$9,0)),"业务类型无效",IF(ISNA(MATCH($F673,商品档案!$A$6:$A$65,0)),"商品编码无效",IF(IFERROR(INDEX(商品档案!$E$6:$E$65,MATCH($F673,商品档案!$A$6:$A$65,0)),"")&lt;&gt;$C673,"商品不属于该公司",IF(AND($E673&lt;&gt;"",ISNA(MATCH($E673,往来单位!$A$6:$A$85,0))),"往来单位未建档",IF(N($J673)=0,"数量为 0",IF(N($K673)=0,"单价为 0",IF(AND(LEFT($D673,2)="销售",$U673=""),"该商品没设成本科目",IF(YEAR($B673)&lt;&gt;参数设置!$B$5,"不在本会计年度","OK")))))))))))</f>
        <v/>
      </c>
      <c r="Q673" s="57" t="str">
        <f aca="false">IF($F673="","",ROUND(N($J673)*N($K673),2))</f>
        <v/>
      </c>
      <c r="R673" s="58" t="str">
        <f aca="false">IF($D673="","",IF(LEFT($D673,2)="销售","应收账款","应付账款"))</f>
        <v/>
      </c>
      <c r="S673" s="58" t="str">
        <f aca="false">IF($F673="","",IFERROR(INDEX(商品档案!$G$6:$G$65,MATCH($F673,商品档案!$A$6:$A$65,0)),""))</f>
        <v/>
      </c>
      <c r="T673" s="58" t="str">
        <f aca="false">IF($F673="","",IFERROR(INDEX(商品档案!$H$6:$H$65,MATCH($F673,商品档案!$A$6:$A$65,0)),""))</f>
        <v/>
      </c>
      <c r="U673" s="58" t="str">
        <f aca="false">IF($F673="","",IFERROR(INDEX(商品档案!$I$6:$I$65,MATCH($F673,商品档案!$A$6:$A$65,0)),""))</f>
        <v/>
      </c>
      <c r="V673" s="59" t="str">
        <f aca="false">IF($F673="","",SUMIFS(进销存台账!$N$6:$N$65,进销存台账!$A$6:$A$65,$C673,进销存台账!$B$6:$B$65,$F673))</f>
        <v/>
      </c>
      <c r="W673" s="60" t="n">
        <f aca="false">IF(OR($D673="销售出库",$D673="销售退回"),ROUND(N($J673)*N($V673),2),0)</f>
        <v>0</v>
      </c>
      <c r="X673" s="58" t="str">
        <f aca="false">IF($E673="","",IFERROR(INDEX(往来单位!$D$6:$D$85,MATCH($E673,往来单位!$A$6:$A$85,0)),"否"))</f>
        <v/>
      </c>
      <c r="Y673" s="61" t="str">
        <f aca="false">IF($B673="","",YEAR($B673))</f>
        <v/>
      </c>
      <c r="Z673" s="58" t="str">
        <f aca="false">IF($B673="","",TEXT($B673,"yyyy-mm"))</f>
        <v/>
      </c>
    </row>
    <row r="674" customFormat="false" ht="15" hidden="false" customHeight="false" outlineLevel="0" collapsed="false">
      <c r="A674" s="53" t="str">
        <f aca="false">IF($B674="","",ROW()-5)</f>
        <v/>
      </c>
      <c r="B674" s="54"/>
      <c r="C674" s="33"/>
      <c r="D674" s="33"/>
      <c r="E674" s="32"/>
      <c r="F674" s="39"/>
      <c r="G674" s="48" t="str">
        <f aca="false">IF($F674="","",IFERROR(INDEX(商品档案!$B$6:$B$65,MATCH($F674,商品档案!$A$6:$A$65,0)),""))</f>
        <v/>
      </c>
      <c r="H674" s="48" t="str">
        <f aca="false">IF($F674="","",IFERROR(INDEX(商品档案!$C$6:$C$65,MATCH($F674,商品档案!$A$6:$A$65,0)),""))</f>
        <v/>
      </c>
      <c r="I674" s="55" t="str">
        <f aca="false">IF($F674="","",IFERROR(INDEX(商品档案!$D$6:$D$65,MATCH($F674,商品档案!$A$6:$A$65,0)),""))</f>
        <v/>
      </c>
      <c r="J674" s="49"/>
      <c r="K674" s="56"/>
      <c r="L674" s="33"/>
      <c r="M674" s="39"/>
      <c r="N674" s="41"/>
      <c r="O674" s="41"/>
      <c r="P674" s="25" t="str">
        <f aca="false">IF(AND($B674="",$D674="",$F674=""),"",IF(NOT(ISNUMBER($B674)),"日期无效",IF(ISNA(MATCH($C674,参数设置!$A$10:$A$12,0)),"公司无效",IF(ISNA(MATCH($D674,记账规则!$A$6:$A$9,0)),"业务类型无效",IF(ISNA(MATCH($F674,商品档案!$A$6:$A$65,0)),"商品编码无效",IF(IFERROR(INDEX(商品档案!$E$6:$E$65,MATCH($F674,商品档案!$A$6:$A$65,0)),"")&lt;&gt;$C674,"商品不属于该公司",IF(AND($E674&lt;&gt;"",ISNA(MATCH($E674,往来单位!$A$6:$A$85,0))),"往来单位未建档",IF(N($J674)=0,"数量为 0",IF(N($K674)=0,"单价为 0",IF(AND(LEFT($D674,2)="销售",$U674=""),"该商品没设成本科目",IF(YEAR($B674)&lt;&gt;参数设置!$B$5,"不在本会计年度","OK")))))))))))</f>
        <v/>
      </c>
      <c r="Q674" s="57" t="str">
        <f aca="false">IF($F674="","",ROUND(N($J674)*N($K674),2))</f>
        <v/>
      </c>
      <c r="R674" s="58" t="str">
        <f aca="false">IF($D674="","",IF(LEFT($D674,2)="销售","应收账款","应付账款"))</f>
        <v/>
      </c>
      <c r="S674" s="58" t="str">
        <f aca="false">IF($F674="","",IFERROR(INDEX(商品档案!$G$6:$G$65,MATCH($F674,商品档案!$A$6:$A$65,0)),""))</f>
        <v/>
      </c>
      <c r="T674" s="58" t="str">
        <f aca="false">IF($F674="","",IFERROR(INDEX(商品档案!$H$6:$H$65,MATCH($F674,商品档案!$A$6:$A$65,0)),""))</f>
        <v/>
      </c>
      <c r="U674" s="58" t="str">
        <f aca="false">IF($F674="","",IFERROR(INDEX(商品档案!$I$6:$I$65,MATCH($F674,商品档案!$A$6:$A$65,0)),""))</f>
        <v/>
      </c>
      <c r="V674" s="59" t="str">
        <f aca="false">IF($F674="","",SUMIFS(进销存台账!$N$6:$N$65,进销存台账!$A$6:$A$65,$C674,进销存台账!$B$6:$B$65,$F674))</f>
        <v/>
      </c>
      <c r="W674" s="60" t="n">
        <f aca="false">IF(OR($D674="销售出库",$D674="销售退回"),ROUND(N($J674)*N($V674),2),0)</f>
        <v>0</v>
      </c>
      <c r="X674" s="58" t="str">
        <f aca="false">IF($E674="","",IFERROR(INDEX(往来单位!$D$6:$D$85,MATCH($E674,往来单位!$A$6:$A$85,0)),"否"))</f>
        <v/>
      </c>
      <c r="Y674" s="61" t="str">
        <f aca="false">IF($B674="","",YEAR($B674))</f>
        <v/>
      </c>
      <c r="Z674" s="58" t="str">
        <f aca="false">IF($B674="","",TEXT($B674,"yyyy-mm"))</f>
        <v/>
      </c>
    </row>
    <row r="675" customFormat="false" ht="15" hidden="false" customHeight="false" outlineLevel="0" collapsed="false">
      <c r="A675" s="53" t="str">
        <f aca="false">IF($B675="","",ROW()-5)</f>
        <v/>
      </c>
      <c r="B675" s="54"/>
      <c r="C675" s="33"/>
      <c r="D675" s="33"/>
      <c r="E675" s="32"/>
      <c r="F675" s="39"/>
      <c r="G675" s="48" t="str">
        <f aca="false">IF($F675="","",IFERROR(INDEX(商品档案!$B$6:$B$65,MATCH($F675,商品档案!$A$6:$A$65,0)),""))</f>
        <v/>
      </c>
      <c r="H675" s="48" t="str">
        <f aca="false">IF($F675="","",IFERROR(INDEX(商品档案!$C$6:$C$65,MATCH($F675,商品档案!$A$6:$A$65,0)),""))</f>
        <v/>
      </c>
      <c r="I675" s="55" t="str">
        <f aca="false">IF($F675="","",IFERROR(INDEX(商品档案!$D$6:$D$65,MATCH($F675,商品档案!$A$6:$A$65,0)),""))</f>
        <v/>
      </c>
      <c r="J675" s="49"/>
      <c r="K675" s="56"/>
      <c r="L675" s="33"/>
      <c r="M675" s="39"/>
      <c r="N675" s="41"/>
      <c r="O675" s="41"/>
      <c r="P675" s="25" t="str">
        <f aca="false">IF(AND($B675="",$D675="",$F675=""),"",IF(NOT(ISNUMBER($B675)),"日期无效",IF(ISNA(MATCH($C675,参数设置!$A$10:$A$12,0)),"公司无效",IF(ISNA(MATCH($D675,记账规则!$A$6:$A$9,0)),"业务类型无效",IF(ISNA(MATCH($F675,商品档案!$A$6:$A$65,0)),"商品编码无效",IF(IFERROR(INDEX(商品档案!$E$6:$E$65,MATCH($F675,商品档案!$A$6:$A$65,0)),"")&lt;&gt;$C675,"商品不属于该公司",IF(AND($E675&lt;&gt;"",ISNA(MATCH($E675,往来单位!$A$6:$A$85,0))),"往来单位未建档",IF(N($J675)=0,"数量为 0",IF(N($K675)=0,"单价为 0",IF(AND(LEFT($D675,2)="销售",$U675=""),"该商品没设成本科目",IF(YEAR($B675)&lt;&gt;参数设置!$B$5,"不在本会计年度","OK")))))))))))</f>
        <v/>
      </c>
      <c r="Q675" s="57" t="str">
        <f aca="false">IF($F675="","",ROUND(N($J675)*N($K675),2))</f>
        <v/>
      </c>
      <c r="R675" s="58" t="str">
        <f aca="false">IF($D675="","",IF(LEFT($D675,2)="销售","应收账款","应付账款"))</f>
        <v/>
      </c>
      <c r="S675" s="58" t="str">
        <f aca="false">IF($F675="","",IFERROR(INDEX(商品档案!$G$6:$G$65,MATCH($F675,商品档案!$A$6:$A$65,0)),""))</f>
        <v/>
      </c>
      <c r="T675" s="58" t="str">
        <f aca="false">IF($F675="","",IFERROR(INDEX(商品档案!$H$6:$H$65,MATCH($F675,商品档案!$A$6:$A$65,0)),""))</f>
        <v/>
      </c>
      <c r="U675" s="58" t="str">
        <f aca="false">IF($F675="","",IFERROR(INDEX(商品档案!$I$6:$I$65,MATCH($F675,商品档案!$A$6:$A$65,0)),""))</f>
        <v/>
      </c>
      <c r="V675" s="59" t="str">
        <f aca="false">IF($F675="","",SUMIFS(进销存台账!$N$6:$N$65,进销存台账!$A$6:$A$65,$C675,进销存台账!$B$6:$B$65,$F675))</f>
        <v/>
      </c>
      <c r="W675" s="60" t="n">
        <f aca="false">IF(OR($D675="销售出库",$D675="销售退回"),ROUND(N($J675)*N($V675),2),0)</f>
        <v>0</v>
      </c>
      <c r="X675" s="58" t="str">
        <f aca="false">IF($E675="","",IFERROR(INDEX(往来单位!$D$6:$D$85,MATCH($E675,往来单位!$A$6:$A$85,0)),"否"))</f>
        <v/>
      </c>
      <c r="Y675" s="61" t="str">
        <f aca="false">IF($B675="","",YEAR($B675))</f>
        <v/>
      </c>
      <c r="Z675" s="58" t="str">
        <f aca="false">IF($B675="","",TEXT($B675,"yyyy-mm"))</f>
        <v/>
      </c>
    </row>
    <row r="676" customFormat="false" ht="15" hidden="false" customHeight="false" outlineLevel="0" collapsed="false">
      <c r="A676" s="53" t="str">
        <f aca="false">IF($B676="","",ROW()-5)</f>
        <v/>
      </c>
      <c r="B676" s="54"/>
      <c r="C676" s="33"/>
      <c r="D676" s="33"/>
      <c r="E676" s="32"/>
      <c r="F676" s="39"/>
      <c r="G676" s="48" t="str">
        <f aca="false">IF($F676="","",IFERROR(INDEX(商品档案!$B$6:$B$65,MATCH($F676,商品档案!$A$6:$A$65,0)),""))</f>
        <v/>
      </c>
      <c r="H676" s="48" t="str">
        <f aca="false">IF($F676="","",IFERROR(INDEX(商品档案!$C$6:$C$65,MATCH($F676,商品档案!$A$6:$A$65,0)),""))</f>
        <v/>
      </c>
      <c r="I676" s="55" t="str">
        <f aca="false">IF($F676="","",IFERROR(INDEX(商品档案!$D$6:$D$65,MATCH($F676,商品档案!$A$6:$A$65,0)),""))</f>
        <v/>
      </c>
      <c r="J676" s="49"/>
      <c r="K676" s="56"/>
      <c r="L676" s="33"/>
      <c r="M676" s="39"/>
      <c r="N676" s="41"/>
      <c r="O676" s="41"/>
      <c r="P676" s="25" t="str">
        <f aca="false">IF(AND($B676="",$D676="",$F676=""),"",IF(NOT(ISNUMBER($B676)),"日期无效",IF(ISNA(MATCH($C676,参数设置!$A$10:$A$12,0)),"公司无效",IF(ISNA(MATCH($D676,记账规则!$A$6:$A$9,0)),"业务类型无效",IF(ISNA(MATCH($F676,商品档案!$A$6:$A$65,0)),"商品编码无效",IF(IFERROR(INDEX(商品档案!$E$6:$E$65,MATCH($F676,商品档案!$A$6:$A$65,0)),"")&lt;&gt;$C676,"商品不属于该公司",IF(AND($E676&lt;&gt;"",ISNA(MATCH($E676,往来单位!$A$6:$A$85,0))),"往来单位未建档",IF(N($J676)=0,"数量为 0",IF(N($K676)=0,"单价为 0",IF(AND(LEFT($D676,2)="销售",$U676=""),"该商品没设成本科目",IF(YEAR($B676)&lt;&gt;参数设置!$B$5,"不在本会计年度","OK")))))))))))</f>
        <v/>
      </c>
      <c r="Q676" s="57" t="str">
        <f aca="false">IF($F676="","",ROUND(N($J676)*N($K676),2))</f>
        <v/>
      </c>
      <c r="R676" s="58" t="str">
        <f aca="false">IF($D676="","",IF(LEFT($D676,2)="销售","应收账款","应付账款"))</f>
        <v/>
      </c>
      <c r="S676" s="58" t="str">
        <f aca="false">IF($F676="","",IFERROR(INDEX(商品档案!$G$6:$G$65,MATCH($F676,商品档案!$A$6:$A$65,0)),""))</f>
        <v/>
      </c>
      <c r="T676" s="58" t="str">
        <f aca="false">IF($F676="","",IFERROR(INDEX(商品档案!$H$6:$H$65,MATCH($F676,商品档案!$A$6:$A$65,0)),""))</f>
        <v/>
      </c>
      <c r="U676" s="58" t="str">
        <f aca="false">IF($F676="","",IFERROR(INDEX(商品档案!$I$6:$I$65,MATCH($F676,商品档案!$A$6:$A$65,0)),""))</f>
        <v/>
      </c>
      <c r="V676" s="59" t="str">
        <f aca="false">IF($F676="","",SUMIFS(进销存台账!$N$6:$N$65,进销存台账!$A$6:$A$65,$C676,进销存台账!$B$6:$B$65,$F676))</f>
        <v/>
      </c>
      <c r="W676" s="60" t="n">
        <f aca="false">IF(OR($D676="销售出库",$D676="销售退回"),ROUND(N($J676)*N($V676),2),0)</f>
        <v>0</v>
      </c>
      <c r="X676" s="58" t="str">
        <f aca="false">IF($E676="","",IFERROR(INDEX(往来单位!$D$6:$D$85,MATCH($E676,往来单位!$A$6:$A$85,0)),"否"))</f>
        <v/>
      </c>
      <c r="Y676" s="61" t="str">
        <f aca="false">IF($B676="","",YEAR($B676))</f>
        <v/>
      </c>
      <c r="Z676" s="58" t="str">
        <f aca="false">IF($B676="","",TEXT($B676,"yyyy-mm"))</f>
        <v/>
      </c>
    </row>
    <row r="677" customFormat="false" ht="15" hidden="false" customHeight="false" outlineLevel="0" collapsed="false">
      <c r="A677" s="53" t="str">
        <f aca="false">IF($B677="","",ROW()-5)</f>
        <v/>
      </c>
      <c r="B677" s="54"/>
      <c r="C677" s="33"/>
      <c r="D677" s="33"/>
      <c r="E677" s="32"/>
      <c r="F677" s="39"/>
      <c r="G677" s="48" t="str">
        <f aca="false">IF($F677="","",IFERROR(INDEX(商品档案!$B$6:$B$65,MATCH($F677,商品档案!$A$6:$A$65,0)),""))</f>
        <v/>
      </c>
      <c r="H677" s="48" t="str">
        <f aca="false">IF($F677="","",IFERROR(INDEX(商品档案!$C$6:$C$65,MATCH($F677,商品档案!$A$6:$A$65,0)),""))</f>
        <v/>
      </c>
      <c r="I677" s="55" t="str">
        <f aca="false">IF($F677="","",IFERROR(INDEX(商品档案!$D$6:$D$65,MATCH($F677,商品档案!$A$6:$A$65,0)),""))</f>
        <v/>
      </c>
      <c r="J677" s="49"/>
      <c r="K677" s="56"/>
      <c r="L677" s="33"/>
      <c r="M677" s="39"/>
      <c r="N677" s="41"/>
      <c r="O677" s="41"/>
      <c r="P677" s="25" t="str">
        <f aca="false">IF(AND($B677="",$D677="",$F677=""),"",IF(NOT(ISNUMBER($B677)),"日期无效",IF(ISNA(MATCH($C677,参数设置!$A$10:$A$12,0)),"公司无效",IF(ISNA(MATCH($D677,记账规则!$A$6:$A$9,0)),"业务类型无效",IF(ISNA(MATCH($F677,商品档案!$A$6:$A$65,0)),"商品编码无效",IF(IFERROR(INDEX(商品档案!$E$6:$E$65,MATCH($F677,商品档案!$A$6:$A$65,0)),"")&lt;&gt;$C677,"商品不属于该公司",IF(AND($E677&lt;&gt;"",ISNA(MATCH($E677,往来单位!$A$6:$A$85,0))),"往来单位未建档",IF(N($J677)=0,"数量为 0",IF(N($K677)=0,"单价为 0",IF(AND(LEFT($D677,2)="销售",$U677=""),"该商品没设成本科目",IF(YEAR($B677)&lt;&gt;参数设置!$B$5,"不在本会计年度","OK")))))))))))</f>
        <v/>
      </c>
      <c r="Q677" s="57" t="str">
        <f aca="false">IF($F677="","",ROUND(N($J677)*N($K677),2))</f>
        <v/>
      </c>
      <c r="R677" s="58" t="str">
        <f aca="false">IF($D677="","",IF(LEFT($D677,2)="销售","应收账款","应付账款"))</f>
        <v/>
      </c>
      <c r="S677" s="58" t="str">
        <f aca="false">IF($F677="","",IFERROR(INDEX(商品档案!$G$6:$G$65,MATCH($F677,商品档案!$A$6:$A$65,0)),""))</f>
        <v/>
      </c>
      <c r="T677" s="58" t="str">
        <f aca="false">IF($F677="","",IFERROR(INDEX(商品档案!$H$6:$H$65,MATCH($F677,商品档案!$A$6:$A$65,0)),""))</f>
        <v/>
      </c>
      <c r="U677" s="58" t="str">
        <f aca="false">IF($F677="","",IFERROR(INDEX(商品档案!$I$6:$I$65,MATCH($F677,商品档案!$A$6:$A$65,0)),""))</f>
        <v/>
      </c>
      <c r="V677" s="59" t="str">
        <f aca="false">IF($F677="","",SUMIFS(进销存台账!$N$6:$N$65,进销存台账!$A$6:$A$65,$C677,进销存台账!$B$6:$B$65,$F677))</f>
        <v/>
      </c>
      <c r="W677" s="60" t="n">
        <f aca="false">IF(OR($D677="销售出库",$D677="销售退回"),ROUND(N($J677)*N($V677),2),0)</f>
        <v>0</v>
      </c>
      <c r="X677" s="58" t="str">
        <f aca="false">IF($E677="","",IFERROR(INDEX(往来单位!$D$6:$D$85,MATCH($E677,往来单位!$A$6:$A$85,0)),"否"))</f>
        <v/>
      </c>
      <c r="Y677" s="61" t="str">
        <f aca="false">IF($B677="","",YEAR($B677))</f>
        <v/>
      </c>
      <c r="Z677" s="58" t="str">
        <f aca="false">IF($B677="","",TEXT($B677,"yyyy-mm"))</f>
        <v/>
      </c>
    </row>
    <row r="678" customFormat="false" ht="15" hidden="false" customHeight="false" outlineLevel="0" collapsed="false">
      <c r="A678" s="53" t="str">
        <f aca="false">IF($B678="","",ROW()-5)</f>
        <v/>
      </c>
      <c r="B678" s="54"/>
      <c r="C678" s="33"/>
      <c r="D678" s="33"/>
      <c r="E678" s="32"/>
      <c r="F678" s="39"/>
      <c r="G678" s="48" t="str">
        <f aca="false">IF($F678="","",IFERROR(INDEX(商品档案!$B$6:$B$65,MATCH($F678,商品档案!$A$6:$A$65,0)),""))</f>
        <v/>
      </c>
      <c r="H678" s="48" t="str">
        <f aca="false">IF($F678="","",IFERROR(INDEX(商品档案!$C$6:$C$65,MATCH($F678,商品档案!$A$6:$A$65,0)),""))</f>
        <v/>
      </c>
      <c r="I678" s="55" t="str">
        <f aca="false">IF($F678="","",IFERROR(INDEX(商品档案!$D$6:$D$65,MATCH($F678,商品档案!$A$6:$A$65,0)),""))</f>
        <v/>
      </c>
      <c r="J678" s="49"/>
      <c r="K678" s="56"/>
      <c r="L678" s="33"/>
      <c r="M678" s="39"/>
      <c r="N678" s="41"/>
      <c r="O678" s="41"/>
      <c r="P678" s="25" t="str">
        <f aca="false">IF(AND($B678="",$D678="",$F678=""),"",IF(NOT(ISNUMBER($B678)),"日期无效",IF(ISNA(MATCH($C678,参数设置!$A$10:$A$12,0)),"公司无效",IF(ISNA(MATCH($D678,记账规则!$A$6:$A$9,0)),"业务类型无效",IF(ISNA(MATCH($F678,商品档案!$A$6:$A$65,0)),"商品编码无效",IF(IFERROR(INDEX(商品档案!$E$6:$E$65,MATCH($F678,商品档案!$A$6:$A$65,0)),"")&lt;&gt;$C678,"商品不属于该公司",IF(AND($E678&lt;&gt;"",ISNA(MATCH($E678,往来单位!$A$6:$A$85,0))),"往来单位未建档",IF(N($J678)=0,"数量为 0",IF(N($K678)=0,"单价为 0",IF(AND(LEFT($D678,2)="销售",$U678=""),"该商品没设成本科目",IF(YEAR($B678)&lt;&gt;参数设置!$B$5,"不在本会计年度","OK")))))))))))</f>
        <v/>
      </c>
      <c r="Q678" s="57" t="str">
        <f aca="false">IF($F678="","",ROUND(N($J678)*N($K678),2))</f>
        <v/>
      </c>
      <c r="R678" s="58" t="str">
        <f aca="false">IF($D678="","",IF(LEFT($D678,2)="销售","应收账款","应付账款"))</f>
        <v/>
      </c>
      <c r="S678" s="58" t="str">
        <f aca="false">IF($F678="","",IFERROR(INDEX(商品档案!$G$6:$G$65,MATCH($F678,商品档案!$A$6:$A$65,0)),""))</f>
        <v/>
      </c>
      <c r="T678" s="58" t="str">
        <f aca="false">IF($F678="","",IFERROR(INDEX(商品档案!$H$6:$H$65,MATCH($F678,商品档案!$A$6:$A$65,0)),""))</f>
        <v/>
      </c>
      <c r="U678" s="58" t="str">
        <f aca="false">IF($F678="","",IFERROR(INDEX(商品档案!$I$6:$I$65,MATCH($F678,商品档案!$A$6:$A$65,0)),""))</f>
        <v/>
      </c>
      <c r="V678" s="59" t="str">
        <f aca="false">IF($F678="","",SUMIFS(进销存台账!$N$6:$N$65,进销存台账!$A$6:$A$65,$C678,进销存台账!$B$6:$B$65,$F678))</f>
        <v/>
      </c>
      <c r="W678" s="60" t="n">
        <f aca="false">IF(OR($D678="销售出库",$D678="销售退回"),ROUND(N($J678)*N($V678),2),0)</f>
        <v>0</v>
      </c>
      <c r="X678" s="58" t="str">
        <f aca="false">IF($E678="","",IFERROR(INDEX(往来单位!$D$6:$D$85,MATCH($E678,往来单位!$A$6:$A$85,0)),"否"))</f>
        <v/>
      </c>
      <c r="Y678" s="61" t="str">
        <f aca="false">IF($B678="","",YEAR($B678))</f>
        <v/>
      </c>
      <c r="Z678" s="58" t="str">
        <f aca="false">IF($B678="","",TEXT($B678,"yyyy-mm"))</f>
        <v/>
      </c>
    </row>
    <row r="679" customFormat="false" ht="15" hidden="false" customHeight="false" outlineLevel="0" collapsed="false">
      <c r="A679" s="53" t="str">
        <f aca="false">IF($B679="","",ROW()-5)</f>
        <v/>
      </c>
      <c r="B679" s="54"/>
      <c r="C679" s="33"/>
      <c r="D679" s="33"/>
      <c r="E679" s="32"/>
      <c r="F679" s="39"/>
      <c r="G679" s="48" t="str">
        <f aca="false">IF($F679="","",IFERROR(INDEX(商品档案!$B$6:$B$65,MATCH($F679,商品档案!$A$6:$A$65,0)),""))</f>
        <v/>
      </c>
      <c r="H679" s="48" t="str">
        <f aca="false">IF($F679="","",IFERROR(INDEX(商品档案!$C$6:$C$65,MATCH($F679,商品档案!$A$6:$A$65,0)),""))</f>
        <v/>
      </c>
      <c r="I679" s="55" t="str">
        <f aca="false">IF($F679="","",IFERROR(INDEX(商品档案!$D$6:$D$65,MATCH($F679,商品档案!$A$6:$A$65,0)),""))</f>
        <v/>
      </c>
      <c r="J679" s="49"/>
      <c r="K679" s="56"/>
      <c r="L679" s="33"/>
      <c r="M679" s="39"/>
      <c r="N679" s="41"/>
      <c r="O679" s="41"/>
      <c r="P679" s="25" t="str">
        <f aca="false">IF(AND($B679="",$D679="",$F679=""),"",IF(NOT(ISNUMBER($B679)),"日期无效",IF(ISNA(MATCH($C679,参数设置!$A$10:$A$12,0)),"公司无效",IF(ISNA(MATCH($D679,记账规则!$A$6:$A$9,0)),"业务类型无效",IF(ISNA(MATCH($F679,商品档案!$A$6:$A$65,0)),"商品编码无效",IF(IFERROR(INDEX(商品档案!$E$6:$E$65,MATCH($F679,商品档案!$A$6:$A$65,0)),"")&lt;&gt;$C679,"商品不属于该公司",IF(AND($E679&lt;&gt;"",ISNA(MATCH($E679,往来单位!$A$6:$A$85,0))),"往来单位未建档",IF(N($J679)=0,"数量为 0",IF(N($K679)=0,"单价为 0",IF(AND(LEFT($D679,2)="销售",$U679=""),"该商品没设成本科目",IF(YEAR($B679)&lt;&gt;参数设置!$B$5,"不在本会计年度","OK")))))))))))</f>
        <v/>
      </c>
      <c r="Q679" s="57" t="str">
        <f aca="false">IF($F679="","",ROUND(N($J679)*N($K679),2))</f>
        <v/>
      </c>
      <c r="R679" s="58" t="str">
        <f aca="false">IF($D679="","",IF(LEFT($D679,2)="销售","应收账款","应付账款"))</f>
        <v/>
      </c>
      <c r="S679" s="58" t="str">
        <f aca="false">IF($F679="","",IFERROR(INDEX(商品档案!$G$6:$G$65,MATCH($F679,商品档案!$A$6:$A$65,0)),""))</f>
        <v/>
      </c>
      <c r="T679" s="58" t="str">
        <f aca="false">IF($F679="","",IFERROR(INDEX(商品档案!$H$6:$H$65,MATCH($F679,商品档案!$A$6:$A$65,0)),""))</f>
        <v/>
      </c>
      <c r="U679" s="58" t="str">
        <f aca="false">IF($F679="","",IFERROR(INDEX(商品档案!$I$6:$I$65,MATCH($F679,商品档案!$A$6:$A$65,0)),""))</f>
        <v/>
      </c>
      <c r="V679" s="59" t="str">
        <f aca="false">IF($F679="","",SUMIFS(进销存台账!$N$6:$N$65,进销存台账!$A$6:$A$65,$C679,进销存台账!$B$6:$B$65,$F679))</f>
        <v/>
      </c>
      <c r="W679" s="60" t="n">
        <f aca="false">IF(OR($D679="销售出库",$D679="销售退回"),ROUND(N($J679)*N($V679),2),0)</f>
        <v>0</v>
      </c>
      <c r="X679" s="58" t="str">
        <f aca="false">IF($E679="","",IFERROR(INDEX(往来单位!$D$6:$D$85,MATCH($E679,往来单位!$A$6:$A$85,0)),"否"))</f>
        <v/>
      </c>
      <c r="Y679" s="61" t="str">
        <f aca="false">IF($B679="","",YEAR($B679))</f>
        <v/>
      </c>
      <c r="Z679" s="58" t="str">
        <f aca="false">IF($B679="","",TEXT($B679,"yyyy-mm"))</f>
        <v/>
      </c>
    </row>
    <row r="680" customFormat="false" ht="15" hidden="false" customHeight="false" outlineLevel="0" collapsed="false">
      <c r="A680" s="53" t="str">
        <f aca="false">IF($B680="","",ROW()-5)</f>
        <v/>
      </c>
      <c r="B680" s="54"/>
      <c r="C680" s="33"/>
      <c r="D680" s="33"/>
      <c r="E680" s="32"/>
      <c r="F680" s="39"/>
      <c r="G680" s="48" t="str">
        <f aca="false">IF($F680="","",IFERROR(INDEX(商品档案!$B$6:$B$65,MATCH($F680,商品档案!$A$6:$A$65,0)),""))</f>
        <v/>
      </c>
      <c r="H680" s="48" t="str">
        <f aca="false">IF($F680="","",IFERROR(INDEX(商品档案!$C$6:$C$65,MATCH($F680,商品档案!$A$6:$A$65,0)),""))</f>
        <v/>
      </c>
      <c r="I680" s="55" t="str">
        <f aca="false">IF($F680="","",IFERROR(INDEX(商品档案!$D$6:$D$65,MATCH($F680,商品档案!$A$6:$A$65,0)),""))</f>
        <v/>
      </c>
      <c r="J680" s="49"/>
      <c r="K680" s="56"/>
      <c r="L680" s="33"/>
      <c r="M680" s="39"/>
      <c r="N680" s="41"/>
      <c r="O680" s="41"/>
      <c r="P680" s="25" t="str">
        <f aca="false">IF(AND($B680="",$D680="",$F680=""),"",IF(NOT(ISNUMBER($B680)),"日期无效",IF(ISNA(MATCH($C680,参数设置!$A$10:$A$12,0)),"公司无效",IF(ISNA(MATCH($D680,记账规则!$A$6:$A$9,0)),"业务类型无效",IF(ISNA(MATCH($F680,商品档案!$A$6:$A$65,0)),"商品编码无效",IF(IFERROR(INDEX(商品档案!$E$6:$E$65,MATCH($F680,商品档案!$A$6:$A$65,0)),"")&lt;&gt;$C680,"商品不属于该公司",IF(AND($E680&lt;&gt;"",ISNA(MATCH($E680,往来单位!$A$6:$A$85,0))),"往来单位未建档",IF(N($J680)=0,"数量为 0",IF(N($K680)=0,"单价为 0",IF(AND(LEFT($D680,2)="销售",$U680=""),"该商品没设成本科目",IF(YEAR($B680)&lt;&gt;参数设置!$B$5,"不在本会计年度","OK")))))))))))</f>
        <v/>
      </c>
      <c r="Q680" s="57" t="str">
        <f aca="false">IF($F680="","",ROUND(N($J680)*N($K680),2))</f>
        <v/>
      </c>
      <c r="R680" s="58" t="str">
        <f aca="false">IF($D680="","",IF(LEFT($D680,2)="销售","应收账款","应付账款"))</f>
        <v/>
      </c>
      <c r="S680" s="58" t="str">
        <f aca="false">IF($F680="","",IFERROR(INDEX(商品档案!$G$6:$G$65,MATCH($F680,商品档案!$A$6:$A$65,0)),""))</f>
        <v/>
      </c>
      <c r="T680" s="58" t="str">
        <f aca="false">IF($F680="","",IFERROR(INDEX(商品档案!$H$6:$H$65,MATCH($F680,商品档案!$A$6:$A$65,0)),""))</f>
        <v/>
      </c>
      <c r="U680" s="58" t="str">
        <f aca="false">IF($F680="","",IFERROR(INDEX(商品档案!$I$6:$I$65,MATCH($F680,商品档案!$A$6:$A$65,0)),""))</f>
        <v/>
      </c>
      <c r="V680" s="59" t="str">
        <f aca="false">IF($F680="","",SUMIFS(进销存台账!$N$6:$N$65,进销存台账!$A$6:$A$65,$C680,进销存台账!$B$6:$B$65,$F680))</f>
        <v/>
      </c>
      <c r="W680" s="60" t="n">
        <f aca="false">IF(OR($D680="销售出库",$D680="销售退回"),ROUND(N($J680)*N($V680),2),0)</f>
        <v>0</v>
      </c>
      <c r="X680" s="58" t="str">
        <f aca="false">IF($E680="","",IFERROR(INDEX(往来单位!$D$6:$D$85,MATCH($E680,往来单位!$A$6:$A$85,0)),"否"))</f>
        <v/>
      </c>
      <c r="Y680" s="61" t="str">
        <f aca="false">IF($B680="","",YEAR($B680))</f>
        <v/>
      </c>
      <c r="Z680" s="58" t="str">
        <f aca="false">IF($B680="","",TEXT($B680,"yyyy-mm"))</f>
        <v/>
      </c>
    </row>
    <row r="681" customFormat="false" ht="15" hidden="false" customHeight="false" outlineLevel="0" collapsed="false">
      <c r="A681" s="53" t="str">
        <f aca="false">IF($B681="","",ROW()-5)</f>
        <v/>
      </c>
      <c r="B681" s="54"/>
      <c r="C681" s="33"/>
      <c r="D681" s="33"/>
      <c r="E681" s="32"/>
      <c r="F681" s="39"/>
      <c r="G681" s="48" t="str">
        <f aca="false">IF($F681="","",IFERROR(INDEX(商品档案!$B$6:$B$65,MATCH($F681,商品档案!$A$6:$A$65,0)),""))</f>
        <v/>
      </c>
      <c r="H681" s="48" t="str">
        <f aca="false">IF($F681="","",IFERROR(INDEX(商品档案!$C$6:$C$65,MATCH($F681,商品档案!$A$6:$A$65,0)),""))</f>
        <v/>
      </c>
      <c r="I681" s="55" t="str">
        <f aca="false">IF($F681="","",IFERROR(INDEX(商品档案!$D$6:$D$65,MATCH($F681,商品档案!$A$6:$A$65,0)),""))</f>
        <v/>
      </c>
      <c r="J681" s="49"/>
      <c r="K681" s="56"/>
      <c r="L681" s="33"/>
      <c r="M681" s="39"/>
      <c r="N681" s="41"/>
      <c r="O681" s="41"/>
      <c r="P681" s="25" t="str">
        <f aca="false">IF(AND($B681="",$D681="",$F681=""),"",IF(NOT(ISNUMBER($B681)),"日期无效",IF(ISNA(MATCH($C681,参数设置!$A$10:$A$12,0)),"公司无效",IF(ISNA(MATCH($D681,记账规则!$A$6:$A$9,0)),"业务类型无效",IF(ISNA(MATCH($F681,商品档案!$A$6:$A$65,0)),"商品编码无效",IF(IFERROR(INDEX(商品档案!$E$6:$E$65,MATCH($F681,商品档案!$A$6:$A$65,0)),"")&lt;&gt;$C681,"商品不属于该公司",IF(AND($E681&lt;&gt;"",ISNA(MATCH($E681,往来单位!$A$6:$A$85,0))),"往来单位未建档",IF(N($J681)=0,"数量为 0",IF(N($K681)=0,"单价为 0",IF(AND(LEFT($D681,2)="销售",$U681=""),"该商品没设成本科目",IF(YEAR($B681)&lt;&gt;参数设置!$B$5,"不在本会计年度","OK")))))))))))</f>
        <v/>
      </c>
      <c r="Q681" s="57" t="str">
        <f aca="false">IF($F681="","",ROUND(N($J681)*N($K681),2))</f>
        <v/>
      </c>
      <c r="R681" s="58" t="str">
        <f aca="false">IF($D681="","",IF(LEFT($D681,2)="销售","应收账款","应付账款"))</f>
        <v/>
      </c>
      <c r="S681" s="58" t="str">
        <f aca="false">IF($F681="","",IFERROR(INDEX(商品档案!$G$6:$G$65,MATCH($F681,商品档案!$A$6:$A$65,0)),""))</f>
        <v/>
      </c>
      <c r="T681" s="58" t="str">
        <f aca="false">IF($F681="","",IFERROR(INDEX(商品档案!$H$6:$H$65,MATCH($F681,商品档案!$A$6:$A$65,0)),""))</f>
        <v/>
      </c>
      <c r="U681" s="58" t="str">
        <f aca="false">IF($F681="","",IFERROR(INDEX(商品档案!$I$6:$I$65,MATCH($F681,商品档案!$A$6:$A$65,0)),""))</f>
        <v/>
      </c>
      <c r="V681" s="59" t="str">
        <f aca="false">IF($F681="","",SUMIFS(进销存台账!$N$6:$N$65,进销存台账!$A$6:$A$65,$C681,进销存台账!$B$6:$B$65,$F681))</f>
        <v/>
      </c>
      <c r="W681" s="60" t="n">
        <f aca="false">IF(OR($D681="销售出库",$D681="销售退回"),ROUND(N($J681)*N($V681),2),0)</f>
        <v>0</v>
      </c>
      <c r="X681" s="58" t="str">
        <f aca="false">IF($E681="","",IFERROR(INDEX(往来单位!$D$6:$D$85,MATCH($E681,往来单位!$A$6:$A$85,0)),"否"))</f>
        <v/>
      </c>
      <c r="Y681" s="61" t="str">
        <f aca="false">IF($B681="","",YEAR($B681))</f>
        <v/>
      </c>
      <c r="Z681" s="58" t="str">
        <f aca="false">IF($B681="","",TEXT($B681,"yyyy-mm"))</f>
        <v/>
      </c>
    </row>
    <row r="682" customFormat="false" ht="15" hidden="false" customHeight="false" outlineLevel="0" collapsed="false">
      <c r="A682" s="53" t="str">
        <f aca="false">IF($B682="","",ROW()-5)</f>
        <v/>
      </c>
      <c r="B682" s="54"/>
      <c r="C682" s="33"/>
      <c r="D682" s="33"/>
      <c r="E682" s="32"/>
      <c r="F682" s="39"/>
      <c r="G682" s="48" t="str">
        <f aca="false">IF($F682="","",IFERROR(INDEX(商品档案!$B$6:$B$65,MATCH($F682,商品档案!$A$6:$A$65,0)),""))</f>
        <v/>
      </c>
      <c r="H682" s="48" t="str">
        <f aca="false">IF($F682="","",IFERROR(INDEX(商品档案!$C$6:$C$65,MATCH($F682,商品档案!$A$6:$A$65,0)),""))</f>
        <v/>
      </c>
      <c r="I682" s="55" t="str">
        <f aca="false">IF($F682="","",IFERROR(INDEX(商品档案!$D$6:$D$65,MATCH($F682,商品档案!$A$6:$A$65,0)),""))</f>
        <v/>
      </c>
      <c r="J682" s="49"/>
      <c r="K682" s="56"/>
      <c r="L682" s="33"/>
      <c r="M682" s="39"/>
      <c r="N682" s="41"/>
      <c r="O682" s="41"/>
      <c r="P682" s="25" t="str">
        <f aca="false">IF(AND($B682="",$D682="",$F682=""),"",IF(NOT(ISNUMBER($B682)),"日期无效",IF(ISNA(MATCH($C682,参数设置!$A$10:$A$12,0)),"公司无效",IF(ISNA(MATCH($D682,记账规则!$A$6:$A$9,0)),"业务类型无效",IF(ISNA(MATCH($F682,商品档案!$A$6:$A$65,0)),"商品编码无效",IF(IFERROR(INDEX(商品档案!$E$6:$E$65,MATCH($F682,商品档案!$A$6:$A$65,0)),"")&lt;&gt;$C682,"商品不属于该公司",IF(AND($E682&lt;&gt;"",ISNA(MATCH($E682,往来单位!$A$6:$A$85,0))),"往来单位未建档",IF(N($J682)=0,"数量为 0",IF(N($K682)=0,"单价为 0",IF(AND(LEFT($D682,2)="销售",$U682=""),"该商品没设成本科目",IF(YEAR($B682)&lt;&gt;参数设置!$B$5,"不在本会计年度","OK")))))))))))</f>
        <v/>
      </c>
      <c r="Q682" s="57" t="str">
        <f aca="false">IF($F682="","",ROUND(N($J682)*N($K682),2))</f>
        <v/>
      </c>
      <c r="R682" s="58" t="str">
        <f aca="false">IF($D682="","",IF(LEFT($D682,2)="销售","应收账款","应付账款"))</f>
        <v/>
      </c>
      <c r="S682" s="58" t="str">
        <f aca="false">IF($F682="","",IFERROR(INDEX(商品档案!$G$6:$G$65,MATCH($F682,商品档案!$A$6:$A$65,0)),""))</f>
        <v/>
      </c>
      <c r="T682" s="58" t="str">
        <f aca="false">IF($F682="","",IFERROR(INDEX(商品档案!$H$6:$H$65,MATCH($F682,商品档案!$A$6:$A$65,0)),""))</f>
        <v/>
      </c>
      <c r="U682" s="58" t="str">
        <f aca="false">IF($F682="","",IFERROR(INDEX(商品档案!$I$6:$I$65,MATCH($F682,商品档案!$A$6:$A$65,0)),""))</f>
        <v/>
      </c>
      <c r="V682" s="59" t="str">
        <f aca="false">IF($F682="","",SUMIFS(进销存台账!$N$6:$N$65,进销存台账!$A$6:$A$65,$C682,进销存台账!$B$6:$B$65,$F682))</f>
        <v/>
      </c>
      <c r="W682" s="60" t="n">
        <f aca="false">IF(OR($D682="销售出库",$D682="销售退回"),ROUND(N($J682)*N($V682),2),0)</f>
        <v>0</v>
      </c>
      <c r="X682" s="58" t="str">
        <f aca="false">IF($E682="","",IFERROR(INDEX(往来单位!$D$6:$D$85,MATCH($E682,往来单位!$A$6:$A$85,0)),"否"))</f>
        <v/>
      </c>
      <c r="Y682" s="61" t="str">
        <f aca="false">IF($B682="","",YEAR($B682))</f>
        <v/>
      </c>
      <c r="Z682" s="58" t="str">
        <f aca="false">IF($B682="","",TEXT($B682,"yyyy-mm"))</f>
        <v/>
      </c>
    </row>
    <row r="683" customFormat="false" ht="15" hidden="false" customHeight="false" outlineLevel="0" collapsed="false">
      <c r="A683" s="53" t="str">
        <f aca="false">IF($B683="","",ROW()-5)</f>
        <v/>
      </c>
      <c r="B683" s="54"/>
      <c r="C683" s="33"/>
      <c r="D683" s="33"/>
      <c r="E683" s="32"/>
      <c r="F683" s="39"/>
      <c r="G683" s="48" t="str">
        <f aca="false">IF($F683="","",IFERROR(INDEX(商品档案!$B$6:$B$65,MATCH($F683,商品档案!$A$6:$A$65,0)),""))</f>
        <v/>
      </c>
      <c r="H683" s="48" t="str">
        <f aca="false">IF($F683="","",IFERROR(INDEX(商品档案!$C$6:$C$65,MATCH($F683,商品档案!$A$6:$A$65,0)),""))</f>
        <v/>
      </c>
      <c r="I683" s="55" t="str">
        <f aca="false">IF($F683="","",IFERROR(INDEX(商品档案!$D$6:$D$65,MATCH($F683,商品档案!$A$6:$A$65,0)),""))</f>
        <v/>
      </c>
      <c r="J683" s="49"/>
      <c r="K683" s="56"/>
      <c r="L683" s="33"/>
      <c r="M683" s="39"/>
      <c r="N683" s="41"/>
      <c r="O683" s="41"/>
      <c r="P683" s="25" t="str">
        <f aca="false">IF(AND($B683="",$D683="",$F683=""),"",IF(NOT(ISNUMBER($B683)),"日期无效",IF(ISNA(MATCH($C683,参数设置!$A$10:$A$12,0)),"公司无效",IF(ISNA(MATCH($D683,记账规则!$A$6:$A$9,0)),"业务类型无效",IF(ISNA(MATCH($F683,商品档案!$A$6:$A$65,0)),"商品编码无效",IF(IFERROR(INDEX(商品档案!$E$6:$E$65,MATCH($F683,商品档案!$A$6:$A$65,0)),"")&lt;&gt;$C683,"商品不属于该公司",IF(AND($E683&lt;&gt;"",ISNA(MATCH($E683,往来单位!$A$6:$A$85,0))),"往来单位未建档",IF(N($J683)=0,"数量为 0",IF(N($K683)=0,"单价为 0",IF(AND(LEFT($D683,2)="销售",$U683=""),"该商品没设成本科目",IF(YEAR($B683)&lt;&gt;参数设置!$B$5,"不在本会计年度","OK")))))))))))</f>
        <v/>
      </c>
      <c r="Q683" s="57" t="str">
        <f aca="false">IF($F683="","",ROUND(N($J683)*N($K683),2))</f>
        <v/>
      </c>
      <c r="R683" s="58" t="str">
        <f aca="false">IF($D683="","",IF(LEFT($D683,2)="销售","应收账款","应付账款"))</f>
        <v/>
      </c>
      <c r="S683" s="58" t="str">
        <f aca="false">IF($F683="","",IFERROR(INDEX(商品档案!$G$6:$G$65,MATCH($F683,商品档案!$A$6:$A$65,0)),""))</f>
        <v/>
      </c>
      <c r="T683" s="58" t="str">
        <f aca="false">IF($F683="","",IFERROR(INDEX(商品档案!$H$6:$H$65,MATCH($F683,商品档案!$A$6:$A$65,0)),""))</f>
        <v/>
      </c>
      <c r="U683" s="58" t="str">
        <f aca="false">IF($F683="","",IFERROR(INDEX(商品档案!$I$6:$I$65,MATCH($F683,商品档案!$A$6:$A$65,0)),""))</f>
        <v/>
      </c>
      <c r="V683" s="59" t="str">
        <f aca="false">IF($F683="","",SUMIFS(进销存台账!$N$6:$N$65,进销存台账!$A$6:$A$65,$C683,进销存台账!$B$6:$B$65,$F683))</f>
        <v/>
      </c>
      <c r="W683" s="60" t="n">
        <f aca="false">IF(OR($D683="销售出库",$D683="销售退回"),ROUND(N($J683)*N($V683),2),0)</f>
        <v>0</v>
      </c>
      <c r="X683" s="58" t="str">
        <f aca="false">IF($E683="","",IFERROR(INDEX(往来单位!$D$6:$D$85,MATCH($E683,往来单位!$A$6:$A$85,0)),"否"))</f>
        <v/>
      </c>
      <c r="Y683" s="61" t="str">
        <f aca="false">IF($B683="","",YEAR($B683))</f>
        <v/>
      </c>
      <c r="Z683" s="58" t="str">
        <f aca="false">IF($B683="","",TEXT($B683,"yyyy-mm"))</f>
        <v/>
      </c>
    </row>
    <row r="684" customFormat="false" ht="15" hidden="false" customHeight="false" outlineLevel="0" collapsed="false">
      <c r="A684" s="53" t="str">
        <f aca="false">IF($B684="","",ROW()-5)</f>
        <v/>
      </c>
      <c r="B684" s="54"/>
      <c r="C684" s="33"/>
      <c r="D684" s="33"/>
      <c r="E684" s="32"/>
      <c r="F684" s="39"/>
      <c r="G684" s="48" t="str">
        <f aca="false">IF($F684="","",IFERROR(INDEX(商品档案!$B$6:$B$65,MATCH($F684,商品档案!$A$6:$A$65,0)),""))</f>
        <v/>
      </c>
      <c r="H684" s="48" t="str">
        <f aca="false">IF($F684="","",IFERROR(INDEX(商品档案!$C$6:$C$65,MATCH($F684,商品档案!$A$6:$A$65,0)),""))</f>
        <v/>
      </c>
      <c r="I684" s="55" t="str">
        <f aca="false">IF($F684="","",IFERROR(INDEX(商品档案!$D$6:$D$65,MATCH($F684,商品档案!$A$6:$A$65,0)),""))</f>
        <v/>
      </c>
      <c r="J684" s="49"/>
      <c r="K684" s="56"/>
      <c r="L684" s="33"/>
      <c r="M684" s="39"/>
      <c r="N684" s="41"/>
      <c r="O684" s="41"/>
      <c r="P684" s="25" t="str">
        <f aca="false">IF(AND($B684="",$D684="",$F684=""),"",IF(NOT(ISNUMBER($B684)),"日期无效",IF(ISNA(MATCH($C684,参数设置!$A$10:$A$12,0)),"公司无效",IF(ISNA(MATCH($D684,记账规则!$A$6:$A$9,0)),"业务类型无效",IF(ISNA(MATCH($F684,商品档案!$A$6:$A$65,0)),"商品编码无效",IF(IFERROR(INDEX(商品档案!$E$6:$E$65,MATCH($F684,商品档案!$A$6:$A$65,0)),"")&lt;&gt;$C684,"商品不属于该公司",IF(AND($E684&lt;&gt;"",ISNA(MATCH($E684,往来单位!$A$6:$A$85,0))),"往来单位未建档",IF(N($J684)=0,"数量为 0",IF(N($K684)=0,"单价为 0",IF(AND(LEFT($D684,2)="销售",$U684=""),"该商品没设成本科目",IF(YEAR($B684)&lt;&gt;参数设置!$B$5,"不在本会计年度","OK")))))))))))</f>
        <v/>
      </c>
      <c r="Q684" s="57" t="str">
        <f aca="false">IF($F684="","",ROUND(N($J684)*N($K684),2))</f>
        <v/>
      </c>
      <c r="R684" s="58" t="str">
        <f aca="false">IF($D684="","",IF(LEFT($D684,2)="销售","应收账款","应付账款"))</f>
        <v/>
      </c>
      <c r="S684" s="58" t="str">
        <f aca="false">IF($F684="","",IFERROR(INDEX(商品档案!$G$6:$G$65,MATCH($F684,商品档案!$A$6:$A$65,0)),""))</f>
        <v/>
      </c>
      <c r="T684" s="58" t="str">
        <f aca="false">IF($F684="","",IFERROR(INDEX(商品档案!$H$6:$H$65,MATCH($F684,商品档案!$A$6:$A$65,0)),""))</f>
        <v/>
      </c>
      <c r="U684" s="58" t="str">
        <f aca="false">IF($F684="","",IFERROR(INDEX(商品档案!$I$6:$I$65,MATCH($F684,商品档案!$A$6:$A$65,0)),""))</f>
        <v/>
      </c>
      <c r="V684" s="59" t="str">
        <f aca="false">IF($F684="","",SUMIFS(进销存台账!$N$6:$N$65,进销存台账!$A$6:$A$65,$C684,进销存台账!$B$6:$B$65,$F684))</f>
        <v/>
      </c>
      <c r="W684" s="60" t="n">
        <f aca="false">IF(OR($D684="销售出库",$D684="销售退回"),ROUND(N($J684)*N($V684),2),0)</f>
        <v>0</v>
      </c>
      <c r="X684" s="58" t="str">
        <f aca="false">IF($E684="","",IFERROR(INDEX(往来单位!$D$6:$D$85,MATCH($E684,往来单位!$A$6:$A$85,0)),"否"))</f>
        <v/>
      </c>
      <c r="Y684" s="61" t="str">
        <f aca="false">IF($B684="","",YEAR($B684))</f>
        <v/>
      </c>
      <c r="Z684" s="58" t="str">
        <f aca="false">IF($B684="","",TEXT($B684,"yyyy-mm"))</f>
        <v/>
      </c>
    </row>
    <row r="685" customFormat="false" ht="15" hidden="false" customHeight="false" outlineLevel="0" collapsed="false">
      <c r="A685" s="53" t="str">
        <f aca="false">IF($B685="","",ROW()-5)</f>
        <v/>
      </c>
      <c r="B685" s="54"/>
      <c r="C685" s="33"/>
      <c r="D685" s="33"/>
      <c r="E685" s="32"/>
      <c r="F685" s="39"/>
      <c r="G685" s="48" t="str">
        <f aca="false">IF($F685="","",IFERROR(INDEX(商品档案!$B$6:$B$65,MATCH($F685,商品档案!$A$6:$A$65,0)),""))</f>
        <v/>
      </c>
      <c r="H685" s="48" t="str">
        <f aca="false">IF($F685="","",IFERROR(INDEX(商品档案!$C$6:$C$65,MATCH($F685,商品档案!$A$6:$A$65,0)),""))</f>
        <v/>
      </c>
      <c r="I685" s="55" t="str">
        <f aca="false">IF($F685="","",IFERROR(INDEX(商品档案!$D$6:$D$65,MATCH($F685,商品档案!$A$6:$A$65,0)),""))</f>
        <v/>
      </c>
      <c r="J685" s="49"/>
      <c r="K685" s="56"/>
      <c r="L685" s="33"/>
      <c r="M685" s="39"/>
      <c r="N685" s="41"/>
      <c r="O685" s="41"/>
      <c r="P685" s="25" t="str">
        <f aca="false">IF(AND($B685="",$D685="",$F685=""),"",IF(NOT(ISNUMBER($B685)),"日期无效",IF(ISNA(MATCH($C685,参数设置!$A$10:$A$12,0)),"公司无效",IF(ISNA(MATCH($D685,记账规则!$A$6:$A$9,0)),"业务类型无效",IF(ISNA(MATCH($F685,商品档案!$A$6:$A$65,0)),"商品编码无效",IF(IFERROR(INDEX(商品档案!$E$6:$E$65,MATCH($F685,商品档案!$A$6:$A$65,0)),"")&lt;&gt;$C685,"商品不属于该公司",IF(AND($E685&lt;&gt;"",ISNA(MATCH($E685,往来单位!$A$6:$A$85,0))),"往来单位未建档",IF(N($J685)=0,"数量为 0",IF(N($K685)=0,"单价为 0",IF(AND(LEFT($D685,2)="销售",$U685=""),"该商品没设成本科目",IF(YEAR($B685)&lt;&gt;参数设置!$B$5,"不在本会计年度","OK")))))))))))</f>
        <v/>
      </c>
      <c r="Q685" s="57" t="str">
        <f aca="false">IF($F685="","",ROUND(N($J685)*N($K685),2))</f>
        <v/>
      </c>
      <c r="R685" s="58" t="str">
        <f aca="false">IF($D685="","",IF(LEFT($D685,2)="销售","应收账款","应付账款"))</f>
        <v/>
      </c>
      <c r="S685" s="58" t="str">
        <f aca="false">IF($F685="","",IFERROR(INDEX(商品档案!$G$6:$G$65,MATCH($F685,商品档案!$A$6:$A$65,0)),""))</f>
        <v/>
      </c>
      <c r="T685" s="58" t="str">
        <f aca="false">IF($F685="","",IFERROR(INDEX(商品档案!$H$6:$H$65,MATCH($F685,商品档案!$A$6:$A$65,0)),""))</f>
        <v/>
      </c>
      <c r="U685" s="58" t="str">
        <f aca="false">IF($F685="","",IFERROR(INDEX(商品档案!$I$6:$I$65,MATCH($F685,商品档案!$A$6:$A$65,0)),""))</f>
        <v/>
      </c>
      <c r="V685" s="59" t="str">
        <f aca="false">IF($F685="","",SUMIFS(进销存台账!$N$6:$N$65,进销存台账!$A$6:$A$65,$C685,进销存台账!$B$6:$B$65,$F685))</f>
        <v/>
      </c>
      <c r="W685" s="60" t="n">
        <f aca="false">IF(OR($D685="销售出库",$D685="销售退回"),ROUND(N($J685)*N($V685),2),0)</f>
        <v>0</v>
      </c>
      <c r="X685" s="58" t="str">
        <f aca="false">IF($E685="","",IFERROR(INDEX(往来单位!$D$6:$D$85,MATCH($E685,往来单位!$A$6:$A$85,0)),"否"))</f>
        <v/>
      </c>
      <c r="Y685" s="61" t="str">
        <f aca="false">IF($B685="","",YEAR($B685))</f>
        <v/>
      </c>
      <c r="Z685" s="58" t="str">
        <f aca="false">IF($B685="","",TEXT($B685,"yyyy-mm"))</f>
        <v/>
      </c>
    </row>
    <row r="686" customFormat="false" ht="15" hidden="false" customHeight="false" outlineLevel="0" collapsed="false">
      <c r="A686" s="53" t="str">
        <f aca="false">IF($B686="","",ROW()-5)</f>
        <v/>
      </c>
      <c r="B686" s="54"/>
      <c r="C686" s="33"/>
      <c r="D686" s="33"/>
      <c r="E686" s="32"/>
      <c r="F686" s="39"/>
      <c r="G686" s="48" t="str">
        <f aca="false">IF($F686="","",IFERROR(INDEX(商品档案!$B$6:$B$65,MATCH($F686,商品档案!$A$6:$A$65,0)),""))</f>
        <v/>
      </c>
      <c r="H686" s="48" t="str">
        <f aca="false">IF($F686="","",IFERROR(INDEX(商品档案!$C$6:$C$65,MATCH($F686,商品档案!$A$6:$A$65,0)),""))</f>
        <v/>
      </c>
      <c r="I686" s="55" t="str">
        <f aca="false">IF($F686="","",IFERROR(INDEX(商品档案!$D$6:$D$65,MATCH($F686,商品档案!$A$6:$A$65,0)),""))</f>
        <v/>
      </c>
      <c r="J686" s="49"/>
      <c r="K686" s="56"/>
      <c r="L686" s="33"/>
      <c r="M686" s="39"/>
      <c r="N686" s="41"/>
      <c r="O686" s="41"/>
      <c r="P686" s="25" t="str">
        <f aca="false">IF(AND($B686="",$D686="",$F686=""),"",IF(NOT(ISNUMBER($B686)),"日期无效",IF(ISNA(MATCH($C686,参数设置!$A$10:$A$12,0)),"公司无效",IF(ISNA(MATCH($D686,记账规则!$A$6:$A$9,0)),"业务类型无效",IF(ISNA(MATCH($F686,商品档案!$A$6:$A$65,0)),"商品编码无效",IF(IFERROR(INDEX(商品档案!$E$6:$E$65,MATCH($F686,商品档案!$A$6:$A$65,0)),"")&lt;&gt;$C686,"商品不属于该公司",IF(AND($E686&lt;&gt;"",ISNA(MATCH($E686,往来单位!$A$6:$A$85,0))),"往来单位未建档",IF(N($J686)=0,"数量为 0",IF(N($K686)=0,"单价为 0",IF(AND(LEFT($D686,2)="销售",$U686=""),"该商品没设成本科目",IF(YEAR($B686)&lt;&gt;参数设置!$B$5,"不在本会计年度","OK")))))))))))</f>
        <v/>
      </c>
      <c r="Q686" s="57" t="str">
        <f aca="false">IF($F686="","",ROUND(N($J686)*N($K686),2))</f>
        <v/>
      </c>
      <c r="R686" s="58" t="str">
        <f aca="false">IF($D686="","",IF(LEFT($D686,2)="销售","应收账款","应付账款"))</f>
        <v/>
      </c>
      <c r="S686" s="58" t="str">
        <f aca="false">IF($F686="","",IFERROR(INDEX(商品档案!$G$6:$G$65,MATCH($F686,商品档案!$A$6:$A$65,0)),""))</f>
        <v/>
      </c>
      <c r="T686" s="58" t="str">
        <f aca="false">IF($F686="","",IFERROR(INDEX(商品档案!$H$6:$H$65,MATCH($F686,商品档案!$A$6:$A$65,0)),""))</f>
        <v/>
      </c>
      <c r="U686" s="58" t="str">
        <f aca="false">IF($F686="","",IFERROR(INDEX(商品档案!$I$6:$I$65,MATCH($F686,商品档案!$A$6:$A$65,0)),""))</f>
        <v/>
      </c>
      <c r="V686" s="59" t="str">
        <f aca="false">IF($F686="","",SUMIFS(进销存台账!$N$6:$N$65,进销存台账!$A$6:$A$65,$C686,进销存台账!$B$6:$B$65,$F686))</f>
        <v/>
      </c>
      <c r="W686" s="60" t="n">
        <f aca="false">IF(OR($D686="销售出库",$D686="销售退回"),ROUND(N($J686)*N($V686),2),0)</f>
        <v>0</v>
      </c>
      <c r="X686" s="58" t="str">
        <f aca="false">IF($E686="","",IFERROR(INDEX(往来单位!$D$6:$D$85,MATCH($E686,往来单位!$A$6:$A$85,0)),"否"))</f>
        <v/>
      </c>
      <c r="Y686" s="61" t="str">
        <f aca="false">IF($B686="","",YEAR($B686))</f>
        <v/>
      </c>
      <c r="Z686" s="58" t="str">
        <f aca="false">IF($B686="","",TEXT($B686,"yyyy-mm"))</f>
        <v/>
      </c>
    </row>
    <row r="687" customFormat="false" ht="15" hidden="false" customHeight="false" outlineLevel="0" collapsed="false">
      <c r="A687" s="53" t="str">
        <f aca="false">IF($B687="","",ROW()-5)</f>
        <v/>
      </c>
      <c r="B687" s="54"/>
      <c r="C687" s="33"/>
      <c r="D687" s="33"/>
      <c r="E687" s="32"/>
      <c r="F687" s="39"/>
      <c r="G687" s="48" t="str">
        <f aca="false">IF($F687="","",IFERROR(INDEX(商品档案!$B$6:$B$65,MATCH($F687,商品档案!$A$6:$A$65,0)),""))</f>
        <v/>
      </c>
      <c r="H687" s="48" t="str">
        <f aca="false">IF($F687="","",IFERROR(INDEX(商品档案!$C$6:$C$65,MATCH($F687,商品档案!$A$6:$A$65,0)),""))</f>
        <v/>
      </c>
      <c r="I687" s="55" t="str">
        <f aca="false">IF($F687="","",IFERROR(INDEX(商品档案!$D$6:$D$65,MATCH($F687,商品档案!$A$6:$A$65,0)),""))</f>
        <v/>
      </c>
      <c r="J687" s="49"/>
      <c r="K687" s="56"/>
      <c r="L687" s="33"/>
      <c r="M687" s="39"/>
      <c r="N687" s="41"/>
      <c r="O687" s="41"/>
      <c r="P687" s="25" t="str">
        <f aca="false">IF(AND($B687="",$D687="",$F687=""),"",IF(NOT(ISNUMBER($B687)),"日期无效",IF(ISNA(MATCH($C687,参数设置!$A$10:$A$12,0)),"公司无效",IF(ISNA(MATCH($D687,记账规则!$A$6:$A$9,0)),"业务类型无效",IF(ISNA(MATCH($F687,商品档案!$A$6:$A$65,0)),"商品编码无效",IF(IFERROR(INDEX(商品档案!$E$6:$E$65,MATCH($F687,商品档案!$A$6:$A$65,0)),"")&lt;&gt;$C687,"商品不属于该公司",IF(AND($E687&lt;&gt;"",ISNA(MATCH($E687,往来单位!$A$6:$A$85,0))),"往来单位未建档",IF(N($J687)=0,"数量为 0",IF(N($K687)=0,"单价为 0",IF(AND(LEFT($D687,2)="销售",$U687=""),"该商品没设成本科目",IF(YEAR($B687)&lt;&gt;参数设置!$B$5,"不在本会计年度","OK")))))))))))</f>
        <v/>
      </c>
      <c r="Q687" s="57" t="str">
        <f aca="false">IF($F687="","",ROUND(N($J687)*N($K687),2))</f>
        <v/>
      </c>
      <c r="R687" s="58" t="str">
        <f aca="false">IF($D687="","",IF(LEFT($D687,2)="销售","应收账款","应付账款"))</f>
        <v/>
      </c>
      <c r="S687" s="58" t="str">
        <f aca="false">IF($F687="","",IFERROR(INDEX(商品档案!$G$6:$G$65,MATCH($F687,商品档案!$A$6:$A$65,0)),""))</f>
        <v/>
      </c>
      <c r="T687" s="58" t="str">
        <f aca="false">IF($F687="","",IFERROR(INDEX(商品档案!$H$6:$H$65,MATCH($F687,商品档案!$A$6:$A$65,0)),""))</f>
        <v/>
      </c>
      <c r="U687" s="58" t="str">
        <f aca="false">IF($F687="","",IFERROR(INDEX(商品档案!$I$6:$I$65,MATCH($F687,商品档案!$A$6:$A$65,0)),""))</f>
        <v/>
      </c>
      <c r="V687" s="59" t="str">
        <f aca="false">IF($F687="","",SUMIFS(进销存台账!$N$6:$N$65,进销存台账!$A$6:$A$65,$C687,进销存台账!$B$6:$B$65,$F687))</f>
        <v/>
      </c>
      <c r="W687" s="60" t="n">
        <f aca="false">IF(OR($D687="销售出库",$D687="销售退回"),ROUND(N($J687)*N($V687),2),0)</f>
        <v>0</v>
      </c>
      <c r="X687" s="58" t="str">
        <f aca="false">IF($E687="","",IFERROR(INDEX(往来单位!$D$6:$D$85,MATCH($E687,往来单位!$A$6:$A$85,0)),"否"))</f>
        <v/>
      </c>
      <c r="Y687" s="61" t="str">
        <f aca="false">IF($B687="","",YEAR($B687))</f>
        <v/>
      </c>
      <c r="Z687" s="58" t="str">
        <f aca="false">IF($B687="","",TEXT($B687,"yyyy-mm"))</f>
        <v/>
      </c>
    </row>
    <row r="688" customFormat="false" ht="15" hidden="false" customHeight="false" outlineLevel="0" collapsed="false">
      <c r="A688" s="53" t="str">
        <f aca="false">IF($B688="","",ROW()-5)</f>
        <v/>
      </c>
      <c r="B688" s="54"/>
      <c r="C688" s="33"/>
      <c r="D688" s="33"/>
      <c r="E688" s="32"/>
      <c r="F688" s="39"/>
      <c r="G688" s="48" t="str">
        <f aca="false">IF($F688="","",IFERROR(INDEX(商品档案!$B$6:$B$65,MATCH($F688,商品档案!$A$6:$A$65,0)),""))</f>
        <v/>
      </c>
      <c r="H688" s="48" t="str">
        <f aca="false">IF($F688="","",IFERROR(INDEX(商品档案!$C$6:$C$65,MATCH($F688,商品档案!$A$6:$A$65,0)),""))</f>
        <v/>
      </c>
      <c r="I688" s="55" t="str">
        <f aca="false">IF($F688="","",IFERROR(INDEX(商品档案!$D$6:$D$65,MATCH($F688,商品档案!$A$6:$A$65,0)),""))</f>
        <v/>
      </c>
      <c r="J688" s="49"/>
      <c r="K688" s="56"/>
      <c r="L688" s="33"/>
      <c r="M688" s="39"/>
      <c r="N688" s="41"/>
      <c r="O688" s="41"/>
      <c r="P688" s="25" t="str">
        <f aca="false">IF(AND($B688="",$D688="",$F688=""),"",IF(NOT(ISNUMBER($B688)),"日期无效",IF(ISNA(MATCH($C688,参数设置!$A$10:$A$12,0)),"公司无效",IF(ISNA(MATCH($D688,记账规则!$A$6:$A$9,0)),"业务类型无效",IF(ISNA(MATCH($F688,商品档案!$A$6:$A$65,0)),"商品编码无效",IF(IFERROR(INDEX(商品档案!$E$6:$E$65,MATCH($F688,商品档案!$A$6:$A$65,0)),"")&lt;&gt;$C688,"商品不属于该公司",IF(AND($E688&lt;&gt;"",ISNA(MATCH($E688,往来单位!$A$6:$A$85,0))),"往来单位未建档",IF(N($J688)=0,"数量为 0",IF(N($K688)=0,"单价为 0",IF(AND(LEFT($D688,2)="销售",$U688=""),"该商品没设成本科目",IF(YEAR($B688)&lt;&gt;参数设置!$B$5,"不在本会计年度","OK")))))))))))</f>
        <v/>
      </c>
      <c r="Q688" s="57" t="str">
        <f aca="false">IF($F688="","",ROUND(N($J688)*N($K688),2))</f>
        <v/>
      </c>
      <c r="R688" s="58" t="str">
        <f aca="false">IF($D688="","",IF(LEFT($D688,2)="销售","应收账款","应付账款"))</f>
        <v/>
      </c>
      <c r="S688" s="58" t="str">
        <f aca="false">IF($F688="","",IFERROR(INDEX(商品档案!$G$6:$G$65,MATCH($F688,商品档案!$A$6:$A$65,0)),""))</f>
        <v/>
      </c>
      <c r="T688" s="58" t="str">
        <f aca="false">IF($F688="","",IFERROR(INDEX(商品档案!$H$6:$H$65,MATCH($F688,商品档案!$A$6:$A$65,0)),""))</f>
        <v/>
      </c>
      <c r="U688" s="58" t="str">
        <f aca="false">IF($F688="","",IFERROR(INDEX(商品档案!$I$6:$I$65,MATCH($F688,商品档案!$A$6:$A$65,0)),""))</f>
        <v/>
      </c>
      <c r="V688" s="59" t="str">
        <f aca="false">IF($F688="","",SUMIFS(进销存台账!$N$6:$N$65,进销存台账!$A$6:$A$65,$C688,进销存台账!$B$6:$B$65,$F688))</f>
        <v/>
      </c>
      <c r="W688" s="60" t="n">
        <f aca="false">IF(OR($D688="销售出库",$D688="销售退回"),ROUND(N($J688)*N($V688),2),0)</f>
        <v>0</v>
      </c>
      <c r="X688" s="58" t="str">
        <f aca="false">IF($E688="","",IFERROR(INDEX(往来单位!$D$6:$D$85,MATCH($E688,往来单位!$A$6:$A$85,0)),"否"))</f>
        <v/>
      </c>
      <c r="Y688" s="61" t="str">
        <f aca="false">IF($B688="","",YEAR($B688))</f>
        <v/>
      </c>
      <c r="Z688" s="58" t="str">
        <f aca="false">IF($B688="","",TEXT($B688,"yyyy-mm"))</f>
        <v/>
      </c>
    </row>
    <row r="689" customFormat="false" ht="15" hidden="false" customHeight="false" outlineLevel="0" collapsed="false">
      <c r="A689" s="53" t="str">
        <f aca="false">IF($B689="","",ROW()-5)</f>
        <v/>
      </c>
      <c r="B689" s="54"/>
      <c r="C689" s="33"/>
      <c r="D689" s="33"/>
      <c r="E689" s="32"/>
      <c r="F689" s="39"/>
      <c r="G689" s="48" t="str">
        <f aca="false">IF($F689="","",IFERROR(INDEX(商品档案!$B$6:$B$65,MATCH($F689,商品档案!$A$6:$A$65,0)),""))</f>
        <v/>
      </c>
      <c r="H689" s="48" t="str">
        <f aca="false">IF($F689="","",IFERROR(INDEX(商品档案!$C$6:$C$65,MATCH($F689,商品档案!$A$6:$A$65,0)),""))</f>
        <v/>
      </c>
      <c r="I689" s="55" t="str">
        <f aca="false">IF($F689="","",IFERROR(INDEX(商品档案!$D$6:$D$65,MATCH($F689,商品档案!$A$6:$A$65,0)),""))</f>
        <v/>
      </c>
      <c r="J689" s="49"/>
      <c r="K689" s="56"/>
      <c r="L689" s="33"/>
      <c r="M689" s="39"/>
      <c r="N689" s="41"/>
      <c r="O689" s="41"/>
      <c r="P689" s="25" t="str">
        <f aca="false">IF(AND($B689="",$D689="",$F689=""),"",IF(NOT(ISNUMBER($B689)),"日期无效",IF(ISNA(MATCH($C689,参数设置!$A$10:$A$12,0)),"公司无效",IF(ISNA(MATCH($D689,记账规则!$A$6:$A$9,0)),"业务类型无效",IF(ISNA(MATCH($F689,商品档案!$A$6:$A$65,0)),"商品编码无效",IF(IFERROR(INDEX(商品档案!$E$6:$E$65,MATCH($F689,商品档案!$A$6:$A$65,0)),"")&lt;&gt;$C689,"商品不属于该公司",IF(AND($E689&lt;&gt;"",ISNA(MATCH($E689,往来单位!$A$6:$A$85,0))),"往来单位未建档",IF(N($J689)=0,"数量为 0",IF(N($K689)=0,"单价为 0",IF(AND(LEFT($D689,2)="销售",$U689=""),"该商品没设成本科目",IF(YEAR($B689)&lt;&gt;参数设置!$B$5,"不在本会计年度","OK")))))))))))</f>
        <v/>
      </c>
      <c r="Q689" s="57" t="str">
        <f aca="false">IF($F689="","",ROUND(N($J689)*N($K689),2))</f>
        <v/>
      </c>
      <c r="R689" s="58" t="str">
        <f aca="false">IF($D689="","",IF(LEFT($D689,2)="销售","应收账款","应付账款"))</f>
        <v/>
      </c>
      <c r="S689" s="58" t="str">
        <f aca="false">IF($F689="","",IFERROR(INDEX(商品档案!$G$6:$G$65,MATCH($F689,商品档案!$A$6:$A$65,0)),""))</f>
        <v/>
      </c>
      <c r="T689" s="58" t="str">
        <f aca="false">IF($F689="","",IFERROR(INDEX(商品档案!$H$6:$H$65,MATCH($F689,商品档案!$A$6:$A$65,0)),""))</f>
        <v/>
      </c>
      <c r="U689" s="58" t="str">
        <f aca="false">IF($F689="","",IFERROR(INDEX(商品档案!$I$6:$I$65,MATCH($F689,商品档案!$A$6:$A$65,0)),""))</f>
        <v/>
      </c>
      <c r="V689" s="59" t="str">
        <f aca="false">IF($F689="","",SUMIFS(进销存台账!$N$6:$N$65,进销存台账!$A$6:$A$65,$C689,进销存台账!$B$6:$B$65,$F689))</f>
        <v/>
      </c>
      <c r="W689" s="60" t="n">
        <f aca="false">IF(OR($D689="销售出库",$D689="销售退回"),ROUND(N($J689)*N($V689),2),0)</f>
        <v>0</v>
      </c>
      <c r="X689" s="58" t="str">
        <f aca="false">IF($E689="","",IFERROR(INDEX(往来单位!$D$6:$D$85,MATCH($E689,往来单位!$A$6:$A$85,0)),"否"))</f>
        <v/>
      </c>
      <c r="Y689" s="61" t="str">
        <f aca="false">IF($B689="","",YEAR($B689))</f>
        <v/>
      </c>
      <c r="Z689" s="58" t="str">
        <f aca="false">IF($B689="","",TEXT($B689,"yyyy-mm"))</f>
        <v/>
      </c>
    </row>
    <row r="690" customFormat="false" ht="15" hidden="false" customHeight="false" outlineLevel="0" collapsed="false">
      <c r="A690" s="53" t="str">
        <f aca="false">IF($B690="","",ROW()-5)</f>
        <v/>
      </c>
      <c r="B690" s="54"/>
      <c r="C690" s="33"/>
      <c r="D690" s="33"/>
      <c r="E690" s="32"/>
      <c r="F690" s="39"/>
      <c r="G690" s="48" t="str">
        <f aca="false">IF($F690="","",IFERROR(INDEX(商品档案!$B$6:$B$65,MATCH($F690,商品档案!$A$6:$A$65,0)),""))</f>
        <v/>
      </c>
      <c r="H690" s="48" t="str">
        <f aca="false">IF($F690="","",IFERROR(INDEX(商品档案!$C$6:$C$65,MATCH($F690,商品档案!$A$6:$A$65,0)),""))</f>
        <v/>
      </c>
      <c r="I690" s="55" t="str">
        <f aca="false">IF($F690="","",IFERROR(INDEX(商品档案!$D$6:$D$65,MATCH($F690,商品档案!$A$6:$A$65,0)),""))</f>
        <v/>
      </c>
      <c r="J690" s="49"/>
      <c r="K690" s="56"/>
      <c r="L690" s="33"/>
      <c r="M690" s="39"/>
      <c r="N690" s="41"/>
      <c r="O690" s="41"/>
      <c r="P690" s="25" t="str">
        <f aca="false">IF(AND($B690="",$D690="",$F690=""),"",IF(NOT(ISNUMBER($B690)),"日期无效",IF(ISNA(MATCH($C690,参数设置!$A$10:$A$12,0)),"公司无效",IF(ISNA(MATCH($D690,记账规则!$A$6:$A$9,0)),"业务类型无效",IF(ISNA(MATCH($F690,商品档案!$A$6:$A$65,0)),"商品编码无效",IF(IFERROR(INDEX(商品档案!$E$6:$E$65,MATCH($F690,商品档案!$A$6:$A$65,0)),"")&lt;&gt;$C690,"商品不属于该公司",IF(AND($E690&lt;&gt;"",ISNA(MATCH($E690,往来单位!$A$6:$A$85,0))),"往来单位未建档",IF(N($J690)=0,"数量为 0",IF(N($K690)=0,"单价为 0",IF(AND(LEFT($D690,2)="销售",$U690=""),"该商品没设成本科目",IF(YEAR($B690)&lt;&gt;参数设置!$B$5,"不在本会计年度","OK")))))))))))</f>
        <v/>
      </c>
      <c r="Q690" s="57" t="str">
        <f aca="false">IF($F690="","",ROUND(N($J690)*N($K690),2))</f>
        <v/>
      </c>
      <c r="R690" s="58" t="str">
        <f aca="false">IF($D690="","",IF(LEFT($D690,2)="销售","应收账款","应付账款"))</f>
        <v/>
      </c>
      <c r="S690" s="58" t="str">
        <f aca="false">IF($F690="","",IFERROR(INDEX(商品档案!$G$6:$G$65,MATCH($F690,商品档案!$A$6:$A$65,0)),""))</f>
        <v/>
      </c>
      <c r="T690" s="58" t="str">
        <f aca="false">IF($F690="","",IFERROR(INDEX(商品档案!$H$6:$H$65,MATCH($F690,商品档案!$A$6:$A$65,0)),""))</f>
        <v/>
      </c>
      <c r="U690" s="58" t="str">
        <f aca="false">IF($F690="","",IFERROR(INDEX(商品档案!$I$6:$I$65,MATCH($F690,商品档案!$A$6:$A$65,0)),""))</f>
        <v/>
      </c>
      <c r="V690" s="59" t="str">
        <f aca="false">IF($F690="","",SUMIFS(进销存台账!$N$6:$N$65,进销存台账!$A$6:$A$65,$C690,进销存台账!$B$6:$B$65,$F690))</f>
        <v/>
      </c>
      <c r="W690" s="60" t="n">
        <f aca="false">IF(OR($D690="销售出库",$D690="销售退回"),ROUND(N($J690)*N($V690),2),0)</f>
        <v>0</v>
      </c>
      <c r="X690" s="58" t="str">
        <f aca="false">IF($E690="","",IFERROR(INDEX(往来单位!$D$6:$D$85,MATCH($E690,往来单位!$A$6:$A$85,0)),"否"))</f>
        <v/>
      </c>
      <c r="Y690" s="61" t="str">
        <f aca="false">IF($B690="","",YEAR($B690))</f>
        <v/>
      </c>
      <c r="Z690" s="58" t="str">
        <f aca="false">IF($B690="","",TEXT($B690,"yyyy-mm"))</f>
        <v/>
      </c>
    </row>
    <row r="691" customFormat="false" ht="15" hidden="false" customHeight="false" outlineLevel="0" collapsed="false">
      <c r="A691" s="53" t="str">
        <f aca="false">IF($B691="","",ROW()-5)</f>
        <v/>
      </c>
      <c r="B691" s="54"/>
      <c r="C691" s="33"/>
      <c r="D691" s="33"/>
      <c r="E691" s="32"/>
      <c r="F691" s="39"/>
      <c r="G691" s="48" t="str">
        <f aca="false">IF($F691="","",IFERROR(INDEX(商品档案!$B$6:$B$65,MATCH($F691,商品档案!$A$6:$A$65,0)),""))</f>
        <v/>
      </c>
      <c r="H691" s="48" t="str">
        <f aca="false">IF($F691="","",IFERROR(INDEX(商品档案!$C$6:$C$65,MATCH($F691,商品档案!$A$6:$A$65,0)),""))</f>
        <v/>
      </c>
      <c r="I691" s="55" t="str">
        <f aca="false">IF($F691="","",IFERROR(INDEX(商品档案!$D$6:$D$65,MATCH($F691,商品档案!$A$6:$A$65,0)),""))</f>
        <v/>
      </c>
      <c r="J691" s="49"/>
      <c r="K691" s="56"/>
      <c r="L691" s="33"/>
      <c r="M691" s="39"/>
      <c r="N691" s="41"/>
      <c r="O691" s="41"/>
      <c r="P691" s="25" t="str">
        <f aca="false">IF(AND($B691="",$D691="",$F691=""),"",IF(NOT(ISNUMBER($B691)),"日期无效",IF(ISNA(MATCH($C691,参数设置!$A$10:$A$12,0)),"公司无效",IF(ISNA(MATCH($D691,记账规则!$A$6:$A$9,0)),"业务类型无效",IF(ISNA(MATCH($F691,商品档案!$A$6:$A$65,0)),"商品编码无效",IF(IFERROR(INDEX(商品档案!$E$6:$E$65,MATCH($F691,商品档案!$A$6:$A$65,0)),"")&lt;&gt;$C691,"商品不属于该公司",IF(AND($E691&lt;&gt;"",ISNA(MATCH($E691,往来单位!$A$6:$A$85,0))),"往来单位未建档",IF(N($J691)=0,"数量为 0",IF(N($K691)=0,"单价为 0",IF(AND(LEFT($D691,2)="销售",$U691=""),"该商品没设成本科目",IF(YEAR($B691)&lt;&gt;参数设置!$B$5,"不在本会计年度","OK")))))))))))</f>
        <v/>
      </c>
      <c r="Q691" s="57" t="str">
        <f aca="false">IF($F691="","",ROUND(N($J691)*N($K691),2))</f>
        <v/>
      </c>
      <c r="R691" s="58" t="str">
        <f aca="false">IF($D691="","",IF(LEFT($D691,2)="销售","应收账款","应付账款"))</f>
        <v/>
      </c>
      <c r="S691" s="58" t="str">
        <f aca="false">IF($F691="","",IFERROR(INDEX(商品档案!$G$6:$G$65,MATCH($F691,商品档案!$A$6:$A$65,0)),""))</f>
        <v/>
      </c>
      <c r="T691" s="58" t="str">
        <f aca="false">IF($F691="","",IFERROR(INDEX(商品档案!$H$6:$H$65,MATCH($F691,商品档案!$A$6:$A$65,0)),""))</f>
        <v/>
      </c>
      <c r="U691" s="58" t="str">
        <f aca="false">IF($F691="","",IFERROR(INDEX(商品档案!$I$6:$I$65,MATCH($F691,商品档案!$A$6:$A$65,0)),""))</f>
        <v/>
      </c>
      <c r="V691" s="59" t="str">
        <f aca="false">IF($F691="","",SUMIFS(进销存台账!$N$6:$N$65,进销存台账!$A$6:$A$65,$C691,进销存台账!$B$6:$B$65,$F691))</f>
        <v/>
      </c>
      <c r="W691" s="60" t="n">
        <f aca="false">IF(OR($D691="销售出库",$D691="销售退回"),ROUND(N($J691)*N($V691),2),0)</f>
        <v>0</v>
      </c>
      <c r="X691" s="58" t="str">
        <f aca="false">IF($E691="","",IFERROR(INDEX(往来单位!$D$6:$D$85,MATCH($E691,往来单位!$A$6:$A$85,0)),"否"))</f>
        <v/>
      </c>
      <c r="Y691" s="61" t="str">
        <f aca="false">IF($B691="","",YEAR($B691))</f>
        <v/>
      </c>
      <c r="Z691" s="58" t="str">
        <f aca="false">IF($B691="","",TEXT($B691,"yyyy-mm"))</f>
        <v/>
      </c>
    </row>
    <row r="692" customFormat="false" ht="15" hidden="false" customHeight="false" outlineLevel="0" collapsed="false">
      <c r="A692" s="53" t="str">
        <f aca="false">IF($B692="","",ROW()-5)</f>
        <v/>
      </c>
      <c r="B692" s="54"/>
      <c r="C692" s="33"/>
      <c r="D692" s="33"/>
      <c r="E692" s="32"/>
      <c r="F692" s="39"/>
      <c r="G692" s="48" t="str">
        <f aca="false">IF($F692="","",IFERROR(INDEX(商品档案!$B$6:$B$65,MATCH($F692,商品档案!$A$6:$A$65,0)),""))</f>
        <v/>
      </c>
      <c r="H692" s="48" t="str">
        <f aca="false">IF($F692="","",IFERROR(INDEX(商品档案!$C$6:$C$65,MATCH($F692,商品档案!$A$6:$A$65,0)),""))</f>
        <v/>
      </c>
      <c r="I692" s="55" t="str">
        <f aca="false">IF($F692="","",IFERROR(INDEX(商品档案!$D$6:$D$65,MATCH($F692,商品档案!$A$6:$A$65,0)),""))</f>
        <v/>
      </c>
      <c r="J692" s="49"/>
      <c r="K692" s="56"/>
      <c r="L692" s="33"/>
      <c r="M692" s="39"/>
      <c r="N692" s="41"/>
      <c r="O692" s="41"/>
      <c r="P692" s="25" t="str">
        <f aca="false">IF(AND($B692="",$D692="",$F692=""),"",IF(NOT(ISNUMBER($B692)),"日期无效",IF(ISNA(MATCH($C692,参数设置!$A$10:$A$12,0)),"公司无效",IF(ISNA(MATCH($D692,记账规则!$A$6:$A$9,0)),"业务类型无效",IF(ISNA(MATCH($F692,商品档案!$A$6:$A$65,0)),"商品编码无效",IF(IFERROR(INDEX(商品档案!$E$6:$E$65,MATCH($F692,商品档案!$A$6:$A$65,0)),"")&lt;&gt;$C692,"商品不属于该公司",IF(AND($E692&lt;&gt;"",ISNA(MATCH($E692,往来单位!$A$6:$A$85,0))),"往来单位未建档",IF(N($J692)=0,"数量为 0",IF(N($K692)=0,"单价为 0",IF(AND(LEFT($D692,2)="销售",$U692=""),"该商品没设成本科目",IF(YEAR($B692)&lt;&gt;参数设置!$B$5,"不在本会计年度","OK")))))))))))</f>
        <v/>
      </c>
      <c r="Q692" s="57" t="str">
        <f aca="false">IF($F692="","",ROUND(N($J692)*N($K692),2))</f>
        <v/>
      </c>
      <c r="R692" s="58" t="str">
        <f aca="false">IF($D692="","",IF(LEFT($D692,2)="销售","应收账款","应付账款"))</f>
        <v/>
      </c>
      <c r="S692" s="58" t="str">
        <f aca="false">IF($F692="","",IFERROR(INDEX(商品档案!$G$6:$G$65,MATCH($F692,商品档案!$A$6:$A$65,0)),""))</f>
        <v/>
      </c>
      <c r="T692" s="58" t="str">
        <f aca="false">IF($F692="","",IFERROR(INDEX(商品档案!$H$6:$H$65,MATCH($F692,商品档案!$A$6:$A$65,0)),""))</f>
        <v/>
      </c>
      <c r="U692" s="58" t="str">
        <f aca="false">IF($F692="","",IFERROR(INDEX(商品档案!$I$6:$I$65,MATCH($F692,商品档案!$A$6:$A$65,0)),""))</f>
        <v/>
      </c>
      <c r="V692" s="59" t="str">
        <f aca="false">IF($F692="","",SUMIFS(进销存台账!$N$6:$N$65,进销存台账!$A$6:$A$65,$C692,进销存台账!$B$6:$B$65,$F692))</f>
        <v/>
      </c>
      <c r="W692" s="60" t="n">
        <f aca="false">IF(OR($D692="销售出库",$D692="销售退回"),ROUND(N($J692)*N($V692),2),0)</f>
        <v>0</v>
      </c>
      <c r="X692" s="58" t="str">
        <f aca="false">IF($E692="","",IFERROR(INDEX(往来单位!$D$6:$D$85,MATCH($E692,往来单位!$A$6:$A$85,0)),"否"))</f>
        <v/>
      </c>
      <c r="Y692" s="61" t="str">
        <f aca="false">IF($B692="","",YEAR($B692))</f>
        <v/>
      </c>
      <c r="Z692" s="58" t="str">
        <f aca="false">IF($B692="","",TEXT($B692,"yyyy-mm"))</f>
        <v/>
      </c>
    </row>
    <row r="693" customFormat="false" ht="15" hidden="false" customHeight="false" outlineLevel="0" collapsed="false">
      <c r="A693" s="53" t="str">
        <f aca="false">IF($B693="","",ROW()-5)</f>
        <v/>
      </c>
      <c r="B693" s="54"/>
      <c r="C693" s="33"/>
      <c r="D693" s="33"/>
      <c r="E693" s="32"/>
      <c r="F693" s="39"/>
      <c r="G693" s="48" t="str">
        <f aca="false">IF($F693="","",IFERROR(INDEX(商品档案!$B$6:$B$65,MATCH($F693,商品档案!$A$6:$A$65,0)),""))</f>
        <v/>
      </c>
      <c r="H693" s="48" t="str">
        <f aca="false">IF($F693="","",IFERROR(INDEX(商品档案!$C$6:$C$65,MATCH($F693,商品档案!$A$6:$A$65,0)),""))</f>
        <v/>
      </c>
      <c r="I693" s="55" t="str">
        <f aca="false">IF($F693="","",IFERROR(INDEX(商品档案!$D$6:$D$65,MATCH($F693,商品档案!$A$6:$A$65,0)),""))</f>
        <v/>
      </c>
      <c r="J693" s="49"/>
      <c r="K693" s="56"/>
      <c r="L693" s="33"/>
      <c r="M693" s="39"/>
      <c r="N693" s="41"/>
      <c r="O693" s="41"/>
      <c r="P693" s="25" t="str">
        <f aca="false">IF(AND($B693="",$D693="",$F693=""),"",IF(NOT(ISNUMBER($B693)),"日期无效",IF(ISNA(MATCH($C693,参数设置!$A$10:$A$12,0)),"公司无效",IF(ISNA(MATCH($D693,记账规则!$A$6:$A$9,0)),"业务类型无效",IF(ISNA(MATCH($F693,商品档案!$A$6:$A$65,0)),"商品编码无效",IF(IFERROR(INDEX(商品档案!$E$6:$E$65,MATCH($F693,商品档案!$A$6:$A$65,0)),"")&lt;&gt;$C693,"商品不属于该公司",IF(AND($E693&lt;&gt;"",ISNA(MATCH($E693,往来单位!$A$6:$A$85,0))),"往来单位未建档",IF(N($J693)=0,"数量为 0",IF(N($K693)=0,"单价为 0",IF(AND(LEFT($D693,2)="销售",$U693=""),"该商品没设成本科目",IF(YEAR($B693)&lt;&gt;参数设置!$B$5,"不在本会计年度","OK")))))))))))</f>
        <v/>
      </c>
      <c r="Q693" s="57" t="str">
        <f aca="false">IF($F693="","",ROUND(N($J693)*N($K693),2))</f>
        <v/>
      </c>
      <c r="R693" s="58" t="str">
        <f aca="false">IF($D693="","",IF(LEFT($D693,2)="销售","应收账款","应付账款"))</f>
        <v/>
      </c>
      <c r="S693" s="58" t="str">
        <f aca="false">IF($F693="","",IFERROR(INDEX(商品档案!$G$6:$G$65,MATCH($F693,商品档案!$A$6:$A$65,0)),""))</f>
        <v/>
      </c>
      <c r="T693" s="58" t="str">
        <f aca="false">IF($F693="","",IFERROR(INDEX(商品档案!$H$6:$H$65,MATCH($F693,商品档案!$A$6:$A$65,0)),""))</f>
        <v/>
      </c>
      <c r="U693" s="58" t="str">
        <f aca="false">IF($F693="","",IFERROR(INDEX(商品档案!$I$6:$I$65,MATCH($F693,商品档案!$A$6:$A$65,0)),""))</f>
        <v/>
      </c>
      <c r="V693" s="59" t="str">
        <f aca="false">IF($F693="","",SUMIFS(进销存台账!$N$6:$N$65,进销存台账!$A$6:$A$65,$C693,进销存台账!$B$6:$B$65,$F693))</f>
        <v/>
      </c>
      <c r="W693" s="60" t="n">
        <f aca="false">IF(OR($D693="销售出库",$D693="销售退回"),ROUND(N($J693)*N($V693),2),0)</f>
        <v>0</v>
      </c>
      <c r="X693" s="58" t="str">
        <f aca="false">IF($E693="","",IFERROR(INDEX(往来单位!$D$6:$D$85,MATCH($E693,往来单位!$A$6:$A$85,0)),"否"))</f>
        <v/>
      </c>
      <c r="Y693" s="61" t="str">
        <f aca="false">IF($B693="","",YEAR($B693))</f>
        <v/>
      </c>
      <c r="Z693" s="58" t="str">
        <f aca="false">IF($B693="","",TEXT($B693,"yyyy-mm"))</f>
        <v/>
      </c>
    </row>
    <row r="694" customFormat="false" ht="15" hidden="false" customHeight="false" outlineLevel="0" collapsed="false">
      <c r="A694" s="53" t="str">
        <f aca="false">IF($B694="","",ROW()-5)</f>
        <v/>
      </c>
      <c r="B694" s="54"/>
      <c r="C694" s="33"/>
      <c r="D694" s="33"/>
      <c r="E694" s="32"/>
      <c r="F694" s="39"/>
      <c r="G694" s="48" t="str">
        <f aca="false">IF($F694="","",IFERROR(INDEX(商品档案!$B$6:$B$65,MATCH($F694,商品档案!$A$6:$A$65,0)),""))</f>
        <v/>
      </c>
      <c r="H694" s="48" t="str">
        <f aca="false">IF($F694="","",IFERROR(INDEX(商品档案!$C$6:$C$65,MATCH($F694,商品档案!$A$6:$A$65,0)),""))</f>
        <v/>
      </c>
      <c r="I694" s="55" t="str">
        <f aca="false">IF($F694="","",IFERROR(INDEX(商品档案!$D$6:$D$65,MATCH($F694,商品档案!$A$6:$A$65,0)),""))</f>
        <v/>
      </c>
      <c r="J694" s="49"/>
      <c r="K694" s="56"/>
      <c r="L694" s="33"/>
      <c r="M694" s="39"/>
      <c r="N694" s="41"/>
      <c r="O694" s="41"/>
      <c r="P694" s="25" t="str">
        <f aca="false">IF(AND($B694="",$D694="",$F694=""),"",IF(NOT(ISNUMBER($B694)),"日期无效",IF(ISNA(MATCH($C694,参数设置!$A$10:$A$12,0)),"公司无效",IF(ISNA(MATCH($D694,记账规则!$A$6:$A$9,0)),"业务类型无效",IF(ISNA(MATCH($F694,商品档案!$A$6:$A$65,0)),"商品编码无效",IF(IFERROR(INDEX(商品档案!$E$6:$E$65,MATCH($F694,商品档案!$A$6:$A$65,0)),"")&lt;&gt;$C694,"商品不属于该公司",IF(AND($E694&lt;&gt;"",ISNA(MATCH($E694,往来单位!$A$6:$A$85,0))),"往来单位未建档",IF(N($J694)=0,"数量为 0",IF(N($K694)=0,"单价为 0",IF(AND(LEFT($D694,2)="销售",$U694=""),"该商品没设成本科目",IF(YEAR($B694)&lt;&gt;参数设置!$B$5,"不在本会计年度","OK")))))))))))</f>
        <v/>
      </c>
      <c r="Q694" s="57" t="str">
        <f aca="false">IF($F694="","",ROUND(N($J694)*N($K694),2))</f>
        <v/>
      </c>
      <c r="R694" s="58" t="str">
        <f aca="false">IF($D694="","",IF(LEFT($D694,2)="销售","应收账款","应付账款"))</f>
        <v/>
      </c>
      <c r="S694" s="58" t="str">
        <f aca="false">IF($F694="","",IFERROR(INDEX(商品档案!$G$6:$G$65,MATCH($F694,商品档案!$A$6:$A$65,0)),""))</f>
        <v/>
      </c>
      <c r="T694" s="58" t="str">
        <f aca="false">IF($F694="","",IFERROR(INDEX(商品档案!$H$6:$H$65,MATCH($F694,商品档案!$A$6:$A$65,0)),""))</f>
        <v/>
      </c>
      <c r="U694" s="58" t="str">
        <f aca="false">IF($F694="","",IFERROR(INDEX(商品档案!$I$6:$I$65,MATCH($F694,商品档案!$A$6:$A$65,0)),""))</f>
        <v/>
      </c>
      <c r="V694" s="59" t="str">
        <f aca="false">IF($F694="","",SUMIFS(进销存台账!$N$6:$N$65,进销存台账!$A$6:$A$65,$C694,进销存台账!$B$6:$B$65,$F694))</f>
        <v/>
      </c>
      <c r="W694" s="60" t="n">
        <f aca="false">IF(OR($D694="销售出库",$D694="销售退回"),ROUND(N($J694)*N($V694),2),0)</f>
        <v>0</v>
      </c>
      <c r="X694" s="58" t="str">
        <f aca="false">IF($E694="","",IFERROR(INDEX(往来单位!$D$6:$D$85,MATCH($E694,往来单位!$A$6:$A$85,0)),"否"))</f>
        <v/>
      </c>
      <c r="Y694" s="61" t="str">
        <f aca="false">IF($B694="","",YEAR($B694))</f>
        <v/>
      </c>
      <c r="Z694" s="58" t="str">
        <f aca="false">IF($B694="","",TEXT($B694,"yyyy-mm"))</f>
        <v/>
      </c>
    </row>
    <row r="695" customFormat="false" ht="15" hidden="false" customHeight="false" outlineLevel="0" collapsed="false">
      <c r="A695" s="53" t="str">
        <f aca="false">IF($B695="","",ROW()-5)</f>
        <v/>
      </c>
      <c r="B695" s="54"/>
      <c r="C695" s="33"/>
      <c r="D695" s="33"/>
      <c r="E695" s="32"/>
      <c r="F695" s="39"/>
      <c r="G695" s="48" t="str">
        <f aca="false">IF($F695="","",IFERROR(INDEX(商品档案!$B$6:$B$65,MATCH($F695,商品档案!$A$6:$A$65,0)),""))</f>
        <v/>
      </c>
      <c r="H695" s="48" t="str">
        <f aca="false">IF($F695="","",IFERROR(INDEX(商品档案!$C$6:$C$65,MATCH($F695,商品档案!$A$6:$A$65,0)),""))</f>
        <v/>
      </c>
      <c r="I695" s="55" t="str">
        <f aca="false">IF($F695="","",IFERROR(INDEX(商品档案!$D$6:$D$65,MATCH($F695,商品档案!$A$6:$A$65,0)),""))</f>
        <v/>
      </c>
      <c r="J695" s="49"/>
      <c r="K695" s="56"/>
      <c r="L695" s="33"/>
      <c r="M695" s="39"/>
      <c r="N695" s="41"/>
      <c r="O695" s="41"/>
      <c r="P695" s="25" t="str">
        <f aca="false">IF(AND($B695="",$D695="",$F695=""),"",IF(NOT(ISNUMBER($B695)),"日期无效",IF(ISNA(MATCH($C695,参数设置!$A$10:$A$12,0)),"公司无效",IF(ISNA(MATCH($D695,记账规则!$A$6:$A$9,0)),"业务类型无效",IF(ISNA(MATCH($F695,商品档案!$A$6:$A$65,0)),"商品编码无效",IF(IFERROR(INDEX(商品档案!$E$6:$E$65,MATCH($F695,商品档案!$A$6:$A$65,0)),"")&lt;&gt;$C695,"商品不属于该公司",IF(AND($E695&lt;&gt;"",ISNA(MATCH($E695,往来单位!$A$6:$A$85,0))),"往来单位未建档",IF(N($J695)=0,"数量为 0",IF(N($K695)=0,"单价为 0",IF(AND(LEFT($D695,2)="销售",$U695=""),"该商品没设成本科目",IF(YEAR($B695)&lt;&gt;参数设置!$B$5,"不在本会计年度","OK")))))))))))</f>
        <v/>
      </c>
      <c r="Q695" s="57" t="str">
        <f aca="false">IF($F695="","",ROUND(N($J695)*N($K695),2))</f>
        <v/>
      </c>
      <c r="R695" s="58" t="str">
        <f aca="false">IF($D695="","",IF(LEFT($D695,2)="销售","应收账款","应付账款"))</f>
        <v/>
      </c>
      <c r="S695" s="58" t="str">
        <f aca="false">IF($F695="","",IFERROR(INDEX(商品档案!$G$6:$G$65,MATCH($F695,商品档案!$A$6:$A$65,0)),""))</f>
        <v/>
      </c>
      <c r="T695" s="58" t="str">
        <f aca="false">IF($F695="","",IFERROR(INDEX(商品档案!$H$6:$H$65,MATCH($F695,商品档案!$A$6:$A$65,0)),""))</f>
        <v/>
      </c>
      <c r="U695" s="58" t="str">
        <f aca="false">IF($F695="","",IFERROR(INDEX(商品档案!$I$6:$I$65,MATCH($F695,商品档案!$A$6:$A$65,0)),""))</f>
        <v/>
      </c>
      <c r="V695" s="59" t="str">
        <f aca="false">IF($F695="","",SUMIFS(进销存台账!$N$6:$N$65,进销存台账!$A$6:$A$65,$C695,进销存台账!$B$6:$B$65,$F695))</f>
        <v/>
      </c>
      <c r="W695" s="60" t="n">
        <f aca="false">IF(OR($D695="销售出库",$D695="销售退回"),ROUND(N($J695)*N($V695),2),0)</f>
        <v>0</v>
      </c>
      <c r="X695" s="58" t="str">
        <f aca="false">IF($E695="","",IFERROR(INDEX(往来单位!$D$6:$D$85,MATCH($E695,往来单位!$A$6:$A$85,0)),"否"))</f>
        <v/>
      </c>
      <c r="Y695" s="61" t="str">
        <f aca="false">IF($B695="","",YEAR($B695))</f>
        <v/>
      </c>
      <c r="Z695" s="58" t="str">
        <f aca="false">IF($B695="","",TEXT($B695,"yyyy-mm"))</f>
        <v/>
      </c>
    </row>
    <row r="696" customFormat="false" ht="15" hidden="false" customHeight="false" outlineLevel="0" collapsed="false">
      <c r="A696" s="53" t="str">
        <f aca="false">IF($B696="","",ROW()-5)</f>
        <v/>
      </c>
      <c r="B696" s="54"/>
      <c r="C696" s="33"/>
      <c r="D696" s="33"/>
      <c r="E696" s="32"/>
      <c r="F696" s="39"/>
      <c r="G696" s="48" t="str">
        <f aca="false">IF($F696="","",IFERROR(INDEX(商品档案!$B$6:$B$65,MATCH($F696,商品档案!$A$6:$A$65,0)),""))</f>
        <v/>
      </c>
      <c r="H696" s="48" t="str">
        <f aca="false">IF($F696="","",IFERROR(INDEX(商品档案!$C$6:$C$65,MATCH($F696,商品档案!$A$6:$A$65,0)),""))</f>
        <v/>
      </c>
      <c r="I696" s="55" t="str">
        <f aca="false">IF($F696="","",IFERROR(INDEX(商品档案!$D$6:$D$65,MATCH($F696,商品档案!$A$6:$A$65,0)),""))</f>
        <v/>
      </c>
      <c r="J696" s="49"/>
      <c r="K696" s="56"/>
      <c r="L696" s="33"/>
      <c r="M696" s="39"/>
      <c r="N696" s="41"/>
      <c r="O696" s="41"/>
      <c r="P696" s="25" t="str">
        <f aca="false">IF(AND($B696="",$D696="",$F696=""),"",IF(NOT(ISNUMBER($B696)),"日期无效",IF(ISNA(MATCH($C696,参数设置!$A$10:$A$12,0)),"公司无效",IF(ISNA(MATCH($D696,记账规则!$A$6:$A$9,0)),"业务类型无效",IF(ISNA(MATCH($F696,商品档案!$A$6:$A$65,0)),"商品编码无效",IF(IFERROR(INDEX(商品档案!$E$6:$E$65,MATCH($F696,商品档案!$A$6:$A$65,0)),"")&lt;&gt;$C696,"商品不属于该公司",IF(AND($E696&lt;&gt;"",ISNA(MATCH($E696,往来单位!$A$6:$A$85,0))),"往来单位未建档",IF(N($J696)=0,"数量为 0",IF(N($K696)=0,"单价为 0",IF(AND(LEFT($D696,2)="销售",$U696=""),"该商品没设成本科目",IF(YEAR($B696)&lt;&gt;参数设置!$B$5,"不在本会计年度","OK")))))))))))</f>
        <v/>
      </c>
      <c r="Q696" s="57" t="str">
        <f aca="false">IF($F696="","",ROUND(N($J696)*N($K696),2))</f>
        <v/>
      </c>
      <c r="R696" s="58" t="str">
        <f aca="false">IF($D696="","",IF(LEFT($D696,2)="销售","应收账款","应付账款"))</f>
        <v/>
      </c>
      <c r="S696" s="58" t="str">
        <f aca="false">IF($F696="","",IFERROR(INDEX(商品档案!$G$6:$G$65,MATCH($F696,商品档案!$A$6:$A$65,0)),""))</f>
        <v/>
      </c>
      <c r="T696" s="58" t="str">
        <f aca="false">IF($F696="","",IFERROR(INDEX(商品档案!$H$6:$H$65,MATCH($F696,商品档案!$A$6:$A$65,0)),""))</f>
        <v/>
      </c>
      <c r="U696" s="58" t="str">
        <f aca="false">IF($F696="","",IFERROR(INDEX(商品档案!$I$6:$I$65,MATCH($F696,商品档案!$A$6:$A$65,0)),""))</f>
        <v/>
      </c>
      <c r="V696" s="59" t="str">
        <f aca="false">IF($F696="","",SUMIFS(进销存台账!$N$6:$N$65,进销存台账!$A$6:$A$65,$C696,进销存台账!$B$6:$B$65,$F696))</f>
        <v/>
      </c>
      <c r="W696" s="60" t="n">
        <f aca="false">IF(OR($D696="销售出库",$D696="销售退回"),ROUND(N($J696)*N($V696),2),0)</f>
        <v>0</v>
      </c>
      <c r="X696" s="58" t="str">
        <f aca="false">IF($E696="","",IFERROR(INDEX(往来单位!$D$6:$D$85,MATCH($E696,往来单位!$A$6:$A$85,0)),"否"))</f>
        <v/>
      </c>
      <c r="Y696" s="61" t="str">
        <f aca="false">IF($B696="","",YEAR($B696))</f>
        <v/>
      </c>
      <c r="Z696" s="58" t="str">
        <f aca="false">IF($B696="","",TEXT($B696,"yyyy-mm"))</f>
        <v/>
      </c>
    </row>
    <row r="697" customFormat="false" ht="15" hidden="false" customHeight="false" outlineLevel="0" collapsed="false">
      <c r="A697" s="53" t="str">
        <f aca="false">IF($B697="","",ROW()-5)</f>
        <v/>
      </c>
      <c r="B697" s="54"/>
      <c r="C697" s="33"/>
      <c r="D697" s="33"/>
      <c r="E697" s="32"/>
      <c r="F697" s="39"/>
      <c r="G697" s="48" t="str">
        <f aca="false">IF($F697="","",IFERROR(INDEX(商品档案!$B$6:$B$65,MATCH($F697,商品档案!$A$6:$A$65,0)),""))</f>
        <v/>
      </c>
      <c r="H697" s="48" t="str">
        <f aca="false">IF($F697="","",IFERROR(INDEX(商品档案!$C$6:$C$65,MATCH($F697,商品档案!$A$6:$A$65,0)),""))</f>
        <v/>
      </c>
      <c r="I697" s="55" t="str">
        <f aca="false">IF($F697="","",IFERROR(INDEX(商品档案!$D$6:$D$65,MATCH($F697,商品档案!$A$6:$A$65,0)),""))</f>
        <v/>
      </c>
      <c r="J697" s="49"/>
      <c r="K697" s="56"/>
      <c r="L697" s="33"/>
      <c r="M697" s="39"/>
      <c r="N697" s="41"/>
      <c r="O697" s="41"/>
      <c r="P697" s="25" t="str">
        <f aca="false">IF(AND($B697="",$D697="",$F697=""),"",IF(NOT(ISNUMBER($B697)),"日期无效",IF(ISNA(MATCH($C697,参数设置!$A$10:$A$12,0)),"公司无效",IF(ISNA(MATCH($D697,记账规则!$A$6:$A$9,0)),"业务类型无效",IF(ISNA(MATCH($F697,商品档案!$A$6:$A$65,0)),"商品编码无效",IF(IFERROR(INDEX(商品档案!$E$6:$E$65,MATCH($F697,商品档案!$A$6:$A$65,0)),"")&lt;&gt;$C697,"商品不属于该公司",IF(AND($E697&lt;&gt;"",ISNA(MATCH($E697,往来单位!$A$6:$A$85,0))),"往来单位未建档",IF(N($J697)=0,"数量为 0",IF(N($K697)=0,"单价为 0",IF(AND(LEFT($D697,2)="销售",$U697=""),"该商品没设成本科目",IF(YEAR($B697)&lt;&gt;参数设置!$B$5,"不在本会计年度","OK")))))))))))</f>
        <v/>
      </c>
      <c r="Q697" s="57" t="str">
        <f aca="false">IF($F697="","",ROUND(N($J697)*N($K697),2))</f>
        <v/>
      </c>
      <c r="R697" s="58" t="str">
        <f aca="false">IF($D697="","",IF(LEFT($D697,2)="销售","应收账款","应付账款"))</f>
        <v/>
      </c>
      <c r="S697" s="58" t="str">
        <f aca="false">IF($F697="","",IFERROR(INDEX(商品档案!$G$6:$G$65,MATCH($F697,商品档案!$A$6:$A$65,0)),""))</f>
        <v/>
      </c>
      <c r="T697" s="58" t="str">
        <f aca="false">IF($F697="","",IFERROR(INDEX(商品档案!$H$6:$H$65,MATCH($F697,商品档案!$A$6:$A$65,0)),""))</f>
        <v/>
      </c>
      <c r="U697" s="58" t="str">
        <f aca="false">IF($F697="","",IFERROR(INDEX(商品档案!$I$6:$I$65,MATCH($F697,商品档案!$A$6:$A$65,0)),""))</f>
        <v/>
      </c>
      <c r="V697" s="59" t="str">
        <f aca="false">IF($F697="","",SUMIFS(进销存台账!$N$6:$N$65,进销存台账!$A$6:$A$65,$C697,进销存台账!$B$6:$B$65,$F697))</f>
        <v/>
      </c>
      <c r="W697" s="60" t="n">
        <f aca="false">IF(OR($D697="销售出库",$D697="销售退回"),ROUND(N($J697)*N($V697),2),0)</f>
        <v>0</v>
      </c>
      <c r="X697" s="58" t="str">
        <f aca="false">IF($E697="","",IFERROR(INDEX(往来单位!$D$6:$D$85,MATCH($E697,往来单位!$A$6:$A$85,0)),"否"))</f>
        <v/>
      </c>
      <c r="Y697" s="61" t="str">
        <f aca="false">IF($B697="","",YEAR($B697))</f>
        <v/>
      </c>
      <c r="Z697" s="58" t="str">
        <f aca="false">IF($B697="","",TEXT($B697,"yyyy-mm"))</f>
        <v/>
      </c>
    </row>
    <row r="698" customFormat="false" ht="15" hidden="false" customHeight="false" outlineLevel="0" collapsed="false">
      <c r="A698" s="53" t="str">
        <f aca="false">IF($B698="","",ROW()-5)</f>
        <v/>
      </c>
      <c r="B698" s="54"/>
      <c r="C698" s="33"/>
      <c r="D698" s="33"/>
      <c r="E698" s="32"/>
      <c r="F698" s="39"/>
      <c r="G698" s="48" t="str">
        <f aca="false">IF($F698="","",IFERROR(INDEX(商品档案!$B$6:$B$65,MATCH($F698,商品档案!$A$6:$A$65,0)),""))</f>
        <v/>
      </c>
      <c r="H698" s="48" t="str">
        <f aca="false">IF($F698="","",IFERROR(INDEX(商品档案!$C$6:$C$65,MATCH($F698,商品档案!$A$6:$A$65,0)),""))</f>
        <v/>
      </c>
      <c r="I698" s="55" t="str">
        <f aca="false">IF($F698="","",IFERROR(INDEX(商品档案!$D$6:$D$65,MATCH($F698,商品档案!$A$6:$A$65,0)),""))</f>
        <v/>
      </c>
      <c r="J698" s="49"/>
      <c r="K698" s="56"/>
      <c r="L698" s="33"/>
      <c r="M698" s="39"/>
      <c r="N698" s="41"/>
      <c r="O698" s="41"/>
      <c r="P698" s="25" t="str">
        <f aca="false">IF(AND($B698="",$D698="",$F698=""),"",IF(NOT(ISNUMBER($B698)),"日期无效",IF(ISNA(MATCH($C698,参数设置!$A$10:$A$12,0)),"公司无效",IF(ISNA(MATCH($D698,记账规则!$A$6:$A$9,0)),"业务类型无效",IF(ISNA(MATCH($F698,商品档案!$A$6:$A$65,0)),"商品编码无效",IF(IFERROR(INDEX(商品档案!$E$6:$E$65,MATCH($F698,商品档案!$A$6:$A$65,0)),"")&lt;&gt;$C698,"商品不属于该公司",IF(AND($E698&lt;&gt;"",ISNA(MATCH($E698,往来单位!$A$6:$A$85,0))),"往来单位未建档",IF(N($J698)=0,"数量为 0",IF(N($K698)=0,"单价为 0",IF(AND(LEFT($D698,2)="销售",$U698=""),"该商品没设成本科目",IF(YEAR($B698)&lt;&gt;参数设置!$B$5,"不在本会计年度","OK")))))))))))</f>
        <v/>
      </c>
      <c r="Q698" s="57" t="str">
        <f aca="false">IF($F698="","",ROUND(N($J698)*N($K698),2))</f>
        <v/>
      </c>
      <c r="R698" s="58" t="str">
        <f aca="false">IF($D698="","",IF(LEFT($D698,2)="销售","应收账款","应付账款"))</f>
        <v/>
      </c>
      <c r="S698" s="58" t="str">
        <f aca="false">IF($F698="","",IFERROR(INDEX(商品档案!$G$6:$G$65,MATCH($F698,商品档案!$A$6:$A$65,0)),""))</f>
        <v/>
      </c>
      <c r="T698" s="58" t="str">
        <f aca="false">IF($F698="","",IFERROR(INDEX(商品档案!$H$6:$H$65,MATCH($F698,商品档案!$A$6:$A$65,0)),""))</f>
        <v/>
      </c>
      <c r="U698" s="58" t="str">
        <f aca="false">IF($F698="","",IFERROR(INDEX(商品档案!$I$6:$I$65,MATCH($F698,商品档案!$A$6:$A$65,0)),""))</f>
        <v/>
      </c>
      <c r="V698" s="59" t="str">
        <f aca="false">IF($F698="","",SUMIFS(进销存台账!$N$6:$N$65,进销存台账!$A$6:$A$65,$C698,进销存台账!$B$6:$B$65,$F698))</f>
        <v/>
      </c>
      <c r="W698" s="60" t="n">
        <f aca="false">IF(OR($D698="销售出库",$D698="销售退回"),ROUND(N($J698)*N($V698),2),0)</f>
        <v>0</v>
      </c>
      <c r="X698" s="58" t="str">
        <f aca="false">IF($E698="","",IFERROR(INDEX(往来单位!$D$6:$D$85,MATCH($E698,往来单位!$A$6:$A$85,0)),"否"))</f>
        <v/>
      </c>
      <c r="Y698" s="61" t="str">
        <f aca="false">IF($B698="","",YEAR($B698))</f>
        <v/>
      </c>
      <c r="Z698" s="58" t="str">
        <f aca="false">IF($B698="","",TEXT($B698,"yyyy-mm"))</f>
        <v/>
      </c>
    </row>
    <row r="699" customFormat="false" ht="15" hidden="false" customHeight="false" outlineLevel="0" collapsed="false">
      <c r="A699" s="53" t="str">
        <f aca="false">IF($B699="","",ROW()-5)</f>
        <v/>
      </c>
      <c r="B699" s="54"/>
      <c r="C699" s="33"/>
      <c r="D699" s="33"/>
      <c r="E699" s="32"/>
      <c r="F699" s="39"/>
      <c r="G699" s="48" t="str">
        <f aca="false">IF($F699="","",IFERROR(INDEX(商品档案!$B$6:$B$65,MATCH($F699,商品档案!$A$6:$A$65,0)),""))</f>
        <v/>
      </c>
      <c r="H699" s="48" t="str">
        <f aca="false">IF($F699="","",IFERROR(INDEX(商品档案!$C$6:$C$65,MATCH($F699,商品档案!$A$6:$A$65,0)),""))</f>
        <v/>
      </c>
      <c r="I699" s="55" t="str">
        <f aca="false">IF($F699="","",IFERROR(INDEX(商品档案!$D$6:$D$65,MATCH($F699,商品档案!$A$6:$A$65,0)),""))</f>
        <v/>
      </c>
      <c r="J699" s="49"/>
      <c r="K699" s="56"/>
      <c r="L699" s="33"/>
      <c r="M699" s="39"/>
      <c r="N699" s="41"/>
      <c r="O699" s="41"/>
      <c r="P699" s="25" t="str">
        <f aca="false">IF(AND($B699="",$D699="",$F699=""),"",IF(NOT(ISNUMBER($B699)),"日期无效",IF(ISNA(MATCH($C699,参数设置!$A$10:$A$12,0)),"公司无效",IF(ISNA(MATCH($D699,记账规则!$A$6:$A$9,0)),"业务类型无效",IF(ISNA(MATCH($F699,商品档案!$A$6:$A$65,0)),"商品编码无效",IF(IFERROR(INDEX(商品档案!$E$6:$E$65,MATCH($F699,商品档案!$A$6:$A$65,0)),"")&lt;&gt;$C699,"商品不属于该公司",IF(AND($E699&lt;&gt;"",ISNA(MATCH($E699,往来单位!$A$6:$A$85,0))),"往来单位未建档",IF(N($J699)=0,"数量为 0",IF(N($K699)=0,"单价为 0",IF(AND(LEFT($D699,2)="销售",$U699=""),"该商品没设成本科目",IF(YEAR($B699)&lt;&gt;参数设置!$B$5,"不在本会计年度","OK")))))))))))</f>
        <v/>
      </c>
      <c r="Q699" s="57" t="str">
        <f aca="false">IF($F699="","",ROUND(N($J699)*N($K699),2))</f>
        <v/>
      </c>
      <c r="R699" s="58" t="str">
        <f aca="false">IF($D699="","",IF(LEFT($D699,2)="销售","应收账款","应付账款"))</f>
        <v/>
      </c>
      <c r="S699" s="58" t="str">
        <f aca="false">IF($F699="","",IFERROR(INDEX(商品档案!$G$6:$G$65,MATCH($F699,商品档案!$A$6:$A$65,0)),""))</f>
        <v/>
      </c>
      <c r="T699" s="58" t="str">
        <f aca="false">IF($F699="","",IFERROR(INDEX(商品档案!$H$6:$H$65,MATCH($F699,商品档案!$A$6:$A$65,0)),""))</f>
        <v/>
      </c>
      <c r="U699" s="58" t="str">
        <f aca="false">IF($F699="","",IFERROR(INDEX(商品档案!$I$6:$I$65,MATCH($F699,商品档案!$A$6:$A$65,0)),""))</f>
        <v/>
      </c>
      <c r="V699" s="59" t="str">
        <f aca="false">IF($F699="","",SUMIFS(进销存台账!$N$6:$N$65,进销存台账!$A$6:$A$65,$C699,进销存台账!$B$6:$B$65,$F699))</f>
        <v/>
      </c>
      <c r="W699" s="60" t="n">
        <f aca="false">IF(OR($D699="销售出库",$D699="销售退回"),ROUND(N($J699)*N($V699),2),0)</f>
        <v>0</v>
      </c>
      <c r="X699" s="58" t="str">
        <f aca="false">IF($E699="","",IFERROR(INDEX(往来单位!$D$6:$D$85,MATCH($E699,往来单位!$A$6:$A$85,0)),"否"))</f>
        <v/>
      </c>
      <c r="Y699" s="61" t="str">
        <f aca="false">IF($B699="","",YEAR($B699))</f>
        <v/>
      </c>
      <c r="Z699" s="58" t="str">
        <f aca="false">IF($B699="","",TEXT($B699,"yyyy-mm"))</f>
        <v/>
      </c>
    </row>
    <row r="700" customFormat="false" ht="15" hidden="false" customHeight="false" outlineLevel="0" collapsed="false">
      <c r="A700" s="53" t="str">
        <f aca="false">IF($B700="","",ROW()-5)</f>
        <v/>
      </c>
      <c r="B700" s="54"/>
      <c r="C700" s="33"/>
      <c r="D700" s="33"/>
      <c r="E700" s="32"/>
      <c r="F700" s="39"/>
      <c r="G700" s="48" t="str">
        <f aca="false">IF($F700="","",IFERROR(INDEX(商品档案!$B$6:$B$65,MATCH($F700,商品档案!$A$6:$A$65,0)),""))</f>
        <v/>
      </c>
      <c r="H700" s="48" t="str">
        <f aca="false">IF($F700="","",IFERROR(INDEX(商品档案!$C$6:$C$65,MATCH($F700,商品档案!$A$6:$A$65,0)),""))</f>
        <v/>
      </c>
      <c r="I700" s="55" t="str">
        <f aca="false">IF($F700="","",IFERROR(INDEX(商品档案!$D$6:$D$65,MATCH($F700,商品档案!$A$6:$A$65,0)),""))</f>
        <v/>
      </c>
      <c r="J700" s="49"/>
      <c r="K700" s="56"/>
      <c r="L700" s="33"/>
      <c r="M700" s="39"/>
      <c r="N700" s="41"/>
      <c r="O700" s="41"/>
      <c r="P700" s="25" t="str">
        <f aca="false">IF(AND($B700="",$D700="",$F700=""),"",IF(NOT(ISNUMBER($B700)),"日期无效",IF(ISNA(MATCH($C700,参数设置!$A$10:$A$12,0)),"公司无效",IF(ISNA(MATCH($D700,记账规则!$A$6:$A$9,0)),"业务类型无效",IF(ISNA(MATCH($F700,商品档案!$A$6:$A$65,0)),"商品编码无效",IF(IFERROR(INDEX(商品档案!$E$6:$E$65,MATCH($F700,商品档案!$A$6:$A$65,0)),"")&lt;&gt;$C700,"商品不属于该公司",IF(AND($E700&lt;&gt;"",ISNA(MATCH($E700,往来单位!$A$6:$A$85,0))),"往来单位未建档",IF(N($J700)=0,"数量为 0",IF(N($K700)=0,"单价为 0",IF(AND(LEFT($D700,2)="销售",$U700=""),"该商品没设成本科目",IF(YEAR($B700)&lt;&gt;参数设置!$B$5,"不在本会计年度","OK")))))))))))</f>
        <v/>
      </c>
      <c r="Q700" s="57" t="str">
        <f aca="false">IF($F700="","",ROUND(N($J700)*N($K700),2))</f>
        <v/>
      </c>
      <c r="R700" s="58" t="str">
        <f aca="false">IF($D700="","",IF(LEFT($D700,2)="销售","应收账款","应付账款"))</f>
        <v/>
      </c>
      <c r="S700" s="58" t="str">
        <f aca="false">IF($F700="","",IFERROR(INDEX(商品档案!$G$6:$G$65,MATCH($F700,商品档案!$A$6:$A$65,0)),""))</f>
        <v/>
      </c>
      <c r="T700" s="58" t="str">
        <f aca="false">IF($F700="","",IFERROR(INDEX(商品档案!$H$6:$H$65,MATCH($F700,商品档案!$A$6:$A$65,0)),""))</f>
        <v/>
      </c>
      <c r="U700" s="58" t="str">
        <f aca="false">IF($F700="","",IFERROR(INDEX(商品档案!$I$6:$I$65,MATCH($F700,商品档案!$A$6:$A$65,0)),""))</f>
        <v/>
      </c>
      <c r="V700" s="59" t="str">
        <f aca="false">IF($F700="","",SUMIFS(进销存台账!$N$6:$N$65,进销存台账!$A$6:$A$65,$C700,进销存台账!$B$6:$B$65,$F700))</f>
        <v/>
      </c>
      <c r="W700" s="60" t="n">
        <f aca="false">IF(OR($D700="销售出库",$D700="销售退回"),ROUND(N($J700)*N($V700),2),0)</f>
        <v>0</v>
      </c>
      <c r="X700" s="58" t="str">
        <f aca="false">IF($E700="","",IFERROR(INDEX(往来单位!$D$6:$D$85,MATCH($E700,往来单位!$A$6:$A$85,0)),"否"))</f>
        <v/>
      </c>
      <c r="Y700" s="61" t="str">
        <f aca="false">IF($B700="","",YEAR($B700))</f>
        <v/>
      </c>
      <c r="Z700" s="58" t="str">
        <f aca="false">IF($B700="","",TEXT($B700,"yyyy-mm"))</f>
        <v/>
      </c>
    </row>
    <row r="701" customFormat="false" ht="15" hidden="false" customHeight="false" outlineLevel="0" collapsed="false">
      <c r="A701" s="53" t="str">
        <f aca="false">IF($B701="","",ROW()-5)</f>
        <v/>
      </c>
      <c r="B701" s="54"/>
      <c r="C701" s="33"/>
      <c r="D701" s="33"/>
      <c r="E701" s="32"/>
      <c r="F701" s="39"/>
      <c r="G701" s="48" t="str">
        <f aca="false">IF($F701="","",IFERROR(INDEX(商品档案!$B$6:$B$65,MATCH($F701,商品档案!$A$6:$A$65,0)),""))</f>
        <v/>
      </c>
      <c r="H701" s="48" t="str">
        <f aca="false">IF($F701="","",IFERROR(INDEX(商品档案!$C$6:$C$65,MATCH($F701,商品档案!$A$6:$A$65,0)),""))</f>
        <v/>
      </c>
      <c r="I701" s="55" t="str">
        <f aca="false">IF($F701="","",IFERROR(INDEX(商品档案!$D$6:$D$65,MATCH($F701,商品档案!$A$6:$A$65,0)),""))</f>
        <v/>
      </c>
      <c r="J701" s="49"/>
      <c r="K701" s="56"/>
      <c r="L701" s="33"/>
      <c r="M701" s="39"/>
      <c r="N701" s="41"/>
      <c r="O701" s="41"/>
      <c r="P701" s="25" t="str">
        <f aca="false">IF(AND($B701="",$D701="",$F701=""),"",IF(NOT(ISNUMBER($B701)),"日期无效",IF(ISNA(MATCH($C701,参数设置!$A$10:$A$12,0)),"公司无效",IF(ISNA(MATCH($D701,记账规则!$A$6:$A$9,0)),"业务类型无效",IF(ISNA(MATCH($F701,商品档案!$A$6:$A$65,0)),"商品编码无效",IF(IFERROR(INDEX(商品档案!$E$6:$E$65,MATCH($F701,商品档案!$A$6:$A$65,0)),"")&lt;&gt;$C701,"商品不属于该公司",IF(AND($E701&lt;&gt;"",ISNA(MATCH($E701,往来单位!$A$6:$A$85,0))),"往来单位未建档",IF(N($J701)=0,"数量为 0",IF(N($K701)=0,"单价为 0",IF(AND(LEFT($D701,2)="销售",$U701=""),"该商品没设成本科目",IF(YEAR($B701)&lt;&gt;参数设置!$B$5,"不在本会计年度","OK")))))))))))</f>
        <v/>
      </c>
      <c r="Q701" s="57" t="str">
        <f aca="false">IF($F701="","",ROUND(N($J701)*N($K701),2))</f>
        <v/>
      </c>
      <c r="R701" s="58" t="str">
        <f aca="false">IF($D701="","",IF(LEFT($D701,2)="销售","应收账款","应付账款"))</f>
        <v/>
      </c>
      <c r="S701" s="58" t="str">
        <f aca="false">IF($F701="","",IFERROR(INDEX(商品档案!$G$6:$G$65,MATCH($F701,商品档案!$A$6:$A$65,0)),""))</f>
        <v/>
      </c>
      <c r="T701" s="58" t="str">
        <f aca="false">IF($F701="","",IFERROR(INDEX(商品档案!$H$6:$H$65,MATCH($F701,商品档案!$A$6:$A$65,0)),""))</f>
        <v/>
      </c>
      <c r="U701" s="58" t="str">
        <f aca="false">IF($F701="","",IFERROR(INDEX(商品档案!$I$6:$I$65,MATCH($F701,商品档案!$A$6:$A$65,0)),""))</f>
        <v/>
      </c>
      <c r="V701" s="59" t="str">
        <f aca="false">IF($F701="","",SUMIFS(进销存台账!$N$6:$N$65,进销存台账!$A$6:$A$65,$C701,进销存台账!$B$6:$B$65,$F701))</f>
        <v/>
      </c>
      <c r="W701" s="60" t="n">
        <f aca="false">IF(OR($D701="销售出库",$D701="销售退回"),ROUND(N($J701)*N($V701),2),0)</f>
        <v>0</v>
      </c>
      <c r="X701" s="58" t="str">
        <f aca="false">IF($E701="","",IFERROR(INDEX(往来单位!$D$6:$D$85,MATCH($E701,往来单位!$A$6:$A$85,0)),"否"))</f>
        <v/>
      </c>
      <c r="Y701" s="61" t="str">
        <f aca="false">IF($B701="","",YEAR($B701))</f>
        <v/>
      </c>
      <c r="Z701" s="58" t="str">
        <f aca="false">IF($B701="","",TEXT($B701,"yyyy-mm"))</f>
        <v/>
      </c>
    </row>
    <row r="702" customFormat="false" ht="15" hidden="false" customHeight="false" outlineLevel="0" collapsed="false">
      <c r="A702" s="53" t="str">
        <f aca="false">IF($B702="","",ROW()-5)</f>
        <v/>
      </c>
      <c r="B702" s="54"/>
      <c r="C702" s="33"/>
      <c r="D702" s="33"/>
      <c r="E702" s="32"/>
      <c r="F702" s="39"/>
      <c r="G702" s="48" t="str">
        <f aca="false">IF($F702="","",IFERROR(INDEX(商品档案!$B$6:$B$65,MATCH($F702,商品档案!$A$6:$A$65,0)),""))</f>
        <v/>
      </c>
      <c r="H702" s="48" t="str">
        <f aca="false">IF($F702="","",IFERROR(INDEX(商品档案!$C$6:$C$65,MATCH($F702,商品档案!$A$6:$A$65,0)),""))</f>
        <v/>
      </c>
      <c r="I702" s="55" t="str">
        <f aca="false">IF($F702="","",IFERROR(INDEX(商品档案!$D$6:$D$65,MATCH($F702,商品档案!$A$6:$A$65,0)),""))</f>
        <v/>
      </c>
      <c r="J702" s="49"/>
      <c r="K702" s="56"/>
      <c r="L702" s="33"/>
      <c r="M702" s="39"/>
      <c r="N702" s="41"/>
      <c r="O702" s="41"/>
      <c r="P702" s="25" t="str">
        <f aca="false">IF(AND($B702="",$D702="",$F702=""),"",IF(NOT(ISNUMBER($B702)),"日期无效",IF(ISNA(MATCH($C702,参数设置!$A$10:$A$12,0)),"公司无效",IF(ISNA(MATCH($D702,记账规则!$A$6:$A$9,0)),"业务类型无效",IF(ISNA(MATCH($F702,商品档案!$A$6:$A$65,0)),"商品编码无效",IF(IFERROR(INDEX(商品档案!$E$6:$E$65,MATCH($F702,商品档案!$A$6:$A$65,0)),"")&lt;&gt;$C702,"商品不属于该公司",IF(AND($E702&lt;&gt;"",ISNA(MATCH($E702,往来单位!$A$6:$A$85,0))),"往来单位未建档",IF(N($J702)=0,"数量为 0",IF(N($K702)=0,"单价为 0",IF(AND(LEFT($D702,2)="销售",$U702=""),"该商品没设成本科目",IF(YEAR($B702)&lt;&gt;参数设置!$B$5,"不在本会计年度","OK")))))))))))</f>
        <v/>
      </c>
      <c r="Q702" s="57" t="str">
        <f aca="false">IF($F702="","",ROUND(N($J702)*N($K702),2))</f>
        <v/>
      </c>
      <c r="R702" s="58" t="str">
        <f aca="false">IF($D702="","",IF(LEFT($D702,2)="销售","应收账款","应付账款"))</f>
        <v/>
      </c>
      <c r="S702" s="58" t="str">
        <f aca="false">IF($F702="","",IFERROR(INDEX(商品档案!$G$6:$G$65,MATCH($F702,商品档案!$A$6:$A$65,0)),""))</f>
        <v/>
      </c>
      <c r="T702" s="58" t="str">
        <f aca="false">IF($F702="","",IFERROR(INDEX(商品档案!$H$6:$H$65,MATCH($F702,商品档案!$A$6:$A$65,0)),""))</f>
        <v/>
      </c>
      <c r="U702" s="58" t="str">
        <f aca="false">IF($F702="","",IFERROR(INDEX(商品档案!$I$6:$I$65,MATCH($F702,商品档案!$A$6:$A$65,0)),""))</f>
        <v/>
      </c>
      <c r="V702" s="59" t="str">
        <f aca="false">IF($F702="","",SUMIFS(进销存台账!$N$6:$N$65,进销存台账!$A$6:$A$65,$C702,进销存台账!$B$6:$B$65,$F702))</f>
        <v/>
      </c>
      <c r="W702" s="60" t="n">
        <f aca="false">IF(OR($D702="销售出库",$D702="销售退回"),ROUND(N($J702)*N($V702),2),0)</f>
        <v>0</v>
      </c>
      <c r="X702" s="58" t="str">
        <f aca="false">IF($E702="","",IFERROR(INDEX(往来单位!$D$6:$D$85,MATCH($E702,往来单位!$A$6:$A$85,0)),"否"))</f>
        <v/>
      </c>
      <c r="Y702" s="61" t="str">
        <f aca="false">IF($B702="","",YEAR($B702))</f>
        <v/>
      </c>
      <c r="Z702" s="58" t="str">
        <f aca="false">IF($B702="","",TEXT($B702,"yyyy-mm"))</f>
        <v/>
      </c>
    </row>
    <row r="703" customFormat="false" ht="15" hidden="false" customHeight="false" outlineLevel="0" collapsed="false">
      <c r="A703" s="53" t="str">
        <f aca="false">IF($B703="","",ROW()-5)</f>
        <v/>
      </c>
      <c r="B703" s="54"/>
      <c r="C703" s="33"/>
      <c r="D703" s="33"/>
      <c r="E703" s="32"/>
      <c r="F703" s="39"/>
      <c r="G703" s="48" t="str">
        <f aca="false">IF($F703="","",IFERROR(INDEX(商品档案!$B$6:$B$65,MATCH($F703,商品档案!$A$6:$A$65,0)),""))</f>
        <v/>
      </c>
      <c r="H703" s="48" t="str">
        <f aca="false">IF($F703="","",IFERROR(INDEX(商品档案!$C$6:$C$65,MATCH($F703,商品档案!$A$6:$A$65,0)),""))</f>
        <v/>
      </c>
      <c r="I703" s="55" t="str">
        <f aca="false">IF($F703="","",IFERROR(INDEX(商品档案!$D$6:$D$65,MATCH($F703,商品档案!$A$6:$A$65,0)),""))</f>
        <v/>
      </c>
      <c r="J703" s="49"/>
      <c r="K703" s="56"/>
      <c r="L703" s="33"/>
      <c r="M703" s="39"/>
      <c r="N703" s="41"/>
      <c r="O703" s="41"/>
      <c r="P703" s="25" t="str">
        <f aca="false">IF(AND($B703="",$D703="",$F703=""),"",IF(NOT(ISNUMBER($B703)),"日期无效",IF(ISNA(MATCH($C703,参数设置!$A$10:$A$12,0)),"公司无效",IF(ISNA(MATCH($D703,记账规则!$A$6:$A$9,0)),"业务类型无效",IF(ISNA(MATCH($F703,商品档案!$A$6:$A$65,0)),"商品编码无效",IF(IFERROR(INDEX(商品档案!$E$6:$E$65,MATCH($F703,商品档案!$A$6:$A$65,0)),"")&lt;&gt;$C703,"商品不属于该公司",IF(AND($E703&lt;&gt;"",ISNA(MATCH($E703,往来单位!$A$6:$A$85,0))),"往来单位未建档",IF(N($J703)=0,"数量为 0",IF(N($K703)=0,"单价为 0",IF(AND(LEFT($D703,2)="销售",$U703=""),"该商品没设成本科目",IF(YEAR($B703)&lt;&gt;参数设置!$B$5,"不在本会计年度","OK")))))))))))</f>
        <v/>
      </c>
      <c r="Q703" s="57" t="str">
        <f aca="false">IF($F703="","",ROUND(N($J703)*N($K703),2))</f>
        <v/>
      </c>
      <c r="R703" s="58" t="str">
        <f aca="false">IF($D703="","",IF(LEFT($D703,2)="销售","应收账款","应付账款"))</f>
        <v/>
      </c>
      <c r="S703" s="58" t="str">
        <f aca="false">IF($F703="","",IFERROR(INDEX(商品档案!$G$6:$G$65,MATCH($F703,商品档案!$A$6:$A$65,0)),""))</f>
        <v/>
      </c>
      <c r="T703" s="58" t="str">
        <f aca="false">IF($F703="","",IFERROR(INDEX(商品档案!$H$6:$H$65,MATCH($F703,商品档案!$A$6:$A$65,0)),""))</f>
        <v/>
      </c>
      <c r="U703" s="58" t="str">
        <f aca="false">IF($F703="","",IFERROR(INDEX(商品档案!$I$6:$I$65,MATCH($F703,商品档案!$A$6:$A$65,0)),""))</f>
        <v/>
      </c>
      <c r="V703" s="59" t="str">
        <f aca="false">IF($F703="","",SUMIFS(进销存台账!$N$6:$N$65,进销存台账!$A$6:$A$65,$C703,进销存台账!$B$6:$B$65,$F703))</f>
        <v/>
      </c>
      <c r="W703" s="60" t="n">
        <f aca="false">IF(OR($D703="销售出库",$D703="销售退回"),ROUND(N($J703)*N($V703),2),0)</f>
        <v>0</v>
      </c>
      <c r="X703" s="58" t="str">
        <f aca="false">IF($E703="","",IFERROR(INDEX(往来单位!$D$6:$D$85,MATCH($E703,往来单位!$A$6:$A$85,0)),"否"))</f>
        <v/>
      </c>
      <c r="Y703" s="61" t="str">
        <f aca="false">IF($B703="","",YEAR($B703))</f>
        <v/>
      </c>
      <c r="Z703" s="58" t="str">
        <f aca="false">IF($B703="","",TEXT($B703,"yyyy-mm"))</f>
        <v/>
      </c>
    </row>
    <row r="704" customFormat="false" ht="15" hidden="false" customHeight="false" outlineLevel="0" collapsed="false">
      <c r="A704" s="53" t="str">
        <f aca="false">IF($B704="","",ROW()-5)</f>
        <v/>
      </c>
      <c r="B704" s="54"/>
      <c r="C704" s="33"/>
      <c r="D704" s="33"/>
      <c r="E704" s="32"/>
      <c r="F704" s="39"/>
      <c r="G704" s="48" t="str">
        <f aca="false">IF($F704="","",IFERROR(INDEX(商品档案!$B$6:$B$65,MATCH($F704,商品档案!$A$6:$A$65,0)),""))</f>
        <v/>
      </c>
      <c r="H704" s="48" t="str">
        <f aca="false">IF($F704="","",IFERROR(INDEX(商品档案!$C$6:$C$65,MATCH($F704,商品档案!$A$6:$A$65,0)),""))</f>
        <v/>
      </c>
      <c r="I704" s="55" t="str">
        <f aca="false">IF($F704="","",IFERROR(INDEX(商品档案!$D$6:$D$65,MATCH($F704,商品档案!$A$6:$A$65,0)),""))</f>
        <v/>
      </c>
      <c r="J704" s="49"/>
      <c r="K704" s="56"/>
      <c r="L704" s="33"/>
      <c r="M704" s="39"/>
      <c r="N704" s="41"/>
      <c r="O704" s="41"/>
      <c r="P704" s="25" t="str">
        <f aca="false">IF(AND($B704="",$D704="",$F704=""),"",IF(NOT(ISNUMBER($B704)),"日期无效",IF(ISNA(MATCH($C704,参数设置!$A$10:$A$12,0)),"公司无效",IF(ISNA(MATCH($D704,记账规则!$A$6:$A$9,0)),"业务类型无效",IF(ISNA(MATCH($F704,商品档案!$A$6:$A$65,0)),"商品编码无效",IF(IFERROR(INDEX(商品档案!$E$6:$E$65,MATCH($F704,商品档案!$A$6:$A$65,0)),"")&lt;&gt;$C704,"商品不属于该公司",IF(AND($E704&lt;&gt;"",ISNA(MATCH($E704,往来单位!$A$6:$A$85,0))),"往来单位未建档",IF(N($J704)=0,"数量为 0",IF(N($K704)=0,"单价为 0",IF(AND(LEFT($D704,2)="销售",$U704=""),"该商品没设成本科目",IF(YEAR($B704)&lt;&gt;参数设置!$B$5,"不在本会计年度","OK")))))))))))</f>
        <v/>
      </c>
      <c r="Q704" s="57" t="str">
        <f aca="false">IF($F704="","",ROUND(N($J704)*N($K704),2))</f>
        <v/>
      </c>
      <c r="R704" s="58" t="str">
        <f aca="false">IF($D704="","",IF(LEFT($D704,2)="销售","应收账款","应付账款"))</f>
        <v/>
      </c>
      <c r="S704" s="58" t="str">
        <f aca="false">IF($F704="","",IFERROR(INDEX(商品档案!$G$6:$G$65,MATCH($F704,商品档案!$A$6:$A$65,0)),""))</f>
        <v/>
      </c>
      <c r="T704" s="58" t="str">
        <f aca="false">IF($F704="","",IFERROR(INDEX(商品档案!$H$6:$H$65,MATCH($F704,商品档案!$A$6:$A$65,0)),""))</f>
        <v/>
      </c>
      <c r="U704" s="58" t="str">
        <f aca="false">IF($F704="","",IFERROR(INDEX(商品档案!$I$6:$I$65,MATCH($F704,商品档案!$A$6:$A$65,0)),""))</f>
        <v/>
      </c>
      <c r="V704" s="59" t="str">
        <f aca="false">IF($F704="","",SUMIFS(进销存台账!$N$6:$N$65,进销存台账!$A$6:$A$65,$C704,进销存台账!$B$6:$B$65,$F704))</f>
        <v/>
      </c>
      <c r="W704" s="60" t="n">
        <f aca="false">IF(OR($D704="销售出库",$D704="销售退回"),ROUND(N($J704)*N($V704),2),0)</f>
        <v>0</v>
      </c>
      <c r="X704" s="58" t="str">
        <f aca="false">IF($E704="","",IFERROR(INDEX(往来单位!$D$6:$D$85,MATCH($E704,往来单位!$A$6:$A$85,0)),"否"))</f>
        <v/>
      </c>
      <c r="Y704" s="61" t="str">
        <f aca="false">IF($B704="","",YEAR($B704))</f>
        <v/>
      </c>
      <c r="Z704" s="58" t="str">
        <f aca="false">IF($B704="","",TEXT($B704,"yyyy-mm"))</f>
        <v/>
      </c>
    </row>
    <row r="705" customFormat="false" ht="15" hidden="false" customHeight="false" outlineLevel="0" collapsed="false">
      <c r="A705" s="53" t="str">
        <f aca="false">IF($B705="","",ROW()-5)</f>
        <v/>
      </c>
      <c r="B705" s="54"/>
      <c r="C705" s="33"/>
      <c r="D705" s="33"/>
      <c r="E705" s="32"/>
      <c r="F705" s="39"/>
      <c r="G705" s="48" t="str">
        <f aca="false">IF($F705="","",IFERROR(INDEX(商品档案!$B$6:$B$65,MATCH($F705,商品档案!$A$6:$A$65,0)),""))</f>
        <v/>
      </c>
      <c r="H705" s="48" t="str">
        <f aca="false">IF($F705="","",IFERROR(INDEX(商品档案!$C$6:$C$65,MATCH($F705,商品档案!$A$6:$A$65,0)),""))</f>
        <v/>
      </c>
      <c r="I705" s="55" t="str">
        <f aca="false">IF($F705="","",IFERROR(INDEX(商品档案!$D$6:$D$65,MATCH($F705,商品档案!$A$6:$A$65,0)),""))</f>
        <v/>
      </c>
      <c r="J705" s="49"/>
      <c r="K705" s="56"/>
      <c r="L705" s="33"/>
      <c r="M705" s="39"/>
      <c r="N705" s="41"/>
      <c r="O705" s="41"/>
      <c r="P705" s="25" t="str">
        <f aca="false">IF(AND($B705="",$D705="",$F705=""),"",IF(NOT(ISNUMBER($B705)),"日期无效",IF(ISNA(MATCH($C705,参数设置!$A$10:$A$12,0)),"公司无效",IF(ISNA(MATCH($D705,记账规则!$A$6:$A$9,0)),"业务类型无效",IF(ISNA(MATCH($F705,商品档案!$A$6:$A$65,0)),"商品编码无效",IF(IFERROR(INDEX(商品档案!$E$6:$E$65,MATCH($F705,商品档案!$A$6:$A$65,0)),"")&lt;&gt;$C705,"商品不属于该公司",IF(AND($E705&lt;&gt;"",ISNA(MATCH($E705,往来单位!$A$6:$A$85,0))),"往来单位未建档",IF(N($J705)=0,"数量为 0",IF(N($K705)=0,"单价为 0",IF(AND(LEFT($D705,2)="销售",$U705=""),"该商品没设成本科目",IF(YEAR($B705)&lt;&gt;参数设置!$B$5,"不在本会计年度","OK")))))))))))</f>
        <v/>
      </c>
      <c r="Q705" s="57" t="str">
        <f aca="false">IF($F705="","",ROUND(N($J705)*N($K705),2))</f>
        <v/>
      </c>
      <c r="R705" s="58" t="str">
        <f aca="false">IF($D705="","",IF(LEFT($D705,2)="销售","应收账款","应付账款"))</f>
        <v/>
      </c>
      <c r="S705" s="58" t="str">
        <f aca="false">IF($F705="","",IFERROR(INDEX(商品档案!$G$6:$G$65,MATCH($F705,商品档案!$A$6:$A$65,0)),""))</f>
        <v/>
      </c>
      <c r="T705" s="58" t="str">
        <f aca="false">IF($F705="","",IFERROR(INDEX(商品档案!$H$6:$H$65,MATCH($F705,商品档案!$A$6:$A$65,0)),""))</f>
        <v/>
      </c>
      <c r="U705" s="58" t="str">
        <f aca="false">IF($F705="","",IFERROR(INDEX(商品档案!$I$6:$I$65,MATCH($F705,商品档案!$A$6:$A$65,0)),""))</f>
        <v/>
      </c>
      <c r="V705" s="59" t="str">
        <f aca="false">IF($F705="","",SUMIFS(进销存台账!$N$6:$N$65,进销存台账!$A$6:$A$65,$C705,进销存台账!$B$6:$B$65,$F705))</f>
        <v/>
      </c>
      <c r="W705" s="60" t="n">
        <f aca="false">IF(OR($D705="销售出库",$D705="销售退回"),ROUND(N($J705)*N($V705),2),0)</f>
        <v>0</v>
      </c>
      <c r="X705" s="58" t="str">
        <f aca="false">IF($E705="","",IFERROR(INDEX(往来单位!$D$6:$D$85,MATCH($E705,往来单位!$A$6:$A$85,0)),"否"))</f>
        <v/>
      </c>
      <c r="Y705" s="61" t="str">
        <f aca="false">IF($B705="","",YEAR($B705))</f>
        <v/>
      </c>
      <c r="Z705" s="58" t="str">
        <f aca="false">IF($B705="","",TEXT($B705,"yyyy-mm"))</f>
        <v/>
      </c>
    </row>
    <row r="706" customFormat="false" ht="15" hidden="false" customHeight="false" outlineLevel="0" collapsed="false">
      <c r="A706" s="53" t="str">
        <f aca="false">IF($B706="","",ROW()-5)</f>
        <v/>
      </c>
      <c r="B706" s="54"/>
      <c r="C706" s="33"/>
      <c r="D706" s="33"/>
      <c r="E706" s="32"/>
      <c r="F706" s="39"/>
      <c r="G706" s="48" t="str">
        <f aca="false">IF($F706="","",IFERROR(INDEX(商品档案!$B$6:$B$65,MATCH($F706,商品档案!$A$6:$A$65,0)),""))</f>
        <v/>
      </c>
      <c r="H706" s="48" t="str">
        <f aca="false">IF($F706="","",IFERROR(INDEX(商品档案!$C$6:$C$65,MATCH($F706,商品档案!$A$6:$A$65,0)),""))</f>
        <v/>
      </c>
      <c r="I706" s="55" t="str">
        <f aca="false">IF($F706="","",IFERROR(INDEX(商品档案!$D$6:$D$65,MATCH($F706,商品档案!$A$6:$A$65,0)),""))</f>
        <v/>
      </c>
      <c r="J706" s="49"/>
      <c r="K706" s="56"/>
      <c r="L706" s="33"/>
      <c r="M706" s="39"/>
      <c r="N706" s="41"/>
      <c r="O706" s="41"/>
      <c r="P706" s="25" t="str">
        <f aca="false">IF(AND($B706="",$D706="",$F706=""),"",IF(NOT(ISNUMBER($B706)),"日期无效",IF(ISNA(MATCH($C706,参数设置!$A$10:$A$12,0)),"公司无效",IF(ISNA(MATCH($D706,记账规则!$A$6:$A$9,0)),"业务类型无效",IF(ISNA(MATCH($F706,商品档案!$A$6:$A$65,0)),"商品编码无效",IF(IFERROR(INDEX(商品档案!$E$6:$E$65,MATCH($F706,商品档案!$A$6:$A$65,0)),"")&lt;&gt;$C706,"商品不属于该公司",IF(AND($E706&lt;&gt;"",ISNA(MATCH($E706,往来单位!$A$6:$A$85,0))),"往来单位未建档",IF(N($J706)=0,"数量为 0",IF(N($K706)=0,"单价为 0",IF(AND(LEFT($D706,2)="销售",$U706=""),"该商品没设成本科目",IF(YEAR($B706)&lt;&gt;参数设置!$B$5,"不在本会计年度","OK")))))))))))</f>
        <v/>
      </c>
      <c r="Q706" s="57" t="str">
        <f aca="false">IF($F706="","",ROUND(N($J706)*N($K706),2))</f>
        <v/>
      </c>
      <c r="R706" s="58" t="str">
        <f aca="false">IF($D706="","",IF(LEFT($D706,2)="销售","应收账款","应付账款"))</f>
        <v/>
      </c>
      <c r="S706" s="58" t="str">
        <f aca="false">IF($F706="","",IFERROR(INDEX(商品档案!$G$6:$G$65,MATCH($F706,商品档案!$A$6:$A$65,0)),""))</f>
        <v/>
      </c>
      <c r="T706" s="58" t="str">
        <f aca="false">IF($F706="","",IFERROR(INDEX(商品档案!$H$6:$H$65,MATCH($F706,商品档案!$A$6:$A$65,0)),""))</f>
        <v/>
      </c>
      <c r="U706" s="58" t="str">
        <f aca="false">IF($F706="","",IFERROR(INDEX(商品档案!$I$6:$I$65,MATCH($F706,商品档案!$A$6:$A$65,0)),""))</f>
        <v/>
      </c>
      <c r="V706" s="59" t="str">
        <f aca="false">IF($F706="","",SUMIFS(进销存台账!$N$6:$N$65,进销存台账!$A$6:$A$65,$C706,进销存台账!$B$6:$B$65,$F706))</f>
        <v/>
      </c>
      <c r="W706" s="60" t="n">
        <f aca="false">IF(OR($D706="销售出库",$D706="销售退回"),ROUND(N($J706)*N($V706),2),0)</f>
        <v>0</v>
      </c>
      <c r="X706" s="58" t="str">
        <f aca="false">IF($E706="","",IFERROR(INDEX(往来单位!$D$6:$D$85,MATCH($E706,往来单位!$A$6:$A$85,0)),"否"))</f>
        <v/>
      </c>
      <c r="Y706" s="61" t="str">
        <f aca="false">IF($B706="","",YEAR($B706))</f>
        <v/>
      </c>
      <c r="Z706" s="58" t="str">
        <f aca="false">IF($B706="","",TEXT($B706,"yyyy-mm"))</f>
        <v/>
      </c>
    </row>
    <row r="707" customFormat="false" ht="15" hidden="false" customHeight="false" outlineLevel="0" collapsed="false">
      <c r="A707" s="53" t="str">
        <f aca="false">IF($B707="","",ROW()-5)</f>
        <v/>
      </c>
      <c r="B707" s="54"/>
      <c r="C707" s="33"/>
      <c r="D707" s="33"/>
      <c r="E707" s="32"/>
      <c r="F707" s="39"/>
      <c r="G707" s="48" t="str">
        <f aca="false">IF($F707="","",IFERROR(INDEX(商品档案!$B$6:$B$65,MATCH($F707,商品档案!$A$6:$A$65,0)),""))</f>
        <v/>
      </c>
      <c r="H707" s="48" t="str">
        <f aca="false">IF($F707="","",IFERROR(INDEX(商品档案!$C$6:$C$65,MATCH($F707,商品档案!$A$6:$A$65,0)),""))</f>
        <v/>
      </c>
      <c r="I707" s="55" t="str">
        <f aca="false">IF($F707="","",IFERROR(INDEX(商品档案!$D$6:$D$65,MATCH($F707,商品档案!$A$6:$A$65,0)),""))</f>
        <v/>
      </c>
      <c r="J707" s="49"/>
      <c r="K707" s="56"/>
      <c r="L707" s="33"/>
      <c r="M707" s="39"/>
      <c r="N707" s="41"/>
      <c r="O707" s="41"/>
      <c r="P707" s="25" t="str">
        <f aca="false">IF(AND($B707="",$D707="",$F707=""),"",IF(NOT(ISNUMBER($B707)),"日期无效",IF(ISNA(MATCH($C707,参数设置!$A$10:$A$12,0)),"公司无效",IF(ISNA(MATCH($D707,记账规则!$A$6:$A$9,0)),"业务类型无效",IF(ISNA(MATCH($F707,商品档案!$A$6:$A$65,0)),"商品编码无效",IF(IFERROR(INDEX(商品档案!$E$6:$E$65,MATCH($F707,商品档案!$A$6:$A$65,0)),"")&lt;&gt;$C707,"商品不属于该公司",IF(AND($E707&lt;&gt;"",ISNA(MATCH($E707,往来单位!$A$6:$A$85,0))),"往来单位未建档",IF(N($J707)=0,"数量为 0",IF(N($K707)=0,"单价为 0",IF(AND(LEFT($D707,2)="销售",$U707=""),"该商品没设成本科目",IF(YEAR($B707)&lt;&gt;参数设置!$B$5,"不在本会计年度","OK")))))))))))</f>
        <v/>
      </c>
      <c r="Q707" s="57" t="str">
        <f aca="false">IF($F707="","",ROUND(N($J707)*N($K707),2))</f>
        <v/>
      </c>
      <c r="R707" s="58" t="str">
        <f aca="false">IF($D707="","",IF(LEFT($D707,2)="销售","应收账款","应付账款"))</f>
        <v/>
      </c>
      <c r="S707" s="58" t="str">
        <f aca="false">IF($F707="","",IFERROR(INDEX(商品档案!$G$6:$G$65,MATCH($F707,商品档案!$A$6:$A$65,0)),""))</f>
        <v/>
      </c>
      <c r="T707" s="58" t="str">
        <f aca="false">IF($F707="","",IFERROR(INDEX(商品档案!$H$6:$H$65,MATCH($F707,商品档案!$A$6:$A$65,0)),""))</f>
        <v/>
      </c>
      <c r="U707" s="58" t="str">
        <f aca="false">IF($F707="","",IFERROR(INDEX(商品档案!$I$6:$I$65,MATCH($F707,商品档案!$A$6:$A$65,0)),""))</f>
        <v/>
      </c>
      <c r="V707" s="59" t="str">
        <f aca="false">IF($F707="","",SUMIFS(进销存台账!$N$6:$N$65,进销存台账!$A$6:$A$65,$C707,进销存台账!$B$6:$B$65,$F707))</f>
        <v/>
      </c>
      <c r="W707" s="60" t="n">
        <f aca="false">IF(OR($D707="销售出库",$D707="销售退回"),ROUND(N($J707)*N($V707),2),0)</f>
        <v>0</v>
      </c>
      <c r="X707" s="58" t="str">
        <f aca="false">IF($E707="","",IFERROR(INDEX(往来单位!$D$6:$D$85,MATCH($E707,往来单位!$A$6:$A$85,0)),"否"))</f>
        <v/>
      </c>
      <c r="Y707" s="61" t="str">
        <f aca="false">IF($B707="","",YEAR($B707))</f>
        <v/>
      </c>
      <c r="Z707" s="58" t="str">
        <f aca="false">IF($B707="","",TEXT($B707,"yyyy-mm"))</f>
        <v/>
      </c>
    </row>
    <row r="708" customFormat="false" ht="15" hidden="false" customHeight="false" outlineLevel="0" collapsed="false">
      <c r="A708" s="53" t="str">
        <f aca="false">IF($B708="","",ROW()-5)</f>
        <v/>
      </c>
      <c r="B708" s="54"/>
      <c r="C708" s="33"/>
      <c r="D708" s="33"/>
      <c r="E708" s="32"/>
      <c r="F708" s="39"/>
      <c r="G708" s="48" t="str">
        <f aca="false">IF($F708="","",IFERROR(INDEX(商品档案!$B$6:$B$65,MATCH($F708,商品档案!$A$6:$A$65,0)),""))</f>
        <v/>
      </c>
      <c r="H708" s="48" t="str">
        <f aca="false">IF($F708="","",IFERROR(INDEX(商品档案!$C$6:$C$65,MATCH($F708,商品档案!$A$6:$A$65,0)),""))</f>
        <v/>
      </c>
      <c r="I708" s="55" t="str">
        <f aca="false">IF($F708="","",IFERROR(INDEX(商品档案!$D$6:$D$65,MATCH($F708,商品档案!$A$6:$A$65,0)),""))</f>
        <v/>
      </c>
      <c r="J708" s="49"/>
      <c r="K708" s="56"/>
      <c r="L708" s="33"/>
      <c r="M708" s="39"/>
      <c r="N708" s="41"/>
      <c r="O708" s="41"/>
      <c r="P708" s="25" t="str">
        <f aca="false">IF(AND($B708="",$D708="",$F708=""),"",IF(NOT(ISNUMBER($B708)),"日期无效",IF(ISNA(MATCH($C708,参数设置!$A$10:$A$12,0)),"公司无效",IF(ISNA(MATCH($D708,记账规则!$A$6:$A$9,0)),"业务类型无效",IF(ISNA(MATCH($F708,商品档案!$A$6:$A$65,0)),"商品编码无效",IF(IFERROR(INDEX(商品档案!$E$6:$E$65,MATCH($F708,商品档案!$A$6:$A$65,0)),"")&lt;&gt;$C708,"商品不属于该公司",IF(AND($E708&lt;&gt;"",ISNA(MATCH($E708,往来单位!$A$6:$A$85,0))),"往来单位未建档",IF(N($J708)=0,"数量为 0",IF(N($K708)=0,"单价为 0",IF(AND(LEFT($D708,2)="销售",$U708=""),"该商品没设成本科目",IF(YEAR($B708)&lt;&gt;参数设置!$B$5,"不在本会计年度","OK")))))))))))</f>
        <v/>
      </c>
      <c r="Q708" s="57" t="str">
        <f aca="false">IF($F708="","",ROUND(N($J708)*N($K708),2))</f>
        <v/>
      </c>
      <c r="R708" s="58" t="str">
        <f aca="false">IF($D708="","",IF(LEFT($D708,2)="销售","应收账款","应付账款"))</f>
        <v/>
      </c>
      <c r="S708" s="58" t="str">
        <f aca="false">IF($F708="","",IFERROR(INDEX(商品档案!$G$6:$G$65,MATCH($F708,商品档案!$A$6:$A$65,0)),""))</f>
        <v/>
      </c>
      <c r="T708" s="58" t="str">
        <f aca="false">IF($F708="","",IFERROR(INDEX(商品档案!$H$6:$H$65,MATCH($F708,商品档案!$A$6:$A$65,0)),""))</f>
        <v/>
      </c>
      <c r="U708" s="58" t="str">
        <f aca="false">IF($F708="","",IFERROR(INDEX(商品档案!$I$6:$I$65,MATCH($F708,商品档案!$A$6:$A$65,0)),""))</f>
        <v/>
      </c>
      <c r="V708" s="59" t="str">
        <f aca="false">IF($F708="","",SUMIFS(进销存台账!$N$6:$N$65,进销存台账!$A$6:$A$65,$C708,进销存台账!$B$6:$B$65,$F708))</f>
        <v/>
      </c>
      <c r="W708" s="60" t="n">
        <f aca="false">IF(OR($D708="销售出库",$D708="销售退回"),ROUND(N($J708)*N($V708),2),0)</f>
        <v>0</v>
      </c>
      <c r="X708" s="58" t="str">
        <f aca="false">IF($E708="","",IFERROR(INDEX(往来单位!$D$6:$D$85,MATCH($E708,往来单位!$A$6:$A$85,0)),"否"))</f>
        <v/>
      </c>
      <c r="Y708" s="61" t="str">
        <f aca="false">IF($B708="","",YEAR($B708))</f>
        <v/>
      </c>
      <c r="Z708" s="58" t="str">
        <f aca="false">IF($B708="","",TEXT($B708,"yyyy-mm"))</f>
        <v/>
      </c>
    </row>
    <row r="709" customFormat="false" ht="15" hidden="false" customHeight="false" outlineLevel="0" collapsed="false">
      <c r="A709" s="53" t="str">
        <f aca="false">IF($B709="","",ROW()-5)</f>
        <v/>
      </c>
      <c r="B709" s="54"/>
      <c r="C709" s="33"/>
      <c r="D709" s="33"/>
      <c r="E709" s="32"/>
      <c r="F709" s="39"/>
      <c r="G709" s="48" t="str">
        <f aca="false">IF($F709="","",IFERROR(INDEX(商品档案!$B$6:$B$65,MATCH($F709,商品档案!$A$6:$A$65,0)),""))</f>
        <v/>
      </c>
      <c r="H709" s="48" t="str">
        <f aca="false">IF($F709="","",IFERROR(INDEX(商品档案!$C$6:$C$65,MATCH($F709,商品档案!$A$6:$A$65,0)),""))</f>
        <v/>
      </c>
      <c r="I709" s="55" t="str">
        <f aca="false">IF($F709="","",IFERROR(INDEX(商品档案!$D$6:$D$65,MATCH($F709,商品档案!$A$6:$A$65,0)),""))</f>
        <v/>
      </c>
      <c r="J709" s="49"/>
      <c r="K709" s="56"/>
      <c r="L709" s="33"/>
      <c r="M709" s="39"/>
      <c r="N709" s="41"/>
      <c r="O709" s="41"/>
      <c r="P709" s="25" t="str">
        <f aca="false">IF(AND($B709="",$D709="",$F709=""),"",IF(NOT(ISNUMBER($B709)),"日期无效",IF(ISNA(MATCH($C709,参数设置!$A$10:$A$12,0)),"公司无效",IF(ISNA(MATCH($D709,记账规则!$A$6:$A$9,0)),"业务类型无效",IF(ISNA(MATCH($F709,商品档案!$A$6:$A$65,0)),"商品编码无效",IF(IFERROR(INDEX(商品档案!$E$6:$E$65,MATCH($F709,商品档案!$A$6:$A$65,0)),"")&lt;&gt;$C709,"商品不属于该公司",IF(AND($E709&lt;&gt;"",ISNA(MATCH($E709,往来单位!$A$6:$A$85,0))),"往来单位未建档",IF(N($J709)=0,"数量为 0",IF(N($K709)=0,"单价为 0",IF(AND(LEFT($D709,2)="销售",$U709=""),"该商品没设成本科目",IF(YEAR($B709)&lt;&gt;参数设置!$B$5,"不在本会计年度","OK")))))))))))</f>
        <v/>
      </c>
      <c r="Q709" s="57" t="str">
        <f aca="false">IF($F709="","",ROUND(N($J709)*N($K709),2))</f>
        <v/>
      </c>
      <c r="R709" s="58" t="str">
        <f aca="false">IF($D709="","",IF(LEFT($D709,2)="销售","应收账款","应付账款"))</f>
        <v/>
      </c>
      <c r="S709" s="58" t="str">
        <f aca="false">IF($F709="","",IFERROR(INDEX(商品档案!$G$6:$G$65,MATCH($F709,商品档案!$A$6:$A$65,0)),""))</f>
        <v/>
      </c>
      <c r="T709" s="58" t="str">
        <f aca="false">IF($F709="","",IFERROR(INDEX(商品档案!$H$6:$H$65,MATCH($F709,商品档案!$A$6:$A$65,0)),""))</f>
        <v/>
      </c>
      <c r="U709" s="58" t="str">
        <f aca="false">IF($F709="","",IFERROR(INDEX(商品档案!$I$6:$I$65,MATCH($F709,商品档案!$A$6:$A$65,0)),""))</f>
        <v/>
      </c>
      <c r="V709" s="59" t="str">
        <f aca="false">IF($F709="","",SUMIFS(进销存台账!$N$6:$N$65,进销存台账!$A$6:$A$65,$C709,进销存台账!$B$6:$B$65,$F709))</f>
        <v/>
      </c>
      <c r="W709" s="60" t="n">
        <f aca="false">IF(OR($D709="销售出库",$D709="销售退回"),ROUND(N($J709)*N($V709),2),0)</f>
        <v>0</v>
      </c>
      <c r="X709" s="58" t="str">
        <f aca="false">IF($E709="","",IFERROR(INDEX(往来单位!$D$6:$D$85,MATCH($E709,往来单位!$A$6:$A$85,0)),"否"))</f>
        <v/>
      </c>
      <c r="Y709" s="61" t="str">
        <f aca="false">IF($B709="","",YEAR($B709))</f>
        <v/>
      </c>
      <c r="Z709" s="58" t="str">
        <f aca="false">IF($B709="","",TEXT($B709,"yyyy-mm"))</f>
        <v/>
      </c>
    </row>
    <row r="710" customFormat="false" ht="15" hidden="false" customHeight="false" outlineLevel="0" collapsed="false">
      <c r="A710" s="53" t="str">
        <f aca="false">IF($B710="","",ROW()-5)</f>
        <v/>
      </c>
      <c r="B710" s="54"/>
      <c r="C710" s="33"/>
      <c r="D710" s="33"/>
      <c r="E710" s="32"/>
      <c r="F710" s="39"/>
      <c r="G710" s="48" t="str">
        <f aca="false">IF($F710="","",IFERROR(INDEX(商品档案!$B$6:$B$65,MATCH($F710,商品档案!$A$6:$A$65,0)),""))</f>
        <v/>
      </c>
      <c r="H710" s="48" t="str">
        <f aca="false">IF($F710="","",IFERROR(INDEX(商品档案!$C$6:$C$65,MATCH($F710,商品档案!$A$6:$A$65,0)),""))</f>
        <v/>
      </c>
      <c r="I710" s="55" t="str">
        <f aca="false">IF($F710="","",IFERROR(INDEX(商品档案!$D$6:$D$65,MATCH($F710,商品档案!$A$6:$A$65,0)),""))</f>
        <v/>
      </c>
      <c r="J710" s="49"/>
      <c r="K710" s="56"/>
      <c r="L710" s="33"/>
      <c r="M710" s="39"/>
      <c r="N710" s="41"/>
      <c r="O710" s="41"/>
      <c r="P710" s="25" t="str">
        <f aca="false">IF(AND($B710="",$D710="",$F710=""),"",IF(NOT(ISNUMBER($B710)),"日期无效",IF(ISNA(MATCH($C710,参数设置!$A$10:$A$12,0)),"公司无效",IF(ISNA(MATCH($D710,记账规则!$A$6:$A$9,0)),"业务类型无效",IF(ISNA(MATCH($F710,商品档案!$A$6:$A$65,0)),"商品编码无效",IF(IFERROR(INDEX(商品档案!$E$6:$E$65,MATCH($F710,商品档案!$A$6:$A$65,0)),"")&lt;&gt;$C710,"商品不属于该公司",IF(AND($E710&lt;&gt;"",ISNA(MATCH($E710,往来单位!$A$6:$A$85,0))),"往来单位未建档",IF(N($J710)=0,"数量为 0",IF(N($K710)=0,"单价为 0",IF(AND(LEFT($D710,2)="销售",$U710=""),"该商品没设成本科目",IF(YEAR($B710)&lt;&gt;参数设置!$B$5,"不在本会计年度","OK")))))))))))</f>
        <v/>
      </c>
      <c r="Q710" s="57" t="str">
        <f aca="false">IF($F710="","",ROUND(N($J710)*N($K710),2))</f>
        <v/>
      </c>
      <c r="R710" s="58" t="str">
        <f aca="false">IF($D710="","",IF(LEFT($D710,2)="销售","应收账款","应付账款"))</f>
        <v/>
      </c>
      <c r="S710" s="58" t="str">
        <f aca="false">IF($F710="","",IFERROR(INDEX(商品档案!$G$6:$G$65,MATCH($F710,商品档案!$A$6:$A$65,0)),""))</f>
        <v/>
      </c>
      <c r="T710" s="58" t="str">
        <f aca="false">IF($F710="","",IFERROR(INDEX(商品档案!$H$6:$H$65,MATCH($F710,商品档案!$A$6:$A$65,0)),""))</f>
        <v/>
      </c>
      <c r="U710" s="58" t="str">
        <f aca="false">IF($F710="","",IFERROR(INDEX(商品档案!$I$6:$I$65,MATCH($F710,商品档案!$A$6:$A$65,0)),""))</f>
        <v/>
      </c>
      <c r="V710" s="59" t="str">
        <f aca="false">IF($F710="","",SUMIFS(进销存台账!$N$6:$N$65,进销存台账!$A$6:$A$65,$C710,进销存台账!$B$6:$B$65,$F710))</f>
        <v/>
      </c>
      <c r="W710" s="60" t="n">
        <f aca="false">IF(OR($D710="销售出库",$D710="销售退回"),ROUND(N($J710)*N($V710),2),0)</f>
        <v>0</v>
      </c>
      <c r="X710" s="58" t="str">
        <f aca="false">IF($E710="","",IFERROR(INDEX(往来单位!$D$6:$D$85,MATCH($E710,往来单位!$A$6:$A$85,0)),"否"))</f>
        <v/>
      </c>
      <c r="Y710" s="61" t="str">
        <f aca="false">IF($B710="","",YEAR($B710))</f>
        <v/>
      </c>
      <c r="Z710" s="58" t="str">
        <f aca="false">IF($B710="","",TEXT($B710,"yyyy-mm"))</f>
        <v/>
      </c>
    </row>
    <row r="711" customFormat="false" ht="15" hidden="false" customHeight="false" outlineLevel="0" collapsed="false">
      <c r="A711" s="53" t="str">
        <f aca="false">IF($B711="","",ROW()-5)</f>
        <v/>
      </c>
      <c r="B711" s="54"/>
      <c r="C711" s="33"/>
      <c r="D711" s="33"/>
      <c r="E711" s="32"/>
      <c r="F711" s="39"/>
      <c r="G711" s="48" t="str">
        <f aca="false">IF($F711="","",IFERROR(INDEX(商品档案!$B$6:$B$65,MATCH($F711,商品档案!$A$6:$A$65,0)),""))</f>
        <v/>
      </c>
      <c r="H711" s="48" t="str">
        <f aca="false">IF($F711="","",IFERROR(INDEX(商品档案!$C$6:$C$65,MATCH($F711,商品档案!$A$6:$A$65,0)),""))</f>
        <v/>
      </c>
      <c r="I711" s="55" t="str">
        <f aca="false">IF($F711="","",IFERROR(INDEX(商品档案!$D$6:$D$65,MATCH($F711,商品档案!$A$6:$A$65,0)),""))</f>
        <v/>
      </c>
      <c r="J711" s="49"/>
      <c r="K711" s="56"/>
      <c r="L711" s="33"/>
      <c r="M711" s="39"/>
      <c r="N711" s="41"/>
      <c r="O711" s="41"/>
      <c r="P711" s="25" t="str">
        <f aca="false">IF(AND($B711="",$D711="",$F711=""),"",IF(NOT(ISNUMBER($B711)),"日期无效",IF(ISNA(MATCH($C711,参数设置!$A$10:$A$12,0)),"公司无效",IF(ISNA(MATCH($D711,记账规则!$A$6:$A$9,0)),"业务类型无效",IF(ISNA(MATCH($F711,商品档案!$A$6:$A$65,0)),"商品编码无效",IF(IFERROR(INDEX(商品档案!$E$6:$E$65,MATCH($F711,商品档案!$A$6:$A$65,0)),"")&lt;&gt;$C711,"商品不属于该公司",IF(AND($E711&lt;&gt;"",ISNA(MATCH($E711,往来单位!$A$6:$A$85,0))),"往来单位未建档",IF(N($J711)=0,"数量为 0",IF(N($K711)=0,"单价为 0",IF(AND(LEFT($D711,2)="销售",$U711=""),"该商品没设成本科目",IF(YEAR($B711)&lt;&gt;参数设置!$B$5,"不在本会计年度","OK")))))))))))</f>
        <v/>
      </c>
      <c r="Q711" s="57" t="str">
        <f aca="false">IF($F711="","",ROUND(N($J711)*N($K711),2))</f>
        <v/>
      </c>
      <c r="R711" s="58" t="str">
        <f aca="false">IF($D711="","",IF(LEFT($D711,2)="销售","应收账款","应付账款"))</f>
        <v/>
      </c>
      <c r="S711" s="58" t="str">
        <f aca="false">IF($F711="","",IFERROR(INDEX(商品档案!$G$6:$G$65,MATCH($F711,商品档案!$A$6:$A$65,0)),""))</f>
        <v/>
      </c>
      <c r="T711" s="58" t="str">
        <f aca="false">IF($F711="","",IFERROR(INDEX(商品档案!$H$6:$H$65,MATCH($F711,商品档案!$A$6:$A$65,0)),""))</f>
        <v/>
      </c>
      <c r="U711" s="58" t="str">
        <f aca="false">IF($F711="","",IFERROR(INDEX(商品档案!$I$6:$I$65,MATCH($F711,商品档案!$A$6:$A$65,0)),""))</f>
        <v/>
      </c>
      <c r="V711" s="59" t="str">
        <f aca="false">IF($F711="","",SUMIFS(进销存台账!$N$6:$N$65,进销存台账!$A$6:$A$65,$C711,进销存台账!$B$6:$B$65,$F711))</f>
        <v/>
      </c>
      <c r="W711" s="60" t="n">
        <f aca="false">IF(OR($D711="销售出库",$D711="销售退回"),ROUND(N($J711)*N($V711),2),0)</f>
        <v>0</v>
      </c>
      <c r="X711" s="58" t="str">
        <f aca="false">IF($E711="","",IFERROR(INDEX(往来单位!$D$6:$D$85,MATCH($E711,往来单位!$A$6:$A$85,0)),"否"))</f>
        <v/>
      </c>
      <c r="Y711" s="61" t="str">
        <f aca="false">IF($B711="","",YEAR($B711))</f>
        <v/>
      </c>
      <c r="Z711" s="58" t="str">
        <f aca="false">IF($B711="","",TEXT($B711,"yyyy-mm"))</f>
        <v/>
      </c>
    </row>
    <row r="712" customFormat="false" ht="15" hidden="false" customHeight="false" outlineLevel="0" collapsed="false">
      <c r="A712" s="53" t="str">
        <f aca="false">IF($B712="","",ROW()-5)</f>
        <v/>
      </c>
      <c r="B712" s="54"/>
      <c r="C712" s="33"/>
      <c r="D712" s="33"/>
      <c r="E712" s="32"/>
      <c r="F712" s="39"/>
      <c r="G712" s="48" t="str">
        <f aca="false">IF($F712="","",IFERROR(INDEX(商品档案!$B$6:$B$65,MATCH($F712,商品档案!$A$6:$A$65,0)),""))</f>
        <v/>
      </c>
      <c r="H712" s="48" t="str">
        <f aca="false">IF($F712="","",IFERROR(INDEX(商品档案!$C$6:$C$65,MATCH($F712,商品档案!$A$6:$A$65,0)),""))</f>
        <v/>
      </c>
      <c r="I712" s="55" t="str">
        <f aca="false">IF($F712="","",IFERROR(INDEX(商品档案!$D$6:$D$65,MATCH($F712,商品档案!$A$6:$A$65,0)),""))</f>
        <v/>
      </c>
      <c r="J712" s="49"/>
      <c r="K712" s="56"/>
      <c r="L712" s="33"/>
      <c r="M712" s="39"/>
      <c r="N712" s="41"/>
      <c r="O712" s="41"/>
      <c r="P712" s="25" t="str">
        <f aca="false">IF(AND($B712="",$D712="",$F712=""),"",IF(NOT(ISNUMBER($B712)),"日期无效",IF(ISNA(MATCH($C712,参数设置!$A$10:$A$12,0)),"公司无效",IF(ISNA(MATCH($D712,记账规则!$A$6:$A$9,0)),"业务类型无效",IF(ISNA(MATCH($F712,商品档案!$A$6:$A$65,0)),"商品编码无效",IF(IFERROR(INDEX(商品档案!$E$6:$E$65,MATCH($F712,商品档案!$A$6:$A$65,0)),"")&lt;&gt;$C712,"商品不属于该公司",IF(AND($E712&lt;&gt;"",ISNA(MATCH($E712,往来单位!$A$6:$A$85,0))),"往来单位未建档",IF(N($J712)=0,"数量为 0",IF(N($K712)=0,"单价为 0",IF(AND(LEFT($D712,2)="销售",$U712=""),"该商品没设成本科目",IF(YEAR($B712)&lt;&gt;参数设置!$B$5,"不在本会计年度","OK")))))))))))</f>
        <v/>
      </c>
      <c r="Q712" s="57" t="str">
        <f aca="false">IF($F712="","",ROUND(N($J712)*N($K712),2))</f>
        <v/>
      </c>
      <c r="R712" s="58" t="str">
        <f aca="false">IF($D712="","",IF(LEFT($D712,2)="销售","应收账款","应付账款"))</f>
        <v/>
      </c>
      <c r="S712" s="58" t="str">
        <f aca="false">IF($F712="","",IFERROR(INDEX(商品档案!$G$6:$G$65,MATCH($F712,商品档案!$A$6:$A$65,0)),""))</f>
        <v/>
      </c>
      <c r="T712" s="58" t="str">
        <f aca="false">IF($F712="","",IFERROR(INDEX(商品档案!$H$6:$H$65,MATCH($F712,商品档案!$A$6:$A$65,0)),""))</f>
        <v/>
      </c>
      <c r="U712" s="58" t="str">
        <f aca="false">IF($F712="","",IFERROR(INDEX(商品档案!$I$6:$I$65,MATCH($F712,商品档案!$A$6:$A$65,0)),""))</f>
        <v/>
      </c>
      <c r="V712" s="59" t="str">
        <f aca="false">IF($F712="","",SUMIFS(进销存台账!$N$6:$N$65,进销存台账!$A$6:$A$65,$C712,进销存台账!$B$6:$B$65,$F712))</f>
        <v/>
      </c>
      <c r="W712" s="60" t="n">
        <f aca="false">IF(OR($D712="销售出库",$D712="销售退回"),ROUND(N($J712)*N($V712),2),0)</f>
        <v>0</v>
      </c>
      <c r="X712" s="58" t="str">
        <f aca="false">IF($E712="","",IFERROR(INDEX(往来单位!$D$6:$D$85,MATCH($E712,往来单位!$A$6:$A$85,0)),"否"))</f>
        <v/>
      </c>
      <c r="Y712" s="61" t="str">
        <f aca="false">IF($B712="","",YEAR($B712))</f>
        <v/>
      </c>
      <c r="Z712" s="58" t="str">
        <f aca="false">IF($B712="","",TEXT($B712,"yyyy-mm"))</f>
        <v/>
      </c>
    </row>
    <row r="713" customFormat="false" ht="15" hidden="false" customHeight="false" outlineLevel="0" collapsed="false">
      <c r="A713" s="53" t="str">
        <f aca="false">IF($B713="","",ROW()-5)</f>
        <v/>
      </c>
      <c r="B713" s="54"/>
      <c r="C713" s="33"/>
      <c r="D713" s="33"/>
      <c r="E713" s="32"/>
      <c r="F713" s="39"/>
      <c r="G713" s="48" t="str">
        <f aca="false">IF($F713="","",IFERROR(INDEX(商品档案!$B$6:$B$65,MATCH($F713,商品档案!$A$6:$A$65,0)),""))</f>
        <v/>
      </c>
      <c r="H713" s="48" t="str">
        <f aca="false">IF($F713="","",IFERROR(INDEX(商品档案!$C$6:$C$65,MATCH($F713,商品档案!$A$6:$A$65,0)),""))</f>
        <v/>
      </c>
      <c r="I713" s="55" t="str">
        <f aca="false">IF($F713="","",IFERROR(INDEX(商品档案!$D$6:$D$65,MATCH($F713,商品档案!$A$6:$A$65,0)),""))</f>
        <v/>
      </c>
      <c r="J713" s="49"/>
      <c r="K713" s="56"/>
      <c r="L713" s="33"/>
      <c r="M713" s="39"/>
      <c r="N713" s="41"/>
      <c r="O713" s="41"/>
      <c r="P713" s="25" t="str">
        <f aca="false">IF(AND($B713="",$D713="",$F713=""),"",IF(NOT(ISNUMBER($B713)),"日期无效",IF(ISNA(MATCH($C713,参数设置!$A$10:$A$12,0)),"公司无效",IF(ISNA(MATCH($D713,记账规则!$A$6:$A$9,0)),"业务类型无效",IF(ISNA(MATCH($F713,商品档案!$A$6:$A$65,0)),"商品编码无效",IF(IFERROR(INDEX(商品档案!$E$6:$E$65,MATCH($F713,商品档案!$A$6:$A$65,0)),"")&lt;&gt;$C713,"商品不属于该公司",IF(AND($E713&lt;&gt;"",ISNA(MATCH($E713,往来单位!$A$6:$A$85,0))),"往来单位未建档",IF(N($J713)=0,"数量为 0",IF(N($K713)=0,"单价为 0",IF(AND(LEFT($D713,2)="销售",$U713=""),"该商品没设成本科目",IF(YEAR($B713)&lt;&gt;参数设置!$B$5,"不在本会计年度","OK")))))))))))</f>
        <v/>
      </c>
      <c r="Q713" s="57" t="str">
        <f aca="false">IF($F713="","",ROUND(N($J713)*N($K713),2))</f>
        <v/>
      </c>
      <c r="R713" s="58" t="str">
        <f aca="false">IF($D713="","",IF(LEFT($D713,2)="销售","应收账款","应付账款"))</f>
        <v/>
      </c>
      <c r="S713" s="58" t="str">
        <f aca="false">IF($F713="","",IFERROR(INDEX(商品档案!$G$6:$G$65,MATCH($F713,商品档案!$A$6:$A$65,0)),""))</f>
        <v/>
      </c>
      <c r="T713" s="58" t="str">
        <f aca="false">IF($F713="","",IFERROR(INDEX(商品档案!$H$6:$H$65,MATCH($F713,商品档案!$A$6:$A$65,0)),""))</f>
        <v/>
      </c>
      <c r="U713" s="58" t="str">
        <f aca="false">IF($F713="","",IFERROR(INDEX(商品档案!$I$6:$I$65,MATCH($F713,商品档案!$A$6:$A$65,0)),""))</f>
        <v/>
      </c>
      <c r="V713" s="59" t="str">
        <f aca="false">IF($F713="","",SUMIFS(进销存台账!$N$6:$N$65,进销存台账!$A$6:$A$65,$C713,进销存台账!$B$6:$B$65,$F713))</f>
        <v/>
      </c>
      <c r="W713" s="60" t="n">
        <f aca="false">IF(OR($D713="销售出库",$D713="销售退回"),ROUND(N($J713)*N($V713),2),0)</f>
        <v>0</v>
      </c>
      <c r="X713" s="58" t="str">
        <f aca="false">IF($E713="","",IFERROR(INDEX(往来单位!$D$6:$D$85,MATCH($E713,往来单位!$A$6:$A$85,0)),"否"))</f>
        <v/>
      </c>
      <c r="Y713" s="61" t="str">
        <f aca="false">IF($B713="","",YEAR($B713))</f>
        <v/>
      </c>
      <c r="Z713" s="58" t="str">
        <f aca="false">IF($B713="","",TEXT($B713,"yyyy-mm"))</f>
        <v/>
      </c>
    </row>
    <row r="714" customFormat="false" ht="15" hidden="false" customHeight="false" outlineLevel="0" collapsed="false">
      <c r="A714" s="53" t="str">
        <f aca="false">IF($B714="","",ROW()-5)</f>
        <v/>
      </c>
      <c r="B714" s="54"/>
      <c r="C714" s="33"/>
      <c r="D714" s="33"/>
      <c r="E714" s="32"/>
      <c r="F714" s="39"/>
      <c r="G714" s="48" t="str">
        <f aca="false">IF($F714="","",IFERROR(INDEX(商品档案!$B$6:$B$65,MATCH($F714,商品档案!$A$6:$A$65,0)),""))</f>
        <v/>
      </c>
      <c r="H714" s="48" t="str">
        <f aca="false">IF($F714="","",IFERROR(INDEX(商品档案!$C$6:$C$65,MATCH($F714,商品档案!$A$6:$A$65,0)),""))</f>
        <v/>
      </c>
      <c r="I714" s="55" t="str">
        <f aca="false">IF($F714="","",IFERROR(INDEX(商品档案!$D$6:$D$65,MATCH($F714,商品档案!$A$6:$A$65,0)),""))</f>
        <v/>
      </c>
      <c r="J714" s="49"/>
      <c r="K714" s="56"/>
      <c r="L714" s="33"/>
      <c r="M714" s="39"/>
      <c r="N714" s="41"/>
      <c r="O714" s="41"/>
      <c r="P714" s="25" t="str">
        <f aca="false">IF(AND($B714="",$D714="",$F714=""),"",IF(NOT(ISNUMBER($B714)),"日期无效",IF(ISNA(MATCH($C714,参数设置!$A$10:$A$12,0)),"公司无效",IF(ISNA(MATCH($D714,记账规则!$A$6:$A$9,0)),"业务类型无效",IF(ISNA(MATCH($F714,商品档案!$A$6:$A$65,0)),"商品编码无效",IF(IFERROR(INDEX(商品档案!$E$6:$E$65,MATCH($F714,商品档案!$A$6:$A$65,0)),"")&lt;&gt;$C714,"商品不属于该公司",IF(AND($E714&lt;&gt;"",ISNA(MATCH($E714,往来单位!$A$6:$A$85,0))),"往来单位未建档",IF(N($J714)=0,"数量为 0",IF(N($K714)=0,"单价为 0",IF(AND(LEFT($D714,2)="销售",$U714=""),"该商品没设成本科目",IF(YEAR($B714)&lt;&gt;参数设置!$B$5,"不在本会计年度","OK")))))))))))</f>
        <v/>
      </c>
      <c r="Q714" s="57" t="str">
        <f aca="false">IF($F714="","",ROUND(N($J714)*N($K714),2))</f>
        <v/>
      </c>
      <c r="R714" s="58" t="str">
        <f aca="false">IF($D714="","",IF(LEFT($D714,2)="销售","应收账款","应付账款"))</f>
        <v/>
      </c>
      <c r="S714" s="58" t="str">
        <f aca="false">IF($F714="","",IFERROR(INDEX(商品档案!$G$6:$G$65,MATCH($F714,商品档案!$A$6:$A$65,0)),""))</f>
        <v/>
      </c>
      <c r="T714" s="58" t="str">
        <f aca="false">IF($F714="","",IFERROR(INDEX(商品档案!$H$6:$H$65,MATCH($F714,商品档案!$A$6:$A$65,0)),""))</f>
        <v/>
      </c>
      <c r="U714" s="58" t="str">
        <f aca="false">IF($F714="","",IFERROR(INDEX(商品档案!$I$6:$I$65,MATCH($F714,商品档案!$A$6:$A$65,0)),""))</f>
        <v/>
      </c>
      <c r="V714" s="59" t="str">
        <f aca="false">IF($F714="","",SUMIFS(进销存台账!$N$6:$N$65,进销存台账!$A$6:$A$65,$C714,进销存台账!$B$6:$B$65,$F714))</f>
        <v/>
      </c>
      <c r="W714" s="60" t="n">
        <f aca="false">IF(OR($D714="销售出库",$D714="销售退回"),ROUND(N($J714)*N($V714),2),0)</f>
        <v>0</v>
      </c>
      <c r="X714" s="58" t="str">
        <f aca="false">IF($E714="","",IFERROR(INDEX(往来单位!$D$6:$D$85,MATCH($E714,往来单位!$A$6:$A$85,0)),"否"))</f>
        <v/>
      </c>
      <c r="Y714" s="61" t="str">
        <f aca="false">IF($B714="","",YEAR($B714))</f>
        <v/>
      </c>
      <c r="Z714" s="58" t="str">
        <f aca="false">IF($B714="","",TEXT($B714,"yyyy-mm"))</f>
        <v/>
      </c>
    </row>
    <row r="715" customFormat="false" ht="15" hidden="false" customHeight="false" outlineLevel="0" collapsed="false">
      <c r="A715" s="53" t="str">
        <f aca="false">IF($B715="","",ROW()-5)</f>
        <v/>
      </c>
      <c r="B715" s="54"/>
      <c r="C715" s="33"/>
      <c r="D715" s="33"/>
      <c r="E715" s="32"/>
      <c r="F715" s="39"/>
      <c r="G715" s="48" t="str">
        <f aca="false">IF($F715="","",IFERROR(INDEX(商品档案!$B$6:$B$65,MATCH($F715,商品档案!$A$6:$A$65,0)),""))</f>
        <v/>
      </c>
      <c r="H715" s="48" t="str">
        <f aca="false">IF($F715="","",IFERROR(INDEX(商品档案!$C$6:$C$65,MATCH($F715,商品档案!$A$6:$A$65,0)),""))</f>
        <v/>
      </c>
      <c r="I715" s="55" t="str">
        <f aca="false">IF($F715="","",IFERROR(INDEX(商品档案!$D$6:$D$65,MATCH($F715,商品档案!$A$6:$A$65,0)),""))</f>
        <v/>
      </c>
      <c r="J715" s="49"/>
      <c r="K715" s="56"/>
      <c r="L715" s="33"/>
      <c r="M715" s="39"/>
      <c r="N715" s="41"/>
      <c r="O715" s="41"/>
      <c r="P715" s="25" t="str">
        <f aca="false">IF(AND($B715="",$D715="",$F715=""),"",IF(NOT(ISNUMBER($B715)),"日期无效",IF(ISNA(MATCH($C715,参数设置!$A$10:$A$12,0)),"公司无效",IF(ISNA(MATCH($D715,记账规则!$A$6:$A$9,0)),"业务类型无效",IF(ISNA(MATCH($F715,商品档案!$A$6:$A$65,0)),"商品编码无效",IF(IFERROR(INDEX(商品档案!$E$6:$E$65,MATCH($F715,商品档案!$A$6:$A$65,0)),"")&lt;&gt;$C715,"商品不属于该公司",IF(AND($E715&lt;&gt;"",ISNA(MATCH($E715,往来单位!$A$6:$A$85,0))),"往来单位未建档",IF(N($J715)=0,"数量为 0",IF(N($K715)=0,"单价为 0",IF(AND(LEFT($D715,2)="销售",$U715=""),"该商品没设成本科目",IF(YEAR($B715)&lt;&gt;参数设置!$B$5,"不在本会计年度","OK")))))))))))</f>
        <v/>
      </c>
      <c r="Q715" s="57" t="str">
        <f aca="false">IF($F715="","",ROUND(N($J715)*N($K715),2))</f>
        <v/>
      </c>
      <c r="R715" s="58" t="str">
        <f aca="false">IF($D715="","",IF(LEFT($D715,2)="销售","应收账款","应付账款"))</f>
        <v/>
      </c>
      <c r="S715" s="58" t="str">
        <f aca="false">IF($F715="","",IFERROR(INDEX(商品档案!$G$6:$G$65,MATCH($F715,商品档案!$A$6:$A$65,0)),""))</f>
        <v/>
      </c>
      <c r="T715" s="58" t="str">
        <f aca="false">IF($F715="","",IFERROR(INDEX(商品档案!$H$6:$H$65,MATCH($F715,商品档案!$A$6:$A$65,0)),""))</f>
        <v/>
      </c>
      <c r="U715" s="58" t="str">
        <f aca="false">IF($F715="","",IFERROR(INDEX(商品档案!$I$6:$I$65,MATCH($F715,商品档案!$A$6:$A$65,0)),""))</f>
        <v/>
      </c>
      <c r="V715" s="59" t="str">
        <f aca="false">IF($F715="","",SUMIFS(进销存台账!$N$6:$N$65,进销存台账!$A$6:$A$65,$C715,进销存台账!$B$6:$B$65,$F715))</f>
        <v/>
      </c>
      <c r="W715" s="60" t="n">
        <f aca="false">IF(OR($D715="销售出库",$D715="销售退回"),ROUND(N($J715)*N($V715),2),0)</f>
        <v>0</v>
      </c>
      <c r="X715" s="58" t="str">
        <f aca="false">IF($E715="","",IFERROR(INDEX(往来单位!$D$6:$D$85,MATCH($E715,往来单位!$A$6:$A$85,0)),"否"))</f>
        <v/>
      </c>
      <c r="Y715" s="61" t="str">
        <f aca="false">IF($B715="","",YEAR($B715))</f>
        <v/>
      </c>
      <c r="Z715" s="58" t="str">
        <f aca="false">IF($B715="","",TEXT($B715,"yyyy-mm"))</f>
        <v/>
      </c>
    </row>
    <row r="716" customFormat="false" ht="15" hidden="false" customHeight="false" outlineLevel="0" collapsed="false">
      <c r="A716" s="53" t="str">
        <f aca="false">IF($B716="","",ROW()-5)</f>
        <v/>
      </c>
      <c r="B716" s="54"/>
      <c r="C716" s="33"/>
      <c r="D716" s="33"/>
      <c r="E716" s="32"/>
      <c r="F716" s="39"/>
      <c r="G716" s="48" t="str">
        <f aca="false">IF($F716="","",IFERROR(INDEX(商品档案!$B$6:$B$65,MATCH($F716,商品档案!$A$6:$A$65,0)),""))</f>
        <v/>
      </c>
      <c r="H716" s="48" t="str">
        <f aca="false">IF($F716="","",IFERROR(INDEX(商品档案!$C$6:$C$65,MATCH($F716,商品档案!$A$6:$A$65,0)),""))</f>
        <v/>
      </c>
      <c r="I716" s="55" t="str">
        <f aca="false">IF($F716="","",IFERROR(INDEX(商品档案!$D$6:$D$65,MATCH($F716,商品档案!$A$6:$A$65,0)),""))</f>
        <v/>
      </c>
      <c r="J716" s="49"/>
      <c r="K716" s="56"/>
      <c r="L716" s="33"/>
      <c r="M716" s="39"/>
      <c r="N716" s="41"/>
      <c r="O716" s="41"/>
      <c r="P716" s="25" t="str">
        <f aca="false">IF(AND($B716="",$D716="",$F716=""),"",IF(NOT(ISNUMBER($B716)),"日期无效",IF(ISNA(MATCH($C716,参数设置!$A$10:$A$12,0)),"公司无效",IF(ISNA(MATCH($D716,记账规则!$A$6:$A$9,0)),"业务类型无效",IF(ISNA(MATCH($F716,商品档案!$A$6:$A$65,0)),"商品编码无效",IF(IFERROR(INDEX(商品档案!$E$6:$E$65,MATCH($F716,商品档案!$A$6:$A$65,0)),"")&lt;&gt;$C716,"商品不属于该公司",IF(AND($E716&lt;&gt;"",ISNA(MATCH($E716,往来单位!$A$6:$A$85,0))),"往来单位未建档",IF(N($J716)=0,"数量为 0",IF(N($K716)=0,"单价为 0",IF(AND(LEFT($D716,2)="销售",$U716=""),"该商品没设成本科目",IF(YEAR($B716)&lt;&gt;参数设置!$B$5,"不在本会计年度","OK")))))))))))</f>
        <v/>
      </c>
      <c r="Q716" s="57" t="str">
        <f aca="false">IF($F716="","",ROUND(N($J716)*N($K716),2))</f>
        <v/>
      </c>
      <c r="R716" s="58" t="str">
        <f aca="false">IF($D716="","",IF(LEFT($D716,2)="销售","应收账款","应付账款"))</f>
        <v/>
      </c>
      <c r="S716" s="58" t="str">
        <f aca="false">IF($F716="","",IFERROR(INDEX(商品档案!$G$6:$G$65,MATCH($F716,商品档案!$A$6:$A$65,0)),""))</f>
        <v/>
      </c>
      <c r="T716" s="58" t="str">
        <f aca="false">IF($F716="","",IFERROR(INDEX(商品档案!$H$6:$H$65,MATCH($F716,商品档案!$A$6:$A$65,0)),""))</f>
        <v/>
      </c>
      <c r="U716" s="58" t="str">
        <f aca="false">IF($F716="","",IFERROR(INDEX(商品档案!$I$6:$I$65,MATCH($F716,商品档案!$A$6:$A$65,0)),""))</f>
        <v/>
      </c>
      <c r="V716" s="59" t="str">
        <f aca="false">IF($F716="","",SUMIFS(进销存台账!$N$6:$N$65,进销存台账!$A$6:$A$65,$C716,进销存台账!$B$6:$B$65,$F716))</f>
        <v/>
      </c>
      <c r="W716" s="60" t="n">
        <f aca="false">IF(OR($D716="销售出库",$D716="销售退回"),ROUND(N($J716)*N($V716),2),0)</f>
        <v>0</v>
      </c>
      <c r="X716" s="58" t="str">
        <f aca="false">IF($E716="","",IFERROR(INDEX(往来单位!$D$6:$D$85,MATCH($E716,往来单位!$A$6:$A$85,0)),"否"))</f>
        <v/>
      </c>
      <c r="Y716" s="61" t="str">
        <f aca="false">IF($B716="","",YEAR($B716))</f>
        <v/>
      </c>
      <c r="Z716" s="58" t="str">
        <f aca="false">IF($B716="","",TEXT($B716,"yyyy-mm"))</f>
        <v/>
      </c>
    </row>
    <row r="717" customFormat="false" ht="15" hidden="false" customHeight="false" outlineLevel="0" collapsed="false">
      <c r="A717" s="53" t="str">
        <f aca="false">IF($B717="","",ROW()-5)</f>
        <v/>
      </c>
      <c r="B717" s="54"/>
      <c r="C717" s="33"/>
      <c r="D717" s="33"/>
      <c r="E717" s="32"/>
      <c r="F717" s="39"/>
      <c r="G717" s="48" t="str">
        <f aca="false">IF($F717="","",IFERROR(INDEX(商品档案!$B$6:$B$65,MATCH($F717,商品档案!$A$6:$A$65,0)),""))</f>
        <v/>
      </c>
      <c r="H717" s="48" t="str">
        <f aca="false">IF($F717="","",IFERROR(INDEX(商品档案!$C$6:$C$65,MATCH($F717,商品档案!$A$6:$A$65,0)),""))</f>
        <v/>
      </c>
      <c r="I717" s="55" t="str">
        <f aca="false">IF($F717="","",IFERROR(INDEX(商品档案!$D$6:$D$65,MATCH($F717,商品档案!$A$6:$A$65,0)),""))</f>
        <v/>
      </c>
      <c r="J717" s="49"/>
      <c r="K717" s="56"/>
      <c r="L717" s="33"/>
      <c r="M717" s="39"/>
      <c r="N717" s="41"/>
      <c r="O717" s="41"/>
      <c r="P717" s="25" t="str">
        <f aca="false">IF(AND($B717="",$D717="",$F717=""),"",IF(NOT(ISNUMBER($B717)),"日期无效",IF(ISNA(MATCH($C717,参数设置!$A$10:$A$12,0)),"公司无效",IF(ISNA(MATCH($D717,记账规则!$A$6:$A$9,0)),"业务类型无效",IF(ISNA(MATCH($F717,商品档案!$A$6:$A$65,0)),"商品编码无效",IF(IFERROR(INDEX(商品档案!$E$6:$E$65,MATCH($F717,商品档案!$A$6:$A$65,0)),"")&lt;&gt;$C717,"商品不属于该公司",IF(AND($E717&lt;&gt;"",ISNA(MATCH($E717,往来单位!$A$6:$A$85,0))),"往来单位未建档",IF(N($J717)=0,"数量为 0",IF(N($K717)=0,"单价为 0",IF(AND(LEFT($D717,2)="销售",$U717=""),"该商品没设成本科目",IF(YEAR($B717)&lt;&gt;参数设置!$B$5,"不在本会计年度","OK")))))))))))</f>
        <v/>
      </c>
      <c r="Q717" s="57" t="str">
        <f aca="false">IF($F717="","",ROUND(N($J717)*N($K717),2))</f>
        <v/>
      </c>
      <c r="R717" s="58" t="str">
        <f aca="false">IF($D717="","",IF(LEFT($D717,2)="销售","应收账款","应付账款"))</f>
        <v/>
      </c>
      <c r="S717" s="58" t="str">
        <f aca="false">IF($F717="","",IFERROR(INDEX(商品档案!$G$6:$G$65,MATCH($F717,商品档案!$A$6:$A$65,0)),""))</f>
        <v/>
      </c>
      <c r="T717" s="58" t="str">
        <f aca="false">IF($F717="","",IFERROR(INDEX(商品档案!$H$6:$H$65,MATCH($F717,商品档案!$A$6:$A$65,0)),""))</f>
        <v/>
      </c>
      <c r="U717" s="58" t="str">
        <f aca="false">IF($F717="","",IFERROR(INDEX(商品档案!$I$6:$I$65,MATCH($F717,商品档案!$A$6:$A$65,0)),""))</f>
        <v/>
      </c>
      <c r="V717" s="59" t="str">
        <f aca="false">IF($F717="","",SUMIFS(进销存台账!$N$6:$N$65,进销存台账!$A$6:$A$65,$C717,进销存台账!$B$6:$B$65,$F717))</f>
        <v/>
      </c>
      <c r="W717" s="60" t="n">
        <f aca="false">IF(OR($D717="销售出库",$D717="销售退回"),ROUND(N($J717)*N($V717),2),0)</f>
        <v>0</v>
      </c>
      <c r="X717" s="58" t="str">
        <f aca="false">IF($E717="","",IFERROR(INDEX(往来单位!$D$6:$D$85,MATCH($E717,往来单位!$A$6:$A$85,0)),"否"))</f>
        <v/>
      </c>
      <c r="Y717" s="61" t="str">
        <f aca="false">IF($B717="","",YEAR($B717))</f>
        <v/>
      </c>
      <c r="Z717" s="58" t="str">
        <f aca="false">IF($B717="","",TEXT($B717,"yyyy-mm"))</f>
        <v/>
      </c>
    </row>
    <row r="718" customFormat="false" ht="15" hidden="false" customHeight="false" outlineLevel="0" collapsed="false">
      <c r="A718" s="53" t="str">
        <f aca="false">IF($B718="","",ROW()-5)</f>
        <v/>
      </c>
      <c r="B718" s="54"/>
      <c r="C718" s="33"/>
      <c r="D718" s="33"/>
      <c r="E718" s="32"/>
      <c r="F718" s="39"/>
      <c r="G718" s="48" t="str">
        <f aca="false">IF($F718="","",IFERROR(INDEX(商品档案!$B$6:$B$65,MATCH($F718,商品档案!$A$6:$A$65,0)),""))</f>
        <v/>
      </c>
      <c r="H718" s="48" t="str">
        <f aca="false">IF($F718="","",IFERROR(INDEX(商品档案!$C$6:$C$65,MATCH($F718,商品档案!$A$6:$A$65,0)),""))</f>
        <v/>
      </c>
      <c r="I718" s="55" t="str">
        <f aca="false">IF($F718="","",IFERROR(INDEX(商品档案!$D$6:$D$65,MATCH($F718,商品档案!$A$6:$A$65,0)),""))</f>
        <v/>
      </c>
      <c r="J718" s="49"/>
      <c r="K718" s="56"/>
      <c r="L718" s="33"/>
      <c r="M718" s="39"/>
      <c r="N718" s="41"/>
      <c r="O718" s="41"/>
      <c r="P718" s="25" t="str">
        <f aca="false">IF(AND($B718="",$D718="",$F718=""),"",IF(NOT(ISNUMBER($B718)),"日期无效",IF(ISNA(MATCH($C718,参数设置!$A$10:$A$12,0)),"公司无效",IF(ISNA(MATCH($D718,记账规则!$A$6:$A$9,0)),"业务类型无效",IF(ISNA(MATCH($F718,商品档案!$A$6:$A$65,0)),"商品编码无效",IF(IFERROR(INDEX(商品档案!$E$6:$E$65,MATCH($F718,商品档案!$A$6:$A$65,0)),"")&lt;&gt;$C718,"商品不属于该公司",IF(AND($E718&lt;&gt;"",ISNA(MATCH($E718,往来单位!$A$6:$A$85,0))),"往来单位未建档",IF(N($J718)=0,"数量为 0",IF(N($K718)=0,"单价为 0",IF(AND(LEFT($D718,2)="销售",$U718=""),"该商品没设成本科目",IF(YEAR($B718)&lt;&gt;参数设置!$B$5,"不在本会计年度","OK")))))))))))</f>
        <v/>
      </c>
      <c r="Q718" s="57" t="str">
        <f aca="false">IF($F718="","",ROUND(N($J718)*N($K718),2))</f>
        <v/>
      </c>
      <c r="R718" s="58" t="str">
        <f aca="false">IF($D718="","",IF(LEFT($D718,2)="销售","应收账款","应付账款"))</f>
        <v/>
      </c>
      <c r="S718" s="58" t="str">
        <f aca="false">IF($F718="","",IFERROR(INDEX(商品档案!$G$6:$G$65,MATCH($F718,商品档案!$A$6:$A$65,0)),""))</f>
        <v/>
      </c>
      <c r="T718" s="58" t="str">
        <f aca="false">IF($F718="","",IFERROR(INDEX(商品档案!$H$6:$H$65,MATCH($F718,商品档案!$A$6:$A$65,0)),""))</f>
        <v/>
      </c>
      <c r="U718" s="58" t="str">
        <f aca="false">IF($F718="","",IFERROR(INDEX(商品档案!$I$6:$I$65,MATCH($F718,商品档案!$A$6:$A$65,0)),""))</f>
        <v/>
      </c>
      <c r="V718" s="59" t="str">
        <f aca="false">IF($F718="","",SUMIFS(进销存台账!$N$6:$N$65,进销存台账!$A$6:$A$65,$C718,进销存台账!$B$6:$B$65,$F718))</f>
        <v/>
      </c>
      <c r="W718" s="60" t="n">
        <f aca="false">IF(OR($D718="销售出库",$D718="销售退回"),ROUND(N($J718)*N($V718),2),0)</f>
        <v>0</v>
      </c>
      <c r="X718" s="58" t="str">
        <f aca="false">IF($E718="","",IFERROR(INDEX(往来单位!$D$6:$D$85,MATCH($E718,往来单位!$A$6:$A$85,0)),"否"))</f>
        <v/>
      </c>
      <c r="Y718" s="61" t="str">
        <f aca="false">IF($B718="","",YEAR($B718))</f>
        <v/>
      </c>
      <c r="Z718" s="58" t="str">
        <f aca="false">IF($B718="","",TEXT($B718,"yyyy-mm"))</f>
        <v/>
      </c>
    </row>
    <row r="719" customFormat="false" ht="15" hidden="false" customHeight="false" outlineLevel="0" collapsed="false">
      <c r="A719" s="53" t="str">
        <f aca="false">IF($B719="","",ROW()-5)</f>
        <v/>
      </c>
      <c r="B719" s="54"/>
      <c r="C719" s="33"/>
      <c r="D719" s="33"/>
      <c r="E719" s="32"/>
      <c r="F719" s="39"/>
      <c r="G719" s="48" t="str">
        <f aca="false">IF($F719="","",IFERROR(INDEX(商品档案!$B$6:$B$65,MATCH($F719,商品档案!$A$6:$A$65,0)),""))</f>
        <v/>
      </c>
      <c r="H719" s="48" t="str">
        <f aca="false">IF($F719="","",IFERROR(INDEX(商品档案!$C$6:$C$65,MATCH($F719,商品档案!$A$6:$A$65,0)),""))</f>
        <v/>
      </c>
      <c r="I719" s="55" t="str">
        <f aca="false">IF($F719="","",IFERROR(INDEX(商品档案!$D$6:$D$65,MATCH($F719,商品档案!$A$6:$A$65,0)),""))</f>
        <v/>
      </c>
      <c r="J719" s="49"/>
      <c r="K719" s="56"/>
      <c r="L719" s="33"/>
      <c r="M719" s="39"/>
      <c r="N719" s="41"/>
      <c r="O719" s="41"/>
      <c r="P719" s="25" t="str">
        <f aca="false">IF(AND($B719="",$D719="",$F719=""),"",IF(NOT(ISNUMBER($B719)),"日期无效",IF(ISNA(MATCH($C719,参数设置!$A$10:$A$12,0)),"公司无效",IF(ISNA(MATCH($D719,记账规则!$A$6:$A$9,0)),"业务类型无效",IF(ISNA(MATCH($F719,商品档案!$A$6:$A$65,0)),"商品编码无效",IF(IFERROR(INDEX(商品档案!$E$6:$E$65,MATCH($F719,商品档案!$A$6:$A$65,0)),"")&lt;&gt;$C719,"商品不属于该公司",IF(AND($E719&lt;&gt;"",ISNA(MATCH($E719,往来单位!$A$6:$A$85,0))),"往来单位未建档",IF(N($J719)=0,"数量为 0",IF(N($K719)=0,"单价为 0",IF(AND(LEFT($D719,2)="销售",$U719=""),"该商品没设成本科目",IF(YEAR($B719)&lt;&gt;参数设置!$B$5,"不在本会计年度","OK")))))))))))</f>
        <v/>
      </c>
      <c r="Q719" s="57" t="str">
        <f aca="false">IF($F719="","",ROUND(N($J719)*N($K719),2))</f>
        <v/>
      </c>
      <c r="R719" s="58" t="str">
        <f aca="false">IF($D719="","",IF(LEFT($D719,2)="销售","应收账款","应付账款"))</f>
        <v/>
      </c>
      <c r="S719" s="58" t="str">
        <f aca="false">IF($F719="","",IFERROR(INDEX(商品档案!$G$6:$G$65,MATCH($F719,商品档案!$A$6:$A$65,0)),""))</f>
        <v/>
      </c>
      <c r="T719" s="58" t="str">
        <f aca="false">IF($F719="","",IFERROR(INDEX(商品档案!$H$6:$H$65,MATCH($F719,商品档案!$A$6:$A$65,0)),""))</f>
        <v/>
      </c>
      <c r="U719" s="58" t="str">
        <f aca="false">IF($F719="","",IFERROR(INDEX(商品档案!$I$6:$I$65,MATCH($F719,商品档案!$A$6:$A$65,0)),""))</f>
        <v/>
      </c>
      <c r="V719" s="59" t="str">
        <f aca="false">IF($F719="","",SUMIFS(进销存台账!$N$6:$N$65,进销存台账!$A$6:$A$65,$C719,进销存台账!$B$6:$B$65,$F719))</f>
        <v/>
      </c>
      <c r="W719" s="60" t="n">
        <f aca="false">IF(OR($D719="销售出库",$D719="销售退回"),ROUND(N($J719)*N($V719),2),0)</f>
        <v>0</v>
      </c>
      <c r="X719" s="58" t="str">
        <f aca="false">IF($E719="","",IFERROR(INDEX(往来单位!$D$6:$D$85,MATCH($E719,往来单位!$A$6:$A$85,0)),"否"))</f>
        <v/>
      </c>
      <c r="Y719" s="61" t="str">
        <f aca="false">IF($B719="","",YEAR($B719))</f>
        <v/>
      </c>
      <c r="Z719" s="58" t="str">
        <f aca="false">IF($B719="","",TEXT($B719,"yyyy-mm"))</f>
        <v/>
      </c>
    </row>
    <row r="720" customFormat="false" ht="15" hidden="false" customHeight="false" outlineLevel="0" collapsed="false">
      <c r="A720" s="53" t="str">
        <f aca="false">IF($B720="","",ROW()-5)</f>
        <v/>
      </c>
      <c r="B720" s="54"/>
      <c r="C720" s="33"/>
      <c r="D720" s="33"/>
      <c r="E720" s="32"/>
      <c r="F720" s="39"/>
      <c r="G720" s="48" t="str">
        <f aca="false">IF($F720="","",IFERROR(INDEX(商品档案!$B$6:$B$65,MATCH($F720,商品档案!$A$6:$A$65,0)),""))</f>
        <v/>
      </c>
      <c r="H720" s="48" t="str">
        <f aca="false">IF($F720="","",IFERROR(INDEX(商品档案!$C$6:$C$65,MATCH($F720,商品档案!$A$6:$A$65,0)),""))</f>
        <v/>
      </c>
      <c r="I720" s="55" t="str">
        <f aca="false">IF($F720="","",IFERROR(INDEX(商品档案!$D$6:$D$65,MATCH($F720,商品档案!$A$6:$A$65,0)),""))</f>
        <v/>
      </c>
      <c r="J720" s="49"/>
      <c r="K720" s="56"/>
      <c r="L720" s="33"/>
      <c r="M720" s="39"/>
      <c r="N720" s="41"/>
      <c r="O720" s="41"/>
      <c r="P720" s="25" t="str">
        <f aca="false">IF(AND($B720="",$D720="",$F720=""),"",IF(NOT(ISNUMBER($B720)),"日期无效",IF(ISNA(MATCH($C720,参数设置!$A$10:$A$12,0)),"公司无效",IF(ISNA(MATCH($D720,记账规则!$A$6:$A$9,0)),"业务类型无效",IF(ISNA(MATCH($F720,商品档案!$A$6:$A$65,0)),"商品编码无效",IF(IFERROR(INDEX(商品档案!$E$6:$E$65,MATCH($F720,商品档案!$A$6:$A$65,0)),"")&lt;&gt;$C720,"商品不属于该公司",IF(AND($E720&lt;&gt;"",ISNA(MATCH($E720,往来单位!$A$6:$A$85,0))),"往来单位未建档",IF(N($J720)=0,"数量为 0",IF(N($K720)=0,"单价为 0",IF(AND(LEFT($D720,2)="销售",$U720=""),"该商品没设成本科目",IF(YEAR($B720)&lt;&gt;参数设置!$B$5,"不在本会计年度","OK")))))))))))</f>
        <v/>
      </c>
      <c r="Q720" s="57" t="str">
        <f aca="false">IF($F720="","",ROUND(N($J720)*N($K720),2))</f>
        <v/>
      </c>
      <c r="R720" s="58" t="str">
        <f aca="false">IF($D720="","",IF(LEFT($D720,2)="销售","应收账款","应付账款"))</f>
        <v/>
      </c>
      <c r="S720" s="58" t="str">
        <f aca="false">IF($F720="","",IFERROR(INDEX(商品档案!$G$6:$G$65,MATCH($F720,商品档案!$A$6:$A$65,0)),""))</f>
        <v/>
      </c>
      <c r="T720" s="58" t="str">
        <f aca="false">IF($F720="","",IFERROR(INDEX(商品档案!$H$6:$H$65,MATCH($F720,商品档案!$A$6:$A$65,0)),""))</f>
        <v/>
      </c>
      <c r="U720" s="58" t="str">
        <f aca="false">IF($F720="","",IFERROR(INDEX(商品档案!$I$6:$I$65,MATCH($F720,商品档案!$A$6:$A$65,0)),""))</f>
        <v/>
      </c>
      <c r="V720" s="59" t="str">
        <f aca="false">IF($F720="","",SUMIFS(进销存台账!$N$6:$N$65,进销存台账!$A$6:$A$65,$C720,进销存台账!$B$6:$B$65,$F720))</f>
        <v/>
      </c>
      <c r="W720" s="60" t="n">
        <f aca="false">IF(OR($D720="销售出库",$D720="销售退回"),ROUND(N($J720)*N($V720),2),0)</f>
        <v>0</v>
      </c>
      <c r="X720" s="58" t="str">
        <f aca="false">IF($E720="","",IFERROR(INDEX(往来单位!$D$6:$D$85,MATCH($E720,往来单位!$A$6:$A$85,0)),"否"))</f>
        <v/>
      </c>
      <c r="Y720" s="61" t="str">
        <f aca="false">IF($B720="","",YEAR($B720))</f>
        <v/>
      </c>
      <c r="Z720" s="58" t="str">
        <f aca="false">IF($B720="","",TEXT($B720,"yyyy-mm"))</f>
        <v/>
      </c>
    </row>
    <row r="721" customFormat="false" ht="15" hidden="false" customHeight="false" outlineLevel="0" collapsed="false">
      <c r="A721" s="53" t="str">
        <f aca="false">IF($B721="","",ROW()-5)</f>
        <v/>
      </c>
      <c r="B721" s="54"/>
      <c r="C721" s="33"/>
      <c r="D721" s="33"/>
      <c r="E721" s="32"/>
      <c r="F721" s="39"/>
      <c r="G721" s="48" t="str">
        <f aca="false">IF($F721="","",IFERROR(INDEX(商品档案!$B$6:$B$65,MATCH($F721,商品档案!$A$6:$A$65,0)),""))</f>
        <v/>
      </c>
      <c r="H721" s="48" t="str">
        <f aca="false">IF($F721="","",IFERROR(INDEX(商品档案!$C$6:$C$65,MATCH($F721,商品档案!$A$6:$A$65,0)),""))</f>
        <v/>
      </c>
      <c r="I721" s="55" t="str">
        <f aca="false">IF($F721="","",IFERROR(INDEX(商品档案!$D$6:$D$65,MATCH($F721,商品档案!$A$6:$A$65,0)),""))</f>
        <v/>
      </c>
      <c r="J721" s="49"/>
      <c r="K721" s="56"/>
      <c r="L721" s="33"/>
      <c r="M721" s="39"/>
      <c r="N721" s="41"/>
      <c r="O721" s="41"/>
      <c r="P721" s="25" t="str">
        <f aca="false">IF(AND($B721="",$D721="",$F721=""),"",IF(NOT(ISNUMBER($B721)),"日期无效",IF(ISNA(MATCH($C721,参数设置!$A$10:$A$12,0)),"公司无效",IF(ISNA(MATCH($D721,记账规则!$A$6:$A$9,0)),"业务类型无效",IF(ISNA(MATCH($F721,商品档案!$A$6:$A$65,0)),"商品编码无效",IF(IFERROR(INDEX(商品档案!$E$6:$E$65,MATCH($F721,商品档案!$A$6:$A$65,0)),"")&lt;&gt;$C721,"商品不属于该公司",IF(AND($E721&lt;&gt;"",ISNA(MATCH($E721,往来单位!$A$6:$A$85,0))),"往来单位未建档",IF(N($J721)=0,"数量为 0",IF(N($K721)=0,"单价为 0",IF(AND(LEFT($D721,2)="销售",$U721=""),"该商品没设成本科目",IF(YEAR($B721)&lt;&gt;参数设置!$B$5,"不在本会计年度","OK")))))))))))</f>
        <v/>
      </c>
      <c r="Q721" s="57" t="str">
        <f aca="false">IF($F721="","",ROUND(N($J721)*N($K721),2))</f>
        <v/>
      </c>
      <c r="R721" s="58" t="str">
        <f aca="false">IF($D721="","",IF(LEFT($D721,2)="销售","应收账款","应付账款"))</f>
        <v/>
      </c>
      <c r="S721" s="58" t="str">
        <f aca="false">IF($F721="","",IFERROR(INDEX(商品档案!$G$6:$G$65,MATCH($F721,商品档案!$A$6:$A$65,0)),""))</f>
        <v/>
      </c>
      <c r="T721" s="58" t="str">
        <f aca="false">IF($F721="","",IFERROR(INDEX(商品档案!$H$6:$H$65,MATCH($F721,商品档案!$A$6:$A$65,0)),""))</f>
        <v/>
      </c>
      <c r="U721" s="58" t="str">
        <f aca="false">IF($F721="","",IFERROR(INDEX(商品档案!$I$6:$I$65,MATCH($F721,商品档案!$A$6:$A$65,0)),""))</f>
        <v/>
      </c>
      <c r="V721" s="59" t="str">
        <f aca="false">IF($F721="","",SUMIFS(进销存台账!$N$6:$N$65,进销存台账!$A$6:$A$65,$C721,进销存台账!$B$6:$B$65,$F721))</f>
        <v/>
      </c>
      <c r="W721" s="60" t="n">
        <f aca="false">IF(OR($D721="销售出库",$D721="销售退回"),ROUND(N($J721)*N($V721),2),0)</f>
        <v>0</v>
      </c>
      <c r="X721" s="58" t="str">
        <f aca="false">IF($E721="","",IFERROR(INDEX(往来单位!$D$6:$D$85,MATCH($E721,往来单位!$A$6:$A$85,0)),"否"))</f>
        <v/>
      </c>
      <c r="Y721" s="61" t="str">
        <f aca="false">IF($B721="","",YEAR($B721))</f>
        <v/>
      </c>
      <c r="Z721" s="58" t="str">
        <f aca="false">IF($B721="","",TEXT($B721,"yyyy-mm"))</f>
        <v/>
      </c>
    </row>
    <row r="722" customFormat="false" ht="15" hidden="false" customHeight="false" outlineLevel="0" collapsed="false">
      <c r="A722" s="53" t="str">
        <f aca="false">IF($B722="","",ROW()-5)</f>
        <v/>
      </c>
      <c r="B722" s="54"/>
      <c r="C722" s="33"/>
      <c r="D722" s="33"/>
      <c r="E722" s="32"/>
      <c r="F722" s="39"/>
      <c r="G722" s="48" t="str">
        <f aca="false">IF($F722="","",IFERROR(INDEX(商品档案!$B$6:$B$65,MATCH($F722,商品档案!$A$6:$A$65,0)),""))</f>
        <v/>
      </c>
      <c r="H722" s="48" t="str">
        <f aca="false">IF($F722="","",IFERROR(INDEX(商品档案!$C$6:$C$65,MATCH($F722,商品档案!$A$6:$A$65,0)),""))</f>
        <v/>
      </c>
      <c r="I722" s="55" t="str">
        <f aca="false">IF($F722="","",IFERROR(INDEX(商品档案!$D$6:$D$65,MATCH($F722,商品档案!$A$6:$A$65,0)),""))</f>
        <v/>
      </c>
      <c r="J722" s="49"/>
      <c r="K722" s="56"/>
      <c r="L722" s="33"/>
      <c r="M722" s="39"/>
      <c r="N722" s="41"/>
      <c r="O722" s="41"/>
      <c r="P722" s="25" t="str">
        <f aca="false">IF(AND($B722="",$D722="",$F722=""),"",IF(NOT(ISNUMBER($B722)),"日期无效",IF(ISNA(MATCH($C722,参数设置!$A$10:$A$12,0)),"公司无效",IF(ISNA(MATCH($D722,记账规则!$A$6:$A$9,0)),"业务类型无效",IF(ISNA(MATCH($F722,商品档案!$A$6:$A$65,0)),"商品编码无效",IF(IFERROR(INDEX(商品档案!$E$6:$E$65,MATCH($F722,商品档案!$A$6:$A$65,0)),"")&lt;&gt;$C722,"商品不属于该公司",IF(AND($E722&lt;&gt;"",ISNA(MATCH($E722,往来单位!$A$6:$A$85,0))),"往来单位未建档",IF(N($J722)=0,"数量为 0",IF(N($K722)=0,"单价为 0",IF(AND(LEFT($D722,2)="销售",$U722=""),"该商品没设成本科目",IF(YEAR($B722)&lt;&gt;参数设置!$B$5,"不在本会计年度","OK")))))))))))</f>
        <v/>
      </c>
      <c r="Q722" s="57" t="str">
        <f aca="false">IF($F722="","",ROUND(N($J722)*N($K722),2))</f>
        <v/>
      </c>
      <c r="R722" s="58" t="str">
        <f aca="false">IF($D722="","",IF(LEFT($D722,2)="销售","应收账款","应付账款"))</f>
        <v/>
      </c>
      <c r="S722" s="58" t="str">
        <f aca="false">IF($F722="","",IFERROR(INDEX(商品档案!$G$6:$G$65,MATCH($F722,商品档案!$A$6:$A$65,0)),""))</f>
        <v/>
      </c>
      <c r="T722" s="58" t="str">
        <f aca="false">IF($F722="","",IFERROR(INDEX(商品档案!$H$6:$H$65,MATCH($F722,商品档案!$A$6:$A$65,0)),""))</f>
        <v/>
      </c>
      <c r="U722" s="58" t="str">
        <f aca="false">IF($F722="","",IFERROR(INDEX(商品档案!$I$6:$I$65,MATCH($F722,商品档案!$A$6:$A$65,0)),""))</f>
        <v/>
      </c>
      <c r="V722" s="59" t="str">
        <f aca="false">IF($F722="","",SUMIFS(进销存台账!$N$6:$N$65,进销存台账!$A$6:$A$65,$C722,进销存台账!$B$6:$B$65,$F722))</f>
        <v/>
      </c>
      <c r="W722" s="60" t="n">
        <f aca="false">IF(OR($D722="销售出库",$D722="销售退回"),ROUND(N($J722)*N($V722),2),0)</f>
        <v>0</v>
      </c>
      <c r="X722" s="58" t="str">
        <f aca="false">IF($E722="","",IFERROR(INDEX(往来单位!$D$6:$D$85,MATCH($E722,往来单位!$A$6:$A$85,0)),"否"))</f>
        <v/>
      </c>
      <c r="Y722" s="61" t="str">
        <f aca="false">IF($B722="","",YEAR($B722))</f>
        <v/>
      </c>
      <c r="Z722" s="58" t="str">
        <f aca="false">IF($B722="","",TEXT($B722,"yyyy-mm"))</f>
        <v/>
      </c>
    </row>
    <row r="723" customFormat="false" ht="15" hidden="false" customHeight="false" outlineLevel="0" collapsed="false">
      <c r="A723" s="53" t="str">
        <f aca="false">IF($B723="","",ROW()-5)</f>
        <v/>
      </c>
      <c r="B723" s="54"/>
      <c r="C723" s="33"/>
      <c r="D723" s="33"/>
      <c r="E723" s="32"/>
      <c r="F723" s="39"/>
      <c r="G723" s="48" t="str">
        <f aca="false">IF($F723="","",IFERROR(INDEX(商品档案!$B$6:$B$65,MATCH($F723,商品档案!$A$6:$A$65,0)),""))</f>
        <v/>
      </c>
      <c r="H723" s="48" t="str">
        <f aca="false">IF($F723="","",IFERROR(INDEX(商品档案!$C$6:$C$65,MATCH($F723,商品档案!$A$6:$A$65,0)),""))</f>
        <v/>
      </c>
      <c r="I723" s="55" t="str">
        <f aca="false">IF($F723="","",IFERROR(INDEX(商品档案!$D$6:$D$65,MATCH($F723,商品档案!$A$6:$A$65,0)),""))</f>
        <v/>
      </c>
      <c r="J723" s="49"/>
      <c r="K723" s="56"/>
      <c r="L723" s="33"/>
      <c r="M723" s="39"/>
      <c r="N723" s="41"/>
      <c r="O723" s="41"/>
      <c r="P723" s="25" t="str">
        <f aca="false">IF(AND($B723="",$D723="",$F723=""),"",IF(NOT(ISNUMBER($B723)),"日期无效",IF(ISNA(MATCH($C723,参数设置!$A$10:$A$12,0)),"公司无效",IF(ISNA(MATCH($D723,记账规则!$A$6:$A$9,0)),"业务类型无效",IF(ISNA(MATCH($F723,商品档案!$A$6:$A$65,0)),"商品编码无效",IF(IFERROR(INDEX(商品档案!$E$6:$E$65,MATCH($F723,商品档案!$A$6:$A$65,0)),"")&lt;&gt;$C723,"商品不属于该公司",IF(AND($E723&lt;&gt;"",ISNA(MATCH($E723,往来单位!$A$6:$A$85,0))),"往来单位未建档",IF(N($J723)=0,"数量为 0",IF(N($K723)=0,"单价为 0",IF(AND(LEFT($D723,2)="销售",$U723=""),"该商品没设成本科目",IF(YEAR($B723)&lt;&gt;参数设置!$B$5,"不在本会计年度","OK")))))))))))</f>
        <v/>
      </c>
      <c r="Q723" s="57" t="str">
        <f aca="false">IF($F723="","",ROUND(N($J723)*N($K723),2))</f>
        <v/>
      </c>
      <c r="R723" s="58" t="str">
        <f aca="false">IF($D723="","",IF(LEFT($D723,2)="销售","应收账款","应付账款"))</f>
        <v/>
      </c>
      <c r="S723" s="58" t="str">
        <f aca="false">IF($F723="","",IFERROR(INDEX(商品档案!$G$6:$G$65,MATCH($F723,商品档案!$A$6:$A$65,0)),""))</f>
        <v/>
      </c>
      <c r="T723" s="58" t="str">
        <f aca="false">IF($F723="","",IFERROR(INDEX(商品档案!$H$6:$H$65,MATCH($F723,商品档案!$A$6:$A$65,0)),""))</f>
        <v/>
      </c>
      <c r="U723" s="58" t="str">
        <f aca="false">IF($F723="","",IFERROR(INDEX(商品档案!$I$6:$I$65,MATCH($F723,商品档案!$A$6:$A$65,0)),""))</f>
        <v/>
      </c>
      <c r="V723" s="59" t="str">
        <f aca="false">IF($F723="","",SUMIFS(进销存台账!$N$6:$N$65,进销存台账!$A$6:$A$65,$C723,进销存台账!$B$6:$B$65,$F723))</f>
        <v/>
      </c>
      <c r="W723" s="60" t="n">
        <f aca="false">IF(OR($D723="销售出库",$D723="销售退回"),ROUND(N($J723)*N($V723),2),0)</f>
        <v>0</v>
      </c>
      <c r="X723" s="58" t="str">
        <f aca="false">IF($E723="","",IFERROR(INDEX(往来单位!$D$6:$D$85,MATCH($E723,往来单位!$A$6:$A$85,0)),"否"))</f>
        <v/>
      </c>
      <c r="Y723" s="61" t="str">
        <f aca="false">IF($B723="","",YEAR($B723))</f>
        <v/>
      </c>
      <c r="Z723" s="58" t="str">
        <f aca="false">IF($B723="","",TEXT($B723,"yyyy-mm"))</f>
        <v/>
      </c>
    </row>
    <row r="724" customFormat="false" ht="15" hidden="false" customHeight="false" outlineLevel="0" collapsed="false">
      <c r="A724" s="53" t="str">
        <f aca="false">IF($B724="","",ROW()-5)</f>
        <v/>
      </c>
      <c r="B724" s="54"/>
      <c r="C724" s="33"/>
      <c r="D724" s="33"/>
      <c r="E724" s="32"/>
      <c r="F724" s="39"/>
      <c r="G724" s="48" t="str">
        <f aca="false">IF($F724="","",IFERROR(INDEX(商品档案!$B$6:$B$65,MATCH($F724,商品档案!$A$6:$A$65,0)),""))</f>
        <v/>
      </c>
      <c r="H724" s="48" t="str">
        <f aca="false">IF($F724="","",IFERROR(INDEX(商品档案!$C$6:$C$65,MATCH($F724,商品档案!$A$6:$A$65,0)),""))</f>
        <v/>
      </c>
      <c r="I724" s="55" t="str">
        <f aca="false">IF($F724="","",IFERROR(INDEX(商品档案!$D$6:$D$65,MATCH($F724,商品档案!$A$6:$A$65,0)),""))</f>
        <v/>
      </c>
      <c r="J724" s="49"/>
      <c r="K724" s="56"/>
      <c r="L724" s="33"/>
      <c r="M724" s="39"/>
      <c r="N724" s="41"/>
      <c r="O724" s="41"/>
      <c r="P724" s="25" t="str">
        <f aca="false">IF(AND($B724="",$D724="",$F724=""),"",IF(NOT(ISNUMBER($B724)),"日期无效",IF(ISNA(MATCH($C724,参数设置!$A$10:$A$12,0)),"公司无效",IF(ISNA(MATCH($D724,记账规则!$A$6:$A$9,0)),"业务类型无效",IF(ISNA(MATCH($F724,商品档案!$A$6:$A$65,0)),"商品编码无效",IF(IFERROR(INDEX(商品档案!$E$6:$E$65,MATCH($F724,商品档案!$A$6:$A$65,0)),"")&lt;&gt;$C724,"商品不属于该公司",IF(AND($E724&lt;&gt;"",ISNA(MATCH($E724,往来单位!$A$6:$A$85,0))),"往来单位未建档",IF(N($J724)=0,"数量为 0",IF(N($K724)=0,"单价为 0",IF(AND(LEFT($D724,2)="销售",$U724=""),"该商品没设成本科目",IF(YEAR($B724)&lt;&gt;参数设置!$B$5,"不在本会计年度","OK")))))))))))</f>
        <v/>
      </c>
      <c r="Q724" s="57" t="str">
        <f aca="false">IF($F724="","",ROUND(N($J724)*N($K724),2))</f>
        <v/>
      </c>
      <c r="R724" s="58" t="str">
        <f aca="false">IF($D724="","",IF(LEFT($D724,2)="销售","应收账款","应付账款"))</f>
        <v/>
      </c>
      <c r="S724" s="58" t="str">
        <f aca="false">IF($F724="","",IFERROR(INDEX(商品档案!$G$6:$G$65,MATCH($F724,商品档案!$A$6:$A$65,0)),""))</f>
        <v/>
      </c>
      <c r="T724" s="58" t="str">
        <f aca="false">IF($F724="","",IFERROR(INDEX(商品档案!$H$6:$H$65,MATCH($F724,商品档案!$A$6:$A$65,0)),""))</f>
        <v/>
      </c>
      <c r="U724" s="58" t="str">
        <f aca="false">IF($F724="","",IFERROR(INDEX(商品档案!$I$6:$I$65,MATCH($F724,商品档案!$A$6:$A$65,0)),""))</f>
        <v/>
      </c>
      <c r="V724" s="59" t="str">
        <f aca="false">IF($F724="","",SUMIFS(进销存台账!$N$6:$N$65,进销存台账!$A$6:$A$65,$C724,进销存台账!$B$6:$B$65,$F724))</f>
        <v/>
      </c>
      <c r="W724" s="60" t="n">
        <f aca="false">IF(OR($D724="销售出库",$D724="销售退回"),ROUND(N($J724)*N($V724),2),0)</f>
        <v>0</v>
      </c>
      <c r="X724" s="58" t="str">
        <f aca="false">IF($E724="","",IFERROR(INDEX(往来单位!$D$6:$D$85,MATCH($E724,往来单位!$A$6:$A$85,0)),"否"))</f>
        <v/>
      </c>
      <c r="Y724" s="61" t="str">
        <f aca="false">IF($B724="","",YEAR($B724))</f>
        <v/>
      </c>
      <c r="Z724" s="58" t="str">
        <f aca="false">IF($B724="","",TEXT($B724,"yyyy-mm"))</f>
        <v/>
      </c>
    </row>
    <row r="725" customFormat="false" ht="15" hidden="false" customHeight="false" outlineLevel="0" collapsed="false">
      <c r="A725" s="53" t="str">
        <f aca="false">IF($B725="","",ROW()-5)</f>
        <v/>
      </c>
      <c r="B725" s="54"/>
      <c r="C725" s="33"/>
      <c r="D725" s="33"/>
      <c r="E725" s="32"/>
      <c r="F725" s="39"/>
      <c r="G725" s="48" t="str">
        <f aca="false">IF($F725="","",IFERROR(INDEX(商品档案!$B$6:$B$65,MATCH($F725,商品档案!$A$6:$A$65,0)),""))</f>
        <v/>
      </c>
      <c r="H725" s="48" t="str">
        <f aca="false">IF($F725="","",IFERROR(INDEX(商品档案!$C$6:$C$65,MATCH($F725,商品档案!$A$6:$A$65,0)),""))</f>
        <v/>
      </c>
      <c r="I725" s="55" t="str">
        <f aca="false">IF($F725="","",IFERROR(INDEX(商品档案!$D$6:$D$65,MATCH($F725,商品档案!$A$6:$A$65,0)),""))</f>
        <v/>
      </c>
      <c r="J725" s="49"/>
      <c r="K725" s="56"/>
      <c r="L725" s="33"/>
      <c r="M725" s="39"/>
      <c r="N725" s="41"/>
      <c r="O725" s="41"/>
      <c r="P725" s="25" t="str">
        <f aca="false">IF(AND($B725="",$D725="",$F725=""),"",IF(NOT(ISNUMBER($B725)),"日期无效",IF(ISNA(MATCH($C725,参数设置!$A$10:$A$12,0)),"公司无效",IF(ISNA(MATCH($D725,记账规则!$A$6:$A$9,0)),"业务类型无效",IF(ISNA(MATCH($F725,商品档案!$A$6:$A$65,0)),"商品编码无效",IF(IFERROR(INDEX(商品档案!$E$6:$E$65,MATCH($F725,商品档案!$A$6:$A$65,0)),"")&lt;&gt;$C725,"商品不属于该公司",IF(AND($E725&lt;&gt;"",ISNA(MATCH($E725,往来单位!$A$6:$A$85,0))),"往来单位未建档",IF(N($J725)=0,"数量为 0",IF(N($K725)=0,"单价为 0",IF(AND(LEFT($D725,2)="销售",$U725=""),"该商品没设成本科目",IF(YEAR($B725)&lt;&gt;参数设置!$B$5,"不在本会计年度","OK")))))))))))</f>
        <v/>
      </c>
      <c r="Q725" s="57" t="str">
        <f aca="false">IF($F725="","",ROUND(N($J725)*N($K725),2))</f>
        <v/>
      </c>
      <c r="R725" s="58" t="str">
        <f aca="false">IF($D725="","",IF(LEFT($D725,2)="销售","应收账款","应付账款"))</f>
        <v/>
      </c>
      <c r="S725" s="58" t="str">
        <f aca="false">IF($F725="","",IFERROR(INDEX(商品档案!$G$6:$G$65,MATCH($F725,商品档案!$A$6:$A$65,0)),""))</f>
        <v/>
      </c>
      <c r="T725" s="58" t="str">
        <f aca="false">IF($F725="","",IFERROR(INDEX(商品档案!$H$6:$H$65,MATCH($F725,商品档案!$A$6:$A$65,0)),""))</f>
        <v/>
      </c>
      <c r="U725" s="58" t="str">
        <f aca="false">IF($F725="","",IFERROR(INDEX(商品档案!$I$6:$I$65,MATCH($F725,商品档案!$A$6:$A$65,0)),""))</f>
        <v/>
      </c>
      <c r="V725" s="59" t="str">
        <f aca="false">IF($F725="","",SUMIFS(进销存台账!$N$6:$N$65,进销存台账!$A$6:$A$65,$C725,进销存台账!$B$6:$B$65,$F725))</f>
        <v/>
      </c>
      <c r="W725" s="60" t="n">
        <f aca="false">IF(OR($D725="销售出库",$D725="销售退回"),ROUND(N($J725)*N($V725),2),0)</f>
        <v>0</v>
      </c>
      <c r="X725" s="58" t="str">
        <f aca="false">IF($E725="","",IFERROR(INDEX(往来单位!$D$6:$D$85,MATCH($E725,往来单位!$A$6:$A$85,0)),"否"))</f>
        <v/>
      </c>
      <c r="Y725" s="61" t="str">
        <f aca="false">IF($B725="","",YEAR($B725))</f>
        <v/>
      </c>
      <c r="Z725" s="58" t="str">
        <f aca="false">IF($B725="","",TEXT($B725,"yyyy-mm"))</f>
        <v/>
      </c>
    </row>
    <row r="726" customFormat="false" ht="15" hidden="false" customHeight="false" outlineLevel="0" collapsed="false">
      <c r="A726" s="53" t="str">
        <f aca="false">IF($B726="","",ROW()-5)</f>
        <v/>
      </c>
      <c r="B726" s="54"/>
      <c r="C726" s="33"/>
      <c r="D726" s="33"/>
      <c r="E726" s="32"/>
      <c r="F726" s="39"/>
      <c r="G726" s="48" t="str">
        <f aca="false">IF($F726="","",IFERROR(INDEX(商品档案!$B$6:$B$65,MATCH($F726,商品档案!$A$6:$A$65,0)),""))</f>
        <v/>
      </c>
      <c r="H726" s="48" t="str">
        <f aca="false">IF($F726="","",IFERROR(INDEX(商品档案!$C$6:$C$65,MATCH($F726,商品档案!$A$6:$A$65,0)),""))</f>
        <v/>
      </c>
      <c r="I726" s="55" t="str">
        <f aca="false">IF($F726="","",IFERROR(INDEX(商品档案!$D$6:$D$65,MATCH($F726,商品档案!$A$6:$A$65,0)),""))</f>
        <v/>
      </c>
      <c r="J726" s="49"/>
      <c r="K726" s="56"/>
      <c r="L726" s="33"/>
      <c r="M726" s="39"/>
      <c r="N726" s="41"/>
      <c r="O726" s="41"/>
      <c r="P726" s="25" t="str">
        <f aca="false">IF(AND($B726="",$D726="",$F726=""),"",IF(NOT(ISNUMBER($B726)),"日期无效",IF(ISNA(MATCH($C726,参数设置!$A$10:$A$12,0)),"公司无效",IF(ISNA(MATCH($D726,记账规则!$A$6:$A$9,0)),"业务类型无效",IF(ISNA(MATCH($F726,商品档案!$A$6:$A$65,0)),"商品编码无效",IF(IFERROR(INDEX(商品档案!$E$6:$E$65,MATCH($F726,商品档案!$A$6:$A$65,0)),"")&lt;&gt;$C726,"商品不属于该公司",IF(AND($E726&lt;&gt;"",ISNA(MATCH($E726,往来单位!$A$6:$A$85,0))),"往来单位未建档",IF(N($J726)=0,"数量为 0",IF(N($K726)=0,"单价为 0",IF(AND(LEFT($D726,2)="销售",$U726=""),"该商品没设成本科目",IF(YEAR($B726)&lt;&gt;参数设置!$B$5,"不在本会计年度","OK")))))))))))</f>
        <v/>
      </c>
      <c r="Q726" s="57" t="str">
        <f aca="false">IF($F726="","",ROUND(N($J726)*N($K726),2))</f>
        <v/>
      </c>
      <c r="R726" s="58" t="str">
        <f aca="false">IF($D726="","",IF(LEFT($D726,2)="销售","应收账款","应付账款"))</f>
        <v/>
      </c>
      <c r="S726" s="58" t="str">
        <f aca="false">IF($F726="","",IFERROR(INDEX(商品档案!$G$6:$G$65,MATCH($F726,商品档案!$A$6:$A$65,0)),""))</f>
        <v/>
      </c>
      <c r="T726" s="58" t="str">
        <f aca="false">IF($F726="","",IFERROR(INDEX(商品档案!$H$6:$H$65,MATCH($F726,商品档案!$A$6:$A$65,0)),""))</f>
        <v/>
      </c>
      <c r="U726" s="58" t="str">
        <f aca="false">IF($F726="","",IFERROR(INDEX(商品档案!$I$6:$I$65,MATCH($F726,商品档案!$A$6:$A$65,0)),""))</f>
        <v/>
      </c>
      <c r="V726" s="59" t="str">
        <f aca="false">IF($F726="","",SUMIFS(进销存台账!$N$6:$N$65,进销存台账!$A$6:$A$65,$C726,进销存台账!$B$6:$B$65,$F726))</f>
        <v/>
      </c>
      <c r="W726" s="60" t="n">
        <f aca="false">IF(OR($D726="销售出库",$D726="销售退回"),ROUND(N($J726)*N($V726),2),0)</f>
        <v>0</v>
      </c>
      <c r="X726" s="58" t="str">
        <f aca="false">IF($E726="","",IFERROR(INDEX(往来单位!$D$6:$D$85,MATCH($E726,往来单位!$A$6:$A$85,0)),"否"))</f>
        <v/>
      </c>
      <c r="Y726" s="61" t="str">
        <f aca="false">IF($B726="","",YEAR($B726))</f>
        <v/>
      </c>
      <c r="Z726" s="58" t="str">
        <f aca="false">IF($B726="","",TEXT($B726,"yyyy-mm"))</f>
        <v/>
      </c>
    </row>
    <row r="727" customFormat="false" ht="15" hidden="false" customHeight="false" outlineLevel="0" collapsed="false">
      <c r="A727" s="53" t="str">
        <f aca="false">IF($B727="","",ROW()-5)</f>
        <v/>
      </c>
      <c r="B727" s="54"/>
      <c r="C727" s="33"/>
      <c r="D727" s="33"/>
      <c r="E727" s="32"/>
      <c r="F727" s="39"/>
      <c r="G727" s="48" t="str">
        <f aca="false">IF($F727="","",IFERROR(INDEX(商品档案!$B$6:$B$65,MATCH($F727,商品档案!$A$6:$A$65,0)),""))</f>
        <v/>
      </c>
      <c r="H727" s="48" t="str">
        <f aca="false">IF($F727="","",IFERROR(INDEX(商品档案!$C$6:$C$65,MATCH($F727,商品档案!$A$6:$A$65,0)),""))</f>
        <v/>
      </c>
      <c r="I727" s="55" t="str">
        <f aca="false">IF($F727="","",IFERROR(INDEX(商品档案!$D$6:$D$65,MATCH($F727,商品档案!$A$6:$A$65,0)),""))</f>
        <v/>
      </c>
      <c r="J727" s="49"/>
      <c r="K727" s="56"/>
      <c r="L727" s="33"/>
      <c r="M727" s="39"/>
      <c r="N727" s="41"/>
      <c r="O727" s="41"/>
      <c r="P727" s="25" t="str">
        <f aca="false">IF(AND($B727="",$D727="",$F727=""),"",IF(NOT(ISNUMBER($B727)),"日期无效",IF(ISNA(MATCH($C727,参数设置!$A$10:$A$12,0)),"公司无效",IF(ISNA(MATCH($D727,记账规则!$A$6:$A$9,0)),"业务类型无效",IF(ISNA(MATCH($F727,商品档案!$A$6:$A$65,0)),"商品编码无效",IF(IFERROR(INDEX(商品档案!$E$6:$E$65,MATCH($F727,商品档案!$A$6:$A$65,0)),"")&lt;&gt;$C727,"商品不属于该公司",IF(AND($E727&lt;&gt;"",ISNA(MATCH($E727,往来单位!$A$6:$A$85,0))),"往来单位未建档",IF(N($J727)=0,"数量为 0",IF(N($K727)=0,"单价为 0",IF(AND(LEFT($D727,2)="销售",$U727=""),"该商品没设成本科目",IF(YEAR($B727)&lt;&gt;参数设置!$B$5,"不在本会计年度","OK")))))))))))</f>
        <v/>
      </c>
      <c r="Q727" s="57" t="str">
        <f aca="false">IF($F727="","",ROUND(N($J727)*N($K727),2))</f>
        <v/>
      </c>
      <c r="R727" s="58" t="str">
        <f aca="false">IF($D727="","",IF(LEFT($D727,2)="销售","应收账款","应付账款"))</f>
        <v/>
      </c>
      <c r="S727" s="58" t="str">
        <f aca="false">IF($F727="","",IFERROR(INDEX(商品档案!$G$6:$G$65,MATCH($F727,商品档案!$A$6:$A$65,0)),""))</f>
        <v/>
      </c>
      <c r="T727" s="58" t="str">
        <f aca="false">IF($F727="","",IFERROR(INDEX(商品档案!$H$6:$H$65,MATCH($F727,商品档案!$A$6:$A$65,0)),""))</f>
        <v/>
      </c>
      <c r="U727" s="58" t="str">
        <f aca="false">IF($F727="","",IFERROR(INDEX(商品档案!$I$6:$I$65,MATCH($F727,商品档案!$A$6:$A$65,0)),""))</f>
        <v/>
      </c>
      <c r="V727" s="59" t="str">
        <f aca="false">IF($F727="","",SUMIFS(进销存台账!$N$6:$N$65,进销存台账!$A$6:$A$65,$C727,进销存台账!$B$6:$B$65,$F727))</f>
        <v/>
      </c>
      <c r="W727" s="60" t="n">
        <f aca="false">IF(OR($D727="销售出库",$D727="销售退回"),ROUND(N($J727)*N($V727),2),0)</f>
        <v>0</v>
      </c>
      <c r="X727" s="58" t="str">
        <f aca="false">IF($E727="","",IFERROR(INDEX(往来单位!$D$6:$D$85,MATCH($E727,往来单位!$A$6:$A$85,0)),"否"))</f>
        <v/>
      </c>
      <c r="Y727" s="61" t="str">
        <f aca="false">IF($B727="","",YEAR($B727))</f>
        <v/>
      </c>
      <c r="Z727" s="58" t="str">
        <f aca="false">IF($B727="","",TEXT($B727,"yyyy-mm"))</f>
        <v/>
      </c>
    </row>
    <row r="728" customFormat="false" ht="15" hidden="false" customHeight="false" outlineLevel="0" collapsed="false">
      <c r="A728" s="53" t="str">
        <f aca="false">IF($B728="","",ROW()-5)</f>
        <v/>
      </c>
      <c r="B728" s="54"/>
      <c r="C728" s="33"/>
      <c r="D728" s="33"/>
      <c r="E728" s="32"/>
      <c r="F728" s="39"/>
      <c r="G728" s="48" t="str">
        <f aca="false">IF($F728="","",IFERROR(INDEX(商品档案!$B$6:$B$65,MATCH($F728,商品档案!$A$6:$A$65,0)),""))</f>
        <v/>
      </c>
      <c r="H728" s="48" t="str">
        <f aca="false">IF($F728="","",IFERROR(INDEX(商品档案!$C$6:$C$65,MATCH($F728,商品档案!$A$6:$A$65,0)),""))</f>
        <v/>
      </c>
      <c r="I728" s="55" t="str">
        <f aca="false">IF($F728="","",IFERROR(INDEX(商品档案!$D$6:$D$65,MATCH($F728,商品档案!$A$6:$A$65,0)),""))</f>
        <v/>
      </c>
      <c r="J728" s="49"/>
      <c r="K728" s="56"/>
      <c r="L728" s="33"/>
      <c r="M728" s="39"/>
      <c r="N728" s="41"/>
      <c r="O728" s="41"/>
      <c r="P728" s="25" t="str">
        <f aca="false">IF(AND($B728="",$D728="",$F728=""),"",IF(NOT(ISNUMBER($B728)),"日期无效",IF(ISNA(MATCH($C728,参数设置!$A$10:$A$12,0)),"公司无效",IF(ISNA(MATCH($D728,记账规则!$A$6:$A$9,0)),"业务类型无效",IF(ISNA(MATCH($F728,商品档案!$A$6:$A$65,0)),"商品编码无效",IF(IFERROR(INDEX(商品档案!$E$6:$E$65,MATCH($F728,商品档案!$A$6:$A$65,0)),"")&lt;&gt;$C728,"商品不属于该公司",IF(AND($E728&lt;&gt;"",ISNA(MATCH($E728,往来单位!$A$6:$A$85,0))),"往来单位未建档",IF(N($J728)=0,"数量为 0",IF(N($K728)=0,"单价为 0",IF(AND(LEFT($D728,2)="销售",$U728=""),"该商品没设成本科目",IF(YEAR($B728)&lt;&gt;参数设置!$B$5,"不在本会计年度","OK")))))))))))</f>
        <v/>
      </c>
      <c r="Q728" s="57" t="str">
        <f aca="false">IF($F728="","",ROUND(N($J728)*N($K728),2))</f>
        <v/>
      </c>
      <c r="R728" s="58" t="str">
        <f aca="false">IF($D728="","",IF(LEFT($D728,2)="销售","应收账款","应付账款"))</f>
        <v/>
      </c>
      <c r="S728" s="58" t="str">
        <f aca="false">IF($F728="","",IFERROR(INDEX(商品档案!$G$6:$G$65,MATCH($F728,商品档案!$A$6:$A$65,0)),""))</f>
        <v/>
      </c>
      <c r="T728" s="58" t="str">
        <f aca="false">IF($F728="","",IFERROR(INDEX(商品档案!$H$6:$H$65,MATCH($F728,商品档案!$A$6:$A$65,0)),""))</f>
        <v/>
      </c>
      <c r="U728" s="58" t="str">
        <f aca="false">IF($F728="","",IFERROR(INDEX(商品档案!$I$6:$I$65,MATCH($F728,商品档案!$A$6:$A$65,0)),""))</f>
        <v/>
      </c>
      <c r="V728" s="59" t="str">
        <f aca="false">IF($F728="","",SUMIFS(进销存台账!$N$6:$N$65,进销存台账!$A$6:$A$65,$C728,进销存台账!$B$6:$B$65,$F728))</f>
        <v/>
      </c>
      <c r="W728" s="60" t="n">
        <f aca="false">IF(OR($D728="销售出库",$D728="销售退回"),ROUND(N($J728)*N($V728),2),0)</f>
        <v>0</v>
      </c>
      <c r="X728" s="58" t="str">
        <f aca="false">IF($E728="","",IFERROR(INDEX(往来单位!$D$6:$D$85,MATCH($E728,往来单位!$A$6:$A$85,0)),"否"))</f>
        <v/>
      </c>
      <c r="Y728" s="61" t="str">
        <f aca="false">IF($B728="","",YEAR($B728))</f>
        <v/>
      </c>
      <c r="Z728" s="58" t="str">
        <f aca="false">IF($B728="","",TEXT($B728,"yyyy-mm"))</f>
        <v/>
      </c>
    </row>
    <row r="729" customFormat="false" ht="15" hidden="false" customHeight="false" outlineLevel="0" collapsed="false">
      <c r="A729" s="53" t="str">
        <f aca="false">IF($B729="","",ROW()-5)</f>
        <v/>
      </c>
      <c r="B729" s="54"/>
      <c r="C729" s="33"/>
      <c r="D729" s="33"/>
      <c r="E729" s="32"/>
      <c r="F729" s="39"/>
      <c r="G729" s="48" t="str">
        <f aca="false">IF($F729="","",IFERROR(INDEX(商品档案!$B$6:$B$65,MATCH($F729,商品档案!$A$6:$A$65,0)),""))</f>
        <v/>
      </c>
      <c r="H729" s="48" t="str">
        <f aca="false">IF($F729="","",IFERROR(INDEX(商品档案!$C$6:$C$65,MATCH($F729,商品档案!$A$6:$A$65,0)),""))</f>
        <v/>
      </c>
      <c r="I729" s="55" t="str">
        <f aca="false">IF($F729="","",IFERROR(INDEX(商品档案!$D$6:$D$65,MATCH($F729,商品档案!$A$6:$A$65,0)),""))</f>
        <v/>
      </c>
      <c r="J729" s="49"/>
      <c r="K729" s="56"/>
      <c r="L729" s="33"/>
      <c r="M729" s="39"/>
      <c r="N729" s="41"/>
      <c r="O729" s="41"/>
      <c r="P729" s="25" t="str">
        <f aca="false">IF(AND($B729="",$D729="",$F729=""),"",IF(NOT(ISNUMBER($B729)),"日期无效",IF(ISNA(MATCH($C729,参数设置!$A$10:$A$12,0)),"公司无效",IF(ISNA(MATCH($D729,记账规则!$A$6:$A$9,0)),"业务类型无效",IF(ISNA(MATCH($F729,商品档案!$A$6:$A$65,0)),"商品编码无效",IF(IFERROR(INDEX(商品档案!$E$6:$E$65,MATCH($F729,商品档案!$A$6:$A$65,0)),"")&lt;&gt;$C729,"商品不属于该公司",IF(AND($E729&lt;&gt;"",ISNA(MATCH($E729,往来单位!$A$6:$A$85,0))),"往来单位未建档",IF(N($J729)=0,"数量为 0",IF(N($K729)=0,"单价为 0",IF(AND(LEFT($D729,2)="销售",$U729=""),"该商品没设成本科目",IF(YEAR($B729)&lt;&gt;参数设置!$B$5,"不在本会计年度","OK")))))))))))</f>
        <v/>
      </c>
      <c r="Q729" s="57" t="str">
        <f aca="false">IF($F729="","",ROUND(N($J729)*N($K729),2))</f>
        <v/>
      </c>
      <c r="R729" s="58" t="str">
        <f aca="false">IF($D729="","",IF(LEFT($D729,2)="销售","应收账款","应付账款"))</f>
        <v/>
      </c>
      <c r="S729" s="58" t="str">
        <f aca="false">IF($F729="","",IFERROR(INDEX(商品档案!$G$6:$G$65,MATCH($F729,商品档案!$A$6:$A$65,0)),""))</f>
        <v/>
      </c>
      <c r="T729" s="58" t="str">
        <f aca="false">IF($F729="","",IFERROR(INDEX(商品档案!$H$6:$H$65,MATCH($F729,商品档案!$A$6:$A$65,0)),""))</f>
        <v/>
      </c>
      <c r="U729" s="58" t="str">
        <f aca="false">IF($F729="","",IFERROR(INDEX(商品档案!$I$6:$I$65,MATCH($F729,商品档案!$A$6:$A$65,0)),""))</f>
        <v/>
      </c>
      <c r="V729" s="59" t="str">
        <f aca="false">IF($F729="","",SUMIFS(进销存台账!$N$6:$N$65,进销存台账!$A$6:$A$65,$C729,进销存台账!$B$6:$B$65,$F729))</f>
        <v/>
      </c>
      <c r="W729" s="60" t="n">
        <f aca="false">IF(OR($D729="销售出库",$D729="销售退回"),ROUND(N($J729)*N($V729),2),0)</f>
        <v>0</v>
      </c>
      <c r="X729" s="58" t="str">
        <f aca="false">IF($E729="","",IFERROR(INDEX(往来单位!$D$6:$D$85,MATCH($E729,往来单位!$A$6:$A$85,0)),"否"))</f>
        <v/>
      </c>
      <c r="Y729" s="61" t="str">
        <f aca="false">IF($B729="","",YEAR($B729))</f>
        <v/>
      </c>
      <c r="Z729" s="58" t="str">
        <f aca="false">IF($B729="","",TEXT($B729,"yyyy-mm"))</f>
        <v/>
      </c>
    </row>
    <row r="730" customFormat="false" ht="15" hidden="false" customHeight="false" outlineLevel="0" collapsed="false">
      <c r="A730" s="53" t="str">
        <f aca="false">IF($B730="","",ROW()-5)</f>
        <v/>
      </c>
      <c r="B730" s="54"/>
      <c r="C730" s="33"/>
      <c r="D730" s="33"/>
      <c r="E730" s="32"/>
      <c r="F730" s="39"/>
      <c r="G730" s="48" t="str">
        <f aca="false">IF($F730="","",IFERROR(INDEX(商品档案!$B$6:$B$65,MATCH($F730,商品档案!$A$6:$A$65,0)),""))</f>
        <v/>
      </c>
      <c r="H730" s="48" t="str">
        <f aca="false">IF($F730="","",IFERROR(INDEX(商品档案!$C$6:$C$65,MATCH($F730,商品档案!$A$6:$A$65,0)),""))</f>
        <v/>
      </c>
      <c r="I730" s="55" t="str">
        <f aca="false">IF($F730="","",IFERROR(INDEX(商品档案!$D$6:$D$65,MATCH($F730,商品档案!$A$6:$A$65,0)),""))</f>
        <v/>
      </c>
      <c r="J730" s="49"/>
      <c r="K730" s="56"/>
      <c r="L730" s="33"/>
      <c r="M730" s="39"/>
      <c r="N730" s="41"/>
      <c r="O730" s="41"/>
      <c r="P730" s="25" t="str">
        <f aca="false">IF(AND($B730="",$D730="",$F730=""),"",IF(NOT(ISNUMBER($B730)),"日期无效",IF(ISNA(MATCH($C730,参数设置!$A$10:$A$12,0)),"公司无效",IF(ISNA(MATCH($D730,记账规则!$A$6:$A$9,0)),"业务类型无效",IF(ISNA(MATCH($F730,商品档案!$A$6:$A$65,0)),"商品编码无效",IF(IFERROR(INDEX(商品档案!$E$6:$E$65,MATCH($F730,商品档案!$A$6:$A$65,0)),"")&lt;&gt;$C730,"商品不属于该公司",IF(AND($E730&lt;&gt;"",ISNA(MATCH($E730,往来单位!$A$6:$A$85,0))),"往来单位未建档",IF(N($J730)=0,"数量为 0",IF(N($K730)=0,"单价为 0",IF(AND(LEFT($D730,2)="销售",$U730=""),"该商品没设成本科目",IF(YEAR($B730)&lt;&gt;参数设置!$B$5,"不在本会计年度","OK")))))))))))</f>
        <v/>
      </c>
      <c r="Q730" s="57" t="str">
        <f aca="false">IF($F730="","",ROUND(N($J730)*N($K730),2))</f>
        <v/>
      </c>
      <c r="R730" s="58" t="str">
        <f aca="false">IF($D730="","",IF(LEFT($D730,2)="销售","应收账款","应付账款"))</f>
        <v/>
      </c>
      <c r="S730" s="58" t="str">
        <f aca="false">IF($F730="","",IFERROR(INDEX(商品档案!$G$6:$G$65,MATCH($F730,商品档案!$A$6:$A$65,0)),""))</f>
        <v/>
      </c>
      <c r="T730" s="58" t="str">
        <f aca="false">IF($F730="","",IFERROR(INDEX(商品档案!$H$6:$H$65,MATCH($F730,商品档案!$A$6:$A$65,0)),""))</f>
        <v/>
      </c>
      <c r="U730" s="58" t="str">
        <f aca="false">IF($F730="","",IFERROR(INDEX(商品档案!$I$6:$I$65,MATCH($F730,商品档案!$A$6:$A$65,0)),""))</f>
        <v/>
      </c>
      <c r="V730" s="59" t="str">
        <f aca="false">IF($F730="","",SUMIFS(进销存台账!$N$6:$N$65,进销存台账!$A$6:$A$65,$C730,进销存台账!$B$6:$B$65,$F730))</f>
        <v/>
      </c>
      <c r="W730" s="60" t="n">
        <f aca="false">IF(OR($D730="销售出库",$D730="销售退回"),ROUND(N($J730)*N($V730),2),0)</f>
        <v>0</v>
      </c>
      <c r="X730" s="58" t="str">
        <f aca="false">IF($E730="","",IFERROR(INDEX(往来单位!$D$6:$D$85,MATCH($E730,往来单位!$A$6:$A$85,0)),"否"))</f>
        <v/>
      </c>
      <c r="Y730" s="61" t="str">
        <f aca="false">IF($B730="","",YEAR($B730))</f>
        <v/>
      </c>
      <c r="Z730" s="58" t="str">
        <f aca="false">IF($B730="","",TEXT($B730,"yyyy-mm"))</f>
        <v/>
      </c>
    </row>
    <row r="731" customFormat="false" ht="15" hidden="false" customHeight="false" outlineLevel="0" collapsed="false">
      <c r="A731" s="53" t="str">
        <f aca="false">IF($B731="","",ROW()-5)</f>
        <v/>
      </c>
      <c r="B731" s="54"/>
      <c r="C731" s="33"/>
      <c r="D731" s="33"/>
      <c r="E731" s="32"/>
      <c r="F731" s="39"/>
      <c r="G731" s="48" t="str">
        <f aca="false">IF($F731="","",IFERROR(INDEX(商品档案!$B$6:$B$65,MATCH($F731,商品档案!$A$6:$A$65,0)),""))</f>
        <v/>
      </c>
      <c r="H731" s="48" t="str">
        <f aca="false">IF($F731="","",IFERROR(INDEX(商品档案!$C$6:$C$65,MATCH($F731,商品档案!$A$6:$A$65,0)),""))</f>
        <v/>
      </c>
      <c r="I731" s="55" t="str">
        <f aca="false">IF($F731="","",IFERROR(INDEX(商品档案!$D$6:$D$65,MATCH($F731,商品档案!$A$6:$A$65,0)),""))</f>
        <v/>
      </c>
      <c r="J731" s="49"/>
      <c r="K731" s="56"/>
      <c r="L731" s="33"/>
      <c r="M731" s="39"/>
      <c r="N731" s="41"/>
      <c r="O731" s="41"/>
      <c r="P731" s="25" t="str">
        <f aca="false">IF(AND($B731="",$D731="",$F731=""),"",IF(NOT(ISNUMBER($B731)),"日期无效",IF(ISNA(MATCH($C731,参数设置!$A$10:$A$12,0)),"公司无效",IF(ISNA(MATCH($D731,记账规则!$A$6:$A$9,0)),"业务类型无效",IF(ISNA(MATCH($F731,商品档案!$A$6:$A$65,0)),"商品编码无效",IF(IFERROR(INDEX(商品档案!$E$6:$E$65,MATCH($F731,商品档案!$A$6:$A$65,0)),"")&lt;&gt;$C731,"商品不属于该公司",IF(AND($E731&lt;&gt;"",ISNA(MATCH($E731,往来单位!$A$6:$A$85,0))),"往来单位未建档",IF(N($J731)=0,"数量为 0",IF(N($K731)=0,"单价为 0",IF(AND(LEFT($D731,2)="销售",$U731=""),"该商品没设成本科目",IF(YEAR($B731)&lt;&gt;参数设置!$B$5,"不在本会计年度","OK")))))))))))</f>
        <v/>
      </c>
      <c r="Q731" s="57" t="str">
        <f aca="false">IF($F731="","",ROUND(N($J731)*N($K731),2))</f>
        <v/>
      </c>
      <c r="R731" s="58" t="str">
        <f aca="false">IF($D731="","",IF(LEFT($D731,2)="销售","应收账款","应付账款"))</f>
        <v/>
      </c>
      <c r="S731" s="58" t="str">
        <f aca="false">IF($F731="","",IFERROR(INDEX(商品档案!$G$6:$G$65,MATCH($F731,商品档案!$A$6:$A$65,0)),""))</f>
        <v/>
      </c>
      <c r="T731" s="58" t="str">
        <f aca="false">IF($F731="","",IFERROR(INDEX(商品档案!$H$6:$H$65,MATCH($F731,商品档案!$A$6:$A$65,0)),""))</f>
        <v/>
      </c>
      <c r="U731" s="58" t="str">
        <f aca="false">IF($F731="","",IFERROR(INDEX(商品档案!$I$6:$I$65,MATCH($F731,商品档案!$A$6:$A$65,0)),""))</f>
        <v/>
      </c>
      <c r="V731" s="59" t="str">
        <f aca="false">IF($F731="","",SUMIFS(进销存台账!$N$6:$N$65,进销存台账!$A$6:$A$65,$C731,进销存台账!$B$6:$B$65,$F731))</f>
        <v/>
      </c>
      <c r="W731" s="60" t="n">
        <f aca="false">IF(OR($D731="销售出库",$D731="销售退回"),ROUND(N($J731)*N($V731),2),0)</f>
        <v>0</v>
      </c>
      <c r="X731" s="58" t="str">
        <f aca="false">IF($E731="","",IFERROR(INDEX(往来单位!$D$6:$D$85,MATCH($E731,往来单位!$A$6:$A$85,0)),"否"))</f>
        <v/>
      </c>
      <c r="Y731" s="61" t="str">
        <f aca="false">IF($B731="","",YEAR($B731))</f>
        <v/>
      </c>
      <c r="Z731" s="58" t="str">
        <f aca="false">IF($B731="","",TEXT($B731,"yyyy-mm"))</f>
        <v/>
      </c>
    </row>
    <row r="732" customFormat="false" ht="15" hidden="false" customHeight="false" outlineLevel="0" collapsed="false">
      <c r="A732" s="53" t="str">
        <f aca="false">IF($B732="","",ROW()-5)</f>
        <v/>
      </c>
      <c r="B732" s="54"/>
      <c r="C732" s="33"/>
      <c r="D732" s="33"/>
      <c r="E732" s="32"/>
      <c r="F732" s="39"/>
      <c r="G732" s="48" t="str">
        <f aca="false">IF($F732="","",IFERROR(INDEX(商品档案!$B$6:$B$65,MATCH($F732,商品档案!$A$6:$A$65,0)),""))</f>
        <v/>
      </c>
      <c r="H732" s="48" t="str">
        <f aca="false">IF($F732="","",IFERROR(INDEX(商品档案!$C$6:$C$65,MATCH($F732,商品档案!$A$6:$A$65,0)),""))</f>
        <v/>
      </c>
      <c r="I732" s="55" t="str">
        <f aca="false">IF($F732="","",IFERROR(INDEX(商品档案!$D$6:$D$65,MATCH($F732,商品档案!$A$6:$A$65,0)),""))</f>
        <v/>
      </c>
      <c r="J732" s="49"/>
      <c r="K732" s="56"/>
      <c r="L732" s="33"/>
      <c r="M732" s="39"/>
      <c r="N732" s="41"/>
      <c r="O732" s="41"/>
      <c r="P732" s="25" t="str">
        <f aca="false">IF(AND($B732="",$D732="",$F732=""),"",IF(NOT(ISNUMBER($B732)),"日期无效",IF(ISNA(MATCH($C732,参数设置!$A$10:$A$12,0)),"公司无效",IF(ISNA(MATCH($D732,记账规则!$A$6:$A$9,0)),"业务类型无效",IF(ISNA(MATCH($F732,商品档案!$A$6:$A$65,0)),"商品编码无效",IF(IFERROR(INDEX(商品档案!$E$6:$E$65,MATCH($F732,商品档案!$A$6:$A$65,0)),"")&lt;&gt;$C732,"商品不属于该公司",IF(AND($E732&lt;&gt;"",ISNA(MATCH($E732,往来单位!$A$6:$A$85,0))),"往来单位未建档",IF(N($J732)=0,"数量为 0",IF(N($K732)=0,"单价为 0",IF(AND(LEFT($D732,2)="销售",$U732=""),"该商品没设成本科目",IF(YEAR($B732)&lt;&gt;参数设置!$B$5,"不在本会计年度","OK")))))))))))</f>
        <v/>
      </c>
      <c r="Q732" s="57" t="str">
        <f aca="false">IF($F732="","",ROUND(N($J732)*N($K732),2))</f>
        <v/>
      </c>
      <c r="R732" s="58" t="str">
        <f aca="false">IF($D732="","",IF(LEFT($D732,2)="销售","应收账款","应付账款"))</f>
        <v/>
      </c>
      <c r="S732" s="58" t="str">
        <f aca="false">IF($F732="","",IFERROR(INDEX(商品档案!$G$6:$G$65,MATCH($F732,商品档案!$A$6:$A$65,0)),""))</f>
        <v/>
      </c>
      <c r="T732" s="58" t="str">
        <f aca="false">IF($F732="","",IFERROR(INDEX(商品档案!$H$6:$H$65,MATCH($F732,商品档案!$A$6:$A$65,0)),""))</f>
        <v/>
      </c>
      <c r="U732" s="58" t="str">
        <f aca="false">IF($F732="","",IFERROR(INDEX(商品档案!$I$6:$I$65,MATCH($F732,商品档案!$A$6:$A$65,0)),""))</f>
        <v/>
      </c>
      <c r="V732" s="59" t="str">
        <f aca="false">IF($F732="","",SUMIFS(进销存台账!$N$6:$N$65,进销存台账!$A$6:$A$65,$C732,进销存台账!$B$6:$B$65,$F732))</f>
        <v/>
      </c>
      <c r="W732" s="60" t="n">
        <f aca="false">IF(OR($D732="销售出库",$D732="销售退回"),ROUND(N($J732)*N($V732),2),0)</f>
        <v>0</v>
      </c>
      <c r="X732" s="58" t="str">
        <f aca="false">IF($E732="","",IFERROR(INDEX(往来单位!$D$6:$D$85,MATCH($E732,往来单位!$A$6:$A$85,0)),"否"))</f>
        <v/>
      </c>
      <c r="Y732" s="61" t="str">
        <f aca="false">IF($B732="","",YEAR($B732))</f>
        <v/>
      </c>
      <c r="Z732" s="58" t="str">
        <f aca="false">IF($B732="","",TEXT($B732,"yyyy-mm"))</f>
        <v/>
      </c>
    </row>
    <row r="733" customFormat="false" ht="15" hidden="false" customHeight="false" outlineLevel="0" collapsed="false">
      <c r="A733" s="53" t="str">
        <f aca="false">IF($B733="","",ROW()-5)</f>
        <v/>
      </c>
      <c r="B733" s="54"/>
      <c r="C733" s="33"/>
      <c r="D733" s="33"/>
      <c r="E733" s="32"/>
      <c r="F733" s="39"/>
      <c r="G733" s="48" t="str">
        <f aca="false">IF($F733="","",IFERROR(INDEX(商品档案!$B$6:$B$65,MATCH($F733,商品档案!$A$6:$A$65,0)),""))</f>
        <v/>
      </c>
      <c r="H733" s="48" t="str">
        <f aca="false">IF($F733="","",IFERROR(INDEX(商品档案!$C$6:$C$65,MATCH($F733,商品档案!$A$6:$A$65,0)),""))</f>
        <v/>
      </c>
      <c r="I733" s="55" t="str">
        <f aca="false">IF($F733="","",IFERROR(INDEX(商品档案!$D$6:$D$65,MATCH($F733,商品档案!$A$6:$A$65,0)),""))</f>
        <v/>
      </c>
      <c r="J733" s="49"/>
      <c r="K733" s="56"/>
      <c r="L733" s="33"/>
      <c r="M733" s="39"/>
      <c r="N733" s="41"/>
      <c r="O733" s="41"/>
      <c r="P733" s="25" t="str">
        <f aca="false">IF(AND($B733="",$D733="",$F733=""),"",IF(NOT(ISNUMBER($B733)),"日期无效",IF(ISNA(MATCH($C733,参数设置!$A$10:$A$12,0)),"公司无效",IF(ISNA(MATCH($D733,记账规则!$A$6:$A$9,0)),"业务类型无效",IF(ISNA(MATCH($F733,商品档案!$A$6:$A$65,0)),"商品编码无效",IF(IFERROR(INDEX(商品档案!$E$6:$E$65,MATCH($F733,商品档案!$A$6:$A$65,0)),"")&lt;&gt;$C733,"商品不属于该公司",IF(AND($E733&lt;&gt;"",ISNA(MATCH($E733,往来单位!$A$6:$A$85,0))),"往来单位未建档",IF(N($J733)=0,"数量为 0",IF(N($K733)=0,"单价为 0",IF(AND(LEFT($D733,2)="销售",$U733=""),"该商品没设成本科目",IF(YEAR($B733)&lt;&gt;参数设置!$B$5,"不在本会计年度","OK")))))))))))</f>
        <v/>
      </c>
      <c r="Q733" s="57" t="str">
        <f aca="false">IF($F733="","",ROUND(N($J733)*N($K733),2))</f>
        <v/>
      </c>
      <c r="R733" s="58" t="str">
        <f aca="false">IF($D733="","",IF(LEFT($D733,2)="销售","应收账款","应付账款"))</f>
        <v/>
      </c>
      <c r="S733" s="58" t="str">
        <f aca="false">IF($F733="","",IFERROR(INDEX(商品档案!$G$6:$G$65,MATCH($F733,商品档案!$A$6:$A$65,0)),""))</f>
        <v/>
      </c>
      <c r="T733" s="58" t="str">
        <f aca="false">IF($F733="","",IFERROR(INDEX(商品档案!$H$6:$H$65,MATCH($F733,商品档案!$A$6:$A$65,0)),""))</f>
        <v/>
      </c>
      <c r="U733" s="58" t="str">
        <f aca="false">IF($F733="","",IFERROR(INDEX(商品档案!$I$6:$I$65,MATCH($F733,商品档案!$A$6:$A$65,0)),""))</f>
        <v/>
      </c>
      <c r="V733" s="59" t="str">
        <f aca="false">IF($F733="","",SUMIFS(进销存台账!$N$6:$N$65,进销存台账!$A$6:$A$65,$C733,进销存台账!$B$6:$B$65,$F733))</f>
        <v/>
      </c>
      <c r="W733" s="60" t="n">
        <f aca="false">IF(OR($D733="销售出库",$D733="销售退回"),ROUND(N($J733)*N($V733),2),0)</f>
        <v>0</v>
      </c>
      <c r="X733" s="58" t="str">
        <f aca="false">IF($E733="","",IFERROR(INDEX(往来单位!$D$6:$D$85,MATCH($E733,往来单位!$A$6:$A$85,0)),"否"))</f>
        <v/>
      </c>
      <c r="Y733" s="61" t="str">
        <f aca="false">IF($B733="","",YEAR($B733))</f>
        <v/>
      </c>
      <c r="Z733" s="58" t="str">
        <f aca="false">IF($B733="","",TEXT($B733,"yyyy-mm"))</f>
        <v/>
      </c>
    </row>
    <row r="734" customFormat="false" ht="15" hidden="false" customHeight="false" outlineLevel="0" collapsed="false">
      <c r="A734" s="53" t="str">
        <f aca="false">IF($B734="","",ROW()-5)</f>
        <v/>
      </c>
      <c r="B734" s="54"/>
      <c r="C734" s="33"/>
      <c r="D734" s="33"/>
      <c r="E734" s="32"/>
      <c r="F734" s="39"/>
      <c r="G734" s="48" t="str">
        <f aca="false">IF($F734="","",IFERROR(INDEX(商品档案!$B$6:$B$65,MATCH($F734,商品档案!$A$6:$A$65,0)),""))</f>
        <v/>
      </c>
      <c r="H734" s="48" t="str">
        <f aca="false">IF($F734="","",IFERROR(INDEX(商品档案!$C$6:$C$65,MATCH($F734,商品档案!$A$6:$A$65,0)),""))</f>
        <v/>
      </c>
      <c r="I734" s="55" t="str">
        <f aca="false">IF($F734="","",IFERROR(INDEX(商品档案!$D$6:$D$65,MATCH($F734,商品档案!$A$6:$A$65,0)),""))</f>
        <v/>
      </c>
      <c r="J734" s="49"/>
      <c r="K734" s="56"/>
      <c r="L734" s="33"/>
      <c r="M734" s="39"/>
      <c r="N734" s="41"/>
      <c r="O734" s="41"/>
      <c r="P734" s="25" t="str">
        <f aca="false">IF(AND($B734="",$D734="",$F734=""),"",IF(NOT(ISNUMBER($B734)),"日期无效",IF(ISNA(MATCH($C734,参数设置!$A$10:$A$12,0)),"公司无效",IF(ISNA(MATCH($D734,记账规则!$A$6:$A$9,0)),"业务类型无效",IF(ISNA(MATCH($F734,商品档案!$A$6:$A$65,0)),"商品编码无效",IF(IFERROR(INDEX(商品档案!$E$6:$E$65,MATCH($F734,商品档案!$A$6:$A$65,0)),"")&lt;&gt;$C734,"商品不属于该公司",IF(AND($E734&lt;&gt;"",ISNA(MATCH($E734,往来单位!$A$6:$A$85,0))),"往来单位未建档",IF(N($J734)=0,"数量为 0",IF(N($K734)=0,"单价为 0",IF(AND(LEFT($D734,2)="销售",$U734=""),"该商品没设成本科目",IF(YEAR($B734)&lt;&gt;参数设置!$B$5,"不在本会计年度","OK")))))))))))</f>
        <v/>
      </c>
      <c r="Q734" s="57" t="str">
        <f aca="false">IF($F734="","",ROUND(N($J734)*N($K734),2))</f>
        <v/>
      </c>
      <c r="R734" s="58" t="str">
        <f aca="false">IF($D734="","",IF(LEFT($D734,2)="销售","应收账款","应付账款"))</f>
        <v/>
      </c>
      <c r="S734" s="58" t="str">
        <f aca="false">IF($F734="","",IFERROR(INDEX(商品档案!$G$6:$G$65,MATCH($F734,商品档案!$A$6:$A$65,0)),""))</f>
        <v/>
      </c>
      <c r="T734" s="58" t="str">
        <f aca="false">IF($F734="","",IFERROR(INDEX(商品档案!$H$6:$H$65,MATCH($F734,商品档案!$A$6:$A$65,0)),""))</f>
        <v/>
      </c>
      <c r="U734" s="58" t="str">
        <f aca="false">IF($F734="","",IFERROR(INDEX(商品档案!$I$6:$I$65,MATCH($F734,商品档案!$A$6:$A$65,0)),""))</f>
        <v/>
      </c>
      <c r="V734" s="59" t="str">
        <f aca="false">IF($F734="","",SUMIFS(进销存台账!$N$6:$N$65,进销存台账!$A$6:$A$65,$C734,进销存台账!$B$6:$B$65,$F734))</f>
        <v/>
      </c>
      <c r="W734" s="60" t="n">
        <f aca="false">IF(OR($D734="销售出库",$D734="销售退回"),ROUND(N($J734)*N($V734),2),0)</f>
        <v>0</v>
      </c>
      <c r="X734" s="58" t="str">
        <f aca="false">IF($E734="","",IFERROR(INDEX(往来单位!$D$6:$D$85,MATCH($E734,往来单位!$A$6:$A$85,0)),"否"))</f>
        <v/>
      </c>
      <c r="Y734" s="61" t="str">
        <f aca="false">IF($B734="","",YEAR($B734))</f>
        <v/>
      </c>
      <c r="Z734" s="58" t="str">
        <f aca="false">IF($B734="","",TEXT($B734,"yyyy-mm"))</f>
        <v/>
      </c>
    </row>
    <row r="735" customFormat="false" ht="15" hidden="false" customHeight="false" outlineLevel="0" collapsed="false">
      <c r="A735" s="53" t="str">
        <f aca="false">IF($B735="","",ROW()-5)</f>
        <v/>
      </c>
      <c r="B735" s="54"/>
      <c r="C735" s="33"/>
      <c r="D735" s="33"/>
      <c r="E735" s="32"/>
      <c r="F735" s="39"/>
      <c r="G735" s="48" t="str">
        <f aca="false">IF($F735="","",IFERROR(INDEX(商品档案!$B$6:$B$65,MATCH($F735,商品档案!$A$6:$A$65,0)),""))</f>
        <v/>
      </c>
      <c r="H735" s="48" t="str">
        <f aca="false">IF($F735="","",IFERROR(INDEX(商品档案!$C$6:$C$65,MATCH($F735,商品档案!$A$6:$A$65,0)),""))</f>
        <v/>
      </c>
      <c r="I735" s="55" t="str">
        <f aca="false">IF($F735="","",IFERROR(INDEX(商品档案!$D$6:$D$65,MATCH($F735,商品档案!$A$6:$A$65,0)),""))</f>
        <v/>
      </c>
      <c r="J735" s="49"/>
      <c r="K735" s="56"/>
      <c r="L735" s="33"/>
      <c r="M735" s="39"/>
      <c r="N735" s="41"/>
      <c r="O735" s="41"/>
      <c r="P735" s="25" t="str">
        <f aca="false">IF(AND($B735="",$D735="",$F735=""),"",IF(NOT(ISNUMBER($B735)),"日期无效",IF(ISNA(MATCH($C735,参数设置!$A$10:$A$12,0)),"公司无效",IF(ISNA(MATCH($D735,记账规则!$A$6:$A$9,0)),"业务类型无效",IF(ISNA(MATCH($F735,商品档案!$A$6:$A$65,0)),"商品编码无效",IF(IFERROR(INDEX(商品档案!$E$6:$E$65,MATCH($F735,商品档案!$A$6:$A$65,0)),"")&lt;&gt;$C735,"商品不属于该公司",IF(AND($E735&lt;&gt;"",ISNA(MATCH($E735,往来单位!$A$6:$A$85,0))),"往来单位未建档",IF(N($J735)=0,"数量为 0",IF(N($K735)=0,"单价为 0",IF(AND(LEFT($D735,2)="销售",$U735=""),"该商品没设成本科目",IF(YEAR($B735)&lt;&gt;参数设置!$B$5,"不在本会计年度","OK")))))))))))</f>
        <v/>
      </c>
      <c r="Q735" s="57" t="str">
        <f aca="false">IF($F735="","",ROUND(N($J735)*N($K735),2))</f>
        <v/>
      </c>
      <c r="R735" s="58" t="str">
        <f aca="false">IF($D735="","",IF(LEFT($D735,2)="销售","应收账款","应付账款"))</f>
        <v/>
      </c>
      <c r="S735" s="58" t="str">
        <f aca="false">IF($F735="","",IFERROR(INDEX(商品档案!$G$6:$G$65,MATCH($F735,商品档案!$A$6:$A$65,0)),""))</f>
        <v/>
      </c>
      <c r="T735" s="58" t="str">
        <f aca="false">IF($F735="","",IFERROR(INDEX(商品档案!$H$6:$H$65,MATCH($F735,商品档案!$A$6:$A$65,0)),""))</f>
        <v/>
      </c>
      <c r="U735" s="58" t="str">
        <f aca="false">IF($F735="","",IFERROR(INDEX(商品档案!$I$6:$I$65,MATCH($F735,商品档案!$A$6:$A$65,0)),""))</f>
        <v/>
      </c>
      <c r="V735" s="59" t="str">
        <f aca="false">IF($F735="","",SUMIFS(进销存台账!$N$6:$N$65,进销存台账!$A$6:$A$65,$C735,进销存台账!$B$6:$B$65,$F735))</f>
        <v/>
      </c>
      <c r="W735" s="60" t="n">
        <f aca="false">IF(OR($D735="销售出库",$D735="销售退回"),ROUND(N($J735)*N($V735),2),0)</f>
        <v>0</v>
      </c>
      <c r="X735" s="58" t="str">
        <f aca="false">IF($E735="","",IFERROR(INDEX(往来单位!$D$6:$D$85,MATCH($E735,往来单位!$A$6:$A$85,0)),"否"))</f>
        <v/>
      </c>
      <c r="Y735" s="61" t="str">
        <f aca="false">IF($B735="","",YEAR($B735))</f>
        <v/>
      </c>
      <c r="Z735" s="58" t="str">
        <f aca="false">IF($B735="","",TEXT($B735,"yyyy-mm"))</f>
        <v/>
      </c>
    </row>
    <row r="736" customFormat="false" ht="15" hidden="false" customHeight="false" outlineLevel="0" collapsed="false">
      <c r="A736" s="53" t="str">
        <f aca="false">IF($B736="","",ROW()-5)</f>
        <v/>
      </c>
      <c r="B736" s="54"/>
      <c r="C736" s="33"/>
      <c r="D736" s="33"/>
      <c r="E736" s="32"/>
      <c r="F736" s="39"/>
      <c r="G736" s="48" t="str">
        <f aca="false">IF($F736="","",IFERROR(INDEX(商品档案!$B$6:$B$65,MATCH($F736,商品档案!$A$6:$A$65,0)),""))</f>
        <v/>
      </c>
      <c r="H736" s="48" t="str">
        <f aca="false">IF($F736="","",IFERROR(INDEX(商品档案!$C$6:$C$65,MATCH($F736,商品档案!$A$6:$A$65,0)),""))</f>
        <v/>
      </c>
      <c r="I736" s="55" t="str">
        <f aca="false">IF($F736="","",IFERROR(INDEX(商品档案!$D$6:$D$65,MATCH($F736,商品档案!$A$6:$A$65,0)),""))</f>
        <v/>
      </c>
      <c r="J736" s="49"/>
      <c r="K736" s="56"/>
      <c r="L736" s="33"/>
      <c r="M736" s="39"/>
      <c r="N736" s="41"/>
      <c r="O736" s="41"/>
      <c r="P736" s="25" t="str">
        <f aca="false">IF(AND($B736="",$D736="",$F736=""),"",IF(NOT(ISNUMBER($B736)),"日期无效",IF(ISNA(MATCH($C736,参数设置!$A$10:$A$12,0)),"公司无效",IF(ISNA(MATCH($D736,记账规则!$A$6:$A$9,0)),"业务类型无效",IF(ISNA(MATCH($F736,商品档案!$A$6:$A$65,0)),"商品编码无效",IF(IFERROR(INDEX(商品档案!$E$6:$E$65,MATCH($F736,商品档案!$A$6:$A$65,0)),"")&lt;&gt;$C736,"商品不属于该公司",IF(AND($E736&lt;&gt;"",ISNA(MATCH($E736,往来单位!$A$6:$A$85,0))),"往来单位未建档",IF(N($J736)=0,"数量为 0",IF(N($K736)=0,"单价为 0",IF(AND(LEFT($D736,2)="销售",$U736=""),"该商品没设成本科目",IF(YEAR($B736)&lt;&gt;参数设置!$B$5,"不在本会计年度","OK")))))))))))</f>
        <v/>
      </c>
      <c r="Q736" s="57" t="str">
        <f aca="false">IF($F736="","",ROUND(N($J736)*N($K736),2))</f>
        <v/>
      </c>
      <c r="R736" s="58" t="str">
        <f aca="false">IF($D736="","",IF(LEFT($D736,2)="销售","应收账款","应付账款"))</f>
        <v/>
      </c>
      <c r="S736" s="58" t="str">
        <f aca="false">IF($F736="","",IFERROR(INDEX(商品档案!$G$6:$G$65,MATCH($F736,商品档案!$A$6:$A$65,0)),""))</f>
        <v/>
      </c>
      <c r="T736" s="58" t="str">
        <f aca="false">IF($F736="","",IFERROR(INDEX(商品档案!$H$6:$H$65,MATCH($F736,商品档案!$A$6:$A$65,0)),""))</f>
        <v/>
      </c>
      <c r="U736" s="58" t="str">
        <f aca="false">IF($F736="","",IFERROR(INDEX(商品档案!$I$6:$I$65,MATCH($F736,商品档案!$A$6:$A$65,0)),""))</f>
        <v/>
      </c>
      <c r="V736" s="59" t="str">
        <f aca="false">IF($F736="","",SUMIFS(进销存台账!$N$6:$N$65,进销存台账!$A$6:$A$65,$C736,进销存台账!$B$6:$B$65,$F736))</f>
        <v/>
      </c>
      <c r="W736" s="60" t="n">
        <f aca="false">IF(OR($D736="销售出库",$D736="销售退回"),ROUND(N($J736)*N($V736),2),0)</f>
        <v>0</v>
      </c>
      <c r="X736" s="58" t="str">
        <f aca="false">IF($E736="","",IFERROR(INDEX(往来单位!$D$6:$D$85,MATCH($E736,往来单位!$A$6:$A$85,0)),"否"))</f>
        <v/>
      </c>
      <c r="Y736" s="61" t="str">
        <f aca="false">IF($B736="","",YEAR($B736))</f>
        <v/>
      </c>
      <c r="Z736" s="58" t="str">
        <f aca="false">IF($B736="","",TEXT($B736,"yyyy-mm"))</f>
        <v/>
      </c>
    </row>
    <row r="737" customFormat="false" ht="15" hidden="false" customHeight="false" outlineLevel="0" collapsed="false">
      <c r="A737" s="53" t="str">
        <f aca="false">IF($B737="","",ROW()-5)</f>
        <v/>
      </c>
      <c r="B737" s="54"/>
      <c r="C737" s="33"/>
      <c r="D737" s="33"/>
      <c r="E737" s="32"/>
      <c r="F737" s="39"/>
      <c r="G737" s="48" t="str">
        <f aca="false">IF($F737="","",IFERROR(INDEX(商品档案!$B$6:$B$65,MATCH($F737,商品档案!$A$6:$A$65,0)),""))</f>
        <v/>
      </c>
      <c r="H737" s="48" t="str">
        <f aca="false">IF($F737="","",IFERROR(INDEX(商品档案!$C$6:$C$65,MATCH($F737,商品档案!$A$6:$A$65,0)),""))</f>
        <v/>
      </c>
      <c r="I737" s="55" t="str">
        <f aca="false">IF($F737="","",IFERROR(INDEX(商品档案!$D$6:$D$65,MATCH($F737,商品档案!$A$6:$A$65,0)),""))</f>
        <v/>
      </c>
      <c r="J737" s="49"/>
      <c r="K737" s="56"/>
      <c r="L737" s="33"/>
      <c r="M737" s="39"/>
      <c r="N737" s="41"/>
      <c r="O737" s="41"/>
      <c r="P737" s="25" t="str">
        <f aca="false">IF(AND($B737="",$D737="",$F737=""),"",IF(NOT(ISNUMBER($B737)),"日期无效",IF(ISNA(MATCH($C737,参数设置!$A$10:$A$12,0)),"公司无效",IF(ISNA(MATCH($D737,记账规则!$A$6:$A$9,0)),"业务类型无效",IF(ISNA(MATCH($F737,商品档案!$A$6:$A$65,0)),"商品编码无效",IF(IFERROR(INDEX(商品档案!$E$6:$E$65,MATCH($F737,商品档案!$A$6:$A$65,0)),"")&lt;&gt;$C737,"商品不属于该公司",IF(AND($E737&lt;&gt;"",ISNA(MATCH($E737,往来单位!$A$6:$A$85,0))),"往来单位未建档",IF(N($J737)=0,"数量为 0",IF(N($K737)=0,"单价为 0",IF(AND(LEFT($D737,2)="销售",$U737=""),"该商品没设成本科目",IF(YEAR($B737)&lt;&gt;参数设置!$B$5,"不在本会计年度","OK")))))))))))</f>
        <v/>
      </c>
      <c r="Q737" s="57" t="str">
        <f aca="false">IF($F737="","",ROUND(N($J737)*N($K737),2))</f>
        <v/>
      </c>
      <c r="R737" s="58" t="str">
        <f aca="false">IF($D737="","",IF(LEFT($D737,2)="销售","应收账款","应付账款"))</f>
        <v/>
      </c>
      <c r="S737" s="58" t="str">
        <f aca="false">IF($F737="","",IFERROR(INDEX(商品档案!$G$6:$G$65,MATCH($F737,商品档案!$A$6:$A$65,0)),""))</f>
        <v/>
      </c>
      <c r="T737" s="58" t="str">
        <f aca="false">IF($F737="","",IFERROR(INDEX(商品档案!$H$6:$H$65,MATCH($F737,商品档案!$A$6:$A$65,0)),""))</f>
        <v/>
      </c>
      <c r="U737" s="58" t="str">
        <f aca="false">IF($F737="","",IFERROR(INDEX(商品档案!$I$6:$I$65,MATCH($F737,商品档案!$A$6:$A$65,0)),""))</f>
        <v/>
      </c>
      <c r="V737" s="59" t="str">
        <f aca="false">IF($F737="","",SUMIFS(进销存台账!$N$6:$N$65,进销存台账!$A$6:$A$65,$C737,进销存台账!$B$6:$B$65,$F737))</f>
        <v/>
      </c>
      <c r="W737" s="60" t="n">
        <f aca="false">IF(OR($D737="销售出库",$D737="销售退回"),ROUND(N($J737)*N($V737),2),0)</f>
        <v>0</v>
      </c>
      <c r="X737" s="58" t="str">
        <f aca="false">IF($E737="","",IFERROR(INDEX(往来单位!$D$6:$D$85,MATCH($E737,往来单位!$A$6:$A$85,0)),"否"))</f>
        <v/>
      </c>
      <c r="Y737" s="61" t="str">
        <f aca="false">IF($B737="","",YEAR($B737))</f>
        <v/>
      </c>
      <c r="Z737" s="58" t="str">
        <f aca="false">IF($B737="","",TEXT($B737,"yyyy-mm"))</f>
        <v/>
      </c>
    </row>
    <row r="738" customFormat="false" ht="15" hidden="false" customHeight="false" outlineLevel="0" collapsed="false">
      <c r="A738" s="53" t="str">
        <f aca="false">IF($B738="","",ROW()-5)</f>
        <v/>
      </c>
      <c r="B738" s="54"/>
      <c r="C738" s="33"/>
      <c r="D738" s="33"/>
      <c r="E738" s="32"/>
      <c r="F738" s="39"/>
      <c r="G738" s="48" t="str">
        <f aca="false">IF($F738="","",IFERROR(INDEX(商品档案!$B$6:$B$65,MATCH($F738,商品档案!$A$6:$A$65,0)),""))</f>
        <v/>
      </c>
      <c r="H738" s="48" t="str">
        <f aca="false">IF($F738="","",IFERROR(INDEX(商品档案!$C$6:$C$65,MATCH($F738,商品档案!$A$6:$A$65,0)),""))</f>
        <v/>
      </c>
      <c r="I738" s="55" t="str">
        <f aca="false">IF($F738="","",IFERROR(INDEX(商品档案!$D$6:$D$65,MATCH($F738,商品档案!$A$6:$A$65,0)),""))</f>
        <v/>
      </c>
      <c r="J738" s="49"/>
      <c r="K738" s="56"/>
      <c r="L738" s="33"/>
      <c r="M738" s="39"/>
      <c r="N738" s="41"/>
      <c r="O738" s="41"/>
      <c r="P738" s="25" t="str">
        <f aca="false">IF(AND($B738="",$D738="",$F738=""),"",IF(NOT(ISNUMBER($B738)),"日期无效",IF(ISNA(MATCH($C738,参数设置!$A$10:$A$12,0)),"公司无效",IF(ISNA(MATCH($D738,记账规则!$A$6:$A$9,0)),"业务类型无效",IF(ISNA(MATCH($F738,商品档案!$A$6:$A$65,0)),"商品编码无效",IF(IFERROR(INDEX(商品档案!$E$6:$E$65,MATCH($F738,商品档案!$A$6:$A$65,0)),"")&lt;&gt;$C738,"商品不属于该公司",IF(AND($E738&lt;&gt;"",ISNA(MATCH($E738,往来单位!$A$6:$A$85,0))),"往来单位未建档",IF(N($J738)=0,"数量为 0",IF(N($K738)=0,"单价为 0",IF(AND(LEFT($D738,2)="销售",$U738=""),"该商品没设成本科目",IF(YEAR($B738)&lt;&gt;参数设置!$B$5,"不在本会计年度","OK")))))))))))</f>
        <v/>
      </c>
      <c r="Q738" s="57" t="str">
        <f aca="false">IF($F738="","",ROUND(N($J738)*N($K738),2))</f>
        <v/>
      </c>
      <c r="R738" s="58" t="str">
        <f aca="false">IF($D738="","",IF(LEFT($D738,2)="销售","应收账款","应付账款"))</f>
        <v/>
      </c>
      <c r="S738" s="58" t="str">
        <f aca="false">IF($F738="","",IFERROR(INDEX(商品档案!$G$6:$G$65,MATCH($F738,商品档案!$A$6:$A$65,0)),""))</f>
        <v/>
      </c>
      <c r="T738" s="58" t="str">
        <f aca="false">IF($F738="","",IFERROR(INDEX(商品档案!$H$6:$H$65,MATCH($F738,商品档案!$A$6:$A$65,0)),""))</f>
        <v/>
      </c>
      <c r="U738" s="58" t="str">
        <f aca="false">IF($F738="","",IFERROR(INDEX(商品档案!$I$6:$I$65,MATCH($F738,商品档案!$A$6:$A$65,0)),""))</f>
        <v/>
      </c>
      <c r="V738" s="59" t="str">
        <f aca="false">IF($F738="","",SUMIFS(进销存台账!$N$6:$N$65,进销存台账!$A$6:$A$65,$C738,进销存台账!$B$6:$B$65,$F738))</f>
        <v/>
      </c>
      <c r="W738" s="60" t="n">
        <f aca="false">IF(OR($D738="销售出库",$D738="销售退回"),ROUND(N($J738)*N($V738),2),0)</f>
        <v>0</v>
      </c>
      <c r="X738" s="58" t="str">
        <f aca="false">IF($E738="","",IFERROR(INDEX(往来单位!$D$6:$D$85,MATCH($E738,往来单位!$A$6:$A$85,0)),"否"))</f>
        <v/>
      </c>
      <c r="Y738" s="61" t="str">
        <f aca="false">IF($B738="","",YEAR($B738))</f>
        <v/>
      </c>
      <c r="Z738" s="58" t="str">
        <f aca="false">IF($B738="","",TEXT($B738,"yyyy-mm"))</f>
        <v/>
      </c>
    </row>
    <row r="739" customFormat="false" ht="15" hidden="false" customHeight="false" outlineLevel="0" collapsed="false">
      <c r="A739" s="53" t="str">
        <f aca="false">IF($B739="","",ROW()-5)</f>
        <v/>
      </c>
      <c r="B739" s="54"/>
      <c r="C739" s="33"/>
      <c r="D739" s="33"/>
      <c r="E739" s="32"/>
      <c r="F739" s="39"/>
      <c r="G739" s="48" t="str">
        <f aca="false">IF($F739="","",IFERROR(INDEX(商品档案!$B$6:$B$65,MATCH($F739,商品档案!$A$6:$A$65,0)),""))</f>
        <v/>
      </c>
      <c r="H739" s="48" t="str">
        <f aca="false">IF($F739="","",IFERROR(INDEX(商品档案!$C$6:$C$65,MATCH($F739,商品档案!$A$6:$A$65,0)),""))</f>
        <v/>
      </c>
      <c r="I739" s="55" t="str">
        <f aca="false">IF($F739="","",IFERROR(INDEX(商品档案!$D$6:$D$65,MATCH($F739,商品档案!$A$6:$A$65,0)),""))</f>
        <v/>
      </c>
      <c r="J739" s="49"/>
      <c r="K739" s="56"/>
      <c r="L739" s="33"/>
      <c r="M739" s="39"/>
      <c r="N739" s="41"/>
      <c r="O739" s="41"/>
      <c r="P739" s="25" t="str">
        <f aca="false">IF(AND($B739="",$D739="",$F739=""),"",IF(NOT(ISNUMBER($B739)),"日期无效",IF(ISNA(MATCH($C739,参数设置!$A$10:$A$12,0)),"公司无效",IF(ISNA(MATCH($D739,记账规则!$A$6:$A$9,0)),"业务类型无效",IF(ISNA(MATCH($F739,商品档案!$A$6:$A$65,0)),"商品编码无效",IF(IFERROR(INDEX(商品档案!$E$6:$E$65,MATCH($F739,商品档案!$A$6:$A$65,0)),"")&lt;&gt;$C739,"商品不属于该公司",IF(AND($E739&lt;&gt;"",ISNA(MATCH($E739,往来单位!$A$6:$A$85,0))),"往来单位未建档",IF(N($J739)=0,"数量为 0",IF(N($K739)=0,"单价为 0",IF(AND(LEFT($D739,2)="销售",$U739=""),"该商品没设成本科目",IF(YEAR($B739)&lt;&gt;参数设置!$B$5,"不在本会计年度","OK")))))))))))</f>
        <v/>
      </c>
      <c r="Q739" s="57" t="str">
        <f aca="false">IF($F739="","",ROUND(N($J739)*N($K739),2))</f>
        <v/>
      </c>
      <c r="R739" s="58" t="str">
        <f aca="false">IF($D739="","",IF(LEFT($D739,2)="销售","应收账款","应付账款"))</f>
        <v/>
      </c>
      <c r="S739" s="58" t="str">
        <f aca="false">IF($F739="","",IFERROR(INDEX(商品档案!$G$6:$G$65,MATCH($F739,商品档案!$A$6:$A$65,0)),""))</f>
        <v/>
      </c>
      <c r="T739" s="58" t="str">
        <f aca="false">IF($F739="","",IFERROR(INDEX(商品档案!$H$6:$H$65,MATCH($F739,商品档案!$A$6:$A$65,0)),""))</f>
        <v/>
      </c>
      <c r="U739" s="58" t="str">
        <f aca="false">IF($F739="","",IFERROR(INDEX(商品档案!$I$6:$I$65,MATCH($F739,商品档案!$A$6:$A$65,0)),""))</f>
        <v/>
      </c>
      <c r="V739" s="59" t="str">
        <f aca="false">IF($F739="","",SUMIFS(进销存台账!$N$6:$N$65,进销存台账!$A$6:$A$65,$C739,进销存台账!$B$6:$B$65,$F739))</f>
        <v/>
      </c>
      <c r="W739" s="60" t="n">
        <f aca="false">IF(OR($D739="销售出库",$D739="销售退回"),ROUND(N($J739)*N($V739),2),0)</f>
        <v>0</v>
      </c>
      <c r="X739" s="58" t="str">
        <f aca="false">IF($E739="","",IFERROR(INDEX(往来单位!$D$6:$D$85,MATCH($E739,往来单位!$A$6:$A$85,0)),"否"))</f>
        <v/>
      </c>
      <c r="Y739" s="61" t="str">
        <f aca="false">IF($B739="","",YEAR($B739))</f>
        <v/>
      </c>
      <c r="Z739" s="58" t="str">
        <f aca="false">IF($B739="","",TEXT($B739,"yyyy-mm"))</f>
        <v/>
      </c>
    </row>
    <row r="740" customFormat="false" ht="15" hidden="false" customHeight="false" outlineLevel="0" collapsed="false">
      <c r="A740" s="53" t="str">
        <f aca="false">IF($B740="","",ROW()-5)</f>
        <v/>
      </c>
      <c r="B740" s="54"/>
      <c r="C740" s="33"/>
      <c r="D740" s="33"/>
      <c r="E740" s="32"/>
      <c r="F740" s="39"/>
      <c r="G740" s="48" t="str">
        <f aca="false">IF($F740="","",IFERROR(INDEX(商品档案!$B$6:$B$65,MATCH($F740,商品档案!$A$6:$A$65,0)),""))</f>
        <v/>
      </c>
      <c r="H740" s="48" t="str">
        <f aca="false">IF($F740="","",IFERROR(INDEX(商品档案!$C$6:$C$65,MATCH($F740,商品档案!$A$6:$A$65,0)),""))</f>
        <v/>
      </c>
      <c r="I740" s="55" t="str">
        <f aca="false">IF($F740="","",IFERROR(INDEX(商品档案!$D$6:$D$65,MATCH($F740,商品档案!$A$6:$A$65,0)),""))</f>
        <v/>
      </c>
      <c r="J740" s="49"/>
      <c r="K740" s="56"/>
      <c r="L740" s="33"/>
      <c r="M740" s="39"/>
      <c r="N740" s="41"/>
      <c r="O740" s="41"/>
      <c r="P740" s="25" t="str">
        <f aca="false">IF(AND($B740="",$D740="",$F740=""),"",IF(NOT(ISNUMBER($B740)),"日期无效",IF(ISNA(MATCH($C740,参数设置!$A$10:$A$12,0)),"公司无效",IF(ISNA(MATCH($D740,记账规则!$A$6:$A$9,0)),"业务类型无效",IF(ISNA(MATCH($F740,商品档案!$A$6:$A$65,0)),"商品编码无效",IF(IFERROR(INDEX(商品档案!$E$6:$E$65,MATCH($F740,商品档案!$A$6:$A$65,0)),"")&lt;&gt;$C740,"商品不属于该公司",IF(AND($E740&lt;&gt;"",ISNA(MATCH($E740,往来单位!$A$6:$A$85,0))),"往来单位未建档",IF(N($J740)=0,"数量为 0",IF(N($K740)=0,"单价为 0",IF(AND(LEFT($D740,2)="销售",$U740=""),"该商品没设成本科目",IF(YEAR($B740)&lt;&gt;参数设置!$B$5,"不在本会计年度","OK")))))))))))</f>
        <v/>
      </c>
      <c r="Q740" s="57" t="str">
        <f aca="false">IF($F740="","",ROUND(N($J740)*N($K740),2))</f>
        <v/>
      </c>
      <c r="R740" s="58" t="str">
        <f aca="false">IF($D740="","",IF(LEFT($D740,2)="销售","应收账款","应付账款"))</f>
        <v/>
      </c>
      <c r="S740" s="58" t="str">
        <f aca="false">IF($F740="","",IFERROR(INDEX(商品档案!$G$6:$G$65,MATCH($F740,商品档案!$A$6:$A$65,0)),""))</f>
        <v/>
      </c>
      <c r="T740" s="58" t="str">
        <f aca="false">IF($F740="","",IFERROR(INDEX(商品档案!$H$6:$H$65,MATCH($F740,商品档案!$A$6:$A$65,0)),""))</f>
        <v/>
      </c>
      <c r="U740" s="58" t="str">
        <f aca="false">IF($F740="","",IFERROR(INDEX(商品档案!$I$6:$I$65,MATCH($F740,商品档案!$A$6:$A$65,0)),""))</f>
        <v/>
      </c>
      <c r="V740" s="59" t="str">
        <f aca="false">IF($F740="","",SUMIFS(进销存台账!$N$6:$N$65,进销存台账!$A$6:$A$65,$C740,进销存台账!$B$6:$B$65,$F740))</f>
        <v/>
      </c>
      <c r="W740" s="60" t="n">
        <f aca="false">IF(OR($D740="销售出库",$D740="销售退回"),ROUND(N($J740)*N($V740),2),0)</f>
        <v>0</v>
      </c>
      <c r="X740" s="58" t="str">
        <f aca="false">IF($E740="","",IFERROR(INDEX(往来单位!$D$6:$D$85,MATCH($E740,往来单位!$A$6:$A$85,0)),"否"))</f>
        <v/>
      </c>
      <c r="Y740" s="61" t="str">
        <f aca="false">IF($B740="","",YEAR($B740))</f>
        <v/>
      </c>
      <c r="Z740" s="58" t="str">
        <f aca="false">IF($B740="","",TEXT($B740,"yyyy-mm"))</f>
        <v/>
      </c>
    </row>
    <row r="741" customFormat="false" ht="15" hidden="false" customHeight="false" outlineLevel="0" collapsed="false">
      <c r="A741" s="53" t="str">
        <f aca="false">IF($B741="","",ROW()-5)</f>
        <v/>
      </c>
      <c r="B741" s="54"/>
      <c r="C741" s="33"/>
      <c r="D741" s="33"/>
      <c r="E741" s="32"/>
      <c r="F741" s="39"/>
      <c r="G741" s="48" t="str">
        <f aca="false">IF($F741="","",IFERROR(INDEX(商品档案!$B$6:$B$65,MATCH($F741,商品档案!$A$6:$A$65,0)),""))</f>
        <v/>
      </c>
      <c r="H741" s="48" t="str">
        <f aca="false">IF($F741="","",IFERROR(INDEX(商品档案!$C$6:$C$65,MATCH($F741,商品档案!$A$6:$A$65,0)),""))</f>
        <v/>
      </c>
      <c r="I741" s="55" t="str">
        <f aca="false">IF($F741="","",IFERROR(INDEX(商品档案!$D$6:$D$65,MATCH($F741,商品档案!$A$6:$A$65,0)),""))</f>
        <v/>
      </c>
      <c r="J741" s="49"/>
      <c r="K741" s="56"/>
      <c r="L741" s="33"/>
      <c r="M741" s="39"/>
      <c r="N741" s="41"/>
      <c r="O741" s="41"/>
      <c r="P741" s="25" t="str">
        <f aca="false">IF(AND($B741="",$D741="",$F741=""),"",IF(NOT(ISNUMBER($B741)),"日期无效",IF(ISNA(MATCH($C741,参数设置!$A$10:$A$12,0)),"公司无效",IF(ISNA(MATCH($D741,记账规则!$A$6:$A$9,0)),"业务类型无效",IF(ISNA(MATCH($F741,商品档案!$A$6:$A$65,0)),"商品编码无效",IF(IFERROR(INDEX(商品档案!$E$6:$E$65,MATCH($F741,商品档案!$A$6:$A$65,0)),"")&lt;&gt;$C741,"商品不属于该公司",IF(AND($E741&lt;&gt;"",ISNA(MATCH($E741,往来单位!$A$6:$A$85,0))),"往来单位未建档",IF(N($J741)=0,"数量为 0",IF(N($K741)=0,"单价为 0",IF(AND(LEFT($D741,2)="销售",$U741=""),"该商品没设成本科目",IF(YEAR($B741)&lt;&gt;参数设置!$B$5,"不在本会计年度","OK")))))))))))</f>
        <v/>
      </c>
      <c r="Q741" s="57" t="str">
        <f aca="false">IF($F741="","",ROUND(N($J741)*N($K741),2))</f>
        <v/>
      </c>
      <c r="R741" s="58" t="str">
        <f aca="false">IF($D741="","",IF(LEFT($D741,2)="销售","应收账款","应付账款"))</f>
        <v/>
      </c>
      <c r="S741" s="58" t="str">
        <f aca="false">IF($F741="","",IFERROR(INDEX(商品档案!$G$6:$G$65,MATCH($F741,商品档案!$A$6:$A$65,0)),""))</f>
        <v/>
      </c>
      <c r="T741" s="58" t="str">
        <f aca="false">IF($F741="","",IFERROR(INDEX(商品档案!$H$6:$H$65,MATCH($F741,商品档案!$A$6:$A$65,0)),""))</f>
        <v/>
      </c>
      <c r="U741" s="58" t="str">
        <f aca="false">IF($F741="","",IFERROR(INDEX(商品档案!$I$6:$I$65,MATCH($F741,商品档案!$A$6:$A$65,0)),""))</f>
        <v/>
      </c>
      <c r="V741" s="59" t="str">
        <f aca="false">IF($F741="","",SUMIFS(进销存台账!$N$6:$N$65,进销存台账!$A$6:$A$65,$C741,进销存台账!$B$6:$B$65,$F741))</f>
        <v/>
      </c>
      <c r="W741" s="60" t="n">
        <f aca="false">IF(OR($D741="销售出库",$D741="销售退回"),ROUND(N($J741)*N($V741),2),0)</f>
        <v>0</v>
      </c>
      <c r="X741" s="58" t="str">
        <f aca="false">IF($E741="","",IFERROR(INDEX(往来单位!$D$6:$D$85,MATCH($E741,往来单位!$A$6:$A$85,0)),"否"))</f>
        <v/>
      </c>
      <c r="Y741" s="61" t="str">
        <f aca="false">IF($B741="","",YEAR($B741))</f>
        <v/>
      </c>
      <c r="Z741" s="58" t="str">
        <f aca="false">IF($B741="","",TEXT($B741,"yyyy-mm"))</f>
        <v/>
      </c>
    </row>
    <row r="742" customFormat="false" ht="15" hidden="false" customHeight="false" outlineLevel="0" collapsed="false">
      <c r="A742" s="53" t="str">
        <f aca="false">IF($B742="","",ROW()-5)</f>
        <v/>
      </c>
      <c r="B742" s="54"/>
      <c r="C742" s="33"/>
      <c r="D742" s="33"/>
      <c r="E742" s="32"/>
      <c r="F742" s="39"/>
      <c r="G742" s="48" t="str">
        <f aca="false">IF($F742="","",IFERROR(INDEX(商品档案!$B$6:$B$65,MATCH($F742,商品档案!$A$6:$A$65,0)),""))</f>
        <v/>
      </c>
      <c r="H742" s="48" t="str">
        <f aca="false">IF($F742="","",IFERROR(INDEX(商品档案!$C$6:$C$65,MATCH($F742,商品档案!$A$6:$A$65,0)),""))</f>
        <v/>
      </c>
      <c r="I742" s="55" t="str">
        <f aca="false">IF($F742="","",IFERROR(INDEX(商品档案!$D$6:$D$65,MATCH($F742,商品档案!$A$6:$A$65,0)),""))</f>
        <v/>
      </c>
      <c r="J742" s="49"/>
      <c r="K742" s="56"/>
      <c r="L742" s="33"/>
      <c r="M742" s="39"/>
      <c r="N742" s="41"/>
      <c r="O742" s="41"/>
      <c r="P742" s="25" t="str">
        <f aca="false">IF(AND($B742="",$D742="",$F742=""),"",IF(NOT(ISNUMBER($B742)),"日期无效",IF(ISNA(MATCH($C742,参数设置!$A$10:$A$12,0)),"公司无效",IF(ISNA(MATCH($D742,记账规则!$A$6:$A$9,0)),"业务类型无效",IF(ISNA(MATCH($F742,商品档案!$A$6:$A$65,0)),"商品编码无效",IF(IFERROR(INDEX(商品档案!$E$6:$E$65,MATCH($F742,商品档案!$A$6:$A$65,0)),"")&lt;&gt;$C742,"商品不属于该公司",IF(AND($E742&lt;&gt;"",ISNA(MATCH($E742,往来单位!$A$6:$A$85,0))),"往来单位未建档",IF(N($J742)=0,"数量为 0",IF(N($K742)=0,"单价为 0",IF(AND(LEFT($D742,2)="销售",$U742=""),"该商品没设成本科目",IF(YEAR($B742)&lt;&gt;参数设置!$B$5,"不在本会计年度","OK")))))))))))</f>
        <v/>
      </c>
      <c r="Q742" s="57" t="str">
        <f aca="false">IF($F742="","",ROUND(N($J742)*N($K742),2))</f>
        <v/>
      </c>
      <c r="R742" s="58" t="str">
        <f aca="false">IF($D742="","",IF(LEFT($D742,2)="销售","应收账款","应付账款"))</f>
        <v/>
      </c>
      <c r="S742" s="58" t="str">
        <f aca="false">IF($F742="","",IFERROR(INDEX(商品档案!$G$6:$G$65,MATCH($F742,商品档案!$A$6:$A$65,0)),""))</f>
        <v/>
      </c>
      <c r="T742" s="58" t="str">
        <f aca="false">IF($F742="","",IFERROR(INDEX(商品档案!$H$6:$H$65,MATCH($F742,商品档案!$A$6:$A$65,0)),""))</f>
        <v/>
      </c>
      <c r="U742" s="58" t="str">
        <f aca="false">IF($F742="","",IFERROR(INDEX(商品档案!$I$6:$I$65,MATCH($F742,商品档案!$A$6:$A$65,0)),""))</f>
        <v/>
      </c>
      <c r="V742" s="59" t="str">
        <f aca="false">IF($F742="","",SUMIFS(进销存台账!$N$6:$N$65,进销存台账!$A$6:$A$65,$C742,进销存台账!$B$6:$B$65,$F742))</f>
        <v/>
      </c>
      <c r="W742" s="60" t="n">
        <f aca="false">IF(OR($D742="销售出库",$D742="销售退回"),ROUND(N($J742)*N($V742),2),0)</f>
        <v>0</v>
      </c>
      <c r="X742" s="58" t="str">
        <f aca="false">IF($E742="","",IFERROR(INDEX(往来单位!$D$6:$D$85,MATCH($E742,往来单位!$A$6:$A$85,0)),"否"))</f>
        <v/>
      </c>
      <c r="Y742" s="61" t="str">
        <f aca="false">IF($B742="","",YEAR($B742))</f>
        <v/>
      </c>
      <c r="Z742" s="58" t="str">
        <f aca="false">IF($B742="","",TEXT($B742,"yyyy-mm"))</f>
        <v/>
      </c>
    </row>
    <row r="743" customFormat="false" ht="15" hidden="false" customHeight="false" outlineLevel="0" collapsed="false">
      <c r="A743" s="53" t="str">
        <f aca="false">IF($B743="","",ROW()-5)</f>
        <v/>
      </c>
      <c r="B743" s="54"/>
      <c r="C743" s="33"/>
      <c r="D743" s="33"/>
      <c r="E743" s="32"/>
      <c r="F743" s="39"/>
      <c r="G743" s="48" t="str">
        <f aca="false">IF($F743="","",IFERROR(INDEX(商品档案!$B$6:$B$65,MATCH($F743,商品档案!$A$6:$A$65,0)),""))</f>
        <v/>
      </c>
      <c r="H743" s="48" t="str">
        <f aca="false">IF($F743="","",IFERROR(INDEX(商品档案!$C$6:$C$65,MATCH($F743,商品档案!$A$6:$A$65,0)),""))</f>
        <v/>
      </c>
      <c r="I743" s="55" t="str">
        <f aca="false">IF($F743="","",IFERROR(INDEX(商品档案!$D$6:$D$65,MATCH($F743,商品档案!$A$6:$A$65,0)),""))</f>
        <v/>
      </c>
      <c r="J743" s="49"/>
      <c r="K743" s="56"/>
      <c r="L743" s="33"/>
      <c r="M743" s="39"/>
      <c r="N743" s="41"/>
      <c r="O743" s="41"/>
      <c r="P743" s="25" t="str">
        <f aca="false">IF(AND($B743="",$D743="",$F743=""),"",IF(NOT(ISNUMBER($B743)),"日期无效",IF(ISNA(MATCH($C743,参数设置!$A$10:$A$12,0)),"公司无效",IF(ISNA(MATCH($D743,记账规则!$A$6:$A$9,0)),"业务类型无效",IF(ISNA(MATCH($F743,商品档案!$A$6:$A$65,0)),"商品编码无效",IF(IFERROR(INDEX(商品档案!$E$6:$E$65,MATCH($F743,商品档案!$A$6:$A$65,0)),"")&lt;&gt;$C743,"商品不属于该公司",IF(AND($E743&lt;&gt;"",ISNA(MATCH($E743,往来单位!$A$6:$A$85,0))),"往来单位未建档",IF(N($J743)=0,"数量为 0",IF(N($K743)=0,"单价为 0",IF(AND(LEFT($D743,2)="销售",$U743=""),"该商品没设成本科目",IF(YEAR($B743)&lt;&gt;参数设置!$B$5,"不在本会计年度","OK")))))))))))</f>
        <v/>
      </c>
      <c r="Q743" s="57" t="str">
        <f aca="false">IF($F743="","",ROUND(N($J743)*N($K743),2))</f>
        <v/>
      </c>
      <c r="R743" s="58" t="str">
        <f aca="false">IF($D743="","",IF(LEFT($D743,2)="销售","应收账款","应付账款"))</f>
        <v/>
      </c>
      <c r="S743" s="58" t="str">
        <f aca="false">IF($F743="","",IFERROR(INDEX(商品档案!$G$6:$G$65,MATCH($F743,商品档案!$A$6:$A$65,0)),""))</f>
        <v/>
      </c>
      <c r="T743" s="58" t="str">
        <f aca="false">IF($F743="","",IFERROR(INDEX(商品档案!$H$6:$H$65,MATCH($F743,商品档案!$A$6:$A$65,0)),""))</f>
        <v/>
      </c>
      <c r="U743" s="58" t="str">
        <f aca="false">IF($F743="","",IFERROR(INDEX(商品档案!$I$6:$I$65,MATCH($F743,商品档案!$A$6:$A$65,0)),""))</f>
        <v/>
      </c>
      <c r="V743" s="59" t="str">
        <f aca="false">IF($F743="","",SUMIFS(进销存台账!$N$6:$N$65,进销存台账!$A$6:$A$65,$C743,进销存台账!$B$6:$B$65,$F743))</f>
        <v/>
      </c>
      <c r="W743" s="60" t="n">
        <f aca="false">IF(OR($D743="销售出库",$D743="销售退回"),ROUND(N($J743)*N($V743),2),0)</f>
        <v>0</v>
      </c>
      <c r="X743" s="58" t="str">
        <f aca="false">IF($E743="","",IFERROR(INDEX(往来单位!$D$6:$D$85,MATCH($E743,往来单位!$A$6:$A$85,0)),"否"))</f>
        <v/>
      </c>
      <c r="Y743" s="61" t="str">
        <f aca="false">IF($B743="","",YEAR($B743))</f>
        <v/>
      </c>
      <c r="Z743" s="58" t="str">
        <f aca="false">IF($B743="","",TEXT($B743,"yyyy-mm"))</f>
        <v/>
      </c>
    </row>
    <row r="744" customFormat="false" ht="15" hidden="false" customHeight="false" outlineLevel="0" collapsed="false">
      <c r="A744" s="53" t="str">
        <f aca="false">IF($B744="","",ROW()-5)</f>
        <v/>
      </c>
      <c r="B744" s="54"/>
      <c r="C744" s="33"/>
      <c r="D744" s="33"/>
      <c r="E744" s="32"/>
      <c r="F744" s="39"/>
      <c r="G744" s="48" t="str">
        <f aca="false">IF($F744="","",IFERROR(INDEX(商品档案!$B$6:$B$65,MATCH($F744,商品档案!$A$6:$A$65,0)),""))</f>
        <v/>
      </c>
      <c r="H744" s="48" t="str">
        <f aca="false">IF($F744="","",IFERROR(INDEX(商品档案!$C$6:$C$65,MATCH($F744,商品档案!$A$6:$A$65,0)),""))</f>
        <v/>
      </c>
      <c r="I744" s="55" t="str">
        <f aca="false">IF($F744="","",IFERROR(INDEX(商品档案!$D$6:$D$65,MATCH($F744,商品档案!$A$6:$A$65,0)),""))</f>
        <v/>
      </c>
      <c r="J744" s="49"/>
      <c r="K744" s="56"/>
      <c r="L744" s="33"/>
      <c r="M744" s="39"/>
      <c r="N744" s="41"/>
      <c r="O744" s="41"/>
      <c r="P744" s="25" t="str">
        <f aca="false">IF(AND($B744="",$D744="",$F744=""),"",IF(NOT(ISNUMBER($B744)),"日期无效",IF(ISNA(MATCH($C744,参数设置!$A$10:$A$12,0)),"公司无效",IF(ISNA(MATCH($D744,记账规则!$A$6:$A$9,0)),"业务类型无效",IF(ISNA(MATCH($F744,商品档案!$A$6:$A$65,0)),"商品编码无效",IF(IFERROR(INDEX(商品档案!$E$6:$E$65,MATCH($F744,商品档案!$A$6:$A$65,0)),"")&lt;&gt;$C744,"商品不属于该公司",IF(AND($E744&lt;&gt;"",ISNA(MATCH($E744,往来单位!$A$6:$A$85,0))),"往来单位未建档",IF(N($J744)=0,"数量为 0",IF(N($K744)=0,"单价为 0",IF(AND(LEFT($D744,2)="销售",$U744=""),"该商品没设成本科目",IF(YEAR($B744)&lt;&gt;参数设置!$B$5,"不在本会计年度","OK")))))))))))</f>
        <v/>
      </c>
      <c r="Q744" s="57" t="str">
        <f aca="false">IF($F744="","",ROUND(N($J744)*N($K744),2))</f>
        <v/>
      </c>
      <c r="R744" s="58" t="str">
        <f aca="false">IF($D744="","",IF(LEFT($D744,2)="销售","应收账款","应付账款"))</f>
        <v/>
      </c>
      <c r="S744" s="58" t="str">
        <f aca="false">IF($F744="","",IFERROR(INDEX(商品档案!$G$6:$G$65,MATCH($F744,商品档案!$A$6:$A$65,0)),""))</f>
        <v/>
      </c>
      <c r="T744" s="58" t="str">
        <f aca="false">IF($F744="","",IFERROR(INDEX(商品档案!$H$6:$H$65,MATCH($F744,商品档案!$A$6:$A$65,0)),""))</f>
        <v/>
      </c>
      <c r="U744" s="58" t="str">
        <f aca="false">IF($F744="","",IFERROR(INDEX(商品档案!$I$6:$I$65,MATCH($F744,商品档案!$A$6:$A$65,0)),""))</f>
        <v/>
      </c>
      <c r="V744" s="59" t="str">
        <f aca="false">IF($F744="","",SUMIFS(进销存台账!$N$6:$N$65,进销存台账!$A$6:$A$65,$C744,进销存台账!$B$6:$B$65,$F744))</f>
        <v/>
      </c>
      <c r="W744" s="60" t="n">
        <f aca="false">IF(OR($D744="销售出库",$D744="销售退回"),ROUND(N($J744)*N($V744),2),0)</f>
        <v>0</v>
      </c>
      <c r="X744" s="58" t="str">
        <f aca="false">IF($E744="","",IFERROR(INDEX(往来单位!$D$6:$D$85,MATCH($E744,往来单位!$A$6:$A$85,0)),"否"))</f>
        <v/>
      </c>
      <c r="Y744" s="61" t="str">
        <f aca="false">IF($B744="","",YEAR($B744))</f>
        <v/>
      </c>
      <c r="Z744" s="58" t="str">
        <f aca="false">IF($B744="","",TEXT($B744,"yyyy-mm"))</f>
        <v/>
      </c>
    </row>
    <row r="745" customFormat="false" ht="15" hidden="false" customHeight="false" outlineLevel="0" collapsed="false">
      <c r="A745" s="53" t="str">
        <f aca="false">IF($B745="","",ROW()-5)</f>
        <v/>
      </c>
      <c r="B745" s="54"/>
      <c r="C745" s="33"/>
      <c r="D745" s="33"/>
      <c r="E745" s="32"/>
      <c r="F745" s="39"/>
      <c r="G745" s="48" t="str">
        <f aca="false">IF($F745="","",IFERROR(INDEX(商品档案!$B$6:$B$65,MATCH($F745,商品档案!$A$6:$A$65,0)),""))</f>
        <v/>
      </c>
      <c r="H745" s="48" t="str">
        <f aca="false">IF($F745="","",IFERROR(INDEX(商品档案!$C$6:$C$65,MATCH($F745,商品档案!$A$6:$A$65,0)),""))</f>
        <v/>
      </c>
      <c r="I745" s="55" t="str">
        <f aca="false">IF($F745="","",IFERROR(INDEX(商品档案!$D$6:$D$65,MATCH($F745,商品档案!$A$6:$A$65,0)),""))</f>
        <v/>
      </c>
      <c r="J745" s="49"/>
      <c r="K745" s="56"/>
      <c r="L745" s="33"/>
      <c r="M745" s="39"/>
      <c r="N745" s="41"/>
      <c r="O745" s="41"/>
      <c r="P745" s="25" t="str">
        <f aca="false">IF(AND($B745="",$D745="",$F745=""),"",IF(NOT(ISNUMBER($B745)),"日期无效",IF(ISNA(MATCH($C745,参数设置!$A$10:$A$12,0)),"公司无效",IF(ISNA(MATCH($D745,记账规则!$A$6:$A$9,0)),"业务类型无效",IF(ISNA(MATCH($F745,商品档案!$A$6:$A$65,0)),"商品编码无效",IF(IFERROR(INDEX(商品档案!$E$6:$E$65,MATCH($F745,商品档案!$A$6:$A$65,0)),"")&lt;&gt;$C745,"商品不属于该公司",IF(AND($E745&lt;&gt;"",ISNA(MATCH($E745,往来单位!$A$6:$A$85,0))),"往来单位未建档",IF(N($J745)=0,"数量为 0",IF(N($K745)=0,"单价为 0",IF(AND(LEFT($D745,2)="销售",$U745=""),"该商品没设成本科目",IF(YEAR($B745)&lt;&gt;参数设置!$B$5,"不在本会计年度","OK")))))))))))</f>
        <v/>
      </c>
      <c r="Q745" s="57" t="str">
        <f aca="false">IF($F745="","",ROUND(N($J745)*N($K745),2))</f>
        <v/>
      </c>
      <c r="R745" s="58" t="str">
        <f aca="false">IF($D745="","",IF(LEFT($D745,2)="销售","应收账款","应付账款"))</f>
        <v/>
      </c>
      <c r="S745" s="58" t="str">
        <f aca="false">IF($F745="","",IFERROR(INDEX(商品档案!$G$6:$G$65,MATCH($F745,商品档案!$A$6:$A$65,0)),""))</f>
        <v/>
      </c>
      <c r="T745" s="58" t="str">
        <f aca="false">IF($F745="","",IFERROR(INDEX(商品档案!$H$6:$H$65,MATCH($F745,商品档案!$A$6:$A$65,0)),""))</f>
        <v/>
      </c>
      <c r="U745" s="58" t="str">
        <f aca="false">IF($F745="","",IFERROR(INDEX(商品档案!$I$6:$I$65,MATCH($F745,商品档案!$A$6:$A$65,0)),""))</f>
        <v/>
      </c>
      <c r="V745" s="59" t="str">
        <f aca="false">IF($F745="","",SUMIFS(进销存台账!$N$6:$N$65,进销存台账!$A$6:$A$65,$C745,进销存台账!$B$6:$B$65,$F745))</f>
        <v/>
      </c>
      <c r="W745" s="60" t="n">
        <f aca="false">IF(OR($D745="销售出库",$D745="销售退回"),ROUND(N($J745)*N($V745),2),0)</f>
        <v>0</v>
      </c>
      <c r="X745" s="58" t="str">
        <f aca="false">IF($E745="","",IFERROR(INDEX(往来单位!$D$6:$D$85,MATCH($E745,往来单位!$A$6:$A$85,0)),"否"))</f>
        <v/>
      </c>
      <c r="Y745" s="61" t="str">
        <f aca="false">IF($B745="","",YEAR($B745))</f>
        <v/>
      </c>
      <c r="Z745" s="58" t="str">
        <f aca="false">IF($B745="","",TEXT($B745,"yyyy-mm"))</f>
        <v/>
      </c>
    </row>
    <row r="746" customFormat="false" ht="15" hidden="false" customHeight="false" outlineLevel="0" collapsed="false">
      <c r="A746" s="53" t="str">
        <f aca="false">IF($B746="","",ROW()-5)</f>
        <v/>
      </c>
      <c r="B746" s="54"/>
      <c r="C746" s="33"/>
      <c r="D746" s="33"/>
      <c r="E746" s="32"/>
      <c r="F746" s="39"/>
      <c r="G746" s="48" t="str">
        <f aca="false">IF($F746="","",IFERROR(INDEX(商品档案!$B$6:$B$65,MATCH($F746,商品档案!$A$6:$A$65,0)),""))</f>
        <v/>
      </c>
      <c r="H746" s="48" t="str">
        <f aca="false">IF($F746="","",IFERROR(INDEX(商品档案!$C$6:$C$65,MATCH($F746,商品档案!$A$6:$A$65,0)),""))</f>
        <v/>
      </c>
      <c r="I746" s="55" t="str">
        <f aca="false">IF($F746="","",IFERROR(INDEX(商品档案!$D$6:$D$65,MATCH($F746,商品档案!$A$6:$A$65,0)),""))</f>
        <v/>
      </c>
      <c r="J746" s="49"/>
      <c r="K746" s="56"/>
      <c r="L746" s="33"/>
      <c r="M746" s="39"/>
      <c r="N746" s="41"/>
      <c r="O746" s="41"/>
      <c r="P746" s="25" t="str">
        <f aca="false">IF(AND($B746="",$D746="",$F746=""),"",IF(NOT(ISNUMBER($B746)),"日期无效",IF(ISNA(MATCH($C746,参数设置!$A$10:$A$12,0)),"公司无效",IF(ISNA(MATCH($D746,记账规则!$A$6:$A$9,0)),"业务类型无效",IF(ISNA(MATCH($F746,商品档案!$A$6:$A$65,0)),"商品编码无效",IF(IFERROR(INDEX(商品档案!$E$6:$E$65,MATCH($F746,商品档案!$A$6:$A$65,0)),"")&lt;&gt;$C746,"商品不属于该公司",IF(AND($E746&lt;&gt;"",ISNA(MATCH($E746,往来单位!$A$6:$A$85,0))),"往来单位未建档",IF(N($J746)=0,"数量为 0",IF(N($K746)=0,"单价为 0",IF(AND(LEFT($D746,2)="销售",$U746=""),"该商品没设成本科目",IF(YEAR($B746)&lt;&gt;参数设置!$B$5,"不在本会计年度","OK")))))))))))</f>
        <v/>
      </c>
      <c r="Q746" s="57" t="str">
        <f aca="false">IF($F746="","",ROUND(N($J746)*N($K746),2))</f>
        <v/>
      </c>
      <c r="R746" s="58" t="str">
        <f aca="false">IF($D746="","",IF(LEFT($D746,2)="销售","应收账款","应付账款"))</f>
        <v/>
      </c>
      <c r="S746" s="58" t="str">
        <f aca="false">IF($F746="","",IFERROR(INDEX(商品档案!$G$6:$G$65,MATCH($F746,商品档案!$A$6:$A$65,0)),""))</f>
        <v/>
      </c>
      <c r="T746" s="58" t="str">
        <f aca="false">IF($F746="","",IFERROR(INDEX(商品档案!$H$6:$H$65,MATCH($F746,商品档案!$A$6:$A$65,0)),""))</f>
        <v/>
      </c>
      <c r="U746" s="58" t="str">
        <f aca="false">IF($F746="","",IFERROR(INDEX(商品档案!$I$6:$I$65,MATCH($F746,商品档案!$A$6:$A$65,0)),""))</f>
        <v/>
      </c>
      <c r="V746" s="59" t="str">
        <f aca="false">IF($F746="","",SUMIFS(进销存台账!$N$6:$N$65,进销存台账!$A$6:$A$65,$C746,进销存台账!$B$6:$B$65,$F746))</f>
        <v/>
      </c>
      <c r="W746" s="60" t="n">
        <f aca="false">IF(OR($D746="销售出库",$D746="销售退回"),ROUND(N($J746)*N($V746),2),0)</f>
        <v>0</v>
      </c>
      <c r="X746" s="58" t="str">
        <f aca="false">IF($E746="","",IFERROR(INDEX(往来单位!$D$6:$D$85,MATCH($E746,往来单位!$A$6:$A$85,0)),"否"))</f>
        <v/>
      </c>
      <c r="Y746" s="61" t="str">
        <f aca="false">IF($B746="","",YEAR($B746))</f>
        <v/>
      </c>
      <c r="Z746" s="58" t="str">
        <f aca="false">IF($B746="","",TEXT($B746,"yyyy-mm"))</f>
        <v/>
      </c>
    </row>
    <row r="747" customFormat="false" ht="15" hidden="false" customHeight="false" outlineLevel="0" collapsed="false">
      <c r="A747" s="53" t="str">
        <f aca="false">IF($B747="","",ROW()-5)</f>
        <v/>
      </c>
      <c r="B747" s="54"/>
      <c r="C747" s="33"/>
      <c r="D747" s="33"/>
      <c r="E747" s="32"/>
      <c r="F747" s="39"/>
      <c r="G747" s="48" t="str">
        <f aca="false">IF($F747="","",IFERROR(INDEX(商品档案!$B$6:$B$65,MATCH($F747,商品档案!$A$6:$A$65,0)),""))</f>
        <v/>
      </c>
      <c r="H747" s="48" t="str">
        <f aca="false">IF($F747="","",IFERROR(INDEX(商品档案!$C$6:$C$65,MATCH($F747,商品档案!$A$6:$A$65,0)),""))</f>
        <v/>
      </c>
      <c r="I747" s="55" t="str">
        <f aca="false">IF($F747="","",IFERROR(INDEX(商品档案!$D$6:$D$65,MATCH($F747,商品档案!$A$6:$A$65,0)),""))</f>
        <v/>
      </c>
      <c r="J747" s="49"/>
      <c r="K747" s="56"/>
      <c r="L747" s="33"/>
      <c r="M747" s="39"/>
      <c r="N747" s="41"/>
      <c r="O747" s="41"/>
      <c r="P747" s="25" t="str">
        <f aca="false">IF(AND($B747="",$D747="",$F747=""),"",IF(NOT(ISNUMBER($B747)),"日期无效",IF(ISNA(MATCH($C747,参数设置!$A$10:$A$12,0)),"公司无效",IF(ISNA(MATCH($D747,记账规则!$A$6:$A$9,0)),"业务类型无效",IF(ISNA(MATCH($F747,商品档案!$A$6:$A$65,0)),"商品编码无效",IF(IFERROR(INDEX(商品档案!$E$6:$E$65,MATCH($F747,商品档案!$A$6:$A$65,0)),"")&lt;&gt;$C747,"商品不属于该公司",IF(AND($E747&lt;&gt;"",ISNA(MATCH($E747,往来单位!$A$6:$A$85,0))),"往来单位未建档",IF(N($J747)=0,"数量为 0",IF(N($K747)=0,"单价为 0",IF(AND(LEFT($D747,2)="销售",$U747=""),"该商品没设成本科目",IF(YEAR($B747)&lt;&gt;参数设置!$B$5,"不在本会计年度","OK")))))))))))</f>
        <v/>
      </c>
      <c r="Q747" s="57" t="str">
        <f aca="false">IF($F747="","",ROUND(N($J747)*N($K747),2))</f>
        <v/>
      </c>
      <c r="R747" s="58" t="str">
        <f aca="false">IF($D747="","",IF(LEFT($D747,2)="销售","应收账款","应付账款"))</f>
        <v/>
      </c>
      <c r="S747" s="58" t="str">
        <f aca="false">IF($F747="","",IFERROR(INDEX(商品档案!$G$6:$G$65,MATCH($F747,商品档案!$A$6:$A$65,0)),""))</f>
        <v/>
      </c>
      <c r="T747" s="58" t="str">
        <f aca="false">IF($F747="","",IFERROR(INDEX(商品档案!$H$6:$H$65,MATCH($F747,商品档案!$A$6:$A$65,0)),""))</f>
        <v/>
      </c>
      <c r="U747" s="58" t="str">
        <f aca="false">IF($F747="","",IFERROR(INDEX(商品档案!$I$6:$I$65,MATCH($F747,商品档案!$A$6:$A$65,0)),""))</f>
        <v/>
      </c>
      <c r="V747" s="59" t="str">
        <f aca="false">IF($F747="","",SUMIFS(进销存台账!$N$6:$N$65,进销存台账!$A$6:$A$65,$C747,进销存台账!$B$6:$B$65,$F747))</f>
        <v/>
      </c>
      <c r="W747" s="60" t="n">
        <f aca="false">IF(OR($D747="销售出库",$D747="销售退回"),ROUND(N($J747)*N($V747),2),0)</f>
        <v>0</v>
      </c>
      <c r="X747" s="58" t="str">
        <f aca="false">IF($E747="","",IFERROR(INDEX(往来单位!$D$6:$D$85,MATCH($E747,往来单位!$A$6:$A$85,0)),"否"))</f>
        <v/>
      </c>
      <c r="Y747" s="61" t="str">
        <f aca="false">IF($B747="","",YEAR($B747))</f>
        <v/>
      </c>
      <c r="Z747" s="58" t="str">
        <f aca="false">IF($B747="","",TEXT($B747,"yyyy-mm"))</f>
        <v/>
      </c>
    </row>
    <row r="748" customFormat="false" ht="15" hidden="false" customHeight="false" outlineLevel="0" collapsed="false">
      <c r="A748" s="53" t="str">
        <f aca="false">IF($B748="","",ROW()-5)</f>
        <v/>
      </c>
      <c r="B748" s="54"/>
      <c r="C748" s="33"/>
      <c r="D748" s="33"/>
      <c r="E748" s="32"/>
      <c r="F748" s="39"/>
      <c r="G748" s="48" t="str">
        <f aca="false">IF($F748="","",IFERROR(INDEX(商品档案!$B$6:$B$65,MATCH($F748,商品档案!$A$6:$A$65,0)),""))</f>
        <v/>
      </c>
      <c r="H748" s="48" t="str">
        <f aca="false">IF($F748="","",IFERROR(INDEX(商品档案!$C$6:$C$65,MATCH($F748,商品档案!$A$6:$A$65,0)),""))</f>
        <v/>
      </c>
      <c r="I748" s="55" t="str">
        <f aca="false">IF($F748="","",IFERROR(INDEX(商品档案!$D$6:$D$65,MATCH($F748,商品档案!$A$6:$A$65,0)),""))</f>
        <v/>
      </c>
      <c r="J748" s="49"/>
      <c r="K748" s="56"/>
      <c r="L748" s="33"/>
      <c r="M748" s="39"/>
      <c r="N748" s="41"/>
      <c r="O748" s="41"/>
      <c r="P748" s="25" t="str">
        <f aca="false">IF(AND($B748="",$D748="",$F748=""),"",IF(NOT(ISNUMBER($B748)),"日期无效",IF(ISNA(MATCH($C748,参数设置!$A$10:$A$12,0)),"公司无效",IF(ISNA(MATCH($D748,记账规则!$A$6:$A$9,0)),"业务类型无效",IF(ISNA(MATCH($F748,商品档案!$A$6:$A$65,0)),"商品编码无效",IF(IFERROR(INDEX(商品档案!$E$6:$E$65,MATCH($F748,商品档案!$A$6:$A$65,0)),"")&lt;&gt;$C748,"商品不属于该公司",IF(AND($E748&lt;&gt;"",ISNA(MATCH($E748,往来单位!$A$6:$A$85,0))),"往来单位未建档",IF(N($J748)=0,"数量为 0",IF(N($K748)=0,"单价为 0",IF(AND(LEFT($D748,2)="销售",$U748=""),"该商品没设成本科目",IF(YEAR($B748)&lt;&gt;参数设置!$B$5,"不在本会计年度","OK")))))))))))</f>
        <v/>
      </c>
      <c r="Q748" s="57" t="str">
        <f aca="false">IF($F748="","",ROUND(N($J748)*N($K748),2))</f>
        <v/>
      </c>
      <c r="R748" s="58" t="str">
        <f aca="false">IF($D748="","",IF(LEFT($D748,2)="销售","应收账款","应付账款"))</f>
        <v/>
      </c>
      <c r="S748" s="58" t="str">
        <f aca="false">IF($F748="","",IFERROR(INDEX(商品档案!$G$6:$G$65,MATCH($F748,商品档案!$A$6:$A$65,0)),""))</f>
        <v/>
      </c>
      <c r="T748" s="58" t="str">
        <f aca="false">IF($F748="","",IFERROR(INDEX(商品档案!$H$6:$H$65,MATCH($F748,商品档案!$A$6:$A$65,0)),""))</f>
        <v/>
      </c>
      <c r="U748" s="58" t="str">
        <f aca="false">IF($F748="","",IFERROR(INDEX(商品档案!$I$6:$I$65,MATCH($F748,商品档案!$A$6:$A$65,0)),""))</f>
        <v/>
      </c>
      <c r="V748" s="59" t="str">
        <f aca="false">IF($F748="","",SUMIFS(进销存台账!$N$6:$N$65,进销存台账!$A$6:$A$65,$C748,进销存台账!$B$6:$B$65,$F748))</f>
        <v/>
      </c>
      <c r="W748" s="60" t="n">
        <f aca="false">IF(OR($D748="销售出库",$D748="销售退回"),ROUND(N($J748)*N($V748),2),0)</f>
        <v>0</v>
      </c>
      <c r="X748" s="58" t="str">
        <f aca="false">IF($E748="","",IFERROR(INDEX(往来单位!$D$6:$D$85,MATCH($E748,往来单位!$A$6:$A$85,0)),"否"))</f>
        <v/>
      </c>
      <c r="Y748" s="61" t="str">
        <f aca="false">IF($B748="","",YEAR($B748))</f>
        <v/>
      </c>
      <c r="Z748" s="58" t="str">
        <f aca="false">IF($B748="","",TEXT($B748,"yyyy-mm"))</f>
        <v/>
      </c>
    </row>
    <row r="749" customFormat="false" ht="15" hidden="false" customHeight="false" outlineLevel="0" collapsed="false">
      <c r="A749" s="53" t="str">
        <f aca="false">IF($B749="","",ROW()-5)</f>
        <v/>
      </c>
      <c r="B749" s="54"/>
      <c r="C749" s="33"/>
      <c r="D749" s="33"/>
      <c r="E749" s="32"/>
      <c r="F749" s="39"/>
      <c r="G749" s="48" t="str">
        <f aca="false">IF($F749="","",IFERROR(INDEX(商品档案!$B$6:$B$65,MATCH($F749,商品档案!$A$6:$A$65,0)),""))</f>
        <v/>
      </c>
      <c r="H749" s="48" t="str">
        <f aca="false">IF($F749="","",IFERROR(INDEX(商品档案!$C$6:$C$65,MATCH($F749,商品档案!$A$6:$A$65,0)),""))</f>
        <v/>
      </c>
      <c r="I749" s="55" t="str">
        <f aca="false">IF($F749="","",IFERROR(INDEX(商品档案!$D$6:$D$65,MATCH($F749,商品档案!$A$6:$A$65,0)),""))</f>
        <v/>
      </c>
      <c r="J749" s="49"/>
      <c r="K749" s="56"/>
      <c r="L749" s="33"/>
      <c r="M749" s="39"/>
      <c r="N749" s="41"/>
      <c r="O749" s="41"/>
      <c r="P749" s="25" t="str">
        <f aca="false">IF(AND($B749="",$D749="",$F749=""),"",IF(NOT(ISNUMBER($B749)),"日期无效",IF(ISNA(MATCH($C749,参数设置!$A$10:$A$12,0)),"公司无效",IF(ISNA(MATCH($D749,记账规则!$A$6:$A$9,0)),"业务类型无效",IF(ISNA(MATCH($F749,商品档案!$A$6:$A$65,0)),"商品编码无效",IF(IFERROR(INDEX(商品档案!$E$6:$E$65,MATCH($F749,商品档案!$A$6:$A$65,0)),"")&lt;&gt;$C749,"商品不属于该公司",IF(AND($E749&lt;&gt;"",ISNA(MATCH($E749,往来单位!$A$6:$A$85,0))),"往来单位未建档",IF(N($J749)=0,"数量为 0",IF(N($K749)=0,"单价为 0",IF(AND(LEFT($D749,2)="销售",$U749=""),"该商品没设成本科目",IF(YEAR($B749)&lt;&gt;参数设置!$B$5,"不在本会计年度","OK")))))))))))</f>
        <v/>
      </c>
      <c r="Q749" s="57" t="str">
        <f aca="false">IF($F749="","",ROUND(N($J749)*N($K749),2))</f>
        <v/>
      </c>
      <c r="R749" s="58" t="str">
        <f aca="false">IF($D749="","",IF(LEFT($D749,2)="销售","应收账款","应付账款"))</f>
        <v/>
      </c>
      <c r="S749" s="58" t="str">
        <f aca="false">IF($F749="","",IFERROR(INDEX(商品档案!$G$6:$G$65,MATCH($F749,商品档案!$A$6:$A$65,0)),""))</f>
        <v/>
      </c>
      <c r="T749" s="58" t="str">
        <f aca="false">IF($F749="","",IFERROR(INDEX(商品档案!$H$6:$H$65,MATCH($F749,商品档案!$A$6:$A$65,0)),""))</f>
        <v/>
      </c>
      <c r="U749" s="58" t="str">
        <f aca="false">IF($F749="","",IFERROR(INDEX(商品档案!$I$6:$I$65,MATCH($F749,商品档案!$A$6:$A$65,0)),""))</f>
        <v/>
      </c>
      <c r="V749" s="59" t="str">
        <f aca="false">IF($F749="","",SUMIFS(进销存台账!$N$6:$N$65,进销存台账!$A$6:$A$65,$C749,进销存台账!$B$6:$B$65,$F749))</f>
        <v/>
      </c>
      <c r="W749" s="60" t="n">
        <f aca="false">IF(OR($D749="销售出库",$D749="销售退回"),ROUND(N($J749)*N($V749),2),0)</f>
        <v>0</v>
      </c>
      <c r="X749" s="58" t="str">
        <f aca="false">IF($E749="","",IFERROR(INDEX(往来单位!$D$6:$D$85,MATCH($E749,往来单位!$A$6:$A$85,0)),"否"))</f>
        <v/>
      </c>
      <c r="Y749" s="61" t="str">
        <f aca="false">IF($B749="","",YEAR($B749))</f>
        <v/>
      </c>
      <c r="Z749" s="58" t="str">
        <f aca="false">IF($B749="","",TEXT($B749,"yyyy-mm"))</f>
        <v/>
      </c>
    </row>
    <row r="750" customFormat="false" ht="15" hidden="false" customHeight="false" outlineLevel="0" collapsed="false">
      <c r="A750" s="53" t="str">
        <f aca="false">IF($B750="","",ROW()-5)</f>
        <v/>
      </c>
      <c r="B750" s="54"/>
      <c r="C750" s="33"/>
      <c r="D750" s="33"/>
      <c r="E750" s="32"/>
      <c r="F750" s="39"/>
      <c r="G750" s="48" t="str">
        <f aca="false">IF($F750="","",IFERROR(INDEX(商品档案!$B$6:$B$65,MATCH($F750,商品档案!$A$6:$A$65,0)),""))</f>
        <v/>
      </c>
      <c r="H750" s="48" t="str">
        <f aca="false">IF($F750="","",IFERROR(INDEX(商品档案!$C$6:$C$65,MATCH($F750,商品档案!$A$6:$A$65,0)),""))</f>
        <v/>
      </c>
      <c r="I750" s="55" t="str">
        <f aca="false">IF($F750="","",IFERROR(INDEX(商品档案!$D$6:$D$65,MATCH($F750,商品档案!$A$6:$A$65,0)),""))</f>
        <v/>
      </c>
      <c r="J750" s="49"/>
      <c r="K750" s="56"/>
      <c r="L750" s="33"/>
      <c r="M750" s="39"/>
      <c r="N750" s="41"/>
      <c r="O750" s="41"/>
      <c r="P750" s="25" t="str">
        <f aca="false">IF(AND($B750="",$D750="",$F750=""),"",IF(NOT(ISNUMBER($B750)),"日期无效",IF(ISNA(MATCH($C750,参数设置!$A$10:$A$12,0)),"公司无效",IF(ISNA(MATCH($D750,记账规则!$A$6:$A$9,0)),"业务类型无效",IF(ISNA(MATCH($F750,商品档案!$A$6:$A$65,0)),"商品编码无效",IF(IFERROR(INDEX(商品档案!$E$6:$E$65,MATCH($F750,商品档案!$A$6:$A$65,0)),"")&lt;&gt;$C750,"商品不属于该公司",IF(AND($E750&lt;&gt;"",ISNA(MATCH($E750,往来单位!$A$6:$A$85,0))),"往来单位未建档",IF(N($J750)=0,"数量为 0",IF(N($K750)=0,"单价为 0",IF(AND(LEFT($D750,2)="销售",$U750=""),"该商品没设成本科目",IF(YEAR($B750)&lt;&gt;参数设置!$B$5,"不在本会计年度","OK")))))))))))</f>
        <v/>
      </c>
      <c r="Q750" s="57" t="str">
        <f aca="false">IF($F750="","",ROUND(N($J750)*N($K750),2))</f>
        <v/>
      </c>
      <c r="R750" s="58" t="str">
        <f aca="false">IF($D750="","",IF(LEFT($D750,2)="销售","应收账款","应付账款"))</f>
        <v/>
      </c>
      <c r="S750" s="58" t="str">
        <f aca="false">IF($F750="","",IFERROR(INDEX(商品档案!$G$6:$G$65,MATCH($F750,商品档案!$A$6:$A$65,0)),""))</f>
        <v/>
      </c>
      <c r="T750" s="58" t="str">
        <f aca="false">IF($F750="","",IFERROR(INDEX(商品档案!$H$6:$H$65,MATCH($F750,商品档案!$A$6:$A$65,0)),""))</f>
        <v/>
      </c>
      <c r="U750" s="58" t="str">
        <f aca="false">IF($F750="","",IFERROR(INDEX(商品档案!$I$6:$I$65,MATCH($F750,商品档案!$A$6:$A$65,0)),""))</f>
        <v/>
      </c>
      <c r="V750" s="59" t="str">
        <f aca="false">IF($F750="","",SUMIFS(进销存台账!$N$6:$N$65,进销存台账!$A$6:$A$65,$C750,进销存台账!$B$6:$B$65,$F750))</f>
        <v/>
      </c>
      <c r="W750" s="60" t="n">
        <f aca="false">IF(OR($D750="销售出库",$D750="销售退回"),ROUND(N($J750)*N($V750),2),0)</f>
        <v>0</v>
      </c>
      <c r="X750" s="58" t="str">
        <f aca="false">IF($E750="","",IFERROR(INDEX(往来单位!$D$6:$D$85,MATCH($E750,往来单位!$A$6:$A$85,0)),"否"))</f>
        <v/>
      </c>
      <c r="Y750" s="61" t="str">
        <f aca="false">IF($B750="","",YEAR($B750))</f>
        <v/>
      </c>
      <c r="Z750" s="58" t="str">
        <f aca="false">IF($B750="","",TEXT($B750,"yyyy-mm"))</f>
        <v/>
      </c>
    </row>
    <row r="751" customFormat="false" ht="15" hidden="false" customHeight="false" outlineLevel="0" collapsed="false">
      <c r="A751" s="53" t="str">
        <f aca="false">IF($B751="","",ROW()-5)</f>
        <v/>
      </c>
      <c r="B751" s="54"/>
      <c r="C751" s="33"/>
      <c r="D751" s="33"/>
      <c r="E751" s="32"/>
      <c r="F751" s="39"/>
      <c r="G751" s="48" t="str">
        <f aca="false">IF($F751="","",IFERROR(INDEX(商品档案!$B$6:$B$65,MATCH($F751,商品档案!$A$6:$A$65,0)),""))</f>
        <v/>
      </c>
      <c r="H751" s="48" t="str">
        <f aca="false">IF($F751="","",IFERROR(INDEX(商品档案!$C$6:$C$65,MATCH($F751,商品档案!$A$6:$A$65,0)),""))</f>
        <v/>
      </c>
      <c r="I751" s="55" t="str">
        <f aca="false">IF($F751="","",IFERROR(INDEX(商品档案!$D$6:$D$65,MATCH($F751,商品档案!$A$6:$A$65,0)),""))</f>
        <v/>
      </c>
      <c r="J751" s="49"/>
      <c r="K751" s="56"/>
      <c r="L751" s="33"/>
      <c r="M751" s="39"/>
      <c r="N751" s="41"/>
      <c r="O751" s="41"/>
      <c r="P751" s="25" t="str">
        <f aca="false">IF(AND($B751="",$D751="",$F751=""),"",IF(NOT(ISNUMBER($B751)),"日期无效",IF(ISNA(MATCH($C751,参数设置!$A$10:$A$12,0)),"公司无效",IF(ISNA(MATCH($D751,记账规则!$A$6:$A$9,0)),"业务类型无效",IF(ISNA(MATCH($F751,商品档案!$A$6:$A$65,0)),"商品编码无效",IF(IFERROR(INDEX(商品档案!$E$6:$E$65,MATCH($F751,商品档案!$A$6:$A$65,0)),"")&lt;&gt;$C751,"商品不属于该公司",IF(AND($E751&lt;&gt;"",ISNA(MATCH($E751,往来单位!$A$6:$A$85,0))),"往来单位未建档",IF(N($J751)=0,"数量为 0",IF(N($K751)=0,"单价为 0",IF(AND(LEFT($D751,2)="销售",$U751=""),"该商品没设成本科目",IF(YEAR($B751)&lt;&gt;参数设置!$B$5,"不在本会计年度","OK")))))))))))</f>
        <v/>
      </c>
      <c r="Q751" s="57" t="str">
        <f aca="false">IF($F751="","",ROUND(N($J751)*N($K751),2))</f>
        <v/>
      </c>
      <c r="R751" s="58" t="str">
        <f aca="false">IF($D751="","",IF(LEFT($D751,2)="销售","应收账款","应付账款"))</f>
        <v/>
      </c>
      <c r="S751" s="58" t="str">
        <f aca="false">IF($F751="","",IFERROR(INDEX(商品档案!$G$6:$G$65,MATCH($F751,商品档案!$A$6:$A$65,0)),""))</f>
        <v/>
      </c>
      <c r="T751" s="58" t="str">
        <f aca="false">IF($F751="","",IFERROR(INDEX(商品档案!$H$6:$H$65,MATCH($F751,商品档案!$A$6:$A$65,0)),""))</f>
        <v/>
      </c>
      <c r="U751" s="58" t="str">
        <f aca="false">IF($F751="","",IFERROR(INDEX(商品档案!$I$6:$I$65,MATCH($F751,商品档案!$A$6:$A$65,0)),""))</f>
        <v/>
      </c>
      <c r="V751" s="59" t="str">
        <f aca="false">IF($F751="","",SUMIFS(进销存台账!$N$6:$N$65,进销存台账!$A$6:$A$65,$C751,进销存台账!$B$6:$B$65,$F751))</f>
        <v/>
      </c>
      <c r="W751" s="60" t="n">
        <f aca="false">IF(OR($D751="销售出库",$D751="销售退回"),ROUND(N($J751)*N($V751),2),0)</f>
        <v>0</v>
      </c>
      <c r="X751" s="58" t="str">
        <f aca="false">IF($E751="","",IFERROR(INDEX(往来单位!$D$6:$D$85,MATCH($E751,往来单位!$A$6:$A$85,0)),"否"))</f>
        <v/>
      </c>
      <c r="Y751" s="61" t="str">
        <f aca="false">IF($B751="","",YEAR($B751))</f>
        <v/>
      </c>
      <c r="Z751" s="58" t="str">
        <f aca="false">IF($B751="","",TEXT($B751,"yyyy-mm"))</f>
        <v/>
      </c>
    </row>
    <row r="752" customFormat="false" ht="15" hidden="false" customHeight="false" outlineLevel="0" collapsed="false">
      <c r="A752" s="53" t="str">
        <f aca="false">IF($B752="","",ROW()-5)</f>
        <v/>
      </c>
      <c r="B752" s="54"/>
      <c r="C752" s="33"/>
      <c r="D752" s="33"/>
      <c r="E752" s="32"/>
      <c r="F752" s="39"/>
      <c r="G752" s="48" t="str">
        <f aca="false">IF($F752="","",IFERROR(INDEX(商品档案!$B$6:$B$65,MATCH($F752,商品档案!$A$6:$A$65,0)),""))</f>
        <v/>
      </c>
      <c r="H752" s="48" t="str">
        <f aca="false">IF($F752="","",IFERROR(INDEX(商品档案!$C$6:$C$65,MATCH($F752,商品档案!$A$6:$A$65,0)),""))</f>
        <v/>
      </c>
      <c r="I752" s="55" t="str">
        <f aca="false">IF($F752="","",IFERROR(INDEX(商品档案!$D$6:$D$65,MATCH($F752,商品档案!$A$6:$A$65,0)),""))</f>
        <v/>
      </c>
      <c r="J752" s="49"/>
      <c r="K752" s="56"/>
      <c r="L752" s="33"/>
      <c r="M752" s="39"/>
      <c r="N752" s="41"/>
      <c r="O752" s="41"/>
      <c r="P752" s="25" t="str">
        <f aca="false">IF(AND($B752="",$D752="",$F752=""),"",IF(NOT(ISNUMBER($B752)),"日期无效",IF(ISNA(MATCH($C752,参数设置!$A$10:$A$12,0)),"公司无效",IF(ISNA(MATCH($D752,记账规则!$A$6:$A$9,0)),"业务类型无效",IF(ISNA(MATCH($F752,商品档案!$A$6:$A$65,0)),"商品编码无效",IF(IFERROR(INDEX(商品档案!$E$6:$E$65,MATCH($F752,商品档案!$A$6:$A$65,0)),"")&lt;&gt;$C752,"商品不属于该公司",IF(AND($E752&lt;&gt;"",ISNA(MATCH($E752,往来单位!$A$6:$A$85,0))),"往来单位未建档",IF(N($J752)=0,"数量为 0",IF(N($K752)=0,"单价为 0",IF(AND(LEFT($D752,2)="销售",$U752=""),"该商品没设成本科目",IF(YEAR($B752)&lt;&gt;参数设置!$B$5,"不在本会计年度","OK")))))))))))</f>
        <v/>
      </c>
      <c r="Q752" s="57" t="str">
        <f aca="false">IF($F752="","",ROUND(N($J752)*N($K752),2))</f>
        <v/>
      </c>
      <c r="R752" s="58" t="str">
        <f aca="false">IF($D752="","",IF(LEFT($D752,2)="销售","应收账款","应付账款"))</f>
        <v/>
      </c>
      <c r="S752" s="58" t="str">
        <f aca="false">IF($F752="","",IFERROR(INDEX(商品档案!$G$6:$G$65,MATCH($F752,商品档案!$A$6:$A$65,0)),""))</f>
        <v/>
      </c>
      <c r="T752" s="58" t="str">
        <f aca="false">IF($F752="","",IFERROR(INDEX(商品档案!$H$6:$H$65,MATCH($F752,商品档案!$A$6:$A$65,0)),""))</f>
        <v/>
      </c>
      <c r="U752" s="58" t="str">
        <f aca="false">IF($F752="","",IFERROR(INDEX(商品档案!$I$6:$I$65,MATCH($F752,商品档案!$A$6:$A$65,0)),""))</f>
        <v/>
      </c>
      <c r="V752" s="59" t="str">
        <f aca="false">IF($F752="","",SUMIFS(进销存台账!$N$6:$N$65,进销存台账!$A$6:$A$65,$C752,进销存台账!$B$6:$B$65,$F752))</f>
        <v/>
      </c>
      <c r="W752" s="60" t="n">
        <f aca="false">IF(OR($D752="销售出库",$D752="销售退回"),ROUND(N($J752)*N($V752),2),0)</f>
        <v>0</v>
      </c>
      <c r="X752" s="58" t="str">
        <f aca="false">IF($E752="","",IFERROR(INDEX(往来单位!$D$6:$D$85,MATCH($E752,往来单位!$A$6:$A$85,0)),"否"))</f>
        <v/>
      </c>
      <c r="Y752" s="61" t="str">
        <f aca="false">IF($B752="","",YEAR($B752))</f>
        <v/>
      </c>
      <c r="Z752" s="58" t="str">
        <f aca="false">IF($B752="","",TEXT($B752,"yyyy-mm"))</f>
        <v/>
      </c>
    </row>
    <row r="753" customFormat="false" ht="15" hidden="false" customHeight="false" outlineLevel="0" collapsed="false">
      <c r="A753" s="53" t="str">
        <f aca="false">IF($B753="","",ROW()-5)</f>
        <v/>
      </c>
      <c r="B753" s="54"/>
      <c r="C753" s="33"/>
      <c r="D753" s="33"/>
      <c r="E753" s="32"/>
      <c r="F753" s="39"/>
      <c r="G753" s="48" t="str">
        <f aca="false">IF($F753="","",IFERROR(INDEX(商品档案!$B$6:$B$65,MATCH($F753,商品档案!$A$6:$A$65,0)),""))</f>
        <v/>
      </c>
      <c r="H753" s="48" t="str">
        <f aca="false">IF($F753="","",IFERROR(INDEX(商品档案!$C$6:$C$65,MATCH($F753,商品档案!$A$6:$A$65,0)),""))</f>
        <v/>
      </c>
      <c r="I753" s="55" t="str">
        <f aca="false">IF($F753="","",IFERROR(INDEX(商品档案!$D$6:$D$65,MATCH($F753,商品档案!$A$6:$A$65,0)),""))</f>
        <v/>
      </c>
      <c r="J753" s="49"/>
      <c r="K753" s="56"/>
      <c r="L753" s="33"/>
      <c r="M753" s="39"/>
      <c r="N753" s="41"/>
      <c r="O753" s="41"/>
      <c r="P753" s="25" t="str">
        <f aca="false">IF(AND($B753="",$D753="",$F753=""),"",IF(NOT(ISNUMBER($B753)),"日期无效",IF(ISNA(MATCH($C753,参数设置!$A$10:$A$12,0)),"公司无效",IF(ISNA(MATCH($D753,记账规则!$A$6:$A$9,0)),"业务类型无效",IF(ISNA(MATCH($F753,商品档案!$A$6:$A$65,0)),"商品编码无效",IF(IFERROR(INDEX(商品档案!$E$6:$E$65,MATCH($F753,商品档案!$A$6:$A$65,0)),"")&lt;&gt;$C753,"商品不属于该公司",IF(AND($E753&lt;&gt;"",ISNA(MATCH($E753,往来单位!$A$6:$A$85,0))),"往来单位未建档",IF(N($J753)=0,"数量为 0",IF(N($K753)=0,"单价为 0",IF(AND(LEFT($D753,2)="销售",$U753=""),"该商品没设成本科目",IF(YEAR($B753)&lt;&gt;参数设置!$B$5,"不在本会计年度","OK")))))))))))</f>
        <v/>
      </c>
      <c r="Q753" s="57" t="str">
        <f aca="false">IF($F753="","",ROUND(N($J753)*N($K753),2))</f>
        <v/>
      </c>
      <c r="R753" s="58" t="str">
        <f aca="false">IF($D753="","",IF(LEFT($D753,2)="销售","应收账款","应付账款"))</f>
        <v/>
      </c>
      <c r="S753" s="58" t="str">
        <f aca="false">IF($F753="","",IFERROR(INDEX(商品档案!$G$6:$G$65,MATCH($F753,商品档案!$A$6:$A$65,0)),""))</f>
        <v/>
      </c>
      <c r="T753" s="58" t="str">
        <f aca="false">IF($F753="","",IFERROR(INDEX(商品档案!$H$6:$H$65,MATCH($F753,商品档案!$A$6:$A$65,0)),""))</f>
        <v/>
      </c>
      <c r="U753" s="58" t="str">
        <f aca="false">IF($F753="","",IFERROR(INDEX(商品档案!$I$6:$I$65,MATCH($F753,商品档案!$A$6:$A$65,0)),""))</f>
        <v/>
      </c>
      <c r="V753" s="59" t="str">
        <f aca="false">IF($F753="","",SUMIFS(进销存台账!$N$6:$N$65,进销存台账!$A$6:$A$65,$C753,进销存台账!$B$6:$B$65,$F753))</f>
        <v/>
      </c>
      <c r="W753" s="60" t="n">
        <f aca="false">IF(OR($D753="销售出库",$D753="销售退回"),ROUND(N($J753)*N($V753),2),0)</f>
        <v>0</v>
      </c>
      <c r="X753" s="58" t="str">
        <f aca="false">IF($E753="","",IFERROR(INDEX(往来单位!$D$6:$D$85,MATCH($E753,往来单位!$A$6:$A$85,0)),"否"))</f>
        <v/>
      </c>
      <c r="Y753" s="61" t="str">
        <f aca="false">IF($B753="","",YEAR($B753))</f>
        <v/>
      </c>
      <c r="Z753" s="58" t="str">
        <f aca="false">IF($B753="","",TEXT($B753,"yyyy-mm"))</f>
        <v/>
      </c>
    </row>
    <row r="754" customFormat="false" ht="15" hidden="false" customHeight="false" outlineLevel="0" collapsed="false">
      <c r="A754" s="53" t="str">
        <f aca="false">IF($B754="","",ROW()-5)</f>
        <v/>
      </c>
      <c r="B754" s="54"/>
      <c r="C754" s="33"/>
      <c r="D754" s="33"/>
      <c r="E754" s="32"/>
      <c r="F754" s="39"/>
      <c r="G754" s="48" t="str">
        <f aca="false">IF($F754="","",IFERROR(INDEX(商品档案!$B$6:$B$65,MATCH($F754,商品档案!$A$6:$A$65,0)),""))</f>
        <v/>
      </c>
      <c r="H754" s="48" t="str">
        <f aca="false">IF($F754="","",IFERROR(INDEX(商品档案!$C$6:$C$65,MATCH($F754,商品档案!$A$6:$A$65,0)),""))</f>
        <v/>
      </c>
      <c r="I754" s="55" t="str">
        <f aca="false">IF($F754="","",IFERROR(INDEX(商品档案!$D$6:$D$65,MATCH($F754,商品档案!$A$6:$A$65,0)),""))</f>
        <v/>
      </c>
      <c r="J754" s="49"/>
      <c r="K754" s="56"/>
      <c r="L754" s="33"/>
      <c r="M754" s="39"/>
      <c r="N754" s="41"/>
      <c r="O754" s="41"/>
      <c r="P754" s="25" t="str">
        <f aca="false">IF(AND($B754="",$D754="",$F754=""),"",IF(NOT(ISNUMBER($B754)),"日期无效",IF(ISNA(MATCH($C754,参数设置!$A$10:$A$12,0)),"公司无效",IF(ISNA(MATCH($D754,记账规则!$A$6:$A$9,0)),"业务类型无效",IF(ISNA(MATCH($F754,商品档案!$A$6:$A$65,0)),"商品编码无效",IF(IFERROR(INDEX(商品档案!$E$6:$E$65,MATCH($F754,商品档案!$A$6:$A$65,0)),"")&lt;&gt;$C754,"商品不属于该公司",IF(AND($E754&lt;&gt;"",ISNA(MATCH($E754,往来单位!$A$6:$A$85,0))),"往来单位未建档",IF(N($J754)=0,"数量为 0",IF(N($K754)=0,"单价为 0",IF(AND(LEFT($D754,2)="销售",$U754=""),"该商品没设成本科目",IF(YEAR($B754)&lt;&gt;参数设置!$B$5,"不在本会计年度","OK")))))))))))</f>
        <v/>
      </c>
      <c r="Q754" s="57" t="str">
        <f aca="false">IF($F754="","",ROUND(N($J754)*N($K754),2))</f>
        <v/>
      </c>
      <c r="R754" s="58" t="str">
        <f aca="false">IF($D754="","",IF(LEFT($D754,2)="销售","应收账款","应付账款"))</f>
        <v/>
      </c>
      <c r="S754" s="58" t="str">
        <f aca="false">IF($F754="","",IFERROR(INDEX(商品档案!$G$6:$G$65,MATCH($F754,商品档案!$A$6:$A$65,0)),""))</f>
        <v/>
      </c>
      <c r="T754" s="58" t="str">
        <f aca="false">IF($F754="","",IFERROR(INDEX(商品档案!$H$6:$H$65,MATCH($F754,商品档案!$A$6:$A$65,0)),""))</f>
        <v/>
      </c>
      <c r="U754" s="58" t="str">
        <f aca="false">IF($F754="","",IFERROR(INDEX(商品档案!$I$6:$I$65,MATCH($F754,商品档案!$A$6:$A$65,0)),""))</f>
        <v/>
      </c>
      <c r="V754" s="59" t="str">
        <f aca="false">IF($F754="","",SUMIFS(进销存台账!$N$6:$N$65,进销存台账!$A$6:$A$65,$C754,进销存台账!$B$6:$B$65,$F754))</f>
        <v/>
      </c>
      <c r="W754" s="60" t="n">
        <f aca="false">IF(OR($D754="销售出库",$D754="销售退回"),ROUND(N($J754)*N($V754),2),0)</f>
        <v>0</v>
      </c>
      <c r="X754" s="58" t="str">
        <f aca="false">IF($E754="","",IFERROR(INDEX(往来单位!$D$6:$D$85,MATCH($E754,往来单位!$A$6:$A$85,0)),"否"))</f>
        <v/>
      </c>
      <c r="Y754" s="61" t="str">
        <f aca="false">IF($B754="","",YEAR($B754))</f>
        <v/>
      </c>
      <c r="Z754" s="58" t="str">
        <f aca="false">IF($B754="","",TEXT($B754,"yyyy-mm"))</f>
        <v/>
      </c>
    </row>
    <row r="755" customFormat="false" ht="15" hidden="false" customHeight="false" outlineLevel="0" collapsed="false">
      <c r="A755" s="53" t="str">
        <f aca="false">IF($B755="","",ROW()-5)</f>
        <v/>
      </c>
      <c r="B755" s="54"/>
      <c r="C755" s="33"/>
      <c r="D755" s="33"/>
      <c r="E755" s="32"/>
      <c r="F755" s="39"/>
      <c r="G755" s="48" t="str">
        <f aca="false">IF($F755="","",IFERROR(INDEX(商品档案!$B$6:$B$65,MATCH($F755,商品档案!$A$6:$A$65,0)),""))</f>
        <v/>
      </c>
      <c r="H755" s="48" t="str">
        <f aca="false">IF($F755="","",IFERROR(INDEX(商品档案!$C$6:$C$65,MATCH($F755,商品档案!$A$6:$A$65,0)),""))</f>
        <v/>
      </c>
      <c r="I755" s="55" t="str">
        <f aca="false">IF($F755="","",IFERROR(INDEX(商品档案!$D$6:$D$65,MATCH($F755,商品档案!$A$6:$A$65,0)),""))</f>
        <v/>
      </c>
      <c r="J755" s="49"/>
      <c r="K755" s="56"/>
      <c r="L755" s="33"/>
      <c r="M755" s="39"/>
      <c r="N755" s="41"/>
      <c r="O755" s="41"/>
      <c r="P755" s="25" t="str">
        <f aca="false">IF(AND($B755="",$D755="",$F755=""),"",IF(NOT(ISNUMBER($B755)),"日期无效",IF(ISNA(MATCH($C755,参数设置!$A$10:$A$12,0)),"公司无效",IF(ISNA(MATCH($D755,记账规则!$A$6:$A$9,0)),"业务类型无效",IF(ISNA(MATCH($F755,商品档案!$A$6:$A$65,0)),"商品编码无效",IF(IFERROR(INDEX(商品档案!$E$6:$E$65,MATCH($F755,商品档案!$A$6:$A$65,0)),"")&lt;&gt;$C755,"商品不属于该公司",IF(AND($E755&lt;&gt;"",ISNA(MATCH($E755,往来单位!$A$6:$A$85,0))),"往来单位未建档",IF(N($J755)=0,"数量为 0",IF(N($K755)=0,"单价为 0",IF(AND(LEFT($D755,2)="销售",$U755=""),"该商品没设成本科目",IF(YEAR($B755)&lt;&gt;参数设置!$B$5,"不在本会计年度","OK")))))))))))</f>
        <v/>
      </c>
      <c r="Q755" s="57" t="str">
        <f aca="false">IF($F755="","",ROUND(N($J755)*N($K755),2))</f>
        <v/>
      </c>
      <c r="R755" s="58" t="str">
        <f aca="false">IF($D755="","",IF(LEFT($D755,2)="销售","应收账款","应付账款"))</f>
        <v/>
      </c>
      <c r="S755" s="58" t="str">
        <f aca="false">IF($F755="","",IFERROR(INDEX(商品档案!$G$6:$G$65,MATCH($F755,商品档案!$A$6:$A$65,0)),""))</f>
        <v/>
      </c>
      <c r="T755" s="58" t="str">
        <f aca="false">IF($F755="","",IFERROR(INDEX(商品档案!$H$6:$H$65,MATCH($F755,商品档案!$A$6:$A$65,0)),""))</f>
        <v/>
      </c>
      <c r="U755" s="58" t="str">
        <f aca="false">IF($F755="","",IFERROR(INDEX(商品档案!$I$6:$I$65,MATCH($F755,商品档案!$A$6:$A$65,0)),""))</f>
        <v/>
      </c>
      <c r="V755" s="59" t="str">
        <f aca="false">IF($F755="","",SUMIFS(进销存台账!$N$6:$N$65,进销存台账!$A$6:$A$65,$C755,进销存台账!$B$6:$B$65,$F755))</f>
        <v/>
      </c>
      <c r="W755" s="60" t="n">
        <f aca="false">IF(OR($D755="销售出库",$D755="销售退回"),ROUND(N($J755)*N($V755),2),0)</f>
        <v>0</v>
      </c>
      <c r="X755" s="58" t="str">
        <f aca="false">IF($E755="","",IFERROR(INDEX(往来单位!$D$6:$D$85,MATCH($E755,往来单位!$A$6:$A$85,0)),"否"))</f>
        <v/>
      </c>
      <c r="Y755" s="61" t="str">
        <f aca="false">IF($B755="","",YEAR($B755))</f>
        <v/>
      </c>
      <c r="Z755" s="58" t="str">
        <f aca="false">IF($B755="","",TEXT($B755,"yyyy-mm"))</f>
        <v/>
      </c>
    </row>
    <row r="756" customFormat="false" ht="15" hidden="false" customHeight="false" outlineLevel="0" collapsed="false">
      <c r="A756" s="53" t="str">
        <f aca="false">IF($B756="","",ROW()-5)</f>
        <v/>
      </c>
      <c r="B756" s="54"/>
      <c r="C756" s="33"/>
      <c r="D756" s="33"/>
      <c r="E756" s="32"/>
      <c r="F756" s="39"/>
      <c r="G756" s="48" t="str">
        <f aca="false">IF($F756="","",IFERROR(INDEX(商品档案!$B$6:$B$65,MATCH($F756,商品档案!$A$6:$A$65,0)),""))</f>
        <v/>
      </c>
      <c r="H756" s="48" t="str">
        <f aca="false">IF($F756="","",IFERROR(INDEX(商品档案!$C$6:$C$65,MATCH($F756,商品档案!$A$6:$A$65,0)),""))</f>
        <v/>
      </c>
      <c r="I756" s="55" t="str">
        <f aca="false">IF($F756="","",IFERROR(INDEX(商品档案!$D$6:$D$65,MATCH($F756,商品档案!$A$6:$A$65,0)),""))</f>
        <v/>
      </c>
      <c r="J756" s="49"/>
      <c r="K756" s="56"/>
      <c r="L756" s="33"/>
      <c r="M756" s="39"/>
      <c r="N756" s="41"/>
      <c r="O756" s="41"/>
      <c r="P756" s="25" t="str">
        <f aca="false">IF(AND($B756="",$D756="",$F756=""),"",IF(NOT(ISNUMBER($B756)),"日期无效",IF(ISNA(MATCH($C756,参数设置!$A$10:$A$12,0)),"公司无效",IF(ISNA(MATCH($D756,记账规则!$A$6:$A$9,0)),"业务类型无效",IF(ISNA(MATCH($F756,商品档案!$A$6:$A$65,0)),"商品编码无效",IF(IFERROR(INDEX(商品档案!$E$6:$E$65,MATCH($F756,商品档案!$A$6:$A$65,0)),"")&lt;&gt;$C756,"商品不属于该公司",IF(AND($E756&lt;&gt;"",ISNA(MATCH($E756,往来单位!$A$6:$A$85,0))),"往来单位未建档",IF(N($J756)=0,"数量为 0",IF(N($K756)=0,"单价为 0",IF(AND(LEFT($D756,2)="销售",$U756=""),"该商品没设成本科目",IF(YEAR($B756)&lt;&gt;参数设置!$B$5,"不在本会计年度","OK")))))))))))</f>
        <v/>
      </c>
      <c r="Q756" s="57" t="str">
        <f aca="false">IF($F756="","",ROUND(N($J756)*N($K756),2))</f>
        <v/>
      </c>
      <c r="R756" s="58" t="str">
        <f aca="false">IF($D756="","",IF(LEFT($D756,2)="销售","应收账款","应付账款"))</f>
        <v/>
      </c>
      <c r="S756" s="58" t="str">
        <f aca="false">IF($F756="","",IFERROR(INDEX(商品档案!$G$6:$G$65,MATCH($F756,商品档案!$A$6:$A$65,0)),""))</f>
        <v/>
      </c>
      <c r="T756" s="58" t="str">
        <f aca="false">IF($F756="","",IFERROR(INDEX(商品档案!$H$6:$H$65,MATCH($F756,商品档案!$A$6:$A$65,0)),""))</f>
        <v/>
      </c>
      <c r="U756" s="58" t="str">
        <f aca="false">IF($F756="","",IFERROR(INDEX(商品档案!$I$6:$I$65,MATCH($F756,商品档案!$A$6:$A$65,0)),""))</f>
        <v/>
      </c>
      <c r="V756" s="59" t="str">
        <f aca="false">IF($F756="","",SUMIFS(进销存台账!$N$6:$N$65,进销存台账!$A$6:$A$65,$C756,进销存台账!$B$6:$B$65,$F756))</f>
        <v/>
      </c>
      <c r="W756" s="60" t="n">
        <f aca="false">IF(OR($D756="销售出库",$D756="销售退回"),ROUND(N($J756)*N($V756),2),0)</f>
        <v>0</v>
      </c>
      <c r="X756" s="58" t="str">
        <f aca="false">IF($E756="","",IFERROR(INDEX(往来单位!$D$6:$D$85,MATCH($E756,往来单位!$A$6:$A$85,0)),"否"))</f>
        <v/>
      </c>
      <c r="Y756" s="61" t="str">
        <f aca="false">IF($B756="","",YEAR($B756))</f>
        <v/>
      </c>
      <c r="Z756" s="58" t="str">
        <f aca="false">IF($B756="","",TEXT($B756,"yyyy-mm"))</f>
        <v/>
      </c>
    </row>
    <row r="757" customFormat="false" ht="15" hidden="false" customHeight="false" outlineLevel="0" collapsed="false">
      <c r="A757" s="53" t="str">
        <f aca="false">IF($B757="","",ROW()-5)</f>
        <v/>
      </c>
      <c r="B757" s="54"/>
      <c r="C757" s="33"/>
      <c r="D757" s="33"/>
      <c r="E757" s="32"/>
      <c r="F757" s="39"/>
      <c r="G757" s="48" t="str">
        <f aca="false">IF($F757="","",IFERROR(INDEX(商品档案!$B$6:$B$65,MATCH($F757,商品档案!$A$6:$A$65,0)),""))</f>
        <v/>
      </c>
      <c r="H757" s="48" t="str">
        <f aca="false">IF($F757="","",IFERROR(INDEX(商品档案!$C$6:$C$65,MATCH($F757,商品档案!$A$6:$A$65,0)),""))</f>
        <v/>
      </c>
      <c r="I757" s="55" t="str">
        <f aca="false">IF($F757="","",IFERROR(INDEX(商品档案!$D$6:$D$65,MATCH($F757,商品档案!$A$6:$A$65,0)),""))</f>
        <v/>
      </c>
      <c r="J757" s="49"/>
      <c r="K757" s="56"/>
      <c r="L757" s="33"/>
      <c r="M757" s="39"/>
      <c r="N757" s="41"/>
      <c r="O757" s="41"/>
      <c r="P757" s="25" t="str">
        <f aca="false">IF(AND($B757="",$D757="",$F757=""),"",IF(NOT(ISNUMBER($B757)),"日期无效",IF(ISNA(MATCH($C757,参数设置!$A$10:$A$12,0)),"公司无效",IF(ISNA(MATCH($D757,记账规则!$A$6:$A$9,0)),"业务类型无效",IF(ISNA(MATCH($F757,商品档案!$A$6:$A$65,0)),"商品编码无效",IF(IFERROR(INDEX(商品档案!$E$6:$E$65,MATCH($F757,商品档案!$A$6:$A$65,0)),"")&lt;&gt;$C757,"商品不属于该公司",IF(AND($E757&lt;&gt;"",ISNA(MATCH($E757,往来单位!$A$6:$A$85,0))),"往来单位未建档",IF(N($J757)=0,"数量为 0",IF(N($K757)=0,"单价为 0",IF(AND(LEFT($D757,2)="销售",$U757=""),"该商品没设成本科目",IF(YEAR($B757)&lt;&gt;参数设置!$B$5,"不在本会计年度","OK")))))))))))</f>
        <v/>
      </c>
      <c r="Q757" s="57" t="str">
        <f aca="false">IF($F757="","",ROUND(N($J757)*N($K757),2))</f>
        <v/>
      </c>
      <c r="R757" s="58" t="str">
        <f aca="false">IF($D757="","",IF(LEFT($D757,2)="销售","应收账款","应付账款"))</f>
        <v/>
      </c>
      <c r="S757" s="58" t="str">
        <f aca="false">IF($F757="","",IFERROR(INDEX(商品档案!$G$6:$G$65,MATCH($F757,商品档案!$A$6:$A$65,0)),""))</f>
        <v/>
      </c>
      <c r="T757" s="58" t="str">
        <f aca="false">IF($F757="","",IFERROR(INDEX(商品档案!$H$6:$H$65,MATCH($F757,商品档案!$A$6:$A$65,0)),""))</f>
        <v/>
      </c>
      <c r="U757" s="58" t="str">
        <f aca="false">IF($F757="","",IFERROR(INDEX(商品档案!$I$6:$I$65,MATCH($F757,商品档案!$A$6:$A$65,0)),""))</f>
        <v/>
      </c>
      <c r="V757" s="59" t="str">
        <f aca="false">IF($F757="","",SUMIFS(进销存台账!$N$6:$N$65,进销存台账!$A$6:$A$65,$C757,进销存台账!$B$6:$B$65,$F757))</f>
        <v/>
      </c>
      <c r="W757" s="60" t="n">
        <f aca="false">IF(OR($D757="销售出库",$D757="销售退回"),ROUND(N($J757)*N($V757),2),0)</f>
        <v>0</v>
      </c>
      <c r="X757" s="58" t="str">
        <f aca="false">IF($E757="","",IFERROR(INDEX(往来单位!$D$6:$D$85,MATCH($E757,往来单位!$A$6:$A$85,0)),"否"))</f>
        <v/>
      </c>
      <c r="Y757" s="61" t="str">
        <f aca="false">IF($B757="","",YEAR($B757))</f>
        <v/>
      </c>
      <c r="Z757" s="58" t="str">
        <f aca="false">IF($B757="","",TEXT($B757,"yyyy-mm"))</f>
        <v/>
      </c>
    </row>
    <row r="758" customFormat="false" ht="15" hidden="false" customHeight="false" outlineLevel="0" collapsed="false">
      <c r="A758" s="53" t="str">
        <f aca="false">IF($B758="","",ROW()-5)</f>
        <v/>
      </c>
      <c r="B758" s="54"/>
      <c r="C758" s="33"/>
      <c r="D758" s="33"/>
      <c r="E758" s="32"/>
      <c r="F758" s="39"/>
      <c r="G758" s="48" t="str">
        <f aca="false">IF($F758="","",IFERROR(INDEX(商品档案!$B$6:$B$65,MATCH($F758,商品档案!$A$6:$A$65,0)),""))</f>
        <v/>
      </c>
      <c r="H758" s="48" t="str">
        <f aca="false">IF($F758="","",IFERROR(INDEX(商品档案!$C$6:$C$65,MATCH($F758,商品档案!$A$6:$A$65,0)),""))</f>
        <v/>
      </c>
      <c r="I758" s="55" t="str">
        <f aca="false">IF($F758="","",IFERROR(INDEX(商品档案!$D$6:$D$65,MATCH($F758,商品档案!$A$6:$A$65,0)),""))</f>
        <v/>
      </c>
      <c r="J758" s="49"/>
      <c r="K758" s="56"/>
      <c r="L758" s="33"/>
      <c r="M758" s="39"/>
      <c r="N758" s="41"/>
      <c r="O758" s="41"/>
      <c r="P758" s="25" t="str">
        <f aca="false">IF(AND($B758="",$D758="",$F758=""),"",IF(NOT(ISNUMBER($B758)),"日期无效",IF(ISNA(MATCH($C758,参数设置!$A$10:$A$12,0)),"公司无效",IF(ISNA(MATCH($D758,记账规则!$A$6:$A$9,0)),"业务类型无效",IF(ISNA(MATCH($F758,商品档案!$A$6:$A$65,0)),"商品编码无效",IF(IFERROR(INDEX(商品档案!$E$6:$E$65,MATCH($F758,商品档案!$A$6:$A$65,0)),"")&lt;&gt;$C758,"商品不属于该公司",IF(AND($E758&lt;&gt;"",ISNA(MATCH($E758,往来单位!$A$6:$A$85,0))),"往来单位未建档",IF(N($J758)=0,"数量为 0",IF(N($K758)=0,"单价为 0",IF(AND(LEFT($D758,2)="销售",$U758=""),"该商品没设成本科目",IF(YEAR($B758)&lt;&gt;参数设置!$B$5,"不在本会计年度","OK")))))))))))</f>
        <v/>
      </c>
      <c r="Q758" s="57" t="str">
        <f aca="false">IF($F758="","",ROUND(N($J758)*N($K758),2))</f>
        <v/>
      </c>
      <c r="R758" s="58" t="str">
        <f aca="false">IF($D758="","",IF(LEFT($D758,2)="销售","应收账款","应付账款"))</f>
        <v/>
      </c>
      <c r="S758" s="58" t="str">
        <f aca="false">IF($F758="","",IFERROR(INDEX(商品档案!$G$6:$G$65,MATCH($F758,商品档案!$A$6:$A$65,0)),""))</f>
        <v/>
      </c>
      <c r="T758" s="58" t="str">
        <f aca="false">IF($F758="","",IFERROR(INDEX(商品档案!$H$6:$H$65,MATCH($F758,商品档案!$A$6:$A$65,0)),""))</f>
        <v/>
      </c>
      <c r="U758" s="58" t="str">
        <f aca="false">IF($F758="","",IFERROR(INDEX(商品档案!$I$6:$I$65,MATCH($F758,商品档案!$A$6:$A$65,0)),""))</f>
        <v/>
      </c>
      <c r="V758" s="59" t="str">
        <f aca="false">IF($F758="","",SUMIFS(进销存台账!$N$6:$N$65,进销存台账!$A$6:$A$65,$C758,进销存台账!$B$6:$B$65,$F758))</f>
        <v/>
      </c>
      <c r="W758" s="60" t="n">
        <f aca="false">IF(OR($D758="销售出库",$D758="销售退回"),ROUND(N($J758)*N($V758),2),0)</f>
        <v>0</v>
      </c>
      <c r="X758" s="58" t="str">
        <f aca="false">IF($E758="","",IFERROR(INDEX(往来单位!$D$6:$D$85,MATCH($E758,往来单位!$A$6:$A$85,0)),"否"))</f>
        <v/>
      </c>
      <c r="Y758" s="61" t="str">
        <f aca="false">IF($B758="","",YEAR($B758))</f>
        <v/>
      </c>
      <c r="Z758" s="58" t="str">
        <f aca="false">IF($B758="","",TEXT($B758,"yyyy-mm"))</f>
        <v/>
      </c>
    </row>
    <row r="759" customFormat="false" ht="15" hidden="false" customHeight="false" outlineLevel="0" collapsed="false">
      <c r="A759" s="53" t="str">
        <f aca="false">IF($B759="","",ROW()-5)</f>
        <v/>
      </c>
      <c r="B759" s="54"/>
      <c r="C759" s="33"/>
      <c r="D759" s="33"/>
      <c r="E759" s="32"/>
      <c r="F759" s="39"/>
      <c r="G759" s="48" t="str">
        <f aca="false">IF($F759="","",IFERROR(INDEX(商品档案!$B$6:$B$65,MATCH($F759,商品档案!$A$6:$A$65,0)),""))</f>
        <v/>
      </c>
      <c r="H759" s="48" t="str">
        <f aca="false">IF($F759="","",IFERROR(INDEX(商品档案!$C$6:$C$65,MATCH($F759,商品档案!$A$6:$A$65,0)),""))</f>
        <v/>
      </c>
      <c r="I759" s="55" t="str">
        <f aca="false">IF($F759="","",IFERROR(INDEX(商品档案!$D$6:$D$65,MATCH($F759,商品档案!$A$6:$A$65,0)),""))</f>
        <v/>
      </c>
      <c r="J759" s="49"/>
      <c r="K759" s="56"/>
      <c r="L759" s="33"/>
      <c r="M759" s="39"/>
      <c r="N759" s="41"/>
      <c r="O759" s="41"/>
      <c r="P759" s="25" t="str">
        <f aca="false">IF(AND($B759="",$D759="",$F759=""),"",IF(NOT(ISNUMBER($B759)),"日期无效",IF(ISNA(MATCH($C759,参数设置!$A$10:$A$12,0)),"公司无效",IF(ISNA(MATCH($D759,记账规则!$A$6:$A$9,0)),"业务类型无效",IF(ISNA(MATCH($F759,商品档案!$A$6:$A$65,0)),"商品编码无效",IF(IFERROR(INDEX(商品档案!$E$6:$E$65,MATCH($F759,商品档案!$A$6:$A$65,0)),"")&lt;&gt;$C759,"商品不属于该公司",IF(AND($E759&lt;&gt;"",ISNA(MATCH($E759,往来单位!$A$6:$A$85,0))),"往来单位未建档",IF(N($J759)=0,"数量为 0",IF(N($K759)=0,"单价为 0",IF(AND(LEFT($D759,2)="销售",$U759=""),"该商品没设成本科目",IF(YEAR($B759)&lt;&gt;参数设置!$B$5,"不在本会计年度","OK")))))))))))</f>
        <v/>
      </c>
      <c r="Q759" s="57" t="str">
        <f aca="false">IF($F759="","",ROUND(N($J759)*N($K759),2))</f>
        <v/>
      </c>
      <c r="R759" s="58" t="str">
        <f aca="false">IF($D759="","",IF(LEFT($D759,2)="销售","应收账款","应付账款"))</f>
        <v/>
      </c>
      <c r="S759" s="58" t="str">
        <f aca="false">IF($F759="","",IFERROR(INDEX(商品档案!$G$6:$G$65,MATCH($F759,商品档案!$A$6:$A$65,0)),""))</f>
        <v/>
      </c>
      <c r="T759" s="58" t="str">
        <f aca="false">IF($F759="","",IFERROR(INDEX(商品档案!$H$6:$H$65,MATCH($F759,商品档案!$A$6:$A$65,0)),""))</f>
        <v/>
      </c>
      <c r="U759" s="58" t="str">
        <f aca="false">IF($F759="","",IFERROR(INDEX(商品档案!$I$6:$I$65,MATCH($F759,商品档案!$A$6:$A$65,0)),""))</f>
        <v/>
      </c>
      <c r="V759" s="59" t="str">
        <f aca="false">IF($F759="","",SUMIFS(进销存台账!$N$6:$N$65,进销存台账!$A$6:$A$65,$C759,进销存台账!$B$6:$B$65,$F759))</f>
        <v/>
      </c>
      <c r="W759" s="60" t="n">
        <f aca="false">IF(OR($D759="销售出库",$D759="销售退回"),ROUND(N($J759)*N($V759),2),0)</f>
        <v>0</v>
      </c>
      <c r="X759" s="58" t="str">
        <f aca="false">IF($E759="","",IFERROR(INDEX(往来单位!$D$6:$D$85,MATCH($E759,往来单位!$A$6:$A$85,0)),"否"))</f>
        <v/>
      </c>
      <c r="Y759" s="61" t="str">
        <f aca="false">IF($B759="","",YEAR($B759))</f>
        <v/>
      </c>
      <c r="Z759" s="58" t="str">
        <f aca="false">IF($B759="","",TEXT($B759,"yyyy-mm"))</f>
        <v/>
      </c>
    </row>
    <row r="760" customFormat="false" ht="15" hidden="false" customHeight="false" outlineLevel="0" collapsed="false">
      <c r="A760" s="53" t="str">
        <f aca="false">IF($B760="","",ROW()-5)</f>
        <v/>
      </c>
      <c r="B760" s="54"/>
      <c r="C760" s="33"/>
      <c r="D760" s="33"/>
      <c r="E760" s="32"/>
      <c r="F760" s="39"/>
      <c r="G760" s="48" t="str">
        <f aca="false">IF($F760="","",IFERROR(INDEX(商品档案!$B$6:$B$65,MATCH($F760,商品档案!$A$6:$A$65,0)),""))</f>
        <v/>
      </c>
      <c r="H760" s="48" t="str">
        <f aca="false">IF($F760="","",IFERROR(INDEX(商品档案!$C$6:$C$65,MATCH($F760,商品档案!$A$6:$A$65,0)),""))</f>
        <v/>
      </c>
      <c r="I760" s="55" t="str">
        <f aca="false">IF($F760="","",IFERROR(INDEX(商品档案!$D$6:$D$65,MATCH($F760,商品档案!$A$6:$A$65,0)),""))</f>
        <v/>
      </c>
      <c r="J760" s="49"/>
      <c r="K760" s="56"/>
      <c r="L760" s="33"/>
      <c r="M760" s="39"/>
      <c r="N760" s="41"/>
      <c r="O760" s="41"/>
      <c r="P760" s="25" t="str">
        <f aca="false">IF(AND($B760="",$D760="",$F760=""),"",IF(NOT(ISNUMBER($B760)),"日期无效",IF(ISNA(MATCH($C760,参数设置!$A$10:$A$12,0)),"公司无效",IF(ISNA(MATCH($D760,记账规则!$A$6:$A$9,0)),"业务类型无效",IF(ISNA(MATCH($F760,商品档案!$A$6:$A$65,0)),"商品编码无效",IF(IFERROR(INDEX(商品档案!$E$6:$E$65,MATCH($F760,商品档案!$A$6:$A$65,0)),"")&lt;&gt;$C760,"商品不属于该公司",IF(AND($E760&lt;&gt;"",ISNA(MATCH($E760,往来单位!$A$6:$A$85,0))),"往来单位未建档",IF(N($J760)=0,"数量为 0",IF(N($K760)=0,"单价为 0",IF(AND(LEFT($D760,2)="销售",$U760=""),"该商品没设成本科目",IF(YEAR($B760)&lt;&gt;参数设置!$B$5,"不在本会计年度","OK")))))))))))</f>
        <v/>
      </c>
      <c r="Q760" s="57" t="str">
        <f aca="false">IF($F760="","",ROUND(N($J760)*N($K760),2))</f>
        <v/>
      </c>
      <c r="R760" s="58" t="str">
        <f aca="false">IF($D760="","",IF(LEFT($D760,2)="销售","应收账款","应付账款"))</f>
        <v/>
      </c>
      <c r="S760" s="58" t="str">
        <f aca="false">IF($F760="","",IFERROR(INDEX(商品档案!$G$6:$G$65,MATCH($F760,商品档案!$A$6:$A$65,0)),""))</f>
        <v/>
      </c>
      <c r="T760" s="58" t="str">
        <f aca="false">IF($F760="","",IFERROR(INDEX(商品档案!$H$6:$H$65,MATCH($F760,商品档案!$A$6:$A$65,0)),""))</f>
        <v/>
      </c>
      <c r="U760" s="58" t="str">
        <f aca="false">IF($F760="","",IFERROR(INDEX(商品档案!$I$6:$I$65,MATCH($F760,商品档案!$A$6:$A$65,0)),""))</f>
        <v/>
      </c>
      <c r="V760" s="59" t="str">
        <f aca="false">IF($F760="","",SUMIFS(进销存台账!$N$6:$N$65,进销存台账!$A$6:$A$65,$C760,进销存台账!$B$6:$B$65,$F760))</f>
        <v/>
      </c>
      <c r="W760" s="60" t="n">
        <f aca="false">IF(OR($D760="销售出库",$D760="销售退回"),ROUND(N($J760)*N($V760),2),0)</f>
        <v>0</v>
      </c>
      <c r="X760" s="58" t="str">
        <f aca="false">IF($E760="","",IFERROR(INDEX(往来单位!$D$6:$D$85,MATCH($E760,往来单位!$A$6:$A$85,0)),"否"))</f>
        <v/>
      </c>
      <c r="Y760" s="61" t="str">
        <f aca="false">IF($B760="","",YEAR($B760))</f>
        <v/>
      </c>
      <c r="Z760" s="58" t="str">
        <f aca="false">IF($B760="","",TEXT($B760,"yyyy-mm"))</f>
        <v/>
      </c>
    </row>
    <row r="761" customFormat="false" ht="15" hidden="false" customHeight="false" outlineLevel="0" collapsed="false">
      <c r="A761" s="53" t="str">
        <f aca="false">IF($B761="","",ROW()-5)</f>
        <v/>
      </c>
      <c r="B761" s="54"/>
      <c r="C761" s="33"/>
      <c r="D761" s="33"/>
      <c r="E761" s="32"/>
      <c r="F761" s="39"/>
      <c r="G761" s="48" t="str">
        <f aca="false">IF($F761="","",IFERROR(INDEX(商品档案!$B$6:$B$65,MATCH($F761,商品档案!$A$6:$A$65,0)),""))</f>
        <v/>
      </c>
      <c r="H761" s="48" t="str">
        <f aca="false">IF($F761="","",IFERROR(INDEX(商品档案!$C$6:$C$65,MATCH($F761,商品档案!$A$6:$A$65,0)),""))</f>
        <v/>
      </c>
      <c r="I761" s="55" t="str">
        <f aca="false">IF($F761="","",IFERROR(INDEX(商品档案!$D$6:$D$65,MATCH($F761,商品档案!$A$6:$A$65,0)),""))</f>
        <v/>
      </c>
      <c r="J761" s="49"/>
      <c r="K761" s="56"/>
      <c r="L761" s="33"/>
      <c r="M761" s="39"/>
      <c r="N761" s="41"/>
      <c r="O761" s="41"/>
      <c r="P761" s="25" t="str">
        <f aca="false">IF(AND($B761="",$D761="",$F761=""),"",IF(NOT(ISNUMBER($B761)),"日期无效",IF(ISNA(MATCH($C761,参数设置!$A$10:$A$12,0)),"公司无效",IF(ISNA(MATCH($D761,记账规则!$A$6:$A$9,0)),"业务类型无效",IF(ISNA(MATCH($F761,商品档案!$A$6:$A$65,0)),"商品编码无效",IF(IFERROR(INDEX(商品档案!$E$6:$E$65,MATCH($F761,商品档案!$A$6:$A$65,0)),"")&lt;&gt;$C761,"商品不属于该公司",IF(AND($E761&lt;&gt;"",ISNA(MATCH($E761,往来单位!$A$6:$A$85,0))),"往来单位未建档",IF(N($J761)=0,"数量为 0",IF(N($K761)=0,"单价为 0",IF(AND(LEFT($D761,2)="销售",$U761=""),"该商品没设成本科目",IF(YEAR($B761)&lt;&gt;参数设置!$B$5,"不在本会计年度","OK")))))))))))</f>
        <v/>
      </c>
      <c r="Q761" s="57" t="str">
        <f aca="false">IF($F761="","",ROUND(N($J761)*N($K761),2))</f>
        <v/>
      </c>
      <c r="R761" s="58" t="str">
        <f aca="false">IF($D761="","",IF(LEFT($D761,2)="销售","应收账款","应付账款"))</f>
        <v/>
      </c>
      <c r="S761" s="58" t="str">
        <f aca="false">IF($F761="","",IFERROR(INDEX(商品档案!$G$6:$G$65,MATCH($F761,商品档案!$A$6:$A$65,0)),""))</f>
        <v/>
      </c>
      <c r="T761" s="58" t="str">
        <f aca="false">IF($F761="","",IFERROR(INDEX(商品档案!$H$6:$H$65,MATCH($F761,商品档案!$A$6:$A$65,0)),""))</f>
        <v/>
      </c>
      <c r="U761" s="58" t="str">
        <f aca="false">IF($F761="","",IFERROR(INDEX(商品档案!$I$6:$I$65,MATCH($F761,商品档案!$A$6:$A$65,0)),""))</f>
        <v/>
      </c>
      <c r="V761" s="59" t="str">
        <f aca="false">IF($F761="","",SUMIFS(进销存台账!$N$6:$N$65,进销存台账!$A$6:$A$65,$C761,进销存台账!$B$6:$B$65,$F761))</f>
        <v/>
      </c>
      <c r="W761" s="60" t="n">
        <f aca="false">IF(OR($D761="销售出库",$D761="销售退回"),ROUND(N($J761)*N($V761),2),0)</f>
        <v>0</v>
      </c>
      <c r="X761" s="58" t="str">
        <f aca="false">IF($E761="","",IFERROR(INDEX(往来单位!$D$6:$D$85,MATCH($E761,往来单位!$A$6:$A$85,0)),"否"))</f>
        <v/>
      </c>
      <c r="Y761" s="61" t="str">
        <f aca="false">IF($B761="","",YEAR($B761))</f>
        <v/>
      </c>
      <c r="Z761" s="58" t="str">
        <f aca="false">IF($B761="","",TEXT($B761,"yyyy-mm"))</f>
        <v/>
      </c>
    </row>
    <row r="762" customFormat="false" ht="15" hidden="false" customHeight="false" outlineLevel="0" collapsed="false">
      <c r="A762" s="53" t="str">
        <f aca="false">IF($B762="","",ROW()-5)</f>
        <v/>
      </c>
      <c r="B762" s="54"/>
      <c r="C762" s="33"/>
      <c r="D762" s="33"/>
      <c r="E762" s="32"/>
      <c r="F762" s="39"/>
      <c r="G762" s="48" t="str">
        <f aca="false">IF($F762="","",IFERROR(INDEX(商品档案!$B$6:$B$65,MATCH($F762,商品档案!$A$6:$A$65,0)),""))</f>
        <v/>
      </c>
      <c r="H762" s="48" t="str">
        <f aca="false">IF($F762="","",IFERROR(INDEX(商品档案!$C$6:$C$65,MATCH($F762,商品档案!$A$6:$A$65,0)),""))</f>
        <v/>
      </c>
      <c r="I762" s="55" t="str">
        <f aca="false">IF($F762="","",IFERROR(INDEX(商品档案!$D$6:$D$65,MATCH($F762,商品档案!$A$6:$A$65,0)),""))</f>
        <v/>
      </c>
      <c r="J762" s="49"/>
      <c r="K762" s="56"/>
      <c r="L762" s="33"/>
      <c r="M762" s="39"/>
      <c r="N762" s="41"/>
      <c r="O762" s="41"/>
      <c r="P762" s="25" t="str">
        <f aca="false">IF(AND($B762="",$D762="",$F762=""),"",IF(NOT(ISNUMBER($B762)),"日期无效",IF(ISNA(MATCH($C762,参数设置!$A$10:$A$12,0)),"公司无效",IF(ISNA(MATCH($D762,记账规则!$A$6:$A$9,0)),"业务类型无效",IF(ISNA(MATCH($F762,商品档案!$A$6:$A$65,0)),"商品编码无效",IF(IFERROR(INDEX(商品档案!$E$6:$E$65,MATCH($F762,商品档案!$A$6:$A$65,0)),"")&lt;&gt;$C762,"商品不属于该公司",IF(AND($E762&lt;&gt;"",ISNA(MATCH($E762,往来单位!$A$6:$A$85,0))),"往来单位未建档",IF(N($J762)=0,"数量为 0",IF(N($K762)=0,"单价为 0",IF(AND(LEFT($D762,2)="销售",$U762=""),"该商品没设成本科目",IF(YEAR($B762)&lt;&gt;参数设置!$B$5,"不在本会计年度","OK")))))))))))</f>
        <v/>
      </c>
      <c r="Q762" s="57" t="str">
        <f aca="false">IF($F762="","",ROUND(N($J762)*N($K762),2))</f>
        <v/>
      </c>
      <c r="R762" s="58" t="str">
        <f aca="false">IF($D762="","",IF(LEFT($D762,2)="销售","应收账款","应付账款"))</f>
        <v/>
      </c>
      <c r="S762" s="58" t="str">
        <f aca="false">IF($F762="","",IFERROR(INDEX(商品档案!$G$6:$G$65,MATCH($F762,商品档案!$A$6:$A$65,0)),""))</f>
        <v/>
      </c>
      <c r="T762" s="58" t="str">
        <f aca="false">IF($F762="","",IFERROR(INDEX(商品档案!$H$6:$H$65,MATCH($F762,商品档案!$A$6:$A$65,0)),""))</f>
        <v/>
      </c>
      <c r="U762" s="58" t="str">
        <f aca="false">IF($F762="","",IFERROR(INDEX(商品档案!$I$6:$I$65,MATCH($F762,商品档案!$A$6:$A$65,0)),""))</f>
        <v/>
      </c>
      <c r="V762" s="59" t="str">
        <f aca="false">IF($F762="","",SUMIFS(进销存台账!$N$6:$N$65,进销存台账!$A$6:$A$65,$C762,进销存台账!$B$6:$B$65,$F762))</f>
        <v/>
      </c>
      <c r="W762" s="60" t="n">
        <f aca="false">IF(OR($D762="销售出库",$D762="销售退回"),ROUND(N($J762)*N($V762),2),0)</f>
        <v>0</v>
      </c>
      <c r="X762" s="58" t="str">
        <f aca="false">IF($E762="","",IFERROR(INDEX(往来单位!$D$6:$D$85,MATCH($E762,往来单位!$A$6:$A$85,0)),"否"))</f>
        <v/>
      </c>
      <c r="Y762" s="61" t="str">
        <f aca="false">IF($B762="","",YEAR($B762))</f>
        <v/>
      </c>
      <c r="Z762" s="58" t="str">
        <f aca="false">IF($B762="","",TEXT($B762,"yyyy-mm"))</f>
        <v/>
      </c>
    </row>
    <row r="763" customFormat="false" ht="15" hidden="false" customHeight="false" outlineLevel="0" collapsed="false">
      <c r="A763" s="53" t="str">
        <f aca="false">IF($B763="","",ROW()-5)</f>
        <v/>
      </c>
      <c r="B763" s="54"/>
      <c r="C763" s="33"/>
      <c r="D763" s="33"/>
      <c r="E763" s="32"/>
      <c r="F763" s="39"/>
      <c r="G763" s="48" t="str">
        <f aca="false">IF($F763="","",IFERROR(INDEX(商品档案!$B$6:$B$65,MATCH($F763,商品档案!$A$6:$A$65,0)),""))</f>
        <v/>
      </c>
      <c r="H763" s="48" t="str">
        <f aca="false">IF($F763="","",IFERROR(INDEX(商品档案!$C$6:$C$65,MATCH($F763,商品档案!$A$6:$A$65,0)),""))</f>
        <v/>
      </c>
      <c r="I763" s="55" t="str">
        <f aca="false">IF($F763="","",IFERROR(INDEX(商品档案!$D$6:$D$65,MATCH($F763,商品档案!$A$6:$A$65,0)),""))</f>
        <v/>
      </c>
      <c r="J763" s="49"/>
      <c r="K763" s="56"/>
      <c r="L763" s="33"/>
      <c r="M763" s="39"/>
      <c r="N763" s="41"/>
      <c r="O763" s="41"/>
      <c r="P763" s="25" t="str">
        <f aca="false">IF(AND($B763="",$D763="",$F763=""),"",IF(NOT(ISNUMBER($B763)),"日期无效",IF(ISNA(MATCH($C763,参数设置!$A$10:$A$12,0)),"公司无效",IF(ISNA(MATCH($D763,记账规则!$A$6:$A$9,0)),"业务类型无效",IF(ISNA(MATCH($F763,商品档案!$A$6:$A$65,0)),"商品编码无效",IF(IFERROR(INDEX(商品档案!$E$6:$E$65,MATCH($F763,商品档案!$A$6:$A$65,0)),"")&lt;&gt;$C763,"商品不属于该公司",IF(AND($E763&lt;&gt;"",ISNA(MATCH($E763,往来单位!$A$6:$A$85,0))),"往来单位未建档",IF(N($J763)=0,"数量为 0",IF(N($K763)=0,"单价为 0",IF(AND(LEFT($D763,2)="销售",$U763=""),"该商品没设成本科目",IF(YEAR($B763)&lt;&gt;参数设置!$B$5,"不在本会计年度","OK")))))))))))</f>
        <v/>
      </c>
      <c r="Q763" s="57" t="str">
        <f aca="false">IF($F763="","",ROUND(N($J763)*N($K763),2))</f>
        <v/>
      </c>
      <c r="R763" s="58" t="str">
        <f aca="false">IF($D763="","",IF(LEFT($D763,2)="销售","应收账款","应付账款"))</f>
        <v/>
      </c>
      <c r="S763" s="58" t="str">
        <f aca="false">IF($F763="","",IFERROR(INDEX(商品档案!$G$6:$G$65,MATCH($F763,商品档案!$A$6:$A$65,0)),""))</f>
        <v/>
      </c>
      <c r="T763" s="58" t="str">
        <f aca="false">IF($F763="","",IFERROR(INDEX(商品档案!$H$6:$H$65,MATCH($F763,商品档案!$A$6:$A$65,0)),""))</f>
        <v/>
      </c>
      <c r="U763" s="58" t="str">
        <f aca="false">IF($F763="","",IFERROR(INDEX(商品档案!$I$6:$I$65,MATCH($F763,商品档案!$A$6:$A$65,0)),""))</f>
        <v/>
      </c>
      <c r="V763" s="59" t="str">
        <f aca="false">IF($F763="","",SUMIFS(进销存台账!$N$6:$N$65,进销存台账!$A$6:$A$65,$C763,进销存台账!$B$6:$B$65,$F763))</f>
        <v/>
      </c>
      <c r="W763" s="60" t="n">
        <f aca="false">IF(OR($D763="销售出库",$D763="销售退回"),ROUND(N($J763)*N($V763),2),0)</f>
        <v>0</v>
      </c>
      <c r="X763" s="58" t="str">
        <f aca="false">IF($E763="","",IFERROR(INDEX(往来单位!$D$6:$D$85,MATCH($E763,往来单位!$A$6:$A$85,0)),"否"))</f>
        <v/>
      </c>
      <c r="Y763" s="61" t="str">
        <f aca="false">IF($B763="","",YEAR($B763))</f>
        <v/>
      </c>
      <c r="Z763" s="58" t="str">
        <f aca="false">IF($B763="","",TEXT($B763,"yyyy-mm"))</f>
        <v/>
      </c>
    </row>
    <row r="764" customFormat="false" ht="15" hidden="false" customHeight="false" outlineLevel="0" collapsed="false">
      <c r="A764" s="53" t="str">
        <f aca="false">IF($B764="","",ROW()-5)</f>
        <v/>
      </c>
      <c r="B764" s="54"/>
      <c r="C764" s="33"/>
      <c r="D764" s="33"/>
      <c r="E764" s="32"/>
      <c r="F764" s="39"/>
      <c r="G764" s="48" t="str">
        <f aca="false">IF($F764="","",IFERROR(INDEX(商品档案!$B$6:$B$65,MATCH($F764,商品档案!$A$6:$A$65,0)),""))</f>
        <v/>
      </c>
      <c r="H764" s="48" t="str">
        <f aca="false">IF($F764="","",IFERROR(INDEX(商品档案!$C$6:$C$65,MATCH($F764,商品档案!$A$6:$A$65,0)),""))</f>
        <v/>
      </c>
      <c r="I764" s="55" t="str">
        <f aca="false">IF($F764="","",IFERROR(INDEX(商品档案!$D$6:$D$65,MATCH($F764,商品档案!$A$6:$A$65,0)),""))</f>
        <v/>
      </c>
      <c r="J764" s="49"/>
      <c r="K764" s="56"/>
      <c r="L764" s="33"/>
      <c r="M764" s="39"/>
      <c r="N764" s="41"/>
      <c r="O764" s="41"/>
      <c r="P764" s="25" t="str">
        <f aca="false">IF(AND($B764="",$D764="",$F764=""),"",IF(NOT(ISNUMBER($B764)),"日期无效",IF(ISNA(MATCH($C764,参数设置!$A$10:$A$12,0)),"公司无效",IF(ISNA(MATCH($D764,记账规则!$A$6:$A$9,0)),"业务类型无效",IF(ISNA(MATCH($F764,商品档案!$A$6:$A$65,0)),"商品编码无效",IF(IFERROR(INDEX(商品档案!$E$6:$E$65,MATCH($F764,商品档案!$A$6:$A$65,0)),"")&lt;&gt;$C764,"商品不属于该公司",IF(AND($E764&lt;&gt;"",ISNA(MATCH($E764,往来单位!$A$6:$A$85,0))),"往来单位未建档",IF(N($J764)=0,"数量为 0",IF(N($K764)=0,"单价为 0",IF(AND(LEFT($D764,2)="销售",$U764=""),"该商品没设成本科目",IF(YEAR($B764)&lt;&gt;参数设置!$B$5,"不在本会计年度","OK")))))))))))</f>
        <v/>
      </c>
      <c r="Q764" s="57" t="str">
        <f aca="false">IF($F764="","",ROUND(N($J764)*N($K764),2))</f>
        <v/>
      </c>
      <c r="R764" s="58" t="str">
        <f aca="false">IF($D764="","",IF(LEFT($D764,2)="销售","应收账款","应付账款"))</f>
        <v/>
      </c>
      <c r="S764" s="58" t="str">
        <f aca="false">IF($F764="","",IFERROR(INDEX(商品档案!$G$6:$G$65,MATCH($F764,商品档案!$A$6:$A$65,0)),""))</f>
        <v/>
      </c>
      <c r="T764" s="58" t="str">
        <f aca="false">IF($F764="","",IFERROR(INDEX(商品档案!$H$6:$H$65,MATCH($F764,商品档案!$A$6:$A$65,0)),""))</f>
        <v/>
      </c>
      <c r="U764" s="58" t="str">
        <f aca="false">IF($F764="","",IFERROR(INDEX(商品档案!$I$6:$I$65,MATCH($F764,商品档案!$A$6:$A$65,0)),""))</f>
        <v/>
      </c>
      <c r="V764" s="59" t="str">
        <f aca="false">IF($F764="","",SUMIFS(进销存台账!$N$6:$N$65,进销存台账!$A$6:$A$65,$C764,进销存台账!$B$6:$B$65,$F764))</f>
        <v/>
      </c>
      <c r="W764" s="60" t="n">
        <f aca="false">IF(OR($D764="销售出库",$D764="销售退回"),ROUND(N($J764)*N($V764),2),0)</f>
        <v>0</v>
      </c>
      <c r="X764" s="58" t="str">
        <f aca="false">IF($E764="","",IFERROR(INDEX(往来单位!$D$6:$D$85,MATCH($E764,往来单位!$A$6:$A$85,0)),"否"))</f>
        <v/>
      </c>
      <c r="Y764" s="61" t="str">
        <f aca="false">IF($B764="","",YEAR($B764))</f>
        <v/>
      </c>
      <c r="Z764" s="58" t="str">
        <f aca="false">IF($B764="","",TEXT($B764,"yyyy-mm"))</f>
        <v/>
      </c>
    </row>
    <row r="765" customFormat="false" ht="15" hidden="false" customHeight="false" outlineLevel="0" collapsed="false">
      <c r="A765" s="53" t="str">
        <f aca="false">IF($B765="","",ROW()-5)</f>
        <v/>
      </c>
      <c r="B765" s="54"/>
      <c r="C765" s="33"/>
      <c r="D765" s="33"/>
      <c r="E765" s="32"/>
      <c r="F765" s="39"/>
      <c r="G765" s="48" t="str">
        <f aca="false">IF($F765="","",IFERROR(INDEX(商品档案!$B$6:$B$65,MATCH($F765,商品档案!$A$6:$A$65,0)),""))</f>
        <v/>
      </c>
      <c r="H765" s="48" t="str">
        <f aca="false">IF($F765="","",IFERROR(INDEX(商品档案!$C$6:$C$65,MATCH($F765,商品档案!$A$6:$A$65,0)),""))</f>
        <v/>
      </c>
      <c r="I765" s="55" t="str">
        <f aca="false">IF($F765="","",IFERROR(INDEX(商品档案!$D$6:$D$65,MATCH($F765,商品档案!$A$6:$A$65,0)),""))</f>
        <v/>
      </c>
      <c r="J765" s="49"/>
      <c r="K765" s="56"/>
      <c r="L765" s="33"/>
      <c r="M765" s="39"/>
      <c r="N765" s="41"/>
      <c r="O765" s="41"/>
      <c r="P765" s="25" t="str">
        <f aca="false">IF(AND($B765="",$D765="",$F765=""),"",IF(NOT(ISNUMBER($B765)),"日期无效",IF(ISNA(MATCH($C765,参数设置!$A$10:$A$12,0)),"公司无效",IF(ISNA(MATCH($D765,记账规则!$A$6:$A$9,0)),"业务类型无效",IF(ISNA(MATCH($F765,商品档案!$A$6:$A$65,0)),"商品编码无效",IF(IFERROR(INDEX(商品档案!$E$6:$E$65,MATCH($F765,商品档案!$A$6:$A$65,0)),"")&lt;&gt;$C765,"商品不属于该公司",IF(AND($E765&lt;&gt;"",ISNA(MATCH($E765,往来单位!$A$6:$A$85,0))),"往来单位未建档",IF(N($J765)=0,"数量为 0",IF(N($K765)=0,"单价为 0",IF(AND(LEFT($D765,2)="销售",$U765=""),"该商品没设成本科目",IF(YEAR($B765)&lt;&gt;参数设置!$B$5,"不在本会计年度","OK")))))))))))</f>
        <v/>
      </c>
      <c r="Q765" s="57" t="str">
        <f aca="false">IF($F765="","",ROUND(N($J765)*N($K765),2))</f>
        <v/>
      </c>
      <c r="R765" s="58" t="str">
        <f aca="false">IF($D765="","",IF(LEFT($D765,2)="销售","应收账款","应付账款"))</f>
        <v/>
      </c>
      <c r="S765" s="58" t="str">
        <f aca="false">IF($F765="","",IFERROR(INDEX(商品档案!$G$6:$G$65,MATCH($F765,商品档案!$A$6:$A$65,0)),""))</f>
        <v/>
      </c>
      <c r="T765" s="58" t="str">
        <f aca="false">IF($F765="","",IFERROR(INDEX(商品档案!$H$6:$H$65,MATCH($F765,商品档案!$A$6:$A$65,0)),""))</f>
        <v/>
      </c>
      <c r="U765" s="58" t="str">
        <f aca="false">IF($F765="","",IFERROR(INDEX(商品档案!$I$6:$I$65,MATCH($F765,商品档案!$A$6:$A$65,0)),""))</f>
        <v/>
      </c>
      <c r="V765" s="59" t="str">
        <f aca="false">IF($F765="","",SUMIFS(进销存台账!$N$6:$N$65,进销存台账!$A$6:$A$65,$C765,进销存台账!$B$6:$B$65,$F765))</f>
        <v/>
      </c>
      <c r="W765" s="60" t="n">
        <f aca="false">IF(OR($D765="销售出库",$D765="销售退回"),ROUND(N($J765)*N($V765),2),0)</f>
        <v>0</v>
      </c>
      <c r="X765" s="58" t="str">
        <f aca="false">IF($E765="","",IFERROR(INDEX(往来单位!$D$6:$D$85,MATCH($E765,往来单位!$A$6:$A$85,0)),"否"))</f>
        <v/>
      </c>
      <c r="Y765" s="61" t="str">
        <f aca="false">IF($B765="","",YEAR($B765))</f>
        <v/>
      </c>
      <c r="Z765" s="58" t="str">
        <f aca="false">IF($B765="","",TEXT($B765,"yyyy-mm"))</f>
        <v/>
      </c>
    </row>
    <row r="766" customFormat="false" ht="15" hidden="false" customHeight="false" outlineLevel="0" collapsed="false">
      <c r="A766" s="53" t="str">
        <f aca="false">IF($B766="","",ROW()-5)</f>
        <v/>
      </c>
      <c r="B766" s="54"/>
      <c r="C766" s="33"/>
      <c r="D766" s="33"/>
      <c r="E766" s="32"/>
      <c r="F766" s="39"/>
      <c r="G766" s="48" t="str">
        <f aca="false">IF($F766="","",IFERROR(INDEX(商品档案!$B$6:$B$65,MATCH($F766,商品档案!$A$6:$A$65,0)),""))</f>
        <v/>
      </c>
      <c r="H766" s="48" t="str">
        <f aca="false">IF($F766="","",IFERROR(INDEX(商品档案!$C$6:$C$65,MATCH($F766,商品档案!$A$6:$A$65,0)),""))</f>
        <v/>
      </c>
      <c r="I766" s="55" t="str">
        <f aca="false">IF($F766="","",IFERROR(INDEX(商品档案!$D$6:$D$65,MATCH($F766,商品档案!$A$6:$A$65,0)),""))</f>
        <v/>
      </c>
      <c r="J766" s="49"/>
      <c r="K766" s="56"/>
      <c r="L766" s="33"/>
      <c r="M766" s="39"/>
      <c r="N766" s="41"/>
      <c r="O766" s="41"/>
      <c r="P766" s="25" t="str">
        <f aca="false">IF(AND($B766="",$D766="",$F766=""),"",IF(NOT(ISNUMBER($B766)),"日期无效",IF(ISNA(MATCH($C766,参数设置!$A$10:$A$12,0)),"公司无效",IF(ISNA(MATCH($D766,记账规则!$A$6:$A$9,0)),"业务类型无效",IF(ISNA(MATCH($F766,商品档案!$A$6:$A$65,0)),"商品编码无效",IF(IFERROR(INDEX(商品档案!$E$6:$E$65,MATCH($F766,商品档案!$A$6:$A$65,0)),"")&lt;&gt;$C766,"商品不属于该公司",IF(AND($E766&lt;&gt;"",ISNA(MATCH($E766,往来单位!$A$6:$A$85,0))),"往来单位未建档",IF(N($J766)=0,"数量为 0",IF(N($K766)=0,"单价为 0",IF(AND(LEFT($D766,2)="销售",$U766=""),"该商品没设成本科目",IF(YEAR($B766)&lt;&gt;参数设置!$B$5,"不在本会计年度","OK")))))))))))</f>
        <v/>
      </c>
      <c r="Q766" s="57" t="str">
        <f aca="false">IF($F766="","",ROUND(N($J766)*N($K766),2))</f>
        <v/>
      </c>
      <c r="R766" s="58" t="str">
        <f aca="false">IF($D766="","",IF(LEFT($D766,2)="销售","应收账款","应付账款"))</f>
        <v/>
      </c>
      <c r="S766" s="58" t="str">
        <f aca="false">IF($F766="","",IFERROR(INDEX(商品档案!$G$6:$G$65,MATCH($F766,商品档案!$A$6:$A$65,0)),""))</f>
        <v/>
      </c>
      <c r="T766" s="58" t="str">
        <f aca="false">IF($F766="","",IFERROR(INDEX(商品档案!$H$6:$H$65,MATCH($F766,商品档案!$A$6:$A$65,0)),""))</f>
        <v/>
      </c>
      <c r="U766" s="58" t="str">
        <f aca="false">IF($F766="","",IFERROR(INDEX(商品档案!$I$6:$I$65,MATCH($F766,商品档案!$A$6:$A$65,0)),""))</f>
        <v/>
      </c>
      <c r="V766" s="59" t="str">
        <f aca="false">IF($F766="","",SUMIFS(进销存台账!$N$6:$N$65,进销存台账!$A$6:$A$65,$C766,进销存台账!$B$6:$B$65,$F766))</f>
        <v/>
      </c>
      <c r="W766" s="60" t="n">
        <f aca="false">IF(OR($D766="销售出库",$D766="销售退回"),ROUND(N($J766)*N($V766),2),0)</f>
        <v>0</v>
      </c>
      <c r="X766" s="58" t="str">
        <f aca="false">IF($E766="","",IFERROR(INDEX(往来单位!$D$6:$D$85,MATCH($E766,往来单位!$A$6:$A$85,0)),"否"))</f>
        <v/>
      </c>
      <c r="Y766" s="61" t="str">
        <f aca="false">IF($B766="","",YEAR($B766))</f>
        <v/>
      </c>
      <c r="Z766" s="58" t="str">
        <f aca="false">IF($B766="","",TEXT($B766,"yyyy-mm"))</f>
        <v/>
      </c>
    </row>
    <row r="767" customFormat="false" ht="15" hidden="false" customHeight="false" outlineLevel="0" collapsed="false">
      <c r="A767" s="53" t="str">
        <f aca="false">IF($B767="","",ROW()-5)</f>
        <v/>
      </c>
      <c r="B767" s="54"/>
      <c r="C767" s="33"/>
      <c r="D767" s="33"/>
      <c r="E767" s="32"/>
      <c r="F767" s="39"/>
      <c r="G767" s="48" t="str">
        <f aca="false">IF($F767="","",IFERROR(INDEX(商品档案!$B$6:$B$65,MATCH($F767,商品档案!$A$6:$A$65,0)),""))</f>
        <v/>
      </c>
      <c r="H767" s="48" t="str">
        <f aca="false">IF($F767="","",IFERROR(INDEX(商品档案!$C$6:$C$65,MATCH($F767,商品档案!$A$6:$A$65,0)),""))</f>
        <v/>
      </c>
      <c r="I767" s="55" t="str">
        <f aca="false">IF($F767="","",IFERROR(INDEX(商品档案!$D$6:$D$65,MATCH($F767,商品档案!$A$6:$A$65,0)),""))</f>
        <v/>
      </c>
      <c r="J767" s="49"/>
      <c r="K767" s="56"/>
      <c r="L767" s="33"/>
      <c r="M767" s="39"/>
      <c r="N767" s="41"/>
      <c r="O767" s="41"/>
      <c r="P767" s="25" t="str">
        <f aca="false">IF(AND($B767="",$D767="",$F767=""),"",IF(NOT(ISNUMBER($B767)),"日期无效",IF(ISNA(MATCH($C767,参数设置!$A$10:$A$12,0)),"公司无效",IF(ISNA(MATCH($D767,记账规则!$A$6:$A$9,0)),"业务类型无效",IF(ISNA(MATCH($F767,商品档案!$A$6:$A$65,0)),"商品编码无效",IF(IFERROR(INDEX(商品档案!$E$6:$E$65,MATCH($F767,商品档案!$A$6:$A$65,0)),"")&lt;&gt;$C767,"商品不属于该公司",IF(AND($E767&lt;&gt;"",ISNA(MATCH($E767,往来单位!$A$6:$A$85,0))),"往来单位未建档",IF(N($J767)=0,"数量为 0",IF(N($K767)=0,"单价为 0",IF(AND(LEFT($D767,2)="销售",$U767=""),"该商品没设成本科目",IF(YEAR($B767)&lt;&gt;参数设置!$B$5,"不在本会计年度","OK")))))))))))</f>
        <v/>
      </c>
      <c r="Q767" s="57" t="str">
        <f aca="false">IF($F767="","",ROUND(N($J767)*N($K767),2))</f>
        <v/>
      </c>
      <c r="R767" s="58" t="str">
        <f aca="false">IF($D767="","",IF(LEFT($D767,2)="销售","应收账款","应付账款"))</f>
        <v/>
      </c>
      <c r="S767" s="58" t="str">
        <f aca="false">IF($F767="","",IFERROR(INDEX(商品档案!$G$6:$G$65,MATCH($F767,商品档案!$A$6:$A$65,0)),""))</f>
        <v/>
      </c>
      <c r="T767" s="58" t="str">
        <f aca="false">IF($F767="","",IFERROR(INDEX(商品档案!$H$6:$H$65,MATCH($F767,商品档案!$A$6:$A$65,0)),""))</f>
        <v/>
      </c>
      <c r="U767" s="58" t="str">
        <f aca="false">IF($F767="","",IFERROR(INDEX(商品档案!$I$6:$I$65,MATCH($F767,商品档案!$A$6:$A$65,0)),""))</f>
        <v/>
      </c>
      <c r="V767" s="59" t="str">
        <f aca="false">IF($F767="","",SUMIFS(进销存台账!$N$6:$N$65,进销存台账!$A$6:$A$65,$C767,进销存台账!$B$6:$B$65,$F767))</f>
        <v/>
      </c>
      <c r="W767" s="60" t="n">
        <f aca="false">IF(OR($D767="销售出库",$D767="销售退回"),ROUND(N($J767)*N($V767),2),0)</f>
        <v>0</v>
      </c>
      <c r="X767" s="58" t="str">
        <f aca="false">IF($E767="","",IFERROR(INDEX(往来单位!$D$6:$D$85,MATCH($E767,往来单位!$A$6:$A$85,0)),"否"))</f>
        <v/>
      </c>
      <c r="Y767" s="61" t="str">
        <f aca="false">IF($B767="","",YEAR($B767))</f>
        <v/>
      </c>
      <c r="Z767" s="58" t="str">
        <f aca="false">IF($B767="","",TEXT($B767,"yyyy-mm"))</f>
        <v/>
      </c>
    </row>
    <row r="768" customFormat="false" ht="15" hidden="false" customHeight="false" outlineLevel="0" collapsed="false">
      <c r="A768" s="53" t="str">
        <f aca="false">IF($B768="","",ROW()-5)</f>
        <v/>
      </c>
      <c r="B768" s="54"/>
      <c r="C768" s="33"/>
      <c r="D768" s="33"/>
      <c r="E768" s="32"/>
      <c r="F768" s="39"/>
      <c r="G768" s="48" t="str">
        <f aca="false">IF($F768="","",IFERROR(INDEX(商品档案!$B$6:$B$65,MATCH($F768,商品档案!$A$6:$A$65,0)),""))</f>
        <v/>
      </c>
      <c r="H768" s="48" t="str">
        <f aca="false">IF($F768="","",IFERROR(INDEX(商品档案!$C$6:$C$65,MATCH($F768,商品档案!$A$6:$A$65,0)),""))</f>
        <v/>
      </c>
      <c r="I768" s="55" t="str">
        <f aca="false">IF($F768="","",IFERROR(INDEX(商品档案!$D$6:$D$65,MATCH($F768,商品档案!$A$6:$A$65,0)),""))</f>
        <v/>
      </c>
      <c r="J768" s="49"/>
      <c r="K768" s="56"/>
      <c r="L768" s="33"/>
      <c r="M768" s="39"/>
      <c r="N768" s="41"/>
      <c r="O768" s="41"/>
      <c r="P768" s="25" t="str">
        <f aca="false">IF(AND($B768="",$D768="",$F768=""),"",IF(NOT(ISNUMBER($B768)),"日期无效",IF(ISNA(MATCH($C768,参数设置!$A$10:$A$12,0)),"公司无效",IF(ISNA(MATCH($D768,记账规则!$A$6:$A$9,0)),"业务类型无效",IF(ISNA(MATCH($F768,商品档案!$A$6:$A$65,0)),"商品编码无效",IF(IFERROR(INDEX(商品档案!$E$6:$E$65,MATCH($F768,商品档案!$A$6:$A$65,0)),"")&lt;&gt;$C768,"商品不属于该公司",IF(AND($E768&lt;&gt;"",ISNA(MATCH($E768,往来单位!$A$6:$A$85,0))),"往来单位未建档",IF(N($J768)=0,"数量为 0",IF(N($K768)=0,"单价为 0",IF(AND(LEFT($D768,2)="销售",$U768=""),"该商品没设成本科目",IF(YEAR($B768)&lt;&gt;参数设置!$B$5,"不在本会计年度","OK")))))))))))</f>
        <v/>
      </c>
      <c r="Q768" s="57" t="str">
        <f aca="false">IF($F768="","",ROUND(N($J768)*N($K768),2))</f>
        <v/>
      </c>
      <c r="R768" s="58" t="str">
        <f aca="false">IF($D768="","",IF(LEFT($D768,2)="销售","应收账款","应付账款"))</f>
        <v/>
      </c>
      <c r="S768" s="58" t="str">
        <f aca="false">IF($F768="","",IFERROR(INDEX(商品档案!$G$6:$G$65,MATCH($F768,商品档案!$A$6:$A$65,0)),""))</f>
        <v/>
      </c>
      <c r="T768" s="58" t="str">
        <f aca="false">IF($F768="","",IFERROR(INDEX(商品档案!$H$6:$H$65,MATCH($F768,商品档案!$A$6:$A$65,0)),""))</f>
        <v/>
      </c>
      <c r="U768" s="58" t="str">
        <f aca="false">IF($F768="","",IFERROR(INDEX(商品档案!$I$6:$I$65,MATCH($F768,商品档案!$A$6:$A$65,0)),""))</f>
        <v/>
      </c>
      <c r="V768" s="59" t="str">
        <f aca="false">IF($F768="","",SUMIFS(进销存台账!$N$6:$N$65,进销存台账!$A$6:$A$65,$C768,进销存台账!$B$6:$B$65,$F768))</f>
        <v/>
      </c>
      <c r="W768" s="60" t="n">
        <f aca="false">IF(OR($D768="销售出库",$D768="销售退回"),ROUND(N($J768)*N($V768),2),0)</f>
        <v>0</v>
      </c>
      <c r="X768" s="58" t="str">
        <f aca="false">IF($E768="","",IFERROR(INDEX(往来单位!$D$6:$D$85,MATCH($E768,往来单位!$A$6:$A$85,0)),"否"))</f>
        <v/>
      </c>
      <c r="Y768" s="61" t="str">
        <f aca="false">IF($B768="","",YEAR($B768))</f>
        <v/>
      </c>
      <c r="Z768" s="58" t="str">
        <f aca="false">IF($B768="","",TEXT($B768,"yyyy-mm"))</f>
        <v/>
      </c>
    </row>
    <row r="769" customFormat="false" ht="15" hidden="false" customHeight="false" outlineLevel="0" collapsed="false">
      <c r="A769" s="53" t="str">
        <f aca="false">IF($B769="","",ROW()-5)</f>
        <v/>
      </c>
      <c r="B769" s="54"/>
      <c r="C769" s="33"/>
      <c r="D769" s="33"/>
      <c r="E769" s="32"/>
      <c r="F769" s="39"/>
      <c r="G769" s="48" t="str">
        <f aca="false">IF($F769="","",IFERROR(INDEX(商品档案!$B$6:$B$65,MATCH($F769,商品档案!$A$6:$A$65,0)),""))</f>
        <v/>
      </c>
      <c r="H769" s="48" t="str">
        <f aca="false">IF($F769="","",IFERROR(INDEX(商品档案!$C$6:$C$65,MATCH($F769,商品档案!$A$6:$A$65,0)),""))</f>
        <v/>
      </c>
      <c r="I769" s="55" t="str">
        <f aca="false">IF($F769="","",IFERROR(INDEX(商品档案!$D$6:$D$65,MATCH($F769,商品档案!$A$6:$A$65,0)),""))</f>
        <v/>
      </c>
      <c r="J769" s="49"/>
      <c r="K769" s="56"/>
      <c r="L769" s="33"/>
      <c r="M769" s="39"/>
      <c r="N769" s="41"/>
      <c r="O769" s="41"/>
      <c r="P769" s="25" t="str">
        <f aca="false">IF(AND($B769="",$D769="",$F769=""),"",IF(NOT(ISNUMBER($B769)),"日期无效",IF(ISNA(MATCH($C769,参数设置!$A$10:$A$12,0)),"公司无效",IF(ISNA(MATCH($D769,记账规则!$A$6:$A$9,0)),"业务类型无效",IF(ISNA(MATCH($F769,商品档案!$A$6:$A$65,0)),"商品编码无效",IF(IFERROR(INDEX(商品档案!$E$6:$E$65,MATCH($F769,商品档案!$A$6:$A$65,0)),"")&lt;&gt;$C769,"商品不属于该公司",IF(AND($E769&lt;&gt;"",ISNA(MATCH($E769,往来单位!$A$6:$A$85,0))),"往来单位未建档",IF(N($J769)=0,"数量为 0",IF(N($K769)=0,"单价为 0",IF(AND(LEFT($D769,2)="销售",$U769=""),"该商品没设成本科目",IF(YEAR($B769)&lt;&gt;参数设置!$B$5,"不在本会计年度","OK")))))))))))</f>
        <v/>
      </c>
      <c r="Q769" s="57" t="str">
        <f aca="false">IF($F769="","",ROUND(N($J769)*N($K769),2))</f>
        <v/>
      </c>
      <c r="R769" s="58" t="str">
        <f aca="false">IF($D769="","",IF(LEFT($D769,2)="销售","应收账款","应付账款"))</f>
        <v/>
      </c>
      <c r="S769" s="58" t="str">
        <f aca="false">IF($F769="","",IFERROR(INDEX(商品档案!$G$6:$G$65,MATCH($F769,商品档案!$A$6:$A$65,0)),""))</f>
        <v/>
      </c>
      <c r="T769" s="58" t="str">
        <f aca="false">IF($F769="","",IFERROR(INDEX(商品档案!$H$6:$H$65,MATCH($F769,商品档案!$A$6:$A$65,0)),""))</f>
        <v/>
      </c>
      <c r="U769" s="58" t="str">
        <f aca="false">IF($F769="","",IFERROR(INDEX(商品档案!$I$6:$I$65,MATCH($F769,商品档案!$A$6:$A$65,0)),""))</f>
        <v/>
      </c>
      <c r="V769" s="59" t="str">
        <f aca="false">IF($F769="","",SUMIFS(进销存台账!$N$6:$N$65,进销存台账!$A$6:$A$65,$C769,进销存台账!$B$6:$B$65,$F769))</f>
        <v/>
      </c>
      <c r="W769" s="60" t="n">
        <f aca="false">IF(OR($D769="销售出库",$D769="销售退回"),ROUND(N($J769)*N($V769),2),0)</f>
        <v>0</v>
      </c>
      <c r="X769" s="58" t="str">
        <f aca="false">IF($E769="","",IFERROR(INDEX(往来单位!$D$6:$D$85,MATCH($E769,往来单位!$A$6:$A$85,0)),"否"))</f>
        <v/>
      </c>
      <c r="Y769" s="61" t="str">
        <f aca="false">IF($B769="","",YEAR($B769))</f>
        <v/>
      </c>
      <c r="Z769" s="58" t="str">
        <f aca="false">IF($B769="","",TEXT($B769,"yyyy-mm"))</f>
        <v/>
      </c>
    </row>
    <row r="770" customFormat="false" ht="15" hidden="false" customHeight="false" outlineLevel="0" collapsed="false">
      <c r="A770" s="53" t="str">
        <f aca="false">IF($B770="","",ROW()-5)</f>
        <v/>
      </c>
      <c r="B770" s="54"/>
      <c r="C770" s="33"/>
      <c r="D770" s="33"/>
      <c r="E770" s="32"/>
      <c r="F770" s="39"/>
      <c r="G770" s="48" t="str">
        <f aca="false">IF($F770="","",IFERROR(INDEX(商品档案!$B$6:$B$65,MATCH($F770,商品档案!$A$6:$A$65,0)),""))</f>
        <v/>
      </c>
      <c r="H770" s="48" t="str">
        <f aca="false">IF($F770="","",IFERROR(INDEX(商品档案!$C$6:$C$65,MATCH($F770,商品档案!$A$6:$A$65,0)),""))</f>
        <v/>
      </c>
      <c r="I770" s="55" t="str">
        <f aca="false">IF($F770="","",IFERROR(INDEX(商品档案!$D$6:$D$65,MATCH($F770,商品档案!$A$6:$A$65,0)),""))</f>
        <v/>
      </c>
      <c r="J770" s="49"/>
      <c r="K770" s="56"/>
      <c r="L770" s="33"/>
      <c r="M770" s="39"/>
      <c r="N770" s="41"/>
      <c r="O770" s="41"/>
      <c r="P770" s="25" t="str">
        <f aca="false">IF(AND($B770="",$D770="",$F770=""),"",IF(NOT(ISNUMBER($B770)),"日期无效",IF(ISNA(MATCH($C770,参数设置!$A$10:$A$12,0)),"公司无效",IF(ISNA(MATCH($D770,记账规则!$A$6:$A$9,0)),"业务类型无效",IF(ISNA(MATCH($F770,商品档案!$A$6:$A$65,0)),"商品编码无效",IF(IFERROR(INDEX(商品档案!$E$6:$E$65,MATCH($F770,商品档案!$A$6:$A$65,0)),"")&lt;&gt;$C770,"商品不属于该公司",IF(AND($E770&lt;&gt;"",ISNA(MATCH($E770,往来单位!$A$6:$A$85,0))),"往来单位未建档",IF(N($J770)=0,"数量为 0",IF(N($K770)=0,"单价为 0",IF(AND(LEFT($D770,2)="销售",$U770=""),"该商品没设成本科目",IF(YEAR($B770)&lt;&gt;参数设置!$B$5,"不在本会计年度","OK")))))))))))</f>
        <v/>
      </c>
      <c r="Q770" s="57" t="str">
        <f aca="false">IF($F770="","",ROUND(N($J770)*N($K770),2))</f>
        <v/>
      </c>
      <c r="R770" s="58" t="str">
        <f aca="false">IF($D770="","",IF(LEFT($D770,2)="销售","应收账款","应付账款"))</f>
        <v/>
      </c>
      <c r="S770" s="58" t="str">
        <f aca="false">IF($F770="","",IFERROR(INDEX(商品档案!$G$6:$G$65,MATCH($F770,商品档案!$A$6:$A$65,0)),""))</f>
        <v/>
      </c>
      <c r="T770" s="58" t="str">
        <f aca="false">IF($F770="","",IFERROR(INDEX(商品档案!$H$6:$H$65,MATCH($F770,商品档案!$A$6:$A$65,0)),""))</f>
        <v/>
      </c>
      <c r="U770" s="58" t="str">
        <f aca="false">IF($F770="","",IFERROR(INDEX(商品档案!$I$6:$I$65,MATCH($F770,商品档案!$A$6:$A$65,0)),""))</f>
        <v/>
      </c>
      <c r="V770" s="59" t="str">
        <f aca="false">IF($F770="","",SUMIFS(进销存台账!$N$6:$N$65,进销存台账!$A$6:$A$65,$C770,进销存台账!$B$6:$B$65,$F770))</f>
        <v/>
      </c>
      <c r="W770" s="60" t="n">
        <f aca="false">IF(OR($D770="销售出库",$D770="销售退回"),ROUND(N($J770)*N($V770),2),0)</f>
        <v>0</v>
      </c>
      <c r="X770" s="58" t="str">
        <f aca="false">IF($E770="","",IFERROR(INDEX(往来单位!$D$6:$D$85,MATCH($E770,往来单位!$A$6:$A$85,0)),"否"))</f>
        <v/>
      </c>
      <c r="Y770" s="61" t="str">
        <f aca="false">IF($B770="","",YEAR($B770))</f>
        <v/>
      </c>
      <c r="Z770" s="58" t="str">
        <f aca="false">IF($B770="","",TEXT($B770,"yyyy-mm"))</f>
        <v/>
      </c>
    </row>
    <row r="771" customFormat="false" ht="15" hidden="false" customHeight="false" outlineLevel="0" collapsed="false">
      <c r="A771" s="53" t="str">
        <f aca="false">IF($B771="","",ROW()-5)</f>
        <v/>
      </c>
      <c r="B771" s="54"/>
      <c r="C771" s="33"/>
      <c r="D771" s="33"/>
      <c r="E771" s="32"/>
      <c r="F771" s="39"/>
      <c r="G771" s="48" t="str">
        <f aca="false">IF($F771="","",IFERROR(INDEX(商品档案!$B$6:$B$65,MATCH($F771,商品档案!$A$6:$A$65,0)),""))</f>
        <v/>
      </c>
      <c r="H771" s="48" t="str">
        <f aca="false">IF($F771="","",IFERROR(INDEX(商品档案!$C$6:$C$65,MATCH($F771,商品档案!$A$6:$A$65,0)),""))</f>
        <v/>
      </c>
      <c r="I771" s="55" t="str">
        <f aca="false">IF($F771="","",IFERROR(INDEX(商品档案!$D$6:$D$65,MATCH($F771,商品档案!$A$6:$A$65,0)),""))</f>
        <v/>
      </c>
      <c r="J771" s="49"/>
      <c r="K771" s="56"/>
      <c r="L771" s="33"/>
      <c r="M771" s="39"/>
      <c r="N771" s="41"/>
      <c r="O771" s="41"/>
      <c r="P771" s="25" t="str">
        <f aca="false">IF(AND($B771="",$D771="",$F771=""),"",IF(NOT(ISNUMBER($B771)),"日期无效",IF(ISNA(MATCH($C771,参数设置!$A$10:$A$12,0)),"公司无效",IF(ISNA(MATCH($D771,记账规则!$A$6:$A$9,0)),"业务类型无效",IF(ISNA(MATCH($F771,商品档案!$A$6:$A$65,0)),"商品编码无效",IF(IFERROR(INDEX(商品档案!$E$6:$E$65,MATCH($F771,商品档案!$A$6:$A$65,0)),"")&lt;&gt;$C771,"商品不属于该公司",IF(AND($E771&lt;&gt;"",ISNA(MATCH($E771,往来单位!$A$6:$A$85,0))),"往来单位未建档",IF(N($J771)=0,"数量为 0",IF(N($K771)=0,"单价为 0",IF(AND(LEFT($D771,2)="销售",$U771=""),"该商品没设成本科目",IF(YEAR($B771)&lt;&gt;参数设置!$B$5,"不在本会计年度","OK")))))))))))</f>
        <v/>
      </c>
      <c r="Q771" s="57" t="str">
        <f aca="false">IF($F771="","",ROUND(N($J771)*N($K771),2))</f>
        <v/>
      </c>
      <c r="R771" s="58" t="str">
        <f aca="false">IF($D771="","",IF(LEFT($D771,2)="销售","应收账款","应付账款"))</f>
        <v/>
      </c>
      <c r="S771" s="58" t="str">
        <f aca="false">IF($F771="","",IFERROR(INDEX(商品档案!$G$6:$G$65,MATCH($F771,商品档案!$A$6:$A$65,0)),""))</f>
        <v/>
      </c>
      <c r="T771" s="58" t="str">
        <f aca="false">IF($F771="","",IFERROR(INDEX(商品档案!$H$6:$H$65,MATCH($F771,商品档案!$A$6:$A$65,0)),""))</f>
        <v/>
      </c>
      <c r="U771" s="58" t="str">
        <f aca="false">IF($F771="","",IFERROR(INDEX(商品档案!$I$6:$I$65,MATCH($F771,商品档案!$A$6:$A$65,0)),""))</f>
        <v/>
      </c>
      <c r="V771" s="59" t="str">
        <f aca="false">IF($F771="","",SUMIFS(进销存台账!$N$6:$N$65,进销存台账!$A$6:$A$65,$C771,进销存台账!$B$6:$B$65,$F771))</f>
        <v/>
      </c>
      <c r="W771" s="60" t="n">
        <f aca="false">IF(OR($D771="销售出库",$D771="销售退回"),ROUND(N($J771)*N($V771),2),0)</f>
        <v>0</v>
      </c>
      <c r="X771" s="58" t="str">
        <f aca="false">IF($E771="","",IFERROR(INDEX(往来单位!$D$6:$D$85,MATCH($E771,往来单位!$A$6:$A$85,0)),"否"))</f>
        <v/>
      </c>
      <c r="Y771" s="61" t="str">
        <f aca="false">IF($B771="","",YEAR($B771))</f>
        <v/>
      </c>
      <c r="Z771" s="58" t="str">
        <f aca="false">IF($B771="","",TEXT($B771,"yyyy-mm"))</f>
        <v/>
      </c>
    </row>
    <row r="772" customFormat="false" ht="15" hidden="false" customHeight="false" outlineLevel="0" collapsed="false">
      <c r="A772" s="53" t="str">
        <f aca="false">IF($B772="","",ROW()-5)</f>
        <v/>
      </c>
      <c r="B772" s="54"/>
      <c r="C772" s="33"/>
      <c r="D772" s="33"/>
      <c r="E772" s="32"/>
      <c r="F772" s="39"/>
      <c r="G772" s="48" t="str">
        <f aca="false">IF($F772="","",IFERROR(INDEX(商品档案!$B$6:$B$65,MATCH($F772,商品档案!$A$6:$A$65,0)),""))</f>
        <v/>
      </c>
      <c r="H772" s="48" t="str">
        <f aca="false">IF($F772="","",IFERROR(INDEX(商品档案!$C$6:$C$65,MATCH($F772,商品档案!$A$6:$A$65,0)),""))</f>
        <v/>
      </c>
      <c r="I772" s="55" t="str">
        <f aca="false">IF($F772="","",IFERROR(INDEX(商品档案!$D$6:$D$65,MATCH($F772,商品档案!$A$6:$A$65,0)),""))</f>
        <v/>
      </c>
      <c r="J772" s="49"/>
      <c r="K772" s="56"/>
      <c r="L772" s="33"/>
      <c r="M772" s="39"/>
      <c r="N772" s="41"/>
      <c r="O772" s="41"/>
      <c r="P772" s="25" t="str">
        <f aca="false">IF(AND($B772="",$D772="",$F772=""),"",IF(NOT(ISNUMBER($B772)),"日期无效",IF(ISNA(MATCH($C772,参数设置!$A$10:$A$12,0)),"公司无效",IF(ISNA(MATCH($D772,记账规则!$A$6:$A$9,0)),"业务类型无效",IF(ISNA(MATCH($F772,商品档案!$A$6:$A$65,0)),"商品编码无效",IF(IFERROR(INDEX(商品档案!$E$6:$E$65,MATCH($F772,商品档案!$A$6:$A$65,0)),"")&lt;&gt;$C772,"商品不属于该公司",IF(AND($E772&lt;&gt;"",ISNA(MATCH($E772,往来单位!$A$6:$A$85,0))),"往来单位未建档",IF(N($J772)=0,"数量为 0",IF(N($K772)=0,"单价为 0",IF(AND(LEFT($D772,2)="销售",$U772=""),"该商品没设成本科目",IF(YEAR($B772)&lt;&gt;参数设置!$B$5,"不在本会计年度","OK")))))))))))</f>
        <v/>
      </c>
      <c r="Q772" s="57" t="str">
        <f aca="false">IF($F772="","",ROUND(N($J772)*N($K772),2))</f>
        <v/>
      </c>
      <c r="R772" s="58" t="str">
        <f aca="false">IF($D772="","",IF(LEFT($D772,2)="销售","应收账款","应付账款"))</f>
        <v/>
      </c>
      <c r="S772" s="58" t="str">
        <f aca="false">IF($F772="","",IFERROR(INDEX(商品档案!$G$6:$G$65,MATCH($F772,商品档案!$A$6:$A$65,0)),""))</f>
        <v/>
      </c>
      <c r="T772" s="58" t="str">
        <f aca="false">IF($F772="","",IFERROR(INDEX(商品档案!$H$6:$H$65,MATCH($F772,商品档案!$A$6:$A$65,0)),""))</f>
        <v/>
      </c>
      <c r="U772" s="58" t="str">
        <f aca="false">IF($F772="","",IFERROR(INDEX(商品档案!$I$6:$I$65,MATCH($F772,商品档案!$A$6:$A$65,0)),""))</f>
        <v/>
      </c>
      <c r="V772" s="59" t="str">
        <f aca="false">IF($F772="","",SUMIFS(进销存台账!$N$6:$N$65,进销存台账!$A$6:$A$65,$C772,进销存台账!$B$6:$B$65,$F772))</f>
        <v/>
      </c>
      <c r="W772" s="60" t="n">
        <f aca="false">IF(OR($D772="销售出库",$D772="销售退回"),ROUND(N($J772)*N($V772),2),0)</f>
        <v>0</v>
      </c>
      <c r="X772" s="58" t="str">
        <f aca="false">IF($E772="","",IFERROR(INDEX(往来单位!$D$6:$D$85,MATCH($E772,往来单位!$A$6:$A$85,0)),"否"))</f>
        <v/>
      </c>
      <c r="Y772" s="61" t="str">
        <f aca="false">IF($B772="","",YEAR($B772))</f>
        <v/>
      </c>
      <c r="Z772" s="58" t="str">
        <f aca="false">IF($B772="","",TEXT($B772,"yyyy-mm"))</f>
        <v/>
      </c>
    </row>
    <row r="773" customFormat="false" ht="15" hidden="false" customHeight="false" outlineLevel="0" collapsed="false">
      <c r="A773" s="53" t="str">
        <f aca="false">IF($B773="","",ROW()-5)</f>
        <v/>
      </c>
      <c r="B773" s="54"/>
      <c r="C773" s="33"/>
      <c r="D773" s="33"/>
      <c r="E773" s="32"/>
      <c r="F773" s="39"/>
      <c r="G773" s="48" t="str">
        <f aca="false">IF($F773="","",IFERROR(INDEX(商品档案!$B$6:$B$65,MATCH($F773,商品档案!$A$6:$A$65,0)),""))</f>
        <v/>
      </c>
      <c r="H773" s="48" t="str">
        <f aca="false">IF($F773="","",IFERROR(INDEX(商品档案!$C$6:$C$65,MATCH($F773,商品档案!$A$6:$A$65,0)),""))</f>
        <v/>
      </c>
      <c r="I773" s="55" t="str">
        <f aca="false">IF($F773="","",IFERROR(INDEX(商品档案!$D$6:$D$65,MATCH($F773,商品档案!$A$6:$A$65,0)),""))</f>
        <v/>
      </c>
      <c r="J773" s="49"/>
      <c r="K773" s="56"/>
      <c r="L773" s="33"/>
      <c r="M773" s="39"/>
      <c r="N773" s="41"/>
      <c r="O773" s="41"/>
      <c r="P773" s="25" t="str">
        <f aca="false">IF(AND($B773="",$D773="",$F773=""),"",IF(NOT(ISNUMBER($B773)),"日期无效",IF(ISNA(MATCH($C773,参数设置!$A$10:$A$12,0)),"公司无效",IF(ISNA(MATCH($D773,记账规则!$A$6:$A$9,0)),"业务类型无效",IF(ISNA(MATCH($F773,商品档案!$A$6:$A$65,0)),"商品编码无效",IF(IFERROR(INDEX(商品档案!$E$6:$E$65,MATCH($F773,商品档案!$A$6:$A$65,0)),"")&lt;&gt;$C773,"商品不属于该公司",IF(AND($E773&lt;&gt;"",ISNA(MATCH($E773,往来单位!$A$6:$A$85,0))),"往来单位未建档",IF(N($J773)=0,"数量为 0",IF(N($K773)=0,"单价为 0",IF(AND(LEFT($D773,2)="销售",$U773=""),"该商品没设成本科目",IF(YEAR($B773)&lt;&gt;参数设置!$B$5,"不在本会计年度","OK")))))))))))</f>
        <v/>
      </c>
      <c r="Q773" s="57" t="str">
        <f aca="false">IF($F773="","",ROUND(N($J773)*N($K773),2))</f>
        <v/>
      </c>
      <c r="R773" s="58" t="str">
        <f aca="false">IF($D773="","",IF(LEFT($D773,2)="销售","应收账款","应付账款"))</f>
        <v/>
      </c>
      <c r="S773" s="58" t="str">
        <f aca="false">IF($F773="","",IFERROR(INDEX(商品档案!$G$6:$G$65,MATCH($F773,商品档案!$A$6:$A$65,0)),""))</f>
        <v/>
      </c>
      <c r="T773" s="58" t="str">
        <f aca="false">IF($F773="","",IFERROR(INDEX(商品档案!$H$6:$H$65,MATCH($F773,商品档案!$A$6:$A$65,0)),""))</f>
        <v/>
      </c>
      <c r="U773" s="58" t="str">
        <f aca="false">IF($F773="","",IFERROR(INDEX(商品档案!$I$6:$I$65,MATCH($F773,商品档案!$A$6:$A$65,0)),""))</f>
        <v/>
      </c>
      <c r="V773" s="59" t="str">
        <f aca="false">IF($F773="","",SUMIFS(进销存台账!$N$6:$N$65,进销存台账!$A$6:$A$65,$C773,进销存台账!$B$6:$B$65,$F773))</f>
        <v/>
      </c>
      <c r="W773" s="60" t="n">
        <f aca="false">IF(OR($D773="销售出库",$D773="销售退回"),ROUND(N($J773)*N($V773),2),0)</f>
        <v>0</v>
      </c>
      <c r="X773" s="58" t="str">
        <f aca="false">IF($E773="","",IFERROR(INDEX(往来单位!$D$6:$D$85,MATCH($E773,往来单位!$A$6:$A$85,0)),"否"))</f>
        <v/>
      </c>
      <c r="Y773" s="61" t="str">
        <f aca="false">IF($B773="","",YEAR($B773))</f>
        <v/>
      </c>
      <c r="Z773" s="58" t="str">
        <f aca="false">IF($B773="","",TEXT($B773,"yyyy-mm"))</f>
        <v/>
      </c>
    </row>
    <row r="774" customFormat="false" ht="15" hidden="false" customHeight="false" outlineLevel="0" collapsed="false">
      <c r="A774" s="53" t="str">
        <f aca="false">IF($B774="","",ROW()-5)</f>
        <v/>
      </c>
      <c r="B774" s="54"/>
      <c r="C774" s="33"/>
      <c r="D774" s="33"/>
      <c r="E774" s="32"/>
      <c r="F774" s="39"/>
      <c r="G774" s="48" t="str">
        <f aca="false">IF($F774="","",IFERROR(INDEX(商品档案!$B$6:$B$65,MATCH($F774,商品档案!$A$6:$A$65,0)),""))</f>
        <v/>
      </c>
      <c r="H774" s="48" t="str">
        <f aca="false">IF($F774="","",IFERROR(INDEX(商品档案!$C$6:$C$65,MATCH($F774,商品档案!$A$6:$A$65,0)),""))</f>
        <v/>
      </c>
      <c r="I774" s="55" t="str">
        <f aca="false">IF($F774="","",IFERROR(INDEX(商品档案!$D$6:$D$65,MATCH($F774,商品档案!$A$6:$A$65,0)),""))</f>
        <v/>
      </c>
      <c r="J774" s="49"/>
      <c r="K774" s="56"/>
      <c r="L774" s="33"/>
      <c r="M774" s="39"/>
      <c r="N774" s="41"/>
      <c r="O774" s="41"/>
      <c r="P774" s="25" t="str">
        <f aca="false">IF(AND($B774="",$D774="",$F774=""),"",IF(NOT(ISNUMBER($B774)),"日期无效",IF(ISNA(MATCH($C774,参数设置!$A$10:$A$12,0)),"公司无效",IF(ISNA(MATCH($D774,记账规则!$A$6:$A$9,0)),"业务类型无效",IF(ISNA(MATCH($F774,商品档案!$A$6:$A$65,0)),"商品编码无效",IF(IFERROR(INDEX(商品档案!$E$6:$E$65,MATCH($F774,商品档案!$A$6:$A$65,0)),"")&lt;&gt;$C774,"商品不属于该公司",IF(AND($E774&lt;&gt;"",ISNA(MATCH($E774,往来单位!$A$6:$A$85,0))),"往来单位未建档",IF(N($J774)=0,"数量为 0",IF(N($K774)=0,"单价为 0",IF(AND(LEFT($D774,2)="销售",$U774=""),"该商品没设成本科目",IF(YEAR($B774)&lt;&gt;参数设置!$B$5,"不在本会计年度","OK")))))))))))</f>
        <v/>
      </c>
      <c r="Q774" s="57" t="str">
        <f aca="false">IF($F774="","",ROUND(N($J774)*N($K774),2))</f>
        <v/>
      </c>
      <c r="R774" s="58" t="str">
        <f aca="false">IF($D774="","",IF(LEFT($D774,2)="销售","应收账款","应付账款"))</f>
        <v/>
      </c>
      <c r="S774" s="58" t="str">
        <f aca="false">IF($F774="","",IFERROR(INDEX(商品档案!$G$6:$G$65,MATCH($F774,商品档案!$A$6:$A$65,0)),""))</f>
        <v/>
      </c>
      <c r="T774" s="58" t="str">
        <f aca="false">IF($F774="","",IFERROR(INDEX(商品档案!$H$6:$H$65,MATCH($F774,商品档案!$A$6:$A$65,0)),""))</f>
        <v/>
      </c>
      <c r="U774" s="58" t="str">
        <f aca="false">IF($F774="","",IFERROR(INDEX(商品档案!$I$6:$I$65,MATCH($F774,商品档案!$A$6:$A$65,0)),""))</f>
        <v/>
      </c>
      <c r="V774" s="59" t="str">
        <f aca="false">IF($F774="","",SUMIFS(进销存台账!$N$6:$N$65,进销存台账!$A$6:$A$65,$C774,进销存台账!$B$6:$B$65,$F774))</f>
        <v/>
      </c>
      <c r="W774" s="60" t="n">
        <f aca="false">IF(OR($D774="销售出库",$D774="销售退回"),ROUND(N($J774)*N($V774),2),0)</f>
        <v>0</v>
      </c>
      <c r="X774" s="58" t="str">
        <f aca="false">IF($E774="","",IFERROR(INDEX(往来单位!$D$6:$D$85,MATCH($E774,往来单位!$A$6:$A$85,0)),"否"))</f>
        <v/>
      </c>
      <c r="Y774" s="61" t="str">
        <f aca="false">IF($B774="","",YEAR($B774))</f>
        <v/>
      </c>
      <c r="Z774" s="58" t="str">
        <f aca="false">IF($B774="","",TEXT($B774,"yyyy-mm"))</f>
        <v/>
      </c>
    </row>
    <row r="775" customFormat="false" ht="15" hidden="false" customHeight="false" outlineLevel="0" collapsed="false">
      <c r="A775" s="53" t="str">
        <f aca="false">IF($B775="","",ROW()-5)</f>
        <v/>
      </c>
      <c r="B775" s="54"/>
      <c r="C775" s="33"/>
      <c r="D775" s="33"/>
      <c r="E775" s="32"/>
      <c r="F775" s="39"/>
      <c r="G775" s="48" t="str">
        <f aca="false">IF($F775="","",IFERROR(INDEX(商品档案!$B$6:$B$65,MATCH($F775,商品档案!$A$6:$A$65,0)),""))</f>
        <v/>
      </c>
      <c r="H775" s="48" t="str">
        <f aca="false">IF($F775="","",IFERROR(INDEX(商品档案!$C$6:$C$65,MATCH($F775,商品档案!$A$6:$A$65,0)),""))</f>
        <v/>
      </c>
      <c r="I775" s="55" t="str">
        <f aca="false">IF($F775="","",IFERROR(INDEX(商品档案!$D$6:$D$65,MATCH($F775,商品档案!$A$6:$A$65,0)),""))</f>
        <v/>
      </c>
      <c r="J775" s="49"/>
      <c r="K775" s="56"/>
      <c r="L775" s="33"/>
      <c r="M775" s="39"/>
      <c r="N775" s="41"/>
      <c r="O775" s="41"/>
      <c r="P775" s="25" t="str">
        <f aca="false">IF(AND($B775="",$D775="",$F775=""),"",IF(NOT(ISNUMBER($B775)),"日期无效",IF(ISNA(MATCH($C775,参数设置!$A$10:$A$12,0)),"公司无效",IF(ISNA(MATCH($D775,记账规则!$A$6:$A$9,0)),"业务类型无效",IF(ISNA(MATCH($F775,商品档案!$A$6:$A$65,0)),"商品编码无效",IF(IFERROR(INDEX(商品档案!$E$6:$E$65,MATCH($F775,商品档案!$A$6:$A$65,0)),"")&lt;&gt;$C775,"商品不属于该公司",IF(AND($E775&lt;&gt;"",ISNA(MATCH($E775,往来单位!$A$6:$A$85,0))),"往来单位未建档",IF(N($J775)=0,"数量为 0",IF(N($K775)=0,"单价为 0",IF(AND(LEFT($D775,2)="销售",$U775=""),"该商品没设成本科目",IF(YEAR($B775)&lt;&gt;参数设置!$B$5,"不在本会计年度","OK")))))))))))</f>
        <v/>
      </c>
      <c r="Q775" s="57" t="str">
        <f aca="false">IF($F775="","",ROUND(N($J775)*N($K775),2))</f>
        <v/>
      </c>
      <c r="R775" s="58" t="str">
        <f aca="false">IF($D775="","",IF(LEFT($D775,2)="销售","应收账款","应付账款"))</f>
        <v/>
      </c>
      <c r="S775" s="58" t="str">
        <f aca="false">IF($F775="","",IFERROR(INDEX(商品档案!$G$6:$G$65,MATCH($F775,商品档案!$A$6:$A$65,0)),""))</f>
        <v/>
      </c>
      <c r="T775" s="58" t="str">
        <f aca="false">IF($F775="","",IFERROR(INDEX(商品档案!$H$6:$H$65,MATCH($F775,商品档案!$A$6:$A$65,0)),""))</f>
        <v/>
      </c>
      <c r="U775" s="58" t="str">
        <f aca="false">IF($F775="","",IFERROR(INDEX(商品档案!$I$6:$I$65,MATCH($F775,商品档案!$A$6:$A$65,0)),""))</f>
        <v/>
      </c>
      <c r="V775" s="59" t="str">
        <f aca="false">IF($F775="","",SUMIFS(进销存台账!$N$6:$N$65,进销存台账!$A$6:$A$65,$C775,进销存台账!$B$6:$B$65,$F775))</f>
        <v/>
      </c>
      <c r="W775" s="60" t="n">
        <f aca="false">IF(OR($D775="销售出库",$D775="销售退回"),ROUND(N($J775)*N($V775),2),0)</f>
        <v>0</v>
      </c>
      <c r="X775" s="58" t="str">
        <f aca="false">IF($E775="","",IFERROR(INDEX(往来单位!$D$6:$D$85,MATCH($E775,往来单位!$A$6:$A$85,0)),"否"))</f>
        <v/>
      </c>
      <c r="Y775" s="61" t="str">
        <f aca="false">IF($B775="","",YEAR($B775))</f>
        <v/>
      </c>
      <c r="Z775" s="58" t="str">
        <f aca="false">IF($B775="","",TEXT($B775,"yyyy-mm"))</f>
        <v/>
      </c>
    </row>
    <row r="776" customFormat="false" ht="15" hidden="false" customHeight="false" outlineLevel="0" collapsed="false">
      <c r="A776" s="53" t="str">
        <f aca="false">IF($B776="","",ROW()-5)</f>
        <v/>
      </c>
      <c r="B776" s="54"/>
      <c r="C776" s="33"/>
      <c r="D776" s="33"/>
      <c r="E776" s="32"/>
      <c r="F776" s="39"/>
      <c r="G776" s="48" t="str">
        <f aca="false">IF($F776="","",IFERROR(INDEX(商品档案!$B$6:$B$65,MATCH($F776,商品档案!$A$6:$A$65,0)),""))</f>
        <v/>
      </c>
      <c r="H776" s="48" t="str">
        <f aca="false">IF($F776="","",IFERROR(INDEX(商品档案!$C$6:$C$65,MATCH($F776,商品档案!$A$6:$A$65,0)),""))</f>
        <v/>
      </c>
      <c r="I776" s="55" t="str">
        <f aca="false">IF($F776="","",IFERROR(INDEX(商品档案!$D$6:$D$65,MATCH($F776,商品档案!$A$6:$A$65,0)),""))</f>
        <v/>
      </c>
      <c r="J776" s="49"/>
      <c r="K776" s="56"/>
      <c r="L776" s="33"/>
      <c r="M776" s="39"/>
      <c r="N776" s="41"/>
      <c r="O776" s="41"/>
      <c r="P776" s="25" t="str">
        <f aca="false">IF(AND($B776="",$D776="",$F776=""),"",IF(NOT(ISNUMBER($B776)),"日期无效",IF(ISNA(MATCH($C776,参数设置!$A$10:$A$12,0)),"公司无效",IF(ISNA(MATCH($D776,记账规则!$A$6:$A$9,0)),"业务类型无效",IF(ISNA(MATCH($F776,商品档案!$A$6:$A$65,0)),"商品编码无效",IF(IFERROR(INDEX(商品档案!$E$6:$E$65,MATCH($F776,商品档案!$A$6:$A$65,0)),"")&lt;&gt;$C776,"商品不属于该公司",IF(AND($E776&lt;&gt;"",ISNA(MATCH($E776,往来单位!$A$6:$A$85,0))),"往来单位未建档",IF(N($J776)=0,"数量为 0",IF(N($K776)=0,"单价为 0",IF(AND(LEFT($D776,2)="销售",$U776=""),"该商品没设成本科目",IF(YEAR($B776)&lt;&gt;参数设置!$B$5,"不在本会计年度","OK")))))))))))</f>
        <v/>
      </c>
      <c r="Q776" s="57" t="str">
        <f aca="false">IF($F776="","",ROUND(N($J776)*N($K776),2))</f>
        <v/>
      </c>
      <c r="R776" s="58" t="str">
        <f aca="false">IF($D776="","",IF(LEFT($D776,2)="销售","应收账款","应付账款"))</f>
        <v/>
      </c>
      <c r="S776" s="58" t="str">
        <f aca="false">IF($F776="","",IFERROR(INDEX(商品档案!$G$6:$G$65,MATCH($F776,商品档案!$A$6:$A$65,0)),""))</f>
        <v/>
      </c>
      <c r="T776" s="58" t="str">
        <f aca="false">IF($F776="","",IFERROR(INDEX(商品档案!$H$6:$H$65,MATCH($F776,商品档案!$A$6:$A$65,0)),""))</f>
        <v/>
      </c>
      <c r="U776" s="58" t="str">
        <f aca="false">IF($F776="","",IFERROR(INDEX(商品档案!$I$6:$I$65,MATCH($F776,商品档案!$A$6:$A$65,0)),""))</f>
        <v/>
      </c>
      <c r="V776" s="59" t="str">
        <f aca="false">IF($F776="","",SUMIFS(进销存台账!$N$6:$N$65,进销存台账!$A$6:$A$65,$C776,进销存台账!$B$6:$B$65,$F776))</f>
        <v/>
      </c>
      <c r="W776" s="60" t="n">
        <f aca="false">IF(OR($D776="销售出库",$D776="销售退回"),ROUND(N($J776)*N($V776),2),0)</f>
        <v>0</v>
      </c>
      <c r="X776" s="58" t="str">
        <f aca="false">IF($E776="","",IFERROR(INDEX(往来单位!$D$6:$D$85,MATCH($E776,往来单位!$A$6:$A$85,0)),"否"))</f>
        <v/>
      </c>
      <c r="Y776" s="61" t="str">
        <f aca="false">IF($B776="","",YEAR($B776))</f>
        <v/>
      </c>
      <c r="Z776" s="58" t="str">
        <f aca="false">IF($B776="","",TEXT($B776,"yyyy-mm"))</f>
        <v/>
      </c>
    </row>
    <row r="777" customFormat="false" ht="15" hidden="false" customHeight="false" outlineLevel="0" collapsed="false">
      <c r="A777" s="53" t="str">
        <f aca="false">IF($B777="","",ROW()-5)</f>
        <v/>
      </c>
      <c r="B777" s="54"/>
      <c r="C777" s="33"/>
      <c r="D777" s="33"/>
      <c r="E777" s="32"/>
      <c r="F777" s="39"/>
      <c r="G777" s="48" t="str">
        <f aca="false">IF($F777="","",IFERROR(INDEX(商品档案!$B$6:$B$65,MATCH($F777,商品档案!$A$6:$A$65,0)),""))</f>
        <v/>
      </c>
      <c r="H777" s="48" t="str">
        <f aca="false">IF($F777="","",IFERROR(INDEX(商品档案!$C$6:$C$65,MATCH($F777,商品档案!$A$6:$A$65,0)),""))</f>
        <v/>
      </c>
      <c r="I777" s="55" t="str">
        <f aca="false">IF($F777="","",IFERROR(INDEX(商品档案!$D$6:$D$65,MATCH($F777,商品档案!$A$6:$A$65,0)),""))</f>
        <v/>
      </c>
      <c r="J777" s="49"/>
      <c r="K777" s="56"/>
      <c r="L777" s="33"/>
      <c r="M777" s="39"/>
      <c r="N777" s="41"/>
      <c r="O777" s="41"/>
      <c r="P777" s="25" t="str">
        <f aca="false">IF(AND($B777="",$D777="",$F777=""),"",IF(NOT(ISNUMBER($B777)),"日期无效",IF(ISNA(MATCH($C777,参数设置!$A$10:$A$12,0)),"公司无效",IF(ISNA(MATCH($D777,记账规则!$A$6:$A$9,0)),"业务类型无效",IF(ISNA(MATCH($F777,商品档案!$A$6:$A$65,0)),"商品编码无效",IF(IFERROR(INDEX(商品档案!$E$6:$E$65,MATCH($F777,商品档案!$A$6:$A$65,0)),"")&lt;&gt;$C777,"商品不属于该公司",IF(AND($E777&lt;&gt;"",ISNA(MATCH($E777,往来单位!$A$6:$A$85,0))),"往来单位未建档",IF(N($J777)=0,"数量为 0",IF(N($K777)=0,"单价为 0",IF(AND(LEFT($D777,2)="销售",$U777=""),"该商品没设成本科目",IF(YEAR($B777)&lt;&gt;参数设置!$B$5,"不在本会计年度","OK")))))))))))</f>
        <v/>
      </c>
      <c r="Q777" s="57" t="str">
        <f aca="false">IF($F777="","",ROUND(N($J777)*N($K777),2))</f>
        <v/>
      </c>
      <c r="R777" s="58" t="str">
        <f aca="false">IF($D777="","",IF(LEFT($D777,2)="销售","应收账款","应付账款"))</f>
        <v/>
      </c>
      <c r="S777" s="58" t="str">
        <f aca="false">IF($F777="","",IFERROR(INDEX(商品档案!$G$6:$G$65,MATCH($F777,商品档案!$A$6:$A$65,0)),""))</f>
        <v/>
      </c>
      <c r="T777" s="58" t="str">
        <f aca="false">IF($F777="","",IFERROR(INDEX(商品档案!$H$6:$H$65,MATCH($F777,商品档案!$A$6:$A$65,0)),""))</f>
        <v/>
      </c>
      <c r="U777" s="58" t="str">
        <f aca="false">IF($F777="","",IFERROR(INDEX(商品档案!$I$6:$I$65,MATCH($F777,商品档案!$A$6:$A$65,0)),""))</f>
        <v/>
      </c>
      <c r="V777" s="59" t="str">
        <f aca="false">IF($F777="","",SUMIFS(进销存台账!$N$6:$N$65,进销存台账!$A$6:$A$65,$C777,进销存台账!$B$6:$B$65,$F777))</f>
        <v/>
      </c>
      <c r="W777" s="60" t="n">
        <f aca="false">IF(OR($D777="销售出库",$D777="销售退回"),ROUND(N($J777)*N($V777),2),0)</f>
        <v>0</v>
      </c>
      <c r="X777" s="58" t="str">
        <f aca="false">IF($E777="","",IFERROR(INDEX(往来单位!$D$6:$D$85,MATCH($E777,往来单位!$A$6:$A$85,0)),"否"))</f>
        <v/>
      </c>
      <c r="Y777" s="61" t="str">
        <f aca="false">IF($B777="","",YEAR($B777))</f>
        <v/>
      </c>
      <c r="Z777" s="58" t="str">
        <f aca="false">IF($B777="","",TEXT($B777,"yyyy-mm"))</f>
        <v/>
      </c>
    </row>
    <row r="778" customFormat="false" ht="15" hidden="false" customHeight="false" outlineLevel="0" collapsed="false">
      <c r="A778" s="53" t="str">
        <f aca="false">IF($B778="","",ROW()-5)</f>
        <v/>
      </c>
      <c r="B778" s="54"/>
      <c r="C778" s="33"/>
      <c r="D778" s="33"/>
      <c r="E778" s="32"/>
      <c r="F778" s="39"/>
      <c r="G778" s="48" t="str">
        <f aca="false">IF($F778="","",IFERROR(INDEX(商品档案!$B$6:$B$65,MATCH($F778,商品档案!$A$6:$A$65,0)),""))</f>
        <v/>
      </c>
      <c r="H778" s="48" t="str">
        <f aca="false">IF($F778="","",IFERROR(INDEX(商品档案!$C$6:$C$65,MATCH($F778,商品档案!$A$6:$A$65,0)),""))</f>
        <v/>
      </c>
      <c r="I778" s="55" t="str">
        <f aca="false">IF($F778="","",IFERROR(INDEX(商品档案!$D$6:$D$65,MATCH($F778,商品档案!$A$6:$A$65,0)),""))</f>
        <v/>
      </c>
      <c r="J778" s="49"/>
      <c r="K778" s="56"/>
      <c r="L778" s="33"/>
      <c r="M778" s="39"/>
      <c r="N778" s="41"/>
      <c r="O778" s="41"/>
      <c r="P778" s="25" t="str">
        <f aca="false">IF(AND($B778="",$D778="",$F778=""),"",IF(NOT(ISNUMBER($B778)),"日期无效",IF(ISNA(MATCH($C778,参数设置!$A$10:$A$12,0)),"公司无效",IF(ISNA(MATCH($D778,记账规则!$A$6:$A$9,0)),"业务类型无效",IF(ISNA(MATCH($F778,商品档案!$A$6:$A$65,0)),"商品编码无效",IF(IFERROR(INDEX(商品档案!$E$6:$E$65,MATCH($F778,商品档案!$A$6:$A$65,0)),"")&lt;&gt;$C778,"商品不属于该公司",IF(AND($E778&lt;&gt;"",ISNA(MATCH($E778,往来单位!$A$6:$A$85,0))),"往来单位未建档",IF(N($J778)=0,"数量为 0",IF(N($K778)=0,"单价为 0",IF(AND(LEFT($D778,2)="销售",$U778=""),"该商品没设成本科目",IF(YEAR($B778)&lt;&gt;参数设置!$B$5,"不在本会计年度","OK")))))))))))</f>
        <v/>
      </c>
      <c r="Q778" s="57" t="str">
        <f aca="false">IF($F778="","",ROUND(N($J778)*N($K778),2))</f>
        <v/>
      </c>
      <c r="R778" s="58" t="str">
        <f aca="false">IF($D778="","",IF(LEFT($D778,2)="销售","应收账款","应付账款"))</f>
        <v/>
      </c>
      <c r="S778" s="58" t="str">
        <f aca="false">IF($F778="","",IFERROR(INDEX(商品档案!$G$6:$G$65,MATCH($F778,商品档案!$A$6:$A$65,0)),""))</f>
        <v/>
      </c>
      <c r="T778" s="58" t="str">
        <f aca="false">IF($F778="","",IFERROR(INDEX(商品档案!$H$6:$H$65,MATCH($F778,商品档案!$A$6:$A$65,0)),""))</f>
        <v/>
      </c>
      <c r="U778" s="58" t="str">
        <f aca="false">IF($F778="","",IFERROR(INDEX(商品档案!$I$6:$I$65,MATCH($F778,商品档案!$A$6:$A$65,0)),""))</f>
        <v/>
      </c>
      <c r="V778" s="59" t="str">
        <f aca="false">IF($F778="","",SUMIFS(进销存台账!$N$6:$N$65,进销存台账!$A$6:$A$65,$C778,进销存台账!$B$6:$B$65,$F778))</f>
        <v/>
      </c>
      <c r="W778" s="60" t="n">
        <f aca="false">IF(OR($D778="销售出库",$D778="销售退回"),ROUND(N($J778)*N($V778),2),0)</f>
        <v>0</v>
      </c>
      <c r="X778" s="58" t="str">
        <f aca="false">IF($E778="","",IFERROR(INDEX(往来单位!$D$6:$D$85,MATCH($E778,往来单位!$A$6:$A$85,0)),"否"))</f>
        <v/>
      </c>
      <c r="Y778" s="61" t="str">
        <f aca="false">IF($B778="","",YEAR($B778))</f>
        <v/>
      </c>
      <c r="Z778" s="58" t="str">
        <f aca="false">IF($B778="","",TEXT($B778,"yyyy-mm"))</f>
        <v/>
      </c>
    </row>
    <row r="779" customFormat="false" ht="15" hidden="false" customHeight="false" outlineLevel="0" collapsed="false">
      <c r="A779" s="53" t="str">
        <f aca="false">IF($B779="","",ROW()-5)</f>
        <v/>
      </c>
      <c r="B779" s="54"/>
      <c r="C779" s="33"/>
      <c r="D779" s="33"/>
      <c r="E779" s="32"/>
      <c r="F779" s="39"/>
      <c r="G779" s="48" t="str">
        <f aca="false">IF($F779="","",IFERROR(INDEX(商品档案!$B$6:$B$65,MATCH($F779,商品档案!$A$6:$A$65,0)),""))</f>
        <v/>
      </c>
      <c r="H779" s="48" t="str">
        <f aca="false">IF($F779="","",IFERROR(INDEX(商品档案!$C$6:$C$65,MATCH($F779,商品档案!$A$6:$A$65,0)),""))</f>
        <v/>
      </c>
      <c r="I779" s="55" t="str">
        <f aca="false">IF($F779="","",IFERROR(INDEX(商品档案!$D$6:$D$65,MATCH($F779,商品档案!$A$6:$A$65,0)),""))</f>
        <v/>
      </c>
      <c r="J779" s="49"/>
      <c r="K779" s="56"/>
      <c r="L779" s="33"/>
      <c r="M779" s="39"/>
      <c r="N779" s="41"/>
      <c r="O779" s="41"/>
      <c r="P779" s="25" t="str">
        <f aca="false">IF(AND($B779="",$D779="",$F779=""),"",IF(NOT(ISNUMBER($B779)),"日期无效",IF(ISNA(MATCH($C779,参数设置!$A$10:$A$12,0)),"公司无效",IF(ISNA(MATCH($D779,记账规则!$A$6:$A$9,0)),"业务类型无效",IF(ISNA(MATCH($F779,商品档案!$A$6:$A$65,0)),"商品编码无效",IF(IFERROR(INDEX(商品档案!$E$6:$E$65,MATCH($F779,商品档案!$A$6:$A$65,0)),"")&lt;&gt;$C779,"商品不属于该公司",IF(AND($E779&lt;&gt;"",ISNA(MATCH($E779,往来单位!$A$6:$A$85,0))),"往来单位未建档",IF(N($J779)=0,"数量为 0",IF(N($K779)=0,"单价为 0",IF(AND(LEFT($D779,2)="销售",$U779=""),"该商品没设成本科目",IF(YEAR($B779)&lt;&gt;参数设置!$B$5,"不在本会计年度","OK")))))))))))</f>
        <v/>
      </c>
      <c r="Q779" s="57" t="str">
        <f aca="false">IF($F779="","",ROUND(N($J779)*N($K779),2))</f>
        <v/>
      </c>
      <c r="R779" s="58" t="str">
        <f aca="false">IF($D779="","",IF(LEFT($D779,2)="销售","应收账款","应付账款"))</f>
        <v/>
      </c>
      <c r="S779" s="58" t="str">
        <f aca="false">IF($F779="","",IFERROR(INDEX(商品档案!$G$6:$G$65,MATCH($F779,商品档案!$A$6:$A$65,0)),""))</f>
        <v/>
      </c>
      <c r="T779" s="58" t="str">
        <f aca="false">IF($F779="","",IFERROR(INDEX(商品档案!$H$6:$H$65,MATCH($F779,商品档案!$A$6:$A$65,0)),""))</f>
        <v/>
      </c>
      <c r="U779" s="58" t="str">
        <f aca="false">IF($F779="","",IFERROR(INDEX(商品档案!$I$6:$I$65,MATCH($F779,商品档案!$A$6:$A$65,0)),""))</f>
        <v/>
      </c>
      <c r="V779" s="59" t="str">
        <f aca="false">IF($F779="","",SUMIFS(进销存台账!$N$6:$N$65,进销存台账!$A$6:$A$65,$C779,进销存台账!$B$6:$B$65,$F779))</f>
        <v/>
      </c>
      <c r="W779" s="60" t="n">
        <f aca="false">IF(OR($D779="销售出库",$D779="销售退回"),ROUND(N($J779)*N($V779),2),0)</f>
        <v>0</v>
      </c>
      <c r="X779" s="58" t="str">
        <f aca="false">IF($E779="","",IFERROR(INDEX(往来单位!$D$6:$D$85,MATCH($E779,往来单位!$A$6:$A$85,0)),"否"))</f>
        <v/>
      </c>
      <c r="Y779" s="61" t="str">
        <f aca="false">IF($B779="","",YEAR($B779))</f>
        <v/>
      </c>
      <c r="Z779" s="58" t="str">
        <f aca="false">IF($B779="","",TEXT($B779,"yyyy-mm"))</f>
        <v/>
      </c>
    </row>
    <row r="780" customFormat="false" ht="15" hidden="false" customHeight="false" outlineLevel="0" collapsed="false">
      <c r="A780" s="53" t="str">
        <f aca="false">IF($B780="","",ROW()-5)</f>
        <v/>
      </c>
      <c r="B780" s="54"/>
      <c r="C780" s="33"/>
      <c r="D780" s="33"/>
      <c r="E780" s="32"/>
      <c r="F780" s="39"/>
      <c r="G780" s="48" t="str">
        <f aca="false">IF($F780="","",IFERROR(INDEX(商品档案!$B$6:$B$65,MATCH($F780,商品档案!$A$6:$A$65,0)),""))</f>
        <v/>
      </c>
      <c r="H780" s="48" t="str">
        <f aca="false">IF($F780="","",IFERROR(INDEX(商品档案!$C$6:$C$65,MATCH($F780,商品档案!$A$6:$A$65,0)),""))</f>
        <v/>
      </c>
      <c r="I780" s="55" t="str">
        <f aca="false">IF($F780="","",IFERROR(INDEX(商品档案!$D$6:$D$65,MATCH($F780,商品档案!$A$6:$A$65,0)),""))</f>
        <v/>
      </c>
      <c r="J780" s="49"/>
      <c r="K780" s="56"/>
      <c r="L780" s="33"/>
      <c r="M780" s="39"/>
      <c r="N780" s="41"/>
      <c r="O780" s="41"/>
      <c r="P780" s="25" t="str">
        <f aca="false">IF(AND($B780="",$D780="",$F780=""),"",IF(NOT(ISNUMBER($B780)),"日期无效",IF(ISNA(MATCH($C780,参数设置!$A$10:$A$12,0)),"公司无效",IF(ISNA(MATCH($D780,记账规则!$A$6:$A$9,0)),"业务类型无效",IF(ISNA(MATCH($F780,商品档案!$A$6:$A$65,0)),"商品编码无效",IF(IFERROR(INDEX(商品档案!$E$6:$E$65,MATCH($F780,商品档案!$A$6:$A$65,0)),"")&lt;&gt;$C780,"商品不属于该公司",IF(AND($E780&lt;&gt;"",ISNA(MATCH($E780,往来单位!$A$6:$A$85,0))),"往来单位未建档",IF(N($J780)=0,"数量为 0",IF(N($K780)=0,"单价为 0",IF(AND(LEFT($D780,2)="销售",$U780=""),"该商品没设成本科目",IF(YEAR($B780)&lt;&gt;参数设置!$B$5,"不在本会计年度","OK")))))))))))</f>
        <v/>
      </c>
      <c r="Q780" s="57" t="str">
        <f aca="false">IF($F780="","",ROUND(N($J780)*N($K780),2))</f>
        <v/>
      </c>
      <c r="R780" s="58" t="str">
        <f aca="false">IF($D780="","",IF(LEFT($D780,2)="销售","应收账款","应付账款"))</f>
        <v/>
      </c>
      <c r="S780" s="58" t="str">
        <f aca="false">IF($F780="","",IFERROR(INDEX(商品档案!$G$6:$G$65,MATCH($F780,商品档案!$A$6:$A$65,0)),""))</f>
        <v/>
      </c>
      <c r="T780" s="58" t="str">
        <f aca="false">IF($F780="","",IFERROR(INDEX(商品档案!$H$6:$H$65,MATCH($F780,商品档案!$A$6:$A$65,0)),""))</f>
        <v/>
      </c>
      <c r="U780" s="58" t="str">
        <f aca="false">IF($F780="","",IFERROR(INDEX(商品档案!$I$6:$I$65,MATCH($F780,商品档案!$A$6:$A$65,0)),""))</f>
        <v/>
      </c>
      <c r="V780" s="59" t="str">
        <f aca="false">IF($F780="","",SUMIFS(进销存台账!$N$6:$N$65,进销存台账!$A$6:$A$65,$C780,进销存台账!$B$6:$B$65,$F780))</f>
        <v/>
      </c>
      <c r="W780" s="60" t="n">
        <f aca="false">IF(OR($D780="销售出库",$D780="销售退回"),ROUND(N($J780)*N($V780),2),0)</f>
        <v>0</v>
      </c>
      <c r="X780" s="58" t="str">
        <f aca="false">IF($E780="","",IFERROR(INDEX(往来单位!$D$6:$D$85,MATCH($E780,往来单位!$A$6:$A$85,0)),"否"))</f>
        <v/>
      </c>
      <c r="Y780" s="61" t="str">
        <f aca="false">IF($B780="","",YEAR($B780))</f>
        <v/>
      </c>
      <c r="Z780" s="58" t="str">
        <f aca="false">IF($B780="","",TEXT($B780,"yyyy-mm"))</f>
        <v/>
      </c>
    </row>
    <row r="781" customFormat="false" ht="15" hidden="false" customHeight="false" outlineLevel="0" collapsed="false">
      <c r="A781" s="53" t="str">
        <f aca="false">IF($B781="","",ROW()-5)</f>
        <v/>
      </c>
      <c r="B781" s="54"/>
      <c r="C781" s="33"/>
      <c r="D781" s="33"/>
      <c r="E781" s="32"/>
      <c r="F781" s="39"/>
      <c r="G781" s="48" t="str">
        <f aca="false">IF($F781="","",IFERROR(INDEX(商品档案!$B$6:$B$65,MATCH($F781,商品档案!$A$6:$A$65,0)),""))</f>
        <v/>
      </c>
      <c r="H781" s="48" t="str">
        <f aca="false">IF($F781="","",IFERROR(INDEX(商品档案!$C$6:$C$65,MATCH($F781,商品档案!$A$6:$A$65,0)),""))</f>
        <v/>
      </c>
      <c r="I781" s="55" t="str">
        <f aca="false">IF($F781="","",IFERROR(INDEX(商品档案!$D$6:$D$65,MATCH($F781,商品档案!$A$6:$A$65,0)),""))</f>
        <v/>
      </c>
      <c r="J781" s="49"/>
      <c r="K781" s="56"/>
      <c r="L781" s="33"/>
      <c r="M781" s="39"/>
      <c r="N781" s="41"/>
      <c r="O781" s="41"/>
      <c r="P781" s="25" t="str">
        <f aca="false">IF(AND($B781="",$D781="",$F781=""),"",IF(NOT(ISNUMBER($B781)),"日期无效",IF(ISNA(MATCH($C781,参数设置!$A$10:$A$12,0)),"公司无效",IF(ISNA(MATCH($D781,记账规则!$A$6:$A$9,0)),"业务类型无效",IF(ISNA(MATCH($F781,商品档案!$A$6:$A$65,0)),"商品编码无效",IF(IFERROR(INDEX(商品档案!$E$6:$E$65,MATCH($F781,商品档案!$A$6:$A$65,0)),"")&lt;&gt;$C781,"商品不属于该公司",IF(AND($E781&lt;&gt;"",ISNA(MATCH($E781,往来单位!$A$6:$A$85,0))),"往来单位未建档",IF(N($J781)=0,"数量为 0",IF(N($K781)=0,"单价为 0",IF(AND(LEFT($D781,2)="销售",$U781=""),"该商品没设成本科目",IF(YEAR($B781)&lt;&gt;参数设置!$B$5,"不在本会计年度","OK")))))))))))</f>
        <v/>
      </c>
      <c r="Q781" s="57" t="str">
        <f aca="false">IF($F781="","",ROUND(N($J781)*N($K781),2))</f>
        <v/>
      </c>
      <c r="R781" s="58" t="str">
        <f aca="false">IF($D781="","",IF(LEFT($D781,2)="销售","应收账款","应付账款"))</f>
        <v/>
      </c>
      <c r="S781" s="58" t="str">
        <f aca="false">IF($F781="","",IFERROR(INDEX(商品档案!$G$6:$G$65,MATCH($F781,商品档案!$A$6:$A$65,0)),""))</f>
        <v/>
      </c>
      <c r="T781" s="58" t="str">
        <f aca="false">IF($F781="","",IFERROR(INDEX(商品档案!$H$6:$H$65,MATCH($F781,商品档案!$A$6:$A$65,0)),""))</f>
        <v/>
      </c>
      <c r="U781" s="58" t="str">
        <f aca="false">IF($F781="","",IFERROR(INDEX(商品档案!$I$6:$I$65,MATCH($F781,商品档案!$A$6:$A$65,0)),""))</f>
        <v/>
      </c>
      <c r="V781" s="59" t="str">
        <f aca="false">IF($F781="","",SUMIFS(进销存台账!$N$6:$N$65,进销存台账!$A$6:$A$65,$C781,进销存台账!$B$6:$B$65,$F781))</f>
        <v/>
      </c>
      <c r="W781" s="60" t="n">
        <f aca="false">IF(OR($D781="销售出库",$D781="销售退回"),ROUND(N($J781)*N($V781),2),0)</f>
        <v>0</v>
      </c>
      <c r="X781" s="58" t="str">
        <f aca="false">IF($E781="","",IFERROR(INDEX(往来单位!$D$6:$D$85,MATCH($E781,往来单位!$A$6:$A$85,0)),"否"))</f>
        <v/>
      </c>
      <c r="Y781" s="61" t="str">
        <f aca="false">IF($B781="","",YEAR($B781))</f>
        <v/>
      </c>
      <c r="Z781" s="58" t="str">
        <f aca="false">IF($B781="","",TEXT($B781,"yyyy-mm"))</f>
        <v/>
      </c>
    </row>
    <row r="782" customFormat="false" ht="15" hidden="false" customHeight="false" outlineLevel="0" collapsed="false">
      <c r="A782" s="53" t="str">
        <f aca="false">IF($B782="","",ROW()-5)</f>
        <v/>
      </c>
      <c r="B782" s="54"/>
      <c r="C782" s="33"/>
      <c r="D782" s="33"/>
      <c r="E782" s="32"/>
      <c r="F782" s="39"/>
      <c r="G782" s="48" t="str">
        <f aca="false">IF($F782="","",IFERROR(INDEX(商品档案!$B$6:$B$65,MATCH($F782,商品档案!$A$6:$A$65,0)),""))</f>
        <v/>
      </c>
      <c r="H782" s="48" t="str">
        <f aca="false">IF($F782="","",IFERROR(INDEX(商品档案!$C$6:$C$65,MATCH($F782,商品档案!$A$6:$A$65,0)),""))</f>
        <v/>
      </c>
      <c r="I782" s="55" t="str">
        <f aca="false">IF($F782="","",IFERROR(INDEX(商品档案!$D$6:$D$65,MATCH($F782,商品档案!$A$6:$A$65,0)),""))</f>
        <v/>
      </c>
      <c r="J782" s="49"/>
      <c r="K782" s="56"/>
      <c r="L782" s="33"/>
      <c r="M782" s="39"/>
      <c r="N782" s="41"/>
      <c r="O782" s="41"/>
      <c r="P782" s="25" t="str">
        <f aca="false">IF(AND($B782="",$D782="",$F782=""),"",IF(NOT(ISNUMBER($B782)),"日期无效",IF(ISNA(MATCH($C782,参数设置!$A$10:$A$12,0)),"公司无效",IF(ISNA(MATCH($D782,记账规则!$A$6:$A$9,0)),"业务类型无效",IF(ISNA(MATCH($F782,商品档案!$A$6:$A$65,0)),"商品编码无效",IF(IFERROR(INDEX(商品档案!$E$6:$E$65,MATCH($F782,商品档案!$A$6:$A$65,0)),"")&lt;&gt;$C782,"商品不属于该公司",IF(AND($E782&lt;&gt;"",ISNA(MATCH($E782,往来单位!$A$6:$A$85,0))),"往来单位未建档",IF(N($J782)=0,"数量为 0",IF(N($K782)=0,"单价为 0",IF(AND(LEFT($D782,2)="销售",$U782=""),"该商品没设成本科目",IF(YEAR($B782)&lt;&gt;参数设置!$B$5,"不在本会计年度","OK")))))))))))</f>
        <v/>
      </c>
      <c r="Q782" s="57" t="str">
        <f aca="false">IF($F782="","",ROUND(N($J782)*N($K782),2))</f>
        <v/>
      </c>
      <c r="R782" s="58" t="str">
        <f aca="false">IF($D782="","",IF(LEFT($D782,2)="销售","应收账款","应付账款"))</f>
        <v/>
      </c>
      <c r="S782" s="58" t="str">
        <f aca="false">IF($F782="","",IFERROR(INDEX(商品档案!$G$6:$G$65,MATCH($F782,商品档案!$A$6:$A$65,0)),""))</f>
        <v/>
      </c>
      <c r="T782" s="58" t="str">
        <f aca="false">IF($F782="","",IFERROR(INDEX(商品档案!$H$6:$H$65,MATCH($F782,商品档案!$A$6:$A$65,0)),""))</f>
        <v/>
      </c>
      <c r="U782" s="58" t="str">
        <f aca="false">IF($F782="","",IFERROR(INDEX(商品档案!$I$6:$I$65,MATCH($F782,商品档案!$A$6:$A$65,0)),""))</f>
        <v/>
      </c>
      <c r="V782" s="59" t="str">
        <f aca="false">IF($F782="","",SUMIFS(进销存台账!$N$6:$N$65,进销存台账!$A$6:$A$65,$C782,进销存台账!$B$6:$B$65,$F782))</f>
        <v/>
      </c>
      <c r="W782" s="60" t="n">
        <f aca="false">IF(OR($D782="销售出库",$D782="销售退回"),ROUND(N($J782)*N($V782),2),0)</f>
        <v>0</v>
      </c>
      <c r="X782" s="58" t="str">
        <f aca="false">IF($E782="","",IFERROR(INDEX(往来单位!$D$6:$D$85,MATCH($E782,往来单位!$A$6:$A$85,0)),"否"))</f>
        <v/>
      </c>
      <c r="Y782" s="61" t="str">
        <f aca="false">IF($B782="","",YEAR($B782))</f>
        <v/>
      </c>
      <c r="Z782" s="58" t="str">
        <f aca="false">IF($B782="","",TEXT($B782,"yyyy-mm"))</f>
        <v/>
      </c>
    </row>
    <row r="783" customFormat="false" ht="15" hidden="false" customHeight="false" outlineLevel="0" collapsed="false">
      <c r="A783" s="53" t="str">
        <f aca="false">IF($B783="","",ROW()-5)</f>
        <v/>
      </c>
      <c r="B783" s="54"/>
      <c r="C783" s="33"/>
      <c r="D783" s="33"/>
      <c r="E783" s="32"/>
      <c r="F783" s="39"/>
      <c r="G783" s="48" t="str">
        <f aca="false">IF($F783="","",IFERROR(INDEX(商品档案!$B$6:$B$65,MATCH($F783,商品档案!$A$6:$A$65,0)),""))</f>
        <v/>
      </c>
      <c r="H783" s="48" t="str">
        <f aca="false">IF($F783="","",IFERROR(INDEX(商品档案!$C$6:$C$65,MATCH($F783,商品档案!$A$6:$A$65,0)),""))</f>
        <v/>
      </c>
      <c r="I783" s="55" t="str">
        <f aca="false">IF($F783="","",IFERROR(INDEX(商品档案!$D$6:$D$65,MATCH($F783,商品档案!$A$6:$A$65,0)),""))</f>
        <v/>
      </c>
      <c r="J783" s="49"/>
      <c r="K783" s="56"/>
      <c r="L783" s="33"/>
      <c r="M783" s="39"/>
      <c r="N783" s="41"/>
      <c r="O783" s="41"/>
      <c r="P783" s="25" t="str">
        <f aca="false">IF(AND($B783="",$D783="",$F783=""),"",IF(NOT(ISNUMBER($B783)),"日期无效",IF(ISNA(MATCH($C783,参数设置!$A$10:$A$12,0)),"公司无效",IF(ISNA(MATCH($D783,记账规则!$A$6:$A$9,0)),"业务类型无效",IF(ISNA(MATCH($F783,商品档案!$A$6:$A$65,0)),"商品编码无效",IF(IFERROR(INDEX(商品档案!$E$6:$E$65,MATCH($F783,商品档案!$A$6:$A$65,0)),"")&lt;&gt;$C783,"商品不属于该公司",IF(AND($E783&lt;&gt;"",ISNA(MATCH($E783,往来单位!$A$6:$A$85,0))),"往来单位未建档",IF(N($J783)=0,"数量为 0",IF(N($K783)=0,"单价为 0",IF(AND(LEFT($D783,2)="销售",$U783=""),"该商品没设成本科目",IF(YEAR($B783)&lt;&gt;参数设置!$B$5,"不在本会计年度","OK")))))))))))</f>
        <v/>
      </c>
      <c r="Q783" s="57" t="str">
        <f aca="false">IF($F783="","",ROUND(N($J783)*N($K783),2))</f>
        <v/>
      </c>
      <c r="R783" s="58" t="str">
        <f aca="false">IF($D783="","",IF(LEFT($D783,2)="销售","应收账款","应付账款"))</f>
        <v/>
      </c>
      <c r="S783" s="58" t="str">
        <f aca="false">IF($F783="","",IFERROR(INDEX(商品档案!$G$6:$G$65,MATCH($F783,商品档案!$A$6:$A$65,0)),""))</f>
        <v/>
      </c>
      <c r="T783" s="58" t="str">
        <f aca="false">IF($F783="","",IFERROR(INDEX(商品档案!$H$6:$H$65,MATCH($F783,商品档案!$A$6:$A$65,0)),""))</f>
        <v/>
      </c>
      <c r="U783" s="58" t="str">
        <f aca="false">IF($F783="","",IFERROR(INDEX(商品档案!$I$6:$I$65,MATCH($F783,商品档案!$A$6:$A$65,0)),""))</f>
        <v/>
      </c>
      <c r="V783" s="59" t="str">
        <f aca="false">IF($F783="","",SUMIFS(进销存台账!$N$6:$N$65,进销存台账!$A$6:$A$65,$C783,进销存台账!$B$6:$B$65,$F783))</f>
        <v/>
      </c>
      <c r="W783" s="60" t="n">
        <f aca="false">IF(OR($D783="销售出库",$D783="销售退回"),ROUND(N($J783)*N($V783),2),0)</f>
        <v>0</v>
      </c>
      <c r="X783" s="58" t="str">
        <f aca="false">IF($E783="","",IFERROR(INDEX(往来单位!$D$6:$D$85,MATCH($E783,往来单位!$A$6:$A$85,0)),"否"))</f>
        <v/>
      </c>
      <c r="Y783" s="61" t="str">
        <f aca="false">IF($B783="","",YEAR($B783))</f>
        <v/>
      </c>
      <c r="Z783" s="58" t="str">
        <f aca="false">IF($B783="","",TEXT($B783,"yyyy-mm"))</f>
        <v/>
      </c>
    </row>
    <row r="784" customFormat="false" ht="15" hidden="false" customHeight="false" outlineLevel="0" collapsed="false">
      <c r="A784" s="53" t="str">
        <f aca="false">IF($B784="","",ROW()-5)</f>
        <v/>
      </c>
      <c r="B784" s="54"/>
      <c r="C784" s="33"/>
      <c r="D784" s="33"/>
      <c r="E784" s="32"/>
      <c r="F784" s="39"/>
      <c r="G784" s="48" t="str">
        <f aca="false">IF($F784="","",IFERROR(INDEX(商品档案!$B$6:$B$65,MATCH($F784,商品档案!$A$6:$A$65,0)),""))</f>
        <v/>
      </c>
      <c r="H784" s="48" t="str">
        <f aca="false">IF($F784="","",IFERROR(INDEX(商品档案!$C$6:$C$65,MATCH($F784,商品档案!$A$6:$A$65,0)),""))</f>
        <v/>
      </c>
      <c r="I784" s="55" t="str">
        <f aca="false">IF($F784="","",IFERROR(INDEX(商品档案!$D$6:$D$65,MATCH($F784,商品档案!$A$6:$A$65,0)),""))</f>
        <v/>
      </c>
      <c r="J784" s="49"/>
      <c r="K784" s="56"/>
      <c r="L784" s="33"/>
      <c r="M784" s="39"/>
      <c r="N784" s="41"/>
      <c r="O784" s="41"/>
      <c r="P784" s="25" t="str">
        <f aca="false">IF(AND($B784="",$D784="",$F784=""),"",IF(NOT(ISNUMBER($B784)),"日期无效",IF(ISNA(MATCH($C784,参数设置!$A$10:$A$12,0)),"公司无效",IF(ISNA(MATCH($D784,记账规则!$A$6:$A$9,0)),"业务类型无效",IF(ISNA(MATCH($F784,商品档案!$A$6:$A$65,0)),"商品编码无效",IF(IFERROR(INDEX(商品档案!$E$6:$E$65,MATCH($F784,商品档案!$A$6:$A$65,0)),"")&lt;&gt;$C784,"商品不属于该公司",IF(AND($E784&lt;&gt;"",ISNA(MATCH($E784,往来单位!$A$6:$A$85,0))),"往来单位未建档",IF(N($J784)=0,"数量为 0",IF(N($K784)=0,"单价为 0",IF(AND(LEFT($D784,2)="销售",$U784=""),"该商品没设成本科目",IF(YEAR($B784)&lt;&gt;参数设置!$B$5,"不在本会计年度","OK")))))))))))</f>
        <v/>
      </c>
      <c r="Q784" s="57" t="str">
        <f aca="false">IF($F784="","",ROUND(N($J784)*N($K784),2))</f>
        <v/>
      </c>
      <c r="R784" s="58" t="str">
        <f aca="false">IF($D784="","",IF(LEFT($D784,2)="销售","应收账款","应付账款"))</f>
        <v/>
      </c>
      <c r="S784" s="58" t="str">
        <f aca="false">IF($F784="","",IFERROR(INDEX(商品档案!$G$6:$G$65,MATCH($F784,商品档案!$A$6:$A$65,0)),""))</f>
        <v/>
      </c>
      <c r="T784" s="58" t="str">
        <f aca="false">IF($F784="","",IFERROR(INDEX(商品档案!$H$6:$H$65,MATCH($F784,商品档案!$A$6:$A$65,0)),""))</f>
        <v/>
      </c>
      <c r="U784" s="58" t="str">
        <f aca="false">IF($F784="","",IFERROR(INDEX(商品档案!$I$6:$I$65,MATCH($F784,商品档案!$A$6:$A$65,0)),""))</f>
        <v/>
      </c>
      <c r="V784" s="59" t="str">
        <f aca="false">IF($F784="","",SUMIFS(进销存台账!$N$6:$N$65,进销存台账!$A$6:$A$65,$C784,进销存台账!$B$6:$B$65,$F784))</f>
        <v/>
      </c>
      <c r="W784" s="60" t="n">
        <f aca="false">IF(OR($D784="销售出库",$D784="销售退回"),ROUND(N($J784)*N($V784),2),0)</f>
        <v>0</v>
      </c>
      <c r="X784" s="58" t="str">
        <f aca="false">IF($E784="","",IFERROR(INDEX(往来单位!$D$6:$D$85,MATCH($E784,往来单位!$A$6:$A$85,0)),"否"))</f>
        <v/>
      </c>
      <c r="Y784" s="61" t="str">
        <f aca="false">IF($B784="","",YEAR($B784))</f>
        <v/>
      </c>
      <c r="Z784" s="58" t="str">
        <f aca="false">IF($B784="","",TEXT($B784,"yyyy-mm"))</f>
        <v/>
      </c>
    </row>
    <row r="785" customFormat="false" ht="15" hidden="false" customHeight="false" outlineLevel="0" collapsed="false">
      <c r="A785" s="53" t="str">
        <f aca="false">IF($B785="","",ROW()-5)</f>
        <v/>
      </c>
      <c r="B785" s="54"/>
      <c r="C785" s="33"/>
      <c r="D785" s="33"/>
      <c r="E785" s="32"/>
      <c r="F785" s="39"/>
      <c r="G785" s="48" t="str">
        <f aca="false">IF($F785="","",IFERROR(INDEX(商品档案!$B$6:$B$65,MATCH($F785,商品档案!$A$6:$A$65,0)),""))</f>
        <v/>
      </c>
      <c r="H785" s="48" t="str">
        <f aca="false">IF($F785="","",IFERROR(INDEX(商品档案!$C$6:$C$65,MATCH($F785,商品档案!$A$6:$A$65,0)),""))</f>
        <v/>
      </c>
      <c r="I785" s="55" t="str">
        <f aca="false">IF($F785="","",IFERROR(INDEX(商品档案!$D$6:$D$65,MATCH($F785,商品档案!$A$6:$A$65,0)),""))</f>
        <v/>
      </c>
      <c r="J785" s="49"/>
      <c r="K785" s="56"/>
      <c r="L785" s="33"/>
      <c r="M785" s="39"/>
      <c r="N785" s="41"/>
      <c r="O785" s="41"/>
      <c r="P785" s="25" t="str">
        <f aca="false">IF(AND($B785="",$D785="",$F785=""),"",IF(NOT(ISNUMBER($B785)),"日期无效",IF(ISNA(MATCH($C785,参数设置!$A$10:$A$12,0)),"公司无效",IF(ISNA(MATCH($D785,记账规则!$A$6:$A$9,0)),"业务类型无效",IF(ISNA(MATCH($F785,商品档案!$A$6:$A$65,0)),"商品编码无效",IF(IFERROR(INDEX(商品档案!$E$6:$E$65,MATCH($F785,商品档案!$A$6:$A$65,0)),"")&lt;&gt;$C785,"商品不属于该公司",IF(AND($E785&lt;&gt;"",ISNA(MATCH($E785,往来单位!$A$6:$A$85,0))),"往来单位未建档",IF(N($J785)=0,"数量为 0",IF(N($K785)=0,"单价为 0",IF(AND(LEFT($D785,2)="销售",$U785=""),"该商品没设成本科目",IF(YEAR($B785)&lt;&gt;参数设置!$B$5,"不在本会计年度","OK")))))))))))</f>
        <v/>
      </c>
      <c r="Q785" s="57" t="str">
        <f aca="false">IF($F785="","",ROUND(N($J785)*N($K785),2))</f>
        <v/>
      </c>
      <c r="R785" s="58" t="str">
        <f aca="false">IF($D785="","",IF(LEFT($D785,2)="销售","应收账款","应付账款"))</f>
        <v/>
      </c>
      <c r="S785" s="58" t="str">
        <f aca="false">IF($F785="","",IFERROR(INDEX(商品档案!$G$6:$G$65,MATCH($F785,商品档案!$A$6:$A$65,0)),""))</f>
        <v/>
      </c>
      <c r="T785" s="58" t="str">
        <f aca="false">IF($F785="","",IFERROR(INDEX(商品档案!$H$6:$H$65,MATCH($F785,商品档案!$A$6:$A$65,0)),""))</f>
        <v/>
      </c>
      <c r="U785" s="58" t="str">
        <f aca="false">IF($F785="","",IFERROR(INDEX(商品档案!$I$6:$I$65,MATCH($F785,商品档案!$A$6:$A$65,0)),""))</f>
        <v/>
      </c>
      <c r="V785" s="59" t="str">
        <f aca="false">IF($F785="","",SUMIFS(进销存台账!$N$6:$N$65,进销存台账!$A$6:$A$65,$C785,进销存台账!$B$6:$B$65,$F785))</f>
        <v/>
      </c>
      <c r="W785" s="60" t="n">
        <f aca="false">IF(OR($D785="销售出库",$D785="销售退回"),ROUND(N($J785)*N($V785),2),0)</f>
        <v>0</v>
      </c>
      <c r="X785" s="58" t="str">
        <f aca="false">IF($E785="","",IFERROR(INDEX(往来单位!$D$6:$D$85,MATCH($E785,往来单位!$A$6:$A$85,0)),"否"))</f>
        <v/>
      </c>
      <c r="Y785" s="61" t="str">
        <f aca="false">IF($B785="","",YEAR($B785))</f>
        <v/>
      </c>
      <c r="Z785" s="58" t="str">
        <f aca="false">IF($B785="","",TEXT($B785,"yyyy-mm"))</f>
        <v/>
      </c>
    </row>
    <row r="786" customFormat="false" ht="15" hidden="false" customHeight="false" outlineLevel="0" collapsed="false">
      <c r="A786" s="53" t="str">
        <f aca="false">IF($B786="","",ROW()-5)</f>
        <v/>
      </c>
      <c r="B786" s="54"/>
      <c r="C786" s="33"/>
      <c r="D786" s="33"/>
      <c r="E786" s="32"/>
      <c r="F786" s="39"/>
      <c r="G786" s="48" t="str">
        <f aca="false">IF($F786="","",IFERROR(INDEX(商品档案!$B$6:$B$65,MATCH($F786,商品档案!$A$6:$A$65,0)),""))</f>
        <v/>
      </c>
      <c r="H786" s="48" t="str">
        <f aca="false">IF($F786="","",IFERROR(INDEX(商品档案!$C$6:$C$65,MATCH($F786,商品档案!$A$6:$A$65,0)),""))</f>
        <v/>
      </c>
      <c r="I786" s="55" t="str">
        <f aca="false">IF($F786="","",IFERROR(INDEX(商品档案!$D$6:$D$65,MATCH($F786,商品档案!$A$6:$A$65,0)),""))</f>
        <v/>
      </c>
      <c r="J786" s="49"/>
      <c r="K786" s="56"/>
      <c r="L786" s="33"/>
      <c r="M786" s="39"/>
      <c r="N786" s="41"/>
      <c r="O786" s="41"/>
      <c r="P786" s="25" t="str">
        <f aca="false">IF(AND($B786="",$D786="",$F786=""),"",IF(NOT(ISNUMBER($B786)),"日期无效",IF(ISNA(MATCH($C786,参数设置!$A$10:$A$12,0)),"公司无效",IF(ISNA(MATCH($D786,记账规则!$A$6:$A$9,0)),"业务类型无效",IF(ISNA(MATCH($F786,商品档案!$A$6:$A$65,0)),"商品编码无效",IF(IFERROR(INDEX(商品档案!$E$6:$E$65,MATCH($F786,商品档案!$A$6:$A$65,0)),"")&lt;&gt;$C786,"商品不属于该公司",IF(AND($E786&lt;&gt;"",ISNA(MATCH($E786,往来单位!$A$6:$A$85,0))),"往来单位未建档",IF(N($J786)=0,"数量为 0",IF(N($K786)=0,"单价为 0",IF(AND(LEFT($D786,2)="销售",$U786=""),"该商品没设成本科目",IF(YEAR($B786)&lt;&gt;参数设置!$B$5,"不在本会计年度","OK")))))))))))</f>
        <v/>
      </c>
      <c r="Q786" s="57" t="str">
        <f aca="false">IF($F786="","",ROUND(N($J786)*N($K786),2))</f>
        <v/>
      </c>
      <c r="R786" s="58" t="str">
        <f aca="false">IF($D786="","",IF(LEFT($D786,2)="销售","应收账款","应付账款"))</f>
        <v/>
      </c>
      <c r="S786" s="58" t="str">
        <f aca="false">IF($F786="","",IFERROR(INDEX(商品档案!$G$6:$G$65,MATCH($F786,商品档案!$A$6:$A$65,0)),""))</f>
        <v/>
      </c>
      <c r="T786" s="58" t="str">
        <f aca="false">IF($F786="","",IFERROR(INDEX(商品档案!$H$6:$H$65,MATCH($F786,商品档案!$A$6:$A$65,0)),""))</f>
        <v/>
      </c>
      <c r="U786" s="58" t="str">
        <f aca="false">IF($F786="","",IFERROR(INDEX(商品档案!$I$6:$I$65,MATCH($F786,商品档案!$A$6:$A$65,0)),""))</f>
        <v/>
      </c>
      <c r="V786" s="59" t="str">
        <f aca="false">IF($F786="","",SUMIFS(进销存台账!$N$6:$N$65,进销存台账!$A$6:$A$65,$C786,进销存台账!$B$6:$B$65,$F786))</f>
        <v/>
      </c>
      <c r="W786" s="60" t="n">
        <f aca="false">IF(OR($D786="销售出库",$D786="销售退回"),ROUND(N($J786)*N($V786),2),0)</f>
        <v>0</v>
      </c>
      <c r="X786" s="58" t="str">
        <f aca="false">IF($E786="","",IFERROR(INDEX(往来单位!$D$6:$D$85,MATCH($E786,往来单位!$A$6:$A$85,0)),"否"))</f>
        <v/>
      </c>
      <c r="Y786" s="61" t="str">
        <f aca="false">IF($B786="","",YEAR($B786))</f>
        <v/>
      </c>
      <c r="Z786" s="58" t="str">
        <f aca="false">IF($B786="","",TEXT($B786,"yyyy-mm"))</f>
        <v/>
      </c>
    </row>
    <row r="787" customFormat="false" ht="15" hidden="false" customHeight="false" outlineLevel="0" collapsed="false">
      <c r="A787" s="53" t="str">
        <f aca="false">IF($B787="","",ROW()-5)</f>
        <v/>
      </c>
      <c r="B787" s="54"/>
      <c r="C787" s="33"/>
      <c r="D787" s="33"/>
      <c r="E787" s="32"/>
      <c r="F787" s="39"/>
      <c r="G787" s="48" t="str">
        <f aca="false">IF($F787="","",IFERROR(INDEX(商品档案!$B$6:$B$65,MATCH($F787,商品档案!$A$6:$A$65,0)),""))</f>
        <v/>
      </c>
      <c r="H787" s="48" t="str">
        <f aca="false">IF($F787="","",IFERROR(INDEX(商品档案!$C$6:$C$65,MATCH($F787,商品档案!$A$6:$A$65,0)),""))</f>
        <v/>
      </c>
      <c r="I787" s="55" t="str">
        <f aca="false">IF($F787="","",IFERROR(INDEX(商品档案!$D$6:$D$65,MATCH($F787,商品档案!$A$6:$A$65,0)),""))</f>
        <v/>
      </c>
      <c r="J787" s="49"/>
      <c r="K787" s="56"/>
      <c r="L787" s="33"/>
      <c r="M787" s="39"/>
      <c r="N787" s="41"/>
      <c r="O787" s="41"/>
      <c r="P787" s="25" t="str">
        <f aca="false">IF(AND($B787="",$D787="",$F787=""),"",IF(NOT(ISNUMBER($B787)),"日期无效",IF(ISNA(MATCH($C787,参数设置!$A$10:$A$12,0)),"公司无效",IF(ISNA(MATCH($D787,记账规则!$A$6:$A$9,0)),"业务类型无效",IF(ISNA(MATCH($F787,商品档案!$A$6:$A$65,0)),"商品编码无效",IF(IFERROR(INDEX(商品档案!$E$6:$E$65,MATCH($F787,商品档案!$A$6:$A$65,0)),"")&lt;&gt;$C787,"商品不属于该公司",IF(AND($E787&lt;&gt;"",ISNA(MATCH($E787,往来单位!$A$6:$A$85,0))),"往来单位未建档",IF(N($J787)=0,"数量为 0",IF(N($K787)=0,"单价为 0",IF(AND(LEFT($D787,2)="销售",$U787=""),"该商品没设成本科目",IF(YEAR($B787)&lt;&gt;参数设置!$B$5,"不在本会计年度","OK")))))))))))</f>
        <v/>
      </c>
      <c r="Q787" s="57" t="str">
        <f aca="false">IF($F787="","",ROUND(N($J787)*N($K787),2))</f>
        <v/>
      </c>
      <c r="R787" s="58" t="str">
        <f aca="false">IF($D787="","",IF(LEFT($D787,2)="销售","应收账款","应付账款"))</f>
        <v/>
      </c>
      <c r="S787" s="58" t="str">
        <f aca="false">IF($F787="","",IFERROR(INDEX(商品档案!$G$6:$G$65,MATCH($F787,商品档案!$A$6:$A$65,0)),""))</f>
        <v/>
      </c>
      <c r="T787" s="58" t="str">
        <f aca="false">IF($F787="","",IFERROR(INDEX(商品档案!$H$6:$H$65,MATCH($F787,商品档案!$A$6:$A$65,0)),""))</f>
        <v/>
      </c>
      <c r="U787" s="58" t="str">
        <f aca="false">IF($F787="","",IFERROR(INDEX(商品档案!$I$6:$I$65,MATCH($F787,商品档案!$A$6:$A$65,0)),""))</f>
        <v/>
      </c>
      <c r="V787" s="59" t="str">
        <f aca="false">IF($F787="","",SUMIFS(进销存台账!$N$6:$N$65,进销存台账!$A$6:$A$65,$C787,进销存台账!$B$6:$B$65,$F787))</f>
        <v/>
      </c>
      <c r="W787" s="60" t="n">
        <f aca="false">IF(OR($D787="销售出库",$D787="销售退回"),ROUND(N($J787)*N($V787),2),0)</f>
        <v>0</v>
      </c>
      <c r="X787" s="58" t="str">
        <f aca="false">IF($E787="","",IFERROR(INDEX(往来单位!$D$6:$D$85,MATCH($E787,往来单位!$A$6:$A$85,0)),"否"))</f>
        <v/>
      </c>
      <c r="Y787" s="61" t="str">
        <f aca="false">IF($B787="","",YEAR($B787))</f>
        <v/>
      </c>
      <c r="Z787" s="58" t="str">
        <f aca="false">IF($B787="","",TEXT($B787,"yyyy-mm"))</f>
        <v/>
      </c>
    </row>
    <row r="788" customFormat="false" ht="15" hidden="false" customHeight="false" outlineLevel="0" collapsed="false">
      <c r="A788" s="53" t="str">
        <f aca="false">IF($B788="","",ROW()-5)</f>
        <v/>
      </c>
      <c r="B788" s="54"/>
      <c r="C788" s="33"/>
      <c r="D788" s="33"/>
      <c r="E788" s="32"/>
      <c r="F788" s="39"/>
      <c r="G788" s="48" t="str">
        <f aca="false">IF($F788="","",IFERROR(INDEX(商品档案!$B$6:$B$65,MATCH($F788,商品档案!$A$6:$A$65,0)),""))</f>
        <v/>
      </c>
      <c r="H788" s="48" t="str">
        <f aca="false">IF($F788="","",IFERROR(INDEX(商品档案!$C$6:$C$65,MATCH($F788,商品档案!$A$6:$A$65,0)),""))</f>
        <v/>
      </c>
      <c r="I788" s="55" t="str">
        <f aca="false">IF($F788="","",IFERROR(INDEX(商品档案!$D$6:$D$65,MATCH($F788,商品档案!$A$6:$A$65,0)),""))</f>
        <v/>
      </c>
      <c r="J788" s="49"/>
      <c r="K788" s="56"/>
      <c r="L788" s="33"/>
      <c r="M788" s="39"/>
      <c r="N788" s="41"/>
      <c r="O788" s="41"/>
      <c r="P788" s="25" t="str">
        <f aca="false">IF(AND($B788="",$D788="",$F788=""),"",IF(NOT(ISNUMBER($B788)),"日期无效",IF(ISNA(MATCH($C788,参数设置!$A$10:$A$12,0)),"公司无效",IF(ISNA(MATCH($D788,记账规则!$A$6:$A$9,0)),"业务类型无效",IF(ISNA(MATCH($F788,商品档案!$A$6:$A$65,0)),"商品编码无效",IF(IFERROR(INDEX(商品档案!$E$6:$E$65,MATCH($F788,商品档案!$A$6:$A$65,0)),"")&lt;&gt;$C788,"商品不属于该公司",IF(AND($E788&lt;&gt;"",ISNA(MATCH($E788,往来单位!$A$6:$A$85,0))),"往来单位未建档",IF(N($J788)=0,"数量为 0",IF(N($K788)=0,"单价为 0",IF(AND(LEFT($D788,2)="销售",$U788=""),"该商品没设成本科目",IF(YEAR($B788)&lt;&gt;参数设置!$B$5,"不在本会计年度","OK")))))))))))</f>
        <v/>
      </c>
      <c r="Q788" s="57" t="str">
        <f aca="false">IF($F788="","",ROUND(N($J788)*N($K788),2))</f>
        <v/>
      </c>
      <c r="R788" s="58" t="str">
        <f aca="false">IF($D788="","",IF(LEFT($D788,2)="销售","应收账款","应付账款"))</f>
        <v/>
      </c>
      <c r="S788" s="58" t="str">
        <f aca="false">IF($F788="","",IFERROR(INDEX(商品档案!$G$6:$G$65,MATCH($F788,商品档案!$A$6:$A$65,0)),""))</f>
        <v/>
      </c>
      <c r="T788" s="58" t="str">
        <f aca="false">IF($F788="","",IFERROR(INDEX(商品档案!$H$6:$H$65,MATCH($F788,商品档案!$A$6:$A$65,0)),""))</f>
        <v/>
      </c>
      <c r="U788" s="58" t="str">
        <f aca="false">IF($F788="","",IFERROR(INDEX(商品档案!$I$6:$I$65,MATCH($F788,商品档案!$A$6:$A$65,0)),""))</f>
        <v/>
      </c>
      <c r="V788" s="59" t="str">
        <f aca="false">IF($F788="","",SUMIFS(进销存台账!$N$6:$N$65,进销存台账!$A$6:$A$65,$C788,进销存台账!$B$6:$B$65,$F788))</f>
        <v/>
      </c>
      <c r="W788" s="60" t="n">
        <f aca="false">IF(OR($D788="销售出库",$D788="销售退回"),ROUND(N($J788)*N($V788),2),0)</f>
        <v>0</v>
      </c>
      <c r="X788" s="58" t="str">
        <f aca="false">IF($E788="","",IFERROR(INDEX(往来单位!$D$6:$D$85,MATCH($E788,往来单位!$A$6:$A$85,0)),"否"))</f>
        <v/>
      </c>
      <c r="Y788" s="61" t="str">
        <f aca="false">IF($B788="","",YEAR($B788))</f>
        <v/>
      </c>
      <c r="Z788" s="58" t="str">
        <f aca="false">IF($B788="","",TEXT($B788,"yyyy-mm"))</f>
        <v/>
      </c>
    </row>
    <row r="789" customFormat="false" ht="15" hidden="false" customHeight="false" outlineLevel="0" collapsed="false">
      <c r="A789" s="53" t="str">
        <f aca="false">IF($B789="","",ROW()-5)</f>
        <v/>
      </c>
      <c r="B789" s="54"/>
      <c r="C789" s="33"/>
      <c r="D789" s="33"/>
      <c r="E789" s="32"/>
      <c r="F789" s="39"/>
      <c r="G789" s="48" t="str">
        <f aca="false">IF($F789="","",IFERROR(INDEX(商品档案!$B$6:$B$65,MATCH($F789,商品档案!$A$6:$A$65,0)),""))</f>
        <v/>
      </c>
      <c r="H789" s="48" t="str">
        <f aca="false">IF($F789="","",IFERROR(INDEX(商品档案!$C$6:$C$65,MATCH($F789,商品档案!$A$6:$A$65,0)),""))</f>
        <v/>
      </c>
      <c r="I789" s="55" t="str">
        <f aca="false">IF($F789="","",IFERROR(INDEX(商品档案!$D$6:$D$65,MATCH($F789,商品档案!$A$6:$A$65,0)),""))</f>
        <v/>
      </c>
      <c r="J789" s="49"/>
      <c r="K789" s="56"/>
      <c r="L789" s="33"/>
      <c r="M789" s="39"/>
      <c r="N789" s="41"/>
      <c r="O789" s="41"/>
      <c r="P789" s="25" t="str">
        <f aca="false">IF(AND($B789="",$D789="",$F789=""),"",IF(NOT(ISNUMBER($B789)),"日期无效",IF(ISNA(MATCH($C789,参数设置!$A$10:$A$12,0)),"公司无效",IF(ISNA(MATCH($D789,记账规则!$A$6:$A$9,0)),"业务类型无效",IF(ISNA(MATCH($F789,商品档案!$A$6:$A$65,0)),"商品编码无效",IF(IFERROR(INDEX(商品档案!$E$6:$E$65,MATCH($F789,商品档案!$A$6:$A$65,0)),"")&lt;&gt;$C789,"商品不属于该公司",IF(AND($E789&lt;&gt;"",ISNA(MATCH($E789,往来单位!$A$6:$A$85,0))),"往来单位未建档",IF(N($J789)=0,"数量为 0",IF(N($K789)=0,"单价为 0",IF(AND(LEFT($D789,2)="销售",$U789=""),"该商品没设成本科目",IF(YEAR($B789)&lt;&gt;参数设置!$B$5,"不在本会计年度","OK")))))))))))</f>
        <v/>
      </c>
      <c r="Q789" s="57" t="str">
        <f aca="false">IF($F789="","",ROUND(N($J789)*N($K789),2))</f>
        <v/>
      </c>
      <c r="R789" s="58" t="str">
        <f aca="false">IF($D789="","",IF(LEFT($D789,2)="销售","应收账款","应付账款"))</f>
        <v/>
      </c>
      <c r="S789" s="58" t="str">
        <f aca="false">IF($F789="","",IFERROR(INDEX(商品档案!$G$6:$G$65,MATCH($F789,商品档案!$A$6:$A$65,0)),""))</f>
        <v/>
      </c>
      <c r="T789" s="58" t="str">
        <f aca="false">IF($F789="","",IFERROR(INDEX(商品档案!$H$6:$H$65,MATCH($F789,商品档案!$A$6:$A$65,0)),""))</f>
        <v/>
      </c>
      <c r="U789" s="58" t="str">
        <f aca="false">IF($F789="","",IFERROR(INDEX(商品档案!$I$6:$I$65,MATCH($F789,商品档案!$A$6:$A$65,0)),""))</f>
        <v/>
      </c>
      <c r="V789" s="59" t="str">
        <f aca="false">IF($F789="","",SUMIFS(进销存台账!$N$6:$N$65,进销存台账!$A$6:$A$65,$C789,进销存台账!$B$6:$B$65,$F789))</f>
        <v/>
      </c>
      <c r="W789" s="60" t="n">
        <f aca="false">IF(OR($D789="销售出库",$D789="销售退回"),ROUND(N($J789)*N($V789),2),0)</f>
        <v>0</v>
      </c>
      <c r="X789" s="58" t="str">
        <f aca="false">IF($E789="","",IFERROR(INDEX(往来单位!$D$6:$D$85,MATCH($E789,往来单位!$A$6:$A$85,0)),"否"))</f>
        <v/>
      </c>
      <c r="Y789" s="61" t="str">
        <f aca="false">IF($B789="","",YEAR($B789))</f>
        <v/>
      </c>
      <c r="Z789" s="58" t="str">
        <f aca="false">IF($B789="","",TEXT($B789,"yyyy-mm"))</f>
        <v/>
      </c>
    </row>
    <row r="790" customFormat="false" ht="15" hidden="false" customHeight="false" outlineLevel="0" collapsed="false">
      <c r="A790" s="53" t="str">
        <f aca="false">IF($B790="","",ROW()-5)</f>
        <v/>
      </c>
      <c r="B790" s="54"/>
      <c r="C790" s="33"/>
      <c r="D790" s="33"/>
      <c r="E790" s="32"/>
      <c r="F790" s="39"/>
      <c r="G790" s="48" t="str">
        <f aca="false">IF($F790="","",IFERROR(INDEX(商品档案!$B$6:$B$65,MATCH($F790,商品档案!$A$6:$A$65,0)),""))</f>
        <v/>
      </c>
      <c r="H790" s="48" t="str">
        <f aca="false">IF($F790="","",IFERROR(INDEX(商品档案!$C$6:$C$65,MATCH($F790,商品档案!$A$6:$A$65,0)),""))</f>
        <v/>
      </c>
      <c r="I790" s="55" t="str">
        <f aca="false">IF($F790="","",IFERROR(INDEX(商品档案!$D$6:$D$65,MATCH($F790,商品档案!$A$6:$A$65,0)),""))</f>
        <v/>
      </c>
      <c r="J790" s="49"/>
      <c r="K790" s="56"/>
      <c r="L790" s="33"/>
      <c r="M790" s="39"/>
      <c r="N790" s="41"/>
      <c r="O790" s="41"/>
      <c r="P790" s="25" t="str">
        <f aca="false">IF(AND($B790="",$D790="",$F790=""),"",IF(NOT(ISNUMBER($B790)),"日期无效",IF(ISNA(MATCH($C790,参数设置!$A$10:$A$12,0)),"公司无效",IF(ISNA(MATCH($D790,记账规则!$A$6:$A$9,0)),"业务类型无效",IF(ISNA(MATCH($F790,商品档案!$A$6:$A$65,0)),"商品编码无效",IF(IFERROR(INDEX(商品档案!$E$6:$E$65,MATCH($F790,商品档案!$A$6:$A$65,0)),"")&lt;&gt;$C790,"商品不属于该公司",IF(AND($E790&lt;&gt;"",ISNA(MATCH($E790,往来单位!$A$6:$A$85,0))),"往来单位未建档",IF(N($J790)=0,"数量为 0",IF(N($K790)=0,"单价为 0",IF(AND(LEFT($D790,2)="销售",$U790=""),"该商品没设成本科目",IF(YEAR($B790)&lt;&gt;参数设置!$B$5,"不在本会计年度","OK")))))))))))</f>
        <v/>
      </c>
      <c r="Q790" s="57" t="str">
        <f aca="false">IF($F790="","",ROUND(N($J790)*N($K790),2))</f>
        <v/>
      </c>
      <c r="R790" s="58" t="str">
        <f aca="false">IF($D790="","",IF(LEFT($D790,2)="销售","应收账款","应付账款"))</f>
        <v/>
      </c>
      <c r="S790" s="58" t="str">
        <f aca="false">IF($F790="","",IFERROR(INDEX(商品档案!$G$6:$G$65,MATCH($F790,商品档案!$A$6:$A$65,0)),""))</f>
        <v/>
      </c>
      <c r="T790" s="58" t="str">
        <f aca="false">IF($F790="","",IFERROR(INDEX(商品档案!$H$6:$H$65,MATCH($F790,商品档案!$A$6:$A$65,0)),""))</f>
        <v/>
      </c>
      <c r="U790" s="58" t="str">
        <f aca="false">IF($F790="","",IFERROR(INDEX(商品档案!$I$6:$I$65,MATCH($F790,商品档案!$A$6:$A$65,0)),""))</f>
        <v/>
      </c>
      <c r="V790" s="59" t="str">
        <f aca="false">IF($F790="","",SUMIFS(进销存台账!$N$6:$N$65,进销存台账!$A$6:$A$65,$C790,进销存台账!$B$6:$B$65,$F790))</f>
        <v/>
      </c>
      <c r="W790" s="60" t="n">
        <f aca="false">IF(OR($D790="销售出库",$D790="销售退回"),ROUND(N($J790)*N($V790),2),0)</f>
        <v>0</v>
      </c>
      <c r="X790" s="58" t="str">
        <f aca="false">IF($E790="","",IFERROR(INDEX(往来单位!$D$6:$D$85,MATCH($E790,往来单位!$A$6:$A$85,0)),"否"))</f>
        <v/>
      </c>
      <c r="Y790" s="61" t="str">
        <f aca="false">IF($B790="","",YEAR($B790))</f>
        <v/>
      </c>
      <c r="Z790" s="58" t="str">
        <f aca="false">IF($B790="","",TEXT($B790,"yyyy-mm"))</f>
        <v/>
      </c>
    </row>
    <row r="791" customFormat="false" ht="15" hidden="false" customHeight="false" outlineLevel="0" collapsed="false">
      <c r="A791" s="53" t="str">
        <f aca="false">IF($B791="","",ROW()-5)</f>
        <v/>
      </c>
      <c r="B791" s="54"/>
      <c r="C791" s="33"/>
      <c r="D791" s="33"/>
      <c r="E791" s="32"/>
      <c r="F791" s="39"/>
      <c r="G791" s="48" t="str">
        <f aca="false">IF($F791="","",IFERROR(INDEX(商品档案!$B$6:$B$65,MATCH($F791,商品档案!$A$6:$A$65,0)),""))</f>
        <v/>
      </c>
      <c r="H791" s="48" t="str">
        <f aca="false">IF($F791="","",IFERROR(INDEX(商品档案!$C$6:$C$65,MATCH($F791,商品档案!$A$6:$A$65,0)),""))</f>
        <v/>
      </c>
      <c r="I791" s="55" t="str">
        <f aca="false">IF($F791="","",IFERROR(INDEX(商品档案!$D$6:$D$65,MATCH($F791,商品档案!$A$6:$A$65,0)),""))</f>
        <v/>
      </c>
      <c r="J791" s="49"/>
      <c r="K791" s="56"/>
      <c r="L791" s="33"/>
      <c r="M791" s="39"/>
      <c r="N791" s="41"/>
      <c r="O791" s="41"/>
      <c r="P791" s="25" t="str">
        <f aca="false">IF(AND($B791="",$D791="",$F791=""),"",IF(NOT(ISNUMBER($B791)),"日期无效",IF(ISNA(MATCH($C791,参数设置!$A$10:$A$12,0)),"公司无效",IF(ISNA(MATCH($D791,记账规则!$A$6:$A$9,0)),"业务类型无效",IF(ISNA(MATCH($F791,商品档案!$A$6:$A$65,0)),"商品编码无效",IF(IFERROR(INDEX(商品档案!$E$6:$E$65,MATCH($F791,商品档案!$A$6:$A$65,0)),"")&lt;&gt;$C791,"商品不属于该公司",IF(AND($E791&lt;&gt;"",ISNA(MATCH($E791,往来单位!$A$6:$A$85,0))),"往来单位未建档",IF(N($J791)=0,"数量为 0",IF(N($K791)=0,"单价为 0",IF(AND(LEFT($D791,2)="销售",$U791=""),"该商品没设成本科目",IF(YEAR($B791)&lt;&gt;参数设置!$B$5,"不在本会计年度","OK")))))))))))</f>
        <v/>
      </c>
      <c r="Q791" s="57" t="str">
        <f aca="false">IF($F791="","",ROUND(N($J791)*N($K791),2))</f>
        <v/>
      </c>
      <c r="R791" s="58" t="str">
        <f aca="false">IF($D791="","",IF(LEFT($D791,2)="销售","应收账款","应付账款"))</f>
        <v/>
      </c>
      <c r="S791" s="58" t="str">
        <f aca="false">IF($F791="","",IFERROR(INDEX(商品档案!$G$6:$G$65,MATCH($F791,商品档案!$A$6:$A$65,0)),""))</f>
        <v/>
      </c>
      <c r="T791" s="58" t="str">
        <f aca="false">IF($F791="","",IFERROR(INDEX(商品档案!$H$6:$H$65,MATCH($F791,商品档案!$A$6:$A$65,0)),""))</f>
        <v/>
      </c>
      <c r="U791" s="58" t="str">
        <f aca="false">IF($F791="","",IFERROR(INDEX(商品档案!$I$6:$I$65,MATCH($F791,商品档案!$A$6:$A$65,0)),""))</f>
        <v/>
      </c>
      <c r="V791" s="59" t="str">
        <f aca="false">IF($F791="","",SUMIFS(进销存台账!$N$6:$N$65,进销存台账!$A$6:$A$65,$C791,进销存台账!$B$6:$B$65,$F791))</f>
        <v/>
      </c>
      <c r="W791" s="60" t="n">
        <f aca="false">IF(OR($D791="销售出库",$D791="销售退回"),ROUND(N($J791)*N($V791),2),0)</f>
        <v>0</v>
      </c>
      <c r="X791" s="58" t="str">
        <f aca="false">IF($E791="","",IFERROR(INDEX(往来单位!$D$6:$D$85,MATCH($E791,往来单位!$A$6:$A$85,0)),"否"))</f>
        <v/>
      </c>
      <c r="Y791" s="61" t="str">
        <f aca="false">IF($B791="","",YEAR($B791))</f>
        <v/>
      </c>
      <c r="Z791" s="58" t="str">
        <f aca="false">IF($B791="","",TEXT($B791,"yyyy-mm"))</f>
        <v/>
      </c>
    </row>
    <row r="792" customFormat="false" ht="15" hidden="false" customHeight="false" outlineLevel="0" collapsed="false">
      <c r="A792" s="53" t="str">
        <f aca="false">IF($B792="","",ROW()-5)</f>
        <v/>
      </c>
      <c r="B792" s="54"/>
      <c r="C792" s="33"/>
      <c r="D792" s="33"/>
      <c r="E792" s="32"/>
      <c r="F792" s="39"/>
      <c r="G792" s="48" t="str">
        <f aca="false">IF($F792="","",IFERROR(INDEX(商品档案!$B$6:$B$65,MATCH($F792,商品档案!$A$6:$A$65,0)),""))</f>
        <v/>
      </c>
      <c r="H792" s="48" t="str">
        <f aca="false">IF($F792="","",IFERROR(INDEX(商品档案!$C$6:$C$65,MATCH($F792,商品档案!$A$6:$A$65,0)),""))</f>
        <v/>
      </c>
      <c r="I792" s="55" t="str">
        <f aca="false">IF($F792="","",IFERROR(INDEX(商品档案!$D$6:$D$65,MATCH($F792,商品档案!$A$6:$A$65,0)),""))</f>
        <v/>
      </c>
      <c r="J792" s="49"/>
      <c r="K792" s="56"/>
      <c r="L792" s="33"/>
      <c r="M792" s="39"/>
      <c r="N792" s="41"/>
      <c r="O792" s="41"/>
      <c r="P792" s="25" t="str">
        <f aca="false">IF(AND($B792="",$D792="",$F792=""),"",IF(NOT(ISNUMBER($B792)),"日期无效",IF(ISNA(MATCH($C792,参数设置!$A$10:$A$12,0)),"公司无效",IF(ISNA(MATCH($D792,记账规则!$A$6:$A$9,0)),"业务类型无效",IF(ISNA(MATCH($F792,商品档案!$A$6:$A$65,0)),"商品编码无效",IF(IFERROR(INDEX(商品档案!$E$6:$E$65,MATCH($F792,商品档案!$A$6:$A$65,0)),"")&lt;&gt;$C792,"商品不属于该公司",IF(AND($E792&lt;&gt;"",ISNA(MATCH($E792,往来单位!$A$6:$A$85,0))),"往来单位未建档",IF(N($J792)=0,"数量为 0",IF(N($K792)=0,"单价为 0",IF(AND(LEFT($D792,2)="销售",$U792=""),"该商品没设成本科目",IF(YEAR($B792)&lt;&gt;参数设置!$B$5,"不在本会计年度","OK")))))))))))</f>
        <v/>
      </c>
      <c r="Q792" s="57" t="str">
        <f aca="false">IF($F792="","",ROUND(N($J792)*N($K792),2))</f>
        <v/>
      </c>
      <c r="R792" s="58" t="str">
        <f aca="false">IF($D792="","",IF(LEFT($D792,2)="销售","应收账款","应付账款"))</f>
        <v/>
      </c>
      <c r="S792" s="58" t="str">
        <f aca="false">IF($F792="","",IFERROR(INDEX(商品档案!$G$6:$G$65,MATCH($F792,商品档案!$A$6:$A$65,0)),""))</f>
        <v/>
      </c>
      <c r="T792" s="58" t="str">
        <f aca="false">IF($F792="","",IFERROR(INDEX(商品档案!$H$6:$H$65,MATCH($F792,商品档案!$A$6:$A$65,0)),""))</f>
        <v/>
      </c>
      <c r="U792" s="58" t="str">
        <f aca="false">IF($F792="","",IFERROR(INDEX(商品档案!$I$6:$I$65,MATCH($F792,商品档案!$A$6:$A$65,0)),""))</f>
        <v/>
      </c>
      <c r="V792" s="59" t="str">
        <f aca="false">IF($F792="","",SUMIFS(进销存台账!$N$6:$N$65,进销存台账!$A$6:$A$65,$C792,进销存台账!$B$6:$B$65,$F792))</f>
        <v/>
      </c>
      <c r="W792" s="60" t="n">
        <f aca="false">IF(OR($D792="销售出库",$D792="销售退回"),ROUND(N($J792)*N($V792),2),0)</f>
        <v>0</v>
      </c>
      <c r="X792" s="58" t="str">
        <f aca="false">IF($E792="","",IFERROR(INDEX(往来单位!$D$6:$D$85,MATCH($E792,往来单位!$A$6:$A$85,0)),"否"))</f>
        <v/>
      </c>
      <c r="Y792" s="61" t="str">
        <f aca="false">IF($B792="","",YEAR($B792))</f>
        <v/>
      </c>
      <c r="Z792" s="58" t="str">
        <f aca="false">IF($B792="","",TEXT($B792,"yyyy-mm"))</f>
        <v/>
      </c>
    </row>
    <row r="793" customFormat="false" ht="15" hidden="false" customHeight="false" outlineLevel="0" collapsed="false">
      <c r="A793" s="53" t="str">
        <f aca="false">IF($B793="","",ROW()-5)</f>
        <v/>
      </c>
      <c r="B793" s="54"/>
      <c r="C793" s="33"/>
      <c r="D793" s="33"/>
      <c r="E793" s="32"/>
      <c r="F793" s="39"/>
      <c r="G793" s="48" t="str">
        <f aca="false">IF($F793="","",IFERROR(INDEX(商品档案!$B$6:$B$65,MATCH($F793,商品档案!$A$6:$A$65,0)),""))</f>
        <v/>
      </c>
      <c r="H793" s="48" t="str">
        <f aca="false">IF($F793="","",IFERROR(INDEX(商品档案!$C$6:$C$65,MATCH($F793,商品档案!$A$6:$A$65,0)),""))</f>
        <v/>
      </c>
      <c r="I793" s="55" t="str">
        <f aca="false">IF($F793="","",IFERROR(INDEX(商品档案!$D$6:$D$65,MATCH($F793,商品档案!$A$6:$A$65,0)),""))</f>
        <v/>
      </c>
      <c r="J793" s="49"/>
      <c r="K793" s="56"/>
      <c r="L793" s="33"/>
      <c r="M793" s="39"/>
      <c r="N793" s="41"/>
      <c r="O793" s="41"/>
      <c r="P793" s="25" t="str">
        <f aca="false">IF(AND($B793="",$D793="",$F793=""),"",IF(NOT(ISNUMBER($B793)),"日期无效",IF(ISNA(MATCH($C793,参数设置!$A$10:$A$12,0)),"公司无效",IF(ISNA(MATCH($D793,记账规则!$A$6:$A$9,0)),"业务类型无效",IF(ISNA(MATCH($F793,商品档案!$A$6:$A$65,0)),"商品编码无效",IF(IFERROR(INDEX(商品档案!$E$6:$E$65,MATCH($F793,商品档案!$A$6:$A$65,0)),"")&lt;&gt;$C793,"商品不属于该公司",IF(AND($E793&lt;&gt;"",ISNA(MATCH($E793,往来单位!$A$6:$A$85,0))),"往来单位未建档",IF(N($J793)=0,"数量为 0",IF(N($K793)=0,"单价为 0",IF(AND(LEFT($D793,2)="销售",$U793=""),"该商品没设成本科目",IF(YEAR($B793)&lt;&gt;参数设置!$B$5,"不在本会计年度","OK")))))))))))</f>
        <v/>
      </c>
      <c r="Q793" s="57" t="str">
        <f aca="false">IF($F793="","",ROUND(N($J793)*N($K793),2))</f>
        <v/>
      </c>
      <c r="R793" s="58" t="str">
        <f aca="false">IF($D793="","",IF(LEFT($D793,2)="销售","应收账款","应付账款"))</f>
        <v/>
      </c>
      <c r="S793" s="58" t="str">
        <f aca="false">IF($F793="","",IFERROR(INDEX(商品档案!$G$6:$G$65,MATCH($F793,商品档案!$A$6:$A$65,0)),""))</f>
        <v/>
      </c>
      <c r="T793" s="58" t="str">
        <f aca="false">IF($F793="","",IFERROR(INDEX(商品档案!$H$6:$H$65,MATCH($F793,商品档案!$A$6:$A$65,0)),""))</f>
        <v/>
      </c>
      <c r="U793" s="58" t="str">
        <f aca="false">IF($F793="","",IFERROR(INDEX(商品档案!$I$6:$I$65,MATCH($F793,商品档案!$A$6:$A$65,0)),""))</f>
        <v/>
      </c>
      <c r="V793" s="59" t="str">
        <f aca="false">IF($F793="","",SUMIFS(进销存台账!$N$6:$N$65,进销存台账!$A$6:$A$65,$C793,进销存台账!$B$6:$B$65,$F793))</f>
        <v/>
      </c>
      <c r="W793" s="60" t="n">
        <f aca="false">IF(OR($D793="销售出库",$D793="销售退回"),ROUND(N($J793)*N($V793),2),0)</f>
        <v>0</v>
      </c>
      <c r="X793" s="58" t="str">
        <f aca="false">IF($E793="","",IFERROR(INDEX(往来单位!$D$6:$D$85,MATCH($E793,往来单位!$A$6:$A$85,0)),"否"))</f>
        <v/>
      </c>
      <c r="Y793" s="61" t="str">
        <f aca="false">IF($B793="","",YEAR($B793))</f>
        <v/>
      </c>
      <c r="Z793" s="58" t="str">
        <f aca="false">IF($B793="","",TEXT($B793,"yyyy-mm"))</f>
        <v/>
      </c>
    </row>
    <row r="794" customFormat="false" ht="15" hidden="false" customHeight="false" outlineLevel="0" collapsed="false">
      <c r="A794" s="53" t="str">
        <f aca="false">IF($B794="","",ROW()-5)</f>
        <v/>
      </c>
      <c r="B794" s="54"/>
      <c r="C794" s="33"/>
      <c r="D794" s="33"/>
      <c r="E794" s="32"/>
      <c r="F794" s="39"/>
      <c r="G794" s="48" t="str">
        <f aca="false">IF($F794="","",IFERROR(INDEX(商品档案!$B$6:$B$65,MATCH($F794,商品档案!$A$6:$A$65,0)),""))</f>
        <v/>
      </c>
      <c r="H794" s="48" t="str">
        <f aca="false">IF($F794="","",IFERROR(INDEX(商品档案!$C$6:$C$65,MATCH($F794,商品档案!$A$6:$A$65,0)),""))</f>
        <v/>
      </c>
      <c r="I794" s="55" t="str">
        <f aca="false">IF($F794="","",IFERROR(INDEX(商品档案!$D$6:$D$65,MATCH($F794,商品档案!$A$6:$A$65,0)),""))</f>
        <v/>
      </c>
      <c r="J794" s="49"/>
      <c r="K794" s="56"/>
      <c r="L794" s="33"/>
      <c r="M794" s="39"/>
      <c r="N794" s="41"/>
      <c r="O794" s="41"/>
      <c r="P794" s="25" t="str">
        <f aca="false">IF(AND($B794="",$D794="",$F794=""),"",IF(NOT(ISNUMBER($B794)),"日期无效",IF(ISNA(MATCH($C794,参数设置!$A$10:$A$12,0)),"公司无效",IF(ISNA(MATCH($D794,记账规则!$A$6:$A$9,0)),"业务类型无效",IF(ISNA(MATCH($F794,商品档案!$A$6:$A$65,0)),"商品编码无效",IF(IFERROR(INDEX(商品档案!$E$6:$E$65,MATCH($F794,商品档案!$A$6:$A$65,0)),"")&lt;&gt;$C794,"商品不属于该公司",IF(AND($E794&lt;&gt;"",ISNA(MATCH($E794,往来单位!$A$6:$A$85,0))),"往来单位未建档",IF(N($J794)=0,"数量为 0",IF(N($K794)=0,"单价为 0",IF(AND(LEFT($D794,2)="销售",$U794=""),"该商品没设成本科目",IF(YEAR($B794)&lt;&gt;参数设置!$B$5,"不在本会计年度","OK")))))))))))</f>
        <v/>
      </c>
      <c r="Q794" s="57" t="str">
        <f aca="false">IF($F794="","",ROUND(N($J794)*N($K794),2))</f>
        <v/>
      </c>
      <c r="R794" s="58" t="str">
        <f aca="false">IF($D794="","",IF(LEFT($D794,2)="销售","应收账款","应付账款"))</f>
        <v/>
      </c>
      <c r="S794" s="58" t="str">
        <f aca="false">IF($F794="","",IFERROR(INDEX(商品档案!$G$6:$G$65,MATCH($F794,商品档案!$A$6:$A$65,0)),""))</f>
        <v/>
      </c>
      <c r="T794" s="58" t="str">
        <f aca="false">IF($F794="","",IFERROR(INDEX(商品档案!$H$6:$H$65,MATCH($F794,商品档案!$A$6:$A$65,0)),""))</f>
        <v/>
      </c>
      <c r="U794" s="58" t="str">
        <f aca="false">IF($F794="","",IFERROR(INDEX(商品档案!$I$6:$I$65,MATCH($F794,商品档案!$A$6:$A$65,0)),""))</f>
        <v/>
      </c>
      <c r="V794" s="59" t="str">
        <f aca="false">IF($F794="","",SUMIFS(进销存台账!$N$6:$N$65,进销存台账!$A$6:$A$65,$C794,进销存台账!$B$6:$B$65,$F794))</f>
        <v/>
      </c>
      <c r="W794" s="60" t="n">
        <f aca="false">IF(OR($D794="销售出库",$D794="销售退回"),ROUND(N($J794)*N($V794),2),0)</f>
        <v>0</v>
      </c>
      <c r="X794" s="58" t="str">
        <f aca="false">IF($E794="","",IFERROR(INDEX(往来单位!$D$6:$D$85,MATCH($E794,往来单位!$A$6:$A$85,0)),"否"))</f>
        <v/>
      </c>
      <c r="Y794" s="61" t="str">
        <f aca="false">IF($B794="","",YEAR($B794))</f>
        <v/>
      </c>
      <c r="Z794" s="58" t="str">
        <f aca="false">IF($B794="","",TEXT($B794,"yyyy-mm"))</f>
        <v/>
      </c>
    </row>
    <row r="795" customFormat="false" ht="15" hidden="false" customHeight="false" outlineLevel="0" collapsed="false">
      <c r="A795" s="53" t="str">
        <f aca="false">IF($B795="","",ROW()-5)</f>
        <v/>
      </c>
      <c r="B795" s="54"/>
      <c r="C795" s="33"/>
      <c r="D795" s="33"/>
      <c r="E795" s="32"/>
      <c r="F795" s="39"/>
      <c r="G795" s="48" t="str">
        <f aca="false">IF($F795="","",IFERROR(INDEX(商品档案!$B$6:$B$65,MATCH($F795,商品档案!$A$6:$A$65,0)),""))</f>
        <v/>
      </c>
      <c r="H795" s="48" t="str">
        <f aca="false">IF($F795="","",IFERROR(INDEX(商品档案!$C$6:$C$65,MATCH($F795,商品档案!$A$6:$A$65,0)),""))</f>
        <v/>
      </c>
      <c r="I795" s="55" t="str">
        <f aca="false">IF($F795="","",IFERROR(INDEX(商品档案!$D$6:$D$65,MATCH($F795,商品档案!$A$6:$A$65,0)),""))</f>
        <v/>
      </c>
      <c r="J795" s="49"/>
      <c r="K795" s="56"/>
      <c r="L795" s="33"/>
      <c r="M795" s="39"/>
      <c r="N795" s="41"/>
      <c r="O795" s="41"/>
      <c r="P795" s="25" t="str">
        <f aca="false">IF(AND($B795="",$D795="",$F795=""),"",IF(NOT(ISNUMBER($B795)),"日期无效",IF(ISNA(MATCH($C795,参数设置!$A$10:$A$12,0)),"公司无效",IF(ISNA(MATCH($D795,记账规则!$A$6:$A$9,0)),"业务类型无效",IF(ISNA(MATCH($F795,商品档案!$A$6:$A$65,0)),"商品编码无效",IF(IFERROR(INDEX(商品档案!$E$6:$E$65,MATCH($F795,商品档案!$A$6:$A$65,0)),"")&lt;&gt;$C795,"商品不属于该公司",IF(AND($E795&lt;&gt;"",ISNA(MATCH($E795,往来单位!$A$6:$A$85,0))),"往来单位未建档",IF(N($J795)=0,"数量为 0",IF(N($K795)=0,"单价为 0",IF(AND(LEFT($D795,2)="销售",$U795=""),"该商品没设成本科目",IF(YEAR($B795)&lt;&gt;参数设置!$B$5,"不在本会计年度","OK")))))))))))</f>
        <v/>
      </c>
      <c r="Q795" s="57" t="str">
        <f aca="false">IF($F795="","",ROUND(N($J795)*N($K795),2))</f>
        <v/>
      </c>
      <c r="R795" s="58" t="str">
        <f aca="false">IF($D795="","",IF(LEFT($D795,2)="销售","应收账款","应付账款"))</f>
        <v/>
      </c>
      <c r="S795" s="58" t="str">
        <f aca="false">IF($F795="","",IFERROR(INDEX(商品档案!$G$6:$G$65,MATCH($F795,商品档案!$A$6:$A$65,0)),""))</f>
        <v/>
      </c>
      <c r="T795" s="58" t="str">
        <f aca="false">IF($F795="","",IFERROR(INDEX(商品档案!$H$6:$H$65,MATCH($F795,商品档案!$A$6:$A$65,0)),""))</f>
        <v/>
      </c>
      <c r="U795" s="58" t="str">
        <f aca="false">IF($F795="","",IFERROR(INDEX(商品档案!$I$6:$I$65,MATCH($F795,商品档案!$A$6:$A$65,0)),""))</f>
        <v/>
      </c>
      <c r="V795" s="59" t="str">
        <f aca="false">IF($F795="","",SUMIFS(进销存台账!$N$6:$N$65,进销存台账!$A$6:$A$65,$C795,进销存台账!$B$6:$B$65,$F795))</f>
        <v/>
      </c>
      <c r="W795" s="60" t="n">
        <f aca="false">IF(OR($D795="销售出库",$D795="销售退回"),ROUND(N($J795)*N($V795),2),0)</f>
        <v>0</v>
      </c>
      <c r="X795" s="58" t="str">
        <f aca="false">IF($E795="","",IFERROR(INDEX(往来单位!$D$6:$D$85,MATCH($E795,往来单位!$A$6:$A$85,0)),"否"))</f>
        <v/>
      </c>
      <c r="Y795" s="61" t="str">
        <f aca="false">IF($B795="","",YEAR($B795))</f>
        <v/>
      </c>
      <c r="Z795" s="58" t="str">
        <f aca="false">IF($B795="","",TEXT($B795,"yyyy-mm"))</f>
        <v/>
      </c>
    </row>
    <row r="796" customFormat="false" ht="15" hidden="false" customHeight="false" outlineLevel="0" collapsed="false">
      <c r="A796" s="53" t="str">
        <f aca="false">IF($B796="","",ROW()-5)</f>
        <v/>
      </c>
      <c r="B796" s="54"/>
      <c r="C796" s="33"/>
      <c r="D796" s="33"/>
      <c r="E796" s="32"/>
      <c r="F796" s="39"/>
      <c r="G796" s="48" t="str">
        <f aca="false">IF($F796="","",IFERROR(INDEX(商品档案!$B$6:$B$65,MATCH($F796,商品档案!$A$6:$A$65,0)),""))</f>
        <v/>
      </c>
      <c r="H796" s="48" t="str">
        <f aca="false">IF($F796="","",IFERROR(INDEX(商品档案!$C$6:$C$65,MATCH($F796,商品档案!$A$6:$A$65,0)),""))</f>
        <v/>
      </c>
      <c r="I796" s="55" t="str">
        <f aca="false">IF($F796="","",IFERROR(INDEX(商品档案!$D$6:$D$65,MATCH($F796,商品档案!$A$6:$A$65,0)),""))</f>
        <v/>
      </c>
      <c r="J796" s="49"/>
      <c r="K796" s="56"/>
      <c r="L796" s="33"/>
      <c r="M796" s="39"/>
      <c r="N796" s="41"/>
      <c r="O796" s="41"/>
      <c r="P796" s="25" t="str">
        <f aca="false">IF(AND($B796="",$D796="",$F796=""),"",IF(NOT(ISNUMBER($B796)),"日期无效",IF(ISNA(MATCH($C796,参数设置!$A$10:$A$12,0)),"公司无效",IF(ISNA(MATCH($D796,记账规则!$A$6:$A$9,0)),"业务类型无效",IF(ISNA(MATCH($F796,商品档案!$A$6:$A$65,0)),"商品编码无效",IF(IFERROR(INDEX(商品档案!$E$6:$E$65,MATCH($F796,商品档案!$A$6:$A$65,0)),"")&lt;&gt;$C796,"商品不属于该公司",IF(AND($E796&lt;&gt;"",ISNA(MATCH($E796,往来单位!$A$6:$A$85,0))),"往来单位未建档",IF(N($J796)=0,"数量为 0",IF(N($K796)=0,"单价为 0",IF(AND(LEFT($D796,2)="销售",$U796=""),"该商品没设成本科目",IF(YEAR($B796)&lt;&gt;参数设置!$B$5,"不在本会计年度","OK")))))))))))</f>
        <v/>
      </c>
      <c r="Q796" s="57" t="str">
        <f aca="false">IF($F796="","",ROUND(N($J796)*N($K796),2))</f>
        <v/>
      </c>
      <c r="R796" s="58" t="str">
        <f aca="false">IF($D796="","",IF(LEFT($D796,2)="销售","应收账款","应付账款"))</f>
        <v/>
      </c>
      <c r="S796" s="58" t="str">
        <f aca="false">IF($F796="","",IFERROR(INDEX(商品档案!$G$6:$G$65,MATCH($F796,商品档案!$A$6:$A$65,0)),""))</f>
        <v/>
      </c>
      <c r="T796" s="58" t="str">
        <f aca="false">IF($F796="","",IFERROR(INDEX(商品档案!$H$6:$H$65,MATCH($F796,商品档案!$A$6:$A$65,0)),""))</f>
        <v/>
      </c>
      <c r="U796" s="58" t="str">
        <f aca="false">IF($F796="","",IFERROR(INDEX(商品档案!$I$6:$I$65,MATCH($F796,商品档案!$A$6:$A$65,0)),""))</f>
        <v/>
      </c>
      <c r="V796" s="59" t="str">
        <f aca="false">IF($F796="","",SUMIFS(进销存台账!$N$6:$N$65,进销存台账!$A$6:$A$65,$C796,进销存台账!$B$6:$B$65,$F796))</f>
        <v/>
      </c>
      <c r="W796" s="60" t="n">
        <f aca="false">IF(OR($D796="销售出库",$D796="销售退回"),ROUND(N($J796)*N($V796),2),0)</f>
        <v>0</v>
      </c>
      <c r="X796" s="58" t="str">
        <f aca="false">IF($E796="","",IFERROR(INDEX(往来单位!$D$6:$D$85,MATCH($E796,往来单位!$A$6:$A$85,0)),"否"))</f>
        <v/>
      </c>
      <c r="Y796" s="61" t="str">
        <f aca="false">IF($B796="","",YEAR($B796))</f>
        <v/>
      </c>
      <c r="Z796" s="58" t="str">
        <f aca="false">IF($B796="","",TEXT($B796,"yyyy-mm"))</f>
        <v/>
      </c>
    </row>
    <row r="797" customFormat="false" ht="15" hidden="false" customHeight="false" outlineLevel="0" collapsed="false">
      <c r="A797" s="53" t="str">
        <f aca="false">IF($B797="","",ROW()-5)</f>
        <v/>
      </c>
      <c r="B797" s="54"/>
      <c r="C797" s="33"/>
      <c r="D797" s="33"/>
      <c r="E797" s="32"/>
      <c r="F797" s="39"/>
      <c r="G797" s="48" t="str">
        <f aca="false">IF($F797="","",IFERROR(INDEX(商品档案!$B$6:$B$65,MATCH($F797,商品档案!$A$6:$A$65,0)),""))</f>
        <v/>
      </c>
      <c r="H797" s="48" t="str">
        <f aca="false">IF($F797="","",IFERROR(INDEX(商品档案!$C$6:$C$65,MATCH($F797,商品档案!$A$6:$A$65,0)),""))</f>
        <v/>
      </c>
      <c r="I797" s="55" t="str">
        <f aca="false">IF($F797="","",IFERROR(INDEX(商品档案!$D$6:$D$65,MATCH($F797,商品档案!$A$6:$A$65,0)),""))</f>
        <v/>
      </c>
      <c r="J797" s="49"/>
      <c r="K797" s="56"/>
      <c r="L797" s="33"/>
      <c r="M797" s="39"/>
      <c r="N797" s="41"/>
      <c r="O797" s="41"/>
      <c r="P797" s="25" t="str">
        <f aca="false">IF(AND($B797="",$D797="",$F797=""),"",IF(NOT(ISNUMBER($B797)),"日期无效",IF(ISNA(MATCH($C797,参数设置!$A$10:$A$12,0)),"公司无效",IF(ISNA(MATCH($D797,记账规则!$A$6:$A$9,0)),"业务类型无效",IF(ISNA(MATCH($F797,商品档案!$A$6:$A$65,0)),"商品编码无效",IF(IFERROR(INDEX(商品档案!$E$6:$E$65,MATCH($F797,商品档案!$A$6:$A$65,0)),"")&lt;&gt;$C797,"商品不属于该公司",IF(AND($E797&lt;&gt;"",ISNA(MATCH($E797,往来单位!$A$6:$A$85,0))),"往来单位未建档",IF(N($J797)=0,"数量为 0",IF(N($K797)=0,"单价为 0",IF(AND(LEFT($D797,2)="销售",$U797=""),"该商品没设成本科目",IF(YEAR($B797)&lt;&gt;参数设置!$B$5,"不在本会计年度","OK")))))))))))</f>
        <v/>
      </c>
      <c r="Q797" s="57" t="str">
        <f aca="false">IF($F797="","",ROUND(N($J797)*N($K797),2))</f>
        <v/>
      </c>
      <c r="R797" s="58" t="str">
        <f aca="false">IF($D797="","",IF(LEFT($D797,2)="销售","应收账款","应付账款"))</f>
        <v/>
      </c>
      <c r="S797" s="58" t="str">
        <f aca="false">IF($F797="","",IFERROR(INDEX(商品档案!$G$6:$G$65,MATCH($F797,商品档案!$A$6:$A$65,0)),""))</f>
        <v/>
      </c>
      <c r="T797" s="58" t="str">
        <f aca="false">IF($F797="","",IFERROR(INDEX(商品档案!$H$6:$H$65,MATCH($F797,商品档案!$A$6:$A$65,0)),""))</f>
        <v/>
      </c>
      <c r="U797" s="58" t="str">
        <f aca="false">IF($F797="","",IFERROR(INDEX(商品档案!$I$6:$I$65,MATCH($F797,商品档案!$A$6:$A$65,0)),""))</f>
        <v/>
      </c>
      <c r="V797" s="59" t="str">
        <f aca="false">IF($F797="","",SUMIFS(进销存台账!$N$6:$N$65,进销存台账!$A$6:$A$65,$C797,进销存台账!$B$6:$B$65,$F797))</f>
        <v/>
      </c>
      <c r="W797" s="60" t="n">
        <f aca="false">IF(OR($D797="销售出库",$D797="销售退回"),ROUND(N($J797)*N($V797),2),0)</f>
        <v>0</v>
      </c>
      <c r="X797" s="58" t="str">
        <f aca="false">IF($E797="","",IFERROR(INDEX(往来单位!$D$6:$D$85,MATCH($E797,往来单位!$A$6:$A$85,0)),"否"))</f>
        <v/>
      </c>
      <c r="Y797" s="61" t="str">
        <f aca="false">IF($B797="","",YEAR($B797))</f>
        <v/>
      </c>
      <c r="Z797" s="58" t="str">
        <f aca="false">IF($B797="","",TEXT($B797,"yyyy-mm"))</f>
        <v/>
      </c>
    </row>
    <row r="798" customFormat="false" ht="15" hidden="false" customHeight="false" outlineLevel="0" collapsed="false">
      <c r="A798" s="53" t="str">
        <f aca="false">IF($B798="","",ROW()-5)</f>
        <v/>
      </c>
      <c r="B798" s="54"/>
      <c r="C798" s="33"/>
      <c r="D798" s="33"/>
      <c r="E798" s="32"/>
      <c r="F798" s="39"/>
      <c r="G798" s="48" t="str">
        <f aca="false">IF($F798="","",IFERROR(INDEX(商品档案!$B$6:$B$65,MATCH($F798,商品档案!$A$6:$A$65,0)),""))</f>
        <v/>
      </c>
      <c r="H798" s="48" t="str">
        <f aca="false">IF($F798="","",IFERROR(INDEX(商品档案!$C$6:$C$65,MATCH($F798,商品档案!$A$6:$A$65,0)),""))</f>
        <v/>
      </c>
      <c r="I798" s="55" t="str">
        <f aca="false">IF($F798="","",IFERROR(INDEX(商品档案!$D$6:$D$65,MATCH($F798,商品档案!$A$6:$A$65,0)),""))</f>
        <v/>
      </c>
      <c r="J798" s="49"/>
      <c r="K798" s="56"/>
      <c r="L798" s="33"/>
      <c r="M798" s="39"/>
      <c r="N798" s="41"/>
      <c r="O798" s="41"/>
      <c r="P798" s="25" t="str">
        <f aca="false">IF(AND($B798="",$D798="",$F798=""),"",IF(NOT(ISNUMBER($B798)),"日期无效",IF(ISNA(MATCH($C798,参数设置!$A$10:$A$12,0)),"公司无效",IF(ISNA(MATCH($D798,记账规则!$A$6:$A$9,0)),"业务类型无效",IF(ISNA(MATCH($F798,商品档案!$A$6:$A$65,0)),"商品编码无效",IF(IFERROR(INDEX(商品档案!$E$6:$E$65,MATCH($F798,商品档案!$A$6:$A$65,0)),"")&lt;&gt;$C798,"商品不属于该公司",IF(AND($E798&lt;&gt;"",ISNA(MATCH($E798,往来单位!$A$6:$A$85,0))),"往来单位未建档",IF(N($J798)=0,"数量为 0",IF(N($K798)=0,"单价为 0",IF(AND(LEFT($D798,2)="销售",$U798=""),"该商品没设成本科目",IF(YEAR($B798)&lt;&gt;参数设置!$B$5,"不在本会计年度","OK")))))))))))</f>
        <v/>
      </c>
      <c r="Q798" s="57" t="str">
        <f aca="false">IF($F798="","",ROUND(N($J798)*N($K798),2))</f>
        <v/>
      </c>
      <c r="R798" s="58" t="str">
        <f aca="false">IF($D798="","",IF(LEFT($D798,2)="销售","应收账款","应付账款"))</f>
        <v/>
      </c>
      <c r="S798" s="58" t="str">
        <f aca="false">IF($F798="","",IFERROR(INDEX(商品档案!$G$6:$G$65,MATCH($F798,商品档案!$A$6:$A$65,0)),""))</f>
        <v/>
      </c>
      <c r="T798" s="58" t="str">
        <f aca="false">IF($F798="","",IFERROR(INDEX(商品档案!$H$6:$H$65,MATCH($F798,商品档案!$A$6:$A$65,0)),""))</f>
        <v/>
      </c>
      <c r="U798" s="58" t="str">
        <f aca="false">IF($F798="","",IFERROR(INDEX(商品档案!$I$6:$I$65,MATCH($F798,商品档案!$A$6:$A$65,0)),""))</f>
        <v/>
      </c>
      <c r="V798" s="59" t="str">
        <f aca="false">IF($F798="","",SUMIFS(进销存台账!$N$6:$N$65,进销存台账!$A$6:$A$65,$C798,进销存台账!$B$6:$B$65,$F798))</f>
        <v/>
      </c>
      <c r="W798" s="60" t="n">
        <f aca="false">IF(OR($D798="销售出库",$D798="销售退回"),ROUND(N($J798)*N($V798),2),0)</f>
        <v>0</v>
      </c>
      <c r="X798" s="58" t="str">
        <f aca="false">IF($E798="","",IFERROR(INDEX(往来单位!$D$6:$D$85,MATCH($E798,往来单位!$A$6:$A$85,0)),"否"))</f>
        <v/>
      </c>
      <c r="Y798" s="61" t="str">
        <f aca="false">IF($B798="","",YEAR($B798))</f>
        <v/>
      </c>
      <c r="Z798" s="58" t="str">
        <f aca="false">IF($B798="","",TEXT($B798,"yyyy-mm"))</f>
        <v/>
      </c>
    </row>
    <row r="799" customFormat="false" ht="15" hidden="false" customHeight="false" outlineLevel="0" collapsed="false">
      <c r="A799" s="53" t="str">
        <f aca="false">IF($B799="","",ROW()-5)</f>
        <v/>
      </c>
      <c r="B799" s="54"/>
      <c r="C799" s="33"/>
      <c r="D799" s="33"/>
      <c r="E799" s="32"/>
      <c r="F799" s="39"/>
      <c r="G799" s="48" t="str">
        <f aca="false">IF($F799="","",IFERROR(INDEX(商品档案!$B$6:$B$65,MATCH($F799,商品档案!$A$6:$A$65,0)),""))</f>
        <v/>
      </c>
      <c r="H799" s="48" t="str">
        <f aca="false">IF($F799="","",IFERROR(INDEX(商品档案!$C$6:$C$65,MATCH($F799,商品档案!$A$6:$A$65,0)),""))</f>
        <v/>
      </c>
      <c r="I799" s="55" t="str">
        <f aca="false">IF($F799="","",IFERROR(INDEX(商品档案!$D$6:$D$65,MATCH($F799,商品档案!$A$6:$A$65,0)),""))</f>
        <v/>
      </c>
      <c r="J799" s="49"/>
      <c r="K799" s="56"/>
      <c r="L799" s="33"/>
      <c r="M799" s="39"/>
      <c r="N799" s="41"/>
      <c r="O799" s="41"/>
      <c r="P799" s="25" t="str">
        <f aca="false">IF(AND($B799="",$D799="",$F799=""),"",IF(NOT(ISNUMBER($B799)),"日期无效",IF(ISNA(MATCH($C799,参数设置!$A$10:$A$12,0)),"公司无效",IF(ISNA(MATCH($D799,记账规则!$A$6:$A$9,0)),"业务类型无效",IF(ISNA(MATCH($F799,商品档案!$A$6:$A$65,0)),"商品编码无效",IF(IFERROR(INDEX(商品档案!$E$6:$E$65,MATCH($F799,商品档案!$A$6:$A$65,0)),"")&lt;&gt;$C799,"商品不属于该公司",IF(AND($E799&lt;&gt;"",ISNA(MATCH($E799,往来单位!$A$6:$A$85,0))),"往来单位未建档",IF(N($J799)=0,"数量为 0",IF(N($K799)=0,"单价为 0",IF(AND(LEFT($D799,2)="销售",$U799=""),"该商品没设成本科目",IF(YEAR($B799)&lt;&gt;参数设置!$B$5,"不在本会计年度","OK")))))))))))</f>
        <v/>
      </c>
      <c r="Q799" s="57" t="str">
        <f aca="false">IF($F799="","",ROUND(N($J799)*N($K799),2))</f>
        <v/>
      </c>
      <c r="R799" s="58" t="str">
        <f aca="false">IF($D799="","",IF(LEFT($D799,2)="销售","应收账款","应付账款"))</f>
        <v/>
      </c>
      <c r="S799" s="58" t="str">
        <f aca="false">IF($F799="","",IFERROR(INDEX(商品档案!$G$6:$G$65,MATCH($F799,商品档案!$A$6:$A$65,0)),""))</f>
        <v/>
      </c>
      <c r="T799" s="58" t="str">
        <f aca="false">IF($F799="","",IFERROR(INDEX(商品档案!$H$6:$H$65,MATCH($F799,商品档案!$A$6:$A$65,0)),""))</f>
        <v/>
      </c>
      <c r="U799" s="58" t="str">
        <f aca="false">IF($F799="","",IFERROR(INDEX(商品档案!$I$6:$I$65,MATCH($F799,商品档案!$A$6:$A$65,0)),""))</f>
        <v/>
      </c>
      <c r="V799" s="59" t="str">
        <f aca="false">IF($F799="","",SUMIFS(进销存台账!$N$6:$N$65,进销存台账!$A$6:$A$65,$C799,进销存台账!$B$6:$B$65,$F799))</f>
        <v/>
      </c>
      <c r="W799" s="60" t="n">
        <f aca="false">IF(OR($D799="销售出库",$D799="销售退回"),ROUND(N($J799)*N($V799),2),0)</f>
        <v>0</v>
      </c>
      <c r="X799" s="58" t="str">
        <f aca="false">IF($E799="","",IFERROR(INDEX(往来单位!$D$6:$D$85,MATCH($E799,往来单位!$A$6:$A$85,0)),"否"))</f>
        <v/>
      </c>
      <c r="Y799" s="61" t="str">
        <f aca="false">IF($B799="","",YEAR($B799))</f>
        <v/>
      </c>
      <c r="Z799" s="58" t="str">
        <f aca="false">IF($B799="","",TEXT($B799,"yyyy-mm"))</f>
        <v/>
      </c>
    </row>
    <row r="800" customFormat="false" ht="15" hidden="false" customHeight="false" outlineLevel="0" collapsed="false">
      <c r="A800" s="53" t="str">
        <f aca="false">IF($B800="","",ROW()-5)</f>
        <v/>
      </c>
      <c r="B800" s="54"/>
      <c r="C800" s="33"/>
      <c r="D800" s="33"/>
      <c r="E800" s="32"/>
      <c r="F800" s="39"/>
      <c r="G800" s="48" t="str">
        <f aca="false">IF($F800="","",IFERROR(INDEX(商品档案!$B$6:$B$65,MATCH($F800,商品档案!$A$6:$A$65,0)),""))</f>
        <v/>
      </c>
      <c r="H800" s="48" t="str">
        <f aca="false">IF($F800="","",IFERROR(INDEX(商品档案!$C$6:$C$65,MATCH($F800,商品档案!$A$6:$A$65,0)),""))</f>
        <v/>
      </c>
      <c r="I800" s="55" t="str">
        <f aca="false">IF($F800="","",IFERROR(INDEX(商品档案!$D$6:$D$65,MATCH($F800,商品档案!$A$6:$A$65,0)),""))</f>
        <v/>
      </c>
      <c r="J800" s="49"/>
      <c r="K800" s="56"/>
      <c r="L800" s="33"/>
      <c r="M800" s="39"/>
      <c r="N800" s="41"/>
      <c r="O800" s="41"/>
      <c r="P800" s="25" t="str">
        <f aca="false">IF(AND($B800="",$D800="",$F800=""),"",IF(NOT(ISNUMBER($B800)),"日期无效",IF(ISNA(MATCH($C800,参数设置!$A$10:$A$12,0)),"公司无效",IF(ISNA(MATCH($D800,记账规则!$A$6:$A$9,0)),"业务类型无效",IF(ISNA(MATCH($F800,商品档案!$A$6:$A$65,0)),"商品编码无效",IF(IFERROR(INDEX(商品档案!$E$6:$E$65,MATCH($F800,商品档案!$A$6:$A$65,0)),"")&lt;&gt;$C800,"商品不属于该公司",IF(AND($E800&lt;&gt;"",ISNA(MATCH($E800,往来单位!$A$6:$A$85,0))),"往来单位未建档",IF(N($J800)=0,"数量为 0",IF(N($K800)=0,"单价为 0",IF(AND(LEFT($D800,2)="销售",$U800=""),"该商品没设成本科目",IF(YEAR($B800)&lt;&gt;参数设置!$B$5,"不在本会计年度","OK")))))))))))</f>
        <v/>
      </c>
      <c r="Q800" s="57" t="str">
        <f aca="false">IF($F800="","",ROUND(N($J800)*N($K800),2))</f>
        <v/>
      </c>
      <c r="R800" s="58" t="str">
        <f aca="false">IF($D800="","",IF(LEFT($D800,2)="销售","应收账款","应付账款"))</f>
        <v/>
      </c>
      <c r="S800" s="58" t="str">
        <f aca="false">IF($F800="","",IFERROR(INDEX(商品档案!$G$6:$G$65,MATCH($F800,商品档案!$A$6:$A$65,0)),""))</f>
        <v/>
      </c>
      <c r="T800" s="58" t="str">
        <f aca="false">IF($F800="","",IFERROR(INDEX(商品档案!$H$6:$H$65,MATCH($F800,商品档案!$A$6:$A$65,0)),""))</f>
        <v/>
      </c>
      <c r="U800" s="58" t="str">
        <f aca="false">IF($F800="","",IFERROR(INDEX(商品档案!$I$6:$I$65,MATCH($F800,商品档案!$A$6:$A$65,0)),""))</f>
        <v/>
      </c>
      <c r="V800" s="59" t="str">
        <f aca="false">IF($F800="","",SUMIFS(进销存台账!$N$6:$N$65,进销存台账!$A$6:$A$65,$C800,进销存台账!$B$6:$B$65,$F800))</f>
        <v/>
      </c>
      <c r="W800" s="60" t="n">
        <f aca="false">IF(OR($D800="销售出库",$D800="销售退回"),ROUND(N($J800)*N($V800),2),0)</f>
        <v>0</v>
      </c>
      <c r="X800" s="58" t="str">
        <f aca="false">IF($E800="","",IFERROR(INDEX(往来单位!$D$6:$D$85,MATCH($E800,往来单位!$A$6:$A$85,0)),"否"))</f>
        <v/>
      </c>
      <c r="Y800" s="61" t="str">
        <f aca="false">IF($B800="","",YEAR($B800))</f>
        <v/>
      </c>
      <c r="Z800" s="58" t="str">
        <f aca="false">IF($B800="","",TEXT($B800,"yyyy-mm"))</f>
        <v/>
      </c>
    </row>
    <row r="801" customFormat="false" ht="15" hidden="false" customHeight="false" outlineLevel="0" collapsed="false">
      <c r="A801" s="53" t="str">
        <f aca="false">IF($B801="","",ROW()-5)</f>
        <v/>
      </c>
      <c r="B801" s="54"/>
      <c r="C801" s="33"/>
      <c r="D801" s="33"/>
      <c r="E801" s="32"/>
      <c r="F801" s="39"/>
      <c r="G801" s="48" t="str">
        <f aca="false">IF($F801="","",IFERROR(INDEX(商品档案!$B$6:$B$65,MATCH($F801,商品档案!$A$6:$A$65,0)),""))</f>
        <v/>
      </c>
      <c r="H801" s="48" t="str">
        <f aca="false">IF($F801="","",IFERROR(INDEX(商品档案!$C$6:$C$65,MATCH($F801,商品档案!$A$6:$A$65,0)),""))</f>
        <v/>
      </c>
      <c r="I801" s="55" t="str">
        <f aca="false">IF($F801="","",IFERROR(INDEX(商品档案!$D$6:$D$65,MATCH($F801,商品档案!$A$6:$A$65,0)),""))</f>
        <v/>
      </c>
      <c r="J801" s="49"/>
      <c r="K801" s="56"/>
      <c r="L801" s="33"/>
      <c r="M801" s="39"/>
      <c r="N801" s="41"/>
      <c r="O801" s="41"/>
      <c r="P801" s="25" t="str">
        <f aca="false">IF(AND($B801="",$D801="",$F801=""),"",IF(NOT(ISNUMBER($B801)),"日期无效",IF(ISNA(MATCH($C801,参数设置!$A$10:$A$12,0)),"公司无效",IF(ISNA(MATCH($D801,记账规则!$A$6:$A$9,0)),"业务类型无效",IF(ISNA(MATCH($F801,商品档案!$A$6:$A$65,0)),"商品编码无效",IF(IFERROR(INDEX(商品档案!$E$6:$E$65,MATCH($F801,商品档案!$A$6:$A$65,0)),"")&lt;&gt;$C801,"商品不属于该公司",IF(AND($E801&lt;&gt;"",ISNA(MATCH($E801,往来单位!$A$6:$A$85,0))),"往来单位未建档",IF(N($J801)=0,"数量为 0",IF(N($K801)=0,"单价为 0",IF(AND(LEFT($D801,2)="销售",$U801=""),"该商品没设成本科目",IF(YEAR($B801)&lt;&gt;参数设置!$B$5,"不在本会计年度","OK")))))))))))</f>
        <v/>
      </c>
      <c r="Q801" s="57" t="str">
        <f aca="false">IF($F801="","",ROUND(N($J801)*N($K801),2))</f>
        <v/>
      </c>
      <c r="R801" s="58" t="str">
        <f aca="false">IF($D801="","",IF(LEFT($D801,2)="销售","应收账款","应付账款"))</f>
        <v/>
      </c>
      <c r="S801" s="58" t="str">
        <f aca="false">IF($F801="","",IFERROR(INDEX(商品档案!$G$6:$G$65,MATCH($F801,商品档案!$A$6:$A$65,0)),""))</f>
        <v/>
      </c>
      <c r="T801" s="58" t="str">
        <f aca="false">IF($F801="","",IFERROR(INDEX(商品档案!$H$6:$H$65,MATCH($F801,商品档案!$A$6:$A$65,0)),""))</f>
        <v/>
      </c>
      <c r="U801" s="58" t="str">
        <f aca="false">IF($F801="","",IFERROR(INDEX(商品档案!$I$6:$I$65,MATCH($F801,商品档案!$A$6:$A$65,0)),""))</f>
        <v/>
      </c>
      <c r="V801" s="59" t="str">
        <f aca="false">IF($F801="","",SUMIFS(进销存台账!$N$6:$N$65,进销存台账!$A$6:$A$65,$C801,进销存台账!$B$6:$B$65,$F801))</f>
        <v/>
      </c>
      <c r="W801" s="60" t="n">
        <f aca="false">IF(OR($D801="销售出库",$D801="销售退回"),ROUND(N($J801)*N($V801),2),0)</f>
        <v>0</v>
      </c>
      <c r="X801" s="58" t="str">
        <f aca="false">IF($E801="","",IFERROR(INDEX(往来单位!$D$6:$D$85,MATCH($E801,往来单位!$A$6:$A$85,0)),"否"))</f>
        <v/>
      </c>
      <c r="Y801" s="61" t="str">
        <f aca="false">IF($B801="","",YEAR($B801))</f>
        <v/>
      </c>
      <c r="Z801" s="58" t="str">
        <f aca="false">IF($B801="","",TEXT($B801,"yyyy-mm"))</f>
        <v/>
      </c>
    </row>
    <row r="802" customFormat="false" ht="15" hidden="false" customHeight="false" outlineLevel="0" collapsed="false">
      <c r="A802" s="53" t="str">
        <f aca="false">IF($B802="","",ROW()-5)</f>
        <v/>
      </c>
      <c r="B802" s="54"/>
      <c r="C802" s="33"/>
      <c r="D802" s="33"/>
      <c r="E802" s="32"/>
      <c r="F802" s="39"/>
      <c r="G802" s="48" t="str">
        <f aca="false">IF($F802="","",IFERROR(INDEX(商品档案!$B$6:$B$65,MATCH($F802,商品档案!$A$6:$A$65,0)),""))</f>
        <v/>
      </c>
      <c r="H802" s="48" t="str">
        <f aca="false">IF($F802="","",IFERROR(INDEX(商品档案!$C$6:$C$65,MATCH($F802,商品档案!$A$6:$A$65,0)),""))</f>
        <v/>
      </c>
      <c r="I802" s="55" t="str">
        <f aca="false">IF($F802="","",IFERROR(INDEX(商品档案!$D$6:$D$65,MATCH($F802,商品档案!$A$6:$A$65,0)),""))</f>
        <v/>
      </c>
      <c r="J802" s="49"/>
      <c r="K802" s="56"/>
      <c r="L802" s="33"/>
      <c r="M802" s="39"/>
      <c r="N802" s="41"/>
      <c r="O802" s="41"/>
      <c r="P802" s="25" t="str">
        <f aca="false">IF(AND($B802="",$D802="",$F802=""),"",IF(NOT(ISNUMBER($B802)),"日期无效",IF(ISNA(MATCH($C802,参数设置!$A$10:$A$12,0)),"公司无效",IF(ISNA(MATCH($D802,记账规则!$A$6:$A$9,0)),"业务类型无效",IF(ISNA(MATCH($F802,商品档案!$A$6:$A$65,0)),"商品编码无效",IF(IFERROR(INDEX(商品档案!$E$6:$E$65,MATCH($F802,商品档案!$A$6:$A$65,0)),"")&lt;&gt;$C802,"商品不属于该公司",IF(AND($E802&lt;&gt;"",ISNA(MATCH($E802,往来单位!$A$6:$A$85,0))),"往来单位未建档",IF(N($J802)=0,"数量为 0",IF(N($K802)=0,"单价为 0",IF(AND(LEFT($D802,2)="销售",$U802=""),"该商品没设成本科目",IF(YEAR($B802)&lt;&gt;参数设置!$B$5,"不在本会计年度","OK")))))))))))</f>
        <v/>
      </c>
      <c r="Q802" s="57" t="str">
        <f aca="false">IF($F802="","",ROUND(N($J802)*N($K802),2))</f>
        <v/>
      </c>
      <c r="R802" s="58" t="str">
        <f aca="false">IF($D802="","",IF(LEFT($D802,2)="销售","应收账款","应付账款"))</f>
        <v/>
      </c>
      <c r="S802" s="58" t="str">
        <f aca="false">IF($F802="","",IFERROR(INDEX(商品档案!$G$6:$G$65,MATCH($F802,商品档案!$A$6:$A$65,0)),""))</f>
        <v/>
      </c>
      <c r="T802" s="58" t="str">
        <f aca="false">IF($F802="","",IFERROR(INDEX(商品档案!$H$6:$H$65,MATCH($F802,商品档案!$A$6:$A$65,0)),""))</f>
        <v/>
      </c>
      <c r="U802" s="58" t="str">
        <f aca="false">IF($F802="","",IFERROR(INDEX(商品档案!$I$6:$I$65,MATCH($F802,商品档案!$A$6:$A$65,0)),""))</f>
        <v/>
      </c>
      <c r="V802" s="59" t="str">
        <f aca="false">IF($F802="","",SUMIFS(进销存台账!$N$6:$N$65,进销存台账!$A$6:$A$65,$C802,进销存台账!$B$6:$B$65,$F802))</f>
        <v/>
      </c>
      <c r="W802" s="60" t="n">
        <f aca="false">IF(OR($D802="销售出库",$D802="销售退回"),ROUND(N($J802)*N($V802),2),0)</f>
        <v>0</v>
      </c>
      <c r="X802" s="58" t="str">
        <f aca="false">IF($E802="","",IFERROR(INDEX(往来单位!$D$6:$D$85,MATCH($E802,往来单位!$A$6:$A$85,0)),"否"))</f>
        <v/>
      </c>
      <c r="Y802" s="61" t="str">
        <f aca="false">IF($B802="","",YEAR($B802))</f>
        <v/>
      </c>
      <c r="Z802" s="58" t="str">
        <f aca="false">IF($B802="","",TEXT($B802,"yyyy-mm"))</f>
        <v/>
      </c>
    </row>
    <row r="803" customFormat="false" ht="15" hidden="false" customHeight="false" outlineLevel="0" collapsed="false">
      <c r="A803" s="53" t="str">
        <f aca="false">IF($B803="","",ROW()-5)</f>
        <v/>
      </c>
      <c r="B803" s="54"/>
      <c r="C803" s="33"/>
      <c r="D803" s="33"/>
      <c r="E803" s="32"/>
      <c r="F803" s="39"/>
      <c r="G803" s="48" t="str">
        <f aca="false">IF($F803="","",IFERROR(INDEX(商品档案!$B$6:$B$65,MATCH($F803,商品档案!$A$6:$A$65,0)),""))</f>
        <v/>
      </c>
      <c r="H803" s="48" t="str">
        <f aca="false">IF($F803="","",IFERROR(INDEX(商品档案!$C$6:$C$65,MATCH($F803,商品档案!$A$6:$A$65,0)),""))</f>
        <v/>
      </c>
      <c r="I803" s="55" t="str">
        <f aca="false">IF($F803="","",IFERROR(INDEX(商品档案!$D$6:$D$65,MATCH($F803,商品档案!$A$6:$A$65,0)),""))</f>
        <v/>
      </c>
      <c r="J803" s="49"/>
      <c r="K803" s="56"/>
      <c r="L803" s="33"/>
      <c r="M803" s="39"/>
      <c r="N803" s="41"/>
      <c r="O803" s="41"/>
      <c r="P803" s="25" t="str">
        <f aca="false">IF(AND($B803="",$D803="",$F803=""),"",IF(NOT(ISNUMBER($B803)),"日期无效",IF(ISNA(MATCH($C803,参数设置!$A$10:$A$12,0)),"公司无效",IF(ISNA(MATCH($D803,记账规则!$A$6:$A$9,0)),"业务类型无效",IF(ISNA(MATCH($F803,商品档案!$A$6:$A$65,0)),"商品编码无效",IF(IFERROR(INDEX(商品档案!$E$6:$E$65,MATCH($F803,商品档案!$A$6:$A$65,0)),"")&lt;&gt;$C803,"商品不属于该公司",IF(AND($E803&lt;&gt;"",ISNA(MATCH($E803,往来单位!$A$6:$A$85,0))),"往来单位未建档",IF(N($J803)=0,"数量为 0",IF(N($K803)=0,"单价为 0",IF(AND(LEFT($D803,2)="销售",$U803=""),"该商品没设成本科目",IF(YEAR($B803)&lt;&gt;参数设置!$B$5,"不在本会计年度","OK")))))))))))</f>
        <v/>
      </c>
      <c r="Q803" s="57" t="str">
        <f aca="false">IF($F803="","",ROUND(N($J803)*N($K803),2))</f>
        <v/>
      </c>
      <c r="R803" s="58" t="str">
        <f aca="false">IF($D803="","",IF(LEFT($D803,2)="销售","应收账款","应付账款"))</f>
        <v/>
      </c>
      <c r="S803" s="58" t="str">
        <f aca="false">IF($F803="","",IFERROR(INDEX(商品档案!$G$6:$G$65,MATCH($F803,商品档案!$A$6:$A$65,0)),""))</f>
        <v/>
      </c>
      <c r="T803" s="58" t="str">
        <f aca="false">IF($F803="","",IFERROR(INDEX(商品档案!$H$6:$H$65,MATCH($F803,商品档案!$A$6:$A$65,0)),""))</f>
        <v/>
      </c>
      <c r="U803" s="58" t="str">
        <f aca="false">IF($F803="","",IFERROR(INDEX(商品档案!$I$6:$I$65,MATCH($F803,商品档案!$A$6:$A$65,0)),""))</f>
        <v/>
      </c>
      <c r="V803" s="59" t="str">
        <f aca="false">IF($F803="","",SUMIFS(进销存台账!$N$6:$N$65,进销存台账!$A$6:$A$65,$C803,进销存台账!$B$6:$B$65,$F803))</f>
        <v/>
      </c>
      <c r="W803" s="60" t="n">
        <f aca="false">IF(OR($D803="销售出库",$D803="销售退回"),ROUND(N($J803)*N($V803),2),0)</f>
        <v>0</v>
      </c>
      <c r="X803" s="58" t="str">
        <f aca="false">IF($E803="","",IFERROR(INDEX(往来单位!$D$6:$D$85,MATCH($E803,往来单位!$A$6:$A$85,0)),"否"))</f>
        <v/>
      </c>
      <c r="Y803" s="61" t="str">
        <f aca="false">IF($B803="","",YEAR($B803))</f>
        <v/>
      </c>
      <c r="Z803" s="58" t="str">
        <f aca="false">IF($B803="","",TEXT($B803,"yyyy-mm"))</f>
        <v/>
      </c>
    </row>
    <row r="804" customFormat="false" ht="15" hidden="false" customHeight="false" outlineLevel="0" collapsed="false">
      <c r="A804" s="53" t="str">
        <f aca="false">IF($B804="","",ROW()-5)</f>
        <v/>
      </c>
      <c r="B804" s="54"/>
      <c r="C804" s="33"/>
      <c r="D804" s="33"/>
      <c r="E804" s="32"/>
      <c r="F804" s="39"/>
      <c r="G804" s="48" t="str">
        <f aca="false">IF($F804="","",IFERROR(INDEX(商品档案!$B$6:$B$65,MATCH($F804,商品档案!$A$6:$A$65,0)),""))</f>
        <v/>
      </c>
      <c r="H804" s="48" t="str">
        <f aca="false">IF($F804="","",IFERROR(INDEX(商品档案!$C$6:$C$65,MATCH($F804,商品档案!$A$6:$A$65,0)),""))</f>
        <v/>
      </c>
      <c r="I804" s="55" t="str">
        <f aca="false">IF($F804="","",IFERROR(INDEX(商品档案!$D$6:$D$65,MATCH($F804,商品档案!$A$6:$A$65,0)),""))</f>
        <v/>
      </c>
      <c r="J804" s="49"/>
      <c r="K804" s="56"/>
      <c r="L804" s="33"/>
      <c r="M804" s="39"/>
      <c r="N804" s="41"/>
      <c r="O804" s="41"/>
      <c r="P804" s="25" t="str">
        <f aca="false">IF(AND($B804="",$D804="",$F804=""),"",IF(NOT(ISNUMBER($B804)),"日期无效",IF(ISNA(MATCH($C804,参数设置!$A$10:$A$12,0)),"公司无效",IF(ISNA(MATCH($D804,记账规则!$A$6:$A$9,0)),"业务类型无效",IF(ISNA(MATCH($F804,商品档案!$A$6:$A$65,0)),"商品编码无效",IF(IFERROR(INDEX(商品档案!$E$6:$E$65,MATCH($F804,商品档案!$A$6:$A$65,0)),"")&lt;&gt;$C804,"商品不属于该公司",IF(AND($E804&lt;&gt;"",ISNA(MATCH($E804,往来单位!$A$6:$A$85,0))),"往来单位未建档",IF(N($J804)=0,"数量为 0",IF(N($K804)=0,"单价为 0",IF(AND(LEFT($D804,2)="销售",$U804=""),"该商品没设成本科目",IF(YEAR($B804)&lt;&gt;参数设置!$B$5,"不在本会计年度","OK")))))))))))</f>
        <v/>
      </c>
      <c r="Q804" s="57" t="str">
        <f aca="false">IF($F804="","",ROUND(N($J804)*N($K804),2))</f>
        <v/>
      </c>
      <c r="R804" s="58" t="str">
        <f aca="false">IF($D804="","",IF(LEFT($D804,2)="销售","应收账款","应付账款"))</f>
        <v/>
      </c>
      <c r="S804" s="58" t="str">
        <f aca="false">IF($F804="","",IFERROR(INDEX(商品档案!$G$6:$G$65,MATCH($F804,商品档案!$A$6:$A$65,0)),""))</f>
        <v/>
      </c>
      <c r="T804" s="58" t="str">
        <f aca="false">IF($F804="","",IFERROR(INDEX(商品档案!$H$6:$H$65,MATCH($F804,商品档案!$A$6:$A$65,0)),""))</f>
        <v/>
      </c>
      <c r="U804" s="58" t="str">
        <f aca="false">IF($F804="","",IFERROR(INDEX(商品档案!$I$6:$I$65,MATCH($F804,商品档案!$A$6:$A$65,0)),""))</f>
        <v/>
      </c>
      <c r="V804" s="59" t="str">
        <f aca="false">IF($F804="","",SUMIFS(进销存台账!$N$6:$N$65,进销存台账!$A$6:$A$65,$C804,进销存台账!$B$6:$B$65,$F804))</f>
        <v/>
      </c>
      <c r="W804" s="60" t="n">
        <f aca="false">IF(OR($D804="销售出库",$D804="销售退回"),ROUND(N($J804)*N($V804),2),0)</f>
        <v>0</v>
      </c>
      <c r="X804" s="58" t="str">
        <f aca="false">IF($E804="","",IFERROR(INDEX(往来单位!$D$6:$D$85,MATCH($E804,往来单位!$A$6:$A$85,0)),"否"))</f>
        <v/>
      </c>
      <c r="Y804" s="61" t="str">
        <f aca="false">IF($B804="","",YEAR($B804))</f>
        <v/>
      </c>
      <c r="Z804" s="58" t="str">
        <f aca="false">IF($B804="","",TEXT($B804,"yyyy-mm"))</f>
        <v/>
      </c>
    </row>
    <row r="805" customFormat="false" ht="15" hidden="false" customHeight="false" outlineLevel="0" collapsed="false">
      <c r="A805" s="53" t="str">
        <f aca="false">IF($B805="","",ROW()-5)</f>
        <v/>
      </c>
      <c r="B805" s="54"/>
      <c r="C805" s="33"/>
      <c r="D805" s="33"/>
      <c r="E805" s="32"/>
      <c r="F805" s="39"/>
      <c r="G805" s="48" t="str">
        <f aca="false">IF($F805="","",IFERROR(INDEX(商品档案!$B$6:$B$65,MATCH($F805,商品档案!$A$6:$A$65,0)),""))</f>
        <v/>
      </c>
      <c r="H805" s="48" t="str">
        <f aca="false">IF($F805="","",IFERROR(INDEX(商品档案!$C$6:$C$65,MATCH($F805,商品档案!$A$6:$A$65,0)),""))</f>
        <v/>
      </c>
      <c r="I805" s="55" t="str">
        <f aca="false">IF($F805="","",IFERROR(INDEX(商品档案!$D$6:$D$65,MATCH($F805,商品档案!$A$6:$A$65,0)),""))</f>
        <v/>
      </c>
      <c r="J805" s="49"/>
      <c r="K805" s="56"/>
      <c r="L805" s="33"/>
      <c r="M805" s="39"/>
      <c r="N805" s="41"/>
      <c r="O805" s="41"/>
      <c r="P805" s="25" t="str">
        <f aca="false">IF(AND($B805="",$D805="",$F805=""),"",IF(NOT(ISNUMBER($B805)),"日期无效",IF(ISNA(MATCH($C805,参数设置!$A$10:$A$12,0)),"公司无效",IF(ISNA(MATCH($D805,记账规则!$A$6:$A$9,0)),"业务类型无效",IF(ISNA(MATCH($F805,商品档案!$A$6:$A$65,0)),"商品编码无效",IF(IFERROR(INDEX(商品档案!$E$6:$E$65,MATCH($F805,商品档案!$A$6:$A$65,0)),"")&lt;&gt;$C805,"商品不属于该公司",IF(AND($E805&lt;&gt;"",ISNA(MATCH($E805,往来单位!$A$6:$A$85,0))),"往来单位未建档",IF(N($J805)=0,"数量为 0",IF(N($K805)=0,"单价为 0",IF(AND(LEFT($D805,2)="销售",$U805=""),"该商品没设成本科目",IF(YEAR($B805)&lt;&gt;参数设置!$B$5,"不在本会计年度","OK")))))))))))</f>
        <v/>
      </c>
      <c r="Q805" s="57" t="str">
        <f aca="false">IF($F805="","",ROUND(N($J805)*N($K805),2))</f>
        <v/>
      </c>
      <c r="R805" s="58" t="str">
        <f aca="false">IF($D805="","",IF(LEFT($D805,2)="销售","应收账款","应付账款"))</f>
        <v/>
      </c>
      <c r="S805" s="58" t="str">
        <f aca="false">IF($F805="","",IFERROR(INDEX(商品档案!$G$6:$G$65,MATCH($F805,商品档案!$A$6:$A$65,0)),""))</f>
        <v/>
      </c>
      <c r="T805" s="58" t="str">
        <f aca="false">IF($F805="","",IFERROR(INDEX(商品档案!$H$6:$H$65,MATCH($F805,商品档案!$A$6:$A$65,0)),""))</f>
        <v/>
      </c>
      <c r="U805" s="58" t="str">
        <f aca="false">IF($F805="","",IFERROR(INDEX(商品档案!$I$6:$I$65,MATCH($F805,商品档案!$A$6:$A$65,0)),""))</f>
        <v/>
      </c>
      <c r="V805" s="59" t="str">
        <f aca="false">IF($F805="","",SUMIFS(进销存台账!$N$6:$N$65,进销存台账!$A$6:$A$65,$C805,进销存台账!$B$6:$B$65,$F805))</f>
        <v/>
      </c>
      <c r="W805" s="60" t="n">
        <f aca="false">IF(OR($D805="销售出库",$D805="销售退回"),ROUND(N($J805)*N($V805),2),0)</f>
        <v>0</v>
      </c>
      <c r="X805" s="58" t="str">
        <f aca="false">IF($E805="","",IFERROR(INDEX(往来单位!$D$6:$D$85,MATCH($E805,往来单位!$A$6:$A$85,0)),"否"))</f>
        <v/>
      </c>
      <c r="Y805" s="61" t="str">
        <f aca="false">IF($B805="","",YEAR($B805))</f>
        <v/>
      </c>
      <c r="Z805" s="58" t="str">
        <f aca="false">IF($B805="","",TEXT($B805,"yyyy-mm"))</f>
        <v/>
      </c>
    </row>
  </sheetData>
  <mergeCells count="2">
    <mergeCell ref="A1:Z1"/>
    <mergeCell ref="A2:Z2"/>
  </mergeCells>
  <conditionalFormatting sqref="P6:P805">
    <cfRule type="expression" priority="2" aboveAverage="0" equalAverage="0" bottom="0" percent="0" rank="0" text="" dxfId="0">
      <formula>AND($P6&lt;&gt;"",$P6&lt;&gt;"OK")</formula>
    </cfRule>
  </conditionalFormatting>
  <dataValidations count="6">
    <dataValidation allowBlank="true" error="必须选择下拉中已维护的值，手工输入会导致取数错位" errorStyle="stop" errorTitle="请从下拉中选择" operator="between" showDropDown="false" showErrorMessage="true" showInputMessage="false" sqref="C6:C80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805" type="list">
      <formula1>"销售出库,采购入库,销售退回,采购退回"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805" type="list">
      <formula1>往来单位!$A$6:$A$85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805" type="list">
      <formula1>商品档案!$A$6:$A$65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L6:L805" type="list">
      <formula1>"专票,普票,免税发票,收购发票,无票"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K6:K805" type="decimal">
      <formula1>-1000000000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T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10" min="8" style="0" width="1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7"/>
    <col collapsed="false" customWidth="true" hidden="false" outlineLevel="0" max="19" min="19" style="0" width="15"/>
    <col collapsed="false" customWidth="true" hidden="false" outlineLevel="0" max="20" min="20" style="0" width="7"/>
  </cols>
  <sheetData>
    <row r="1" customFormat="false" ht="25.5" hidden="false" customHeight="true" outlineLevel="0" collapsed="false">
      <c r="A1" s="1" t="s">
        <v>607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2" t="s">
        <v>608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5" customFormat="false" ht="30" hidden="false" customHeight="true" outlineLevel="0" collapsed="false">
      <c r="A5" s="8" t="s">
        <v>560</v>
      </c>
      <c r="B5" s="8" t="s">
        <v>561</v>
      </c>
      <c r="C5" s="8" t="s">
        <v>544</v>
      </c>
      <c r="D5" s="8" t="s">
        <v>609</v>
      </c>
      <c r="E5" s="8" t="s">
        <v>269</v>
      </c>
      <c r="F5" s="8" t="s">
        <v>41</v>
      </c>
      <c r="G5" s="8" t="s">
        <v>610</v>
      </c>
      <c r="H5" s="8" t="s">
        <v>115</v>
      </c>
      <c r="I5" s="8" t="s">
        <v>611</v>
      </c>
      <c r="J5" s="8" t="s">
        <v>612</v>
      </c>
      <c r="K5" s="8" t="s">
        <v>566</v>
      </c>
      <c r="L5" s="8" t="s">
        <v>613</v>
      </c>
      <c r="M5" s="8" t="s">
        <v>178</v>
      </c>
      <c r="N5" s="8" t="s">
        <v>361</v>
      </c>
      <c r="O5" s="52" t="s">
        <v>572</v>
      </c>
      <c r="P5" s="52" t="s">
        <v>285</v>
      </c>
      <c r="Q5" s="52" t="s">
        <v>614</v>
      </c>
      <c r="R5" s="52" t="s">
        <v>615</v>
      </c>
      <c r="S5" s="52" t="s">
        <v>10</v>
      </c>
      <c r="T5" s="52" t="s">
        <v>571</v>
      </c>
    </row>
    <row r="6" customFormat="false" ht="15" hidden="false" customHeight="false" outlineLevel="0" collapsed="false">
      <c r="A6" s="53" t="n">
        <f aca="false">IF($B6="","",ROW()-5)</f>
        <v>1</v>
      </c>
      <c r="B6" s="54" t="n">
        <v>46040</v>
      </c>
      <c r="C6" s="33" t="s">
        <v>107</v>
      </c>
      <c r="D6" s="33" t="s">
        <v>519</v>
      </c>
      <c r="E6" s="33" t="s">
        <v>300</v>
      </c>
      <c r="F6" s="32" t="s">
        <v>483</v>
      </c>
      <c r="G6" s="41"/>
      <c r="H6" s="39"/>
      <c r="I6" s="43"/>
      <c r="J6" s="43" t="n">
        <v>35000</v>
      </c>
      <c r="K6" s="32" t="s">
        <v>616</v>
      </c>
      <c r="L6" s="39"/>
      <c r="M6" s="41"/>
      <c r="N6" s="25" t="str">
        <f aca="false">IF(AND($B6="",$E6="",$I6="",$J6=""),"",IF(NOT(ISNUMBER($B6)),"日期无效",IF(ISNA(MATCH($C6,参数设置!$A$10:$A$12,0)),"公司无效",IF(ISNA(MATCH($D6,资金账户!$B$6:$B$25,0)),"账户未建档",IF(ISNA(MATCH($E6,记账规则!$A$13:$A$32,0)),"业务类型无效",IF(AND(N($I6)&lt;&gt;0,N($J6)&lt;&gt;0),"收入和支出只能填一列",IF($P6=0,"金额为 0",IF(AND($R6="收",N($I6)=0),"这类业务是收款，金额填到收入列",IF(AND($R6="支",N($J6)=0),"这类业务是付款，金额填到支出列",IF(AND(SUMPRODUCT(--(INDEX(记账规则!$A$13:$H$32,MATCH($E6,记账规则!$A$13:$A$32,0),0)="@对方"))&gt;0,$G6=""),"这个类型要填对方科目",IF(AND($G6&lt;&gt;"",ISNA(MATCH($G6,会计科目表!$B$6:$B$85,0))),"对方科目不存在",IF(AND($E6="缴纳税费",$H6=""),"缴税请在费用项目里选税种",IF(AND($F6&lt;&gt;"",ISNA(MATCH($F6,往来单位!$A$6:$A$85,0))),"往来单位未建档",IF(YEAR($B6)&lt;&gt;参数设置!$B$5,"不在本会计年度",IF(AND(""&lt;&gt;"",ISNUMBER(""),$B6&lt;""),"日期比上一行早，余额按行序滚，建议按日期录","OK")))))))))))))))</f>
        <v>OK</v>
      </c>
      <c r="O6" s="58" t="str">
        <f aca="false">IF($B6="","",TEXT($B6,"yyyy-mm"))</f>
        <v>2026-01</v>
      </c>
      <c r="P6" s="60" t="n">
        <f aca="false">IF($E6="","",ROUND(N($I6)+N($J6),2))</f>
        <v>35000</v>
      </c>
      <c r="Q6" s="58" t="str">
        <f aca="false">IF($D6="","",IFERROR(INDEX(资金账户!$F$6:$F$25,MATCH($D6,资金账户!$B$6:$B$25,0)),""))</f>
        <v>银行存款</v>
      </c>
      <c r="R6" s="58" t="str">
        <f aca="false">IF($E6="","",IFERROR(IF(INDEX(记账规则!$A$13:$H$32,MATCH($E6,记账规则!$A$13:$A$32,0),4)="借","收","支"),""))</f>
        <v>支</v>
      </c>
      <c r="S6" s="57" t="n">
        <f aca="false">IF($D6="","",ROUND(SUMIFS(资金账户!$H$6:$H$25,资金账户!$B$6:$B$25,$D6)+SUMIFS($I$6:$I6,$D$6:$D6,$D6)-SUMIFS($J$6:$J6,$D$6:$D6,$D6),2))</f>
        <v>145000</v>
      </c>
      <c r="T6" s="61" t="n">
        <f aca="false">IF($B6="","",YEAR($B6))</f>
        <v>2026</v>
      </c>
    </row>
    <row r="7" customFormat="false" ht="15" hidden="false" customHeight="false" outlineLevel="0" collapsed="false">
      <c r="A7" s="53" t="n">
        <f aca="false">IF($B7="","",ROW()-5)</f>
        <v>2</v>
      </c>
      <c r="B7" s="54" t="n">
        <v>46063</v>
      </c>
      <c r="C7" s="33" t="s">
        <v>112</v>
      </c>
      <c r="D7" s="33" t="s">
        <v>528</v>
      </c>
      <c r="E7" s="33" t="s">
        <v>333</v>
      </c>
      <c r="F7" s="32"/>
      <c r="G7" s="41"/>
      <c r="H7" s="39"/>
      <c r="I7" s="43" t="n">
        <v>100000</v>
      </c>
      <c r="J7" s="43"/>
      <c r="K7" s="32" t="s">
        <v>617</v>
      </c>
      <c r="L7" s="39"/>
      <c r="M7" s="41"/>
      <c r="N7" s="25" t="str">
        <f aca="false">IF(AND($B7="",$E7="",$I7="",$J7=""),"",IF(NOT(ISNUMBER($B7)),"日期无效",IF(ISNA(MATCH($C7,参数设置!$A$10:$A$12,0)),"公司无效",IF(ISNA(MATCH($D7,资金账户!$B$6:$B$25,0)),"账户未建档",IF(ISNA(MATCH($E7,记账规则!$A$13:$A$32,0)),"业务类型无效",IF(AND(N($I7)&lt;&gt;0,N($J7)&lt;&gt;0),"收入和支出只能填一列",IF($P7=0,"金额为 0",IF(AND($R7="收",N($I7)=0),"这类业务是收款，金额填到收入列",IF(AND($R7="支",N($J7)=0),"这类业务是付款，金额填到支出列",IF(AND(SUMPRODUCT(--(INDEX(记账规则!$A$13:$H$32,MATCH($E7,记账规则!$A$13:$A$32,0),0)="@对方"))&gt;0,$G7=""),"这个类型要填对方科目",IF(AND($G7&lt;&gt;"",ISNA(MATCH($G7,会计科目表!$B$6:$B$85,0))),"对方科目不存在",IF(AND($E7="缴纳税费",$H7=""),"缴税请在费用项目里选税种",IF(AND($F7&lt;&gt;"",ISNA(MATCH($F7,往来单位!$A$6:$A$85,0))),"往来单位未建档",IF(YEAR($B7)&lt;&gt;参数设置!$B$5,"不在本会计年度",IF(AND($B6&lt;&gt;"",ISNUMBER($B6),$B7&lt;$B6),"日期比上一行早，余额按行序滚，建议按日期录","OK")))))))))))))))</f>
        <v>OK</v>
      </c>
      <c r="O7" s="58" t="str">
        <f aca="false">IF($B7="","",TEXT($B7,"yyyy-mm"))</f>
        <v>2026-02</v>
      </c>
      <c r="P7" s="60" t="n">
        <f aca="false">IF($E7="","",ROUND(N($I7)+N($J7),2))</f>
        <v>100000</v>
      </c>
      <c r="Q7" s="58" t="str">
        <f aca="false">IF($D7="","",IFERROR(INDEX(资金账户!$F$6:$F$25,MATCH($D7,资金账户!$B$6:$B$25,0)),""))</f>
        <v>银行存款</v>
      </c>
      <c r="R7" s="58" t="str">
        <f aca="false">IF($E7="","",IFERROR(IF(INDEX(记账规则!$A$13:$H$32,MATCH($E7,记账规则!$A$13:$A$32,0),4)="借","收","支"),""))</f>
        <v>收</v>
      </c>
      <c r="S7" s="57" t="n">
        <f aca="false">IF($D7="","",ROUND(SUMIFS(资金账户!$H$6:$H$25,资金账户!$B$6:$B$25,$D7)+SUMIFS($I$6:$I7,$D$6:$D7,$D7)-SUMIFS($J$6:$J7,$D$6:$D7,$D7),2))</f>
        <v>420000</v>
      </c>
      <c r="T7" s="61" t="n">
        <f aca="false">IF($B7="","",YEAR($B7))</f>
        <v>2026</v>
      </c>
    </row>
    <row r="8" customFormat="false" ht="15" hidden="false" customHeight="false" outlineLevel="0" collapsed="false">
      <c r="A8" s="53" t="n">
        <f aca="false">IF($B8="","",ROW()-5)</f>
        <v>3</v>
      </c>
      <c r="B8" s="54" t="n">
        <v>46082</v>
      </c>
      <c r="C8" s="33" t="s">
        <v>110</v>
      </c>
      <c r="D8" s="33" t="s">
        <v>524</v>
      </c>
      <c r="E8" s="33" t="s">
        <v>327</v>
      </c>
      <c r="F8" s="32" t="s">
        <v>499</v>
      </c>
      <c r="G8" s="32" t="s">
        <v>222</v>
      </c>
      <c r="H8" s="39"/>
      <c r="I8" s="43" t="n">
        <v>150000</v>
      </c>
      <c r="J8" s="43"/>
      <c r="K8" s="32" t="s">
        <v>618</v>
      </c>
      <c r="L8" s="39"/>
      <c r="M8" s="41"/>
      <c r="N8" s="25" t="str">
        <f aca="false">IF(AND($B8="",$E8="",$I8="",$J8=""),"",IF(NOT(ISNUMBER($B8)),"日期无效",IF(ISNA(MATCH($C8,参数设置!$A$10:$A$12,0)),"公司无效",IF(ISNA(MATCH($D8,资金账户!$B$6:$B$25,0)),"账户未建档",IF(ISNA(MATCH($E8,记账规则!$A$13:$A$32,0)),"业务类型无效",IF(AND(N($I8)&lt;&gt;0,N($J8)&lt;&gt;0),"收入和支出只能填一列",IF($P8=0,"金额为 0",IF(AND($R8="收",N($I8)=0),"这类业务是收款，金额填到收入列",IF(AND($R8="支",N($J8)=0),"这类业务是付款，金额填到支出列",IF(AND(SUMPRODUCT(--(INDEX(记账规则!$A$13:$H$32,MATCH($E8,记账规则!$A$13:$A$32,0),0)="@对方"))&gt;0,$G8=""),"这个类型要填对方科目",IF(AND($G8&lt;&gt;"",ISNA(MATCH($G8,会计科目表!$B$6:$B$85,0))),"对方科目不存在",IF(AND($E8="缴纳税费",$H8=""),"缴税请在费用项目里选税种",IF(AND($F8&lt;&gt;"",ISNA(MATCH($F8,往来单位!$A$6:$A$85,0))),"往来单位未建档",IF(YEAR($B8)&lt;&gt;参数设置!$B$5,"不在本会计年度",IF(AND($B7&lt;&gt;"",ISNUMBER($B7),$B8&lt;$B7),"日期比上一行早，余额按行序滚，建议按日期录","OK")))))))))))))))</f>
        <v>OK</v>
      </c>
      <c r="O8" s="58" t="str">
        <f aca="false">IF($B8="","",TEXT($B8,"yyyy-mm"))</f>
        <v>2026-03</v>
      </c>
      <c r="P8" s="60" t="n">
        <f aca="false">IF($E8="","",ROUND(N($I8)+N($J8),2))</f>
        <v>150000</v>
      </c>
      <c r="Q8" s="58" t="str">
        <f aca="false">IF($D8="","",IFERROR(INDEX(资金账户!$F$6:$F$25,MATCH($D8,资金账户!$B$6:$B$25,0)),""))</f>
        <v>银行存款</v>
      </c>
      <c r="R8" s="58" t="str">
        <f aca="false">IF($E8="","",IFERROR(IF(INDEX(记账规则!$A$13:$H$32,MATCH($E8,记账规则!$A$13:$A$32,0),4)="借","收","支"),""))</f>
        <v>收</v>
      </c>
      <c r="S8" s="57" t="n">
        <f aca="false">IF($D8="","",ROUND(SUMIFS(资金账户!$H$6:$H$25,资金账户!$B$6:$B$25,$D8)+SUMIFS($I$6:$I8,$D$6:$D8,$D8)-SUMIFS($J$6:$J8,$D$6:$D8,$D8),2))</f>
        <v>410000</v>
      </c>
      <c r="T8" s="61" t="n">
        <f aca="false">IF($B8="","",YEAR($B8))</f>
        <v>2026</v>
      </c>
    </row>
    <row r="9" customFormat="false" ht="15" hidden="false" customHeight="false" outlineLevel="0" collapsed="false">
      <c r="A9" s="53" t="n">
        <f aca="false">IF($B9="","",ROW()-5)</f>
        <v>4</v>
      </c>
      <c r="B9" s="54" t="n">
        <v>46086</v>
      </c>
      <c r="C9" s="33" t="s">
        <v>107</v>
      </c>
      <c r="D9" s="33" t="s">
        <v>519</v>
      </c>
      <c r="E9" s="33" t="s">
        <v>300</v>
      </c>
      <c r="F9" s="32" t="s">
        <v>485</v>
      </c>
      <c r="G9" s="41"/>
      <c r="H9" s="39"/>
      <c r="I9" s="43"/>
      <c r="J9" s="43" t="n">
        <v>7800</v>
      </c>
      <c r="K9" s="32" t="s">
        <v>619</v>
      </c>
      <c r="L9" s="33" t="s">
        <v>620</v>
      </c>
      <c r="M9" s="41"/>
      <c r="N9" s="25" t="str">
        <f aca="false">IF(AND($B9="",$E9="",$I9="",$J9=""),"",IF(NOT(ISNUMBER($B9)),"日期无效",IF(ISNA(MATCH($C9,参数设置!$A$10:$A$12,0)),"公司无效",IF(ISNA(MATCH($D9,资金账户!$B$6:$B$25,0)),"账户未建档",IF(ISNA(MATCH($E9,记账规则!$A$13:$A$32,0)),"业务类型无效",IF(AND(N($I9)&lt;&gt;0,N($J9)&lt;&gt;0),"收入和支出只能填一列",IF($P9=0,"金额为 0",IF(AND($R9="收",N($I9)=0),"这类业务是收款，金额填到收入列",IF(AND($R9="支",N($J9)=0),"这类业务是付款，金额填到支出列",IF(AND(SUMPRODUCT(--(INDEX(记账规则!$A$13:$H$32,MATCH($E9,记账规则!$A$13:$A$32,0),0)="@对方"))&gt;0,$G9=""),"这个类型要填对方科目",IF(AND($G9&lt;&gt;"",ISNA(MATCH($G9,会计科目表!$B$6:$B$85,0))),"对方科目不存在",IF(AND($E9="缴纳税费",$H9=""),"缴税请在费用项目里选税种",IF(AND($F9&lt;&gt;"",ISNA(MATCH($F9,往来单位!$A$6:$A$85,0))),"往来单位未建档",IF(YEAR($B9)&lt;&gt;参数设置!$B$5,"不在本会计年度",IF(AND($B8&lt;&gt;"",ISNUMBER($B8),$B9&lt;$B8),"日期比上一行早，余额按行序滚，建议按日期录","OK")))))))))))))))</f>
        <v>OK</v>
      </c>
      <c r="O9" s="58" t="str">
        <f aca="false">IF($B9="","",TEXT($B9,"yyyy-mm"))</f>
        <v>2026-03</v>
      </c>
      <c r="P9" s="60" t="n">
        <f aca="false">IF($E9="","",ROUND(N($I9)+N($J9),2))</f>
        <v>7800</v>
      </c>
      <c r="Q9" s="58" t="str">
        <f aca="false">IF($D9="","",IFERROR(INDEX(资金账户!$F$6:$F$25,MATCH($D9,资金账户!$B$6:$B$25,0)),""))</f>
        <v>银行存款</v>
      </c>
      <c r="R9" s="58" t="str">
        <f aca="false">IF($E9="","",IFERROR(IF(INDEX(记账规则!$A$13:$H$32,MATCH($E9,记账规则!$A$13:$A$32,0),4)="借","收","支"),""))</f>
        <v>支</v>
      </c>
      <c r="S9" s="57" t="n">
        <f aca="false">IF($D9="","",ROUND(SUMIFS(资金账户!$H$6:$H$25,资金账户!$B$6:$B$25,$D9)+SUMIFS($I$6:$I9,$D$6:$D9,$D9)-SUMIFS($J$6:$J9,$D$6:$D9,$D9),2))</f>
        <v>137200</v>
      </c>
      <c r="T9" s="61" t="n">
        <f aca="false">IF($B9="","",YEAR($B9))</f>
        <v>2026</v>
      </c>
    </row>
    <row r="10" customFormat="false" ht="15" hidden="false" customHeight="false" outlineLevel="0" collapsed="false">
      <c r="A10" s="53" t="n">
        <f aca="false">IF($B10="","",ROW()-5)</f>
        <v>5</v>
      </c>
      <c r="B10" s="54" t="n">
        <v>46101</v>
      </c>
      <c r="C10" s="33" t="s">
        <v>107</v>
      </c>
      <c r="D10" s="33" t="s">
        <v>519</v>
      </c>
      <c r="E10" s="33" t="s">
        <v>314</v>
      </c>
      <c r="F10" s="32"/>
      <c r="G10" s="32" t="s">
        <v>119</v>
      </c>
      <c r="H10" s="33" t="s">
        <v>118</v>
      </c>
      <c r="I10" s="43"/>
      <c r="J10" s="43" t="n">
        <v>3200</v>
      </c>
      <c r="K10" s="32" t="s">
        <v>621</v>
      </c>
      <c r="L10" s="39"/>
      <c r="M10" s="41"/>
      <c r="N10" s="25" t="str">
        <f aca="false">IF(AND($B10="",$E10="",$I10="",$J10=""),"",IF(NOT(ISNUMBER($B10)),"日期无效",IF(ISNA(MATCH($C10,参数设置!$A$10:$A$12,0)),"公司无效",IF(ISNA(MATCH($D10,资金账户!$B$6:$B$25,0)),"账户未建档",IF(ISNA(MATCH($E10,记账规则!$A$13:$A$32,0)),"业务类型无效",IF(AND(N($I10)&lt;&gt;0,N($J10)&lt;&gt;0),"收入和支出只能填一列",IF($P10=0,"金额为 0",IF(AND($R10="收",N($I10)=0),"这类业务是收款，金额填到收入列",IF(AND($R10="支",N($J10)=0),"这类业务是付款，金额填到支出列",IF(AND(SUMPRODUCT(--(INDEX(记账规则!$A$13:$H$32,MATCH($E10,记账规则!$A$13:$A$32,0),0)="@对方"))&gt;0,$G10=""),"这个类型要填对方科目",IF(AND($G10&lt;&gt;"",ISNA(MATCH($G10,会计科目表!$B$6:$B$85,0))),"对方科目不存在",IF(AND($E10="缴纳税费",$H10=""),"缴税请在费用项目里选税种",IF(AND($F10&lt;&gt;"",ISNA(MATCH($F10,往来单位!$A$6:$A$85,0))),"往来单位未建档",IF(YEAR($B10)&lt;&gt;参数设置!$B$5,"不在本会计年度",IF(AND($B9&lt;&gt;"",ISNUMBER($B9),$B10&lt;$B9),"日期比上一行早，余额按行序滚，建议按日期录","OK")))))))))))))))</f>
        <v>OK</v>
      </c>
      <c r="O10" s="58" t="str">
        <f aca="false">IF($B10="","",TEXT($B10,"yyyy-mm"))</f>
        <v>2026-03</v>
      </c>
      <c r="P10" s="60" t="n">
        <f aca="false">IF($E10="","",ROUND(N($I10)+N($J10),2))</f>
        <v>3200</v>
      </c>
      <c r="Q10" s="58" t="str">
        <f aca="false">IF($D10="","",IFERROR(INDEX(资金账户!$F$6:$F$25,MATCH($D10,资金账户!$B$6:$B$25,0)),""))</f>
        <v>银行存款</v>
      </c>
      <c r="R10" s="58" t="str">
        <f aca="false">IF($E10="","",IFERROR(IF(INDEX(记账规则!$A$13:$H$32,MATCH($E10,记账规则!$A$13:$A$32,0),4)="借","收","支"),""))</f>
        <v>支</v>
      </c>
      <c r="S10" s="57" t="n">
        <f aca="false">IF($D10="","",ROUND(SUMIFS(资金账户!$H$6:$H$25,资金账户!$B$6:$B$25,$D10)+SUMIFS($I$6:$I10,$D$6:$D10,$D10)-SUMIFS($J$6:$J10,$D$6:$D10,$D10),2))</f>
        <v>134000</v>
      </c>
      <c r="T10" s="61" t="n">
        <f aca="false">IF($B10="","",YEAR($B10))</f>
        <v>2026</v>
      </c>
    </row>
    <row r="11" customFormat="false" ht="15" hidden="false" customHeight="false" outlineLevel="0" collapsed="false">
      <c r="A11" s="53" t="n">
        <f aca="false">IF($B11="","",ROW()-5)</f>
        <v>6</v>
      </c>
      <c r="B11" s="54" t="n">
        <v>46132</v>
      </c>
      <c r="C11" s="33" t="s">
        <v>110</v>
      </c>
      <c r="D11" s="33" t="s">
        <v>524</v>
      </c>
      <c r="E11" s="33" t="s">
        <v>300</v>
      </c>
      <c r="F11" s="32" t="s">
        <v>487</v>
      </c>
      <c r="G11" s="41"/>
      <c r="H11" s="39"/>
      <c r="I11" s="43"/>
      <c r="J11" s="43" t="n">
        <v>12000</v>
      </c>
      <c r="K11" s="32" t="s">
        <v>622</v>
      </c>
      <c r="L11" s="33" t="s">
        <v>623</v>
      </c>
      <c r="M11" s="41"/>
      <c r="N11" s="25" t="str">
        <f aca="false">IF(AND($B11="",$E11="",$I11="",$J11=""),"",IF(NOT(ISNUMBER($B11)),"日期无效",IF(ISNA(MATCH($C11,参数设置!$A$10:$A$12,0)),"公司无效",IF(ISNA(MATCH($D11,资金账户!$B$6:$B$25,0)),"账户未建档",IF(ISNA(MATCH($E11,记账规则!$A$13:$A$32,0)),"业务类型无效",IF(AND(N($I11)&lt;&gt;0,N($J11)&lt;&gt;0),"收入和支出只能填一列",IF($P11=0,"金额为 0",IF(AND($R11="收",N($I11)=0),"这类业务是收款，金额填到收入列",IF(AND($R11="支",N($J11)=0),"这类业务是付款，金额填到支出列",IF(AND(SUMPRODUCT(--(INDEX(记账规则!$A$13:$H$32,MATCH($E11,记账规则!$A$13:$A$32,0),0)="@对方"))&gt;0,$G11=""),"这个类型要填对方科目",IF(AND($G11&lt;&gt;"",ISNA(MATCH($G11,会计科目表!$B$6:$B$85,0))),"对方科目不存在",IF(AND($E11="缴纳税费",$H11=""),"缴税请在费用项目里选税种",IF(AND($F11&lt;&gt;"",ISNA(MATCH($F11,往来单位!$A$6:$A$85,0))),"往来单位未建档",IF(YEAR($B11)&lt;&gt;参数设置!$B$5,"不在本会计年度",IF(AND($B10&lt;&gt;"",ISNUMBER($B10),$B11&lt;$B10),"日期比上一行早，余额按行序滚，建议按日期录","OK")))))))))))))))</f>
        <v>OK</v>
      </c>
      <c r="O11" s="58" t="str">
        <f aca="false">IF($B11="","",TEXT($B11,"yyyy-mm"))</f>
        <v>2026-04</v>
      </c>
      <c r="P11" s="60" t="n">
        <f aca="false">IF($E11="","",ROUND(N($I11)+N($J11),2))</f>
        <v>12000</v>
      </c>
      <c r="Q11" s="58" t="str">
        <f aca="false">IF($D11="","",IFERROR(INDEX(资金账户!$F$6:$F$25,MATCH($D11,资金账户!$B$6:$B$25,0)),""))</f>
        <v>银行存款</v>
      </c>
      <c r="R11" s="58" t="str">
        <f aca="false">IF($E11="","",IFERROR(IF(INDEX(记账规则!$A$13:$H$32,MATCH($E11,记账规则!$A$13:$A$32,0),4)="借","收","支"),""))</f>
        <v>支</v>
      </c>
      <c r="S11" s="57" t="n">
        <f aca="false">IF($D11="","",ROUND(SUMIFS(资金账户!$H$6:$H$25,资金账户!$B$6:$B$25,$D11)+SUMIFS($I$6:$I11,$D$6:$D11,$D11)-SUMIFS($J$6:$J11,$D$6:$D11,$D11),2))</f>
        <v>398000</v>
      </c>
      <c r="T11" s="61" t="n">
        <f aca="false">IF($B11="","",YEAR($B11))</f>
        <v>2026</v>
      </c>
    </row>
    <row r="12" customFormat="false" ht="15" hidden="false" customHeight="false" outlineLevel="0" collapsed="false">
      <c r="A12" s="53" t="n">
        <f aca="false">IF($B12="","",ROW()-5)</f>
        <v>7</v>
      </c>
      <c r="B12" s="54" t="n">
        <v>46154</v>
      </c>
      <c r="C12" s="33" t="s">
        <v>110</v>
      </c>
      <c r="D12" s="33" t="s">
        <v>524</v>
      </c>
      <c r="E12" s="33" t="s">
        <v>300</v>
      </c>
      <c r="F12" s="32" t="s">
        <v>477</v>
      </c>
      <c r="G12" s="41"/>
      <c r="H12" s="39"/>
      <c r="I12" s="43"/>
      <c r="J12" s="43" t="n">
        <v>58800</v>
      </c>
      <c r="K12" s="32" t="s">
        <v>624</v>
      </c>
      <c r="L12" s="33" t="s">
        <v>625</v>
      </c>
      <c r="M12" s="41"/>
      <c r="N12" s="25" t="str">
        <f aca="false">IF(AND($B12="",$E12="",$I12="",$J12=""),"",IF(NOT(ISNUMBER($B12)),"日期无效",IF(ISNA(MATCH($C12,参数设置!$A$10:$A$12,0)),"公司无效",IF(ISNA(MATCH($D12,资金账户!$B$6:$B$25,0)),"账户未建档",IF(ISNA(MATCH($E12,记账规则!$A$13:$A$32,0)),"业务类型无效",IF(AND(N($I12)&lt;&gt;0,N($J12)&lt;&gt;0),"收入和支出只能填一列",IF($P12=0,"金额为 0",IF(AND($R12="收",N($I12)=0),"这类业务是收款，金额填到收入列",IF(AND($R12="支",N($J12)=0),"这类业务是付款，金额填到支出列",IF(AND(SUMPRODUCT(--(INDEX(记账规则!$A$13:$H$32,MATCH($E12,记账规则!$A$13:$A$32,0),0)="@对方"))&gt;0,$G12=""),"这个类型要填对方科目",IF(AND($G12&lt;&gt;"",ISNA(MATCH($G12,会计科目表!$B$6:$B$85,0))),"对方科目不存在",IF(AND($E12="缴纳税费",$H12=""),"缴税请在费用项目里选税种",IF(AND($F12&lt;&gt;"",ISNA(MATCH($F12,往来单位!$A$6:$A$85,0))),"往来单位未建档",IF(YEAR($B12)&lt;&gt;参数设置!$B$5,"不在本会计年度",IF(AND($B11&lt;&gt;"",ISNUMBER($B11),$B12&lt;$B11),"日期比上一行早，余额按行序滚，建议按日期录","OK")))))))))))))))</f>
        <v>OK</v>
      </c>
      <c r="O12" s="58" t="str">
        <f aca="false">IF($B12="","",TEXT($B12,"yyyy-mm"))</f>
        <v>2026-05</v>
      </c>
      <c r="P12" s="60" t="n">
        <f aca="false">IF($E12="","",ROUND(N($I12)+N($J12),2))</f>
        <v>58800</v>
      </c>
      <c r="Q12" s="58" t="str">
        <f aca="false">IF($D12="","",IFERROR(INDEX(资金账户!$F$6:$F$25,MATCH($D12,资金账户!$B$6:$B$25,0)),""))</f>
        <v>银行存款</v>
      </c>
      <c r="R12" s="58" t="str">
        <f aca="false">IF($E12="","",IFERROR(IF(INDEX(记账规则!$A$13:$H$32,MATCH($E12,记账规则!$A$13:$A$32,0),4)="借","收","支"),""))</f>
        <v>支</v>
      </c>
      <c r="S12" s="57" t="n">
        <f aca="false">IF($D12="","",ROUND(SUMIFS(资金账户!$H$6:$H$25,资金账户!$B$6:$B$25,$D12)+SUMIFS($I$6:$I12,$D$6:$D12,$D12)-SUMIFS($J$6:$J12,$D$6:$D12,$D12),2))</f>
        <v>339200</v>
      </c>
      <c r="T12" s="61" t="n">
        <f aca="false">IF($B12="","",YEAR($B12))</f>
        <v>2026</v>
      </c>
    </row>
    <row r="13" customFormat="false" ht="15" hidden="false" customHeight="false" outlineLevel="0" collapsed="false">
      <c r="A13" s="53" t="n">
        <f aca="false">IF($B13="","",ROW()-5)</f>
        <v>8</v>
      </c>
      <c r="B13" s="54" t="n">
        <v>46167</v>
      </c>
      <c r="C13" s="33" t="s">
        <v>112</v>
      </c>
      <c r="D13" s="33" t="s">
        <v>528</v>
      </c>
      <c r="E13" s="33" t="s">
        <v>300</v>
      </c>
      <c r="F13" s="32" t="s">
        <v>489</v>
      </c>
      <c r="G13" s="41"/>
      <c r="H13" s="39"/>
      <c r="I13" s="43"/>
      <c r="J13" s="43" t="n">
        <v>19200</v>
      </c>
      <c r="K13" s="32" t="s">
        <v>626</v>
      </c>
      <c r="L13" s="33" t="s">
        <v>627</v>
      </c>
      <c r="M13" s="41"/>
      <c r="N13" s="25" t="str">
        <f aca="false">IF(AND($B13="",$E13="",$I13="",$J13=""),"",IF(NOT(ISNUMBER($B13)),"日期无效",IF(ISNA(MATCH($C13,参数设置!$A$10:$A$12,0)),"公司无效",IF(ISNA(MATCH($D13,资金账户!$B$6:$B$25,0)),"账户未建档",IF(ISNA(MATCH($E13,记账规则!$A$13:$A$32,0)),"业务类型无效",IF(AND(N($I13)&lt;&gt;0,N($J13)&lt;&gt;0),"收入和支出只能填一列",IF($P13=0,"金额为 0",IF(AND($R13="收",N($I13)=0),"这类业务是收款，金额填到收入列",IF(AND($R13="支",N($J13)=0),"这类业务是付款，金额填到支出列",IF(AND(SUMPRODUCT(--(INDEX(记账规则!$A$13:$H$32,MATCH($E13,记账规则!$A$13:$A$32,0),0)="@对方"))&gt;0,$G13=""),"这个类型要填对方科目",IF(AND($G13&lt;&gt;"",ISNA(MATCH($G13,会计科目表!$B$6:$B$85,0))),"对方科目不存在",IF(AND($E13="缴纳税费",$H13=""),"缴税请在费用项目里选税种",IF(AND($F13&lt;&gt;"",ISNA(MATCH($F13,往来单位!$A$6:$A$85,0))),"往来单位未建档",IF(YEAR($B13)&lt;&gt;参数设置!$B$5,"不在本会计年度",IF(AND($B12&lt;&gt;"",ISNUMBER($B12),$B13&lt;$B12),"日期比上一行早，余额按行序滚，建议按日期录","OK")))))))))))))))</f>
        <v>OK</v>
      </c>
      <c r="O13" s="58" t="str">
        <f aca="false">IF($B13="","",TEXT($B13,"yyyy-mm"))</f>
        <v>2026-05</v>
      </c>
      <c r="P13" s="60" t="n">
        <f aca="false">IF($E13="","",ROUND(N($I13)+N($J13),2))</f>
        <v>19200</v>
      </c>
      <c r="Q13" s="58" t="str">
        <f aca="false">IF($D13="","",IFERROR(INDEX(资金账户!$F$6:$F$25,MATCH($D13,资金账户!$B$6:$B$25,0)),""))</f>
        <v>银行存款</v>
      </c>
      <c r="R13" s="58" t="str">
        <f aca="false">IF($E13="","",IFERROR(IF(INDEX(记账规则!$A$13:$H$32,MATCH($E13,记账规则!$A$13:$A$32,0),4)="借","收","支"),""))</f>
        <v>支</v>
      </c>
      <c r="S13" s="57" t="n">
        <f aca="false">IF($D13="","",ROUND(SUMIFS(资金账户!$H$6:$H$25,资金账户!$B$6:$B$25,$D13)+SUMIFS($I$6:$I13,$D$6:$D13,$D13)-SUMIFS($J$6:$J13,$D$6:$D13,$D13),2))</f>
        <v>400800</v>
      </c>
      <c r="T13" s="61" t="n">
        <f aca="false">IF($B13="","",YEAR($B13))</f>
        <v>2026</v>
      </c>
    </row>
    <row r="14" customFormat="false" ht="15" hidden="false" customHeight="false" outlineLevel="0" collapsed="false">
      <c r="A14" s="53" t="n">
        <f aca="false">IF($B14="","",ROW()-5)</f>
        <v>9</v>
      </c>
      <c r="B14" s="54" t="n">
        <v>46172</v>
      </c>
      <c r="C14" s="33" t="s">
        <v>112</v>
      </c>
      <c r="D14" s="33" t="s">
        <v>528</v>
      </c>
      <c r="E14" s="33" t="s">
        <v>300</v>
      </c>
      <c r="F14" s="32" t="s">
        <v>491</v>
      </c>
      <c r="G14" s="41"/>
      <c r="H14" s="39"/>
      <c r="I14" s="43"/>
      <c r="J14" s="43" t="n">
        <v>4080</v>
      </c>
      <c r="K14" s="32" t="s">
        <v>628</v>
      </c>
      <c r="L14" s="33" t="s">
        <v>629</v>
      </c>
      <c r="M14" s="41"/>
      <c r="N14" s="25" t="str">
        <f aca="false">IF(AND($B14="",$E14="",$I14="",$J14=""),"",IF(NOT(ISNUMBER($B14)),"日期无效",IF(ISNA(MATCH($C14,参数设置!$A$10:$A$12,0)),"公司无效",IF(ISNA(MATCH($D14,资金账户!$B$6:$B$25,0)),"账户未建档",IF(ISNA(MATCH($E14,记账规则!$A$13:$A$32,0)),"业务类型无效",IF(AND(N($I14)&lt;&gt;0,N($J14)&lt;&gt;0),"收入和支出只能填一列",IF($P14=0,"金额为 0",IF(AND($R14="收",N($I14)=0),"这类业务是收款，金额填到收入列",IF(AND($R14="支",N($J14)=0),"这类业务是付款，金额填到支出列",IF(AND(SUMPRODUCT(--(INDEX(记账规则!$A$13:$H$32,MATCH($E14,记账规则!$A$13:$A$32,0),0)="@对方"))&gt;0,$G14=""),"这个类型要填对方科目",IF(AND($G14&lt;&gt;"",ISNA(MATCH($G14,会计科目表!$B$6:$B$85,0))),"对方科目不存在",IF(AND($E14="缴纳税费",$H14=""),"缴税请在费用项目里选税种",IF(AND($F14&lt;&gt;"",ISNA(MATCH($F14,往来单位!$A$6:$A$85,0))),"往来单位未建档",IF(YEAR($B14)&lt;&gt;参数设置!$B$5,"不在本会计年度",IF(AND($B13&lt;&gt;"",ISNUMBER($B13),$B14&lt;$B13),"日期比上一行早，余额按行序滚，建议按日期录","OK")))))))))))))))</f>
        <v>OK</v>
      </c>
      <c r="O14" s="58" t="str">
        <f aca="false">IF($B14="","",TEXT($B14,"yyyy-mm"))</f>
        <v>2026-05</v>
      </c>
      <c r="P14" s="60" t="n">
        <f aca="false">IF($E14="","",ROUND(N($I14)+N($J14),2))</f>
        <v>4080</v>
      </c>
      <c r="Q14" s="58" t="str">
        <f aca="false">IF($D14="","",IFERROR(INDEX(资金账户!$F$6:$F$25,MATCH($D14,资金账户!$B$6:$B$25,0)),""))</f>
        <v>银行存款</v>
      </c>
      <c r="R14" s="58" t="str">
        <f aca="false">IF($E14="","",IFERROR(IF(INDEX(记账规则!$A$13:$H$32,MATCH($E14,记账规则!$A$13:$A$32,0),4)="借","收","支"),""))</f>
        <v>支</v>
      </c>
      <c r="S14" s="57" t="n">
        <f aca="false">IF($D14="","",ROUND(SUMIFS(资金账户!$H$6:$H$25,资金账户!$B$6:$B$25,$D14)+SUMIFS($I$6:$I14,$D$6:$D14,$D14)-SUMIFS($J$6:$J14,$D$6:$D14,$D14),2))</f>
        <v>396720</v>
      </c>
      <c r="T14" s="61" t="n">
        <f aca="false">IF($B14="","",YEAR($B14))</f>
        <v>2026</v>
      </c>
    </row>
    <row r="15" customFormat="false" ht="15" hidden="false" customHeight="false" outlineLevel="0" collapsed="false">
      <c r="A15" s="53" t="n">
        <f aca="false">IF($B15="","",ROW()-5)</f>
        <v>10</v>
      </c>
      <c r="B15" s="54" t="n">
        <v>46201</v>
      </c>
      <c r="C15" s="33" t="s">
        <v>107</v>
      </c>
      <c r="D15" s="33" t="s">
        <v>519</v>
      </c>
      <c r="E15" s="33" t="s">
        <v>297</v>
      </c>
      <c r="F15" s="32" t="s">
        <v>7</v>
      </c>
      <c r="G15" s="41"/>
      <c r="H15" s="39"/>
      <c r="I15" s="43" t="n">
        <v>150000</v>
      </c>
      <c r="J15" s="43"/>
      <c r="K15" s="32" t="s">
        <v>630</v>
      </c>
      <c r="L15" s="33" t="s">
        <v>631</v>
      </c>
      <c r="M15" s="41"/>
      <c r="N15" s="25" t="str">
        <f aca="false">IF(AND($B15="",$E15="",$I15="",$J15=""),"",IF(NOT(ISNUMBER($B15)),"日期无效",IF(ISNA(MATCH($C15,参数设置!$A$10:$A$12,0)),"公司无效",IF(ISNA(MATCH($D15,资金账户!$B$6:$B$25,0)),"账户未建档",IF(ISNA(MATCH($E15,记账规则!$A$13:$A$32,0)),"业务类型无效",IF(AND(N($I15)&lt;&gt;0,N($J15)&lt;&gt;0),"收入和支出只能填一列",IF($P15=0,"金额为 0",IF(AND($R15="收",N($I15)=0),"这类业务是收款，金额填到收入列",IF(AND($R15="支",N($J15)=0),"这类业务是付款，金额填到支出列",IF(AND(SUMPRODUCT(--(INDEX(记账规则!$A$13:$H$32,MATCH($E15,记账规则!$A$13:$A$32,0),0)="@对方"))&gt;0,$G15=""),"这个类型要填对方科目",IF(AND($G15&lt;&gt;"",ISNA(MATCH($G15,会计科目表!$B$6:$B$85,0))),"对方科目不存在",IF(AND($E15="缴纳税费",$H15=""),"缴税请在费用项目里选税种",IF(AND($F15&lt;&gt;"",ISNA(MATCH($F15,往来单位!$A$6:$A$85,0))),"往来单位未建档",IF(YEAR($B15)&lt;&gt;参数设置!$B$5,"不在本会计年度",IF(AND($B14&lt;&gt;"",ISNUMBER($B14),$B15&lt;$B14),"日期比上一行早，余额按行序滚，建议按日期录","OK")))))))))))))))</f>
        <v>OK</v>
      </c>
      <c r="O15" s="58" t="str">
        <f aca="false">IF($B15="","",TEXT($B15,"yyyy-mm"))</f>
        <v>2026-06</v>
      </c>
      <c r="P15" s="60" t="n">
        <f aca="false">IF($E15="","",ROUND(N($I15)+N($J15),2))</f>
        <v>150000</v>
      </c>
      <c r="Q15" s="58" t="str">
        <f aca="false">IF($D15="","",IFERROR(INDEX(资金账户!$F$6:$F$25,MATCH($D15,资金账户!$B$6:$B$25,0)),""))</f>
        <v>银行存款</v>
      </c>
      <c r="R15" s="58" t="str">
        <f aca="false">IF($E15="","",IFERROR(IF(INDEX(记账规则!$A$13:$H$32,MATCH($E15,记账规则!$A$13:$A$32,0),4)="借","收","支"),""))</f>
        <v>收</v>
      </c>
      <c r="S15" s="57" t="n">
        <f aca="false">IF($D15="","",ROUND(SUMIFS(资金账户!$H$6:$H$25,资金账户!$B$6:$B$25,$D15)+SUMIFS($I$6:$I15,$D$6:$D15,$D15)-SUMIFS($J$6:$J15,$D$6:$D15,$D15),2))</f>
        <v>284000</v>
      </c>
      <c r="T15" s="61" t="n">
        <f aca="false">IF($B15="","",YEAR($B15))</f>
        <v>2026</v>
      </c>
    </row>
    <row r="16" customFormat="false" ht="15" hidden="false" customHeight="false" outlineLevel="0" collapsed="false">
      <c r="A16" s="53" t="n">
        <f aca="false">IF($B16="","",ROW()-5)</f>
        <v>11</v>
      </c>
      <c r="B16" s="54" t="n">
        <v>46201</v>
      </c>
      <c r="C16" s="33" t="s">
        <v>110</v>
      </c>
      <c r="D16" s="33" t="s">
        <v>524</v>
      </c>
      <c r="E16" s="33" t="s">
        <v>300</v>
      </c>
      <c r="F16" s="32" t="s">
        <v>6</v>
      </c>
      <c r="G16" s="41"/>
      <c r="H16" s="39"/>
      <c r="I16" s="43"/>
      <c r="J16" s="43" t="n">
        <v>150000</v>
      </c>
      <c r="K16" s="32" t="s">
        <v>632</v>
      </c>
      <c r="L16" s="33" t="s">
        <v>633</v>
      </c>
      <c r="M16" s="41"/>
      <c r="N16" s="25" t="str">
        <f aca="false">IF(AND($B16="",$E16="",$I16="",$J16=""),"",IF(NOT(ISNUMBER($B16)),"日期无效",IF(ISNA(MATCH($C16,参数设置!$A$10:$A$12,0)),"公司无效",IF(ISNA(MATCH($D16,资金账户!$B$6:$B$25,0)),"账户未建档",IF(ISNA(MATCH($E16,记账规则!$A$13:$A$32,0)),"业务类型无效",IF(AND(N($I16)&lt;&gt;0,N($J16)&lt;&gt;0),"收入和支出只能填一列",IF($P16=0,"金额为 0",IF(AND($R16="收",N($I16)=0),"这类业务是收款，金额填到收入列",IF(AND($R16="支",N($J16)=0),"这类业务是付款，金额填到支出列",IF(AND(SUMPRODUCT(--(INDEX(记账规则!$A$13:$H$32,MATCH($E16,记账规则!$A$13:$A$32,0),0)="@对方"))&gt;0,$G16=""),"这个类型要填对方科目",IF(AND($G16&lt;&gt;"",ISNA(MATCH($G16,会计科目表!$B$6:$B$85,0))),"对方科目不存在",IF(AND($E16="缴纳税费",$H16=""),"缴税请在费用项目里选税种",IF(AND($F16&lt;&gt;"",ISNA(MATCH($F16,往来单位!$A$6:$A$85,0))),"往来单位未建档",IF(YEAR($B16)&lt;&gt;参数设置!$B$5,"不在本会计年度",IF(AND($B15&lt;&gt;"",ISNUMBER($B15),$B16&lt;$B15),"日期比上一行早，余额按行序滚，建议按日期录","OK")))))))))))))))</f>
        <v>OK</v>
      </c>
      <c r="O16" s="58" t="str">
        <f aca="false">IF($B16="","",TEXT($B16,"yyyy-mm"))</f>
        <v>2026-06</v>
      </c>
      <c r="P16" s="60" t="n">
        <f aca="false">IF($E16="","",ROUND(N($I16)+N($J16),2))</f>
        <v>150000</v>
      </c>
      <c r="Q16" s="58" t="str">
        <f aca="false">IF($D16="","",IFERROR(INDEX(资金账户!$F$6:$F$25,MATCH($D16,资金账户!$B$6:$B$25,0)),""))</f>
        <v>银行存款</v>
      </c>
      <c r="R16" s="58" t="str">
        <f aca="false">IF($E16="","",IFERROR(IF(INDEX(记账规则!$A$13:$H$32,MATCH($E16,记账规则!$A$13:$A$32,0),4)="借","收","支"),""))</f>
        <v>支</v>
      </c>
      <c r="S16" s="57" t="n">
        <f aca="false">IF($D16="","",ROUND(SUMIFS(资金账户!$H$6:$H$25,资金账户!$B$6:$B$25,$D16)+SUMIFS($I$6:$I16,$D$6:$D16,$D16)-SUMIFS($J$6:$J16,$D$6:$D16,$D16),2))</f>
        <v>189200</v>
      </c>
      <c r="T16" s="61" t="n">
        <f aca="false">IF($B16="","",YEAR($B16))</f>
        <v>2026</v>
      </c>
    </row>
    <row r="17" customFormat="false" ht="15" hidden="false" customHeight="false" outlineLevel="0" collapsed="false">
      <c r="A17" s="53" t="n">
        <f aca="false">IF($B17="","",ROW()-5)</f>
        <v>12</v>
      </c>
      <c r="B17" s="54" t="n">
        <v>46203</v>
      </c>
      <c r="C17" s="33" t="s">
        <v>112</v>
      </c>
      <c r="D17" s="33" t="s">
        <v>528</v>
      </c>
      <c r="E17" s="33" t="s">
        <v>314</v>
      </c>
      <c r="F17" s="32" t="s">
        <v>495</v>
      </c>
      <c r="G17" s="32" t="s">
        <v>145</v>
      </c>
      <c r="H17" s="33" t="s">
        <v>146</v>
      </c>
      <c r="I17" s="43"/>
      <c r="J17" s="43" t="n">
        <v>26500</v>
      </c>
      <c r="K17" s="32" t="s">
        <v>634</v>
      </c>
      <c r="L17" s="39"/>
      <c r="M17" s="41"/>
      <c r="N17" s="25" t="str">
        <f aca="false">IF(AND($B17="",$E17="",$I17="",$J17=""),"",IF(NOT(ISNUMBER($B17)),"日期无效",IF(ISNA(MATCH($C17,参数设置!$A$10:$A$12,0)),"公司无效",IF(ISNA(MATCH($D17,资金账户!$B$6:$B$25,0)),"账户未建档",IF(ISNA(MATCH($E17,记账规则!$A$13:$A$32,0)),"业务类型无效",IF(AND(N($I17)&lt;&gt;0,N($J17)&lt;&gt;0),"收入和支出只能填一列",IF($P17=0,"金额为 0",IF(AND($R17="收",N($I17)=0),"这类业务是收款，金额填到收入列",IF(AND($R17="支",N($J17)=0),"这类业务是付款，金额填到支出列",IF(AND(SUMPRODUCT(--(INDEX(记账规则!$A$13:$H$32,MATCH($E17,记账规则!$A$13:$A$32,0),0)="@对方"))&gt;0,$G17=""),"这个类型要填对方科目",IF(AND($G17&lt;&gt;"",ISNA(MATCH($G17,会计科目表!$B$6:$B$85,0))),"对方科目不存在",IF(AND($E17="缴纳税费",$H17=""),"缴税请在费用项目里选税种",IF(AND($F17&lt;&gt;"",ISNA(MATCH($F17,往来单位!$A$6:$A$85,0))),"往来单位未建档",IF(YEAR($B17)&lt;&gt;参数设置!$B$5,"不在本会计年度",IF(AND($B16&lt;&gt;"",ISNUMBER($B16),$B17&lt;$B16),"日期比上一行早，余额按行序滚，建议按日期录","OK")))))))))))))))</f>
        <v>OK</v>
      </c>
      <c r="O17" s="58" t="str">
        <f aca="false">IF($B17="","",TEXT($B17,"yyyy-mm"))</f>
        <v>2026-06</v>
      </c>
      <c r="P17" s="60" t="n">
        <f aca="false">IF($E17="","",ROUND(N($I17)+N($J17),2))</f>
        <v>26500</v>
      </c>
      <c r="Q17" s="58" t="str">
        <f aca="false">IF($D17="","",IFERROR(INDEX(资金账户!$F$6:$F$25,MATCH($D17,资金账户!$B$6:$B$25,0)),""))</f>
        <v>银行存款</v>
      </c>
      <c r="R17" s="58" t="str">
        <f aca="false">IF($E17="","",IFERROR(IF(INDEX(记账规则!$A$13:$H$32,MATCH($E17,记账规则!$A$13:$A$32,0),4)="借","收","支"),""))</f>
        <v>支</v>
      </c>
      <c r="S17" s="57" t="n">
        <f aca="false">IF($D17="","",ROUND(SUMIFS(资金账户!$H$6:$H$25,资金账户!$B$6:$B$25,$D17)+SUMIFS($I$6:$I17,$D$6:$D17,$D17)-SUMIFS($J$6:$J17,$D$6:$D17,$D17),2))</f>
        <v>370220</v>
      </c>
      <c r="T17" s="61" t="n">
        <f aca="false">IF($B17="","",YEAR($B17))</f>
        <v>2026</v>
      </c>
    </row>
    <row r="18" customFormat="false" ht="15" hidden="false" customHeight="false" outlineLevel="0" collapsed="false">
      <c r="A18" s="53" t="n">
        <f aca="false">IF($B18="","",ROW()-5)</f>
        <v>13</v>
      </c>
      <c r="B18" s="54" t="n">
        <v>46223</v>
      </c>
      <c r="C18" s="33" t="s">
        <v>110</v>
      </c>
      <c r="D18" s="33" t="s">
        <v>532</v>
      </c>
      <c r="E18" s="33" t="s">
        <v>297</v>
      </c>
      <c r="F18" s="32" t="s">
        <v>460</v>
      </c>
      <c r="G18" s="41"/>
      <c r="H18" s="39"/>
      <c r="I18" s="43" t="n">
        <v>300000</v>
      </c>
      <c r="J18" s="43"/>
      <c r="K18" s="32" t="s">
        <v>635</v>
      </c>
      <c r="L18" s="33" t="s">
        <v>636</v>
      </c>
      <c r="M18" s="41"/>
      <c r="N18" s="25" t="str">
        <f aca="false">IF(AND($B18="",$E18="",$I18="",$J18=""),"",IF(NOT(ISNUMBER($B18)),"日期无效",IF(ISNA(MATCH($C18,参数设置!$A$10:$A$12,0)),"公司无效",IF(ISNA(MATCH($D18,资金账户!$B$6:$B$25,0)),"账户未建档",IF(ISNA(MATCH($E18,记账规则!$A$13:$A$32,0)),"业务类型无效",IF(AND(N($I18)&lt;&gt;0,N($J18)&lt;&gt;0),"收入和支出只能填一列",IF($P18=0,"金额为 0",IF(AND($R18="收",N($I18)=0),"这类业务是收款，金额填到收入列",IF(AND($R18="支",N($J18)=0),"这类业务是付款，金额填到支出列",IF(AND(SUMPRODUCT(--(INDEX(记账规则!$A$13:$H$32,MATCH($E18,记账规则!$A$13:$A$32,0),0)="@对方"))&gt;0,$G18=""),"这个类型要填对方科目",IF(AND($G18&lt;&gt;"",ISNA(MATCH($G18,会计科目表!$B$6:$B$85,0))),"对方科目不存在",IF(AND($E18="缴纳税费",$H18=""),"缴税请在费用项目里选税种",IF(AND($F18&lt;&gt;"",ISNA(MATCH($F18,往来单位!$A$6:$A$85,0))),"往来单位未建档",IF(YEAR($B18)&lt;&gt;参数设置!$B$5,"不在本会计年度",IF(AND($B17&lt;&gt;"",ISNUMBER($B17),$B18&lt;$B17),"日期比上一行早，余额按行序滚，建议按日期录","OK")))))))))))))))</f>
        <v>OK</v>
      </c>
      <c r="O18" s="58" t="str">
        <f aca="false">IF($B18="","",TEXT($B18,"yyyy-mm"))</f>
        <v>2026-07</v>
      </c>
      <c r="P18" s="60" t="n">
        <f aca="false">IF($E18="","",ROUND(N($I18)+N($J18),2))</f>
        <v>300000</v>
      </c>
      <c r="Q18" s="58" t="str">
        <f aca="false">IF($D18="","",IFERROR(INDEX(资金账户!$F$6:$F$25,MATCH($D18,资金账户!$B$6:$B$25,0)),""))</f>
        <v>银行存款</v>
      </c>
      <c r="R18" s="58" t="str">
        <f aca="false">IF($E18="","",IFERROR(IF(INDEX(记账规则!$A$13:$H$32,MATCH($E18,记账规则!$A$13:$A$32,0),4)="借","收","支"),""))</f>
        <v>收</v>
      </c>
      <c r="S18" s="57" t="n">
        <f aca="false">IF($D18="","",ROUND(SUMIFS(资金账户!$H$6:$H$25,资金账户!$B$6:$B$25,$D18)+SUMIFS($I$6:$I18,$D$6:$D18,$D18)-SUMIFS($J$6:$J18,$D$6:$D18,$D18),2))</f>
        <v>300000</v>
      </c>
      <c r="T18" s="61" t="n">
        <f aca="false">IF($B18="","",YEAR($B18))</f>
        <v>2026</v>
      </c>
    </row>
    <row r="19" customFormat="false" ht="15" hidden="false" customHeight="false" outlineLevel="0" collapsed="false">
      <c r="A19" s="53" t="n">
        <f aca="false">IF($B19="","",ROW()-5)</f>
        <v>14</v>
      </c>
      <c r="B19" s="54" t="n">
        <v>46233</v>
      </c>
      <c r="C19" s="33" t="s">
        <v>107</v>
      </c>
      <c r="D19" s="33" t="s">
        <v>519</v>
      </c>
      <c r="E19" s="33" t="s">
        <v>325</v>
      </c>
      <c r="F19" s="32"/>
      <c r="G19" s="41"/>
      <c r="H19" s="33" t="s">
        <v>137</v>
      </c>
      <c r="I19" s="43"/>
      <c r="J19" s="43" t="n">
        <v>68000</v>
      </c>
      <c r="K19" s="32" t="s">
        <v>637</v>
      </c>
      <c r="L19" s="39"/>
      <c r="M19" s="41"/>
      <c r="N19" s="25" t="str">
        <f aca="false">IF(AND($B19="",$E19="",$I19="",$J19=""),"",IF(NOT(ISNUMBER($B19)),"日期无效",IF(ISNA(MATCH($C19,参数设置!$A$10:$A$12,0)),"公司无效",IF(ISNA(MATCH($D19,资金账户!$B$6:$B$25,0)),"账户未建档",IF(ISNA(MATCH($E19,记账规则!$A$13:$A$32,0)),"业务类型无效",IF(AND(N($I19)&lt;&gt;0,N($J19)&lt;&gt;0),"收入和支出只能填一列",IF($P19=0,"金额为 0",IF(AND($R19="收",N($I19)=0),"这类业务是收款，金额填到收入列",IF(AND($R19="支",N($J19)=0),"这类业务是付款，金额填到支出列",IF(AND(SUMPRODUCT(--(INDEX(记账规则!$A$13:$H$32,MATCH($E19,记账规则!$A$13:$A$32,0),0)="@对方"))&gt;0,$G19=""),"这个类型要填对方科目",IF(AND($G19&lt;&gt;"",ISNA(MATCH($G19,会计科目表!$B$6:$B$85,0))),"对方科目不存在",IF(AND($E19="缴纳税费",$H19=""),"缴税请在费用项目里选税种",IF(AND($F19&lt;&gt;"",ISNA(MATCH($F19,往来单位!$A$6:$A$85,0))),"往来单位未建档",IF(YEAR($B19)&lt;&gt;参数设置!$B$5,"不在本会计年度",IF(AND($B18&lt;&gt;"",ISNUMBER($B18),$B19&lt;$B18),"日期比上一行早，余额按行序滚，建议按日期录","OK")))))))))))))))</f>
        <v>OK</v>
      </c>
      <c r="O19" s="58" t="str">
        <f aca="false">IF($B19="","",TEXT($B19,"yyyy-mm"))</f>
        <v>2026-07</v>
      </c>
      <c r="P19" s="60" t="n">
        <f aca="false">IF($E19="","",ROUND(N($I19)+N($J19),2))</f>
        <v>68000</v>
      </c>
      <c r="Q19" s="58" t="str">
        <f aca="false">IF($D19="","",IFERROR(INDEX(资金账户!$F$6:$F$25,MATCH($D19,资金账户!$B$6:$B$25,0)),""))</f>
        <v>银行存款</v>
      </c>
      <c r="R19" s="58" t="str">
        <f aca="false">IF($E19="","",IFERROR(IF(INDEX(记账规则!$A$13:$H$32,MATCH($E19,记账规则!$A$13:$A$32,0),4)="借","收","支"),""))</f>
        <v>支</v>
      </c>
      <c r="S19" s="57" t="n">
        <f aca="false">IF($D19="","",ROUND(SUMIFS(资金账户!$H$6:$H$25,资金账户!$B$6:$B$25,$D19)+SUMIFS($I$6:$I19,$D$6:$D19,$D19)-SUMIFS($J$6:$J19,$D$6:$D19,$D19),2))</f>
        <v>216000</v>
      </c>
      <c r="T19" s="61" t="n">
        <f aca="false">IF($B19="","",YEAR($B19))</f>
        <v>2026</v>
      </c>
    </row>
    <row r="20" customFormat="false" ht="15" hidden="false" customHeight="false" outlineLevel="0" collapsed="false">
      <c r="A20" s="53" t="n">
        <f aca="false">IF($B20="","",ROW()-5)</f>
        <v>15</v>
      </c>
      <c r="B20" s="54" t="n">
        <v>46244</v>
      </c>
      <c r="C20" s="33" t="s">
        <v>107</v>
      </c>
      <c r="D20" s="33" t="s">
        <v>519</v>
      </c>
      <c r="E20" s="33" t="s">
        <v>331</v>
      </c>
      <c r="F20" s="32" t="s">
        <v>499</v>
      </c>
      <c r="G20" s="41"/>
      <c r="H20" s="33" t="s">
        <v>151</v>
      </c>
      <c r="I20" s="43"/>
      <c r="J20" s="43" t="n">
        <v>6000</v>
      </c>
      <c r="K20" s="32" t="s">
        <v>638</v>
      </c>
      <c r="L20" s="39"/>
      <c r="M20" s="41"/>
      <c r="N20" s="25" t="str">
        <f aca="false">IF(AND($B20="",$E20="",$I20="",$J20=""),"",IF(NOT(ISNUMBER($B20)),"日期无效",IF(ISNA(MATCH($C20,参数设置!$A$10:$A$12,0)),"公司无效",IF(ISNA(MATCH($D20,资金账户!$B$6:$B$25,0)),"账户未建档",IF(ISNA(MATCH($E20,记账规则!$A$13:$A$32,0)),"业务类型无效",IF(AND(N($I20)&lt;&gt;0,N($J20)&lt;&gt;0),"收入和支出只能填一列",IF($P20=0,"金额为 0",IF(AND($R20="收",N($I20)=0),"这类业务是收款，金额填到收入列",IF(AND($R20="支",N($J20)=0),"这类业务是付款，金额填到支出列",IF(AND(SUMPRODUCT(--(INDEX(记账规则!$A$13:$H$32,MATCH($E20,记账规则!$A$13:$A$32,0),0)="@对方"))&gt;0,$G20=""),"这个类型要填对方科目",IF(AND($G20&lt;&gt;"",ISNA(MATCH($G20,会计科目表!$B$6:$B$85,0))),"对方科目不存在",IF(AND($E20="缴纳税费",$H20=""),"缴税请在费用项目里选税种",IF(AND($F20&lt;&gt;"",ISNA(MATCH($F20,往来单位!$A$6:$A$85,0))),"往来单位未建档",IF(YEAR($B20)&lt;&gt;参数设置!$B$5,"不在本会计年度",IF(AND($B19&lt;&gt;"",ISNUMBER($B19),$B20&lt;$B19),"日期比上一行早，余额按行序滚，建议按日期录","OK")))))))))))))))</f>
        <v>OK</v>
      </c>
      <c r="O20" s="58" t="str">
        <f aca="false">IF($B20="","",TEXT($B20,"yyyy-mm"))</f>
        <v>2026-08</v>
      </c>
      <c r="P20" s="60" t="n">
        <f aca="false">IF($E20="","",ROUND(N($I20)+N($J20),2))</f>
        <v>6000</v>
      </c>
      <c r="Q20" s="58" t="str">
        <f aca="false">IF($D20="","",IFERROR(INDEX(资金账户!$F$6:$F$25,MATCH($D20,资金账户!$B$6:$B$25,0)),""))</f>
        <v>银行存款</v>
      </c>
      <c r="R20" s="58" t="str">
        <f aca="false">IF($E20="","",IFERROR(IF(INDEX(记账规则!$A$13:$H$32,MATCH($E20,记账规则!$A$13:$A$32,0),4)="借","收","支"),""))</f>
        <v>支</v>
      </c>
      <c r="S20" s="57" t="n">
        <f aca="false">IF($D20="","",ROUND(SUMIFS(资金账户!$H$6:$H$25,资金账户!$B$6:$B$25,$D20)+SUMIFS($I$6:$I20,$D$6:$D20,$D20)-SUMIFS($J$6:$J20,$D$6:$D20,$D20),2))</f>
        <v>210000</v>
      </c>
      <c r="T20" s="61" t="n">
        <f aca="false">IF($B20="","",YEAR($B20))</f>
        <v>2026</v>
      </c>
    </row>
    <row r="21" customFormat="false" ht="15" hidden="false" customHeight="false" outlineLevel="0" collapsed="false">
      <c r="A21" s="53" t="n">
        <f aca="false">IF($B21="","",ROW()-5)</f>
        <v>16</v>
      </c>
      <c r="B21" s="54" t="n">
        <v>46249</v>
      </c>
      <c r="C21" s="33" t="s">
        <v>110</v>
      </c>
      <c r="D21" s="33" t="s">
        <v>524</v>
      </c>
      <c r="E21" s="33" t="s">
        <v>314</v>
      </c>
      <c r="F21" s="32" t="s">
        <v>493</v>
      </c>
      <c r="G21" s="32" t="s">
        <v>119</v>
      </c>
      <c r="H21" s="33" t="s">
        <v>127</v>
      </c>
      <c r="I21" s="43"/>
      <c r="J21" s="43" t="n">
        <v>8600</v>
      </c>
      <c r="K21" s="32" t="s">
        <v>639</v>
      </c>
      <c r="L21" s="39"/>
      <c r="M21" s="41"/>
      <c r="N21" s="25" t="str">
        <f aca="false">IF(AND($B21="",$E21="",$I21="",$J21=""),"",IF(NOT(ISNUMBER($B21)),"日期无效",IF(ISNA(MATCH($C21,参数设置!$A$10:$A$12,0)),"公司无效",IF(ISNA(MATCH($D21,资金账户!$B$6:$B$25,0)),"账户未建档",IF(ISNA(MATCH($E21,记账规则!$A$13:$A$32,0)),"业务类型无效",IF(AND(N($I21)&lt;&gt;0,N($J21)&lt;&gt;0),"收入和支出只能填一列",IF($P21=0,"金额为 0",IF(AND($R21="收",N($I21)=0),"这类业务是收款，金额填到收入列",IF(AND($R21="支",N($J21)=0),"这类业务是付款，金额填到支出列",IF(AND(SUMPRODUCT(--(INDEX(记账规则!$A$13:$H$32,MATCH($E21,记账规则!$A$13:$A$32,0),0)="@对方"))&gt;0,$G21=""),"这个类型要填对方科目",IF(AND($G21&lt;&gt;"",ISNA(MATCH($G21,会计科目表!$B$6:$B$85,0))),"对方科目不存在",IF(AND($E21="缴纳税费",$H21=""),"缴税请在费用项目里选税种",IF(AND($F21&lt;&gt;"",ISNA(MATCH($F21,往来单位!$A$6:$A$85,0))),"往来单位未建档",IF(YEAR($B21)&lt;&gt;参数设置!$B$5,"不在本会计年度",IF(AND($B20&lt;&gt;"",ISNUMBER($B20),$B21&lt;$B20),"日期比上一行早，余额按行序滚，建议按日期录","OK")))))))))))))))</f>
        <v>OK</v>
      </c>
      <c r="O21" s="58" t="str">
        <f aca="false">IF($B21="","",TEXT($B21,"yyyy-mm"))</f>
        <v>2026-08</v>
      </c>
      <c r="P21" s="60" t="n">
        <f aca="false">IF($E21="","",ROUND(N($I21)+N($J21),2))</f>
        <v>8600</v>
      </c>
      <c r="Q21" s="58" t="str">
        <f aca="false">IF($D21="","",IFERROR(INDEX(资金账户!$F$6:$F$25,MATCH($D21,资金账户!$B$6:$B$25,0)),""))</f>
        <v>银行存款</v>
      </c>
      <c r="R21" s="58" t="str">
        <f aca="false">IF($E21="","",IFERROR(IF(INDEX(记账规则!$A$13:$H$32,MATCH($E21,记账规则!$A$13:$A$32,0),4)="借","收","支"),""))</f>
        <v>支</v>
      </c>
      <c r="S21" s="57" t="n">
        <f aca="false">IF($D21="","",ROUND(SUMIFS(资金账户!$H$6:$H$25,资金账户!$B$6:$B$25,$D21)+SUMIFS($I$6:$I21,$D$6:$D21,$D21)-SUMIFS($J$6:$J21,$D$6:$D21,$D21),2))</f>
        <v>180600</v>
      </c>
      <c r="T21" s="61" t="n">
        <f aca="false">IF($B21="","",YEAR($B21))</f>
        <v>2026</v>
      </c>
    </row>
    <row r="22" customFormat="false" ht="15" hidden="false" customHeight="false" outlineLevel="0" collapsed="false">
      <c r="A22" s="53" t="n">
        <f aca="false">IF($B22="","",ROW()-5)</f>
        <v>17</v>
      </c>
      <c r="B22" s="54" t="n">
        <v>46252</v>
      </c>
      <c r="C22" s="33" t="s">
        <v>110</v>
      </c>
      <c r="D22" s="33" t="s">
        <v>524</v>
      </c>
      <c r="E22" s="33" t="s">
        <v>300</v>
      </c>
      <c r="F22" s="32" t="s">
        <v>480</v>
      </c>
      <c r="G22" s="41"/>
      <c r="H22" s="39"/>
      <c r="I22" s="43"/>
      <c r="J22" s="43" t="n">
        <v>45000</v>
      </c>
      <c r="K22" s="32" t="s">
        <v>624</v>
      </c>
      <c r="L22" s="33" t="s">
        <v>640</v>
      </c>
      <c r="M22" s="41"/>
      <c r="N22" s="25" t="str">
        <f aca="false">IF(AND($B22="",$E22="",$I22="",$J22=""),"",IF(NOT(ISNUMBER($B22)),"日期无效",IF(ISNA(MATCH($C22,参数设置!$A$10:$A$12,0)),"公司无效",IF(ISNA(MATCH($D22,资金账户!$B$6:$B$25,0)),"账户未建档",IF(ISNA(MATCH($E22,记账规则!$A$13:$A$32,0)),"业务类型无效",IF(AND(N($I22)&lt;&gt;0,N($J22)&lt;&gt;0),"收入和支出只能填一列",IF($P22=0,"金额为 0",IF(AND($R22="收",N($I22)=0),"这类业务是收款，金额填到收入列",IF(AND($R22="支",N($J22)=0),"这类业务是付款，金额填到支出列",IF(AND(SUMPRODUCT(--(INDEX(记账规则!$A$13:$H$32,MATCH($E22,记账规则!$A$13:$A$32,0),0)="@对方"))&gt;0,$G22=""),"这个类型要填对方科目",IF(AND($G22&lt;&gt;"",ISNA(MATCH($G22,会计科目表!$B$6:$B$85,0))),"对方科目不存在",IF(AND($E22="缴纳税费",$H22=""),"缴税请在费用项目里选税种",IF(AND($F22&lt;&gt;"",ISNA(MATCH($F22,往来单位!$A$6:$A$85,0))),"往来单位未建档",IF(YEAR($B22)&lt;&gt;参数设置!$B$5,"不在本会计年度",IF(AND($B21&lt;&gt;"",ISNUMBER($B21),$B22&lt;$B21),"日期比上一行早，余额按行序滚，建议按日期录","OK")))))))))))))))</f>
        <v>OK</v>
      </c>
      <c r="O22" s="58" t="str">
        <f aca="false">IF($B22="","",TEXT($B22,"yyyy-mm"))</f>
        <v>2026-08</v>
      </c>
      <c r="P22" s="60" t="n">
        <f aca="false">IF($E22="","",ROUND(N($I22)+N($J22),2))</f>
        <v>45000</v>
      </c>
      <c r="Q22" s="58" t="str">
        <f aca="false">IF($D22="","",IFERROR(INDEX(资金账户!$F$6:$F$25,MATCH($D22,资金账户!$B$6:$B$25,0)),""))</f>
        <v>银行存款</v>
      </c>
      <c r="R22" s="58" t="str">
        <f aca="false">IF($E22="","",IFERROR(IF(INDEX(记账规则!$A$13:$H$32,MATCH($E22,记账规则!$A$13:$A$32,0),4)="借","收","支"),""))</f>
        <v>支</v>
      </c>
      <c r="S22" s="57" t="n">
        <f aca="false">IF($D22="","",ROUND(SUMIFS(资金账户!$H$6:$H$25,资金账户!$B$6:$B$25,$D22)+SUMIFS($I$6:$I22,$D$6:$D22,$D22)-SUMIFS($J$6:$J22,$D$6:$D22,$D22),2))</f>
        <v>135600</v>
      </c>
      <c r="T22" s="61" t="n">
        <f aca="false">IF($B22="","",YEAR($B22))</f>
        <v>2026</v>
      </c>
    </row>
    <row r="23" customFormat="false" ht="15" hidden="false" customHeight="false" outlineLevel="0" collapsed="false">
      <c r="A23" s="53" t="n">
        <f aca="false">IF($B23="","",ROW()-5)</f>
        <v>18</v>
      </c>
      <c r="B23" s="54" t="n">
        <v>46254</v>
      </c>
      <c r="C23" s="33" t="s">
        <v>112</v>
      </c>
      <c r="D23" s="33" t="s">
        <v>532</v>
      </c>
      <c r="E23" s="33" t="s">
        <v>297</v>
      </c>
      <c r="F23" s="32" t="s">
        <v>473</v>
      </c>
      <c r="G23" s="41"/>
      <c r="H23" s="39"/>
      <c r="I23" s="43" t="n">
        <v>240000</v>
      </c>
      <c r="J23" s="43"/>
      <c r="K23" s="32" t="s">
        <v>641</v>
      </c>
      <c r="L23" s="33" t="s">
        <v>642</v>
      </c>
      <c r="M23" s="41"/>
      <c r="N23" s="25" t="str">
        <f aca="false">IF(AND($B23="",$E23="",$I23="",$J23=""),"",IF(NOT(ISNUMBER($B23)),"日期无效",IF(ISNA(MATCH($C23,参数设置!$A$10:$A$12,0)),"公司无效",IF(ISNA(MATCH($D23,资金账户!$B$6:$B$25,0)),"账户未建档",IF(ISNA(MATCH($E23,记账规则!$A$13:$A$32,0)),"业务类型无效",IF(AND(N($I23)&lt;&gt;0,N($J23)&lt;&gt;0),"收入和支出只能填一列",IF($P23=0,"金额为 0",IF(AND($R23="收",N($I23)=0),"这类业务是收款，金额填到收入列",IF(AND($R23="支",N($J23)=0),"这类业务是付款，金额填到支出列",IF(AND(SUMPRODUCT(--(INDEX(记账规则!$A$13:$H$32,MATCH($E23,记账规则!$A$13:$A$32,0),0)="@对方"))&gt;0,$G23=""),"这个类型要填对方科目",IF(AND($G23&lt;&gt;"",ISNA(MATCH($G23,会计科目表!$B$6:$B$85,0))),"对方科目不存在",IF(AND($E23="缴纳税费",$H23=""),"缴税请在费用项目里选税种",IF(AND($F23&lt;&gt;"",ISNA(MATCH($F23,往来单位!$A$6:$A$85,0))),"往来单位未建档",IF(YEAR($B23)&lt;&gt;参数设置!$B$5,"不在本会计年度",IF(AND($B22&lt;&gt;"",ISNUMBER($B22),$B23&lt;$B22),"日期比上一行早，余额按行序滚，建议按日期录","OK")))))))))))))))</f>
        <v>OK</v>
      </c>
      <c r="O23" s="58" t="str">
        <f aca="false">IF($B23="","",TEXT($B23,"yyyy-mm"))</f>
        <v>2026-08</v>
      </c>
      <c r="P23" s="60" t="n">
        <f aca="false">IF($E23="","",ROUND(N($I23)+N($J23),2))</f>
        <v>240000</v>
      </c>
      <c r="Q23" s="58" t="str">
        <f aca="false">IF($D23="","",IFERROR(INDEX(资金账户!$F$6:$F$25,MATCH($D23,资金账户!$B$6:$B$25,0)),""))</f>
        <v>银行存款</v>
      </c>
      <c r="R23" s="58" t="str">
        <f aca="false">IF($E23="","",IFERROR(IF(INDEX(记账规则!$A$13:$H$32,MATCH($E23,记账规则!$A$13:$A$32,0),4)="借","收","支"),""))</f>
        <v>收</v>
      </c>
      <c r="S23" s="57" t="n">
        <f aca="false">IF($D23="","",ROUND(SUMIFS(资金账户!$H$6:$H$25,资金账户!$B$6:$B$25,$D23)+SUMIFS($I$6:$I23,$D$6:$D23,$D23)-SUMIFS($J$6:$J23,$D$6:$D23,$D23),2))</f>
        <v>540000</v>
      </c>
      <c r="T23" s="61" t="n">
        <f aca="false">IF($B23="","",YEAR($B23))</f>
        <v>2026</v>
      </c>
    </row>
    <row r="24" customFormat="false" ht="15" hidden="false" customHeight="false" outlineLevel="0" collapsed="false">
      <c r="A24" s="53" t="n">
        <f aca="false">IF($B24="","",ROW()-5)</f>
        <v>19</v>
      </c>
      <c r="B24" s="54" t="n">
        <v>46265</v>
      </c>
      <c r="C24" s="33" t="s">
        <v>110</v>
      </c>
      <c r="D24" s="33" t="s">
        <v>532</v>
      </c>
      <c r="E24" s="33" t="s">
        <v>325</v>
      </c>
      <c r="F24" s="32"/>
      <c r="G24" s="41"/>
      <c r="H24" s="33" t="s">
        <v>137</v>
      </c>
      <c r="I24" s="43"/>
      <c r="J24" s="43" t="n">
        <v>50000</v>
      </c>
      <c r="K24" s="32" t="s">
        <v>643</v>
      </c>
      <c r="L24" s="39"/>
      <c r="M24" s="41"/>
      <c r="N24" s="25" t="str">
        <f aca="false">IF(AND($B24="",$E24="",$I24="",$J24=""),"",IF(NOT(ISNUMBER($B24)),"日期无效",IF(ISNA(MATCH($C24,参数设置!$A$10:$A$12,0)),"公司无效",IF(ISNA(MATCH($D24,资金账户!$B$6:$B$25,0)),"账户未建档",IF(ISNA(MATCH($E24,记账规则!$A$13:$A$32,0)),"业务类型无效",IF(AND(N($I24)&lt;&gt;0,N($J24)&lt;&gt;0),"收入和支出只能填一列",IF($P24=0,"金额为 0",IF(AND($R24="收",N($I24)=0),"这类业务是收款，金额填到收入列",IF(AND($R24="支",N($J24)=0),"这类业务是付款，金额填到支出列",IF(AND(SUMPRODUCT(--(INDEX(记账规则!$A$13:$H$32,MATCH($E24,记账规则!$A$13:$A$32,0),0)="@对方"))&gt;0,$G24=""),"这个类型要填对方科目",IF(AND($G24&lt;&gt;"",ISNA(MATCH($G24,会计科目表!$B$6:$B$85,0))),"对方科目不存在",IF(AND($E24="缴纳税费",$H24=""),"缴税请在费用项目里选税种",IF(AND($F24&lt;&gt;"",ISNA(MATCH($F24,往来单位!$A$6:$A$85,0))),"往来单位未建档",IF(YEAR($B24)&lt;&gt;参数设置!$B$5,"不在本会计年度",IF(AND($B23&lt;&gt;"",ISNUMBER($B23),$B24&lt;$B23),"日期比上一行早，余额按行序滚，建议按日期录","OK")))))))))))))))</f>
        <v>OK</v>
      </c>
      <c r="O24" s="58" t="str">
        <f aca="false">IF($B24="","",TEXT($B24,"yyyy-mm"))</f>
        <v>2026-08</v>
      </c>
      <c r="P24" s="60" t="n">
        <f aca="false">IF($E24="","",ROUND(N($I24)+N($J24),2))</f>
        <v>50000</v>
      </c>
      <c r="Q24" s="58" t="str">
        <f aca="false">IF($D24="","",IFERROR(INDEX(资金账户!$F$6:$F$25,MATCH($D24,资金账户!$B$6:$B$25,0)),""))</f>
        <v>银行存款</v>
      </c>
      <c r="R24" s="58" t="str">
        <f aca="false">IF($E24="","",IFERROR(IF(INDEX(记账规则!$A$13:$H$32,MATCH($E24,记账规则!$A$13:$A$32,0),4)="借","收","支"),""))</f>
        <v>支</v>
      </c>
      <c r="S24" s="57" t="n">
        <f aca="false">IF($D24="","",ROUND(SUMIFS(资金账户!$H$6:$H$25,资金账户!$B$6:$B$25,$D24)+SUMIFS($I$6:$I24,$D$6:$D24,$D24)-SUMIFS($J$6:$J24,$D$6:$D24,$D24),2))</f>
        <v>490000</v>
      </c>
      <c r="T24" s="61" t="n">
        <f aca="false">IF($B24="","",YEAR($B24))</f>
        <v>2026</v>
      </c>
    </row>
    <row r="25" customFormat="false" ht="15" hidden="false" customHeight="false" outlineLevel="0" collapsed="false">
      <c r="A25" s="53" t="n">
        <f aca="false">IF($B25="","",ROW()-5)</f>
        <v>20</v>
      </c>
      <c r="B25" s="54" t="n">
        <v>46267</v>
      </c>
      <c r="C25" s="33" t="s">
        <v>107</v>
      </c>
      <c r="D25" s="33" t="s">
        <v>519</v>
      </c>
      <c r="E25" s="33" t="s">
        <v>297</v>
      </c>
      <c r="F25" s="32" t="s">
        <v>469</v>
      </c>
      <c r="G25" s="41"/>
      <c r="H25" s="39"/>
      <c r="I25" s="43" t="n">
        <v>66000</v>
      </c>
      <c r="J25" s="43"/>
      <c r="K25" s="32" t="s">
        <v>644</v>
      </c>
      <c r="L25" s="33" t="s">
        <v>645</v>
      </c>
      <c r="M25" s="41"/>
      <c r="N25" s="25" t="str">
        <f aca="false">IF(AND($B25="",$E25="",$I25="",$J25=""),"",IF(NOT(ISNUMBER($B25)),"日期无效",IF(ISNA(MATCH($C25,参数设置!$A$10:$A$12,0)),"公司无效",IF(ISNA(MATCH($D25,资金账户!$B$6:$B$25,0)),"账户未建档",IF(ISNA(MATCH($E25,记账规则!$A$13:$A$32,0)),"业务类型无效",IF(AND(N($I25)&lt;&gt;0,N($J25)&lt;&gt;0),"收入和支出只能填一列",IF($P25=0,"金额为 0",IF(AND($R25="收",N($I25)=0),"这类业务是收款，金额填到收入列",IF(AND($R25="支",N($J25)=0),"这类业务是付款，金额填到支出列",IF(AND(SUMPRODUCT(--(INDEX(记账规则!$A$13:$H$32,MATCH($E25,记账规则!$A$13:$A$32,0),0)="@对方"))&gt;0,$G25=""),"这个类型要填对方科目",IF(AND($G25&lt;&gt;"",ISNA(MATCH($G25,会计科目表!$B$6:$B$85,0))),"对方科目不存在",IF(AND($E25="缴纳税费",$H25=""),"缴税请在费用项目里选税种",IF(AND($F25&lt;&gt;"",ISNA(MATCH($F25,往来单位!$A$6:$A$85,0))),"往来单位未建档",IF(YEAR($B25)&lt;&gt;参数设置!$B$5,"不在本会计年度",IF(AND($B24&lt;&gt;"",ISNUMBER($B24),$B25&lt;$B24),"日期比上一行早，余额按行序滚，建议按日期录","OK")))))))))))))))</f>
        <v>OK</v>
      </c>
      <c r="O25" s="58" t="str">
        <f aca="false">IF($B25="","",TEXT($B25,"yyyy-mm"))</f>
        <v>2026-09</v>
      </c>
      <c r="P25" s="60" t="n">
        <f aca="false">IF($E25="","",ROUND(N($I25)+N($J25),2))</f>
        <v>66000</v>
      </c>
      <c r="Q25" s="58" t="str">
        <f aca="false">IF($D25="","",IFERROR(INDEX(资金账户!$F$6:$F$25,MATCH($D25,资金账户!$B$6:$B$25,0)),""))</f>
        <v>银行存款</v>
      </c>
      <c r="R25" s="58" t="str">
        <f aca="false">IF($E25="","",IFERROR(IF(INDEX(记账规则!$A$13:$H$32,MATCH($E25,记账规则!$A$13:$A$32,0),4)="借","收","支"),""))</f>
        <v>收</v>
      </c>
      <c r="S25" s="57" t="n">
        <f aca="false">IF($D25="","",ROUND(SUMIFS(资金账户!$H$6:$H$25,资金账户!$B$6:$B$25,$D25)+SUMIFS($I$6:$I25,$D$6:$D25,$D25)-SUMIFS($J$6:$J25,$D$6:$D25,$D25),2))</f>
        <v>276000</v>
      </c>
      <c r="T25" s="61" t="n">
        <f aca="false">IF($B25="","",YEAR($B25))</f>
        <v>2026</v>
      </c>
    </row>
    <row r="26" customFormat="false" ht="15" hidden="false" customHeight="false" outlineLevel="0" collapsed="false">
      <c r="A26" s="53" t="n">
        <f aca="false">IF($B26="","",ROW()-5)</f>
        <v>21</v>
      </c>
      <c r="B26" s="54" t="n">
        <v>46267</v>
      </c>
      <c r="C26" s="33" t="s">
        <v>110</v>
      </c>
      <c r="D26" s="33" t="s">
        <v>524</v>
      </c>
      <c r="E26" s="33" t="s">
        <v>297</v>
      </c>
      <c r="F26" s="32" t="s">
        <v>465</v>
      </c>
      <c r="G26" s="41"/>
      <c r="H26" s="39"/>
      <c r="I26" s="43" t="n">
        <v>70000</v>
      </c>
      <c r="J26" s="43"/>
      <c r="K26" s="32" t="s">
        <v>646</v>
      </c>
      <c r="L26" s="33" t="s">
        <v>647</v>
      </c>
      <c r="M26" s="41"/>
      <c r="N26" s="25" t="str">
        <f aca="false">IF(AND($B26="",$E26="",$I26="",$J26=""),"",IF(NOT(ISNUMBER($B26)),"日期无效",IF(ISNA(MATCH($C26,参数设置!$A$10:$A$12,0)),"公司无效",IF(ISNA(MATCH($D26,资金账户!$B$6:$B$25,0)),"账户未建档",IF(ISNA(MATCH($E26,记账规则!$A$13:$A$32,0)),"业务类型无效",IF(AND(N($I26)&lt;&gt;0,N($J26)&lt;&gt;0),"收入和支出只能填一列",IF($P26=0,"金额为 0",IF(AND($R26="收",N($I26)=0),"这类业务是收款，金额填到收入列",IF(AND($R26="支",N($J26)=0),"这类业务是付款，金额填到支出列",IF(AND(SUMPRODUCT(--(INDEX(记账规则!$A$13:$H$32,MATCH($E26,记账规则!$A$13:$A$32,0),0)="@对方"))&gt;0,$G26=""),"这个类型要填对方科目",IF(AND($G26&lt;&gt;"",ISNA(MATCH($G26,会计科目表!$B$6:$B$85,0))),"对方科目不存在",IF(AND($E26="缴纳税费",$H26=""),"缴税请在费用项目里选税种",IF(AND($F26&lt;&gt;"",ISNA(MATCH($F26,往来单位!$A$6:$A$85,0))),"往来单位未建档",IF(YEAR($B26)&lt;&gt;参数设置!$B$5,"不在本会计年度",IF(AND($B25&lt;&gt;"",ISNUMBER($B25),$B26&lt;$B25),"日期比上一行早，余额按行序滚，建议按日期录","OK")))))))))))))))</f>
        <v>OK</v>
      </c>
      <c r="O26" s="58" t="str">
        <f aca="false">IF($B26="","",TEXT($B26,"yyyy-mm"))</f>
        <v>2026-09</v>
      </c>
      <c r="P26" s="60" t="n">
        <f aca="false">IF($E26="","",ROUND(N($I26)+N($J26),2))</f>
        <v>70000</v>
      </c>
      <c r="Q26" s="58" t="str">
        <f aca="false">IF($D26="","",IFERROR(INDEX(资金账户!$F$6:$F$25,MATCH($D26,资金账户!$B$6:$B$25,0)),""))</f>
        <v>银行存款</v>
      </c>
      <c r="R26" s="58" t="str">
        <f aca="false">IF($E26="","",IFERROR(IF(INDEX(记账规则!$A$13:$H$32,MATCH($E26,记账规则!$A$13:$A$32,0),4)="借","收","支"),""))</f>
        <v>收</v>
      </c>
      <c r="S26" s="57" t="n">
        <f aca="false">IF($D26="","",ROUND(SUMIFS(资金账户!$H$6:$H$25,资金账户!$B$6:$B$25,$D26)+SUMIFS($I$6:$I26,$D$6:$D26,$D26)-SUMIFS($J$6:$J26,$D$6:$D26,$D26),2))</f>
        <v>205600</v>
      </c>
      <c r="T26" s="61" t="n">
        <f aca="false">IF($B26="","",YEAR($B26))</f>
        <v>2026</v>
      </c>
    </row>
    <row r="27" customFormat="false" ht="15" hidden="false" customHeight="false" outlineLevel="0" collapsed="false">
      <c r="A27" s="53" t="n">
        <f aca="false">IF($B27="","",ROW()-5)</f>
        <v>22</v>
      </c>
      <c r="B27" s="54" t="n">
        <v>46270</v>
      </c>
      <c r="C27" s="33" t="s">
        <v>112</v>
      </c>
      <c r="D27" s="33" t="s">
        <v>528</v>
      </c>
      <c r="E27" s="33" t="s">
        <v>325</v>
      </c>
      <c r="F27" s="32"/>
      <c r="G27" s="41"/>
      <c r="H27" s="33" t="s">
        <v>137</v>
      </c>
      <c r="I27" s="43"/>
      <c r="J27" s="43" t="n">
        <v>18000</v>
      </c>
      <c r="K27" s="32" t="s">
        <v>648</v>
      </c>
      <c r="L27" s="39"/>
      <c r="M27" s="41"/>
      <c r="N27" s="25" t="str">
        <f aca="false">IF(AND($B27="",$E27="",$I27="",$J27=""),"",IF(NOT(ISNUMBER($B27)),"日期无效",IF(ISNA(MATCH($C27,参数设置!$A$10:$A$12,0)),"公司无效",IF(ISNA(MATCH($D27,资金账户!$B$6:$B$25,0)),"账户未建档",IF(ISNA(MATCH($E27,记账规则!$A$13:$A$32,0)),"业务类型无效",IF(AND(N($I27)&lt;&gt;0,N($J27)&lt;&gt;0),"收入和支出只能填一列",IF($P27=0,"金额为 0",IF(AND($R27="收",N($I27)=0),"这类业务是收款，金额填到收入列",IF(AND($R27="支",N($J27)=0),"这类业务是付款，金额填到支出列",IF(AND(SUMPRODUCT(--(INDEX(记账规则!$A$13:$H$32,MATCH($E27,记账规则!$A$13:$A$32,0),0)="@对方"))&gt;0,$G27=""),"这个类型要填对方科目",IF(AND($G27&lt;&gt;"",ISNA(MATCH($G27,会计科目表!$B$6:$B$85,0))),"对方科目不存在",IF(AND($E27="缴纳税费",$H27=""),"缴税请在费用项目里选税种",IF(AND($F27&lt;&gt;"",ISNA(MATCH($F27,往来单位!$A$6:$A$85,0))),"往来单位未建档",IF(YEAR($B27)&lt;&gt;参数设置!$B$5,"不在本会计年度",IF(AND($B26&lt;&gt;"",ISNUMBER($B26),$B27&lt;$B26),"日期比上一行早，余额按行序滚，建议按日期录","OK")))))))))))))))</f>
        <v>OK</v>
      </c>
      <c r="O27" s="58" t="str">
        <f aca="false">IF($B27="","",TEXT($B27,"yyyy-mm"))</f>
        <v>2026-09</v>
      </c>
      <c r="P27" s="60" t="n">
        <f aca="false">IF($E27="","",ROUND(N($I27)+N($J27),2))</f>
        <v>18000</v>
      </c>
      <c r="Q27" s="58" t="str">
        <f aca="false">IF($D27="","",IFERROR(INDEX(资金账户!$F$6:$F$25,MATCH($D27,资金账户!$B$6:$B$25,0)),""))</f>
        <v>银行存款</v>
      </c>
      <c r="R27" s="58" t="str">
        <f aca="false">IF($E27="","",IFERROR(IF(INDEX(记账规则!$A$13:$H$32,MATCH($E27,记账规则!$A$13:$A$32,0),4)="借","收","支"),""))</f>
        <v>支</v>
      </c>
      <c r="S27" s="57" t="n">
        <f aca="false">IF($D27="","",ROUND(SUMIFS(资金账户!$H$6:$H$25,资金账户!$B$6:$B$25,$D27)+SUMIFS($I$6:$I27,$D$6:$D27,$D27)-SUMIFS($J$6:$J27,$D$6:$D27,$D27),2))</f>
        <v>352220</v>
      </c>
      <c r="T27" s="61" t="n">
        <f aca="false">IF($B27="","",YEAR($B27))</f>
        <v>2026</v>
      </c>
    </row>
    <row r="28" customFormat="false" ht="15" hidden="false" customHeight="false" outlineLevel="0" collapsed="false">
      <c r="A28" s="53" t="n">
        <f aca="false">IF($B28="","",ROW()-5)</f>
        <v>23</v>
      </c>
      <c r="B28" s="54" t="n">
        <v>46275</v>
      </c>
      <c r="C28" s="33" t="s">
        <v>110</v>
      </c>
      <c r="D28" s="33" t="s">
        <v>524</v>
      </c>
      <c r="E28" s="33" t="s">
        <v>317</v>
      </c>
      <c r="F28" s="32" t="s">
        <v>497</v>
      </c>
      <c r="G28" s="32" t="s">
        <v>160</v>
      </c>
      <c r="H28" s="33" t="s">
        <v>159</v>
      </c>
      <c r="I28" s="43"/>
      <c r="J28" s="43" t="n">
        <v>28000</v>
      </c>
      <c r="K28" s="32" t="s">
        <v>649</v>
      </c>
      <c r="L28" s="39"/>
      <c r="M28" s="41"/>
      <c r="N28" s="25" t="str">
        <f aca="false">IF(AND($B28="",$E28="",$I28="",$J28=""),"",IF(NOT(ISNUMBER($B28)),"日期无效",IF(ISNA(MATCH($C28,参数设置!$A$10:$A$12,0)),"公司无效",IF(ISNA(MATCH($D28,资金账户!$B$6:$B$25,0)),"账户未建档",IF(ISNA(MATCH($E28,记账规则!$A$13:$A$32,0)),"业务类型无效",IF(AND(N($I28)&lt;&gt;0,N($J28)&lt;&gt;0),"收入和支出只能填一列",IF($P28=0,"金额为 0",IF(AND($R28="收",N($I28)=0),"这类业务是收款，金额填到收入列",IF(AND($R28="支",N($J28)=0),"这类业务是付款，金额填到支出列",IF(AND(SUMPRODUCT(--(INDEX(记账规则!$A$13:$H$32,MATCH($E28,记账规则!$A$13:$A$32,0),0)="@对方"))&gt;0,$G28=""),"这个类型要填对方科目",IF(AND($G28&lt;&gt;"",ISNA(MATCH($G28,会计科目表!$B$6:$B$85,0))),"对方科目不存在",IF(AND($E28="缴纳税费",$H28=""),"缴税请在费用项目里选税种",IF(AND($F28&lt;&gt;"",ISNA(MATCH($F28,往来单位!$A$6:$A$85,0))),"往来单位未建档",IF(YEAR($B28)&lt;&gt;参数设置!$B$5,"不在本会计年度",IF(AND($B27&lt;&gt;"",ISNUMBER($B27),$B28&lt;$B27),"日期比上一行早，余额按行序滚，建议按日期录","OK")))))))))))))))</f>
        <v>OK</v>
      </c>
      <c r="O28" s="58" t="str">
        <f aca="false">IF($B28="","",TEXT($B28,"yyyy-mm"))</f>
        <v>2026-09</v>
      </c>
      <c r="P28" s="60" t="n">
        <f aca="false">IF($E28="","",ROUND(N($I28)+N($J28),2))</f>
        <v>28000</v>
      </c>
      <c r="Q28" s="58" t="str">
        <f aca="false">IF($D28="","",IFERROR(INDEX(资金账户!$F$6:$F$25,MATCH($D28,资金账户!$B$6:$B$25,0)),""))</f>
        <v>银行存款</v>
      </c>
      <c r="R28" s="58" t="str">
        <f aca="false">IF($E28="","",IFERROR(IF(INDEX(记账规则!$A$13:$H$32,MATCH($E28,记账规则!$A$13:$A$32,0),4)="借","收","支"),""))</f>
        <v>支</v>
      </c>
      <c r="S28" s="57" t="n">
        <f aca="false">IF($D28="","",ROUND(SUMIFS(资金账户!$H$6:$H$25,资金账户!$B$6:$B$25,$D28)+SUMIFS($I$6:$I28,$D$6:$D28,$D28)-SUMIFS($J$6:$J28,$D$6:$D28,$D28),2))</f>
        <v>177600</v>
      </c>
      <c r="T28" s="61" t="n">
        <f aca="false">IF($B28="","",YEAR($B28))</f>
        <v>2026</v>
      </c>
    </row>
    <row r="29" customFormat="false" ht="15" hidden="false" customHeight="false" outlineLevel="0" collapsed="false">
      <c r="A29" s="53" t="n">
        <f aca="false">IF($B29="","",ROW()-5)</f>
        <v>24</v>
      </c>
      <c r="B29" s="54" t="n">
        <v>46277</v>
      </c>
      <c r="C29" s="33" t="s">
        <v>110</v>
      </c>
      <c r="D29" s="33" t="s">
        <v>513</v>
      </c>
      <c r="E29" s="33" t="s">
        <v>314</v>
      </c>
      <c r="F29" s="32"/>
      <c r="G29" s="32" t="s">
        <v>119</v>
      </c>
      <c r="H29" s="33" t="s">
        <v>143</v>
      </c>
      <c r="I29" s="43"/>
      <c r="J29" s="43" t="n">
        <v>860</v>
      </c>
      <c r="K29" s="32" t="s">
        <v>650</v>
      </c>
      <c r="L29" s="39"/>
      <c r="M29" s="41"/>
      <c r="N29" s="25" t="str">
        <f aca="false">IF(AND($B29="",$E29="",$I29="",$J29=""),"",IF(NOT(ISNUMBER($B29)),"日期无效",IF(ISNA(MATCH($C29,参数设置!$A$10:$A$12,0)),"公司无效",IF(ISNA(MATCH($D29,资金账户!$B$6:$B$25,0)),"账户未建档",IF(ISNA(MATCH($E29,记账规则!$A$13:$A$32,0)),"业务类型无效",IF(AND(N($I29)&lt;&gt;0,N($J29)&lt;&gt;0),"收入和支出只能填一列",IF($P29=0,"金额为 0",IF(AND($R29="收",N($I29)=0),"这类业务是收款，金额填到收入列",IF(AND($R29="支",N($J29)=0),"这类业务是付款，金额填到支出列",IF(AND(SUMPRODUCT(--(INDEX(记账规则!$A$13:$H$32,MATCH($E29,记账规则!$A$13:$A$32,0),0)="@对方"))&gt;0,$G29=""),"这个类型要填对方科目",IF(AND($G29&lt;&gt;"",ISNA(MATCH($G29,会计科目表!$B$6:$B$85,0))),"对方科目不存在",IF(AND($E29="缴纳税费",$H29=""),"缴税请在费用项目里选税种",IF(AND($F29&lt;&gt;"",ISNA(MATCH($F29,往来单位!$A$6:$A$85,0))),"往来单位未建档",IF(YEAR($B29)&lt;&gt;参数设置!$B$5,"不在本会计年度",IF(AND($B28&lt;&gt;"",ISNUMBER($B28),$B29&lt;$B28),"日期比上一行早，余额按行序滚，建议按日期录","OK")))))))))))))))</f>
        <v>OK</v>
      </c>
      <c r="O29" s="58" t="str">
        <f aca="false">IF($B29="","",TEXT($B29,"yyyy-mm"))</f>
        <v>2026-09</v>
      </c>
      <c r="P29" s="60" t="n">
        <f aca="false">IF($E29="","",ROUND(N($I29)+N($J29),2))</f>
        <v>860</v>
      </c>
      <c r="Q29" s="58" t="str">
        <f aca="false">IF($D29="","",IFERROR(INDEX(资金账户!$F$6:$F$25,MATCH($D29,资金账户!$B$6:$B$25,0)),""))</f>
        <v>库存现金</v>
      </c>
      <c r="R29" s="58" t="str">
        <f aca="false">IF($E29="","",IFERROR(IF(INDEX(记账规则!$A$13:$H$32,MATCH($E29,记账规则!$A$13:$A$32,0),4)="借","收","支"),""))</f>
        <v>支</v>
      </c>
      <c r="S29" s="57" t="n">
        <f aca="false">IF($D29="","",ROUND(SUMIFS(资金账户!$H$6:$H$25,资金账户!$B$6:$B$25,$D29)+SUMIFS($I$6:$I29,$D$6:$D29,$D29)-SUMIFS($J$6:$J29,$D$6:$D29,$D29),2))</f>
        <v>9140</v>
      </c>
      <c r="T29" s="61" t="n">
        <f aca="false">IF($B29="","",YEAR($B29))</f>
        <v>2026</v>
      </c>
    </row>
    <row r="30" customFormat="false" ht="15" hidden="false" customHeight="false" outlineLevel="0" collapsed="false">
      <c r="A30" s="53" t="n">
        <f aca="false">IF($B30="","",ROW()-5)</f>
        <v>25</v>
      </c>
      <c r="B30" s="54" t="n">
        <v>46285</v>
      </c>
      <c r="C30" s="33" t="s">
        <v>107</v>
      </c>
      <c r="D30" s="33" t="s">
        <v>519</v>
      </c>
      <c r="E30" s="33" t="s">
        <v>297</v>
      </c>
      <c r="F30" s="32" t="s">
        <v>8</v>
      </c>
      <c r="G30" s="41"/>
      <c r="H30" s="39"/>
      <c r="I30" s="43" t="n">
        <v>40000</v>
      </c>
      <c r="J30" s="43"/>
      <c r="K30" s="32" t="s">
        <v>651</v>
      </c>
      <c r="L30" s="33" t="s">
        <v>652</v>
      </c>
      <c r="M30" s="41"/>
      <c r="N30" s="25" t="str">
        <f aca="false">IF(AND($B30="",$E30="",$I30="",$J30=""),"",IF(NOT(ISNUMBER($B30)),"日期无效",IF(ISNA(MATCH($C30,参数设置!$A$10:$A$12,0)),"公司无效",IF(ISNA(MATCH($D30,资金账户!$B$6:$B$25,0)),"账户未建档",IF(ISNA(MATCH($E30,记账规则!$A$13:$A$32,0)),"业务类型无效",IF(AND(N($I30)&lt;&gt;0,N($J30)&lt;&gt;0),"收入和支出只能填一列",IF($P30=0,"金额为 0",IF(AND($R30="收",N($I30)=0),"这类业务是收款，金额填到收入列",IF(AND($R30="支",N($J30)=0),"这类业务是付款，金额填到支出列",IF(AND(SUMPRODUCT(--(INDEX(记账规则!$A$13:$H$32,MATCH($E30,记账规则!$A$13:$A$32,0),0)="@对方"))&gt;0,$G30=""),"这个类型要填对方科目",IF(AND($G30&lt;&gt;"",ISNA(MATCH($G30,会计科目表!$B$6:$B$85,0))),"对方科目不存在",IF(AND($E30="缴纳税费",$H30=""),"缴税请在费用项目里选税种",IF(AND($F30&lt;&gt;"",ISNA(MATCH($F30,往来单位!$A$6:$A$85,0))),"往来单位未建档",IF(YEAR($B30)&lt;&gt;参数设置!$B$5,"不在本会计年度",IF(AND($B29&lt;&gt;"",ISNUMBER($B29),$B30&lt;$B29),"日期比上一行早，余额按行序滚，建议按日期录","OK")))))))))))))))</f>
        <v>OK</v>
      </c>
      <c r="O30" s="58" t="str">
        <f aca="false">IF($B30="","",TEXT($B30,"yyyy-mm"))</f>
        <v>2026-09</v>
      </c>
      <c r="P30" s="60" t="n">
        <f aca="false">IF($E30="","",ROUND(N($I30)+N($J30),2))</f>
        <v>40000</v>
      </c>
      <c r="Q30" s="58" t="str">
        <f aca="false">IF($D30="","",IFERROR(INDEX(资金账户!$F$6:$F$25,MATCH($D30,资金账户!$B$6:$B$25,0)),""))</f>
        <v>银行存款</v>
      </c>
      <c r="R30" s="58" t="str">
        <f aca="false">IF($E30="","",IFERROR(IF(INDEX(记账规则!$A$13:$H$32,MATCH($E30,记账规则!$A$13:$A$32,0),4)="借","收","支"),""))</f>
        <v>收</v>
      </c>
      <c r="S30" s="57" t="n">
        <f aca="false">IF($D30="","",ROUND(SUMIFS(资金账户!$H$6:$H$25,资金账户!$B$6:$B$25,$D30)+SUMIFS($I$6:$I30,$D$6:$D30,$D30)-SUMIFS($J$6:$J30,$D$6:$D30,$D30),2))</f>
        <v>316000</v>
      </c>
      <c r="T30" s="61" t="n">
        <f aca="false">IF($B30="","",YEAR($B30))</f>
        <v>2026</v>
      </c>
    </row>
    <row r="31" customFormat="false" ht="15" hidden="false" customHeight="false" outlineLevel="0" collapsed="false">
      <c r="A31" s="53" t="n">
        <f aca="false">IF($B31="","",ROW()-5)</f>
        <v>26</v>
      </c>
      <c r="B31" s="54" t="n">
        <v>46285</v>
      </c>
      <c r="C31" s="33" t="s">
        <v>112</v>
      </c>
      <c r="D31" s="33" t="s">
        <v>528</v>
      </c>
      <c r="E31" s="33" t="s">
        <v>300</v>
      </c>
      <c r="F31" s="32" t="s">
        <v>6</v>
      </c>
      <c r="G31" s="41"/>
      <c r="H31" s="39"/>
      <c r="I31" s="43"/>
      <c r="J31" s="43" t="n">
        <v>40000</v>
      </c>
      <c r="K31" s="32" t="s">
        <v>653</v>
      </c>
      <c r="L31" s="33" t="s">
        <v>652</v>
      </c>
      <c r="M31" s="41"/>
      <c r="N31" s="25" t="str">
        <f aca="false">IF(AND($B31="",$E31="",$I31="",$J31=""),"",IF(NOT(ISNUMBER($B31)),"日期无效",IF(ISNA(MATCH($C31,参数设置!$A$10:$A$12,0)),"公司无效",IF(ISNA(MATCH($D31,资金账户!$B$6:$B$25,0)),"账户未建档",IF(ISNA(MATCH($E31,记账规则!$A$13:$A$32,0)),"业务类型无效",IF(AND(N($I31)&lt;&gt;0,N($J31)&lt;&gt;0),"收入和支出只能填一列",IF($P31=0,"金额为 0",IF(AND($R31="收",N($I31)=0),"这类业务是收款，金额填到收入列",IF(AND($R31="支",N($J31)=0),"这类业务是付款，金额填到支出列",IF(AND(SUMPRODUCT(--(INDEX(记账规则!$A$13:$H$32,MATCH($E31,记账规则!$A$13:$A$32,0),0)="@对方"))&gt;0,$G31=""),"这个类型要填对方科目",IF(AND($G31&lt;&gt;"",ISNA(MATCH($G31,会计科目表!$B$6:$B$85,0))),"对方科目不存在",IF(AND($E31="缴纳税费",$H31=""),"缴税请在费用项目里选税种",IF(AND($F31&lt;&gt;"",ISNA(MATCH($F31,往来单位!$A$6:$A$85,0))),"往来单位未建档",IF(YEAR($B31)&lt;&gt;参数设置!$B$5,"不在本会计年度",IF(AND($B30&lt;&gt;"",ISNUMBER($B30),$B31&lt;$B30),"日期比上一行早，余额按行序滚，建议按日期录","OK")))))))))))))))</f>
        <v>OK</v>
      </c>
      <c r="O31" s="58" t="str">
        <f aca="false">IF($B31="","",TEXT($B31,"yyyy-mm"))</f>
        <v>2026-09</v>
      </c>
      <c r="P31" s="60" t="n">
        <f aca="false">IF($E31="","",ROUND(N($I31)+N($J31),2))</f>
        <v>40000</v>
      </c>
      <c r="Q31" s="58" t="str">
        <f aca="false">IF($D31="","",IFERROR(INDEX(资金账户!$F$6:$F$25,MATCH($D31,资金账户!$B$6:$B$25,0)),""))</f>
        <v>银行存款</v>
      </c>
      <c r="R31" s="58" t="str">
        <f aca="false">IF($E31="","",IFERROR(IF(INDEX(记账规则!$A$13:$H$32,MATCH($E31,记账规则!$A$13:$A$32,0),4)="借","收","支"),""))</f>
        <v>支</v>
      </c>
      <c r="S31" s="57" t="n">
        <f aca="false">IF($D31="","",ROUND(SUMIFS(资金账户!$H$6:$H$25,资金账户!$B$6:$B$25,$D31)+SUMIFS($I$6:$I31,$D$6:$D31,$D31)-SUMIFS($J$6:$J31,$D$6:$D31,$D31),2))</f>
        <v>312220</v>
      </c>
      <c r="T31" s="61" t="n">
        <f aca="false">IF($B31="","",YEAR($B31))</f>
        <v>2026</v>
      </c>
    </row>
    <row r="32" customFormat="false" ht="15" hidden="false" customHeight="false" outlineLevel="0" collapsed="false">
      <c r="A32" s="53" t="n">
        <f aca="false">IF($B32="","",ROW()-5)</f>
        <v>27</v>
      </c>
      <c r="B32" s="54" t="n">
        <v>46295</v>
      </c>
      <c r="C32" s="33" t="s">
        <v>112</v>
      </c>
      <c r="D32" s="33" t="s">
        <v>532</v>
      </c>
      <c r="E32" s="33" t="s">
        <v>325</v>
      </c>
      <c r="F32" s="32"/>
      <c r="G32" s="41"/>
      <c r="H32" s="33" t="s">
        <v>137</v>
      </c>
      <c r="I32" s="43"/>
      <c r="J32" s="43" t="n">
        <v>55000</v>
      </c>
      <c r="K32" s="32" t="s">
        <v>654</v>
      </c>
      <c r="L32" s="39"/>
      <c r="M32" s="41"/>
      <c r="N32" s="25" t="str">
        <f aca="false">IF(AND($B32="",$E32="",$I32="",$J32=""),"",IF(NOT(ISNUMBER($B32)),"日期无效",IF(ISNA(MATCH($C32,参数设置!$A$10:$A$12,0)),"公司无效",IF(ISNA(MATCH($D32,资金账户!$B$6:$B$25,0)),"账户未建档",IF(ISNA(MATCH($E32,记账规则!$A$13:$A$32,0)),"业务类型无效",IF(AND(N($I32)&lt;&gt;0,N($J32)&lt;&gt;0),"收入和支出只能填一列",IF($P32=0,"金额为 0",IF(AND($R32="收",N($I32)=0),"这类业务是收款，金额填到收入列",IF(AND($R32="支",N($J32)=0),"这类业务是付款，金额填到支出列",IF(AND(SUMPRODUCT(--(INDEX(记账规则!$A$13:$H$32,MATCH($E32,记账规则!$A$13:$A$32,0),0)="@对方"))&gt;0,$G32=""),"这个类型要填对方科目",IF(AND($G32&lt;&gt;"",ISNA(MATCH($G32,会计科目表!$B$6:$B$85,0))),"对方科目不存在",IF(AND($E32="缴纳税费",$H32=""),"缴税请在费用项目里选税种",IF(AND($F32&lt;&gt;"",ISNA(MATCH($F32,往来单位!$A$6:$A$85,0))),"往来单位未建档",IF(YEAR($B32)&lt;&gt;参数设置!$B$5,"不在本会计年度",IF(AND($B31&lt;&gt;"",ISNUMBER($B31),$B32&lt;$B31),"日期比上一行早，余额按行序滚，建议按日期录","OK")))))))))))))))</f>
        <v>OK</v>
      </c>
      <c r="O32" s="58" t="str">
        <f aca="false">IF($B32="","",TEXT($B32,"yyyy-mm"))</f>
        <v>2026-09</v>
      </c>
      <c r="P32" s="60" t="n">
        <f aca="false">IF($E32="","",ROUND(N($I32)+N($J32),2))</f>
        <v>55000</v>
      </c>
      <c r="Q32" s="58" t="str">
        <f aca="false">IF($D32="","",IFERROR(INDEX(资金账户!$F$6:$F$25,MATCH($D32,资金账户!$B$6:$B$25,0)),""))</f>
        <v>银行存款</v>
      </c>
      <c r="R32" s="58" t="str">
        <f aca="false">IF($E32="","",IFERROR(IF(INDEX(记账规则!$A$13:$H$32,MATCH($E32,记账规则!$A$13:$A$32,0),4)="借","收","支"),""))</f>
        <v>支</v>
      </c>
      <c r="S32" s="57" t="n">
        <f aca="false">IF($D32="","",ROUND(SUMIFS(资金账户!$H$6:$H$25,资金账户!$B$6:$B$25,$D32)+SUMIFS($I$6:$I32,$D$6:$D32,$D32)-SUMIFS($J$6:$J32,$D$6:$D32,$D32),2))</f>
        <v>435000</v>
      </c>
      <c r="T32" s="61" t="n">
        <f aca="false">IF($B32="","",YEAR($B32))</f>
        <v>2026</v>
      </c>
    </row>
    <row r="33" customFormat="false" ht="15" hidden="false" customHeight="false" outlineLevel="0" collapsed="false">
      <c r="A33" s="53" t="n">
        <f aca="false">IF($B33="","",ROW()-5)</f>
        <v>28</v>
      </c>
      <c r="B33" s="54" t="n">
        <v>46305</v>
      </c>
      <c r="C33" s="33" t="s">
        <v>112</v>
      </c>
      <c r="D33" s="33" t="s">
        <v>528</v>
      </c>
      <c r="E33" s="33" t="s">
        <v>297</v>
      </c>
      <c r="F33" s="32" t="s">
        <v>475</v>
      </c>
      <c r="G33" s="41"/>
      <c r="H33" s="39"/>
      <c r="I33" s="43" t="n">
        <v>90000</v>
      </c>
      <c r="J33" s="43"/>
      <c r="K33" s="32" t="s">
        <v>655</v>
      </c>
      <c r="L33" s="33" t="s">
        <v>656</v>
      </c>
      <c r="M33" s="41"/>
      <c r="N33" s="25" t="str">
        <f aca="false">IF(AND($B33="",$E33="",$I33="",$J33=""),"",IF(NOT(ISNUMBER($B33)),"日期无效",IF(ISNA(MATCH($C33,参数设置!$A$10:$A$12,0)),"公司无效",IF(ISNA(MATCH($D33,资金账户!$B$6:$B$25,0)),"账户未建档",IF(ISNA(MATCH($E33,记账规则!$A$13:$A$32,0)),"业务类型无效",IF(AND(N($I33)&lt;&gt;0,N($J33)&lt;&gt;0),"收入和支出只能填一列",IF($P33=0,"金额为 0",IF(AND($R33="收",N($I33)=0),"这类业务是收款，金额填到收入列",IF(AND($R33="支",N($J33)=0),"这类业务是付款，金额填到支出列",IF(AND(SUMPRODUCT(--(INDEX(记账规则!$A$13:$H$32,MATCH($E33,记账规则!$A$13:$A$32,0),0)="@对方"))&gt;0,$G33=""),"这个类型要填对方科目",IF(AND($G33&lt;&gt;"",ISNA(MATCH($G33,会计科目表!$B$6:$B$85,0))),"对方科目不存在",IF(AND($E33="缴纳税费",$H33=""),"缴税请在费用项目里选税种",IF(AND($F33&lt;&gt;"",ISNA(MATCH($F33,往来单位!$A$6:$A$85,0))),"往来单位未建档",IF(YEAR($B33)&lt;&gt;参数设置!$B$5,"不在本会计年度",IF(AND($B32&lt;&gt;"",ISNUMBER($B32),$B33&lt;$B32),"日期比上一行早，余额按行序滚，建议按日期录","OK")))))))))))))))</f>
        <v>OK</v>
      </c>
      <c r="O33" s="58" t="str">
        <f aca="false">IF($B33="","",TEXT($B33,"yyyy-mm"))</f>
        <v>2026-10</v>
      </c>
      <c r="P33" s="60" t="n">
        <f aca="false">IF($E33="","",ROUND(N($I33)+N($J33),2))</f>
        <v>90000</v>
      </c>
      <c r="Q33" s="58" t="str">
        <f aca="false">IF($D33="","",IFERROR(INDEX(资金账户!$F$6:$F$25,MATCH($D33,资金账户!$B$6:$B$25,0)),""))</f>
        <v>银行存款</v>
      </c>
      <c r="R33" s="58" t="str">
        <f aca="false">IF($E33="","",IFERROR(IF(INDEX(记账规则!$A$13:$H$32,MATCH($E33,记账规则!$A$13:$A$32,0),4)="借","收","支"),""))</f>
        <v>收</v>
      </c>
      <c r="S33" s="57" t="n">
        <f aca="false">IF($D33="","",ROUND(SUMIFS(资金账户!$H$6:$H$25,资金账户!$B$6:$B$25,$D33)+SUMIFS($I$6:$I33,$D$6:$D33,$D33)-SUMIFS($J$6:$J33,$D$6:$D33,$D33),2))</f>
        <v>402220</v>
      </c>
      <c r="T33" s="61" t="n">
        <f aca="false">IF($B33="","",YEAR($B33))</f>
        <v>2026</v>
      </c>
    </row>
    <row r="34" customFormat="false" ht="15" hidden="false" customHeight="false" outlineLevel="0" collapsed="false">
      <c r="A34" s="53" t="n">
        <f aca="false">IF($B34="","",ROW()-5)</f>
        <v>29</v>
      </c>
      <c r="B34" s="54" t="n">
        <v>46310</v>
      </c>
      <c r="C34" s="33" t="s">
        <v>107</v>
      </c>
      <c r="D34" s="33" t="s">
        <v>513</v>
      </c>
      <c r="E34" s="33" t="s">
        <v>314</v>
      </c>
      <c r="F34" s="32"/>
      <c r="G34" s="32" t="s">
        <v>119</v>
      </c>
      <c r="H34" s="33" t="s">
        <v>121</v>
      </c>
      <c r="I34" s="43"/>
      <c r="J34" s="43" t="n">
        <v>1800</v>
      </c>
      <c r="K34" s="32" t="s">
        <v>657</v>
      </c>
      <c r="L34" s="39"/>
      <c r="M34" s="41"/>
      <c r="N34" s="25" t="str">
        <f aca="false">IF(AND($B34="",$E34="",$I34="",$J34=""),"",IF(NOT(ISNUMBER($B34)),"日期无效",IF(ISNA(MATCH($C34,参数设置!$A$10:$A$12,0)),"公司无效",IF(ISNA(MATCH($D34,资金账户!$B$6:$B$25,0)),"账户未建档",IF(ISNA(MATCH($E34,记账规则!$A$13:$A$32,0)),"业务类型无效",IF(AND(N($I34)&lt;&gt;0,N($J34)&lt;&gt;0),"收入和支出只能填一列",IF($P34=0,"金额为 0",IF(AND($R34="收",N($I34)=0),"这类业务是收款，金额填到收入列",IF(AND($R34="支",N($J34)=0),"这类业务是付款，金额填到支出列",IF(AND(SUMPRODUCT(--(INDEX(记账规则!$A$13:$H$32,MATCH($E34,记账规则!$A$13:$A$32,0),0)="@对方"))&gt;0,$G34=""),"这个类型要填对方科目",IF(AND($G34&lt;&gt;"",ISNA(MATCH($G34,会计科目表!$B$6:$B$85,0))),"对方科目不存在",IF(AND($E34="缴纳税费",$H34=""),"缴税请在费用项目里选税种",IF(AND($F34&lt;&gt;"",ISNA(MATCH($F34,往来单位!$A$6:$A$85,0))),"往来单位未建档",IF(YEAR($B34)&lt;&gt;参数设置!$B$5,"不在本会计年度",IF(AND($B33&lt;&gt;"",ISNUMBER($B33),$B34&lt;$B33),"日期比上一行早，余额按行序滚，建议按日期录","OK")))))))))))))))</f>
        <v>OK</v>
      </c>
      <c r="O34" s="58" t="str">
        <f aca="false">IF($B34="","",TEXT($B34,"yyyy-mm"))</f>
        <v>2026-10</v>
      </c>
      <c r="P34" s="60" t="n">
        <f aca="false">IF($E34="","",ROUND(N($I34)+N($J34),2))</f>
        <v>1800</v>
      </c>
      <c r="Q34" s="58" t="str">
        <f aca="false">IF($D34="","",IFERROR(INDEX(资金账户!$F$6:$F$25,MATCH($D34,资金账户!$B$6:$B$25,0)),""))</f>
        <v>库存现金</v>
      </c>
      <c r="R34" s="58" t="str">
        <f aca="false">IF($E34="","",IFERROR(IF(INDEX(记账规则!$A$13:$H$32,MATCH($E34,记账规则!$A$13:$A$32,0),4)="借","收","支"),""))</f>
        <v>支</v>
      </c>
      <c r="S34" s="57" t="n">
        <f aca="false">IF($D34="","",ROUND(SUMIFS(资金账户!$H$6:$H$25,资金账户!$B$6:$B$25,$D34)+SUMIFS($I$6:$I34,$D$6:$D34,$D34)-SUMIFS($J$6:$J34,$D$6:$D34,$D34),2))</f>
        <v>7340</v>
      </c>
      <c r="T34" s="61" t="n">
        <f aca="false">IF($B34="","",YEAR($B34))</f>
        <v>2026</v>
      </c>
    </row>
    <row r="35" customFormat="false" ht="15" hidden="false" customHeight="false" outlineLevel="0" collapsed="false">
      <c r="A35" s="53" t="n">
        <f aca="false">IF($B35="","",ROW()-5)</f>
        <v>30</v>
      </c>
      <c r="B35" s="54" t="n">
        <v>46315</v>
      </c>
      <c r="C35" s="33" t="s">
        <v>110</v>
      </c>
      <c r="D35" s="33" t="s">
        <v>524</v>
      </c>
      <c r="E35" s="33" t="s">
        <v>317</v>
      </c>
      <c r="F35" s="32" t="s">
        <v>497</v>
      </c>
      <c r="G35" s="32" t="s">
        <v>160</v>
      </c>
      <c r="H35" s="33" t="s">
        <v>161</v>
      </c>
      <c r="I35" s="43"/>
      <c r="J35" s="43" t="n">
        <v>3360</v>
      </c>
      <c r="K35" s="32" t="s">
        <v>658</v>
      </c>
      <c r="L35" s="39"/>
      <c r="M35" s="41"/>
      <c r="N35" s="25" t="str">
        <f aca="false">IF(AND($B35="",$E35="",$I35="",$J35=""),"",IF(NOT(ISNUMBER($B35)),"日期无效",IF(ISNA(MATCH($C35,参数设置!$A$10:$A$12,0)),"公司无效",IF(ISNA(MATCH($D35,资金账户!$B$6:$B$25,0)),"账户未建档",IF(ISNA(MATCH($E35,记账规则!$A$13:$A$32,0)),"业务类型无效",IF(AND(N($I35)&lt;&gt;0,N($J35)&lt;&gt;0),"收入和支出只能填一列",IF($P35=0,"金额为 0",IF(AND($R35="收",N($I35)=0),"这类业务是收款，金额填到收入列",IF(AND($R35="支",N($J35)=0),"这类业务是付款，金额填到支出列",IF(AND(SUMPRODUCT(--(INDEX(记账规则!$A$13:$H$32,MATCH($E35,记账规则!$A$13:$A$32,0),0)="@对方"))&gt;0,$G35=""),"这个类型要填对方科目",IF(AND($G35&lt;&gt;"",ISNA(MATCH($G35,会计科目表!$B$6:$B$85,0))),"对方科目不存在",IF(AND($E35="缴纳税费",$H35=""),"缴税请在费用项目里选税种",IF(AND($F35&lt;&gt;"",ISNA(MATCH($F35,往来单位!$A$6:$A$85,0))),"往来单位未建档",IF(YEAR($B35)&lt;&gt;参数设置!$B$5,"不在本会计年度",IF(AND($B34&lt;&gt;"",ISNUMBER($B34),$B35&lt;$B34),"日期比上一行早，余额按行序滚，建议按日期录","OK")))))))))))))))</f>
        <v>OK</v>
      </c>
      <c r="O35" s="58" t="str">
        <f aca="false">IF($B35="","",TEXT($B35,"yyyy-mm"))</f>
        <v>2026-10</v>
      </c>
      <c r="P35" s="60" t="n">
        <f aca="false">IF($E35="","",ROUND(N($I35)+N($J35),2))</f>
        <v>3360</v>
      </c>
      <c r="Q35" s="58" t="str">
        <f aca="false">IF($D35="","",IFERROR(INDEX(资金账户!$F$6:$F$25,MATCH($D35,资金账户!$B$6:$B$25,0)),""))</f>
        <v>银行存款</v>
      </c>
      <c r="R35" s="58" t="str">
        <f aca="false">IF($E35="","",IFERROR(IF(INDEX(记账规则!$A$13:$H$32,MATCH($E35,记账规则!$A$13:$A$32,0),4)="借","收","支"),""))</f>
        <v>支</v>
      </c>
      <c r="S35" s="57" t="n">
        <f aca="false">IF($D35="","",ROUND(SUMIFS(资金账户!$H$6:$H$25,资金账户!$B$6:$B$25,$D35)+SUMIFS($I$6:$I35,$D$6:$D35,$D35)-SUMIFS($J$6:$J35,$D$6:$D35,$D35),2))</f>
        <v>174240</v>
      </c>
      <c r="T35" s="61" t="n">
        <f aca="false">IF($B35="","",YEAR($B35))</f>
        <v>2026</v>
      </c>
    </row>
    <row r="36" customFormat="false" ht="15" hidden="false" customHeight="false" outlineLevel="0" collapsed="false">
      <c r="A36" s="53" t="n">
        <f aca="false">IF($B36="","",ROW()-5)</f>
        <v>31</v>
      </c>
      <c r="B36" s="54" t="n">
        <v>46315</v>
      </c>
      <c r="C36" s="33" t="s">
        <v>112</v>
      </c>
      <c r="D36" s="33" t="s">
        <v>528</v>
      </c>
      <c r="E36" s="33" t="s">
        <v>317</v>
      </c>
      <c r="F36" s="32" t="s">
        <v>497</v>
      </c>
      <c r="G36" s="32" t="s">
        <v>160</v>
      </c>
      <c r="H36" s="33" t="s">
        <v>159</v>
      </c>
      <c r="I36" s="43"/>
      <c r="J36" s="43" t="n">
        <v>38000</v>
      </c>
      <c r="K36" s="32" t="s">
        <v>649</v>
      </c>
      <c r="L36" s="39"/>
      <c r="M36" s="41"/>
      <c r="N36" s="25" t="str">
        <f aca="false">IF(AND($B36="",$E36="",$I36="",$J36=""),"",IF(NOT(ISNUMBER($B36)),"日期无效",IF(ISNA(MATCH($C36,参数设置!$A$10:$A$12,0)),"公司无效",IF(ISNA(MATCH($D36,资金账户!$B$6:$B$25,0)),"账户未建档",IF(ISNA(MATCH($E36,记账规则!$A$13:$A$32,0)),"业务类型无效",IF(AND(N($I36)&lt;&gt;0,N($J36)&lt;&gt;0),"收入和支出只能填一列",IF($P36=0,"金额为 0",IF(AND($R36="收",N($I36)=0),"这类业务是收款，金额填到收入列",IF(AND($R36="支",N($J36)=0),"这类业务是付款，金额填到支出列",IF(AND(SUMPRODUCT(--(INDEX(记账规则!$A$13:$H$32,MATCH($E36,记账规则!$A$13:$A$32,0),0)="@对方"))&gt;0,$G36=""),"这个类型要填对方科目",IF(AND($G36&lt;&gt;"",ISNA(MATCH($G36,会计科目表!$B$6:$B$85,0))),"对方科目不存在",IF(AND($E36="缴纳税费",$H36=""),"缴税请在费用项目里选税种",IF(AND($F36&lt;&gt;"",ISNA(MATCH($F36,往来单位!$A$6:$A$85,0))),"往来单位未建档",IF(YEAR($B36)&lt;&gt;参数设置!$B$5,"不在本会计年度",IF(AND($B35&lt;&gt;"",ISNUMBER($B35),$B36&lt;$B35),"日期比上一行早，余额按行序滚，建议按日期录","OK")))))))))))))))</f>
        <v>OK</v>
      </c>
      <c r="O36" s="58" t="str">
        <f aca="false">IF($B36="","",TEXT($B36,"yyyy-mm"))</f>
        <v>2026-10</v>
      </c>
      <c r="P36" s="60" t="n">
        <f aca="false">IF($E36="","",ROUND(N($I36)+N($J36),2))</f>
        <v>38000</v>
      </c>
      <c r="Q36" s="58" t="str">
        <f aca="false">IF($D36="","",IFERROR(INDEX(资金账户!$F$6:$F$25,MATCH($D36,资金账户!$B$6:$B$25,0)),""))</f>
        <v>银行存款</v>
      </c>
      <c r="R36" s="58" t="str">
        <f aca="false">IF($E36="","",IFERROR(IF(INDEX(记账规则!$A$13:$H$32,MATCH($E36,记账规则!$A$13:$A$32,0),4)="借","收","支"),""))</f>
        <v>支</v>
      </c>
      <c r="S36" s="57" t="n">
        <f aca="false">IF($D36="","",ROUND(SUMIFS(资金账户!$H$6:$H$25,资金账户!$B$6:$B$25,$D36)+SUMIFS($I$6:$I36,$D$6:$D36,$D36)-SUMIFS($J$6:$J36,$D$6:$D36,$D36),2))</f>
        <v>364220</v>
      </c>
      <c r="T36" s="61" t="n">
        <f aca="false">IF($B36="","",YEAR($B36))</f>
        <v>2026</v>
      </c>
    </row>
    <row r="37" customFormat="false" ht="15" hidden="false" customHeight="false" outlineLevel="0" collapsed="false">
      <c r="A37" s="53" t="n">
        <f aca="false">IF($B37="","",ROW()-5)</f>
        <v>32</v>
      </c>
      <c r="B37" s="54" t="n">
        <v>46346</v>
      </c>
      <c r="C37" s="33" t="s">
        <v>112</v>
      </c>
      <c r="D37" s="33" t="s">
        <v>528</v>
      </c>
      <c r="E37" s="33" t="s">
        <v>317</v>
      </c>
      <c r="F37" s="32" t="s">
        <v>497</v>
      </c>
      <c r="G37" s="32" t="s">
        <v>160</v>
      </c>
      <c r="H37" s="33" t="s">
        <v>161</v>
      </c>
      <c r="I37" s="43"/>
      <c r="J37" s="43" t="n">
        <v>4560</v>
      </c>
      <c r="K37" s="32" t="s">
        <v>658</v>
      </c>
      <c r="L37" s="39"/>
      <c r="M37" s="41"/>
      <c r="N37" s="25" t="str">
        <f aca="false">IF(AND($B37="",$E37="",$I37="",$J37=""),"",IF(NOT(ISNUMBER($B37)),"日期无效",IF(ISNA(MATCH($C37,参数设置!$A$10:$A$12,0)),"公司无效",IF(ISNA(MATCH($D37,资金账户!$B$6:$B$25,0)),"账户未建档",IF(ISNA(MATCH($E37,记账规则!$A$13:$A$32,0)),"业务类型无效",IF(AND(N($I37)&lt;&gt;0,N($J37)&lt;&gt;0),"收入和支出只能填一列",IF($P37=0,"金额为 0",IF(AND($R37="收",N($I37)=0),"这类业务是收款，金额填到收入列",IF(AND($R37="支",N($J37)=0),"这类业务是付款，金额填到支出列",IF(AND(SUMPRODUCT(--(INDEX(记账规则!$A$13:$H$32,MATCH($E37,记账规则!$A$13:$A$32,0),0)="@对方"))&gt;0,$G37=""),"这个类型要填对方科目",IF(AND($G37&lt;&gt;"",ISNA(MATCH($G37,会计科目表!$B$6:$B$85,0))),"对方科目不存在",IF(AND($E37="缴纳税费",$H37=""),"缴税请在费用项目里选税种",IF(AND($F37&lt;&gt;"",ISNA(MATCH($F37,往来单位!$A$6:$A$85,0))),"往来单位未建档",IF(YEAR($B37)&lt;&gt;参数设置!$B$5,"不在本会计年度",IF(AND($B36&lt;&gt;"",ISNUMBER($B36),$B37&lt;$B36),"日期比上一行早，余额按行序滚，建议按日期录","OK")))))))))))))))</f>
        <v>OK</v>
      </c>
      <c r="O37" s="58" t="str">
        <f aca="false">IF($B37="","",TEXT($B37,"yyyy-mm"))</f>
        <v>2026-11</v>
      </c>
      <c r="P37" s="60" t="n">
        <f aca="false">IF($E37="","",ROUND(N($I37)+N($J37),2))</f>
        <v>4560</v>
      </c>
      <c r="Q37" s="58" t="str">
        <f aca="false">IF($D37="","",IFERROR(INDEX(资金账户!$F$6:$F$25,MATCH($D37,资金账户!$B$6:$B$25,0)),""))</f>
        <v>银行存款</v>
      </c>
      <c r="R37" s="58" t="str">
        <f aca="false">IF($E37="","",IFERROR(IF(INDEX(记账规则!$A$13:$H$32,MATCH($E37,记账规则!$A$13:$A$32,0),4)="借","收","支"),""))</f>
        <v>支</v>
      </c>
      <c r="S37" s="57" t="n">
        <f aca="false">IF($D37="","",ROUND(SUMIFS(资金账户!$H$6:$H$25,资金账户!$B$6:$B$25,$D37)+SUMIFS($I$6:$I37,$D$6:$D37,$D37)-SUMIFS($J$6:$J37,$D$6:$D37,$D37),2))</f>
        <v>359660</v>
      </c>
      <c r="T37" s="61" t="n">
        <f aca="false">IF($B37="","",YEAR($B37))</f>
        <v>2026</v>
      </c>
    </row>
    <row r="38" customFormat="false" ht="15" hidden="false" customHeight="false" outlineLevel="0" collapsed="false">
      <c r="A38" s="53" t="n">
        <f aca="false">IF($B38="","",ROW()-5)</f>
        <v>33</v>
      </c>
      <c r="B38" s="54" t="n">
        <v>46376</v>
      </c>
      <c r="C38" s="33" t="s">
        <v>110</v>
      </c>
      <c r="D38" s="33" t="s">
        <v>524</v>
      </c>
      <c r="E38" s="33" t="s">
        <v>317</v>
      </c>
      <c r="F38" s="32" t="s">
        <v>497</v>
      </c>
      <c r="G38" s="32" t="s">
        <v>164</v>
      </c>
      <c r="H38" s="33" t="s">
        <v>163</v>
      </c>
      <c r="I38" s="43"/>
      <c r="J38" s="43" t="n">
        <v>6000</v>
      </c>
      <c r="K38" s="32" t="s">
        <v>659</v>
      </c>
      <c r="L38" s="39"/>
      <c r="M38" s="41"/>
      <c r="N38" s="25" t="str">
        <f aca="false">IF(AND($B38="",$E38="",$I38="",$J38=""),"",IF(NOT(ISNUMBER($B38)),"日期无效",IF(ISNA(MATCH($C38,参数设置!$A$10:$A$12,0)),"公司无效",IF(ISNA(MATCH($D38,资金账户!$B$6:$B$25,0)),"账户未建档",IF(ISNA(MATCH($E38,记账规则!$A$13:$A$32,0)),"业务类型无效",IF(AND(N($I38)&lt;&gt;0,N($J38)&lt;&gt;0),"收入和支出只能填一列",IF($P38=0,"金额为 0",IF(AND($R38="收",N($I38)=0),"这类业务是收款，金额填到收入列",IF(AND($R38="支",N($J38)=0),"这类业务是付款，金额填到支出列",IF(AND(SUMPRODUCT(--(INDEX(记账规则!$A$13:$H$32,MATCH($E38,记账规则!$A$13:$A$32,0),0)="@对方"))&gt;0,$G38=""),"这个类型要填对方科目",IF(AND($G38&lt;&gt;"",ISNA(MATCH($G38,会计科目表!$B$6:$B$85,0))),"对方科目不存在",IF(AND($E38="缴纳税费",$H38=""),"缴税请在费用项目里选税种",IF(AND($F38&lt;&gt;"",ISNA(MATCH($F38,往来单位!$A$6:$A$85,0))),"往来单位未建档",IF(YEAR($B38)&lt;&gt;参数设置!$B$5,"不在本会计年度",IF(AND($B37&lt;&gt;"",ISNUMBER($B37),$B38&lt;$B37),"日期比上一行早，余额按行序滚，建议按日期录","OK")))))))))))))))</f>
        <v>OK</v>
      </c>
      <c r="O38" s="58" t="str">
        <f aca="false">IF($B38="","",TEXT($B38,"yyyy-mm"))</f>
        <v>2026-12</v>
      </c>
      <c r="P38" s="60" t="n">
        <f aca="false">IF($E38="","",ROUND(N($I38)+N($J38),2))</f>
        <v>6000</v>
      </c>
      <c r="Q38" s="58" t="str">
        <f aca="false">IF($D38="","",IFERROR(INDEX(资金账户!$F$6:$F$25,MATCH($D38,资金账户!$B$6:$B$25,0)),""))</f>
        <v>银行存款</v>
      </c>
      <c r="R38" s="58" t="str">
        <f aca="false">IF($E38="","",IFERROR(IF(INDEX(记账规则!$A$13:$H$32,MATCH($E38,记账规则!$A$13:$A$32,0),4)="借","收","支"),""))</f>
        <v>支</v>
      </c>
      <c r="S38" s="57" t="n">
        <f aca="false">IF($D38="","",ROUND(SUMIFS(资金账户!$H$6:$H$25,资金账户!$B$6:$B$25,$D38)+SUMIFS($I$6:$I38,$D$6:$D38,$D38)-SUMIFS($J$6:$J38,$D$6:$D38,$D38),2))</f>
        <v>168240</v>
      </c>
      <c r="T38" s="61" t="n">
        <f aca="false">IF($B38="","",YEAR($B38))</f>
        <v>2026</v>
      </c>
    </row>
    <row r="39" customFormat="false" ht="15" hidden="false" customHeight="false" outlineLevel="0" collapsed="false">
      <c r="A39" s="53" t="n">
        <f aca="false">IF($B39="","",ROW()-5)</f>
        <v>34</v>
      </c>
      <c r="B39" s="54" t="n">
        <v>46376</v>
      </c>
      <c r="C39" s="33" t="s">
        <v>112</v>
      </c>
      <c r="D39" s="33" t="s">
        <v>528</v>
      </c>
      <c r="E39" s="33" t="s">
        <v>317</v>
      </c>
      <c r="F39" s="32" t="s">
        <v>497</v>
      </c>
      <c r="G39" s="32" t="s">
        <v>164</v>
      </c>
      <c r="H39" s="33" t="s">
        <v>163</v>
      </c>
      <c r="I39" s="43"/>
      <c r="J39" s="43" t="n">
        <v>12000</v>
      </c>
      <c r="K39" s="32" t="s">
        <v>659</v>
      </c>
      <c r="L39" s="39"/>
      <c r="M39" s="41"/>
      <c r="N39" s="25" t="str">
        <f aca="false">IF(AND($B39="",$E39="",$I39="",$J39=""),"",IF(NOT(ISNUMBER($B39)),"日期无效",IF(ISNA(MATCH($C39,参数设置!$A$10:$A$12,0)),"公司无效",IF(ISNA(MATCH($D39,资金账户!$B$6:$B$25,0)),"账户未建档",IF(ISNA(MATCH($E39,记账规则!$A$13:$A$32,0)),"业务类型无效",IF(AND(N($I39)&lt;&gt;0,N($J39)&lt;&gt;0),"收入和支出只能填一列",IF($P39=0,"金额为 0",IF(AND($R39="收",N($I39)=0),"这类业务是收款，金额填到收入列",IF(AND($R39="支",N($J39)=0),"这类业务是付款，金额填到支出列",IF(AND(SUMPRODUCT(--(INDEX(记账规则!$A$13:$H$32,MATCH($E39,记账规则!$A$13:$A$32,0),0)="@对方"))&gt;0,$G39=""),"这个类型要填对方科目",IF(AND($G39&lt;&gt;"",ISNA(MATCH($G39,会计科目表!$B$6:$B$85,0))),"对方科目不存在",IF(AND($E39="缴纳税费",$H39=""),"缴税请在费用项目里选税种",IF(AND($F39&lt;&gt;"",ISNA(MATCH($F39,往来单位!$A$6:$A$85,0))),"往来单位未建档",IF(YEAR($B39)&lt;&gt;参数设置!$B$5,"不在本会计年度",IF(AND($B38&lt;&gt;"",ISNUMBER($B38),$B39&lt;$B38),"日期比上一行早，余额按行序滚，建议按日期录","OK")))))))))))))))</f>
        <v>OK</v>
      </c>
      <c r="O39" s="58" t="str">
        <f aca="false">IF($B39="","",TEXT($B39,"yyyy-mm"))</f>
        <v>2026-12</v>
      </c>
      <c r="P39" s="60" t="n">
        <f aca="false">IF($E39="","",ROUND(N($I39)+N($J39),2))</f>
        <v>12000</v>
      </c>
      <c r="Q39" s="58" t="str">
        <f aca="false">IF($D39="","",IFERROR(INDEX(资金账户!$F$6:$F$25,MATCH($D39,资金账户!$B$6:$B$25,0)),""))</f>
        <v>银行存款</v>
      </c>
      <c r="R39" s="58" t="str">
        <f aca="false">IF($E39="","",IFERROR(IF(INDEX(记账规则!$A$13:$H$32,MATCH($E39,记账规则!$A$13:$A$32,0),4)="借","收","支"),""))</f>
        <v>支</v>
      </c>
      <c r="S39" s="57" t="n">
        <f aca="false">IF($D39="","",ROUND(SUMIFS(资金账户!$H$6:$H$25,资金账户!$B$6:$B$25,$D39)+SUMIFS($I$6:$I39,$D$6:$D39,$D39)-SUMIFS($J$6:$J39,$D$6:$D39,$D39),2))</f>
        <v>347660</v>
      </c>
      <c r="T39" s="61" t="n">
        <f aca="false">IF($B39="","",YEAR($B39))</f>
        <v>2026</v>
      </c>
    </row>
    <row r="40" customFormat="false" ht="15" hidden="false" customHeight="false" outlineLevel="0" collapsed="false">
      <c r="A40" s="53" t="str">
        <f aca="false">IF($B40="","",ROW()-5)</f>
        <v/>
      </c>
      <c r="B40" s="54"/>
      <c r="C40" s="33"/>
      <c r="D40" s="33"/>
      <c r="E40" s="33"/>
      <c r="F40" s="32"/>
      <c r="G40" s="41"/>
      <c r="H40" s="39"/>
      <c r="I40" s="43"/>
      <c r="J40" s="43"/>
      <c r="K40" s="41"/>
      <c r="L40" s="39"/>
      <c r="M40" s="41"/>
      <c r="N40" s="25" t="str">
        <f aca="false">IF(AND($B40="",$E40="",$I40="",$J40=""),"",IF(NOT(ISNUMBER($B40)),"日期无效",IF(ISNA(MATCH($C40,参数设置!$A$10:$A$12,0)),"公司无效",IF(ISNA(MATCH($D40,资金账户!$B$6:$B$25,0)),"账户未建档",IF(ISNA(MATCH($E40,记账规则!$A$13:$A$32,0)),"业务类型无效",IF(AND(N($I40)&lt;&gt;0,N($J40)&lt;&gt;0),"收入和支出只能填一列",IF($P40=0,"金额为 0",IF(AND($R40="收",N($I40)=0),"这类业务是收款，金额填到收入列",IF(AND($R40="支",N($J40)=0),"这类业务是付款，金额填到支出列",IF(AND(SUMPRODUCT(--(INDEX(记账规则!$A$13:$H$32,MATCH($E40,记账规则!$A$13:$A$32,0),0)="@对方"))&gt;0,$G40=""),"这个类型要填对方科目",IF(AND($G40&lt;&gt;"",ISNA(MATCH($G40,会计科目表!$B$6:$B$85,0))),"对方科目不存在",IF(AND($E40="缴纳税费",$H40=""),"缴税请在费用项目里选税种",IF(AND($F40&lt;&gt;"",ISNA(MATCH($F40,往来单位!$A$6:$A$85,0))),"往来单位未建档",IF(YEAR($B40)&lt;&gt;参数设置!$B$5,"不在本会计年度",IF(AND($B39&lt;&gt;"",ISNUMBER($B39),$B40&lt;$B39),"日期比上一行早，余额按行序滚，建议按日期录","OK")))))))))))))))</f>
        <v/>
      </c>
      <c r="O40" s="58" t="str">
        <f aca="false">IF($B40="","",TEXT($B40,"yyyy-mm"))</f>
        <v/>
      </c>
      <c r="P40" s="60" t="str">
        <f aca="false">IF($E40="","",ROUND(N($I40)+N($J40),2))</f>
        <v/>
      </c>
      <c r="Q40" s="58" t="str">
        <f aca="false">IF($D40="","",IFERROR(INDEX(资金账户!$F$6:$F$25,MATCH($D40,资金账户!$B$6:$B$25,0)),""))</f>
        <v/>
      </c>
      <c r="R40" s="58" t="str">
        <f aca="false">IF($E40="","",IFERROR(IF(INDEX(记账规则!$A$13:$H$32,MATCH($E40,记账规则!$A$13:$A$32,0),4)="借","收","支"),""))</f>
        <v/>
      </c>
      <c r="S40" s="57" t="str">
        <f aca="false">IF($D40="","",ROUND(SUMIFS(资金账户!$H$6:$H$25,资金账户!$B$6:$B$25,$D40)+SUMIFS($I$6:$I40,$D$6:$D40,$D40)-SUMIFS($J$6:$J40,$D$6:$D40,$D40),2))</f>
        <v/>
      </c>
      <c r="T40" s="61" t="str">
        <f aca="false">IF($B40="","",YEAR($B40))</f>
        <v/>
      </c>
    </row>
    <row r="41" customFormat="false" ht="15" hidden="false" customHeight="false" outlineLevel="0" collapsed="false">
      <c r="A41" s="53" t="str">
        <f aca="false">IF($B41="","",ROW()-5)</f>
        <v/>
      </c>
      <c r="B41" s="54"/>
      <c r="C41" s="33"/>
      <c r="D41" s="33"/>
      <c r="E41" s="33"/>
      <c r="F41" s="32"/>
      <c r="G41" s="41"/>
      <c r="H41" s="39"/>
      <c r="I41" s="43"/>
      <c r="J41" s="43"/>
      <c r="K41" s="41"/>
      <c r="L41" s="39"/>
      <c r="M41" s="41"/>
      <c r="N41" s="25" t="str">
        <f aca="false">IF(AND($B41="",$E41="",$I41="",$J41=""),"",IF(NOT(ISNUMBER($B41)),"日期无效",IF(ISNA(MATCH($C41,参数设置!$A$10:$A$12,0)),"公司无效",IF(ISNA(MATCH($D41,资金账户!$B$6:$B$25,0)),"账户未建档",IF(ISNA(MATCH($E41,记账规则!$A$13:$A$32,0)),"业务类型无效",IF(AND(N($I41)&lt;&gt;0,N($J41)&lt;&gt;0),"收入和支出只能填一列",IF($P41=0,"金额为 0",IF(AND($R41="收",N($I41)=0),"这类业务是收款，金额填到收入列",IF(AND($R41="支",N($J41)=0),"这类业务是付款，金额填到支出列",IF(AND(SUMPRODUCT(--(INDEX(记账规则!$A$13:$H$32,MATCH($E41,记账规则!$A$13:$A$32,0),0)="@对方"))&gt;0,$G41=""),"这个类型要填对方科目",IF(AND($G41&lt;&gt;"",ISNA(MATCH($G41,会计科目表!$B$6:$B$85,0))),"对方科目不存在",IF(AND($E41="缴纳税费",$H41=""),"缴税请在费用项目里选税种",IF(AND($F41&lt;&gt;"",ISNA(MATCH($F41,往来单位!$A$6:$A$85,0))),"往来单位未建档",IF(YEAR($B41)&lt;&gt;参数设置!$B$5,"不在本会计年度",IF(AND($B40&lt;&gt;"",ISNUMBER($B40),$B41&lt;$B40),"日期比上一行早，余额按行序滚，建议按日期录","OK")))))))))))))))</f>
        <v/>
      </c>
      <c r="O41" s="58" t="str">
        <f aca="false">IF($B41="","",TEXT($B41,"yyyy-mm"))</f>
        <v/>
      </c>
      <c r="P41" s="60" t="str">
        <f aca="false">IF($E41="","",ROUND(N($I41)+N($J41),2))</f>
        <v/>
      </c>
      <c r="Q41" s="58" t="str">
        <f aca="false">IF($D41="","",IFERROR(INDEX(资金账户!$F$6:$F$25,MATCH($D41,资金账户!$B$6:$B$25,0)),""))</f>
        <v/>
      </c>
      <c r="R41" s="58" t="str">
        <f aca="false">IF($E41="","",IFERROR(IF(INDEX(记账规则!$A$13:$H$32,MATCH($E41,记账规则!$A$13:$A$32,0),4)="借","收","支"),""))</f>
        <v/>
      </c>
      <c r="S41" s="57" t="str">
        <f aca="false">IF($D41="","",ROUND(SUMIFS(资金账户!$H$6:$H$25,资金账户!$B$6:$B$25,$D41)+SUMIFS($I$6:$I41,$D$6:$D41,$D41)-SUMIFS($J$6:$J41,$D$6:$D41,$D41),2))</f>
        <v/>
      </c>
      <c r="T41" s="61" t="str">
        <f aca="false">IF($B41="","",YEAR($B41))</f>
        <v/>
      </c>
    </row>
    <row r="42" customFormat="false" ht="15" hidden="false" customHeight="false" outlineLevel="0" collapsed="false">
      <c r="A42" s="53" t="str">
        <f aca="false">IF($B42="","",ROW()-5)</f>
        <v/>
      </c>
      <c r="B42" s="54"/>
      <c r="C42" s="33"/>
      <c r="D42" s="33"/>
      <c r="E42" s="33"/>
      <c r="F42" s="32"/>
      <c r="G42" s="41"/>
      <c r="H42" s="39"/>
      <c r="I42" s="43"/>
      <c r="J42" s="43"/>
      <c r="K42" s="41"/>
      <c r="L42" s="39"/>
      <c r="M42" s="41"/>
      <c r="N42" s="25" t="str">
        <f aca="false">IF(AND($B42="",$E42="",$I42="",$J42=""),"",IF(NOT(ISNUMBER($B42)),"日期无效",IF(ISNA(MATCH($C42,参数设置!$A$10:$A$12,0)),"公司无效",IF(ISNA(MATCH($D42,资金账户!$B$6:$B$25,0)),"账户未建档",IF(ISNA(MATCH($E42,记账规则!$A$13:$A$32,0)),"业务类型无效",IF(AND(N($I42)&lt;&gt;0,N($J42)&lt;&gt;0),"收入和支出只能填一列",IF($P42=0,"金额为 0",IF(AND($R42="收",N($I42)=0),"这类业务是收款，金额填到收入列",IF(AND($R42="支",N($J42)=0),"这类业务是付款，金额填到支出列",IF(AND(SUMPRODUCT(--(INDEX(记账规则!$A$13:$H$32,MATCH($E42,记账规则!$A$13:$A$32,0),0)="@对方"))&gt;0,$G42=""),"这个类型要填对方科目",IF(AND($G42&lt;&gt;"",ISNA(MATCH($G42,会计科目表!$B$6:$B$85,0))),"对方科目不存在",IF(AND($E42="缴纳税费",$H42=""),"缴税请在费用项目里选税种",IF(AND($F42&lt;&gt;"",ISNA(MATCH($F42,往来单位!$A$6:$A$85,0))),"往来单位未建档",IF(YEAR($B42)&lt;&gt;参数设置!$B$5,"不在本会计年度",IF(AND($B41&lt;&gt;"",ISNUMBER($B41),$B42&lt;$B41),"日期比上一行早，余额按行序滚，建议按日期录","OK")))))))))))))))</f>
        <v/>
      </c>
      <c r="O42" s="58" t="str">
        <f aca="false">IF($B42="","",TEXT($B42,"yyyy-mm"))</f>
        <v/>
      </c>
      <c r="P42" s="60" t="str">
        <f aca="false">IF($E42="","",ROUND(N($I42)+N($J42),2))</f>
        <v/>
      </c>
      <c r="Q42" s="58" t="str">
        <f aca="false">IF($D42="","",IFERROR(INDEX(资金账户!$F$6:$F$25,MATCH($D42,资金账户!$B$6:$B$25,0)),""))</f>
        <v/>
      </c>
      <c r="R42" s="58" t="str">
        <f aca="false">IF($E42="","",IFERROR(IF(INDEX(记账规则!$A$13:$H$32,MATCH($E42,记账规则!$A$13:$A$32,0),4)="借","收","支"),""))</f>
        <v/>
      </c>
      <c r="S42" s="57" t="str">
        <f aca="false">IF($D42="","",ROUND(SUMIFS(资金账户!$H$6:$H$25,资金账户!$B$6:$B$25,$D42)+SUMIFS($I$6:$I42,$D$6:$D42,$D42)-SUMIFS($J$6:$J42,$D$6:$D42,$D42),2))</f>
        <v/>
      </c>
      <c r="T42" s="61" t="str">
        <f aca="false">IF($B42="","",YEAR($B42))</f>
        <v/>
      </c>
    </row>
    <row r="43" customFormat="false" ht="15" hidden="false" customHeight="false" outlineLevel="0" collapsed="false">
      <c r="A43" s="53" t="str">
        <f aca="false">IF($B43="","",ROW()-5)</f>
        <v/>
      </c>
      <c r="B43" s="54"/>
      <c r="C43" s="33"/>
      <c r="D43" s="33"/>
      <c r="E43" s="33"/>
      <c r="F43" s="32"/>
      <c r="G43" s="41"/>
      <c r="H43" s="39"/>
      <c r="I43" s="43"/>
      <c r="J43" s="43"/>
      <c r="K43" s="41"/>
      <c r="L43" s="39"/>
      <c r="M43" s="41"/>
      <c r="N43" s="25" t="str">
        <f aca="false">IF(AND($B43="",$E43="",$I43="",$J43=""),"",IF(NOT(ISNUMBER($B43)),"日期无效",IF(ISNA(MATCH($C43,参数设置!$A$10:$A$12,0)),"公司无效",IF(ISNA(MATCH($D43,资金账户!$B$6:$B$25,0)),"账户未建档",IF(ISNA(MATCH($E43,记账规则!$A$13:$A$32,0)),"业务类型无效",IF(AND(N($I43)&lt;&gt;0,N($J43)&lt;&gt;0),"收入和支出只能填一列",IF($P43=0,"金额为 0",IF(AND($R43="收",N($I43)=0),"这类业务是收款，金额填到收入列",IF(AND($R43="支",N($J43)=0),"这类业务是付款，金额填到支出列",IF(AND(SUMPRODUCT(--(INDEX(记账规则!$A$13:$H$32,MATCH($E43,记账规则!$A$13:$A$32,0),0)="@对方"))&gt;0,$G43=""),"这个类型要填对方科目",IF(AND($G43&lt;&gt;"",ISNA(MATCH($G43,会计科目表!$B$6:$B$85,0))),"对方科目不存在",IF(AND($E43="缴纳税费",$H43=""),"缴税请在费用项目里选税种",IF(AND($F43&lt;&gt;"",ISNA(MATCH($F43,往来单位!$A$6:$A$85,0))),"往来单位未建档",IF(YEAR($B43)&lt;&gt;参数设置!$B$5,"不在本会计年度",IF(AND($B42&lt;&gt;"",ISNUMBER($B42),$B43&lt;$B42),"日期比上一行早，余额按行序滚，建议按日期录","OK")))))))))))))))</f>
        <v/>
      </c>
      <c r="O43" s="58" t="str">
        <f aca="false">IF($B43="","",TEXT($B43,"yyyy-mm"))</f>
        <v/>
      </c>
      <c r="P43" s="60" t="str">
        <f aca="false">IF($E43="","",ROUND(N($I43)+N($J43),2))</f>
        <v/>
      </c>
      <c r="Q43" s="58" t="str">
        <f aca="false">IF($D43="","",IFERROR(INDEX(资金账户!$F$6:$F$25,MATCH($D43,资金账户!$B$6:$B$25,0)),""))</f>
        <v/>
      </c>
      <c r="R43" s="58" t="str">
        <f aca="false">IF($E43="","",IFERROR(IF(INDEX(记账规则!$A$13:$H$32,MATCH($E43,记账规则!$A$13:$A$32,0),4)="借","收","支"),""))</f>
        <v/>
      </c>
      <c r="S43" s="57" t="str">
        <f aca="false">IF($D43="","",ROUND(SUMIFS(资金账户!$H$6:$H$25,资金账户!$B$6:$B$25,$D43)+SUMIFS($I$6:$I43,$D$6:$D43,$D43)-SUMIFS($J$6:$J43,$D$6:$D43,$D43),2))</f>
        <v/>
      </c>
      <c r="T43" s="61" t="str">
        <f aca="false">IF($B43="","",YEAR($B43))</f>
        <v/>
      </c>
    </row>
    <row r="44" customFormat="false" ht="15" hidden="false" customHeight="false" outlineLevel="0" collapsed="false">
      <c r="A44" s="53" t="str">
        <f aca="false">IF($B44="","",ROW()-5)</f>
        <v/>
      </c>
      <c r="B44" s="54"/>
      <c r="C44" s="33"/>
      <c r="D44" s="33"/>
      <c r="E44" s="33"/>
      <c r="F44" s="32"/>
      <c r="G44" s="41"/>
      <c r="H44" s="39"/>
      <c r="I44" s="43"/>
      <c r="J44" s="43"/>
      <c r="K44" s="41"/>
      <c r="L44" s="39"/>
      <c r="M44" s="41"/>
      <c r="N44" s="25" t="str">
        <f aca="false">IF(AND($B44="",$E44="",$I44="",$J44=""),"",IF(NOT(ISNUMBER($B44)),"日期无效",IF(ISNA(MATCH($C44,参数设置!$A$10:$A$12,0)),"公司无效",IF(ISNA(MATCH($D44,资金账户!$B$6:$B$25,0)),"账户未建档",IF(ISNA(MATCH($E44,记账规则!$A$13:$A$32,0)),"业务类型无效",IF(AND(N($I44)&lt;&gt;0,N($J44)&lt;&gt;0),"收入和支出只能填一列",IF($P44=0,"金额为 0",IF(AND($R44="收",N($I44)=0),"这类业务是收款，金额填到收入列",IF(AND($R44="支",N($J44)=0),"这类业务是付款，金额填到支出列",IF(AND(SUMPRODUCT(--(INDEX(记账规则!$A$13:$H$32,MATCH($E44,记账规则!$A$13:$A$32,0),0)="@对方"))&gt;0,$G44=""),"这个类型要填对方科目",IF(AND($G44&lt;&gt;"",ISNA(MATCH($G44,会计科目表!$B$6:$B$85,0))),"对方科目不存在",IF(AND($E44="缴纳税费",$H44=""),"缴税请在费用项目里选税种",IF(AND($F44&lt;&gt;"",ISNA(MATCH($F44,往来单位!$A$6:$A$85,0))),"往来单位未建档",IF(YEAR($B44)&lt;&gt;参数设置!$B$5,"不在本会计年度",IF(AND($B43&lt;&gt;"",ISNUMBER($B43),$B44&lt;$B43),"日期比上一行早，余额按行序滚，建议按日期录","OK")))))))))))))))</f>
        <v/>
      </c>
      <c r="O44" s="58" t="str">
        <f aca="false">IF($B44="","",TEXT($B44,"yyyy-mm"))</f>
        <v/>
      </c>
      <c r="P44" s="60" t="str">
        <f aca="false">IF($E44="","",ROUND(N($I44)+N($J44),2))</f>
        <v/>
      </c>
      <c r="Q44" s="58" t="str">
        <f aca="false">IF($D44="","",IFERROR(INDEX(资金账户!$F$6:$F$25,MATCH($D44,资金账户!$B$6:$B$25,0)),""))</f>
        <v/>
      </c>
      <c r="R44" s="58" t="str">
        <f aca="false">IF($E44="","",IFERROR(IF(INDEX(记账规则!$A$13:$H$32,MATCH($E44,记账规则!$A$13:$A$32,0),4)="借","收","支"),""))</f>
        <v/>
      </c>
      <c r="S44" s="57" t="str">
        <f aca="false">IF($D44="","",ROUND(SUMIFS(资金账户!$H$6:$H$25,资金账户!$B$6:$B$25,$D44)+SUMIFS($I$6:$I44,$D$6:$D44,$D44)-SUMIFS($J$6:$J44,$D$6:$D44,$D44),2))</f>
        <v/>
      </c>
      <c r="T44" s="61" t="str">
        <f aca="false">IF($B44="","",YEAR($B44))</f>
        <v/>
      </c>
    </row>
    <row r="45" customFormat="false" ht="15" hidden="false" customHeight="false" outlineLevel="0" collapsed="false">
      <c r="A45" s="53" t="str">
        <f aca="false">IF($B45="","",ROW()-5)</f>
        <v/>
      </c>
      <c r="B45" s="54"/>
      <c r="C45" s="33"/>
      <c r="D45" s="33"/>
      <c r="E45" s="33"/>
      <c r="F45" s="32"/>
      <c r="G45" s="41"/>
      <c r="H45" s="39"/>
      <c r="I45" s="43"/>
      <c r="J45" s="43"/>
      <c r="K45" s="41"/>
      <c r="L45" s="39"/>
      <c r="M45" s="41"/>
      <c r="N45" s="25" t="str">
        <f aca="false">IF(AND($B45="",$E45="",$I45="",$J45=""),"",IF(NOT(ISNUMBER($B45)),"日期无效",IF(ISNA(MATCH($C45,参数设置!$A$10:$A$12,0)),"公司无效",IF(ISNA(MATCH($D45,资金账户!$B$6:$B$25,0)),"账户未建档",IF(ISNA(MATCH($E45,记账规则!$A$13:$A$32,0)),"业务类型无效",IF(AND(N($I45)&lt;&gt;0,N($J45)&lt;&gt;0),"收入和支出只能填一列",IF($P45=0,"金额为 0",IF(AND($R45="收",N($I45)=0),"这类业务是收款，金额填到收入列",IF(AND($R45="支",N($J45)=0),"这类业务是付款，金额填到支出列",IF(AND(SUMPRODUCT(--(INDEX(记账规则!$A$13:$H$32,MATCH($E45,记账规则!$A$13:$A$32,0),0)="@对方"))&gt;0,$G45=""),"这个类型要填对方科目",IF(AND($G45&lt;&gt;"",ISNA(MATCH($G45,会计科目表!$B$6:$B$85,0))),"对方科目不存在",IF(AND($E45="缴纳税费",$H45=""),"缴税请在费用项目里选税种",IF(AND($F45&lt;&gt;"",ISNA(MATCH($F45,往来单位!$A$6:$A$85,0))),"往来单位未建档",IF(YEAR($B45)&lt;&gt;参数设置!$B$5,"不在本会计年度",IF(AND($B44&lt;&gt;"",ISNUMBER($B44),$B45&lt;$B44),"日期比上一行早，余额按行序滚，建议按日期录","OK")))))))))))))))</f>
        <v/>
      </c>
      <c r="O45" s="58" t="str">
        <f aca="false">IF($B45="","",TEXT($B45,"yyyy-mm"))</f>
        <v/>
      </c>
      <c r="P45" s="60" t="str">
        <f aca="false">IF($E45="","",ROUND(N($I45)+N($J45),2))</f>
        <v/>
      </c>
      <c r="Q45" s="58" t="str">
        <f aca="false">IF($D45="","",IFERROR(INDEX(资金账户!$F$6:$F$25,MATCH($D45,资金账户!$B$6:$B$25,0)),""))</f>
        <v/>
      </c>
      <c r="R45" s="58" t="str">
        <f aca="false">IF($E45="","",IFERROR(IF(INDEX(记账规则!$A$13:$H$32,MATCH($E45,记账规则!$A$13:$A$32,0),4)="借","收","支"),""))</f>
        <v/>
      </c>
      <c r="S45" s="57" t="str">
        <f aca="false">IF($D45="","",ROUND(SUMIFS(资金账户!$H$6:$H$25,资金账户!$B$6:$B$25,$D45)+SUMIFS($I$6:$I45,$D$6:$D45,$D45)-SUMIFS($J$6:$J45,$D$6:$D45,$D45),2))</f>
        <v/>
      </c>
      <c r="T45" s="61" t="str">
        <f aca="false">IF($B45="","",YEAR($B45))</f>
        <v/>
      </c>
    </row>
    <row r="46" customFormat="false" ht="15" hidden="false" customHeight="false" outlineLevel="0" collapsed="false">
      <c r="A46" s="53" t="str">
        <f aca="false">IF($B46="","",ROW()-5)</f>
        <v/>
      </c>
      <c r="B46" s="54"/>
      <c r="C46" s="33"/>
      <c r="D46" s="33"/>
      <c r="E46" s="33"/>
      <c r="F46" s="32"/>
      <c r="G46" s="41"/>
      <c r="H46" s="39"/>
      <c r="I46" s="43"/>
      <c r="J46" s="43"/>
      <c r="K46" s="41"/>
      <c r="L46" s="39"/>
      <c r="M46" s="41"/>
      <c r="N46" s="25" t="str">
        <f aca="false">IF(AND($B46="",$E46="",$I46="",$J46=""),"",IF(NOT(ISNUMBER($B46)),"日期无效",IF(ISNA(MATCH($C46,参数设置!$A$10:$A$12,0)),"公司无效",IF(ISNA(MATCH($D46,资金账户!$B$6:$B$25,0)),"账户未建档",IF(ISNA(MATCH($E46,记账规则!$A$13:$A$32,0)),"业务类型无效",IF(AND(N($I46)&lt;&gt;0,N($J46)&lt;&gt;0),"收入和支出只能填一列",IF($P46=0,"金额为 0",IF(AND($R46="收",N($I46)=0),"这类业务是收款，金额填到收入列",IF(AND($R46="支",N($J46)=0),"这类业务是付款，金额填到支出列",IF(AND(SUMPRODUCT(--(INDEX(记账规则!$A$13:$H$32,MATCH($E46,记账规则!$A$13:$A$32,0),0)="@对方"))&gt;0,$G46=""),"这个类型要填对方科目",IF(AND($G46&lt;&gt;"",ISNA(MATCH($G46,会计科目表!$B$6:$B$85,0))),"对方科目不存在",IF(AND($E46="缴纳税费",$H46=""),"缴税请在费用项目里选税种",IF(AND($F46&lt;&gt;"",ISNA(MATCH($F46,往来单位!$A$6:$A$85,0))),"往来单位未建档",IF(YEAR($B46)&lt;&gt;参数设置!$B$5,"不在本会计年度",IF(AND($B45&lt;&gt;"",ISNUMBER($B45),$B46&lt;$B45),"日期比上一行早，余额按行序滚，建议按日期录","OK")))))))))))))))</f>
        <v/>
      </c>
      <c r="O46" s="58" t="str">
        <f aca="false">IF($B46="","",TEXT($B46,"yyyy-mm"))</f>
        <v/>
      </c>
      <c r="P46" s="60" t="str">
        <f aca="false">IF($E46="","",ROUND(N($I46)+N($J46),2))</f>
        <v/>
      </c>
      <c r="Q46" s="58" t="str">
        <f aca="false">IF($D46="","",IFERROR(INDEX(资金账户!$F$6:$F$25,MATCH($D46,资金账户!$B$6:$B$25,0)),""))</f>
        <v/>
      </c>
      <c r="R46" s="58" t="str">
        <f aca="false">IF($E46="","",IFERROR(IF(INDEX(记账规则!$A$13:$H$32,MATCH($E46,记账规则!$A$13:$A$32,0),4)="借","收","支"),""))</f>
        <v/>
      </c>
      <c r="S46" s="57" t="str">
        <f aca="false">IF($D46="","",ROUND(SUMIFS(资金账户!$H$6:$H$25,资金账户!$B$6:$B$25,$D46)+SUMIFS($I$6:$I46,$D$6:$D46,$D46)-SUMIFS($J$6:$J46,$D$6:$D46,$D46),2))</f>
        <v/>
      </c>
      <c r="T46" s="61" t="str">
        <f aca="false">IF($B46="","",YEAR($B46))</f>
        <v/>
      </c>
    </row>
    <row r="47" customFormat="false" ht="15" hidden="false" customHeight="false" outlineLevel="0" collapsed="false">
      <c r="A47" s="53" t="str">
        <f aca="false">IF($B47="","",ROW()-5)</f>
        <v/>
      </c>
      <c r="B47" s="54"/>
      <c r="C47" s="33"/>
      <c r="D47" s="33"/>
      <c r="E47" s="33"/>
      <c r="F47" s="32"/>
      <c r="G47" s="41"/>
      <c r="H47" s="39"/>
      <c r="I47" s="43"/>
      <c r="J47" s="43"/>
      <c r="K47" s="41"/>
      <c r="L47" s="39"/>
      <c r="M47" s="41"/>
      <c r="N47" s="25" t="str">
        <f aca="false">IF(AND($B47="",$E47="",$I47="",$J47=""),"",IF(NOT(ISNUMBER($B47)),"日期无效",IF(ISNA(MATCH($C47,参数设置!$A$10:$A$12,0)),"公司无效",IF(ISNA(MATCH($D47,资金账户!$B$6:$B$25,0)),"账户未建档",IF(ISNA(MATCH($E47,记账规则!$A$13:$A$32,0)),"业务类型无效",IF(AND(N($I47)&lt;&gt;0,N($J47)&lt;&gt;0),"收入和支出只能填一列",IF($P47=0,"金额为 0",IF(AND($R47="收",N($I47)=0),"这类业务是收款，金额填到收入列",IF(AND($R47="支",N($J47)=0),"这类业务是付款，金额填到支出列",IF(AND(SUMPRODUCT(--(INDEX(记账规则!$A$13:$H$32,MATCH($E47,记账规则!$A$13:$A$32,0),0)="@对方"))&gt;0,$G47=""),"这个类型要填对方科目",IF(AND($G47&lt;&gt;"",ISNA(MATCH($G47,会计科目表!$B$6:$B$85,0))),"对方科目不存在",IF(AND($E47="缴纳税费",$H47=""),"缴税请在费用项目里选税种",IF(AND($F47&lt;&gt;"",ISNA(MATCH($F47,往来单位!$A$6:$A$85,0))),"往来单位未建档",IF(YEAR($B47)&lt;&gt;参数设置!$B$5,"不在本会计年度",IF(AND($B46&lt;&gt;"",ISNUMBER($B46),$B47&lt;$B46),"日期比上一行早，余额按行序滚，建议按日期录","OK")))))))))))))))</f>
        <v/>
      </c>
      <c r="O47" s="58" t="str">
        <f aca="false">IF($B47="","",TEXT($B47,"yyyy-mm"))</f>
        <v/>
      </c>
      <c r="P47" s="60" t="str">
        <f aca="false">IF($E47="","",ROUND(N($I47)+N($J47),2))</f>
        <v/>
      </c>
      <c r="Q47" s="58" t="str">
        <f aca="false">IF($D47="","",IFERROR(INDEX(资金账户!$F$6:$F$25,MATCH($D47,资金账户!$B$6:$B$25,0)),""))</f>
        <v/>
      </c>
      <c r="R47" s="58" t="str">
        <f aca="false">IF($E47="","",IFERROR(IF(INDEX(记账规则!$A$13:$H$32,MATCH($E47,记账规则!$A$13:$A$32,0),4)="借","收","支"),""))</f>
        <v/>
      </c>
      <c r="S47" s="57" t="str">
        <f aca="false">IF($D47="","",ROUND(SUMIFS(资金账户!$H$6:$H$25,资金账户!$B$6:$B$25,$D47)+SUMIFS($I$6:$I47,$D$6:$D47,$D47)-SUMIFS($J$6:$J47,$D$6:$D47,$D47),2))</f>
        <v/>
      </c>
      <c r="T47" s="61" t="str">
        <f aca="false">IF($B47="","",YEAR($B47))</f>
        <v/>
      </c>
    </row>
    <row r="48" customFormat="false" ht="15" hidden="false" customHeight="false" outlineLevel="0" collapsed="false">
      <c r="A48" s="53" t="str">
        <f aca="false">IF($B48="","",ROW()-5)</f>
        <v/>
      </c>
      <c r="B48" s="54"/>
      <c r="C48" s="33"/>
      <c r="D48" s="33"/>
      <c r="E48" s="33"/>
      <c r="F48" s="32"/>
      <c r="G48" s="41"/>
      <c r="H48" s="39"/>
      <c r="I48" s="43"/>
      <c r="J48" s="43"/>
      <c r="K48" s="41"/>
      <c r="L48" s="39"/>
      <c r="M48" s="41"/>
      <c r="N48" s="25" t="str">
        <f aca="false">IF(AND($B48="",$E48="",$I48="",$J48=""),"",IF(NOT(ISNUMBER($B48)),"日期无效",IF(ISNA(MATCH($C48,参数设置!$A$10:$A$12,0)),"公司无效",IF(ISNA(MATCH($D48,资金账户!$B$6:$B$25,0)),"账户未建档",IF(ISNA(MATCH($E48,记账规则!$A$13:$A$32,0)),"业务类型无效",IF(AND(N($I48)&lt;&gt;0,N($J48)&lt;&gt;0),"收入和支出只能填一列",IF($P48=0,"金额为 0",IF(AND($R48="收",N($I48)=0),"这类业务是收款，金额填到收入列",IF(AND($R48="支",N($J48)=0),"这类业务是付款，金额填到支出列",IF(AND(SUMPRODUCT(--(INDEX(记账规则!$A$13:$H$32,MATCH($E48,记账规则!$A$13:$A$32,0),0)="@对方"))&gt;0,$G48=""),"这个类型要填对方科目",IF(AND($G48&lt;&gt;"",ISNA(MATCH($G48,会计科目表!$B$6:$B$85,0))),"对方科目不存在",IF(AND($E48="缴纳税费",$H48=""),"缴税请在费用项目里选税种",IF(AND($F48&lt;&gt;"",ISNA(MATCH($F48,往来单位!$A$6:$A$85,0))),"往来单位未建档",IF(YEAR($B48)&lt;&gt;参数设置!$B$5,"不在本会计年度",IF(AND($B47&lt;&gt;"",ISNUMBER($B47),$B48&lt;$B47),"日期比上一行早，余额按行序滚，建议按日期录","OK")))))))))))))))</f>
        <v/>
      </c>
      <c r="O48" s="58" t="str">
        <f aca="false">IF($B48="","",TEXT($B48,"yyyy-mm"))</f>
        <v/>
      </c>
      <c r="P48" s="60" t="str">
        <f aca="false">IF($E48="","",ROUND(N($I48)+N($J48),2))</f>
        <v/>
      </c>
      <c r="Q48" s="58" t="str">
        <f aca="false">IF($D48="","",IFERROR(INDEX(资金账户!$F$6:$F$25,MATCH($D48,资金账户!$B$6:$B$25,0)),""))</f>
        <v/>
      </c>
      <c r="R48" s="58" t="str">
        <f aca="false">IF($E48="","",IFERROR(IF(INDEX(记账规则!$A$13:$H$32,MATCH($E48,记账规则!$A$13:$A$32,0),4)="借","收","支"),""))</f>
        <v/>
      </c>
      <c r="S48" s="57" t="str">
        <f aca="false">IF($D48="","",ROUND(SUMIFS(资金账户!$H$6:$H$25,资金账户!$B$6:$B$25,$D48)+SUMIFS($I$6:$I48,$D$6:$D48,$D48)-SUMIFS($J$6:$J48,$D$6:$D48,$D48),2))</f>
        <v/>
      </c>
      <c r="T48" s="61" t="str">
        <f aca="false">IF($B48="","",YEAR($B48))</f>
        <v/>
      </c>
    </row>
    <row r="49" customFormat="false" ht="15" hidden="false" customHeight="false" outlineLevel="0" collapsed="false">
      <c r="A49" s="53" t="str">
        <f aca="false">IF($B49="","",ROW()-5)</f>
        <v/>
      </c>
      <c r="B49" s="54"/>
      <c r="C49" s="33"/>
      <c r="D49" s="33"/>
      <c r="E49" s="33"/>
      <c r="F49" s="32"/>
      <c r="G49" s="41"/>
      <c r="H49" s="39"/>
      <c r="I49" s="43"/>
      <c r="J49" s="43"/>
      <c r="K49" s="41"/>
      <c r="L49" s="39"/>
      <c r="M49" s="41"/>
      <c r="N49" s="25" t="str">
        <f aca="false">IF(AND($B49="",$E49="",$I49="",$J49=""),"",IF(NOT(ISNUMBER($B49)),"日期无效",IF(ISNA(MATCH($C49,参数设置!$A$10:$A$12,0)),"公司无效",IF(ISNA(MATCH($D49,资金账户!$B$6:$B$25,0)),"账户未建档",IF(ISNA(MATCH($E49,记账规则!$A$13:$A$32,0)),"业务类型无效",IF(AND(N($I49)&lt;&gt;0,N($J49)&lt;&gt;0),"收入和支出只能填一列",IF($P49=0,"金额为 0",IF(AND($R49="收",N($I49)=0),"这类业务是收款，金额填到收入列",IF(AND($R49="支",N($J49)=0),"这类业务是付款，金额填到支出列",IF(AND(SUMPRODUCT(--(INDEX(记账规则!$A$13:$H$32,MATCH($E49,记账规则!$A$13:$A$32,0),0)="@对方"))&gt;0,$G49=""),"这个类型要填对方科目",IF(AND($G49&lt;&gt;"",ISNA(MATCH($G49,会计科目表!$B$6:$B$85,0))),"对方科目不存在",IF(AND($E49="缴纳税费",$H49=""),"缴税请在费用项目里选税种",IF(AND($F49&lt;&gt;"",ISNA(MATCH($F49,往来单位!$A$6:$A$85,0))),"往来单位未建档",IF(YEAR($B49)&lt;&gt;参数设置!$B$5,"不在本会计年度",IF(AND($B48&lt;&gt;"",ISNUMBER($B48),$B49&lt;$B48),"日期比上一行早，余额按行序滚，建议按日期录","OK")))))))))))))))</f>
        <v/>
      </c>
      <c r="O49" s="58" t="str">
        <f aca="false">IF($B49="","",TEXT($B49,"yyyy-mm"))</f>
        <v/>
      </c>
      <c r="P49" s="60" t="str">
        <f aca="false">IF($E49="","",ROUND(N($I49)+N($J49),2))</f>
        <v/>
      </c>
      <c r="Q49" s="58" t="str">
        <f aca="false">IF($D49="","",IFERROR(INDEX(资金账户!$F$6:$F$25,MATCH($D49,资金账户!$B$6:$B$25,0)),""))</f>
        <v/>
      </c>
      <c r="R49" s="58" t="str">
        <f aca="false">IF($E49="","",IFERROR(IF(INDEX(记账规则!$A$13:$H$32,MATCH($E49,记账规则!$A$13:$A$32,0),4)="借","收","支"),""))</f>
        <v/>
      </c>
      <c r="S49" s="57" t="str">
        <f aca="false">IF($D49="","",ROUND(SUMIFS(资金账户!$H$6:$H$25,资金账户!$B$6:$B$25,$D49)+SUMIFS($I$6:$I49,$D$6:$D49,$D49)-SUMIFS($J$6:$J49,$D$6:$D49,$D49),2))</f>
        <v/>
      </c>
      <c r="T49" s="61" t="str">
        <f aca="false">IF($B49="","",YEAR($B49))</f>
        <v/>
      </c>
    </row>
    <row r="50" customFormat="false" ht="15" hidden="false" customHeight="false" outlineLevel="0" collapsed="false">
      <c r="A50" s="53" t="str">
        <f aca="false">IF($B50="","",ROW()-5)</f>
        <v/>
      </c>
      <c r="B50" s="54"/>
      <c r="C50" s="33"/>
      <c r="D50" s="33"/>
      <c r="E50" s="33"/>
      <c r="F50" s="32"/>
      <c r="G50" s="41"/>
      <c r="H50" s="39"/>
      <c r="I50" s="43"/>
      <c r="J50" s="43"/>
      <c r="K50" s="41"/>
      <c r="L50" s="39"/>
      <c r="M50" s="41"/>
      <c r="N50" s="25" t="str">
        <f aca="false">IF(AND($B50="",$E50="",$I50="",$J50=""),"",IF(NOT(ISNUMBER($B50)),"日期无效",IF(ISNA(MATCH($C50,参数设置!$A$10:$A$12,0)),"公司无效",IF(ISNA(MATCH($D50,资金账户!$B$6:$B$25,0)),"账户未建档",IF(ISNA(MATCH($E50,记账规则!$A$13:$A$32,0)),"业务类型无效",IF(AND(N($I50)&lt;&gt;0,N($J50)&lt;&gt;0),"收入和支出只能填一列",IF($P50=0,"金额为 0",IF(AND($R50="收",N($I50)=0),"这类业务是收款，金额填到收入列",IF(AND($R50="支",N($J50)=0),"这类业务是付款，金额填到支出列",IF(AND(SUMPRODUCT(--(INDEX(记账规则!$A$13:$H$32,MATCH($E50,记账规则!$A$13:$A$32,0),0)="@对方"))&gt;0,$G50=""),"这个类型要填对方科目",IF(AND($G50&lt;&gt;"",ISNA(MATCH($G50,会计科目表!$B$6:$B$85,0))),"对方科目不存在",IF(AND($E50="缴纳税费",$H50=""),"缴税请在费用项目里选税种",IF(AND($F50&lt;&gt;"",ISNA(MATCH($F50,往来单位!$A$6:$A$85,0))),"往来单位未建档",IF(YEAR($B50)&lt;&gt;参数设置!$B$5,"不在本会计年度",IF(AND($B49&lt;&gt;"",ISNUMBER($B49),$B50&lt;$B49),"日期比上一行早，余额按行序滚，建议按日期录","OK")))))))))))))))</f>
        <v/>
      </c>
      <c r="O50" s="58" t="str">
        <f aca="false">IF($B50="","",TEXT($B50,"yyyy-mm"))</f>
        <v/>
      </c>
      <c r="P50" s="60" t="str">
        <f aca="false">IF($E50="","",ROUND(N($I50)+N($J50),2))</f>
        <v/>
      </c>
      <c r="Q50" s="58" t="str">
        <f aca="false">IF($D50="","",IFERROR(INDEX(资金账户!$F$6:$F$25,MATCH($D50,资金账户!$B$6:$B$25,0)),""))</f>
        <v/>
      </c>
      <c r="R50" s="58" t="str">
        <f aca="false">IF($E50="","",IFERROR(IF(INDEX(记账规则!$A$13:$H$32,MATCH($E50,记账规则!$A$13:$A$32,0),4)="借","收","支"),""))</f>
        <v/>
      </c>
      <c r="S50" s="57" t="str">
        <f aca="false">IF($D50="","",ROUND(SUMIFS(资金账户!$H$6:$H$25,资金账户!$B$6:$B$25,$D50)+SUMIFS($I$6:$I50,$D$6:$D50,$D50)-SUMIFS($J$6:$J50,$D$6:$D50,$D50),2))</f>
        <v/>
      </c>
      <c r="T50" s="61" t="str">
        <f aca="false">IF($B50="","",YEAR($B50))</f>
        <v/>
      </c>
    </row>
    <row r="51" customFormat="false" ht="15" hidden="false" customHeight="false" outlineLevel="0" collapsed="false">
      <c r="A51" s="53" t="str">
        <f aca="false">IF($B51="","",ROW()-5)</f>
        <v/>
      </c>
      <c r="B51" s="54"/>
      <c r="C51" s="33"/>
      <c r="D51" s="33"/>
      <c r="E51" s="33"/>
      <c r="F51" s="32"/>
      <c r="G51" s="41"/>
      <c r="H51" s="39"/>
      <c r="I51" s="43"/>
      <c r="J51" s="43"/>
      <c r="K51" s="41"/>
      <c r="L51" s="39"/>
      <c r="M51" s="41"/>
      <c r="N51" s="25" t="str">
        <f aca="false">IF(AND($B51="",$E51="",$I51="",$J51=""),"",IF(NOT(ISNUMBER($B51)),"日期无效",IF(ISNA(MATCH($C51,参数设置!$A$10:$A$12,0)),"公司无效",IF(ISNA(MATCH($D51,资金账户!$B$6:$B$25,0)),"账户未建档",IF(ISNA(MATCH($E51,记账规则!$A$13:$A$32,0)),"业务类型无效",IF(AND(N($I51)&lt;&gt;0,N($J51)&lt;&gt;0),"收入和支出只能填一列",IF($P51=0,"金额为 0",IF(AND($R51="收",N($I51)=0),"这类业务是收款，金额填到收入列",IF(AND($R51="支",N($J51)=0),"这类业务是付款，金额填到支出列",IF(AND(SUMPRODUCT(--(INDEX(记账规则!$A$13:$H$32,MATCH($E51,记账规则!$A$13:$A$32,0),0)="@对方"))&gt;0,$G51=""),"这个类型要填对方科目",IF(AND($G51&lt;&gt;"",ISNA(MATCH($G51,会计科目表!$B$6:$B$85,0))),"对方科目不存在",IF(AND($E51="缴纳税费",$H51=""),"缴税请在费用项目里选税种",IF(AND($F51&lt;&gt;"",ISNA(MATCH($F51,往来单位!$A$6:$A$85,0))),"往来单位未建档",IF(YEAR($B51)&lt;&gt;参数设置!$B$5,"不在本会计年度",IF(AND($B50&lt;&gt;"",ISNUMBER($B50),$B51&lt;$B50),"日期比上一行早，余额按行序滚，建议按日期录","OK")))))))))))))))</f>
        <v/>
      </c>
      <c r="O51" s="58" t="str">
        <f aca="false">IF($B51="","",TEXT($B51,"yyyy-mm"))</f>
        <v/>
      </c>
      <c r="P51" s="60" t="str">
        <f aca="false">IF($E51="","",ROUND(N($I51)+N($J51),2))</f>
        <v/>
      </c>
      <c r="Q51" s="58" t="str">
        <f aca="false">IF($D51="","",IFERROR(INDEX(资金账户!$F$6:$F$25,MATCH($D51,资金账户!$B$6:$B$25,0)),""))</f>
        <v/>
      </c>
      <c r="R51" s="58" t="str">
        <f aca="false">IF($E51="","",IFERROR(IF(INDEX(记账规则!$A$13:$H$32,MATCH($E51,记账规则!$A$13:$A$32,0),4)="借","收","支"),""))</f>
        <v/>
      </c>
      <c r="S51" s="57" t="str">
        <f aca="false">IF($D51="","",ROUND(SUMIFS(资金账户!$H$6:$H$25,资金账户!$B$6:$B$25,$D51)+SUMIFS($I$6:$I51,$D$6:$D51,$D51)-SUMIFS($J$6:$J51,$D$6:$D51,$D51),2))</f>
        <v/>
      </c>
      <c r="T51" s="61" t="str">
        <f aca="false">IF($B51="","",YEAR($B51))</f>
        <v/>
      </c>
    </row>
    <row r="52" customFormat="false" ht="15" hidden="false" customHeight="false" outlineLevel="0" collapsed="false">
      <c r="A52" s="53" t="str">
        <f aca="false">IF($B52="","",ROW()-5)</f>
        <v/>
      </c>
      <c r="B52" s="54"/>
      <c r="C52" s="33"/>
      <c r="D52" s="33"/>
      <c r="E52" s="33"/>
      <c r="F52" s="32"/>
      <c r="G52" s="41"/>
      <c r="H52" s="39"/>
      <c r="I52" s="43"/>
      <c r="J52" s="43"/>
      <c r="K52" s="41"/>
      <c r="L52" s="39"/>
      <c r="M52" s="41"/>
      <c r="N52" s="25" t="str">
        <f aca="false">IF(AND($B52="",$E52="",$I52="",$J52=""),"",IF(NOT(ISNUMBER($B52)),"日期无效",IF(ISNA(MATCH($C52,参数设置!$A$10:$A$12,0)),"公司无效",IF(ISNA(MATCH($D52,资金账户!$B$6:$B$25,0)),"账户未建档",IF(ISNA(MATCH($E52,记账规则!$A$13:$A$32,0)),"业务类型无效",IF(AND(N($I52)&lt;&gt;0,N($J52)&lt;&gt;0),"收入和支出只能填一列",IF($P52=0,"金额为 0",IF(AND($R52="收",N($I52)=0),"这类业务是收款，金额填到收入列",IF(AND($R52="支",N($J52)=0),"这类业务是付款，金额填到支出列",IF(AND(SUMPRODUCT(--(INDEX(记账规则!$A$13:$H$32,MATCH($E52,记账规则!$A$13:$A$32,0),0)="@对方"))&gt;0,$G52=""),"这个类型要填对方科目",IF(AND($G52&lt;&gt;"",ISNA(MATCH($G52,会计科目表!$B$6:$B$85,0))),"对方科目不存在",IF(AND($E52="缴纳税费",$H52=""),"缴税请在费用项目里选税种",IF(AND($F52&lt;&gt;"",ISNA(MATCH($F52,往来单位!$A$6:$A$85,0))),"往来单位未建档",IF(YEAR($B52)&lt;&gt;参数设置!$B$5,"不在本会计年度",IF(AND($B51&lt;&gt;"",ISNUMBER($B51),$B52&lt;$B51),"日期比上一行早，余额按行序滚，建议按日期录","OK")))))))))))))))</f>
        <v/>
      </c>
      <c r="O52" s="58" t="str">
        <f aca="false">IF($B52="","",TEXT($B52,"yyyy-mm"))</f>
        <v/>
      </c>
      <c r="P52" s="60" t="str">
        <f aca="false">IF($E52="","",ROUND(N($I52)+N($J52),2))</f>
        <v/>
      </c>
      <c r="Q52" s="58" t="str">
        <f aca="false">IF($D52="","",IFERROR(INDEX(资金账户!$F$6:$F$25,MATCH($D52,资金账户!$B$6:$B$25,0)),""))</f>
        <v/>
      </c>
      <c r="R52" s="58" t="str">
        <f aca="false">IF($E52="","",IFERROR(IF(INDEX(记账规则!$A$13:$H$32,MATCH($E52,记账规则!$A$13:$A$32,0),4)="借","收","支"),""))</f>
        <v/>
      </c>
      <c r="S52" s="57" t="str">
        <f aca="false">IF($D52="","",ROUND(SUMIFS(资金账户!$H$6:$H$25,资金账户!$B$6:$B$25,$D52)+SUMIFS($I$6:$I52,$D$6:$D52,$D52)-SUMIFS($J$6:$J52,$D$6:$D52,$D52),2))</f>
        <v/>
      </c>
      <c r="T52" s="61" t="str">
        <f aca="false">IF($B52="","",YEAR($B52))</f>
        <v/>
      </c>
    </row>
    <row r="53" customFormat="false" ht="15" hidden="false" customHeight="false" outlineLevel="0" collapsed="false">
      <c r="A53" s="53" t="str">
        <f aca="false">IF($B53="","",ROW()-5)</f>
        <v/>
      </c>
      <c r="B53" s="54"/>
      <c r="C53" s="33"/>
      <c r="D53" s="33"/>
      <c r="E53" s="33"/>
      <c r="F53" s="32"/>
      <c r="G53" s="41"/>
      <c r="H53" s="39"/>
      <c r="I53" s="43"/>
      <c r="J53" s="43"/>
      <c r="K53" s="41"/>
      <c r="L53" s="39"/>
      <c r="M53" s="41"/>
      <c r="N53" s="25" t="str">
        <f aca="false">IF(AND($B53="",$E53="",$I53="",$J53=""),"",IF(NOT(ISNUMBER($B53)),"日期无效",IF(ISNA(MATCH($C53,参数设置!$A$10:$A$12,0)),"公司无效",IF(ISNA(MATCH($D53,资金账户!$B$6:$B$25,0)),"账户未建档",IF(ISNA(MATCH($E53,记账规则!$A$13:$A$32,0)),"业务类型无效",IF(AND(N($I53)&lt;&gt;0,N($J53)&lt;&gt;0),"收入和支出只能填一列",IF($P53=0,"金额为 0",IF(AND($R53="收",N($I53)=0),"这类业务是收款，金额填到收入列",IF(AND($R53="支",N($J53)=0),"这类业务是付款，金额填到支出列",IF(AND(SUMPRODUCT(--(INDEX(记账规则!$A$13:$H$32,MATCH($E53,记账规则!$A$13:$A$32,0),0)="@对方"))&gt;0,$G53=""),"这个类型要填对方科目",IF(AND($G53&lt;&gt;"",ISNA(MATCH($G53,会计科目表!$B$6:$B$85,0))),"对方科目不存在",IF(AND($E53="缴纳税费",$H53=""),"缴税请在费用项目里选税种",IF(AND($F53&lt;&gt;"",ISNA(MATCH($F53,往来单位!$A$6:$A$85,0))),"往来单位未建档",IF(YEAR($B53)&lt;&gt;参数设置!$B$5,"不在本会计年度",IF(AND($B52&lt;&gt;"",ISNUMBER($B52),$B53&lt;$B52),"日期比上一行早，余额按行序滚，建议按日期录","OK")))))))))))))))</f>
        <v/>
      </c>
      <c r="O53" s="58" t="str">
        <f aca="false">IF($B53="","",TEXT($B53,"yyyy-mm"))</f>
        <v/>
      </c>
      <c r="P53" s="60" t="str">
        <f aca="false">IF($E53="","",ROUND(N($I53)+N($J53),2))</f>
        <v/>
      </c>
      <c r="Q53" s="58" t="str">
        <f aca="false">IF($D53="","",IFERROR(INDEX(资金账户!$F$6:$F$25,MATCH($D53,资金账户!$B$6:$B$25,0)),""))</f>
        <v/>
      </c>
      <c r="R53" s="58" t="str">
        <f aca="false">IF($E53="","",IFERROR(IF(INDEX(记账规则!$A$13:$H$32,MATCH($E53,记账规则!$A$13:$A$32,0),4)="借","收","支"),""))</f>
        <v/>
      </c>
      <c r="S53" s="57" t="str">
        <f aca="false">IF($D53="","",ROUND(SUMIFS(资金账户!$H$6:$H$25,资金账户!$B$6:$B$25,$D53)+SUMIFS($I$6:$I53,$D$6:$D53,$D53)-SUMIFS($J$6:$J53,$D$6:$D53,$D53),2))</f>
        <v/>
      </c>
      <c r="T53" s="61" t="str">
        <f aca="false">IF($B53="","",YEAR($B53))</f>
        <v/>
      </c>
    </row>
    <row r="54" customFormat="false" ht="15" hidden="false" customHeight="false" outlineLevel="0" collapsed="false">
      <c r="A54" s="53" t="str">
        <f aca="false">IF($B54="","",ROW()-5)</f>
        <v/>
      </c>
      <c r="B54" s="54"/>
      <c r="C54" s="33"/>
      <c r="D54" s="33"/>
      <c r="E54" s="33"/>
      <c r="F54" s="32"/>
      <c r="G54" s="41"/>
      <c r="H54" s="39"/>
      <c r="I54" s="43"/>
      <c r="J54" s="43"/>
      <c r="K54" s="41"/>
      <c r="L54" s="39"/>
      <c r="M54" s="41"/>
      <c r="N54" s="25" t="str">
        <f aca="false">IF(AND($B54="",$E54="",$I54="",$J54=""),"",IF(NOT(ISNUMBER($B54)),"日期无效",IF(ISNA(MATCH($C54,参数设置!$A$10:$A$12,0)),"公司无效",IF(ISNA(MATCH($D54,资金账户!$B$6:$B$25,0)),"账户未建档",IF(ISNA(MATCH($E54,记账规则!$A$13:$A$32,0)),"业务类型无效",IF(AND(N($I54)&lt;&gt;0,N($J54)&lt;&gt;0),"收入和支出只能填一列",IF($P54=0,"金额为 0",IF(AND($R54="收",N($I54)=0),"这类业务是收款，金额填到收入列",IF(AND($R54="支",N($J54)=0),"这类业务是付款，金额填到支出列",IF(AND(SUMPRODUCT(--(INDEX(记账规则!$A$13:$H$32,MATCH($E54,记账规则!$A$13:$A$32,0),0)="@对方"))&gt;0,$G54=""),"这个类型要填对方科目",IF(AND($G54&lt;&gt;"",ISNA(MATCH($G54,会计科目表!$B$6:$B$85,0))),"对方科目不存在",IF(AND($E54="缴纳税费",$H54=""),"缴税请在费用项目里选税种",IF(AND($F54&lt;&gt;"",ISNA(MATCH($F54,往来单位!$A$6:$A$85,0))),"往来单位未建档",IF(YEAR($B54)&lt;&gt;参数设置!$B$5,"不在本会计年度",IF(AND($B53&lt;&gt;"",ISNUMBER($B53),$B54&lt;$B53),"日期比上一行早，余额按行序滚，建议按日期录","OK")))))))))))))))</f>
        <v/>
      </c>
      <c r="O54" s="58" t="str">
        <f aca="false">IF($B54="","",TEXT($B54,"yyyy-mm"))</f>
        <v/>
      </c>
      <c r="P54" s="60" t="str">
        <f aca="false">IF($E54="","",ROUND(N($I54)+N($J54),2))</f>
        <v/>
      </c>
      <c r="Q54" s="58" t="str">
        <f aca="false">IF($D54="","",IFERROR(INDEX(资金账户!$F$6:$F$25,MATCH($D54,资金账户!$B$6:$B$25,0)),""))</f>
        <v/>
      </c>
      <c r="R54" s="58" t="str">
        <f aca="false">IF($E54="","",IFERROR(IF(INDEX(记账规则!$A$13:$H$32,MATCH($E54,记账规则!$A$13:$A$32,0),4)="借","收","支"),""))</f>
        <v/>
      </c>
      <c r="S54" s="57" t="str">
        <f aca="false">IF($D54="","",ROUND(SUMIFS(资金账户!$H$6:$H$25,资金账户!$B$6:$B$25,$D54)+SUMIFS($I$6:$I54,$D$6:$D54,$D54)-SUMIFS($J$6:$J54,$D$6:$D54,$D54),2))</f>
        <v/>
      </c>
      <c r="T54" s="61" t="str">
        <f aca="false">IF($B54="","",YEAR($B54))</f>
        <v/>
      </c>
    </row>
    <row r="55" customFormat="false" ht="15" hidden="false" customHeight="false" outlineLevel="0" collapsed="false">
      <c r="A55" s="53" t="str">
        <f aca="false">IF($B55="","",ROW()-5)</f>
        <v/>
      </c>
      <c r="B55" s="54"/>
      <c r="C55" s="33"/>
      <c r="D55" s="33"/>
      <c r="E55" s="33"/>
      <c r="F55" s="32"/>
      <c r="G55" s="41"/>
      <c r="H55" s="39"/>
      <c r="I55" s="43"/>
      <c r="J55" s="43"/>
      <c r="K55" s="41"/>
      <c r="L55" s="39"/>
      <c r="M55" s="41"/>
      <c r="N55" s="25" t="str">
        <f aca="false">IF(AND($B55="",$E55="",$I55="",$J55=""),"",IF(NOT(ISNUMBER($B55)),"日期无效",IF(ISNA(MATCH($C55,参数设置!$A$10:$A$12,0)),"公司无效",IF(ISNA(MATCH($D55,资金账户!$B$6:$B$25,0)),"账户未建档",IF(ISNA(MATCH($E55,记账规则!$A$13:$A$32,0)),"业务类型无效",IF(AND(N($I55)&lt;&gt;0,N($J55)&lt;&gt;0),"收入和支出只能填一列",IF($P55=0,"金额为 0",IF(AND($R55="收",N($I55)=0),"这类业务是收款，金额填到收入列",IF(AND($R55="支",N($J55)=0),"这类业务是付款，金额填到支出列",IF(AND(SUMPRODUCT(--(INDEX(记账规则!$A$13:$H$32,MATCH($E55,记账规则!$A$13:$A$32,0),0)="@对方"))&gt;0,$G55=""),"这个类型要填对方科目",IF(AND($G55&lt;&gt;"",ISNA(MATCH($G55,会计科目表!$B$6:$B$85,0))),"对方科目不存在",IF(AND($E55="缴纳税费",$H55=""),"缴税请在费用项目里选税种",IF(AND($F55&lt;&gt;"",ISNA(MATCH($F55,往来单位!$A$6:$A$85,0))),"往来单位未建档",IF(YEAR($B55)&lt;&gt;参数设置!$B$5,"不在本会计年度",IF(AND($B54&lt;&gt;"",ISNUMBER($B54),$B55&lt;$B54),"日期比上一行早，余额按行序滚，建议按日期录","OK")))))))))))))))</f>
        <v/>
      </c>
      <c r="O55" s="58" t="str">
        <f aca="false">IF($B55="","",TEXT($B55,"yyyy-mm"))</f>
        <v/>
      </c>
      <c r="P55" s="60" t="str">
        <f aca="false">IF($E55="","",ROUND(N($I55)+N($J55),2))</f>
        <v/>
      </c>
      <c r="Q55" s="58" t="str">
        <f aca="false">IF($D55="","",IFERROR(INDEX(资金账户!$F$6:$F$25,MATCH($D55,资金账户!$B$6:$B$25,0)),""))</f>
        <v/>
      </c>
      <c r="R55" s="58" t="str">
        <f aca="false">IF($E55="","",IFERROR(IF(INDEX(记账规则!$A$13:$H$32,MATCH($E55,记账规则!$A$13:$A$32,0),4)="借","收","支"),""))</f>
        <v/>
      </c>
      <c r="S55" s="57" t="str">
        <f aca="false">IF($D55="","",ROUND(SUMIFS(资金账户!$H$6:$H$25,资金账户!$B$6:$B$25,$D55)+SUMIFS($I$6:$I55,$D$6:$D55,$D55)-SUMIFS($J$6:$J55,$D$6:$D55,$D55),2))</f>
        <v/>
      </c>
      <c r="T55" s="61" t="str">
        <f aca="false">IF($B55="","",YEAR($B55))</f>
        <v/>
      </c>
    </row>
    <row r="56" customFormat="false" ht="15" hidden="false" customHeight="false" outlineLevel="0" collapsed="false">
      <c r="A56" s="53" t="str">
        <f aca="false">IF($B56="","",ROW()-5)</f>
        <v/>
      </c>
      <c r="B56" s="54"/>
      <c r="C56" s="33"/>
      <c r="D56" s="33"/>
      <c r="E56" s="33"/>
      <c r="F56" s="32"/>
      <c r="G56" s="41"/>
      <c r="H56" s="39"/>
      <c r="I56" s="43"/>
      <c r="J56" s="43"/>
      <c r="K56" s="41"/>
      <c r="L56" s="39"/>
      <c r="M56" s="41"/>
      <c r="N56" s="25" t="str">
        <f aca="false">IF(AND($B56="",$E56="",$I56="",$J56=""),"",IF(NOT(ISNUMBER($B56)),"日期无效",IF(ISNA(MATCH($C56,参数设置!$A$10:$A$12,0)),"公司无效",IF(ISNA(MATCH($D56,资金账户!$B$6:$B$25,0)),"账户未建档",IF(ISNA(MATCH($E56,记账规则!$A$13:$A$32,0)),"业务类型无效",IF(AND(N($I56)&lt;&gt;0,N($J56)&lt;&gt;0),"收入和支出只能填一列",IF($P56=0,"金额为 0",IF(AND($R56="收",N($I56)=0),"这类业务是收款，金额填到收入列",IF(AND($R56="支",N($J56)=0),"这类业务是付款，金额填到支出列",IF(AND(SUMPRODUCT(--(INDEX(记账规则!$A$13:$H$32,MATCH($E56,记账规则!$A$13:$A$32,0),0)="@对方"))&gt;0,$G56=""),"这个类型要填对方科目",IF(AND($G56&lt;&gt;"",ISNA(MATCH($G56,会计科目表!$B$6:$B$85,0))),"对方科目不存在",IF(AND($E56="缴纳税费",$H56=""),"缴税请在费用项目里选税种",IF(AND($F56&lt;&gt;"",ISNA(MATCH($F56,往来单位!$A$6:$A$85,0))),"往来单位未建档",IF(YEAR($B56)&lt;&gt;参数设置!$B$5,"不在本会计年度",IF(AND($B55&lt;&gt;"",ISNUMBER($B55),$B56&lt;$B55),"日期比上一行早，余额按行序滚，建议按日期录","OK")))))))))))))))</f>
        <v/>
      </c>
      <c r="O56" s="58" t="str">
        <f aca="false">IF($B56="","",TEXT($B56,"yyyy-mm"))</f>
        <v/>
      </c>
      <c r="P56" s="60" t="str">
        <f aca="false">IF($E56="","",ROUND(N($I56)+N($J56),2))</f>
        <v/>
      </c>
      <c r="Q56" s="58" t="str">
        <f aca="false">IF($D56="","",IFERROR(INDEX(资金账户!$F$6:$F$25,MATCH($D56,资金账户!$B$6:$B$25,0)),""))</f>
        <v/>
      </c>
      <c r="R56" s="58" t="str">
        <f aca="false">IF($E56="","",IFERROR(IF(INDEX(记账规则!$A$13:$H$32,MATCH($E56,记账规则!$A$13:$A$32,0),4)="借","收","支"),""))</f>
        <v/>
      </c>
      <c r="S56" s="57" t="str">
        <f aca="false">IF($D56="","",ROUND(SUMIFS(资金账户!$H$6:$H$25,资金账户!$B$6:$B$25,$D56)+SUMIFS($I$6:$I56,$D$6:$D56,$D56)-SUMIFS($J$6:$J56,$D$6:$D56,$D56),2))</f>
        <v/>
      </c>
      <c r="T56" s="61" t="str">
        <f aca="false">IF($B56="","",YEAR($B56))</f>
        <v/>
      </c>
    </row>
    <row r="57" customFormat="false" ht="15" hidden="false" customHeight="false" outlineLevel="0" collapsed="false">
      <c r="A57" s="53" t="str">
        <f aca="false">IF($B57="","",ROW()-5)</f>
        <v/>
      </c>
      <c r="B57" s="54"/>
      <c r="C57" s="33"/>
      <c r="D57" s="33"/>
      <c r="E57" s="33"/>
      <c r="F57" s="32"/>
      <c r="G57" s="41"/>
      <c r="H57" s="39"/>
      <c r="I57" s="43"/>
      <c r="J57" s="43"/>
      <c r="K57" s="41"/>
      <c r="L57" s="39"/>
      <c r="M57" s="41"/>
      <c r="N57" s="25" t="str">
        <f aca="false">IF(AND($B57="",$E57="",$I57="",$J57=""),"",IF(NOT(ISNUMBER($B57)),"日期无效",IF(ISNA(MATCH($C57,参数设置!$A$10:$A$12,0)),"公司无效",IF(ISNA(MATCH($D57,资金账户!$B$6:$B$25,0)),"账户未建档",IF(ISNA(MATCH($E57,记账规则!$A$13:$A$32,0)),"业务类型无效",IF(AND(N($I57)&lt;&gt;0,N($J57)&lt;&gt;0),"收入和支出只能填一列",IF($P57=0,"金额为 0",IF(AND($R57="收",N($I57)=0),"这类业务是收款，金额填到收入列",IF(AND($R57="支",N($J57)=0),"这类业务是付款，金额填到支出列",IF(AND(SUMPRODUCT(--(INDEX(记账规则!$A$13:$H$32,MATCH($E57,记账规则!$A$13:$A$32,0),0)="@对方"))&gt;0,$G57=""),"这个类型要填对方科目",IF(AND($G57&lt;&gt;"",ISNA(MATCH($G57,会计科目表!$B$6:$B$85,0))),"对方科目不存在",IF(AND($E57="缴纳税费",$H57=""),"缴税请在费用项目里选税种",IF(AND($F57&lt;&gt;"",ISNA(MATCH($F57,往来单位!$A$6:$A$85,0))),"往来单位未建档",IF(YEAR($B57)&lt;&gt;参数设置!$B$5,"不在本会计年度",IF(AND($B56&lt;&gt;"",ISNUMBER($B56),$B57&lt;$B56),"日期比上一行早，余额按行序滚，建议按日期录","OK")))))))))))))))</f>
        <v/>
      </c>
      <c r="O57" s="58" t="str">
        <f aca="false">IF($B57="","",TEXT($B57,"yyyy-mm"))</f>
        <v/>
      </c>
      <c r="P57" s="60" t="str">
        <f aca="false">IF($E57="","",ROUND(N($I57)+N($J57),2))</f>
        <v/>
      </c>
      <c r="Q57" s="58" t="str">
        <f aca="false">IF($D57="","",IFERROR(INDEX(资金账户!$F$6:$F$25,MATCH($D57,资金账户!$B$6:$B$25,0)),""))</f>
        <v/>
      </c>
      <c r="R57" s="58" t="str">
        <f aca="false">IF($E57="","",IFERROR(IF(INDEX(记账规则!$A$13:$H$32,MATCH($E57,记账规则!$A$13:$A$32,0),4)="借","收","支"),""))</f>
        <v/>
      </c>
      <c r="S57" s="57" t="str">
        <f aca="false">IF($D57="","",ROUND(SUMIFS(资金账户!$H$6:$H$25,资金账户!$B$6:$B$25,$D57)+SUMIFS($I$6:$I57,$D$6:$D57,$D57)-SUMIFS($J$6:$J57,$D$6:$D57,$D57),2))</f>
        <v/>
      </c>
      <c r="T57" s="61" t="str">
        <f aca="false">IF($B57="","",YEAR($B57))</f>
        <v/>
      </c>
    </row>
    <row r="58" customFormat="false" ht="15" hidden="false" customHeight="false" outlineLevel="0" collapsed="false">
      <c r="A58" s="53" t="str">
        <f aca="false">IF($B58="","",ROW()-5)</f>
        <v/>
      </c>
      <c r="B58" s="54"/>
      <c r="C58" s="33"/>
      <c r="D58" s="33"/>
      <c r="E58" s="33"/>
      <c r="F58" s="32"/>
      <c r="G58" s="41"/>
      <c r="H58" s="39"/>
      <c r="I58" s="43"/>
      <c r="J58" s="43"/>
      <c r="K58" s="41"/>
      <c r="L58" s="39"/>
      <c r="M58" s="41"/>
      <c r="N58" s="25" t="str">
        <f aca="false">IF(AND($B58="",$E58="",$I58="",$J58=""),"",IF(NOT(ISNUMBER($B58)),"日期无效",IF(ISNA(MATCH($C58,参数设置!$A$10:$A$12,0)),"公司无效",IF(ISNA(MATCH($D58,资金账户!$B$6:$B$25,0)),"账户未建档",IF(ISNA(MATCH($E58,记账规则!$A$13:$A$32,0)),"业务类型无效",IF(AND(N($I58)&lt;&gt;0,N($J58)&lt;&gt;0),"收入和支出只能填一列",IF($P58=0,"金额为 0",IF(AND($R58="收",N($I58)=0),"这类业务是收款，金额填到收入列",IF(AND($R58="支",N($J58)=0),"这类业务是付款，金额填到支出列",IF(AND(SUMPRODUCT(--(INDEX(记账规则!$A$13:$H$32,MATCH($E58,记账规则!$A$13:$A$32,0),0)="@对方"))&gt;0,$G58=""),"这个类型要填对方科目",IF(AND($G58&lt;&gt;"",ISNA(MATCH($G58,会计科目表!$B$6:$B$85,0))),"对方科目不存在",IF(AND($E58="缴纳税费",$H58=""),"缴税请在费用项目里选税种",IF(AND($F58&lt;&gt;"",ISNA(MATCH($F58,往来单位!$A$6:$A$85,0))),"往来单位未建档",IF(YEAR($B58)&lt;&gt;参数设置!$B$5,"不在本会计年度",IF(AND($B57&lt;&gt;"",ISNUMBER($B57),$B58&lt;$B57),"日期比上一行早，余额按行序滚，建议按日期录","OK")))))))))))))))</f>
        <v/>
      </c>
      <c r="O58" s="58" t="str">
        <f aca="false">IF($B58="","",TEXT($B58,"yyyy-mm"))</f>
        <v/>
      </c>
      <c r="P58" s="60" t="str">
        <f aca="false">IF($E58="","",ROUND(N($I58)+N($J58),2))</f>
        <v/>
      </c>
      <c r="Q58" s="58" t="str">
        <f aca="false">IF($D58="","",IFERROR(INDEX(资金账户!$F$6:$F$25,MATCH($D58,资金账户!$B$6:$B$25,0)),""))</f>
        <v/>
      </c>
      <c r="R58" s="58" t="str">
        <f aca="false">IF($E58="","",IFERROR(IF(INDEX(记账规则!$A$13:$H$32,MATCH($E58,记账规则!$A$13:$A$32,0),4)="借","收","支"),""))</f>
        <v/>
      </c>
      <c r="S58" s="57" t="str">
        <f aca="false">IF($D58="","",ROUND(SUMIFS(资金账户!$H$6:$H$25,资金账户!$B$6:$B$25,$D58)+SUMIFS($I$6:$I58,$D$6:$D58,$D58)-SUMIFS($J$6:$J58,$D$6:$D58,$D58),2))</f>
        <v/>
      </c>
      <c r="T58" s="61" t="str">
        <f aca="false">IF($B58="","",YEAR($B58))</f>
        <v/>
      </c>
    </row>
    <row r="59" customFormat="false" ht="15" hidden="false" customHeight="false" outlineLevel="0" collapsed="false">
      <c r="A59" s="53" t="str">
        <f aca="false">IF($B59="","",ROW()-5)</f>
        <v/>
      </c>
      <c r="B59" s="54"/>
      <c r="C59" s="33"/>
      <c r="D59" s="33"/>
      <c r="E59" s="33"/>
      <c r="F59" s="32"/>
      <c r="G59" s="41"/>
      <c r="H59" s="39"/>
      <c r="I59" s="43"/>
      <c r="J59" s="43"/>
      <c r="K59" s="41"/>
      <c r="L59" s="39"/>
      <c r="M59" s="41"/>
      <c r="N59" s="25" t="str">
        <f aca="false">IF(AND($B59="",$E59="",$I59="",$J59=""),"",IF(NOT(ISNUMBER($B59)),"日期无效",IF(ISNA(MATCH($C59,参数设置!$A$10:$A$12,0)),"公司无效",IF(ISNA(MATCH($D59,资金账户!$B$6:$B$25,0)),"账户未建档",IF(ISNA(MATCH($E59,记账规则!$A$13:$A$32,0)),"业务类型无效",IF(AND(N($I59)&lt;&gt;0,N($J59)&lt;&gt;0),"收入和支出只能填一列",IF($P59=0,"金额为 0",IF(AND($R59="收",N($I59)=0),"这类业务是收款，金额填到收入列",IF(AND($R59="支",N($J59)=0),"这类业务是付款，金额填到支出列",IF(AND(SUMPRODUCT(--(INDEX(记账规则!$A$13:$H$32,MATCH($E59,记账规则!$A$13:$A$32,0),0)="@对方"))&gt;0,$G59=""),"这个类型要填对方科目",IF(AND($G59&lt;&gt;"",ISNA(MATCH($G59,会计科目表!$B$6:$B$85,0))),"对方科目不存在",IF(AND($E59="缴纳税费",$H59=""),"缴税请在费用项目里选税种",IF(AND($F59&lt;&gt;"",ISNA(MATCH($F59,往来单位!$A$6:$A$85,0))),"往来单位未建档",IF(YEAR($B59)&lt;&gt;参数设置!$B$5,"不在本会计年度",IF(AND($B58&lt;&gt;"",ISNUMBER($B58),$B59&lt;$B58),"日期比上一行早，余额按行序滚，建议按日期录","OK")))))))))))))))</f>
        <v/>
      </c>
      <c r="O59" s="58" t="str">
        <f aca="false">IF($B59="","",TEXT($B59,"yyyy-mm"))</f>
        <v/>
      </c>
      <c r="P59" s="60" t="str">
        <f aca="false">IF($E59="","",ROUND(N($I59)+N($J59),2))</f>
        <v/>
      </c>
      <c r="Q59" s="58" t="str">
        <f aca="false">IF($D59="","",IFERROR(INDEX(资金账户!$F$6:$F$25,MATCH($D59,资金账户!$B$6:$B$25,0)),""))</f>
        <v/>
      </c>
      <c r="R59" s="58" t="str">
        <f aca="false">IF($E59="","",IFERROR(IF(INDEX(记账规则!$A$13:$H$32,MATCH($E59,记账规则!$A$13:$A$32,0),4)="借","收","支"),""))</f>
        <v/>
      </c>
      <c r="S59" s="57" t="str">
        <f aca="false">IF($D59="","",ROUND(SUMIFS(资金账户!$H$6:$H$25,资金账户!$B$6:$B$25,$D59)+SUMIFS($I$6:$I59,$D$6:$D59,$D59)-SUMIFS($J$6:$J59,$D$6:$D59,$D59),2))</f>
        <v/>
      </c>
      <c r="T59" s="61" t="str">
        <f aca="false">IF($B59="","",YEAR($B59))</f>
        <v/>
      </c>
    </row>
    <row r="60" customFormat="false" ht="15" hidden="false" customHeight="false" outlineLevel="0" collapsed="false">
      <c r="A60" s="53" t="str">
        <f aca="false">IF($B60="","",ROW()-5)</f>
        <v/>
      </c>
      <c r="B60" s="54"/>
      <c r="C60" s="33"/>
      <c r="D60" s="33"/>
      <c r="E60" s="33"/>
      <c r="F60" s="32"/>
      <c r="G60" s="41"/>
      <c r="H60" s="39"/>
      <c r="I60" s="43"/>
      <c r="J60" s="43"/>
      <c r="K60" s="41"/>
      <c r="L60" s="39"/>
      <c r="M60" s="41"/>
      <c r="N60" s="25" t="str">
        <f aca="false">IF(AND($B60="",$E60="",$I60="",$J60=""),"",IF(NOT(ISNUMBER($B60)),"日期无效",IF(ISNA(MATCH($C60,参数设置!$A$10:$A$12,0)),"公司无效",IF(ISNA(MATCH($D60,资金账户!$B$6:$B$25,0)),"账户未建档",IF(ISNA(MATCH($E60,记账规则!$A$13:$A$32,0)),"业务类型无效",IF(AND(N($I60)&lt;&gt;0,N($J60)&lt;&gt;0),"收入和支出只能填一列",IF($P60=0,"金额为 0",IF(AND($R60="收",N($I60)=0),"这类业务是收款，金额填到收入列",IF(AND($R60="支",N($J60)=0),"这类业务是付款，金额填到支出列",IF(AND(SUMPRODUCT(--(INDEX(记账规则!$A$13:$H$32,MATCH($E60,记账规则!$A$13:$A$32,0),0)="@对方"))&gt;0,$G60=""),"这个类型要填对方科目",IF(AND($G60&lt;&gt;"",ISNA(MATCH($G60,会计科目表!$B$6:$B$85,0))),"对方科目不存在",IF(AND($E60="缴纳税费",$H60=""),"缴税请在费用项目里选税种",IF(AND($F60&lt;&gt;"",ISNA(MATCH($F60,往来单位!$A$6:$A$85,0))),"往来单位未建档",IF(YEAR($B60)&lt;&gt;参数设置!$B$5,"不在本会计年度",IF(AND($B59&lt;&gt;"",ISNUMBER($B59),$B60&lt;$B59),"日期比上一行早，余额按行序滚，建议按日期录","OK")))))))))))))))</f>
        <v/>
      </c>
      <c r="O60" s="58" t="str">
        <f aca="false">IF($B60="","",TEXT($B60,"yyyy-mm"))</f>
        <v/>
      </c>
      <c r="P60" s="60" t="str">
        <f aca="false">IF($E60="","",ROUND(N($I60)+N($J60),2))</f>
        <v/>
      </c>
      <c r="Q60" s="58" t="str">
        <f aca="false">IF($D60="","",IFERROR(INDEX(资金账户!$F$6:$F$25,MATCH($D60,资金账户!$B$6:$B$25,0)),""))</f>
        <v/>
      </c>
      <c r="R60" s="58" t="str">
        <f aca="false">IF($E60="","",IFERROR(IF(INDEX(记账规则!$A$13:$H$32,MATCH($E60,记账规则!$A$13:$A$32,0),4)="借","收","支"),""))</f>
        <v/>
      </c>
      <c r="S60" s="57" t="str">
        <f aca="false">IF($D60="","",ROUND(SUMIFS(资金账户!$H$6:$H$25,资金账户!$B$6:$B$25,$D60)+SUMIFS($I$6:$I60,$D$6:$D60,$D60)-SUMIFS($J$6:$J60,$D$6:$D60,$D60),2))</f>
        <v/>
      </c>
      <c r="T60" s="61" t="str">
        <f aca="false">IF($B60="","",YEAR($B60))</f>
        <v/>
      </c>
    </row>
    <row r="61" customFormat="false" ht="15" hidden="false" customHeight="false" outlineLevel="0" collapsed="false">
      <c r="A61" s="53" t="str">
        <f aca="false">IF($B61="","",ROW()-5)</f>
        <v/>
      </c>
      <c r="B61" s="54"/>
      <c r="C61" s="33"/>
      <c r="D61" s="33"/>
      <c r="E61" s="33"/>
      <c r="F61" s="32"/>
      <c r="G61" s="41"/>
      <c r="H61" s="39"/>
      <c r="I61" s="43"/>
      <c r="J61" s="43"/>
      <c r="K61" s="41"/>
      <c r="L61" s="39"/>
      <c r="M61" s="41"/>
      <c r="N61" s="25" t="str">
        <f aca="false">IF(AND($B61="",$E61="",$I61="",$J61=""),"",IF(NOT(ISNUMBER($B61)),"日期无效",IF(ISNA(MATCH($C61,参数设置!$A$10:$A$12,0)),"公司无效",IF(ISNA(MATCH($D61,资金账户!$B$6:$B$25,0)),"账户未建档",IF(ISNA(MATCH($E61,记账规则!$A$13:$A$32,0)),"业务类型无效",IF(AND(N($I61)&lt;&gt;0,N($J61)&lt;&gt;0),"收入和支出只能填一列",IF($P61=0,"金额为 0",IF(AND($R61="收",N($I61)=0),"这类业务是收款，金额填到收入列",IF(AND($R61="支",N($J61)=0),"这类业务是付款，金额填到支出列",IF(AND(SUMPRODUCT(--(INDEX(记账规则!$A$13:$H$32,MATCH($E61,记账规则!$A$13:$A$32,0),0)="@对方"))&gt;0,$G61=""),"这个类型要填对方科目",IF(AND($G61&lt;&gt;"",ISNA(MATCH($G61,会计科目表!$B$6:$B$85,0))),"对方科目不存在",IF(AND($E61="缴纳税费",$H61=""),"缴税请在费用项目里选税种",IF(AND($F61&lt;&gt;"",ISNA(MATCH($F61,往来单位!$A$6:$A$85,0))),"往来单位未建档",IF(YEAR($B61)&lt;&gt;参数设置!$B$5,"不在本会计年度",IF(AND($B60&lt;&gt;"",ISNUMBER($B60),$B61&lt;$B60),"日期比上一行早，余额按行序滚，建议按日期录","OK")))))))))))))))</f>
        <v/>
      </c>
      <c r="O61" s="58" t="str">
        <f aca="false">IF($B61="","",TEXT($B61,"yyyy-mm"))</f>
        <v/>
      </c>
      <c r="P61" s="60" t="str">
        <f aca="false">IF($E61="","",ROUND(N($I61)+N($J61),2))</f>
        <v/>
      </c>
      <c r="Q61" s="58" t="str">
        <f aca="false">IF($D61="","",IFERROR(INDEX(资金账户!$F$6:$F$25,MATCH($D61,资金账户!$B$6:$B$25,0)),""))</f>
        <v/>
      </c>
      <c r="R61" s="58" t="str">
        <f aca="false">IF($E61="","",IFERROR(IF(INDEX(记账规则!$A$13:$H$32,MATCH($E61,记账规则!$A$13:$A$32,0),4)="借","收","支"),""))</f>
        <v/>
      </c>
      <c r="S61" s="57" t="str">
        <f aca="false">IF($D61="","",ROUND(SUMIFS(资金账户!$H$6:$H$25,资金账户!$B$6:$B$25,$D61)+SUMIFS($I$6:$I61,$D$6:$D61,$D61)-SUMIFS($J$6:$J61,$D$6:$D61,$D61),2))</f>
        <v/>
      </c>
      <c r="T61" s="61" t="str">
        <f aca="false">IF($B61="","",YEAR($B61))</f>
        <v/>
      </c>
    </row>
    <row r="62" customFormat="false" ht="15" hidden="false" customHeight="false" outlineLevel="0" collapsed="false">
      <c r="A62" s="53" t="str">
        <f aca="false">IF($B62="","",ROW()-5)</f>
        <v/>
      </c>
      <c r="B62" s="54"/>
      <c r="C62" s="33"/>
      <c r="D62" s="33"/>
      <c r="E62" s="33"/>
      <c r="F62" s="32"/>
      <c r="G62" s="41"/>
      <c r="H62" s="39"/>
      <c r="I62" s="43"/>
      <c r="J62" s="43"/>
      <c r="K62" s="41"/>
      <c r="L62" s="39"/>
      <c r="M62" s="41"/>
      <c r="N62" s="25" t="str">
        <f aca="false">IF(AND($B62="",$E62="",$I62="",$J62=""),"",IF(NOT(ISNUMBER($B62)),"日期无效",IF(ISNA(MATCH($C62,参数设置!$A$10:$A$12,0)),"公司无效",IF(ISNA(MATCH($D62,资金账户!$B$6:$B$25,0)),"账户未建档",IF(ISNA(MATCH($E62,记账规则!$A$13:$A$32,0)),"业务类型无效",IF(AND(N($I62)&lt;&gt;0,N($J62)&lt;&gt;0),"收入和支出只能填一列",IF($P62=0,"金额为 0",IF(AND($R62="收",N($I62)=0),"这类业务是收款，金额填到收入列",IF(AND($R62="支",N($J62)=0),"这类业务是付款，金额填到支出列",IF(AND(SUMPRODUCT(--(INDEX(记账规则!$A$13:$H$32,MATCH($E62,记账规则!$A$13:$A$32,0),0)="@对方"))&gt;0,$G62=""),"这个类型要填对方科目",IF(AND($G62&lt;&gt;"",ISNA(MATCH($G62,会计科目表!$B$6:$B$85,0))),"对方科目不存在",IF(AND($E62="缴纳税费",$H62=""),"缴税请在费用项目里选税种",IF(AND($F62&lt;&gt;"",ISNA(MATCH($F62,往来单位!$A$6:$A$85,0))),"往来单位未建档",IF(YEAR($B62)&lt;&gt;参数设置!$B$5,"不在本会计年度",IF(AND($B61&lt;&gt;"",ISNUMBER($B61),$B62&lt;$B61),"日期比上一行早，余额按行序滚，建议按日期录","OK")))))))))))))))</f>
        <v/>
      </c>
      <c r="O62" s="58" t="str">
        <f aca="false">IF($B62="","",TEXT($B62,"yyyy-mm"))</f>
        <v/>
      </c>
      <c r="P62" s="60" t="str">
        <f aca="false">IF($E62="","",ROUND(N($I62)+N($J62),2))</f>
        <v/>
      </c>
      <c r="Q62" s="58" t="str">
        <f aca="false">IF($D62="","",IFERROR(INDEX(资金账户!$F$6:$F$25,MATCH($D62,资金账户!$B$6:$B$25,0)),""))</f>
        <v/>
      </c>
      <c r="R62" s="58" t="str">
        <f aca="false">IF($E62="","",IFERROR(IF(INDEX(记账规则!$A$13:$H$32,MATCH($E62,记账规则!$A$13:$A$32,0),4)="借","收","支"),""))</f>
        <v/>
      </c>
      <c r="S62" s="57" t="str">
        <f aca="false">IF($D62="","",ROUND(SUMIFS(资金账户!$H$6:$H$25,资金账户!$B$6:$B$25,$D62)+SUMIFS($I$6:$I62,$D$6:$D62,$D62)-SUMIFS($J$6:$J62,$D$6:$D62,$D62),2))</f>
        <v/>
      </c>
      <c r="T62" s="61" t="str">
        <f aca="false">IF($B62="","",YEAR($B62))</f>
        <v/>
      </c>
    </row>
    <row r="63" customFormat="false" ht="15" hidden="false" customHeight="false" outlineLevel="0" collapsed="false">
      <c r="A63" s="53" t="str">
        <f aca="false">IF($B63="","",ROW()-5)</f>
        <v/>
      </c>
      <c r="B63" s="54"/>
      <c r="C63" s="33"/>
      <c r="D63" s="33"/>
      <c r="E63" s="33"/>
      <c r="F63" s="32"/>
      <c r="G63" s="41"/>
      <c r="H63" s="39"/>
      <c r="I63" s="43"/>
      <c r="J63" s="43"/>
      <c r="K63" s="41"/>
      <c r="L63" s="39"/>
      <c r="M63" s="41"/>
      <c r="N63" s="25" t="str">
        <f aca="false">IF(AND($B63="",$E63="",$I63="",$J63=""),"",IF(NOT(ISNUMBER($B63)),"日期无效",IF(ISNA(MATCH($C63,参数设置!$A$10:$A$12,0)),"公司无效",IF(ISNA(MATCH($D63,资金账户!$B$6:$B$25,0)),"账户未建档",IF(ISNA(MATCH($E63,记账规则!$A$13:$A$32,0)),"业务类型无效",IF(AND(N($I63)&lt;&gt;0,N($J63)&lt;&gt;0),"收入和支出只能填一列",IF($P63=0,"金额为 0",IF(AND($R63="收",N($I63)=0),"这类业务是收款，金额填到收入列",IF(AND($R63="支",N($J63)=0),"这类业务是付款，金额填到支出列",IF(AND(SUMPRODUCT(--(INDEX(记账规则!$A$13:$H$32,MATCH($E63,记账规则!$A$13:$A$32,0),0)="@对方"))&gt;0,$G63=""),"这个类型要填对方科目",IF(AND($G63&lt;&gt;"",ISNA(MATCH($G63,会计科目表!$B$6:$B$85,0))),"对方科目不存在",IF(AND($E63="缴纳税费",$H63=""),"缴税请在费用项目里选税种",IF(AND($F63&lt;&gt;"",ISNA(MATCH($F63,往来单位!$A$6:$A$85,0))),"往来单位未建档",IF(YEAR($B63)&lt;&gt;参数设置!$B$5,"不在本会计年度",IF(AND($B62&lt;&gt;"",ISNUMBER($B62),$B63&lt;$B62),"日期比上一行早，余额按行序滚，建议按日期录","OK")))))))))))))))</f>
        <v/>
      </c>
      <c r="O63" s="58" t="str">
        <f aca="false">IF($B63="","",TEXT($B63,"yyyy-mm"))</f>
        <v/>
      </c>
      <c r="P63" s="60" t="str">
        <f aca="false">IF($E63="","",ROUND(N($I63)+N($J63),2))</f>
        <v/>
      </c>
      <c r="Q63" s="58" t="str">
        <f aca="false">IF($D63="","",IFERROR(INDEX(资金账户!$F$6:$F$25,MATCH($D63,资金账户!$B$6:$B$25,0)),""))</f>
        <v/>
      </c>
      <c r="R63" s="58" t="str">
        <f aca="false">IF($E63="","",IFERROR(IF(INDEX(记账规则!$A$13:$H$32,MATCH($E63,记账规则!$A$13:$A$32,0),4)="借","收","支"),""))</f>
        <v/>
      </c>
      <c r="S63" s="57" t="str">
        <f aca="false">IF($D63="","",ROUND(SUMIFS(资金账户!$H$6:$H$25,资金账户!$B$6:$B$25,$D63)+SUMIFS($I$6:$I63,$D$6:$D63,$D63)-SUMIFS($J$6:$J63,$D$6:$D63,$D63),2))</f>
        <v/>
      </c>
      <c r="T63" s="61" t="str">
        <f aca="false">IF($B63="","",YEAR($B63))</f>
        <v/>
      </c>
    </row>
    <row r="64" customFormat="false" ht="15" hidden="false" customHeight="false" outlineLevel="0" collapsed="false">
      <c r="A64" s="53" t="str">
        <f aca="false">IF($B64="","",ROW()-5)</f>
        <v/>
      </c>
      <c r="B64" s="54"/>
      <c r="C64" s="33"/>
      <c r="D64" s="33"/>
      <c r="E64" s="33"/>
      <c r="F64" s="32"/>
      <c r="G64" s="41"/>
      <c r="H64" s="39"/>
      <c r="I64" s="43"/>
      <c r="J64" s="43"/>
      <c r="K64" s="41"/>
      <c r="L64" s="39"/>
      <c r="M64" s="41"/>
      <c r="N64" s="25" t="str">
        <f aca="false">IF(AND($B64="",$E64="",$I64="",$J64=""),"",IF(NOT(ISNUMBER($B64)),"日期无效",IF(ISNA(MATCH($C64,参数设置!$A$10:$A$12,0)),"公司无效",IF(ISNA(MATCH($D64,资金账户!$B$6:$B$25,0)),"账户未建档",IF(ISNA(MATCH($E64,记账规则!$A$13:$A$32,0)),"业务类型无效",IF(AND(N($I64)&lt;&gt;0,N($J64)&lt;&gt;0),"收入和支出只能填一列",IF($P64=0,"金额为 0",IF(AND($R64="收",N($I64)=0),"这类业务是收款，金额填到收入列",IF(AND($R64="支",N($J64)=0),"这类业务是付款，金额填到支出列",IF(AND(SUMPRODUCT(--(INDEX(记账规则!$A$13:$H$32,MATCH($E64,记账规则!$A$13:$A$32,0),0)="@对方"))&gt;0,$G64=""),"这个类型要填对方科目",IF(AND($G64&lt;&gt;"",ISNA(MATCH($G64,会计科目表!$B$6:$B$85,0))),"对方科目不存在",IF(AND($E64="缴纳税费",$H64=""),"缴税请在费用项目里选税种",IF(AND($F64&lt;&gt;"",ISNA(MATCH($F64,往来单位!$A$6:$A$85,0))),"往来单位未建档",IF(YEAR($B64)&lt;&gt;参数设置!$B$5,"不在本会计年度",IF(AND($B63&lt;&gt;"",ISNUMBER($B63),$B64&lt;$B63),"日期比上一行早，余额按行序滚，建议按日期录","OK")))))))))))))))</f>
        <v/>
      </c>
      <c r="O64" s="58" t="str">
        <f aca="false">IF($B64="","",TEXT($B64,"yyyy-mm"))</f>
        <v/>
      </c>
      <c r="P64" s="60" t="str">
        <f aca="false">IF($E64="","",ROUND(N($I64)+N($J64),2))</f>
        <v/>
      </c>
      <c r="Q64" s="58" t="str">
        <f aca="false">IF($D64="","",IFERROR(INDEX(资金账户!$F$6:$F$25,MATCH($D64,资金账户!$B$6:$B$25,0)),""))</f>
        <v/>
      </c>
      <c r="R64" s="58" t="str">
        <f aca="false">IF($E64="","",IFERROR(IF(INDEX(记账规则!$A$13:$H$32,MATCH($E64,记账规则!$A$13:$A$32,0),4)="借","收","支"),""))</f>
        <v/>
      </c>
      <c r="S64" s="57" t="str">
        <f aca="false">IF($D64="","",ROUND(SUMIFS(资金账户!$H$6:$H$25,资金账户!$B$6:$B$25,$D64)+SUMIFS($I$6:$I64,$D$6:$D64,$D64)-SUMIFS($J$6:$J64,$D$6:$D64,$D64),2))</f>
        <v/>
      </c>
      <c r="T64" s="61" t="str">
        <f aca="false">IF($B64="","",YEAR($B64))</f>
        <v/>
      </c>
    </row>
    <row r="65" customFormat="false" ht="15" hidden="false" customHeight="false" outlineLevel="0" collapsed="false">
      <c r="A65" s="53" t="str">
        <f aca="false">IF($B65="","",ROW()-5)</f>
        <v/>
      </c>
      <c r="B65" s="54"/>
      <c r="C65" s="33"/>
      <c r="D65" s="33"/>
      <c r="E65" s="33"/>
      <c r="F65" s="32"/>
      <c r="G65" s="41"/>
      <c r="H65" s="39"/>
      <c r="I65" s="43"/>
      <c r="J65" s="43"/>
      <c r="K65" s="41"/>
      <c r="L65" s="39"/>
      <c r="M65" s="41"/>
      <c r="N65" s="25" t="str">
        <f aca="false">IF(AND($B65="",$E65="",$I65="",$J65=""),"",IF(NOT(ISNUMBER($B65)),"日期无效",IF(ISNA(MATCH($C65,参数设置!$A$10:$A$12,0)),"公司无效",IF(ISNA(MATCH($D65,资金账户!$B$6:$B$25,0)),"账户未建档",IF(ISNA(MATCH($E65,记账规则!$A$13:$A$32,0)),"业务类型无效",IF(AND(N($I65)&lt;&gt;0,N($J65)&lt;&gt;0),"收入和支出只能填一列",IF($P65=0,"金额为 0",IF(AND($R65="收",N($I65)=0),"这类业务是收款，金额填到收入列",IF(AND($R65="支",N($J65)=0),"这类业务是付款，金额填到支出列",IF(AND(SUMPRODUCT(--(INDEX(记账规则!$A$13:$H$32,MATCH($E65,记账规则!$A$13:$A$32,0),0)="@对方"))&gt;0,$G65=""),"这个类型要填对方科目",IF(AND($G65&lt;&gt;"",ISNA(MATCH($G65,会计科目表!$B$6:$B$85,0))),"对方科目不存在",IF(AND($E65="缴纳税费",$H65=""),"缴税请在费用项目里选税种",IF(AND($F65&lt;&gt;"",ISNA(MATCH($F65,往来单位!$A$6:$A$85,0))),"往来单位未建档",IF(YEAR($B65)&lt;&gt;参数设置!$B$5,"不在本会计年度",IF(AND($B64&lt;&gt;"",ISNUMBER($B64),$B65&lt;$B64),"日期比上一行早，余额按行序滚，建议按日期录","OK")))))))))))))))</f>
        <v/>
      </c>
      <c r="O65" s="58" t="str">
        <f aca="false">IF($B65="","",TEXT($B65,"yyyy-mm"))</f>
        <v/>
      </c>
      <c r="P65" s="60" t="str">
        <f aca="false">IF($E65="","",ROUND(N($I65)+N($J65),2))</f>
        <v/>
      </c>
      <c r="Q65" s="58" t="str">
        <f aca="false">IF($D65="","",IFERROR(INDEX(资金账户!$F$6:$F$25,MATCH($D65,资金账户!$B$6:$B$25,0)),""))</f>
        <v/>
      </c>
      <c r="R65" s="58" t="str">
        <f aca="false">IF($E65="","",IFERROR(IF(INDEX(记账规则!$A$13:$H$32,MATCH($E65,记账规则!$A$13:$A$32,0),4)="借","收","支"),""))</f>
        <v/>
      </c>
      <c r="S65" s="57" t="str">
        <f aca="false">IF($D65="","",ROUND(SUMIFS(资金账户!$H$6:$H$25,资金账户!$B$6:$B$25,$D65)+SUMIFS($I$6:$I65,$D$6:$D65,$D65)-SUMIFS($J$6:$J65,$D$6:$D65,$D65),2))</f>
        <v/>
      </c>
      <c r="T65" s="61" t="str">
        <f aca="false">IF($B65="","",YEAR($B65))</f>
        <v/>
      </c>
    </row>
    <row r="66" customFormat="false" ht="15" hidden="false" customHeight="false" outlineLevel="0" collapsed="false">
      <c r="A66" s="53" t="str">
        <f aca="false">IF($B66="","",ROW()-5)</f>
        <v/>
      </c>
      <c r="B66" s="54"/>
      <c r="C66" s="33"/>
      <c r="D66" s="33"/>
      <c r="E66" s="33"/>
      <c r="F66" s="32"/>
      <c r="G66" s="41"/>
      <c r="H66" s="39"/>
      <c r="I66" s="43"/>
      <c r="J66" s="43"/>
      <c r="K66" s="41"/>
      <c r="L66" s="39"/>
      <c r="M66" s="41"/>
      <c r="N66" s="25" t="str">
        <f aca="false">IF(AND($B66="",$E66="",$I66="",$J66=""),"",IF(NOT(ISNUMBER($B66)),"日期无效",IF(ISNA(MATCH($C66,参数设置!$A$10:$A$12,0)),"公司无效",IF(ISNA(MATCH($D66,资金账户!$B$6:$B$25,0)),"账户未建档",IF(ISNA(MATCH($E66,记账规则!$A$13:$A$32,0)),"业务类型无效",IF(AND(N($I66)&lt;&gt;0,N($J66)&lt;&gt;0),"收入和支出只能填一列",IF($P66=0,"金额为 0",IF(AND($R66="收",N($I66)=0),"这类业务是收款，金额填到收入列",IF(AND($R66="支",N($J66)=0),"这类业务是付款，金额填到支出列",IF(AND(SUMPRODUCT(--(INDEX(记账规则!$A$13:$H$32,MATCH($E66,记账规则!$A$13:$A$32,0),0)="@对方"))&gt;0,$G66=""),"这个类型要填对方科目",IF(AND($G66&lt;&gt;"",ISNA(MATCH($G66,会计科目表!$B$6:$B$85,0))),"对方科目不存在",IF(AND($E66="缴纳税费",$H66=""),"缴税请在费用项目里选税种",IF(AND($F66&lt;&gt;"",ISNA(MATCH($F66,往来单位!$A$6:$A$85,0))),"往来单位未建档",IF(YEAR($B66)&lt;&gt;参数设置!$B$5,"不在本会计年度",IF(AND($B65&lt;&gt;"",ISNUMBER($B65),$B66&lt;$B65),"日期比上一行早，余额按行序滚，建议按日期录","OK")))))))))))))))</f>
        <v/>
      </c>
      <c r="O66" s="58" t="str">
        <f aca="false">IF($B66="","",TEXT($B66,"yyyy-mm"))</f>
        <v/>
      </c>
      <c r="P66" s="60" t="str">
        <f aca="false">IF($E66="","",ROUND(N($I66)+N($J66),2))</f>
        <v/>
      </c>
      <c r="Q66" s="58" t="str">
        <f aca="false">IF($D66="","",IFERROR(INDEX(资金账户!$F$6:$F$25,MATCH($D66,资金账户!$B$6:$B$25,0)),""))</f>
        <v/>
      </c>
      <c r="R66" s="58" t="str">
        <f aca="false">IF($E66="","",IFERROR(IF(INDEX(记账规则!$A$13:$H$32,MATCH($E66,记账规则!$A$13:$A$32,0),4)="借","收","支"),""))</f>
        <v/>
      </c>
      <c r="S66" s="57" t="str">
        <f aca="false">IF($D66="","",ROUND(SUMIFS(资金账户!$H$6:$H$25,资金账户!$B$6:$B$25,$D66)+SUMIFS($I$6:$I66,$D$6:$D66,$D66)-SUMIFS($J$6:$J66,$D$6:$D66,$D66),2))</f>
        <v/>
      </c>
      <c r="T66" s="61" t="str">
        <f aca="false">IF($B66="","",YEAR($B66))</f>
        <v/>
      </c>
    </row>
    <row r="67" customFormat="false" ht="15" hidden="false" customHeight="false" outlineLevel="0" collapsed="false">
      <c r="A67" s="53" t="str">
        <f aca="false">IF($B67="","",ROW()-5)</f>
        <v/>
      </c>
      <c r="B67" s="54"/>
      <c r="C67" s="33"/>
      <c r="D67" s="33"/>
      <c r="E67" s="33"/>
      <c r="F67" s="32"/>
      <c r="G67" s="41"/>
      <c r="H67" s="39"/>
      <c r="I67" s="43"/>
      <c r="J67" s="43"/>
      <c r="K67" s="41"/>
      <c r="L67" s="39"/>
      <c r="M67" s="41"/>
      <c r="N67" s="25" t="str">
        <f aca="false">IF(AND($B67="",$E67="",$I67="",$J67=""),"",IF(NOT(ISNUMBER($B67)),"日期无效",IF(ISNA(MATCH($C67,参数设置!$A$10:$A$12,0)),"公司无效",IF(ISNA(MATCH($D67,资金账户!$B$6:$B$25,0)),"账户未建档",IF(ISNA(MATCH($E67,记账规则!$A$13:$A$32,0)),"业务类型无效",IF(AND(N($I67)&lt;&gt;0,N($J67)&lt;&gt;0),"收入和支出只能填一列",IF($P67=0,"金额为 0",IF(AND($R67="收",N($I67)=0),"这类业务是收款，金额填到收入列",IF(AND($R67="支",N($J67)=0),"这类业务是付款，金额填到支出列",IF(AND(SUMPRODUCT(--(INDEX(记账规则!$A$13:$H$32,MATCH($E67,记账规则!$A$13:$A$32,0),0)="@对方"))&gt;0,$G67=""),"这个类型要填对方科目",IF(AND($G67&lt;&gt;"",ISNA(MATCH($G67,会计科目表!$B$6:$B$85,0))),"对方科目不存在",IF(AND($E67="缴纳税费",$H67=""),"缴税请在费用项目里选税种",IF(AND($F67&lt;&gt;"",ISNA(MATCH($F67,往来单位!$A$6:$A$85,0))),"往来单位未建档",IF(YEAR($B67)&lt;&gt;参数设置!$B$5,"不在本会计年度",IF(AND($B66&lt;&gt;"",ISNUMBER($B66),$B67&lt;$B66),"日期比上一行早，余额按行序滚，建议按日期录","OK")))))))))))))))</f>
        <v/>
      </c>
      <c r="O67" s="58" t="str">
        <f aca="false">IF($B67="","",TEXT($B67,"yyyy-mm"))</f>
        <v/>
      </c>
      <c r="P67" s="60" t="str">
        <f aca="false">IF($E67="","",ROUND(N($I67)+N($J67),2))</f>
        <v/>
      </c>
      <c r="Q67" s="58" t="str">
        <f aca="false">IF($D67="","",IFERROR(INDEX(资金账户!$F$6:$F$25,MATCH($D67,资金账户!$B$6:$B$25,0)),""))</f>
        <v/>
      </c>
      <c r="R67" s="58" t="str">
        <f aca="false">IF($E67="","",IFERROR(IF(INDEX(记账规则!$A$13:$H$32,MATCH($E67,记账规则!$A$13:$A$32,0),4)="借","收","支"),""))</f>
        <v/>
      </c>
      <c r="S67" s="57" t="str">
        <f aca="false">IF($D67="","",ROUND(SUMIFS(资金账户!$H$6:$H$25,资金账户!$B$6:$B$25,$D67)+SUMIFS($I$6:$I67,$D$6:$D67,$D67)-SUMIFS($J$6:$J67,$D$6:$D67,$D67),2))</f>
        <v/>
      </c>
      <c r="T67" s="61" t="str">
        <f aca="false">IF($B67="","",YEAR($B67))</f>
        <v/>
      </c>
    </row>
    <row r="68" customFormat="false" ht="15" hidden="false" customHeight="false" outlineLevel="0" collapsed="false">
      <c r="A68" s="53" t="str">
        <f aca="false">IF($B68="","",ROW()-5)</f>
        <v/>
      </c>
      <c r="B68" s="54"/>
      <c r="C68" s="33"/>
      <c r="D68" s="33"/>
      <c r="E68" s="33"/>
      <c r="F68" s="32"/>
      <c r="G68" s="41"/>
      <c r="H68" s="39"/>
      <c r="I68" s="43"/>
      <c r="J68" s="43"/>
      <c r="K68" s="41"/>
      <c r="L68" s="39"/>
      <c r="M68" s="41"/>
      <c r="N68" s="25" t="str">
        <f aca="false">IF(AND($B68="",$E68="",$I68="",$J68=""),"",IF(NOT(ISNUMBER($B68)),"日期无效",IF(ISNA(MATCH($C68,参数设置!$A$10:$A$12,0)),"公司无效",IF(ISNA(MATCH($D68,资金账户!$B$6:$B$25,0)),"账户未建档",IF(ISNA(MATCH($E68,记账规则!$A$13:$A$32,0)),"业务类型无效",IF(AND(N($I68)&lt;&gt;0,N($J68)&lt;&gt;0),"收入和支出只能填一列",IF($P68=0,"金额为 0",IF(AND($R68="收",N($I68)=0),"这类业务是收款，金额填到收入列",IF(AND($R68="支",N($J68)=0),"这类业务是付款，金额填到支出列",IF(AND(SUMPRODUCT(--(INDEX(记账规则!$A$13:$H$32,MATCH($E68,记账规则!$A$13:$A$32,0),0)="@对方"))&gt;0,$G68=""),"这个类型要填对方科目",IF(AND($G68&lt;&gt;"",ISNA(MATCH($G68,会计科目表!$B$6:$B$85,0))),"对方科目不存在",IF(AND($E68="缴纳税费",$H68=""),"缴税请在费用项目里选税种",IF(AND($F68&lt;&gt;"",ISNA(MATCH($F68,往来单位!$A$6:$A$85,0))),"往来单位未建档",IF(YEAR($B68)&lt;&gt;参数设置!$B$5,"不在本会计年度",IF(AND($B67&lt;&gt;"",ISNUMBER($B67),$B68&lt;$B67),"日期比上一行早，余额按行序滚，建议按日期录","OK")))))))))))))))</f>
        <v/>
      </c>
      <c r="O68" s="58" t="str">
        <f aca="false">IF($B68="","",TEXT($B68,"yyyy-mm"))</f>
        <v/>
      </c>
      <c r="P68" s="60" t="str">
        <f aca="false">IF($E68="","",ROUND(N($I68)+N($J68),2))</f>
        <v/>
      </c>
      <c r="Q68" s="58" t="str">
        <f aca="false">IF($D68="","",IFERROR(INDEX(资金账户!$F$6:$F$25,MATCH($D68,资金账户!$B$6:$B$25,0)),""))</f>
        <v/>
      </c>
      <c r="R68" s="58" t="str">
        <f aca="false">IF($E68="","",IFERROR(IF(INDEX(记账规则!$A$13:$H$32,MATCH($E68,记账规则!$A$13:$A$32,0),4)="借","收","支"),""))</f>
        <v/>
      </c>
      <c r="S68" s="57" t="str">
        <f aca="false">IF($D68="","",ROUND(SUMIFS(资金账户!$H$6:$H$25,资金账户!$B$6:$B$25,$D68)+SUMIFS($I$6:$I68,$D$6:$D68,$D68)-SUMIFS($J$6:$J68,$D$6:$D68,$D68),2))</f>
        <v/>
      </c>
      <c r="T68" s="61" t="str">
        <f aca="false">IF($B68="","",YEAR($B68))</f>
        <v/>
      </c>
    </row>
    <row r="69" customFormat="false" ht="15" hidden="false" customHeight="false" outlineLevel="0" collapsed="false">
      <c r="A69" s="53" t="str">
        <f aca="false">IF($B69="","",ROW()-5)</f>
        <v/>
      </c>
      <c r="B69" s="54"/>
      <c r="C69" s="33"/>
      <c r="D69" s="33"/>
      <c r="E69" s="33"/>
      <c r="F69" s="32"/>
      <c r="G69" s="41"/>
      <c r="H69" s="39"/>
      <c r="I69" s="43"/>
      <c r="J69" s="43"/>
      <c r="K69" s="41"/>
      <c r="L69" s="39"/>
      <c r="M69" s="41"/>
      <c r="N69" s="25" t="str">
        <f aca="false">IF(AND($B69="",$E69="",$I69="",$J69=""),"",IF(NOT(ISNUMBER($B69)),"日期无效",IF(ISNA(MATCH($C69,参数设置!$A$10:$A$12,0)),"公司无效",IF(ISNA(MATCH($D69,资金账户!$B$6:$B$25,0)),"账户未建档",IF(ISNA(MATCH($E69,记账规则!$A$13:$A$32,0)),"业务类型无效",IF(AND(N($I69)&lt;&gt;0,N($J69)&lt;&gt;0),"收入和支出只能填一列",IF($P69=0,"金额为 0",IF(AND($R69="收",N($I69)=0),"这类业务是收款，金额填到收入列",IF(AND($R69="支",N($J69)=0),"这类业务是付款，金额填到支出列",IF(AND(SUMPRODUCT(--(INDEX(记账规则!$A$13:$H$32,MATCH($E69,记账规则!$A$13:$A$32,0),0)="@对方"))&gt;0,$G69=""),"这个类型要填对方科目",IF(AND($G69&lt;&gt;"",ISNA(MATCH($G69,会计科目表!$B$6:$B$85,0))),"对方科目不存在",IF(AND($E69="缴纳税费",$H69=""),"缴税请在费用项目里选税种",IF(AND($F69&lt;&gt;"",ISNA(MATCH($F69,往来单位!$A$6:$A$85,0))),"往来单位未建档",IF(YEAR($B69)&lt;&gt;参数设置!$B$5,"不在本会计年度",IF(AND($B68&lt;&gt;"",ISNUMBER($B68),$B69&lt;$B68),"日期比上一行早，余额按行序滚，建议按日期录","OK")))))))))))))))</f>
        <v/>
      </c>
      <c r="O69" s="58" t="str">
        <f aca="false">IF($B69="","",TEXT($B69,"yyyy-mm"))</f>
        <v/>
      </c>
      <c r="P69" s="60" t="str">
        <f aca="false">IF($E69="","",ROUND(N($I69)+N($J69),2))</f>
        <v/>
      </c>
      <c r="Q69" s="58" t="str">
        <f aca="false">IF($D69="","",IFERROR(INDEX(资金账户!$F$6:$F$25,MATCH($D69,资金账户!$B$6:$B$25,0)),""))</f>
        <v/>
      </c>
      <c r="R69" s="58" t="str">
        <f aca="false">IF($E69="","",IFERROR(IF(INDEX(记账规则!$A$13:$H$32,MATCH($E69,记账规则!$A$13:$A$32,0),4)="借","收","支"),""))</f>
        <v/>
      </c>
      <c r="S69" s="57" t="str">
        <f aca="false">IF($D69="","",ROUND(SUMIFS(资金账户!$H$6:$H$25,资金账户!$B$6:$B$25,$D69)+SUMIFS($I$6:$I69,$D$6:$D69,$D69)-SUMIFS($J$6:$J69,$D$6:$D69,$D69),2))</f>
        <v/>
      </c>
      <c r="T69" s="61" t="str">
        <f aca="false">IF($B69="","",YEAR($B69))</f>
        <v/>
      </c>
    </row>
    <row r="70" customFormat="false" ht="15" hidden="false" customHeight="false" outlineLevel="0" collapsed="false">
      <c r="A70" s="53" t="str">
        <f aca="false">IF($B70="","",ROW()-5)</f>
        <v/>
      </c>
      <c r="B70" s="54"/>
      <c r="C70" s="33"/>
      <c r="D70" s="33"/>
      <c r="E70" s="33"/>
      <c r="F70" s="32"/>
      <c r="G70" s="41"/>
      <c r="H70" s="39"/>
      <c r="I70" s="43"/>
      <c r="J70" s="43"/>
      <c r="K70" s="41"/>
      <c r="L70" s="39"/>
      <c r="M70" s="41"/>
      <c r="N70" s="25" t="str">
        <f aca="false">IF(AND($B70="",$E70="",$I70="",$J70=""),"",IF(NOT(ISNUMBER($B70)),"日期无效",IF(ISNA(MATCH($C70,参数设置!$A$10:$A$12,0)),"公司无效",IF(ISNA(MATCH($D70,资金账户!$B$6:$B$25,0)),"账户未建档",IF(ISNA(MATCH($E70,记账规则!$A$13:$A$32,0)),"业务类型无效",IF(AND(N($I70)&lt;&gt;0,N($J70)&lt;&gt;0),"收入和支出只能填一列",IF($P70=0,"金额为 0",IF(AND($R70="收",N($I70)=0),"这类业务是收款，金额填到收入列",IF(AND($R70="支",N($J70)=0),"这类业务是付款，金额填到支出列",IF(AND(SUMPRODUCT(--(INDEX(记账规则!$A$13:$H$32,MATCH($E70,记账规则!$A$13:$A$32,0),0)="@对方"))&gt;0,$G70=""),"这个类型要填对方科目",IF(AND($G70&lt;&gt;"",ISNA(MATCH($G70,会计科目表!$B$6:$B$85,0))),"对方科目不存在",IF(AND($E70="缴纳税费",$H70=""),"缴税请在费用项目里选税种",IF(AND($F70&lt;&gt;"",ISNA(MATCH($F70,往来单位!$A$6:$A$85,0))),"往来单位未建档",IF(YEAR($B70)&lt;&gt;参数设置!$B$5,"不在本会计年度",IF(AND($B69&lt;&gt;"",ISNUMBER($B69),$B70&lt;$B69),"日期比上一行早，余额按行序滚，建议按日期录","OK")))))))))))))))</f>
        <v/>
      </c>
      <c r="O70" s="58" t="str">
        <f aca="false">IF($B70="","",TEXT($B70,"yyyy-mm"))</f>
        <v/>
      </c>
      <c r="P70" s="60" t="str">
        <f aca="false">IF($E70="","",ROUND(N($I70)+N($J70),2))</f>
        <v/>
      </c>
      <c r="Q70" s="58" t="str">
        <f aca="false">IF($D70="","",IFERROR(INDEX(资金账户!$F$6:$F$25,MATCH($D70,资金账户!$B$6:$B$25,0)),""))</f>
        <v/>
      </c>
      <c r="R70" s="58" t="str">
        <f aca="false">IF($E70="","",IFERROR(IF(INDEX(记账规则!$A$13:$H$32,MATCH($E70,记账规则!$A$13:$A$32,0),4)="借","收","支"),""))</f>
        <v/>
      </c>
      <c r="S70" s="57" t="str">
        <f aca="false">IF($D70="","",ROUND(SUMIFS(资金账户!$H$6:$H$25,资金账户!$B$6:$B$25,$D70)+SUMIFS($I$6:$I70,$D$6:$D70,$D70)-SUMIFS($J$6:$J70,$D$6:$D70,$D70),2))</f>
        <v/>
      </c>
      <c r="T70" s="61" t="str">
        <f aca="false">IF($B70="","",YEAR($B70))</f>
        <v/>
      </c>
    </row>
    <row r="71" customFormat="false" ht="15" hidden="false" customHeight="false" outlineLevel="0" collapsed="false">
      <c r="A71" s="53" t="str">
        <f aca="false">IF($B71="","",ROW()-5)</f>
        <v/>
      </c>
      <c r="B71" s="54"/>
      <c r="C71" s="33"/>
      <c r="D71" s="33"/>
      <c r="E71" s="33"/>
      <c r="F71" s="32"/>
      <c r="G71" s="41"/>
      <c r="H71" s="39"/>
      <c r="I71" s="43"/>
      <c r="J71" s="43"/>
      <c r="K71" s="41"/>
      <c r="L71" s="39"/>
      <c r="M71" s="41"/>
      <c r="N71" s="25" t="str">
        <f aca="false">IF(AND($B71="",$E71="",$I71="",$J71=""),"",IF(NOT(ISNUMBER($B71)),"日期无效",IF(ISNA(MATCH($C71,参数设置!$A$10:$A$12,0)),"公司无效",IF(ISNA(MATCH($D71,资金账户!$B$6:$B$25,0)),"账户未建档",IF(ISNA(MATCH($E71,记账规则!$A$13:$A$32,0)),"业务类型无效",IF(AND(N($I71)&lt;&gt;0,N($J71)&lt;&gt;0),"收入和支出只能填一列",IF($P71=0,"金额为 0",IF(AND($R71="收",N($I71)=0),"这类业务是收款，金额填到收入列",IF(AND($R71="支",N($J71)=0),"这类业务是付款，金额填到支出列",IF(AND(SUMPRODUCT(--(INDEX(记账规则!$A$13:$H$32,MATCH($E71,记账规则!$A$13:$A$32,0),0)="@对方"))&gt;0,$G71=""),"这个类型要填对方科目",IF(AND($G71&lt;&gt;"",ISNA(MATCH($G71,会计科目表!$B$6:$B$85,0))),"对方科目不存在",IF(AND($E71="缴纳税费",$H71=""),"缴税请在费用项目里选税种",IF(AND($F71&lt;&gt;"",ISNA(MATCH($F71,往来单位!$A$6:$A$85,0))),"往来单位未建档",IF(YEAR($B71)&lt;&gt;参数设置!$B$5,"不在本会计年度",IF(AND($B70&lt;&gt;"",ISNUMBER($B70),$B71&lt;$B70),"日期比上一行早，余额按行序滚，建议按日期录","OK")))))))))))))))</f>
        <v/>
      </c>
      <c r="O71" s="58" t="str">
        <f aca="false">IF($B71="","",TEXT($B71,"yyyy-mm"))</f>
        <v/>
      </c>
      <c r="P71" s="60" t="str">
        <f aca="false">IF($E71="","",ROUND(N($I71)+N($J71),2))</f>
        <v/>
      </c>
      <c r="Q71" s="58" t="str">
        <f aca="false">IF($D71="","",IFERROR(INDEX(资金账户!$F$6:$F$25,MATCH($D71,资金账户!$B$6:$B$25,0)),""))</f>
        <v/>
      </c>
      <c r="R71" s="58" t="str">
        <f aca="false">IF($E71="","",IFERROR(IF(INDEX(记账规则!$A$13:$H$32,MATCH($E71,记账规则!$A$13:$A$32,0),4)="借","收","支"),""))</f>
        <v/>
      </c>
      <c r="S71" s="57" t="str">
        <f aca="false">IF($D71="","",ROUND(SUMIFS(资金账户!$H$6:$H$25,资金账户!$B$6:$B$25,$D71)+SUMIFS($I$6:$I71,$D$6:$D71,$D71)-SUMIFS($J$6:$J71,$D$6:$D71,$D71),2))</f>
        <v/>
      </c>
      <c r="T71" s="61" t="str">
        <f aca="false">IF($B71="","",YEAR($B71))</f>
        <v/>
      </c>
    </row>
    <row r="72" customFormat="false" ht="15" hidden="false" customHeight="false" outlineLevel="0" collapsed="false">
      <c r="A72" s="53" t="str">
        <f aca="false">IF($B72="","",ROW()-5)</f>
        <v/>
      </c>
      <c r="B72" s="54"/>
      <c r="C72" s="33"/>
      <c r="D72" s="33"/>
      <c r="E72" s="33"/>
      <c r="F72" s="32"/>
      <c r="G72" s="41"/>
      <c r="H72" s="39"/>
      <c r="I72" s="43"/>
      <c r="J72" s="43"/>
      <c r="K72" s="41"/>
      <c r="L72" s="39"/>
      <c r="M72" s="41"/>
      <c r="N72" s="25" t="str">
        <f aca="false">IF(AND($B72="",$E72="",$I72="",$J72=""),"",IF(NOT(ISNUMBER($B72)),"日期无效",IF(ISNA(MATCH($C72,参数设置!$A$10:$A$12,0)),"公司无效",IF(ISNA(MATCH($D72,资金账户!$B$6:$B$25,0)),"账户未建档",IF(ISNA(MATCH($E72,记账规则!$A$13:$A$32,0)),"业务类型无效",IF(AND(N($I72)&lt;&gt;0,N($J72)&lt;&gt;0),"收入和支出只能填一列",IF($P72=0,"金额为 0",IF(AND($R72="收",N($I72)=0),"这类业务是收款，金额填到收入列",IF(AND($R72="支",N($J72)=0),"这类业务是付款，金额填到支出列",IF(AND(SUMPRODUCT(--(INDEX(记账规则!$A$13:$H$32,MATCH($E72,记账规则!$A$13:$A$32,0),0)="@对方"))&gt;0,$G72=""),"这个类型要填对方科目",IF(AND($G72&lt;&gt;"",ISNA(MATCH($G72,会计科目表!$B$6:$B$85,0))),"对方科目不存在",IF(AND($E72="缴纳税费",$H72=""),"缴税请在费用项目里选税种",IF(AND($F72&lt;&gt;"",ISNA(MATCH($F72,往来单位!$A$6:$A$85,0))),"往来单位未建档",IF(YEAR($B72)&lt;&gt;参数设置!$B$5,"不在本会计年度",IF(AND($B71&lt;&gt;"",ISNUMBER($B71),$B72&lt;$B71),"日期比上一行早，余额按行序滚，建议按日期录","OK")))))))))))))))</f>
        <v/>
      </c>
      <c r="O72" s="58" t="str">
        <f aca="false">IF($B72="","",TEXT($B72,"yyyy-mm"))</f>
        <v/>
      </c>
      <c r="P72" s="60" t="str">
        <f aca="false">IF($E72="","",ROUND(N($I72)+N($J72),2))</f>
        <v/>
      </c>
      <c r="Q72" s="58" t="str">
        <f aca="false">IF($D72="","",IFERROR(INDEX(资金账户!$F$6:$F$25,MATCH($D72,资金账户!$B$6:$B$25,0)),""))</f>
        <v/>
      </c>
      <c r="R72" s="58" t="str">
        <f aca="false">IF($E72="","",IFERROR(IF(INDEX(记账规则!$A$13:$H$32,MATCH($E72,记账规则!$A$13:$A$32,0),4)="借","收","支"),""))</f>
        <v/>
      </c>
      <c r="S72" s="57" t="str">
        <f aca="false">IF($D72="","",ROUND(SUMIFS(资金账户!$H$6:$H$25,资金账户!$B$6:$B$25,$D72)+SUMIFS($I$6:$I72,$D$6:$D72,$D72)-SUMIFS($J$6:$J72,$D$6:$D72,$D72),2))</f>
        <v/>
      </c>
      <c r="T72" s="61" t="str">
        <f aca="false">IF($B72="","",YEAR($B72))</f>
        <v/>
      </c>
    </row>
    <row r="73" customFormat="false" ht="15" hidden="false" customHeight="false" outlineLevel="0" collapsed="false">
      <c r="A73" s="53" t="str">
        <f aca="false">IF($B73="","",ROW()-5)</f>
        <v/>
      </c>
      <c r="B73" s="54"/>
      <c r="C73" s="33"/>
      <c r="D73" s="33"/>
      <c r="E73" s="33"/>
      <c r="F73" s="32"/>
      <c r="G73" s="41"/>
      <c r="H73" s="39"/>
      <c r="I73" s="43"/>
      <c r="J73" s="43"/>
      <c r="K73" s="41"/>
      <c r="L73" s="39"/>
      <c r="M73" s="41"/>
      <c r="N73" s="25" t="str">
        <f aca="false">IF(AND($B73="",$E73="",$I73="",$J73=""),"",IF(NOT(ISNUMBER($B73)),"日期无效",IF(ISNA(MATCH($C73,参数设置!$A$10:$A$12,0)),"公司无效",IF(ISNA(MATCH($D73,资金账户!$B$6:$B$25,0)),"账户未建档",IF(ISNA(MATCH($E73,记账规则!$A$13:$A$32,0)),"业务类型无效",IF(AND(N($I73)&lt;&gt;0,N($J73)&lt;&gt;0),"收入和支出只能填一列",IF($P73=0,"金额为 0",IF(AND($R73="收",N($I73)=0),"这类业务是收款，金额填到收入列",IF(AND($R73="支",N($J73)=0),"这类业务是付款，金额填到支出列",IF(AND(SUMPRODUCT(--(INDEX(记账规则!$A$13:$H$32,MATCH($E73,记账规则!$A$13:$A$32,0),0)="@对方"))&gt;0,$G73=""),"这个类型要填对方科目",IF(AND($G73&lt;&gt;"",ISNA(MATCH($G73,会计科目表!$B$6:$B$85,0))),"对方科目不存在",IF(AND($E73="缴纳税费",$H73=""),"缴税请在费用项目里选税种",IF(AND($F73&lt;&gt;"",ISNA(MATCH($F73,往来单位!$A$6:$A$85,0))),"往来单位未建档",IF(YEAR($B73)&lt;&gt;参数设置!$B$5,"不在本会计年度",IF(AND($B72&lt;&gt;"",ISNUMBER($B72),$B73&lt;$B72),"日期比上一行早，余额按行序滚，建议按日期录","OK")))))))))))))))</f>
        <v/>
      </c>
      <c r="O73" s="58" t="str">
        <f aca="false">IF($B73="","",TEXT($B73,"yyyy-mm"))</f>
        <v/>
      </c>
      <c r="P73" s="60" t="str">
        <f aca="false">IF($E73="","",ROUND(N($I73)+N($J73),2))</f>
        <v/>
      </c>
      <c r="Q73" s="58" t="str">
        <f aca="false">IF($D73="","",IFERROR(INDEX(资金账户!$F$6:$F$25,MATCH($D73,资金账户!$B$6:$B$25,0)),""))</f>
        <v/>
      </c>
      <c r="R73" s="58" t="str">
        <f aca="false">IF($E73="","",IFERROR(IF(INDEX(记账规则!$A$13:$H$32,MATCH($E73,记账规则!$A$13:$A$32,0),4)="借","收","支"),""))</f>
        <v/>
      </c>
      <c r="S73" s="57" t="str">
        <f aca="false">IF($D73="","",ROUND(SUMIFS(资金账户!$H$6:$H$25,资金账户!$B$6:$B$25,$D73)+SUMIFS($I$6:$I73,$D$6:$D73,$D73)-SUMIFS($J$6:$J73,$D$6:$D73,$D73),2))</f>
        <v/>
      </c>
      <c r="T73" s="61" t="str">
        <f aca="false">IF($B73="","",YEAR($B73))</f>
        <v/>
      </c>
    </row>
    <row r="74" customFormat="false" ht="15" hidden="false" customHeight="false" outlineLevel="0" collapsed="false">
      <c r="A74" s="53" t="str">
        <f aca="false">IF($B74="","",ROW()-5)</f>
        <v/>
      </c>
      <c r="B74" s="54"/>
      <c r="C74" s="33"/>
      <c r="D74" s="33"/>
      <c r="E74" s="33"/>
      <c r="F74" s="32"/>
      <c r="G74" s="41"/>
      <c r="H74" s="39"/>
      <c r="I74" s="43"/>
      <c r="J74" s="43"/>
      <c r="K74" s="41"/>
      <c r="L74" s="39"/>
      <c r="M74" s="41"/>
      <c r="N74" s="25" t="str">
        <f aca="false">IF(AND($B74="",$E74="",$I74="",$J74=""),"",IF(NOT(ISNUMBER($B74)),"日期无效",IF(ISNA(MATCH($C74,参数设置!$A$10:$A$12,0)),"公司无效",IF(ISNA(MATCH($D74,资金账户!$B$6:$B$25,0)),"账户未建档",IF(ISNA(MATCH($E74,记账规则!$A$13:$A$32,0)),"业务类型无效",IF(AND(N($I74)&lt;&gt;0,N($J74)&lt;&gt;0),"收入和支出只能填一列",IF($P74=0,"金额为 0",IF(AND($R74="收",N($I74)=0),"这类业务是收款，金额填到收入列",IF(AND($R74="支",N($J74)=0),"这类业务是付款，金额填到支出列",IF(AND(SUMPRODUCT(--(INDEX(记账规则!$A$13:$H$32,MATCH($E74,记账规则!$A$13:$A$32,0),0)="@对方"))&gt;0,$G74=""),"这个类型要填对方科目",IF(AND($G74&lt;&gt;"",ISNA(MATCH($G74,会计科目表!$B$6:$B$85,0))),"对方科目不存在",IF(AND($E74="缴纳税费",$H74=""),"缴税请在费用项目里选税种",IF(AND($F74&lt;&gt;"",ISNA(MATCH($F74,往来单位!$A$6:$A$85,0))),"往来单位未建档",IF(YEAR($B74)&lt;&gt;参数设置!$B$5,"不在本会计年度",IF(AND($B73&lt;&gt;"",ISNUMBER($B73),$B74&lt;$B73),"日期比上一行早，余额按行序滚，建议按日期录","OK")))))))))))))))</f>
        <v/>
      </c>
      <c r="O74" s="58" t="str">
        <f aca="false">IF($B74="","",TEXT($B74,"yyyy-mm"))</f>
        <v/>
      </c>
      <c r="P74" s="60" t="str">
        <f aca="false">IF($E74="","",ROUND(N($I74)+N($J74),2))</f>
        <v/>
      </c>
      <c r="Q74" s="58" t="str">
        <f aca="false">IF($D74="","",IFERROR(INDEX(资金账户!$F$6:$F$25,MATCH($D74,资金账户!$B$6:$B$25,0)),""))</f>
        <v/>
      </c>
      <c r="R74" s="58" t="str">
        <f aca="false">IF($E74="","",IFERROR(IF(INDEX(记账规则!$A$13:$H$32,MATCH($E74,记账规则!$A$13:$A$32,0),4)="借","收","支"),""))</f>
        <v/>
      </c>
      <c r="S74" s="57" t="str">
        <f aca="false">IF($D74="","",ROUND(SUMIFS(资金账户!$H$6:$H$25,资金账户!$B$6:$B$25,$D74)+SUMIFS($I$6:$I74,$D$6:$D74,$D74)-SUMIFS($J$6:$J74,$D$6:$D74,$D74),2))</f>
        <v/>
      </c>
      <c r="T74" s="61" t="str">
        <f aca="false">IF($B74="","",YEAR($B74))</f>
        <v/>
      </c>
    </row>
    <row r="75" customFormat="false" ht="15" hidden="false" customHeight="false" outlineLevel="0" collapsed="false">
      <c r="A75" s="53" t="str">
        <f aca="false">IF($B75="","",ROW()-5)</f>
        <v/>
      </c>
      <c r="B75" s="54"/>
      <c r="C75" s="33"/>
      <c r="D75" s="33"/>
      <c r="E75" s="33"/>
      <c r="F75" s="32"/>
      <c r="G75" s="41"/>
      <c r="H75" s="39"/>
      <c r="I75" s="43"/>
      <c r="J75" s="43"/>
      <c r="K75" s="41"/>
      <c r="L75" s="39"/>
      <c r="M75" s="41"/>
      <c r="N75" s="25" t="str">
        <f aca="false">IF(AND($B75="",$E75="",$I75="",$J75=""),"",IF(NOT(ISNUMBER($B75)),"日期无效",IF(ISNA(MATCH($C75,参数设置!$A$10:$A$12,0)),"公司无效",IF(ISNA(MATCH($D75,资金账户!$B$6:$B$25,0)),"账户未建档",IF(ISNA(MATCH($E75,记账规则!$A$13:$A$32,0)),"业务类型无效",IF(AND(N($I75)&lt;&gt;0,N($J75)&lt;&gt;0),"收入和支出只能填一列",IF($P75=0,"金额为 0",IF(AND($R75="收",N($I75)=0),"这类业务是收款，金额填到收入列",IF(AND($R75="支",N($J75)=0),"这类业务是付款，金额填到支出列",IF(AND(SUMPRODUCT(--(INDEX(记账规则!$A$13:$H$32,MATCH($E75,记账规则!$A$13:$A$32,0),0)="@对方"))&gt;0,$G75=""),"这个类型要填对方科目",IF(AND($G75&lt;&gt;"",ISNA(MATCH($G75,会计科目表!$B$6:$B$85,0))),"对方科目不存在",IF(AND($E75="缴纳税费",$H75=""),"缴税请在费用项目里选税种",IF(AND($F75&lt;&gt;"",ISNA(MATCH($F75,往来单位!$A$6:$A$85,0))),"往来单位未建档",IF(YEAR($B75)&lt;&gt;参数设置!$B$5,"不在本会计年度",IF(AND($B74&lt;&gt;"",ISNUMBER($B74),$B75&lt;$B74),"日期比上一行早，余额按行序滚，建议按日期录","OK")))))))))))))))</f>
        <v/>
      </c>
      <c r="O75" s="58" t="str">
        <f aca="false">IF($B75="","",TEXT($B75,"yyyy-mm"))</f>
        <v/>
      </c>
      <c r="P75" s="60" t="str">
        <f aca="false">IF($E75="","",ROUND(N($I75)+N($J75),2))</f>
        <v/>
      </c>
      <c r="Q75" s="58" t="str">
        <f aca="false">IF($D75="","",IFERROR(INDEX(资金账户!$F$6:$F$25,MATCH($D75,资金账户!$B$6:$B$25,0)),""))</f>
        <v/>
      </c>
      <c r="R75" s="58" t="str">
        <f aca="false">IF($E75="","",IFERROR(IF(INDEX(记账规则!$A$13:$H$32,MATCH($E75,记账规则!$A$13:$A$32,0),4)="借","收","支"),""))</f>
        <v/>
      </c>
      <c r="S75" s="57" t="str">
        <f aca="false">IF($D75="","",ROUND(SUMIFS(资金账户!$H$6:$H$25,资金账户!$B$6:$B$25,$D75)+SUMIFS($I$6:$I75,$D$6:$D75,$D75)-SUMIFS($J$6:$J75,$D$6:$D75,$D75),2))</f>
        <v/>
      </c>
      <c r="T75" s="61" t="str">
        <f aca="false">IF($B75="","",YEAR($B75))</f>
        <v/>
      </c>
    </row>
    <row r="76" customFormat="false" ht="15" hidden="false" customHeight="false" outlineLevel="0" collapsed="false">
      <c r="A76" s="53" t="str">
        <f aca="false">IF($B76="","",ROW()-5)</f>
        <v/>
      </c>
      <c r="B76" s="54"/>
      <c r="C76" s="33"/>
      <c r="D76" s="33"/>
      <c r="E76" s="33"/>
      <c r="F76" s="32"/>
      <c r="G76" s="41"/>
      <c r="H76" s="39"/>
      <c r="I76" s="43"/>
      <c r="J76" s="43"/>
      <c r="K76" s="41"/>
      <c r="L76" s="39"/>
      <c r="M76" s="41"/>
      <c r="N76" s="25" t="str">
        <f aca="false">IF(AND($B76="",$E76="",$I76="",$J76=""),"",IF(NOT(ISNUMBER($B76)),"日期无效",IF(ISNA(MATCH($C76,参数设置!$A$10:$A$12,0)),"公司无效",IF(ISNA(MATCH($D76,资金账户!$B$6:$B$25,0)),"账户未建档",IF(ISNA(MATCH($E76,记账规则!$A$13:$A$32,0)),"业务类型无效",IF(AND(N($I76)&lt;&gt;0,N($J76)&lt;&gt;0),"收入和支出只能填一列",IF($P76=0,"金额为 0",IF(AND($R76="收",N($I76)=0),"这类业务是收款，金额填到收入列",IF(AND($R76="支",N($J76)=0),"这类业务是付款，金额填到支出列",IF(AND(SUMPRODUCT(--(INDEX(记账规则!$A$13:$H$32,MATCH($E76,记账规则!$A$13:$A$32,0),0)="@对方"))&gt;0,$G76=""),"这个类型要填对方科目",IF(AND($G76&lt;&gt;"",ISNA(MATCH($G76,会计科目表!$B$6:$B$85,0))),"对方科目不存在",IF(AND($E76="缴纳税费",$H76=""),"缴税请在费用项目里选税种",IF(AND($F76&lt;&gt;"",ISNA(MATCH($F76,往来单位!$A$6:$A$85,0))),"往来单位未建档",IF(YEAR($B76)&lt;&gt;参数设置!$B$5,"不在本会计年度",IF(AND($B75&lt;&gt;"",ISNUMBER($B75),$B76&lt;$B75),"日期比上一行早，余额按行序滚，建议按日期录","OK")))))))))))))))</f>
        <v/>
      </c>
      <c r="O76" s="58" t="str">
        <f aca="false">IF($B76="","",TEXT($B76,"yyyy-mm"))</f>
        <v/>
      </c>
      <c r="P76" s="60" t="str">
        <f aca="false">IF($E76="","",ROUND(N($I76)+N($J76),2))</f>
        <v/>
      </c>
      <c r="Q76" s="58" t="str">
        <f aca="false">IF($D76="","",IFERROR(INDEX(资金账户!$F$6:$F$25,MATCH($D76,资金账户!$B$6:$B$25,0)),""))</f>
        <v/>
      </c>
      <c r="R76" s="58" t="str">
        <f aca="false">IF($E76="","",IFERROR(IF(INDEX(记账规则!$A$13:$H$32,MATCH($E76,记账规则!$A$13:$A$32,0),4)="借","收","支"),""))</f>
        <v/>
      </c>
      <c r="S76" s="57" t="str">
        <f aca="false">IF($D76="","",ROUND(SUMIFS(资金账户!$H$6:$H$25,资金账户!$B$6:$B$25,$D76)+SUMIFS($I$6:$I76,$D$6:$D76,$D76)-SUMIFS($J$6:$J76,$D$6:$D76,$D76),2))</f>
        <v/>
      </c>
      <c r="T76" s="61" t="str">
        <f aca="false">IF($B76="","",YEAR($B76))</f>
        <v/>
      </c>
    </row>
    <row r="77" customFormat="false" ht="15" hidden="false" customHeight="false" outlineLevel="0" collapsed="false">
      <c r="A77" s="53" t="str">
        <f aca="false">IF($B77="","",ROW()-5)</f>
        <v/>
      </c>
      <c r="B77" s="54"/>
      <c r="C77" s="33"/>
      <c r="D77" s="33"/>
      <c r="E77" s="33"/>
      <c r="F77" s="32"/>
      <c r="G77" s="41"/>
      <c r="H77" s="39"/>
      <c r="I77" s="43"/>
      <c r="J77" s="43"/>
      <c r="K77" s="41"/>
      <c r="L77" s="39"/>
      <c r="M77" s="41"/>
      <c r="N77" s="25" t="str">
        <f aca="false">IF(AND($B77="",$E77="",$I77="",$J77=""),"",IF(NOT(ISNUMBER($B77)),"日期无效",IF(ISNA(MATCH($C77,参数设置!$A$10:$A$12,0)),"公司无效",IF(ISNA(MATCH($D77,资金账户!$B$6:$B$25,0)),"账户未建档",IF(ISNA(MATCH($E77,记账规则!$A$13:$A$32,0)),"业务类型无效",IF(AND(N($I77)&lt;&gt;0,N($J77)&lt;&gt;0),"收入和支出只能填一列",IF($P77=0,"金额为 0",IF(AND($R77="收",N($I77)=0),"这类业务是收款，金额填到收入列",IF(AND($R77="支",N($J77)=0),"这类业务是付款，金额填到支出列",IF(AND(SUMPRODUCT(--(INDEX(记账规则!$A$13:$H$32,MATCH($E77,记账规则!$A$13:$A$32,0),0)="@对方"))&gt;0,$G77=""),"这个类型要填对方科目",IF(AND($G77&lt;&gt;"",ISNA(MATCH($G77,会计科目表!$B$6:$B$85,0))),"对方科目不存在",IF(AND($E77="缴纳税费",$H77=""),"缴税请在费用项目里选税种",IF(AND($F77&lt;&gt;"",ISNA(MATCH($F77,往来单位!$A$6:$A$85,0))),"往来单位未建档",IF(YEAR($B77)&lt;&gt;参数设置!$B$5,"不在本会计年度",IF(AND($B76&lt;&gt;"",ISNUMBER($B76),$B77&lt;$B76),"日期比上一行早，余额按行序滚，建议按日期录","OK")))))))))))))))</f>
        <v/>
      </c>
      <c r="O77" s="58" t="str">
        <f aca="false">IF($B77="","",TEXT($B77,"yyyy-mm"))</f>
        <v/>
      </c>
      <c r="P77" s="60" t="str">
        <f aca="false">IF($E77="","",ROUND(N($I77)+N($J77),2))</f>
        <v/>
      </c>
      <c r="Q77" s="58" t="str">
        <f aca="false">IF($D77="","",IFERROR(INDEX(资金账户!$F$6:$F$25,MATCH($D77,资金账户!$B$6:$B$25,0)),""))</f>
        <v/>
      </c>
      <c r="R77" s="58" t="str">
        <f aca="false">IF($E77="","",IFERROR(IF(INDEX(记账规则!$A$13:$H$32,MATCH($E77,记账规则!$A$13:$A$32,0),4)="借","收","支"),""))</f>
        <v/>
      </c>
      <c r="S77" s="57" t="str">
        <f aca="false">IF($D77="","",ROUND(SUMIFS(资金账户!$H$6:$H$25,资金账户!$B$6:$B$25,$D77)+SUMIFS($I$6:$I77,$D$6:$D77,$D77)-SUMIFS($J$6:$J77,$D$6:$D77,$D77),2))</f>
        <v/>
      </c>
      <c r="T77" s="61" t="str">
        <f aca="false">IF($B77="","",YEAR($B77))</f>
        <v/>
      </c>
    </row>
    <row r="78" customFormat="false" ht="15" hidden="false" customHeight="false" outlineLevel="0" collapsed="false">
      <c r="A78" s="53" t="str">
        <f aca="false">IF($B78="","",ROW()-5)</f>
        <v/>
      </c>
      <c r="B78" s="54"/>
      <c r="C78" s="33"/>
      <c r="D78" s="33"/>
      <c r="E78" s="33"/>
      <c r="F78" s="32"/>
      <c r="G78" s="41"/>
      <c r="H78" s="39"/>
      <c r="I78" s="43"/>
      <c r="J78" s="43"/>
      <c r="K78" s="41"/>
      <c r="L78" s="39"/>
      <c r="M78" s="41"/>
      <c r="N78" s="25" t="str">
        <f aca="false">IF(AND($B78="",$E78="",$I78="",$J78=""),"",IF(NOT(ISNUMBER($B78)),"日期无效",IF(ISNA(MATCH($C78,参数设置!$A$10:$A$12,0)),"公司无效",IF(ISNA(MATCH($D78,资金账户!$B$6:$B$25,0)),"账户未建档",IF(ISNA(MATCH($E78,记账规则!$A$13:$A$32,0)),"业务类型无效",IF(AND(N($I78)&lt;&gt;0,N($J78)&lt;&gt;0),"收入和支出只能填一列",IF($P78=0,"金额为 0",IF(AND($R78="收",N($I78)=0),"这类业务是收款，金额填到收入列",IF(AND($R78="支",N($J78)=0),"这类业务是付款，金额填到支出列",IF(AND(SUMPRODUCT(--(INDEX(记账规则!$A$13:$H$32,MATCH($E78,记账规则!$A$13:$A$32,0),0)="@对方"))&gt;0,$G78=""),"这个类型要填对方科目",IF(AND($G78&lt;&gt;"",ISNA(MATCH($G78,会计科目表!$B$6:$B$85,0))),"对方科目不存在",IF(AND($E78="缴纳税费",$H78=""),"缴税请在费用项目里选税种",IF(AND($F78&lt;&gt;"",ISNA(MATCH($F78,往来单位!$A$6:$A$85,0))),"往来单位未建档",IF(YEAR($B78)&lt;&gt;参数设置!$B$5,"不在本会计年度",IF(AND($B77&lt;&gt;"",ISNUMBER($B77),$B78&lt;$B77),"日期比上一行早，余额按行序滚，建议按日期录","OK")))))))))))))))</f>
        <v/>
      </c>
      <c r="O78" s="58" t="str">
        <f aca="false">IF($B78="","",TEXT($B78,"yyyy-mm"))</f>
        <v/>
      </c>
      <c r="P78" s="60" t="str">
        <f aca="false">IF($E78="","",ROUND(N($I78)+N($J78),2))</f>
        <v/>
      </c>
      <c r="Q78" s="58" t="str">
        <f aca="false">IF($D78="","",IFERROR(INDEX(资金账户!$F$6:$F$25,MATCH($D78,资金账户!$B$6:$B$25,0)),""))</f>
        <v/>
      </c>
      <c r="R78" s="58" t="str">
        <f aca="false">IF($E78="","",IFERROR(IF(INDEX(记账规则!$A$13:$H$32,MATCH($E78,记账规则!$A$13:$A$32,0),4)="借","收","支"),""))</f>
        <v/>
      </c>
      <c r="S78" s="57" t="str">
        <f aca="false">IF($D78="","",ROUND(SUMIFS(资金账户!$H$6:$H$25,资金账户!$B$6:$B$25,$D78)+SUMIFS($I$6:$I78,$D$6:$D78,$D78)-SUMIFS($J$6:$J78,$D$6:$D78,$D78),2))</f>
        <v/>
      </c>
      <c r="T78" s="61" t="str">
        <f aca="false">IF($B78="","",YEAR($B78))</f>
        <v/>
      </c>
    </row>
    <row r="79" customFormat="false" ht="15" hidden="false" customHeight="false" outlineLevel="0" collapsed="false">
      <c r="A79" s="53" t="str">
        <f aca="false">IF($B79="","",ROW()-5)</f>
        <v/>
      </c>
      <c r="B79" s="54"/>
      <c r="C79" s="33"/>
      <c r="D79" s="33"/>
      <c r="E79" s="33"/>
      <c r="F79" s="32"/>
      <c r="G79" s="41"/>
      <c r="H79" s="39"/>
      <c r="I79" s="43"/>
      <c r="J79" s="43"/>
      <c r="K79" s="41"/>
      <c r="L79" s="39"/>
      <c r="M79" s="41"/>
      <c r="N79" s="25" t="str">
        <f aca="false">IF(AND($B79="",$E79="",$I79="",$J79=""),"",IF(NOT(ISNUMBER($B79)),"日期无效",IF(ISNA(MATCH($C79,参数设置!$A$10:$A$12,0)),"公司无效",IF(ISNA(MATCH($D79,资金账户!$B$6:$B$25,0)),"账户未建档",IF(ISNA(MATCH($E79,记账规则!$A$13:$A$32,0)),"业务类型无效",IF(AND(N($I79)&lt;&gt;0,N($J79)&lt;&gt;0),"收入和支出只能填一列",IF($P79=0,"金额为 0",IF(AND($R79="收",N($I79)=0),"这类业务是收款，金额填到收入列",IF(AND($R79="支",N($J79)=0),"这类业务是付款，金额填到支出列",IF(AND(SUMPRODUCT(--(INDEX(记账规则!$A$13:$H$32,MATCH($E79,记账规则!$A$13:$A$32,0),0)="@对方"))&gt;0,$G79=""),"这个类型要填对方科目",IF(AND($G79&lt;&gt;"",ISNA(MATCH($G79,会计科目表!$B$6:$B$85,0))),"对方科目不存在",IF(AND($E79="缴纳税费",$H79=""),"缴税请在费用项目里选税种",IF(AND($F79&lt;&gt;"",ISNA(MATCH($F79,往来单位!$A$6:$A$85,0))),"往来单位未建档",IF(YEAR($B79)&lt;&gt;参数设置!$B$5,"不在本会计年度",IF(AND($B78&lt;&gt;"",ISNUMBER($B78),$B79&lt;$B78),"日期比上一行早，余额按行序滚，建议按日期录","OK")))))))))))))))</f>
        <v/>
      </c>
      <c r="O79" s="58" t="str">
        <f aca="false">IF($B79="","",TEXT($B79,"yyyy-mm"))</f>
        <v/>
      </c>
      <c r="P79" s="60" t="str">
        <f aca="false">IF($E79="","",ROUND(N($I79)+N($J79),2))</f>
        <v/>
      </c>
      <c r="Q79" s="58" t="str">
        <f aca="false">IF($D79="","",IFERROR(INDEX(资金账户!$F$6:$F$25,MATCH($D79,资金账户!$B$6:$B$25,0)),""))</f>
        <v/>
      </c>
      <c r="R79" s="58" t="str">
        <f aca="false">IF($E79="","",IFERROR(IF(INDEX(记账规则!$A$13:$H$32,MATCH($E79,记账规则!$A$13:$A$32,0),4)="借","收","支"),""))</f>
        <v/>
      </c>
      <c r="S79" s="57" t="str">
        <f aca="false">IF($D79="","",ROUND(SUMIFS(资金账户!$H$6:$H$25,资金账户!$B$6:$B$25,$D79)+SUMIFS($I$6:$I79,$D$6:$D79,$D79)-SUMIFS($J$6:$J79,$D$6:$D79,$D79),2))</f>
        <v/>
      </c>
      <c r="T79" s="61" t="str">
        <f aca="false">IF($B79="","",YEAR($B79))</f>
        <v/>
      </c>
    </row>
    <row r="80" customFormat="false" ht="15" hidden="false" customHeight="false" outlineLevel="0" collapsed="false">
      <c r="A80" s="53" t="str">
        <f aca="false">IF($B80="","",ROW()-5)</f>
        <v/>
      </c>
      <c r="B80" s="54"/>
      <c r="C80" s="33"/>
      <c r="D80" s="33"/>
      <c r="E80" s="33"/>
      <c r="F80" s="32"/>
      <c r="G80" s="41"/>
      <c r="H80" s="39"/>
      <c r="I80" s="43"/>
      <c r="J80" s="43"/>
      <c r="K80" s="41"/>
      <c r="L80" s="39"/>
      <c r="M80" s="41"/>
      <c r="N80" s="25" t="str">
        <f aca="false">IF(AND($B80="",$E80="",$I80="",$J80=""),"",IF(NOT(ISNUMBER($B80)),"日期无效",IF(ISNA(MATCH($C80,参数设置!$A$10:$A$12,0)),"公司无效",IF(ISNA(MATCH($D80,资金账户!$B$6:$B$25,0)),"账户未建档",IF(ISNA(MATCH($E80,记账规则!$A$13:$A$32,0)),"业务类型无效",IF(AND(N($I80)&lt;&gt;0,N($J80)&lt;&gt;0),"收入和支出只能填一列",IF($P80=0,"金额为 0",IF(AND($R80="收",N($I80)=0),"这类业务是收款，金额填到收入列",IF(AND($R80="支",N($J80)=0),"这类业务是付款，金额填到支出列",IF(AND(SUMPRODUCT(--(INDEX(记账规则!$A$13:$H$32,MATCH($E80,记账规则!$A$13:$A$32,0),0)="@对方"))&gt;0,$G80=""),"这个类型要填对方科目",IF(AND($G80&lt;&gt;"",ISNA(MATCH($G80,会计科目表!$B$6:$B$85,0))),"对方科目不存在",IF(AND($E80="缴纳税费",$H80=""),"缴税请在费用项目里选税种",IF(AND($F80&lt;&gt;"",ISNA(MATCH($F80,往来单位!$A$6:$A$85,0))),"往来单位未建档",IF(YEAR($B80)&lt;&gt;参数设置!$B$5,"不在本会计年度",IF(AND($B79&lt;&gt;"",ISNUMBER($B79),$B80&lt;$B79),"日期比上一行早，余额按行序滚，建议按日期录","OK")))))))))))))))</f>
        <v/>
      </c>
      <c r="O80" s="58" t="str">
        <f aca="false">IF($B80="","",TEXT($B80,"yyyy-mm"))</f>
        <v/>
      </c>
      <c r="P80" s="60" t="str">
        <f aca="false">IF($E80="","",ROUND(N($I80)+N($J80),2))</f>
        <v/>
      </c>
      <c r="Q80" s="58" t="str">
        <f aca="false">IF($D80="","",IFERROR(INDEX(资金账户!$F$6:$F$25,MATCH($D80,资金账户!$B$6:$B$25,0)),""))</f>
        <v/>
      </c>
      <c r="R80" s="58" t="str">
        <f aca="false">IF($E80="","",IFERROR(IF(INDEX(记账规则!$A$13:$H$32,MATCH($E80,记账规则!$A$13:$A$32,0),4)="借","收","支"),""))</f>
        <v/>
      </c>
      <c r="S80" s="57" t="str">
        <f aca="false">IF($D80="","",ROUND(SUMIFS(资金账户!$H$6:$H$25,资金账户!$B$6:$B$25,$D80)+SUMIFS($I$6:$I80,$D$6:$D80,$D80)-SUMIFS($J$6:$J80,$D$6:$D80,$D80),2))</f>
        <v/>
      </c>
      <c r="T80" s="61" t="str">
        <f aca="false">IF($B80="","",YEAR($B80))</f>
        <v/>
      </c>
    </row>
    <row r="81" customFormat="false" ht="15" hidden="false" customHeight="false" outlineLevel="0" collapsed="false">
      <c r="A81" s="53" t="str">
        <f aca="false">IF($B81="","",ROW()-5)</f>
        <v/>
      </c>
      <c r="B81" s="54"/>
      <c r="C81" s="33"/>
      <c r="D81" s="33"/>
      <c r="E81" s="33"/>
      <c r="F81" s="32"/>
      <c r="G81" s="41"/>
      <c r="H81" s="39"/>
      <c r="I81" s="43"/>
      <c r="J81" s="43"/>
      <c r="K81" s="41"/>
      <c r="L81" s="39"/>
      <c r="M81" s="41"/>
      <c r="N81" s="25" t="str">
        <f aca="false">IF(AND($B81="",$E81="",$I81="",$J81=""),"",IF(NOT(ISNUMBER($B81)),"日期无效",IF(ISNA(MATCH($C81,参数设置!$A$10:$A$12,0)),"公司无效",IF(ISNA(MATCH($D81,资金账户!$B$6:$B$25,0)),"账户未建档",IF(ISNA(MATCH($E81,记账规则!$A$13:$A$32,0)),"业务类型无效",IF(AND(N($I81)&lt;&gt;0,N($J81)&lt;&gt;0),"收入和支出只能填一列",IF($P81=0,"金额为 0",IF(AND($R81="收",N($I81)=0),"这类业务是收款，金额填到收入列",IF(AND($R81="支",N($J81)=0),"这类业务是付款，金额填到支出列",IF(AND(SUMPRODUCT(--(INDEX(记账规则!$A$13:$H$32,MATCH($E81,记账规则!$A$13:$A$32,0),0)="@对方"))&gt;0,$G81=""),"这个类型要填对方科目",IF(AND($G81&lt;&gt;"",ISNA(MATCH($G81,会计科目表!$B$6:$B$85,0))),"对方科目不存在",IF(AND($E81="缴纳税费",$H81=""),"缴税请在费用项目里选税种",IF(AND($F81&lt;&gt;"",ISNA(MATCH($F81,往来单位!$A$6:$A$85,0))),"往来单位未建档",IF(YEAR($B81)&lt;&gt;参数设置!$B$5,"不在本会计年度",IF(AND($B80&lt;&gt;"",ISNUMBER($B80),$B81&lt;$B80),"日期比上一行早，余额按行序滚，建议按日期录","OK")))))))))))))))</f>
        <v/>
      </c>
      <c r="O81" s="58" t="str">
        <f aca="false">IF($B81="","",TEXT($B81,"yyyy-mm"))</f>
        <v/>
      </c>
      <c r="P81" s="60" t="str">
        <f aca="false">IF($E81="","",ROUND(N($I81)+N($J81),2))</f>
        <v/>
      </c>
      <c r="Q81" s="58" t="str">
        <f aca="false">IF($D81="","",IFERROR(INDEX(资金账户!$F$6:$F$25,MATCH($D81,资金账户!$B$6:$B$25,0)),""))</f>
        <v/>
      </c>
      <c r="R81" s="58" t="str">
        <f aca="false">IF($E81="","",IFERROR(IF(INDEX(记账规则!$A$13:$H$32,MATCH($E81,记账规则!$A$13:$A$32,0),4)="借","收","支"),""))</f>
        <v/>
      </c>
      <c r="S81" s="57" t="str">
        <f aca="false">IF($D81="","",ROUND(SUMIFS(资金账户!$H$6:$H$25,资金账户!$B$6:$B$25,$D81)+SUMIFS($I$6:$I81,$D$6:$D81,$D81)-SUMIFS($J$6:$J81,$D$6:$D81,$D81),2))</f>
        <v/>
      </c>
      <c r="T81" s="61" t="str">
        <f aca="false">IF($B81="","",YEAR($B81))</f>
        <v/>
      </c>
    </row>
    <row r="82" customFormat="false" ht="15" hidden="false" customHeight="false" outlineLevel="0" collapsed="false">
      <c r="A82" s="53" t="str">
        <f aca="false">IF($B82="","",ROW()-5)</f>
        <v/>
      </c>
      <c r="B82" s="54"/>
      <c r="C82" s="33"/>
      <c r="D82" s="33"/>
      <c r="E82" s="33"/>
      <c r="F82" s="32"/>
      <c r="G82" s="41"/>
      <c r="H82" s="39"/>
      <c r="I82" s="43"/>
      <c r="J82" s="43"/>
      <c r="K82" s="41"/>
      <c r="L82" s="39"/>
      <c r="M82" s="41"/>
      <c r="N82" s="25" t="str">
        <f aca="false">IF(AND($B82="",$E82="",$I82="",$J82=""),"",IF(NOT(ISNUMBER($B82)),"日期无效",IF(ISNA(MATCH($C82,参数设置!$A$10:$A$12,0)),"公司无效",IF(ISNA(MATCH($D82,资金账户!$B$6:$B$25,0)),"账户未建档",IF(ISNA(MATCH($E82,记账规则!$A$13:$A$32,0)),"业务类型无效",IF(AND(N($I82)&lt;&gt;0,N($J82)&lt;&gt;0),"收入和支出只能填一列",IF($P82=0,"金额为 0",IF(AND($R82="收",N($I82)=0),"这类业务是收款，金额填到收入列",IF(AND($R82="支",N($J82)=0),"这类业务是付款，金额填到支出列",IF(AND(SUMPRODUCT(--(INDEX(记账规则!$A$13:$H$32,MATCH($E82,记账规则!$A$13:$A$32,0),0)="@对方"))&gt;0,$G82=""),"这个类型要填对方科目",IF(AND($G82&lt;&gt;"",ISNA(MATCH($G82,会计科目表!$B$6:$B$85,0))),"对方科目不存在",IF(AND($E82="缴纳税费",$H82=""),"缴税请在费用项目里选税种",IF(AND($F82&lt;&gt;"",ISNA(MATCH($F82,往来单位!$A$6:$A$85,0))),"往来单位未建档",IF(YEAR($B82)&lt;&gt;参数设置!$B$5,"不在本会计年度",IF(AND($B81&lt;&gt;"",ISNUMBER($B81),$B82&lt;$B81),"日期比上一行早，余额按行序滚，建议按日期录","OK")))))))))))))))</f>
        <v/>
      </c>
      <c r="O82" s="58" t="str">
        <f aca="false">IF($B82="","",TEXT($B82,"yyyy-mm"))</f>
        <v/>
      </c>
      <c r="P82" s="60" t="str">
        <f aca="false">IF($E82="","",ROUND(N($I82)+N($J82),2))</f>
        <v/>
      </c>
      <c r="Q82" s="58" t="str">
        <f aca="false">IF($D82="","",IFERROR(INDEX(资金账户!$F$6:$F$25,MATCH($D82,资金账户!$B$6:$B$25,0)),""))</f>
        <v/>
      </c>
      <c r="R82" s="58" t="str">
        <f aca="false">IF($E82="","",IFERROR(IF(INDEX(记账规则!$A$13:$H$32,MATCH($E82,记账规则!$A$13:$A$32,0),4)="借","收","支"),""))</f>
        <v/>
      </c>
      <c r="S82" s="57" t="str">
        <f aca="false">IF($D82="","",ROUND(SUMIFS(资金账户!$H$6:$H$25,资金账户!$B$6:$B$25,$D82)+SUMIFS($I$6:$I82,$D$6:$D82,$D82)-SUMIFS($J$6:$J82,$D$6:$D82,$D82),2))</f>
        <v/>
      </c>
      <c r="T82" s="61" t="str">
        <f aca="false">IF($B82="","",YEAR($B82))</f>
        <v/>
      </c>
    </row>
    <row r="83" customFormat="false" ht="15" hidden="false" customHeight="false" outlineLevel="0" collapsed="false">
      <c r="A83" s="53" t="str">
        <f aca="false">IF($B83="","",ROW()-5)</f>
        <v/>
      </c>
      <c r="B83" s="54"/>
      <c r="C83" s="33"/>
      <c r="D83" s="33"/>
      <c r="E83" s="33"/>
      <c r="F83" s="32"/>
      <c r="G83" s="41"/>
      <c r="H83" s="39"/>
      <c r="I83" s="43"/>
      <c r="J83" s="43"/>
      <c r="K83" s="41"/>
      <c r="L83" s="39"/>
      <c r="M83" s="41"/>
      <c r="N83" s="25" t="str">
        <f aca="false">IF(AND($B83="",$E83="",$I83="",$J83=""),"",IF(NOT(ISNUMBER($B83)),"日期无效",IF(ISNA(MATCH($C83,参数设置!$A$10:$A$12,0)),"公司无效",IF(ISNA(MATCH($D83,资金账户!$B$6:$B$25,0)),"账户未建档",IF(ISNA(MATCH($E83,记账规则!$A$13:$A$32,0)),"业务类型无效",IF(AND(N($I83)&lt;&gt;0,N($J83)&lt;&gt;0),"收入和支出只能填一列",IF($P83=0,"金额为 0",IF(AND($R83="收",N($I83)=0),"这类业务是收款，金额填到收入列",IF(AND($R83="支",N($J83)=0),"这类业务是付款，金额填到支出列",IF(AND(SUMPRODUCT(--(INDEX(记账规则!$A$13:$H$32,MATCH($E83,记账规则!$A$13:$A$32,0),0)="@对方"))&gt;0,$G83=""),"这个类型要填对方科目",IF(AND($G83&lt;&gt;"",ISNA(MATCH($G83,会计科目表!$B$6:$B$85,0))),"对方科目不存在",IF(AND($E83="缴纳税费",$H83=""),"缴税请在费用项目里选税种",IF(AND($F83&lt;&gt;"",ISNA(MATCH($F83,往来单位!$A$6:$A$85,0))),"往来单位未建档",IF(YEAR($B83)&lt;&gt;参数设置!$B$5,"不在本会计年度",IF(AND($B82&lt;&gt;"",ISNUMBER($B82),$B83&lt;$B82),"日期比上一行早，余额按行序滚，建议按日期录","OK")))))))))))))))</f>
        <v/>
      </c>
      <c r="O83" s="58" t="str">
        <f aca="false">IF($B83="","",TEXT($B83,"yyyy-mm"))</f>
        <v/>
      </c>
      <c r="P83" s="60" t="str">
        <f aca="false">IF($E83="","",ROUND(N($I83)+N($J83),2))</f>
        <v/>
      </c>
      <c r="Q83" s="58" t="str">
        <f aca="false">IF($D83="","",IFERROR(INDEX(资金账户!$F$6:$F$25,MATCH($D83,资金账户!$B$6:$B$25,0)),""))</f>
        <v/>
      </c>
      <c r="R83" s="58" t="str">
        <f aca="false">IF($E83="","",IFERROR(IF(INDEX(记账规则!$A$13:$H$32,MATCH($E83,记账规则!$A$13:$A$32,0),4)="借","收","支"),""))</f>
        <v/>
      </c>
      <c r="S83" s="57" t="str">
        <f aca="false">IF($D83="","",ROUND(SUMIFS(资金账户!$H$6:$H$25,资金账户!$B$6:$B$25,$D83)+SUMIFS($I$6:$I83,$D$6:$D83,$D83)-SUMIFS($J$6:$J83,$D$6:$D83,$D83),2))</f>
        <v/>
      </c>
      <c r="T83" s="61" t="str">
        <f aca="false">IF($B83="","",YEAR($B83))</f>
        <v/>
      </c>
    </row>
    <row r="84" customFormat="false" ht="15" hidden="false" customHeight="false" outlineLevel="0" collapsed="false">
      <c r="A84" s="53" t="str">
        <f aca="false">IF($B84="","",ROW()-5)</f>
        <v/>
      </c>
      <c r="B84" s="54"/>
      <c r="C84" s="33"/>
      <c r="D84" s="33"/>
      <c r="E84" s="33"/>
      <c r="F84" s="32"/>
      <c r="G84" s="41"/>
      <c r="H84" s="39"/>
      <c r="I84" s="43"/>
      <c r="J84" s="43"/>
      <c r="K84" s="41"/>
      <c r="L84" s="39"/>
      <c r="M84" s="41"/>
      <c r="N84" s="25" t="str">
        <f aca="false">IF(AND($B84="",$E84="",$I84="",$J84=""),"",IF(NOT(ISNUMBER($B84)),"日期无效",IF(ISNA(MATCH($C84,参数设置!$A$10:$A$12,0)),"公司无效",IF(ISNA(MATCH($D84,资金账户!$B$6:$B$25,0)),"账户未建档",IF(ISNA(MATCH($E84,记账规则!$A$13:$A$32,0)),"业务类型无效",IF(AND(N($I84)&lt;&gt;0,N($J84)&lt;&gt;0),"收入和支出只能填一列",IF($P84=0,"金额为 0",IF(AND($R84="收",N($I84)=0),"这类业务是收款，金额填到收入列",IF(AND($R84="支",N($J84)=0),"这类业务是付款，金额填到支出列",IF(AND(SUMPRODUCT(--(INDEX(记账规则!$A$13:$H$32,MATCH($E84,记账规则!$A$13:$A$32,0),0)="@对方"))&gt;0,$G84=""),"这个类型要填对方科目",IF(AND($G84&lt;&gt;"",ISNA(MATCH($G84,会计科目表!$B$6:$B$85,0))),"对方科目不存在",IF(AND($E84="缴纳税费",$H84=""),"缴税请在费用项目里选税种",IF(AND($F84&lt;&gt;"",ISNA(MATCH($F84,往来单位!$A$6:$A$85,0))),"往来单位未建档",IF(YEAR($B84)&lt;&gt;参数设置!$B$5,"不在本会计年度",IF(AND($B83&lt;&gt;"",ISNUMBER($B83),$B84&lt;$B83),"日期比上一行早，余额按行序滚，建议按日期录","OK")))))))))))))))</f>
        <v/>
      </c>
      <c r="O84" s="58" t="str">
        <f aca="false">IF($B84="","",TEXT($B84,"yyyy-mm"))</f>
        <v/>
      </c>
      <c r="P84" s="60" t="str">
        <f aca="false">IF($E84="","",ROUND(N($I84)+N($J84),2))</f>
        <v/>
      </c>
      <c r="Q84" s="58" t="str">
        <f aca="false">IF($D84="","",IFERROR(INDEX(资金账户!$F$6:$F$25,MATCH($D84,资金账户!$B$6:$B$25,0)),""))</f>
        <v/>
      </c>
      <c r="R84" s="58" t="str">
        <f aca="false">IF($E84="","",IFERROR(IF(INDEX(记账规则!$A$13:$H$32,MATCH($E84,记账规则!$A$13:$A$32,0),4)="借","收","支"),""))</f>
        <v/>
      </c>
      <c r="S84" s="57" t="str">
        <f aca="false">IF($D84="","",ROUND(SUMIFS(资金账户!$H$6:$H$25,资金账户!$B$6:$B$25,$D84)+SUMIFS($I$6:$I84,$D$6:$D84,$D84)-SUMIFS($J$6:$J84,$D$6:$D84,$D84),2))</f>
        <v/>
      </c>
      <c r="T84" s="61" t="str">
        <f aca="false">IF($B84="","",YEAR($B84))</f>
        <v/>
      </c>
    </row>
    <row r="85" customFormat="false" ht="15" hidden="false" customHeight="false" outlineLevel="0" collapsed="false">
      <c r="A85" s="53" t="str">
        <f aca="false">IF($B85="","",ROW()-5)</f>
        <v/>
      </c>
      <c r="B85" s="54"/>
      <c r="C85" s="33"/>
      <c r="D85" s="33"/>
      <c r="E85" s="33"/>
      <c r="F85" s="32"/>
      <c r="G85" s="41"/>
      <c r="H85" s="39"/>
      <c r="I85" s="43"/>
      <c r="J85" s="43"/>
      <c r="K85" s="41"/>
      <c r="L85" s="39"/>
      <c r="M85" s="41"/>
      <c r="N85" s="25" t="str">
        <f aca="false">IF(AND($B85="",$E85="",$I85="",$J85=""),"",IF(NOT(ISNUMBER($B85)),"日期无效",IF(ISNA(MATCH($C85,参数设置!$A$10:$A$12,0)),"公司无效",IF(ISNA(MATCH($D85,资金账户!$B$6:$B$25,0)),"账户未建档",IF(ISNA(MATCH($E85,记账规则!$A$13:$A$32,0)),"业务类型无效",IF(AND(N($I85)&lt;&gt;0,N($J85)&lt;&gt;0),"收入和支出只能填一列",IF($P85=0,"金额为 0",IF(AND($R85="收",N($I85)=0),"这类业务是收款，金额填到收入列",IF(AND($R85="支",N($J85)=0),"这类业务是付款，金额填到支出列",IF(AND(SUMPRODUCT(--(INDEX(记账规则!$A$13:$H$32,MATCH($E85,记账规则!$A$13:$A$32,0),0)="@对方"))&gt;0,$G85=""),"这个类型要填对方科目",IF(AND($G85&lt;&gt;"",ISNA(MATCH($G85,会计科目表!$B$6:$B$85,0))),"对方科目不存在",IF(AND($E85="缴纳税费",$H85=""),"缴税请在费用项目里选税种",IF(AND($F85&lt;&gt;"",ISNA(MATCH($F85,往来单位!$A$6:$A$85,0))),"往来单位未建档",IF(YEAR($B85)&lt;&gt;参数设置!$B$5,"不在本会计年度",IF(AND($B84&lt;&gt;"",ISNUMBER($B84),$B85&lt;$B84),"日期比上一行早，余额按行序滚，建议按日期录","OK")))))))))))))))</f>
        <v/>
      </c>
      <c r="O85" s="58" t="str">
        <f aca="false">IF($B85="","",TEXT($B85,"yyyy-mm"))</f>
        <v/>
      </c>
      <c r="P85" s="60" t="str">
        <f aca="false">IF($E85="","",ROUND(N($I85)+N($J85),2))</f>
        <v/>
      </c>
      <c r="Q85" s="58" t="str">
        <f aca="false">IF($D85="","",IFERROR(INDEX(资金账户!$F$6:$F$25,MATCH($D85,资金账户!$B$6:$B$25,0)),""))</f>
        <v/>
      </c>
      <c r="R85" s="58" t="str">
        <f aca="false">IF($E85="","",IFERROR(IF(INDEX(记账规则!$A$13:$H$32,MATCH($E85,记账规则!$A$13:$A$32,0),4)="借","收","支"),""))</f>
        <v/>
      </c>
      <c r="S85" s="57" t="str">
        <f aca="false">IF($D85="","",ROUND(SUMIFS(资金账户!$H$6:$H$25,资金账户!$B$6:$B$25,$D85)+SUMIFS($I$6:$I85,$D$6:$D85,$D85)-SUMIFS($J$6:$J85,$D$6:$D85,$D85),2))</f>
        <v/>
      </c>
      <c r="T85" s="61" t="str">
        <f aca="false">IF($B85="","",YEAR($B85))</f>
        <v/>
      </c>
    </row>
    <row r="86" customFormat="false" ht="15" hidden="false" customHeight="false" outlineLevel="0" collapsed="false">
      <c r="A86" s="53" t="str">
        <f aca="false">IF($B86="","",ROW()-5)</f>
        <v/>
      </c>
      <c r="B86" s="54"/>
      <c r="C86" s="33"/>
      <c r="D86" s="33"/>
      <c r="E86" s="33"/>
      <c r="F86" s="32"/>
      <c r="G86" s="41"/>
      <c r="H86" s="39"/>
      <c r="I86" s="43"/>
      <c r="J86" s="43"/>
      <c r="K86" s="41"/>
      <c r="L86" s="39"/>
      <c r="M86" s="41"/>
      <c r="N86" s="25" t="str">
        <f aca="false">IF(AND($B86="",$E86="",$I86="",$J86=""),"",IF(NOT(ISNUMBER($B86)),"日期无效",IF(ISNA(MATCH($C86,参数设置!$A$10:$A$12,0)),"公司无效",IF(ISNA(MATCH($D86,资金账户!$B$6:$B$25,0)),"账户未建档",IF(ISNA(MATCH($E86,记账规则!$A$13:$A$32,0)),"业务类型无效",IF(AND(N($I86)&lt;&gt;0,N($J86)&lt;&gt;0),"收入和支出只能填一列",IF($P86=0,"金额为 0",IF(AND($R86="收",N($I86)=0),"这类业务是收款，金额填到收入列",IF(AND($R86="支",N($J86)=0),"这类业务是付款，金额填到支出列",IF(AND(SUMPRODUCT(--(INDEX(记账规则!$A$13:$H$32,MATCH($E86,记账规则!$A$13:$A$32,0),0)="@对方"))&gt;0,$G86=""),"这个类型要填对方科目",IF(AND($G86&lt;&gt;"",ISNA(MATCH($G86,会计科目表!$B$6:$B$85,0))),"对方科目不存在",IF(AND($E86="缴纳税费",$H86=""),"缴税请在费用项目里选税种",IF(AND($F86&lt;&gt;"",ISNA(MATCH($F86,往来单位!$A$6:$A$85,0))),"往来单位未建档",IF(YEAR($B86)&lt;&gt;参数设置!$B$5,"不在本会计年度",IF(AND($B85&lt;&gt;"",ISNUMBER($B85),$B86&lt;$B85),"日期比上一行早，余额按行序滚，建议按日期录","OK")))))))))))))))</f>
        <v/>
      </c>
      <c r="O86" s="58" t="str">
        <f aca="false">IF($B86="","",TEXT($B86,"yyyy-mm"))</f>
        <v/>
      </c>
      <c r="P86" s="60" t="str">
        <f aca="false">IF($E86="","",ROUND(N($I86)+N($J86),2))</f>
        <v/>
      </c>
      <c r="Q86" s="58" t="str">
        <f aca="false">IF($D86="","",IFERROR(INDEX(资金账户!$F$6:$F$25,MATCH($D86,资金账户!$B$6:$B$25,0)),""))</f>
        <v/>
      </c>
      <c r="R86" s="58" t="str">
        <f aca="false">IF($E86="","",IFERROR(IF(INDEX(记账规则!$A$13:$H$32,MATCH($E86,记账规则!$A$13:$A$32,0),4)="借","收","支"),""))</f>
        <v/>
      </c>
      <c r="S86" s="57" t="str">
        <f aca="false">IF($D86="","",ROUND(SUMIFS(资金账户!$H$6:$H$25,资金账户!$B$6:$B$25,$D86)+SUMIFS($I$6:$I86,$D$6:$D86,$D86)-SUMIFS($J$6:$J86,$D$6:$D86,$D86),2))</f>
        <v/>
      </c>
      <c r="T86" s="61" t="str">
        <f aca="false">IF($B86="","",YEAR($B86))</f>
        <v/>
      </c>
    </row>
    <row r="87" customFormat="false" ht="15" hidden="false" customHeight="false" outlineLevel="0" collapsed="false">
      <c r="A87" s="53" t="str">
        <f aca="false">IF($B87="","",ROW()-5)</f>
        <v/>
      </c>
      <c r="B87" s="54"/>
      <c r="C87" s="33"/>
      <c r="D87" s="33"/>
      <c r="E87" s="33"/>
      <c r="F87" s="32"/>
      <c r="G87" s="41"/>
      <c r="H87" s="39"/>
      <c r="I87" s="43"/>
      <c r="J87" s="43"/>
      <c r="K87" s="41"/>
      <c r="L87" s="39"/>
      <c r="M87" s="41"/>
      <c r="N87" s="25" t="str">
        <f aca="false">IF(AND($B87="",$E87="",$I87="",$J87=""),"",IF(NOT(ISNUMBER($B87)),"日期无效",IF(ISNA(MATCH($C87,参数设置!$A$10:$A$12,0)),"公司无效",IF(ISNA(MATCH($D87,资金账户!$B$6:$B$25,0)),"账户未建档",IF(ISNA(MATCH($E87,记账规则!$A$13:$A$32,0)),"业务类型无效",IF(AND(N($I87)&lt;&gt;0,N($J87)&lt;&gt;0),"收入和支出只能填一列",IF($P87=0,"金额为 0",IF(AND($R87="收",N($I87)=0),"这类业务是收款，金额填到收入列",IF(AND($R87="支",N($J87)=0),"这类业务是付款，金额填到支出列",IF(AND(SUMPRODUCT(--(INDEX(记账规则!$A$13:$H$32,MATCH($E87,记账规则!$A$13:$A$32,0),0)="@对方"))&gt;0,$G87=""),"这个类型要填对方科目",IF(AND($G87&lt;&gt;"",ISNA(MATCH($G87,会计科目表!$B$6:$B$85,0))),"对方科目不存在",IF(AND($E87="缴纳税费",$H87=""),"缴税请在费用项目里选税种",IF(AND($F87&lt;&gt;"",ISNA(MATCH($F87,往来单位!$A$6:$A$85,0))),"往来单位未建档",IF(YEAR($B87)&lt;&gt;参数设置!$B$5,"不在本会计年度",IF(AND($B86&lt;&gt;"",ISNUMBER($B86),$B87&lt;$B86),"日期比上一行早，余额按行序滚，建议按日期录","OK")))))))))))))))</f>
        <v/>
      </c>
      <c r="O87" s="58" t="str">
        <f aca="false">IF($B87="","",TEXT($B87,"yyyy-mm"))</f>
        <v/>
      </c>
      <c r="P87" s="60" t="str">
        <f aca="false">IF($E87="","",ROUND(N($I87)+N($J87),2))</f>
        <v/>
      </c>
      <c r="Q87" s="58" t="str">
        <f aca="false">IF($D87="","",IFERROR(INDEX(资金账户!$F$6:$F$25,MATCH($D87,资金账户!$B$6:$B$25,0)),""))</f>
        <v/>
      </c>
      <c r="R87" s="58" t="str">
        <f aca="false">IF($E87="","",IFERROR(IF(INDEX(记账规则!$A$13:$H$32,MATCH($E87,记账规则!$A$13:$A$32,0),4)="借","收","支"),""))</f>
        <v/>
      </c>
      <c r="S87" s="57" t="str">
        <f aca="false">IF($D87="","",ROUND(SUMIFS(资金账户!$H$6:$H$25,资金账户!$B$6:$B$25,$D87)+SUMIFS($I$6:$I87,$D$6:$D87,$D87)-SUMIFS($J$6:$J87,$D$6:$D87,$D87),2))</f>
        <v/>
      </c>
      <c r="T87" s="61" t="str">
        <f aca="false">IF($B87="","",YEAR($B87))</f>
        <v/>
      </c>
    </row>
    <row r="88" customFormat="false" ht="15" hidden="false" customHeight="false" outlineLevel="0" collapsed="false">
      <c r="A88" s="53" t="str">
        <f aca="false">IF($B88="","",ROW()-5)</f>
        <v/>
      </c>
      <c r="B88" s="54"/>
      <c r="C88" s="33"/>
      <c r="D88" s="33"/>
      <c r="E88" s="33"/>
      <c r="F88" s="32"/>
      <c r="G88" s="41"/>
      <c r="H88" s="39"/>
      <c r="I88" s="43"/>
      <c r="J88" s="43"/>
      <c r="K88" s="41"/>
      <c r="L88" s="39"/>
      <c r="M88" s="41"/>
      <c r="N88" s="25" t="str">
        <f aca="false">IF(AND($B88="",$E88="",$I88="",$J88=""),"",IF(NOT(ISNUMBER($B88)),"日期无效",IF(ISNA(MATCH($C88,参数设置!$A$10:$A$12,0)),"公司无效",IF(ISNA(MATCH($D88,资金账户!$B$6:$B$25,0)),"账户未建档",IF(ISNA(MATCH($E88,记账规则!$A$13:$A$32,0)),"业务类型无效",IF(AND(N($I88)&lt;&gt;0,N($J88)&lt;&gt;0),"收入和支出只能填一列",IF($P88=0,"金额为 0",IF(AND($R88="收",N($I88)=0),"这类业务是收款，金额填到收入列",IF(AND($R88="支",N($J88)=0),"这类业务是付款，金额填到支出列",IF(AND(SUMPRODUCT(--(INDEX(记账规则!$A$13:$H$32,MATCH($E88,记账规则!$A$13:$A$32,0),0)="@对方"))&gt;0,$G88=""),"这个类型要填对方科目",IF(AND($G88&lt;&gt;"",ISNA(MATCH($G88,会计科目表!$B$6:$B$85,0))),"对方科目不存在",IF(AND($E88="缴纳税费",$H88=""),"缴税请在费用项目里选税种",IF(AND($F88&lt;&gt;"",ISNA(MATCH($F88,往来单位!$A$6:$A$85,0))),"往来单位未建档",IF(YEAR($B88)&lt;&gt;参数设置!$B$5,"不在本会计年度",IF(AND($B87&lt;&gt;"",ISNUMBER($B87),$B88&lt;$B87),"日期比上一行早，余额按行序滚，建议按日期录","OK")))))))))))))))</f>
        <v/>
      </c>
      <c r="O88" s="58" t="str">
        <f aca="false">IF($B88="","",TEXT($B88,"yyyy-mm"))</f>
        <v/>
      </c>
      <c r="P88" s="60" t="str">
        <f aca="false">IF($E88="","",ROUND(N($I88)+N($J88),2))</f>
        <v/>
      </c>
      <c r="Q88" s="58" t="str">
        <f aca="false">IF($D88="","",IFERROR(INDEX(资金账户!$F$6:$F$25,MATCH($D88,资金账户!$B$6:$B$25,0)),""))</f>
        <v/>
      </c>
      <c r="R88" s="58" t="str">
        <f aca="false">IF($E88="","",IFERROR(IF(INDEX(记账规则!$A$13:$H$32,MATCH($E88,记账规则!$A$13:$A$32,0),4)="借","收","支"),""))</f>
        <v/>
      </c>
      <c r="S88" s="57" t="str">
        <f aca="false">IF($D88="","",ROUND(SUMIFS(资金账户!$H$6:$H$25,资金账户!$B$6:$B$25,$D88)+SUMIFS($I$6:$I88,$D$6:$D88,$D88)-SUMIFS($J$6:$J88,$D$6:$D88,$D88),2))</f>
        <v/>
      </c>
      <c r="T88" s="61" t="str">
        <f aca="false">IF($B88="","",YEAR($B88))</f>
        <v/>
      </c>
    </row>
    <row r="89" customFormat="false" ht="15" hidden="false" customHeight="false" outlineLevel="0" collapsed="false">
      <c r="A89" s="53" t="str">
        <f aca="false">IF($B89="","",ROW()-5)</f>
        <v/>
      </c>
      <c r="B89" s="54"/>
      <c r="C89" s="33"/>
      <c r="D89" s="33"/>
      <c r="E89" s="33"/>
      <c r="F89" s="32"/>
      <c r="G89" s="41"/>
      <c r="H89" s="39"/>
      <c r="I89" s="43"/>
      <c r="J89" s="43"/>
      <c r="K89" s="41"/>
      <c r="L89" s="39"/>
      <c r="M89" s="41"/>
      <c r="N89" s="25" t="str">
        <f aca="false">IF(AND($B89="",$E89="",$I89="",$J89=""),"",IF(NOT(ISNUMBER($B89)),"日期无效",IF(ISNA(MATCH($C89,参数设置!$A$10:$A$12,0)),"公司无效",IF(ISNA(MATCH($D89,资金账户!$B$6:$B$25,0)),"账户未建档",IF(ISNA(MATCH($E89,记账规则!$A$13:$A$32,0)),"业务类型无效",IF(AND(N($I89)&lt;&gt;0,N($J89)&lt;&gt;0),"收入和支出只能填一列",IF($P89=0,"金额为 0",IF(AND($R89="收",N($I89)=0),"这类业务是收款，金额填到收入列",IF(AND($R89="支",N($J89)=0),"这类业务是付款，金额填到支出列",IF(AND(SUMPRODUCT(--(INDEX(记账规则!$A$13:$H$32,MATCH($E89,记账规则!$A$13:$A$32,0),0)="@对方"))&gt;0,$G89=""),"这个类型要填对方科目",IF(AND($G89&lt;&gt;"",ISNA(MATCH($G89,会计科目表!$B$6:$B$85,0))),"对方科目不存在",IF(AND($E89="缴纳税费",$H89=""),"缴税请在费用项目里选税种",IF(AND($F89&lt;&gt;"",ISNA(MATCH($F89,往来单位!$A$6:$A$85,0))),"往来单位未建档",IF(YEAR($B89)&lt;&gt;参数设置!$B$5,"不在本会计年度",IF(AND($B88&lt;&gt;"",ISNUMBER($B88),$B89&lt;$B88),"日期比上一行早，余额按行序滚，建议按日期录","OK")))))))))))))))</f>
        <v/>
      </c>
      <c r="O89" s="58" t="str">
        <f aca="false">IF($B89="","",TEXT($B89,"yyyy-mm"))</f>
        <v/>
      </c>
      <c r="P89" s="60" t="str">
        <f aca="false">IF($E89="","",ROUND(N($I89)+N($J89),2))</f>
        <v/>
      </c>
      <c r="Q89" s="58" t="str">
        <f aca="false">IF($D89="","",IFERROR(INDEX(资金账户!$F$6:$F$25,MATCH($D89,资金账户!$B$6:$B$25,0)),""))</f>
        <v/>
      </c>
      <c r="R89" s="58" t="str">
        <f aca="false">IF($E89="","",IFERROR(IF(INDEX(记账规则!$A$13:$H$32,MATCH($E89,记账规则!$A$13:$A$32,0),4)="借","收","支"),""))</f>
        <v/>
      </c>
      <c r="S89" s="57" t="str">
        <f aca="false">IF($D89="","",ROUND(SUMIFS(资金账户!$H$6:$H$25,资金账户!$B$6:$B$25,$D89)+SUMIFS($I$6:$I89,$D$6:$D89,$D89)-SUMIFS($J$6:$J89,$D$6:$D89,$D89),2))</f>
        <v/>
      </c>
      <c r="T89" s="61" t="str">
        <f aca="false">IF($B89="","",YEAR($B89))</f>
        <v/>
      </c>
    </row>
    <row r="90" customFormat="false" ht="15" hidden="false" customHeight="false" outlineLevel="0" collapsed="false">
      <c r="A90" s="53" t="str">
        <f aca="false">IF($B90="","",ROW()-5)</f>
        <v/>
      </c>
      <c r="B90" s="54"/>
      <c r="C90" s="33"/>
      <c r="D90" s="33"/>
      <c r="E90" s="33"/>
      <c r="F90" s="32"/>
      <c r="G90" s="41"/>
      <c r="H90" s="39"/>
      <c r="I90" s="43"/>
      <c r="J90" s="43"/>
      <c r="K90" s="41"/>
      <c r="L90" s="39"/>
      <c r="M90" s="41"/>
      <c r="N90" s="25" t="str">
        <f aca="false">IF(AND($B90="",$E90="",$I90="",$J90=""),"",IF(NOT(ISNUMBER($B90)),"日期无效",IF(ISNA(MATCH($C90,参数设置!$A$10:$A$12,0)),"公司无效",IF(ISNA(MATCH($D90,资金账户!$B$6:$B$25,0)),"账户未建档",IF(ISNA(MATCH($E90,记账规则!$A$13:$A$32,0)),"业务类型无效",IF(AND(N($I90)&lt;&gt;0,N($J90)&lt;&gt;0),"收入和支出只能填一列",IF($P90=0,"金额为 0",IF(AND($R90="收",N($I90)=0),"这类业务是收款，金额填到收入列",IF(AND($R90="支",N($J90)=0),"这类业务是付款，金额填到支出列",IF(AND(SUMPRODUCT(--(INDEX(记账规则!$A$13:$H$32,MATCH($E90,记账规则!$A$13:$A$32,0),0)="@对方"))&gt;0,$G90=""),"这个类型要填对方科目",IF(AND($G90&lt;&gt;"",ISNA(MATCH($G90,会计科目表!$B$6:$B$85,0))),"对方科目不存在",IF(AND($E90="缴纳税费",$H90=""),"缴税请在费用项目里选税种",IF(AND($F90&lt;&gt;"",ISNA(MATCH($F90,往来单位!$A$6:$A$85,0))),"往来单位未建档",IF(YEAR($B90)&lt;&gt;参数设置!$B$5,"不在本会计年度",IF(AND($B89&lt;&gt;"",ISNUMBER($B89),$B90&lt;$B89),"日期比上一行早，余额按行序滚，建议按日期录","OK")))))))))))))))</f>
        <v/>
      </c>
      <c r="O90" s="58" t="str">
        <f aca="false">IF($B90="","",TEXT($B90,"yyyy-mm"))</f>
        <v/>
      </c>
      <c r="P90" s="60" t="str">
        <f aca="false">IF($E90="","",ROUND(N($I90)+N($J90),2))</f>
        <v/>
      </c>
      <c r="Q90" s="58" t="str">
        <f aca="false">IF($D90="","",IFERROR(INDEX(资金账户!$F$6:$F$25,MATCH($D90,资金账户!$B$6:$B$25,0)),""))</f>
        <v/>
      </c>
      <c r="R90" s="58" t="str">
        <f aca="false">IF($E90="","",IFERROR(IF(INDEX(记账规则!$A$13:$H$32,MATCH($E90,记账规则!$A$13:$A$32,0),4)="借","收","支"),""))</f>
        <v/>
      </c>
      <c r="S90" s="57" t="str">
        <f aca="false">IF($D90="","",ROUND(SUMIFS(资金账户!$H$6:$H$25,资金账户!$B$6:$B$25,$D90)+SUMIFS($I$6:$I90,$D$6:$D90,$D90)-SUMIFS($J$6:$J90,$D$6:$D90,$D90),2))</f>
        <v/>
      </c>
      <c r="T90" s="61" t="str">
        <f aca="false">IF($B90="","",YEAR($B90))</f>
        <v/>
      </c>
    </row>
    <row r="91" customFormat="false" ht="15" hidden="false" customHeight="false" outlineLevel="0" collapsed="false">
      <c r="A91" s="53" t="str">
        <f aca="false">IF($B91="","",ROW()-5)</f>
        <v/>
      </c>
      <c r="B91" s="54"/>
      <c r="C91" s="33"/>
      <c r="D91" s="33"/>
      <c r="E91" s="33"/>
      <c r="F91" s="32"/>
      <c r="G91" s="41"/>
      <c r="H91" s="39"/>
      <c r="I91" s="43"/>
      <c r="J91" s="43"/>
      <c r="K91" s="41"/>
      <c r="L91" s="39"/>
      <c r="M91" s="41"/>
      <c r="N91" s="25" t="str">
        <f aca="false">IF(AND($B91="",$E91="",$I91="",$J91=""),"",IF(NOT(ISNUMBER($B91)),"日期无效",IF(ISNA(MATCH($C91,参数设置!$A$10:$A$12,0)),"公司无效",IF(ISNA(MATCH($D91,资金账户!$B$6:$B$25,0)),"账户未建档",IF(ISNA(MATCH($E91,记账规则!$A$13:$A$32,0)),"业务类型无效",IF(AND(N($I91)&lt;&gt;0,N($J91)&lt;&gt;0),"收入和支出只能填一列",IF($P91=0,"金额为 0",IF(AND($R91="收",N($I91)=0),"这类业务是收款，金额填到收入列",IF(AND($R91="支",N($J91)=0),"这类业务是付款，金额填到支出列",IF(AND(SUMPRODUCT(--(INDEX(记账规则!$A$13:$H$32,MATCH($E91,记账规则!$A$13:$A$32,0),0)="@对方"))&gt;0,$G91=""),"这个类型要填对方科目",IF(AND($G91&lt;&gt;"",ISNA(MATCH($G91,会计科目表!$B$6:$B$85,0))),"对方科目不存在",IF(AND($E91="缴纳税费",$H91=""),"缴税请在费用项目里选税种",IF(AND($F91&lt;&gt;"",ISNA(MATCH($F91,往来单位!$A$6:$A$85,0))),"往来单位未建档",IF(YEAR($B91)&lt;&gt;参数设置!$B$5,"不在本会计年度",IF(AND($B90&lt;&gt;"",ISNUMBER($B90),$B91&lt;$B90),"日期比上一行早，余额按行序滚，建议按日期录","OK")))))))))))))))</f>
        <v/>
      </c>
      <c r="O91" s="58" t="str">
        <f aca="false">IF($B91="","",TEXT($B91,"yyyy-mm"))</f>
        <v/>
      </c>
      <c r="P91" s="60" t="str">
        <f aca="false">IF($E91="","",ROUND(N($I91)+N($J91),2))</f>
        <v/>
      </c>
      <c r="Q91" s="58" t="str">
        <f aca="false">IF($D91="","",IFERROR(INDEX(资金账户!$F$6:$F$25,MATCH($D91,资金账户!$B$6:$B$25,0)),""))</f>
        <v/>
      </c>
      <c r="R91" s="58" t="str">
        <f aca="false">IF($E91="","",IFERROR(IF(INDEX(记账规则!$A$13:$H$32,MATCH($E91,记账规则!$A$13:$A$32,0),4)="借","收","支"),""))</f>
        <v/>
      </c>
      <c r="S91" s="57" t="str">
        <f aca="false">IF($D91="","",ROUND(SUMIFS(资金账户!$H$6:$H$25,资金账户!$B$6:$B$25,$D91)+SUMIFS($I$6:$I91,$D$6:$D91,$D91)-SUMIFS($J$6:$J91,$D$6:$D91,$D91),2))</f>
        <v/>
      </c>
      <c r="T91" s="61" t="str">
        <f aca="false">IF($B91="","",YEAR($B91))</f>
        <v/>
      </c>
    </row>
    <row r="92" customFormat="false" ht="15" hidden="false" customHeight="false" outlineLevel="0" collapsed="false">
      <c r="A92" s="53" t="str">
        <f aca="false">IF($B92="","",ROW()-5)</f>
        <v/>
      </c>
      <c r="B92" s="54"/>
      <c r="C92" s="33"/>
      <c r="D92" s="33"/>
      <c r="E92" s="33"/>
      <c r="F92" s="32"/>
      <c r="G92" s="41"/>
      <c r="H92" s="39"/>
      <c r="I92" s="43"/>
      <c r="J92" s="43"/>
      <c r="K92" s="41"/>
      <c r="L92" s="39"/>
      <c r="M92" s="41"/>
      <c r="N92" s="25" t="str">
        <f aca="false">IF(AND($B92="",$E92="",$I92="",$J92=""),"",IF(NOT(ISNUMBER($B92)),"日期无效",IF(ISNA(MATCH($C92,参数设置!$A$10:$A$12,0)),"公司无效",IF(ISNA(MATCH($D92,资金账户!$B$6:$B$25,0)),"账户未建档",IF(ISNA(MATCH($E92,记账规则!$A$13:$A$32,0)),"业务类型无效",IF(AND(N($I92)&lt;&gt;0,N($J92)&lt;&gt;0),"收入和支出只能填一列",IF($P92=0,"金额为 0",IF(AND($R92="收",N($I92)=0),"这类业务是收款，金额填到收入列",IF(AND($R92="支",N($J92)=0),"这类业务是付款，金额填到支出列",IF(AND(SUMPRODUCT(--(INDEX(记账规则!$A$13:$H$32,MATCH($E92,记账规则!$A$13:$A$32,0),0)="@对方"))&gt;0,$G92=""),"这个类型要填对方科目",IF(AND($G92&lt;&gt;"",ISNA(MATCH($G92,会计科目表!$B$6:$B$85,0))),"对方科目不存在",IF(AND($E92="缴纳税费",$H92=""),"缴税请在费用项目里选税种",IF(AND($F92&lt;&gt;"",ISNA(MATCH($F92,往来单位!$A$6:$A$85,0))),"往来单位未建档",IF(YEAR($B92)&lt;&gt;参数设置!$B$5,"不在本会计年度",IF(AND($B91&lt;&gt;"",ISNUMBER($B91),$B92&lt;$B91),"日期比上一行早，余额按行序滚，建议按日期录","OK")))))))))))))))</f>
        <v/>
      </c>
      <c r="O92" s="58" t="str">
        <f aca="false">IF($B92="","",TEXT($B92,"yyyy-mm"))</f>
        <v/>
      </c>
      <c r="P92" s="60" t="str">
        <f aca="false">IF($E92="","",ROUND(N($I92)+N($J92),2))</f>
        <v/>
      </c>
      <c r="Q92" s="58" t="str">
        <f aca="false">IF($D92="","",IFERROR(INDEX(资金账户!$F$6:$F$25,MATCH($D92,资金账户!$B$6:$B$25,0)),""))</f>
        <v/>
      </c>
      <c r="R92" s="58" t="str">
        <f aca="false">IF($E92="","",IFERROR(IF(INDEX(记账规则!$A$13:$H$32,MATCH($E92,记账规则!$A$13:$A$32,0),4)="借","收","支"),""))</f>
        <v/>
      </c>
      <c r="S92" s="57" t="str">
        <f aca="false">IF($D92="","",ROUND(SUMIFS(资金账户!$H$6:$H$25,资金账户!$B$6:$B$25,$D92)+SUMIFS($I$6:$I92,$D$6:$D92,$D92)-SUMIFS($J$6:$J92,$D$6:$D92,$D92),2))</f>
        <v/>
      </c>
      <c r="T92" s="61" t="str">
        <f aca="false">IF($B92="","",YEAR($B92))</f>
        <v/>
      </c>
    </row>
    <row r="93" customFormat="false" ht="15" hidden="false" customHeight="false" outlineLevel="0" collapsed="false">
      <c r="A93" s="53" t="str">
        <f aca="false">IF($B93="","",ROW()-5)</f>
        <v/>
      </c>
      <c r="B93" s="54"/>
      <c r="C93" s="33"/>
      <c r="D93" s="33"/>
      <c r="E93" s="33"/>
      <c r="F93" s="32"/>
      <c r="G93" s="41"/>
      <c r="H93" s="39"/>
      <c r="I93" s="43"/>
      <c r="J93" s="43"/>
      <c r="K93" s="41"/>
      <c r="L93" s="39"/>
      <c r="M93" s="41"/>
      <c r="N93" s="25" t="str">
        <f aca="false">IF(AND($B93="",$E93="",$I93="",$J93=""),"",IF(NOT(ISNUMBER($B93)),"日期无效",IF(ISNA(MATCH($C93,参数设置!$A$10:$A$12,0)),"公司无效",IF(ISNA(MATCH($D93,资金账户!$B$6:$B$25,0)),"账户未建档",IF(ISNA(MATCH($E93,记账规则!$A$13:$A$32,0)),"业务类型无效",IF(AND(N($I93)&lt;&gt;0,N($J93)&lt;&gt;0),"收入和支出只能填一列",IF($P93=0,"金额为 0",IF(AND($R93="收",N($I93)=0),"这类业务是收款，金额填到收入列",IF(AND($R93="支",N($J93)=0),"这类业务是付款，金额填到支出列",IF(AND(SUMPRODUCT(--(INDEX(记账规则!$A$13:$H$32,MATCH($E93,记账规则!$A$13:$A$32,0),0)="@对方"))&gt;0,$G93=""),"这个类型要填对方科目",IF(AND($G93&lt;&gt;"",ISNA(MATCH($G93,会计科目表!$B$6:$B$85,0))),"对方科目不存在",IF(AND($E93="缴纳税费",$H93=""),"缴税请在费用项目里选税种",IF(AND($F93&lt;&gt;"",ISNA(MATCH($F93,往来单位!$A$6:$A$85,0))),"往来单位未建档",IF(YEAR($B93)&lt;&gt;参数设置!$B$5,"不在本会计年度",IF(AND($B92&lt;&gt;"",ISNUMBER($B92),$B93&lt;$B92),"日期比上一行早，余额按行序滚，建议按日期录","OK")))))))))))))))</f>
        <v/>
      </c>
      <c r="O93" s="58" t="str">
        <f aca="false">IF($B93="","",TEXT($B93,"yyyy-mm"))</f>
        <v/>
      </c>
      <c r="P93" s="60" t="str">
        <f aca="false">IF($E93="","",ROUND(N($I93)+N($J93),2))</f>
        <v/>
      </c>
      <c r="Q93" s="58" t="str">
        <f aca="false">IF($D93="","",IFERROR(INDEX(资金账户!$F$6:$F$25,MATCH($D93,资金账户!$B$6:$B$25,0)),""))</f>
        <v/>
      </c>
      <c r="R93" s="58" t="str">
        <f aca="false">IF($E93="","",IFERROR(IF(INDEX(记账规则!$A$13:$H$32,MATCH($E93,记账规则!$A$13:$A$32,0),4)="借","收","支"),""))</f>
        <v/>
      </c>
      <c r="S93" s="57" t="str">
        <f aca="false">IF($D93="","",ROUND(SUMIFS(资金账户!$H$6:$H$25,资金账户!$B$6:$B$25,$D93)+SUMIFS($I$6:$I93,$D$6:$D93,$D93)-SUMIFS($J$6:$J93,$D$6:$D93,$D93),2))</f>
        <v/>
      </c>
      <c r="T93" s="61" t="str">
        <f aca="false">IF($B93="","",YEAR($B93))</f>
        <v/>
      </c>
    </row>
    <row r="94" customFormat="false" ht="15" hidden="false" customHeight="false" outlineLevel="0" collapsed="false">
      <c r="A94" s="53" t="str">
        <f aca="false">IF($B94="","",ROW()-5)</f>
        <v/>
      </c>
      <c r="B94" s="54"/>
      <c r="C94" s="33"/>
      <c r="D94" s="33"/>
      <c r="E94" s="33"/>
      <c r="F94" s="32"/>
      <c r="G94" s="41"/>
      <c r="H94" s="39"/>
      <c r="I94" s="43"/>
      <c r="J94" s="43"/>
      <c r="K94" s="41"/>
      <c r="L94" s="39"/>
      <c r="M94" s="41"/>
      <c r="N94" s="25" t="str">
        <f aca="false">IF(AND($B94="",$E94="",$I94="",$J94=""),"",IF(NOT(ISNUMBER($B94)),"日期无效",IF(ISNA(MATCH($C94,参数设置!$A$10:$A$12,0)),"公司无效",IF(ISNA(MATCH($D94,资金账户!$B$6:$B$25,0)),"账户未建档",IF(ISNA(MATCH($E94,记账规则!$A$13:$A$32,0)),"业务类型无效",IF(AND(N($I94)&lt;&gt;0,N($J94)&lt;&gt;0),"收入和支出只能填一列",IF($P94=0,"金额为 0",IF(AND($R94="收",N($I94)=0),"这类业务是收款，金额填到收入列",IF(AND($R94="支",N($J94)=0),"这类业务是付款，金额填到支出列",IF(AND(SUMPRODUCT(--(INDEX(记账规则!$A$13:$H$32,MATCH($E94,记账规则!$A$13:$A$32,0),0)="@对方"))&gt;0,$G94=""),"这个类型要填对方科目",IF(AND($G94&lt;&gt;"",ISNA(MATCH($G94,会计科目表!$B$6:$B$85,0))),"对方科目不存在",IF(AND($E94="缴纳税费",$H94=""),"缴税请在费用项目里选税种",IF(AND($F94&lt;&gt;"",ISNA(MATCH($F94,往来单位!$A$6:$A$85,0))),"往来单位未建档",IF(YEAR($B94)&lt;&gt;参数设置!$B$5,"不在本会计年度",IF(AND($B93&lt;&gt;"",ISNUMBER($B93),$B94&lt;$B93),"日期比上一行早，余额按行序滚，建议按日期录","OK")))))))))))))))</f>
        <v/>
      </c>
      <c r="O94" s="58" t="str">
        <f aca="false">IF($B94="","",TEXT($B94,"yyyy-mm"))</f>
        <v/>
      </c>
      <c r="P94" s="60" t="str">
        <f aca="false">IF($E94="","",ROUND(N($I94)+N($J94),2))</f>
        <v/>
      </c>
      <c r="Q94" s="58" t="str">
        <f aca="false">IF($D94="","",IFERROR(INDEX(资金账户!$F$6:$F$25,MATCH($D94,资金账户!$B$6:$B$25,0)),""))</f>
        <v/>
      </c>
      <c r="R94" s="58" t="str">
        <f aca="false">IF($E94="","",IFERROR(IF(INDEX(记账规则!$A$13:$H$32,MATCH($E94,记账规则!$A$13:$A$32,0),4)="借","收","支"),""))</f>
        <v/>
      </c>
      <c r="S94" s="57" t="str">
        <f aca="false">IF($D94="","",ROUND(SUMIFS(资金账户!$H$6:$H$25,资金账户!$B$6:$B$25,$D94)+SUMIFS($I$6:$I94,$D$6:$D94,$D94)-SUMIFS($J$6:$J94,$D$6:$D94,$D94),2))</f>
        <v/>
      </c>
      <c r="T94" s="61" t="str">
        <f aca="false">IF($B94="","",YEAR($B94))</f>
        <v/>
      </c>
    </row>
    <row r="95" customFormat="false" ht="15" hidden="false" customHeight="false" outlineLevel="0" collapsed="false">
      <c r="A95" s="53" t="str">
        <f aca="false">IF($B95="","",ROW()-5)</f>
        <v/>
      </c>
      <c r="B95" s="54"/>
      <c r="C95" s="33"/>
      <c r="D95" s="33"/>
      <c r="E95" s="33"/>
      <c r="F95" s="32"/>
      <c r="G95" s="41"/>
      <c r="H95" s="39"/>
      <c r="I95" s="43"/>
      <c r="J95" s="43"/>
      <c r="K95" s="41"/>
      <c r="L95" s="39"/>
      <c r="M95" s="41"/>
      <c r="N95" s="25" t="str">
        <f aca="false">IF(AND($B95="",$E95="",$I95="",$J95=""),"",IF(NOT(ISNUMBER($B95)),"日期无效",IF(ISNA(MATCH($C95,参数设置!$A$10:$A$12,0)),"公司无效",IF(ISNA(MATCH($D95,资金账户!$B$6:$B$25,0)),"账户未建档",IF(ISNA(MATCH($E95,记账规则!$A$13:$A$32,0)),"业务类型无效",IF(AND(N($I95)&lt;&gt;0,N($J95)&lt;&gt;0),"收入和支出只能填一列",IF($P95=0,"金额为 0",IF(AND($R95="收",N($I95)=0),"这类业务是收款，金额填到收入列",IF(AND($R95="支",N($J95)=0),"这类业务是付款，金额填到支出列",IF(AND(SUMPRODUCT(--(INDEX(记账规则!$A$13:$H$32,MATCH($E95,记账规则!$A$13:$A$32,0),0)="@对方"))&gt;0,$G95=""),"这个类型要填对方科目",IF(AND($G95&lt;&gt;"",ISNA(MATCH($G95,会计科目表!$B$6:$B$85,0))),"对方科目不存在",IF(AND($E95="缴纳税费",$H95=""),"缴税请在费用项目里选税种",IF(AND($F95&lt;&gt;"",ISNA(MATCH($F95,往来单位!$A$6:$A$85,0))),"往来单位未建档",IF(YEAR($B95)&lt;&gt;参数设置!$B$5,"不在本会计年度",IF(AND($B94&lt;&gt;"",ISNUMBER($B94),$B95&lt;$B94),"日期比上一行早，余额按行序滚，建议按日期录","OK")))))))))))))))</f>
        <v/>
      </c>
      <c r="O95" s="58" t="str">
        <f aca="false">IF($B95="","",TEXT($B95,"yyyy-mm"))</f>
        <v/>
      </c>
      <c r="P95" s="60" t="str">
        <f aca="false">IF($E95="","",ROUND(N($I95)+N($J95),2))</f>
        <v/>
      </c>
      <c r="Q95" s="58" t="str">
        <f aca="false">IF($D95="","",IFERROR(INDEX(资金账户!$F$6:$F$25,MATCH($D95,资金账户!$B$6:$B$25,0)),""))</f>
        <v/>
      </c>
      <c r="R95" s="58" t="str">
        <f aca="false">IF($E95="","",IFERROR(IF(INDEX(记账规则!$A$13:$H$32,MATCH($E95,记账规则!$A$13:$A$32,0),4)="借","收","支"),""))</f>
        <v/>
      </c>
      <c r="S95" s="57" t="str">
        <f aca="false">IF($D95="","",ROUND(SUMIFS(资金账户!$H$6:$H$25,资金账户!$B$6:$B$25,$D95)+SUMIFS($I$6:$I95,$D$6:$D95,$D95)-SUMIFS($J$6:$J95,$D$6:$D95,$D95),2))</f>
        <v/>
      </c>
      <c r="T95" s="61" t="str">
        <f aca="false">IF($B95="","",YEAR($B95))</f>
        <v/>
      </c>
    </row>
    <row r="96" customFormat="false" ht="15" hidden="false" customHeight="false" outlineLevel="0" collapsed="false">
      <c r="A96" s="53" t="str">
        <f aca="false">IF($B96="","",ROW()-5)</f>
        <v/>
      </c>
      <c r="B96" s="54"/>
      <c r="C96" s="33"/>
      <c r="D96" s="33"/>
      <c r="E96" s="33"/>
      <c r="F96" s="32"/>
      <c r="G96" s="41"/>
      <c r="H96" s="39"/>
      <c r="I96" s="43"/>
      <c r="J96" s="43"/>
      <c r="K96" s="41"/>
      <c r="L96" s="39"/>
      <c r="M96" s="41"/>
      <c r="N96" s="25" t="str">
        <f aca="false">IF(AND($B96="",$E96="",$I96="",$J96=""),"",IF(NOT(ISNUMBER($B96)),"日期无效",IF(ISNA(MATCH($C96,参数设置!$A$10:$A$12,0)),"公司无效",IF(ISNA(MATCH($D96,资金账户!$B$6:$B$25,0)),"账户未建档",IF(ISNA(MATCH($E96,记账规则!$A$13:$A$32,0)),"业务类型无效",IF(AND(N($I96)&lt;&gt;0,N($J96)&lt;&gt;0),"收入和支出只能填一列",IF($P96=0,"金额为 0",IF(AND($R96="收",N($I96)=0),"这类业务是收款，金额填到收入列",IF(AND($R96="支",N($J96)=0),"这类业务是付款，金额填到支出列",IF(AND(SUMPRODUCT(--(INDEX(记账规则!$A$13:$H$32,MATCH($E96,记账规则!$A$13:$A$32,0),0)="@对方"))&gt;0,$G96=""),"这个类型要填对方科目",IF(AND($G96&lt;&gt;"",ISNA(MATCH($G96,会计科目表!$B$6:$B$85,0))),"对方科目不存在",IF(AND($E96="缴纳税费",$H96=""),"缴税请在费用项目里选税种",IF(AND($F96&lt;&gt;"",ISNA(MATCH($F96,往来单位!$A$6:$A$85,0))),"往来单位未建档",IF(YEAR($B96)&lt;&gt;参数设置!$B$5,"不在本会计年度",IF(AND($B95&lt;&gt;"",ISNUMBER($B95),$B96&lt;$B95),"日期比上一行早，余额按行序滚，建议按日期录","OK")))))))))))))))</f>
        <v/>
      </c>
      <c r="O96" s="58" t="str">
        <f aca="false">IF($B96="","",TEXT($B96,"yyyy-mm"))</f>
        <v/>
      </c>
      <c r="P96" s="60" t="str">
        <f aca="false">IF($E96="","",ROUND(N($I96)+N($J96),2))</f>
        <v/>
      </c>
      <c r="Q96" s="58" t="str">
        <f aca="false">IF($D96="","",IFERROR(INDEX(资金账户!$F$6:$F$25,MATCH($D96,资金账户!$B$6:$B$25,0)),""))</f>
        <v/>
      </c>
      <c r="R96" s="58" t="str">
        <f aca="false">IF($E96="","",IFERROR(IF(INDEX(记账规则!$A$13:$H$32,MATCH($E96,记账规则!$A$13:$A$32,0),4)="借","收","支"),""))</f>
        <v/>
      </c>
      <c r="S96" s="57" t="str">
        <f aca="false">IF($D96="","",ROUND(SUMIFS(资金账户!$H$6:$H$25,资金账户!$B$6:$B$25,$D96)+SUMIFS($I$6:$I96,$D$6:$D96,$D96)-SUMIFS($J$6:$J96,$D$6:$D96,$D96),2))</f>
        <v/>
      </c>
      <c r="T96" s="61" t="str">
        <f aca="false">IF($B96="","",YEAR($B96))</f>
        <v/>
      </c>
    </row>
    <row r="97" customFormat="false" ht="15" hidden="false" customHeight="false" outlineLevel="0" collapsed="false">
      <c r="A97" s="53" t="str">
        <f aca="false">IF($B97="","",ROW()-5)</f>
        <v/>
      </c>
      <c r="B97" s="54"/>
      <c r="C97" s="33"/>
      <c r="D97" s="33"/>
      <c r="E97" s="33"/>
      <c r="F97" s="32"/>
      <c r="G97" s="41"/>
      <c r="H97" s="39"/>
      <c r="I97" s="43"/>
      <c r="J97" s="43"/>
      <c r="K97" s="41"/>
      <c r="L97" s="39"/>
      <c r="M97" s="41"/>
      <c r="N97" s="25" t="str">
        <f aca="false">IF(AND($B97="",$E97="",$I97="",$J97=""),"",IF(NOT(ISNUMBER($B97)),"日期无效",IF(ISNA(MATCH($C97,参数设置!$A$10:$A$12,0)),"公司无效",IF(ISNA(MATCH($D97,资金账户!$B$6:$B$25,0)),"账户未建档",IF(ISNA(MATCH($E97,记账规则!$A$13:$A$32,0)),"业务类型无效",IF(AND(N($I97)&lt;&gt;0,N($J97)&lt;&gt;0),"收入和支出只能填一列",IF($P97=0,"金额为 0",IF(AND($R97="收",N($I97)=0),"这类业务是收款，金额填到收入列",IF(AND($R97="支",N($J97)=0),"这类业务是付款，金额填到支出列",IF(AND(SUMPRODUCT(--(INDEX(记账规则!$A$13:$H$32,MATCH($E97,记账规则!$A$13:$A$32,0),0)="@对方"))&gt;0,$G97=""),"这个类型要填对方科目",IF(AND($G97&lt;&gt;"",ISNA(MATCH($G97,会计科目表!$B$6:$B$85,0))),"对方科目不存在",IF(AND($E97="缴纳税费",$H97=""),"缴税请在费用项目里选税种",IF(AND($F97&lt;&gt;"",ISNA(MATCH($F97,往来单位!$A$6:$A$85,0))),"往来单位未建档",IF(YEAR($B97)&lt;&gt;参数设置!$B$5,"不在本会计年度",IF(AND($B96&lt;&gt;"",ISNUMBER($B96),$B97&lt;$B96),"日期比上一行早，余额按行序滚，建议按日期录","OK")))))))))))))))</f>
        <v/>
      </c>
      <c r="O97" s="58" t="str">
        <f aca="false">IF($B97="","",TEXT($B97,"yyyy-mm"))</f>
        <v/>
      </c>
      <c r="P97" s="60" t="str">
        <f aca="false">IF($E97="","",ROUND(N($I97)+N($J97),2))</f>
        <v/>
      </c>
      <c r="Q97" s="58" t="str">
        <f aca="false">IF($D97="","",IFERROR(INDEX(资金账户!$F$6:$F$25,MATCH($D97,资金账户!$B$6:$B$25,0)),""))</f>
        <v/>
      </c>
      <c r="R97" s="58" t="str">
        <f aca="false">IF($E97="","",IFERROR(IF(INDEX(记账规则!$A$13:$H$32,MATCH($E97,记账规则!$A$13:$A$32,0),4)="借","收","支"),""))</f>
        <v/>
      </c>
      <c r="S97" s="57" t="str">
        <f aca="false">IF($D97="","",ROUND(SUMIFS(资金账户!$H$6:$H$25,资金账户!$B$6:$B$25,$D97)+SUMIFS($I$6:$I97,$D$6:$D97,$D97)-SUMIFS($J$6:$J97,$D$6:$D97,$D97),2))</f>
        <v/>
      </c>
      <c r="T97" s="61" t="str">
        <f aca="false">IF($B97="","",YEAR($B97))</f>
        <v/>
      </c>
    </row>
    <row r="98" customFormat="false" ht="15" hidden="false" customHeight="false" outlineLevel="0" collapsed="false">
      <c r="A98" s="53" t="str">
        <f aca="false">IF($B98="","",ROW()-5)</f>
        <v/>
      </c>
      <c r="B98" s="54"/>
      <c r="C98" s="33"/>
      <c r="D98" s="33"/>
      <c r="E98" s="33"/>
      <c r="F98" s="32"/>
      <c r="G98" s="41"/>
      <c r="H98" s="39"/>
      <c r="I98" s="43"/>
      <c r="J98" s="43"/>
      <c r="K98" s="41"/>
      <c r="L98" s="39"/>
      <c r="M98" s="41"/>
      <c r="N98" s="25" t="str">
        <f aca="false">IF(AND($B98="",$E98="",$I98="",$J98=""),"",IF(NOT(ISNUMBER($B98)),"日期无效",IF(ISNA(MATCH($C98,参数设置!$A$10:$A$12,0)),"公司无效",IF(ISNA(MATCH($D98,资金账户!$B$6:$B$25,0)),"账户未建档",IF(ISNA(MATCH($E98,记账规则!$A$13:$A$32,0)),"业务类型无效",IF(AND(N($I98)&lt;&gt;0,N($J98)&lt;&gt;0),"收入和支出只能填一列",IF($P98=0,"金额为 0",IF(AND($R98="收",N($I98)=0),"这类业务是收款，金额填到收入列",IF(AND($R98="支",N($J98)=0),"这类业务是付款，金额填到支出列",IF(AND(SUMPRODUCT(--(INDEX(记账规则!$A$13:$H$32,MATCH($E98,记账规则!$A$13:$A$32,0),0)="@对方"))&gt;0,$G98=""),"这个类型要填对方科目",IF(AND($G98&lt;&gt;"",ISNA(MATCH($G98,会计科目表!$B$6:$B$85,0))),"对方科目不存在",IF(AND($E98="缴纳税费",$H98=""),"缴税请在费用项目里选税种",IF(AND($F98&lt;&gt;"",ISNA(MATCH($F98,往来单位!$A$6:$A$85,0))),"往来单位未建档",IF(YEAR($B98)&lt;&gt;参数设置!$B$5,"不在本会计年度",IF(AND($B97&lt;&gt;"",ISNUMBER($B97),$B98&lt;$B97),"日期比上一行早，余额按行序滚，建议按日期录","OK")))))))))))))))</f>
        <v/>
      </c>
      <c r="O98" s="58" t="str">
        <f aca="false">IF($B98="","",TEXT($B98,"yyyy-mm"))</f>
        <v/>
      </c>
      <c r="P98" s="60" t="str">
        <f aca="false">IF($E98="","",ROUND(N($I98)+N($J98),2))</f>
        <v/>
      </c>
      <c r="Q98" s="58" t="str">
        <f aca="false">IF($D98="","",IFERROR(INDEX(资金账户!$F$6:$F$25,MATCH($D98,资金账户!$B$6:$B$25,0)),""))</f>
        <v/>
      </c>
      <c r="R98" s="58" t="str">
        <f aca="false">IF($E98="","",IFERROR(IF(INDEX(记账规则!$A$13:$H$32,MATCH($E98,记账规则!$A$13:$A$32,0),4)="借","收","支"),""))</f>
        <v/>
      </c>
      <c r="S98" s="57" t="str">
        <f aca="false">IF($D98="","",ROUND(SUMIFS(资金账户!$H$6:$H$25,资金账户!$B$6:$B$25,$D98)+SUMIFS($I$6:$I98,$D$6:$D98,$D98)-SUMIFS($J$6:$J98,$D$6:$D98,$D98),2))</f>
        <v/>
      </c>
      <c r="T98" s="61" t="str">
        <f aca="false">IF($B98="","",YEAR($B98))</f>
        <v/>
      </c>
    </row>
    <row r="99" customFormat="false" ht="15" hidden="false" customHeight="false" outlineLevel="0" collapsed="false">
      <c r="A99" s="53" t="str">
        <f aca="false">IF($B99="","",ROW()-5)</f>
        <v/>
      </c>
      <c r="B99" s="54"/>
      <c r="C99" s="33"/>
      <c r="D99" s="33"/>
      <c r="E99" s="33"/>
      <c r="F99" s="32"/>
      <c r="G99" s="41"/>
      <c r="H99" s="39"/>
      <c r="I99" s="43"/>
      <c r="J99" s="43"/>
      <c r="K99" s="41"/>
      <c r="L99" s="39"/>
      <c r="M99" s="41"/>
      <c r="N99" s="25" t="str">
        <f aca="false">IF(AND($B99="",$E99="",$I99="",$J99=""),"",IF(NOT(ISNUMBER($B99)),"日期无效",IF(ISNA(MATCH($C99,参数设置!$A$10:$A$12,0)),"公司无效",IF(ISNA(MATCH($D99,资金账户!$B$6:$B$25,0)),"账户未建档",IF(ISNA(MATCH($E99,记账规则!$A$13:$A$32,0)),"业务类型无效",IF(AND(N($I99)&lt;&gt;0,N($J99)&lt;&gt;0),"收入和支出只能填一列",IF($P99=0,"金额为 0",IF(AND($R99="收",N($I99)=0),"这类业务是收款，金额填到收入列",IF(AND($R99="支",N($J99)=0),"这类业务是付款，金额填到支出列",IF(AND(SUMPRODUCT(--(INDEX(记账规则!$A$13:$H$32,MATCH($E99,记账规则!$A$13:$A$32,0),0)="@对方"))&gt;0,$G99=""),"这个类型要填对方科目",IF(AND($G99&lt;&gt;"",ISNA(MATCH($G99,会计科目表!$B$6:$B$85,0))),"对方科目不存在",IF(AND($E99="缴纳税费",$H99=""),"缴税请在费用项目里选税种",IF(AND($F99&lt;&gt;"",ISNA(MATCH($F99,往来单位!$A$6:$A$85,0))),"往来单位未建档",IF(YEAR($B99)&lt;&gt;参数设置!$B$5,"不在本会计年度",IF(AND($B98&lt;&gt;"",ISNUMBER($B98),$B99&lt;$B98),"日期比上一行早，余额按行序滚，建议按日期录","OK")))))))))))))))</f>
        <v/>
      </c>
      <c r="O99" s="58" t="str">
        <f aca="false">IF($B99="","",TEXT($B99,"yyyy-mm"))</f>
        <v/>
      </c>
      <c r="P99" s="60" t="str">
        <f aca="false">IF($E99="","",ROUND(N($I99)+N($J99),2))</f>
        <v/>
      </c>
      <c r="Q99" s="58" t="str">
        <f aca="false">IF($D99="","",IFERROR(INDEX(资金账户!$F$6:$F$25,MATCH($D99,资金账户!$B$6:$B$25,0)),""))</f>
        <v/>
      </c>
      <c r="R99" s="58" t="str">
        <f aca="false">IF($E99="","",IFERROR(IF(INDEX(记账规则!$A$13:$H$32,MATCH($E99,记账规则!$A$13:$A$32,0),4)="借","收","支"),""))</f>
        <v/>
      </c>
      <c r="S99" s="57" t="str">
        <f aca="false">IF($D99="","",ROUND(SUMIFS(资金账户!$H$6:$H$25,资金账户!$B$6:$B$25,$D99)+SUMIFS($I$6:$I99,$D$6:$D99,$D99)-SUMIFS($J$6:$J99,$D$6:$D99,$D99),2))</f>
        <v/>
      </c>
      <c r="T99" s="61" t="str">
        <f aca="false">IF($B99="","",YEAR($B99))</f>
        <v/>
      </c>
    </row>
    <row r="100" customFormat="false" ht="15" hidden="false" customHeight="false" outlineLevel="0" collapsed="false">
      <c r="A100" s="53" t="str">
        <f aca="false">IF($B100="","",ROW()-5)</f>
        <v/>
      </c>
      <c r="B100" s="54"/>
      <c r="C100" s="33"/>
      <c r="D100" s="33"/>
      <c r="E100" s="33"/>
      <c r="F100" s="32"/>
      <c r="G100" s="41"/>
      <c r="H100" s="39"/>
      <c r="I100" s="43"/>
      <c r="J100" s="43"/>
      <c r="K100" s="41"/>
      <c r="L100" s="39"/>
      <c r="M100" s="41"/>
      <c r="N100" s="25" t="str">
        <f aca="false">IF(AND($B100="",$E100="",$I100="",$J100=""),"",IF(NOT(ISNUMBER($B100)),"日期无效",IF(ISNA(MATCH($C100,参数设置!$A$10:$A$12,0)),"公司无效",IF(ISNA(MATCH($D100,资金账户!$B$6:$B$25,0)),"账户未建档",IF(ISNA(MATCH($E100,记账规则!$A$13:$A$32,0)),"业务类型无效",IF(AND(N($I100)&lt;&gt;0,N($J100)&lt;&gt;0),"收入和支出只能填一列",IF($P100=0,"金额为 0",IF(AND($R100="收",N($I100)=0),"这类业务是收款，金额填到收入列",IF(AND($R100="支",N($J100)=0),"这类业务是付款，金额填到支出列",IF(AND(SUMPRODUCT(--(INDEX(记账规则!$A$13:$H$32,MATCH($E100,记账规则!$A$13:$A$32,0),0)="@对方"))&gt;0,$G100=""),"这个类型要填对方科目",IF(AND($G100&lt;&gt;"",ISNA(MATCH($G100,会计科目表!$B$6:$B$85,0))),"对方科目不存在",IF(AND($E100="缴纳税费",$H100=""),"缴税请在费用项目里选税种",IF(AND($F100&lt;&gt;"",ISNA(MATCH($F100,往来单位!$A$6:$A$85,0))),"往来单位未建档",IF(YEAR($B100)&lt;&gt;参数设置!$B$5,"不在本会计年度",IF(AND($B99&lt;&gt;"",ISNUMBER($B99),$B100&lt;$B99),"日期比上一行早，余额按行序滚，建议按日期录","OK")))))))))))))))</f>
        <v/>
      </c>
      <c r="O100" s="58" t="str">
        <f aca="false">IF($B100="","",TEXT($B100,"yyyy-mm"))</f>
        <v/>
      </c>
      <c r="P100" s="60" t="str">
        <f aca="false">IF($E100="","",ROUND(N($I100)+N($J100),2))</f>
        <v/>
      </c>
      <c r="Q100" s="58" t="str">
        <f aca="false">IF($D100="","",IFERROR(INDEX(资金账户!$F$6:$F$25,MATCH($D100,资金账户!$B$6:$B$25,0)),""))</f>
        <v/>
      </c>
      <c r="R100" s="58" t="str">
        <f aca="false">IF($E100="","",IFERROR(IF(INDEX(记账规则!$A$13:$H$32,MATCH($E100,记账规则!$A$13:$A$32,0),4)="借","收","支"),""))</f>
        <v/>
      </c>
      <c r="S100" s="57" t="str">
        <f aca="false">IF($D100="","",ROUND(SUMIFS(资金账户!$H$6:$H$25,资金账户!$B$6:$B$25,$D100)+SUMIFS($I$6:$I100,$D$6:$D100,$D100)-SUMIFS($J$6:$J100,$D$6:$D100,$D100),2))</f>
        <v/>
      </c>
      <c r="T100" s="61" t="str">
        <f aca="false">IF($B100="","",YEAR($B100))</f>
        <v/>
      </c>
    </row>
    <row r="101" customFormat="false" ht="15" hidden="false" customHeight="false" outlineLevel="0" collapsed="false">
      <c r="A101" s="53" t="str">
        <f aca="false">IF($B101="","",ROW()-5)</f>
        <v/>
      </c>
      <c r="B101" s="54"/>
      <c r="C101" s="33"/>
      <c r="D101" s="33"/>
      <c r="E101" s="33"/>
      <c r="F101" s="32"/>
      <c r="G101" s="41"/>
      <c r="H101" s="39"/>
      <c r="I101" s="43"/>
      <c r="J101" s="43"/>
      <c r="K101" s="41"/>
      <c r="L101" s="39"/>
      <c r="M101" s="41"/>
      <c r="N101" s="25" t="str">
        <f aca="false">IF(AND($B101="",$E101="",$I101="",$J101=""),"",IF(NOT(ISNUMBER($B101)),"日期无效",IF(ISNA(MATCH($C101,参数设置!$A$10:$A$12,0)),"公司无效",IF(ISNA(MATCH($D101,资金账户!$B$6:$B$25,0)),"账户未建档",IF(ISNA(MATCH($E101,记账规则!$A$13:$A$32,0)),"业务类型无效",IF(AND(N($I101)&lt;&gt;0,N($J101)&lt;&gt;0),"收入和支出只能填一列",IF($P101=0,"金额为 0",IF(AND($R101="收",N($I101)=0),"这类业务是收款，金额填到收入列",IF(AND($R101="支",N($J101)=0),"这类业务是付款，金额填到支出列",IF(AND(SUMPRODUCT(--(INDEX(记账规则!$A$13:$H$32,MATCH($E101,记账规则!$A$13:$A$32,0),0)="@对方"))&gt;0,$G101=""),"这个类型要填对方科目",IF(AND($G101&lt;&gt;"",ISNA(MATCH($G101,会计科目表!$B$6:$B$85,0))),"对方科目不存在",IF(AND($E101="缴纳税费",$H101=""),"缴税请在费用项目里选税种",IF(AND($F101&lt;&gt;"",ISNA(MATCH($F101,往来单位!$A$6:$A$85,0))),"往来单位未建档",IF(YEAR($B101)&lt;&gt;参数设置!$B$5,"不在本会计年度",IF(AND($B100&lt;&gt;"",ISNUMBER($B100),$B101&lt;$B100),"日期比上一行早，余额按行序滚，建议按日期录","OK")))))))))))))))</f>
        <v/>
      </c>
      <c r="O101" s="58" t="str">
        <f aca="false">IF($B101="","",TEXT($B101,"yyyy-mm"))</f>
        <v/>
      </c>
      <c r="P101" s="60" t="str">
        <f aca="false">IF($E101="","",ROUND(N($I101)+N($J101),2))</f>
        <v/>
      </c>
      <c r="Q101" s="58" t="str">
        <f aca="false">IF($D101="","",IFERROR(INDEX(资金账户!$F$6:$F$25,MATCH($D101,资金账户!$B$6:$B$25,0)),""))</f>
        <v/>
      </c>
      <c r="R101" s="58" t="str">
        <f aca="false">IF($E101="","",IFERROR(IF(INDEX(记账规则!$A$13:$H$32,MATCH($E101,记账规则!$A$13:$A$32,0),4)="借","收","支"),""))</f>
        <v/>
      </c>
      <c r="S101" s="57" t="str">
        <f aca="false">IF($D101="","",ROUND(SUMIFS(资金账户!$H$6:$H$25,资金账户!$B$6:$B$25,$D101)+SUMIFS($I$6:$I101,$D$6:$D101,$D101)-SUMIFS($J$6:$J101,$D$6:$D101,$D101),2))</f>
        <v/>
      </c>
      <c r="T101" s="61" t="str">
        <f aca="false">IF($B101="","",YEAR($B101))</f>
        <v/>
      </c>
    </row>
    <row r="102" customFormat="false" ht="15" hidden="false" customHeight="false" outlineLevel="0" collapsed="false">
      <c r="A102" s="53" t="str">
        <f aca="false">IF($B102="","",ROW()-5)</f>
        <v/>
      </c>
      <c r="B102" s="54"/>
      <c r="C102" s="33"/>
      <c r="D102" s="33"/>
      <c r="E102" s="33"/>
      <c r="F102" s="32"/>
      <c r="G102" s="41"/>
      <c r="H102" s="39"/>
      <c r="I102" s="43"/>
      <c r="J102" s="43"/>
      <c r="K102" s="41"/>
      <c r="L102" s="39"/>
      <c r="M102" s="41"/>
      <c r="N102" s="25" t="str">
        <f aca="false">IF(AND($B102="",$E102="",$I102="",$J102=""),"",IF(NOT(ISNUMBER($B102)),"日期无效",IF(ISNA(MATCH($C102,参数设置!$A$10:$A$12,0)),"公司无效",IF(ISNA(MATCH($D102,资金账户!$B$6:$B$25,0)),"账户未建档",IF(ISNA(MATCH($E102,记账规则!$A$13:$A$32,0)),"业务类型无效",IF(AND(N($I102)&lt;&gt;0,N($J102)&lt;&gt;0),"收入和支出只能填一列",IF($P102=0,"金额为 0",IF(AND($R102="收",N($I102)=0),"这类业务是收款，金额填到收入列",IF(AND($R102="支",N($J102)=0),"这类业务是付款，金额填到支出列",IF(AND(SUMPRODUCT(--(INDEX(记账规则!$A$13:$H$32,MATCH($E102,记账规则!$A$13:$A$32,0),0)="@对方"))&gt;0,$G102=""),"这个类型要填对方科目",IF(AND($G102&lt;&gt;"",ISNA(MATCH($G102,会计科目表!$B$6:$B$85,0))),"对方科目不存在",IF(AND($E102="缴纳税费",$H102=""),"缴税请在费用项目里选税种",IF(AND($F102&lt;&gt;"",ISNA(MATCH($F102,往来单位!$A$6:$A$85,0))),"往来单位未建档",IF(YEAR($B102)&lt;&gt;参数设置!$B$5,"不在本会计年度",IF(AND($B101&lt;&gt;"",ISNUMBER($B101),$B102&lt;$B101),"日期比上一行早，余额按行序滚，建议按日期录","OK")))))))))))))))</f>
        <v/>
      </c>
      <c r="O102" s="58" t="str">
        <f aca="false">IF($B102="","",TEXT($B102,"yyyy-mm"))</f>
        <v/>
      </c>
      <c r="P102" s="60" t="str">
        <f aca="false">IF($E102="","",ROUND(N($I102)+N($J102),2))</f>
        <v/>
      </c>
      <c r="Q102" s="58" t="str">
        <f aca="false">IF($D102="","",IFERROR(INDEX(资金账户!$F$6:$F$25,MATCH($D102,资金账户!$B$6:$B$25,0)),""))</f>
        <v/>
      </c>
      <c r="R102" s="58" t="str">
        <f aca="false">IF($E102="","",IFERROR(IF(INDEX(记账规则!$A$13:$H$32,MATCH($E102,记账规则!$A$13:$A$32,0),4)="借","收","支"),""))</f>
        <v/>
      </c>
      <c r="S102" s="57" t="str">
        <f aca="false">IF($D102="","",ROUND(SUMIFS(资金账户!$H$6:$H$25,资金账户!$B$6:$B$25,$D102)+SUMIFS($I$6:$I102,$D$6:$D102,$D102)-SUMIFS($J$6:$J102,$D$6:$D102,$D102),2))</f>
        <v/>
      </c>
      <c r="T102" s="61" t="str">
        <f aca="false">IF($B102="","",YEAR($B102))</f>
        <v/>
      </c>
    </row>
    <row r="103" customFormat="false" ht="15" hidden="false" customHeight="false" outlineLevel="0" collapsed="false">
      <c r="A103" s="53" t="str">
        <f aca="false">IF($B103="","",ROW()-5)</f>
        <v/>
      </c>
      <c r="B103" s="54"/>
      <c r="C103" s="33"/>
      <c r="D103" s="33"/>
      <c r="E103" s="33"/>
      <c r="F103" s="32"/>
      <c r="G103" s="41"/>
      <c r="H103" s="39"/>
      <c r="I103" s="43"/>
      <c r="J103" s="43"/>
      <c r="K103" s="41"/>
      <c r="L103" s="39"/>
      <c r="M103" s="41"/>
      <c r="N103" s="25" t="str">
        <f aca="false">IF(AND($B103="",$E103="",$I103="",$J103=""),"",IF(NOT(ISNUMBER($B103)),"日期无效",IF(ISNA(MATCH($C103,参数设置!$A$10:$A$12,0)),"公司无效",IF(ISNA(MATCH($D103,资金账户!$B$6:$B$25,0)),"账户未建档",IF(ISNA(MATCH($E103,记账规则!$A$13:$A$32,0)),"业务类型无效",IF(AND(N($I103)&lt;&gt;0,N($J103)&lt;&gt;0),"收入和支出只能填一列",IF($P103=0,"金额为 0",IF(AND($R103="收",N($I103)=0),"这类业务是收款，金额填到收入列",IF(AND($R103="支",N($J103)=0),"这类业务是付款，金额填到支出列",IF(AND(SUMPRODUCT(--(INDEX(记账规则!$A$13:$H$32,MATCH($E103,记账规则!$A$13:$A$32,0),0)="@对方"))&gt;0,$G103=""),"这个类型要填对方科目",IF(AND($G103&lt;&gt;"",ISNA(MATCH($G103,会计科目表!$B$6:$B$85,0))),"对方科目不存在",IF(AND($E103="缴纳税费",$H103=""),"缴税请在费用项目里选税种",IF(AND($F103&lt;&gt;"",ISNA(MATCH($F103,往来单位!$A$6:$A$85,0))),"往来单位未建档",IF(YEAR($B103)&lt;&gt;参数设置!$B$5,"不在本会计年度",IF(AND($B102&lt;&gt;"",ISNUMBER($B102),$B103&lt;$B102),"日期比上一行早，余额按行序滚，建议按日期录","OK")))))))))))))))</f>
        <v/>
      </c>
      <c r="O103" s="58" t="str">
        <f aca="false">IF($B103="","",TEXT($B103,"yyyy-mm"))</f>
        <v/>
      </c>
      <c r="P103" s="60" t="str">
        <f aca="false">IF($E103="","",ROUND(N($I103)+N($J103),2))</f>
        <v/>
      </c>
      <c r="Q103" s="58" t="str">
        <f aca="false">IF($D103="","",IFERROR(INDEX(资金账户!$F$6:$F$25,MATCH($D103,资金账户!$B$6:$B$25,0)),""))</f>
        <v/>
      </c>
      <c r="R103" s="58" t="str">
        <f aca="false">IF($E103="","",IFERROR(IF(INDEX(记账规则!$A$13:$H$32,MATCH($E103,记账规则!$A$13:$A$32,0),4)="借","收","支"),""))</f>
        <v/>
      </c>
      <c r="S103" s="57" t="str">
        <f aca="false">IF($D103="","",ROUND(SUMIFS(资金账户!$H$6:$H$25,资金账户!$B$6:$B$25,$D103)+SUMIFS($I$6:$I103,$D$6:$D103,$D103)-SUMIFS($J$6:$J103,$D$6:$D103,$D103),2))</f>
        <v/>
      </c>
      <c r="T103" s="61" t="str">
        <f aca="false">IF($B103="","",YEAR($B103))</f>
        <v/>
      </c>
    </row>
    <row r="104" customFormat="false" ht="15" hidden="false" customHeight="false" outlineLevel="0" collapsed="false">
      <c r="A104" s="53" t="str">
        <f aca="false">IF($B104="","",ROW()-5)</f>
        <v/>
      </c>
      <c r="B104" s="54"/>
      <c r="C104" s="33"/>
      <c r="D104" s="33"/>
      <c r="E104" s="33"/>
      <c r="F104" s="32"/>
      <c r="G104" s="41"/>
      <c r="H104" s="39"/>
      <c r="I104" s="43"/>
      <c r="J104" s="43"/>
      <c r="K104" s="41"/>
      <c r="L104" s="39"/>
      <c r="M104" s="41"/>
      <c r="N104" s="25" t="str">
        <f aca="false">IF(AND($B104="",$E104="",$I104="",$J104=""),"",IF(NOT(ISNUMBER($B104)),"日期无效",IF(ISNA(MATCH($C104,参数设置!$A$10:$A$12,0)),"公司无效",IF(ISNA(MATCH($D104,资金账户!$B$6:$B$25,0)),"账户未建档",IF(ISNA(MATCH($E104,记账规则!$A$13:$A$32,0)),"业务类型无效",IF(AND(N($I104)&lt;&gt;0,N($J104)&lt;&gt;0),"收入和支出只能填一列",IF($P104=0,"金额为 0",IF(AND($R104="收",N($I104)=0),"这类业务是收款，金额填到收入列",IF(AND($R104="支",N($J104)=0),"这类业务是付款，金额填到支出列",IF(AND(SUMPRODUCT(--(INDEX(记账规则!$A$13:$H$32,MATCH($E104,记账规则!$A$13:$A$32,0),0)="@对方"))&gt;0,$G104=""),"这个类型要填对方科目",IF(AND($G104&lt;&gt;"",ISNA(MATCH($G104,会计科目表!$B$6:$B$85,0))),"对方科目不存在",IF(AND($E104="缴纳税费",$H104=""),"缴税请在费用项目里选税种",IF(AND($F104&lt;&gt;"",ISNA(MATCH($F104,往来单位!$A$6:$A$85,0))),"往来单位未建档",IF(YEAR($B104)&lt;&gt;参数设置!$B$5,"不在本会计年度",IF(AND($B103&lt;&gt;"",ISNUMBER($B103),$B104&lt;$B103),"日期比上一行早，余额按行序滚，建议按日期录","OK")))))))))))))))</f>
        <v/>
      </c>
      <c r="O104" s="58" t="str">
        <f aca="false">IF($B104="","",TEXT($B104,"yyyy-mm"))</f>
        <v/>
      </c>
      <c r="P104" s="60" t="str">
        <f aca="false">IF($E104="","",ROUND(N($I104)+N($J104),2))</f>
        <v/>
      </c>
      <c r="Q104" s="58" t="str">
        <f aca="false">IF($D104="","",IFERROR(INDEX(资金账户!$F$6:$F$25,MATCH($D104,资金账户!$B$6:$B$25,0)),""))</f>
        <v/>
      </c>
      <c r="R104" s="58" t="str">
        <f aca="false">IF($E104="","",IFERROR(IF(INDEX(记账规则!$A$13:$H$32,MATCH($E104,记账规则!$A$13:$A$32,0),4)="借","收","支"),""))</f>
        <v/>
      </c>
      <c r="S104" s="57" t="str">
        <f aca="false">IF($D104="","",ROUND(SUMIFS(资金账户!$H$6:$H$25,资金账户!$B$6:$B$25,$D104)+SUMIFS($I$6:$I104,$D$6:$D104,$D104)-SUMIFS($J$6:$J104,$D$6:$D104,$D104),2))</f>
        <v/>
      </c>
      <c r="T104" s="61" t="str">
        <f aca="false">IF($B104="","",YEAR($B104))</f>
        <v/>
      </c>
    </row>
    <row r="105" customFormat="false" ht="15" hidden="false" customHeight="false" outlineLevel="0" collapsed="false">
      <c r="A105" s="53" t="str">
        <f aca="false">IF($B105="","",ROW()-5)</f>
        <v/>
      </c>
      <c r="B105" s="54"/>
      <c r="C105" s="33"/>
      <c r="D105" s="33"/>
      <c r="E105" s="33"/>
      <c r="F105" s="32"/>
      <c r="G105" s="41"/>
      <c r="H105" s="39"/>
      <c r="I105" s="43"/>
      <c r="J105" s="43"/>
      <c r="K105" s="41"/>
      <c r="L105" s="39"/>
      <c r="M105" s="41"/>
      <c r="N105" s="25" t="str">
        <f aca="false">IF(AND($B105="",$E105="",$I105="",$J105=""),"",IF(NOT(ISNUMBER($B105)),"日期无效",IF(ISNA(MATCH($C105,参数设置!$A$10:$A$12,0)),"公司无效",IF(ISNA(MATCH($D105,资金账户!$B$6:$B$25,0)),"账户未建档",IF(ISNA(MATCH($E105,记账规则!$A$13:$A$32,0)),"业务类型无效",IF(AND(N($I105)&lt;&gt;0,N($J105)&lt;&gt;0),"收入和支出只能填一列",IF($P105=0,"金额为 0",IF(AND($R105="收",N($I105)=0),"这类业务是收款，金额填到收入列",IF(AND($R105="支",N($J105)=0),"这类业务是付款，金额填到支出列",IF(AND(SUMPRODUCT(--(INDEX(记账规则!$A$13:$H$32,MATCH($E105,记账规则!$A$13:$A$32,0),0)="@对方"))&gt;0,$G105=""),"这个类型要填对方科目",IF(AND($G105&lt;&gt;"",ISNA(MATCH($G105,会计科目表!$B$6:$B$85,0))),"对方科目不存在",IF(AND($E105="缴纳税费",$H105=""),"缴税请在费用项目里选税种",IF(AND($F105&lt;&gt;"",ISNA(MATCH($F105,往来单位!$A$6:$A$85,0))),"往来单位未建档",IF(YEAR($B105)&lt;&gt;参数设置!$B$5,"不在本会计年度",IF(AND($B104&lt;&gt;"",ISNUMBER($B104),$B105&lt;$B104),"日期比上一行早，余额按行序滚，建议按日期录","OK")))))))))))))))</f>
        <v/>
      </c>
      <c r="O105" s="58" t="str">
        <f aca="false">IF($B105="","",TEXT($B105,"yyyy-mm"))</f>
        <v/>
      </c>
      <c r="P105" s="60" t="str">
        <f aca="false">IF($E105="","",ROUND(N($I105)+N($J105),2))</f>
        <v/>
      </c>
      <c r="Q105" s="58" t="str">
        <f aca="false">IF($D105="","",IFERROR(INDEX(资金账户!$F$6:$F$25,MATCH($D105,资金账户!$B$6:$B$25,0)),""))</f>
        <v/>
      </c>
      <c r="R105" s="58" t="str">
        <f aca="false">IF($E105="","",IFERROR(IF(INDEX(记账规则!$A$13:$H$32,MATCH($E105,记账规则!$A$13:$A$32,0),4)="借","收","支"),""))</f>
        <v/>
      </c>
      <c r="S105" s="57" t="str">
        <f aca="false">IF($D105="","",ROUND(SUMIFS(资金账户!$H$6:$H$25,资金账户!$B$6:$B$25,$D105)+SUMIFS($I$6:$I105,$D$6:$D105,$D105)-SUMIFS($J$6:$J105,$D$6:$D105,$D105),2))</f>
        <v/>
      </c>
      <c r="T105" s="61" t="str">
        <f aca="false">IF($B105="","",YEAR($B105))</f>
        <v/>
      </c>
    </row>
    <row r="106" customFormat="false" ht="15" hidden="false" customHeight="false" outlineLevel="0" collapsed="false">
      <c r="A106" s="53" t="str">
        <f aca="false">IF($B106="","",ROW()-5)</f>
        <v/>
      </c>
      <c r="B106" s="54"/>
      <c r="C106" s="33"/>
      <c r="D106" s="33"/>
      <c r="E106" s="33"/>
      <c r="F106" s="32"/>
      <c r="G106" s="41"/>
      <c r="H106" s="39"/>
      <c r="I106" s="43"/>
      <c r="J106" s="43"/>
      <c r="K106" s="41"/>
      <c r="L106" s="39"/>
      <c r="M106" s="41"/>
      <c r="N106" s="25" t="str">
        <f aca="false">IF(AND($B106="",$E106="",$I106="",$J106=""),"",IF(NOT(ISNUMBER($B106)),"日期无效",IF(ISNA(MATCH($C106,参数设置!$A$10:$A$12,0)),"公司无效",IF(ISNA(MATCH($D106,资金账户!$B$6:$B$25,0)),"账户未建档",IF(ISNA(MATCH($E106,记账规则!$A$13:$A$32,0)),"业务类型无效",IF(AND(N($I106)&lt;&gt;0,N($J106)&lt;&gt;0),"收入和支出只能填一列",IF($P106=0,"金额为 0",IF(AND($R106="收",N($I106)=0),"这类业务是收款，金额填到收入列",IF(AND($R106="支",N($J106)=0),"这类业务是付款，金额填到支出列",IF(AND(SUMPRODUCT(--(INDEX(记账规则!$A$13:$H$32,MATCH($E106,记账规则!$A$13:$A$32,0),0)="@对方"))&gt;0,$G106=""),"这个类型要填对方科目",IF(AND($G106&lt;&gt;"",ISNA(MATCH($G106,会计科目表!$B$6:$B$85,0))),"对方科目不存在",IF(AND($E106="缴纳税费",$H106=""),"缴税请在费用项目里选税种",IF(AND($F106&lt;&gt;"",ISNA(MATCH($F106,往来单位!$A$6:$A$85,0))),"往来单位未建档",IF(YEAR($B106)&lt;&gt;参数设置!$B$5,"不在本会计年度",IF(AND($B105&lt;&gt;"",ISNUMBER($B105),$B106&lt;$B105),"日期比上一行早，余额按行序滚，建议按日期录","OK")))))))))))))))</f>
        <v/>
      </c>
      <c r="O106" s="58" t="str">
        <f aca="false">IF($B106="","",TEXT($B106,"yyyy-mm"))</f>
        <v/>
      </c>
      <c r="P106" s="60" t="str">
        <f aca="false">IF($E106="","",ROUND(N($I106)+N($J106),2))</f>
        <v/>
      </c>
      <c r="Q106" s="58" t="str">
        <f aca="false">IF($D106="","",IFERROR(INDEX(资金账户!$F$6:$F$25,MATCH($D106,资金账户!$B$6:$B$25,0)),""))</f>
        <v/>
      </c>
      <c r="R106" s="58" t="str">
        <f aca="false">IF($E106="","",IFERROR(IF(INDEX(记账规则!$A$13:$H$32,MATCH($E106,记账规则!$A$13:$A$32,0),4)="借","收","支"),""))</f>
        <v/>
      </c>
      <c r="S106" s="57" t="str">
        <f aca="false">IF($D106="","",ROUND(SUMIFS(资金账户!$H$6:$H$25,资金账户!$B$6:$B$25,$D106)+SUMIFS($I$6:$I106,$D$6:$D106,$D106)-SUMIFS($J$6:$J106,$D$6:$D106,$D106),2))</f>
        <v/>
      </c>
      <c r="T106" s="61" t="str">
        <f aca="false">IF($B106="","",YEAR($B106))</f>
        <v/>
      </c>
    </row>
    <row r="107" customFormat="false" ht="15" hidden="false" customHeight="false" outlineLevel="0" collapsed="false">
      <c r="A107" s="53" t="str">
        <f aca="false">IF($B107="","",ROW()-5)</f>
        <v/>
      </c>
      <c r="B107" s="54"/>
      <c r="C107" s="33"/>
      <c r="D107" s="33"/>
      <c r="E107" s="33"/>
      <c r="F107" s="32"/>
      <c r="G107" s="41"/>
      <c r="H107" s="39"/>
      <c r="I107" s="43"/>
      <c r="J107" s="43"/>
      <c r="K107" s="41"/>
      <c r="L107" s="39"/>
      <c r="M107" s="41"/>
      <c r="N107" s="25" t="str">
        <f aca="false">IF(AND($B107="",$E107="",$I107="",$J107=""),"",IF(NOT(ISNUMBER($B107)),"日期无效",IF(ISNA(MATCH($C107,参数设置!$A$10:$A$12,0)),"公司无效",IF(ISNA(MATCH($D107,资金账户!$B$6:$B$25,0)),"账户未建档",IF(ISNA(MATCH($E107,记账规则!$A$13:$A$32,0)),"业务类型无效",IF(AND(N($I107)&lt;&gt;0,N($J107)&lt;&gt;0),"收入和支出只能填一列",IF($P107=0,"金额为 0",IF(AND($R107="收",N($I107)=0),"这类业务是收款，金额填到收入列",IF(AND($R107="支",N($J107)=0),"这类业务是付款，金额填到支出列",IF(AND(SUMPRODUCT(--(INDEX(记账规则!$A$13:$H$32,MATCH($E107,记账规则!$A$13:$A$32,0),0)="@对方"))&gt;0,$G107=""),"这个类型要填对方科目",IF(AND($G107&lt;&gt;"",ISNA(MATCH($G107,会计科目表!$B$6:$B$85,0))),"对方科目不存在",IF(AND($E107="缴纳税费",$H107=""),"缴税请在费用项目里选税种",IF(AND($F107&lt;&gt;"",ISNA(MATCH($F107,往来单位!$A$6:$A$85,0))),"往来单位未建档",IF(YEAR($B107)&lt;&gt;参数设置!$B$5,"不在本会计年度",IF(AND($B106&lt;&gt;"",ISNUMBER($B106),$B107&lt;$B106),"日期比上一行早，余额按行序滚，建议按日期录","OK")))))))))))))))</f>
        <v/>
      </c>
      <c r="O107" s="58" t="str">
        <f aca="false">IF($B107="","",TEXT($B107,"yyyy-mm"))</f>
        <v/>
      </c>
      <c r="P107" s="60" t="str">
        <f aca="false">IF($E107="","",ROUND(N($I107)+N($J107),2))</f>
        <v/>
      </c>
      <c r="Q107" s="58" t="str">
        <f aca="false">IF($D107="","",IFERROR(INDEX(资金账户!$F$6:$F$25,MATCH($D107,资金账户!$B$6:$B$25,0)),""))</f>
        <v/>
      </c>
      <c r="R107" s="58" t="str">
        <f aca="false">IF($E107="","",IFERROR(IF(INDEX(记账规则!$A$13:$H$32,MATCH($E107,记账规则!$A$13:$A$32,0),4)="借","收","支"),""))</f>
        <v/>
      </c>
      <c r="S107" s="57" t="str">
        <f aca="false">IF($D107="","",ROUND(SUMIFS(资金账户!$H$6:$H$25,资金账户!$B$6:$B$25,$D107)+SUMIFS($I$6:$I107,$D$6:$D107,$D107)-SUMIFS($J$6:$J107,$D$6:$D107,$D107),2))</f>
        <v/>
      </c>
      <c r="T107" s="61" t="str">
        <f aca="false">IF($B107="","",YEAR($B107))</f>
        <v/>
      </c>
    </row>
    <row r="108" customFormat="false" ht="15" hidden="false" customHeight="false" outlineLevel="0" collapsed="false">
      <c r="A108" s="53" t="str">
        <f aca="false">IF($B108="","",ROW()-5)</f>
        <v/>
      </c>
      <c r="B108" s="54"/>
      <c r="C108" s="33"/>
      <c r="D108" s="33"/>
      <c r="E108" s="33"/>
      <c r="F108" s="32"/>
      <c r="G108" s="41"/>
      <c r="H108" s="39"/>
      <c r="I108" s="43"/>
      <c r="J108" s="43"/>
      <c r="K108" s="41"/>
      <c r="L108" s="39"/>
      <c r="M108" s="41"/>
      <c r="N108" s="25" t="str">
        <f aca="false">IF(AND($B108="",$E108="",$I108="",$J108=""),"",IF(NOT(ISNUMBER($B108)),"日期无效",IF(ISNA(MATCH($C108,参数设置!$A$10:$A$12,0)),"公司无效",IF(ISNA(MATCH($D108,资金账户!$B$6:$B$25,0)),"账户未建档",IF(ISNA(MATCH($E108,记账规则!$A$13:$A$32,0)),"业务类型无效",IF(AND(N($I108)&lt;&gt;0,N($J108)&lt;&gt;0),"收入和支出只能填一列",IF($P108=0,"金额为 0",IF(AND($R108="收",N($I108)=0),"这类业务是收款，金额填到收入列",IF(AND($R108="支",N($J108)=0),"这类业务是付款，金额填到支出列",IF(AND(SUMPRODUCT(--(INDEX(记账规则!$A$13:$H$32,MATCH($E108,记账规则!$A$13:$A$32,0),0)="@对方"))&gt;0,$G108=""),"这个类型要填对方科目",IF(AND($G108&lt;&gt;"",ISNA(MATCH($G108,会计科目表!$B$6:$B$85,0))),"对方科目不存在",IF(AND($E108="缴纳税费",$H108=""),"缴税请在费用项目里选税种",IF(AND($F108&lt;&gt;"",ISNA(MATCH($F108,往来单位!$A$6:$A$85,0))),"往来单位未建档",IF(YEAR($B108)&lt;&gt;参数设置!$B$5,"不在本会计年度",IF(AND($B107&lt;&gt;"",ISNUMBER($B107),$B108&lt;$B107),"日期比上一行早，余额按行序滚，建议按日期录","OK")))))))))))))))</f>
        <v/>
      </c>
      <c r="O108" s="58" t="str">
        <f aca="false">IF($B108="","",TEXT($B108,"yyyy-mm"))</f>
        <v/>
      </c>
      <c r="P108" s="60" t="str">
        <f aca="false">IF($E108="","",ROUND(N($I108)+N($J108),2))</f>
        <v/>
      </c>
      <c r="Q108" s="58" t="str">
        <f aca="false">IF($D108="","",IFERROR(INDEX(资金账户!$F$6:$F$25,MATCH($D108,资金账户!$B$6:$B$25,0)),""))</f>
        <v/>
      </c>
      <c r="R108" s="58" t="str">
        <f aca="false">IF($E108="","",IFERROR(IF(INDEX(记账规则!$A$13:$H$32,MATCH($E108,记账规则!$A$13:$A$32,0),4)="借","收","支"),""))</f>
        <v/>
      </c>
      <c r="S108" s="57" t="str">
        <f aca="false">IF($D108="","",ROUND(SUMIFS(资金账户!$H$6:$H$25,资金账户!$B$6:$B$25,$D108)+SUMIFS($I$6:$I108,$D$6:$D108,$D108)-SUMIFS($J$6:$J108,$D$6:$D108,$D108),2))</f>
        <v/>
      </c>
      <c r="T108" s="61" t="str">
        <f aca="false">IF($B108="","",YEAR($B108))</f>
        <v/>
      </c>
    </row>
    <row r="109" customFormat="false" ht="15" hidden="false" customHeight="false" outlineLevel="0" collapsed="false">
      <c r="A109" s="53" t="str">
        <f aca="false">IF($B109="","",ROW()-5)</f>
        <v/>
      </c>
      <c r="B109" s="54"/>
      <c r="C109" s="33"/>
      <c r="D109" s="33"/>
      <c r="E109" s="33"/>
      <c r="F109" s="32"/>
      <c r="G109" s="41"/>
      <c r="H109" s="39"/>
      <c r="I109" s="43"/>
      <c r="J109" s="43"/>
      <c r="K109" s="41"/>
      <c r="L109" s="39"/>
      <c r="M109" s="41"/>
      <c r="N109" s="25" t="str">
        <f aca="false">IF(AND($B109="",$E109="",$I109="",$J109=""),"",IF(NOT(ISNUMBER($B109)),"日期无效",IF(ISNA(MATCH($C109,参数设置!$A$10:$A$12,0)),"公司无效",IF(ISNA(MATCH($D109,资金账户!$B$6:$B$25,0)),"账户未建档",IF(ISNA(MATCH($E109,记账规则!$A$13:$A$32,0)),"业务类型无效",IF(AND(N($I109)&lt;&gt;0,N($J109)&lt;&gt;0),"收入和支出只能填一列",IF($P109=0,"金额为 0",IF(AND($R109="收",N($I109)=0),"这类业务是收款，金额填到收入列",IF(AND($R109="支",N($J109)=0),"这类业务是付款，金额填到支出列",IF(AND(SUMPRODUCT(--(INDEX(记账规则!$A$13:$H$32,MATCH($E109,记账规则!$A$13:$A$32,0),0)="@对方"))&gt;0,$G109=""),"这个类型要填对方科目",IF(AND($G109&lt;&gt;"",ISNA(MATCH($G109,会计科目表!$B$6:$B$85,0))),"对方科目不存在",IF(AND($E109="缴纳税费",$H109=""),"缴税请在费用项目里选税种",IF(AND($F109&lt;&gt;"",ISNA(MATCH($F109,往来单位!$A$6:$A$85,0))),"往来单位未建档",IF(YEAR($B109)&lt;&gt;参数设置!$B$5,"不在本会计年度",IF(AND($B108&lt;&gt;"",ISNUMBER($B108),$B109&lt;$B108),"日期比上一行早，余额按行序滚，建议按日期录","OK")))))))))))))))</f>
        <v/>
      </c>
      <c r="O109" s="58" t="str">
        <f aca="false">IF($B109="","",TEXT($B109,"yyyy-mm"))</f>
        <v/>
      </c>
      <c r="P109" s="60" t="str">
        <f aca="false">IF($E109="","",ROUND(N($I109)+N($J109),2))</f>
        <v/>
      </c>
      <c r="Q109" s="58" t="str">
        <f aca="false">IF($D109="","",IFERROR(INDEX(资金账户!$F$6:$F$25,MATCH($D109,资金账户!$B$6:$B$25,0)),""))</f>
        <v/>
      </c>
      <c r="R109" s="58" t="str">
        <f aca="false">IF($E109="","",IFERROR(IF(INDEX(记账规则!$A$13:$H$32,MATCH($E109,记账规则!$A$13:$A$32,0),4)="借","收","支"),""))</f>
        <v/>
      </c>
      <c r="S109" s="57" t="str">
        <f aca="false">IF($D109="","",ROUND(SUMIFS(资金账户!$H$6:$H$25,资金账户!$B$6:$B$25,$D109)+SUMIFS($I$6:$I109,$D$6:$D109,$D109)-SUMIFS($J$6:$J109,$D$6:$D109,$D109),2))</f>
        <v/>
      </c>
      <c r="T109" s="61" t="str">
        <f aca="false">IF($B109="","",YEAR($B109))</f>
        <v/>
      </c>
    </row>
    <row r="110" customFormat="false" ht="15" hidden="false" customHeight="false" outlineLevel="0" collapsed="false">
      <c r="A110" s="53" t="str">
        <f aca="false">IF($B110="","",ROW()-5)</f>
        <v/>
      </c>
      <c r="B110" s="54"/>
      <c r="C110" s="33"/>
      <c r="D110" s="33"/>
      <c r="E110" s="33"/>
      <c r="F110" s="32"/>
      <c r="G110" s="41"/>
      <c r="H110" s="39"/>
      <c r="I110" s="43"/>
      <c r="J110" s="43"/>
      <c r="K110" s="41"/>
      <c r="L110" s="39"/>
      <c r="M110" s="41"/>
      <c r="N110" s="25" t="str">
        <f aca="false">IF(AND($B110="",$E110="",$I110="",$J110=""),"",IF(NOT(ISNUMBER($B110)),"日期无效",IF(ISNA(MATCH($C110,参数设置!$A$10:$A$12,0)),"公司无效",IF(ISNA(MATCH($D110,资金账户!$B$6:$B$25,0)),"账户未建档",IF(ISNA(MATCH($E110,记账规则!$A$13:$A$32,0)),"业务类型无效",IF(AND(N($I110)&lt;&gt;0,N($J110)&lt;&gt;0),"收入和支出只能填一列",IF($P110=0,"金额为 0",IF(AND($R110="收",N($I110)=0),"这类业务是收款，金额填到收入列",IF(AND($R110="支",N($J110)=0),"这类业务是付款，金额填到支出列",IF(AND(SUMPRODUCT(--(INDEX(记账规则!$A$13:$H$32,MATCH($E110,记账规则!$A$13:$A$32,0),0)="@对方"))&gt;0,$G110=""),"这个类型要填对方科目",IF(AND($G110&lt;&gt;"",ISNA(MATCH($G110,会计科目表!$B$6:$B$85,0))),"对方科目不存在",IF(AND($E110="缴纳税费",$H110=""),"缴税请在费用项目里选税种",IF(AND($F110&lt;&gt;"",ISNA(MATCH($F110,往来单位!$A$6:$A$85,0))),"往来单位未建档",IF(YEAR($B110)&lt;&gt;参数设置!$B$5,"不在本会计年度",IF(AND($B109&lt;&gt;"",ISNUMBER($B109),$B110&lt;$B109),"日期比上一行早，余额按行序滚，建议按日期录","OK")))))))))))))))</f>
        <v/>
      </c>
      <c r="O110" s="58" t="str">
        <f aca="false">IF($B110="","",TEXT($B110,"yyyy-mm"))</f>
        <v/>
      </c>
      <c r="P110" s="60" t="str">
        <f aca="false">IF($E110="","",ROUND(N($I110)+N($J110),2))</f>
        <v/>
      </c>
      <c r="Q110" s="58" t="str">
        <f aca="false">IF($D110="","",IFERROR(INDEX(资金账户!$F$6:$F$25,MATCH($D110,资金账户!$B$6:$B$25,0)),""))</f>
        <v/>
      </c>
      <c r="R110" s="58" t="str">
        <f aca="false">IF($E110="","",IFERROR(IF(INDEX(记账规则!$A$13:$H$32,MATCH($E110,记账规则!$A$13:$A$32,0),4)="借","收","支"),""))</f>
        <v/>
      </c>
      <c r="S110" s="57" t="str">
        <f aca="false">IF($D110="","",ROUND(SUMIFS(资金账户!$H$6:$H$25,资金账户!$B$6:$B$25,$D110)+SUMIFS($I$6:$I110,$D$6:$D110,$D110)-SUMIFS($J$6:$J110,$D$6:$D110,$D110),2))</f>
        <v/>
      </c>
      <c r="T110" s="61" t="str">
        <f aca="false">IF($B110="","",YEAR($B110))</f>
        <v/>
      </c>
    </row>
    <row r="111" customFormat="false" ht="15" hidden="false" customHeight="false" outlineLevel="0" collapsed="false">
      <c r="A111" s="53" t="str">
        <f aca="false">IF($B111="","",ROW()-5)</f>
        <v/>
      </c>
      <c r="B111" s="54"/>
      <c r="C111" s="33"/>
      <c r="D111" s="33"/>
      <c r="E111" s="33"/>
      <c r="F111" s="32"/>
      <c r="G111" s="41"/>
      <c r="H111" s="39"/>
      <c r="I111" s="43"/>
      <c r="J111" s="43"/>
      <c r="K111" s="41"/>
      <c r="L111" s="39"/>
      <c r="M111" s="41"/>
      <c r="N111" s="25" t="str">
        <f aca="false">IF(AND($B111="",$E111="",$I111="",$J111=""),"",IF(NOT(ISNUMBER($B111)),"日期无效",IF(ISNA(MATCH($C111,参数设置!$A$10:$A$12,0)),"公司无效",IF(ISNA(MATCH($D111,资金账户!$B$6:$B$25,0)),"账户未建档",IF(ISNA(MATCH($E111,记账规则!$A$13:$A$32,0)),"业务类型无效",IF(AND(N($I111)&lt;&gt;0,N($J111)&lt;&gt;0),"收入和支出只能填一列",IF($P111=0,"金额为 0",IF(AND($R111="收",N($I111)=0),"这类业务是收款，金额填到收入列",IF(AND($R111="支",N($J111)=0),"这类业务是付款，金额填到支出列",IF(AND(SUMPRODUCT(--(INDEX(记账规则!$A$13:$H$32,MATCH($E111,记账规则!$A$13:$A$32,0),0)="@对方"))&gt;0,$G111=""),"这个类型要填对方科目",IF(AND($G111&lt;&gt;"",ISNA(MATCH($G111,会计科目表!$B$6:$B$85,0))),"对方科目不存在",IF(AND($E111="缴纳税费",$H111=""),"缴税请在费用项目里选税种",IF(AND($F111&lt;&gt;"",ISNA(MATCH($F111,往来单位!$A$6:$A$85,0))),"往来单位未建档",IF(YEAR($B111)&lt;&gt;参数设置!$B$5,"不在本会计年度",IF(AND($B110&lt;&gt;"",ISNUMBER($B110),$B111&lt;$B110),"日期比上一行早，余额按行序滚，建议按日期录","OK")))))))))))))))</f>
        <v/>
      </c>
      <c r="O111" s="58" t="str">
        <f aca="false">IF($B111="","",TEXT($B111,"yyyy-mm"))</f>
        <v/>
      </c>
      <c r="P111" s="60" t="str">
        <f aca="false">IF($E111="","",ROUND(N($I111)+N($J111),2))</f>
        <v/>
      </c>
      <c r="Q111" s="58" t="str">
        <f aca="false">IF($D111="","",IFERROR(INDEX(资金账户!$F$6:$F$25,MATCH($D111,资金账户!$B$6:$B$25,0)),""))</f>
        <v/>
      </c>
      <c r="R111" s="58" t="str">
        <f aca="false">IF($E111="","",IFERROR(IF(INDEX(记账规则!$A$13:$H$32,MATCH($E111,记账规则!$A$13:$A$32,0),4)="借","收","支"),""))</f>
        <v/>
      </c>
      <c r="S111" s="57" t="str">
        <f aca="false">IF($D111="","",ROUND(SUMIFS(资金账户!$H$6:$H$25,资金账户!$B$6:$B$25,$D111)+SUMIFS($I$6:$I111,$D$6:$D111,$D111)-SUMIFS($J$6:$J111,$D$6:$D111,$D111),2))</f>
        <v/>
      </c>
      <c r="T111" s="61" t="str">
        <f aca="false">IF($B111="","",YEAR($B111))</f>
        <v/>
      </c>
    </row>
    <row r="112" customFormat="false" ht="15" hidden="false" customHeight="false" outlineLevel="0" collapsed="false">
      <c r="A112" s="53" t="str">
        <f aca="false">IF($B112="","",ROW()-5)</f>
        <v/>
      </c>
      <c r="B112" s="54"/>
      <c r="C112" s="33"/>
      <c r="D112" s="33"/>
      <c r="E112" s="33"/>
      <c r="F112" s="32"/>
      <c r="G112" s="41"/>
      <c r="H112" s="39"/>
      <c r="I112" s="43"/>
      <c r="J112" s="43"/>
      <c r="K112" s="41"/>
      <c r="L112" s="39"/>
      <c r="M112" s="41"/>
      <c r="N112" s="25" t="str">
        <f aca="false">IF(AND($B112="",$E112="",$I112="",$J112=""),"",IF(NOT(ISNUMBER($B112)),"日期无效",IF(ISNA(MATCH($C112,参数设置!$A$10:$A$12,0)),"公司无效",IF(ISNA(MATCH($D112,资金账户!$B$6:$B$25,0)),"账户未建档",IF(ISNA(MATCH($E112,记账规则!$A$13:$A$32,0)),"业务类型无效",IF(AND(N($I112)&lt;&gt;0,N($J112)&lt;&gt;0),"收入和支出只能填一列",IF($P112=0,"金额为 0",IF(AND($R112="收",N($I112)=0),"这类业务是收款，金额填到收入列",IF(AND($R112="支",N($J112)=0),"这类业务是付款，金额填到支出列",IF(AND(SUMPRODUCT(--(INDEX(记账规则!$A$13:$H$32,MATCH($E112,记账规则!$A$13:$A$32,0),0)="@对方"))&gt;0,$G112=""),"这个类型要填对方科目",IF(AND($G112&lt;&gt;"",ISNA(MATCH($G112,会计科目表!$B$6:$B$85,0))),"对方科目不存在",IF(AND($E112="缴纳税费",$H112=""),"缴税请在费用项目里选税种",IF(AND($F112&lt;&gt;"",ISNA(MATCH($F112,往来单位!$A$6:$A$85,0))),"往来单位未建档",IF(YEAR($B112)&lt;&gt;参数设置!$B$5,"不在本会计年度",IF(AND($B111&lt;&gt;"",ISNUMBER($B111),$B112&lt;$B111),"日期比上一行早，余额按行序滚，建议按日期录","OK")))))))))))))))</f>
        <v/>
      </c>
      <c r="O112" s="58" t="str">
        <f aca="false">IF($B112="","",TEXT($B112,"yyyy-mm"))</f>
        <v/>
      </c>
      <c r="P112" s="60" t="str">
        <f aca="false">IF($E112="","",ROUND(N($I112)+N($J112),2))</f>
        <v/>
      </c>
      <c r="Q112" s="58" t="str">
        <f aca="false">IF($D112="","",IFERROR(INDEX(资金账户!$F$6:$F$25,MATCH($D112,资金账户!$B$6:$B$25,0)),""))</f>
        <v/>
      </c>
      <c r="R112" s="58" t="str">
        <f aca="false">IF($E112="","",IFERROR(IF(INDEX(记账规则!$A$13:$H$32,MATCH($E112,记账规则!$A$13:$A$32,0),4)="借","收","支"),""))</f>
        <v/>
      </c>
      <c r="S112" s="57" t="str">
        <f aca="false">IF($D112="","",ROUND(SUMIFS(资金账户!$H$6:$H$25,资金账户!$B$6:$B$25,$D112)+SUMIFS($I$6:$I112,$D$6:$D112,$D112)-SUMIFS($J$6:$J112,$D$6:$D112,$D112),2))</f>
        <v/>
      </c>
      <c r="T112" s="61" t="str">
        <f aca="false">IF($B112="","",YEAR($B112))</f>
        <v/>
      </c>
    </row>
    <row r="113" customFormat="false" ht="15" hidden="false" customHeight="false" outlineLevel="0" collapsed="false">
      <c r="A113" s="53" t="str">
        <f aca="false">IF($B113="","",ROW()-5)</f>
        <v/>
      </c>
      <c r="B113" s="54"/>
      <c r="C113" s="33"/>
      <c r="D113" s="33"/>
      <c r="E113" s="33"/>
      <c r="F113" s="32"/>
      <c r="G113" s="41"/>
      <c r="H113" s="39"/>
      <c r="I113" s="43"/>
      <c r="J113" s="43"/>
      <c r="K113" s="41"/>
      <c r="L113" s="39"/>
      <c r="M113" s="41"/>
      <c r="N113" s="25" t="str">
        <f aca="false">IF(AND($B113="",$E113="",$I113="",$J113=""),"",IF(NOT(ISNUMBER($B113)),"日期无效",IF(ISNA(MATCH($C113,参数设置!$A$10:$A$12,0)),"公司无效",IF(ISNA(MATCH($D113,资金账户!$B$6:$B$25,0)),"账户未建档",IF(ISNA(MATCH($E113,记账规则!$A$13:$A$32,0)),"业务类型无效",IF(AND(N($I113)&lt;&gt;0,N($J113)&lt;&gt;0),"收入和支出只能填一列",IF($P113=0,"金额为 0",IF(AND($R113="收",N($I113)=0),"这类业务是收款，金额填到收入列",IF(AND($R113="支",N($J113)=0),"这类业务是付款，金额填到支出列",IF(AND(SUMPRODUCT(--(INDEX(记账规则!$A$13:$H$32,MATCH($E113,记账规则!$A$13:$A$32,0),0)="@对方"))&gt;0,$G113=""),"这个类型要填对方科目",IF(AND($G113&lt;&gt;"",ISNA(MATCH($G113,会计科目表!$B$6:$B$85,0))),"对方科目不存在",IF(AND($E113="缴纳税费",$H113=""),"缴税请在费用项目里选税种",IF(AND($F113&lt;&gt;"",ISNA(MATCH($F113,往来单位!$A$6:$A$85,0))),"往来单位未建档",IF(YEAR($B113)&lt;&gt;参数设置!$B$5,"不在本会计年度",IF(AND($B112&lt;&gt;"",ISNUMBER($B112),$B113&lt;$B112),"日期比上一行早，余额按行序滚，建议按日期录","OK")))))))))))))))</f>
        <v/>
      </c>
      <c r="O113" s="58" t="str">
        <f aca="false">IF($B113="","",TEXT($B113,"yyyy-mm"))</f>
        <v/>
      </c>
      <c r="P113" s="60" t="str">
        <f aca="false">IF($E113="","",ROUND(N($I113)+N($J113),2))</f>
        <v/>
      </c>
      <c r="Q113" s="58" t="str">
        <f aca="false">IF($D113="","",IFERROR(INDEX(资金账户!$F$6:$F$25,MATCH($D113,资金账户!$B$6:$B$25,0)),""))</f>
        <v/>
      </c>
      <c r="R113" s="58" t="str">
        <f aca="false">IF($E113="","",IFERROR(IF(INDEX(记账规则!$A$13:$H$32,MATCH($E113,记账规则!$A$13:$A$32,0),4)="借","收","支"),""))</f>
        <v/>
      </c>
      <c r="S113" s="57" t="str">
        <f aca="false">IF($D113="","",ROUND(SUMIFS(资金账户!$H$6:$H$25,资金账户!$B$6:$B$25,$D113)+SUMIFS($I$6:$I113,$D$6:$D113,$D113)-SUMIFS($J$6:$J113,$D$6:$D113,$D113),2))</f>
        <v/>
      </c>
      <c r="T113" s="61" t="str">
        <f aca="false">IF($B113="","",YEAR($B113))</f>
        <v/>
      </c>
    </row>
    <row r="114" customFormat="false" ht="15" hidden="false" customHeight="false" outlineLevel="0" collapsed="false">
      <c r="A114" s="53" t="str">
        <f aca="false">IF($B114="","",ROW()-5)</f>
        <v/>
      </c>
      <c r="B114" s="54"/>
      <c r="C114" s="33"/>
      <c r="D114" s="33"/>
      <c r="E114" s="33"/>
      <c r="F114" s="32"/>
      <c r="G114" s="41"/>
      <c r="H114" s="39"/>
      <c r="I114" s="43"/>
      <c r="J114" s="43"/>
      <c r="K114" s="41"/>
      <c r="L114" s="39"/>
      <c r="M114" s="41"/>
      <c r="N114" s="25" t="str">
        <f aca="false">IF(AND($B114="",$E114="",$I114="",$J114=""),"",IF(NOT(ISNUMBER($B114)),"日期无效",IF(ISNA(MATCH($C114,参数设置!$A$10:$A$12,0)),"公司无效",IF(ISNA(MATCH($D114,资金账户!$B$6:$B$25,0)),"账户未建档",IF(ISNA(MATCH($E114,记账规则!$A$13:$A$32,0)),"业务类型无效",IF(AND(N($I114)&lt;&gt;0,N($J114)&lt;&gt;0),"收入和支出只能填一列",IF($P114=0,"金额为 0",IF(AND($R114="收",N($I114)=0),"这类业务是收款，金额填到收入列",IF(AND($R114="支",N($J114)=0),"这类业务是付款，金额填到支出列",IF(AND(SUMPRODUCT(--(INDEX(记账规则!$A$13:$H$32,MATCH($E114,记账规则!$A$13:$A$32,0),0)="@对方"))&gt;0,$G114=""),"这个类型要填对方科目",IF(AND($G114&lt;&gt;"",ISNA(MATCH($G114,会计科目表!$B$6:$B$85,0))),"对方科目不存在",IF(AND($E114="缴纳税费",$H114=""),"缴税请在费用项目里选税种",IF(AND($F114&lt;&gt;"",ISNA(MATCH($F114,往来单位!$A$6:$A$85,0))),"往来单位未建档",IF(YEAR($B114)&lt;&gt;参数设置!$B$5,"不在本会计年度",IF(AND($B113&lt;&gt;"",ISNUMBER($B113),$B114&lt;$B113),"日期比上一行早，余额按行序滚，建议按日期录","OK")))))))))))))))</f>
        <v/>
      </c>
      <c r="O114" s="58" t="str">
        <f aca="false">IF($B114="","",TEXT($B114,"yyyy-mm"))</f>
        <v/>
      </c>
      <c r="P114" s="60" t="str">
        <f aca="false">IF($E114="","",ROUND(N($I114)+N($J114),2))</f>
        <v/>
      </c>
      <c r="Q114" s="58" t="str">
        <f aca="false">IF($D114="","",IFERROR(INDEX(资金账户!$F$6:$F$25,MATCH($D114,资金账户!$B$6:$B$25,0)),""))</f>
        <v/>
      </c>
      <c r="R114" s="58" t="str">
        <f aca="false">IF($E114="","",IFERROR(IF(INDEX(记账规则!$A$13:$H$32,MATCH($E114,记账规则!$A$13:$A$32,0),4)="借","收","支"),""))</f>
        <v/>
      </c>
      <c r="S114" s="57" t="str">
        <f aca="false">IF($D114="","",ROUND(SUMIFS(资金账户!$H$6:$H$25,资金账户!$B$6:$B$25,$D114)+SUMIFS($I$6:$I114,$D$6:$D114,$D114)-SUMIFS($J$6:$J114,$D$6:$D114,$D114),2))</f>
        <v/>
      </c>
      <c r="T114" s="61" t="str">
        <f aca="false">IF($B114="","",YEAR($B114))</f>
        <v/>
      </c>
    </row>
    <row r="115" customFormat="false" ht="15" hidden="false" customHeight="false" outlineLevel="0" collapsed="false">
      <c r="A115" s="53" t="str">
        <f aca="false">IF($B115="","",ROW()-5)</f>
        <v/>
      </c>
      <c r="B115" s="54"/>
      <c r="C115" s="33"/>
      <c r="D115" s="33"/>
      <c r="E115" s="33"/>
      <c r="F115" s="32"/>
      <c r="G115" s="41"/>
      <c r="H115" s="39"/>
      <c r="I115" s="43"/>
      <c r="J115" s="43"/>
      <c r="K115" s="41"/>
      <c r="L115" s="39"/>
      <c r="M115" s="41"/>
      <c r="N115" s="25" t="str">
        <f aca="false">IF(AND($B115="",$E115="",$I115="",$J115=""),"",IF(NOT(ISNUMBER($B115)),"日期无效",IF(ISNA(MATCH($C115,参数设置!$A$10:$A$12,0)),"公司无效",IF(ISNA(MATCH($D115,资金账户!$B$6:$B$25,0)),"账户未建档",IF(ISNA(MATCH($E115,记账规则!$A$13:$A$32,0)),"业务类型无效",IF(AND(N($I115)&lt;&gt;0,N($J115)&lt;&gt;0),"收入和支出只能填一列",IF($P115=0,"金额为 0",IF(AND($R115="收",N($I115)=0),"这类业务是收款，金额填到收入列",IF(AND($R115="支",N($J115)=0),"这类业务是付款，金额填到支出列",IF(AND(SUMPRODUCT(--(INDEX(记账规则!$A$13:$H$32,MATCH($E115,记账规则!$A$13:$A$32,0),0)="@对方"))&gt;0,$G115=""),"这个类型要填对方科目",IF(AND($G115&lt;&gt;"",ISNA(MATCH($G115,会计科目表!$B$6:$B$85,0))),"对方科目不存在",IF(AND($E115="缴纳税费",$H115=""),"缴税请在费用项目里选税种",IF(AND($F115&lt;&gt;"",ISNA(MATCH($F115,往来单位!$A$6:$A$85,0))),"往来单位未建档",IF(YEAR($B115)&lt;&gt;参数设置!$B$5,"不在本会计年度",IF(AND($B114&lt;&gt;"",ISNUMBER($B114),$B115&lt;$B114),"日期比上一行早，余额按行序滚，建议按日期录","OK")))))))))))))))</f>
        <v/>
      </c>
      <c r="O115" s="58" t="str">
        <f aca="false">IF($B115="","",TEXT($B115,"yyyy-mm"))</f>
        <v/>
      </c>
      <c r="P115" s="60" t="str">
        <f aca="false">IF($E115="","",ROUND(N($I115)+N($J115),2))</f>
        <v/>
      </c>
      <c r="Q115" s="58" t="str">
        <f aca="false">IF($D115="","",IFERROR(INDEX(资金账户!$F$6:$F$25,MATCH($D115,资金账户!$B$6:$B$25,0)),""))</f>
        <v/>
      </c>
      <c r="R115" s="58" t="str">
        <f aca="false">IF($E115="","",IFERROR(IF(INDEX(记账规则!$A$13:$H$32,MATCH($E115,记账规则!$A$13:$A$32,0),4)="借","收","支"),""))</f>
        <v/>
      </c>
      <c r="S115" s="57" t="str">
        <f aca="false">IF($D115="","",ROUND(SUMIFS(资金账户!$H$6:$H$25,资金账户!$B$6:$B$25,$D115)+SUMIFS($I$6:$I115,$D$6:$D115,$D115)-SUMIFS($J$6:$J115,$D$6:$D115,$D115),2))</f>
        <v/>
      </c>
      <c r="T115" s="61" t="str">
        <f aca="false">IF($B115="","",YEAR($B115))</f>
        <v/>
      </c>
    </row>
    <row r="116" customFormat="false" ht="15" hidden="false" customHeight="false" outlineLevel="0" collapsed="false">
      <c r="A116" s="53" t="str">
        <f aca="false">IF($B116="","",ROW()-5)</f>
        <v/>
      </c>
      <c r="B116" s="54"/>
      <c r="C116" s="33"/>
      <c r="D116" s="33"/>
      <c r="E116" s="33"/>
      <c r="F116" s="32"/>
      <c r="G116" s="41"/>
      <c r="H116" s="39"/>
      <c r="I116" s="43"/>
      <c r="J116" s="43"/>
      <c r="K116" s="41"/>
      <c r="L116" s="39"/>
      <c r="M116" s="41"/>
      <c r="N116" s="25" t="str">
        <f aca="false">IF(AND($B116="",$E116="",$I116="",$J116=""),"",IF(NOT(ISNUMBER($B116)),"日期无效",IF(ISNA(MATCH($C116,参数设置!$A$10:$A$12,0)),"公司无效",IF(ISNA(MATCH($D116,资金账户!$B$6:$B$25,0)),"账户未建档",IF(ISNA(MATCH($E116,记账规则!$A$13:$A$32,0)),"业务类型无效",IF(AND(N($I116)&lt;&gt;0,N($J116)&lt;&gt;0),"收入和支出只能填一列",IF($P116=0,"金额为 0",IF(AND($R116="收",N($I116)=0),"这类业务是收款，金额填到收入列",IF(AND($R116="支",N($J116)=0),"这类业务是付款，金额填到支出列",IF(AND(SUMPRODUCT(--(INDEX(记账规则!$A$13:$H$32,MATCH($E116,记账规则!$A$13:$A$32,0),0)="@对方"))&gt;0,$G116=""),"这个类型要填对方科目",IF(AND($G116&lt;&gt;"",ISNA(MATCH($G116,会计科目表!$B$6:$B$85,0))),"对方科目不存在",IF(AND($E116="缴纳税费",$H116=""),"缴税请在费用项目里选税种",IF(AND($F116&lt;&gt;"",ISNA(MATCH($F116,往来单位!$A$6:$A$85,0))),"往来单位未建档",IF(YEAR($B116)&lt;&gt;参数设置!$B$5,"不在本会计年度",IF(AND($B115&lt;&gt;"",ISNUMBER($B115),$B116&lt;$B115),"日期比上一行早，余额按行序滚，建议按日期录","OK")))))))))))))))</f>
        <v/>
      </c>
      <c r="O116" s="58" t="str">
        <f aca="false">IF($B116="","",TEXT($B116,"yyyy-mm"))</f>
        <v/>
      </c>
      <c r="P116" s="60" t="str">
        <f aca="false">IF($E116="","",ROUND(N($I116)+N($J116),2))</f>
        <v/>
      </c>
      <c r="Q116" s="58" t="str">
        <f aca="false">IF($D116="","",IFERROR(INDEX(资金账户!$F$6:$F$25,MATCH($D116,资金账户!$B$6:$B$25,0)),""))</f>
        <v/>
      </c>
      <c r="R116" s="58" t="str">
        <f aca="false">IF($E116="","",IFERROR(IF(INDEX(记账规则!$A$13:$H$32,MATCH($E116,记账规则!$A$13:$A$32,0),4)="借","收","支"),""))</f>
        <v/>
      </c>
      <c r="S116" s="57" t="str">
        <f aca="false">IF($D116="","",ROUND(SUMIFS(资金账户!$H$6:$H$25,资金账户!$B$6:$B$25,$D116)+SUMIFS($I$6:$I116,$D$6:$D116,$D116)-SUMIFS($J$6:$J116,$D$6:$D116,$D116),2))</f>
        <v/>
      </c>
      <c r="T116" s="61" t="str">
        <f aca="false">IF($B116="","",YEAR($B116))</f>
        <v/>
      </c>
    </row>
    <row r="117" customFormat="false" ht="15" hidden="false" customHeight="false" outlineLevel="0" collapsed="false">
      <c r="A117" s="53" t="str">
        <f aca="false">IF($B117="","",ROW()-5)</f>
        <v/>
      </c>
      <c r="B117" s="54"/>
      <c r="C117" s="33"/>
      <c r="D117" s="33"/>
      <c r="E117" s="33"/>
      <c r="F117" s="32"/>
      <c r="G117" s="41"/>
      <c r="H117" s="39"/>
      <c r="I117" s="43"/>
      <c r="J117" s="43"/>
      <c r="K117" s="41"/>
      <c r="L117" s="39"/>
      <c r="M117" s="41"/>
      <c r="N117" s="25" t="str">
        <f aca="false">IF(AND($B117="",$E117="",$I117="",$J117=""),"",IF(NOT(ISNUMBER($B117)),"日期无效",IF(ISNA(MATCH($C117,参数设置!$A$10:$A$12,0)),"公司无效",IF(ISNA(MATCH($D117,资金账户!$B$6:$B$25,0)),"账户未建档",IF(ISNA(MATCH($E117,记账规则!$A$13:$A$32,0)),"业务类型无效",IF(AND(N($I117)&lt;&gt;0,N($J117)&lt;&gt;0),"收入和支出只能填一列",IF($P117=0,"金额为 0",IF(AND($R117="收",N($I117)=0),"这类业务是收款，金额填到收入列",IF(AND($R117="支",N($J117)=0),"这类业务是付款，金额填到支出列",IF(AND(SUMPRODUCT(--(INDEX(记账规则!$A$13:$H$32,MATCH($E117,记账规则!$A$13:$A$32,0),0)="@对方"))&gt;0,$G117=""),"这个类型要填对方科目",IF(AND($G117&lt;&gt;"",ISNA(MATCH($G117,会计科目表!$B$6:$B$85,0))),"对方科目不存在",IF(AND($E117="缴纳税费",$H117=""),"缴税请在费用项目里选税种",IF(AND($F117&lt;&gt;"",ISNA(MATCH($F117,往来单位!$A$6:$A$85,0))),"往来单位未建档",IF(YEAR($B117)&lt;&gt;参数设置!$B$5,"不在本会计年度",IF(AND($B116&lt;&gt;"",ISNUMBER($B116),$B117&lt;$B116),"日期比上一行早，余额按行序滚，建议按日期录","OK")))))))))))))))</f>
        <v/>
      </c>
      <c r="O117" s="58" t="str">
        <f aca="false">IF($B117="","",TEXT($B117,"yyyy-mm"))</f>
        <v/>
      </c>
      <c r="P117" s="60" t="str">
        <f aca="false">IF($E117="","",ROUND(N($I117)+N($J117),2))</f>
        <v/>
      </c>
      <c r="Q117" s="58" t="str">
        <f aca="false">IF($D117="","",IFERROR(INDEX(资金账户!$F$6:$F$25,MATCH($D117,资金账户!$B$6:$B$25,0)),""))</f>
        <v/>
      </c>
      <c r="R117" s="58" t="str">
        <f aca="false">IF($E117="","",IFERROR(IF(INDEX(记账规则!$A$13:$H$32,MATCH($E117,记账规则!$A$13:$A$32,0),4)="借","收","支"),""))</f>
        <v/>
      </c>
      <c r="S117" s="57" t="str">
        <f aca="false">IF($D117="","",ROUND(SUMIFS(资金账户!$H$6:$H$25,资金账户!$B$6:$B$25,$D117)+SUMIFS($I$6:$I117,$D$6:$D117,$D117)-SUMIFS($J$6:$J117,$D$6:$D117,$D117),2))</f>
        <v/>
      </c>
      <c r="T117" s="61" t="str">
        <f aca="false">IF($B117="","",YEAR($B117))</f>
        <v/>
      </c>
    </row>
    <row r="118" customFormat="false" ht="15" hidden="false" customHeight="false" outlineLevel="0" collapsed="false">
      <c r="A118" s="53" t="str">
        <f aca="false">IF($B118="","",ROW()-5)</f>
        <v/>
      </c>
      <c r="B118" s="54"/>
      <c r="C118" s="33"/>
      <c r="D118" s="33"/>
      <c r="E118" s="33"/>
      <c r="F118" s="32"/>
      <c r="G118" s="41"/>
      <c r="H118" s="39"/>
      <c r="I118" s="43"/>
      <c r="J118" s="43"/>
      <c r="K118" s="41"/>
      <c r="L118" s="39"/>
      <c r="M118" s="41"/>
      <c r="N118" s="25" t="str">
        <f aca="false">IF(AND($B118="",$E118="",$I118="",$J118=""),"",IF(NOT(ISNUMBER($B118)),"日期无效",IF(ISNA(MATCH($C118,参数设置!$A$10:$A$12,0)),"公司无效",IF(ISNA(MATCH($D118,资金账户!$B$6:$B$25,0)),"账户未建档",IF(ISNA(MATCH($E118,记账规则!$A$13:$A$32,0)),"业务类型无效",IF(AND(N($I118)&lt;&gt;0,N($J118)&lt;&gt;0),"收入和支出只能填一列",IF($P118=0,"金额为 0",IF(AND($R118="收",N($I118)=0),"这类业务是收款，金额填到收入列",IF(AND($R118="支",N($J118)=0),"这类业务是付款，金额填到支出列",IF(AND(SUMPRODUCT(--(INDEX(记账规则!$A$13:$H$32,MATCH($E118,记账规则!$A$13:$A$32,0),0)="@对方"))&gt;0,$G118=""),"这个类型要填对方科目",IF(AND($G118&lt;&gt;"",ISNA(MATCH($G118,会计科目表!$B$6:$B$85,0))),"对方科目不存在",IF(AND($E118="缴纳税费",$H118=""),"缴税请在费用项目里选税种",IF(AND($F118&lt;&gt;"",ISNA(MATCH($F118,往来单位!$A$6:$A$85,0))),"往来单位未建档",IF(YEAR($B118)&lt;&gt;参数设置!$B$5,"不在本会计年度",IF(AND($B117&lt;&gt;"",ISNUMBER($B117),$B118&lt;$B117),"日期比上一行早，余额按行序滚，建议按日期录","OK")))))))))))))))</f>
        <v/>
      </c>
      <c r="O118" s="58" t="str">
        <f aca="false">IF($B118="","",TEXT($B118,"yyyy-mm"))</f>
        <v/>
      </c>
      <c r="P118" s="60" t="str">
        <f aca="false">IF($E118="","",ROUND(N($I118)+N($J118),2))</f>
        <v/>
      </c>
      <c r="Q118" s="58" t="str">
        <f aca="false">IF($D118="","",IFERROR(INDEX(资金账户!$F$6:$F$25,MATCH($D118,资金账户!$B$6:$B$25,0)),""))</f>
        <v/>
      </c>
      <c r="R118" s="58" t="str">
        <f aca="false">IF($E118="","",IFERROR(IF(INDEX(记账规则!$A$13:$H$32,MATCH($E118,记账规则!$A$13:$A$32,0),4)="借","收","支"),""))</f>
        <v/>
      </c>
      <c r="S118" s="57" t="str">
        <f aca="false">IF($D118="","",ROUND(SUMIFS(资金账户!$H$6:$H$25,资金账户!$B$6:$B$25,$D118)+SUMIFS($I$6:$I118,$D$6:$D118,$D118)-SUMIFS($J$6:$J118,$D$6:$D118,$D118),2))</f>
        <v/>
      </c>
      <c r="T118" s="61" t="str">
        <f aca="false">IF($B118="","",YEAR($B118))</f>
        <v/>
      </c>
    </row>
    <row r="119" customFormat="false" ht="15" hidden="false" customHeight="false" outlineLevel="0" collapsed="false">
      <c r="A119" s="53" t="str">
        <f aca="false">IF($B119="","",ROW()-5)</f>
        <v/>
      </c>
      <c r="B119" s="54"/>
      <c r="C119" s="33"/>
      <c r="D119" s="33"/>
      <c r="E119" s="33"/>
      <c r="F119" s="32"/>
      <c r="G119" s="41"/>
      <c r="H119" s="39"/>
      <c r="I119" s="43"/>
      <c r="J119" s="43"/>
      <c r="K119" s="41"/>
      <c r="L119" s="39"/>
      <c r="M119" s="41"/>
      <c r="N119" s="25" t="str">
        <f aca="false">IF(AND($B119="",$E119="",$I119="",$J119=""),"",IF(NOT(ISNUMBER($B119)),"日期无效",IF(ISNA(MATCH($C119,参数设置!$A$10:$A$12,0)),"公司无效",IF(ISNA(MATCH($D119,资金账户!$B$6:$B$25,0)),"账户未建档",IF(ISNA(MATCH($E119,记账规则!$A$13:$A$32,0)),"业务类型无效",IF(AND(N($I119)&lt;&gt;0,N($J119)&lt;&gt;0),"收入和支出只能填一列",IF($P119=0,"金额为 0",IF(AND($R119="收",N($I119)=0),"这类业务是收款，金额填到收入列",IF(AND($R119="支",N($J119)=0),"这类业务是付款，金额填到支出列",IF(AND(SUMPRODUCT(--(INDEX(记账规则!$A$13:$H$32,MATCH($E119,记账规则!$A$13:$A$32,0),0)="@对方"))&gt;0,$G119=""),"这个类型要填对方科目",IF(AND($G119&lt;&gt;"",ISNA(MATCH($G119,会计科目表!$B$6:$B$85,0))),"对方科目不存在",IF(AND($E119="缴纳税费",$H119=""),"缴税请在费用项目里选税种",IF(AND($F119&lt;&gt;"",ISNA(MATCH($F119,往来单位!$A$6:$A$85,0))),"往来单位未建档",IF(YEAR($B119)&lt;&gt;参数设置!$B$5,"不在本会计年度",IF(AND($B118&lt;&gt;"",ISNUMBER($B118),$B119&lt;$B118),"日期比上一行早，余额按行序滚，建议按日期录","OK")))))))))))))))</f>
        <v/>
      </c>
      <c r="O119" s="58" t="str">
        <f aca="false">IF($B119="","",TEXT($B119,"yyyy-mm"))</f>
        <v/>
      </c>
      <c r="P119" s="60" t="str">
        <f aca="false">IF($E119="","",ROUND(N($I119)+N($J119),2))</f>
        <v/>
      </c>
      <c r="Q119" s="58" t="str">
        <f aca="false">IF($D119="","",IFERROR(INDEX(资金账户!$F$6:$F$25,MATCH($D119,资金账户!$B$6:$B$25,0)),""))</f>
        <v/>
      </c>
      <c r="R119" s="58" t="str">
        <f aca="false">IF($E119="","",IFERROR(IF(INDEX(记账规则!$A$13:$H$32,MATCH($E119,记账规则!$A$13:$A$32,0),4)="借","收","支"),""))</f>
        <v/>
      </c>
      <c r="S119" s="57" t="str">
        <f aca="false">IF($D119="","",ROUND(SUMIFS(资金账户!$H$6:$H$25,资金账户!$B$6:$B$25,$D119)+SUMIFS($I$6:$I119,$D$6:$D119,$D119)-SUMIFS($J$6:$J119,$D$6:$D119,$D119),2))</f>
        <v/>
      </c>
      <c r="T119" s="61" t="str">
        <f aca="false">IF($B119="","",YEAR($B119))</f>
        <v/>
      </c>
    </row>
    <row r="120" customFormat="false" ht="15" hidden="false" customHeight="false" outlineLevel="0" collapsed="false">
      <c r="A120" s="53" t="str">
        <f aca="false">IF($B120="","",ROW()-5)</f>
        <v/>
      </c>
      <c r="B120" s="54"/>
      <c r="C120" s="33"/>
      <c r="D120" s="33"/>
      <c r="E120" s="33"/>
      <c r="F120" s="32"/>
      <c r="G120" s="41"/>
      <c r="H120" s="39"/>
      <c r="I120" s="43"/>
      <c r="J120" s="43"/>
      <c r="K120" s="41"/>
      <c r="L120" s="39"/>
      <c r="M120" s="41"/>
      <c r="N120" s="25" t="str">
        <f aca="false">IF(AND($B120="",$E120="",$I120="",$J120=""),"",IF(NOT(ISNUMBER($B120)),"日期无效",IF(ISNA(MATCH($C120,参数设置!$A$10:$A$12,0)),"公司无效",IF(ISNA(MATCH($D120,资金账户!$B$6:$B$25,0)),"账户未建档",IF(ISNA(MATCH($E120,记账规则!$A$13:$A$32,0)),"业务类型无效",IF(AND(N($I120)&lt;&gt;0,N($J120)&lt;&gt;0),"收入和支出只能填一列",IF($P120=0,"金额为 0",IF(AND($R120="收",N($I120)=0),"这类业务是收款，金额填到收入列",IF(AND($R120="支",N($J120)=0),"这类业务是付款，金额填到支出列",IF(AND(SUMPRODUCT(--(INDEX(记账规则!$A$13:$H$32,MATCH($E120,记账规则!$A$13:$A$32,0),0)="@对方"))&gt;0,$G120=""),"这个类型要填对方科目",IF(AND($G120&lt;&gt;"",ISNA(MATCH($G120,会计科目表!$B$6:$B$85,0))),"对方科目不存在",IF(AND($E120="缴纳税费",$H120=""),"缴税请在费用项目里选税种",IF(AND($F120&lt;&gt;"",ISNA(MATCH($F120,往来单位!$A$6:$A$85,0))),"往来单位未建档",IF(YEAR($B120)&lt;&gt;参数设置!$B$5,"不在本会计年度",IF(AND($B119&lt;&gt;"",ISNUMBER($B119),$B120&lt;$B119),"日期比上一行早，余额按行序滚，建议按日期录","OK")))))))))))))))</f>
        <v/>
      </c>
      <c r="O120" s="58" t="str">
        <f aca="false">IF($B120="","",TEXT($B120,"yyyy-mm"))</f>
        <v/>
      </c>
      <c r="P120" s="60" t="str">
        <f aca="false">IF($E120="","",ROUND(N($I120)+N($J120),2))</f>
        <v/>
      </c>
      <c r="Q120" s="58" t="str">
        <f aca="false">IF($D120="","",IFERROR(INDEX(资金账户!$F$6:$F$25,MATCH($D120,资金账户!$B$6:$B$25,0)),""))</f>
        <v/>
      </c>
      <c r="R120" s="58" t="str">
        <f aca="false">IF($E120="","",IFERROR(IF(INDEX(记账规则!$A$13:$H$32,MATCH($E120,记账规则!$A$13:$A$32,0),4)="借","收","支"),""))</f>
        <v/>
      </c>
      <c r="S120" s="57" t="str">
        <f aca="false">IF($D120="","",ROUND(SUMIFS(资金账户!$H$6:$H$25,资金账户!$B$6:$B$25,$D120)+SUMIFS($I$6:$I120,$D$6:$D120,$D120)-SUMIFS($J$6:$J120,$D$6:$D120,$D120),2))</f>
        <v/>
      </c>
      <c r="T120" s="61" t="str">
        <f aca="false">IF($B120="","",YEAR($B120))</f>
        <v/>
      </c>
    </row>
    <row r="121" customFormat="false" ht="15" hidden="false" customHeight="false" outlineLevel="0" collapsed="false">
      <c r="A121" s="53" t="str">
        <f aca="false">IF($B121="","",ROW()-5)</f>
        <v/>
      </c>
      <c r="B121" s="54"/>
      <c r="C121" s="33"/>
      <c r="D121" s="33"/>
      <c r="E121" s="33"/>
      <c r="F121" s="32"/>
      <c r="G121" s="41"/>
      <c r="H121" s="39"/>
      <c r="I121" s="43"/>
      <c r="J121" s="43"/>
      <c r="K121" s="41"/>
      <c r="L121" s="39"/>
      <c r="M121" s="41"/>
      <c r="N121" s="25" t="str">
        <f aca="false">IF(AND($B121="",$E121="",$I121="",$J121=""),"",IF(NOT(ISNUMBER($B121)),"日期无效",IF(ISNA(MATCH($C121,参数设置!$A$10:$A$12,0)),"公司无效",IF(ISNA(MATCH($D121,资金账户!$B$6:$B$25,0)),"账户未建档",IF(ISNA(MATCH($E121,记账规则!$A$13:$A$32,0)),"业务类型无效",IF(AND(N($I121)&lt;&gt;0,N($J121)&lt;&gt;0),"收入和支出只能填一列",IF($P121=0,"金额为 0",IF(AND($R121="收",N($I121)=0),"这类业务是收款，金额填到收入列",IF(AND($R121="支",N($J121)=0),"这类业务是付款，金额填到支出列",IF(AND(SUMPRODUCT(--(INDEX(记账规则!$A$13:$H$32,MATCH($E121,记账规则!$A$13:$A$32,0),0)="@对方"))&gt;0,$G121=""),"这个类型要填对方科目",IF(AND($G121&lt;&gt;"",ISNA(MATCH($G121,会计科目表!$B$6:$B$85,0))),"对方科目不存在",IF(AND($E121="缴纳税费",$H121=""),"缴税请在费用项目里选税种",IF(AND($F121&lt;&gt;"",ISNA(MATCH($F121,往来单位!$A$6:$A$85,0))),"往来单位未建档",IF(YEAR($B121)&lt;&gt;参数设置!$B$5,"不在本会计年度",IF(AND($B120&lt;&gt;"",ISNUMBER($B120),$B121&lt;$B120),"日期比上一行早，余额按行序滚，建议按日期录","OK")))))))))))))))</f>
        <v/>
      </c>
      <c r="O121" s="58" t="str">
        <f aca="false">IF($B121="","",TEXT($B121,"yyyy-mm"))</f>
        <v/>
      </c>
      <c r="P121" s="60" t="str">
        <f aca="false">IF($E121="","",ROUND(N($I121)+N($J121),2))</f>
        <v/>
      </c>
      <c r="Q121" s="58" t="str">
        <f aca="false">IF($D121="","",IFERROR(INDEX(资金账户!$F$6:$F$25,MATCH($D121,资金账户!$B$6:$B$25,0)),""))</f>
        <v/>
      </c>
      <c r="R121" s="58" t="str">
        <f aca="false">IF($E121="","",IFERROR(IF(INDEX(记账规则!$A$13:$H$32,MATCH($E121,记账规则!$A$13:$A$32,0),4)="借","收","支"),""))</f>
        <v/>
      </c>
      <c r="S121" s="57" t="str">
        <f aca="false">IF($D121="","",ROUND(SUMIFS(资金账户!$H$6:$H$25,资金账户!$B$6:$B$25,$D121)+SUMIFS($I$6:$I121,$D$6:$D121,$D121)-SUMIFS($J$6:$J121,$D$6:$D121,$D121),2))</f>
        <v/>
      </c>
      <c r="T121" s="61" t="str">
        <f aca="false">IF($B121="","",YEAR($B121))</f>
        <v/>
      </c>
    </row>
    <row r="122" customFormat="false" ht="15" hidden="false" customHeight="false" outlineLevel="0" collapsed="false">
      <c r="A122" s="53" t="str">
        <f aca="false">IF($B122="","",ROW()-5)</f>
        <v/>
      </c>
      <c r="B122" s="54"/>
      <c r="C122" s="33"/>
      <c r="D122" s="33"/>
      <c r="E122" s="33"/>
      <c r="F122" s="32"/>
      <c r="G122" s="41"/>
      <c r="H122" s="39"/>
      <c r="I122" s="43"/>
      <c r="J122" s="43"/>
      <c r="K122" s="41"/>
      <c r="L122" s="39"/>
      <c r="M122" s="41"/>
      <c r="N122" s="25" t="str">
        <f aca="false">IF(AND($B122="",$E122="",$I122="",$J122=""),"",IF(NOT(ISNUMBER($B122)),"日期无效",IF(ISNA(MATCH($C122,参数设置!$A$10:$A$12,0)),"公司无效",IF(ISNA(MATCH($D122,资金账户!$B$6:$B$25,0)),"账户未建档",IF(ISNA(MATCH($E122,记账规则!$A$13:$A$32,0)),"业务类型无效",IF(AND(N($I122)&lt;&gt;0,N($J122)&lt;&gt;0),"收入和支出只能填一列",IF($P122=0,"金额为 0",IF(AND($R122="收",N($I122)=0),"这类业务是收款，金额填到收入列",IF(AND($R122="支",N($J122)=0),"这类业务是付款，金额填到支出列",IF(AND(SUMPRODUCT(--(INDEX(记账规则!$A$13:$H$32,MATCH($E122,记账规则!$A$13:$A$32,0),0)="@对方"))&gt;0,$G122=""),"这个类型要填对方科目",IF(AND($G122&lt;&gt;"",ISNA(MATCH($G122,会计科目表!$B$6:$B$85,0))),"对方科目不存在",IF(AND($E122="缴纳税费",$H122=""),"缴税请在费用项目里选税种",IF(AND($F122&lt;&gt;"",ISNA(MATCH($F122,往来单位!$A$6:$A$85,0))),"往来单位未建档",IF(YEAR($B122)&lt;&gt;参数设置!$B$5,"不在本会计年度",IF(AND($B121&lt;&gt;"",ISNUMBER($B121),$B122&lt;$B121),"日期比上一行早，余额按行序滚，建议按日期录","OK")))))))))))))))</f>
        <v/>
      </c>
      <c r="O122" s="58" t="str">
        <f aca="false">IF($B122="","",TEXT($B122,"yyyy-mm"))</f>
        <v/>
      </c>
      <c r="P122" s="60" t="str">
        <f aca="false">IF($E122="","",ROUND(N($I122)+N($J122),2))</f>
        <v/>
      </c>
      <c r="Q122" s="58" t="str">
        <f aca="false">IF($D122="","",IFERROR(INDEX(资金账户!$F$6:$F$25,MATCH($D122,资金账户!$B$6:$B$25,0)),""))</f>
        <v/>
      </c>
      <c r="R122" s="58" t="str">
        <f aca="false">IF($E122="","",IFERROR(IF(INDEX(记账规则!$A$13:$H$32,MATCH($E122,记账规则!$A$13:$A$32,0),4)="借","收","支"),""))</f>
        <v/>
      </c>
      <c r="S122" s="57" t="str">
        <f aca="false">IF($D122="","",ROUND(SUMIFS(资金账户!$H$6:$H$25,资金账户!$B$6:$B$25,$D122)+SUMIFS($I$6:$I122,$D$6:$D122,$D122)-SUMIFS($J$6:$J122,$D$6:$D122,$D122),2))</f>
        <v/>
      </c>
      <c r="T122" s="61" t="str">
        <f aca="false">IF($B122="","",YEAR($B122))</f>
        <v/>
      </c>
    </row>
    <row r="123" customFormat="false" ht="15" hidden="false" customHeight="false" outlineLevel="0" collapsed="false">
      <c r="A123" s="53" t="str">
        <f aca="false">IF($B123="","",ROW()-5)</f>
        <v/>
      </c>
      <c r="B123" s="54"/>
      <c r="C123" s="33"/>
      <c r="D123" s="33"/>
      <c r="E123" s="33"/>
      <c r="F123" s="32"/>
      <c r="G123" s="41"/>
      <c r="H123" s="39"/>
      <c r="I123" s="43"/>
      <c r="J123" s="43"/>
      <c r="K123" s="41"/>
      <c r="L123" s="39"/>
      <c r="M123" s="41"/>
      <c r="N123" s="25" t="str">
        <f aca="false">IF(AND($B123="",$E123="",$I123="",$J123=""),"",IF(NOT(ISNUMBER($B123)),"日期无效",IF(ISNA(MATCH($C123,参数设置!$A$10:$A$12,0)),"公司无效",IF(ISNA(MATCH($D123,资金账户!$B$6:$B$25,0)),"账户未建档",IF(ISNA(MATCH($E123,记账规则!$A$13:$A$32,0)),"业务类型无效",IF(AND(N($I123)&lt;&gt;0,N($J123)&lt;&gt;0),"收入和支出只能填一列",IF($P123=0,"金额为 0",IF(AND($R123="收",N($I123)=0),"这类业务是收款，金额填到收入列",IF(AND($R123="支",N($J123)=0),"这类业务是付款，金额填到支出列",IF(AND(SUMPRODUCT(--(INDEX(记账规则!$A$13:$H$32,MATCH($E123,记账规则!$A$13:$A$32,0),0)="@对方"))&gt;0,$G123=""),"这个类型要填对方科目",IF(AND($G123&lt;&gt;"",ISNA(MATCH($G123,会计科目表!$B$6:$B$85,0))),"对方科目不存在",IF(AND($E123="缴纳税费",$H123=""),"缴税请在费用项目里选税种",IF(AND($F123&lt;&gt;"",ISNA(MATCH($F123,往来单位!$A$6:$A$85,0))),"往来单位未建档",IF(YEAR($B123)&lt;&gt;参数设置!$B$5,"不在本会计年度",IF(AND($B122&lt;&gt;"",ISNUMBER($B122),$B123&lt;$B122),"日期比上一行早，余额按行序滚，建议按日期录","OK")))))))))))))))</f>
        <v/>
      </c>
      <c r="O123" s="58" t="str">
        <f aca="false">IF($B123="","",TEXT($B123,"yyyy-mm"))</f>
        <v/>
      </c>
      <c r="P123" s="60" t="str">
        <f aca="false">IF($E123="","",ROUND(N($I123)+N($J123),2))</f>
        <v/>
      </c>
      <c r="Q123" s="58" t="str">
        <f aca="false">IF($D123="","",IFERROR(INDEX(资金账户!$F$6:$F$25,MATCH($D123,资金账户!$B$6:$B$25,0)),""))</f>
        <v/>
      </c>
      <c r="R123" s="58" t="str">
        <f aca="false">IF($E123="","",IFERROR(IF(INDEX(记账规则!$A$13:$H$32,MATCH($E123,记账规则!$A$13:$A$32,0),4)="借","收","支"),""))</f>
        <v/>
      </c>
      <c r="S123" s="57" t="str">
        <f aca="false">IF($D123="","",ROUND(SUMIFS(资金账户!$H$6:$H$25,资金账户!$B$6:$B$25,$D123)+SUMIFS($I$6:$I123,$D$6:$D123,$D123)-SUMIFS($J$6:$J123,$D$6:$D123,$D123),2))</f>
        <v/>
      </c>
      <c r="T123" s="61" t="str">
        <f aca="false">IF($B123="","",YEAR($B123))</f>
        <v/>
      </c>
    </row>
    <row r="124" customFormat="false" ht="15" hidden="false" customHeight="false" outlineLevel="0" collapsed="false">
      <c r="A124" s="53" t="str">
        <f aca="false">IF($B124="","",ROW()-5)</f>
        <v/>
      </c>
      <c r="B124" s="54"/>
      <c r="C124" s="33"/>
      <c r="D124" s="33"/>
      <c r="E124" s="33"/>
      <c r="F124" s="32"/>
      <c r="G124" s="41"/>
      <c r="H124" s="39"/>
      <c r="I124" s="43"/>
      <c r="J124" s="43"/>
      <c r="K124" s="41"/>
      <c r="L124" s="39"/>
      <c r="M124" s="41"/>
      <c r="N124" s="25" t="str">
        <f aca="false">IF(AND($B124="",$E124="",$I124="",$J124=""),"",IF(NOT(ISNUMBER($B124)),"日期无效",IF(ISNA(MATCH($C124,参数设置!$A$10:$A$12,0)),"公司无效",IF(ISNA(MATCH($D124,资金账户!$B$6:$B$25,0)),"账户未建档",IF(ISNA(MATCH($E124,记账规则!$A$13:$A$32,0)),"业务类型无效",IF(AND(N($I124)&lt;&gt;0,N($J124)&lt;&gt;0),"收入和支出只能填一列",IF($P124=0,"金额为 0",IF(AND($R124="收",N($I124)=0),"这类业务是收款，金额填到收入列",IF(AND($R124="支",N($J124)=0),"这类业务是付款，金额填到支出列",IF(AND(SUMPRODUCT(--(INDEX(记账规则!$A$13:$H$32,MATCH($E124,记账规则!$A$13:$A$32,0),0)="@对方"))&gt;0,$G124=""),"这个类型要填对方科目",IF(AND($G124&lt;&gt;"",ISNA(MATCH($G124,会计科目表!$B$6:$B$85,0))),"对方科目不存在",IF(AND($E124="缴纳税费",$H124=""),"缴税请在费用项目里选税种",IF(AND($F124&lt;&gt;"",ISNA(MATCH($F124,往来单位!$A$6:$A$85,0))),"往来单位未建档",IF(YEAR($B124)&lt;&gt;参数设置!$B$5,"不在本会计年度",IF(AND($B123&lt;&gt;"",ISNUMBER($B123),$B124&lt;$B123),"日期比上一行早，余额按行序滚，建议按日期录","OK")))))))))))))))</f>
        <v/>
      </c>
      <c r="O124" s="58" t="str">
        <f aca="false">IF($B124="","",TEXT($B124,"yyyy-mm"))</f>
        <v/>
      </c>
      <c r="P124" s="60" t="str">
        <f aca="false">IF($E124="","",ROUND(N($I124)+N($J124),2))</f>
        <v/>
      </c>
      <c r="Q124" s="58" t="str">
        <f aca="false">IF($D124="","",IFERROR(INDEX(资金账户!$F$6:$F$25,MATCH($D124,资金账户!$B$6:$B$25,0)),""))</f>
        <v/>
      </c>
      <c r="R124" s="58" t="str">
        <f aca="false">IF($E124="","",IFERROR(IF(INDEX(记账规则!$A$13:$H$32,MATCH($E124,记账规则!$A$13:$A$32,0),4)="借","收","支"),""))</f>
        <v/>
      </c>
      <c r="S124" s="57" t="str">
        <f aca="false">IF($D124="","",ROUND(SUMIFS(资金账户!$H$6:$H$25,资金账户!$B$6:$B$25,$D124)+SUMIFS($I$6:$I124,$D$6:$D124,$D124)-SUMIFS($J$6:$J124,$D$6:$D124,$D124),2))</f>
        <v/>
      </c>
      <c r="T124" s="61" t="str">
        <f aca="false">IF($B124="","",YEAR($B124))</f>
        <v/>
      </c>
    </row>
    <row r="125" customFormat="false" ht="15" hidden="false" customHeight="false" outlineLevel="0" collapsed="false">
      <c r="A125" s="53" t="str">
        <f aca="false">IF($B125="","",ROW()-5)</f>
        <v/>
      </c>
      <c r="B125" s="54"/>
      <c r="C125" s="33"/>
      <c r="D125" s="33"/>
      <c r="E125" s="33"/>
      <c r="F125" s="32"/>
      <c r="G125" s="41"/>
      <c r="H125" s="39"/>
      <c r="I125" s="43"/>
      <c r="J125" s="43"/>
      <c r="K125" s="41"/>
      <c r="L125" s="39"/>
      <c r="M125" s="41"/>
      <c r="N125" s="25" t="str">
        <f aca="false">IF(AND($B125="",$E125="",$I125="",$J125=""),"",IF(NOT(ISNUMBER($B125)),"日期无效",IF(ISNA(MATCH($C125,参数设置!$A$10:$A$12,0)),"公司无效",IF(ISNA(MATCH($D125,资金账户!$B$6:$B$25,0)),"账户未建档",IF(ISNA(MATCH($E125,记账规则!$A$13:$A$32,0)),"业务类型无效",IF(AND(N($I125)&lt;&gt;0,N($J125)&lt;&gt;0),"收入和支出只能填一列",IF($P125=0,"金额为 0",IF(AND($R125="收",N($I125)=0),"这类业务是收款，金额填到收入列",IF(AND($R125="支",N($J125)=0),"这类业务是付款，金额填到支出列",IF(AND(SUMPRODUCT(--(INDEX(记账规则!$A$13:$H$32,MATCH($E125,记账规则!$A$13:$A$32,0),0)="@对方"))&gt;0,$G125=""),"这个类型要填对方科目",IF(AND($G125&lt;&gt;"",ISNA(MATCH($G125,会计科目表!$B$6:$B$85,0))),"对方科目不存在",IF(AND($E125="缴纳税费",$H125=""),"缴税请在费用项目里选税种",IF(AND($F125&lt;&gt;"",ISNA(MATCH($F125,往来单位!$A$6:$A$85,0))),"往来单位未建档",IF(YEAR($B125)&lt;&gt;参数设置!$B$5,"不在本会计年度",IF(AND($B124&lt;&gt;"",ISNUMBER($B124),$B125&lt;$B124),"日期比上一行早，余额按行序滚，建议按日期录","OK")))))))))))))))</f>
        <v/>
      </c>
      <c r="O125" s="58" t="str">
        <f aca="false">IF($B125="","",TEXT($B125,"yyyy-mm"))</f>
        <v/>
      </c>
      <c r="P125" s="60" t="str">
        <f aca="false">IF($E125="","",ROUND(N($I125)+N($J125),2))</f>
        <v/>
      </c>
      <c r="Q125" s="58" t="str">
        <f aca="false">IF($D125="","",IFERROR(INDEX(资金账户!$F$6:$F$25,MATCH($D125,资金账户!$B$6:$B$25,0)),""))</f>
        <v/>
      </c>
      <c r="R125" s="58" t="str">
        <f aca="false">IF($E125="","",IFERROR(IF(INDEX(记账规则!$A$13:$H$32,MATCH($E125,记账规则!$A$13:$A$32,0),4)="借","收","支"),""))</f>
        <v/>
      </c>
      <c r="S125" s="57" t="str">
        <f aca="false">IF($D125="","",ROUND(SUMIFS(资金账户!$H$6:$H$25,资金账户!$B$6:$B$25,$D125)+SUMIFS($I$6:$I125,$D$6:$D125,$D125)-SUMIFS($J$6:$J125,$D$6:$D125,$D125),2))</f>
        <v/>
      </c>
      <c r="T125" s="61" t="str">
        <f aca="false">IF($B125="","",YEAR($B125))</f>
        <v/>
      </c>
    </row>
    <row r="126" customFormat="false" ht="15" hidden="false" customHeight="false" outlineLevel="0" collapsed="false">
      <c r="A126" s="53" t="str">
        <f aca="false">IF($B126="","",ROW()-5)</f>
        <v/>
      </c>
      <c r="B126" s="54"/>
      <c r="C126" s="33"/>
      <c r="D126" s="33"/>
      <c r="E126" s="33"/>
      <c r="F126" s="32"/>
      <c r="G126" s="41"/>
      <c r="H126" s="39"/>
      <c r="I126" s="43"/>
      <c r="J126" s="43"/>
      <c r="K126" s="41"/>
      <c r="L126" s="39"/>
      <c r="M126" s="41"/>
      <c r="N126" s="25" t="str">
        <f aca="false">IF(AND($B126="",$E126="",$I126="",$J126=""),"",IF(NOT(ISNUMBER($B126)),"日期无效",IF(ISNA(MATCH($C126,参数设置!$A$10:$A$12,0)),"公司无效",IF(ISNA(MATCH($D126,资金账户!$B$6:$B$25,0)),"账户未建档",IF(ISNA(MATCH($E126,记账规则!$A$13:$A$32,0)),"业务类型无效",IF(AND(N($I126)&lt;&gt;0,N($J126)&lt;&gt;0),"收入和支出只能填一列",IF($P126=0,"金额为 0",IF(AND($R126="收",N($I126)=0),"这类业务是收款，金额填到收入列",IF(AND($R126="支",N($J126)=0),"这类业务是付款，金额填到支出列",IF(AND(SUMPRODUCT(--(INDEX(记账规则!$A$13:$H$32,MATCH($E126,记账规则!$A$13:$A$32,0),0)="@对方"))&gt;0,$G126=""),"这个类型要填对方科目",IF(AND($G126&lt;&gt;"",ISNA(MATCH($G126,会计科目表!$B$6:$B$85,0))),"对方科目不存在",IF(AND($E126="缴纳税费",$H126=""),"缴税请在费用项目里选税种",IF(AND($F126&lt;&gt;"",ISNA(MATCH($F126,往来单位!$A$6:$A$85,0))),"往来单位未建档",IF(YEAR($B126)&lt;&gt;参数设置!$B$5,"不在本会计年度",IF(AND($B125&lt;&gt;"",ISNUMBER($B125),$B126&lt;$B125),"日期比上一行早，余额按行序滚，建议按日期录","OK")))))))))))))))</f>
        <v/>
      </c>
      <c r="O126" s="58" t="str">
        <f aca="false">IF($B126="","",TEXT($B126,"yyyy-mm"))</f>
        <v/>
      </c>
      <c r="P126" s="60" t="str">
        <f aca="false">IF($E126="","",ROUND(N($I126)+N($J126),2))</f>
        <v/>
      </c>
      <c r="Q126" s="58" t="str">
        <f aca="false">IF($D126="","",IFERROR(INDEX(资金账户!$F$6:$F$25,MATCH($D126,资金账户!$B$6:$B$25,0)),""))</f>
        <v/>
      </c>
      <c r="R126" s="58" t="str">
        <f aca="false">IF($E126="","",IFERROR(IF(INDEX(记账规则!$A$13:$H$32,MATCH($E126,记账规则!$A$13:$A$32,0),4)="借","收","支"),""))</f>
        <v/>
      </c>
      <c r="S126" s="57" t="str">
        <f aca="false">IF($D126="","",ROUND(SUMIFS(资金账户!$H$6:$H$25,资金账户!$B$6:$B$25,$D126)+SUMIFS($I$6:$I126,$D$6:$D126,$D126)-SUMIFS($J$6:$J126,$D$6:$D126,$D126),2))</f>
        <v/>
      </c>
      <c r="T126" s="61" t="str">
        <f aca="false">IF($B126="","",YEAR($B126))</f>
        <v/>
      </c>
    </row>
    <row r="127" customFormat="false" ht="15" hidden="false" customHeight="false" outlineLevel="0" collapsed="false">
      <c r="A127" s="53" t="str">
        <f aca="false">IF($B127="","",ROW()-5)</f>
        <v/>
      </c>
      <c r="B127" s="54"/>
      <c r="C127" s="33"/>
      <c r="D127" s="33"/>
      <c r="E127" s="33"/>
      <c r="F127" s="32"/>
      <c r="G127" s="41"/>
      <c r="H127" s="39"/>
      <c r="I127" s="43"/>
      <c r="J127" s="43"/>
      <c r="K127" s="41"/>
      <c r="L127" s="39"/>
      <c r="M127" s="41"/>
      <c r="N127" s="25" t="str">
        <f aca="false">IF(AND($B127="",$E127="",$I127="",$J127=""),"",IF(NOT(ISNUMBER($B127)),"日期无效",IF(ISNA(MATCH($C127,参数设置!$A$10:$A$12,0)),"公司无效",IF(ISNA(MATCH($D127,资金账户!$B$6:$B$25,0)),"账户未建档",IF(ISNA(MATCH($E127,记账规则!$A$13:$A$32,0)),"业务类型无效",IF(AND(N($I127)&lt;&gt;0,N($J127)&lt;&gt;0),"收入和支出只能填一列",IF($P127=0,"金额为 0",IF(AND($R127="收",N($I127)=0),"这类业务是收款，金额填到收入列",IF(AND($R127="支",N($J127)=0),"这类业务是付款，金额填到支出列",IF(AND(SUMPRODUCT(--(INDEX(记账规则!$A$13:$H$32,MATCH($E127,记账规则!$A$13:$A$32,0),0)="@对方"))&gt;0,$G127=""),"这个类型要填对方科目",IF(AND($G127&lt;&gt;"",ISNA(MATCH($G127,会计科目表!$B$6:$B$85,0))),"对方科目不存在",IF(AND($E127="缴纳税费",$H127=""),"缴税请在费用项目里选税种",IF(AND($F127&lt;&gt;"",ISNA(MATCH($F127,往来单位!$A$6:$A$85,0))),"往来单位未建档",IF(YEAR($B127)&lt;&gt;参数设置!$B$5,"不在本会计年度",IF(AND($B126&lt;&gt;"",ISNUMBER($B126),$B127&lt;$B126),"日期比上一行早，余额按行序滚，建议按日期录","OK")))))))))))))))</f>
        <v/>
      </c>
      <c r="O127" s="58" t="str">
        <f aca="false">IF($B127="","",TEXT($B127,"yyyy-mm"))</f>
        <v/>
      </c>
      <c r="P127" s="60" t="str">
        <f aca="false">IF($E127="","",ROUND(N($I127)+N($J127),2))</f>
        <v/>
      </c>
      <c r="Q127" s="58" t="str">
        <f aca="false">IF($D127="","",IFERROR(INDEX(资金账户!$F$6:$F$25,MATCH($D127,资金账户!$B$6:$B$25,0)),""))</f>
        <v/>
      </c>
      <c r="R127" s="58" t="str">
        <f aca="false">IF($E127="","",IFERROR(IF(INDEX(记账规则!$A$13:$H$32,MATCH($E127,记账规则!$A$13:$A$32,0),4)="借","收","支"),""))</f>
        <v/>
      </c>
      <c r="S127" s="57" t="str">
        <f aca="false">IF($D127="","",ROUND(SUMIFS(资金账户!$H$6:$H$25,资金账户!$B$6:$B$25,$D127)+SUMIFS($I$6:$I127,$D$6:$D127,$D127)-SUMIFS($J$6:$J127,$D$6:$D127,$D127),2))</f>
        <v/>
      </c>
      <c r="T127" s="61" t="str">
        <f aca="false">IF($B127="","",YEAR($B127))</f>
        <v/>
      </c>
    </row>
    <row r="128" customFormat="false" ht="15" hidden="false" customHeight="false" outlineLevel="0" collapsed="false">
      <c r="A128" s="53" t="str">
        <f aca="false">IF($B128="","",ROW()-5)</f>
        <v/>
      </c>
      <c r="B128" s="54"/>
      <c r="C128" s="33"/>
      <c r="D128" s="33"/>
      <c r="E128" s="33"/>
      <c r="F128" s="32"/>
      <c r="G128" s="41"/>
      <c r="H128" s="39"/>
      <c r="I128" s="43"/>
      <c r="J128" s="43"/>
      <c r="K128" s="41"/>
      <c r="L128" s="39"/>
      <c r="M128" s="41"/>
      <c r="N128" s="25" t="str">
        <f aca="false">IF(AND($B128="",$E128="",$I128="",$J128=""),"",IF(NOT(ISNUMBER($B128)),"日期无效",IF(ISNA(MATCH($C128,参数设置!$A$10:$A$12,0)),"公司无效",IF(ISNA(MATCH($D128,资金账户!$B$6:$B$25,0)),"账户未建档",IF(ISNA(MATCH($E128,记账规则!$A$13:$A$32,0)),"业务类型无效",IF(AND(N($I128)&lt;&gt;0,N($J128)&lt;&gt;0),"收入和支出只能填一列",IF($P128=0,"金额为 0",IF(AND($R128="收",N($I128)=0),"这类业务是收款，金额填到收入列",IF(AND($R128="支",N($J128)=0),"这类业务是付款，金额填到支出列",IF(AND(SUMPRODUCT(--(INDEX(记账规则!$A$13:$H$32,MATCH($E128,记账规则!$A$13:$A$32,0),0)="@对方"))&gt;0,$G128=""),"这个类型要填对方科目",IF(AND($G128&lt;&gt;"",ISNA(MATCH($G128,会计科目表!$B$6:$B$85,0))),"对方科目不存在",IF(AND($E128="缴纳税费",$H128=""),"缴税请在费用项目里选税种",IF(AND($F128&lt;&gt;"",ISNA(MATCH($F128,往来单位!$A$6:$A$85,0))),"往来单位未建档",IF(YEAR($B128)&lt;&gt;参数设置!$B$5,"不在本会计年度",IF(AND($B127&lt;&gt;"",ISNUMBER($B127),$B128&lt;$B127),"日期比上一行早，余额按行序滚，建议按日期录","OK")))))))))))))))</f>
        <v/>
      </c>
      <c r="O128" s="58" t="str">
        <f aca="false">IF($B128="","",TEXT($B128,"yyyy-mm"))</f>
        <v/>
      </c>
      <c r="P128" s="60" t="str">
        <f aca="false">IF($E128="","",ROUND(N($I128)+N($J128),2))</f>
        <v/>
      </c>
      <c r="Q128" s="58" t="str">
        <f aca="false">IF($D128="","",IFERROR(INDEX(资金账户!$F$6:$F$25,MATCH($D128,资金账户!$B$6:$B$25,0)),""))</f>
        <v/>
      </c>
      <c r="R128" s="58" t="str">
        <f aca="false">IF($E128="","",IFERROR(IF(INDEX(记账规则!$A$13:$H$32,MATCH($E128,记账规则!$A$13:$A$32,0),4)="借","收","支"),""))</f>
        <v/>
      </c>
      <c r="S128" s="57" t="str">
        <f aca="false">IF($D128="","",ROUND(SUMIFS(资金账户!$H$6:$H$25,资金账户!$B$6:$B$25,$D128)+SUMIFS($I$6:$I128,$D$6:$D128,$D128)-SUMIFS($J$6:$J128,$D$6:$D128,$D128),2))</f>
        <v/>
      </c>
      <c r="T128" s="61" t="str">
        <f aca="false">IF($B128="","",YEAR($B128))</f>
        <v/>
      </c>
    </row>
    <row r="129" customFormat="false" ht="15" hidden="false" customHeight="false" outlineLevel="0" collapsed="false">
      <c r="A129" s="53" t="str">
        <f aca="false">IF($B129="","",ROW()-5)</f>
        <v/>
      </c>
      <c r="B129" s="54"/>
      <c r="C129" s="33"/>
      <c r="D129" s="33"/>
      <c r="E129" s="33"/>
      <c r="F129" s="32"/>
      <c r="G129" s="41"/>
      <c r="H129" s="39"/>
      <c r="I129" s="43"/>
      <c r="J129" s="43"/>
      <c r="K129" s="41"/>
      <c r="L129" s="39"/>
      <c r="M129" s="41"/>
      <c r="N129" s="25" t="str">
        <f aca="false">IF(AND($B129="",$E129="",$I129="",$J129=""),"",IF(NOT(ISNUMBER($B129)),"日期无效",IF(ISNA(MATCH($C129,参数设置!$A$10:$A$12,0)),"公司无效",IF(ISNA(MATCH($D129,资金账户!$B$6:$B$25,0)),"账户未建档",IF(ISNA(MATCH($E129,记账规则!$A$13:$A$32,0)),"业务类型无效",IF(AND(N($I129)&lt;&gt;0,N($J129)&lt;&gt;0),"收入和支出只能填一列",IF($P129=0,"金额为 0",IF(AND($R129="收",N($I129)=0),"这类业务是收款，金额填到收入列",IF(AND($R129="支",N($J129)=0),"这类业务是付款，金额填到支出列",IF(AND(SUMPRODUCT(--(INDEX(记账规则!$A$13:$H$32,MATCH($E129,记账规则!$A$13:$A$32,0),0)="@对方"))&gt;0,$G129=""),"这个类型要填对方科目",IF(AND($G129&lt;&gt;"",ISNA(MATCH($G129,会计科目表!$B$6:$B$85,0))),"对方科目不存在",IF(AND($E129="缴纳税费",$H129=""),"缴税请在费用项目里选税种",IF(AND($F129&lt;&gt;"",ISNA(MATCH($F129,往来单位!$A$6:$A$85,0))),"往来单位未建档",IF(YEAR($B129)&lt;&gt;参数设置!$B$5,"不在本会计年度",IF(AND($B128&lt;&gt;"",ISNUMBER($B128),$B129&lt;$B128),"日期比上一行早，余额按行序滚，建议按日期录","OK")))))))))))))))</f>
        <v/>
      </c>
      <c r="O129" s="58" t="str">
        <f aca="false">IF($B129="","",TEXT($B129,"yyyy-mm"))</f>
        <v/>
      </c>
      <c r="P129" s="60" t="str">
        <f aca="false">IF($E129="","",ROUND(N($I129)+N($J129),2))</f>
        <v/>
      </c>
      <c r="Q129" s="58" t="str">
        <f aca="false">IF($D129="","",IFERROR(INDEX(资金账户!$F$6:$F$25,MATCH($D129,资金账户!$B$6:$B$25,0)),""))</f>
        <v/>
      </c>
      <c r="R129" s="58" t="str">
        <f aca="false">IF($E129="","",IFERROR(IF(INDEX(记账规则!$A$13:$H$32,MATCH($E129,记账规则!$A$13:$A$32,0),4)="借","收","支"),""))</f>
        <v/>
      </c>
      <c r="S129" s="57" t="str">
        <f aca="false">IF($D129="","",ROUND(SUMIFS(资金账户!$H$6:$H$25,资金账户!$B$6:$B$25,$D129)+SUMIFS($I$6:$I129,$D$6:$D129,$D129)-SUMIFS($J$6:$J129,$D$6:$D129,$D129),2))</f>
        <v/>
      </c>
      <c r="T129" s="61" t="str">
        <f aca="false">IF($B129="","",YEAR($B129))</f>
        <v/>
      </c>
    </row>
    <row r="130" customFormat="false" ht="15" hidden="false" customHeight="false" outlineLevel="0" collapsed="false">
      <c r="A130" s="53" t="str">
        <f aca="false">IF($B130="","",ROW()-5)</f>
        <v/>
      </c>
      <c r="B130" s="54"/>
      <c r="C130" s="33"/>
      <c r="D130" s="33"/>
      <c r="E130" s="33"/>
      <c r="F130" s="32"/>
      <c r="G130" s="41"/>
      <c r="H130" s="39"/>
      <c r="I130" s="43"/>
      <c r="J130" s="43"/>
      <c r="K130" s="41"/>
      <c r="L130" s="39"/>
      <c r="M130" s="41"/>
      <c r="N130" s="25" t="str">
        <f aca="false">IF(AND($B130="",$E130="",$I130="",$J130=""),"",IF(NOT(ISNUMBER($B130)),"日期无效",IF(ISNA(MATCH($C130,参数设置!$A$10:$A$12,0)),"公司无效",IF(ISNA(MATCH($D130,资金账户!$B$6:$B$25,0)),"账户未建档",IF(ISNA(MATCH($E130,记账规则!$A$13:$A$32,0)),"业务类型无效",IF(AND(N($I130)&lt;&gt;0,N($J130)&lt;&gt;0),"收入和支出只能填一列",IF($P130=0,"金额为 0",IF(AND($R130="收",N($I130)=0),"这类业务是收款，金额填到收入列",IF(AND($R130="支",N($J130)=0),"这类业务是付款，金额填到支出列",IF(AND(SUMPRODUCT(--(INDEX(记账规则!$A$13:$H$32,MATCH($E130,记账规则!$A$13:$A$32,0),0)="@对方"))&gt;0,$G130=""),"这个类型要填对方科目",IF(AND($G130&lt;&gt;"",ISNA(MATCH($G130,会计科目表!$B$6:$B$85,0))),"对方科目不存在",IF(AND($E130="缴纳税费",$H130=""),"缴税请在费用项目里选税种",IF(AND($F130&lt;&gt;"",ISNA(MATCH($F130,往来单位!$A$6:$A$85,0))),"往来单位未建档",IF(YEAR($B130)&lt;&gt;参数设置!$B$5,"不在本会计年度",IF(AND($B129&lt;&gt;"",ISNUMBER($B129),$B130&lt;$B129),"日期比上一行早，余额按行序滚，建议按日期录","OK")))))))))))))))</f>
        <v/>
      </c>
      <c r="O130" s="58" t="str">
        <f aca="false">IF($B130="","",TEXT($B130,"yyyy-mm"))</f>
        <v/>
      </c>
      <c r="P130" s="60" t="str">
        <f aca="false">IF($E130="","",ROUND(N($I130)+N($J130),2))</f>
        <v/>
      </c>
      <c r="Q130" s="58" t="str">
        <f aca="false">IF($D130="","",IFERROR(INDEX(资金账户!$F$6:$F$25,MATCH($D130,资金账户!$B$6:$B$25,0)),""))</f>
        <v/>
      </c>
      <c r="R130" s="58" t="str">
        <f aca="false">IF($E130="","",IFERROR(IF(INDEX(记账规则!$A$13:$H$32,MATCH($E130,记账规则!$A$13:$A$32,0),4)="借","收","支"),""))</f>
        <v/>
      </c>
      <c r="S130" s="57" t="str">
        <f aca="false">IF($D130="","",ROUND(SUMIFS(资金账户!$H$6:$H$25,资金账户!$B$6:$B$25,$D130)+SUMIFS($I$6:$I130,$D$6:$D130,$D130)-SUMIFS($J$6:$J130,$D$6:$D130,$D130),2))</f>
        <v/>
      </c>
      <c r="T130" s="61" t="str">
        <f aca="false">IF($B130="","",YEAR($B130))</f>
        <v/>
      </c>
    </row>
    <row r="131" customFormat="false" ht="15" hidden="false" customHeight="false" outlineLevel="0" collapsed="false">
      <c r="A131" s="53" t="str">
        <f aca="false">IF($B131="","",ROW()-5)</f>
        <v/>
      </c>
      <c r="B131" s="54"/>
      <c r="C131" s="33"/>
      <c r="D131" s="33"/>
      <c r="E131" s="33"/>
      <c r="F131" s="32"/>
      <c r="G131" s="41"/>
      <c r="H131" s="39"/>
      <c r="I131" s="43"/>
      <c r="J131" s="43"/>
      <c r="K131" s="41"/>
      <c r="L131" s="39"/>
      <c r="M131" s="41"/>
      <c r="N131" s="25" t="str">
        <f aca="false">IF(AND($B131="",$E131="",$I131="",$J131=""),"",IF(NOT(ISNUMBER($B131)),"日期无效",IF(ISNA(MATCH($C131,参数设置!$A$10:$A$12,0)),"公司无效",IF(ISNA(MATCH($D131,资金账户!$B$6:$B$25,0)),"账户未建档",IF(ISNA(MATCH($E131,记账规则!$A$13:$A$32,0)),"业务类型无效",IF(AND(N($I131)&lt;&gt;0,N($J131)&lt;&gt;0),"收入和支出只能填一列",IF($P131=0,"金额为 0",IF(AND($R131="收",N($I131)=0),"这类业务是收款，金额填到收入列",IF(AND($R131="支",N($J131)=0),"这类业务是付款，金额填到支出列",IF(AND(SUMPRODUCT(--(INDEX(记账规则!$A$13:$H$32,MATCH($E131,记账规则!$A$13:$A$32,0),0)="@对方"))&gt;0,$G131=""),"这个类型要填对方科目",IF(AND($G131&lt;&gt;"",ISNA(MATCH($G131,会计科目表!$B$6:$B$85,0))),"对方科目不存在",IF(AND($E131="缴纳税费",$H131=""),"缴税请在费用项目里选税种",IF(AND($F131&lt;&gt;"",ISNA(MATCH($F131,往来单位!$A$6:$A$85,0))),"往来单位未建档",IF(YEAR($B131)&lt;&gt;参数设置!$B$5,"不在本会计年度",IF(AND($B130&lt;&gt;"",ISNUMBER($B130),$B131&lt;$B130),"日期比上一行早，余额按行序滚，建议按日期录","OK")))))))))))))))</f>
        <v/>
      </c>
      <c r="O131" s="58" t="str">
        <f aca="false">IF($B131="","",TEXT($B131,"yyyy-mm"))</f>
        <v/>
      </c>
      <c r="P131" s="60" t="str">
        <f aca="false">IF($E131="","",ROUND(N($I131)+N($J131),2))</f>
        <v/>
      </c>
      <c r="Q131" s="58" t="str">
        <f aca="false">IF($D131="","",IFERROR(INDEX(资金账户!$F$6:$F$25,MATCH($D131,资金账户!$B$6:$B$25,0)),""))</f>
        <v/>
      </c>
      <c r="R131" s="58" t="str">
        <f aca="false">IF($E131="","",IFERROR(IF(INDEX(记账规则!$A$13:$H$32,MATCH($E131,记账规则!$A$13:$A$32,0),4)="借","收","支"),""))</f>
        <v/>
      </c>
      <c r="S131" s="57" t="str">
        <f aca="false">IF($D131="","",ROUND(SUMIFS(资金账户!$H$6:$H$25,资金账户!$B$6:$B$25,$D131)+SUMIFS($I$6:$I131,$D$6:$D131,$D131)-SUMIFS($J$6:$J131,$D$6:$D131,$D131),2))</f>
        <v/>
      </c>
      <c r="T131" s="61" t="str">
        <f aca="false">IF($B131="","",YEAR($B131))</f>
        <v/>
      </c>
    </row>
    <row r="132" customFormat="false" ht="15" hidden="false" customHeight="false" outlineLevel="0" collapsed="false">
      <c r="A132" s="53" t="str">
        <f aca="false">IF($B132="","",ROW()-5)</f>
        <v/>
      </c>
      <c r="B132" s="54"/>
      <c r="C132" s="33"/>
      <c r="D132" s="33"/>
      <c r="E132" s="33"/>
      <c r="F132" s="32"/>
      <c r="G132" s="41"/>
      <c r="H132" s="39"/>
      <c r="I132" s="43"/>
      <c r="J132" s="43"/>
      <c r="K132" s="41"/>
      <c r="L132" s="39"/>
      <c r="M132" s="41"/>
      <c r="N132" s="25" t="str">
        <f aca="false">IF(AND($B132="",$E132="",$I132="",$J132=""),"",IF(NOT(ISNUMBER($B132)),"日期无效",IF(ISNA(MATCH($C132,参数设置!$A$10:$A$12,0)),"公司无效",IF(ISNA(MATCH($D132,资金账户!$B$6:$B$25,0)),"账户未建档",IF(ISNA(MATCH($E132,记账规则!$A$13:$A$32,0)),"业务类型无效",IF(AND(N($I132)&lt;&gt;0,N($J132)&lt;&gt;0),"收入和支出只能填一列",IF($P132=0,"金额为 0",IF(AND($R132="收",N($I132)=0),"这类业务是收款，金额填到收入列",IF(AND($R132="支",N($J132)=0),"这类业务是付款，金额填到支出列",IF(AND(SUMPRODUCT(--(INDEX(记账规则!$A$13:$H$32,MATCH($E132,记账规则!$A$13:$A$32,0),0)="@对方"))&gt;0,$G132=""),"这个类型要填对方科目",IF(AND($G132&lt;&gt;"",ISNA(MATCH($G132,会计科目表!$B$6:$B$85,0))),"对方科目不存在",IF(AND($E132="缴纳税费",$H132=""),"缴税请在费用项目里选税种",IF(AND($F132&lt;&gt;"",ISNA(MATCH($F132,往来单位!$A$6:$A$85,0))),"往来单位未建档",IF(YEAR($B132)&lt;&gt;参数设置!$B$5,"不在本会计年度",IF(AND($B131&lt;&gt;"",ISNUMBER($B131),$B132&lt;$B131),"日期比上一行早，余额按行序滚，建议按日期录","OK")))))))))))))))</f>
        <v/>
      </c>
      <c r="O132" s="58" t="str">
        <f aca="false">IF($B132="","",TEXT($B132,"yyyy-mm"))</f>
        <v/>
      </c>
      <c r="P132" s="60" t="str">
        <f aca="false">IF($E132="","",ROUND(N($I132)+N($J132),2))</f>
        <v/>
      </c>
      <c r="Q132" s="58" t="str">
        <f aca="false">IF($D132="","",IFERROR(INDEX(资金账户!$F$6:$F$25,MATCH($D132,资金账户!$B$6:$B$25,0)),""))</f>
        <v/>
      </c>
      <c r="R132" s="58" t="str">
        <f aca="false">IF($E132="","",IFERROR(IF(INDEX(记账规则!$A$13:$H$32,MATCH($E132,记账规则!$A$13:$A$32,0),4)="借","收","支"),""))</f>
        <v/>
      </c>
      <c r="S132" s="57" t="str">
        <f aca="false">IF($D132="","",ROUND(SUMIFS(资金账户!$H$6:$H$25,资金账户!$B$6:$B$25,$D132)+SUMIFS($I$6:$I132,$D$6:$D132,$D132)-SUMIFS($J$6:$J132,$D$6:$D132,$D132),2))</f>
        <v/>
      </c>
      <c r="T132" s="61" t="str">
        <f aca="false">IF($B132="","",YEAR($B132))</f>
        <v/>
      </c>
    </row>
    <row r="133" customFormat="false" ht="15" hidden="false" customHeight="false" outlineLevel="0" collapsed="false">
      <c r="A133" s="53" t="str">
        <f aca="false">IF($B133="","",ROW()-5)</f>
        <v/>
      </c>
      <c r="B133" s="54"/>
      <c r="C133" s="33"/>
      <c r="D133" s="33"/>
      <c r="E133" s="33"/>
      <c r="F133" s="32"/>
      <c r="G133" s="41"/>
      <c r="H133" s="39"/>
      <c r="I133" s="43"/>
      <c r="J133" s="43"/>
      <c r="K133" s="41"/>
      <c r="L133" s="39"/>
      <c r="M133" s="41"/>
      <c r="N133" s="25" t="str">
        <f aca="false">IF(AND($B133="",$E133="",$I133="",$J133=""),"",IF(NOT(ISNUMBER($B133)),"日期无效",IF(ISNA(MATCH($C133,参数设置!$A$10:$A$12,0)),"公司无效",IF(ISNA(MATCH($D133,资金账户!$B$6:$B$25,0)),"账户未建档",IF(ISNA(MATCH($E133,记账规则!$A$13:$A$32,0)),"业务类型无效",IF(AND(N($I133)&lt;&gt;0,N($J133)&lt;&gt;0),"收入和支出只能填一列",IF($P133=0,"金额为 0",IF(AND($R133="收",N($I133)=0),"这类业务是收款，金额填到收入列",IF(AND($R133="支",N($J133)=0),"这类业务是付款，金额填到支出列",IF(AND(SUMPRODUCT(--(INDEX(记账规则!$A$13:$H$32,MATCH($E133,记账规则!$A$13:$A$32,0),0)="@对方"))&gt;0,$G133=""),"这个类型要填对方科目",IF(AND($G133&lt;&gt;"",ISNA(MATCH($G133,会计科目表!$B$6:$B$85,0))),"对方科目不存在",IF(AND($E133="缴纳税费",$H133=""),"缴税请在费用项目里选税种",IF(AND($F133&lt;&gt;"",ISNA(MATCH($F133,往来单位!$A$6:$A$85,0))),"往来单位未建档",IF(YEAR($B133)&lt;&gt;参数设置!$B$5,"不在本会计年度",IF(AND($B132&lt;&gt;"",ISNUMBER($B132),$B133&lt;$B132),"日期比上一行早，余额按行序滚，建议按日期录","OK")))))))))))))))</f>
        <v/>
      </c>
      <c r="O133" s="58" t="str">
        <f aca="false">IF($B133="","",TEXT($B133,"yyyy-mm"))</f>
        <v/>
      </c>
      <c r="P133" s="60" t="str">
        <f aca="false">IF($E133="","",ROUND(N($I133)+N($J133),2))</f>
        <v/>
      </c>
      <c r="Q133" s="58" t="str">
        <f aca="false">IF($D133="","",IFERROR(INDEX(资金账户!$F$6:$F$25,MATCH($D133,资金账户!$B$6:$B$25,0)),""))</f>
        <v/>
      </c>
      <c r="R133" s="58" t="str">
        <f aca="false">IF($E133="","",IFERROR(IF(INDEX(记账规则!$A$13:$H$32,MATCH($E133,记账规则!$A$13:$A$32,0),4)="借","收","支"),""))</f>
        <v/>
      </c>
      <c r="S133" s="57" t="str">
        <f aca="false">IF($D133="","",ROUND(SUMIFS(资金账户!$H$6:$H$25,资金账户!$B$6:$B$25,$D133)+SUMIFS($I$6:$I133,$D$6:$D133,$D133)-SUMIFS($J$6:$J133,$D$6:$D133,$D133),2))</f>
        <v/>
      </c>
      <c r="T133" s="61" t="str">
        <f aca="false">IF($B133="","",YEAR($B133))</f>
        <v/>
      </c>
    </row>
    <row r="134" customFormat="false" ht="15" hidden="false" customHeight="false" outlineLevel="0" collapsed="false">
      <c r="A134" s="53" t="str">
        <f aca="false">IF($B134="","",ROW()-5)</f>
        <v/>
      </c>
      <c r="B134" s="54"/>
      <c r="C134" s="33"/>
      <c r="D134" s="33"/>
      <c r="E134" s="33"/>
      <c r="F134" s="32"/>
      <c r="G134" s="41"/>
      <c r="H134" s="39"/>
      <c r="I134" s="43"/>
      <c r="J134" s="43"/>
      <c r="K134" s="41"/>
      <c r="L134" s="39"/>
      <c r="M134" s="41"/>
      <c r="N134" s="25" t="str">
        <f aca="false">IF(AND($B134="",$E134="",$I134="",$J134=""),"",IF(NOT(ISNUMBER($B134)),"日期无效",IF(ISNA(MATCH($C134,参数设置!$A$10:$A$12,0)),"公司无效",IF(ISNA(MATCH($D134,资金账户!$B$6:$B$25,0)),"账户未建档",IF(ISNA(MATCH($E134,记账规则!$A$13:$A$32,0)),"业务类型无效",IF(AND(N($I134)&lt;&gt;0,N($J134)&lt;&gt;0),"收入和支出只能填一列",IF($P134=0,"金额为 0",IF(AND($R134="收",N($I134)=0),"这类业务是收款，金额填到收入列",IF(AND($R134="支",N($J134)=0),"这类业务是付款，金额填到支出列",IF(AND(SUMPRODUCT(--(INDEX(记账规则!$A$13:$H$32,MATCH($E134,记账规则!$A$13:$A$32,0),0)="@对方"))&gt;0,$G134=""),"这个类型要填对方科目",IF(AND($G134&lt;&gt;"",ISNA(MATCH($G134,会计科目表!$B$6:$B$85,0))),"对方科目不存在",IF(AND($E134="缴纳税费",$H134=""),"缴税请在费用项目里选税种",IF(AND($F134&lt;&gt;"",ISNA(MATCH($F134,往来单位!$A$6:$A$85,0))),"往来单位未建档",IF(YEAR($B134)&lt;&gt;参数设置!$B$5,"不在本会计年度",IF(AND($B133&lt;&gt;"",ISNUMBER($B133),$B134&lt;$B133),"日期比上一行早，余额按行序滚，建议按日期录","OK")))))))))))))))</f>
        <v/>
      </c>
      <c r="O134" s="58" t="str">
        <f aca="false">IF($B134="","",TEXT($B134,"yyyy-mm"))</f>
        <v/>
      </c>
      <c r="P134" s="60" t="str">
        <f aca="false">IF($E134="","",ROUND(N($I134)+N($J134),2))</f>
        <v/>
      </c>
      <c r="Q134" s="58" t="str">
        <f aca="false">IF($D134="","",IFERROR(INDEX(资金账户!$F$6:$F$25,MATCH($D134,资金账户!$B$6:$B$25,0)),""))</f>
        <v/>
      </c>
      <c r="R134" s="58" t="str">
        <f aca="false">IF($E134="","",IFERROR(IF(INDEX(记账规则!$A$13:$H$32,MATCH($E134,记账规则!$A$13:$A$32,0),4)="借","收","支"),""))</f>
        <v/>
      </c>
      <c r="S134" s="57" t="str">
        <f aca="false">IF($D134="","",ROUND(SUMIFS(资金账户!$H$6:$H$25,资金账户!$B$6:$B$25,$D134)+SUMIFS($I$6:$I134,$D$6:$D134,$D134)-SUMIFS($J$6:$J134,$D$6:$D134,$D134),2))</f>
        <v/>
      </c>
      <c r="T134" s="61" t="str">
        <f aca="false">IF($B134="","",YEAR($B134))</f>
        <v/>
      </c>
    </row>
    <row r="135" customFormat="false" ht="15" hidden="false" customHeight="false" outlineLevel="0" collapsed="false">
      <c r="A135" s="53" t="str">
        <f aca="false">IF($B135="","",ROW()-5)</f>
        <v/>
      </c>
      <c r="B135" s="54"/>
      <c r="C135" s="33"/>
      <c r="D135" s="33"/>
      <c r="E135" s="33"/>
      <c r="F135" s="32"/>
      <c r="G135" s="41"/>
      <c r="H135" s="39"/>
      <c r="I135" s="43"/>
      <c r="J135" s="43"/>
      <c r="K135" s="41"/>
      <c r="L135" s="39"/>
      <c r="M135" s="41"/>
      <c r="N135" s="25" t="str">
        <f aca="false">IF(AND($B135="",$E135="",$I135="",$J135=""),"",IF(NOT(ISNUMBER($B135)),"日期无效",IF(ISNA(MATCH($C135,参数设置!$A$10:$A$12,0)),"公司无效",IF(ISNA(MATCH($D135,资金账户!$B$6:$B$25,0)),"账户未建档",IF(ISNA(MATCH($E135,记账规则!$A$13:$A$32,0)),"业务类型无效",IF(AND(N($I135)&lt;&gt;0,N($J135)&lt;&gt;0),"收入和支出只能填一列",IF($P135=0,"金额为 0",IF(AND($R135="收",N($I135)=0),"这类业务是收款，金额填到收入列",IF(AND($R135="支",N($J135)=0),"这类业务是付款，金额填到支出列",IF(AND(SUMPRODUCT(--(INDEX(记账规则!$A$13:$H$32,MATCH($E135,记账规则!$A$13:$A$32,0),0)="@对方"))&gt;0,$G135=""),"这个类型要填对方科目",IF(AND($G135&lt;&gt;"",ISNA(MATCH($G135,会计科目表!$B$6:$B$85,0))),"对方科目不存在",IF(AND($E135="缴纳税费",$H135=""),"缴税请在费用项目里选税种",IF(AND($F135&lt;&gt;"",ISNA(MATCH($F135,往来单位!$A$6:$A$85,0))),"往来单位未建档",IF(YEAR($B135)&lt;&gt;参数设置!$B$5,"不在本会计年度",IF(AND($B134&lt;&gt;"",ISNUMBER($B134),$B135&lt;$B134),"日期比上一行早，余额按行序滚，建议按日期录","OK")))))))))))))))</f>
        <v/>
      </c>
      <c r="O135" s="58" t="str">
        <f aca="false">IF($B135="","",TEXT($B135,"yyyy-mm"))</f>
        <v/>
      </c>
      <c r="P135" s="60" t="str">
        <f aca="false">IF($E135="","",ROUND(N($I135)+N($J135),2))</f>
        <v/>
      </c>
      <c r="Q135" s="58" t="str">
        <f aca="false">IF($D135="","",IFERROR(INDEX(资金账户!$F$6:$F$25,MATCH($D135,资金账户!$B$6:$B$25,0)),""))</f>
        <v/>
      </c>
      <c r="R135" s="58" t="str">
        <f aca="false">IF($E135="","",IFERROR(IF(INDEX(记账规则!$A$13:$H$32,MATCH($E135,记账规则!$A$13:$A$32,0),4)="借","收","支"),""))</f>
        <v/>
      </c>
      <c r="S135" s="57" t="str">
        <f aca="false">IF($D135="","",ROUND(SUMIFS(资金账户!$H$6:$H$25,资金账户!$B$6:$B$25,$D135)+SUMIFS($I$6:$I135,$D$6:$D135,$D135)-SUMIFS($J$6:$J135,$D$6:$D135,$D135),2))</f>
        <v/>
      </c>
      <c r="T135" s="61" t="str">
        <f aca="false">IF($B135="","",YEAR($B135))</f>
        <v/>
      </c>
    </row>
    <row r="136" customFormat="false" ht="15" hidden="false" customHeight="false" outlineLevel="0" collapsed="false">
      <c r="A136" s="53" t="str">
        <f aca="false">IF($B136="","",ROW()-5)</f>
        <v/>
      </c>
      <c r="B136" s="54"/>
      <c r="C136" s="33"/>
      <c r="D136" s="33"/>
      <c r="E136" s="33"/>
      <c r="F136" s="32"/>
      <c r="G136" s="41"/>
      <c r="H136" s="39"/>
      <c r="I136" s="43"/>
      <c r="J136" s="43"/>
      <c r="K136" s="41"/>
      <c r="L136" s="39"/>
      <c r="M136" s="41"/>
      <c r="N136" s="25" t="str">
        <f aca="false">IF(AND($B136="",$E136="",$I136="",$J136=""),"",IF(NOT(ISNUMBER($B136)),"日期无效",IF(ISNA(MATCH($C136,参数设置!$A$10:$A$12,0)),"公司无效",IF(ISNA(MATCH($D136,资金账户!$B$6:$B$25,0)),"账户未建档",IF(ISNA(MATCH($E136,记账规则!$A$13:$A$32,0)),"业务类型无效",IF(AND(N($I136)&lt;&gt;0,N($J136)&lt;&gt;0),"收入和支出只能填一列",IF($P136=0,"金额为 0",IF(AND($R136="收",N($I136)=0),"这类业务是收款，金额填到收入列",IF(AND($R136="支",N($J136)=0),"这类业务是付款，金额填到支出列",IF(AND(SUMPRODUCT(--(INDEX(记账规则!$A$13:$H$32,MATCH($E136,记账规则!$A$13:$A$32,0),0)="@对方"))&gt;0,$G136=""),"这个类型要填对方科目",IF(AND($G136&lt;&gt;"",ISNA(MATCH($G136,会计科目表!$B$6:$B$85,0))),"对方科目不存在",IF(AND($E136="缴纳税费",$H136=""),"缴税请在费用项目里选税种",IF(AND($F136&lt;&gt;"",ISNA(MATCH($F136,往来单位!$A$6:$A$85,0))),"往来单位未建档",IF(YEAR($B136)&lt;&gt;参数设置!$B$5,"不在本会计年度",IF(AND($B135&lt;&gt;"",ISNUMBER($B135),$B136&lt;$B135),"日期比上一行早，余额按行序滚，建议按日期录","OK")))))))))))))))</f>
        <v/>
      </c>
      <c r="O136" s="58" t="str">
        <f aca="false">IF($B136="","",TEXT($B136,"yyyy-mm"))</f>
        <v/>
      </c>
      <c r="P136" s="60" t="str">
        <f aca="false">IF($E136="","",ROUND(N($I136)+N($J136),2))</f>
        <v/>
      </c>
      <c r="Q136" s="58" t="str">
        <f aca="false">IF($D136="","",IFERROR(INDEX(资金账户!$F$6:$F$25,MATCH($D136,资金账户!$B$6:$B$25,0)),""))</f>
        <v/>
      </c>
      <c r="R136" s="58" t="str">
        <f aca="false">IF($E136="","",IFERROR(IF(INDEX(记账规则!$A$13:$H$32,MATCH($E136,记账规则!$A$13:$A$32,0),4)="借","收","支"),""))</f>
        <v/>
      </c>
      <c r="S136" s="57" t="str">
        <f aca="false">IF($D136="","",ROUND(SUMIFS(资金账户!$H$6:$H$25,资金账户!$B$6:$B$25,$D136)+SUMIFS($I$6:$I136,$D$6:$D136,$D136)-SUMIFS($J$6:$J136,$D$6:$D136,$D136),2))</f>
        <v/>
      </c>
      <c r="T136" s="61" t="str">
        <f aca="false">IF($B136="","",YEAR($B136))</f>
        <v/>
      </c>
    </row>
    <row r="137" customFormat="false" ht="15" hidden="false" customHeight="false" outlineLevel="0" collapsed="false">
      <c r="A137" s="53" t="str">
        <f aca="false">IF($B137="","",ROW()-5)</f>
        <v/>
      </c>
      <c r="B137" s="54"/>
      <c r="C137" s="33"/>
      <c r="D137" s="33"/>
      <c r="E137" s="33"/>
      <c r="F137" s="32"/>
      <c r="G137" s="41"/>
      <c r="H137" s="39"/>
      <c r="I137" s="43"/>
      <c r="J137" s="43"/>
      <c r="K137" s="41"/>
      <c r="L137" s="39"/>
      <c r="M137" s="41"/>
      <c r="N137" s="25" t="str">
        <f aca="false">IF(AND($B137="",$E137="",$I137="",$J137=""),"",IF(NOT(ISNUMBER($B137)),"日期无效",IF(ISNA(MATCH($C137,参数设置!$A$10:$A$12,0)),"公司无效",IF(ISNA(MATCH($D137,资金账户!$B$6:$B$25,0)),"账户未建档",IF(ISNA(MATCH($E137,记账规则!$A$13:$A$32,0)),"业务类型无效",IF(AND(N($I137)&lt;&gt;0,N($J137)&lt;&gt;0),"收入和支出只能填一列",IF($P137=0,"金额为 0",IF(AND($R137="收",N($I137)=0),"这类业务是收款，金额填到收入列",IF(AND($R137="支",N($J137)=0),"这类业务是付款，金额填到支出列",IF(AND(SUMPRODUCT(--(INDEX(记账规则!$A$13:$H$32,MATCH($E137,记账规则!$A$13:$A$32,0),0)="@对方"))&gt;0,$G137=""),"这个类型要填对方科目",IF(AND($G137&lt;&gt;"",ISNA(MATCH($G137,会计科目表!$B$6:$B$85,0))),"对方科目不存在",IF(AND($E137="缴纳税费",$H137=""),"缴税请在费用项目里选税种",IF(AND($F137&lt;&gt;"",ISNA(MATCH($F137,往来单位!$A$6:$A$85,0))),"往来单位未建档",IF(YEAR($B137)&lt;&gt;参数设置!$B$5,"不在本会计年度",IF(AND($B136&lt;&gt;"",ISNUMBER($B136),$B137&lt;$B136),"日期比上一行早，余额按行序滚，建议按日期录","OK")))))))))))))))</f>
        <v/>
      </c>
      <c r="O137" s="58" t="str">
        <f aca="false">IF($B137="","",TEXT($B137,"yyyy-mm"))</f>
        <v/>
      </c>
      <c r="P137" s="60" t="str">
        <f aca="false">IF($E137="","",ROUND(N($I137)+N($J137),2))</f>
        <v/>
      </c>
      <c r="Q137" s="58" t="str">
        <f aca="false">IF($D137="","",IFERROR(INDEX(资金账户!$F$6:$F$25,MATCH($D137,资金账户!$B$6:$B$25,0)),""))</f>
        <v/>
      </c>
      <c r="R137" s="58" t="str">
        <f aca="false">IF($E137="","",IFERROR(IF(INDEX(记账规则!$A$13:$H$32,MATCH($E137,记账规则!$A$13:$A$32,0),4)="借","收","支"),""))</f>
        <v/>
      </c>
      <c r="S137" s="57" t="str">
        <f aca="false">IF($D137="","",ROUND(SUMIFS(资金账户!$H$6:$H$25,资金账户!$B$6:$B$25,$D137)+SUMIFS($I$6:$I137,$D$6:$D137,$D137)-SUMIFS($J$6:$J137,$D$6:$D137,$D137),2))</f>
        <v/>
      </c>
      <c r="T137" s="61" t="str">
        <f aca="false">IF($B137="","",YEAR($B137))</f>
        <v/>
      </c>
    </row>
    <row r="138" customFormat="false" ht="15" hidden="false" customHeight="false" outlineLevel="0" collapsed="false">
      <c r="A138" s="53" t="str">
        <f aca="false">IF($B138="","",ROW()-5)</f>
        <v/>
      </c>
      <c r="B138" s="54"/>
      <c r="C138" s="33"/>
      <c r="D138" s="33"/>
      <c r="E138" s="33"/>
      <c r="F138" s="32"/>
      <c r="G138" s="41"/>
      <c r="H138" s="39"/>
      <c r="I138" s="43"/>
      <c r="J138" s="43"/>
      <c r="K138" s="41"/>
      <c r="L138" s="39"/>
      <c r="M138" s="41"/>
      <c r="N138" s="25" t="str">
        <f aca="false">IF(AND($B138="",$E138="",$I138="",$J138=""),"",IF(NOT(ISNUMBER($B138)),"日期无效",IF(ISNA(MATCH($C138,参数设置!$A$10:$A$12,0)),"公司无效",IF(ISNA(MATCH($D138,资金账户!$B$6:$B$25,0)),"账户未建档",IF(ISNA(MATCH($E138,记账规则!$A$13:$A$32,0)),"业务类型无效",IF(AND(N($I138)&lt;&gt;0,N($J138)&lt;&gt;0),"收入和支出只能填一列",IF($P138=0,"金额为 0",IF(AND($R138="收",N($I138)=0),"这类业务是收款，金额填到收入列",IF(AND($R138="支",N($J138)=0),"这类业务是付款，金额填到支出列",IF(AND(SUMPRODUCT(--(INDEX(记账规则!$A$13:$H$32,MATCH($E138,记账规则!$A$13:$A$32,0),0)="@对方"))&gt;0,$G138=""),"这个类型要填对方科目",IF(AND($G138&lt;&gt;"",ISNA(MATCH($G138,会计科目表!$B$6:$B$85,0))),"对方科目不存在",IF(AND($E138="缴纳税费",$H138=""),"缴税请在费用项目里选税种",IF(AND($F138&lt;&gt;"",ISNA(MATCH($F138,往来单位!$A$6:$A$85,0))),"往来单位未建档",IF(YEAR($B138)&lt;&gt;参数设置!$B$5,"不在本会计年度",IF(AND($B137&lt;&gt;"",ISNUMBER($B137),$B138&lt;$B137),"日期比上一行早，余额按行序滚，建议按日期录","OK")))))))))))))))</f>
        <v/>
      </c>
      <c r="O138" s="58" t="str">
        <f aca="false">IF($B138="","",TEXT($B138,"yyyy-mm"))</f>
        <v/>
      </c>
      <c r="P138" s="60" t="str">
        <f aca="false">IF($E138="","",ROUND(N($I138)+N($J138),2))</f>
        <v/>
      </c>
      <c r="Q138" s="58" t="str">
        <f aca="false">IF($D138="","",IFERROR(INDEX(资金账户!$F$6:$F$25,MATCH($D138,资金账户!$B$6:$B$25,0)),""))</f>
        <v/>
      </c>
      <c r="R138" s="58" t="str">
        <f aca="false">IF($E138="","",IFERROR(IF(INDEX(记账规则!$A$13:$H$32,MATCH($E138,记账规则!$A$13:$A$32,0),4)="借","收","支"),""))</f>
        <v/>
      </c>
      <c r="S138" s="57" t="str">
        <f aca="false">IF($D138="","",ROUND(SUMIFS(资金账户!$H$6:$H$25,资金账户!$B$6:$B$25,$D138)+SUMIFS($I$6:$I138,$D$6:$D138,$D138)-SUMIFS($J$6:$J138,$D$6:$D138,$D138),2))</f>
        <v/>
      </c>
      <c r="T138" s="61" t="str">
        <f aca="false">IF($B138="","",YEAR($B138))</f>
        <v/>
      </c>
    </row>
    <row r="139" customFormat="false" ht="15" hidden="false" customHeight="false" outlineLevel="0" collapsed="false">
      <c r="A139" s="53" t="str">
        <f aca="false">IF($B139="","",ROW()-5)</f>
        <v/>
      </c>
      <c r="B139" s="54"/>
      <c r="C139" s="33"/>
      <c r="D139" s="33"/>
      <c r="E139" s="33"/>
      <c r="F139" s="32"/>
      <c r="G139" s="41"/>
      <c r="H139" s="39"/>
      <c r="I139" s="43"/>
      <c r="J139" s="43"/>
      <c r="K139" s="41"/>
      <c r="L139" s="39"/>
      <c r="M139" s="41"/>
      <c r="N139" s="25" t="str">
        <f aca="false">IF(AND($B139="",$E139="",$I139="",$J139=""),"",IF(NOT(ISNUMBER($B139)),"日期无效",IF(ISNA(MATCH($C139,参数设置!$A$10:$A$12,0)),"公司无效",IF(ISNA(MATCH($D139,资金账户!$B$6:$B$25,0)),"账户未建档",IF(ISNA(MATCH($E139,记账规则!$A$13:$A$32,0)),"业务类型无效",IF(AND(N($I139)&lt;&gt;0,N($J139)&lt;&gt;0),"收入和支出只能填一列",IF($P139=0,"金额为 0",IF(AND($R139="收",N($I139)=0),"这类业务是收款，金额填到收入列",IF(AND($R139="支",N($J139)=0),"这类业务是付款，金额填到支出列",IF(AND(SUMPRODUCT(--(INDEX(记账规则!$A$13:$H$32,MATCH($E139,记账规则!$A$13:$A$32,0),0)="@对方"))&gt;0,$G139=""),"这个类型要填对方科目",IF(AND($G139&lt;&gt;"",ISNA(MATCH($G139,会计科目表!$B$6:$B$85,0))),"对方科目不存在",IF(AND($E139="缴纳税费",$H139=""),"缴税请在费用项目里选税种",IF(AND($F139&lt;&gt;"",ISNA(MATCH($F139,往来单位!$A$6:$A$85,0))),"往来单位未建档",IF(YEAR($B139)&lt;&gt;参数设置!$B$5,"不在本会计年度",IF(AND($B138&lt;&gt;"",ISNUMBER($B138),$B139&lt;$B138),"日期比上一行早，余额按行序滚，建议按日期录","OK")))))))))))))))</f>
        <v/>
      </c>
      <c r="O139" s="58" t="str">
        <f aca="false">IF($B139="","",TEXT($B139,"yyyy-mm"))</f>
        <v/>
      </c>
      <c r="P139" s="60" t="str">
        <f aca="false">IF($E139="","",ROUND(N($I139)+N($J139),2))</f>
        <v/>
      </c>
      <c r="Q139" s="58" t="str">
        <f aca="false">IF($D139="","",IFERROR(INDEX(资金账户!$F$6:$F$25,MATCH($D139,资金账户!$B$6:$B$25,0)),""))</f>
        <v/>
      </c>
      <c r="R139" s="58" t="str">
        <f aca="false">IF($E139="","",IFERROR(IF(INDEX(记账规则!$A$13:$H$32,MATCH($E139,记账规则!$A$13:$A$32,0),4)="借","收","支"),""))</f>
        <v/>
      </c>
      <c r="S139" s="57" t="str">
        <f aca="false">IF($D139="","",ROUND(SUMIFS(资金账户!$H$6:$H$25,资金账户!$B$6:$B$25,$D139)+SUMIFS($I$6:$I139,$D$6:$D139,$D139)-SUMIFS($J$6:$J139,$D$6:$D139,$D139),2))</f>
        <v/>
      </c>
      <c r="T139" s="61" t="str">
        <f aca="false">IF($B139="","",YEAR($B139))</f>
        <v/>
      </c>
    </row>
    <row r="140" customFormat="false" ht="15" hidden="false" customHeight="false" outlineLevel="0" collapsed="false">
      <c r="A140" s="53" t="str">
        <f aca="false">IF($B140="","",ROW()-5)</f>
        <v/>
      </c>
      <c r="B140" s="54"/>
      <c r="C140" s="33"/>
      <c r="D140" s="33"/>
      <c r="E140" s="33"/>
      <c r="F140" s="32"/>
      <c r="G140" s="41"/>
      <c r="H140" s="39"/>
      <c r="I140" s="43"/>
      <c r="J140" s="43"/>
      <c r="K140" s="41"/>
      <c r="L140" s="39"/>
      <c r="M140" s="41"/>
      <c r="N140" s="25" t="str">
        <f aca="false">IF(AND($B140="",$E140="",$I140="",$J140=""),"",IF(NOT(ISNUMBER($B140)),"日期无效",IF(ISNA(MATCH($C140,参数设置!$A$10:$A$12,0)),"公司无效",IF(ISNA(MATCH($D140,资金账户!$B$6:$B$25,0)),"账户未建档",IF(ISNA(MATCH($E140,记账规则!$A$13:$A$32,0)),"业务类型无效",IF(AND(N($I140)&lt;&gt;0,N($J140)&lt;&gt;0),"收入和支出只能填一列",IF($P140=0,"金额为 0",IF(AND($R140="收",N($I140)=0),"这类业务是收款，金额填到收入列",IF(AND($R140="支",N($J140)=0),"这类业务是付款，金额填到支出列",IF(AND(SUMPRODUCT(--(INDEX(记账规则!$A$13:$H$32,MATCH($E140,记账规则!$A$13:$A$32,0),0)="@对方"))&gt;0,$G140=""),"这个类型要填对方科目",IF(AND($G140&lt;&gt;"",ISNA(MATCH($G140,会计科目表!$B$6:$B$85,0))),"对方科目不存在",IF(AND($E140="缴纳税费",$H140=""),"缴税请在费用项目里选税种",IF(AND($F140&lt;&gt;"",ISNA(MATCH($F140,往来单位!$A$6:$A$85,0))),"往来单位未建档",IF(YEAR($B140)&lt;&gt;参数设置!$B$5,"不在本会计年度",IF(AND($B139&lt;&gt;"",ISNUMBER($B139),$B140&lt;$B139),"日期比上一行早，余额按行序滚，建议按日期录","OK")))))))))))))))</f>
        <v/>
      </c>
      <c r="O140" s="58" t="str">
        <f aca="false">IF($B140="","",TEXT($B140,"yyyy-mm"))</f>
        <v/>
      </c>
      <c r="P140" s="60" t="str">
        <f aca="false">IF($E140="","",ROUND(N($I140)+N($J140),2))</f>
        <v/>
      </c>
      <c r="Q140" s="58" t="str">
        <f aca="false">IF($D140="","",IFERROR(INDEX(资金账户!$F$6:$F$25,MATCH($D140,资金账户!$B$6:$B$25,0)),""))</f>
        <v/>
      </c>
      <c r="R140" s="58" t="str">
        <f aca="false">IF($E140="","",IFERROR(IF(INDEX(记账规则!$A$13:$H$32,MATCH($E140,记账规则!$A$13:$A$32,0),4)="借","收","支"),""))</f>
        <v/>
      </c>
      <c r="S140" s="57" t="str">
        <f aca="false">IF($D140="","",ROUND(SUMIFS(资金账户!$H$6:$H$25,资金账户!$B$6:$B$25,$D140)+SUMIFS($I$6:$I140,$D$6:$D140,$D140)-SUMIFS($J$6:$J140,$D$6:$D140,$D140),2))</f>
        <v/>
      </c>
      <c r="T140" s="61" t="str">
        <f aca="false">IF($B140="","",YEAR($B140))</f>
        <v/>
      </c>
    </row>
    <row r="141" customFormat="false" ht="15" hidden="false" customHeight="false" outlineLevel="0" collapsed="false">
      <c r="A141" s="53" t="str">
        <f aca="false">IF($B141="","",ROW()-5)</f>
        <v/>
      </c>
      <c r="B141" s="54"/>
      <c r="C141" s="33"/>
      <c r="D141" s="33"/>
      <c r="E141" s="33"/>
      <c r="F141" s="32"/>
      <c r="G141" s="41"/>
      <c r="H141" s="39"/>
      <c r="I141" s="43"/>
      <c r="J141" s="43"/>
      <c r="K141" s="41"/>
      <c r="L141" s="39"/>
      <c r="M141" s="41"/>
      <c r="N141" s="25" t="str">
        <f aca="false">IF(AND($B141="",$E141="",$I141="",$J141=""),"",IF(NOT(ISNUMBER($B141)),"日期无效",IF(ISNA(MATCH($C141,参数设置!$A$10:$A$12,0)),"公司无效",IF(ISNA(MATCH($D141,资金账户!$B$6:$B$25,0)),"账户未建档",IF(ISNA(MATCH($E141,记账规则!$A$13:$A$32,0)),"业务类型无效",IF(AND(N($I141)&lt;&gt;0,N($J141)&lt;&gt;0),"收入和支出只能填一列",IF($P141=0,"金额为 0",IF(AND($R141="收",N($I141)=0),"这类业务是收款，金额填到收入列",IF(AND($R141="支",N($J141)=0),"这类业务是付款，金额填到支出列",IF(AND(SUMPRODUCT(--(INDEX(记账规则!$A$13:$H$32,MATCH($E141,记账规则!$A$13:$A$32,0),0)="@对方"))&gt;0,$G141=""),"这个类型要填对方科目",IF(AND($G141&lt;&gt;"",ISNA(MATCH($G141,会计科目表!$B$6:$B$85,0))),"对方科目不存在",IF(AND($E141="缴纳税费",$H141=""),"缴税请在费用项目里选税种",IF(AND($F141&lt;&gt;"",ISNA(MATCH($F141,往来单位!$A$6:$A$85,0))),"往来单位未建档",IF(YEAR($B141)&lt;&gt;参数设置!$B$5,"不在本会计年度",IF(AND($B140&lt;&gt;"",ISNUMBER($B140),$B141&lt;$B140),"日期比上一行早，余额按行序滚，建议按日期录","OK")))))))))))))))</f>
        <v/>
      </c>
      <c r="O141" s="58" t="str">
        <f aca="false">IF($B141="","",TEXT($B141,"yyyy-mm"))</f>
        <v/>
      </c>
      <c r="P141" s="60" t="str">
        <f aca="false">IF($E141="","",ROUND(N($I141)+N($J141),2))</f>
        <v/>
      </c>
      <c r="Q141" s="58" t="str">
        <f aca="false">IF($D141="","",IFERROR(INDEX(资金账户!$F$6:$F$25,MATCH($D141,资金账户!$B$6:$B$25,0)),""))</f>
        <v/>
      </c>
      <c r="R141" s="58" t="str">
        <f aca="false">IF($E141="","",IFERROR(IF(INDEX(记账规则!$A$13:$H$32,MATCH($E141,记账规则!$A$13:$A$32,0),4)="借","收","支"),""))</f>
        <v/>
      </c>
      <c r="S141" s="57" t="str">
        <f aca="false">IF($D141="","",ROUND(SUMIFS(资金账户!$H$6:$H$25,资金账户!$B$6:$B$25,$D141)+SUMIFS($I$6:$I141,$D$6:$D141,$D141)-SUMIFS($J$6:$J141,$D$6:$D141,$D141),2))</f>
        <v/>
      </c>
      <c r="T141" s="61" t="str">
        <f aca="false">IF($B141="","",YEAR($B141))</f>
        <v/>
      </c>
    </row>
    <row r="142" customFormat="false" ht="15" hidden="false" customHeight="false" outlineLevel="0" collapsed="false">
      <c r="A142" s="53" t="str">
        <f aca="false">IF($B142="","",ROW()-5)</f>
        <v/>
      </c>
      <c r="B142" s="54"/>
      <c r="C142" s="33"/>
      <c r="D142" s="33"/>
      <c r="E142" s="33"/>
      <c r="F142" s="32"/>
      <c r="G142" s="41"/>
      <c r="H142" s="39"/>
      <c r="I142" s="43"/>
      <c r="J142" s="43"/>
      <c r="K142" s="41"/>
      <c r="L142" s="39"/>
      <c r="M142" s="41"/>
      <c r="N142" s="25" t="str">
        <f aca="false">IF(AND($B142="",$E142="",$I142="",$J142=""),"",IF(NOT(ISNUMBER($B142)),"日期无效",IF(ISNA(MATCH($C142,参数设置!$A$10:$A$12,0)),"公司无效",IF(ISNA(MATCH($D142,资金账户!$B$6:$B$25,0)),"账户未建档",IF(ISNA(MATCH($E142,记账规则!$A$13:$A$32,0)),"业务类型无效",IF(AND(N($I142)&lt;&gt;0,N($J142)&lt;&gt;0),"收入和支出只能填一列",IF($P142=0,"金额为 0",IF(AND($R142="收",N($I142)=0),"这类业务是收款，金额填到收入列",IF(AND($R142="支",N($J142)=0),"这类业务是付款，金额填到支出列",IF(AND(SUMPRODUCT(--(INDEX(记账规则!$A$13:$H$32,MATCH($E142,记账规则!$A$13:$A$32,0),0)="@对方"))&gt;0,$G142=""),"这个类型要填对方科目",IF(AND($G142&lt;&gt;"",ISNA(MATCH($G142,会计科目表!$B$6:$B$85,0))),"对方科目不存在",IF(AND($E142="缴纳税费",$H142=""),"缴税请在费用项目里选税种",IF(AND($F142&lt;&gt;"",ISNA(MATCH($F142,往来单位!$A$6:$A$85,0))),"往来单位未建档",IF(YEAR($B142)&lt;&gt;参数设置!$B$5,"不在本会计年度",IF(AND($B141&lt;&gt;"",ISNUMBER($B141),$B142&lt;$B141),"日期比上一行早，余额按行序滚，建议按日期录","OK")))))))))))))))</f>
        <v/>
      </c>
      <c r="O142" s="58" t="str">
        <f aca="false">IF($B142="","",TEXT($B142,"yyyy-mm"))</f>
        <v/>
      </c>
      <c r="P142" s="60" t="str">
        <f aca="false">IF($E142="","",ROUND(N($I142)+N($J142),2))</f>
        <v/>
      </c>
      <c r="Q142" s="58" t="str">
        <f aca="false">IF($D142="","",IFERROR(INDEX(资金账户!$F$6:$F$25,MATCH($D142,资金账户!$B$6:$B$25,0)),""))</f>
        <v/>
      </c>
      <c r="R142" s="58" t="str">
        <f aca="false">IF($E142="","",IFERROR(IF(INDEX(记账规则!$A$13:$H$32,MATCH($E142,记账规则!$A$13:$A$32,0),4)="借","收","支"),""))</f>
        <v/>
      </c>
      <c r="S142" s="57" t="str">
        <f aca="false">IF($D142="","",ROUND(SUMIFS(资金账户!$H$6:$H$25,资金账户!$B$6:$B$25,$D142)+SUMIFS($I$6:$I142,$D$6:$D142,$D142)-SUMIFS($J$6:$J142,$D$6:$D142,$D142),2))</f>
        <v/>
      </c>
      <c r="T142" s="61" t="str">
        <f aca="false">IF($B142="","",YEAR($B142))</f>
        <v/>
      </c>
    </row>
    <row r="143" customFormat="false" ht="15" hidden="false" customHeight="false" outlineLevel="0" collapsed="false">
      <c r="A143" s="53" t="str">
        <f aca="false">IF($B143="","",ROW()-5)</f>
        <v/>
      </c>
      <c r="B143" s="54"/>
      <c r="C143" s="33"/>
      <c r="D143" s="33"/>
      <c r="E143" s="33"/>
      <c r="F143" s="32"/>
      <c r="G143" s="41"/>
      <c r="H143" s="39"/>
      <c r="I143" s="43"/>
      <c r="J143" s="43"/>
      <c r="K143" s="41"/>
      <c r="L143" s="39"/>
      <c r="M143" s="41"/>
      <c r="N143" s="25" t="str">
        <f aca="false">IF(AND($B143="",$E143="",$I143="",$J143=""),"",IF(NOT(ISNUMBER($B143)),"日期无效",IF(ISNA(MATCH($C143,参数设置!$A$10:$A$12,0)),"公司无效",IF(ISNA(MATCH($D143,资金账户!$B$6:$B$25,0)),"账户未建档",IF(ISNA(MATCH($E143,记账规则!$A$13:$A$32,0)),"业务类型无效",IF(AND(N($I143)&lt;&gt;0,N($J143)&lt;&gt;0),"收入和支出只能填一列",IF($P143=0,"金额为 0",IF(AND($R143="收",N($I143)=0),"这类业务是收款，金额填到收入列",IF(AND($R143="支",N($J143)=0),"这类业务是付款，金额填到支出列",IF(AND(SUMPRODUCT(--(INDEX(记账规则!$A$13:$H$32,MATCH($E143,记账规则!$A$13:$A$32,0),0)="@对方"))&gt;0,$G143=""),"这个类型要填对方科目",IF(AND($G143&lt;&gt;"",ISNA(MATCH($G143,会计科目表!$B$6:$B$85,0))),"对方科目不存在",IF(AND($E143="缴纳税费",$H143=""),"缴税请在费用项目里选税种",IF(AND($F143&lt;&gt;"",ISNA(MATCH($F143,往来单位!$A$6:$A$85,0))),"往来单位未建档",IF(YEAR($B143)&lt;&gt;参数设置!$B$5,"不在本会计年度",IF(AND($B142&lt;&gt;"",ISNUMBER($B142),$B143&lt;$B142),"日期比上一行早，余额按行序滚，建议按日期录","OK")))))))))))))))</f>
        <v/>
      </c>
      <c r="O143" s="58" t="str">
        <f aca="false">IF($B143="","",TEXT($B143,"yyyy-mm"))</f>
        <v/>
      </c>
      <c r="P143" s="60" t="str">
        <f aca="false">IF($E143="","",ROUND(N($I143)+N($J143),2))</f>
        <v/>
      </c>
      <c r="Q143" s="58" t="str">
        <f aca="false">IF($D143="","",IFERROR(INDEX(资金账户!$F$6:$F$25,MATCH($D143,资金账户!$B$6:$B$25,0)),""))</f>
        <v/>
      </c>
      <c r="R143" s="58" t="str">
        <f aca="false">IF($E143="","",IFERROR(IF(INDEX(记账规则!$A$13:$H$32,MATCH($E143,记账规则!$A$13:$A$32,0),4)="借","收","支"),""))</f>
        <v/>
      </c>
      <c r="S143" s="57" t="str">
        <f aca="false">IF($D143="","",ROUND(SUMIFS(资金账户!$H$6:$H$25,资金账户!$B$6:$B$25,$D143)+SUMIFS($I$6:$I143,$D$6:$D143,$D143)-SUMIFS($J$6:$J143,$D$6:$D143,$D143),2))</f>
        <v/>
      </c>
      <c r="T143" s="61" t="str">
        <f aca="false">IF($B143="","",YEAR($B143))</f>
        <v/>
      </c>
    </row>
    <row r="144" customFormat="false" ht="15" hidden="false" customHeight="false" outlineLevel="0" collapsed="false">
      <c r="A144" s="53" t="str">
        <f aca="false">IF($B144="","",ROW()-5)</f>
        <v/>
      </c>
      <c r="B144" s="54"/>
      <c r="C144" s="33"/>
      <c r="D144" s="33"/>
      <c r="E144" s="33"/>
      <c r="F144" s="32"/>
      <c r="G144" s="41"/>
      <c r="H144" s="39"/>
      <c r="I144" s="43"/>
      <c r="J144" s="43"/>
      <c r="K144" s="41"/>
      <c r="L144" s="39"/>
      <c r="M144" s="41"/>
      <c r="N144" s="25" t="str">
        <f aca="false">IF(AND($B144="",$E144="",$I144="",$J144=""),"",IF(NOT(ISNUMBER($B144)),"日期无效",IF(ISNA(MATCH($C144,参数设置!$A$10:$A$12,0)),"公司无效",IF(ISNA(MATCH($D144,资金账户!$B$6:$B$25,0)),"账户未建档",IF(ISNA(MATCH($E144,记账规则!$A$13:$A$32,0)),"业务类型无效",IF(AND(N($I144)&lt;&gt;0,N($J144)&lt;&gt;0),"收入和支出只能填一列",IF($P144=0,"金额为 0",IF(AND($R144="收",N($I144)=0),"这类业务是收款，金额填到收入列",IF(AND($R144="支",N($J144)=0),"这类业务是付款，金额填到支出列",IF(AND(SUMPRODUCT(--(INDEX(记账规则!$A$13:$H$32,MATCH($E144,记账规则!$A$13:$A$32,0),0)="@对方"))&gt;0,$G144=""),"这个类型要填对方科目",IF(AND($G144&lt;&gt;"",ISNA(MATCH($G144,会计科目表!$B$6:$B$85,0))),"对方科目不存在",IF(AND($E144="缴纳税费",$H144=""),"缴税请在费用项目里选税种",IF(AND($F144&lt;&gt;"",ISNA(MATCH($F144,往来单位!$A$6:$A$85,0))),"往来单位未建档",IF(YEAR($B144)&lt;&gt;参数设置!$B$5,"不在本会计年度",IF(AND($B143&lt;&gt;"",ISNUMBER($B143),$B144&lt;$B143),"日期比上一行早，余额按行序滚，建议按日期录","OK")))))))))))))))</f>
        <v/>
      </c>
      <c r="O144" s="58" t="str">
        <f aca="false">IF($B144="","",TEXT($B144,"yyyy-mm"))</f>
        <v/>
      </c>
      <c r="P144" s="60" t="str">
        <f aca="false">IF($E144="","",ROUND(N($I144)+N($J144),2))</f>
        <v/>
      </c>
      <c r="Q144" s="58" t="str">
        <f aca="false">IF($D144="","",IFERROR(INDEX(资金账户!$F$6:$F$25,MATCH($D144,资金账户!$B$6:$B$25,0)),""))</f>
        <v/>
      </c>
      <c r="R144" s="58" t="str">
        <f aca="false">IF($E144="","",IFERROR(IF(INDEX(记账规则!$A$13:$H$32,MATCH($E144,记账规则!$A$13:$A$32,0),4)="借","收","支"),""))</f>
        <v/>
      </c>
      <c r="S144" s="57" t="str">
        <f aca="false">IF($D144="","",ROUND(SUMIFS(资金账户!$H$6:$H$25,资金账户!$B$6:$B$25,$D144)+SUMIFS($I$6:$I144,$D$6:$D144,$D144)-SUMIFS($J$6:$J144,$D$6:$D144,$D144),2))</f>
        <v/>
      </c>
      <c r="T144" s="61" t="str">
        <f aca="false">IF($B144="","",YEAR($B144))</f>
        <v/>
      </c>
    </row>
    <row r="145" customFormat="false" ht="15" hidden="false" customHeight="false" outlineLevel="0" collapsed="false">
      <c r="A145" s="53" t="str">
        <f aca="false">IF($B145="","",ROW()-5)</f>
        <v/>
      </c>
      <c r="B145" s="54"/>
      <c r="C145" s="33"/>
      <c r="D145" s="33"/>
      <c r="E145" s="33"/>
      <c r="F145" s="32"/>
      <c r="G145" s="41"/>
      <c r="H145" s="39"/>
      <c r="I145" s="43"/>
      <c r="J145" s="43"/>
      <c r="K145" s="41"/>
      <c r="L145" s="39"/>
      <c r="M145" s="41"/>
      <c r="N145" s="25" t="str">
        <f aca="false">IF(AND($B145="",$E145="",$I145="",$J145=""),"",IF(NOT(ISNUMBER($B145)),"日期无效",IF(ISNA(MATCH($C145,参数设置!$A$10:$A$12,0)),"公司无效",IF(ISNA(MATCH($D145,资金账户!$B$6:$B$25,0)),"账户未建档",IF(ISNA(MATCH($E145,记账规则!$A$13:$A$32,0)),"业务类型无效",IF(AND(N($I145)&lt;&gt;0,N($J145)&lt;&gt;0),"收入和支出只能填一列",IF($P145=0,"金额为 0",IF(AND($R145="收",N($I145)=0),"这类业务是收款，金额填到收入列",IF(AND($R145="支",N($J145)=0),"这类业务是付款，金额填到支出列",IF(AND(SUMPRODUCT(--(INDEX(记账规则!$A$13:$H$32,MATCH($E145,记账规则!$A$13:$A$32,0),0)="@对方"))&gt;0,$G145=""),"这个类型要填对方科目",IF(AND($G145&lt;&gt;"",ISNA(MATCH($G145,会计科目表!$B$6:$B$85,0))),"对方科目不存在",IF(AND($E145="缴纳税费",$H145=""),"缴税请在费用项目里选税种",IF(AND($F145&lt;&gt;"",ISNA(MATCH($F145,往来单位!$A$6:$A$85,0))),"往来单位未建档",IF(YEAR($B145)&lt;&gt;参数设置!$B$5,"不在本会计年度",IF(AND($B144&lt;&gt;"",ISNUMBER($B144),$B145&lt;$B144),"日期比上一行早，余额按行序滚，建议按日期录","OK")))))))))))))))</f>
        <v/>
      </c>
      <c r="O145" s="58" t="str">
        <f aca="false">IF($B145="","",TEXT($B145,"yyyy-mm"))</f>
        <v/>
      </c>
      <c r="P145" s="60" t="str">
        <f aca="false">IF($E145="","",ROUND(N($I145)+N($J145),2))</f>
        <v/>
      </c>
      <c r="Q145" s="58" t="str">
        <f aca="false">IF($D145="","",IFERROR(INDEX(资金账户!$F$6:$F$25,MATCH($D145,资金账户!$B$6:$B$25,0)),""))</f>
        <v/>
      </c>
      <c r="R145" s="58" t="str">
        <f aca="false">IF($E145="","",IFERROR(IF(INDEX(记账规则!$A$13:$H$32,MATCH($E145,记账规则!$A$13:$A$32,0),4)="借","收","支"),""))</f>
        <v/>
      </c>
      <c r="S145" s="57" t="str">
        <f aca="false">IF($D145="","",ROUND(SUMIFS(资金账户!$H$6:$H$25,资金账户!$B$6:$B$25,$D145)+SUMIFS($I$6:$I145,$D$6:$D145,$D145)-SUMIFS($J$6:$J145,$D$6:$D145,$D145),2))</f>
        <v/>
      </c>
      <c r="T145" s="61" t="str">
        <f aca="false">IF($B145="","",YEAR($B145))</f>
        <v/>
      </c>
    </row>
    <row r="146" customFormat="false" ht="15" hidden="false" customHeight="false" outlineLevel="0" collapsed="false">
      <c r="A146" s="53" t="str">
        <f aca="false">IF($B146="","",ROW()-5)</f>
        <v/>
      </c>
      <c r="B146" s="54"/>
      <c r="C146" s="33"/>
      <c r="D146" s="33"/>
      <c r="E146" s="33"/>
      <c r="F146" s="32"/>
      <c r="G146" s="41"/>
      <c r="H146" s="39"/>
      <c r="I146" s="43"/>
      <c r="J146" s="43"/>
      <c r="K146" s="41"/>
      <c r="L146" s="39"/>
      <c r="M146" s="41"/>
      <c r="N146" s="25" t="str">
        <f aca="false">IF(AND($B146="",$E146="",$I146="",$J146=""),"",IF(NOT(ISNUMBER($B146)),"日期无效",IF(ISNA(MATCH($C146,参数设置!$A$10:$A$12,0)),"公司无效",IF(ISNA(MATCH($D146,资金账户!$B$6:$B$25,0)),"账户未建档",IF(ISNA(MATCH($E146,记账规则!$A$13:$A$32,0)),"业务类型无效",IF(AND(N($I146)&lt;&gt;0,N($J146)&lt;&gt;0),"收入和支出只能填一列",IF($P146=0,"金额为 0",IF(AND($R146="收",N($I146)=0),"这类业务是收款，金额填到收入列",IF(AND($R146="支",N($J146)=0),"这类业务是付款，金额填到支出列",IF(AND(SUMPRODUCT(--(INDEX(记账规则!$A$13:$H$32,MATCH($E146,记账规则!$A$13:$A$32,0),0)="@对方"))&gt;0,$G146=""),"这个类型要填对方科目",IF(AND($G146&lt;&gt;"",ISNA(MATCH($G146,会计科目表!$B$6:$B$85,0))),"对方科目不存在",IF(AND($E146="缴纳税费",$H146=""),"缴税请在费用项目里选税种",IF(AND($F146&lt;&gt;"",ISNA(MATCH($F146,往来单位!$A$6:$A$85,0))),"往来单位未建档",IF(YEAR($B146)&lt;&gt;参数设置!$B$5,"不在本会计年度",IF(AND($B145&lt;&gt;"",ISNUMBER($B145),$B146&lt;$B145),"日期比上一行早，余额按行序滚，建议按日期录","OK")))))))))))))))</f>
        <v/>
      </c>
      <c r="O146" s="58" t="str">
        <f aca="false">IF($B146="","",TEXT($B146,"yyyy-mm"))</f>
        <v/>
      </c>
      <c r="P146" s="60" t="str">
        <f aca="false">IF($E146="","",ROUND(N($I146)+N($J146),2))</f>
        <v/>
      </c>
      <c r="Q146" s="58" t="str">
        <f aca="false">IF($D146="","",IFERROR(INDEX(资金账户!$F$6:$F$25,MATCH($D146,资金账户!$B$6:$B$25,0)),""))</f>
        <v/>
      </c>
      <c r="R146" s="58" t="str">
        <f aca="false">IF($E146="","",IFERROR(IF(INDEX(记账规则!$A$13:$H$32,MATCH($E146,记账规则!$A$13:$A$32,0),4)="借","收","支"),""))</f>
        <v/>
      </c>
      <c r="S146" s="57" t="str">
        <f aca="false">IF($D146="","",ROUND(SUMIFS(资金账户!$H$6:$H$25,资金账户!$B$6:$B$25,$D146)+SUMIFS($I$6:$I146,$D$6:$D146,$D146)-SUMIFS($J$6:$J146,$D$6:$D146,$D146),2))</f>
        <v/>
      </c>
      <c r="T146" s="61" t="str">
        <f aca="false">IF($B146="","",YEAR($B146))</f>
        <v/>
      </c>
    </row>
    <row r="147" customFormat="false" ht="15" hidden="false" customHeight="false" outlineLevel="0" collapsed="false">
      <c r="A147" s="53" t="str">
        <f aca="false">IF($B147="","",ROW()-5)</f>
        <v/>
      </c>
      <c r="B147" s="54"/>
      <c r="C147" s="33"/>
      <c r="D147" s="33"/>
      <c r="E147" s="33"/>
      <c r="F147" s="32"/>
      <c r="G147" s="41"/>
      <c r="H147" s="39"/>
      <c r="I147" s="43"/>
      <c r="J147" s="43"/>
      <c r="K147" s="41"/>
      <c r="L147" s="39"/>
      <c r="M147" s="41"/>
      <c r="N147" s="25" t="str">
        <f aca="false">IF(AND($B147="",$E147="",$I147="",$J147=""),"",IF(NOT(ISNUMBER($B147)),"日期无效",IF(ISNA(MATCH($C147,参数设置!$A$10:$A$12,0)),"公司无效",IF(ISNA(MATCH($D147,资金账户!$B$6:$B$25,0)),"账户未建档",IF(ISNA(MATCH($E147,记账规则!$A$13:$A$32,0)),"业务类型无效",IF(AND(N($I147)&lt;&gt;0,N($J147)&lt;&gt;0),"收入和支出只能填一列",IF($P147=0,"金额为 0",IF(AND($R147="收",N($I147)=0),"这类业务是收款，金额填到收入列",IF(AND($R147="支",N($J147)=0),"这类业务是付款，金额填到支出列",IF(AND(SUMPRODUCT(--(INDEX(记账规则!$A$13:$H$32,MATCH($E147,记账规则!$A$13:$A$32,0),0)="@对方"))&gt;0,$G147=""),"这个类型要填对方科目",IF(AND($G147&lt;&gt;"",ISNA(MATCH($G147,会计科目表!$B$6:$B$85,0))),"对方科目不存在",IF(AND($E147="缴纳税费",$H147=""),"缴税请在费用项目里选税种",IF(AND($F147&lt;&gt;"",ISNA(MATCH($F147,往来单位!$A$6:$A$85,0))),"往来单位未建档",IF(YEAR($B147)&lt;&gt;参数设置!$B$5,"不在本会计年度",IF(AND($B146&lt;&gt;"",ISNUMBER($B146),$B147&lt;$B146),"日期比上一行早，余额按行序滚，建议按日期录","OK")))))))))))))))</f>
        <v/>
      </c>
      <c r="O147" s="58" t="str">
        <f aca="false">IF($B147="","",TEXT($B147,"yyyy-mm"))</f>
        <v/>
      </c>
      <c r="P147" s="60" t="str">
        <f aca="false">IF($E147="","",ROUND(N($I147)+N($J147),2))</f>
        <v/>
      </c>
      <c r="Q147" s="58" t="str">
        <f aca="false">IF($D147="","",IFERROR(INDEX(资金账户!$F$6:$F$25,MATCH($D147,资金账户!$B$6:$B$25,0)),""))</f>
        <v/>
      </c>
      <c r="R147" s="58" t="str">
        <f aca="false">IF($E147="","",IFERROR(IF(INDEX(记账规则!$A$13:$H$32,MATCH($E147,记账规则!$A$13:$A$32,0),4)="借","收","支"),""))</f>
        <v/>
      </c>
      <c r="S147" s="57" t="str">
        <f aca="false">IF($D147="","",ROUND(SUMIFS(资金账户!$H$6:$H$25,资金账户!$B$6:$B$25,$D147)+SUMIFS($I$6:$I147,$D$6:$D147,$D147)-SUMIFS($J$6:$J147,$D$6:$D147,$D147),2))</f>
        <v/>
      </c>
      <c r="T147" s="61" t="str">
        <f aca="false">IF($B147="","",YEAR($B147))</f>
        <v/>
      </c>
    </row>
    <row r="148" customFormat="false" ht="15" hidden="false" customHeight="false" outlineLevel="0" collapsed="false">
      <c r="A148" s="53" t="str">
        <f aca="false">IF($B148="","",ROW()-5)</f>
        <v/>
      </c>
      <c r="B148" s="54"/>
      <c r="C148" s="33"/>
      <c r="D148" s="33"/>
      <c r="E148" s="33"/>
      <c r="F148" s="32"/>
      <c r="G148" s="41"/>
      <c r="H148" s="39"/>
      <c r="I148" s="43"/>
      <c r="J148" s="43"/>
      <c r="K148" s="41"/>
      <c r="L148" s="39"/>
      <c r="M148" s="41"/>
      <c r="N148" s="25" t="str">
        <f aca="false">IF(AND($B148="",$E148="",$I148="",$J148=""),"",IF(NOT(ISNUMBER($B148)),"日期无效",IF(ISNA(MATCH($C148,参数设置!$A$10:$A$12,0)),"公司无效",IF(ISNA(MATCH($D148,资金账户!$B$6:$B$25,0)),"账户未建档",IF(ISNA(MATCH($E148,记账规则!$A$13:$A$32,0)),"业务类型无效",IF(AND(N($I148)&lt;&gt;0,N($J148)&lt;&gt;0),"收入和支出只能填一列",IF($P148=0,"金额为 0",IF(AND($R148="收",N($I148)=0),"这类业务是收款，金额填到收入列",IF(AND($R148="支",N($J148)=0),"这类业务是付款，金额填到支出列",IF(AND(SUMPRODUCT(--(INDEX(记账规则!$A$13:$H$32,MATCH($E148,记账规则!$A$13:$A$32,0),0)="@对方"))&gt;0,$G148=""),"这个类型要填对方科目",IF(AND($G148&lt;&gt;"",ISNA(MATCH($G148,会计科目表!$B$6:$B$85,0))),"对方科目不存在",IF(AND($E148="缴纳税费",$H148=""),"缴税请在费用项目里选税种",IF(AND($F148&lt;&gt;"",ISNA(MATCH($F148,往来单位!$A$6:$A$85,0))),"往来单位未建档",IF(YEAR($B148)&lt;&gt;参数设置!$B$5,"不在本会计年度",IF(AND($B147&lt;&gt;"",ISNUMBER($B147),$B148&lt;$B147),"日期比上一行早，余额按行序滚，建议按日期录","OK")))))))))))))))</f>
        <v/>
      </c>
      <c r="O148" s="58" t="str">
        <f aca="false">IF($B148="","",TEXT($B148,"yyyy-mm"))</f>
        <v/>
      </c>
      <c r="P148" s="60" t="str">
        <f aca="false">IF($E148="","",ROUND(N($I148)+N($J148),2))</f>
        <v/>
      </c>
      <c r="Q148" s="58" t="str">
        <f aca="false">IF($D148="","",IFERROR(INDEX(资金账户!$F$6:$F$25,MATCH($D148,资金账户!$B$6:$B$25,0)),""))</f>
        <v/>
      </c>
      <c r="R148" s="58" t="str">
        <f aca="false">IF($E148="","",IFERROR(IF(INDEX(记账规则!$A$13:$H$32,MATCH($E148,记账规则!$A$13:$A$32,0),4)="借","收","支"),""))</f>
        <v/>
      </c>
      <c r="S148" s="57" t="str">
        <f aca="false">IF($D148="","",ROUND(SUMIFS(资金账户!$H$6:$H$25,资金账户!$B$6:$B$25,$D148)+SUMIFS($I$6:$I148,$D$6:$D148,$D148)-SUMIFS($J$6:$J148,$D$6:$D148,$D148),2))</f>
        <v/>
      </c>
      <c r="T148" s="61" t="str">
        <f aca="false">IF($B148="","",YEAR($B148))</f>
        <v/>
      </c>
    </row>
    <row r="149" customFormat="false" ht="15" hidden="false" customHeight="false" outlineLevel="0" collapsed="false">
      <c r="A149" s="53" t="str">
        <f aca="false">IF($B149="","",ROW()-5)</f>
        <v/>
      </c>
      <c r="B149" s="54"/>
      <c r="C149" s="33"/>
      <c r="D149" s="33"/>
      <c r="E149" s="33"/>
      <c r="F149" s="32"/>
      <c r="G149" s="41"/>
      <c r="H149" s="39"/>
      <c r="I149" s="43"/>
      <c r="J149" s="43"/>
      <c r="K149" s="41"/>
      <c r="L149" s="39"/>
      <c r="M149" s="41"/>
      <c r="N149" s="25" t="str">
        <f aca="false">IF(AND($B149="",$E149="",$I149="",$J149=""),"",IF(NOT(ISNUMBER($B149)),"日期无效",IF(ISNA(MATCH($C149,参数设置!$A$10:$A$12,0)),"公司无效",IF(ISNA(MATCH($D149,资金账户!$B$6:$B$25,0)),"账户未建档",IF(ISNA(MATCH($E149,记账规则!$A$13:$A$32,0)),"业务类型无效",IF(AND(N($I149)&lt;&gt;0,N($J149)&lt;&gt;0),"收入和支出只能填一列",IF($P149=0,"金额为 0",IF(AND($R149="收",N($I149)=0),"这类业务是收款，金额填到收入列",IF(AND($R149="支",N($J149)=0),"这类业务是付款，金额填到支出列",IF(AND(SUMPRODUCT(--(INDEX(记账规则!$A$13:$H$32,MATCH($E149,记账规则!$A$13:$A$32,0),0)="@对方"))&gt;0,$G149=""),"这个类型要填对方科目",IF(AND($G149&lt;&gt;"",ISNA(MATCH($G149,会计科目表!$B$6:$B$85,0))),"对方科目不存在",IF(AND($E149="缴纳税费",$H149=""),"缴税请在费用项目里选税种",IF(AND($F149&lt;&gt;"",ISNA(MATCH($F149,往来单位!$A$6:$A$85,0))),"往来单位未建档",IF(YEAR($B149)&lt;&gt;参数设置!$B$5,"不在本会计年度",IF(AND($B148&lt;&gt;"",ISNUMBER($B148),$B149&lt;$B148),"日期比上一行早，余额按行序滚，建议按日期录","OK")))))))))))))))</f>
        <v/>
      </c>
      <c r="O149" s="58" t="str">
        <f aca="false">IF($B149="","",TEXT($B149,"yyyy-mm"))</f>
        <v/>
      </c>
      <c r="P149" s="60" t="str">
        <f aca="false">IF($E149="","",ROUND(N($I149)+N($J149),2))</f>
        <v/>
      </c>
      <c r="Q149" s="58" t="str">
        <f aca="false">IF($D149="","",IFERROR(INDEX(资金账户!$F$6:$F$25,MATCH($D149,资金账户!$B$6:$B$25,0)),""))</f>
        <v/>
      </c>
      <c r="R149" s="58" t="str">
        <f aca="false">IF($E149="","",IFERROR(IF(INDEX(记账规则!$A$13:$H$32,MATCH($E149,记账规则!$A$13:$A$32,0),4)="借","收","支"),""))</f>
        <v/>
      </c>
      <c r="S149" s="57" t="str">
        <f aca="false">IF($D149="","",ROUND(SUMIFS(资金账户!$H$6:$H$25,资金账户!$B$6:$B$25,$D149)+SUMIFS($I$6:$I149,$D$6:$D149,$D149)-SUMIFS($J$6:$J149,$D$6:$D149,$D149),2))</f>
        <v/>
      </c>
      <c r="T149" s="61" t="str">
        <f aca="false">IF($B149="","",YEAR($B149))</f>
        <v/>
      </c>
    </row>
    <row r="150" customFormat="false" ht="15" hidden="false" customHeight="false" outlineLevel="0" collapsed="false">
      <c r="A150" s="53" t="str">
        <f aca="false">IF($B150="","",ROW()-5)</f>
        <v/>
      </c>
      <c r="B150" s="54"/>
      <c r="C150" s="33"/>
      <c r="D150" s="33"/>
      <c r="E150" s="33"/>
      <c r="F150" s="32"/>
      <c r="G150" s="41"/>
      <c r="H150" s="39"/>
      <c r="I150" s="43"/>
      <c r="J150" s="43"/>
      <c r="K150" s="41"/>
      <c r="L150" s="39"/>
      <c r="M150" s="41"/>
      <c r="N150" s="25" t="str">
        <f aca="false">IF(AND($B150="",$E150="",$I150="",$J150=""),"",IF(NOT(ISNUMBER($B150)),"日期无效",IF(ISNA(MATCH($C150,参数设置!$A$10:$A$12,0)),"公司无效",IF(ISNA(MATCH($D150,资金账户!$B$6:$B$25,0)),"账户未建档",IF(ISNA(MATCH($E150,记账规则!$A$13:$A$32,0)),"业务类型无效",IF(AND(N($I150)&lt;&gt;0,N($J150)&lt;&gt;0),"收入和支出只能填一列",IF($P150=0,"金额为 0",IF(AND($R150="收",N($I150)=0),"这类业务是收款，金额填到收入列",IF(AND($R150="支",N($J150)=0),"这类业务是付款，金额填到支出列",IF(AND(SUMPRODUCT(--(INDEX(记账规则!$A$13:$H$32,MATCH($E150,记账规则!$A$13:$A$32,0),0)="@对方"))&gt;0,$G150=""),"这个类型要填对方科目",IF(AND($G150&lt;&gt;"",ISNA(MATCH($G150,会计科目表!$B$6:$B$85,0))),"对方科目不存在",IF(AND($E150="缴纳税费",$H150=""),"缴税请在费用项目里选税种",IF(AND($F150&lt;&gt;"",ISNA(MATCH($F150,往来单位!$A$6:$A$85,0))),"往来单位未建档",IF(YEAR($B150)&lt;&gt;参数设置!$B$5,"不在本会计年度",IF(AND($B149&lt;&gt;"",ISNUMBER($B149),$B150&lt;$B149),"日期比上一行早，余额按行序滚，建议按日期录","OK")))))))))))))))</f>
        <v/>
      </c>
      <c r="O150" s="58" t="str">
        <f aca="false">IF($B150="","",TEXT($B150,"yyyy-mm"))</f>
        <v/>
      </c>
      <c r="P150" s="60" t="str">
        <f aca="false">IF($E150="","",ROUND(N($I150)+N($J150),2))</f>
        <v/>
      </c>
      <c r="Q150" s="58" t="str">
        <f aca="false">IF($D150="","",IFERROR(INDEX(资金账户!$F$6:$F$25,MATCH($D150,资金账户!$B$6:$B$25,0)),""))</f>
        <v/>
      </c>
      <c r="R150" s="58" t="str">
        <f aca="false">IF($E150="","",IFERROR(IF(INDEX(记账规则!$A$13:$H$32,MATCH($E150,记账规则!$A$13:$A$32,0),4)="借","收","支"),""))</f>
        <v/>
      </c>
      <c r="S150" s="57" t="str">
        <f aca="false">IF($D150="","",ROUND(SUMIFS(资金账户!$H$6:$H$25,资金账户!$B$6:$B$25,$D150)+SUMIFS($I$6:$I150,$D$6:$D150,$D150)-SUMIFS($J$6:$J150,$D$6:$D150,$D150),2))</f>
        <v/>
      </c>
      <c r="T150" s="61" t="str">
        <f aca="false">IF($B150="","",YEAR($B150))</f>
        <v/>
      </c>
    </row>
    <row r="151" customFormat="false" ht="15" hidden="false" customHeight="false" outlineLevel="0" collapsed="false">
      <c r="A151" s="53" t="str">
        <f aca="false">IF($B151="","",ROW()-5)</f>
        <v/>
      </c>
      <c r="B151" s="54"/>
      <c r="C151" s="33"/>
      <c r="D151" s="33"/>
      <c r="E151" s="33"/>
      <c r="F151" s="32"/>
      <c r="G151" s="41"/>
      <c r="H151" s="39"/>
      <c r="I151" s="43"/>
      <c r="J151" s="43"/>
      <c r="K151" s="41"/>
      <c r="L151" s="39"/>
      <c r="M151" s="41"/>
      <c r="N151" s="25" t="str">
        <f aca="false">IF(AND($B151="",$E151="",$I151="",$J151=""),"",IF(NOT(ISNUMBER($B151)),"日期无效",IF(ISNA(MATCH($C151,参数设置!$A$10:$A$12,0)),"公司无效",IF(ISNA(MATCH($D151,资金账户!$B$6:$B$25,0)),"账户未建档",IF(ISNA(MATCH($E151,记账规则!$A$13:$A$32,0)),"业务类型无效",IF(AND(N($I151)&lt;&gt;0,N($J151)&lt;&gt;0),"收入和支出只能填一列",IF($P151=0,"金额为 0",IF(AND($R151="收",N($I151)=0),"这类业务是收款，金额填到收入列",IF(AND($R151="支",N($J151)=0),"这类业务是付款，金额填到支出列",IF(AND(SUMPRODUCT(--(INDEX(记账规则!$A$13:$H$32,MATCH($E151,记账规则!$A$13:$A$32,0),0)="@对方"))&gt;0,$G151=""),"这个类型要填对方科目",IF(AND($G151&lt;&gt;"",ISNA(MATCH($G151,会计科目表!$B$6:$B$85,0))),"对方科目不存在",IF(AND($E151="缴纳税费",$H151=""),"缴税请在费用项目里选税种",IF(AND($F151&lt;&gt;"",ISNA(MATCH($F151,往来单位!$A$6:$A$85,0))),"往来单位未建档",IF(YEAR($B151)&lt;&gt;参数设置!$B$5,"不在本会计年度",IF(AND($B150&lt;&gt;"",ISNUMBER($B150),$B151&lt;$B150),"日期比上一行早，余额按行序滚，建议按日期录","OK")))))))))))))))</f>
        <v/>
      </c>
      <c r="O151" s="58" t="str">
        <f aca="false">IF($B151="","",TEXT($B151,"yyyy-mm"))</f>
        <v/>
      </c>
      <c r="P151" s="60" t="str">
        <f aca="false">IF($E151="","",ROUND(N($I151)+N($J151),2))</f>
        <v/>
      </c>
      <c r="Q151" s="58" t="str">
        <f aca="false">IF($D151="","",IFERROR(INDEX(资金账户!$F$6:$F$25,MATCH($D151,资金账户!$B$6:$B$25,0)),""))</f>
        <v/>
      </c>
      <c r="R151" s="58" t="str">
        <f aca="false">IF($E151="","",IFERROR(IF(INDEX(记账规则!$A$13:$H$32,MATCH($E151,记账规则!$A$13:$A$32,0),4)="借","收","支"),""))</f>
        <v/>
      </c>
      <c r="S151" s="57" t="str">
        <f aca="false">IF($D151="","",ROUND(SUMIFS(资金账户!$H$6:$H$25,资金账户!$B$6:$B$25,$D151)+SUMIFS($I$6:$I151,$D$6:$D151,$D151)-SUMIFS($J$6:$J151,$D$6:$D151,$D151),2))</f>
        <v/>
      </c>
      <c r="T151" s="61" t="str">
        <f aca="false">IF($B151="","",YEAR($B151))</f>
        <v/>
      </c>
    </row>
    <row r="152" customFormat="false" ht="15" hidden="false" customHeight="false" outlineLevel="0" collapsed="false">
      <c r="A152" s="53" t="str">
        <f aca="false">IF($B152="","",ROW()-5)</f>
        <v/>
      </c>
      <c r="B152" s="54"/>
      <c r="C152" s="33"/>
      <c r="D152" s="33"/>
      <c r="E152" s="33"/>
      <c r="F152" s="32"/>
      <c r="G152" s="41"/>
      <c r="H152" s="39"/>
      <c r="I152" s="43"/>
      <c r="J152" s="43"/>
      <c r="K152" s="41"/>
      <c r="L152" s="39"/>
      <c r="M152" s="41"/>
      <c r="N152" s="25" t="str">
        <f aca="false">IF(AND($B152="",$E152="",$I152="",$J152=""),"",IF(NOT(ISNUMBER($B152)),"日期无效",IF(ISNA(MATCH($C152,参数设置!$A$10:$A$12,0)),"公司无效",IF(ISNA(MATCH($D152,资金账户!$B$6:$B$25,0)),"账户未建档",IF(ISNA(MATCH($E152,记账规则!$A$13:$A$32,0)),"业务类型无效",IF(AND(N($I152)&lt;&gt;0,N($J152)&lt;&gt;0),"收入和支出只能填一列",IF($P152=0,"金额为 0",IF(AND($R152="收",N($I152)=0),"这类业务是收款，金额填到收入列",IF(AND($R152="支",N($J152)=0),"这类业务是付款，金额填到支出列",IF(AND(SUMPRODUCT(--(INDEX(记账规则!$A$13:$H$32,MATCH($E152,记账规则!$A$13:$A$32,0),0)="@对方"))&gt;0,$G152=""),"这个类型要填对方科目",IF(AND($G152&lt;&gt;"",ISNA(MATCH($G152,会计科目表!$B$6:$B$85,0))),"对方科目不存在",IF(AND($E152="缴纳税费",$H152=""),"缴税请在费用项目里选税种",IF(AND($F152&lt;&gt;"",ISNA(MATCH($F152,往来单位!$A$6:$A$85,0))),"往来单位未建档",IF(YEAR($B152)&lt;&gt;参数设置!$B$5,"不在本会计年度",IF(AND($B151&lt;&gt;"",ISNUMBER($B151),$B152&lt;$B151),"日期比上一行早，余额按行序滚，建议按日期录","OK")))))))))))))))</f>
        <v/>
      </c>
      <c r="O152" s="58" t="str">
        <f aca="false">IF($B152="","",TEXT($B152,"yyyy-mm"))</f>
        <v/>
      </c>
      <c r="P152" s="60" t="str">
        <f aca="false">IF($E152="","",ROUND(N($I152)+N($J152),2))</f>
        <v/>
      </c>
      <c r="Q152" s="58" t="str">
        <f aca="false">IF($D152="","",IFERROR(INDEX(资金账户!$F$6:$F$25,MATCH($D152,资金账户!$B$6:$B$25,0)),""))</f>
        <v/>
      </c>
      <c r="R152" s="58" t="str">
        <f aca="false">IF($E152="","",IFERROR(IF(INDEX(记账规则!$A$13:$H$32,MATCH($E152,记账规则!$A$13:$A$32,0),4)="借","收","支"),""))</f>
        <v/>
      </c>
      <c r="S152" s="57" t="str">
        <f aca="false">IF($D152="","",ROUND(SUMIFS(资金账户!$H$6:$H$25,资金账户!$B$6:$B$25,$D152)+SUMIFS($I$6:$I152,$D$6:$D152,$D152)-SUMIFS($J$6:$J152,$D$6:$D152,$D152),2))</f>
        <v/>
      </c>
      <c r="T152" s="61" t="str">
        <f aca="false">IF($B152="","",YEAR($B152))</f>
        <v/>
      </c>
    </row>
    <row r="153" customFormat="false" ht="15" hidden="false" customHeight="false" outlineLevel="0" collapsed="false">
      <c r="A153" s="53" t="str">
        <f aca="false">IF($B153="","",ROW()-5)</f>
        <v/>
      </c>
      <c r="B153" s="54"/>
      <c r="C153" s="33"/>
      <c r="D153" s="33"/>
      <c r="E153" s="33"/>
      <c r="F153" s="32"/>
      <c r="G153" s="41"/>
      <c r="H153" s="39"/>
      <c r="I153" s="43"/>
      <c r="J153" s="43"/>
      <c r="K153" s="41"/>
      <c r="L153" s="39"/>
      <c r="M153" s="41"/>
      <c r="N153" s="25" t="str">
        <f aca="false">IF(AND($B153="",$E153="",$I153="",$J153=""),"",IF(NOT(ISNUMBER($B153)),"日期无效",IF(ISNA(MATCH($C153,参数设置!$A$10:$A$12,0)),"公司无效",IF(ISNA(MATCH($D153,资金账户!$B$6:$B$25,0)),"账户未建档",IF(ISNA(MATCH($E153,记账规则!$A$13:$A$32,0)),"业务类型无效",IF(AND(N($I153)&lt;&gt;0,N($J153)&lt;&gt;0),"收入和支出只能填一列",IF($P153=0,"金额为 0",IF(AND($R153="收",N($I153)=0),"这类业务是收款，金额填到收入列",IF(AND($R153="支",N($J153)=0),"这类业务是付款，金额填到支出列",IF(AND(SUMPRODUCT(--(INDEX(记账规则!$A$13:$H$32,MATCH($E153,记账规则!$A$13:$A$32,0),0)="@对方"))&gt;0,$G153=""),"这个类型要填对方科目",IF(AND($G153&lt;&gt;"",ISNA(MATCH($G153,会计科目表!$B$6:$B$85,0))),"对方科目不存在",IF(AND($E153="缴纳税费",$H153=""),"缴税请在费用项目里选税种",IF(AND($F153&lt;&gt;"",ISNA(MATCH($F153,往来单位!$A$6:$A$85,0))),"往来单位未建档",IF(YEAR($B153)&lt;&gt;参数设置!$B$5,"不在本会计年度",IF(AND($B152&lt;&gt;"",ISNUMBER($B152),$B153&lt;$B152),"日期比上一行早，余额按行序滚，建议按日期录","OK")))))))))))))))</f>
        <v/>
      </c>
      <c r="O153" s="58" t="str">
        <f aca="false">IF($B153="","",TEXT($B153,"yyyy-mm"))</f>
        <v/>
      </c>
      <c r="P153" s="60" t="str">
        <f aca="false">IF($E153="","",ROUND(N($I153)+N($J153),2))</f>
        <v/>
      </c>
      <c r="Q153" s="58" t="str">
        <f aca="false">IF($D153="","",IFERROR(INDEX(资金账户!$F$6:$F$25,MATCH($D153,资金账户!$B$6:$B$25,0)),""))</f>
        <v/>
      </c>
      <c r="R153" s="58" t="str">
        <f aca="false">IF($E153="","",IFERROR(IF(INDEX(记账规则!$A$13:$H$32,MATCH($E153,记账规则!$A$13:$A$32,0),4)="借","收","支"),""))</f>
        <v/>
      </c>
      <c r="S153" s="57" t="str">
        <f aca="false">IF($D153="","",ROUND(SUMIFS(资金账户!$H$6:$H$25,资金账户!$B$6:$B$25,$D153)+SUMIFS($I$6:$I153,$D$6:$D153,$D153)-SUMIFS($J$6:$J153,$D$6:$D153,$D153),2))</f>
        <v/>
      </c>
      <c r="T153" s="61" t="str">
        <f aca="false">IF($B153="","",YEAR($B153))</f>
        <v/>
      </c>
    </row>
    <row r="154" customFormat="false" ht="15" hidden="false" customHeight="false" outlineLevel="0" collapsed="false">
      <c r="A154" s="53" t="str">
        <f aca="false">IF($B154="","",ROW()-5)</f>
        <v/>
      </c>
      <c r="B154" s="54"/>
      <c r="C154" s="33"/>
      <c r="D154" s="33"/>
      <c r="E154" s="33"/>
      <c r="F154" s="32"/>
      <c r="G154" s="41"/>
      <c r="H154" s="39"/>
      <c r="I154" s="43"/>
      <c r="J154" s="43"/>
      <c r="K154" s="41"/>
      <c r="L154" s="39"/>
      <c r="M154" s="41"/>
      <c r="N154" s="25" t="str">
        <f aca="false">IF(AND($B154="",$E154="",$I154="",$J154=""),"",IF(NOT(ISNUMBER($B154)),"日期无效",IF(ISNA(MATCH($C154,参数设置!$A$10:$A$12,0)),"公司无效",IF(ISNA(MATCH($D154,资金账户!$B$6:$B$25,0)),"账户未建档",IF(ISNA(MATCH($E154,记账规则!$A$13:$A$32,0)),"业务类型无效",IF(AND(N($I154)&lt;&gt;0,N($J154)&lt;&gt;0),"收入和支出只能填一列",IF($P154=0,"金额为 0",IF(AND($R154="收",N($I154)=0),"这类业务是收款，金额填到收入列",IF(AND($R154="支",N($J154)=0),"这类业务是付款，金额填到支出列",IF(AND(SUMPRODUCT(--(INDEX(记账规则!$A$13:$H$32,MATCH($E154,记账规则!$A$13:$A$32,0),0)="@对方"))&gt;0,$G154=""),"这个类型要填对方科目",IF(AND($G154&lt;&gt;"",ISNA(MATCH($G154,会计科目表!$B$6:$B$85,0))),"对方科目不存在",IF(AND($E154="缴纳税费",$H154=""),"缴税请在费用项目里选税种",IF(AND($F154&lt;&gt;"",ISNA(MATCH($F154,往来单位!$A$6:$A$85,0))),"往来单位未建档",IF(YEAR($B154)&lt;&gt;参数设置!$B$5,"不在本会计年度",IF(AND($B153&lt;&gt;"",ISNUMBER($B153),$B154&lt;$B153),"日期比上一行早，余额按行序滚，建议按日期录","OK")))))))))))))))</f>
        <v/>
      </c>
      <c r="O154" s="58" t="str">
        <f aca="false">IF($B154="","",TEXT($B154,"yyyy-mm"))</f>
        <v/>
      </c>
      <c r="P154" s="60" t="str">
        <f aca="false">IF($E154="","",ROUND(N($I154)+N($J154),2))</f>
        <v/>
      </c>
      <c r="Q154" s="58" t="str">
        <f aca="false">IF($D154="","",IFERROR(INDEX(资金账户!$F$6:$F$25,MATCH($D154,资金账户!$B$6:$B$25,0)),""))</f>
        <v/>
      </c>
      <c r="R154" s="58" t="str">
        <f aca="false">IF($E154="","",IFERROR(IF(INDEX(记账规则!$A$13:$H$32,MATCH($E154,记账规则!$A$13:$A$32,0),4)="借","收","支"),""))</f>
        <v/>
      </c>
      <c r="S154" s="57" t="str">
        <f aca="false">IF($D154="","",ROUND(SUMIFS(资金账户!$H$6:$H$25,资金账户!$B$6:$B$25,$D154)+SUMIFS($I$6:$I154,$D$6:$D154,$D154)-SUMIFS($J$6:$J154,$D$6:$D154,$D154),2))</f>
        <v/>
      </c>
      <c r="T154" s="61" t="str">
        <f aca="false">IF($B154="","",YEAR($B154))</f>
        <v/>
      </c>
    </row>
    <row r="155" customFormat="false" ht="15" hidden="false" customHeight="false" outlineLevel="0" collapsed="false">
      <c r="A155" s="53" t="str">
        <f aca="false">IF($B155="","",ROW()-5)</f>
        <v/>
      </c>
      <c r="B155" s="54"/>
      <c r="C155" s="33"/>
      <c r="D155" s="33"/>
      <c r="E155" s="33"/>
      <c r="F155" s="32"/>
      <c r="G155" s="41"/>
      <c r="H155" s="39"/>
      <c r="I155" s="43"/>
      <c r="J155" s="43"/>
      <c r="K155" s="41"/>
      <c r="L155" s="39"/>
      <c r="M155" s="41"/>
      <c r="N155" s="25" t="str">
        <f aca="false">IF(AND($B155="",$E155="",$I155="",$J155=""),"",IF(NOT(ISNUMBER($B155)),"日期无效",IF(ISNA(MATCH($C155,参数设置!$A$10:$A$12,0)),"公司无效",IF(ISNA(MATCH($D155,资金账户!$B$6:$B$25,0)),"账户未建档",IF(ISNA(MATCH($E155,记账规则!$A$13:$A$32,0)),"业务类型无效",IF(AND(N($I155)&lt;&gt;0,N($J155)&lt;&gt;0),"收入和支出只能填一列",IF($P155=0,"金额为 0",IF(AND($R155="收",N($I155)=0),"这类业务是收款，金额填到收入列",IF(AND($R155="支",N($J155)=0),"这类业务是付款，金额填到支出列",IF(AND(SUMPRODUCT(--(INDEX(记账规则!$A$13:$H$32,MATCH($E155,记账规则!$A$13:$A$32,0),0)="@对方"))&gt;0,$G155=""),"这个类型要填对方科目",IF(AND($G155&lt;&gt;"",ISNA(MATCH($G155,会计科目表!$B$6:$B$85,0))),"对方科目不存在",IF(AND($E155="缴纳税费",$H155=""),"缴税请在费用项目里选税种",IF(AND($F155&lt;&gt;"",ISNA(MATCH($F155,往来单位!$A$6:$A$85,0))),"往来单位未建档",IF(YEAR($B155)&lt;&gt;参数设置!$B$5,"不在本会计年度",IF(AND($B154&lt;&gt;"",ISNUMBER($B154),$B155&lt;$B154),"日期比上一行早，余额按行序滚，建议按日期录","OK")))))))))))))))</f>
        <v/>
      </c>
      <c r="O155" s="58" t="str">
        <f aca="false">IF($B155="","",TEXT($B155,"yyyy-mm"))</f>
        <v/>
      </c>
      <c r="P155" s="60" t="str">
        <f aca="false">IF($E155="","",ROUND(N($I155)+N($J155),2))</f>
        <v/>
      </c>
      <c r="Q155" s="58" t="str">
        <f aca="false">IF($D155="","",IFERROR(INDEX(资金账户!$F$6:$F$25,MATCH($D155,资金账户!$B$6:$B$25,0)),""))</f>
        <v/>
      </c>
      <c r="R155" s="58" t="str">
        <f aca="false">IF($E155="","",IFERROR(IF(INDEX(记账规则!$A$13:$H$32,MATCH($E155,记账规则!$A$13:$A$32,0),4)="借","收","支"),""))</f>
        <v/>
      </c>
      <c r="S155" s="57" t="str">
        <f aca="false">IF($D155="","",ROUND(SUMIFS(资金账户!$H$6:$H$25,资金账户!$B$6:$B$25,$D155)+SUMIFS($I$6:$I155,$D$6:$D155,$D155)-SUMIFS($J$6:$J155,$D$6:$D155,$D155),2))</f>
        <v/>
      </c>
      <c r="T155" s="61" t="str">
        <f aca="false">IF($B155="","",YEAR($B155))</f>
        <v/>
      </c>
    </row>
    <row r="156" customFormat="false" ht="15" hidden="false" customHeight="false" outlineLevel="0" collapsed="false">
      <c r="A156" s="53" t="str">
        <f aca="false">IF($B156="","",ROW()-5)</f>
        <v/>
      </c>
      <c r="B156" s="54"/>
      <c r="C156" s="33"/>
      <c r="D156" s="33"/>
      <c r="E156" s="33"/>
      <c r="F156" s="32"/>
      <c r="G156" s="41"/>
      <c r="H156" s="39"/>
      <c r="I156" s="43"/>
      <c r="J156" s="43"/>
      <c r="K156" s="41"/>
      <c r="L156" s="39"/>
      <c r="M156" s="41"/>
      <c r="N156" s="25" t="str">
        <f aca="false">IF(AND($B156="",$E156="",$I156="",$J156=""),"",IF(NOT(ISNUMBER($B156)),"日期无效",IF(ISNA(MATCH($C156,参数设置!$A$10:$A$12,0)),"公司无效",IF(ISNA(MATCH($D156,资金账户!$B$6:$B$25,0)),"账户未建档",IF(ISNA(MATCH($E156,记账规则!$A$13:$A$32,0)),"业务类型无效",IF(AND(N($I156)&lt;&gt;0,N($J156)&lt;&gt;0),"收入和支出只能填一列",IF($P156=0,"金额为 0",IF(AND($R156="收",N($I156)=0),"这类业务是收款，金额填到收入列",IF(AND($R156="支",N($J156)=0),"这类业务是付款，金额填到支出列",IF(AND(SUMPRODUCT(--(INDEX(记账规则!$A$13:$H$32,MATCH($E156,记账规则!$A$13:$A$32,0),0)="@对方"))&gt;0,$G156=""),"这个类型要填对方科目",IF(AND($G156&lt;&gt;"",ISNA(MATCH($G156,会计科目表!$B$6:$B$85,0))),"对方科目不存在",IF(AND($E156="缴纳税费",$H156=""),"缴税请在费用项目里选税种",IF(AND($F156&lt;&gt;"",ISNA(MATCH($F156,往来单位!$A$6:$A$85,0))),"往来单位未建档",IF(YEAR($B156)&lt;&gt;参数设置!$B$5,"不在本会计年度",IF(AND($B155&lt;&gt;"",ISNUMBER($B155),$B156&lt;$B155),"日期比上一行早，余额按行序滚，建议按日期录","OK")))))))))))))))</f>
        <v/>
      </c>
      <c r="O156" s="58" t="str">
        <f aca="false">IF($B156="","",TEXT($B156,"yyyy-mm"))</f>
        <v/>
      </c>
      <c r="P156" s="60" t="str">
        <f aca="false">IF($E156="","",ROUND(N($I156)+N($J156),2))</f>
        <v/>
      </c>
      <c r="Q156" s="58" t="str">
        <f aca="false">IF($D156="","",IFERROR(INDEX(资金账户!$F$6:$F$25,MATCH($D156,资金账户!$B$6:$B$25,0)),""))</f>
        <v/>
      </c>
      <c r="R156" s="58" t="str">
        <f aca="false">IF($E156="","",IFERROR(IF(INDEX(记账规则!$A$13:$H$32,MATCH($E156,记账规则!$A$13:$A$32,0),4)="借","收","支"),""))</f>
        <v/>
      </c>
      <c r="S156" s="57" t="str">
        <f aca="false">IF($D156="","",ROUND(SUMIFS(资金账户!$H$6:$H$25,资金账户!$B$6:$B$25,$D156)+SUMIFS($I$6:$I156,$D$6:$D156,$D156)-SUMIFS($J$6:$J156,$D$6:$D156,$D156),2))</f>
        <v/>
      </c>
      <c r="T156" s="61" t="str">
        <f aca="false">IF($B156="","",YEAR($B156))</f>
        <v/>
      </c>
    </row>
    <row r="157" customFormat="false" ht="15" hidden="false" customHeight="false" outlineLevel="0" collapsed="false">
      <c r="A157" s="53" t="str">
        <f aca="false">IF($B157="","",ROW()-5)</f>
        <v/>
      </c>
      <c r="B157" s="54"/>
      <c r="C157" s="33"/>
      <c r="D157" s="33"/>
      <c r="E157" s="33"/>
      <c r="F157" s="32"/>
      <c r="G157" s="41"/>
      <c r="H157" s="39"/>
      <c r="I157" s="43"/>
      <c r="J157" s="43"/>
      <c r="K157" s="41"/>
      <c r="L157" s="39"/>
      <c r="M157" s="41"/>
      <c r="N157" s="25" t="str">
        <f aca="false">IF(AND($B157="",$E157="",$I157="",$J157=""),"",IF(NOT(ISNUMBER($B157)),"日期无效",IF(ISNA(MATCH($C157,参数设置!$A$10:$A$12,0)),"公司无效",IF(ISNA(MATCH($D157,资金账户!$B$6:$B$25,0)),"账户未建档",IF(ISNA(MATCH($E157,记账规则!$A$13:$A$32,0)),"业务类型无效",IF(AND(N($I157)&lt;&gt;0,N($J157)&lt;&gt;0),"收入和支出只能填一列",IF($P157=0,"金额为 0",IF(AND($R157="收",N($I157)=0),"这类业务是收款，金额填到收入列",IF(AND($R157="支",N($J157)=0),"这类业务是付款，金额填到支出列",IF(AND(SUMPRODUCT(--(INDEX(记账规则!$A$13:$H$32,MATCH($E157,记账规则!$A$13:$A$32,0),0)="@对方"))&gt;0,$G157=""),"这个类型要填对方科目",IF(AND($G157&lt;&gt;"",ISNA(MATCH($G157,会计科目表!$B$6:$B$85,0))),"对方科目不存在",IF(AND($E157="缴纳税费",$H157=""),"缴税请在费用项目里选税种",IF(AND($F157&lt;&gt;"",ISNA(MATCH($F157,往来单位!$A$6:$A$85,0))),"往来单位未建档",IF(YEAR($B157)&lt;&gt;参数设置!$B$5,"不在本会计年度",IF(AND($B156&lt;&gt;"",ISNUMBER($B156),$B157&lt;$B156),"日期比上一行早，余额按行序滚，建议按日期录","OK")))))))))))))))</f>
        <v/>
      </c>
      <c r="O157" s="58" t="str">
        <f aca="false">IF($B157="","",TEXT($B157,"yyyy-mm"))</f>
        <v/>
      </c>
      <c r="P157" s="60" t="str">
        <f aca="false">IF($E157="","",ROUND(N($I157)+N($J157),2))</f>
        <v/>
      </c>
      <c r="Q157" s="58" t="str">
        <f aca="false">IF($D157="","",IFERROR(INDEX(资金账户!$F$6:$F$25,MATCH($D157,资金账户!$B$6:$B$25,0)),""))</f>
        <v/>
      </c>
      <c r="R157" s="58" t="str">
        <f aca="false">IF($E157="","",IFERROR(IF(INDEX(记账规则!$A$13:$H$32,MATCH($E157,记账规则!$A$13:$A$32,0),4)="借","收","支"),""))</f>
        <v/>
      </c>
      <c r="S157" s="57" t="str">
        <f aca="false">IF($D157="","",ROUND(SUMIFS(资金账户!$H$6:$H$25,资金账户!$B$6:$B$25,$D157)+SUMIFS($I$6:$I157,$D$6:$D157,$D157)-SUMIFS($J$6:$J157,$D$6:$D157,$D157),2))</f>
        <v/>
      </c>
      <c r="T157" s="61" t="str">
        <f aca="false">IF($B157="","",YEAR($B157))</f>
        <v/>
      </c>
    </row>
    <row r="158" customFormat="false" ht="15" hidden="false" customHeight="false" outlineLevel="0" collapsed="false">
      <c r="A158" s="53" t="str">
        <f aca="false">IF($B158="","",ROW()-5)</f>
        <v/>
      </c>
      <c r="B158" s="54"/>
      <c r="C158" s="33"/>
      <c r="D158" s="33"/>
      <c r="E158" s="33"/>
      <c r="F158" s="32"/>
      <c r="G158" s="41"/>
      <c r="H158" s="39"/>
      <c r="I158" s="43"/>
      <c r="J158" s="43"/>
      <c r="K158" s="41"/>
      <c r="L158" s="39"/>
      <c r="M158" s="41"/>
      <c r="N158" s="25" t="str">
        <f aca="false">IF(AND($B158="",$E158="",$I158="",$J158=""),"",IF(NOT(ISNUMBER($B158)),"日期无效",IF(ISNA(MATCH($C158,参数设置!$A$10:$A$12,0)),"公司无效",IF(ISNA(MATCH($D158,资金账户!$B$6:$B$25,0)),"账户未建档",IF(ISNA(MATCH($E158,记账规则!$A$13:$A$32,0)),"业务类型无效",IF(AND(N($I158)&lt;&gt;0,N($J158)&lt;&gt;0),"收入和支出只能填一列",IF($P158=0,"金额为 0",IF(AND($R158="收",N($I158)=0),"这类业务是收款，金额填到收入列",IF(AND($R158="支",N($J158)=0),"这类业务是付款，金额填到支出列",IF(AND(SUMPRODUCT(--(INDEX(记账规则!$A$13:$H$32,MATCH($E158,记账规则!$A$13:$A$32,0),0)="@对方"))&gt;0,$G158=""),"这个类型要填对方科目",IF(AND($G158&lt;&gt;"",ISNA(MATCH($G158,会计科目表!$B$6:$B$85,0))),"对方科目不存在",IF(AND($E158="缴纳税费",$H158=""),"缴税请在费用项目里选税种",IF(AND($F158&lt;&gt;"",ISNA(MATCH($F158,往来单位!$A$6:$A$85,0))),"往来单位未建档",IF(YEAR($B158)&lt;&gt;参数设置!$B$5,"不在本会计年度",IF(AND($B157&lt;&gt;"",ISNUMBER($B157),$B158&lt;$B157),"日期比上一行早，余额按行序滚，建议按日期录","OK")))))))))))))))</f>
        <v/>
      </c>
      <c r="O158" s="58" t="str">
        <f aca="false">IF($B158="","",TEXT($B158,"yyyy-mm"))</f>
        <v/>
      </c>
      <c r="P158" s="60" t="str">
        <f aca="false">IF($E158="","",ROUND(N($I158)+N($J158),2))</f>
        <v/>
      </c>
      <c r="Q158" s="58" t="str">
        <f aca="false">IF($D158="","",IFERROR(INDEX(资金账户!$F$6:$F$25,MATCH($D158,资金账户!$B$6:$B$25,0)),""))</f>
        <v/>
      </c>
      <c r="R158" s="58" t="str">
        <f aca="false">IF($E158="","",IFERROR(IF(INDEX(记账规则!$A$13:$H$32,MATCH($E158,记账规则!$A$13:$A$32,0),4)="借","收","支"),""))</f>
        <v/>
      </c>
      <c r="S158" s="57" t="str">
        <f aca="false">IF($D158="","",ROUND(SUMIFS(资金账户!$H$6:$H$25,资金账户!$B$6:$B$25,$D158)+SUMIFS($I$6:$I158,$D$6:$D158,$D158)-SUMIFS($J$6:$J158,$D$6:$D158,$D158),2))</f>
        <v/>
      </c>
      <c r="T158" s="61" t="str">
        <f aca="false">IF($B158="","",YEAR($B158))</f>
        <v/>
      </c>
    </row>
    <row r="159" customFormat="false" ht="15" hidden="false" customHeight="false" outlineLevel="0" collapsed="false">
      <c r="A159" s="53" t="str">
        <f aca="false">IF($B159="","",ROW()-5)</f>
        <v/>
      </c>
      <c r="B159" s="54"/>
      <c r="C159" s="33"/>
      <c r="D159" s="33"/>
      <c r="E159" s="33"/>
      <c r="F159" s="32"/>
      <c r="G159" s="41"/>
      <c r="H159" s="39"/>
      <c r="I159" s="43"/>
      <c r="J159" s="43"/>
      <c r="K159" s="41"/>
      <c r="L159" s="39"/>
      <c r="M159" s="41"/>
      <c r="N159" s="25" t="str">
        <f aca="false">IF(AND($B159="",$E159="",$I159="",$J159=""),"",IF(NOT(ISNUMBER($B159)),"日期无效",IF(ISNA(MATCH($C159,参数设置!$A$10:$A$12,0)),"公司无效",IF(ISNA(MATCH($D159,资金账户!$B$6:$B$25,0)),"账户未建档",IF(ISNA(MATCH($E159,记账规则!$A$13:$A$32,0)),"业务类型无效",IF(AND(N($I159)&lt;&gt;0,N($J159)&lt;&gt;0),"收入和支出只能填一列",IF($P159=0,"金额为 0",IF(AND($R159="收",N($I159)=0),"这类业务是收款，金额填到收入列",IF(AND($R159="支",N($J159)=0),"这类业务是付款，金额填到支出列",IF(AND(SUMPRODUCT(--(INDEX(记账规则!$A$13:$H$32,MATCH($E159,记账规则!$A$13:$A$32,0),0)="@对方"))&gt;0,$G159=""),"这个类型要填对方科目",IF(AND($G159&lt;&gt;"",ISNA(MATCH($G159,会计科目表!$B$6:$B$85,0))),"对方科目不存在",IF(AND($E159="缴纳税费",$H159=""),"缴税请在费用项目里选税种",IF(AND($F159&lt;&gt;"",ISNA(MATCH($F159,往来单位!$A$6:$A$85,0))),"往来单位未建档",IF(YEAR($B159)&lt;&gt;参数设置!$B$5,"不在本会计年度",IF(AND($B158&lt;&gt;"",ISNUMBER($B158),$B159&lt;$B158),"日期比上一行早，余额按行序滚，建议按日期录","OK")))))))))))))))</f>
        <v/>
      </c>
      <c r="O159" s="58" t="str">
        <f aca="false">IF($B159="","",TEXT($B159,"yyyy-mm"))</f>
        <v/>
      </c>
      <c r="P159" s="60" t="str">
        <f aca="false">IF($E159="","",ROUND(N($I159)+N($J159),2))</f>
        <v/>
      </c>
      <c r="Q159" s="58" t="str">
        <f aca="false">IF($D159="","",IFERROR(INDEX(资金账户!$F$6:$F$25,MATCH($D159,资金账户!$B$6:$B$25,0)),""))</f>
        <v/>
      </c>
      <c r="R159" s="58" t="str">
        <f aca="false">IF($E159="","",IFERROR(IF(INDEX(记账规则!$A$13:$H$32,MATCH($E159,记账规则!$A$13:$A$32,0),4)="借","收","支"),""))</f>
        <v/>
      </c>
      <c r="S159" s="57" t="str">
        <f aca="false">IF($D159="","",ROUND(SUMIFS(资金账户!$H$6:$H$25,资金账户!$B$6:$B$25,$D159)+SUMIFS($I$6:$I159,$D$6:$D159,$D159)-SUMIFS($J$6:$J159,$D$6:$D159,$D159),2))</f>
        <v/>
      </c>
      <c r="T159" s="61" t="str">
        <f aca="false">IF($B159="","",YEAR($B159))</f>
        <v/>
      </c>
    </row>
    <row r="160" customFormat="false" ht="15" hidden="false" customHeight="false" outlineLevel="0" collapsed="false">
      <c r="A160" s="53" t="str">
        <f aca="false">IF($B160="","",ROW()-5)</f>
        <v/>
      </c>
      <c r="B160" s="54"/>
      <c r="C160" s="33"/>
      <c r="D160" s="33"/>
      <c r="E160" s="33"/>
      <c r="F160" s="32"/>
      <c r="G160" s="41"/>
      <c r="H160" s="39"/>
      <c r="I160" s="43"/>
      <c r="J160" s="43"/>
      <c r="K160" s="41"/>
      <c r="L160" s="39"/>
      <c r="M160" s="41"/>
      <c r="N160" s="25" t="str">
        <f aca="false">IF(AND($B160="",$E160="",$I160="",$J160=""),"",IF(NOT(ISNUMBER($B160)),"日期无效",IF(ISNA(MATCH($C160,参数设置!$A$10:$A$12,0)),"公司无效",IF(ISNA(MATCH($D160,资金账户!$B$6:$B$25,0)),"账户未建档",IF(ISNA(MATCH($E160,记账规则!$A$13:$A$32,0)),"业务类型无效",IF(AND(N($I160)&lt;&gt;0,N($J160)&lt;&gt;0),"收入和支出只能填一列",IF($P160=0,"金额为 0",IF(AND($R160="收",N($I160)=0),"这类业务是收款，金额填到收入列",IF(AND($R160="支",N($J160)=0),"这类业务是付款，金额填到支出列",IF(AND(SUMPRODUCT(--(INDEX(记账规则!$A$13:$H$32,MATCH($E160,记账规则!$A$13:$A$32,0),0)="@对方"))&gt;0,$G160=""),"这个类型要填对方科目",IF(AND($G160&lt;&gt;"",ISNA(MATCH($G160,会计科目表!$B$6:$B$85,0))),"对方科目不存在",IF(AND($E160="缴纳税费",$H160=""),"缴税请在费用项目里选税种",IF(AND($F160&lt;&gt;"",ISNA(MATCH($F160,往来单位!$A$6:$A$85,0))),"往来单位未建档",IF(YEAR($B160)&lt;&gt;参数设置!$B$5,"不在本会计年度",IF(AND($B159&lt;&gt;"",ISNUMBER($B159),$B160&lt;$B159),"日期比上一行早，余额按行序滚，建议按日期录","OK")))))))))))))))</f>
        <v/>
      </c>
      <c r="O160" s="58" t="str">
        <f aca="false">IF($B160="","",TEXT($B160,"yyyy-mm"))</f>
        <v/>
      </c>
      <c r="P160" s="60" t="str">
        <f aca="false">IF($E160="","",ROUND(N($I160)+N($J160),2))</f>
        <v/>
      </c>
      <c r="Q160" s="58" t="str">
        <f aca="false">IF($D160="","",IFERROR(INDEX(资金账户!$F$6:$F$25,MATCH($D160,资金账户!$B$6:$B$25,0)),""))</f>
        <v/>
      </c>
      <c r="R160" s="58" t="str">
        <f aca="false">IF($E160="","",IFERROR(IF(INDEX(记账规则!$A$13:$H$32,MATCH($E160,记账规则!$A$13:$A$32,0),4)="借","收","支"),""))</f>
        <v/>
      </c>
      <c r="S160" s="57" t="str">
        <f aca="false">IF($D160="","",ROUND(SUMIFS(资金账户!$H$6:$H$25,资金账户!$B$6:$B$25,$D160)+SUMIFS($I$6:$I160,$D$6:$D160,$D160)-SUMIFS($J$6:$J160,$D$6:$D160,$D160),2))</f>
        <v/>
      </c>
      <c r="T160" s="61" t="str">
        <f aca="false">IF($B160="","",YEAR($B160))</f>
        <v/>
      </c>
    </row>
    <row r="161" customFormat="false" ht="15" hidden="false" customHeight="false" outlineLevel="0" collapsed="false">
      <c r="A161" s="53" t="str">
        <f aca="false">IF($B161="","",ROW()-5)</f>
        <v/>
      </c>
      <c r="B161" s="54"/>
      <c r="C161" s="33"/>
      <c r="D161" s="33"/>
      <c r="E161" s="33"/>
      <c r="F161" s="32"/>
      <c r="G161" s="41"/>
      <c r="H161" s="39"/>
      <c r="I161" s="43"/>
      <c r="J161" s="43"/>
      <c r="K161" s="41"/>
      <c r="L161" s="39"/>
      <c r="M161" s="41"/>
      <c r="N161" s="25" t="str">
        <f aca="false">IF(AND($B161="",$E161="",$I161="",$J161=""),"",IF(NOT(ISNUMBER($B161)),"日期无效",IF(ISNA(MATCH($C161,参数设置!$A$10:$A$12,0)),"公司无效",IF(ISNA(MATCH($D161,资金账户!$B$6:$B$25,0)),"账户未建档",IF(ISNA(MATCH($E161,记账规则!$A$13:$A$32,0)),"业务类型无效",IF(AND(N($I161)&lt;&gt;0,N($J161)&lt;&gt;0),"收入和支出只能填一列",IF($P161=0,"金额为 0",IF(AND($R161="收",N($I161)=0),"这类业务是收款，金额填到收入列",IF(AND($R161="支",N($J161)=0),"这类业务是付款，金额填到支出列",IF(AND(SUMPRODUCT(--(INDEX(记账规则!$A$13:$H$32,MATCH($E161,记账规则!$A$13:$A$32,0),0)="@对方"))&gt;0,$G161=""),"这个类型要填对方科目",IF(AND($G161&lt;&gt;"",ISNA(MATCH($G161,会计科目表!$B$6:$B$85,0))),"对方科目不存在",IF(AND($E161="缴纳税费",$H161=""),"缴税请在费用项目里选税种",IF(AND($F161&lt;&gt;"",ISNA(MATCH($F161,往来单位!$A$6:$A$85,0))),"往来单位未建档",IF(YEAR($B161)&lt;&gt;参数设置!$B$5,"不在本会计年度",IF(AND($B160&lt;&gt;"",ISNUMBER($B160),$B161&lt;$B160),"日期比上一行早，余额按行序滚，建议按日期录","OK")))))))))))))))</f>
        <v/>
      </c>
      <c r="O161" s="58" t="str">
        <f aca="false">IF($B161="","",TEXT($B161,"yyyy-mm"))</f>
        <v/>
      </c>
      <c r="P161" s="60" t="str">
        <f aca="false">IF($E161="","",ROUND(N($I161)+N($J161),2))</f>
        <v/>
      </c>
      <c r="Q161" s="58" t="str">
        <f aca="false">IF($D161="","",IFERROR(INDEX(资金账户!$F$6:$F$25,MATCH($D161,资金账户!$B$6:$B$25,0)),""))</f>
        <v/>
      </c>
      <c r="R161" s="58" t="str">
        <f aca="false">IF($E161="","",IFERROR(IF(INDEX(记账规则!$A$13:$H$32,MATCH($E161,记账规则!$A$13:$A$32,0),4)="借","收","支"),""))</f>
        <v/>
      </c>
      <c r="S161" s="57" t="str">
        <f aca="false">IF($D161="","",ROUND(SUMIFS(资金账户!$H$6:$H$25,资金账户!$B$6:$B$25,$D161)+SUMIFS($I$6:$I161,$D$6:$D161,$D161)-SUMIFS($J$6:$J161,$D$6:$D161,$D161),2))</f>
        <v/>
      </c>
      <c r="T161" s="61" t="str">
        <f aca="false">IF($B161="","",YEAR($B161))</f>
        <v/>
      </c>
    </row>
    <row r="162" customFormat="false" ht="15" hidden="false" customHeight="false" outlineLevel="0" collapsed="false">
      <c r="A162" s="53" t="str">
        <f aca="false">IF($B162="","",ROW()-5)</f>
        <v/>
      </c>
      <c r="B162" s="54"/>
      <c r="C162" s="33"/>
      <c r="D162" s="33"/>
      <c r="E162" s="33"/>
      <c r="F162" s="32"/>
      <c r="G162" s="41"/>
      <c r="H162" s="39"/>
      <c r="I162" s="43"/>
      <c r="J162" s="43"/>
      <c r="K162" s="41"/>
      <c r="L162" s="39"/>
      <c r="M162" s="41"/>
      <c r="N162" s="25" t="str">
        <f aca="false">IF(AND($B162="",$E162="",$I162="",$J162=""),"",IF(NOT(ISNUMBER($B162)),"日期无效",IF(ISNA(MATCH($C162,参数设置!$A$10:$A$12,0)),"公司无效",IF(ISNA(MATCH($D162,资金账户!$B$6:$B$25,0)),"账户未建档",IF(ISNA(MATCH($E162,记账规则!$A$13:$A$32,0)),"业务类型无效",IF(AND(N($I162)&lt;&gt;0,N($J162)&lt;&gt;0),"收入和支出只能填一列",IF($P162=0,"金额为 0",IF(AND($R162="收",N($I162)=0),"这类业务是收款，金额填到收入列",IF(AND($R162="支",N($J162)=0),"这类业务是付款，金额填到支出列",IF(AND(SUMPRODUCT(--(INDEX(记账规则!$A$13:$H$32,MATCH($E162,记账规则!$A$13:$A$32,0),0)="@对方"))&gt;0,$G162=""),"这个类型要填对方科目",IF(AND($G162&lt;&gt;"",ISNA(MATCH($G162,会计科目表!$B$6:$B$85,0))),"对方科目不存在",IF(AND($E162="缴纳税费",$H162=""),"缴税请在费用项目里选税种",IF(AND($F162&lt;&gt;"",ISNA(MATCH($F162,往来单位!$A$6:$A$85,0))),"往来单位未建档",IF(YEAR($B162)&lt;&gt;参数设置!$B$5,"不在本会计年度",IF(AND($B161&lt;&gt;"",ISNUMBER($B161),$B162&lt;$B161),"日期比上一行早，余额按行序滚，建议按日期录","OK")))))))))))))))</f>
        <v/>
      </c>
      <c r="O162" s="58" t="str">
        <f aca="false">IF($B162="","",TEXT($B162,"yyyy-mm"))</f>
        <v/>
      </c>
      <c r="P162" s="60" t="str">
        <f aca="false">IF($E162="","",ROUND(N($I162)+N($J162),2))</f>
        <v/>
      </c>
      <c r="Q162" s="58" t="str">
        <f aca="false">IF($D162="","",IFERROR(INDEX(资金账户!$F$6:$F$25,MATCH($D162,资金账户!$B$6:$B$25,0)),""))</f>
        <v/>
      </c>
      <c r="R162" s="58" t="str">
        <f aca="false">IF($E162="","",IFERROR(IF(INDEX(记账规则!$A$13:$H$32,MATCH($E162,记账规则!$A$13:$A$32,0),4)="借","收","支"),""))</f>
        <v/>
      </c>
      <c r="S162" s="57" t="str">
        <f aca="false">IF($D162="","",ROUND(SUMIFS(资金账户!$H$6:$H$25,资金账户!$B$6:$B$25,$D162)+SUMIFS($I$6:$I162,$D$6:$D162,$D162)-SUMIFS($J$6:$J162,$D$6:$D162,$D162),2))</f>
        <v/>
      </c>
      <c r="T162" s="61" t="str">
        <f aca="false">IF($B162="","",YEAR($B162))</f>
        <v/>
      </c>
    </row>
    <row r="163" customFormat="false" ht="15" hidden="false" customHeight="false" outlineLevel="0" collapsed="false">
      <c r="A163" s="53" t="str">
        <f aca="false">IF($B163="","",ROW()-5)</f>
        <v/>
      </c>
      <c r="B163" s="54"/>
      <c r="C163" s="33"/>
      <c r="D163" s="33"/>
      <c r="E163" s="33"/>
      <c r="F163" s="32"/>
      <c r="G163" s="41"/>
      <c r="H163" s="39"/>
      <c r="I163" s="43"/>
      <c r="J163" s="43"/>
      <c r="K163" s="41"/>
      <c r="L163" s="39"/>
      <c r="M163" s="41"/>
      <c r="N163" s="25" t="str">
        <f aca="false">IF(AND($B163="",$E163="",$I163="",$J163=""),"",IF(NOT(ISNUMBER($B163)),"日期无效",IF(ISNA(MATCH($C163,参数设置!$A$10:$A$12,0)),"公司无效",IF(ISNA(MATCH($D163,资金账户!$B$6:$B$25,0)),"账户未建档",IF(ISNA(MATCH($E163,记账规则!$A$13:$A$32,0)),"业务类型无效",IF(AND(N($I163)&lt;&gt;0,N($J163)&lt;&gt;0),"收入和支出只能填一列",IF($P163=0,"金额为 0",IF(AND($R163="收",N($I163)=0),"这类业务是收款，金额填到收入列",IF(AND($R163="支",N($J163)=0),"这类业务是付款，金额填到支出列",IF(AND(SUMPRODUCT(--(INDEX(记账规则!$A$13:$H$32,MATCH($E163,记账规则!$A$13:$A$32,0),0)="@对方"))&gt;0,$G163=""),"这个类型要填对方科目",IF(AND($G163&lt;&gt;"",ISNA(MATCH($G163,会计科目表!$B$6:$B$85,0))),"对方科目不存在",IF(AND($E163="缴纳税费",$H163=""),"缴税请在费用项目里选税种",IF(AND($F163&lt;&gt;"",ISNA(MATCH($F163,往来单位!$A$6:$A$85,0))),"往来单位未建档",IF(YEAR($B163)&lt;&gt;参数设置!$B$5,"不在本会计年度",IF(AND($B162&lt;&gt;"",ISNUMBER($B162),$B163&lt;$B162),"日期比上一行早，余额按行序滚，建议按日期录","OK")))))))))))))))</f>
        <v/>
      </c>
      <c r="O163" s="58" t="str">
        <f aca="false">IF($B163="","",TEXT($B163,"yyyy-mm"))</f>
        <v/>
      </c>
      <c r="P163" s="60" t="str">
        <f aca="false">IF($E163="","",ROUND(N($I163)+N($J163),2))</f>
        <v/>
      </c>
      <c r="Q163" s="58" t="str">
        <f aca="false">IF($D163="","",IFERROR(INDEX(资金账户!$F$6:$F$25,MATCH($D163,资金账户!$B$6:$B$25,0)),""))</f>
        <v/>
      </c>
      <c r="R163" s="58" t="str">
        <f aca="false">IF($E163="","",IFERROR(IF(INDEX(记账规则!$A$13:$H$32,MATCH($E163,记账规则!$A$13:$A$32,0),4)="借","收","支"),""))</f>
        <v/>
      </c>
      <c r="S163" s="57" t="str">
        <f aca="false">IF($D163="","",ROUND(SUMIFS(资金账户!$H$6:$H$25,资金账户!$B$6:$B$25,$D163)+SUMIFS($I$6:$I163,$D$6:$D163,$D163)-SUMIFS($J$6:$J163,$D$6:$D163,$D163),2))</f>
        <v/>
      </c>
      <c r="T163" s="61" t="str">
        <f aca="false">IF($B163="","",YEAR($B163))</f>
        <v/>
      </c>
    </row>
    <row r="164" customFormat="false" ht="15" hidden="false" customHeight="false" outlineLevel="0" collapsed="false">
      <c r="A164" s="53" t="str">
        <f aca="false">IF($B164="","",ROW()-5)</f>
        <v/>
      </c>
      <c r="B164" s="54"/>
      <c r="C164" s="33"/>
      <c r="D164" s="33"/>
      <c r="E164" s="33"/>
      <c r="F164" s="32"/>
      <c r="G164" s="41"/>
      <c r="H164" s="39"/>
      <c r="I164" s="43"/>
      <c r="J164" s="43"/>
      <c r="K164" s="41"/>
      <c r="L164" s="39"/>
      <c r="M164" s="41"/>
      <c r="N164" s="25" t="str">
        <f aca="false">IF(AND($B164="",$E164="",$I164="",$J164=""),"",IF(NOT(ISNUMBER($B164)),"日期无效",IF(ISNA(MATCH($C164,参数设置!$A$10:$A$12,0)),"公司无效",IF(ISNA(MATCH($D164,资金账户!$B$6:$B$25,0)),"账户未建档",IF(ISNA(MATCH($E164,记账规则!$A$13:$A$32,0)),"业务类型无效",IF(AND(N($I164)&lt;&gt;0,N($J164)&lt;&gt;0),"收入和支出只能填一列",IF($P164=0,"金额为 0",IF(AND($R164="收",N($I164)=0),"这类业务是收款，金额填到收入列",IF(AND($R164="支",N($J164)=0),"这类业务是付款，金额填到支出列",IF(AND(SUMPRODUCT(--(INDEX(记账规则!$A$13:$H$32,MATCH($E164,记账规则!$A$13:$A$32,0),0)="@对方"))&gt;0,$G164=""),"这个类型要填对方科目",IF(AND($G164&lt;&gt;"",ISNA(MATCH($G164,会计科目表!$B$6:$B$85,0))),"对方科目不存在",IF(AND($E164="缴纳税费",$H164=""),"缴税请在费用项目里选税种",IF(AND($F164&lt;&gt;"",ISNA(MATCH($F164,往来单位!$A$6:$A$85,0))),"往来单位未建档",IF(YEAR($B164)&lt;&gt;参数设置!$B$5,"不在本会计年度",IF(AND($B163&lt;&gt;"",ISNUMBER($B163),$B164&lt;$B163),"日期比上一行早，余额按行序滚，建议按日期录","OK")))))))))))))))</f>
        <v/>
      </c>
      <c r="O164" s="58" t="str">
        <f aca="false">IF($B164="","",TEXT($B164,"yyyy-mm"))</f>
        <v/>
      </c>
      <c r="P164" s="60" t="str">
        <f aca="false">IF($E164="","",ROUND(N($I164)+N($J164),2))</f>
        <v/>
      </c>
      <c r="Q164" s="58" t="str">
        <f aca="false">IF($D164="","",IFERROR(INDEX(资金账户!$F$6:$F$25,MATCH($D164,资金账户!$B$6:$B$25,0)),""))</f>
        <v/>
      </c>
      <c r="R164" s="58" t="str">
        <f aca="false">IF($E164="","",IFERROR(IF(INDEX(记账规则!$A$13:$H$32,MATCH($E164,记账规则!$A$13:$A$32,0),4)="借","收","支"),""))</f>
        <v/>
      </c>
      <c r="S164" s="57" t="str">
        <f aca="false">IF($D164="","",ROUND(SUMIFS(资金账户!$H$6:$H$25,资金账户!$B$6:$B$25,$D164)+SUMIFS($I$6:$I164,$D$6:$D164,$D164)-SUMIFS($J$6:$J164,$D$6:$D164,$D164),2))</f>
        <v/>
      </c>
      <c r="T164" s="61" t="str">
        <f aca="false">IF($B164="","",YEAR($B164))</f>
        <v/>
      </c>
    </row>
    <row r="165" customFormat="false" ht="15" hidden="false" customHeight="false" outlineLevel="0" collapsed="false">
      <c r="A165" s="53" t="str">
        <f aca="false">IF($B165="","",ROW()-5)</f>
        <v/>
      </c>
      <c r="B165" s="54"/>
      <c r="C165" s="33"/>
      <c r="D165" s="33"/>
      <c r="E165" s="33"/>
      <c r="F165" s="32"/>
      <c r="G165" s="41"/>
      <c r="H165" s="39"/>
      <c r="I165" s="43"/>
      <c r="J165" s="43"/>
      <c r="K165" s="41"/>
      <c r="L165" s="39"/>
      <c r="M165" s="41"/>
      <c r="N165" s="25" t="str">
        <f aca="false">IF(AND($B165="",$E165="",$I165="",$J165=""),"",IF(NOT(ISNUMBER($B165)),"日期无效",IF(ISNA(MATCH($C165,参数设置!$A$10:$A$12,0)),"公司无效",IF(ISNA(MATCH($D165,资金账户!$B$6:$B$25,0)),"账户未建档",IF(ISNA(MATCH($E165,记账规则!$A$13:$A$32,0)),"业务类型无效",IF(AND(N($I165)&lt;&gt;0,N($J165)&lt;&gt;0),"收入和支出只能填一列",IF($P165=0,"金额为 0",IF(AND($R165="收",N($I165)=0),"这类业务是收款，金额填到收入列",IF(AND($R165="支",N($J165)=0),"这类业务是付款，金额填到支出列",IF(AND(SUMPRODUCT(--(INDEX(记账规则!$A$13:$H$32,MATCH($E165,记账规则!$A$13:$A$32,0),0)="@对方"))&gt;0,$G165=""),"这个类型要填对方科目",IF(AND($G165&lt;&gt;"",ISNA(MATCH($G165,会计科目表!$B$6:$B$85,0))),"对方科目不存在",IF(AND($E165="缴纳税费",$H165=""),"缴税请在费用项目里选税种",IF(AND($F165&lt;&gt;"",ISNA(MATCH($F165,往来单位!$A$6:$A$85,0))),"往来单位未建档",IF(YEAR($B165)&lt;&gt;参数设置!$B$5,"不在本会计年度",IF(AND($B164&lt;&gt;"",ISNUMBER($B164),$B165&lt;$B164),"日期比上一行早，余额按行序滚，建议按日期录","OK")))))))))))))))</f>
        <v/>
      </c>
      <c r="O165" s="58" t="str">
        <f aca="false">IF($B165="","",TEXT($B165,"yyyy-mm"))</f>
        <v/>
      </c>
      <c r="P165" s="60" t="str">
        <f aca="false">IF($E165="","",ROUND(N($I165)+N($J165),2))</f>
        <v/>
      </c>
      <c r="Q165" s="58" t="str">
        <f aca="false">IF($D165="","",IFERROR(INDEX(资金账户!$F$6:$F$25,MATCH($D165,资金账户!$B$6:$B$25,0)),""))</f>
        <v/>
      </c>
      <c r="R165" s="58" t="str">
        <f aca="false">IF($E165="","",IFERROR(IF(INDEX(记账规则!$A$13:$H$32,MATCH($E165,记账规则!$A$13:$A$32,0),4)="借","收","支"),""))</f>
        <v/>
      </c>
      <c r="S165" s="57" t="str">
        <f aca="false">IF($D165="","",ROUND(SUMIFS(资金账户!$H$6:$H$25,资金账户!$B$6:$B$25,$D165)+SUMIFS($I$6:$I165,$D$6:$D165,$D165)-SUMIFS($J$6:$J165,$D$6:$D165,$D165),2))</f>
        <v/>
      </c>
      <c r="T165" s="61" t="str">
        <f aca="false">IF($B165="","",YEAR($B165))</f>
        <v/>
      </c>
    </row>
    <row r="166" customFormat="false" ht="15" hidden="false" customHeight="false" outlineLevel="0" collapsed="false">
      <c r="A166" s="53" t="str">
        <f aca="false">IF($B166="","",ROW()-5)</f>
        <v/>
      </c>
      <c r="B166" s="54"/>
      <c r="C166" s="33"/>
      <c r="D166" s="33"/>
      <c r="E166" s="33"/>
      <c r="F166" s="32"/>
      <c r="G166" s="41"/>
      <c r="H166" s="39"/>
      <c r="I166" s="43"/>
      <c r="J166" s="43"/>
      <c r="K166" s="41"/>
      <c r="L166" s="39"/>
      <c r="M166" s="41"/>
      <c r="N166" s="25" t="str">
        <f aca="false">IF(AND($B166="",$E166="",$I166="",$J166=""),"",IF(NOT(ISNUMBER($B166)),"日期无效",IF(ISNA(MATCH($C166,参数设置!$A$10:$A$12,0)),"公司无效",IF(ISNA(MATCH($D166,资金账户!$B$6:$B$25,0)),"账户未建档",IF(ISNA(MATCH($E166,记账规则!$A$13:$A$32,0)),"业务类型无效",IF(AND(N($I166)&lt;&gt;0,N($J166)&lt;&gt;0),"收入和支出只能填一列",IF($P166=0,"金额为 0",IF(AND($R166="收",N($I166)=0),"这类业务是收款，金额填到收入列",IF(AND($R166="支",N($J166)=0),"这类业务是付款，金额填到支出列",IF(AND(SUMPRODUCT(--(INDEX(记账规则!$A$13:$H$32,MATCH($E166,记账规则!$A$13:$A$32,0),0)="@对方"))&gt;0,$G166=""),"这个类型要填对方科目",IF(AND($G166&lt;&gt;"",ISNA(MATCH($G166,会计科目表!$B$6:$B$85,0))),"对方科目不存在",IF(AND($E166="缴纳税费",$H166=""),"缴税请在费用项目里选税种",IF(AND($F166&lt;&gt;"",ISNA(MATCH($F166,往来单位!$A$6:$A$85,0))),"往来单位未建档",IF(YEAR($B166)&lt;&gt;参数设置!$B$5,"不在本会计年度",IF(AND($B165&lt;&gt;"",ISNUMBER($B165),$B166&lt;$B165),"日期比上一行早，余额按行序滚，建议按日期录","OK")))))))))))))))</f>
        <v/>
      </c>
      <c r="O166" s="58" t="str">
        <f aca="false">IF($B166="","",TEXT($B166,"yyyy-mm"))</f>
        <v/>
      </c>
      <c r="P166" s="60" t="str">
        <f aca="false">IF($E166="","",ROUND(N($I166)+N($J166),2))</f>
        <v/>
      </c>
      <c r="Q166" s="58" t="str">
        <f aca="false">IF($D166="","",IFERROR(INDEX(资金账户!$F$6:$F$25,MATCH($D166,资金账户!$B$6:$B$25,0)),""))</f>
        <v/>
      </c>
      <c r="R166" s="58" t="str">
        <f aca="false">IF($E166="","",IFERROR(IF(INDEX(记账规则!$A$13:$H$32,MATCH($E166,记账规则!$A$13:$A$32,0),4)="借","收","支"),""))</f>
        <v/>
      </c>
      <c r="S166" s="57" t="str">
        <f aca="false">IF($D166="","",ROUND(SUMIFS(资金账户!$H$6:$H$25,资金账户!$B$6:$B$25,$D166)+SUMIFS($I$6:$I166,$D$6:$D166,$D166)-SUMIFS($J$6:$J166,$D$6:$D166,$D166),2))</f>
        <v/>
      </c>
      <c r="T166" s="61" t="str">
        <f aca="false">IF($B166="","",YEAR($B166))</f>
        <v/>
      </c>
    </row>
    <row r="167" customFormat="false" ht="15" hidden="false" customHeight="false" outlineLevel="0" collapsed="false">
      <c r="A167" s="53" t="str">
        <f aca="false">IF($B167="","",ROW()-5)</f>
        <v/>
      </c>
      <c r="B167" s="54"/>
      <c r="C167" s="33"/>
      <c r="D167" s="33"/>
      <c r="E167" s="33"/>
      <c r="F167" s="32"/>
      <c r="G167" s="41"/>
      <c r="H167" s="39"/>
      <c r="I167" s="43"/>
      <c r="J167" s="43"/>
      <c r="K167" s="41"/>
      <c r="L167" s="39"/>
      <c r="M167" s="41"/>
      <c r="N167" s="25" t="str">
        <f aca="false">IF(AND($B167="",$E167="",$I167="",$J167=""),"",IF(NOT(ISNUMBER($B167)),"日期无效",IF(ISNA(MATCH($C167,参数设置!$A$10:$A$12,0)),"公司无效",IF(ISNA(MATCH($D167,资金账户!$B$6:$B$25,0)),"账户未建档",IF(ISNA(MATCH($E167,记账规则!$A$13:$A$32,0)),"业务类型无效",IF(AND(N($I167)&lt;&gt;0,N($J167)&lt;&gt;0),"收入和支出只能填一列",IF($P167=0,"金额为 0",IF(AND($R167="收",N($I167)=0),"这类业务是收款，金额填到收入列",IF(AND($R167="支",N($J167)=0),"这类业务是付款，金额填到支出列",IF(AND(SUMPRODUCT(--(INDEX(记账规则!$A$13:$H$32,MATCH($E167,记账规则!$A$13:$A$32,0),0)="@对方"))&gt;0,$G167=""),"这个类型要填对方科目",IF(AND($G167&lt;&gt;"",ISNA(MATCH($G167,会计科目表!$B$6:$B$85,0))),"对方科目不存在",IF(AND($E167="缴纳税费",$H167=""),"缴税请在费用项目里选税种",IF(AND($F167&lt;&gt;"",ISNA(MATCH($F167,往来单位!$A$6:$A$85,0))),"往来单位未建档",IF(YEAR($B167)&lt;&gt;参数设置!$B$5,"不在本会计年度",IF(AND($B166&lt;&gt;"",ISNUMBER($B166),$B167&lt;$B166),"日期比上一行早，余额按行序滚，建议按日期录","OK")))))))))))))))</f>
        <v/>
      </c>
      <c r="O167" s="58" t="str">
        <f aca="false">IF($B167="","",TEXT($B167,"yyyy-mm"))</f>
        <v/>
      </c>
      <c r="P167" s="60" t="str">
        <f aca="false">IF($E167="","",ROUND(N($I167)+N($J167),2))</f>
        <v/>
      </c>
      <c r="Q167" s="58" t="str">
        <f aca="false">IF($D167="","",IFERROR(INDEX(资金账户!$F$6:$F$25,MATCH($D167,资金账户!$B$6:$B$25,0)),""))</f>
        <v/>
      </c>
      <c r="R167" s="58" t="str">
        <f aca="false">IF($E167="","",IFERROR(IF(INDEX(记账规则!$A$13:$H$32,MATCH($E167,记账规则!$A$13:$A$32,0),4)="借","收","支"),""))</f>
        <v/>
      </c>
      <c r="S167" s="57" t="str">
        <f aca="false">IF($D167="","",ROUND(SUMIFS(资金账户!$H$6:$H$25,资金账户!$B$6:$B$25,$D167)+SUMIFS($I$6:$I167,$D$6:$D167,$D167)-SUMIFS($J$6:$J167,$D$6:$D167,$D167),2))</f>
        <v/>
      </c>
      <c r="T167" s="61" t="str">
        <f aca="false">IF($B167="","",YEAR($B167))</f>
        <v/>
      </c>
    </row>
    <row r="168" customFormat="false" ht="15" hidden="false" customHeight="false" outlineLevel="0" collapsed="false">
      <c r="A168" s="53" t="str">
        <f aca="false">IF($B168="","",ROW()-5)</f>
        <v/>
      </c>
      <c r="B168" s="54"/>
      <c r="C168" s="33"/>
      <c r="D168" s="33"/>
      <c r="E168" s="33"/>
      <c r="F168" s="32"/>
      <c r="G168" s="41"/>
      <c r="H168" s="39"/>
      <c r="I168" s="43"/>
      <c r="J168" s="43"/>
      <c r="K168" s="41"/>
      <c r="L168" s="39"/>
      <c r="M168" s="41"/>
      <c r="N168" s="25" t="str">
        <f aca="false">IF(AND($B168="",$E168="",$I168="",$J168=""),"",IF(NOT(ISNUMBER($B168)),"日期无效",IF(ISNA(MATCH($C168,参数设置!$A$10:$A$12,0)),"公司无效",IF(ISNA(MATCH($D168,资金账户!$B$6:$B$25,0)),"账户未建档",IF(ISNA(MATCH($E168,记账规则!$A$13:$A$32,0)),"业务类型无效",IF(AND(N($I168)&lt;&gt;0,N($J168)&lt;&gt;0),"收入和支出只能填一列",IF($P168=0,"金额为 0",IF(AND($R168="收",N($I168)=0),"这类业务是收款，金额填到收入列",IF(AND($R168="支",N($J168)=0),"这类业务是付款，金额填到支出列",IF(AND(SUMPRODUCT(--(INDEX(记账规则!$A$13:$H$32,MATCH($E168,记账规则!$A$13:$A$32,0),0)="@对方"))&gt;0,$G168=""),"这个类型要填对方科目",IF(AND($G168&lt;&gt;"",ISNA(MATCH($G168,会计科目表!$B$6:$B$85,0))),"对方科目不存在",IF(AND($E168="缴纳税费",$H168=""),"缴税请在费用项目里选税种",IF(AND($F168&lt;&gt;"",ISNA(MATCH($F168,往来单位!$A$6:$A$85,0))),"往来单位未建档",IF(YEAR($B168)&lt;&gt;参数设置!$B$5,"不在本会计年度",IF(AND($B167&lt;&gt;"",ISNUMBER($B167),$B168&lt;$B167),"日期比上一行早，余额按行序滚，建议按日期录","OK")))))))))))))))</f>
        <v/>
      </c>
      <c r="O168" s="58" t="str">
        <f aca="false">IF($B168="","",TEXT($B168,"yyyy-mm"))</f>
        <v/>
      </c>
      <c r="P168" s="60" t="str">
        <f aca="false">IF($E168="","",ROUND(N($I168)+N($J168),2))</f>
        <v/>
      </c>
      <c r="Q168" s="58" t="str">
        <f aca="false">IF($D168="","",IFERROR(INDEX(资金账户!$F$6:$F$25,MATCH($D168,资金账户!$B$6:$B$25,0)),""))</f>
        <v/>
      </c>
      <c r="R168" s="58" t="str">
        <f aca="false">IF($E168="","",IFERROR(IF(INDEX(记账规则!$A$13:$H$32,MATCH($E168,记账规则!$A$13:$A$32,0),4)="借","收","支"),""))</f>
        <v/>
      </c>
      <c r="S168" s="57" t="str">
        <f aca="false">IF($D168="","",ROUND(SUMIFS(资金账户!$H$6:$H$25,资金账户!$B$6:$B$25,$D168)+SUMIFS($I$6:$I168,$D$6:$D168,$D168)-SUMIFS($J$6:$J168,$D$6:$D168,$D168),2))</f>
        <v/>
      </c>
      <c r="T168" s="61" t="str">
        <f aca="false">IF($B168="","",YEAR($B168))</f>
        <v/>
      </c>
    </row>
    <row r="169" customFormat="false" ht="15" hidden="false" customHeight="false" outlineLevel="0" collapsed="false">
      <c r="A169" s="53" t="str">
        <f aca="false">IF($B169="","",ROW()-5)</f>
        <v/>
      </c>
      <c r="B169" s="54"/>
      <c r="C169" s="33"/>
      <c r="D169" s="33"/>
      <c r="E169" s="33"/>
      <c r="F169" s="32"/>
      <c r="G169" s="41"/>
      <c r="H169" s="39"/>
      <c r="I169" s="43"/>
      <c r="J169" s="43"/>
      <c r="K169" s="41"/>
      <c r="L169" s="39"/>
      <c r="M169" s="41"/>
      <c r="N169" s="25" t="str">
        <f aca="false">IF(AND($B169="",$E169="",$I169="",$J169=""),"",IF(NOT(ISNUMBER($B169)),"日期无效",IF(ISNA(MATCH($C169,参数设置!$A$10:$A$12,0)),"公司无效",IF(ISNA(MATCH($D169,资金账户!$B$6:$B$25,0)),"账户未建档",IF(ISNA(MATCH($E169,记账规则!$A$13:$A$32,0)),"业务类型无效",IF(AND(N($I169)&lt;&gt;0,N($J169)&lt;&gt;0),"收入和支出只能填一列",IF($P169=0,"金额为 0",IF(AND($R169="收",N($I169)=0),"这类业务是收款，金额填到收入列",IF(AND($R169="支",N($J169)=0),"这类业务是付款，金额填到支出列",IF(AND(SUMPRODUCT(--(INDEX(记账规则!$A$13:$H$32,MATCH($E169,记账规则!$A$13:$A$32,0),0)="@对方"))&gt;0,$G169=""),"这个类型要填对方科目",IF(AND($G169&lt;&gt;"",ISNA(MATCH($G169,会计科目表!$B$6:$B$85,0))),"对方科目不存在",IF(AND($E169="缴纳税费",$H169=""),"缴税请在费用项目里选税种",IF(AND($F169&lt;&gt;"",ISNA(MATCH($F169,往来单位!$A$6:$A$85,0))),"往来单位未建档",IF(YEAR($B169)&lt;&gt;参数设置!$B$5,"不在本会计年度",IF(AND($B168&lt;&gt;"",ISNUMBER($B168),$B169&lt;$B168),"日期比上一行早，余额按行序滚，建议按日期录","OK")))))))))))))))</f>
        <v/>
      </c>
      <c r="O169" s="58" t="str">
        <f aca="false">IF($B169="","",TEXT($B169,"yyyy-mm"))</f>
        <v/>
      </c>
      <c r="P169" s="60" t="str">
        <f aca="false">IF($E169="","",ROUND(N($I169)+N($J169),2))</f>
        <v/>
      </c>
      <c r="Q169" s="58" t="str">
        <f aca="false">IF($D169="","",IFERROR(INDEX(资金账户!$F$6:$F$25,MATCH($D169,资金账户!$B$6:$B$25,0)),""))</f>
        <v/>
      </c>
      <c r="R169" s="58" t="str">
        <f aca="false">IF($E169="","",IFERROR(IF(INDEX(记账规则!$A$13:$H$32,MATCH($E169,记账规则!$A$13:$A$32,0),4)="借","收","支"),""))</f>
        <v/>
      </c>
      <c r="S169" s="57" t="str">
        <f aca="false">IF($D169="","",ROUND(SUMIFS(资金账户!$H$6:$H$25,资金账户!$B$6:$B$25,$D169)+SUMIFS($I$6:$I169,$D$6:$D169,$D169)-SUMIFS($J$6:$J169,$D$6:$D169,$D169),2))</f>
        <v/>
      </c>
      <c r="T169" s="61" t="str">
        <f aca="false">IF($B169="","",YEAR($B169))</f>
        <v/>
      </c>
    </row>
    <row r="170" customFormat="false" ht="15" hidden="false" customHeight="false" outlineLevel="0" collapsed="false">
      <c r="A170" s="53" t="str">
        <f aca="false">IF($B170="","",ROW()-5)</f>
        <v/>
      </c>
      <c r="B170" s="54"/>
      <c r="C170" s="33"/>
      <c r="D170" s="33"/>
      <c r="E170" s="33"/>
      <c r="F170" s="32"/>
      <c r="G170" s="41"/>
      <c r="H170" s="39"/>
      <c r="I170" s="43"/>
      <c r="J170" s="43"/>
      <c r="K170" s="41"/>
      <c r="L170" s="39"/>
      <c r="M170" s="41"/>
      <c r="N170" s="25" t="str">
        <f aca="false">IF(AND($B170="",$E170="",$I170="",$J170=""),"",IF(NOT(ISNUMBER($B170)),"日期无效",IF(ISNA(MATCH($C170,参数设置!$A$10:$A$12,0)),"公司无效",IF(ISNA(MATCH($D170,资金账户!$B$6:$B$25,0)),"账户未建档",IF(ISNA(MATCH($E170,记账规则!$A$13:$A$32,0)),"业务类型无效",IF(AND(N($I170)&lt;&gt;0,N($J170)&lt;&gt;0),"收入和支出只能填一列",IF($P170=0,"金额为 0",IF(AND($R170="收",N($I170)=0),"这类业务是收款，金额填到收入列",IF(AND($R170="支",N($J170)=0),"这类业务是付款，金额填到支出列",IF(AND(SUMPRODUCT(--(INDEX(记账规则!$A$13:$H$32,MATCH($E170,记账规则!$A$13:$A$32,0),0)="@对方"))&gt;0,$G170=""),"这个类型要填对方科目",IF(AND($G170&lt;&gt;"",ISNA(MATCH($G170,会计科目表!$B$6:$B$85,0))),"对方科目不存在",IF(AND($E170="缴纳税费",$H170=""),"缴税请在费用项目里选税种",IF(AND($F170&lt;&gt;"",ISNA(MATCH($F170,往来单位!$A$6:$A$85,0))),"往来单位未建档",IF(YEAR($B170)&lt;&gt;参数设置!$B$5,"不在本会计年度",IF(AND($B169&lt;&gt;"",ISNUMBER($B169),$B170&lt;$B169),"日期比上一行早，余额按行序滚，建议按日期录","OK")))))))))))))))</f>
        <v/>
      </c>
      <c r="O170" s="58" t="str">
        <f aca="false">IF($B170="","",TEXT($B170,"yyyy-mm"))</f>
        <v/>
      </c>
      <c r="P170" s="60" t="str">
        <f aca="false">IF($E170="","",ROUND(N($I170)+N($J170),2))</f>
        <v/>
      </c>
      <c r="Q170" s="58" t="str">
        <f aca="false">IF($D170="","",IFERROR(INDEX(资金账户!$F$6:$F$25,MATCH($D170,资金账户!$B$6:$B$25,0)),""))</f>
        <v/>
      </c>
      <c r="R170" s="58" t="str">
        <f aca="false">IF($E170="","",IFERROR(IF(INDEX(记账规则!$A$13:$H$32,MATCH($E170,记账规则!$A$13:$A$32,0),4)="借","收","支"),""))</f>
        <v/>
      </c>
      <c r="S170" s="57" t="str">
        <f aca="false">IF($D170="","",ROUND(SUMIFS(资金账户!$H$6:$H$25,资金账户!$B$6:$B$25,$D170)+SUMIFS($I$6:$I170,$D$6:$D170,$D170)-SUMIFS($J$6:$J170,$D$6:$D170,$D170),2))</f>
        <v/>
      </c>
      <c r="T170" s="61" t="str">
        <f aca="false">IF($B170="","",YEAR($B170))</f>
        <v/>
      </c>
    </row>
    <row r="171" customFormat="false" ht="15" hidden="false" customHeight="false" outlineLevel="0" collapsed="false">
      <c r="A171" s="53" t="str">
        <f aca="false">IF($B171="","",ROW()-5)</f>
        <v/>
      </c>
      <c r="B171" s="54"/>
      <c r="C171" s="33"/>
      <c r="D171" s="33"/>
      <c r="E171" s="33"/>
      <c r="F171" s="32"/>
      <c r="G171" s="41"/>
      <c r="H171" s="39"/>
      <c r="I171" s="43"/>
      <c r="J171" s="43"/>
      <c r="K171" s="41"/>
      <c r="L171" s="39"/>
      <c r="M171" s="41"/>
      <c r="N171" s="25" t="str">
        <f aca="false">IF(AND($B171="",$E171="",$I171="",$J171=""),"",IF(NOT(ISNUMBER($B171)),"日期无效",IF(ISNA(MATCH($C171,参数设置!$A$10:$A$12,0)),"公司无效",IF(ISNA(MATCH($D171,资金账户!$B$6:$B$25,0)),"账户未建档",IF(ISNA(MATCH($E171,记账规则!$A$13:$A$32,0)),"业务类型无效",IF(AND(N($I171)&lt;&gt;0,N($J171)&lt;&gt;0),"收入和支出只能填一列",IF($P171=0,"金额为 0",IF(AND($R171="收",N($I171)=0),"这类业务是收款，金额填到收入列",IF(AND($R171="支",N($J171)=0),"这类业务是付款，金额填到支出列",IF(AND(SUMPRODUCT(--(INDEX(记账规则!$A$13:$H$32,MATCH($E171,记账规则!$A$13:$A$32,0),0)="@对方"))&gt;0,$G171=""),"这个类型要填对方科目",IF(AND($G171&lt;&gt;"",ISNA(MATCH($G171,会计科目表!$B$6:$B$85,0))),"对方科目不存在",IF(AND($E171="缴纳税费",$H171=""),"缴税请在费用项目里选税种",IF(AND($F171&lt;&gt;"",ISNA(MATCH($F171,往来单位!$A$6:$A$85,0))),"往来单位未建档",IF(YEAR($B171)&lt;&gt;参数设置!$B$5,"不在本会计年度",IF(AND($B170&lt;&gt;"",ISNUMBER($B170),$B171&lt;$B170),"日期比上一行早，余额按行序滚，建议按日期录","OK")))))))))))))))</f>
        <v/>
      </c>
      <c r="O171" s="58" t="str">
        <f aca="false">IF($B171="","",TEXT($B171,"yyyy-mm"))</f>
        <v/>
      </c>
      <c r="P171" s="60" t="str">
        <f aca="false">IF($E171="","",ROUND(N($I171)+N($J171),2))</f>
        <v/>
      </c>
      <c r="Q171" s="58" t="str">
        <f aca="false">IF($D171="","",IFERROR(INDEX(资金账户!$F$6:$F$25,MATCH($D171,资金账户!$B$6:$B$25,0)),""))</f>
        <v/>
      </c>
      <c r="R171" s="58" t="str">
        <f aca="false">IF($E171="","",IFERROR(IF(INDEX(记账规则!$A$13:$H$32,MATCH($E171,记账规则!$A$13:$A$32,0),4)="借","收","支"),""))</f>
        <v/>
      </c>
      <c r="S171" s="57" t="str">
        <f aca="false">IF($D171="","",ROUND(SUMIFS(资金账户!$H$6:$H$25,资金账户!$B$6:$B$25,$D171)+SUMIFS($I$6:$I171,$D$6:$D171,$D171)-SUMIFS($J$6:$J171,$D$6:$D171,$D171),2))</f>
        <v/>
      </c>
      <c r="T171" s="61" t="str">
        <f aca="false">IF($B171="","",YEAR($B171))</f>
        <v/>
      </c>
    </row>
    <row r="172" customFormat="false" ht="15" hidden="false" customHeight="false" outlineLevel="0" collapsed="false">
      <c r="A172" s="53" t="str">
        <f aca="false">IF($B172="","",ROW()-5)</f>
        <v/>
      </c>
      <c r="B172" s="54"/>
      <c r="C172" s="33"/>
      <c r="D172" s="33"/>
      <c r="E172" s="33"/>
      <c r="F172" s="32"/>
      <c r="G172" s="41"/>
      <c r="H172" s="39"/>
      <c r="I172" s="43"/>
      <c r="J172" s="43"/>
      <c r="K172" s="41"/>
      <c r="L172" s="39"/>
      <c r="M172" s="41"/>
      <c r="N172" s="25" t="str">
        <f aca="false">IF(AND($B172="",$E172="",$I172="",$J172=""),"",IF(NOT(ISNUMBER($B172)),"日期无效",IF(ISNA(MATCH($C172,参数设置!$A$10:$A$12,0)),"公司无效",IF(ISNA(MATCH($D172,资金账户!$B$6:$B$25,0)),"账户未建档",IF(ISNA(MATCH($E172,记账规则!$A$13:$A$32,0)),"业务类型无效",IF(AND(N($I172)&lt;&gt;0,N($J172)&lt;&gt;0),"收入和支出只能填一列",IF($P172=0,"金额为 0",IF(AND($R172="收",N($I172)=0),"这类业务是收款，金额填到收入列",IF(AND($R172="支",N($J172)=0),"这类业务是付款，金额填到支出列",IF(AND(SUMPRODUCT(--(INDEX(记账规则!$A$13:$H$32,MATCH($E172,记账规则!$A$13:$A$32,0),0)="@对方"))&gt;0,$G172=""),"这个类型要填对方科目",IF(AND($G172&lt;&gt;"",ISNA(MATCH($G172,会计科目表!$B$6:$B$85,0))),"对方科目不存在",IF(AND($E172="缴纳税费",$H172=""),"缴税请在费用项目里选税种",IF(AND($F172&lt;&gt;"",ISNA(MATCH($F172,往来单位!$A$6:$A$85,0))),"往来单位未建档",IF(YEAR($B172)&lt;&gt;参数设置!$B$5,"不在本会计年度",IF(AND($B171&lt;&gt;"",ISNUMBER($B171),$B172&lt;$B171),"日期比上一行早，余额按行序滚，建议按日期录","OK")))))))))))))))</f>
        <v/>
      </c>
      <c r="O172" s="58" t="str">
        <f aca="false">IF($B172="","",TEXT($B172,"yyyy-mm"))</f>
        <v/>
      </c>
      <c r="P172" s="60" t="str">
        <f aca="false">IF($E172="","",ROUND(N($I172)+N($J172),2))</f>
        <v/>
      </c>
      <c r="Q172" s="58" t="str">
        <f aca="false">IF($D172="","",IFERROR(INDEX(资金账户!$F$6:$F$25,MATCH($D172,资金账户!$B$6:$B$25,0)),""))</f>
        <v/>
      </c>
      <c r="R172" s="58" t="str">
        <f aca="false">IF($E172="","",IFERROR(IF(INDEX(记账规则!$A$13:$H$32,MATCH($E172,记账规则!$A$13:$A$32,0),4)="借","收","支"),""))</f>
        <v/>
      </c>
      <c r="S172" s="57" t="str">
        <f aca="false">IF($D172="","",ROUND(SUMIFS(资金账户!$H$6:$H$25,资金账户!$B$6:$B$25,$D172)+SUMIFS($I$6:$I172,$D$6:$D172,$D172)-SUMIFS($J$6:$J172,$D$6:$D172,$D172),2))</f>
        <v/>
      </c>
      <c r="T172" s="61" t="str">
        <f aca="false">IF($B172="","",YEAR($B172))</f>
        <v/>
      </c>
    </row>
    <row r="173" customFormat="false" ht="15" hidden="false" customHeight="false" outlineLevel="0" collapsed="false">
      <c r="A173" s="53" t="str">
        <f aca="false">IF($B173="","",ROW()-5)</f>
        <v/>
      </c>
      <c r="B173" s="54"/>
      <c r="C173" s="33"/>
      <c r="D173" s="33"/>
      <c r="E173" s="33"/>
      <c r="F173" s="32"/>
      <c r="G173" s="41"/>
      <c r="H173" s="39"/>
      <c r="I173" s="43"/>
      <c r="J173" s="43"/>
      <c r="K173" s="41"/>
      <c r="L173" s="39"/>
      <c r="M173" s="41"/>
      <c r="N173" s="25" t="str">
        <f aca="false">IF(AND($B173="",$E173="",$I173="",$J173=""),"",IF(NOT(ISNUMBER($B173)),"日期无效",IF(ISNA(MATCH($C173,参数设置!$A$10:$A$12,0)),"公司无效",IF(ISNA(MATCH($D173,资金账户!$B$6:$B$25,0)),"账户未建档",IF(ISNA(MATCH($E173,记账规则!$A$13:$A$32,0)),"业务类型无效",IF(AND(N($I173)&lt;&gt;0,N($J173)&lt;&gt;0),"收入和支出只能填一列",IF($P173=0,"金额为 0",IF(AND($R173="收",N($I173)=0),"这类业务是收款，金额填到收入列",IF(AND($R173="支",N($J173)=0),"这类业务是付款，金额填到支出列",IF(AND(SUMPRODUCT(--(INDEX(记账规则!$A$13:$H$32,MATCH($E173,记账规则!$A$13:$A$32,0),0)="@对方"))&gt;0,$G173=""),"这个类型要填对方科目",IF(AND($G173&lt;&gt;"",ISNA(MATCH($G173,会计科目表!$B$6:$B$85,0))),"对方科目不存在",IF(AND($E173="缴纳税费",$H173=""),"缴税请在费用项目里选税种",IF(AND($F173&lt;&gt;"",ISNA(MATCH($F173,往来单位!$A$6:$A$85,0))),"往来单位未建档",IF(YEAR($B173)&lt;&gt;参数设置!$B$5,"不在本会计年度",IF(AND($B172&lt;&gt;"",ISNUMBER($B172),$B173&lt;$B172),"日期比上一行早，余额按行序滚，建议按日期录","OK")))))))))))))))</f>
        <v/>
      </c>
      <c r="O173" s="58" t="str">
        <f aca="false">IF($B173="","",TEXT($B173,"yyyy-mm"))</f>
        <v/>
      </c>
      <c r="P173" s="60" t="str">
        <f aca="false">IF($E173="","",ROUND(N($I173)+N($J173),2))</f>
        <v/>
      </c>
      <c r="Q173" s="58" t="str">
        <f aca="false">IF($D173="","",IFERROR(INDEX(资金账户!$F$6:$F$25,MATCH($D173,资金账户!$B$6:$B$25,0)),""))</f>
        <v/>
      </c>
      <c r="R173" s="58" t="str">
        <f aca="false">IF($E173="","",IFERROR(IF(INDEX(记账规则!$A$13:$H$32,MATCH($E173,记账规则!$A$13:$A$32,0),4)="借","收","支"),""))</f>
        <v/>
      </c>
      <c r="S173" s="57" t="str">
        <f aca="false">IF($D173="","",ROUND(SUMIFS(资金账户!$H$6:$H$25,资金账户!$B$6:$B$25,$D173)+SUMIFS($I$6:$I173,$D$6:$D173,$D173)-SUMIFS($J$6:$J173,$D$6:$D173,$D173),2))</f>
        <v/>
      </c>
      <c r="T173" s="61" t="str">
        <f aca="false">IF($B173="","",YEAR($B173))</f>
        <v/>
      </c>
    </row>
    <row r="174" customFormat="false" ht="15" hidden="false" customHeight="false" outlineLevel="0" collapsed="false">
      <c r="A174" s="53" t="str">
        <f aca="false">IF($B174="","",ROW()-5)</f>
        <v/>
      </c>
      <c r="B174" s="54"/>
      <c r="C174" s="33"/>
      <c r="D174" s="33"/>
      <c r="E174" s="33"/>
      <c r="F174" s="32"/>
      <c r="G174" s="41"/>
      <c r="H174" s="39"/>
      <c r="I174" s="43"/>
      <c r="J174" s="43"/>
      <c r="K174" s="41"/>
      <c r="L174" s="39"/>
      <c r="M174" s="41"/>
      <c r="N174" s="25" t="str">
        <f aca="false">IF(AND($B174="",$E174="",$I174="",$J174=""),"",IF(NOT(ISNUMBER($B174)),"日期无效",IF(ISNA(MATCH($C174,参数设置!$A$10:$A$12,0)),"公司无效",IF(ISNA(MATCH($D174,资金账户!$B$6:$B$25,0)),"账户未建档",IF(ISNA(MATCH($E174,记账规则!$A$13:$A$32,0)),"业务类型无效",IF(AND(N($I174)&lt;&gt;0,N($J174)&lt;&gt;0),"收入和支出只能填一列",IF($P174=0,"金额为 0",IF(AND($R174="收",N($I174)=0),"这类业务是收款，金额填到收入列",IF(AND($R174="支",N($J174)=0),"这类业务是付款，金额填到支出列",IF(AND(SUMPRODUCT(--(INDEX(记账规则!$A$13:$H$32,MATCH($E174,记账规则!$A$13:$A$32,0),0)="@对方"))&gt;0,$G174=""),"这个类型要填对方科目",IF(AND($G174&lt;&gt;"",ISNA(MATCH($G174,会计科目表!$B$6:$B$85,0))),"对方科目不存在",IF(AND($E174="缴纳税费",$H174=""),"缴税请在费用项目里选税种",IF(AND($F174&lt;&gt;"",ISNA(MATCH($F174,往来单位!$A$6:$A$85,0))),"往来单位未建档",IF(YEAR($B174)&lt;&gt;参数设置!$B$5,"不在本会计年度",IF(AND($B173&lt;&gt;"",ISNUMBER($B173),$B174&lt;$B173),"日期比上一行早，余额按行序滚，建议按日期录","OK")))))))))))))))</f>
        <v/>
      </c>
      <c r="O174" s="58" t="str">
        <f aca="false">IF($B174="","",TEXT($B174,"yyyy-mm"))</f>
        <v/>
      </c>
      <c r="P174" s="60" t="str">
        <f aca="false">IF($E174="","",ROUND(N($I174)+N($J174),2))</f>
        <v/>
      </c>
      <c r="Q174" s="58" t="str">
        <f aca="false">IF($D174="","",IFERROR(INDEX(资金账户!$F$6:$F$25,MATCH($D174,资金账户!$B$6:$B$25,0)),""))</f>
        <v/>
      </c>
      <c r="R174" s="58" t="str">
        <f aca="false">IF($E174="","",IFERROR(IF(INDEX(记账规则!$A$13:$H$32,MATCH($E174,记账规则!$A$13:$A$32,0),4)="借","收","支"),""))</f>
        <v/>
      </c>
      <c r="S174" s="57" t="str">
        <f aca="false">IF($D174="","",ROUND(SUMIFS(资金账户!$H$6:$H$25,资金账户!$B$6:$B$25,$D174)+SUMIFS($I$6:$I174,$D$6:$D174,$D174)-SUMIFS($J$6:$J174,$D$6:$D174,$D174),2))</f>
        <v/>
      </c>
      <c r="T174" s="61" t="str">
        <f aca="false">IF($B174="","",YEAR($B174))</f>
        <v/>
      </c>
    </row>
    <row r="175" customFormat="false" ht="15" hidden="false" customHeight="false" outlineLevel="0" collapsed="false">
      <c r="A175" s="53" t="str">
        <f aca="false">IF($B175="","",ROW()-5)</f>
        <v/>
      </c>
      <c r="B175" s="54"/>
      <c r="C175" s="33"/>
      <c r="D175" s="33"/>
      <c r="E175" s="33"/>
      <c r="F175" s="32"/>
      <c r="G175" s="41"/>
      <c r="H175" s="39"/>
      <c r="I175" s="43"/>
      <c r="J175" s="43"/>
      <c r="K175" s="41"/>
      <c r="L175" s="39"/>
      <c r="M175" s="41"/>
      <c r="N175" s="25" t="str">
        <f aca="false">IF(AND($B175="",$E175="",$I175="",$J175=""),"",IF(NOT(ISNUMBER($B175)),"日期无效",IF(ISNA(MATCH($C175,参数设置!$A$10:$A$12,0)),"公司无效",IF(ISNA(MATCH($D175,资金账户!$B$6:$B$25,0)),"账户未建档",IF(ISNA(MATCH($E175,记账规则!$A$13:$A$32,0)),"业务类型无效",IF(AND(N($I175)&lt;&gt;0,N($J175)&lt;&gt;0),"收入和支出只能填一列",IF($P175=0,"金额为 0",IF(AND($R175="收",N($I175)=0),"这类业务是收款，金额填到收入列",IF(AND($R175="支",N($J175)=0),"这类业务是付款，金额填到支出列",IF(AND(SUMPRODUCT(--(INDEX(记账规则!$A$13:$H$32,MATCH($E175,记账规则!$A$13:$A$32,0),0)="@对方"))&gt;0,$G175=""),"这个类型要填对方科目",IF(AND($G175&lt;&gt;"",ISNA(MATCH($G175,会计科目表!$B$6:$B$85,0))),"对方科目不存在",IF(AND($E175="缴纳税费",$H175=""),"缴税请在费用项目里选税种",IF(AND($F175&lt;&gt;"",ISNA(MATCH($F175,往来单位!$A$6:$A$85,0))),"往来单位未建档",IF(YEAR($B175)&lt;&gt;参数设置!$B$5,"不在本会计年度",IF(AND($B174&lt;&gt;"",ISNUMBER($B174),$B175&lt;$B174),"日期比上一行早，余额按行序滚，建议按日期录","OK")))))))))))))))</f>
        <v/>
      </c>
      <c r="O175" s="58" t="str">
        <f aca="false">IF($B175="","",TEXT($B175,"yyyy-mm"))</f>
        <v/>
      </c>
      <c r="P175" s="60" t="str">
        <f aca="false">IF($E175="","",ROUND(N($I175)+N($J175),2))</f>
        <v/>
      </c>
      <c r="Q175" s="58" t="str">
        <f aca="false">IF($D175="","",IFERROR(INDEX(资金账户!$F$6:$F$25,MATCH($D175,资金账户!$B$6:$B$25,0)),""))</f>
        <v/>
      </c>
      <c r="R175" s="58" t="str">
        <f aca="false">IF($E175="","",IFERROR(IF(INDEX(记账规则!$A$13:$H$32,MATCH($E175,记账规则!$A$13:$A$32,0),4)="借","收","支"),""))</f>
        <v/>
      </c>
      <c r="S175" s="57" t="str">
        <f aca="false">IF($D175="","",ROUND(SUMIFS(资金账户!$H$6:$H$25,资金账户!$B$6:$B$25,$D175)+SUMIFS($I$6:$I175,$D$6:$D175,$D175)-SUMIFS($J$6:$J175,$D$6:$D175,$D175),2))</f>
        <v/>
      </c>
      <c r="T175" s="61" t="str">
        <f aca="false">IF($B175="","",YEAR($B175))</f>
        <v/>
      </c>
    </row>
    <row r="176" customFormat="false" ht="15" hidden="false" customHeight="false" outlineLevel="0" collapsed="false">
      <c r="A176" s="53" t="str">
        <f aca="false">IF($B176="","",ROW()-5)</f>
        <v/>
      </c>
      <c r="B176" s="54"/>
      <c r="C176" s="33"/>
      <c r="D176" s="33"/>
      <c r="E176" s="33"/>
      <c r="F176" s="32"/>
      <c r="G176" s="41"/>
      <c r="H176" s="39"/>
      <c r="I176" s="43"/>
      <c r="J176" s="43"/>
      <c r="K176" s="41"/>
      <c r="L176" s="39"/>
      <c r="M176" s="41"/>
      <c r="N176" s="25" t="str">
        <f aca="false">IF(AND($B176="",$E176="",$I176="",$J176=""),"",IF(NOT(ISNUMBER($B176)),"日期无效",IF(ISNA(MATCH($C176,参数设置!$A$10:$A$12,0)),"公司无效",IF(ISNA(MATCH($D176,资金账户!$B$6:$B$25,0)),"账户未建档",IF(ISNA(MATCH($E176,记账规则!$A$13:$A$32,0)),"业务类型无效",IF(AND(N($I176)&lt;&gt;0,N($J176)&lt;&gt;0),"收入和支出只能填一列",IF($P176=0,"金额为 0",IF(AND($R176="收",N($I176)=0),"这类业务是收款，金额填到收入列",IF(AND($R176="支",N($J176)=0),"这类业务是付款，金额填到支出列",IF(AND(SUMPRODUCT(--(INDEX(记账规则!$A$13:$H$32,MATCH($E176,记账规则!$A$13:$A$32,0),0)="@对方"))&gt;0,$G176=""),"这个类型要填对方科目",IF(AND($G176&lt;&gt;"",ISNA(MATCH($G176,会计科目表!$B$6:$B$85,0))),"对方科目不存在",IF(AND($E176="缴纳税费",$H176=""),"缴税请在费用项目里选税种",IF(AND($F176&lt;&gt;"",ISNA(MATCH($F176,往来单位!$A$6:$A$85,0))),"往来单位未建档",IF(YEAR($B176)&lt;&gt;参数设置!$B$5,"不在本会计年度",IF(AND($B175&lt;&gt;"",ISNUMBER($B175),$B176&lt;$B175),"日期比上一行早，余额按行序滚，建议按日期录","OK")))))))))))))))</f>
        <v/>
      </c>
      <c r="O176" s="58" t="str">
        <f aca="false">IF($B176="","",TEXT($B176,"yyyy-mm"))</f>
        <v/>
      </c>
      <c r="P176" s="60" t="str">
        <f aca="false">IF($E176="","",ROUND(N($I176)+N($J176),2))</f>
        <v/>
      </c>
      <c r="Q176" s="58" t="str">
        <f aca="false">IF($D176="","",IFERROR(INDEX(资金账户!$F$6:$F$25,MATCH($D176,资金账户!$B$6:$B$25,0)),""))</f>
        <v/>
      </c>
      <c r="R176" s="58" t="str">
        <f aca="false">IF($E176="","",IFERROR(IF(INDEX(记账规则!$A$13:$H$32,MATCH($E176,记账规则!$A$13:$A$32,0),4)="借","收","支"),""))</f>
        <v/>
      </c>
      <c r="S176" s="57" t="str">
        <f aca="false">IF($D176="","",ROUND(SUMIFS(资金账户!$H$6:$H$25,资金账户!$B$6:$B$25,$D176)+SUMIFS($I$6:$I176,$D$6:$D176,$D176)-SUMIFS($J$6:$J176,$D$6:$D176,$D176),2))</f>
        <v/>
      </c>
      <c r="T176" s="61" t="str">
        <f aca="false">IF($B176="","",YEAR($B176))</f>
        <v/>
      </c>
    </row>
    <row r="177" customFormat="false" ht="15" hidden="false" customHeight="false" outlineLevel="0" collapsed="false">
      <c r="A177" s="53" t="str">
        <f aca="false">IF($B177="","",ROW()-5)</f>
        <v/>
      </c>
      <c r="B177" s="54"/>
      <c r="C177" s="33"/>
      <c r="D177" s="33"/>
      <c r="E177" s="33"/>
      <c r="F177" s="32"/>
      <c r="G177" s="41"/>
      <c r="H177" s="39"/>
      <c r="I177" s="43"/>
      <c r="J177" s="43"/>
      <c r="K177" s="41"/>
      <c r="L177" s="39"/>
      <c r="M177" s="41"/>
      <c r="N177" s="25" t="str">
        <f aca="false">IF(AND($B177="",$E177="",$I177="",$J177=""),"",IF(NOT(ISNUMBER($B177)),"日期无效",IF(ISNA(MATCH($C177,参数设置!$A$10:$A$12,0)),"公司无效",IF(ISNA(MATCH($D177,资金账户!$B$6:$B$25,0)),"账户未建档",IF(ISNA(MATCH($E177,记账规则!$A$13:$A$32,0)),"业务类型无效",IF(AND(N($I177)&lt;&gt;0,N($J177)&lt;&gt;0),"收入和支出只能填一列",IF($P177=0,"金额为 0",IF(AND($R177="收",N($I177)=0),"这类业务是收款，金额填到收入列",IF(AND($R177="支",N($J177)=0),"这类业务是付款，金额填到支出列",IF(AND(SUMPRODUCT(--(INDEX(记账规则!$A$13:$H$32,MATCH($E177,记账规则!$A$13:$A$32,0),0)="@对方"))&gt;0,$G177=""),"这个类型要填对方科目",IF(AND($G177&lt;&gt;"",ISNA(MATCH($G177,会计科目表!$B$6:$B$85,0))),"对方科目不存在",IF(AND($E177="缴纳税费",$H177=""),"缴税请在费用项目里选税种",IF(AND($F177&lt;&gt;"",ISNA(MATCH($F177,往来单位!$A$6:$A$85,0))),"往来单位未建档",IF(YEAR($B177)&lt;&gt;参数设置!$B$5,"不在本会计年度",IF(AND($B176&lt;&gt;"",ISNUMBER($B176),$B177&lt;$B176),"日期比上一行早，余额按行序滚，建议按日期录","OK")))))))))))))))</f>
        <v/>
      </c>
      <c r="O177" s="58" t="str">
        <f aca="false">IF($B177="","",TEXT($B177,"yyyy-mm"))</f>
        <v/>
      </c>
      <c r="P177" s="60" t="str">
        <f aca="false">IF($E177="","",ROUND(N($I177)+N($J177),2))</f>
        <v/>
      </c>
      <c r="Q177" s="58" t="str">
        <f aca="false">IF($D177="","",IFERROR(INDEX(资金账户!$F$6:$F$25,MATCH($D177,资金账户!$B$6:$B$25,0)),""))</f>
        <v/>
      </c>
      <c r="R177" s="58" t="str">
        <f aca="false">IF($E177="","",IFERROR(IF(INDEX(记账规则!$A$13:$H$32,MATCH($E177,记账规则!$A$13:$A$32,0),4)="借","收","支"),""))</f>
        <v/>
      </c>
      <c r="S177" s="57" t="str">
        <f aca="false">IF($D177="","",ROUND(SUMIFS(资金账户!$H$6:$H$25,资金账户!$B$6:$B$25,$D177)+SUMIFS($I$6:$I177,$D$6:$D177,$D177)-SUMIFS($J$6:$J177,$D$6:$D177,$D177),2))</f>
        <v/>
      </c>
      <c r="T177" s="61" t="str">
        <f aca="false">IF($B177="","",YEAR($B177))</f>
        <v/>
      </c>
    </row>
    <row r="178" customFormat="false" ht="15" hidden="false" customHeight="false" outlineLevel="0" collapsed="false">
      <c r="A178" s="53" t="str">
        <f aca="false">IF($B178="","",ROW()-5)</f>
        <v/>
      </c>
      <c r="B178" s="54"/>
      <c r="C178" s="33"/>
      <c r="D178" s="33"/>
      <c r="E178" s="33"/>
      <c r="F178" s="32"/>
      <c r="G178" s="41"/>
      <c r="H178" s="39"/>
      <c r="I178" s="43"/>
      <c r="J178" s="43"/>
      <c r="K178" s="41"/>
      <c r="L178" s="39"/>
      <c r="M178" s="41"/>
      <c r="N178" s="25" t="str">
        <f aca="false">IF(AND($B178="",$E178="",$I178="",$J178=""),"",IF(NOT(ISNUMBER($B178)),"日期无效",IF(ISNA(MATCH($C178,参数设置!$A$10:$A$12,0)),"公司无效",IF(ISNA(MATCH($D178,资金账户!$B$6:$B$25,0)),"账户未建档",IF(ISNA(MATCH($E178,记账规则!$A$13:$A$32,0)),"业务类型无效",IF(AND(N($I178)&lt;&gt;0,N($J178)&lt;&gt;0),"收入和支出只能填一列",IF($P178=0,"金额为 0",IF(AND($R178="收",N($I178)=0),"这类业务是收款，金额填到收入列",IF(AND($R178="支",N($J178)=0),"这类业务是付款，金额填到支出列",IF(AND(SUMPRODUCT(--(INDEX(记账规则!$A$13:$H$32,MATCH($E178,记账规则!$A$13:$A$32,0),0)="@对方"))&gt;0,$G178=""),"这个类型要填对方科目",IF(AND($G178&lt;&gt;"",ISNA(MATCH($G178,会计科目表!$B$6:$B$85,0))),"对方科目不存在",IF(AND($E178="缴纳税费",$H178=""),"缴税请在费用项目里选税种",IF(AND($F178&lt;&gt;"",ISNA(MATCH($F178,往来单位!$A$6:$A$85,0))),"往来单位未建档",IF(YEAR($B178)&lt;&gt;参数设置!$B$5,"不在本会计年度",IF(AND($B177&lt;&gt;"",ISNUMBER($B177),$B178&lt;$B177),"日期比上一行早，余额按行序滚，建议按日期录","OK")))))))))))))))</f>
        <v/>
      </c>
      <c r="O178" s="58" t="str">
        <f aca="false">IF($B178="","",TEXT($B178,"yyyy-mm"))</f>
        <v/>
      </c>
      <c r="P178" s="60" t="str">
        <f aca="false">IF($E178="","",ROUND(N($I178)+N($J178),2))</f>
        <v/>
      </c>
      <c r="Q178" s="58" t="str">
        <f aca="false">IF($D178="","",IFERROR(INDEX(资金账户!$F$6:$F$25,MATCH($D178,资金账户!$B$6:$B$25,0)),""))</f>
        <v/>
      </c>
      <c r="R178" s="58" t="str">
        <f aca="false">IF($E178="","",IFERROR(IF(INDEX(记账规则!$A$13:$H$32,MATCH($E178,记账规则!$A$13:$A$32,0),4)="借","收","支"),""))</f>
        <v/>
      </c>
      <c r="S178" s="57" t="str">
        <f aca="false">IF($D178="","",ROUND(SUMIFS(资金账户!$H$6:$H$25,资金账户!$B$6:$B$25,$D178)+SUMIFS($I$6:$I178,$D$6:$D178,$D178)-SUMIFS($J$6:$J178,$D$6:$D178,$D178),2))</f>
        <v/>
      </c>
      <c r="T178" s="61" t="str">
        <f aca="false">IF($B178="","",YEAR($B178))</f>
        <v/>
      </c>
    </row>
    <row r="179" customFormat="false" ht="15" hidden="false" customHeight="false" outlineLevel="0" collapsed="false">
      <c r="A179" s="53" t="str">
        <f aca="false">IF($B179="","",ROW()-5)</f>
        <v/>
      </c>
      <c r="B179" s="54"/>
      <c r="C179" s="33"/>
      <c r="D179" s="33"/>
      <c r="E179" s="33"/>
      <c r="F179" s="32"/>
      <c r="G179" s="41"/>
      <c r="H179" s="39"/>
      <c r="I179" s="43"/>
      <c r="J179" s="43"/>
      <c r="K179" s="41"/>
      <c r="L179" s="39"/>
      <c r="M179" s="41"/>
      <c r="N179" s="25" t="str">
        <f aca="false">IF(AND($B179="",$E179="",$I179="",$J179=""),"",IF(NOT(ISNUMBER($B179)),"日期无效",IF(ISNA(MATCH($C179,参数设置!$A$10:$A$12,0)),"公司无效",IF(ISNA(MATCH($D179,资金账户!$B$6:$B$25,0)),"账户未建档",IF(ISNA(MATCH($E179,记账规则!$A$13:$A$32,0)),"业务类型无效",IF(AND(N($I179)&lt;&gt;0,N($J179)&lt;&gt;0),"收入和支出只能填一列",IF($P179=0,"金额为 0",IF(AND($R179="收",N($I179)=0),"这类业务是收款，金额填到收入列",IF(AND($R179="支",N($J179)=0),"这类业务是付款，金额填到支出列",IF(AND(SUMPRODUCT(--(INDEX(记账规则!$A$13:$H$32,MATCH($E179,记账规则!$A$13:$A$32,0),0)="@对方"))&gt;0,$G179=""),"这个类型要填对方科目",IF(AND($G179&lt;&gt;"",ISNA(MATCH($G179,会计科目表!$B$6:$B$85,0))),"对方科目不存在",IF(AND($E179="缴纳税费",$H179=""),"缴税请在费用项目里选税种",IF(AND($F179&lt;&gt;"",ISNA(MATCH($F179,往来单位!$A$6:$A$85,0))),"往来单位未建档",IF(YEAR($B179)&lt;&gt;参数设置!$B$5,"不在本会计年度",IF(AND($B178&lt;&gt;"",ISNUMBER($B178),$B179&lt;$B178),"日期比上一行早，余额按行序滚，建议按日期录","OK")))))))))))))))</f>
        <v/>
      </c>
      <c r="O179" s="58" t="str">
        <f aca="false">IF($B179="","",TEXT($B179,"yyyy-mm"))</f>
        <v/>
      </c>
      <c r="P179" s="60" t="str">
        <f aca="false">IF($E179="","",ROUND(N($I179)+N($J179),2))</f>
        <v/>
      </c>
      <c r="Q179" s="58" t="str">
        <f aca="false">IF($D179="","",IFERROR(INDEX(资金账户!$F$6:$F$25,MATCH($D179,资金账户!$B$6:$B$25,0)),""))</f>
        <v/>
      </c>
      <c r="R179" s="58" t="str">
        <f aca="false">IF($E179="","",IFERROR(IF(INDEX(记账规则!$A$13:$H$32,MATCH($E179,记账规则!$A$13:$A$32,0),4)="借","收","支"),""))</f>
        <v/>
      </c>
      <c r="S179" s="57" t="str">
        <f aca="false">IF($D179="","",ROUND(SUMIFS(资金账户!$H$6:$H$25,资金账户!$B$6:$B$25,$D179)+SUMIFS($I$6:$I179,$D$6:$D179,$D179)-SUMIFS($J$6:$J179,$D$6:$D179,$D179),2))</f>
        <v/>
      </c>
      <c r="T179" s="61" t="str">
        <f aca="false">IF($B179="","",YEAR($B179))</f>
        <v/>
      </c>
    </row>
    <row r="180" customFormat="false" ht="15" hidden="false" customHeight="false" outlineLevel="0" collapsed="false">
      <c r="A180" s="53" t="str">
        <f aca="false">IF($B180="","",ROW()-5)</f>
        <v/>
      </c>
      <c r="B180" s="54"/>
      <c r="C180" s="33"/>
      <c r="D180" s="33"/>
      <c r="E180" s="33"/>
      <c r="F180" s="32"/>
      <c r="G180" s="41"/>
      <c r="H180" s="39"/>
      <c r="I180" s="43"/>
      <c r="J180" s="43"/>
      <c r="K180" s="41"/>
      <c r="L180" s="39"/>
      <c r="M180" s="41"/>
      <c r="N180" s="25" t="str">
        <f aca="false">IF(AND($B180="",$E180="",$I180="",$J180=""),"",IF(NOT(ISNUMBER($B180)),"日期无效",IF(ISNA(MATCH($C180,参数设置!$A$10:$A$12,0)),"公司无效",IF(ISNA(MATCH($D180,资金账户!$B$6:$B$25,0)),"账户未建档",IF(ISNA(MATCH($E180,记账规则!$A$13:$A$32,0)),"业务类型无效",IF(AND(N($I180)&lt;&gt;0,N($J180)&lt;&gt;0),"收入和支出只能填一列",IF($P180=0,"金额为 0",IF(AND($R180="收",N($I180)=0),"这类业务是收款，金额填到收入列",IF(AND($R180="支",N($J180)=0),"这类业务是付款，金额填到支出列",IF(AND(SUMPRODUCT(--(INDEX(记账规则!$A$13:$H$32,MATCH($E180,记账规则!$A$13:$A$32,0),0)="@对方"))&gt;0,$G180=""),"这个类型要填对方科目",IF(AND($G180&lt;&gt;"",ISNA(MATCH($G180,会计科目表!$B$6:$B$85,0))),"对方科目不存在",IF(AND($E180="缴纳税费",$H180=""),"缴税请在费用项目里选税种",IF(AND($F180&lt;&gt;"",ISNA(MATCH($F180,往来单位!$A$6:$A$85,0))),"往来单位未建档",IF(YEAR($B180)&lt;&gt;参数设置!$B$5,"不在本会计年度",IF(AND($B179&lt;&gt;"",ISNUMBER($B179),$B180&lt;$B179),"日期比上一行早，余额按行序滚，建议按日期录","OK")))))))))))))))</f>
        <v/>
      </c>
      <c r="O180" s="58" t="str">
        <f aca="false">IF($B180="","",TEXT($B180,"yyyy-mm"))</f>
        <v/>
      </c>
      <c r="P180" s="60" t="str">
        <f aca="false">IF($E180="","",ROUND(N($I180)+N($J180),2))</f>
        <v/>
      </c>
      <c r="Q180" s="58" t="str">
        <f aca="false">IF($D180="","",IFERROR(INDEX(资金账户!$F$6:$F$25,MATCH($D180,资金账户!$B$6:$B$25,0)),""))</f>
        <v/>
      </c>
      <c r="R180" s="58" t="str">
        <f aca="false">IF($E180="","",IFERROR(IF(INDEX(记账规则!$A$13:$H$32,MATCH($E180,记账规则!$A$13:$A$32,0),4)="借","收","支"),""))</f>
        <v/>
      </c>
      <c r="S180" s="57" t="str">
        <f aca="false">IF($D180="","",ROUND(SUMIFS(资金账户!$H$6:$H$25,资金账户!$B$6:$B$25,$D180)+SUMIFS($I$6:$I180,$D$6:$D180,$D180)-SUMIFS($J$6:$J180,$D$6:$D180,$D180),2))</f>
        <v/>
      </c>
      <c r="T180" s="61" t="str">
        <f aca="false">IF($B180="","",YEAR($B180))</f>
        <v/>
      </c>
    </row>
    <row r="181" customFormat="false" ht="15" hidden="false" customHeight="false" outlineLevel="0" collapsed="false">
      <c r="A181" s="53" t="str">
        <f aca="false">IF($B181="","",ROW()-5)</f>
        <v/>
      </c>
      <c r="B181" s="54"/>
      <c r="C181" s="33"/>
      <c r="D181" s="33"/>
      <c r="E181" s="33"/>
      <c r="F181" s="32"/>
      <c r="G181" s="41"/>
      <c r="H181" s="39"/>
      <c r="I181" s="43"/>
      <c r="J181" s="43"/>
      <c r="K181" s="41"/>
      <c r="L181" s="39"/>
      <c r="M181" s="41"/>
      <c r="N181" s="25" t="str">
        <f aca="false">IF(AND($B181="",$E181="",$I181="",$J181=""),"",IF(NOT(ISNUMBER($B181)),"日期无效",IF(ISNA(MATCH($C181,参数设置!$A$10:$A$12,0)),"公司无效",IF(ISNA(MATCH($D181,资金账户!$B$6:$B$25,0)),"账户未建档",IF(ISNA(MATCH($E181,记账规则!$A$13:$A$32,0)),"业务类型无效",IF(AND(N($I181)&lt;&gt;0,N($J181)&lt;&gt;0),"收入和支出只能填一列",IF($P181=0,"金额为 0",IF(AND($R181="收",N($I181)=0),"这类业务是收款，金额填到收入列",IF(AND($R181="支",N($J181)=0),"这类业务是付款，金额填到支出列",IF(AND(SUMPRODUCT(--(INDEX(记账规则!$A$13:$H$32,MATCH($E181,记账规则!$A$13:$A$32,0),0)="@对方"))&gt;0,$G181=""),"这个类型要填对方科目",IF(AND($G181&lt;&gt;"",ISNA(MATCH($G181,会计科目表!$B$6:$B$85,0))),"对方科目不存在",IF(AND($E181="缴纳税费",$H181=""),"缴税请在费用项目里选税种",IF(AND($F181&lt;&gt;"",ISNA(MATCH($F181,往来单位!$A$6:$A$85,0))),"往来单位未建档",IF(YEAR($B181)&lt;&gt;参数设置!$B$5,"不在本会计年度",IF(AND($B180&lt;&gt;"",ISNUMBER($B180),$B181&lt;$B180),"日期比上一行早，余额按行序滚，建议按日期录","OK")))))))))))))))</f>
        <v/>
      </c>
      <c r="O181" s="58" t="str">
        <f aca="false">IF($B181="","",TEXT($B181,"yyyy-mm"))</f>
        <v/>
      </c>
      <c r="P181" s="60" t="str">
        <f aca="false">IF($E181="","",ROUND(N($I181)+N($J181),2))</f>
        <v/>
      </c>
      <c r="Q181" s="58" t="str">
        <f aca="false">IF($D181="","",IFERROR(INDEX(资金账户!$F$6:$F$25,MATCH($D181,资金账户!$B$6:$B$25,0)),""))</f>
        <v/>
      </c>
      <c r="R181" s="58" t="str">
        <f aca="false">IF($E181="","",IFERROR(IF(INDEX(记账规则!$A$13:$H$32,MATCH($E181,记账规则!$A$13:$A$32,0),4)="借","收","支"),""))</f>
        <v/>
      </c>
      <c r="S181" s="57" t="str">
        <f aca="false">IF($D181="","",ROUND(SUMIFS(资金账户!$H$6:$H$25,资金账户!$B$6:$B$25,$D181)+SUMIFS($I$6:$I181,$D$6:$D181,$D181)-SUMIFS($J$6:$J181,$D$6:$D181,$D181),2))</f>
        <v/>
      </c>
      <c r="T181" s="61" t="str">
        <f aca="false">IF($B181="","",YEAR($B181))</f>
        <v/>
      </c>
    </row>
    <row r="182" customFormat="false" ht="15" hidden="false" customHeight="false" outlineLevel="0" collapsed="false">
      <c r="A182" s="53" t="str">
        <f aca="false">IF($B182="","",ROW()-5)</f>
        <v/>
      </c>
      <c r="B182" s="54"/>
      <c r="C182" s="33"/>
      <c r="D182" s="33"/>
      <c r="E182" s="33"/>
      <c r="F182" s="32"/>
      <c r="G182" s="41"/>
      <c r="H182" s="39"/>
      <c r="I182" s="43"/>
      <c r="J182" s="43"/>
      <c r="K182" s="41"/>
      <c r="L182" s="39"/>
      <c r="M182" s="41"/>
      <c r="N182" s="25" t="str">
        <f aca="false">IF(AND($B182="",$E182="",$I182="",$J182=""),"",IF(NOT(ISNUMBER($B182)),"日期无效",IF(ISNA(MATCH($C182,参数设置!$A$10:$A$12,0)),"公司无效",IF(ISNA(MATCH($D182,资金账户!$B$6:$B$25,0)),"账户未建档",IF(ISNA(MATCH($E182,记账规则!$A$13:$A$32,0)),"业务类型无效",IF(AND(N($I182)&lt;&gt;0,N($J182)&lt;&gt;0),"收入和支出只能填一列",IF($P182=0,"金额为 0",IF(AND($R182="收",N($I182)=0),"这类业务是收款，金额填到收入列",IF(AND($R182="支",N($J182)=0),"这类业务是付款，金额填到支出列",IF(AND(SUMPRODUCT(--(INDEX(记账规则!$A$13:$H$32,MATCH($E182,记账规则!$A$13:$A$32,0),0)="@对方"))&gt;0,$G182=""),"这个类型要填对方科目",IF(AND($G182&lt;&gt;"",ISNA(MATCH($G182,会计科目表!$B$6:$B$85,0))),"对方科目不存在",IF(AND($E182="缴纳税费",$H182=""),"缴税请在费用项目里选税种",IF(AND($F182&lt;&gt;"",ISNA(MATCH($F182,往来单位!$A$6:$A$85,0))),"往来单位未建档",IF(YEAR($B182)&lt;&gt;参数设置!$B$5,"不在本会计年度",IF(AND($B181&lt;&gt;"",ISNUMBER($B181),$B182&lt;$B181),"日期比上一行早，余额按行序滚，建议按日期录","OK")))))))))))))))</f>
        <v/>
      </c>
      <c r="O182" s="58" t="str">
        <f aca="false">IF($B182="","",TEXT($B182,"yyyy-mm"))</f>
        <v/>
      </c>
      <c r="P182" s="60" t="str">
        <f aca="false">IF($E182="","",ROUND(N($I182)+N($J182),2))</f>
        <v/>
      </c>
      <c r="Q182" s="58" t="str">
        <f aca="false">IF($D182="","",IFERROR(INDEX(资金账户!$F$6:$F$25,MATCH($D182,资金账户!$B$6:$B$25,0)),""))</f>
        <v/>
      </c>
      <c r="R182" s="58" t="str">
        <f aca="false">IF($E182="","",IFERROR(IF(INDEX(记账规则!$A$13:$H$32,MATCH($E182,记账规则!$A$13:$A$32,0),4)="借","收","支"),""))</f>
        <v/>
      </c>
      <c r="S182" s="57" t="str">
        <f aca="false">IF($D182="","",ROUND(SUMIFS(资金账户!$H$6:$H$25,资金账户!$B$6:$B$25,$D182)+SUMIFS($I$6:$I182,$D$6:$D182,$D182)-SUMIFS($J$6:$J182,$D$6:$D182,$D182),2))</f>
        <v/>
      </c>
      <c r="T182" s="61" t="str">
        <f aca="false">IF($B182="","",YEAR($B182))</f>
        <v/>
      </c>
    </row>
    <row r="183" customFormat="false" ht="15" hidden="false" customHeight="false" outlineLevel="0" collapsed="false">
      <c r="A183" s="53" t="str">
        <f aca="false">IF($B183="","",ROW()-5)</f>
        <v/>
      </c>
      <c r="B183" s="54"/>
      <c r="C183" s="33"/>
      <c r="D183" s="33"/>
      <c r="E183" s="33"/>
      <c r="F183" s="32"/>
      <c r="G183" s="41"/>
      <c r="H183" s="39"/>
      <c r="I183" s="43"/>
      <c r="J183" s="43"/>
      <c r="K183" s="41"/>
      <c r="L183" s="39"/>
      <c r="M183" s="41"/>
      <c r="N183" s="25" t="str">
        <f aca="false">IF(AND($B183="",$E183="",$I183="",$J183=""),"",IF(NOT(ISNUMBER($B183)),"日期无效",IF(ISNA(MATCH($C183,参数设置!$A$10:$A$12,0)),"公司无效",IF(ISNA(MATCH($D183,资金账户!$B$6:$B$25,0)),"账户未建档",IF(ISNA(MATCH($E183,记账规则!$A$13:$A$32,0)),"业务类型无效",IF(AND(N($I183)&lt;&gt;0,N($J183)&lt;&gt;0),"收入和支出只能填一列",IF($P183=0,"金额为 0",IF(AND($R183="收",N($I183)=0),"这类业务是收款，金额填到收入列",IF(AND($R183="支",N($J183)=0),"这类业务是付款，金额填到支出列",IF(AND(SUMPRODUCT(--(INDEX(记账规则!$A$13:$H$32,MATCH($E183,记账规则!$A$13:$A$32,0),0)="@对方"))&gt;0,$G183=""),"这个类型要填对方科目",IF(AND($G183&lt;&gt;"",ISNA(MATCH($G183,会计科目表!$B$6:$B$85,0))),"对方科目不存在",IF(AND($E183="缴纳税费",$H183=""),"缴税请在费用项目里选税种",IF(AND($F183&lt;&gt;"",ISNA(MATCH($F183,往来单位!$A$6:$A$85,0))),"往来单位未建档",IF(YEAR($B183)&lt;&gt;参数设置!$B$5,"不在本会计年度",IF(AND($B182&lt;&gt;"",ISNUMBER($B182),$B183&lt;$B182),"日期比上一行早，余额按行序滚，建议按日期录","OK")))))))))))))))</f>
        <v/>
      </c>
      <c r="O183" s="58" t="str">
        <f aca="false">IF($B183="","",TEXT($B183,"yyyy-mm"))</f>
        <v/>
      </c>
      <c r="P183" s="60" t="str">
        <f aca="false">IF($E183="","",ROUND(N($I183)+N($J183),2))</f>
        <v/>
      </c>
      <c r="Q183" s="58" t="str">
        <f aca="false">IF($D183="","",IFERROR(INDEX(资金账户!$F$6:$F$25,MATCH($D183,资金账户!$B$6:$B$25,0)),""))</f>
        <v/>
      </c>
      <c r="R183" s="58" t="str">
        <f aca="false">IF($E183="","",IFERROR(IF(INDEX(记账规则!$A$13:$H$32,MATCH($E183,记账规则!$A$13:$A$32,0),4)="借","收","支"),""))</f>
        <v/>
      </c>
      <c r="S183" s="57" t="str">
        <f aca="false">IF($D183="","",ROUND(SUMIFS(资金账户!$H$6:$H$25,资金账户!$B$6:$B$25,$D183)+SUMIFS($I$6:$I183,$D$6:$D183,$D183)-SUMIFS($J$6:$J183,$D$6:$D183,$D183),2))</f>
        <v/>
      </c>
      <c r="T183" s="61" t="str">
        <f aca="false">IF($B183="","",YEAR($B183))</f>
        <v/>
      </c>
    </row>
    <row r="184" customFormat="false" ht="15" hidden="false" customHeight="false" outlineLevel="0" collapsed="false">
      <c r="A184" s="53" t="str">
        <f aca="false">IF($B184="","",ROW()-5)</f>
        <v/>
      </c>
      <c r="B184" s="54"/>
      <c r="C184" s="33"/>
      <c r="D184" s="33"/>
      <c r="E184" s="33"/>
      <c r="F184" s="32"/>
      <c r="G184" s="41"/>
      <c r="H184" s="39"/>
      <c r="I184" s="43"/>
      <c r="J184" s="43"/>
      <c r="K184" s="41"/>
      <c r="L184" s="39"/>
      <c r="M184" s="41"/>
      <c r="N184" s="25" t="str">
        <f aca="false">IF(AND($B184="",$E184="",$I184="",$J184=""),"",IF(NOT(ISNUMBER($B184)),"日期无效",IF(ISNA(MATCH($C184,参数设置!$A$10:$A$12,0)),"公司无效",IF(ISNA(MATCH($D184,资金账户!$B$6:$B$25,0)),"账户未建档",IF(ISNA(MATCH($E184,记账规则!$A$13:$A$32,0)),"业务类型无效",IF(AND(N($I184)&lt;&gt;0,N($J184)&lt;&gt;0),"收入和支出只能填一列",IF($P184=0,"金额为 0",IF(AND($R184="收",N($I184)=0),"这类业务是收款，金额填到收入列",IF(AND($R184="支",N($J184)=0),"这类业务是付款，金额填到支出列",IF(AND(SUMPRODUCT(--(INDEX(记账规则!$A$13:$H$32,MATCH($E184,记账规则!$A$13:$A$32,0),0)="@对方"))&gt;0,$G184=""),"这个类型要填对方科目",IF(AND($G184&lt;&gt;"",ISNA(MATCH($G184,会计科目表!$B$6:$B$85,0))),"对方科目不存在",IF(AND($E184="缴纳税费",$H184=""),"缴税请在费用项目里选税种",IF(AND($F184&lt;&gt;"",ISNA(MATCH($F184,往来单位!$A$6:$A$85,0))),"往来单位未建档",IF(YEAR($B184)&lt;&gt;参数设置!$B$5,"不在本会计年度",IF(AND($B183&lt;&gt;"",ISNUMBER($B183),$B184&lt;$B183),"日期比上一行早，余额按行序滚，建议按日期录","OK")))))))))))))))</f>
        <v/>
      </c>
      <c r="O184" s="58" t="str">
        <f aca="false">IF($B184="","",TEXT($B184,"yyyy-mm"))</f>
        <v/>
      </c>
      <c r="P184" s="60" t="str">
        <f aca="false">IF($E184="","",ROUND(N($I184)+N($J184),2))</f>
        <v/>
      </c>
      <c r="Q184" s="58" t="str">
        <f aca="false">IF($D184="","",IFERROR(INDEX(资金账户!$F$6:$F$25,MATCH($D184,资金账户!$B$6:$B$25,0)),""))</f>
        <v/>
      </c>
      <c r="R184" s="58" t="str">
        <f aca="false">IF($E184="","",IFERROR(IF(INDEX(记账规则!$A$13:$H$32,MATCH($E184,记账规则!$A$13:$A$32,0),4)="借","收","支"),""))</f>
        <v/>
      </c>
      <c r="S184" s="57" t="str">
        <f aca="false">IF($D184="","",ROUND(SUMIFS(资金账户!$H$6:$H$25,资金账户!$B$6:$B$25,$D184)+SUMIFS($I$6:$I184,$D$6:$D184,$D184)-SUMIFS($J$6:$J184,$D$6:$D184,$D184),2))</f>
        <v/>
      </c>
      <c r="T184" s="61" t="str">
        <f aca="false">IF($B184="","",YEAR($B184))</f>
        <v/>
      </c>
    </row>
    <row r="185" customFormat="false" ht="15" hidden="false" customHeight="false" outlineLevel="0" collapsed="false">
      <c r="A185" s="53" t="str">
        <f aca="false">IF($B185="","",ROW()-5)</f>
        <v/>
      </c>
      <c r="B185" s="54"/>
      <c r="C185" s="33"/>
      <c r="D185" s="33"/>
      <c r="E185" s="33"/>
      <c r="F185" s="32"/>
      <c r="G185" s="41"/>
      <c r="H185" s="39"/>
      <c r="I185" s="43"/>
      <c r="J185" s="43"/>
      <c r="K185" s="41"/>
      <c r="L185" s="39"/>
      <c r="M185" s="41"/>
      <c r="N185" s="25" t="str">
        <f aca="false">IF(AND($B185="",$E185="",$I185="",$J185=""),"",IF(NOT(ISNUMBER($B185)),"日期无效",IF(ISNA(MATCH($C185,参数设置!$A$10:$A$12,0)),"公司无效",IF(ISNA(MATCH($D185,资金账户!$B$6:$B$25,0)),"账户未建档",IF(ISNA(MATCH($E185,记账规则!$A$13:$A$32,0)),"业务类型无效",IF(AND(N($I185)&lt;&gt;0,N($J185)&lt;&gt;0),"收入和支出只能填一列",IF($P185=0,"金额为 0",IF(AND($R185="收",N($I185)=0),"这类业务是收款，金额填到收入列",IF(AND($R185="支",N($J185)=0),"这类业务是付款，金额填到支出列",IF(AND(SUMPRODUCT(--(INDEX(记账规则!$A$13:$H$32,MATCH($E185,记账规则!$A$13:$A$32,0),0)="@对方"))&gt;0,$G185=""),"这个类型要填对方科目",IF(AND($G185&lt;&gt;"",ISNA(MATCH($G185,会计科目表!$B$6:$B$85,0))),"对方科目不存在",IF(AND($E185="缴纳税费",$H185=""),"缴税请在费用项目里选税种",IF(AND($F185&lt;&gt;"",ISNA(MATCH($F185,往来单位!$A$6:$A$85,0))),"往来单位未建档",IF(YEAR($B185)&lt;&gt;参数设置!$B$5,"不在本会计年度",IF(AND($B184&lt;&gt;"",ISNUMBER($B184),$B185&lt;$B184),"日期比上一行早，余额按行序滚，建议按日期录","OK")))))))))))))))</f>
        <v/>
      </c>
      <c r="O185" s="58" t="str">
        <f aca="false">IF($B185="","",TEXT($B185,"yyyy-mm"))</f>
        <v/>
      </c>
      <c r="P185" s="60" t="str">
        <f aca="false">IF($E185="","",ROUND(N($I185)+N($J185),2))</f>
        <v/>
      </c>
      <c r="Q185" s="58" t="str">
        <f aca="false">IF($D185="","",IFERROR(INDEX(资金账户!$F$6:$F$25,MATCH($D185,资金账户!$B$6:$B$25,0)),""))</f>
        <v/>
      </c>
      <c r="R185" s="58" t="str">
        <f aca="false">IF($E185="","",IFERROR(IF(INDEX(记账规则!$A$13:$H$32,MATCH($E185,记账规则!$A$13:$A$32,0),4)="借","收","支"),""))</f>
        <v/>
      </c>
      <c r="S185" s="57" t="str">
        <f aca="false">IF($D185="","",ROUND(SUMIFS(资金账户!$H$6:$H$25,资金账户!$B$6:$B$25,$D185)+SUMIFS($I$6:$I185,$D$6:$D185,$D185)-SUMIFS($J$6:$J185,$D$6:$D185,$D185),2))</f>
        <v/>
      </c>
      <c r="T185" s="61" t="str">
        <f aca="false">IF($B185="","",YEAR($B185))</f>
        <v/>
      </c>
    </row>
    <row r="186" customFormat="false" ht="15" hidden="false" customHeight="false" outlineLevel="0" collapsed="false">
      <c r="A186" s="53" t="str">
        <f aca="false">IF($B186="","",ROW()-5)</f>
        <v/>
      </c>
      <c r="B186" s="54"/>
      <c r="C186" s="33"/>
      <c r="D186" s="33"/>
      <c r="E186" s="33"/>
      <c r="F186" s="32"/>
      <c r="G186" s="41"/>
      <c r="H186" s="39"/>
      <c r="I186" s="43"/>
      <c r="J186" s="43"/>
      <c r="K186" s="41"/>
      <c r="L186" s="39"/>
      <c r="M186" s="41"/>
      <c r="N186" s="25" t="str">
        <f aca="false">IF(AND($B186="",$E186="",$I186="",$J186=""),"",IF(NOT(ISNUMBER($B186)),"日期无效",IF(ISNA(MATCH($C186,参数设置!$A$10:$A$12,0)),"公司无效",IF(ISNA(MATCH($D186,资金账户!$B$6:$B$25,0)),"账户未建档",IF(ISNA(MATCH($E186,记账规则!$A$13:$A$32,0)),"业务类型无效",IF(AND(N($I186)&lt;&gt;0,N($J186)&lt;&gt;0),"收入和支出只能填一列",IF($P186=0,"金额为 0",IF(AND($R186="收",N($I186)=0),"这类业务是收款，金额填到收入列",IF(AND($R186="支",N($J186)=0),"这类业务是付款，金额填到支出列",IF(AND(SUMPRODUCT(--(INDEX(记账规则!$A$13:$H$32,MATCH($E186,记账规则!$A$13:$A$32,0),0)="@对方"))&gt;0,$G186=""),"这个类型要填对方科目",IF(AND($G186&lt;&gt;"",ISNA(MATCH($G186,会计科目表!$B$6:$B$85,0))),"对方科目不存在",IF(AND($E186="缴纳税费",$H186=""),"缴税请在费用项目里选税种",IF(AND($F186&lt;&gt;"",ISNA(MATCH($F186,往来单位!$A$6:$A$85,0))),"往来单位未建档",IF(YEAR($B186)&lt;&gt;参数设置!$B$5,"不在本会计年度",IF(AND($B185&lt;&gt;"",ISNUMBER($B185),$B186&lt;$B185),"日期比上一行早，余额按行序滚，建议按日期录","OK")))))))))))))))</f>
        <v/>
      </c>
      <c r="O186" s="58" t="str">
        <f aca="false">IF($B186="","",TEXT($B186,"yyyy-mm"))</f>
        <v/>
      </c>
      <c r="P186" s="60" t="str">
        <f aca="false">IF($E186="","",ROUND(N($I186)+N($J186),2))</f>
        <v/>
      </c>
      <c r="Q186" s="58" t="str">
        <f aca="false">IF($D186="","",IFERROR(INDEX(资金账户!$F$6:$F$25,MATCH($D186,资金账户!$B$6:$B$25,0)),""))</f>
        <v/>
      </c>
      <c r="R186" s="58" t="str">
        <f aca="false">IF($E186="","",IFERROR(IF(INDEX(记账规则!$A$13:$H$32,MATCH($E186,记账规则!$A$13:$A$32,0),4)="借","收","支"),""))</f>
        <v/>
      </c>
      <c r="S186" s="57" t="str">
        <f aca="false">IF($D186="","",ROUND(SUMIFS(资金账户!$H$6:$H$25,资金账户!$B$6:$B$25,$D186)+SUMIFS($I$6:$I186,$D$6:$D186,$D186)-SUMIFS($J$6:$J186,$D$6:$D186,$D186),2))</f>
        <v/>
      </c>
      <c r="T186" s="61" t="str">
        <f aca="false">IF($B186="","",YEAR($B186))</f>
        <v/>
      </c>
    </row>
    <row r="187" customFormat="false" ht="15" hidden="false" customHeight="false" outlineLevel="0" collapsed="false">
      <c r="A187" s="53" t="str">
        <f aca="false">IF($B187="","",ROW()-5)</f>
        <v/>
      </c>
      <c r="B187" s="54"/>
      <c r="C187" s="33"/>
      <c r="D187" s="33"/>
      <c r="E187" s="33"/>
      <c r="F187" s="32"/>
      <c r="G187" s="41"/>
      <c r="H187" s="39"/>
      <c r="I187" s="43"/>
      <c r="J187" s="43"/>
      <c r="K187" s="41"/>
      <c r="L187" s="39"/>
      <c r="M187" s="41"/>
      <c r="N187" s="25" t="str">
        <f aca="false">IF(AND($B187="",$E187="",$I187="",$J187=""),"",IF(NOT(ISNUMBER($B187)),"日期无效",IF(ISNA(MATCH($C187,参数设置!$A$10:$A$12,0)),"公司无效",IF(ISNA(MATCH($D187,资金账户!$B$6:$B$25,0)),"账户未建档",IF(ISNA(MATCH($E187,记账规则!$A$13:$A$32,0)),"业务类型无效",IF(AND(N($I187)&lt;&gt;0,N($J187)&lt;&gt;0),"收入和支出只能填一列",IF($P187=0,"金额为 0",IF(AND($R187="收",N($I187)=0),"这类业务是收款，金额填到收入列",IF(AND($R187="支",N($J187)=0),"这类业务是付款，金额填到支出列",IF(AND(SUMPRODUCT(--(INDEX(记账规则!$A$13:$H$32,MATCH($E187,记账规则!$A$13:$A$32,0),0)="@对方"))&gt;0,$G187=""),"这个类型要填对方科目",IF(AND($G187&lt;&gt;"",ISNA(MATCH($G187,会计科目表!$B$6:$B$85,0))),"对方科目不存在",IF(AND($E187="缴纳税费",$H187=""),"缴税请在费用项目里选税种",IF(AND($F187&lt;&gt;"",ISNA(MATCH($F187,往来单位!$A$6:$A$85,0))),"往来单位未建档",IF(YEAR($B187)&lt;&gt;参数设置!$B$5,"不在本会计年度",IF(AND($B186&lt;&gt;"",ISNUMBER($B186),$B187&lt;$B186),"日期比上一行早，余额按行序滚，建议按日期录","OK")))))))))))))))</f>
        <v/>
      </c>
      <c r="O187" s="58" t="str">
        <f aca="false">IF($B187="","",TEXT($B187,"yyyy-mm"))</f>
        <v/>
      </c>
      <c r="P187" s="60" t="str">
        <f aca="false">IF($E187="","",ROUND(N($I187)+N($J187),2))</f>
        <v/>
      </c>
      <c r="Q187" s="58" t="str">
        <f aca="false">IF($D187="","",IFERROR(INDEX(资金账户!$F$6:$F$25,MATCH($D187,资金账户!$B$6:$B$25,0)),""))</f>
        <v/>
      </c>
      <c r="R187" s="58" t="str">
        <f aca="false">IF($E187="","",IFERROR(IF(INDEX(记账规则!$A$13:$H$32,MATCH($E187,记账规则!$A$13:$A$32,0),4)="借","收","支"),""))</f>
        <v/>
      </c>
      <c r="S187" s="57" t="str">
        <f aca="false">IF($D187="","",ROUND(SUMIFS(资金账户!$H$6:$H$25,资金账户!$B$6:$B$25,$D187)+SUMIFS($I$6:$I187,$D$6:$D187,$D187)-SUMIFS($J$6:$J187,$D$6:$D187,$D187),2))</f>
        <v/>
      </c>
      <c r="T187" s="61" t="str">
        <f aca="false">IF($B187="","",YEAR($B187))</f>
        <v/>
      </c>
    </row>
    <row r="188" customFormat="false" ht="15" hidden="false" customHeight="false" outlineLevel="0" collapsed="false">
      <c r="A188" s="53" t="str">
        <f aca="false">IF($B188="","",ROW()-5)</f>
        <v/>
      </c>
      <c r="B188" s="54"/>
      <c r="C188" s="33"/>
      <c r="D188" s="33"/>
      <c r="E188" s="33"/>
      <c r="F188" s="32"/>
      <c r="G188" s="41"/>
      <c r="H188" s="39"/>
      <c r="I188" s="43"/>
      <c r="J188" s="43"/>
      <c r="K188" s="41"/>
      <c r="L188" s="39"/>
      <c r="M188" s="41"/>
      <c r="N188" s="25" t="str">
        <f aca="false">IF(AND($B188="",$E188="",$I188="",$J188=""),"",IF(NOT(ISNUMBER($B188)),"日期无效",IF(ISNA(MATCH($C188,参数设置!$A$10:$A$12,0)),"公司无效",IF(ISNA(MATCH($D188,资金账户!$B$6:$B$25,0)),"账户未建档",IF(ISNA(MATCH($E188,记账规则!$A$13:$A$32,0)),"业务类型无效",IF(AND(N($I188)&lt;&gt;0,N($J188)&lt;&gt;0),"收入和支出只能填一列",IF($P188=0,"金额为 0",IF(AND($R188="收",N($I188)=0),"这类业务是收款，金额填到收入列",IF(AND($R188="支",N($J188)=0),"这类业务是付款，金额填到支出列",IF(AND(SUMPRODUCT(--(INDEX(记账规则!$A$13:$H$32,MATCH($E188,记账规则!$A$13:$A$32,0),0)="@对方"))&gt;0,$G188=""),"这个类型要填对方科目",IF(AND($G188&lt;&gt;"",ISNA(MATCH($G188,会计科目表!$B$6:$B$85,0))),"对方科目不存在",IF(AND($E188="缴纳税费",$H188=""),"缴税请在费用项目里选税种",IF(AND($F188&lt;&gt;"",ISNA(MATCH($F188,往来单位!$A$6:$A$85,0))),"往来单位未建档",IF(YEAR($B188)&lt;&gt;参数设置!$B$5,"不在本会计年度",IF(AND($B187&lt;&gt;"",ISNUMBER($B187),$B188&lt;$B187),"日期比上一行早，余额按行序滚，建议按日期录","OK")))))))))))))))</f>
        <v/>
      </c>
      <c r="O188" s="58" t="str">
        <f aca="false">IF($B188="","",TEXT($B188,"yyyy-mm"))</f>
        <v/>
      </c>
      <c r="P188" s="60" t="str">
        <f aca="false">IF($E188="","",ROUND(N($I188)+N($J188),2))</f>
        <v/>
      </c>
      <c r="Q188" s="58" t="str">
        <f aca="false">IF($D188="","",IFERROR(INDEX(资金账户!$F$6:$F$25,MATCH($D188,资金账户!$B$6:$B$25,0)),""))</f>
        <v/>
      </c>
      <c r="R188" s="58" t="str">
        <f aca="false">IF($E188="","",IFERROR(IF(INDEX(记账规则!$A$13:$H$32,MATCH($E188,记账规则!$A$13:$A$32,0),4)="借","收","支"),""))</f>
        <v/>
      </c>
      <c r="S188" s="57" t="str">
        <f aca="false">IF($D188="","",ROUND(SUMIFS(资金账户!$H$6:$H$25,资金账户!$B$6:$B$25,$D188)+SUMIFS($I$6:$I188,$D$6:$D188,$D188)-SUMIFS($J$6:$J188,$D$6:$D188,$D188),2))</f>
        <v/>
      </c>
      <c r="T188" s="61" t="str">
        <f aca="false">IF($B188="","",YEAR($B188))</f>
        <v/>
      </c>
    </row>
    <row r="189" customFormat="false" ht="15" hidden="false" customHeight="false" outlineLevel="0" collapsed="false">
      <c r="A189" s="53" t="str">
        <f aca="false">IF($B189="","",ROW()-5)</f>
        <v/>
      </c>
      <c r="B189" s="54"/>
      <c r="C189" s="33"/>
      <c r="D189" s="33"/>
      <c r="E189" s="33"/>
      <c r="F189" s="32"/>
      <c r="G189" s="41"/>
      <c r="H189" s="39"/>
      <c r="I189" s="43"/>
      <c r="J189" s="43"/>
      <c r="K189" s="41"/>
      <c r="L189" s="39"/>
      <c r="M189" s="41"/>
      <c r="N189" s="25" t="str">
        <f aca="false">IF(AND($B189="",$E189="",$I189="",$J189=""),"",IF(NOT(ISNUMBER($B189)),"日期无效",IF(ISNA(MATCH($C189,参数设置!$A$10:$A$12,0)),"公司无效",IF(ISNA(MATCH($D189,资金账户!$B$6:$B$25,0)),"账户未建档",IF(ISNA(MATCH($E189,记账规则!$A$13:$A$32,0)),"业务类型无效",IF(AND(N($I189)&lt;&gt;0,N($J189)&lt;&gt;0),"收入和支出只能填一列",IF($P189=0,"金额为 0",IF(AND($R189="收",N($I189)=0),"这类业务是收款，金额填到收入列",IF(AND($R189="支",N($J189)=0),"这类业务是付款，金额填到支出列",IF(AND(SUMPRODUCT(--(INDEX(记账规则!$A$13:$H$32,MATCH($E189,记账规则!$A$13:$A$32,0),0)="@对方"))&gt;0,$G189=""),"这个类型要填对方科目",IF(AND($G189&lt;&gt;"",ISNA(MATCH($G189,会计科目表!$B$6:$B$85,0))),"对方科目不存在",IF(AND($E189="缴纳税费",$H189=""),"缴税请在费用项目里选税种",IF(AND($F189&lt;&gt;"",ISNA(MATCH($F189,往来单位!$A$6:$A$85,0))),"往来单位未建档",IF(YEAR($B189)&lt;&gt;参数设置!$B$5,"不在本会计年度",IF(AND($B188&lt;&gt;"",ISNUMBER($B188),$B189&lt;$B188),"日期比上一行早，余额按行序滚，建议按日期录","OK")))))))))))))))</f>
        <v/>
      </c>
      <c r="O189" s="58" t="str">
        <f aca="false">IF($B189="","",TEXT($B189,"yyyy-mm"))</f>
        <v/>
      </c>
      <c r="P189" s="60" t="str">
        <f aca="false">IF($E189="","",ROUND(N($I189)+N($J189),2))</f>
        <v/>
      </c>
      <c r="Q189" s="58" t="str">
        <f aca="false">IF($D189="","",IFERROR(INDEX(资金账户!$F$6:$F$25,MATCH($D189,资金账户!$B$6:$B$25,0)),""))</f>
        <v/>
      </c>
      <c r="R189" s="58" t="str">
        <f aca="false">IF($E189="","",IFERROR(IF(INDEX(记账规则!$A$13:$H$32,MATCH($E189,记账规则!$A$13:$A$32,0),4)="借","收","支"),""))</f>
        <v/>
      </c>
      <c r="S189" s="57" t="str">
        <f aca="false">IF($D189="","",ROUND(SUMIFS(资金账户!$H$6:$H$25,资金账户!$B$6:$B$25,$D189)+SUMIFS($I$6:$I189,$D$6:$D189,$D189)-SUMIFS($J$6:$J189,$D$6:$D189,$D189),2))</f>
        <v/>
      </c>
      <c r="T189" s="61" t="str">
        <f aca="false">IF($B189="","",YEAR($B189))</f>
        <v/>
      </c>
    </row>
    <row r="190" customFormat="false" ht="15" hidden="false" customHeight="false" outlineLevel="0" collapsed="false">
      <c r="A190" s="53" t="str">
        <f aca="false">IF($B190="","",ROW()-5)</f>
        <v/>
      </c>
      <c r="B190" s="54"/>
      <c r="C190" s="33"/>
      <c r="D190" s="33"/>
      <c r="E190" s="33"/>
      <c r="F190" s="32"/>
      <c r="G190" s="41"/>
      <c r="H190" s="39"/>
      <c r="I190" s="43"/>
      <c r="J190" s="43"/>
      <c r="K190" s="41"/>
      <c r="L190" s="39"/>
      <c r="M190" s="41"/>
      <c r="N190" s="25" t="str">
        <f aca="false">IF(AND($B190="",$E190="",$I190="",$J190=""),"",IF(NOT(ISNUMBER($B190)),"日期无效",IF(ISNA(MATCH($C190,参数设置!$A$10:$A$12,0)),"公司无效",IF(ISNA(MATCH($D190,资金账户!$B$6:$B$25,0)),"账户未建档",IF(ISNA(MATCH($E190,记账规则!$A$13:$A$32,0)),"业务类型无效",IF(AND(N($I190)&lt;&gt;0,N($J190)&lt;&gt;0),"收入和支出只能填一列",IF($P190=0,"金额为 0",IF(AND($R190="收",N($I190)=0),"这类业务是收款，金额填到收入列",IF(AND($R190="支",N($J190)=0),"这类业务是付款，金额填到支出列",IF(AND(SUMPRODUCT(--(INDEX(记账规则!$A$13:$H$32,MATCH($E190,记账规则!$A$13:$A$32,0),0)="@对方"))&gt;0,$G190=""),"这个类型要填对方科目",IF(AND($G190&lt;&gt;"",ISNA(MATCH($G190,会计科目表!$B$6:$B$85,0))),"对方科目不存在",IF(AND($E190="缴纳税费",$H190=""),"缴税请在费用项目里选税种",IF(AND($F190&lt;&gt;"",ISNA(MATCH($F190,往来单位!$A$6:$A$85,0))),"往来单位未建档",IF(YEAR($B190)&lt;&gt;参数设置!$B$5,"不在本会计年度",IF(AND($B189&lt;&gt;"",ISNUMBER($B189),$B190&lt;$B189),"日期比上一行早，余额按行序滚，建议按日期录","OK")))))))))))))))</f>
        <v/>
      </c>
      <c r="O190" s="58" t="str">
        <f aca="false">IF($B190="","",TEXT($B190,"yyyy-mm"))</f>
        <v/>
      </c>
      <c r="P190" s="60" t="str">
        <f aca="false">IF($E190="","",ROUND(N($I190)+N($J190),2))</f>
        <v/>
      </c>
      <c r="Q190" s="58" t="str">
        <f aca="false">IF($D190="","",IFERROR(INDEX(资金账户!$F$6:$F$25,MATCH($D190,资金账户!$B$6:$B$25,0)),""))</f>
        <v/>
      </c>
      <c r="R190" s="58" t="str">
        <f aca="false">IF($E190="","",IFERROR(IF(INDEX(记账规则!$A$13:$H$32,MATCH($E190,记账规则!$A$13:$A$32,0),4)="借","收","支"),""))</f>
        <v/>
      </c>
      <c r="S190" s="57" t="str">
        <f aca="false">IF($D190="","",ROUND(SUMIFS(资金账户!$H$6:$H$25,资金账户!$B$6:$B$25,$D190)+SUMIFS($I$6:$I190,$D$6:$D190,$D190)-SUMIFS($J$6:$J190,$D$6:$D190,$D190),2))</f>
        <v/>
      </c>
      <c r="T190" s="61" t="str">
        <f aca="false">IF($B190="","",YEAR($B190))</f>
        <v/>
      </c>
    </row>
    <row r="191" customFormat="false" ht="15" hidden="false" customHeight="false" outlineLevel="0" collapsed="false">
      <c r="A191" s="53" t="str">
        <f aca="false">IF($B191="","",ROW()-5)</f>
        <v/>
      </c>
      <c r="B191" s="54"/>
      <c r="C191" s="33"/>
      <c r="D191" s="33"/>
      <c r="E191" s="33"/>
      <c r="F191" s="32"/>
      <c r="G191" s="41"/>
      <c r="H191" s="39"/>
      <c r="I191" s="43"/>
      <c r="J191" s="43"/>
      <c r="K191" s="41"/>
      <c r="L191" s="39"/>
      <c r="M191" s="41"/>
      <c r="N191" s="25" t="str">
        <f aca="false">IF(AND($B191="",$E191="",$I191="",$J191=""),"",IF(NOT(ISNUMBER($B191)),"日期无效",IF(ISNA(MATCH($C191,参数设置!$A$10:$A$12,0)),"公司无效",IF(ISNA(MATCH($D191,资金账户!$B$6:$B$25,0)),"账户未建档",IF(ISNA(MATCH($E191,记账规则!$A$13:$A$32,0)),"业务类型无效",IF(AND(N($I191)&lt;&gt;0,N($J191)&lt;&gt;0),"收入和支出只能填一列",IF($P191=0,"金额为 0",IF(AND($R191="收",N($I191)=0),"这类业务是收款，金额填到收入列",IF(AND($R191="支",N($J191)=0),"这类业务是付款，金额填到支出列",IF(AND(SUMPRODUCT(--(INDEX(记账规则!$A$13:$H$32,MATCH($E191,记账规则!$A$13:$A$32,0),0)="@对方"))&gt;0,$G191=""),"这个类型要填对方科目",IF(AND($G191&lt;&gt;"",ISNA(MATCH($G191,会计科目表!$B$6:$B$85,0))),"对方科目不存在",IF(AND($E191="缴纳税费",$H191=""),"缴税请在费用项目里选税种",IF(AND($F191&lt;&gt;"",ISNA(MATCH($F191,往来单位!$A$6:$A$85,0))),"往来单位未建档",IF(YEAR($B191)&lt;&gt;参数设置!$B$5,"不在本会计年度",IF(AND($B190&lt;&gt;"",ISNUMBER($B190),$B191&lt;$B190),"日期比上一行早，余额按行序滚，建议按日期录","OK")))))))))))))))</f>
        <v/>
      </c>
      <c r="O191" s="58" t="str">
        <f aca="false">IF($B191="","",TEXT($B191,"yyyy-mm"))</f>
        <v/>
      </c>
      <c r="P191" s="60" t="str">
        <f aca="false">IF($E191="","",ROUND(N($I191)+N($J191),2))</f>
        <v/>
      </c>
      <c r="Q191" s="58" t="str">
        <f aca="false">IF($D191="","",IFERROR(INDEX(资金账户!$F$6:$F$25,MATCH($D191,资金账户!$B$6:$B$25,0)),""))</f>
        <v/>
      </c>
      <c r="R191" s="58" t="str">
        <f aca="false">IF($E191="","",IFERROR(IF(INDEX(记账规则!$A$13:$H$32,MATCH($E191,记账规则!$A$13:$A$32,0),4)="借","收","支"),""))</f>
        <v/>
      </c>
      <c r="S191" s="57" t="str">
        <f aca="false">IF($D191="","",ROUND(SUMIFS(资金账户!$H$6:$H$25,资金账户!$B$6:$B$25,$D191)+SUMIFS($I$6:$I191,$D$6:$D191,$D191)-SUMIFS($J$6:$J191,$D$6:$D191,$D191),2))</f>
        <v/>
      </c>
      <c r="T191" s="61" t="str">
        <f aca="false">IF($B191="","",YEAR($B191))</f>
        <v/>
      </c>
    </row>
    <row r="192" customFormat="false" ht="15" hidden="false" customHeight="false" outlineLevel="0" collapsed="false">
      <c r="A192" s="53" t="str">
        <f aca="false">IF($B192="","",ROW()-5)</f>
        <v/>
      </c>
      <c r="B192" s="54"/>
      <c r="C192" s="33"/>
      <c r="D192" s="33"/>
      <c r="E192" s="33"/>
      <c r="F192" s="32"/>
      <c r="G192" s="41"/>
      <c r="H192" s="39"/>
      <c r="I192" s="43"/>
      <c r="J192" s="43"/>
      <c r="K192" s="41"/>
      <c r="L192" s="39"/>
      <c r="M192" s="41"/>
      <c r="N192" s="25" t="str">
        <f aca="false">IF(AND($B192="",$E192="",$I192="",$J192=""),"",IF(NOT(ISNUMBER($B192)),"日期无效",IF(ISNA(MATCH($C192,参数设置!$A$10:$A$12,0)),"公司无效",IF(ISNA(MATCH($D192,资金账户!$B$6:$B$25,0)),"账户未建档",IF(ISNA(MATCH($E192,记账规则!$A$13:$A$32,0)),"业务类型无效",IF(AND(N($I192)&lt;&gt;0,N($J192)&lt;&gt;0),"收入和支出只能填一列",IF($P192=0,"金额为 0",IF(AND($R192="收",N($I192)=0),"这类业务是收款，金额填到收入列",IF(AND($R192="支",N($J192)=0),"这类业务是付款，金额填到支出列",IF(AND(SUMPRODUCT(--(INDEX(记账规则!$A$13:$H$32,MATCH($E192,记账规则!$A$13:$A$32,0),0)="@对方"))&gt;0,$G192=""),"这个类型要填对方科目",IF(AND($G192&lt;&gt;"",ISNA(MATCH($G192,会计科目表!$B$6:$B$85,0))),"对方科目不存在",IF(AND($E192="缴纳税费",$H192=""),"缴税请在费用项目里选税种",IF(AND($F192&lt;&gt;"",ISNA(MATCH($F192,往来单位!$A$6:$A$85,0))),"往来单位未建档",IF(YEAR($B192)&lt;&gt;参数设置!$B$5,"不在本会计年度",IF(AND($B191&lt;&gt;"",ISNUMBER($B191),$B192&lt;$B191),"日期比上一行早，余额按行序滚，建议按日期录","OK")))))))))))))))</f>
        <v/>
      </c>
      <c r="O192" s="58" t="str">
        <f aca="false">IF($B192="","",TEXT($B192,"yyyy-mm"))</f>
        <v/>
      </c>
      <c r="P192" s="60" t="str">
        <f aca="false">IF($E192="","",ROUND(N($I192)+N($J192),2))</f>
        <v/>
      </c>
      <c r="Q192" s="58" t="str">
        <f aca="false">IF($D192="","",IFERROR(INDEX(资金账户!$F$6:$F$25,MATCH($D192,资金账户!$B$6:$B$25,0)),""))</f>
        <v/>
      </c>
      <c r="R192" s="58" t="str">
        <f aca="false">IF($E192="","",IFERROR(IF(INDEX(记账规则!$A$13:$H$32,MATCH($E192,记账规则!$A$13:$A$32,0),4)="借","收","支"),""))</f>
        <v/>
      </c>
      <c r="S192" s="57" t="str">
        <f aca="false">IF($D192="","",ROUND(SUMIFS(资金账户!$H$6:$H$25,资金账户!$B$6:$B$25,$D192)+SUMIFS($I$6:$I192,$D$6:$D192,$D192)-SUMIFS($J$6:$J192,$D$6:$D192,$D192),2))</f>
        <v/>
      </c>
      <c r="T192" s="61" t="str">
        <f aca="false">IF($B192="","",YEAR($B192))</f>
        <v/>
      </c>
    </row>
    <row r="193" customFormat="false" ht="15" hidden="false" customHeight="false" outlineLevel="0" collapsed="false">
      <c r="A193" s="53" t="str">
        <f aca="false">IF($B193="","",ROW()-5)</f>
        <v/>
      </c>
      <c r="B193" s="54"/>
      <c r="C193" s="33"/>
      <c r="D193" s="33"/>
      <c r="E193" s="33"/>
      <c r="F193" s="32"/>
      <c r="G193" s="41"/>
      <c r="H193" s="39"/>
      <c r="I193" s="43"/>
      <c r="J193" s="43"/>
      <c r="K193" s="41"/>
      <c r="L193" s="39"/>
      <c r="M193" s="41"/>
      <c r="N193" s="25" t="str">
        <f aca="false">IF(AND($B193="",$E193="",$I193="",$J193=""),"",IF(NOT(ISNUMBER($B193)),"日期无效",IF(ISNA(MATCH($C193,参数设置!$A$10:$A$12,0)),"公司无效",IF(ISNA(MATCH($D193,资金账户!$B$6:$B$25,0)),"账户未建档",IF(ISNA(MATCH($E193,记账规则!$A$13:$A$32,0)),"业务类型无效",IF(AND(N($I193)&lt;&gt;0,N($J193)&lt;&gt;0),"收入和支出只能填一列",IF($P193=0,"金额为 0",IF(AND($R193="收",N($I193)=0),"这类业务是收款，金额填到收入列",IF(AND($R193="支",N($J193)=0),"这类业务是付款，金额填到支出列",IF(AND(SUMPRODUCT(--(INDEX(记账规则!$A$13:$H$32,MATCH($E193,记账规则!$A$13:$A$32,0),0)="@对方"))&gt;0,$G193=""),"这个类型要填对方科目",IF(AND($G193&lt;&gt;"",ISNA(MATCH($G193,会计科目表!$B$6:$B$85,0))),"对方科目不存在",IF(AND($E193="缴纳税费",$H193=""),"缴税请在费用项目里选税种",IF(AND($F193&lt;&gt;"",ISNA(MATCH($F193,往来单位!$A$6:$A$85,0))),"往来单位未建档",IF(YEAR($B193)&lt;&gt;参数设置!$B$5,"不在本会计年度",IF(AND($B192&lt;&gt;"",ISNUMBER($B192),$B193&lt;$B192),"日期比上一行早，余额按行序滚，建议按日期录","OK")))))))))))))))</f>
        <v/>
      </c>
      <c r="O193" s="58" t="str">
        <f aca="false">IF($B193="","",TEXT($B193,"yyyy-mm"))</f>
        <v/>
      </c>
      <c r="P193" s="60" t="str">
        <f aca="false">IF($E193="","",ROUND(N($I193)+N($J193),2))</f>
        <v/>
      </c>
      <c r="Q193" s="58" t="str">
        <f aca="false">IF($D193="","",IFERROR(INDEX(资金账户!$F$6:$F$25,MATCH($D193,资金账户!$B$6:$B$25,0)),""))</f>
        <v/>
      </c>
      <c r="R193" s="58" t="str">
        <f aca="false">IF($E193="","",IFERROR(IF(INDEX(记账规则!$A$13:$H$32,MATCH($E193,记账规则!$A$13:$A$32,0),4)="借","收","支"),""))</f>
        <v/>
      </c>
      <c r="S193" s="57" t="str">
        <f aca="false">IF($D193="","",ROUND(SUMIFS(资金账户!$H$6:$H$25,资金账户!$B$6:$B$25,$D193)+SUMIFS($I$6:$I193,$D$6:$D193,$D193)-SUMIFS($J$6:$J193,$D$6:$D193,$D193),2))</f>
        <v/>
      </c>
      <c r="T193" s="61" t="str">
        <f aca="false">IF($B193="","",YEAR($B193))</f>
        <v/>
      </c>
    </row>
    <row r="194" customFormat="false" ht="15" hidden="false" customHeight="false" outlineLevel="0" collapsed="false">
      <c r="A194" s="53" t="str">
        <f aca="false">IF($B194="","",ROW()-5)</f>
        <v/>
      </c>
      <c r="B194" s="54"/>
      <c r="C194" s="33"/>
      <c r="D194" s="33"/>
      <c r="E194" s="33"/>
      <c r="F194" s="32"/>
      <c r="G194" s="41"/>
      <c r="H194" s="39"/>
      <c r="I194" s="43"/>
      <c r="J194" s="43"/>
      <c r="K194" s="41"/>
      <c r="L194" s="39"/>
      <c r="M194" s="41"/>
      <c r="N194" s="25" t="str">
        <f aca="false">IF(AND($B194="",$E194="",$I194="",$J194=""),"",IF(NOT(ISNUMBER($B194)),"日期无效",IF(ISNA(MATCH($C194,参数设置!$A$10:$A$12,0)),"公司无效",IF(ISNA(MATCH($D194,资金账户!$B$6:$B$25,0)),"账户未建档",IF(ISNA(MATCH($E194,记账规则!$A$13:$A$32,0)),"业务类型无效",IF(AND(N($I194)&lt;&gt;0,N($J194)&lt;&gt;0),"收入和支出只能填一列",IF($P194=0,"金额为 0",IF(AND($R194="收",N($I194)=0),"这类业务是收款，金额填到收入列",IF(AND($R194="支",N($J194)=0),"这类业务是付款，金额填到支出列",IF(AND(SUMPRODUCT(--(INDEX(记账规则!$A$13:$H$32,MATCH($E194,记账规则!$A$13:$A$32,0),0)="@对方"))&gt;0,$G194=""),"这个类型要填对方科目",IF(AND($G194&lt;&gt;"",ISNA(MATCH($G194,会计科目表!$B$6:$B$85,0))),"对方科目不存在",IF(AND($E194="缴纳税费",$H194=""),"缴税请在费用项目里选税种",IF(AND($F194&lt;&gt;"",ISNA(MATCH($F194,往来单位!$A$6:$A$85,0))),"往来单位未建档",IF(YEAR($B194)&lt;&gt;参数设置!$B$5,"不在本会计年度",IF(AND($B193&lt;&gt;"",ISNUMBER($B193),$B194&lt;$B193),"日期比上一行早，余额按行序滚，建议按日期录","OK")))))))))))))))</f>
        <v/>
      </c>
      <c r="O194" s="58" t="str">
        <f aca="false">IF($B194="","",TEXT($B194,"yyyy-mm"))</f>
        <v/>
      </c>
      <c r="P194" s="60" t="str">
        <f aca="false">IF($E194="","",ROUND(N($I194)+N($J194),2))</f>
        <v/>
      </c>
      <c r="Q194" s="58" t="str">
        <f aca="false">IF($D194="","",IFERROR(INDEX(资金账户!$F$6:$F$25,MATCH($D194,资金账户!$B$6:$B$25,0)),""))</f>
        <v/>
      </c>
      <c r="R194" s="58" t="str">
        <f aca="false">IF($E194="","",IFERROR(IF(INDEX(记账规则!$A$13:$H$32,MATCH($E194,记账规则!$A$13:$A$32,0),4)="借","收","支"),""))</f>
        <v/>
      </c>
      <c r="S194" s="57" t="str">
        <f aca="false">IF($D194="","",ROUND(SUMIFS(资金账户!$H$6:$H$25,资金账户!$B$6:$B$25,$D194)+SUMIFS($I$6:$I194,$D$6:$D194,$D194)-SUMIFS($J$6:$J194,$D$6:$D194,$D194),2))</f>
        <v/>
      </c>
      <c r="T194" s="61" t="str">
        <f aca="false">IF($B194="","",YEAR($B194))</f>
        <v/>
      </c>
    </row>
    <row r="195" customFormat="false" ht="15" hidden="false" customHeight="false" outlineLevel="0" collapsed="false">
      <c r="A195" s="53" t="str">
        <f aca="false">IF($B195="","",ROW()-5)</f>
        <v/>
      </c>
      <c r="B195" s="54"/>
      <c r="C195" s="33"/>
      <c r="D195" s="33"/>
      <c r="E195" s="33"/>
      <c r="F195" s="32"/>
      <c r="G195" s="41"/>
      <c r="H195" s="39"/>
      <c r="I195" s="43"/>
      <c r="J195" s="43"/>
      <c r="K195" s="41"/>
      <c r="L195" s="39"/>
      <c r="M195" s="41"/>
      <c r="N195" s="25" t="str">
        <f aca="false">IF(AND($B195="",$E195="",$I195="",$J195=""),"",IF(NOT(ISNUMBER($B195)),"日期无效",IF(ISNA(MATCH($C195,参数设置!$A$10:$A$12,0)),"公司无效",IF(ISNA(MATCH($D195,资金账户!$B$6:$B$25,0)),"账户未建档",IF(ISNA(MATCH($E195,记账规则!$A$13:$A$32,0)),"业务类型无效",IF(AND(N($I195)&lt;&gt;0,N($J195)&lt;&gt;0),"收入和支出只能填一列",IF($P195=0,"金额为 0",IF(AND($R195="收",N($I195)=0),"这类业务是收款，金额填到收入列",IF(AND($R195="支",N($J195)=0),"这类业务是付款，金额填到支出列",IF(AND(SUMPRODUCT(--(INDEX(记账规则!$A$13:$H$32,MATCH($E195,记账规则!$A$13:$A$32,0),0)="@对方"))&gt;0,$G195=""),"这个类型要填对方科目",IF(AND($G195&lt;&gt;"",ISNA(MATCH($G195,会计科目表!$B$6:$B$85,0))),"对方科目不存在",IF(AND($E195="缴纳税费",$H195=""),"缴税请在费用项目里选税种",IF(AND($F195&lt;&gt;"",ISNA(MATCH($F195,往来单位!$A$6:$A$85,0))),"往来单位未建档",IF(YEAR($B195)&lt;&gt;参数设置!$B$5,"不在本会计年度",IF(AND($B194&lt;&gt;"",ISNUMBER($B194),$B195&lt;$B194),"日期比上一行早，余额按行序滚，建议按日期录","OK")))))))))))))))</f>
        <v/>
      </c>
      <c r="O195" s="58" t="str">
        <f aca="false">IF($B195="","",TEXT($B195,"yyyy-mm"))</f>
        <v/>
      </c>
      <c r="P195" s="60" t="str">
        <f aca="false">IF($E195="","",ROUND(N($I195)+N($J195),2))</f>
        <v/>
      </c>
      <c r="Q195" s="58" t="str">
        <f aca="false">IF($D195="","",IFERROR(INDEX(资金账户!$F$6:$F$25,MATCH($D195,资金账户!$B$6:$B$25,0)),""))</f>
        <v/>
      </c>
      <c r="R195" s="58" t="str">
        <f aca="false">IF($E195="","",IFERROR(IF(INDEX(记账规则!$A$13:$H$32,MATCH($E195,记账规则!$A$13:$A$32,0),4)="借","收","支"),""))</f>
        <v/>
      </c>
      <c r="S195" s="57" t="str">
        <f aca="false">IF($D195="","",ROUND(SUMIFS(资金账户!$H$6:$H$25,资金账户!$B$6:$B$25,$D195)+SUMIFS($I$6:$I195,$D$6:$D195,$D195)-SUMIFS($J$6:$J195,$D$6:$D195,$D195),2))</f>
        <v/>
      </c>
      <c r="T195" s="61" t="str">
        <f aca="false">IF($B195="","",YEAR($B195))</f>
        <v/>
      </c>
    </row>
    <row r="196" customFormat="false" ht="15" hidden="false" customHeight="false" outlineLevel="0" collapsed="false">
      <c r="A196" s="53" t="str">
        <f aca="false">IF($B196="","",ROW()-5)</f>
        <v/>
      </c>
      <c r="B196" s="54"/>
      <c r="C196" s="33"/>
      <c r="D196" s="33"/>
      <c r="E196" s="33"/>
      <c r="F196" s="32"/>
      <c r="G196" s="41"/>
      <c r="H196" s="39"/>
      <c r="I196" s="43"/>
      <c r="J196" s="43"/>
      <c r="K196" s="41"/>
      <c r="L196" s="39"/>
      <c r="M196" s="41"/>
      <c r="N196" s="25" t="str">
        <f aca="false">IF(AND($B196="",$E196="",$I196="",$J196=""),"",IF(NOT(ISNUMBER($B196)),"日期无效",IF(ISNA(MATCH($C196,参数设置!$A$10:$A$12,0)),"公司无效",IF(ISNA(MATCH($D196,资金账户!$B$6:$B$25,0)),"账户未建档",IF(ISNA(MATCH($E196,记账规则!$A$13:$A$32,0)),"业务类型无效",IF(AND(N($I196)&lt;&gt;0,N($J196)&lt;&gt;0),"收入和支出只能填一列",IF($P196=0,"金额为 0",IF(AND($R196="收",N($I196)=0),"这类业务是收款，金额填到收入列",IF(AND($R196="支",N($J196)=0),"这类业务是付款，金额填到支出列",IF(AND(SUMPRODUCT(--(INDEX(记账规则!$A$13:$H$32,MATCH($E196,记账规则!$A$13:$A$32,0),0)="@对方"))&gt;0,$G196=""),"这个类型要填对方科目",IF(AND($G196&lt;&gt;"",ISNA(MATCH($G196,会计科目表!$B$6:$B$85,0))),"对方科目不存在",IF(AND($E196="缴纳税费",$H196=""),"缴税请在费用项目里选税种",IF(AND($F196&lt;&gt;"",ISNA(MATCH($F196,往来单位!$A$6:$A$85,0))),"往来单位未建档",IF(YEAR($B196)&lt;&gt;参数设置!$B$5,"不在本会计年度",IF(AND($B195&lt;&gt;"",ISNUMBER($B195),$B196&lt;$B195),"日期比上一行早，余额按行序滚，建议按日期录","OK")))))))))))))))</f>
        <v/>
      </c>
      <c r="O196" s="58" t="str">
        <f aca="false">IF($B196="","",TEXT($B196,"yyyy-mm"))</f>
        <v/>
      </c>
      <c r="P196" s="60" t="str">
        <f aca="false">IF($E196="","",ROUND(N($I196)+N($J196),2))</f>
        <v/>
      </c>
      <c r="Q196" s="58" t="str">
        <f aca="false">IF($D196="","",IFERROR(INDEX(资金账户!$F$6:$F$25,MATCH($D196,资金账户!$B$6:$B$25,0)),""))</f>
        <v/>
      </c>
      <c r="R196" s="58" t="str">
        <f aca="false">IF($E196="","",IFERROR(IF(INDEX(记账规则!$A$13:$H$32,MATCH($E196,记账规则!$A$13:$A$32,0),4)="借","收","支"),""))</f>
        <v/>
      </c>
      <c r="S196" s="57" t="str">
        <f aca="false">IF($D196="","",ROUND(SUMIFS(资金账户!$H$6:$H$25,资金账户!$B$6:$B$25,$D196)+SUMIFS($I$6:$I196,$D$6:$D196,$D196)-SUMIFS($J$6:$J196,$D$6:$D196,$D196),2))</f>
        <v/>
      </c>
      <c r="T196" s="61" t="str">
        <f aca="false">IF($B196="","",YEAR($B196))</f>
        <v/>
      </c>
    </row>
    <row r="197" customFormat="false" ht="15" hidden="false" customHeight="false" outlineLevel="0" collapsed="false">
      <c r="A197" s="53" t="str">
        <f aca="false">IF($B197="","",ROW()-5)</f>
        <v/>
      </c>
      <c r="B197" s="54"/>
      <c r="C197" s="33"/>
      <c r="D197" s="33"/>
      <c r="E197" s="33"/>
      <c r="F197" s="32"/>
      <c r="G197" s="41"/>
      <c r="H197" s="39"/>
      <c r="I197" s="43"/>
      <c r="J197" s="43"/>
      <c r="K197" s="41"/>
      <c r="L197" s="39"/>
      <c r="M197" s="41"/>
      <c r="N197" s="25" t="str">
        <f aca="false">IF(AND($B197="",$E197="",$I197="",$J197=""),"",IF(NOT(ISNUMBER($B197)),"日期无效",IF(ISNA(MATCH($C197,参数设置!$A$10:$A$12,0)),"公司无效",IF(ISNA(MATCH($D197,资金账户!$B$6:$B$25,0)),"账户未建档",IF(ISNA(MATCH($E197,记账规则!$A$13:$A$32,0)),"业务类型无效",IF(AND(N($I197)&lt;&gt;0,N($J197)&lt;&gt;0),"收入和支出只能填一列",IF($P197=0,"金额为 0",IF(AND($R197="收",N($I197)=0),"这类业务是收款，金额填到收入列",IF(AND($R197="支",N($J197)=0),"这类业务是付款，金额填到支出列",IF(AND(SUMPRODUCT(--(INDEX(记账规则!$A$13:$H$32,MATCH($E197,记账规则!$A$13:$A$32,0),0)="@对方"))&gt;0,$G197=""),"这个类型要填对方科目",IF(AND($G197&lt;&gt;"",ISNA(MATCH($G197,会计科目表!$B$6:$B$85,0))),"对方科目不存在",IF(AND($E197="缴纳税费",$H197=""),"缴税请在费用项目里选税种",IF(AND($F197&lt;&gt;"",ISNA(MATCH($F197,往来单位!$A$6:$A$85,0))),"往来单位未建档",IF(YEAR($B197)&lt;&gt;参数设置!$B$5,"不在本会计年度",IF(AND($B196&lt;&gt;"",ISNUMBER($B196),$B197&lt;$B196),"日期比上一行早，余额按行序滚，建议按日期录","OK")))))))))))))))</f>
        <v/>
      </c>
      <c r="O197" s="58" t="str">
        <f aca="false">IF($B197="","",TEXT($B197,"yyyy-mm"))</f>
        <v/>
      </c>
      <c r="P197" s="60" t="str">
        <f aca="false">IF($E197="","",ROUND(N($I197)+N($J197),2))</f>
        <v/>
      </c>
      <c r="Q197" s="58" t="str">
        <f aca="false">IF($D197="","",IFERROR(INDEX(资金账户!$F$6:$F$25,MATCH($D197,资金账户!$B$6:$B$25,0)),""))</f>
        <v/>
      </c>
      <c r="R197" s="58" t="str">
        <f aca="false">IF($E197="","",IFERROR(IF(INDEX(记账规则!$A$13:$H$32,MATCH($E197,记账规则!$A$13:$A$32,0),4)="借","收","支"),""))</f>
        <v/>
      </c>
      <c r="S197" s="57" t="str">
        <f aca="false">IF($D197="","",ROUND(SUMIFS(资金账户!$H$6:$H$25,资金账户!$B$6:$B$25,$D197)+SUMIFS($I$6:$I197,$D$6:$D197,$D197)-SUMIFS($J$6:$J197,$D$6:$D197,$D197),2))</f>
        <v/>
      </c>
      <c r="T197" s="61" t="str">
        <f aca="false">IF($B197="","",YEAR($B197))</f>
        <v/>
      </c>
    </row>
    <row r="198" customFormat="false" ht="15" hidden="false" customHeight="false" outlineLevel="0" collapsed="false">
      <c r="A198" s="53" t="str">
        <f aca="false">IF($B198="","",ROW()-5)</f>
        <v/>
      </c>
      <c r="B198" s="54"/>
      <c r="C198" s="33"/>
      <c r="D198" s="33"/>
      <c r="E198" s="33"/>
      <c r="F198" s="32"/>
      <c r="G198" s="41"/>
      <c r="H198" s="39"/>
      <c r="I198" s="43"/>
      <c r="J198" s="43"/>
      <c r="K198" s="41"/>
      <c r="L198" s="39"/>
      <c r="M198" s="41"/>
      <c r="N198" s="25" t="str">
        <f aca="false">IF(AND($B198="",$E198="",$I198="",$J198=""),"",IF(NOT(ISNUMBER($B198)),"日期无效",IF(ISNA(MATCH($C198,参数设置!$A$10:$A$12,0)),"公司无效",IF(ISNA(MATCH($D198,资金账户!$B$6:$B$25,0)),"账户未建档",IF(ISNA(MATCH($E198,记账规则!$A$13:$A$32,0)),"业务类型无效",IF(AND(N($I198)&lt;&gt;0,N($J198)&lt;&gt;0),"收入和支出只能填一列",IF($P198=0,"金额为 0",IF(AND($R198="收",N($I198)=0),"这类业务是收款，金额填到收入列",IF(AND($R198="支",N($J198)=0),"这类业务是付款，金额填到支出列",IF(AND(SUMPRODUCT(--(INDEX(记账规则!$A$13:$H$32,MATCH($E198,记账规则!$A$13:$A$32,0),0)="@对方"))&gt;0,$G198=""),"这个类型要填对方科目",IF(AND($G198&lt;&gt;"",ISNA(MATCH($G198,会计科目表!$B$6:$B$85,0))),"对方科目不存在",IF(AND($E198="缴纳税费",$H198=""),"缴税请在费用项目里选税种",IF(AND($F198&lt;&gt;"",ISNA(MATCH($F198,往来单位!$A$6:$A$85,0))),"往来单位未建档",IF(YEAR($B198)&lt;&gt;参数设置!$B$5,"不在本会计年度",IF(AND($B197&lt;&gt;"",ISNUMBER($B197),$B198&lt;$B197),"日期比上一行早，余额按行序滚，建议按日期录","OK")))))))))))))))</f>
        <v/>
      </c>
      <c r="O198" s="58" t="str">
        <f aca="false">IF($B198="","",TEXT($B198,"yyyy-mm"))</f>
        <v/>
      </c>
      <c r="P198" s="60" t="str">
        <f aca="false">IF($E198="","",ROUND(N($I198)+N($J198),2))</f>
        <v/>
      </c>
      <c r="Q198" s="58" t="str">
        <f aca="false">IF($D198="","",IFERROR(INDEX(资金账户!$F$6:$F$25,MATCH($D198,资金账户!$B$6:$B$25,0)),""))</f>
        <v/>
      </c>
      <c r="R198" s="58" t="str">
        <f aca="false">IF($E198="","",IFERROR(IF(INDEX(记账规则!$A$13:$H$32,MATCH($E198,记账规则!$A$13:$A$32,0),4)="借","收","支"),""))</f>
        <v/>
      </c>
      <c r="S198" s="57" t="str">
        <f aca="false">IF($D198="","",ROUND(SUMIFS(资金账户!$H$6:$H$25,资金账户!$B$6:$B$25,$D198)+SUMIFS($I$6:$I198,$D$6:$D198,$D198)-SUMIFS($J$6:$J198,$D$6:$D198,$D198),2))</f>
        <v/>
      </c>
      <c r="T198" s="61" t="str">
        <f aca="false">IF($B198="","",YEAR($B198))</f>
        <v/>
      </c>
    </row>
    <row r="199" customFormat="false" ht="15" hidden="false" customHeight="false" outlineLevel="0" collapsed="false">
      <c r="A199" s="53" t="str">
        <f aca="false">IF($B199="","",ROW()-5)</f>
        <v/>
      </c>
      <c r="B199" s="54"/>
      <c r="C199" s="33"/>
      <c r="D199" s="33"/>
      <c r="E199" s="33"/>
      <c r="F199" s="32"/>
      <c r="G199" s="41"/>
      <c r="H199" s="39"/>
      <c r="I199" s="43"/>
      <c r="J199" s="43"/>
      <c r="K199" s="41"/>
      <c r="L199" s="39"/>
      <c r="M199" s="41"/>
      <c r="N199" s="25" t="str">
        <f aca="false">IF(AND($B199="",$E199="",$I199="",$J199=""),"",IF(NOT(ISNUMBER($B199)),"日期无效",IF(ISNA(MATCH($C199,参数设置!$A$10:$A$12,0)),"公司无效",IF(ISNA(MATCH($D199,资金账户!$B$6:$B$25,0)),"账户未建档",IF(ISNA(MATCH($E199,记账规则!$A$13:$A$32,0)),"业务类型无效",IF(AND(N($I199)&lt;&gt;0,N($J199)&lt;&gt;0),"收入和支出只能填一列",IF($P199=0,"金额为 0",IF(AND($R199="收",N($I199)=0),"这类业务是收款，金额填到收入列",IF(AND($R199="支",N($J199)=0),"这类业务是付款，金额填到支出列",IF(AND(SUMPRODUCT(--(INDEX(记账规则!$A$13:$H$32,MATCH($E199,记账规则!$A$13:$A$32,0),0)="@对方"))&gt;0,$G199=""),"这个类型要填对方科目",IF(AND($G199&lt;&gt;"",ISNA(MATCH($G199,会计科目表!$B$6:$B$85,0))),"对方科目不存在",IF(AND($E199="缴纳税费",$H199=""),"缴税请在费用项目里选税种",IF(AND($F199&lt;&gt;"",ISNA(MATCH($F199,往来单位!$A$6:$A$85,0))),"往来单位未建档",IF(YEAR($B199)&lt;&gt;参数设置!$B$5,"不在本会计年度",IF(AND($B198&lt;&gt;"",ISNUMBER($B198),$B199&lt;$B198),"日期比上一行早，余额按行序滚，建议按日期录","OK")))))))))))))))</f>
        <v/>
      </c>
      <c r="O199" s="58" t="str">
        <f aca="false">IF($B199="","",TEXT($B199,"yyyy-mm"))</f>
        <v/>
      </c>
      <c r="P199" s="60" t="str">
        <f aca="false">IF($E199="","",ROUND(N($I199)+N($J199),2))</f>
        <v/>
      </c>
      <c r="Q199" s="58" t="str">
        <f aca="false">IF($D199="","",IFERROR(INDEX(资金账户!$F$6:$F$25,MATCH($D199,资金账户!$B$6:$B$25,0)),""))</f>
        <v/>
      </c>
      <c r="R199" s="58" t="str">
        <f aca="false">IF($E199="","",IFERROR(IF(INDEX(记账规则!$A$13:$H$32,MATCH($E199,记账规则!$A$13:$A$32,0),4)="借","收","支"),""))</f>
        <v/>
      </c>
      <c r="S199" s="57" t="str">
        <f aca="false">IF($D199="","",ROUND(SUMIFS(资金账户!$H$6:$H$25,资金账户!$B$6:$B$25,$D199)+SUMIFS($I$6:$I199,$D$6:$D199,$D199)-SUMIFS($J$6:$J199,$D$6:$D199,$D199),2))</f>
        <v/>
      </c>
      <c r="T199" s="61" t="str">
        <f aca="false">IF($B199="","",YEAR($B199))</f>
        <v/>
      </c>
    </row>
    <row r="200" customFormat="false" ht="15" hidden="false" customHeight="false" outlineLevel="0" collapsed="false">
      <c r="A200" s="53" t="str">
        <f aca="false">IF($B200="","",ROW()-5)</f>
        <v/>
      </c>
      <c r="B200" s="54"/>
      <c r="C200" s="33"/>
      <c r="D200" s="33"/>
      <c r="E200" s="33"/>
      <c r="F200" s="32"/>
      <c r="G200" s="41"/>
      <c r="H200" s="39"/>
      <c r="I200" s="43"/>
      <c r="J200" s="43"/>
      <c r="K200" s="41"/>
      <c r="L200" s="39"/>
      <c r="M200" s="41"/>
      <c r="N200" s="25" t="str">
        <f aca="false">IF(AND($B200="",$E200="",$I200="",$J200=""),"",IF(NOT(ISNUMBER($B200)),"日期无效",IF(ISNA(MATCH($C200,参数设置!$A$10:$A$12,0)),"公司无效",IF(ISNA(MATCH($D200,资金账户!$B$6:$B$25,0)),"账户未建档",IF(ISNA(MATCH($E200,记账规则!$A$13:$A$32,0)),"业务类型无效",IF(AND(N($I200)&lt;&gt;0,N($J200)&lt;&gt;0),"收入和支出只能填一列",IF($P200=0,"金额为 0",IF(AND($R200="收",N($I200)=0),"这类业务是收款，金额填到收入列",IF(AND($R200="支",N($J200)=0),"这类业务是付款，金额填到支出列",IF(AND(SUMPRODUCT(--(INDEX(记账规则!$A$13:$H$32,MATCH($E200,记账规则!$A$13:$A$32,0),0)="@对方"))&gt;0,$G200=""),"这个类型要填对方科目",IF(AND($G200&lt;&gt;"",ISNA(MATCH($G200,会计科目表!$B$6:$B$85,0))),"对方科目不存在",IF(AND($E200="缴纳税费",$H200=""),"缴税请在费用项目里选税种",IF(AND($F200&lt;&gt;"",ISNA(MATCH($F200,往来单位!$A$6:$A$85,0))),"往来单位未建档",IF(YEAR($B200)&lt;&gt;参数设置!$B$5,"不在本会计年度",IF(AND($B199&lt;&gt;"",ISNUMBER($B199),$B200&lt;$B199),"日期比上一行早，余额按行序滚，建议按日期录","OK")))))))))))))))</f>
        <v/>
      </c>
      <c r="O200" s="58" t="str">
        <f aca="false">IF($B200="","",TEXT($B200,"yyyy-mm"))</f>
        <v/>
      </c>
      <c r="P200" s="60" t="str">
        <f aca="false">IF($E200="","",ROUND(N($I200)+N($J200),2))</f>
        <v/>
      </c>
      <c r="Q200" s="58" t="str">
        <f aca="false">IF($D200="","",IFERROR(INDEX(资金账户!$F$6:$F$25,MATCH($D200,资金账户!$B$6:$B$25,0)),""))</f>
        <v/>
      </c>
      <c r="R200" s="58" t="str">
        <f aca="false">IF($E200="","",IFERROR(IF(INDEX(记账规则!$A$13:$H$32,MATCH($E200,记账规则!$A$13:$A$32,0),4)="借","收","支"),""))</f>
        <v/>
      </c>
      <c r="S200" s="57" t="str">
        <f aca="false">IF($D200="","",ROUND(SUMIFS(资金账户!$H$6:$H$25,资金账户!$B$6:$B$25,$D200)+SUMIFS($I$6:$I200,$D$6:$D200,$D200)-SUMIFS($J$6:$J200,$D$6:$D200,$D200),2))</f>
        <v/>
      </c>
      <c r="T200" s="61" t="str">
        <f aca="false">IF($B200="","",YEAR($B200))</f>
        <v/>
      </c>
    </row>
    <row r="201" customFormat="false" ht="15" hidden="false" customHeight="false" outlineLevel="0" collapsed="false">
      <c r="A201" s="53" t="str">
        <f aca="false">IF($B201="","",ROW()-5)</f>
        <v/>
      </c>
      <c r="B201" s="54"/>
      <c r="C201" s="33"/>
      <c r="D201" s="33"/>
      <c r="E201" s="33"/>
      <c r="F201" s="32"/>
      <c r="G201" s="41"/>
      <c r="H201" s="39"/>
      <c r="I201" s="43"/>
      <c r="J201" s="43"/>
      <c r="K201" s="41"/>
      <c r="L201" s="39"/>
      <c r="M201" s="41"/>
      <c r="N201" s="25" t="str">
        <f aca="false">IF(AND($B201="",$E201="",$I201="",$J201=""),"",IF(NOT(ISNUMBER($B201)),"日期无效",IF(ISNA(MATCH($C201,参数设置!$A$10:$A$12,0)),"公司无效",IF(ISNA(MATCH($D201,资金账户!$B$6:$B$25,0)),"账户未建档",IF(ISNA(MATCH($E201,记账规则!$A$13:$A$32,0)),"业务类型无效",IF(AND(N($I201)&lt;&gt;0,N($J201)&lt;&gt;0),"收入和支出只能填一列",IF($P201=0,"金额为 0",IF(AND($R201="收",N($I201)=0),"这类业务是收款，金额填到收入列",IF(AND($R201="支",N($J201)=0),"这类业务是付款，金额填到支出列",IF(AND(SUMPRODUCT(--(INDEX(记账规则!$A$13:$H$32,MATCH($E201,记账规则!$A$13:$A$32,0),0)="@对方"))&gt;0,$G201=""),"这个类型要填对方科目",IF(AND($G201&lt;&gt;"",ISNA(MATCH($G201,会计科目表!$B$6:$B$85,0))),"对方科目不存在",IF(AND($E201="缴纳税费",$H201=""),"缴税请在费用项目里选税种",IF(AND($F201&lt;&gt;"",ISNA(MATCH($F201,往来单位!$A$6:$A$85,0))),"往来单位未建档",IF(YEAR($B201)&lt;&gt;参数设置!$B$5,"不在本会计年度",IF(AND($B200&lt;&gt;"",ISNUMBER($B200),$B201&lt;$B200),"日期比上一行早，余额按行序滚，建议按日期录","OK")))))))))))))))</f>
        <v/>
      </c>
      <c r="O201" s="58" t="str">
        <f aca="false">IF($B201="","",TEXT($B201,"yyyy-mm"))</f>
        <v/>
      </c>
      <c r="P201" s="60" t="str">
        <f aca="false">IF($E201="","",ROUND(N($I201)+N($J201),2))</f>
        <v/>
      </c>
      <c r="Q201" s="58" t="str">
        <f aca="false">IF($D201="","",IFERROR(INDEX(资金账户!$F$6:$F$25,MATCH($D201,资金账户!$B$6:$B$25,0)),""))</f>
        <v/>
      </c>
      <c r="R201" s="58" t="str">
        <f aca="false">IF($E201="","",IFERROR(IF(INDEX(记账规则!$A$13:$H$32,MATCH($E201,记账规则!$A$13:$A$32,0),4)="借","收","支"),""))</f>
        <v/>
      </c>
      <c r="S201" s="57" t="str">
        <f aca="false">IF($D201="","",ROUND(SUMIFS(资金账户!$H$6:$H$25,资金账户!$B$6:$B$25,$D201)+SUMIFS($I$6:$I201,$D$6:$D201,$D201)-SUMIFS($J$6:$J201,$D$6:$D201,$D201),2))</f>
        <v/>
      </c>
      <c r="T201" s="61" t="str">
        <f aca="false">IF($B201="","",YEAR($B201))</f>
        <v/>
      </c>
    </row>
    <row r="202" customFormat="false" ht="15" hidden="false" customHeight="false" outlineLevel="0" collapsed="false">
      <c r="A202" s="53" t="str">
        <f aca="false">IF($B202="","",ROW()-5)</f>
        <v/>
      </c>
      <c r="B202" s="54"/>
      <c r="C202" s="33"/>
      <c r="D202" s="33"/>
      <c r="E202" s="33"/>
      <c r="F202" s="32"/>
      <c r="G202" s="41"/>
      <c r="H202" s="39"/>
      <c r="I202" s="43"/>
      <c r="J202" s="43"/>
      <c r="K202" s="41"/>
      <c r="L202" s="39"/>
      <c r="M202" s="41"/>
      <c r="N202" s="25" t="str">
        <f aca="false">IF(AND($B202="",$E202="",$I202="",$J202=""),"",IF(NOT(ISNUMBER($B202)),"日期无效",IF(ISNA(MATCH($C202,参数设置!$A$10:$A$12,0)),"公司无效",IF(ISNA(MATCH($D202,资金账户!$B$6:$B$25,0)),"账户未建档",IF(ISNA(MATCH($E202,记账规则!$A$13:$A$32,0)),"业务类型无效",IF(AND(N($I202)&lt;&gt;0,N($J202)&lt;&gt;0),"收入和支出只能填一列",IF($P202=0,"金额为 0",IF(AND($R202="收",N($I202)=0),"这类业务是收款，金额填到收入列",IF(AND($R202="支",N($J202)=0),"这类业务是付款，金额填到支出列",IF(AND(SUMPRODUCT(--(INDEX(记账规则!$A$13:$H$32,MATCH($E202,记账规则!$A$13:$A$32,0),0)="@对方"))&gt;0,$G202=""),"这个类型要填对方科目",IF(AND($G202&lt;&gt;"",ISNA(MATCH($G202,会计科目表!$B$6:$B$85,0))),"对方科目不存在",IF(AND($E202="缴纳税费",$H202=""),"缴税请在费用项目里选税种",IF(AND($F202&lt;&gt;"",ISNA(MATCH($F202,往来单位!$A$6:$A$85,0))),"往来单位未建档",IF(YEAR($B202)&lt;&gt;参数设置!$B$5,"不在本会计年度",IF(AND($B201&lt;&gt;"",ISNUMBER($B201),$B202&lt;$B201),"日期比上一行早，余额按行序滚，建议按日期录","OK")))))))))))))))</f>
        <v/>
      </c>
      <c r="O202" s="58" t="str">
        <f aca="false">IF($B202="","",TEXT($B202,"yyyy-mm"))</f>
        <v/>
      </c>
      <c r="P202" s="60" t="str">
        <f aca="false">IF($E202="","",ROUND(N($I202)+N($J202),2))</f>
        <v/>
      </c>
      <c r="Q202" s="58" t="str">
        <f aca="false">IF($D202="","",IFERROR(INDEX(资金账户!$F$6:$F$25,MATCH($D202,资金账户!$B$6:$B$25,0)),""))</f>
        <v/>
      </c>
      <c r="R202" s="58" t="str">
        <f aca="false">IF($E202="","",IFERROR(IF(INDEX(记账规则!$A$13:$H$32,MATCH($E202,记账规则!$A$13:$A$32,0),4)="借","收","支"),""))</f>
        <v/>
      </c>
      <c r="S202" s="57" t="str">
        <f aca="false">IF($D202="","",ROUND(SUMIFS(资金账户!$H$6:$H$25,资金账户!$B$6:$B$25,$D202)+SUMIFS($I$6:$I202,$D$6:$D202,$D202)-SUMIFS($J$6:$J202,$D$6:$D202,$D202),2))</f>
        <v/>
      </c>
      <c r="T202" s="61" t="str">
        <f aca="false">IF($B202="","",YEAR($B202))</f>
        <v/>
      </c>
    </row>
    <row r="203" customFormat="false" ht="15" hidden="false" customHeight="false" outlineLevel="0" collapsed="false">
      <c r="A203" s="53" t="str">
        <f aca="false">IF($B203="","",ROW()-5)</f>
        <v/>
      </c>
      <c r="B203" s="54"/>
      <c r="C203" s="33"/>
      <c r="D203" s="33"/>
      <c r="E203" s="33"/>
      <c r="F203" s="32"/>
      <c r="G203" s="41"/>
      <c r="H203" s="39"/>
      <c r="I203" s="43"/>
      <c r="J203" s="43"/>
      <c r="K203" s="41"/>
      <c r="L203" s="39"/>
      <c r="M203" s="41"/>
      <c r="N203" s="25" t="str">
        <f aca="false">IF(AND($B203="",$E203="",$I203="",$J203=""),"",IF(NOT(ISNUMBER($B203)),"日期无效",IF(ISNA(MATCH($C203,参数设置!$A$10:$A$12,0)),"公司无效",IF(ISNA(MATCH($D203,资金账户!$B$6:$B$25,0)),"账户未建档",IF(ISNA(MATCH($E203,记账规则!$A$13:$A$32,0)),"业务类型无效",IF(AND(N($I203)&lt;&gt;0,N($J203)&lt;&gt;0),"收入和支出只能填一列",IF($P203=0,"金额为 0",IF(AND($R203="收",N($I203)=0),"这类业务是收款，金额填到收入列",IF(AND($R203="支",N($J203)=0),"这类业务是付款，金额填到支出列",IF(AND(SUMPRODUCT(--(INDEX(记账规则!$A$13:$H$32,MATCH($E203,记账规则!$A$13:$A$32,0),0)="@对方"))&gt;0,$G203=""),"这个类型要填对方科目",IF(AND($G203&lt;&gt;"",ISNA(MATCH($G203,会计科目表!$B$6:$B$85,0))),"对方科目不存在",IF(AND($E203="缴纳税费",$H203=""),"缴税请在费用项目里选税种",IF(AND($F203&lt;&gt;"",ISNA(MATCH($F203,往来单位!$A$6:$A$85,0))),"往来单位未建档",IF(YEAR($B203)&lt;&gt;参数设置!$B$5,"不在本会计年度",IF(AND($B202&lt;&gt;"",ISNUMBER($B202),$B203&lt;$B202),"日期比上一行早，余额按行序滚，建议按日期录","OK")))))))))))))))</f>
        <v/>
      </c>
      <c r="O203" s="58" t="str">
        <f aca="false">IF($B203="","",TEXT($B203,"yyyy-mm"))</f>
        <v/>
      </c>
      <c r="P203" s="60" t="str">
        <f aca="false">IF($E203="","",ROUND(N($I203)+N($J203),2))</f>
        <v/>
      </c>
      <c r="Q203" s="58" t="str">
        <f aca="false">IF($D203="","",IFERROR(INDEX(资金账户!$F$6:$F$25,MATCH($D203,资金账户!$B$6:$B$25,0)),""))</f>
        <v/>
      </c>
      <c r="R203" s="58" t="str">
        <f aca="false">IF($E203="","",IFERROR(IF(INDEX(记账规则!$A$13:$H$32,MATCH($E203,记账规则!$A$13:$A$32,0),4)="借","收","支"),""))</f>
        <v/>
      </c>
      <c r="S203" s="57" t="str">
        <f aca="false">IF($D203="","",ROUND(SUMIFS(资金账户!$H$6:$H$25,资金账户!$B$6:$B$25,$D203)+SUMIFS($I$6:$I203,$D$6:$D203,$D203)-SUMIFS($J$6:$J203,$D$6:$D203,$D203),2))</f>
        <v/>
      </c>
      <c r="T203" s="61" t="str">
        <f aca="false">IF($B203="","",YEAR($B203))</f>
        <v/>
      </c>
    </row>
    <row r="204" customFormat="false" ht="15" hidden="false" customHeight="false" outlineLevel="0" collapsed="false">
      <c r="A204" s="53" t="str">
        <f aca="false">IF($B204="","",ROW()-5)</f>
        <v/>
      </c>
      <c r="B204" s="54"/>
      <c r="C204" s="33"/>
      <c r="D204" s="33"/>
      <c r="E204" s="33"/>
      <c r="F204" s="32"/>
      <c r="G204" s="41"/>
      <c r="H204" s="39"/>
      <c r="I204" s="43"/>
      <c r="J204" s="43"/>
      <c r="K204" s="41"/>
      <c r="L204" s="39"/>
      <c r="M204" s="41"/>
      <c r="N204" s="25" t="str">
        <f aca="false">IF(AND($B204="",$E204="",$I204="",$J204=""),"",IF(NOT(ISNUMBER($B204)),"日期无效",IF(ISNA(MATCH($C204,参数设置!$A$10:$A$12,0)),"公司无效",IF(ISNA(MATCH($D204,资金账户!$B$6:$B$25,0)),"账户未建档",IF(ISNA(MATCH($E204,记账规则!$A$13:$A$32,0)),"业务类型无效",IF(AND(N($I204)&lt;&gt;0,N($J204)&lt;&gt;0),"收入和支出只能填一列",IF($P204=0,"金额为 0",IF(AND($R204="收",N($I204)=0),"这类业务是收款，金额填到收入列",IF(AND($R204="支",N($J204)=0),"这类业务是付款，金额填到支出列",IF(AND(SUMPRODUCT(--(INDEX(记账规则!$A$13:$H$32,MATCH($E204,记账规则!$A$13:$A$32,0),0)="@对方"))&gt;0,$G204=""),"这个类型要填对方科目",IF(AND($G204&lt;&gt;"",ISNA(MATCH($G204,会计科目表!$B$6:$B$85,0))),"对方科目不存在",IF(AND($E204="缴纳税费",$H204=""),"缴税请在费用项目里选税种",IF(AND($F204&lt;&gt;"",ISNA(MATCH($F204,往来单位!$A$6:$A$85,0))),"往来单位未建档",IF(YEAR($B204)&lt;&gt;参数设置!$B$5,"不在本会计年度",IF(AND($B203&lt;&gt;"",ISNUMBER($B203),$B204&lt;$B203),"日期比上一行早，余额按行序滚，建议按日期录","OK")))))))))))))))</f>
        <v/>
      </c>
      <c r="O204" s="58" t="str">
        <f aca="false">IF($B204="","",TEXT($B204,"yyyy-mm"))</f>
        <v/>
      </c>
      <c r="P204" s="60" t="str">
        <f aca="false">IF($E204="","",ROUND(N($I204)+N($J204),2))</f>
        <v/>
      </c>
      <c r="Q204" s="58" t="str">
        <f aca="false">IF($D204="","",IFERROR(INDEX(资金账户!$F$6:$F$25,MATCH($D204,资金账户!$B$6:$B$25,0)),""))</f>
        <v/>
      </c>
      <c r="R204" s="58" t="str">
        <f aca="false">IF($E204="","",IFERROR(IF(INDEX(记账规则!$A$13:$H$32,MATCH($E204,记账规则!$A$13:$A$32,0),4)="借","收","支"),""))</f>
        <v/>
      </c>
      <c r="S204" s="57" t="str">
        <f aca="false">IF($D204="","",ROUND(SUMIFS(资金账户!$H$6:$H$25,资金账户!$B$6:$B$25,$D204)+SUMIFS($I$6:$I204,$D$6:$D204,$D204)-SUMIFS($J$6:$J204,$D$6:$D204,$D204),2))</f>
        <v/>
      </c>
      <c r="T204" s="61" t="str">
        <f aca="false">IF($B204="","",YEAR($B204))</f>
        <v/>
      </c>
    </row>
    <row r="205" customFormat="false" ht="15" hidden="false" customHeight="false" outlineLevel="0" collapsed="false">
      <c r="A205" s="53" t="str">
        <f aca="false">IF($B205="","",ROW()-5)</f>
        <v/>
      </c>
      <c r="B205" s="54"/>
      <c r="C205" s="33"/>
      <c r="D205" s="33"/>
      <c r="E205" s="33"/>
      <c r="F205" s="32"/>
      <c r="G205" s="41"/>
      <c r="H205" s="39"/>
      <c r="I205" s="43"/>
      <c r="J205" s="43"/>
      <c r="K205" s="41"/>
      <c r="L205" s="39"/>
      <c r="M205" s="41"/>
      <c r="N205" s="25" t="str">
        <f aca="false">IF(AND($B205="",$E205="",$I205="",$J205=""),"",IF(NOT(ISNUMBER($B205)),"日期无效",IF(ISNA(MATCH($C205,参数设置!$A$10:$A$12,0)),"公司无效",IF(ISNA(MATCH($D205,资金账户!$B$6:$B$25,0)),"账户未建档",IF(ISNA(MATCH($E205,记账规则!$A$13:$A$32,0)),"业务类型无效",IF(AND(N($I205)&lt;&gt;0,N($J205)&lt;&gt;0),"收入和支出只能填一列",IF($P205=0,"金额为 0",IF(AND($R205="收",N($I205)=0),"这类业务是收款，金额填到收入列",IF(AND($R205="支",N($J205)=0),"这类业务是付款，金额填到支出列",IF(AND(SUMPRODUCT(--(INDEX(记账规则!$A$13:$H$32,MATCH($E205,记账规则!$A$13:$A$32,0),0)="@对方"))&gt;0,$G205=""),"这个类型要填对方科目",IF(AND($G205&lt;&gt;"",ISNA(MATCH($G205,会计科目表!$B$6:$B$85,0))),"对方科目不存在",IF(AND($E205="缴纳税费",$H205=""),"缴税请在费用项目里选税种",IF(AND($F205&lt;&gt;"",ISNA(MATCH($F205,往来单位!$A$6:$A$85,0))),"往来单位未建档",IF(YEAR($B205)&lt;&gt;参数设置!$B$5,"不在本会计年度",IF(AND($B204&lt;&gt;"",ISNUMBER($B204),$B205&lt;$B204),"日期比上一行早，余额按行序滚，建议按日期录","OK")))))))))))))))</f>
        <v/>
      </c>
      <c r="O205" s="58" t="str">
        <f aca="false">IF($B205="","",TEXT($B205,"yyyy-mm"))</f>
        <v/>
      </c>
      <c r="P205" s="60" t="str">
        <f aca="false">IF($E205="","",ROUND(N($I205)+N($J205),2))</f>
        <v/>
      </c>
      <c r="Q205" s="58" t="str">
        <f aca="false">IF($D205="","",IFERROR(INDEX(资金账户!$F$6:$F$25,MATCH($D205,资金账户!$B$6:$B$25,0)),""))</f>
        <v/>
      </c>
      <c r="R205" s="58" t="str">
        <f aca="false">IF($E205="","",IFERROR(IF(INDEX(记账规则!$A$13:$H$32,MATCH($E205,记账规则!$A$13:$A$32,0),4)="借","收","支"),""))</f>
        <v/>
      </c>
      <c r="S205" s="57" t="str">
        <f aca="false">IF($D205="","",ROUND(SUMIFS(资金账户!$H$6:$H$25,资金账户!$B$6:$B$25,$D205)+SUMIFS($I$6:$I205,$D$6:$D205,$D205)-SUMIFS($J$6:$J205,$D$6:$D205,$D205),2))</f>
        <v/>
      </c>
      <c r="T205" s="61" t="str">
        <f aca="false">IF($B205="","",YEAR($B205))</f>
        <v/>
      </c>
    </row>
    <row r="206" customFormat="false" ht="15" hidden="false" customHeight="false" outlineLevel="0" collapsed="false">
      <c r="A206" s="53" t="str">
        <f aca="false">IF($B206="","",ROW()-5)</f>
        <v/>
      </c>
      <c r="B206" s="54"/>
      <c r="C206" s="33"/>
      <c r="D206" s="33"/>
      <c r="E206" s="33"/>
      <c r="F206" s="32"/>
      <c r="G206" s="41"/>
      <c r="H206" s="39"/>
      <c r="I206" s="43"/>
      <c r="J206" s="43"/>
      <c r="K206" s="41"/>
      <c r="L206" s="39"/>
      <c r="M206" s="41"/>
      <c r="N206" s="25" t="str">
        <f aca="false">IF(AND($B206="",$E206="",$I206="",$J206=""),"",IF(NOT(ISNUMBER($B206)),"日期无效",IF(ISNA(MATCH($C206,参数设置!$A$10:$A$12,0)),"公司无效",IF(ISNA(MATCH($D206,资金账户!$B$6:$B$25,0)),"账户未建档",IF(ISNA(MATCH($E206,记账规则!$A$13:$A$32,0)),"业务类型无效",IF(AND(N($I206)&lt;&gt;0,N($J206)&lt;&gt;0),"收入和支出只能填一列",IF($P206=0,"金额为 0",IF(AND($R206="收",N($I206)=0),"这类业务是收款，金额填到收入列",IF(AND($R206="支",N($J206)=0),"这类业务是付款，金额填到支出列",IF(AND(SUMPRODUCT(--(INDEX(记账规则!$A$13:$H$32,MATCH($E206,记账规则!$A$13:$A$32,0),0)="@对方"))&gt;0,$G206=""),"这个类型要填对方科目",IF(AND($G206&lt;&gt;"",ISNA(MATCH($G206,会计科目表!$B$6:$B$85,0))),"对方科目不存在",IF(AND($E206="缴纳税费",$H206=""),"缴税请在费用项目里选税种",IF(AND($F206&lt;&gt;"",ISNA(MATCH($F206,往来单位!$A$6:$A$85,0))),"往来单位未建档",IF(YEAR($B206)&lt;&gt;参数设置!$B$5,"不在本会计年度",IF(AND($B205&lt;&gt;"",ISNUMBER($B205),$B206&lt;$B205),"日期比上一行早，余额按行序滚，建议按日期录","OK")))))))))))))))</f>
        <v/>
      </c>
      <c r="O206" s="58" t="str">
        <f aca="false">IF($B206="","",TEXT($B206,"yyyy-mm"))</f>
        <v/>
      </c>
      <c r="P206" s="60" t="str">
        <f aca="false">IF($E206="","",ROUND(N($I206)+N($J206),2))</f>
        <v/>
      </c>
      <c r="Q206" s="58" t="str">
        <f aca="false">IF($D206="","",IFERROR(INDEX(资金账户!$F$6:$F$25,MATCH($D206,资金账户!$B$6:$B$25,0)),""))</f>
        <v/>
      </c>
      <c r="R206" s="58" t="str">
        <f aca="false">IF($E206="","",IFERROR(IF(INDEX(记账规则!$A$13:$H$32,MATCH($E206,记账规则!$A$13:$A$32,0),4)="借","收","支"),""))</f>
        <v/>
      </c>
      <c r="S206" s="57" t="str">
        <f aca="false">IF($D206="","",ROUND(SUMIFS(资金账户!$H$6:$H$25,资金账户!$B$6:$B$25,$D206)+SUMIFS($I$6:$I206,$D$6:$D206,$D206)-SUMIFS($J$6:$J206,$D$6:$D206,$D206),2))</f>
        <v/>
      </c>
      <c r="T206" s="61" t="str">
        <f aca="false">IF($B206="","",YEAR($B206))</f>
        <v/>
      </c>
    </row>
    <row r="207" customFormat="false" ht="15" hidden="false" customHeight="false" outlineLevel="0" collapsed="false">
      <c r="A207" s="53" t="str">
        <f aca="false">IF($B207="","",ROW()-5)</f>
        <v/>
      </c>
      <c r="B207" s="54"/>
      <c r="C207" s="33"/>
      <c r="D207" s="33"/>
      <c r="E207" s="33"/>
      <c r="F207" s="32"/>
      <c r="G207" s="41"/>
      <c r="H207" s="39"/>
      <c r="I207" s="43"/>
      <c r="J207" s="43"/>
      <c r="K207" s="41"/>
      <c r="L207" s="39"/>
      <c r="M207" s="41"/>
      <c r="N207" s="25" t="str">
        <f aca="false">IF(AND($B207="",$E207="",$I207="",$J207=""),"",IF(NOT(ISNUMBER($B207)),"日期无效",IF(ISNA(MATCH($C207,参数设置!$A$10:$A$12,0)),"公司无效",IF(ISNA(MATCH($D207,资金账户!$B$6:$B$25,0)),"账户未建档",IF(ISNA(MATCH($E207,记账规则!$A$13:$A$32,0)),"业务类型无效",IF(AND(N($I207)&lt;&gt;0,N($J207)&lt;&gt;0),"收入和支出只能填一列",IF($P207=0,"金额为 0",IF(AND($R207="收",N($I207)=0),"这类业务是收款，金额填到收入列",IF(AND($R207="支",N($J207)=0),"这类业务是付款，金额填到支出列",IF(AND(SUMPRODUCT(--(INDEX(记账规则!$A$13:$H$32,MATCH($E207,记账规则!$A$13:$A$32,0),0)="@对方"))&gt;0,$G207=""),"这个类型要填对方科目",IF(AND($G207&lt;&gt;"",ISNA(MATCH($G207,会计科目表!$B$6:$B$85,0))),"对方科目不存在",IF(AND($E207="缴纳税费",$H207=""),"缴税请在费用项目里选税种",IF(AND($F207&lt;&gt;"",ISNA(MATCH($F207,往来单位!$A$6:$A$85,0))),"往来单位未建档",IF(YEAR($B207)&lt;&gt;参数设置!$B$5,"不在本会计年度",IF(AND($B206&lt;&gt;"",ISNUMBER($B206),$B207&lt;$B206),"日期比上一行早，余额按行序滚，建议按日期录","OK")))))))))))))))</f>
        <v/>
      </c>
      <c r="O207" s="58" t="str">
        <f aca="false">IF($B207="","",TEXT($B207,"yyyy-mm"))</f>
        <v/>
      </c>
      <c r="P207" s="60" t="str">
        <f aca="false">IF($E207="","",ROUND(N($I207)+N($J207),2))</f>
        <v/>
      </c>
      <c r="Q207" s="58" t="str">
        <f aca="false">IF($D207="","",IFERROR(INDEX(资金账户!$F$6:$F$25,MATCH($D207,资金账户!$B$6:$B$25,0)),""))</f>
        <v/>
      </c>
      <c r="R207" s="58" t="str">
        <f aca="false">IF($E207="","",IFERROR(IF(INDEX(记账规则!$A$13:$H$32,MATCH($E207,记账规则!$A$13:$A$32,0),4)="借","收","支"),""))</f>
        <v/>
      </c>
      <c r="S207" s="57" t="str">
        <f aca="false">IF($D207="","",ROUND(SUMIFS(资金账户!$H$6:$H$25,资金账户!$B$6:$B$25,$D207)+SUMIFS($I$6:$I207,$D$6:$D207,$D207)-SUMIFS($J$6:$J207,$D$6:$D207,$D207),2))</f>
        <v/>
      </c>
      <c r="T207" s="61" t="str">
        <f aca="false">IF($B207="","",YEAR($B207))</f>
        <v/>
      </c>
    </row>
    <row r="208" customFormat="false" ht="15" hidden="false" customHeight="false" outlineLevel="0" collapsed="false">
      <c r="A208" s="53" t="str">
        <f aca="false">IF($B208="","",ROW()-5)</f>
        <v/>
      </c>
      <c r="B208" s="54"/>
      <c r="C208" s="33"/>
      <c r="D208" s="33"/>
      <c r="E208" s="33"/>
      <c r="F208" s="32"/>
      <c r="G208" s="41"/>
      <c r="H208" s="39"/>
      <c r="I208" s="43"/>
      <c r="J208" s="43"/>
      <c r="K208" s="41"/>
      <c r="L208" s="39"/>
      <c r="M208" s="41"/>
      <c r="N208" s="25" t="str">
        <f aca="false">IF(AND($B208="",$E208="",$I208="",$J208=""),"",IF(NOT(ISNUMBER($B208)),"日期无效",IF(ISNA(MATCH($C208,参数设置!$A$10:$A$12,0)),"公司无效",IF(ISNA(MATCH($D208,资金账户!$B$6:$B$25,0)),"账户未建档",IF(ISNA(MATCH($E208,记账规则!$A$13:$A$32,0)),"业务类型无效",IF(AND(N($I208)&lt;&gt;0,N($J208)&lt;&gt;0),"收入和支出只能填一列",IF($P208=0,"金额为 0",IF(AND($R208="收",N($I208)=0),"这类业务是收款，金额填到收入列",IF(AND($R208="支",N($J208)=0),"这类业务是付款，金额填到支出列",IF(AND(SUMPRODUCT(--(INDEX(记账规则!$A$13:$H$32,MATCH($E208,记账规则!$A$13:$A$32,0),0)="@对方"))&gt;0,$G208=""),"这个类型要填对方科目",IF(AND($G208&lt;&gt;"",ISNA(MATCH($G208,会计科目表!$B$6:$B$85,0))),"对方科目不存在",IF(AND($E208="缴纳税费",$H208=""),"缴税请在费用项目里选税种",IF(AND($F208&lt;&gt;"",ISNA(MATCH($F208,往来单位!$A$6:$A$85,0))),"往来单位未建档",IF(YEAR($B208)&lt;&gt;参数设置!$B$5,"不在本会计年度",IF(AND($B207&lt;&gt;"",ISNUMBER($B207),$B208&lt;$B207),"日期比上一行早，余额按行序滚，建议按日期录","OK")))))))))))))))</f>
        <v/>
      </c>
      <c r="O208" s="58" t="str">
        <f aca="false">IF($B208="","",TEXT($B208,"yyyy-mm"))</f>
        <v/>
      </c>
      <c r="P208" s="60" t="str">
        <f aca="false">IF($E208="","",ROUND(N($I208)+N($J208),2))</f>
        <v/>
      </c>
      <c r="Q208" s="58" t="str">
        <f aca="false">IF($D208="","",IFERROR(INDEX(资金账户!$F$6:$F$25,MATCH($D208,资金账户!$B$6:$B$25,0)),""))</f>
        <v/>
      </c>
      <c r="R208" s="58" t="str">
        <f aca="false">IF($E208="","",IFERROR(IF(INDEX(记账规则!$A$13:$H$32,MATCH($E208,记账规则!$A$13:$A$32,0),4)="借","收","支"),""))</f>
        <v/>
      </c>
      <c r="S208" s="57" t="str">
        <f aca="false">IF($D208="","",ROUND(SUMIFS(资金账户!$H$6:$H$25,资金账户!$B$6:$B$25,$D208)+SUMIFS($I$6:$I208,$D$6:$D208,$D208)-SUMIFS($J$6:$J208,$D$6:$D208,$D208),2))</f>
        <v/>
      </c>
      <c r="T208" s="61" t="str">
        <f aca="false">IF($B208="","",YEAR($B208))</f>
        <v/>
      </c>
    </row>
    <row r="209" customFormat="false" ht="15" hidden="false" customHeight="false" outlineLevel="0" collapsed="false">
      <c r="A209" s="53" t="str">
        <f aca="false">IF($B209="","",ROW()-5)</f>
        <v/>
      </c>
      <c r="B209" s="54"/>
      <c r="C209" s="33"/>
      <c r="D209" s="33"/>
      <c r="E209" s="33"/>
      <c r="F209" s="32"/>
      <c r="G209" s="41"/>
      <c r="H209" s="39"/>
      <c r="I209" s="43"/>
      <c r="J209" s="43"/>
      <c r="K209" s="41"/>
      <c r="L209" s="39"/>
      <c r="M209" s="41"/>
      <c r="N209" s="25" t="str">
        <f aca="false">IF(AND($B209="",$E209="",$I209="",$J209=""),"",IF(NOT(ISNUMBER($B209)),"日期无效",IF(ISNA(MATCH($C209,参数设置!$A$10:$A$12,0)),"公司无效",IF(ISNA(MATCH($D209,资金账户!$B$6:$B$25,0)),"账户未建档",IF(ISNA(MATCH($E209,记账规则!$A$13:$A$32,0)),"业务类型无效",IF(AND(N($I209)&lt;&gt;0,N($J209)&lt;&gt;0),"收入和支出只能填一列",IF($P209=0,"金额为 0",IF(AND($R209="收",N($I209)=0),"这类业务是收款，金额填到收入列",IF(AND($R209="支",N($J209)=0),"这类业务是付款，金额填到支出列",IF(AND(SUMPRODUCT(--(INDEX(记账规则!$A$13:$H$32,MATCH($E209,记账规则!$A$13:$A$32,0),0)="@对方"))&gt;0,$G209=""),"这个类型要填对方科目",IF(AND($G209&lt;&gt;"",ISNA(MATCH($G209,会计科目表!$B$6:$B$85,0))),"对方科目不存在",IF(AND($E209="缴纳税费",$H209=""),"缴税请在费用项目里选税种",IF(AND($F209&lt;&gt;"",ISNA(MATCH($F209,往来单位!$A$6:$A$85,0))),"往来单位未建档",IF(YEAR($B209)&lt;&gt;参数设置!$B$5,"不在本会计年度",IF(AND($B208&lt;&gt;"",ISNUMBER($B208),$B209&lt;$B208),"日期比上一行早，余额按行序滚，建议按日期录","OK")))))))))))))))</f>
        <v/>
      </c>
      <c r="O209" s="58" t="str">
        <f aca="false">IF($B209="","",TEXT($B209,"yyyy-mm"))</f>
        <v/>
      </c>
      <c r="P209" s="60" t="str">
        <f aca="false">IF($E209="","",ROUND(N($I209)+N($J209),2))</f>
        <v/>
      </c>
      <c r="Q209" s="58" t="str">
        <f aca="false">IF($D209="","",IFERROR(INDEX(资金账户!$F$6:$F$25,MATCH($D209,资金账户!$B$6:$B$25,0)),""))</f>
        <v/>
      </c>
      <c r="R209" s="58" t="str">
        <f aca="false">IF($E209="","",IFERROR(IF(INDEX(记账规则!$A$13:$H$32,MATCH($E209,记账规则!$A$13:$A$32,0),4)="借","收","支"),""))</f>
        <v/>
      </c>
      <c r="S209" s="57" t="str">
        <f aca="false">IF($D209="","",ROUND(SUMIFS(资金账户!$H$6:$H$25,资金账户!$B$6:$B$25,$D209)+SUMIFS($I$6:$I209,$D$6:$D209,$D209)-SUMIFS($J$6:$J209,$D$6:$D209,$D209),2))</f>
        <v/>
      </c>
      <c r="T209" s="61" t="str">
        <f aca="false">IF($B209="","",YEAR($B209))</f>
        <v/>
      </c>
    </row>
    <row r="210" customFormat="false" ht="15" hidden="false" customHeight="false" outlineLevel="0" collapsed="false">
      <c r="A210" s="53" t="str">
        <f aca="false">IF($B210="","",ROW()-5)</f>
        <v/>
      </c>
      <c r="B210" s="54"/>
      <c r="C210" s="33"/>
      <c r="D210" s="33"/>
      <c r="E210" s="33"/>
      <c r="F210" s="32"/>
      <c r="G210" s="41"/>
      <c r="H210" s="39"/>
      <c r="I210" s="43"/>
      <c r="J210" s="43"/>
      <c r="K210" s="41"/>
      <c r="L210" s="39"/>
      <c r="M210" s="41"/>
      <c r="N210" s="25" t="str">
        <f aca="false">IF(AND($B210="",$E210="",$I210="",$J210=""),"",IF(NOT(ISNUMBER($B210)),"日期无效",IF(ISNA(MATCH($C210,参数设置!$A$10:$A$12,0)),"公司无效",IF(ISNA(MATCH($D210,资金账户!$B$6:$B$25,0)),"账户未建档",IF(ISNA(MATCH($E210,记账规则!$A$13:$A$32,0)),"业务类型无效",IF(AND(N($I210)&lt;&gt;0,N($J210)&lt;&gt;0),"收入和支出只能填一列",IF($P210=0,"金额为 0",IF(AND($R210="收",N($I210)=0),"这类业务是收款，金额填到收入列",IF(AND($R210="支",N($J210)=0),"这类业务是付款，金额填到支出列",IF(AND(SUMPRODUCT(--(INDEX(记账规则!$A$13:$H$32,MATCH($E210,记账规则!$A$13:$A$32,0),0)="@对方"))&gt;0,$G210=""),"这个类型要填对方科目",IF(AND($G210&lt;&gt;"",ISNA(MATCH($G210,会计科目表!$B$6:$B$85,0))),"对方科目不存在",IF(AND($E210="缴纳税费",$H210=""),"缴税请在费用项目里选税种",IF(AND($F210&lt;&gt;"",ISNA(MATCH($F210,往来单位!$A$6:$A$85,0))),"往来单位未建档",IF(YEAR($B210)&lt;&gt;参数设置!$B$5,"不在本会计年度",IF(AND($B209&lt;&gt;"",ISNUMBER($B209),$B210&lt;$B209),"日期比上一行早，余额按行序滚，建议按日期录","OK")))))))))))))))</f>
        <v/>
      </c>
      <c r="O210" s="58" t="str">
        <f aca="false">IF($B210="","",TEXT($B210,"yyyy-mm"))</f>
        <v/>
      </c>
      <c r="P210" s="60" t="str">
        <f aca="false">IF($E210="","",ROUND(N($I210)+N($J210),2))</f>
        <v/>
      </c>
      <c r="Q210" s="58" t="str">
        <f aca="false">IF($D210="","",IFERROR(INDEX(资金账户!$F$6:$F$25,MATCH($D210,资金账户!$B$6:$B$25,0)),""))</f>
        <v/>
      </c>
      <c r="R210" s="58" t="str">
        <f aca="false">IF($E210="","",IFERROR(IF(INDEX(记账规则!$A$13:$H$32,MATCH($E210,记账规则!$A$13:$A$32,0),4)="借","收","支"),""))</f>
        <v/>
      </c>
      <c r="S210" s="57" t="str">
        <f aca="false">IF($D210="","",ROUND(SUMIFS(资金账户!$H$6:$H$25,资金账户!$B$6:$B$25,$D210)+SUMIFS($I$6:$I210,$D$6:$D210,$D210)-SUMIFS($J$6:$J210,$D$6:$D210,$D210),2))</f>
        <v/>
      </c>
      <c r="T210" s="61" t="str">
        <f aca="false">IF($B210="","",YEAR($B210))</f>
        <v/>
      </c>
    </row>
    <row r="211" customFormat="false" ht="15" hidden="false" customHeight="false" outlineLevel="0" collapsed="false">
      <c r="A211" s="53" t="str">
        <f aca="false">IF($B211="","",ROW()-5)</f>
        <v/>
      </c>
      <c r="B211" s="54"/>
      <c r="C211" s="33"/>
      <c r="D211" s="33"/>
      <c r="E211" s="33"/>
      <c r="F211" s="32"/>
      <c r="G211" s="41"/>
      <c r="H211" s="39"/>
      <c r="I211" s="43"/>
      <c r="J211" s="43"/>
      <c r="K211" s="41"/>
      <c r="L211" s="39"/>
      <c r="M211" s="41"/>
      <c r="N211" s="25" t="str">
        <f aca="false">IF(AND($B211="",$E211="",$I211="",$J211=""),"",IF(NOT(ISNUMBER($B211)),"日期无效",IF(ISNA(MATCH($C211,参数设置!$A$10:$A$12,0)),"公司无效",IF(ISNA(MATCH($D211,资金账户!$B$6:$B$25,0)),"账户未建档",IF(ISNA(MATCH($E211,记账规则!$A$13:$A$32,0)),"业务类型无效",IF(AND(N($I211)&lt;&gt;0,N($J211)&lt;&gt;0),"收入和支出只能填一列",IF($P211=0,"金额为 0",IF(AND($R211="收",N($I211)=0),"这类业务是收款，金额填到收入列",IF(AND($R211="支",N($J211)=0),"这类业务是付款，金额填到支出列",IF(AND(SUMPRODUCT(--(INDEX(记账规则!$A$13:$H$32,MATCH($E211,记账规则!$A$13:$A$32,0),0)="@对方"))&gt;0,$G211=""),"这个类型要填对方科目",IF(AND($G211&lt;&gt;"",ISNA(MATCH($G211,会计科目表!$B$6:$B$85,0))),"对方科目不存在",IF(AND($E211="缴纳税费",$H211=""),"缴税请在费用项目里选税种",IF(AND($F211&lt;&gt;"",ISNA(MATCH($F211,往来单位!$A$6:$A$85,0))),"往来单位未建档",IF(YEAR($B211)&lt;&gt;参数设置!$B$5,"不在本会计年度",IF(AND($B210&lt;&gt;"",ISNUMBER($B210),$B211&lt;$B210),"日期比上一行早，余额按行序滚，建议按日期录","OK")))))))))))))))</f>
        <v/>
      </c>
      <c r="O211" s="58" t="str">
        <f aca="false">IF($B211="","",TEXT($B211,"yyyy-mm"))</f>
        <v/>
      </c>
      <c r="P211" s="60" t="str">
        <f aca="false">IF($E211="","",ROUND(N($I211)+N($J211),2))</f>
        <v/>
      </c>
      <c r="Q211" s="58" t="str">
        <f aca="false">IF($D211="","",IFERROR(INDEX(资金账户!$F$6:$F$25,MATCH($D211,资金账户!$B$6:$B$25,0)),""))</f>
        <v/>
      </c>
      <c r="R211" s="58" t="str">
        <f aca="false">IF($E211="","",IFERROR(IF(INDEX(记账规则!$A$13:$H$32,MATCH($E211,记账规则!$A$13:$A$32,0),4)="借","收","支"),""))</f>
        <v/>
      </c>
      <c r="S211" s="57" t="str">
        <f aca="false">IF($D211="","",ROUND(SUMIFS(资金账户!$H$6:$H$25,资金账户!$B$6:$B$25,$D211)+SUMIFS($I$6:$I211,$D$6:$D211,$D211)-SUMIFS($J$6:$J211,$D$6:$D211,$D211),2))</f>
        <v/>
      </c>
      <c r="T211" s="61" t="str">
        <f aca="false">IF($B211="","",YEAR($B211))</f>
        <v/>
      </c>
    </row>
    <row r="212" customFormat="false" ht="15" hidden="false" customHeight="false" outlineLevel="0" collapsed="false">
      <c r="A212" s="53" t="str">
        <f aca="false">IF($B212="","",ROW()-5)</f>
        <v/>
      </c>
      <c r="B212" s="54"/>
      <c r="C212" s="33"/>
      <c r="D212" s="33"/>
      <c r="E212" s="33"/>
      <c r="F212" s="32"/>
      <c r="G212" s="41"/>
      <c r="H212" s="39"/>
      <c r="I212" s="43"/>
      <c r="J212" s="43"/>
      <c r="K212" s="41"/>
      <c r="L212" s="39"/>
      <c r="M212" s="41"/>
      <c r="N212" s="25" t="str">
        <f aca="false">IF(AND($B212="",$E212="",$I212="",$J212=""),"",IF(NOT(ISNUMBER($B212)),"日期无效",IF(ISNA(MATCH($C212,参数设置!$A$10:$A$12,0)),"公司无效",IF(ISNA(MATCH($D212,资金账户!$B$6:$B$25,0)),"账户未建档",IF(ISNA(MATCH($E212,记账规则!$A$13:$A$32,0)),"业务类型无效",IF(AND(N($I212)&lt;&gt;0,N($J212)&lt;&gt;0),"收入和支出只能填一列",IF($P212=0,"金额为 0",IF(AND($R212="收",N($I212)=0),"这类业务是收款，金额填到收入列",IF(AND($R212="支",N($J212)=0),"这类业务是付款，金额填到支出列",IF(AND(SUMPRODUCT(--(INDEX(记账规则!$A$13:$H$32,MATCH($E212,记账规则!$A$13:$A$32,0),0)="@对方"))&gt;0,$G212=""),"这个类型要填对方科目",IF(AND($G212&lt;&gt;"",ISNA(MATCH($G212,会计科目表!$B$6:$B$85,0))),"对方科目不存在",IF(AND($E212="缴纳税费",$H212=""),"缴税请在费用项目里选税种",IF(AND($F212&lt;&gt;"",ISNA(MATCH($F212,往来单位!$A$6:$A$85,0))),"往来单位未建档",IF(YEAR($B212)&lt;&gt;参数设置!$B$5,"不在本会计年度",IF(AND($B211&lt;&gt;"",ISNUMBER($B211),$B212&lt;$B211),"日期比上一行早，余额按行序滚，建议按日期录","OK")))))))))))))))</f>
        <v/>
      </c>
      <c r="O212" s="58" t="str">
        <f aca="false">IF($B212="","",TEXT($B212,"yyyy-mm"))</f>
        <v/>
      </c>
      <c r="P212" s="60" t="str">
        <f aca="false">IF($E212="","",ROUND(N($I212)+N($J212),2))</f>
        <v/>
      </c>
      <c r="Q212" s="58" t="str">
        <f aca="false">IF($D212="","",IFERROR(INDEX(资金账户!$F$6:$F$25,MATCH($D212,资金账户!$B$6:$B$25,0)),""))</f>
        <v/>
      </c>
      <c r="R212" s="58" t="str">
        <f aca="false">IF($E212="","",IFERROR(IF(INDEX(记账规则!$A$13:$H$32,MATCH($E212,记账规则!$A$13:$A$32,0),4)="借","收","支"),""))</f>
        <v/>
      </c>
      <c r="S212" s="57" t="str">
        <f aca="false">IF($D212="","",ROUND(SUMIFS(资金账户!$H$6:$H$25,资金账户!$B$6:$B$25,$D212)+SUMIFS($I$6:$I212,$D$6:$D212,$D212)-SUMIFS($J$6:$J212,$D$6:$D212,$D212),2))</f>
        <v/>
      </c>
      <c r="T212" s="61" t="str">
        <f aca="false">IF($B212="","",YEAR($B212))</f>
        <v/>
      </c>
    </row>
    <row r="213" customFormat="false" ht="15" hidden="false" customHeight="false" outlineLevel="0" collapsed="false">
      <c r="A213" s="53" t="str">
        <f aca="false">IF($B213="","",ROW()-5)</f>
        <v/>
      </c>
      <c r="B213" s="54"/>
      <c r="C213" s="33"/>
      <c r="D213" s="33"/>
      <c r="E213" s="33"/>
      <c r="F213" s="32"/>
      <c r="G213" s="41"/>
      <c r="H213" s="39"/>
      <c r="I213" s="43"/>
      <c r="J213" s="43"/>
      <c r="K213" s="41"/>
      <c r="L213" s="39"/>
      <c r="M213" s="41"/>
      <c r="N213" s="25" t="str">
        <f aca="false">IF(AND($B213="",$E213="",$I213="",$J213=""),"",IF(NOT(ISNUMBER($B213)),"日期无效",IF(ISNA(MATCH($C213,参数设置!$A$10:$A$12,0)),"公司无效",IF(ISNA(MATCH($D213,资金账户!$B$6:$B$25,0)),"账户未建档",IF(ISNA(MATCH($E213,记账规则!$A$13:$A$32,0)),"业务类型无效",IF(AND(N($I213)&lt;&gt;0,N($J213)&lt;&gt;0),"收入和支出只能填一列",IF($P213=0,"金额为 0",IF(AND($R213="收",N($I213)=0),"这类业务是收款，金额填到收入列",IF(AND($R213="支",N($J213)=0),"这类业务是付款，金额填到支出列",IF(AND(SUMPRODUCT(--(INDEX(记账规则!$A$13:$H$32,MATCH($E213,记账规则!$A$13:$A$32,0),0)="@对方"))&gt;0,$G213=""),"这个类型要填对方科目",IF(AND($G213&lt;&gt;"",ISNA(MATCH($G213,会计科目表!$B$6:$B$85,0))),"对方科目不存在",IF(AND($E213="缴纳税费",$H213=""),"缴税请在费用项目里选税种",IF(AND($F213&lt;&gt;"",ISNA(MATCH($F213,往来单位!$A$6:$A$85,0))),"往来单位未建档",IF(YEAR($B213)&lt;&gt;参数设置!$B$5,"不在本会计年度",IF(AND($B212&lt;&gt;"",ISNUMBER($B212),$B213&lt;$B212),"日期比上一行早，余额按行序滚，建议按日期录","OK")))))))))))))))</f>
        <v/>
      </c>
      <c r="O213" s="58" t="str">
        <f aca="false">IF($B213="","",TEXT($B213,"yyyy-mm"))</f>
        <v/>
      </c>
      <c r="P213" s="60" t="str">
        <f aca="false">IF($E213="","",ROUND(N($I213)+N($J213),2))</f>
        <v/>
      </c>
      <c r="Q213" s="58" t="str">
        <f aca="false">IF($D213="","",IFERROR(INDEX(资金账户!$F$6:$F$25,MATCH($D213,资金账户!$B$6:$B$25,0)),""))</f>
        <v/>
      </c>
      <c r="R213" s="58" t="str">
        <f aca="false">IF($E213="","",IFERROR(IF(INDEX(记账规则!$A$13:$H$32,MATCH($E213,记账规则!$A$13:$A$32,0),4)="借","收","支"),""))</f>
        <v/>
      </c>
      <c r="S213" s="57" t="str">
        <f aca="false">IF($D213="","",ROUND(SUMIFS(资金账户!$H$6:$H$25,资金账户!$B$6:$B$25,$D213)+SUMIFS($I$6:$I213,$D$6:$D213,$D213)-SUMIFS($J$6:$J213,$D$6:$D213,$D213),2))</f>
        <v/>
      </c>
      <c r="T213" s="61" t="str">
        <f aca="false">IF($B213="","",YEAR($B213))</f>
        <v/>
      </c>
    </row>
    <row r="214" customFormat="false" ht="15" hidden="false" customHeight="false" outlineLevel="0" collapsed="false">
      <c r="A214" s="53" t="str">
        <f aca="false">IF($B214="","",ROW()-5)</f>
        <v/>
      </c>
      <c r="B214" s="54"/>
      <c r="C214" s="33"/>
      <c r="D214" s="33"/>
      <c r="E214" s="33"/>
      <c r="F214" s="32"/>
      <c r="G214" s="41"/>
      <c r="H214" s="39"/>
      <c r="I214" s="43"/>
      <c r="J214" s="43"/>
      <c r="K214" s="41"/>
      <c r="L214" s="39"/>
      <c r="M214" s="41"/>
      <c r="N214" s="25" t="str">
        <f aca="false">IF(AND($B214="",$E214="",$I214="",$J214=""),"",IF(NOT(ISNUMBER($B214)),"日期无效",IF(ISNA(MATCH($C214,参数设置!$A$10:$A$12,0)),"公司无效",IF(ISNA(MATCH($D214,资金账户!$B$6:$B$25,0)),"账户未建档",IF(ISNA(MATCH($E214,记账规则!$A$13:$A$32,0)),"业务类型无效",IF(AND(N($I214)&lt;&gt;0,N($J214)&lt;&gt;0),"收入和支出只能填一列",IF($P214=0,"金额为 0",IF(AND($R214="收",N($I214)=0),"这类业务是收款，金额填到收入列",IF(AND($R214="支",N($J214)=0),"这类业务是付款，金额填到支出列",IF(AND(SUMPRODUCT(--(INDEX(记账规则!$A$13:$H$32,MATCH($E214,记账规则!$A$13:$A$32,0),0)="@对方"))&gt;0,$G214=""),"这个类型要填对方科目",IF(AND($G214&lt;&gt;"",ISNA(MATCH($G214,会计科目表!$B$6:$B$85,0))),"对方科目不存在",IF(AND($E214="缴纳税费",$H214=""),"缴税请在费用项目里选税种",IF(AND($F214&lt;&gt;"",ISNA(MATCH($F214,往来单位!$A$6:$A$85,0))),"往来单位未建档",IF(YEAR($B214)&lt;&gt;参数设置!$B$5,"不在本会计年度",IF(AND($B213&lt;&gt;"",ISNUMBER($B213),$B214&lt;$B213),"日期比上一行早，余额按行序滚，建议按日期录","OK")))))))))))))))</f>
        <v/>
      </c>
      <c r="O214" s="58" t="str">
        <f aca="false">IF($B214="","",TEXT($B214,"yyyy-mm"))</f>
        <v/>
      </c>
      <c r="P214" s="60" t="str">
        <f aca="false">IF($E214="","",ROUND(N($I214)+N($J214),2))</f>
        <v/>
      </c>
      <c r="Q214" s="58" t="str">
        <f aca="false">IF($D214="","",IFERROR(INDEX(资金账户!$F$6:$F$25,MATCH($D214,资金账户!$B$6:$B$25,0)),""))</f>
        <v/>
      </c>
      <c r="R214" s="58" t="str">
        <f aca="false">IF($E214="","",IFERROR(IF(INDEX(记账规则!$A$13:$H$32,MATCH($E214,记账规则!$A$13:$A$32,0),4)="借","收","支"),""))</f>
        <v/>
      </c>
      <c r="S214" s="57" t="str">
        <f aca="false">IF($D214="","",ROUND(SUMIFS(资金账户!$H$6:$H$25,资金账户!$B$6:$B$25,$D214)+SUMIFS($I$6:$I214,$D$6:$D214,$D214)-SUMIFS($J$6:$J214,$D$6:$D214,$D214),2))</f>
        <v/>
      </c>
      <c r="T214" s="61" t="str">
        <f aca="false">IF($B214="","",YEAR($B214))</f>
        <v/>
      </c>
    </row>
    <row r="215" customFormat="false" ht="15" hidden="false" customHeight="false" outlineLevel="0" collapsed="false">
      <c r="A215" s="53" t="str">
        <f aca="false">IF($B215="","",ROW()-5)</f>
        <v/>
      </c>
      <c r="B215" s="54"/>
      <c r="C215" s="33"/>
      <c r="D215" s="33"/>
      <c r="E215" s="33"/>
      <c r="F215" s="32"/>
      <c r="G215" s="41"/>
      <c r="H215" s="39"/>
      <c r="I215" s="43"/>
      <c r="J215" s="43"/>
      <c r="K215" s="41"/>
      <c r="L215" s="39"/>
      <c r="M215" s="41"/>
      <c r="N215" s="25" t="str">
        <f aca="false">IF(AND($B215="",$E215="",$I215="",$J215=""),"",IF(NOT(ISNUMBER($B215)),"日期无效",IF(ISNA(MATCH($C215,参数设置!$A$10:$A$12,0)),"公司无效",IF(ISNA(MATCH($D215,资金账户!$B$6:$B$25,0)),"账户未建档",IF(ISNA(MATCH($E215,记账规则!$A$13:$A$32,0)),"业务类型无效",IF(AND(N($I215)&lt;&gt;0,N($J215)&lt;&gt;0),"收入和支出只能填一列",IF($P215=0,"金额为 0",IF(AND($R215="收",N($I215)=0),"这类业务是收款，金额填到收入列",IF(AND($R215="支",N($J215)=0),"这类业务是付款，金额填到支出列",IF(AND(SUMPRODUCT(--(INDEX(记账规则!$A$13:$H$32,MATCH($E215,记账规则!$A$13:$A$32,0),0)="@对方"))&gt;0,$G215=""),"这个类型要填对方科目",IF(AND($G215&lt;&gt;"",ISNA(MATCH($G215,会计科目表!$B$6:$B$85,0))),"对方科目不存在",IF(AND($E215="缴纳税费",$H215=""),"缴税请在费用项目里选税种",IF(AND($F215&lt;&gt;"",ISNA(MATCH($F215,往来单位!$A$6:$A$85,0))),"往来单位未建档",IF(YEAR($B215)&lt;&gt;参数设置!$B$5,"不在本会计年度",IF(AND($B214&lt;&gt;"",ISNUMBER($B214),$B215&lt;$B214),"日期比上一行早，余额按行序滚，建议按日期录","OK")))))))))))))))</f>
        <v/>
      </c>
      <c r="O215" s="58" t="str">
        <f aca="false">IF($B215="","",TEXT($B215,"yyyy-mm"))</f>
        <v/>
      </c>
      <c r="P215" s="60" t="str">
        <f aca="false">IF($E215="","",ROUND(N($I215)+N($J215),2))</f>
        <v/>
      </c>
      <c r="Q215" s="58" t="str">
        <f aca="false">IF($D215="","",IFERROR(INDEX(资金账户!$F$6:$F$25,MATCH($D215,资金账户!$B$6:$B$25,0)),""))</f>
        <v/>
      </c>
      <c r="R215" s="58" t="str">
        <f aca="false">IF($E215="","",IFERROR(IF(INDEX(记账规则!$A$13:$H$32,MATCH($E215,记账规则!$A$13:$A$32,0),4)="借","收","支"),""))</f>
        <v/>
      </c>
      <c r="S215" s="57" t="str">
        <f aca="false">IF($D215="","",ROUND(SUMIFS(资金账户!$H$6:$H$25,资金账户!$B$6:$B$25,$D215)+SUMIFS($I$6:$I215,$D$6:$D215,$D215)-SUMIFS($J$6:$J215,$D$6:$D215,$D215),2))</f>
        <v/>
      </c>
      <c r="T215" s="61" t="str">
        <f aca="false">IF($B215="","",YEAR($B215))</f>
        <v/>
      </c>
    </row>
    <row r="216" customFormat="false" ht="15" hidden="false" customHeight="false" outlineLevel="0" collapsed="false">
      <c r="A216" s="53" t="str">
        <f aca="false">IF($B216="","",ROW()-5)</f>
        <v/>
      </c>
      <c r="B216" s="54"/>
      <c r="C216" s="33"/>
      <c r="D216" s="33"/>
      <c r="E216" s="33"/>
      <c r="F216" s="32"/>
      <c r="G216" s="41"/>
      <c r="H216" s="39"/>
      <c r="I216" s="43"/>
      <c r="J216" s="43"/>
      <c r="K216" s="41"/>
      <c r="L216" s="39"/>
      <c r="M216" s="41"/>
      <c r="N216" s="25" t="str">
        <f aca="false">IF(AND($B216="",$E216="",$I216="",$J216=""),"",IF(NOT(ISNUMBER($B216)),"日期无效",IF(ISNA(MATCH($C216,参数设置!$A$10:$A$12,0)),"公司无效",IF(ISNA(MATCH($D216,资金账户!$B$6:$B$25,0)),"账户未建档",IF(ISNA(MATCH($E216,记账规则!$A$13:$A$32,0)),"业务类型无效",IF(AND(N($I216)&lt;&gt;0,N($J216)&lt;&gt;0),"收入和支出只能填一列",IF($P216=0,"金额为 0",IF(AND($R216="收",N($I216)=0),"这类业务是收款，金额填到收入列",IF(AND($R216="支",N($J216)=0),"这类业务是付款，金额填到支出列",IF(AND(SUMPRODUCT(--(INDEX(记账规则!$A$13:$H$32,MATCH($E216,记账规则!$A$13:$A$32,0),0)="@对方"))&gt;0,$G216=""),"这个类型要填对方科目",IF(AND($G216&lt;&gt;"",ISNA(MATCH($G216,会计科目表!$B$6:$B$85,0))),"对方科目不存在",IF(AND($E216="缴纳税费",$H216=""),"缴税请在费用项目里选税种",IF(AND($F216&lt;&gt;"",ISNA(MATCH($F216,往来单位!$A$6:$A$85,0))),"往来单位未建档",IF(YEAR($B216)&lt;&gt;参数设置!$B$5,"不在本会计年度",IF(AND($B215&lt;&gt;"",ISNUMBER($B215),$B216&lt;$B215),"日期比上一行早，余额按行序滚，建议按日期录","OK")))))))))))))))</f>
        <v/>
      </c>
      <c r="O216" s="58" t="str">
        <f aca="false">IF($B216="","",TEXT($B216,"yyyy-mm"))</f>
        <v/>
      </c>
      <c r="P216" s="60" t="str">
        <f aca="false">IF($E216="","",ROUND(N($I216)+N($J216),2))</f>
        <v/>
      </c>
      <c r="Q216" s="58" t="str">
        <f aca="false">IF($D216="","",IFERROR(INDEX(资金账户!$F$6:$F$25,MATCH($D216,资金账户!$B$6:$B$25,0)),""))</f>
        <v/>
      </c>
      <c r="R216" s="58" t="str">
        <f aca="false">IF($E216="","",IFERROR(IF(INDEX(记账规则!$A$13:$H$32,MATCH($E216,记账规则!$A$13:$A$32,0),4)="借","收","支"),""))</f>
        <v/>
      </c>
      <c r="S216" s="57" t="str">
        <f aca="false">IF($D216="","",ROUND(SUMIFS(资金账户!$H$6:$H$25,资金账户!$B$6:$B$25,$D216)+SUMIFS($I$6:$I216,$D$6:$D216,$D216)-SUMIFS($J$6:$J216,$D$6:$D216,$D216),2))</f>
        <v/>
      </c>
      <c r="T216" s="61" t="str">
        <f aca="false">IF($B216="","",YEAR($B216))</f>
        <v/>
      </c>
    </row>
    <row r="217" customFormat="false" ht="15" hidden="false" customHeight="false" outlineLevel="0" collapsed="false">
      <c r="A217" s="53" t="str">
        <f aca="false">IF($B217="","",ROW()-5)</f>
        <v/>
      </c>
      <c r="B217" s="54"/>
      <c r="C217" s="33"/>
      <c r="D217" s="33"/>
      <c r="E217" s="33"/>
      <c r="F217" s="32"/>
      <c r="G217" s="41"/>
      <c r="H217" s="39"/>
      <c r="I217" s="43"/>
      <c r="J217" s="43"/>
      <c r="K217" s="41"/>
      <c r="L217" s="39"/>
      <c r="M217" s="41"/>
      <c r="N217" s="25" t="str">
        <f aca="false">IF(AND($B217="",$E217="",$I217="",$J217=""),"",IF(NOT(ISNUMBER($B217)),"日期无效",IF(ISNA(MATCH($C217,参数设置!$A$10:$A$12,0)),"公司无效",IF(ISNA(MATCH($D217,资金账户!$B$6:$B$25,0)),"账户未建档",IF(ISNA(MATCH($E217,记账规则!$A$13:$A$32,0)),"业务类型无效",IF(AND(N($I217)&lt;&gt;0,N($J217)&lt;&gt;0),"收入和支出只能填一列",IF($P217=0,"金额为 0",IF(AND($R217="收",N($I217)=0),"这类业务是收款，金额填到收入列",IF(AND($R217="支",N($J217)=0),"这类业务是付款，金额填到支出列",IF(AND(SUMPRODUCT(--(INDEX(记账规则!$A$13:$H$32,MATCH($E217,记账规则!$A$13:$A$32,0),0)="@对方"))&gt;0,$G217=""),"这个类型要填对方科目",IF(AND($G217&lt;&gt;"",ISNA(MATCH($G217,会计科目表!$B$6:$B$85,0))),"对方科目不存在",IF(AND($E217="缴纳税费",$H217=""),"缴税请在费用项目里选税种",IF(AND($F217&lt;&gt;"",ISNA(MATCH($F217,往来单位!$A$6:$A$85,0))),"往来单位未建档",IF(YEAR($B217)&lt;&gt;参数设置!$B$5,"不在本会计年度",IF(AND($B216&lt;&gt;"",ISNUMBER($B216),$B217&lt;$B216),"日期比上一行早，余额按行序滚，建议按日期录","OK")))))))))))))))</f>
        <v/>
      </c>
      <c r="O217" s="58" t="str">
        <f aca="false">IF($B217="","",TEXT($B217,"yyyy-mm"))</f>
        <v/>
      </c>
      <c r="P217" s="60" t="str">
        <f aca="false">IF($E217="","",ROUND(N($I217)+N($J217),2))</f>
        <v/>
      </c>
      <c r="Q217" s="58" t="str">
        <f aca="false">IF($D217="","",IFERROR(INDEX(资金账户!$F$6:$F$25,MATCH($D217,资金账户!$B$6:$B$25,0)),""))</f>
        <v/>
      </c>
      <c r="R217" s="58" t="str">
        <f aca="false">IF($E217="","",IFERROR(IF(INDEX(记账规则!$A$13:$H$32,MATCH($E217,记账规则!$A$13:$A$32,0),4)="借","收","支"),""))</f>
        <v/>
      </c>
      <c r="S217" s="57" t="str">
        <f aca="false">IF($D217="","",ROUND(SUMIFS(资金账户!$H$6:$H$25,资金账户!$B$6:$B$25,$D217)+SUMIFS($I$6:$I217,$D$6:$D217,$D217)-SUMIFS($J$6:$J217,$D$6:$D217,$D217),2))</f>
        <v/>
      </c>
      <c r="T217" s="61" t="str">
        <f aca="false">IF($B217="","",YEAR($B217))</f>
        <v/>
      </c>
    </row>
    <row r="218" customFormat="false" ht="15" hidden="false" customHeight="false" outlineLevel="0" collapsed="false">
      <c r="A218" s="53" t="str">
        <f aca="false">IF($B218="","",ROW()-5)</f>
        <v/>
      </c>
      <c r="B218" s="54"/>
      <c r="C218" s="33"/>
      <c r="D218" s="33"/>
      <c r="E218" s="33"/>
      <c r="F218" s="32"/>
      <c r="G218" s="41"/>
      <c r="H218" s="39"/>
      <c r="I218" s="43"/>
      <c r="J218" s="43"/>
      <c r="K218" s="41"/>
      <c r="L218" s="39"/>
      <c r="M218" s="41"/>
      <c r="N218" s="25" t="str">
        <f aca="false">IF(AND($B218="",$E218="",$I218="",$J218=""),"",IF(NOT(ISNUMBER($B218)),"日期无效",IF(ISNA(MATCH($C218,参数设置!$A$10:$A$12,0)),"公司无效",IF(ISNA(MATCH($D218,资金账户!$B$6:$B$25,0)),"账户未建档",IF(ISNA(MATCH($E218,记账规则!$A$13:$A$32,0)),"业务类型无效",IF(AND(N($I218)&lt;&gt;0,N($J218)&lt;&gt;0),"收入和支出只能填一列",IF($P218=0,"金额为 0",IF(AND($R218="收",N($I218)=0),"这类业务是收款，金额填到收入列",IF(AND($R218="支",N($J218)=0),"这类业务是付款，金额填到支出列",IF(AND(SUMPRODUCT(--(INDEX(记账规则!$A$13:$H$32,MATCH($E218,记账规则!$A$13:$A$32,0),0)="@对方"))&gt;0,$G218=""),"这个类型要填对方科目",IF(AND($G218&lt;&gt;"",ISNA(MATCH($G218,会计科目表!$B$6:$B$85,0))),"对方科目不存在",IF(AND($E218="缴纳税费",$H218=""),"缴税请在费用项目里选税种",IF(AND($F218&lt;&gt;"",ISNA(MATCH($F218,往来单位!$A$6:$A$85,0))),"往来单位未建档",IF(YEAR($B218)&lt;&gt;参数设置!$B$5,"不在本会计年度",IF(AND($B217&lt;&gt;"",ISNUMBER($B217),$B218&lt;$B217),"日期比上一行早，余额按行序滚，建议按日期录","OK")))))))))))))))</f>
        <v/>
      </c>
      <c r="O218" s="58" t="str">
        <f aca="false">IF($B218="","",TEXT($B218,"yyyy-mm"))</f>
        <v/>
      </c>
      <c r="P218" s="60" t="str">
        <f aca="false">IF($E218="","",ROUND(N($I218)+N($J218),2))</f>
        <v/>
      </c>
      <c r="Q218" s="58" t="str">
        <f aca="false">IF($D218="","",IFERROR(INDEX(资金账户!$F$6:$F$25,MATCH($D218,资金账户!$B$6:$B$25,0)),""))</f>
        <v/>
      </c>
      <c r="R218" s="58" t="str">
        <f aca="false">IF($E218="","",IFERROR(IF(INDEX(记账规则!$A$13:$H$32,MATCH($E218,记账规则!$A$13:$A$32,0),4)="借","收","支"),""))</f>
        <v/>
      </c>
      <c r="S218" s="57" t="str">
        <f aca="false">IF($D218="","",ROUND(SUMIFS(资金账户!$H$6:$H$25,资金账户!$B$6:$B$25,$D218)+SUMIFS($I$6:$I218,$D$6:$D218,$D218)-SUMIFS($J$6:$J218,$D$6:$D218,$D218),2))</f>
        <v/>
      </c>
      <c r="T218" s="61" t="str">
        <f aca="false">IF($B218="","",YEAR($B218))</f>
        <v/>
      </c>
    </row>
    <row r="219" customFormat="false" ht="15" hidden="false" customHeight="false" outlineLevel="0" collapsed="false">
      <c r="A219" s="53" t="str">
        <f aca="false">IF($B219="","",ROW()-5)</f>
        <v/>
      </c>
      <c r="B219" s="54"/>
      <c r="C219" s="33"/>
      <c r="D219" s="33"/>
      <c r="E219" s="33"/>
      <c r="F219" s="32"/>
      <c r="G219" s="41"/>
      <c r="H219" s="39"/>
      <c r="I219" s="43"/>
      <c r="J219" s="43"/>
      <c r="K219" s="41"/>
      <c r="L219" s="39"/>
      <c r="M219" s="41"/>
      <c r="N219" s="25" t="str">
        <f aca="false">IF(AND($B219="",$E219="",$I219="",$J219=""),"",IF(NOT(ISNUMBER($B219)),"日期无效",IF(ISNA(MATCH($C219,参数设置!$A$10:$A$12,0)),"公司无效",IF(ISNA(MATCH($D219,资金账户!$B$6:$B$25,0)),"账户未建档",IF(ISNA(MATCH($E219,记账规则!$A$13:$A$32,0)),"业务类型无效",IF(AND(N($I219)&lt;&gt;0,N($J219)&lt;&gt;0),"收入和支出只能填一列",IF($P219=0,"金额为 0",IF(AND($R219="收",N($I219)=0),"这类业务是收款，金额填到收入列",IF(AND($R219="支",N($J219)=0),"这类业务是付款，金额填到支出列",IF(AND(SUMPRODUCT(--(INDEX(记账规则!$A$13:$H$32,MATCH($E219,记账规则!$A$13:$A$32,0),0)="@对方"))&gt;0,$G219=""),"这个类型要填对方科目",IF(AND($G219&lt;&gt;"",ISNA(MATCH($G219,会计科目表!$B$6:$B$85,0))),"对方科目不存在",IF(AND($E219="缴纳税费",$H219=""),"缴税请在费用项目里选税种",IF(AND($F219&lt;&gt;"",ISNA(MATCH($F219,往来单位!$A$6:$A$85,0))),"往来单位未建档",IF(YEAR($B219)&lt;&gt;参数设置!$B$5,"不在本会计年度",IF(AND($B218&lt;&gt;"",ISNUMBER($B218),$B219&lt;$B218),"日期比上一行早，余额按行序滚，建议按日期录","OK")))))))))))))))</f>
        <v/>
      </c>
      <c r="O219" s="58" t="str">
        <f aca="false">IF($B219="","",TEXT($B219,"yyyy-mm"))</f>
        <v/>
      </c>
      <c r="P219" s="60" t="str">
        <f aca="false">IF($E219="","",ROUND(N($I219)+N($J219),2))</f>
        <v/>
      </c>
      <c r="Q219" s="58" t="str">
        <f aca="false">IF($D219="","",IFERROR(INDEX(资金账户!$F$6:$F$25,MATCH($D219,资金账户!$B$6:$B$25,0)),""))</f>
        <v/>
      </c>
      <c r="R219" s="58" t="str">
        <f aca="false">IF($E219="","",IFERROR(IF(INDEX(记账规则!$A$13:$H$32,MATCH($E219,记账规则!$A$13:$A$32,0),4)="借","收","支"),""))</f>
        <v/>
      </c>
      <c r="S219" s="57" t="str">
        <f aca="false">IF($D219="","",ROUND(SUMIFS(资金账户!$H$6:$H$25,资金账户!$B$6:$B$25,$D219)+SUMIFS($I$6:$I219,$D$6:$D219,$D219)-SUMIFS($J$6:$J219,$D$6:$D219,$D219),2))</f>
        <v/>
      </c>
      <c r="T219" s="61" t="str">
        <f aca="false">IF($B219="","",YEAR($B219))</f>
        <v/>
      </c>
    </row>
    <row r="220" customFormat="false" ht="15" hidden="false" customHeight="false" outlineLevel="0" collapsed="false">
      <c r="A220" s="53" t="str">
        <f aca="false">IF($B220="","",ROW()-5)</f>
        <v/>
      </c>
      <c r="B220" s="54"/>
      <c r="C220" s="33"/>
      <c r="D220" s="33"/>
      <c r="E220" s="33"/>
      <c r="F220" s="32"/>
      <c r="G220" s="41"/>
      <c r="H220" s="39"/>
      <c r="I220" s="43"/>
      <c r="J220" s="43"/>
      <c r="K220" s="41"/>
      <c r="L220" s="39"/>
      <c r="M220" s="41"/>
      <c r="N220" s="25" t="str">
        <f aca="false">IF(AND($B220="",$E220="",$I220="",$J220=""),"",IF(NOT(ISNUMBER($B220)),"日期无效",IF(ISNA(MATCH($C220,参数设置!$A$10:$A$12,0)),"公司无效",IF(ISNA(MATCH($D220,资金账户!$B$6:$B$25,0)),"账户未建档",IF(ISNA(MATCH($E220,记账规则!$A$13:$A$32,0)),"业务类型无效",IF(AND(N($I220)&lt;&gt;0,N($J220)&lt;&gt;0),"收入和支出只能填一列",IF($P220=0,"金额为 0",IF(AND($R220="收",N($I220)=0),"这类业务是收款，金额填到收入列",IF(AND($R220="支",N($J220)=0),"这类业务是付款，金额填到支出列",IF(AND(SUMPRODUCT(--(INDEX(记账规则!$A$13:$H$32,MATCH($E220,记账规则!$A$13:$A$32,0),0)="@对方"))&gt;0,$G220=""),"这个类型要填对方科目",IF(AND($G220&lt;&gt;"",ISNA(MATCH($G220,会计科目表!$B$6:$B$85,0))),"对方科目不存在",IF(AND($E220="缴纳税费",$H220=""),"缴税请在费用项目里选税种",IF(AND($F220&lt;&gt;"",ISNA(MATCH($F220,往来单位!$A$6:$A$85,0))),"往来单位未建档",IF(YEAR($B220)&lt;&gt;参数设置!$B$5,"不在本会计年度",IF(AND($B219&lt;&gt;"",ISNUMBER($B219),$B220&lt;$B219),"日期比上一行早，余额按行序滚，建议按日期录","OK")))))))))))))))</f>
        <v/>
      </c>
      <c r="O220" s="58" t="str">
        <f aca="false">IF($B220="","",TEXT($B220,"yyyy-mm"))</f>
        <v/>
      </c>
      <c r="P220" s="60" t="str">
        <f aca="false">IF($E220="","",ROUND(N($I220)+N($J220),2))</f>
        <v/>
      </c>
      <c r="Q220" s="58" t="str">
        <f aca="false">IF($D220="","",IFERROR(INDEX(资金账户!$F$6:$F$25,MATCH($D220,资金账户!$B$6:$B$25,0)),""))</f>
        <v/>
      </c>
      <c r="R220" s="58" t="str">
        <f aca="false">IF($E220="","",IFERROR(IF(INDEX(记账规则!$A$13:$H$32,MATCH($E220,记账规则!$A$13:$A$32,0),4)="借","收","支"),""))</f>
        <v/>
      </c>
      <c r="S220" s="57" t="str">
        <f aca="false">IF($D220="","",ROUND(SUMIFS(资金账户!$H$6:$H$25,资金账户!$B$6:$B$25,$D220)+SUMIFS($I$6:$I220,$D$6:$D220,$D220)-SUMIFS($J$6:$J220,$D$6:$D220,$D220),2))</f>
        <v/>
      </c>
      <c r="T220" s="61" t="str">
        <f aca="false">IF($B220="","",YEAR($B220))</f>
        <v/>
      </c>
    </row>
    <row r="221" customFormat="false" ht="15" hidden="false" customHeight="false" outlineLevel="0" collapsed="false">
      <c r="A221" s="53" t="str">
        <f aca="false">IF($B221="","",ROW()-5)</f>
        <v/>
      </c>
      <c r="B221" s="54"/>
      <c r="C221" s="33"/>
      <c r="D221" s="33"/>
      <c r="E221" s="33"/>
      <c r="F221" s="32"/>
      <c r="G221" s="41"/>
      <c r="H221" s="39"/>
      <c r="I221" s="43"/>
      <c r="J221" s="43"/>
      <c r="K221" s="41"/>
      <c r="L221" s="39"/>
      <c r="M221" s="41"/>
      <c r="N221" s="25" t="str">
        <f aca="false">IF(AND($B221="",$E221="",$I221="",$J221=""),"",IF(NOT(ISNUMBER($B221)),"日期无效",IF(ISNA(MATCH($C221,参数设置!$A$10:$A$12,0)),"公司无效",IF(ISNA(MATCH($D221,资金账户!$B$6:$B$25,0)),"账户未建档",IF(ISNA(MATCH($E221,记账规则!$A$13:$A$32,0)),"业务类型无效",IF(AND(N($I221)&lt;&gt;0,N($J221)&lt;&gt;0),"收入和支出只能填一列",IF($P221=0,"金额为 0",IF(AND($R221="收",N($I221)=0),"这类业务是收款，金额填到收入列",IF(AND($R221="支",N($J221)=0),"这类业务是付款，金额填到支出列",IF(AND(SUMPRODUCT(--(INDEX(记账规则!$A$13:$H$32,MATCH($E221,记账规则!$A$13:$A$32,0),0)="@对方"))&gt;0,$G221=""),"这个类型要填对方科目",IF(AND($G221&lt;&gt;"",ISNA(MATCH($G221,会计科目表!$B$6:$B$85,0))),"对方科目不存在",IF(AND($E221="缴纳税费",$H221=""),"缴税请在费用项目里选税种",IF(AND($F221&lt;&gt;"",ISNA(MATCH($F221,往来单位!$A$6:$A$85,0))),"往来单位未建档",IF(YEAR($B221)&lt;&gt;参数设置!$B$5,"不在本会计年度",IF(AND($B220&lt;&gt;"",ISNUMBER($B220),$B221&lt;$B220),"日期比上一行早，余额按行序滚，建议按日期录","OK")))))))))))))))</f>
        <v/>
      </c>
      <c r="O221" s="58" t="str">
        <f aca="false">IF($B221="","",TEXT($B221,"yyyy-mm"))</f>
        <v/>
      </c>
      <c r="P221" s="60" t="str">
        <f aca="false">IF($E221="","",ROUND(N($I221)+N($J221),2))</f>
        <v/>
      </c>
      <c r="Q221" s="58" t="str">
        <f aca="false">IF($D221="","",IFERROR(INDEX(资金账户!$F$6:$F$25,MATCH($D221,资金账户!$B$6:$B$25,0)),""))</f>
        <v/>
      </c>
      <c r="R221" s="58" t="str">
        <f aca="false">IF($E221="","",IFERROR(IF(INDEX(记账规则!$A$13:$H$32,MATCH($E221,记账规则!$A$13:$A$32,0),4)="借","收","支"),""))</f>
        <v/>
      </c>
      <c r="S221" s="57" t="str">
        <f aca="false">IF($D221="","",ROUND(SUMIFS(资金账户!$H$6:$H$25,资金账户!$B$6:$B$25,$D221)+SUMIFS($I$6:$I221,$D$6:$D221,$D221)-SUMIFS($J$6:$J221,$D$6:$D221,$D221),2))</f>
        <v/>
      </c>
      <c r="T221" s="61" t="str">
        <f aca="false">IF($B221="","",YEAR($B221))</f>
        <v/>
      </c>
    </row>
    <row r="222" customFormat="false" ht="15" hidden="false" customHeight="false" outlineLevel="0" collapsed="false">
      <c r="A222" s="53" t="str">
        <f aca="false">IF($B222="","",ROW()-5)</f>
        <v/>
      </c>
      <c r="B222" s="54"/>
      <c r="C222" s="33"/>
      <c r="D222" s="33"/>
      <c r="E222" s="33"/>
      <c r="F222" s="32"/>
      <c r="G222" s="41"/>
      <c r="H222" s="39"/>
      <c r="I222" s="43"/>
      <c r="J222" s="43"/>
      <c r="K222" s="41"/>
      <c r="L222" s="39"/>
      <c r="M222" s="41"/>
      <c r="N222" s="25" t="str">
        <f aca="false">IF(AND($B222="",$E222="",$I222="",$J222=""),"",IF(NOT(ISNUMBER($B222)),"日期无效",IF(ISNA(MATCH($C222,参数设置!$A$10:$A$12,0)),"公司无效",IF(ISNA(MATCH($D222,资金账户!$B$6:$B$25,0)),"账户未建档",IF(ISNA(MATCH($E222,记账规则!$A$13:$A$32,0)),"业务类型无效",IF(AND(N($I222)&lt;&gt;0,N($J222)&lt;&gt;0),"收入和支出只能填一列",IF($P222=0,"金额为 0",IF(AND($R222="收",N($I222)=0),"这类业务是收款，金额填到收入列",IF(AND($R222="支",N($J222)=0),"这类业务是付款，金额填到支出列",IF(AND(SUMPRODUCT(--(INDEX(记账规则!$A$13:$H$32,MATCH($E222,记账规则!$A$13:$A$32,0),0)="@对方"))&gt;0,$G222=""),"这个类型要填对方科目",IF(AND($G222&lt;&gt;"",ISNA(MATCH($G222,会计科目表!$B$6:$B$85,0))),"对方科目不存在",IF(AND($E222="缴纳税费",$H222=""),"缴税请在费用项目里选税种",IF(AND($F222&lt;&gt;"",ISNA(MATCH($F222,往来单位!$A$6:$A$85,0))),"往来单位未建档",IF(YEAR($B222)&lt;&gt;参数设置!$B$5,"不在本会计年度",IF(AND($B221&lt;&gt;"",ISNUMBER($B221),$B222&lt;$B221),"日期比上一行早，余额按行序滚，建议按日期录","OK")))))))))))))))</f>
        <v/>
      </c>
      <c r="O222" s="58" t="str">
        <f aca="false">IF($B222="","",TEXT($B222,"yyyy-mm"))</f>
        <v/>
      </c>
      <c r="P222" s="60" t="str">
        <f aca="false">IF($E222="","",ROUND(N($I222)+N($J222),2))</f>
        <v/>
      </c>
      <c r="Q222" s="58" t="str">
        <f aca="false">IF($D222="","",IFERROR(INDEX(资金账户!$F$6:$F$25,MATCH($D222,资金账户!$B$6:$B$25,0)),""))</f>
        <v/>
      </c>
      <c r="R222" s="58" t="str">
        <f aca="false">IF($E222="","",IFERROR(IF(INDEX(记账规则!$A$13:$H$32,MATCH($E222,记账规则!$A$13:$A$32,0),4)="借","收","支"),""))</f>
        <v/>
      </c>
      <c r="S222" s="57" t="str">
        <f aca="false">IF($D222="","",ROUND(SUMIFS(资金账户!$H$6:$H$25,资金账户!$B$6:$B$25,$D222)+SUMIFS($I$6:$I222,$D$6:$D222,$D222)-SUMIFS($J$6:$J222,$D$6:$D222,$D222),2))</f>
        <v/>
      </c>
      <c r="T222" s="61" t="str">
        <f aca="false">IF($B222="","",YEAR($B222))</f>
        <v/>
      </c>
    </row>
    <row r="223" customFormat="false" ht="15" hidden="false" customHeight="false" outlineLevel="0" collapsed="false">
      <c r="A223" s="53" t="str">
        <f aca="false">IF($B223="","",ROW()-5)</f>
        <v/>
      </c>
      <c r="B223" s="54"/>
      <c r="C223" s="33"/>
      <c r="D223" s="33"/>
      <c r="E223" s="33"/>
      <c r="F223" s="32"/>
      <c r="G223" s="41"/>
      <c r="H223" s="39"/>
      <c r="I223" s="43"/>
      <c r="J223" s="43"/>
      <c r="K223" s="41"/>
      <c r="L223" s="39"/>
      <c r="M223" s="41"/>
      <c r="N223" s="25" t="str">
        <f aca="false">IF(AND($B223="",$E223="",$I223="",$J223=""),"",IF(NOT(ISNUMBER($B223)),"日期无效",IF(ISNA(MATCH($C223,参数设置!$A$10:$A$12,0)),"公司无效",IF(ISNA(MATCH($D223,资金账户!$B$6:$B$25,0)),"账户未建档",IF(ISNA(MATCH($E223,记账规则!$A$13:$A$32,0)),"业务类型无效",IF(AND(N($I223)&lt;&gt;0,N($J223)&lt;&gt;0),"收入和支出只能填一列",IF($P223=0,"金额为 0",IF(AND($R223="收",N($I223)=0),"这类业务是收款，金额填到收入列",IF(AND($R223="支",N($J223)=0),"这类业务是付款，金额填到支出列",IF(AND(SUMPRODUCT(--(INDEX(记账规则!$A$13:$H$32,MATCH($E223,记账规则!$A$13:$A$32,0),0)="@对方"))&gt;0,$G223=""),"这个类型要填对方科目",IF(AND($G223&lt;&gt;"",ISNA(MATCH($G223,会计科目表!$B$6:$B$85,0))),"对方科目不存在",IF(AND($E223="缴纳税费",$H223=""),"缴税请在费用项目里选税种",IF(AND($F223&lt;&gt;"",ISNA(MATCH($F223,往来单位!$A$6:$A$85,0))),"往来单位未建档",IF(YEAR($B223)&lt;&gt;参数设置!$B$5,"不在本会计年度",IF(AND($B222&lt;&gt;"",ISNUMBER($B222),$B223&lt;$B222),"日期比上一行早，余额按行序滚，建议按日期录","OK")))))))))))))))</f>
        <v/>
      </c>
      <c r="O223" s="58" t="str">
        <f aca="false">IF($B223="","",TEXT($B223,"yyyy-mm"))</f>
        <v/>
      </c>
      <c r="P223" s="60" t="str">
        <f aca="false">IF($E223="","",ROUND(N($I223)+N($J223),2))</f>
        <v/>
      </c>
      <c r="Q223" s="58" t="str">
        <f aca="false">IF($D223="","",IFERROR(INDEX(资金账户!$F$6:$F$25,MATCH($D223,资金账户!$B$6:$B$25,0)),""))</f>
        <v/>
      </c>
      <c r="R223" s="58" t="str">
        <f aca="false">IF($E223="","",IFERROR(IF(INDEX(记账规则!$A$13:$H$32,MATCH($E223,记账规则!$A$13:$A$32,0),4)="借","收","支"),""))</f>
        <v/>
      </c>
      <c r="S223" s="57" t="str">
        <f aca="false">IF($D223="","",ROUND(SUMIFS(资金账户!$H$6:$H$25,资金账户!$B$6:$B$25,$D223)+SUMIFS($I$6:$I223,$D$6:$D223,$D223)-SUMIFS($J$6:$J223,$D$6:$D223,$D223),2))</f>
        <v/>
      </c>
      <c r="T223" s="61" t="str">
        <f aca="false">IF($B223="","",YEAR($B223))</f>
        <v/>
      </c>
    </row>
    <row r="224" customFormat="false" ht="15" hidden="false" customHeight="false" outlineLevel="0" collapsed="false">
      <c r="A224" s="53" t="str">
        <f aca="false">IF($B224="","",ROW()-5)</f>
        <v/>
      </c>
      <c r="B224" s="54"/>
      <c r="C224" s="33"/>
      <c r="D224" s="33"/>
      <c r="E224" s="33"/>
      <c r="F224" s="32"/>
      <c r="G224" s="41"/>
      <c r="H224" s="39"/>
      <c r="I224" s="43"/>
      <c r="J224" s="43"/>
      <c r="K224" s="41"/>
      <c r="L224" s="39"/>
      <c r="M224" s="41"/>
      <c r="N224" s="25" t="str">
        <f aca="false">IF(AND($B224="",$E224="",$I224="",$J224=""),"",IF(NOT(ISNUMBER($B224)),"日期无效",IF(ISNA(MATCH($C224,参数设置!$A$10:$A$12,0)),"公司无效",IF(ISNA(MATCH($D224,资金账户!$B$6:$B$25,0)),"账户未建档",IF(ISNA(MATCH($E224,记账规则!$A$13:$A$32,0)),"业务类型无效",IF(AND(N($I224)&lt;&gt;0,N($J224)&lt;&gt;0),"收入和支出只能填一列",IF($P224=0,"金额为 0",IF(AND($R224="收",N($I224)=0),"这类业务是收款，金额填到收入列",IF(AND($R224="支",N($J224)=0),"这类业务是付款，金额填到支出列",IF(AND(SUMPRODUCT(--(INDEX(记账规则!$A$13:$H$32,MATCH($E224,记账规则!$A$13:$A$32,0),0)="@对方"))&gt;0,$G224=""),"这个类型要填对方科目",IF(AND($G224&lt;&gt;"",ISNA(MATCH($G224,会计科目表!$B$6:$B$85,0))),"对方科目不存在",IF(AND($E224="缴纳税费",$H224=""),"缴税请在费用项目里选税种",IF(AND($F224&lt;&gt;"",ISNA(MATCH($F224,往来单位!$A$6:$A$85,0))),"往来单位未建档",IF(YEAR($B224)&lt;&gt;参数设置!$B$5,"不在本会计年度",IF(AND($B223&lt;&gt;"",ISNUMBER($B223),$B224&lt;$B223),"日期比上一行早，余额按行序滚，建议按日期录","OK")))))))))))))))</f>
        <v/>
      </c>
      <c r="O224" s="58" t="str">
        <f aca="false">IF($B224="","",TEXT($B224,"yyyy-mm"))</f>
        <v/>
      </c>
      <c r="P224" s="60" t="str">
        <f aca="false">IF($E224="","",ROUND(N($I224)+N($J224),2))</f>
        <v/>
      </c>
      <c r="Q224" s="58" t="str">
        <f aca="false">IF($D224="","",IFERROR(INDEX(资金账户!$F$6:$F$25,MATCH($D224,资金账户!$B$6:$B$25,0)),""))</f>
        <v/>
      </c>
      <c r="R224" s="58" t="str">
        <f aca="false">IF($E224="","",IFERROR(IF(INDEX(记账规则!$A$13:$H$32,MATCH($E224,记账规则!$A$13:$A$32,0),4)="借","收","支"),""))</f>
        <v/>
      </c>
      <c r="S224" s="57" t="str">
        <f aca="false">IF($D224="","",ROUND(SUMIFS(资金账户!$H$6:$H$25,资金账户!$B$6:$B$25,$D224)+SUMIFS($I$6:$I224,$D$6:$D224,$D224)-SUMIFS($J$6:$J224,$D$6:$D224,$D224),2))</f>
        <v/>
      </c>
      <c r="T224" s="61" t="str">
        <f aca="false">IF($B224="","",YEAR($B224))</f>
        <v/>
      </c>
    </row>
    <row r="225" customFormat="false" ht="15" hidden="false" customHeight="false" outlineLevel="0" collapsed="false">
      <c r="A225" s="53" t="str">
        <f aca="false">IF($B225="","",ROW()-5)</f>
        <v/>
      </c>
      <c r="B225" s="54"/>
      <c r="C225" s="33"/>
      <c r="D225" s="33"/>
      <c r="E225" s="33"/>
      <c r="F225" s="32"/>
      <c r="G225" s="41"/>
      <c r="H225" s="39"/>
      <c r="I225" s="43"/>
      <c r="J225" s="43"/>
      <c r="K225" s="41"/>
      <c r="L225" s="39"/>
      <c r="M225" s="41"/>
      <c r="N225" s="25" t="str">
        <f aca="false">IF(AND($B225="",$E225="",$I225="",$J225=""),"",IF(NOT(ISNUMBER($B225)),"日期无效",IF(ISNA(MATCH($C225,参数设置!$A$10:$A$12,0)),"公司无效",IF(ISNA(MATCH($D225,资金账户!$B$6:$B$25,0)),"账户未建档",IF(ISNA(MATCH($E225,记账规则!$A$13:$A$32,0)),"业务类型无效",IF(AND(N($I225)&lt;&gt;0,N($J225)&lt;&gt;0),"收入和支出只能填一列",IF($P225=0,"金额为 0",IF(AND($R225="收",N($I225)=0),"这类业务是收款，金额填到收入列",IF(AND($R225="支",N($J225)=0),"这类业务是付款，金额填到支出列",IF(AND(SUMPRODUCT(--(INDEX(记账规则!$A$13:$H$32,MATCH($E225,记账规则!$A$13:$A$32,0),0)="@对方"))&gt;0,$G225=""),"这个类型要填对方科目",IF(AND($G225&lt;&gt;"",ISNA(MATCH($G225,会计科目表!$B$6:$B$85,0))),"对方科目不存在",IF(AND($E225="缴纳税费",$H225=""),"缴税请在费用项目里选税种",IF(AND($F225&lt;&gt;"",ISNA(MATCH($F225,往来单位!$A$6:$A$85,0))),"往来单位未建档",IF(YEAR($B225)&lt;&gt;参数设置!$B$5,"不在本会计年度",IF(AND($B224&lt;&gt;"",ISNUMBER($B224),$B225&lt;$B224),"日期比上一行早，余额按行序滚，建议按日期录","OK")))))))))))))))</f>
        <v/>
      </c>
      <c r="O225" s="58" t="str">
        <f aca="false">IF($B225="","",TEXT($B225,"yyyy-mm"))</f>
        <v/>
      </c>
      <c r="P225" s="60" t="str">
        <f aca="false">IF($E225="","",ROUND(N($I225)+N($J225),2))</f>
        <v/>
      </c>
      <c r="Q225" s="58" t="str">
        <f aca="false">IF($D225="","",IFERROR(INDEX(资金账户!$F$6:$F$25,MATCH($D225,资金账户!$B$6:$B$25,0)),""))</f>
        <v/>
      </c>
      <c r="R225" s="58" t="str">
        <f aca="false">IF($E225="","",IFERROR(IF(INDEX(记账规则!$A$13:$H$32,MATCH($E225,记账规则!$A$13:$A$32,0),4)="借","收","支"),""))</f>
        <v/>
      </c>
      <c r="S225" s="57" t="str">
        <f aca="false">IF($D225="","",ROUND(SUMIFS(资金账户!$H$6:$H$25,资金账户!$B$6:$B$25,$D225)+SUMIFS($I$6:$I225,$D$6:$D225,$D225)-SUMIFS($J$6:$J225,$D$6:$D225,$D225),2))</f>
        <v/>
      </c>
      <c r="T225" s="61" t="str">
        <f aca="false">IF($B225="","",YEAR($B225))</f>
        <v/>
      </c>
    </row>
    <row r="226" customFormat="false" ht="15" hidden="false" customHeight="false" outlineLevel="0" collapsed="false">
      <c r="A226" s="53" t="str">
        <f aca="false">IF($B226="","",ROW()-5)</f>
        <v/>
      </c>
      <c r="B226" s="54"/>
      <c r="C226" s="33"/>
      <c r="D226" s="33"/>
      <c r="E226" s="33"/>
      <c r="F226" s="32"/>
      <c r="G226" s="41"/>
      <c r="H226" s="39"/>
      <c r="I226" s="43"/>
      <c r="J226" s="43"/>
      <c r="K226" s="41"/>
      <c r="L226" s="39"/>
      <c r="M226" s="41"/>
      <c r="N226" s="25" t="str">
        <f aca="false">IF(AND($B226="",$E226="",$I226="",$J226=""),"",IF(NOT(ISNUMBER($B226)),"日期无效",IF(ISNA(MATCH($C226,参数设置!$A$10:$A$12,0)),"公司无效",IF(ISNA(MATCH($D226,资金账户!$B$6:$B$25,0)),"账户未建档",IF(ISNA(MATCH($E226,记账规则!$A$13:$A$32,0)),"业务类型无效",IF(AND(N($I226)&lt;&gt;0,N($J226)&lt;&gt;0),"收入和支出只能填一列",IF($P226=0,"金额为 0",IF(AND($R226="收",N($I226)=0),"这类业务是收款，金额填到收入列",IF(AND($R226="支",N($J226)=0),"这类业务是付款，金额填到支出列",IF(AND(SUMPRODUCT(--(INDEX(记账规则!$A$13:$H$32,MATCH($E226,记账规则!$A$13:$A$32,0),0)="@对方"))&gt;0,$G226=""),"这个类型要填对方科目",IF(AND($G226&lt;&gt;"",ISNA(MATCH($G226,会计科目表!$B$6:$B$85,0))),"对方科目不存在",IF(AND($E226="缴纳税费",$H226=""),"缴税请在费用项目里选税种",IF(AND($F226&lt;&gt;"",ISNA(MATCH($F226,往来单位!$A$6:$A$85,0))),"往来单位未建档",IF(YEAR($B226)&lt;&gt;参数设置!$B$5,"不在本会计年度",IF(AND($B225&lt;&gt;"",ISNUMBER($B225),$B226&lt;$B225),"日期比上一行早，余额按行序滚，建议按日期录","OK")))))))))))))))</f>
        <v/>
      </c>
      <c r="O226" s="58" t="str">
        <f aca="false">IF($B226="","",TEXT($B226,"yyyy-mm"))</f>
        <v/>
      </c>
      <c r="P226" s="60" t="str">
        <f aca="false">IF($E226="","",ROUND(N($I226)+N($J226),2))</f>
        <v/>
      </c>
      <c r="Q226" s="58" t="str">
        <f aca="false">IF($D226="","",IFERROR(INDEX(资金账户!$F$6:$F$25,MATCH($D226,资金账户!$B$6:$B$25,0)),""))</f>
        <v/>
      </c>
      <c r="R226" s="58" t="str">
        <f aca="false">IF($E226="","",IFERROR(IF(INDEX(记账规则!$A$13:$H$32,MATCH($E226,记账规则!$A$13:$A$32,0),4)="借","收","支"),""))</f>
        <v/>
      </c>
      <c r="S226" s="57" t="str">
        <f aca="false">IF($D226="","",ROUND(SUMIFS(资金账户!$H$6:$H$25,资金账户!$B$6:$B$25,$D226)+SUMIFS($I$6:$I226,$D$6:$D226,$D226)-SUMIFS($J$6:$J226,$D$6:$D226,$D226),2))</f>
        <v/>
      </c>
      <c r="T226" s="61" t="str">
        <f aca="false">IF($B226="","",YEAR($B226))</f>
        <v/>
      </c>
    </row>
    <row r="227" customFormat="false" ht="15" hidden="false" customHeight="false" outlineLevel="0" collapsed="false">
      <c r="A227" s="53" t="str">
        <f aca="false">IF($B227="","",ROW()-5)</f>
        <v/>
      </c>
      <c r="B227" s="54"/>
      <c r="C227" s="33"/>
      <c r="D227" s="33"/>
      <c r="E227" s="33"/>
      <c r="F227" s="32"/>
      <c r="G227" s="41"/>
      <c r="H227" s="39"/>
      <c r="I227" s="43"/>
      <c r="J227" s="43"/>
      <c r="K227" s="41"/>
      <c r="L227" s="39"/>
      <c r="M227" s="41"/>
      <c r="N227" s="25" t="str">
        <f aca="false">IF(AND($B227="",$E227="",$I227="",$J227=""),"",IF(NOT(ISNUMBER($B227)),"日期无效",IF(ISNA(MATCH($C227,参数设置!$A$10:$A$12,0)),"公司无效",IF(ISNA(MATCH($D227,资金账户!$B$6:$B$25,0)),"账户未建档",IF(ISNA(MATCH($E227,记账规则!$A$13:$A$32,0)),"业务类型无效",IF(AND(N($I227)&lt;&gt;0,N($J227)&lt;&gt;0),"收入和支出只能填一列",IF($P227=0,"金额为 0",IF(AND($R227="收",N($I227)=0),"这类业务是收款，金额填到收入列",IF(AND($R227="支",N($J227)=0),"这类业务是付款，金额填到支出列",IF(AND(SUMPRODUCT(--(INDEX(记账规则!$A$13:$H$32,MATCH($E227,记账规则!$A$13:$A$32,0),0)="@对方"))&gt;0,$G227=""),"这个类型要填对方科目",IF(AND($G227&lt;&gt;"",ISNA(MATCH($G227,会计科目表!$B$6:$B$85,0))),"对方科目不存在",IF(AND($E227="缴纳税费",$H227=""),"缴税请在费用项目里选税种",IF(AND($F227&lt;&gt;"",ISNA(MATCH($F227,往来单位!$A$6:$A$85,0))),"往来单位未建档",IF(YEAR($B227)&lt;&gt;参数设置!$B$5,"不在本会计年度",IF(AND($B226&lt;&gt;"",ISNUMBER($B226),$B227&lt;$B226),"日期比上一行早，余额按行序滚，建议按日期录","OK")))))))))))))))</f>
        <v/>
      </c>
      <c r="O227" s="58" t="str">
        <f aca="false">IF($B227="","",TEXT($B227,"yyyy-mm"))</f>
        <v/>
      </c>
      <c r="P227" s="60" t="str">
        <f aca="false">IF($E227="","",ROUND(N($I227)+N($J227),2))</f>
        <v/>
      </c>
      <c r="Q227" s="58" t="str">
        <f aca="false">IF($D227="","",IFERROR(INDEX(资金账户!$F$6:$F$25,MATCH($D227,资金账户!$B$6:$B$25,0)),""))</f>
        <v/>
      </c>
      <c r="R227" s="58" t="str">
        <f aca="false">IF($E227="","",IFERROR(IF(INDEX(记账规则!$A$13:$H$32,MATCH($E227,记账规则!$A$13:$A$32,0),4)="借","收","支"),""))</f>
        <v/>
      </c>
      <c r="S227" s="57" t="str">
        <f aca="false">IF($D227="","",ROUND(SUMIFS(资金账户!$H$6:$H$25,资金账户!$B$6:$B$25,$D227)+SUMIFS($I$6:$I227,$D$6:$D227,$D227)-SUMIFS($J$6:$J227,$D$6:$D227,$D227),2))</f>
        <v/>
      </c>
      <c r="T227" s="61" t="str">
        <f aca="false">IF($B227="","",YEAR($B227))</f>
        <v/>
      </c>
    </row>
    <row r="228" customFormat="false" ht="15" hidden="false" customHeight="false" outlineLevel="0" collapsed="false">
      <c r="A228" s="53" t="str">
        <f aca="false">IF($B228="","",ROW()-5)</f>
        <v/>
      </c>
      <c r="B228" s="54"/>
      <c r="C228" s="33"/>
      <c r="D228" s="33"/>
      <c r="E228" s="33"/>
      <c r="F228" s="32"/>
      <c r="G228" s="41"/>
      <c r="H228" s="39"/>
      <c r="I228" s="43"/>
      <c r="J228" s="43"/>
      <c r="K228" s="41"/>
      <c r="L228" s="39"/>
      <c r="M228" s="41"/>
      <c r="N228" s="25" t="str">
        <f aca="false">IF(AND($B228="",$E228="",$I228="",$J228=""),"",IF(NOT(ISNUMBER($B228)),"日期无效",IF(ISNA(MATCH($C228,参数设置!$A$10:$A$12,0)),"公司无效",IF(ISNA(MATCH($D228,资金账户!$B$6:$B$25,0)),"账户未建档",IF(ISNA(MATCH($E228,记账规则!$A$13:$A$32,0)),"业务类型无效",IF(AND(N($I228)&lt;&gt;0,N($J228)&lt;&gt;0),"收入和支出只能填一列",IF($P228=0,"金额为 0",IF(AND($R228="收",N($I228)=0),"这类业务是收款，金额填到收入列",IF(AND($R228="支",N($J228)=0),"这类业务是付款，金额填到支出列",IF(AND(SUMPRODUCT(--(INDEX(记账规则!$A$13:$H$32,MATCH($E228,记账规则!$A$13:$A$32,0),0)="@对方"))&gt;0,$G228=""),"这个类型要填对方科目",IF(AND($G228&lt;&gt;"",ISNA(MATCH($G228,会计科目表!$B$6:$B$85,0))),"对方科目不存在",IF(AND($E228="缴纳税费",$H228=""),"缴税请在费用项目里选税种",IF(AND($F228&lt;&gt;"",ISNA(MATCH($F228,往来单位!$A$6:$A$85,0))),"往来单位未建档",IF(YEAR($B228)&lt;&gt;参数设置!$B$5,"不在本会计年度",IF(AND($B227&lt;&gt;"",ISNUMBER($B227),$B228&lt;$B227),"日期比上一行早，余额按行序滚，建议按日期录","OK")))))))))))))))</f>
        <v/>
      </c>
      <c r="O228" s="58" t="str">
        <f aca="false">IF($B228="","",TEXT($B228,"yyyy-mm"))</f>
        <v/>
      </c>
      <c r="P228" s="60" t="str">
        <f aca="false">IF($E228="","",ROUND(N($I228)+N($J228),2))</f>
        <v/>
      </c>
      <c r="Q228" s="58" t="str">
        <f aca="false">IF($D228="","",IFERROR(INDEX(资金账户!$F$6:$F$25,MATCH($D228,资金账户!$B$6:$B$25,0)),""))</f>
        <v/>
      </c>
      <c r="R228" s="58" t="str">
        <f aca="false">IF($E228="","",IFERROR(IF(INDEX(记账规则!$A$13:$H$32,MATCH($E228,记账规则!$A$13:$A$32,0),4)="借","收","支"),""))</f>
        <v/>
      </c>
      <c r="S228" s="57" t="str">
        <f aca="false">IF($D228="","",ROUND(SUMIFS(资金账户!$H$6:$H$25,资金账户!$B$6:$B$25,$D228)+SUMIFS($I$6:$I228,$D$6:$D228,$D228)-SUMIFS($J$6:$J228,$D$6:$D228,$D228),2))</f>
        <v/>
      </c>
      <c r="T228" s="61" t="str">
        <f aca="false">IF($B228="","",YEAR($B228))</f>
        <v/>
      </c>
    </row>
    <row r="229" customFormat="false" ht="15" hidden="false" customHeight="false" outlineLevel="0" collapsed="false">
      <c r="A229" s="53" t="str">
        <f aca="false">IF($B229="","",ROW()-5)</f>
        <v/>
      </c>
      <c r="B229" s="54"/>
      <c r="C229" s="33"/>
      <c r="D229" s="33"/>
      <c r="E229" s="33"/>
      <c r="F229" s="32"/>
      <c r="G229" s="41"/>
      <c r="H229" s="39"/>
      <c r="I229" s="43"/>
      <c r="J229" s="43"/>
      <c r="K229" s="41"/>
      <c r="L229" s="39"/>
      <c r="M229" s="41"/>
      <c r="N229" s="25" t="str">
        <f aca="false">IF(AND($B229="",$E229="",$I229="",$J229=""),"",IF(NOT(ISNUMBER($B229)),"日期无效",IF(ISNA(MATCH($C229,参数设置!$A$10:$A$12,0)),"公司无效",IF(ISNA(MATCH($D229,资金账户!$B$6:$B$25,0)),"账户未建档",IF(ISNA(MATCH($E229,记账规则!$A$13:$A$32,0)),"业务类型无效",IF(AND(N($I229)&lt;&gt;0,N($J229)&lt;&gt;0),"收入和支出只能填一列",IF($P229=0,"金额为 0",IF(AND($R229="收",N($I229)=0),"这类业务是收款，金额填到收入列",IF(AND($R229="支",N($J229)=0),"这类业务是付款，金额填到支出列",IF(AND(SUMPRODUCT(--(INDEX(记账规则!$A$13:$H$32,MATCH($E229,记账规则!$A$13:$A$32,0),0)="@对方"))&gt;0,$G229=""),"这个类型要填对方科目",IF(AND($G229&lt;&gt;"",ISNA(MATCH($G229,会计科目表!$B$6:$B$85,0))),"对方科目不存在",IF(AND($E229="缴纳税费",$H229=""),"缴税请在费用项目里选税种",IF(AND($F229&lt;&gt;"",ISNA(MATCH($F229,往来单位!$A$6:$A$85,0))),"往来单位未建档",IF(YEAR($B229)&lt;&gt;参数设置!$B$5,"不在本会计年度",IF(AND($B228&lt;&gt;"",ISNUMBER($B228),$B229&lt;$B228),"日期比上一行早，余额按行序滚，建议按日期录","OK")))))))))))))))</f>
        <v/>
      </c>
      <c r="O229" s="58" t="str">
        <f aca="false">IF($B229="","",TEXT($B229,"yyyy-mm"))</f>
        <v/>
      </c>
      <c r="P229" s="60" t="str">
        <f aca="false">IF($E229="","",ROUND(N($I229)+N($J229),2))</f>
        <v/>
      </c>
      <c r="Q229" s="58" t="str">
        <f aca="false">IF($D229="","",IFERROR(INDEX(资金账户!$F$6:$F$25,MATCH($D229,资金账户!$B$6:$B$25,0)),""))</f>
        <v/>
      </c>
      <c r="R229" s="58" t="str">
        <f aca="false">IF($E229="","",IFERROR(IF(INDEX(记账规则!$A$13:$H$32,MATCH($E229,记账规则!$A$13:$A$32,0),4)="借","收","支"),""))</f>
        <v/>
      </c>
      <c r="S229" s="57" t="str">
        <f aca="false">IF($D229="","",ROUND(SUMIFS(资金账户!$H$6:$H$25,资金账户!$B$6:$B$25,$D229)+SUMIFS($I$6:$I229,$D$6:$D229,$D229)-SUMIFS($J$6:$J229,$D$6:$D229,$D229),2))</f>
        <v/>
      </c>
      <c r="T229" s="61" t="str">
        <f aca="false">IF($B229="","",YEAR($B229))</f>
        <v/>
      </c>
    </row>
    <row r="230" customFormat="false" ht="15" hidden="false" customHeight="false" outlineLevel="0" collapsed="false">
      <c r="A230" s="53" t="str">
        <f aca="false">IF($B230="","",ROW()-5)</f>
        <v/>
      </c>
      <c r="B230" s="54"/>
      <c r="C230" s="33"/>
      <c r="D230" s="33"/>
      <c r="E230" s="33"/>
      <c r="F230" s="32"/>
      <c r="G230" s="41"/>
      <c r="H230" s="39"/>
      <c r="I230" s="43"/>
      <c r="J230" s="43"/>
      <c r="K230" s="41"/>
      <c r="L230" s="39"/>
      <c r="M230" s="41"/>
      <c r="N230" s="25" t="str">
        <f aca="false">IF(AND($B230="",$E230="",$I230="",$J230=""),"",IF(NOT(ISNUMBER($B230)),"日期无效",IF(ISNA(MATCH($C230,参数设置!$A$10:$A$12,0)),"公司无效",IF(ISNA(MATCH($D230,资金账户!$B$6:$B$25,0)),"账户未建档",IF(ISNA(MATCH($E230,记账规则!$A$13:$A$32,0)),"业务类型无效",IF(AND(N($I230)&lt;&gt;0,N($J230)&lt;&gt;0),"收入和支出只能填一列",IF($P230=0,"金额为 0",IF(AND($R230="收",N($I230)=0),"这类业务是收款，金额填到收入列",IF(AND($R230="支",N($J230)=0),"这类业务是付款，金额填到支出列",IF(AND(SUMPRODUCT(--(INDEX(记账规则!$A$13:$H$32,MATCH($E230,记账规则!$A$13:$A$32,0),0)="@对方"))&gt;0,$G230=""),"这个类型要填对方科目",IF(AND($G230&lt;&gt;"",ISNA(MATCH($G230,会计科目表!$B$6:$B$85,0))),"对方科目不存在",IF(AND($E230="缴纳税费",$H230=""),"缴税请在费用项目里选税种",IF(AND($F230&lt;&gt;"",ISNA(MATCH($F230,往来单位!$A$6:$A$85,0))),"往来单位未建档",IF(YEAR($B230)&lt;&gt;参数设置!$B$5,"不在本会计年度",IF(AND($B229&lt;&gt;"",ISNUMBER($B229),$B230&lt;$B229),"日期比上一行早，余额按行序滚，建议按日期录","OK")))))))))))))))</f>
        <v/>
      </c>
      <c r="O230" s="58" t="str">
        <f aca="false">IF($B230="","",TEXT($B230,"yyyy-mm"))</f>
        <v/>
      </c>
      <c r="P230" s="60" t="str">
        <f aca="false">IF($E230="","",ROUND(N($I230)+N($J230),2))</f>
        <v/>
      </c>
      <c r="Q230" s="58" t="str">
        <f aca="false">IF($D230="","",IFERROR(INDEX(资金账户!$F$6:$F$25,MATCH($D230,资金账户!$B$6:$B$25,0)),""))</f>
        <v/>
      </c>
      <c r="R230" s="58" t="str">
        <f aca="false">IF($E230="","",IFERROR(IF(INDEX(记账规则!$A$13:$H$32,MATCH($E230,记账规则!$A$13:$A$32,0),4)="借","收","支"),""))</f>
        <v/>
      </c>
      <c r="S230" s="57" t="str">
        <f aca="false">IF($D230="","",ROUND(SUMIFS(资金账户!$H$6:$H$25,资金账户!$B$6:$B$25,$D230)+SUMIFS($I$6:$I230,$D$6:$D230,$D230)-SUMIFS($J$6:$J230,$D$6:$D230,$D230),2))</f>
        <v/>
      </c>
      <c r="T230" s="61" t="str">
        <f aca="false">IF($B230="","",YEAR($B230))</f>
        <v/>
      </c>
    </row>
    <row r="231" customFormat="false" ht="15" hidden="false" customHeight="false" outlineLevel="0" collapsed="false">
      <c r="A231" s="53" t="str">
        <f aca="false">IF($B231="","",ROW()-5)</f>
        <v/>
      </c>
      <c r="B231" s="54"/>
      <c r="C231" s="33"/>
      <c r="D231" s="33"/>
      <c r="E231" s="33"/>
      <c r="F231" s="32"/>
      <c r="G231" s="41"/>
      <c r="H231" s="39"/>
      <c r="I231" s="43"/>
      <c r="J231" s="43"/>
      <c r="K231" s="41"/>
      <c r="L231" s="39"/>
      <c r="M231" s="41"/>
      <c r="N231" s="25" t="str">
        <f aca="false">IF(AND($B231="",$E231="",$I231="",$J231=""),"",IF(NOT(ISNUMBER($B231)),"日期无效",IF(ISNA(MATCH($C231,参数设置!$A$10:$A$12,0)),"公司无效",IF(ISNA(MATCH($D231,资金账户!$B$6:$B$25,0)),"账户未建档",IF(ISNA(MATCH($E231,记账规则!$A$13:$A$32,0)),"业务类型无效",IF(AND(N($I231)&lt;&gt;0,N($J231)&lt;&gt;0),"收入和支出只能填一列",IF($P231=0,"金额为 0",IF(AND($R231="收",N($I231)=0),"这类业务是收款，金额填到收入列",IF(AND($R231="支",N($J231)=0),"这类业务是付款，金额填到支出列",IF(AND(SUMPRODUCT(--(INDEX(记账规则!$A$13:$H$32,MATCH($E231,记账规则!$A$13:$A$32,0),0)="@对方"))&gt;0,$G231=""),"这个类型要填对方科目",IF(AND($G231&lt;&gt;"",ISNA(MATCH($G231,会计科目表!$B$6:$B$85,0))),"对方科目不存在",IF(AND($E231="缴纳税费",$H231=""),"缴税请在费用项目里选税种",IF(AND($F231&lt;&gt;"",ISNA(MATCH($F231,往来单位!$A$6:$A$85,0))),"往来单位未建档",IF(YEAR($B231)&lt;&gt;参数设置!$B$5,"不在本会计年度",IF(AND($B230&lt;&gt;"",ISNUMBER($B230),$B231&lt;$B230),"日期比上一行早，余额按行序滚，建议按日期录","OK")))))))))))))))</f>
        <v/>
      </c>
      <c r="O231" s="58" t="str">
        <f aca="false">IF($B231="","",TEXT($B231,"yyyy-mm"))</f>
        <v/>
      </c>
      <c r="P231" s="60" t="str">
        <f aca="false">IF($E231="","",ROUND(N($I231)+N($J231),2))</f>
        <v/>
      </c>
      <c r="Q231" s="58" t="str">
        <f aca="false">IF($D231="","",IFERROR(INDEX(资金账户!$F$6:$F$25,MATCH($D231,资金账户!$B$6:$B$25,0)),""))</f>
        <v/>
      </c>
      <c r="R231" s="58" t="str">
        <f aca="false">IF($E231="","",IFERROR(IF(INDEX(记账规则!$A$13:$H$32,MATCH($E231,记账规则!$A$13:$A$32,0),4)="借","收","支"),""))</f>
        <v/>
      </c>
      <c r="S231" s="57" t="str">
        <f aca="false">IF($D231="","",ROUND(SUMIFS(资金账户!$H$6:$H$25,资金账户!$B$6:$B$25,$D231)+SUMIFS($I$6:$I231,$D$6:$D231,$D231)-SUMIFS($J$6:$J231,$D$6:$D231,$D231),2))</f>
        <v/>
      </c>
      <c r="T231" s="61" t="str">
        <f aca="false">IF($B231="","",YEAR($B231))</f>
        <v/>
      </c>
    </row>
    <row r="232" customFormat="false" ht="15" hidden="false" customHeight="false" outlineLevel="0" collapsed="false">
      <c r="A232" s="53" t="str">
        <f aca="false">IF($B232="","",ROW()-5)</f>
        <v/>
      </c>
      <c r="B232" s="54"/>
      <c r="C232" s="33"/>
      <c r="D232" s="33"/>
      <c r="E232" s="33"/>
      <c r="F232" s="32"/>
      <c r="G232" s="41"/>
      <c r="H232" s="39"/>
      <c r="I232" s="43"/>
      <c r="J232" s="43"/>
      <c r="K232" s="41"/>
      <c r="L232" s="39"/>
      <c r="M232" s="41"/>
      <c r="N232" s="25" t="str">
        <f aca="false">IF(AND($B232="",$E232="",$I232="",$J232=""),"",IF(NOT(ISNUMBER($B232)),"日期无效",IF(ISNA(MATCH($C232,参数设置!$A$10:$A$12,0)),"公司无效",IF(ISNA(MATCH($D232,资金账户!$B$6:$B$25,0)),"账户未建档",IF(ISNA(MATCH($E232,记账规则!$A$13:$A$32,0)),"业务类型无效",IF(AND(N($I232)&lt;&gt;0,N($J232)&lt;&gt;0),"收入和支出只能填一列",IF($P232=0,"金额为 0",IF(AND($R232="收",N($I232)=0),"这类业务是收款，金额填到收入列",IF(AND($R232="支",N($J232)=0),"这类业务是付款，金额填到支出列",IF(AND(SUMPRODUCT(--(INDEX(记账规则!$A$13:$H$32,MATCH($E232,记账规则!$A$13:$A$32,0),0)="@对方"))&gt;0,$G232=""),"这个类型要填对方科目",IF(AND($G232&lt;&gt;"",ISNA(MATCH($G232,会计科目表!$B$6:$B$85,0))),"对方科目不存在",IF(AND($E232="缴纳税费",$H232=""),"缴税请在费用项目里选税种",IF(AND($F232&lt;&gt;"",ISNA(MATCH($F232,往来单位!$A$6:$A$85,0))),"往来单位未建档",IF(YEAR($B232)&lt;&gt;参数设置!$B$5,"不在本会计年度",IF(AND($B231&lt;&gt;"",ISNUMBER($B231),$B232&lt;$B231),"日期比上一行早，余额按行序滚，建议按日期录","OK")))))))))))))))</f>
        <v/>
      </c>
      <c r="O232" s="58" t="str">
        <f aca="false">IF($B232="","",TEXT($B232,"yyyy-mm"))</f>
        <v/>
      </c>
      <c r="P232" s="60" t="str">
        <f aca="false">IF($E232="","",ROUND(N($I232)+N($J232),2))</f>
        <v/>
      </c>
      <c r="Q232" s="58" t="str">
        <f aca="false">IF($D232="","",IFERROR(INDEX(资金账户!$F$6:$F$25,MATCH($D232,资金账户!$B$6:$B$25,0)),""))</f>
        <v/>
      </c>
      <c r="R232" s="58" t="str">
        <f aca="false">IF($E232="","",IFERROR(IF(INDEX(记账规则!$A$13:$H$32,MATCH($E232,记账规则!$A$13:$A$32,0),4)="借","收","支"),""))</f>
        <v/>
      </c>
      <c r="S232" s="57" t="str">
        <f aca="false">IF($D232="","",ROUND(SUMIFS(资金账户!$H$6:$H$25,资金账户!$B$6:$B$25,$D232)+SUMIFS($I$6:$I232,$D$6:$D232,$D232)-SUMIFS($J$6:$J232,$D$6:$D232,$D232),2))</f>
        <v/>
      </c>
      <c r="T232" s="61" t="str">
        <f aca="false">IF($B232="","",YEAR($B232))</f>
        <v/>
      </c>
    </row>
    <row r="233" customFormat="false" ht="15" hidden="false" customHeight="false" outlineLevel="0" collapsed="false">
      <c r="A233" s="53" t="str">
        <f aca="false">IF($B233="","",ROW()-5)</f>
        <v/>
      </c>
      <c r="B233" s="54"/>
      <c r="C233" s="33"/>
      <c r="D233" s="33"/>
      <c r="E233" s="33"/>
      <c r="F233" s="32"/>
      <c r="G233" s="41"/>
      <c r="H233" s="39"/>
      <c r="I233" s="43"/>
      <c r="J233" s="43"/>
      <c r="K233" s="41"/>
      <c r="L233" s="39"/>
      <c r="M233" s="41"/>
      <c r="N233" s="25" t="str">
        <f aca="false">IF(AND($B233="",$E233="",$I233="",$J233=""),"",IF(NOT(ISNUMBER($B233)),"日期无效",IF(ISNA(MATCH($C233,参数设置!$A$10:$A$12,0)),"公司无效",IF(ISNA(MATCH($D233,资金账户!$B$6:$B$25,0)),"账户未建档",IF(ISNA(MATCH($E233,记账规则!$A$13:$A$32,0)),"业务类型无效",IF(AND(N($I233)&lt;&gt;0,N($J233)&lt;&gt;0),"收入和支出只能填一列",IF($P233=0,"金额为 0",IF(AND($R233="收",N($I233)=0),"这类业务是收款，金额填到收入列",IF(AND($R233="支",N($J233)=0),"这类业务是付款，金额填到支出列",IF(AND(SUMPRODUCT(--(INDEX(记账规则!$A$13:$H$32,MATCH($E233,记账规则!$A$13:$A$32,0),0)="@对方"))&gt;0,$G233=""),"这个类型要填对方科目",IF(AND($G233&lt;&gt;"",ISNA(MATCH($G233,会计科目表!$B$6:$B$85,0))),"对方科目不存在",IF(AND($E233="缴纳税费",$H233=""),"缴税请在费用项目里选税种",IF(AND($F233&lt;&gt;"",ISNA(MATCH($F233,往来单位!$A$6:$A$85,0))),"往来单位未建档",IF(YEAR($B233)&lt;&gt;参数设置!$B$5,"不在本会计年度",IF(AND($B232&lt;&gt;"",ISNUMBER($B232),$B233&lt;$B232),"日期比上一行早，余额按行序滚，建议按日期录","OK")))))))))))))))</f>
        <v/>
      </c>
      <c r="O233" s="58" t="str">
        <f aca="false">IF($B233="","",TEXT($B233,"yyyy-mm"))</f>
        <v/>
      </c>
      <c r="P233" s="60" t="str">
        <f aca="false">IF($E233="","",ROUND(N($I233)+N($J233),2))</f>
        <v/>
      </c>
      <c r="Q233" s="58" t="str">
        <f aca="false">IF($D233="","",IFERROR(INDEX(资金账户!$F$6:$F$25,MATCH($D233,资金账户!$B$6:$B$25,0)),""))</f>
        <v/>
      </c>
      <c r="R233" s="58" t="str">
        <f aca="false">IF($E233="","",IFERROR(IF(INDEX(记账规则!$A$13:$H$32,MATCH($E233,记账规则!$A$13:$A$32,0),4)="借","收","支"),""))</f>
        <v/>
      </c>
      <c r="S233" s="57" t="str">
        <f aca="false">IF($D233="","",ROUND(SUMIFS(资金账户!$H$6:$H$25,资金账户!$B$6:$B$25,$D233)+SUMIFS($I$6:$I233,$D$6:$D233,$D233)-SUMIFS($J$6:$J233,$D$6:$D233,$D233),2))</f>
        <v/>
      </c>
      <c r="T233" s="61" t="str">
        <f aca="false">IF($B233="","",YEAR($B233))</f>
        <v/>
      </c>
    </row>
    <row r="234" customFormat="false" ht="15" hidden="false" customHeight="false" outlineLevel="0" collapsed="false">
      <c r="A234" s="53" t="str">
        <f aca="false">IF($B234="","",ROW()-5)</f>
        <v/>
      </c>
      <c r="B234" s="54"/>
      <c r="C234" s="33"/>
      <c r="D234" s="33"/>
      <c r="E234" s="33"/>
      <c r="F234" s="32"/>
      <c r="G234" s="41"/>
      <c r="H234" s="39"/>
      <c r="I234" s="43"/>
      <c r="J234" s="43"/>
      <c r="K234" s="41"/>
      <c r="L234" s="39"/>
      <c r="M234" s="41"/>
      <c r="N234" s="25" t="str">
        <f aca="false">IF(AND($B234="",$E234="",$I234="",$J234=""),"",IF(NOT(ISNUMBER($B234)),"日期无效",IF(ISNA(MATCH($C234,参数设置!$A$10:$A$12,0)),"公司无效",IF(ISNA(MATCH($D234,资金账户!$B$6:$B$25,0)),"账户未建档",IF(ISNA(MATCH($E234,记账规则!$A$13:$A$32,0)),"业务类型无效",IF(AND(N($I234)&lt;&gt;0,N($J234)&lt;&gt;0),"收入和支出只能填一列",IF($P234=0,"金额为 0",IF(AND($R234="收",N($I234)=0),"这类业务是收款，金额填到收入列",IF(AND($R234="支",N($J234)=0),"这类业务是付款，金额填到支出列",IF(AND(SUMPRODUCT(--(INDEX(记账规则!$A$13:$H$32,MATCH($E234,记账规则!$A$13:$A$32,0),0)="@对方"))&gt;0,$G234=""),"这个类型要填对方科目",IF(AND($G234&lt;&gt;"",ISNA(MATCH($G234,会计科目表!$B$6:$B$85,0))),"对方科目不存在",IF(AND($E234="缴纳税费",$H234=""),"缴税请在费用项目里选税种",IF(AND($F234&lt;&gt;"",ISNA(MATCH($F234,往来单位!$A$6:$A$85,0))),"往来单位未建档",IF(YEAR($B234)&lt;&gt;参数设置!$B$5,"不在本会计年度",IF(AND($B233&lt;&gt;"",ISNUMBER($B233),$B234&lt;$B233),"日期比上一行早，余额按行序滚，建议按日期录","OK")))))))))))))))</f>
        <v/>
      </c>
      <c r="O234" s="58" t="str">
        <f aca="false">IF($B234="","",TEXT($B234,"yyyy-mm"))</f>
        <v/>
      </c>
      <c r="P234" s="60" t="str">
        <f aca="false">IF($E234="","",ROUND(N($I234)+N($J234),2))</f>
        <v/>
      </c>
      <c r="Q234" s="58" t="str">
        <f aca="false">IF($D234="","",IFERROR(INDEX(资金账户!$F$6:$F$25,MATCH($D234,资金账户!$B$6:$B$25,0)),""))</f>
        <v/>
      </c>
      <c r="R234" s="58" t="str">
        <f aca="false">IF($E234="","",IFERROR(IF(INDEX(记账规则!$A$13:$H$32,MATCH($E234,记账规则!$A$13:$A$32,0),4)="借","收","支"),""))</f>
        <v/>
      </c>
      <c r="S234" s="57" t="str">
        <f aca="false">IF($D234="","",ROUND(SUMIFS(资金账户!$H$6:$H$25,资金账户!$B$6:$B$25,$D234)+SUMIFS($I$6:$I234,$D$6:$D234,$D234)-SUMIFS($J$6:$J234,$D$6:$D234,$D234),2))</f>
        <v/>
      </c>
      <c r="T234" s="61" t="str">
        <f aca="false">IF($B234="","",YEAR($B234))</f>
        <v/>
      </c>
    </row>
    <row r="235" customFormat="false" ht="15" hidden="false" customHeight="false" outlineLevel="0" collapsed="false">
      <c r="A235" s="53" t="str">
        <f aca="false">IF($B235="","",ROW()-5)</f>
        <v/>
      </c>
      <c r="B235" s="54"/>
      <c r="C235" s="33"/>
      <c r="D235" s="33"/>
      <c r="E235" s="33"/>
      <c r="F235" s="32"/>
      <c r="G235" s="41"/>
      <c r="H235" s="39"/>
      <c r="I235" s="43"/>
      <c r="J235" s="43"/>
      <c r="K235" s="41"/>
      <c r="L235" s="39"/>
      <c r="M235" s="41"/>
      <c r="N235" s="25" t="str">
        <f aca="false">IF(AND($B235="",$E235="",$I235="",$J235=""),"",IF(NOT(ISNUMBER($B235)),"日期无效",IF(ISNA(MATCH($C235,参数设置!$A$10:$A$12,0)),"公司无效",IF(ISNA(MATCH($D235,资金账户!$B$6:$B$25,0)),"账户未建档",IF(ISNA(MATCH($E235,记账规则!$A$13:$A$32,0)),"业务类型无效",IF(AND(N($I235)&lt;&gt;0,N($J235)&lt;&gt;0),"收入和支出只能填一列",IF($P235=0,"金额为 0",IF(AND($R235="收",N($I235)=0),"这类业务是收款，金额填到收入列",IF(AND($R235="支",N($J235)=0),"这类业务是付款，金额填到支出列",IF(AND(SUMPRODUCT(--(INDEX(记账规则!$A$13:$H$32,MATCH($E235,记账规则!$A$13:$A$32,0),0)="@对方"))&gt;0,$G235=""),"这个类型要填对方科目",IF(AND($G235&lt;&gt;"",ISNA(MATCH($G235,会计科目表!$B$6:$B$85,0))),"对方科目不存在",IF(AND($E235="缴纳税费",$H235=""),"缴税请在费用项目里选税种",IF(AND($F235&lt;&gt;"",ISNA(MATCH($F235,往来单位!$A$6:$A$85,0))),"往来单位未建档",IF(YEAR($B235)&lt;&gt;参数设置!$B$5,"不在本会计年度",IF(AND($B234&lt;&gt;"",ISNUMBER($B234),$B235&lt;$B234),"日期比上一行早，余额按行序滚，建议按日期录","OK")))))))))))))))</f>
        <v/>
      </c>
      <c r="O235" s="58" t="str">
        <f aca="false">IF($B235="","",TEXT($B235,"yyyy-mm"))</f>
        <v/>
      </c>
      <c r="P235" s="60" t="str">
        <f aca="false">IF($E235="","",ROUND(N($I235)+N($J235),2))</f>
        <v/>
      </c>
      <c r="Q235" s="58" t="str">
        <f aca="false">IF($D235="","",IFERROR(INDEX(资金账户!$F$6:$F$25,MATCH($D235,资金账户!$B$6:$B$25,0)),""))</f>
        <v/>
      </c>
      <c r="R235" s="58" t="str">
        <f aca="false">IF($E235="","",IFERROR(IF(INDEX(记账规则!$A$13:$H$32,MATCH($E235,记账规则!$A$13:$A$32,0),4)="借","收","支"),""))</f>
        <v/>
      </c>
      <c r="S235" s="57" t="str">
        <f aca="false">IF($D235="","",ROUND(SUMIFS(资金账户!$H$6:$H$25,资金账户!$B$6:$B$25,$D235)+SUMIFS($I$6:$I235,$D$6:$D235,$D235)-SUMIFS($J$6:$J235,$D$6:$D235,$D235),2))</f>
        <v/>
      </c>
      <c r="T235" s="61" t="str">
        <f aca="false">IF($B235="","",YEAR($B235))</f>
        <v/>
      </c>
    </row>
    <row r="236" customFormat="false" ht="15" hidden="false" customHeight="false" outlineLevel="0" collapsed="false">
      <c r="A236" s="53" t="str">
        <f aca="false">IF($B236="","",ROW()-5)</f>
        <v/>
      </c>
      <c r="B236" s="54"/>
      <c r="C236" s="33"/>
      <c r="D236" s="33"/>
      <c r="E236" s="33"/>
      <c r="F236" s="32"/>
      <c r="G236" s="41"/>
      <c r="H236" s="39"/>
      <c r="I236" s="43"/>
      <c r="J236" s="43"/>
      <c r="K236" s="41"/>
      <c r="L236" s="39"/>
      <c r="M236" s="41"/>
      <c r="N236" s="25" t="str">
        <f aca="false">IF(AND($B236="",$E236="",$I236="",$J236=""),"",IF(NOT(ISNUMBER($B236)),"日期无效",IF(ISNA(MATCH($C236,参数设置!$A$10:$A$12,0)),"公司无效",IF(ISNA(MATCH($D236,资金账户!$B$6:$B$25,0)),"账户未建档",IF(ISNA(MATCH($E236,记账规则!$A$13:$A$32,0)),"业务类型无效",IF(AND(N($I236)&lt;&gt;0,N($J236)&lt;&gt;0),"收入和支出只能填一列",IF($P236=0,"金额为 0",IF(AND($R236="收",N($I236)=0),"这类业务是收款，金额填到收入列",IF(AND($R236="支",N($J236)=0),"这类业务是付款，金额填到支出列",IF(AND(SUMPRODUCT(--(INDEX(记账规则!$A$13:$H$32,MATCH($E236,记账规则!$A$13:$A$32,0),0)="@对方"))&gt;0,$G236=""),"这个类型要填对方科目",IF(AND($G236&lt;&gt;"",ISNA(MATCH($G236,会计科目表!$B$6:$B$85,0))),"对方科目不存在",IF(AND($E236="缴纳税费",$H236=""),"缴税请在费用项目里选税种",IF(AND($F236&lt;&gt;"",ISNA(MATCH($F236,往来单位!$A$6:$A$85,0))),"往来单位未建档",IF(YEAR($B236)&lt;&gt;参数设置!$B$5,"不在本会计年度",IF(AND($B235&lt;&gt;"",ISNUMBER($B235),$B236&lt;$B235),"日期比上一行早，余额按行序滚，建议按日期录","OK")))))))))))))))</f>
        <v/>
      </c>
      <c r="O236" s="58" t="str">
        <f aca="false">IF($B236="","",TEXT($B236,"yyyy-mm"))</f>
        <v/>
      </c>
      <c r="P236" s="60" t="str">
        <f aca="false">IF($E236="","",ROUND(N($I236)+N($J236),2))</f>
        <v/>
      </c>
      <c r="Q236" s="58" t="str">
        <f aca="false">IF($D236="","",IFERROR(INDEX(资金账户!$F$6:$F$25,MATCH($D236,资金账户!$B$6:$B$25,0)),""))</f>
        <v/>
      </c>
      <c r="R236" s="58" t="str">
        <f aca="false">IF($E236="","",IFERROR(IF(INDEX(记账规则!$A$13:$H$32,MATCH($E236,记账规则!$A$13:$A$32,0),4)="借","收","支"),""))</f>
        <v/>
      </c>
      <c r="S236" s="57" t="str">
        <f aca="false">IF($D236="","",ROUND(SUMIFS(资金账户!$H$6:$H$25,资金账户!$B$6:$B$25,$D236)+SUMIFS($I$6:$I236,$D$6:$D236,$D236)-SUMIFS($J$6:$J236,$D$6:$D236,$D236),2))</f>
        <v/>
      </c>
      <c r="T236" s="61" t="str">
        <f aca="false">IF($B236="","",YEAR($B236))</f>
        <v/>
      </c>
    </row>
    <row r="237" customFormat="false" ht="15" hidden="false" customHeight="false" outlineLevel="0" collapsed="false">
      <c r="A237" s="53" t="str">
        <f aca="false">IF($B237="","",ROW()-5)</f>
        <v/>
      </c>
      <c r="B237" s="54"/>
      <c r="C237" s="33"/>
      <c r="D237" s="33"/>
      <c r="E237" s="33"/>
      <c r="F237" s="32"/>
      <c r="G237" s="41"/>
      <c r="H237" s="39"/>
      <c r="I237" s="43"/>
      <c r="J237" s="43"/>
      <c r="K237" s="41"/>
      <c r="L237" s="39"/>
      <c r="M237" s="41"/>
      <c r="N237" s="25" t="str">
        <f aca="false">IF(AND($B237="",$E237="",$I237="",$J237=""),"",IF(NOT(ISNUMBER($B237)),"日期无效",IF(ISNA(MATCH($C237,参数设置!$A$10:$A$12,0)),"公司无效",IF(ISNA(MATCH($D237,资金账户!$B$6:$B$25,0)),"账户未建档",IF(ISNA(MATCH($E237,记账规则!$A$13:$A$32,0)),"业务类型无效",IF(AND(N($I237)&lt;&gt;0,N($J237)&lt;&gt;0),"收入和支出只能填一列",IF($P237=0,"金额为 0",IF(AND($R237="收",N($I237)=0),"这类业务是收款，金额填到收入列",IF(AND($R237="支",N($J237)=0),"这类业务是付款，金额填到支出列",IF(AND(SUMPRODUCT(--(INDEX(记账规则!$A$13:$H$32,MATCH($E237,记账规则!$A$13:$A$32,0),0)="@对方"))&gt;0,$G237=""),"这个类型要填对方科目",IF(AND($G237&lt;&gt;"",ISNA(MATCH($G237,会计科目表!$B$6:$B$85,0))),"对方科目不存在",IF(AND($E237="缴纳税费",$H237=""),"缴税请在费用项目里选税种",IF(AND($F237&lt;&gt;"",ISNA(MATCH($F237,往来单位!$A$6:$A$85,0))),"往来单位未建档",IF(YEAR($B237)&lt;&gt;参数设置!$B$5,"不在本会计年度",IF(AND($B236&lt;&gt;"",ISNUMBER($B236),$B237&lt;$B236),"日期比上一行早，余额按行序滚，建议按日期录","OK")))))))))))))))</f>
        <v/>
      </c>
      <c r="O237" s="58" t="str">
        <f aca="false">IF($B237="","",TEXT($B237,"yyyy-mm"))</f>
        <v/>
      </c>
      <c r="P237" s="60" t="str">
        <f aca="false">IF($E237="","",ROUND(N($I237)+N($J237),2))</f>
        <v/>
      </c>
      <c r="Q237" s="58" t="str">
        <f aca="false">IF($D237="","",IFERROR(INDEX(资金账户!$F$6:$F$25,MATCH($D237,资金账户!$B$6:$B$25,0)),""))</f>
        <v/>
      </c>
      <c r="R237" s="58" t="str">
        <f aca="false">IF($E237="","",IFERROR(IF(INDEX(记账规则!$A$13:$H$32,MATCH($E237,记账规则!$A$13:$A$32,0),4)="借","收","支"),""))</f>
        <v/>
      </c>
      <c r="S237" s="57" t="str">
        <f aca="false">IF($D237="","",ROUND(SUMIFS(资金账户!$H$6:$H$25,资金账户!$B$6:$B$25,$D237)+SUMIFS($I$6:$I237,$D$6:$D237,$D237)-SUMIFS($J$6:$J237,$D$6:$D237,$D237),2))</f>
        <v/>
      </c>
      <c r="T237" s="61" t="str">
        <f aca="false">IF($B237="","",YEAR($B237))</f>
        <v/>
      </c>
    </row>
    <row r="238" customFormat="false" ht="15" hidden="false" customHeight="false" outlineLevel="0" collapsed="false">
      <c r="A238" s="53" t="str">
        <f aca="false">IF($B238="","",ROW()-5)</f>
        <v/>
      </c>
      <c r="B238" s="54"/>
      <c r="C238" s="33"/>
      <c r="D238" s="33"/>
      <c r="E238" s="33"/>
      <c r="F238" s="32"/>
      <c r="G238" s="41"/>
      <c r="H238" s="39"/>
      <c r="I238" s="43"/>
      <c r="J238" s="43"/>
      <c r="K238" s="41"/>
      <c r="L238" s="39"/>
      <c r="M238" s="41"/>
      <c r="N238" s="25" t="str">
        <f aca="false">IF(AND($B238="",$E238="",$I238="",$J238=""),"",IF(NOT(ISNUMBER($B238)),"日期无效",IF(ISNA(MATCH($C238,参数设置!$A$10:$A$12,0)),"公司无效",IF(ISNA(MATCH($D238,资金账户!$B$6:$B$25,0)),"账户未建档",IF(ISNA(MATCH($E238,记账规则!$A$13:$A$32,0)),"业务类型无效",IF(AND(N($I238)&lt;&gt;0,N($J238)&lt;&gt;0),"收入和支出只能填一列",IF($P238=0,"金额为 0",IF(AND($R238="收",N($I238)=0),"这类业务是收款，金额填到收入列",IF(AND($R238="支",N($J238)=0),"这类业务是付款，金额填到支出列",IF(AND(SUMPRODUCT(--(INDEX(记账规则!$A$13:$H$32,MATCH($E238,记账规则!$A$13:$A$32,0),0)="@对方"))&gt;0,$G238=""),"这个类型要填对方科目",IF(AND($G238&lt;&gt;"",ISNA(MATCH($G238,会计科目表!$B$6:$B$85,0))),"对方科目不存在",IF(AND($E238="缴纳税费",$H238=""),"缴税请在费用项目里选税种",IF(AND($F238&lt;&gt;"",ISNA(MATCH($F238,往来单位!$A$6:$A$85,0))),"往来单位未建档",IF(YEAR($B238)&lt;&gt;参数设置!$B$5,"不在本会计年度",IF(AND($B237&lt;&gt;"",ISNUMBER($B237),$B238&lt;$B237),"日期比上一行早，余额按行序滚，建议按日期录","OK")))))))))))))))</f>
        <v/>
      </c>
      <c r="O238" s="58" t="str">
        <f aca="false">IF($B238="","",TEXT($B238,"yyyy-mm"))</f>
        <v/>
      </c>
      <c r="P238" s="60" t="str">
        <f aca="false">IF($E238="","",ROUND(N($I238)+N($J238),2))</f>
        <v/>
      </c>
      <c r="Q238" s="58" t="str">
        <f aca="false">IF($D238="","",IFERROR(INDEX(资金账户!$F$6:$F$25,MATCH($D238,资金账户!$B$6:$B$25,0)),""))</f>
        <v/>
      </c>
      <c r="R238" s="58" t="str">
        <f aca="false">IF($E238="","",IFERROR(IF(INDEX(记账规则!$A$13:$H$32,MATCH($E238,记账规则!$A$13:$A$32,0),4)="借","收","支"),""))</f>
        <v/>
      </c>
      <c r="S238" s="57" t="str">
        <f aca="false">IF($D238="","",ROUND(SUMIFS(资金账户!$H$6:$H$25,资金账户!$B$6:$B$25,$D238)+SUMIFS($I$6:$I238,$D$6:$D238,$D238)-SUMIFS($J$6:$J238,$D$6:$D238,$D238),2))</f>
        <v/>
      </c>
      <c r="T238" s="61" t="str">
        <f aca="false">IF($B238="","",YEAR($B238))</f>
        <v/>
      </c>
    </row>
    <row r="239" customFormat="false" ht="15" hidden="false" customHeight="false" outlineLevel="0" collapsed="false">
      <c r="A239" s="53" t="str">
        <f aca="false">IF($B239="","",ROW()-5)</f>
        <v/>
      </c>
      <c r="B239" s="54"/>
      <c r="C239" s="33"/>
      <c r="D239" s="33"/>
      <c r="E239" s="33"/>
      <c r="F239" s="32"/>
      <c r="G239" s="41"/>
      <c r="H239" s="39"/>
      <c r="I239" s="43"/>
      <c r="J239" s="43"/>
      <c r="K239" s="41"/>
      <c r="L239" s="39"/>
      <c r="M239" s="41"/>
      <c r="N239" s="25" t="str">
        <f aca="false">IF(AND($B239="",$E239="",$I239="",$J239=""),"",IF(NOT(ISNUMBER($B239)),"日期无效",IF(ISNA(MATCH($C239,参数设置!$A$10:$A$12,0)),"公司无效",IF(ISNA(MATCH($D239,资金账户!$B$6:$B$25,0)),"账户未建档",IF(ISNA(MATCH($E239,记账规则!$A$13:$A$32,0)),"业务类型无效",IF(AND(N($I239)&lt;&gt;0,N($J239)&lt;&gt;0),"收入和支出只能填一列",IF($P239=0,"金额为 0",IF(AND($R239="收",N($I239)=0),"这类业务是收款，金额填到收入列",IF(AND($R239="支",N($J239)=0),"这类业务是付款，金额填到支出列",IF(AND(SUMPRODUCT(--(INDEX(记账规则!$A$13:$H$32,MATCH($E239,记账规则!$A$13:$A$32,0),0)="@对方"))&gt;0,$G239=""),"这个类型要填对方科目",IF(AND($G239&lt;&gt;"",ISNA(MATCH($G239,会计科目表!$B$6:$B$85,0))),"对方科目不存在",IF(AND($E239="缴纳税费",$H239=""),"缴税请在费用项目里选税种",IF(AND($F239&lt;&gt;"",ISNA(MATCH($F239,往来单位!$A$6:$A$85,0))),"往来单位未建档",IF(YEAR($B239)&lt;&gt;参数设置!$B$5,"不在本会计年度",IF(AND($B238&lt;&gt;"",ISNUMBER($B238),$B239&lt;$B238),"日期比上一行早，余额按行序滚，建议按日期录","OK")))))))))))))))</f>
        <v/>
      </c>
      <c r="O239" s="58" t="str">
        <f aca="false">IF($B239="","",TEXT($B239,"yyyy-mm"))</f>
        <v/>
      </c>
      <c r="P239" s="60" t="str">
        <f aca="false">IF($E239="","",ROUND(N($I239)+N($J239),2))</f>
        <v/>
      </c>
      <c r="Q239" s="58" t="str">
        <f aca="false">IF($D239="","",IFERROR(INDEX(资金账户!$F$6:$F$25,MATCH($D239,资金账户!$B$6:$B$25,0)),""))</f>
        <v/>
      </c>
      <c r="R239" s="58" t="str">
        <f aca="false">IF($E239="","",IFERROR(IF(INDEX(记账规则!$A$13:$H$32,MATCH($E239,记账规则!$A$13:$A$32,0),4)="借","收","支"),""))</f>
        <v/>
      </c>
      <c r="S239" s="57" t="str">
        <f aca="false">IF($D239="","",ROUND(SUMIFS(资金账户!$H$6:$H$25,资金账户!$B$6:$B$25,$D239)+SUMIFS($I$6:$I239,$D$6:$D239,$D239)-SUMIFS($J$6:$J239,$D$6:$D239,$D239),2))</f>
        <v/>
      </c>
      <c r="T239" s="61" t="str">
        <f aca="false">IF($B239="","",YEAR($B239))</f>
        <v/>
      </c>
    </row>
    <row r="240" customFormat="false" ht="15" hidden="false" customHeight="false" outlineLevel="0" collapsed="false">
      <c r="A240" s="53" t="str">
        <f aca="false">IF($B240="","",ROW()-5)</f>
        <v/>
      </c>
      <c r="B240" s="54"/>
      <c r="C240" s="33"/>
      <c r="D240" s="33"/>
      <c r="E240" s="33"/>
      <c r="F240" s="32"/>
      <c r="G240" s="41"/>
      <c r="H240" s="39"/>
      <c r="I240" s="43"/>
      <c r="J240" s="43"/>
      <c r="K240" s="41"/>
      <c r="L240" s="39"/>
      <c r="M240" s="41"/>
      <c r="N240" s="25" t="str">
        <f aca="false">IF(AND($B240="",$E240="",$I240="",$J240=""),"",IF(NOT(ISNUMBER($B240)),"日期无效",IF(ISNA(MATCH($C240,参数设置!$A$10:$A$12,0)),"公司无效",IF(ISNA(MATCH($D240,资金账户!$B$6:$B$25,0)),"账户未建档",IF(ISNA(MATCH($E240,记账规则!$A$13:$A$32,0)),"业务类型无效",IF(AND(N($I240)&lt;&gt;0,N($J240)&lt;&gt;0),"收入和支出只能填一列",IF($P240=0,"金额为 0",IF(AND($R240="收",N($I240)=0),"这类业务是收款，金额填到收入列",IF(AND($R240="支",N($J240)=0),"这类业务是付款，金额填到支出列",IF(AND(SUMPRODUCT(--(INDEX(记账规则!$A$13:$H$32,MATCH($E240,记账规则!$A$13:$A$32,0),0)="@对方"))&gt;0,$G240=""),"这个类型要填对方科目",IF(AND($G240&lt;&gt;"",ISNA(MATCH($G240,会计科目表!$B$6:$B$85,0))),"对方科目不存在",IF(AND($E240="缴纳税费",$H240=""),"缴税请在费用项目里选税种",IF(AND($F240&lt;&gt;"",ISNA(MATCH($F240,往来单位!$A$6:$A$85,0))),"往来单位未建档",IF(YEAR($B240)&lt;&gt;参数设置!$B$5,"不在本会计年度",IF(AND($B239&lt;&gt;"",ISNUMBER($B239),$B240&lt;$B239),"日期比上一行早，余额按行序滚，建议按日期录","OK")))))))))))))))</f>
        <v/>
      </c>
      <c r="O240" s="58" t="str">
        <f aca="false">IF($B240="","",TEXT($B240,"yyyy-mm"))</f>
        <v/>
      </c>
      <c r="P240" s="60" t="str">
        <f aca="false">IF($E240="","",ROUND(N($I240)+N($J240),2))</f>
        <v/>
      </c>
      <c r="Q240" s="58" t="str">
        <f aca="false">IF($D240="","",IFERROR(INDEX(资金账户!$F$6:$F$25,MATCH($D240,资金账户!$B$6:$B$25,0)),""))</f>
        <v/>
      </c>
      <c r="R240" s="58" t="str">
        <f aca="false">IF($E240="","",IFERROR(IF(INDEX(记账规则!$A$13:$H$32,MATCH($E240,记账规则!$A$13:$A$32,0),4)="借","收","支"),""))</f>
        <v/>
      </c>
      <c r="S240" s="57" t="str">
        <f aca="false">IF($D240="","",ROUND(SUMIFS(资金账户!$H$6:$H$25,资金账户!$B$6:$B$25,$D240)+SUMIFS($I$6:$I240,$D$6:$D240,$D240)-SUMIFS($J$6:$J240,$D$6:$D240,$D240),2))</f>
        <v/>
      </c>
      <c r="T240" s="61" t="str">
        <f aca="false">IF($B240="","",YEAR($B240))</f>
        <v/>
      </c>
    </row>
    <row r="241" customFormat="false" ht="15" hidden="false" customHeight="false" outlineLevel="0" collapsed="false">
      <c r="A241" s="53" t="str">
        <f aca="false">IF($B241="","",ROW()-5)</f>
        <v/>
      </c>
      <c r="B241" s="54"/>
      <c r="C241" s="33"/>
      <c r="D241" s="33"/>
      <c r="E241" s="33"/>
      <c r="F241" s="32"/>
      <c r="G241" s="41"/>
      <c r="H241" s="39"/>
      <c r="I241" s="43"/>
      <c r="J241" s="43"/>
      <c r="K241" s="41"/>
      <c r="L241" s="39"/>
      <c r="M241" s="41"/>
      <c r="N241" s="25" t="str">
        <f aca="false">IF(AND($B241="",$E241="",$I241="",$J241=""),"",IF(NOT(ISNUMBER($B241)),"日期无效",IF(ISNA(MATCH($C241,参数设置!$A$10:$A$12,0)),"公司无效",IF(ISNA(MATCH($D241,资金账户!$B$6:$B$25,0)),"账户未建档",IF(ISNA(MATCH($E241,记账规则!$A$13:$A$32,0)),"业务类型无效",IF(AND(N($I241)&lt;&gt;0,N($J241)&lt;&gt;0),"收入和支出只能填一列",IF($P241=0,"金额为 0",IF(AND($R241="收",N($I241)=0),"这类业务是收款，金额填到收入列",IF(AND($R241="支",N($J241)=0),"这类业务是付款，金额填到支出列",IF(AND(SUMPRODUCT(--(INDEX(记账规则!$A$13:$H$32,MATCH($E241,记账规则!$A$13:$A$32,0),0)="@对方"))&gt;0,$G241=""),"这个类型要填对方科目",IF(AND($G241&lt;&gt;"",ISNA(MATCH($G241,会计科目表!$B$6:$B$85,0))),"对方科目不存在",IF(AND($E241="缴纳税费",$H241=""),"缴税请在费用项目里选税种",IF(AND($F241&lt;&gt;"",ISNA(MATCH($F241,往来单位!$A$6:$A$85,0))),"往来单位未建档",IF(YEAR($B241)&lt;&gt;参数设置!$B$5,"不在本会计年度",IF(AND($B240&lt;&gt;"",ISNUMBER($B240),$B241&lt;$B240),"日期比上一行早，余额按行序滚，建议按日期录","OK")))))))))))))))</f>
        <v/>
      </c>
      <c r="O241" s="58" t="str">
        <f aca="false">IF($B241="","",TEXT($B241,"yyyy-mm"))</f>
        <v/>
      </c>
      <c r="P241" s="60" t="str">
        <f aca="false">IF($E241="","",ROUND(N($I241)+N($J241),2))</f>
        <v/>
      </c>
      <c r="Q241" s="58" t="str">
        <f aca="false">IF($D241="","",IFERROR(INDEX(资金账户!$F$6:$F$25,MATCH($D241,资金账户!$B$6:$B$25,0)),""))</f>
        <v/>
      </c>
      <c r="R241" s="58" t="str">
        <f aca="false">IF($E241="","",IFERROR(IF(INDEX(记账规则!$A$13:$H$32,MATCH($E241,记账规则!$A$13:$A$32,0),4)="借","收","支"),""))</f>
        <v/>
      </c>
      <c r="S241" s="57" t="str">
        <f aca="false">IF($D241="","",ROUND(SUMIFS(资金账户!$H$6:$H$25,资金账户!$B$6:$B$25,$D241)+SUMIFS($I$6:$I241,$D$6:$D241,$D241)-SUMIFS($J$6:$J241,$D$6:$D241,$D241),2))</f>
        <v/>
      </c>
      <c r="T241" s="61" t="str">
        <f aca="false">IF($B241="","",YEAR($B241))</f>
        <v/>
      </c>
    </row>
    <row r="242" customFormat="false" ht="15" hidden="false" customHeight="false" outlineLevel="0" collapsed="false">
      <c r="A242" s="53" t="str">
        <f aca="false">IF($B242="","",ROW()-5)</f>
        <v/>
      </c>
      <c r="B242" s="54"/>
      <c r="C242" s="33"/>
      <c r="D242" s="33"/>
      <c r="E242" s="33"/>
      <c r="F242" s="32"/>
      <c r="G242" s="41"/>
      <c r="H242" s="39"/>
      <c r="I242" s="43"/>
      <c r="J242" s="43"/>
      <c r="K242" s="41"/>
      <c r="L242" s="39"/>
      <c r="M242" s="41"/>
      <c r="N242" s="25" t="str">
        <f aca="false">IF(AND($B242="",$E242="",$I242="",$J242=""),"",IF(NOT(ISNUMBER($B242)),"日期无效",IF(ISNA(MATCH($C242,参数设置!$A$10:$A$12,0)),"公司无效",IF(ISNA(MATCH($D242,资金账户!$B$6:$B$25,0)),"账户未建档",IF(ISNA(MATCH($E242,记账规则!$A$13:$A$32,0)),"业务类型无效",IF(AND(N($I242)&lt;&gt;0,N($J242)&lt;&gt;0),"收入和支出只能填一列",IF($P242=0,"金额为 0",IF(AND($R242="收",N($I242)=0),"这类业务是收款，金额填到收入列",IF(AND($R242="支",N($J242)=0),"这类业务是付款，金额填到支出列",IF(AND(SUMPRODUCT(--(INDEX(记账规则!$A$13:$H$32,MATCH($E242,记账规则!$A$13:$A$32,0),0)="@对方"))&gt;0,$G242=""),"这个类型要填对方科目",IF(AND($G242&lt;&gt;"",ISNA(MATCH($G242,会计科目表!$B$6:$B$85,0))),"对方科目不存在",IF(AND($E242="缴纳税费",$H242=""),"缴税请在费用项目里选税种",IF(AND($F242&lt;&gt;"",ISNA(MATCH($F242,往来单位!$A$6:$A$85,0))),"往来单位未建档",IF(YEAR($B242)&lt;&gt;参数设置!$B$5,"不在本会计年度",IF(AND($B241&lt;&gt;"",ISNUMBER($B241),$B242&lt;$B241),"日期比上一行早，余额按行序滚，建议按日期录","OK")))))))))))))))</f>
        <v/>
      </c>
      <c r="O242" s="58" t="str">
        <f aca="false">IF($B242="","",TEXT($B242,"yyyy-mm"))</f>
        <v/>
      </c>
      <c r="P242" s="60" t="str">
        <f aca="false">IF($E242="","",ROUND(N($I242)+N($J242),2))</f>
        <v/>
      </c>
      <c r="Q242" s="58" t="str">
        <f aca="false">IF($D242="","",IFERROR(INDEX(资金账户!$F$6:$F$25,MATCH($D242,资金账户!$B$6:$B$25,0)),""))</f>
        <v/>
      </c>
      <c r="R242" s="58" t="str">
        <f aca="false">IF($E242="","",IFERROR(IF(INDEX(记账规则!$A$13:$H$32,MATCH($E242,记账规则!$A$13:$A$32,0),4)="借","收","支"),""))</f>
        <v/>
      </c>
      <c r="S242" s="57" t="str">
        <f aca="false">IF($D242="","",ROUND(SUMIFS(资金账户!$H$6:$H$25,资金账户!$B$6:$B$25,$D242)+SUMIFS($I$6:$I242,$D$6:$D242,$D242)-SUMIFS($J$6:$J242,$D$6:$D242,$D242),2))</f>
        <v/>
      </c>
      <c r="T242" s="61" t="str">
        <f aca="false">IF($B242="","",YEAR($B242))</f>
        <v/>
      </c>
    </row>
    <row r="243" customFormat="false" ht="15" hidden="false" customHeight="false" outlineLevel="0" collapsed="false">
      <c r="A243" s="53" t="str">
        <f aca="false">IF($B243="","",ROW()-5)</f>
        <v/>
      </c>
      <c r="B243" s="54"/>
      <c r="C243" s="33"/>
      <c r="D243" s="33"/>
      <c r="E243" s="33"/>
      <c r="F243" s="32"/>
      <c r="G243" s="41"/>
      <c r="H243" s="39"/>
      <c r="I243" s="43"/>
      <c r="J243" s="43"/>
      <c r="K243" s="41"/>
      <c r="L243" s="39"/>
      <c r="M243" s="41"/>
      <c r="N243" s="25" t="str">
        <f aca="false">IF(AND($B243="",$E243="",$I243="",$J243=""),"",IF(NOT(ISNUMBER($B243)),"日期无效",IF(ISNA(MATCH($C243,参数设置!$A$10:$A$12,0)),"公司无效",IF(ISNA(MATCH($D243,资金账户!$B$6:$B$25,0)),"账户未建档",IF(ISNA(MATCH($E243,记账规则!$A$13:$A$32,0)),"业务类型无效",IF(AND(N($I243)&lt;&gt;0,N($J243)&lt;&gt;0),"收入和支出只能填一列",IF($P243=0,"金额为 0",IF(AND($R243="收",N($I243)=0),"这类业务是收款，金额填到收入列",IF(AND($R243="支",N($J243)=0),"这类业务是付款，金额填到支出列",IF(AND(SUMPRODUCT(--(INDEX(记账规则!$A$13:$H$32,MATCH($E243,记账规则!$A$13:$A$32,0),0)="@对方"))&gt;0,$G243=""),"这个类型要填对方科目",IF(AND($G243&lt;&gt;"",ISNA(MATCH($G243,会计科目表!$B$6:$B$85,0))),"对方科目不存在",IF(AND($E243="缴纳税费",$H243=""),"缴税请在费用项目里选税种",IF(AND($F243&lt;&gt;"",ISNA(MATCH($F243,往来单位!$A$6:$A$85,0))),"往来单位未建档",IF(YEAR($B243)&lt;&gt;参数设置!$B$5,"不在本会计年度",IF(AND($B242&lt;&gt;"",ISNUMBER($B242),$B243&lt;$B242),"日期比上一行早，余额按行序滚，建议按日期录","OK")))))))))))))))</f>
        <v/>
      </c>
      <c r="O243" s="58" t="str">
        <f aca="false">IF($B243="","",TEXT($B243,"yyyy-mm"))</f>
        <v/>
      </c>
      <c r="P243" s="60" t="str">
        <f aca="false">IF($E243="","",ROUND(N($I243)+N($J243),2))</f>
        <v/>
      </c>
      <c r="Q243" s="58" t="str">
        <f aca="false">IF($D243="","",IFERROR(INDEX(资金账户!$F$6:$F$25,MATCH($D243,资金账户!$B$6:$B$25,0)),""))</f>
        <v/>
      </c>
      <c r="R243" s="58" t="str">
        <f aca="false">IF($E243="","",IFERROR(IF(INDEX(记账规则!$A$13:$H$32,MATCH($E243,记账规则!$A$13:$A$32,0),4)="借","收","支"),""))</f>
        <v/>
      </c>
      <c r="S243" s="57" t="str">
        <f aca="false">IF($D243="","",ROUND(SUMIFS(资金账户!$H$6:$H$25,资金账户!$B$6:$B$25,$D243)+SUMIFS($I$6:$I243,$D$6:$D243,$D243)-SUMIFS($J$6:$J243,$D$6:$D243,$D243),2))</f>
        <v/>
      </c>
      <c r="T243" s="61" t="str">
        <f aca="false">IF($B243="","",YEAR($B243))</f>
        <v/>
      </c>
    </row>
    <row r="244" customFormat="false" ht="15" hidden="false" customHeight="false" outlineLevel="0" collapsed="false">
      <c r="A244" s="53" t="str">
        <f aca="false">IF($B244="","",ROW()-5)</f>
        <v/>
      </c>
      <c r="B244" s="54"/>
      <c r="C244" s="33"/>
      <c r="D244" s="33"/>
      <c r="E244" s="33"/>
      <c r="F244" s="32"/>
      <c r="G244" s="41"/>
      <c r="H244" s="39"/>
      <c r="I244" s="43"/>
      <c r="J244" s="43"/>
      <c r="K244" s="41"/>
      <c r="L244" s="39"/>
      <c r="M244" s="41"/>
      <c r="N244" s="25" t="str">
        <f aca="false">IF(AND($B244="",$E244="",$I244="",$J244=""),"",IF(NOT(ISNUMBER($B244)),"日期无效",IF(ISNA(MATCH($C244,参数设置!$A$10:$A$12,0)),"公司无效",IF(ISNA(MATCH($D244,资金账户!$B$6:$B$25,0)),"账户未建档",IF(ISNA(MATCH($E244,记账规则!$A$13:$A$32,0)),"业务类型无效",IF(AND(N($I244)&lt;&gt;0,N($J244)&lt;&gt;0),"收入和支出只能填一列",IF($P244=0,"金额为 0",IF(AND($R244="收",N($I244)=0),"这类业务是收款，金额填到收入列",IF(AND($R244="支",N($J244)=0),"这类业务是付款，金额填到支出列",IF(AND(SUMPRODUCT(--(INDEX(记账规则!$A$13:$H$32,MATCH($E244,记账规则!$A$13:$A$32,0),0)="@对方"))&gt;0,$G244=""),"这个类型要填对方科目",IF(AND($G244&lt;&gt;"",ISNA(MATCH($G244,会计科目表!$B$6:$B$85,0))),"对方科目不存在",IF(AND($E244="缴纳税费",$H244=""),"缴税请在费用项目里选税种",IF(AND($F244&lt;&gt;"",ISNA(MATCH($F244,往来单位!$A$6:$A$85,0))),"往来单位未建档",IF(YEAR($B244)&lt;&gt;参数设置!$B$5,"不在本会计年度",IF(AND($B243&lt;&gt;"",ISNUMBER($B243),$B244&lt;$B243),"日期比上一行早，余额按行序滚，建议按日期录","OK")))))))))))))))</f>
        <v/>
      </c>
      <c r="O244" s="58" t="str">
        <f aca="false">IF($B244="","",TEXT($B244,"yyyy-mm"))</f>
        <v/>
      </c>
      <c r="P244" s="60" t="str">
        <f aca="false">IF($E244="","",ROUND(N($I244)+N($J244),2))</f>
        <v/>
      </c>
      <c r="Q244" s="58" t="str">
        <f aca="false">IF($D244="","",IFERROR(INDEX(资金账户!$F$6:$F$25,MATCH($D244,资金账户!$B$6:$B$25,0)),""))</f>
        <v/>
      </c>
      <c r="R244" s="58" t="str">
        <f aca="false">IF($E244="","",IFERROR(IF(INDEX(记账规则!$A$13:$H$32,MATCH($E244,记账规则!$A$13:$A$32,0),4)="借","收","支"),""))</f>
        <v/>
      </c>
      <c r="S244" s="57" t="str">
        <f aca="false">IF($D244="","",ROUND(SUMIFS(资金账户!$H$6:$H$25,资金账户!$B$6:$B$25,$D244)+SUMIFS($I$6:$I244,$D$6:$D244,$D244)-SUMIFS($J$6:$J244,$D$6:$D244,$D244),2))</f>
        <v/>
      </c>
      <c r="T244" s="61" t="str">
        <f aca="false">IF($B244="","",YEAR($B244))</f>
        <v/>
      </c>
    </row>
    <row r="245" customFormat="false" ht="15" hidden="false" customHeight="false" outlineLevel="0" collapsed="false">
      <c r="A245" s="53" t="str">
        <f aca="false">IF($B245="","",ROW()-5)</f>
        <v/>
      </c>
      <c r="B245" s="54"/>
      <c r="C245" s="33"/>
      <c r="D245" s="33"/>
      <c r="E245" s="33"/>
      <c r="F245" s="32"/>
      <c r="G245" s="41"/>
      <c r="H245" s="39"/>
      <c r="I245" s="43"/>
      <c r="J245" s="43"/>
      <c r="K245" s="41"/>
      <c r="L245" s="39"/>
      <c r="M245" s="41"/>
      <c r="N245" s="25" t="str">
        <f aca="false">IF(AND($B245="",$E245="",$I245="",$J245=""),"",IF(NOT(ISNUMBER($B245)),"日期无效",IF(ISNA(MATCH($C245,参数设置!$A$10:$A$12,0)),"公司无效",IF(ISNA(MATCH($D245,资金账户!$B$6:$B$25,0)),"账户未建档",IF(ISNA(MATCH($E245,记账规则!$A$13:$A$32,0)),"业务类型无效",IF(AND(N($I245)&lt;&gt;0,N($J245)&lt;&gt;0),"收入和支出只能填一列",IF($P245=0,"金额为 0",IF(AND($R245="收",N($I245)=0),"这类业务是收款，金额填到收入列",IF(AND($R245="支",N($J245)=0),"这类业务是付款，金额填到支出列",IF(AND(SUMPRODUCT(--(INDEX(记账规则!$A$13:$H$32,MATCH($E245,记账规则!$A$13:$A$32,0),0)="@对方"))&gt;0,$G245=""),"这个类型要填对方科目",IF(AND($G245&lt;&gt;"",ISNA(MATCH($G245,会计科目表!$B$6:$B$85,0))),"对方科目不存在",IF(AND($E245="缴纳税费",$H245=""),"缴税请在费用项目里选税种",IF(AND($F245&lt;&gt;"",ISNA(MATCH($F245,往来单位!$A$6:$A$85,0))),"往来单位未建档",IF(YEAR($B245)&lt;&gt;参数设置!$B$5,"不在本会计年度",IF(AND($B244&lt;&gt;"",ISNUMBER($B244),$B245&lt;$B244),"日期比上一行早，余额按行序滚，建议按日期录","OK")))))))))))))))</f>
        <v/>
      </c>
      <c r="O245" s="58" t="str">
        <f aca="false">IF($B245="","",TEXT($B245,"yyyy-mm"))</f>
        <v/>
      </c>
      <c r="P245" s="60" t="str">
        <f aca="false">IF($E245="","",ROUND(N($I245)+N($J245),2))</f>
        <v/>
      </c>
      <c r="Q245" s="58" t="str">
        <f aca="false">IF($D245="","",IFERROR(INDEX(资金账户!$F$6:$F$25,MATCH($D245,资金账户!$B$6:$B$25,0)),""))</f>
        <v/>
      </c>
      <c r="R245" s="58" t="str">
        <f aca="false">IF($E245="","",IFERROR(IF(INDEX(记账规则!$A$13:$H$32,MATCH($E245,记账规则!$A$13:$A$32,0),4)="借","收","支"),""))</f>
        <v/>
      </c>
      <c r="S245" s="57" t="str">
        <f aca="false">IF($D245="","",ROUND(SUMIFS(资金账户!$H$6:$H$25,资金账户!$B$6:$B$25,$D245)+SUMIFS($I$6:$I245,$D$6:$D245,$D245)-SUMIFS($J$6:$J245,$D$6:$D245,$D245),2))</f>
        <v/>
      </c>
      <c r="T245" s="61" t="str">
        <f aca="false">IF($B245="","",YEAR($B245))</f>
        <v/>
      </c>
    </row>
    <row r="246" customFormat="false" ht="15" hidden="false" customHeight="false" outlineLevel="0" collapsed="false">
      <c r="A246" s="53" t="str">
        <f aca="false">IF($B246="","",ROW()-5)</f>
        <v/>
      </c>
      <c r="B246" s="54"/>
      <c r="C246" s="33"/>
      <c r="D246" s="33"/>
      <c r="E246" s="33"/>
      <c r="F246" s="32"/>
      <c r="G246" s="41"/>
      <c r="H246" s="39"/>
      <c r="I246" s="43"/>
      <c r="J246" s="43"/>
      <c r="K246" s="41"/>
      <c r="L246" s="39"/>
      <c r="M246" s="41"/>
      <c r="N246" s="25" t="str">
        <f aca="false">IF(AND($B246="",$E246="",$I246="",$J246=""),"",IF(NOT(ISNUMBER($B246)),"日期无效",IF(ISNA(MATCH($C246,参数设置!$A$10:$A$12,0)),"公司无效",IF(ISNA(MATCH($D246,资金账户!$B$6:$B$25,0)),"账户未建档",IF(ISNA(MATCH($E246,记账规则!$A$13:$A$32,0)),"业务类型无效",IF(AND(N($I246)&lt;&gt;0,N($J246)&lt;&gt;0),"收入和支出只能填一列",IF($P246=0,"金额为 0",IF(AND($R246="收",N($I246)=0),"这类业务是收款，金额填到收入列",IF(AND($R246="支",N($J246)=0),"这类业务是付款，金额填到支出列",IF(AND(SUMPRODUCT(--(INDEX(记账规则!$A$13:$H$32,MATCH($E246,记账规则!$A$13:$A$32,0),0)="@对方"))&gt;0,$G246=""),"这个类型要填对方科目",IF(AND($G246&lt;&gt;"",ISNA(MATCH($G246,会计科目表!$B$6:$B$85,0))),"对方科目不存在",IF(AND($E246="缴纳税费",$H246=""),"缴税请在费用项目里选税种",IF(AND($F246&lt;&gt;"",ISNA(MATCH($F246,往来单位!$A$6:$A$85,0))),"往来单位未建档",IF(YEAR($B246)&lt;&gt;参数设置!$B$5,"不在本会计年度",IF(AND($B245&lt;&gt;"",ISNUMBER($B245),$B246&lt;$B245),"日期比上一行早，余额按行序滚，建议按日期录","OK")))))))))))))))</f>
        <v/>
      </c>
      <c r="O246" s="58" t="str">
        <f aca="false">IF($B246="","",TEXT($B246,"yyyy-mm"))</f>
        <v/>
      </c>
      <c r="P246" s="60" t="str">
        <f aca="false">IF($E246="","",ROUND(N($I246)+N($J246),2))</f>
        <v/>
      </c>
      <c r="Q246" s="58" t="str">
        <f aca="false">IF($D246="","",IFERROR(INDEX(资金账户!$F$6:$F$25,MATCH($D246,资金账户!$B$6:$B$25,0)),""))</f>
        <v/>
      </c>
      <c r="R246" s="58" t="str">
        <f aca="false">IF($E246="","",IFERROR(IF(INDEX(记账规则!$A$13:$H$32,MATCH($E246,记账规则!$A$13:$A$32,0),4)="借","收","支"),""))</f>
        <v/>
      </c>
      <c r="S246" s="57" t="str">
        <f aca="false">IF($D246="","",ROUND(SUMIFS(资金账户!$H$6:$H$25,资金账户!$B$6:$B$25,$D246)+SUMIFS($I$6:$I246,$D$6:$D246,$D246)-SUMIFS($J$6:$J246,$D$6:$D246,$D246),2))</f>
        <v/>
      </c>
      <c r="T246" s="61" t="str">
        <f aca="false">IF($B246="","",YEAR($B246))</f>
        <v/>
      </c>
    </row>
    <row r="247" customFormat="false" ht="15" hidden="false" customHeight="false" outlineLevel="0" collapsed="false">
      <c r="A247" s="53" t="str">
        <f aca="false">IF($B247="","",ROW()-5)</f>
        <v/>
      </c>
      <c r="B247" s="54"/>
      <c r="C247" s="33"/>
      <c r="D247" s="33"/>
      <c r="E247" s="33"/>
      <c r="F247" s="32"/>
      <c r="G247" s="41"/>
      <c r="H247" s="39"/>
      <c r="I247" s="43"/>
      <c r="J247" s="43"/>
      <c r="K247" s="41"/>
      <c r="L247" s="39"/>
      <c r="M247" s="41"/>
      <c r="N247" s="25" t="str">
        <f aca="false">IF(AND($B247="",$E247="",$I247="",$J247=""),"",IF(NOT(ISNUMBER($B247)),"日期无效",IF(ISNA(MATCH($C247,参数设置!$A$10:$A$12,0)),"公司无效",IF(ISNA(MATCH($D247,资金账户!$B$6:$B$25,0)),"账户未建档",IF(ISNA(MATCH($E247,记账规则!$A$13:$A$32,0)),"业务类型无效",IF(AND(N($I247)&lt;&gt;0,N($J247)&lt;&gt;0),"收入和支出只能填一列",IF($P247=0,"金额为 0",IF(AND($R247="收",N($I247)=0),"这类业务是收款，金额填到收入列",IF(AND($R247="支",N($J247)=0),"这类业务是付款，金额填到支出列",IF(AND(SUMPRODUCT(--(INDEX(记账规则!$A$13:$H$32,MATCH($E247,记账规则!$A$13:$A$32,0),0)="@对方"))&gt;0,$G247=""),"这个类型要填对方科目",IF(AND($G247&lt;&gt;"",ISNA(MATCH($G247,会计科目表!$B$6:$B$85,0))),"对方科目不存在",IF(AND($E247="缴纳税费",$H247=""),"缴税请在费用项目里选税种",IF(AND($F247&lt;&gt;"",ISNA(MATCH($F247,往来单位!$A$6:$A$85,0))),"往来单位未建档",IF(YEAR($B247)&lt;&gt;参数设置!$B$5,"不在本会计年度",IF(AND($B246&lt;&gt;"",ISNUMBER($B246),$B247&lt;$B246),"日期比上一行早，余额按行序滚，建议按日期录","OK")))))))))))))))</f>
        <v/>
      </c>
      <c r="O247" s="58" t="str">
        <f aca="false">IF($B247="","",TEXT($B247,"yyyy-mm"))</f>
        <v/>
      </c>
      <c r="P247" s="60" t="str">
        <f aca="false">IF($E247="","",ROUND(N($I247)+N($J247),2))</f>
        <v/>
      </c>
      <c r="Q247" s="58" t="str">
        <f aca="false">IF($D247="","",IFERROR(INDEX(资金账户!$F$6:$F$25,MATCH($D247,资金账户!$B$6:$B$25,0)),""))</f>
        <v/>
      </c>
      <c r="R247" s="58" t="str">
        <f aca="false">IF($E247="","",IFERROR(IF(INDEX(记账规则!$A$13:$H$32,MATCH($E247,记账规则!$A$13:$A$32,0),4)="借","收","支"),""))</f>
        <v/>
      </c>
      <c r="S247" s="57" t="str">
        <f aca="false">IF($D247="","",ROUND(SUMIFS(资金账户!$H$6:$H$25,资金账户!$B$6:$B$25,$D247)+SUMIFS($I$6:$I247,$D$6:$D247,$D247)-SUMIFS($J$6:$J247,$D$6:$D247,$D247),2))</f>
        <v/>
      </c>
      <c r="T247" s="61" t="str">
        <f aca="false">IF($B247="","",YEAR($B247))</f>
        <v/>
      </c>
    </row>
    <row r="248" customFormat="false" ht="15" hidden="false" customHeight="false" outlineLevel="0" collapsed="false">
      <c r="A248" s="53" t="str">
        <f aca="false">IF($B248="","",ROW()-5)</f>
        <v/>
      </c>
      <c r="B248" s="54"/>
      <c r="C248" s="33"/>
      <c r="D248" s="33"/>
      <c r="E248" s="33"/>
      <c r="F248" s="32"/>
      <c r="G248" s="41"/>
      <c r="H248" s="39"/>
      <c r="I248" s="43"/>
      <c r="J248" s="43"/>
      <c r="K248" s="41"/>
      <c r="L248" s="39"/>
      <c r="M248" s="41"/>
      <c r="N248" s="25" t="str">
        <f aca="false">IF(AND($B248="",$E248="",$I248="",$J248=""),"",IF(NOT(ISNUMBER($B248)),"日期无效",IF(ISNA(MATCH($C248,参数设置!$A$10:$A$12,0)),"公司无效",IF(ISNA(MATCH($D248,资金账户!$B$6:$B$25,0)),"账户未建档",IF(ISNA(MATCH($E248,记账规则!$A$13:$A$32,0)),"业务类型无效",IF(AND(N($I248)&lt;&gt;0,N($J248)&lt;&gt;0),"收入和支出只能填一列",IF($P248=0,"金额为 0",IF(AND($R248="收",N($I248)=0),"这类业务是收款，金额填到收入列",IF(AND($R248="支",N($J248)=0),"这类业务是付款，金额填到支出列",IF(AND(SUMPRODUCT(--(INDEX(记账规则!$A$13:$H$32,MATCH($E248,记账规则!$A$13:$A$32,0),0)="@对方"))&gt;0,$G248=""),"这个类型要填对方科目",IF(AND($G248&lt;&gt;"",ISNA(MATCH($G248,会计科目表!$B$6:$B$85,0))),"对方科目不存在",IF(AND($E248="缴纳税费",$H248=""),"缴税请在费用项目里选税种",IF(AND($F248&lt;&gt;"",ISNA(MATCH($F248,往来单位!$A$6:$A$85,0))),"往来单位未建档",IF(YEAR($B248)&lt;&gt;参数设置!$B$5,"不在本会计年度",IF(AND($B247&lt;&gt;"",ISNUMBER($B247),$B248&lt;$B247),"日期比上一行早，余额按行序滚，建议按日期录","OK")))))))))))))))</f>
        <v/>
      </c>
      <c r="O248" s="58" t="str">
        <f aca="false">IF($B248="","",TEXT($B248,"yyyy-mm"))</f>
        <v/>
      </c>
      <c r="P248" s="60" t="str">
        <f aca="false">IF($E248="","",ROUND(N($I248)+N($J248),2))</f>
        <v/>
      </c>
      <c r="Q248" s="58" t="str">
        <f aca="false">IF($D248="","",IFERROR(INDEX(资金账户!$F$6:$F$25,MATCH($D248,资金账户!$B$6:$B$25,0)),""))</f>
        <v/>
      </c>
      <c r="R248" s="58" t="str">
        <f aca="false">IF($E248="","",IFERROR(IF(INDEX(记账规则!$A$13:$H$32,MATCH($E248,记账规则!$A$13:$A$32,0),4)="借","收","支"),""))</f>
        <v/>
      </c>
      <c r="S248" s="57" t="str">
        <f aca="false">IF($D248="","",ROUND(SUMIFS(资金账户!$H$6:$H$25,资金账户!$B$6:$B$25,$D248)+SUMIFS($I$6:$I248,$D$6:$D248,$D248)-SUMIFS($J$6:$J248,$D$6:$D248,$D248),2))</f>
        <v/>
      </c>
      <c r="T248" s="61" t="str">
        <f aca="false">IF($B248="","",YEAR($B248))</f>
        <v/>
      </c>
    </row>
    <row r="249" customFormat="false" ht="15" hidden="false" customHeight="false" outlineLevel="0" collapsed="false">
      <c r="A249" s="53" t="str">
        <f aca="false">IF($B249="","",ROW()-5)</f>
        <v/>
      </c>
      <c r="B249" s="54"/>
      <c r="C249" s="33"/>
      <c r="D249" s="33"/>
      <c r="E249" s="33"/>
      <c r="F249" s="32"/>
      <c r="G249" s="41"/>
      <c r="H249" s="39"/>
      <c r="I249" s="43"/>
      <c r="J249" s="43"/>
      <c r="K249" s="41"/>
      <c r="L249" s="39"/>
      <c r="M249" s="41"/>
      <c r="N249" s="25" t="str">
        <f aca="false">IF(AND($B249="",$E249="",$I249="",$J249=""),"",IF(NOT(ISNUMBER($B249)),"日期无效",IF(ISNA(MATCH($C249,参数设置!$A$10:$A$12,0)),"公司无效",IF(ISNA(MATCH($D249,资金账户!$B$6:$B$25,0)),"账户未建档",IF(ISNA(MATCH($E249,记账规则!$A$13:$A$32,0)),"业务类型无效",IF(AND(N($I249)&lt;&gt;0,N($J249)&lt;&gt;0),"收入和支出只能填一列",IF($P249=0,"金额为 0",IF(AND($R249="收",N($I249)=0),"这类业务是收款，金额填到收入列",IF(AND($R249="支",N($J249)=0),"这类业务是付款，金额填到支出列",IF(AND(SUMPRODUCT(--(INDEX(记账规则!$A$13:$H$32,MATCH($E249,记账规则!$A$13:$A$32,0),0)="@对方"))&gt;0,$G249=""),"这个类型要填对方科目",IF(AND($G249&lt;&gt;"",ISNA(MATCH($G249,会计科目表!$B$6:$B$85,0))),"对方科目不存在",IF(AND($E249="缴纳税费",$H249=""),"缴税请在费用项目里选税种",IF(AND($F249&lt;&gt;"",ISNA(MATCH($F249,往来单位!$A$6:$A$85,0))),"往来单位未建档",IF(YEAR($B249)&lt;&gt;参数设置!$B$5,"不在本会计年度",IF(AND($B248&lt;&gt;"",ISNUMBER($B248),$B249&lt;$B248),"日期比上一行早，余额按行序滚，建议按日期录","OK")))))))))))))))</f>
        <v/>
      </c>
      <c r="O249" s="58" t="str">
        <f aca="false">IF($B249="","",TEXT($B249,"yyyy-mm"))</f>
        <v/>
      </c>
      <c r="P249" s="60" t="str">
        <f aca="false">IF($E249="","",ROUND(N($I249)+N($J249),2))</f>
        <v/>
      </c>
      <c r="Q249" s="58" t="str">
        <f aca="false">IF($D249="","",IFERROR(INDEX(资金账户!$F$6:$F$25,MATCH($D249,资金账户!$B$6:$B$25,0)),""))</f>
        <v/>
      </c>
      <c r="R249" s="58" t="str">
        <f aca="false">IF($E249="","",IFERROR(IF(INDEX(记账规则!$A$13:$H$32,MATCH($E249,记账规则!$A$13:$A$32,0),4)="借","收","支"),""))</f>
        <v/>
      </c>
      <c r="S249" s="57" t="str">
        <f aca="false">IF($D249="","",ROUND(SUMIFS(资金账户!$H$6:$H$25,资金账户!$B$6:$B$25,$D249)+SUMIFS($I$6:$I249,$D$6:$D249,$D249)-SUMIFS($J$6:$J249,$D$6:$D249,$D249),2))</f>
        <v/>
      </c>
      <c r="T249" s="61" t="str">
        <f aca="false">IF($B249="","",YEAR($B249))</f>
        <v/>
      </c>
    </row>
    <row r="250" customFormat="false" ht="15" hidden="false" customHeight="false" outlineLevel="0" collapsed="false">
      <c r="A250" s="53" t="str">
        <f aca="false">IF($B250="","",ROW()-5)</f>
        <v/>
      </c>
      <c r="B250" s="54"/>
      <c r="C250" s="33"/>
      <c r="D250" s="33"/>
      <c r="E250" s="33"/>
      <c r="F250" s="32"/>
      <c r="G250" s="41"/>
      <c r="H250" s="39"/>
      <c r="I250" s="43"/>
      <c r="J250" s="43"/>
      <c r="K250" s="41"/>
      <c r="L250" s="39"/>
      <c r="M250" s="41"/>
      <c r="N250" s="25" t="str">
        <f aca="false">IF(AND($B250="",$E250="",$I250="",$J250=""),"",IF(NOT(ISNUMBER($B250)),"日期无效",IF(ISNA(MATCH($C250,参数设置!$A$10:$A$12,0)),"公司无效",IF(ISNA(MATCH($D250,资金账户!$B$6:$B$25,0)),"账户未建档",IF(ISNA(MATCH($E250,记账规则!$A$13:$A$32,0)),"业务类型无效",IF(AND(N($I250)&lt;&gt;0,N($J250)&lt;&gt;0),"收入和支出只能填一列",IF($P250=0,"金额为 0",IF(AND($R250="收",N($I250)=0),"这类业务是收款，金额填到收入列",IF(AND($R250="支",N($J250)=0),"这类业务是付款，金额填到支出列",IF(AND(SUMPRODUCT(--(INDEX(记账规则!$A$13:$H$32,MATCH($E250,记账规则!$A$13:$A$32,0),0)="@对方"))&gt;0,$G250=""),"这个类型要填对方科目",IF(AND($G250&lt;&gt;"",ISNA(MATCH($G250,会计科目表!$B$6:$B$85,0))),"对方科目不存在",IF(AND($E250="缴纳税费",$H250=""),"缴税请在费用项目里选税种",IF(AND($F250&lt;&gt;"",ISNA(MATCH($F250,往来单位!$A$6:$A$85,0))),"往来单位未建档",IF(YEAR($B250)&lt;&gt;参数设置!$B$5,"不在本会计年度",IF(AND($B249&lt;&gt;"",ISNUMBER($B249),$B250&lt;$B249),"日期比上一行早，余额按行序滚，建议按日期录","OK")))))))))))))))</f>
        <v/>
      </c>
      <c r="O250" s="58" t="str">
        <f aca="false">IF($B250="","",TEXT($B250,"yyyy-mm"))</f>
        <v/>
      </c>
      <c r="P250" s="60" t="str">
        <f aca="false">IF($E250="","",ROUND(N($I250)+N($J250),2))</f>
        <v/>
      </c>
      <c r="Q250" s="58" t="str">
        <f aca="false">IF($D250="","",IFERROR(INDEX(资金账户!$F$6:$F$25,MATCH($D250,资金账户!$B$6:$B$25,0)),""))</f>
        <v/>
      </c>
      <c r="R250" s="58" t="str">
        <f aca="false">IF($E250="","",IFERROR(IF(INDEX(记账规则!$A$13:$H$32,MATCH($E250,记账规则!$A$13:$A$32,0),4)="借","收","支"),""))</f>
        <v/>
      </c>
      <c r="S250" s="57" t="str">
        <f aca="false">IF($D250="","",ROUND(SUMIFS(资金账户!$H$6:$H$25,资金账户!$B$6:$B$25,$D250)+SUMIFS($I$6:$I250,$D$6:$D250,$D250)-SUMIFS($J$6:$J250,$D$6:$D250,$D250),2))</f>
        <v/>
      </c>
      <c r="T250" s="61" t="str">
        <f aca="false">IF($B250="","",YEAR($B250))</f>
        <v/>
      </c>
    </row>
    <row r="251" customFormat="false" ht="15" hidden="false" customHeight="false" outlineLevel="0" collapsed="false">
      <c r="A251" s="53" t="str">
        <f aca="false">IF($B251="","",ROW()-5)</f>
        <v/>
      </c>
      <c r="B251" s="54"/>
      <c r="C251" s="33"/>
      <c r="D251" s="33"/>
      <c r="E251" s="33"/>
      <c r="F251" s="32"/>
      <c r="G251" s="41"/>
      <c r="H251" s="39"/>
      <c r="I251" s="43"/>
      <c r="J251" s="43"/>
      <c r="K251" s="41"/>
      <c r="L251" s="39"/>
      <c r="M251" s="41"/>
      <c r="N251" s="25" t="str">
        <f aca="false">IF(AND($B251="",$E251="",$I251="",$J251=""),"",IF(NOT(ISNUMBER($B251)),"日期无效",IF(ISNA(MATCH($C251,参数设置!$A$10:$A$12,0)),"公司无效",IF(ISNA(MATCH($D251,资金账户!$B$6:$B$25,0)),"账户未建档",IF(ISNA(MATCH($E251,记账规则!$A$13:$A$32,0)),"业务类型无效",IF(AND(N($I251)&lt;&gt;0,N($J251)&lt;&gt;0),"收入和支出只能填一列",IF($P251=0,"金额为 0",IF(AND($R251="收",N($I251)=0),"这类业务是收款，金额填到收入列",IF(AND($R251="支",N($J251)=0),"这类业务是付款，金额填到支出列",IF(AND(SUMPRODUCT(--(INDEX(记账规则!$A$13:$H$32,MATCH($E251,记账规则!$A$13:$A$32,0),0)="@对方"))&gt;0,$G251=""),"这个类型要填对方科目",IF(AND($G251&lt;&gt;"",ISNA(MATCH($G251,会计科目表!$B$6:$B$85,0))),"对方科目不存在",IF(AND($E251="缴纳税费",$H251=""),"缴税请在费用项目里选税种",IF(AND($F251&lt;&gt;"",ISNA(MATCH($F251,往来单位!$A$6:$A$85,0))),"往来单位未建档",IF(YEAR($B251)&lt;&gt;参数设置!$B$5,"不在本会计年度",IF(AND($B250&lt;&gt;"",ISNUMBER($B250),$B251&lt;$B250),"日期比上一行早，余额按行序滚，建议按日期录","OK")))))))))))))))</f>
        <v/>
      </c>
      <c r="O251" s="58" t="str">
        <f aca="false">IF($B251="","",TEXT($B251,"yyyy-mm"))</f>
        <v/>
      </c>
      <c r="P251" s="60" t="str">
        <f aca="false">IF($E251="","",ROUND(N($I251)+N($J251),2))</f>
        <v/>
      </c>
      <c r="Q251" s="58" t="str">
        <f aca="false">IF($D251="","",IFERROR(INDEX(资金账户!$F$6:$F$25,MATCH($D251,资金账户!$B$6:$B$25,0)),""))</f>
        <v/>
      </c>
      <c r="R251" s="58" t="str">
        <f aca="false">IF($E251="","",IFERROR(IF(INDEX(记账规则!$A$13:$H$32,MATCH($E251,记账规则!$A$13:$A$32,0),4)="借","收","支"),""))</f>
        <v/>
      </c>
      <c r="S251" s="57" t="str">
        <f aca="false">IF($D251="","",ROUND(SUMIFS(资金账户!$H$6:$H$25,资金账户!$B$6:$B$25,$D251)+SUMIFS($I$6:$I251,$D$6:$D251,$D251)-SUMIFS($J$6:$J251,$D$6:$D251,$D251),2))</f>
        <v/>
      </c>
      <c r="T251" s="61" t="str">
        <f aca="false">IF($B251="","",YEAR($B251))</f>
        <v/>
      </c>
    </row>
    <row r="252" customFormat="false" ht="15" hidden="false" customHeight="false" outlineLevel="0" collapsed="false">
      <c r="A252" s="53" t="str">
        <f aca="false">IF($B252="","",ROW()-5)</f>
        <v/>
      </c>
      <c r="B252" s="54"/>
      <c r="C252" s="33"/>
      <c r="D252" s="33"/>
      <c r="E252" s="33"/>
      <c r="F252" s="32"/>
      <c r="G252" s="41"/>
      <c r="H252" s="39"/>
      <c r="I252" s="43"/>
      <c r="J252" s="43"/>
      <c r="K252" s="41"/>
      <c r="L252" s="39"/>
      <c r="M252" s="41"/>
      <c r="N252" s="25" t="str">
        <f aca="false">IF(AND($B252="",$E252="",$I252="",$J252=""),"",IF(NOT(ISNUMBER($B252)),"日期无效",IF(ISNA(MATCH($C252,参数设置!$A$10:$A$12,0)),"公司无效",IF(ISNA(MATCH($D252,资金账户!$B$6:$B$25,0)),"账户未建档",IF(ISNA(MATCH($E252,记账规则!$A$13:$A$32,0)),"业务类型无效",IF(AND(N($I252)&lt;&gt;0,N($J252)&lt;&gt;0),"收入和支出只能填一列",IF($P252=0,"金额为 0",IF(AND($R252="收",N($I252)=0),"这类业务是收款，金额填到收入列",IF(AND($R252="支",N($J252)=0),"这类业务是付款，金额填到支出列",IF(AND(SUMPRODUCT(--(INDEX(记账规则!$A$13:$H$32,MATCH($E252,记账规则!$A$13:$A$32,0),0)="@对方"))&gt;0,$G252=""),"这个类型要填对方科目",IF(AND($G252&lt;&gt;"",ISNA(MATCH($G252,会计科目表!$B$6:$B$85,0))),"对方科目不存在",IF(AND($E252="缴纳税费",$H252=""),"缴税请在费用项目里选税种",IF(AND($F252&lt;&gt;"",ISNA(MATCH($F252,往来单位!$A$6:$A$85,0))),"往来单位未建档",IF(YEAR($B252)&lt;&gt;参数设置!$B$5,"不在本会计年度",IF(AND($B251&lt;&gt;"",ISNUMBER($B251),$B252&lt;$B251),"日期比上一行早，余额按行序滚，建议按日期录","OK")))))))))))))))</f>
        <v/>
      </c>
      <c r="O252" s="58" t="str">
        <f aca="false">IF($B252="","",TEXT($B252,"yyyy-mm"))</f>
        <v/>
      </c>
      <c r="P252" s="60" t="str">
        <f aca="false">IF($E252="","",ROUND(N($I252)+N($J252),2))</f>
        <v/>
      </c>
      <c r="Q252" s="58" t="str">
        <f aca="false">IF($D252="","",IFERROR(INDEX(资金账户!$F$6:$F$25,MATCH($D252,资金账户!$B$6:$B$25,0)),""))</f>
        <v/>
      </c>
      <c r="R252" s="58" t="str">
        <f aca="false">IF($E252="","",IFERROR(IF(INDEX(记账规则!$A$13:$H$32,MATCH($E252,记账规则!$A$13:$A$32,0),4)="借","收","支"),""))</f>
        <v/>
      </c>
      <c r="S252" s="57" t="str">
        <f aca="false">IF($D252="","",ROUND(SUMIFS(资金账户!$H$6:$H$25,资金账户!$B$6:$B$25,$D252)+SUMIFS($I$6:$I252,$D$6:$D252,$D252)-SUMIFS($J$6:$J252,$D$6:$D252,$D252),2))</f>
        <v/>
      </c>
      <c r="T252" s="61" t="str">
        <f aca="false">IF($B252="","",YEAR($B252))</f>
        <v/>
      </c>
    </row>
    <row r="253" customFormat="false" ht="15" hidden="false" customHeight="false" outlineLevel="0" collapsed="false">
      <c r="A253" s="53" t="str">
        <f aca="false">IF($B253="","",ROW()-5)</f>
        <v/>
      </c>
      <c r="B253" s="54"/>
      <c r="C253" s="33"/>
      <c r="D253" s="33"/>
      <c r="E253" s="33"/>
      <c r="F253" s="32"/>
      <c r="G253" s="41"/>
      <c r="H253" s="39"/>
      <c r="I253" s="43"/>
      <c r="J253" s="43"/>
      <c r="K253" s="41"/>
      <c r="L253" s="39"/>
      <c r="M253" s="41"/>
      <c r="N253" s="25" t="str">
        <f aca="false">IF(AND($B253="",$E253="",$I253="",$J253=""),"",IF(NOT(ISNUMBER($B253)),"日期无效",IF(ISNA(MATCH($C253,参数设置!$A$10:$A$12,0)),"公司无效",IF(ISNA(MATCH($D253,资金账户!$B$6:$B$25,0)),"账户未建档",IF(ISNA(MATCH($E253,记账规则!$A$13:$A$32,0)),"业务类型无效",IF(AND(N($I253)&lt;&gt;0,N($J253)&lt;&gt;0),"收入和支出只能填一列",IF($P253=0,"金额为 0",IF(AND($R253="收",N($I253)=0),"这类业务是收款，金额填到收入列",IF(AND($R253="支",N($J253)=0),"这类业务是付款，金额填到支出列",IF(AND(SUMPRODUCT(--(INDEX(记账规则!$A$13:$H$32,MATCH($E253,记账规则!$A$13:$A$32,0),0)="@对方"))&gt;0,$G253=""),"这个类型要填对方科目",IF(AND($G253&lt;&gt;"",ISNA(MATCH($G253,会计科目表!$B$6:$B$85,0))),"对方科目不存在",IF(AND($E253="缴纳税费",$H253=""),"缴税请在费用项目里选税种",IF(AND($F253&lt;&gt;"",ISNA(MATCH($F253,往来单位!$A$6:$A$85,0))),"往来单位未建档",IF(YEAR($B253)&lt;&gt;参数设置!$B$5,"不在本会计年度",IF(AND($B252&lt;&gt;"",ISNUMBER($B252),$B253&lt;$B252),"日期比上一行早，余额按行序滚，建议按日期录","OK")))))))))))))))</f>
        <v/>
      </c>
      <c r="O253" s="58" t="str">
        <f aca="false">IF($B253="","",TEXT($B253,"yyyy-mm"))</f>
        <v/>
      </c>
      <c r="P253" s="60" t="str">
        <f aca="false">IF($E253="","",ROUND(N($I253)+N($J253),2))</f>
        <v/>
      </c>
      <c r="Q253" s="58" t="str">
        <f aca="false">IF($D253="","",IFERROR(INDEX(资金账户!$F$6:$F$25,MATCH($D253,资金账户!$B$6:$B$25,0)),""))</f>
        <v/>
      </c>
      <c r="R253" s="58" t="str">
        <f aca="false">IF($E253="","",IFERROR(IF(INDEX(记账规则!$A$13:$H$32,MATCH($E253,记账规则!$A$13:$A$32,0),4)="借","收","支"),""))</f>
        <v/>
      </c>
      <c r="S253" s="57" t="str">
        <f aca="false">IF($D253="","",ROUND(SUMIFS(资金账户!$H$6:$H$25,资金账户!$B$6:$B$25,$D253)+SUMIFS($I$6:$I253,$D$6:$D253,$D253)-SUMIFS($J$6:$J253,$D$6:$D253,$D253),2))</f>
        <v/>
      </c>
      <c r="T253" s="61" t="str">
        <f aca="false">IF($B253="","",YEAR($B253))</f>
        <v/>
      </c>
    </row>
    <row r="254" customFormat="false" ht="15" hidden="false" customHeight="false" outlineLevel="0" collapsed="false">
      <c r="A254" s="53" t="str">
        <f aca="false">IF($B254="","",ROW()-5)</f>
        <v/>
      </c>
      <c r="B254" s="54"/>
      <c r="C254" s="33"/>
      <c r="D254" s="33"/>
      <c r="E254" s="33"/>
      <c r="F254" s="32"/>
      <c r="G254" s="41"/>
      <c r="H254" s="39"/>
      <c r="I254" s="43"/>
      <c r="J254" s="43"/>
      <c r="K254" s="41"/>
      <c r="L254" s="39"/>
      <c r="M254" s="41"/>
      <c r="N254" s="25" t="str">
        <f aca="false">IF(AND($B254="",$E254="",$I254="",$J254=""),"",IF(NOT(ISNUMBER($B254)),"日期无效",IF(ISNA(MATCH($C254,参数设置!$A$10:$A$12,0)),"公司无效",IF(ISNA(MATCH($D254,资金账户!$B$6:$B$25,0)),"账户未建档",IF(ISNA(MATCH($E254,记账规则!$A$13:$A$32,0)),"业务类型无效",IF(AND(N($I254)&lt;&gt;0,N($J254)&lt;&gt;0),"收入和支出只能填一列",IF($P254=0,"金额为 0",IF(AND($R254="收",N($I254)=0),"这类业务是收款，金额填到收入列",IF(AND($R254="支",N($J254)=0),"这类业务是付款，金额填到支出列",IF(AND(SUMPRODUCT(--(INDEX(记账规则!$A$13:$H$32,MATCH($E254,记账规则!$A$13:$A$32,0),0)="@对方"))&gt;0,$G254=""),"这个类型要填对方科目",IF(AND($G254&lt;&gt;"",ISNA(MATCH($G254,会计科目表!$B$6:$B$85,0))),"对方科目不存在",IF(AND($E254="缴纳税费",$H254=""),"缴税请在费用项目里选税种",IF(AND($F254&lt;&gt;"",ISNA(MATCH($F254,往来单位!$A$6:$A$85,0))),"往来单位未建档",IF(YEAR($B254)&lt;&gt;参数设置!$B$5,"不在本会计年度",IF(AND($B253&lt;&gt;"",ISNUMBER($B253),$B254&lt;$B253),"日期比上一行早，余额按行序滚，建议按日期录","OK")))))))))))))))</f>
        <v/>
      </c>
      <c r="O254" s="58" t="str">
        <f aca="false">IF($B254="","",TEXT($B254,"yyyy-mm"))</f>
        <v/>
      </c>
      <c r="P254" s="60" t="str">
        <f aca="false">IF($E254="","",ROUND(N($I254)+N($J254),2))</f>
        <v/>
      </c>
      <c r="Q254" s="58" t="str">
        <f aca="false">IF($D254="","",IFERROR(INDEX(资金账户!$F$6:$F$25,MATCH($D254,资金账户!$B$6:$B$25,0)),""))</f>
        <v/>
      </c>
      <c r="R254" s="58" t="str">
        <f aca="false">IF($E254="","",IFERROR(IF(INDEX(记账规则!$A$13:$H$32,MATCH($E254,记账规则!$A$13:$A$32,0),4)="借","收","支"),""))</f>
        <v/>
      </c>
      <c r="S254" s="57" t="str">
        <f aca="false">IF($D254="","",ROUND(SUMIFS(资金账户!$H$6:$H$25,资金账户!$B$6:$B$25,$D254)+SUMIFS($I$6:$I254,$D$6:$D254,$D254)-SUMIFS($J$6:$J254,$D$6:$D254,$D254),2))</f>
        <v/>
      </c>
      <c r="T254" s="61" t="str">
        <f aca="false">IF($B254="","",YEAR($B254))</f>
        <v/>
      </c>
    </row>
    <row r="255" customFormat="false" ht="15" hidden="false" customHeight="false" outlineLevel="0" collapsed="false">
      <c r="A255" s="53" t="str">
        <f aca="false">IF($B255="","",ROW()-5)</f>
        <v/>
      </c>
      <c r="B255" s="54"/>
      <c r="C255" s="33"/>
      <c r="D255" s="33"/>
      <c r="E255" s="33"/>
      <c r="F255" s="32"/>
      <c r="G255" s="41"/>
      <c r="H255" s="39"/>
      <c r="I255" s="43"/>
      <c r="J255" s="43"/>
      <c r="K255" s="41"/>
      <c r="L255" s="39"/>
      <c r="M255" s="41"/>
      <c r="N255" s="25" t="str">
        <f aca="false">IF(AND($B255="",$E255="",$I255="",$J255=""),"",IF(NOT(ISNUMBER($B255)),"日期无效",IF(ISNA(MATCH($C255,参数设置!$A$10:$A$12,0)),"公司无效",IF(ISNA(MATCH($D255,资金账户!$B$6:$B$25,0)),"账户未建档",IF(ISNA(MATCH($E255,记账规则!$A$13:$A$32,0)),"业务类型无效",IF(AND(N($I255)&lt;&gt;0,N($J255)&lt;&gt;0),"收入和支出只能填一列",IF($P255=0,"金额为 0",IF(AND($R255="收",N($I255)=0),"这类业务是收款，金额填到收入列",IF(AND($R255="支",N($J255)=0),"这类业务是付款，金额填到支出列",IF(AND(SUMPRODUCT(--(INDEX(记账规则!$A$13:$H$32,MATCH($E255,记账规则!$A$13:$A$32,0),0)="@对方"))&gt;0,$G255=""),"这个类型要填对方科目",IF(AND($G255&lt;&gt;"",ISNA(MATCH($G255,会计科目表!$B$6:$B$85,0))),"对方科目不存在",IF(AND($E255="缴纳税费",$H255=""),"缴税请在费用项目里选税种",IF(AND($F255&lt;&gt;"",ISNA(MATCH($F255,往来单位!$A$6:$A$85,0))),"往来单位未建档",IF(YEAR($B255)&lt;&gt;参数设置!$B$5,"不在本会计年度",IF(AND($B254&lt;&gt;"",ISNUMBER($B254),$B255&lt;$B254),"日期比上一行早，余额按行序滚，建议按日期录","OK")))))))))))))))</f>
        <v/>
      </c>
      <c r="O255" s="58" t="str">
        <f aca="false">IF($B255="","",TEXT($B255,"yyyy-mm"))</f>
        <v/>
      </c>
      <c r="P255" s="60" t="str">
        <f aca="false">IF($E255="","",ROUND(N($I255)+N($J255),2))</f>
        <v/>
      </c>
      <c r="Q255" s="58" t="str">
        <f aca="false">IF($D255="","",IFERROR(INDEX(资金账户!$F$6:$F$25,MATCH($D255,资金账户!$B$6:$B$25,0)),""))</f>
        <v/>
      </c>
      <c r="R255" s="58" t="str">
        <f aca="false">IF($E255="","",IFERROR(IF(INDEX(记账规则!$A$13:$H$32,MATCH($E255,记账规则!$A$13:$A$32,0),4)="借","收","支"),""))</f>
        <v/>
      </c>
      <c r="S255" s="57" t="str">
        <f aca="false">IF($D255="","",ROUND(SUMIFS(资金账户!$H$6:$H$25,资金账户!$B$6:$B$25,$D255)+SUMIFS($I$6:$I255,$D$6:$D255,$D255)-SUMIFS($J$6:$J255,$D$6:$D255,$D255),2))</f>
        <v/>
      </c>
      <c r="T255" s="61" t="str">
        <f aca="false">IF($B255="","",YEAR($B255))</f>
        <v/>
      </c>
    </row>
    <row r="256" customFormat="false" ht="15" hidden="false" customHeight="false" outlineLevel="0" collapsed="false">
      <c r="A256" s="53" t="str">
        <f aca="false">IF($B256="","",ROW()-5)</f>
        <v/>
      </c>
      <c r="B256" s="54"/>
      <c r="C256" s="33"/>
      <c r="D256" s="33"/>
      <c r="E256" s="33"/>
      <c r="F256" s="32"/>
      <c r="G256" s="41"/>
      <c r="H256" s="39"/>
      <c r="I256" s="43"/>
      <c r="J256" s="43"/>
      <c r="K256" s="41"/>
      <c r="L256" s="39"/>
      <c r="M256" s="41"/>
      <c r="N256" s="25" t="str">
        <f aca="false">IF(AND($B256="",$E256="",$I256="",$J256=""),"",IF(NOT(ISNUMBER($B256)),"日期无效",IF(ISNA(MATCH($C256,参数设置!$A$10:$A$12,0)),"公司无效",IF(ISNA(MATCH($D256,资金账户!$B$6:$B$25,0)),"账户未建档",IF(ISNA(MATCH($E256,记账规则!$A$13:$A$32,0)),"业务类型无效",IF(AND(N($I256)&lt;&gt;0,N($J256)&lt;&gt;0),"收入和支出只能填一列",IF($P256=0,"金额为 0",IF(AND($R256="收",N($I256)=0),"这类业务是收款，金额填到收入列",IF(AND($R256="支",N($J256)=0),"这类业务是付款，金额填到支出列",IF(AND(SUMPRODUCT(--(INDEX(记账规则!$A$13:$H$32,MATCH($E256,记账规则!$A$13:$A$32,0),0)="@对方"))&gt;0,$G256=""),"这个类型要填对方科目",IF(AND($G256&lt;&gt;"",ISNA(MATCH($G256,会计科目表!$B$6:$B$85,0))),"对方科目不存在",IF(AND($E256="缴纳税费",$H256=""),"缴税请在费用项目里选税种",IF(AND($F256&lt;&gt;"",ISNA(MATCH($F256,往来单位!$A$6:$A$85,0))),"往来单位未建档",IF(YEAR($B256)&lt;&gt;参数设置!$B$5,"不在本会计年度",IF(AND($B255&lt;&gt;"",ISNUMBER($B255),$B256&lt;$B255),"日期比上一行早，余额按行序滚，建议按日期录","OK")))))))))))))))</f>
        <v/>
      </c>
      <c r="O256" s="58" t="str">
        <f aca="false">IF($B256="","",TEXT($B256,"yyyy-mm"))</f>
        <v/>
      </c>
      <c r="P256" s="60" t="str">
        <f aca="false">IF($E256="","",ROUND(N($I256)+N($J256),2))</f>
        <v/>
      </c>
      <c r="Q256" s="58" t="str">
        <f aca="false">IF($D256="","",IFERROR(INDEX(资金账户!$F$6:$F$25,MATCH($D256,资金账户!$B$6:$B$25,0)),""))</f>
        <v/>
      </c>
      <c r="R256" s="58" t="str">
        <f aca="false">IF($E256="","",IFERROR(IF(INDEX(记账规则!$A$13:$H$32,MATCH($E256,记账规则!$A$13:$A$32,0),4)="借","收","支"),""))</f>
        <v/>
      </c>
      <c r="S256" s="57" t="str">
        <f aca="false">IF($D256="","",ROUND(SUMIFS(资金账户!$H$6:$H$25,资金账户!$B$6:$B$25,$D256)+SUMIFS($I$6:$I256,$D$6:$D256,$D256)-SUMIFS($J$6:$J256,$D$6:$D256,$D256),2))</f>
        <v/>
      </c>
      <c r="T256" s="61" t="str">
        <f aca="false">IF($B256="","",YEAR($B256))</f>
        <v/>
      </c>
    </row>
    <row r="257" customFormat="false" ht="15" hidden="false" customHeight="false" outlineLevel="0" collapsed="false">
      <c r="A257" s="53" t="str">
        <f aca="false">IF($B257="","",ROW()-5)</f>
        <v/>
      </c>
      <c r="B257" s="54"/>
      <c r="C257" s="33"/>
      <c r="D257" s="33"/>
      <c r="E257" s="33"/>
      <c r="F257" s="32"/>
      <c r="G257" s="41"/>
      <c r="H257" s="39"/>
      <c r="I257" s="43"/>
      <c r="J257" s="43"/>
      <c r="K257" s="41"/>
      <c r="L257" s="39"/>
      <c r="M257" s="41"/>
      <c r="N257" s="25" t="str">
        <f aca="false">IF(AND($B257="",$E257="",$I257="",$J257=""),"",IF(NOT(ISNUMBER($B257)),"日期无效",IF(ISNA(MATCH($C257,参数设置!$A$10:$A$12,0)),"公司无效",IF(ISNA(MATCH($D257,资金账户!$B$6:$B$25,0)),"账户未建档",IF(ISNA(MATCH($E257,记账规则!$A$13:$A$32,0)),"业务类型无效",IF(AND(N($I257)&lt;&gt;0,N($J257)&lt;&gt;0),"收入和支出只能填一列",IF($P257=0,"金额为 0",IF(AND($R257="收",N($I257)=0),"这类业务是收款，金额填到收入列",IF(AND($R257="支",N($J257)=0),"这类业务是付款，金额填到支出列",IF(AND(SUMPRODUCT(--(INDEX(记账规则!$A$13:$H$32,MATCH($E257,记账规则!$A$13:$A$32,0),0)="@对方"))&gt;0,$G257=""),"这个类型要填对方科目",IF(AND($G257&lt;&gt;"",ISNA(MATCH($G257,会计科目表!$B$6:$B$85,0))),"对方科目不存在",IF(AND($E257="缴纳税费",$H257=""),"缴税请在费用项目里选税种",IF(AND($F257&lt;&gt;"",ISNA(MATCH($F257,往来单位!$A$6:$A$85,0))),"往来单位未建档",IF(YEAR($B257)&lt;&gt;参数设置!$B$5,"不在本会计年度",IF(AND($B256&lt;&gt;"",ISNUMBER($B256),$B257&lt;$B256),"日期比上一行早，余额按行序滚，建议按日期录","OK")))))))))))))))</f>
        <v/>
      </c>
      <c r="O257" s="58" t="str">
        <f aca="false">IF($B257="","",TEXT($B257,"yyyy-mm"))</f>
        <v/>
      </c>
      <c r="P257" s="60" t="str">
        <f aca="false">IF($E257="","",ROUND(N($I257)+N($J257),2))</f>
        <v/>
      </c>
      <c r="Q257" s="58" t="str">
        <f aca="false">IF($D257="","",IFERROR(INDEX(资金账户!$F$6:$F$25,MATCH($D257,资金账户!$B$6:$B$25,0)),""))</f>
        <v/>
      </c>
      <c r="R257" s="58" t="str">
        <f aca="false">IF($E257="","",IFERROR(IF(INDEX(记账规则!$A$13:$H$32,MATCH($E257,记账规则!$A$13:$A$32,0),4)="借","收","支"),""))</f>
        <v/>
      </c>
      <c r="S257" s="57" t="str">
        <f aca="false">IF($D257="","",ROUND(SUMIFS(资金账户!$H$6:$H$25,资金账户!$B$6:$B$25,$D257)+SUMIFS($I$6:$I257,$D$6:$D257,$D257)-SUMIFS($J$6:$J257,$D$6:$D257,$D257),2))</f>
        <v/>
      </c>
      <c r="T257" s="61" t="str">
        <f aca="false">IF($B257="","",YEAR($B257))</f>
        <v/>
      </c>
    </row>
    <row r="258" customFormat="false" ht="15" hidden="false" customHeight="false" outlineLevel="0" collapsed="false">
      <c r="A258" s="53" t="str">
        <f aca="false">IF($B258="","",ROW()-5)</f>
        <v/>
      </c>
      <c r="B258" s="54"/>
      <c r="C258" s="33"/>
      <c r="D258" s="33"/>
      <c r="E258" s="33"/>
      <c r="F258" s="32"/>
      <c r="G258" s="41"/>
      <c r="H258" s="39"/>
      <c r="I258" s="43"/>
      <c r="J258" s="43"/>
      <c r="K258" s="41"/>
      <c r="L258" s="39"/>
      <c r="M258" s="41"/>
      <c r="N258" s="25" t="str">
        <f aca="false">IF(AND($B258="",$E258="",$I258="",$J258=""),"",IF(NOT(ISNUMBER($B258)),"日期无效",IF(ISNA(MATCH($C258,参数设置!$A$10:$A$12,0)),"公司无效",IF(ISNA(MATCH($D258,资金账户!$B$6:$B$25,0)),"账户未建档",IF(ISNA(MATCH($E258,记账规则!$A$13:$A$32,0)),"业务类型无效",IF(AND(N($I258)&lt;&gt;0,N($J258)&lt;&gt;0),"收入和支出只能填一列",IF($P258=0,"金额为 0",IF(AND($R258="收",N($I258)=0),"这类业务是收款，金额填到收入列",IF(AND($R258="支",N($J258)=0),"这类业务是付款，金额填到支出列",IF(AND(SUMPRODUCT(--(INDEX(记账规则!$A$13:$H$32,MATCH($E258,记账规则!$A$13:$A$32,0),0)="@对方"))&gt;0,$G258=""),"这个类型要填对方科目",IF(AND($G258&lt;&gt;"",ISNA(MATCH($G258,会计科目表!$B$6:$B$85,0))),"对方科目不存在",IF(AND($E258="缴纳税费",$H258=""),"缴税请在费用项目里选税种",IF(AND($F258&lt;&gt;"",ISNA(MATCH($F258,往来单位!$A$6:$A$85,0))),"往来单位未建档",IF(YEAR($B258)&lt;&gt;参数设置!$B$5,"不在本会计年度",IF(AND($B257&lt;&gt;"",ISNUMBER($B257),$B258&lt;$B257),"日期比上一行早，余额按行序滚，建议按日期录","OK")))))))))))))))</f>
        <v/>
      </c>
      <c r="O258" s="58" t="str">
        <f aca="false">IF($B258="","",TEXT($B258,"yyyy-mm"))</f>
        <v/>
      </c>
      <c r="P258" s="60" t="str">
        <f aca="false">IF($E258="","",ROUND(N($I258)+N($J258),2))</f>
        <v/>
      </c>
      <c r="Q258" s="58" t="str">
        <f aca="false">IF($D258="","",IFERROR(INDEX(资金账户!$F$6:$F$25,MATCH($D258,资金账户!$B$6:$B$25,0)),""))</f>
        <v/>
      </c>
      <c r="R258" s="58" t="str">
        <f aca="false">IF($E258="","",IFERROR(IF(INDEX(记账规则!$A$13:$H$32,MATCH($E258,记账规则!$A$13:$A$32,0),4)="借","收","支"),""))</f>
        <v/>
      </c>
      <c r="S258" s="57" t="str">
        <f aca="false">IF($D258="","",ROUND(SUMIFS(资金账户!$H$6:$H$25,资金账户!$B$6:$B$25,$D258)+SUMIFS($I$6:$I258,$D$6:$D258,$D258)-SUMIFS($J$6:$J258,$D$6:$D258,$D258),2))</f>
        <v/>
      </c>
      <c r="T258" s="61" t="str">
        <f aca="false">IF($B258="","",YEAR($B258))</f>
        <v/>
      </c>
    </row>
    <row r="259" customFormat="false" ht="15" hidden="false" customHeight="false" outlineLevel="0" collapsed="false">
      <c r="A259" s="53" t="str">
        <f aca="false">IF($B259="","",ROW()-5)</f>
        <v/>
      </c>
      <c r="B259" s="54"/>
      <c r="C259" s="33"/>
      <c r="D259" s="33"/>
      <c r="E259" s="33"/>
      <c r="F259" s="32"/>
      <c r="G259" s="41"/>
      <c r="H259" s="39"/>
      <c r="I259" s="43"/>
      <c r="J259" s="43"/>
      <c r="K259" s="41"/>
      <c r="L259" s="39"/>
      <c r="M259" s="41"/>
      <c r="N259" s="25" t="str">
        <f aca="false">IF(AND($B259="",$E259="",$I259="",$J259=""),"",IF(NOT(ISNUMBER($B259)),"日期无效",IF(ISNA(MATCH($C259,参数设置!$A$10:$A$12,0)),"公司无效",IF(ISNA(MATCH($D259,资金账户!$B$6:$B$25,0)),"账户未建档",IF(ISNA(MATCH($E259,记账规则!$A$13:$A$32,0)),"业务类型无效",IF(AND(N($I259)&lt;&gt;0,N($J259)&lt;&gt;0),"收入和支出只能填一列",IF($P259=0,"金额为 0",IF(AND($R259="收",N($I259)=0),"这类业务是收款，金额填到收入列",IF(AND($R259="支",N($J259)=0),"这类业务是付款，金额填到支出列",IF(AND(SUMPRODUCT(--(INDEX(记账规则!$A$13:$H$32,MATCH($E259,记账规则!$A$13:$A$32,0),0)="@对方"))&gt;0,$G259=""),"这个类型要填对方科目",IF(AND($G259&lt;&gt;"",ISNA(MATCH($G259,会计科目表!$B$6:$B$85,0))),"对方科目不存在",IF(AND($E259="缴纳税费",$H259=""),"缴税请在费用项目里选税种",IF(AND($F259&lt;&gt;"",ISNA(MATCH($F259,往来单位!$A$6:$A$85,0))),"往来单位未建档",IF(YEAR($B259)&lt;&gt;参数设置!$B$5,"不在本会计年度",IF(AND($B258&lt;&gt;"",ISNUMBER($B258),$B259&lt;$B258),"日期比上一行早，余额按行序滚，建议按日期录","OK")))))))))))))))</f>
        <v/>
      </c>
      <c r="O259" s="58" t="str">
        <f aca="false">IF($B259="","",TEXT($B259,"yyyy-mm"))</f>
        <v/>
      </c>
      <c r="P259" s="60" t="str">
        <f aca="false">IF($E259="","",ROUND(N($I259)+N($J259),2))</f>
        <v/>
      </c>
      <c r="Q259" s="58" t="str">
        <f aca="false">IF($D259="","",IFERROR(INDEX(资金账户!$F$6:$F$25,MATCH($D259,资金账户!$B$6:$B$25,0)),""))</f>
        <v/>
      </c>
      <c r="R259" s="58" t="str">
        <f aca="false">IF($E259="","",IFERROR(IF(INDEX(记账规则!$A$13:$H$32,MATCH($E259,记账规则!$A$13:$A$32,0),4)="借","收","支"),""))</f>
        <v/>
      </c>
      <c r="S259" s="57" t="str">
        <f aca="false">IF($D259="","",ROUND(SUMIFS(资金账户!$H$6:$H$25,资金账户!$B$6:$B$25,$D259)+SUMIFS($I$6:$I259,$D$6:$D259,$D259)-SUMIFS($J$6:$J259,$D$6:$D259,$D259),2))</f>
        <v/>
      </c>
      <c r="T259" s="61" t="str">
        <f aca="false">IF($B259="","",YEAR($B259))</f>
        <v/>
      </c>
    </row>
    <row r="260" customFormat="false" ht="15" hidden="false" customHeight="false" outlineLevel="0" collapsed="false">
      <c r="A260" s="53" t="str">
        <f aca="false">IF($B260="","",ROW()-5)</f>
        <v/>
      </c>
      <c r="B260" s="54"/>
      <c r="C260" s="33"/>
      <c r="D260" s="33"/>
      <c r="E260" s="33"/>
      <c r="F260" s="32"/>
      <c r="G260" s="41"/>
      <c r="H260" s="39"/>
      <c r="I260" s="43"/>
      <c r="J260" s="43"/>
      <c r="K260" s="41"/>
      <c r="L260" s="39"/>
      <c r="M260" s="41"/>
      <c r="N260" s="25" t="str">
        <f aca="false">IF(AND($B260="",$E260="",$I260="",$J260=""),"",IF(NOT(ISNUMBER($B260)),"日期无效",IF(ISNA(MATCH($C260,参数设置!$A$10:$A$12,0)),"公司无效",IF(ISNA(MATCH($D260,资金账户!$B$6:$B$25,0)),"账户未建档",IF(ISNA(MATCH($E260,记账规则!$A$13:$A$32,0)),"业务类型无效",IF(AND(N($I260)&lt;&gt;0,N($J260)&lt;&gt;0),"收入和支出只能填一列",IF($P260=0,"金额为 0",IF(AND($R260="收",N($I260)=0),"这类业务是收款，金额填到收入列",IF(AND($R260="支",N($J260)=0),"这类业务是付款，金额填到支出列",IF(AND(SUMPRODUCT(--(INDEX(记账规则!$A$13:$H$32,MATCH($E260,记账规则!$A$13:$A$32,0),0)="@对方"))&gt;0,$G260=""),"这个类型要填对方科目",IF(AND($G260&lt;&gt;"",ISNA(MATCH($G260,会计科目表!$B$6:$B$85,0))),"对方科目不存在",IF(AND($E260="缴纳税费",$H260=""),"缴税请在费用项目里选税种",IF(AND($F260&lt;&gt;"",ISNA(MATCH($F260,往来单位!$A$6:$A$85,0))),"往来单位未建档",IF(YEAR($B260)&lt;&gt;参数设置!$B$5,"不在本会计年度",IF(AND($B259&lt;&gt;"",ISNUMBER($B259),$B260&lt;$B259),"日期比上一行早，余额按行序滚，建议按日期录","OK")))))))))))))))</f>
        <v/>
      </c>
      <c r="O260" s="58" t="str">
        <f aca="false">IF($B260="","",TEXT($B260,"yyyy-mm"))</f>
        <v/>
      </c>
      <c r="P260" s="60" t="str">
        <f aca="false">IF($E260="","",ROUND(N($I260)+N($J260),2))</f>
        <v/>
      </c>
      <c r="Q260" s="58" t="str">
        <f aca="false">IF($D260="","",IFERROR(INDEX(资金账户!$F$6:$F$25,MATCH($D260,资金账户!$B$6:$B$25,0)),""))</f>
        <v/>
      </c>
      <c r="R260" s="58" t="str">
        <f aca="false">IF($E260="","",IFERROR(IF(INDEX(记账规则!$A$13:$H$32,MATCH($E260,记账规则!$A$13:$A$32,0),4)="借","收","支"),""))</f>
        <v/>
      </c>
      <c r="S260" s="57" t="str">
        <f aca="false">IF($D260="","",ROUND(SUMIFS(资金账户!$H$6:$H$25,资金账户!$B$6:$B$25,$D260)+SUMIFS($I$6:$I260,$D$6:$D260,$D260)-SUMIFS($J$6:$J260,$D$6:$D260,$D260),2))</f>
        <v/>
      </c>
      <c r="T260" s="61" t="str">
        <f aca="false">IF($B260="","",YEAR($B260))</f>
        <v/>
      </c>
    </row>
    <row r="261" customFormat="false" ht="15" hidden="false" customHeight="false" outlineLevel="0" collapsed="false">
      <c r="A261" s="53" t="str">
        <f aca="false">IF($B261="","",ROW()-5)</f>
        <v/>
      </c>
      <c r="B261" s="54"/>
      <c r="C261" s="33"/>
      <c r="D261" s="33"/>
      <c r="E261" s="33"/>
      <c r="F261" s="32"/>
      <c r="G261" s="41"/>
      <c r="H261" s="39"/>
      <c r="I261" s="43"/>
      <c r="J261" s="43"/>
      <c r="K261" s="41"/>
      <c r="L261" s="39"/>
      <c r="M261" s="41"/>
      <c r="N261" s="25" t="str">
        <f aca="false">IF(AND($B261="",$E261="",$I261="",$J261=""),"",IF(NOT(ISNUMBER($B261)),"日期无效",IF(ISNA(MATCH($C261,参数设置!$A$10:$A$12,0)),"公司无效",IF(ISNA(MATCH($D261,资金账户!$B$6:$B$25,0)),"账户未建档",IF(ISNA(MATCH($E261,记账规则!$A$13:$A$32,0)),"业务类型无效",IF(AND(N($I261)&lt;&gt;0,N($J261)&lt;&gt;0),"收入和支出只能填一列",IF($P261=0,"金额为 0",IF(AND($R261="收",N($I261)=0),"这类业务是收款，金额填到收入列",IF(AND($R261="支",N($J261)=0),"这类业务是付款，金额填到支出列",IF(AND(SUMPRODUCT(--(INDEX(记账规则!$A$13:$H$32,MATCH($E261,记账规则!$A$13:$A$32,0),0)="@对方"))&gt;0,$G261=""),"这个类型要填对方科目",IF(AND($G261&lt;&gt;"",ISNA(MATCH($G261,会计科目表!$B$6:$B$85,0))),"对方科目不存在",IF(AND($E261="缴纳税费",$H261=""),"缴税请在费用项目里选税种",IF(AND($F261&lt;&gt;"",ISNA(MATCH($F261,往来单位!$A$6:$A$85,0))),"往来单位未建档",IF(YEAR($B261)&lt;&gt;参数设置!$B$5,"不在本会计年度",IF(AND($B260&lt;&gt;"",ISNUMBER($B260),$B261&lt;$B260),"日期比上一行早，余额按行序滚，建议按日期录","OK")))))))))))))))</f>
        <v/>
      </c>
      <c r="O261" s="58" t="str">
        <f aca="false">IF($B261="","",TEXT($B261,"yyyy-mm"))</f>
        <v/>
      </c>
      <c r="P261" s="60" t="str">
        <f aca="false">IF($E261="","",ROUND(N($I261)+N($J261),2))</f>
        <v/>
      </c>
      <c r="Q261" s="58" t="str">
        <f aca="false">IF($D261="","",IFERROR(INDEX(资金账户!$F$6:$F$25,MATCH($D261,资金账户!$B$6:$B$25,0)),""))</f>
        <v/>
      </c>
      <c r="R261" s="58" t="str">
        <f aca="false">IF($E261="","",IFERROR(IF(INDEX(记账规则!$A$13:$H$32,MATCH($E261,记账规则!$A$13:$A$32,0),4)="借","收","支"),""))</f>
        <v/>
      </c>
      <c r="S261" s="57" t="str">
        <f aca="false">IF($D261="","",ROUND(SUMIFS(资金账户!$H$6:$H$25,资金账户!$B$6:$B$25,$D261)+SUMIFS($I$6:$I261,$D$6:$D261,$D261)-SUMIFS($J$6:$J261,$D$6:$D261,$D261),2))</f>
        <v/>
      </c>
      <c r="T261" s="61" t="str">
        <f aca="false">IF($B261="","",YEAR($B261))</f>
        <v/>
      </c>
    </row>
    <row r="262" customFormat="false" ht="15" hidden="false" customHeight="false" outlineLevel="0" collapsed="false">
      <c r="A262" s="53" t="str">
        <f aca="false">IF($B262="","",ROW()-5)</f>
        <v/>
      </c>
      <c r="B262" s="54"/>
      <c r="C262" s="33"/>
      <c r="D262" s="33"/>
      <c r="E262" s="33"/>
      <c r="F262" s="32"/>
      <c r="G262" s="41"/>
      <c r="H262" s="39"/>
      <c r="I262" s="43"/>
      <c r="J262" s="43"/>
      <c r="K262" s="41"/>
      <c r="L262" s="39"/>
      <c r="M262" s="41"/>
      <c r="N262" s="25" t="str">
        <f aca="false">IF(AND($B262="",$E262="",$I262="",$J262=""),"",IF(NOT(ISNUMBER($B262)),"日期无效",IF(ISNA(MATCH($C262,参数设置!$A$10:$A$12,0)),"公司无效",IF(ISNA(MATCH($D262,资金账户!$B$6:$B$25,0)),"账户未建档",IF(ISNA(MATCH($E262,记账规则!$A$13:$A$32,0)),"业务类型无效",IF(AND(N($I262)&lt;&gt;0,N($J262)&lt;&gt;0),"收入和支出只能填一列",IF($P262=0,"金额为 0",IF(AND($R262="收",N($I262)=0),"这类业务是收款，金额填到收入列",IF(AND($R262="支",N($J262)=0),"这类业务是付款，金额填到支出列",IF(AND(SUMPRODUCT(--(INDEX(记账规则!$A$13:$H$32,MATCH($E262,记账规则!$A$13:$A$32,0),0)="@对方"))&gt;0,$G262=""),"这个类型要填对方科目",IF(AND($G262&lt;&gt;"",ISNA(MATCH($G262,会计科目表!$B$6:$B$85,0))),"对方科目不存在",IF(AND($E262="缴纳税费",$H262=""),"缴税请在费用项目里选税种",IF(AND($F262&lt;&gt;"",ISNA(MATCH($F262,往来单位!$A$6:$A$85,0))),"往来单位未建档",IF(YEAR($B262)&lt;&gt;参数设置!$B$5,"不在本会计年度",IF(AND($B261&lt;&gt;"",ISNUMBER($B261),$B262&lt;$B261),"日期比上一行早，余额按行序滚，建议按日期录","OK")))))))))))))))</f>
        <v/>
      </c>
      <c r="O262" s="58" t="str">
        <f aca="false">IF($B262="","",TEXT($B262,"yyyy-mm"))</f>
        <v/>
      </c>
      <c r="P262" s="60" t="str">
        <f aca="false">IF($E262="","",ROUND(N($I262)+N($J262),2))</f>
        <v/>
      </c>
      <c r="Q262" s="58" t="str">
        <f aca="false">IF($D262="","",IFERROR(INDEX(资金账户!$F$6:$F$25,MATCH($D262,资金账户!$B$6:$B$25,0)),""))</f>
        <v/>
      </c>
      <c r="R262" s="58" t="str">
        <f aca="false">IF($E262="","",IFERROR(IF(INDEX(记账规则!$A$13:$H$32,MATCH($E262,记账规则!$A$13:$A$32,0),4)="借","收","支"),""))</f>
        <v/>
      </c>
      <c r="S262" s="57" t="str">
        <f aca="false">IF($D262="","",ROUND(SUMIFS(资金账户!$H$6:$H$25,资金账户!$B$6:$B$25,$D262)+SUMIFS($I$6:$I262,$D$6:$D262,$D262)-SUMIFS($J$6:$J262,$D$6:$D262,$D262),2))</f>
        <v/>
      </c>
      <c r="T262" s="61" t="str">
        <f aca="false">IF($B262="","",YEAR($B262))</f>
        <v/>
      </c>
    </row>
    <row r="263" customFormat="false" ht="15" hidden="false" customHeight="false" outlineLevel="0" collapsed="false">
      <c r="A263" s="53" t="str">
        <f aca="false">IF($B263="","",ROW()-5)</f>
        <v/>
      </c>
      <c r="B263" s="54"/>
      <c r="C263" s="33"/>
      <c r="D263" s="33"/>
      <c r="E263" s="33"/>
      <c r="F263" s="32"/>
      <c r="G263" s="41"/>
      <c r="H263" s="39"/>
      <c r="I263" s="43"/>
      <c r="J263" s="43"/>
      <c r="K263" s="41"/>
      <c r="L263" s="39"/>
      <c r="M263" s="41"/>
      <c r="N263" s="25" t="str">
        <f aca="false">IF(AND($B263="",$E263="",$I263="",$J263=""),"",IF(NOT(ISNUMBER($B263)),"日期无效",IF(ISNA(MATCH($C263,参数设置!$A$10:$A$12,0)),"公司无效",IF(ISNA(MATCH($D263,资金账户!$B$6:$B$25,0)),"账户未建档",IF(ISNA(MATCH($E263,记账规则!$A$13:$A$32,0)),"业务类型无效",IF(AND(N($I263)&lt;&gt;0,N($J263)&lt;&gt;0),"收入和支出只能填一列",IF($P263=0,"金额为 0",IF(AND($R263="收",N($I263)=0),"这类业务是收款，金额填到收入列",IF(AND($R263="支",N($J263)=0),"这类业务是付款，金额填到支出列",IF(AND(SUMPRODUCT(--(INDEX(记账规则!$A$13:$H$32,MATCH($E263,记账规则!$A$13:$A$32,0),0)="@对方"))&gt;0,$G263=""),"这个类型要填对方科目",IF(AND($G263&lt;&gt;"",ISNA(MATCH($G263,会计科目表!$B$6:$B$85,0))),"对方科目不存在",IF(AND($E263="缴纳税费",$H263=""),"缴税请在费用项目里选税种",IF(AND($F263&lt;&gt;"",ISNA(MATCH($F263,往来单位!$A$6:$A$85,0))),"往来单位未建档",IF(YEAR($B263)&lt;&gt;参数设置!$B$5,"不在本会计年度",IF(AND($B262&lt;&gt;"",ISNUMBER($B262),$B263&lt;$B262),"日期比上一行早，余额按行序滚，建议按日期录","OK")))))))))))))))</f>
        <v/>
      </c>
      <c r="O263" s="58" t="str">
        <f aca="false">IF($B263="","",TEXT($B263,"yyyy-mm"))</f>
        <v/>
      </c>
      <c r="P263" s="60" t="str">
        <f aca="false">IF($E263="","",ROUND(N($I263)+N($J263),2))</f>
        <v/>
      </c>
      <c r="Q263" s="58" t="str">
        <f aca="false">IF($D263="","",IFERROR(INDEX(资金账户!$F$6:$F$25,MATCH($D263,资金账户!$B$6:$B$25,0)),""))</f>
        <v/>
      </c>
      <c r="R263" s="58" t="str">
        <f aca="false">IF($E263="","",IFERROR(IF(INDEX(记账规则!$A$13:$H$32,MATCH($E263,记账规则!$A$13:$A$32,0),4)="借","收","支"),""))</f>
        <v/>
      </c>
      <c r="S263" s="57" t="str">
        <f aca="false">IF($D263="","",ROUND(SUMIFS(资金账户!$H$6:$H$25,资金账户!$B$6:$B$25,$D263)+SUMIFS($I$6:$I263,$D$6:$D263,$D263)-SUMIFS($J$6:$J263,$D$6:$D263,$D263),2))</f>
        <v/>
      </c>
      <c r="T263" s="61" t="str">
        <f aca="false">IF($B263="","",YEAR($B263))</f>
        <v/>
      </c>
    </row>
    <row r="264" customFormat="false" ht="15" hidden="false" customHeight="false" outlineLevel="0" collapsed="false">
      <c r="A264" s="53" t="str">
        <f aca="false">IF($B264="","",ROW()-5)</f>
        <v/>
      </c>
      <c r="B264" s="54"/>
      <c r="C264" s="33"/>
      <c r="D264" s="33"/>
      <c r="E264" s="33"/>
      <c r="F264" s="32"/>
      <c r="G264" s="41"/>
      <c r="H264" s="39"/>
      <c r="I264" s="43"/>
      <c r="J264" s="43"/>
      <c r="K264" s="41"/>
      <c r="L264" s="39"/>
      <c r="M264" s="41"/>
      <c r="N264" s="25" t="str">
        <f aca="false">IF(AND($B264="",$E264="",$I264="",$J264=""),"",IF(NOT(ISNUMBER($B264)),"日期无效",IF(ISNA(MATCH($C264,参数设置!$A$10:$A$12,0)),"公司无效",IF(ISNA(MATCH($D264,资金账户!$B$6:$B$25,0)),"账户未建档",IF(ISNA(MATCH($E264,记账规则!$A$13:$A$32,0)),"业务类型无效",IF(AND(N($I264)&lt;&gt;0,N($J264)&lt;&gt;0),"收入和支出只能填一列",IF($P264=0,"金额为 0",IF(AND($R264="收",N($I264)=0),"这类业务是收款，金额填到收入列",IF(AND($R264="支",N($J264)=0),"这类业务是付款，金额填到支出列",IF(AND(SUMPRODUCT(--(INDEX(记账规则!$A$13:$H$32,MATCH($E264,记账规则!$A$13:$A$32,0),0)="@对方"))&gt;0,$G264=""),"这个类型要填对方科目",IF(AND($G264&lt;&gt;"",ISNA(MATCH($G264,会计科目表!$B$6:$B$85,0))),"对方科目不存在",IF(AND($E264="缴纳税费",$H264=""),"缴税请在费用项目里选税种",IF(AND($F264&lt;&gt;"",ISNA(MATCH($F264,往来单位!$A$6:$A$85,0))),"往来单位未建档",IF(YEAR($B264)&lt;&gt;参数设置!$B$5,"不在本会计年度",IF(AND($B263&lt;&gt;"",ISNUMBER($B263),$B264&lt;$B263),"日期比上一行早，余额按行序滚，建议按日期录","OK")))))))))))))))</f>
        <v/>
      </c>
      <c r="O264" s="58" t="str">
        <f aca="false">IF($B264="","",TEXT($B264,"yyyy-mm"))</f>
        <v/>
      </c>
      <c r="P264" s="60" t="str">
        <f aca="false">IF($E264="","",ROUND(N($I264)+N($J264),2))</f>
        <v/>
      </c>
      <c r="Q264" s="58" t="str">
        <f aca="false">IF($D264="","",IFERROR(INDEX(资金账户!$F$6:$F$25,MATCH($D264,资金账户!$B$6:$B$25,0)),""))</f>
        <v/>
      </c>
      <c r="R264" s="58" t="str">
        <f aca="false">IF($E264="","",IFERROR(IF(INDEX(记账规则!$A$13:$H$32,MATCH($E264,记账规则!$A$13:$A$32,0),4)="借","收","支"),""))</f>
        <v/>
      </c>
      <c r="S264" s="57" t="str">
        <f aca="false">IF($D264="","",ROUND(SUMIFS(资金账户!$H$6:$H$25,资金账户!$B$6:$B$25,$D264)+SUMIFS($I$6:$I264,$D$6:$D264,$D264)-SUMIFS($J$6:$J264,$D$6:$D264,$D264),2))</f>
        <v/>
      </c>
      <c r="T264" s="61" t="str">
        <f aca="false">IF($B264="","",YEAR($B264))</f>
        <v/>
      </c>
    </row>
    <row r="265" customFormat="false" ht="15" hidden="false" customHeight="false" outlineLevel="0" collapsed="false">
      <c r="A265" s="53" t="str">
        <f aca="false">IF($B265="","",ROW()-5)</f>
        <v/>
      </c>
      <c r="B265" s="54"/>
      <c r="C265" s="33"/>
      <c r="D265" s="33"/>
      <c r="E265" s="33"/>
      <c r="F265" s="32"/>
      <c r="G265" s="41"/>
      <c r="H265" s="39"/>
      <c r="I265" s="43"/>
      <c r="J265" s="43"/>
      <c r="K265" s="41"/>
      <c r="L265" s="39"/>
      <c r="M265" s="41"/>
      <c r="N265" s="25" t="str">
        <f aca="false">IF(AND($B265="",$E265="",$I265="",$J265=""),"",IF(NOT(ISNUMBER($B265)),"日期无效",IF(ISNA(MATCH($C265,参数设置!$A$10:$A$12,0)),"公司无效",IF(ISNA(MATCH($D265,资金账户!$B$6:$B$25,0)),"账户未建档",IF(ISNA(MATCH($E265,记账规则!$A$13:$A$32,0)),"业务类型无效",IF(AND(N($I265)&lt;&gt;0,N($J265)&lt;&gt;0),"收入和支出只能填一列",IF($P265=0,"金额为 0",IF(AND($R265="收",N($I265)=0),"这类业务是收款，金额填到收入列",IF(AND($R265="支",N($J265)=0),"这类业务是付款，金额填到支出列",IF(AND(SUMPRODUCT(--(INDEX(记账规则!$A$13:$H$32,MATCH($E265,记账规则!$A$13:$A$32,0),0)="@对方"))&gt;0,$G265=""),"这个类型要填对方科目",IF(AND($G265&lt;&gt;"",ISNA(MATCH($G265,会计科目表!$B$6:$B$85,0))),"对方科目不存在",IF(AND($E265="缴纳税费",$H265=""),"缴税请在费用项目里选税种",IF(AND($F265&lt;&gt;"",ISNA(MATCH($F265,往来单位!$A$6:$A$85,0))),"往来单位未建档",IF(YEAR($B265)&lt;&gt;参数设置!$B$5,"不在本会计年度",IF(AND($B264&lt;&gt;"",ISNUMBER($B264),$B265&lt;$B264),"日期比上一行早，余额按行序滚，建议按日期录","OK")))))))))))))))</f>
        <v/>
      </c>
      <c r="O265" s="58" t="str">
        <f aca="false">IF($B265="","",TEXT($B265,"yyyy-mm"))</f>
        <v/>
      </c>
      <c r="P265" s="60" t="str">
        <f aca="false">IF($E265="","",ROUND(N($I265)+N($J265),2))</f>
        <v/>
      </c>
      <c r="Q265" s="58" t="str">
        <f aca="false">IF($D265="","",IFERROR(INDEX(资金账户!$F$6:$F$25,MATCH($D265,资金账户!$B$6:$B$25,0)),""))</f>
        <v/>
      </c>
      <c r="R265" s="58" t="str">
        <f aca="false">IF($E265="","",IFERROR(IF(INDEX(记账规则!$A$13:$H$32,MATCH($E265,记账规则!$A$13:$A$32,0),4)="借","收","支"),""))</f>
        <v/>
      </c>
      <c r="S265" s="57" t="str">
        <f aca="false">IF($D265="","",ROUND(SUMIFS(资金账户!$H$6:$H$25,资金账户!$B$6:$B$25,$D265)+SUMIFS($I$6:$I265,$D$6:$D265,$D265)-SUMIFS($J$6:$J265,$D$6:$D265,$D265),2))</f>
        <v/>
      </c>
      <c r="T265" s="61" t="str">
        <f aca="false">IF($B265="","",YEAR($B265))</f>
        <v/>
      </c>
    </row>
    <row r="266" customFormat="false" ht="15" hidden="false" customHeight="false" outlineLevel="0" collapsed="false">
      <c r="A266" s="53" t="str">
        <f aca="false">IF($B266="","",ROW()-5)</f>
        <v/>
      </c>
      <c r="B266" s="54"/>
      <c r="C266" s="33"/>
      <c r="D266" s="33"/>
      <c r="E266" s="33"/>
      <c r="F266" s="32"/>
      <c r="G266" s="41"/>
      <c r="H266" s="39"/>
      <c r="I266" s="43"/>
      <c r="J266" s="43"/>
      <c r="K266" s="41"/>
      <c r="L266" s="39"/>
      <c r="M266" s="41"/>
      <c r="N266" s="25" t="str">
        <f aca="false">IF(AND($B266="",$E266="",$I266="",$J266=""),"",IF(NOT(ISNUMBER($B266)),"日期无效",IF(ISNA(MATCH($C266,参数设置!$A$10:$A$12,0)),"公司无效",IF(ISNA(MATCH($D266,资金账户!$B$6:$B$25,0)),"账户未建档",IF(ISNA(MATCH($E266,记账规则!$A$13:$A$32,0)),"业务类型无效",IF(AND(N($I266)&lt;&gt;0,N($J266)&lt;&gt;0),"收入和支出只能填一列",IF($P266=0,"金额为 0",IF(AND($R266="收",N($I266)=0),"这类业务是收款，金额填到收入列",IF(AND($R266="支",N($J266)=0),"这类业务是付款，金额填到支出列",IF(AND(SUMPRODUCT(--(INDEX(记账规则!$A$13:$H$32,MATCH($E266,记账规则!$A$13:$A$32,0),0)="@对方"))&gt;0,$G266=""),"这个类型要填对方科目",IF(AND($G266&lt;&gt;"",ISNA(MATCH($G266,会计科目表!$B$6:$B$85,0))),"对方科目不存在",IF(AND($E266="缴纳税费",$H266=""),"缴税请在费用项目里选税种",IF(AND($F266&lt;&gt;"",ISNA(MATCH($F266,往来单位!$A$6:$A$85,0))),"往来单位未建档",IF(YEAR($B266)&lt;&gt;参数设置!$B$5,"不在本会计年度",IF(AND($B265&lt;&gt;"",ISNUMBER($B265),$B266&lt;$B265),"日期比上一行早，余额按行序滚，建议按日期录","OK")))))))))))))))</f>
        <v/>
      </c>
      <c r="O266" s="58" t="str">
        <f aca="false">IF($B266="","",TEXT($B266,"yyyy-mm"))</f>
        <v/>
      </c>
      <c r="P266" s="60" t="str">
        <f aca="false">IF($E266="","",ROUND(N($I266)+N($J266),2))</f>
        <v/>
      </c>
      <c r="Q266" s="58" t="str">
        <f aca="false">IF($D266="","",IFERROR(INDEX(资金账户!$F$6:$F$25,MATCH($D266,资金账户!$B$6:$B$25,0)),""))</f>
        <v/>
      </c>
      <c r="R266" s="58" t="str">
        <f aca="false">IF($E266="","",IFERROR(IF(INDEX(记账规则!$A$13:$H$32,MATCH($E266,记账规则!$A$13:$A$32,0),4)="借","收","支"),""))</f>
        <v/>
      </c>
      <c r="S266" s="57" t="str">
        <f aca="false">IF($D266="","",ROUND(SUMIFS(资金账户!$H$6:$H$25,资金账户!$B$6:$B$25,$D266)+SUMIFS($I$6:$I266,$D$6:$D266,$D266)-SUMIFS($J$6:$J266,$D$6:$D266,$D266),2))</f>
        <v/>
      </c>
      <c r="T266" s="61" t="str">
        <f aca="false">IF($B266="","",YEAR($B266))</f>
        <v/>
      </c>
    </row>
    <row r="267" customFormat="false" ht="15" hidden="false" customHeight="false" outlineLevel="0" collapsed="false">
      <c r="A267" s="53" t="str">
        <f aca="false">IF($B267="","",ROW()-5)</f>
        <v/>
      </c>
      <c r="B267" s="54"/>
      <c r="C267" s="33"/>
      <c r="D267" s="33"/>
      <c r="E267" s="33"/>
      <c r="F267" s="32"/>
      <c r="G267" s="41"/>
      <c r="H267" s="39"/>
      <c r="I267" s="43"/>
      <c r="J267" s="43"/>
      <c r="K267" s="41"/>
      <c r="L267" s="39"/>
      <c r="M267" s="41"/>
      <c r="N267" s="25" t="str">
        <f aca="false">IF(AND($B267="",$E267="",$I267="",$J267=""),"",IF(NOT(ISNUMBER($B267)),"日期无效",IF(ISNA(MATCH($C267,参数设置!$A$10:$A$12,0)),"公司无效",IF(ISNA(MATCH($D267,资金账户!$B$6:$B$25,0)),"账户未建档",IF(ISNA(MATCH($E267,记账规则!$A$13:$A$32,0)),"业务类型无效",IF(AND(N($I267)&lt;&gt;0,N($J267)&lt;&gt;0),"收入和支出只能填一列",IF($P267=0,"金额为 0",IF(AND($R267="收",N($I267)=0),"这类业务是收款，金额填到收入列",IF(AND($R267="支",N($J267)=0),"这类业务是付款，金额填到支出列",IF(AND(SUMPRODUCT(--(INDEX(记账规则!$A$13:$H$32,MATCH($E267,记账规则!$A$13:$A$32,0),0)="@对方"))&gt;0,$G267=""),"这个类型要填对方科目",IF(AND($G267&lt;&gt;"",ISNA(MATCH($G267,会计科目表!$B$6:$B$85,0))),"对方科目不存在",IF(AND($E267="缴纳税费",$H267=""),"缴税请在费用项目里选税种",IF(AND($F267&lt;&gt;"",ISNA(MATCH($F267,往来单位!$A$6:$A$85,0))),"往来单位未建档",IF(YEAR($B267)&lt;&gt;参数设置!$B$5,"不在本会计年度",IF(AND($B266&lt;&gt;"",ISNUMBER($B266),$B267&lt;$B266),"日期比上一行早，余额按行序滚，建议按日期录","OK")))))))))))))))</f>
        <v/>
      </c>
      <c r="O267" s="58" t="str">
        <f aca="false">IF($B267="","",TEXT($B267,"yyyy-mm"))</f>
        <v/>
      </c>
      <c r="P267" s="60" t="str">
        <f aca="false">IF($E267="","",ROUND(N($I267)+N($J267),2))</f>
        <v/>
      </c>
      <c r="Q267" s="58" t="str">
        <f aca="false">IF($D267="","",IFERROR(INDEX(资金账户!$F$6:$F$25,MATCH($D267,资金账户!$B$6:$B$25,0)),""))</f>
        <v/>
      </c>
      <c r="R267" s="58" t="str">
        <f aca="false">IF($E267="","",IFERROR(IF(INDEX(记账规则!$A$13:$H$32,MATCH($E267,记账规则!$A$13:$A$32,0),4)="借","收","支"),""))</f>
        <v/>
      </c>
      <c r="S267" s="57" t="str">
        <f aca="false">IF($D267="","",ROUND(SUMIFS(资金账户!$H$6:$H$25,资金账户!$B$6:$B$25,$D267)+SUMIFS($I$6:$I267,$D$6:$D267,$D267)-SUMIFS($J$6:$J267,$D$6:$D267,$D267),2))</f>
        <v/>
      </c>
      <c r="T267" s="61" t="str">
        <f aca="false">IF($B267="","",YEAR($B267))</f>
        <v/>
      </c>
    </row>
    <row r="268" customFormat="false" ht="15" hidden="false" customHeight="false" outlineLevel="0" collapsed="false">
      <c r="A268" s="53" t="str">
        <f aca="false">IF($B268="","",ROW()-5)</f>
        <v/>
      </c>
      <c r="B268" s="54"/>
      <c r="C268" s="33"/>
      <c r="D268" s="33"/>
      <c r="E268" s="33"/>
      <c r="F268" s="32"/>
      <c r="G268" s="41"/>
      <c r="H268" s="39"/>
      <c r="I268" s="43"/>
      <c r="J268" s="43"/>
      <c r="K268" s="41"/>
      <c r="L268" s="39"/>
      <c r="M268" s="41"/>
      <c r="N268" s="25" t="str">
        <f aca="false">IF(AND($B268="",$E268="",$I268="",$J268=""),"",IF(NOT(ISNUMBER($B268)),"日期无效",IF(ISNA(MATCH($C268,参数设置!$A$10:$A$12,0)),"公司无效",IF(ISNA(MATCH($D268,资金账户!$B$6:$B$25,0)),"账户未建档",IF(ISNA(MATCH($E268,记账规则!$A$13:$A$32,0)),"业务类型无效",IF(AND(N($I268)&lt;&gt;0,N($J268)&lt;&gt;0),"收入和支出只能填一列",IF($P268=0,"金额为 0",IF(AND($R268="收",N($I268)=0),"这类业务是收款，金额填到收入列",IF(AND($R268="支",N($J268)=0),"这类业务是付款，金额填到支出列",IF(AND(SUMPRODUCT(--(INDEX(记账规则!$A$13:$H$32,MATCH($E268,记账规则!$A$13:$A$32,0),0)="@对方"))&gt;0,$G268=""),"这个类型要填对方科目",IF(AND($G268&lt;&gt;"",ISNA(MATCH($G268,会计科目表!$B$6:$B$85,0))),"对方科目不存在",IF(AND($E268="缴纳税费",$H268=""),"缴税请在费用项目里选税种",IF(AND($F268&lt;&gt;"",ISNA(MATCH($F268,往来单位!$A$6:$A$85,0))),"往来单位未建档",IF(YEAR($B268)&lt;&gt;参数设置!$B$5,"不在本会计年度",IF(AND($B267&lt;&gt;"",ISNUMBER($B267),$B268&lt;$B267),"日期比上一行早，余额按行序滚，建议按日期录","OK")))))))))))))))</f>
        <v/>
      </c>
      <c r="O268" s="58" t="str">
        <f aca="false">IF($B268="","",TEXT($B268,"yyyy-mm"))</f>
        <v/>
      </c>
      <c r="P268" s="60" t="str">
        <f aca="false">IF($E268="","",ROUND(N($I268)+N($J268),2))</f>
        <v/>
      </c>
      <c r="Q268" s="58" t="str">
        <f aca="false">IF($D268="","",IFERROR(INDEX(资金账户!$F$6:$F$25,MATCH($D268,资金账户!$B$6:$B$25,0)),""))</f>
        <v/>
      </c>
      <c r="R268" s="58" t="str">
        <f aca="false">IF($E268="","",IFERROR(IF(INDEX(记账规则!$A$13:$H$32,MATCH($E268,记账规则!$A$13:$A$32,0),4)="借","收","支"),""))</f>
        <v/>
      </c>
      <c r="S268" s="57" t="str">
        <f aca="false">IF($D268="","",ROUND(SUMIFS(资金账户!$H$6:$H$25,资金账户!$B$6:$B$25,$D268)+SUMIFS($I$6:$I268,$D$6:$D268,$D268)-SUMIFS($J$6:$J268,$D$6:$D268,$D268),2))</f>
        <v/>
      </c>
      <c r="T268" s="61" t="str">
        <f aca="false">IF($B268="","",YEAR($B268))</f>
        <v/>
      </c>
    </row>
    <row r="269" customFormat="false" ht="15" hidden="false" customHeight="false" outlineLevel="0" collapsed="false">
      <c r="A269" s="53" t="str">
        <f aca="false">IF($B269="","",ROW()-5)</f>
        <v/>
      </c>
      <c r="B269" s="54"/>
      <c r="C269" s="33"/>
      <c r="D269" s="33"/>
      <c r="E269" s="33"/>
      <c r="F269" s="32"/>
      <c r="G269" s="41"/>
      <c r="H269" s="39"/>
      <c r="I269" s="43"/>
      <c r="J269" s="43"/>
      <c r="K269" s="41"/>
      <c r="L269" s="39"/>
      <c r="M269" s="41"/>
      <c r="N269" s="25" t="str">
        <f aca="false">IF(AND($B269="",$E269="",$I269="",$J269=""),"",IF(NOT(ISNUMBER($B269)),"日期无效",IF(ISNA(MATCH($C269,参数设置!$A$10:$A$12,0)),"公司无效",IF(ISNA(MATCH($D269,资金账户!$B$6:$B$25,0)),"账户未建档",IF(ISNA(MATCH($E269,记账规则!$A$13:$A$32,0)),"业务类型无效",IF(AND(N($I269)&lt;&gt;0,N($J269)&lt;&gt;0),"收入和支出只能填一列",IF($P269=0,"金额为 0",IF(AND($R269="收",N($I269)=0),"这类业务是收款，金额填到收入列",IF(AND($R269="支",N($J269)=0),"这类业务是付款，金额填到支出列",IF(AND(SUMPRODUCT(--(INDEX(记账规则!$A$13:$H$32,MATCH($E269,记账规则!$A$13:$A$32,0),0)="@对方"))&gt;0,$G269=""),"这个类型要填对方科目",IF(AND($G269&lt;&gt;"",ISNA(MATCH($G269,会计科目表!$B$6:$B$85,0))),"对方科目不存在",IF(AND($E269="缴纳税费",$H269=""),"缴税请在费用项目里选税种",IF(AND($F269&lt;&gt;"",ISNA(MATCH($F269,往来单位!$A$6:$A$85,0))),"往来单位未建档",IF(YEAR($B269)&lt;&gt;参数设置!$B$5,"不在本会计年度",IF(AND($B268&lt;&gt;"",ISNUMBER($B268),$B269&lt;$B268),"日期比上一行早，余额按行序滚，建议按日期录","OK")))))))))))))))</f>
        <v/>
      </c>
      <c r="O269" s="58" t="str">
        <f aca="false">IF($B269="","",TEXT($B269,"yyyy-mm"))</f>
        <v/>
      </c>
      <c r="P269" s="60" t="str">
        <f aca="false">IF($E269="","",ROUND(N($I269)+N($J269),2))</f>
        <v/>
      </c>
      <c r="Q269" s="58" t="str">
        <f aca="false">IF($D269="","",IFERROR(INDEX(资金账户!$F$6:$F$25,MATCH($D269,资金账户!$B$6:$B$25,0)),""))</f>
        <v/>
      </c>
      <c r="R269" s="58" t="str">
        <f aca="false">IF($E269="","",IFERROR(IF(INDEX(记账规则!$A$13:$H$32,MATCH($E269,记账规则!$A$13:$A$32,0),4)="借","收","支"),""))</f>
        <v/>
      </c>
      <c r="S269" s="57" t="str">
        <f aca="false">IF($D269="","",ROUND(SUMIFS(资金账户!$H$6:$H$25,资金账户!$B$6:$B$25,$D269)+SUMIFS($I$6:$I269,$D$6:$D269,$D269)-SUMIFS($J$6:$J269,$D$6:$D269,$D269),2))</f>
        <v/>
      </c>
      <c r="T269" s="61" t="str">
        <f aca="false">IF($B269="","",YEAR($B269))</f>
        <v/>
      </c>
    </row>
    <row r="270" customFormat="false" ht="15" hidden="false" customHeight="false" outlineLevel="0" collapsed="false">
      <c r="A270" s="53" t="str">
        <f aca="false">IF($B270="","",ROW()-5)</f>
        <v/>
      </c>
      <c r="B270" s="54"/>
      <c r="C270" s="33"/>
      <c r="D270" s="33"/>
      <c r="E270" s="33"/>
      <c r="F270" s="32"/>
      <c r="G270" s="41"/>
      <c r="H270" s="39"/>
      <c r="I270" s="43"/>
      <c r="J270" s="43"/>
      <c r="K270" s="41"/>
      <c r="L270" s="39"/>
      <c r="M270" s="41"/>
      <c r="N270" s="25" t="str">
        <f aca="false">IF(AND($B270="",$E270="",$I270="",$J270=""),"",IF(NOT(ISNUMBER($B270)),"日期无效",IF(ISNA(MATCH($C270,参数设置!$A$10:$A$12,0)),"公司无效",IF(ISNA(MATCH($D270,资金账户!$B$6:$B$25,0)),"账户未建档",IF(ISNA(MATCH($E270,记账规则!$A$13:$A$32,0)),"业务类型无效",IF(AND(N($I270)&lt;&gt;0,N($J270)&lt;&gt;0),"收入和支出只能填一列",IF($P270=0,"金额为 0",IF(AND($R270="收",N($I270)=0),"这类业务是收款，金额填到收入列",IF(AND($R270="支",N($J270)=0),"这类业务是付款，金额填到支出列",IF(AND(SUMPRODUCT(--(INDEX(记账规则!$A$13:$H$32,MATCH($E270,记账规则!$A$13:$A$32,0),0)="@对方"))&gt;0,$G270=""),"这个类型要填对方科目",IF(AND($G270&lt;&gt;"",ISNA(MATCH($G270,会计科目表!$B$6:$B$85,0))),"对方科目不存在",IF(AND($E270="缴纳税费",$H270=""),"缴税请在费用项目里选税种",IF(AND($F270&lt;&gt;"",ISNA(MATCH($F270,往来单位!$A$6:$A$85,0))),"往来单位未建档",IF(YEAR($B270)&lt;&gt;参数设置!$B$5,"不在本会计年度",IF(AND($B269&lt;&gt;"",ISNUMBER($B269),$B270&lt;$B269),"日期比上一行早，余额按行序滚，建议按日期录","OK")))))))))))))))</f>
        <v/>
      </c>
      <c r="O270" s="58" t="str">
        <f aca="false">IF($B270="","",TEXT($B270,"yyyy-mm"))</f>
        <v/>
      </c>
      <c r="P270" s="60" t="str">
        <f aca="false">IF($E270="","",ROUND(N($I270)+N($J270),2))</f>
        <v/>
      </c>
      <c r="Q270" s="58" t="str">
        <f aca="false">IF($D270="","",IFERROR(INDEX(资金账户!$F$6:$F$25,MATCH($D270,资金账户!$B$6:$B$25,0)),""))</f>
        <v/>
      </c>
      <c r="R270" s="58" t="str">
        <f aca="false">IF($E270="","",IFERROR(IF(INDEX(记账规则!$A$13:$H$32,MATCH($E270,记账规则!$A$13:$A$32,0),4)="借","收","支"),""))</f>
        <v/>
      </c>
      <c r="S270" s="57" t="str">
        <f aca="false">IF($D270="","",ROUND(SUMIFS(资金账户!$H$6:$H$25,资金账户!$B$6:$B$25,$D270)+SUMIFS($I$6:$I270,$D$6:$D270,$D270)-SUMIFS($J$6:$J270,$D$6:$D270,$D270),2))</f>
        <v/>
      </c>
      <c r="T270" s="61" t="str">
        <f aca="false">IF($B270="","",YEAR($B270))</f>
        <v/>
      </c>
    </row>
    <row r="271" customFormat="false" ht="15" hidden="false" customHeight="false" outlineLevel="0" collapsed="false">
      <c r="A271" s="53" t="str">
        <f aca="false">IF($B271="","",ROW()-5)</f>
        <v/>
      </c>
      <c r="B271" s="54"/>
      <c r="C271" s="33"/>
      <c r="D271" s="33"/>
      <c r="E271" s="33"/>
      <c r="F271" s="32"/>
      <c r="G271" s="41"/>
      <c r="H271" s="39"/>
      <c r="I271" s="43"/>
      <c r="J271" s="43"/>
      <c r="K271" s="41"/>
      <c r="L271" s="39"/>
      <c r="M271" s="41"/>
      <c r="N271" s="25" t="str">
        <f aca="false">IF(AND($B271="",$E271="",$I271="",$J271=""),"",IF(NOT(ISNUMBER($B271)),"日期无效",IF(ISNA(MATCH($C271,参数设置!$A$10:$A$12,0)),"公司无效",IF(ISNA(MATCH($D271,资金账户!$B$6:$B$25,0)),"账户未建档",IF(ISNA(MATCH($E271,记账规则!$A$13:$A$32,0)),"业务类型无效",IF(AND(N($I271)&lt;&gt;0,N($J271)&lt;&gt;0),"收入和支出只能填一列",IF($P271=0,"金额为 0",IF(AND($R271="收",N($I271)=0),"这类业务是收款，金额填到收入列",IF(AND($R271="支",N($J271)=0),"这类业务是付款，金额填到支出列",IF(AND(SUMPRODUCT(--(INDEX(记账规则!$A$13:$H$32,MATCH($E271,记账规则!$A$13:$A$32,0),0)="@对方"))&gt;0,$G271=""),"这个类型要填对方科目",IF(AND($G271&lt;&gt;"",ISNA(MATCH($G271,会计科目表!$B$6:$B$85,0))),"对方科目不存在",IF(AND($E271="缴纳税费",$H271=""),"缴税请在费用项目里选税种",IF(AND($F271&lt;&gt;"",ISNA(MATCH($F271,往来单位!$A$6:$A$85,0))),"往来单位未建档",IF(YEAR($B271)&lt;&gt;参数设置!$B$5,"不在本会计年度",IF(AND($B270&lt;&gt;"",ISNUMBER($B270),$B271&lt;$B270),"日期比上一行早，余额按行序滚，建议按日期录","OK")))))))))))))))</f>
        <v/>
      </c>
      <c r="O271" s="58" t="str">
        <f aca="false">IF($B271="","",TEXT($B271,"yyyy-mm"))</f>
        <v/>
      </c>
      <c r="P271" s="60" t="str">
        <f aca="false">IF($E271="","",ROUND(N($I271)+N($J271),2))</f>
        <v/>
      </c>
      <c r="Q271" s="58" t="str">
        <f aca="false">IF($D271="","",IFERROR(INDEX(资金账户!$F$6:$F$25,MATCH($D271,资金账户!$B$6:$B$25,0)),""))</f>
        <v/>
      </c>
      <c r="R271" s="58" t="str">
        <f aca="false">IF($E271="","",IFERROR(IF(INDEX(记账规则!$A$13:$H$32,MATCH($E271,记账规则!$A$13:$A$32,0),4)="借","收","支"),""))</f>
        <v/>
      </c>
      <c r="S271" s="57" t="str">
        <f aca="false">IF($D271="","",ROUND(SUMIFS(资金账户!$H$6:$H$25,资金账户!$B$6:$B$25,$D271)+SUMIFS($I$6:$I271,$D$6:$D271,$D271)-SUMIFS($J$6:$J271,$D$6:$D271,$D271),2))</f>
        <v/>
      </c>
      <c r="T271" s="61" t="str">
        <f aca="false">IF($B271="","",YEAR($B271))</f>
        <v/>
      </c>
    </row>
    <row r="272" customFormat="false" ht="15" hidden="false" customHeight="false" outlineLevel="0" collapsed="false">
      <c r="A272" s="53" t="str">
        <f aca="false">IF($B272="","",ROW()-5)</f>
        <v/>
      </c>
      <c r="B272" s="54"/>
      <c r="C272" s="33"/>
      <c r="D272" s="33"/>
      <c r="E272" s="33"/>
      <c r="F272" s="32"/>
      <c r="G272" s="41"/>
      <c r="H272" s="39"/>
      <c r="I272" s="43"/>
      <c r="J272" s="43"/>
      <c r="K272" s="41"/>
      <c r="L272" s="39"/>
      <c r="M272" s="41"/>
      <c r="N272" s="25" t="str">
        <f aca="false">IF(AND($B272="",$E272="",$I272="",$J272=""),"",IF(NOT(ISNUMBER($B272)),"日期无效",IF(ISNA(MATCH($C272,参数设置!$A$10:$A$12,0)),"公司无效",IF(ISNA(MATCH($D272,资金账户!$B$6:$B$25,0)),"账户未建档",IF(ISNA(MATCH($E272,记账规则!$A$13:$A$32,0)),"业务类型无效",IF(AND(N($I272)&lt;&gt;0,N($J272)&lt;&gt;0),"收入和支出只能填一列",IF($P272=0,"金额为 0",IF(AND($R272="收",N($I272)=0),"这类业务是收款，金额填到收入列",IF(AND($R272="支",N($J272)=0),"这类业务是付款，金额填到支出列",IF(AND(SUMPRODUCT(--(INDEX(记账规则!$A$13:$H$32,MATCH($E272,记账规则!$A$13:$A$32,0),0)="@对方"))&gt;0,$G272=""),"这个类型要填对方科目",IF(AND($G272&lt;&gt;"",ISNA(MATCH($G272,会计科目表!$B$6:$B$85,0))),"对方科目不存在",IF(AND($E272="缴纳税费",$H272=""),"缴税请在费用项目里选税种",IF(AND($F272&lt;&gt;"",ISNA(MATCH($F272,往来单位!$A$6:$A$85,0))),"往来单位未建档",IF(YEAR($B272)&lt;&gt;参数设置!$B$5,"不在本会计年度",IF(AND($B271&lt;&gt;"",ISNUMBER($B271),$B272&lt;$B271),"日期比上一行早，余额按行序滚，建议按日期录","OK")))))))))))))))</f>
        <v/>
      </c>
      <c r="O272" s="58" t="str">
        <f aca="false">IF($B272="","",TEXT($B272,"yyyy-mm"))</f>
        <v/>
      </c>
      <c r="P272" s="60" t="str">
        <f aca="false">IF($E272="","",ROUND(N($I272)+N($J272),2))</f>
        <v/>
      </c>
      <c r="Q272" s="58" t="str">
        <f aca="false">IF($D272="","",IFERROR(INDEX(资金账户!$F$6:$F$25,MATCH($D272,资金账户!$B$6:$B$25,0)),""))</f>
        <v/>
      </c>
      <c r="R272" s="58" t="str">
        <f aca="false">IF($E272="","",IFERROR(IF(INDEX(记账规则!$A$13:$H$32,MATCH($E272,记账规则!$A$13:$A$32,0),4)="借","收","支"),""))</f>
        <v/>
      </c>
      <c r="S272" s="57" t="str">
        <f aca="false">IF($D272="","",ROUND(SUMIFS(资金账户!$H$6:$H$25,资金账户!$B$6:$B$25,$D272)+SUMIFS($I$6:$I272,$D$6:$D272,$D272)-SUMIFS($J$6:$J272,$D$6:$D272,$D272),2))</f>
        <v/>
      </c>
      <c r="T272" s="61" t="str">
        <f aca="false">IF($B272="","",YEAR($B272))</f>
        <v/>
      </c>
    </row>
    <row r="273" customFormat="false" ht="15" hidden="false" customHeight="false" outlineLevel="0" collapsed="false">
      <c r="A273" s="53" t="str">
        <f aca="false">IF($B273="","",ROW()-5)</f>
        <v/>
      </c>
      <c r="B273" s="54"/>
      <c r="C273" s="33"/>
      <c r="D273" s="33"/>
      <c r="E273" s="33"/>
      <c r="F273" s="32"/>
      <c r="G273" s="41"/>
      <c r="H273" s="39"/>
      <c r="I273" s="43"/>
      <c r="J273" s="43"/>
      <c r="K273" s="41"/>
      <c r="L273" s="39"/>
      <c r="M273" s="41"/>
      <c r="N273" s="25" t="str">
        <f aca="false">IF(AND($B273="",$E273="",$I273="",$J273=""),"",IF(NOT(ISNUMBER($B273)),"日期无效",IF(ISNA(MATCH($C273,参数设置!$A$10:$A$12,0)),"公司无效",IF(ISNA(MATCH($D273,资金账户!$B$6:$B$25,0)),"账户未建档",IF(ISNA(MATCH($E273,记账规则!$A$13:$A$32,0)),"业务类型无效",IF(AND(N($I273)&lt;&gt;0,N($J273)&lt;&gt;0),"收入和支出只能填一列",IF($P273=0,"金额为 0",IF(AND($R273="收",N($I273)=0),"这类业务是收款，金额填到收入列",IF(AND($R273="支",N($J273)=0),"这类业务是付款，金额填到支出列",IF(AND(SUMPRODUCT(--(INDEX(记账规则!$A$13:$H$32,MATCH($E273,记账规则!$A$13:$A$32,0),0)="@对方"))&gt;0,$G273=""),"这个类型要填对方科目",IF(AND($G273&lt;&gt;"",ISNA(MATCH($G273,会计科目表!$B$6:$B$85,0))),"对方科目不存在",IF(AND($E273="缴纳税费",$H273=""),"缴税请在费用项目里选税种",IF(AND($F273&lt;&gt;"",ISNA(MATCH($F273,往来单位!$A$6:$A$85,0))),"往来单位未建档",IF(YEAR($B273)&lt;&gt;参数设置!$B$5,"不在本会计年度",IF(AND($B272&lt;&gt;"",ISNUMBER($B272),$B273&lt;$B272),"日期比上一行早，余额按行序滚，建议按日期录","OK")))))))))))))))</f>
        <v/>
      </c>
      <c r="O273" s="58" t="str">
        <f aca="false">IF($B273="","",TEXT($B273,"yyyy-mm"))</f>
        <v/>
      </c>
      <c r="P273" s="60" t="str">
        <f aca="false">IF($E273="","",ROUND(N($I273)+N($J273),2))</f>
        <v/>
      </c>
      <c r="Q273" s="58" t="str">
        <f aca="false">IF($D273="","",IFERROR(INDEX(资金账户!$F$6:$F$25,MATCH($D273,资金账户!$B$6:$B$25,0)),""))</f>
        <v/>
      </c>
      <c r="R273" s="58" t="str">
        <f aca="false">IF($E273="","",IFERROR(IF(INDEX(记账规则!$A$13:$H$32,MATCH($E273,记账规则!$A$13:$A$32,0),4)="借","收","支"),""))</f>
        <v/>
      </c>
      <c r="S273" s="57" t="str">
        <f aca="false">IF($D273="","",ROUND(SUMIFS(资金账户!$H$6:$H$25,资金账户!$B$6:$B$25,$D273)+SUMIFS($I$6:$I273,$D$6:$D273,$D273)-SUMIFS($J$6:$J273,$D$6:$D273,$D273),2))</f>
        <v/>
      </c>
      <c r="T273" s="61" t="str">
        <f aca="false">IF($B273="","",YEAR($B273))</f>
        <v/>
      </c>
    </row>
    <row r="274" customFormat="false" ht="15" hidden="false" customHeight="false" outlineLevel="0" collapsed="false">
      <c r="A274" s="53" t="str">
        <f aca="false">IF($B274="","",ROW()-5)</f>
        <v/>
      </c>
      <c r="B274" s="54"/>
      <c r="C274" s="33"/>
      <c r="D274" s="33"/>
      <c r="E274" s="33"/>
      <c r="F274" s="32"/>
      <c r="G274" s="41"/>
      <c r="H274" s="39"/>
      <c r="I274" s="43"/>
      <c r="J274" s="43"/>
      <c r="K274" s="41"/>
      <c r="L274" s="39"/>
      <c r="M274" s="41"/>
      <c r="N274" s="25" t="str">
        <f aca="false">IF(AND($B274="",$E274="",$I274="",$J274=""),"",IF(NOT(ISNUMBER($B274)),"日期无效",IF(ISNA(MATCH($C274,参数设置!$A$10:$A$12,0)),"公司无效",IF(ISNA(MATCH($D274,资金账户!$B$6:$B$25,0)),"账户未建档",IF(ISNA(MATCH($E274,记账规则!$A$13:$A$32,0)),"业务类型无效",IF(AND(N($I274)&lt;&gt;0,N($J274)&lt;&gt;0),"收入和支出只能填一列",IF($P274=0,"金额为 0",IF(AND($R274="收",N($I274)=0),"这类业务是收款，金额填到收入列",IF(AND($R274="支",N($J274)=0),"这类业务是付款，金额填到支出列",IF(AND(SUMPRODUCT(--(INDEX(记账规则!$A$13:$H$32,MATCH($E274,记账规则!$A$13:$A$32,0),0)="@对方"))&gt;0,$G274=""),"这个类型要填对方科目",IF(AND($G274&lt;&gt;"",ISNA(MATCH($G274,会计科目表!$B$6:$B$85,0))),"对方科目不存在",IF(AND($E274="缴纳税费",$H274=""),"缴税请在费用项目里选税种",IF(AND($F274&lt;&gt;"",ISNA(MATCH($F274,往来单位!$A$6:$A$85,0))),"往来单位未建档",IF(YEAR($B274)&lt;&gt;参数设置!$B$5,"不在本会计年度",IF(AND($B273&lt;&gt;"",ISNUMBER($B273),$B274&lt;$B273),"日期比上一行早，余额按行序滚，建议按日期录","OK")))))))))))))))</f>
        <v/>
      </c>
      <c r="O274" s="58" t="str">
        <f aca="false">IF($B274="","",TEXT($B274,"yyyy-mm"))</f>
        <v/>
      </c>
      <c r="P274" s="60" t="str">
        <f aca="false">IF($E274="","",ROUND(N($I274)+N($J274),2))</f>
        <v/>
      </c>
      <c r="Q274" s="58" t="str">
        <f aca="false">IF($D274="","",IFERROR(INDEX(资金账户!$F$6:$F$25,MATCH($D274,资金账户!$B$6:$B$25,0)),""))</f>
        <v/>
      </c>
      <c r="R274" s="58" t="str">
        <f aca="false">IF($E274="","",IFERROR(IF(INDEX(记账规则!$A$13:$H$32,MATCH($E274,记账规则!$A$13:$A$32,0),4)="借","收","支"),""))</f>
        <v/>
      </c>
      <c r="S274" s="57" t="str">
        <f aca="false">IF($D274="","",ROUND(SUMIFS(资金账户!$H$6:$H$25,资金账户!$B$6:$B$25,$D274)+SUMIFS($I$6:$I274,$D$6:$D274,$D274)-SUMIFS($J$6:$J274,$D$6:$D274,$D274),2))</f>
        <v/>
      </c>
      <c r="T274" s="61" t="str">
        <f aca="false">IF($B274="","",YEAR($B274))</f>
        <v/>
      </c>
    </row>
    <row r="275" customFormat="false" ht="15" hidden="false" customHeight="false" outlineLevel="0" collapsed="false">
      <c r="A275" s="53" t="str">
        <f aca="false">IF($B275="","",ROW()-5)</f>
        <v/>
      </c>
      <c r="B275" s="54"/>
      <c r="C275" s="33"/>
      <c r="D275" s="33"/>
      <c r="E275" s="33"/>
      <c r="F275" s="32"/>
      <c r="G275" s="41"/>
      <c r="H275" s="39"/>
      <c r="I275" s="43"/>
      <c r="J275" s="43"/>
      <c r="K275" s="41"/>
      <c r="L275" s="39"/>
      <c r="M275" s="41"/>
      <c r="N275" s="25" t="str">
        <f aca="false">IF(AND($B275="",$E275="",$I275="",$J275=""),"",IF(NOT(ISNUMBER($B275)),"日期无效",IF(ISNA(MATCH($C275,参数设置!$A$10:$A$12,0)),"公司无效",IF(ISNA(MATCH($D275,资金账户!$B$6:$B$25,0)),"账户未建档",IF(ISNA(MATCH($E275,记账规则!$A$13:$A$32,0)),"业务类型无效",IF(AND(N($I275)&lt;&gt;0,N($J275)&lt;&gt;0),"收入和支出只能填一列",IF($P275=0,"金额为 0",IF(AND($R275="收",N($I275)=0),"这类业务是收款，金额填到收入列",IF(AND($R275="支",N($J275)=0),"这类业务是付款，金额填到支出列",IF(AND(SUMPRODUCT(--(INDEX(记账规则!$A$13:$H$32,MATCH($E275,记账规则!$A$13:$A$32,0),0)="@对方"))&gt;0,$G275=""),"这个类型要填对方科目",IF(AND($G275&lt;&gt;"",ISNA(MATCH($G275,会计科目表!$B$6:$B$85,0))),"对方科目不存在",IF(AND($E275="缴纳税费",$H275=""),"缴税请在费用项目里选税种",IF(AND($F275&lt;&gt;"",ISNA(MATCH($F275,往来单位!$A$6:$A$85,0))),"往来单位未建档",IF(YEAR($B275)&lt;&gt;参数设置!$B$5,"不在本会计年度",IF(AND($B274&lt;&gt;"",ISNUMBER($B274),$B275&lt;$B274),"日期比上一行早，余额按行序滚，建议按日期录","OK")))))))))))))))</f>
        <v/>
      </c>
      <c r="O275" s="58" t="str">
        <f aca="false">IF($B275="","",TEXT($B275,"yyyy-mm"))</f>
        <v/>
      </c>
      <c r="P275" s="60" t="str">
        <f aca="false">IF($E275="","",ROUND(N($I275)+N($J275),2))</f>
        <v/>
      </c>
      <c r="Q275" s="58" t="str">
        <f aca="false">IF($D275="","",IFERROR(INDEX(资金账户!$F$6:$F$25,MATCH($D275,资金账户!$B$6:$B$25,0)),""))</f>
        <v/>
      </c>
      <c r="R275" s="58" t="str">
        <f aca="false">IF($E275="","",IFERROR(IF(INDEX(记账规则!$A$13:$H$32,MATCH($E275,记账规则!$A$13:$A$32,0),4)="借","收","支"),""))</f>
        <v/>
      </c>
      <c r="S275" s="57" t="str">
        <f aca="false">IF($D275="","",ROUND(SUMIFS(资金账户!$H$6:$H$25,资金账户!$B$6:$B$25,$D275)+SUMIFS($I$6:$I275,$D$6:$D275,$D275)-SUMIFS($J$6:$J275,$D$6:$D275,$D275),2))</f>
        <v/>
      </c>
      <c r="T275" s="61" t="str">
        <f aca="false">IF($B275="","",YEAR($B275))</f>
        <v/>
      </c>
    </row>
    <row r="276" customFormat="false" ht="15" hidden="false" customHeight="false" outlineLevel="0" collapsed="false">
      <c r="A276" s="53" t="str">
        <f aca="false">IF($B276="","",ROW()-5)</f>
        <v/>
      </c>
      <c r="B276" s="54"/>
      <c r="C276" s="33"/>
      <c r="D276" s="33"/>
      <c r="E276" s="33"/>
      <c r="F276" s="32"/>
      <c r="G276" s="41"/>
      <c r="H276" s="39"/>
      <c r="I276" s="43"/>
      <c r="J276" s="43"/>
      <c r="K276" s="41"/>
      <c r="L276" s="39"/>
      <c r="M276" s="41"/>
      <c r="N276" s="25" t="str">
        <f aca="false">IF(AND($B276="",$E276="",$I276="",$J276=""),"",IF(NOT(ISNUMBER($B276)),"日期无效",IF(ISNA(MATCH($C276,参数设置!$A$10:$A$12,0)),"公司无效",IF(ISNA(MATCH($D276,资金账户!$B$6:$B$25,0)),"账户未建档",IF(ISNA(MATCH($E276,记账规则!$A$13:$A$32,0)),"业务类型无效",IF(AND(N($I276)&lt;&gt;0,N($J276)&lt;&gt;0),"收入和支出只能填一列",IF($P276=0,"金额为 0",IF(AND($R276="收",N($I276)=0),"这类业务是收款，金额填到收入列",IF(AND($R276="支",N($J276)=0),"这类业务是付款，金额填到支出列",IF(AND(SUMPRODUCT(--(INDEX(记账规则!$A$13:$H$32,MATCH($E276,记账规则!$A$13:$A$32,0),0)="@对方"))&gt;0,$G276=""),"这个类型要填对方科目",IF(AND($G276&lt;&gt;"",ISNA(MATCH($G276,会计科目表!$B$6:$B$85,0))),"对方科目不存在",IF(AND($E276="缴纳税费",$H276=""),"缴税请在费用项目里选税种",IF(AND($F276&lt;&gt;"",ISNA(MATCH($F276,往来单位!$A$6:$A$85,0))),"往来单位未建档",IF(YEAR($B276)&lt;&gt;参数设置!$B$5,"不在本会计年度",IF(AND($B275&lt;&gt;"",ISNUMBER($B275),$B276&lt;$B275),"日期比上一行早，余额按行序滚，建议按日期录","OK")))))))))))))))</f>
        <v/>
      </c>
      <c r="O276" s="58" t="str">
        <f aca="false">IF($B276="","",TEXT($B276,"yyyy-mm"))</f>
        <v/>
      </c>
      <c r="P276" s="60" t="str">
        <f aca="false">IF($E276="","",ROUND(N($I276)+N($J276),2))</f>
        <v/>
      </c>
      <c r="Q276" s="58" t="str">
        <f aca="false">IF($D276="","",IFERROR(INDEX(资金账户!$F$6:$F$25,MATCH($D276,资金账户!$B$6:$B$25,0)),""))</f>
        <v/>
      </c>
      <c r="R276" s="58" t="str">
        <f aca="false">IF($E276="","",IFERROR(IF(INDEX(记账规则!$A$13:$H$32,MATCH($E276,记账规则!$A$13:$A$32,0),4)="借","收","支"),""))</f>
        <v/>
      </c>
      <c r="S276" s="57" t="str">
        <f aca="false">IF($D276="","",ROUND(SUMIFS(资金账户!$H$6:$H$25,资金账户!$B$6:$B$25,$D276)+SUMIFS($I$6:$I276,$D$6:$D276,$D276)-SUMIFS($J$6:$J276,$D$6:$D276,$D276),2))</f>
        <v/>
      </c>
      <c r="T276" s="61" t="str">
        <f aca="false">IF($B276="","",YEAR($B276))</f>
        <v/>
      </c>
    </row>
    <row r="277" customFormat="false" ht="15" hidden="false" customHeight="false" outlineLevel="0" collapsed="false">
      <c r="A277" s="53" t="str">
        <f aca="false">IF($B277="","",ROW()-5)</f>
        <v/>
      </c>
      <c r="B277" s="54"/>
      <c r="C277" s="33"/>
      <c r="D277" s="33"/>
      <c r="E277" s="33"/>
      <c r="F277" s="32"/>
      <c r="G277" s="41"/>
      <c r="H277" s="39"/>
      <c r="I277" s="43"/>
      <c r="J277" s="43"/>
      <c r="K277" s="41"/>
      <c r="L277" s="39"/>
      <c r="M277" s="41"/>
      <c r="N277" s="25" t="str">
        <f aca="false">IF(AND($B277="",$E277="",$I277="",$J277=""),"",IF(NOT(ISNUMBER($B277)),"日期无效",IF(ISNA(MATCH($C277,参数设置!$A$10:$A$12,0)),"公司无效",IF(ISNA(MATCH($D277,资金账户!$B$6:$B$25,0)),"账户未建档",IF(ISNA(MATCH($E277,记账规则!$A$13:$A$32,0)),"业务类型无效",IF(AND(N($I277)&lt;&gt;0,N($J277)&lt;&gt;0),"收入和支出只能填一列",IF($P277=0,"金额为 0",IF(AND($R277="收",N($I277)=0),"这类业务是收款，金额填到收入列",IF(AND($R277="支",N($J277)=0),"这类业务是付款，金额填到支出列",IF(AND(SUMPRODUCT(--(INDEX(记账规则!$A$13:$H$32,MATCH($E277,记账规则!$A$13:$A$32,0),0)="@对方"))&gt;0,$G277=""),"这个类型要填对方科目",IF(AND($G277&lt;&gt;"",ISNA(MATCH($G277,会计科目表!$B$6:$B$85,0))),"对方科目不存在",IF(AND($E277="缴纳税费",$H277=""),"缴税请在费用项目里选税种",IF(AND($F277&lt;&gt;"",ISNA(MATCH($F277,往来单位!$A$6:$A$85,0))),"往来单位未建档",IF(YEAR($B277)&lt;&gt;参数设置!$B$5,"不在本会计年度",IF(AND($B276&lt;&gt;"",ISNUMBER($B276),$B277&lt;$B276),"日期比上一行早，余额按行序滚，建议按日期录","OK")))))))))))))))</f>
        <v/>
      </c>
      <c r="O277" s="58" t="str">
        <f aca="false">IF($B277="","",TEXT($B277,"yyyy-mm"))</f>
        <v/>
      </c>
      <c r="P277" s="60" t="str">
        <f aca="false">IF($E277="","",ROUND(N($I277)+N($J277),2))</f>
        <v/>
      </c>
      <c r="Q277" s="58" t="str">
        <f aca="false">IF($D277="","",IFERROR(INDEX(资金账户!$F$6:$F$25,MATCH($D277,资金账户!$B$6:$B$25,0)),""))</f>
        <v/>
      </c>
      <c r="R277" s="58" t="str">
        <f aca="false">IF($E277="","",IFERROR(IF(INDEX(记账规则!$A$13:$H$32,MATCH($E277,记账规则!$A$13:$A$32,0),4)="借","收","支"),""))</f>
        <v/>
      </c>
      <c r="S277" s="57" t="str">
        <f aca="false">IF($D277="","",ROUND(SUMIFS(资金账户!$H$6:$H$25,资金账户!$B$6:$B$25,$D277)+SUMIFS($I$6:$I277,$D$6:$D277,$D277)-SUMIFS($J$6:$J277,$D$6:$D277,$D277),2))</f>
        <v/>
      </c>
      <c r="T277" s="61" t="str">
        <f aca="false">IF($B277="","",YEAR($B277))</f>
        <v/>
      </c>
    </row>
    <row r="278" customFormat="false" ht="15" hidden="false" customHeight="false" outlineLevel="0" collapsed="false">
      <c r="A278" s="53" t="str">
        <f aca="false">IF($B278="","",ROW()-5)</f>
        <v/>
      </c>
      <c r="B278" s="54"/>
      <c r="C278" s="33"/>
      <c r="D278" s="33"/>
      <c r="E278" s="33"/>
      <c r="F278" s="32"/>
      <c r="G278" s="41"/>
      <c r="H278" s="39"/>
      <c r="I278" s="43"/>
      <c r="J278" s="43"/>
      <c r="K278" s="41"/>
      <c r="L278" s="39"/>
      <c r="M278" s="41"/>
      <c r="N278" s="25" t="str">
        <f aca="false">IF(AND($B278="",$E278="",$I278="",$J278=""),"",IF(NOT(ISNUMBER($B278)),"日期无效",IF(ISNA(MATCH($C278,参数设置!$A$10:$A$12,0)),"公司无效",IF(ISNA(MATCH($D278,资金账户!$B$6:$B$25,0)),"账户未建档",IF(ISNA(MATCH($E278,记账规则!$A$13:$A$32,0)),"业务类型无效",IF(AND(N($I278)&lt;&gt;0,N($J278)&lt;&gt;0),"收入和支出只能填一列",IF($P278=0,"金额为 0",IF(AND($R278="收",N($I278)=0),"这类业务是收款，金额填到收入列",IF(AND($R278="支",N($J278)=0),"这类业务是付款，金额填到支出列",IF(AND(SUMPRODUCT(--(INDEX(记账规则!$A$13:$H$32,MATCH($E278,记账规则!$A$13:$A$32,0),0)="@对方"))&gt;0,$G278=""),"这个类型要填对方科目",IF(AND($G278&lt;&gt;"",ISNA(MATCH($G278,会计科目表!$B$6:$B$85,0))),"对方科目不存在",IF(AND($E278="缴纳税费",$H278=""),"缴税请在费用项目里选税种",IF(AND($F278&lt;&gt;"",ISNA(MATCH($F278,往来单位!$A$6:$A$85,0))),"往来单位未建档",IF(YEAR($B278)&lt;&gt;参数设置!$B$5,"不在本会计年度",IF(AND($B277&lt;&gt;"",ISNUMBER($B277),$B278&lt;$B277),"日期比上一行早，余额按行序滚，建议按日期录","OK")))))))))))))))</f>
        <v/>
      </c>
      <c r="O278" s="58" t="str">
        <f aca="false">IF($B278="","",TEXT($B278,"yyyy-mm"))</f>
        <v/>
      </c>
      <c r="P278" s="60" t="str">
        <f aca="false">IF($E278="","",ROUND(N($I278)+N($J278),2))</f>
        <v/>
      </c>
      <c r="Q278" s="58" t="str">
        <f aca="false">IF($D278="","",IFERROR(INDEX(资金账户!$F$6:$F$25,MATCH($D278,资金账户!$B$6:$B$25,0)),""))</f>
        <v/>
      </c>
      <c r="R278" s="58" t="str">
        <f aca="false">IF($E278="","",IFERROR(IF(INDEX(记账规则!$A$13:$H$32,MATCH($E278,记账规则!$A$13:$A$32,0),4)="借","收","支"),""))</f>
        <v/>
      </c>
      <c r="S278" s="57" t="str">
        <f aca="false">IF($D278="","",ROUND(SUMIFS(资金账户!$H$6:$H$25,资金账户!$B$6:$B$25,$D278)+SUMIFS($I$6:$I278,$D$6:$D278,$D278)-SUMIFS($J$6:$J278,$D$6:$D278,$D278),2))</f>
        <v/>
      </c>
      <c r="T278" s="61" t="str">
        <f aca="false">IF($B278="","",YEAR($B278))</f>
        <v/>
      </c>
    </row>
    <row r="279" customFormat="false" ht="15" hidden="false" customHeight="false" outlineLevel="0" collapsed="false">
      <c r="A279" s="53" t="str">
        <f aca="false">IF($B279="","",ROW()-5)</f>
        <v/>
      </c>
      <c r="B279" s="54"/>
      <c r="C279" s="33"/>
      <c r="D279" s="33"/>
      <c r="E279" s="33"/>
      <c r="F279" s="32"/>
      <c r="G279" s="41"/>
      <c r="H279" s="39"/>
      <c r="I279" s="43"/>
      <c r="J279" s="43"/>
      <c r="K279" s="41"/>
      <c r="L279" s="39"/>
      <c r="M279" s="41"/>
      <c r="N279" s="25" t="str">
        <f aca="false">IF(AND($B279="",$E279="",$I279="",$J279=""),"",IF(NOT(ISNUMBER($B279)),"日期无效",IF(ISNA(MATCH($C279,参数设置!$A$10:$A$12,0)),"公司无效",IF(ISNA(MATCH($D279,资金账户!$B$6:$B$25,0)),"账户未建档",IF(ISNA(MATCH($E279,记账规则!$A$13:$A$32,0)),"业务类型无效",IF(AND(N($I279)&lt;&gt;0,N($J279)&lt;&gt;0),"收入和支出只能填一列",IF($P279=0,"金额为 0",IF(AND($R279="收",N($I279)=0),"这类业务是收款，金额填到收入列",IF(AND($R279="支",N($J279)=0),"这类业务是付款，金额填到支出列",IF(AND(SUMPRODUCT(--(INDEX(记账规则!$A$13:$H$32,MATCH($E279,记账规则!$A$13:$A$32,0),0)="@对方"))&gt;0,$G279=""),"这个类型要填对方科目",IF(AND($G279&lt;&gt;"",ISNA(MATCH($G279,会计科目表!$B$6:$B$85,0))),"对方科目不存在",IF(AND($E279="缴纳税费",$H279=""),"缴税请在费用项目里选税种",IF(AND($F279&lt;&gt;"",ISNA(MATCH($F279,往来单位!$A$6:$A$85,0))),"往来单位未建档",IF(YEAR($B279)&lt;&gt;参数设置!$B$5,"不在本会计年度",IF(AND($B278&lt;&gt;"",ISNUMBER($B278),$B279&lt;$B278),"日期比上一行早，余额按行序滚，建议按日期录","OK")))))))))))))))</f>
        <v/>
      </c>
      <c r="O279" s="58" t="str">
        <f aca="false">IF($B279="","",TEXT($B279,"yyyy-mm"))</f>
        <v/>
      </c>
      <c r="P279" s="60" t="str">
        <f aca="false">IF($E279="","",ROUND(N($I279)+N($J279),2))</f>
        <v/>
      </c>
      <c r="Q279" s="58" t="str">
        <f aca="false">IF($D279="","",IFERROR(INDEX(资金账户!$F$6:$F$25,MATCH($D279,资金账户!$B$6:$B$25,0)),""))</f>
        <v/>
      </c>
      <c r="R279" s="58" t="str">
        <f aca="false">IF($E279="","",IFERROR(IF(INDEX(记账规则!$A$13:$H$32,MATCH($E279,记账规则!$A$13:$A$32,0),4)="借","收","支"),""))</f>
        <v/>
      </c>
      <c r="S279" s="57" t="str">
        <f aca="false">IF($D279="","",ROUND(SUMIFS(资金账户!$H$6:$H$25,资金账户!$B$6:$B$25,$D279)+SUMIFS($I$6:$I279,$D$6:$D279,$D279)-SUMIFS($J$6:$J279,$D$6:$D279,$D279),2))</f>
        <v/>
      </c>
      <c r="T279" s="61" t="str">
        <f aca="false">IF($B279="","",YEAR($B279))</f>
        <v/>
      </c>
    </row>
    <row r="280" customFormat="false" ht="15" hidden="false" customHeight="false" outlineLevel="0" collapsed="false">
      <c r="A280" s="53" t="str">
        <f aca="false">IF($B280="","",ROW()-5)</f>
        <v/>
      </c>
      <c r="B280" s="54"/>
      <c r="C280" s="33"/>
      <c r="D280" s="33"/>
      <c r="E280" s="33"/>
      <c r="F280" s="32"/>
      <c r="G280" s="41"/>
      <c r="H280" s="39"/>
      <c r="I280" s="43"/>
      <c r="J280" s="43"/>
      <c r="K280" s="41"/>
      <c r="L280" s="39"/>
      <c r="M280" s="41"/>
      <c r="N280" s="25" t="str">
        <f aca="false">IF(AND($B280="",$E280="",$I280="",$J280=""),"",IF(NOT(ISNUMBER($B280)),"日期无效",IF(ISNA(MATCH($C280,参数设置!$A$10:$A$12,0)),"公司无效",IF(ISNA(MATCH($D280,资金账户!$B$6:$B$25,0)),"账户未建档",IF(ISNA(MATCH($E280,记账规则!$A$13:$A$32,0)),"业务类型无效",IF(AND(N($I280)&lt;&gt;0,N($J280)&lt;&gt;0),"收入和支出只能填一列",IF($P280=0,"金额为 0",IF(AND($R280="收",N($I280)=0),"这类业务是收款，金额填到收入列",IF(AND($R280="支",N($J280)=0),"这类业务是付款，金额填到支出列",IF(AND(SUMPRODUCT(--(INDEX(记账规则!$A$13:$H$32,MATCH($E280,记账规则!$A$13:$A$32,0),0)="@对方"))&gt;0,$G280=""),"这个类型要填对方科目",IF(AND($G280&lt;&gt;"",ISNA(MATCH($G280,会计科目表!$B$6:$B$85,0))),"对方科目不存在",IF(AND($E280="缴纳税费",$H280=""),"缴税请在费用项目里选税种",IF(AND($F280&lt;&gt;"",ISNA(MATCH($F280,往来单位!$A$6:$A$85,0))),"往来单位未建档",IF(YEAR($B280)&lt;&gt;参数设置!$B$5,"不在本会计年度",IF(AND($B279&lt;&gt;"",ISNUMBER($B279),$B280&lt;$B279),"日期比上一行早，余额按行序滚，建议按日期录","OK")))))))))))))))</f>
        <v/>
      </c>
      <c r="O280" s="58" t="str">
        <f aca="false">IF($B280="","",TEXT($B280,"yyyy-mm"))</f>
        <v/>
      </c>
      <c r="P280" s="60" t="str">
        <f aca="false">IF($E280="","",ROUND(N($I280)+N($J280),2))</f>
        <v/>
      </c>
      <c r="Q280" s="58" t="str">
        <f aca="false">IF($D280="","",IFERROR(INDEX(资金账户!$F$6:$F$25,MATCH($D280,资金账户!$B$6:$B$25,0)),""))</f>
        <v/>
      </c>
      <c r="R280" s="58" t="str">
        <f aca="false">IF($E280="","",IFERROR(IF(INDEX(记账规则!$A$13:$H$32,MATCH($E280,记账规则!$A$13:$A$32,0),4)="借","收","支"),""))</f>
        <v/>
      </c>
      <c r="S280" s="57" t="str">
        <f aca="false">IF($D280="","",ROUND(SUMIFS(资金账户!$H$6:$H$25,资金账户!$B$6:$B$25,$D280)+SUMIFS($I$6:$I280,$D$6:$D280,$D280)-SUMIFS($J$6:$J280,$D$6:$D280,$D280),2))</f>
        <v/>
      </c>
      <c r="T280" s="61" t="str">
        <f aca="false">IF($B280="","",YEAR($B280))</f>
        <v/>
      </c>
    </row>
    <row r="281" customFormat="false" ht="15" hidden="false" customHeight="false" outlineLevel="0" collapsed="false">
      <c r="A281" s="53" t="str">
        <f aca="false">IF($B281="","",ROW()-5)</f>
        <v/>
      </c>
      <c r="B281" s="54"/>
      <c r="C281" s="33"/>
      <c r="D281" s="33"/>
      <c r="E281" s="33"/>
      <c r="F281" s="32"/>
      <c r="G281" s="41"/>
      <c r="H281" s="39"/>
      <c r="I281" s="43"/>
      <c r="J281" s="43"/>
      <c r="K281" s="41"/>
      <c r="L281" s="39"/>
      <c r="M281" s="41"/>
      <c r="N281" s="25" t="str">
        <f aca="false">IF(AND($B281="",$E281="",$I281="",$J281=""),"",IF(NOT(ISNUMBER($B281)),"日期无效",IF(ISNA(MATCH($C281,参数设置!$A$10:$A$12,0)),"公司无效",IF(ISNA(MATCH($D281,资金账户!$B$6:$B$25,0)),"账户未建档",IF(ISNA(MATCH($E281,记账规则!$A$13:$A$32,0)),"业务类型无效",IF(AND(N($I281)&lt;&gt;0,N($J281)&lt;&gt;0),"收入和支出只能填一列",IF($P281=0,"金额为 0",IF(AND($R281="收",N($I281)=0),"这类业务是收款，金额填到收入列",IF(AND($R281="支",N($J281)=0),"这类业务是付款，金额填到支出列",IF(AND(SUMPRODUCT(--(INDEX(记账规则!$A$13:$H$32,MATCH($E281,记账规则!$A$13:$A$32,0),0)="@对方"))&gt;0,$G281=""),"这个类型要填对方科目",IF(AND($G281&lt;&gt;"",ISNA(MATCH($G281,会计科目表!$B$6:$B$85,0))),"对方科目不存在",IF(AND($E281="缴纳税费",$H281=""),"缴税请在费用项目里选税种",IF(AND($F281&lt;&gt;"",ISNA(MATCH($F281,往来单位!$A$6:$A$85,0))),"往来单位未建档",IF(YEAR($B281)&lt;&gt;参数设置!$B$5,"不在本会计年度",IF(AND($B280&lt;&gt;"",ISNUMBER($B280),$B281&lt;$B280),"日期比上一行早，余额按行序滚，建议按日期录","OK")))))))))))))))</f>
        <v/>
      </c>
      <c r="O281" s="58" t="str">
        <f aca="false">IF($B281="","",TEXT($B281,"yyyy-mm"))</f>
        <v/>
      </c>
      <c r="P281" s="60" t="str">
        <f aca="false">IF($E281="","",ROUND(N($I281)+N($J281),2))</f>
        <v/>
      </c>
      <c r="Q281" s="58" t="str">
        <f aca="false">IF($D281="","",IFERROR(INDEX(资金账户!$F$6:$F$25,MATCH($D281,资金账户!$B$6:$B$25,0)),""))</f>
        <v/>
      </c>
      <c r="R281" s="58" t="str">
        <f aca="false">IF($E281="","",IFERROR(IF(INDEX(记账规则!$A$13:$H$32,MATCH($E281,记账规则!$A$13:$A$32,0),4)="借","收","支"),""))</f>
        <v/>
      </c>
      <c r="S281" s="57" t="str">
        <f aca="false">IF($D281="","",ROUND(SUMIFS(资金账户!$H$6:$H$25,资金账户!$B$6:$B$25,$D281)+SUMIFS($I$6:$I281,$D$6:$D281,$D281)-SUMIFS($J$6:$J281,$D$6:$D281,$D281),2))</f>
        <v/>
      </c>
      <c r="T281" s="61" t="str">
        <f aca="false">IF($B281="","",YEAR($B281))</f>
        <v/>
      </c>
    </row>
    <row r="282" customFormat="false" ht="15" hidden="false" customHeight="false" outlineLevel="0" collapsed="false">
      <c r="A282" s="53" t="str">
        <f aca="false">IF($B282="","",ROW()-5)</f>
        <v/>
      </c>
      <c r="B282" s="54"/>
      <c r="C282" s="33"/>
      <c r="D282" s="33"/>
      <c r="E282" s="33"/>
      <c r="F282" s="32"/>
      <c r="G282" s="41"/>
      <c r="H282" s="39"/>
      <c r="I282" s="43"/>
      <c r="J282" s="43"/>
      <c r="K282" s="41"/>
      <c r="L282" s="39"/>
      <c r="M282" s="41"/>
      <c r="N282" s="25" t="str">
        <f aca="false">IF(AND($B282="",$E282="",$I282="",$J282=""),"",IF(NOT(ISNUMBER($B282)),"日期无效",IF(ISNA(MATCH($C282,参数设置!$A$10:$A$12,0)),"公司无效",IF(ISNA(MATCH($D282,资金账户!$B$6:$B$25,0)),"账户未建档",IF(ISNA(MATCH($E282,记账规则!$A$13:$A$32,0)),"业务类型无效",IF(AND(N($I282)&lt;&gt;0,N($J282)&lt;&gt;0),"收入和支出只能填一列",IF($P282=0,"金额为 0",IF(AND($R282="收",N($I282)=0),"这类业务是收款，金额填到收入列",IF(AND($R282="支",N($J282)=0),"这类业务是付款，金额填到支出列",IF(AND(SUMPRODUCT(--(INDEX(记账规则!$A$13:$H$32,MATCH($E282,记账规则!$A$13:$A$32,0),0)="@对方"))&gt;0,$G282=""),"这个类型要填对方科目",IF(AND($G282&lt;&gt;"",ISNA(MATCH($G282,会计科目表!$B$6:$B$85,0))),"对方科目不存在",IF(AND($E282="缴纳税费",$H282=""),"缴税请在费用项目里选税种",IF(AND($F282&lt;&gt;"",ISNA(MATCH($F282,往来单位!$A$6:$A$85,0))),"往来单位未建档",IF(YEAR($B282)&lt;&gt;参数设置!$B$5,"不在本会计年度",IF(AND($B281&lt;&gt;"",ISNUMBER($B281),$B282&lt;$B281),"日期比上一行早，余额按行序滚，建议按日期录","OK")))))))))))))))</f>
        <v/>
      </c>
      <c r="O282" s="58" t="str">
        <f aca="false">IF($B282="","",TEXT($B282,"yyyy-mm"))</f>
        <v/>
      </c>
      <c r="P282" s="60" t="str">
        <f aca="false">IF($E282="","",ROUND(N($I282)+N($J282),2))</f>
        <v/>
      </c>
      <c r="Q282" s="58" t="str">
        <f aca="false">IF($D282="","",IFERROR(INDEX(资金账户!$F$6:$F$25,MATCH($D282,资金账户!$B$6:$B$25,0)),""))</f>
        <v/>
      </c>
      <c r="R282" s="58" t="str">
        <f aca="false">IF($E282="","",IFERROR(IF(INDEX(记账规则!$A$13:$H$32,MATCH($E282,记账规则!$A$13:$A$32,0),4)="借","收","支"),""))</f>
        <v/>
      </c>
      <c r="S282" s="57" t="str">
        <f aca="false">IF($D282="","",ROUND(SUMIFS(资金账户!$H$6:$H$25,资金账户!$B$6:$B$25,$D282)+SUMIFS($I$6:$I282,$D$6:$D282,$D282)-SUMIFS($J$6:$J282,$D$6:$D282,$D282),2))</f>
        <v/>
      </c>
      <c r="T282" s="61" t="str">
        <f aca="false">IF($B282="","",YEAR($B282))</f>
        <v/>
      </c>
    </row>
    <row r="283" customFormat="false" ht="15" hidden="false" customHeight="false" outlineLevel="0" collapsed="false">
      <c r="A283" s="53" t="str">
        <f aca="false">IF($B283="","",ROW()-5)</f>
        <v/>
      </c>
      <c r="B283" s="54"/>
      <c r="C283" s="33"/>
      <c r="D283" s="33"/>
      <c r="E283" s="33"/>
      <c r="F283" s="32"/>
      <c r="G283" s="41"/>
      <c r="H283" s="39"/>
      <c r="I283" s="43"/>
      <c r="J283" s="43"/>
      <c r="K283" s="41"/>
      <c r="L283" s="39"/>
      <c r="M283" s="41"/>
      <c r="N283" s="25" t="str">
        <f aca="false">IF(AND($B283="",$E283="",$I283="",$J283=""),"",IF(NOT(ISNUMBER($B283)),"日期无效",IF(ISNA(MATCH($C283,参数设置!$A$10:$A$12,0)),"公司无效",IF(ISNA(MATCH($D283,资金账户!$B$6:$B$25,0)),"账户未建档",IF(ISNA(MATCH($E283,记账规则!$A$13:$A$32,0)),"业务类型无效",IF(AND(N($I283)&lt;&gt;0,N($J283)&lt;&gt;0),"收入和支出只能填一列",IF($P283=0,"金额为 0",IF(AND($R283="收",N($I283)=0),"这类业务是收款，金额填到收入列",IF(AND($R283="支",N($J283)=0),"这类业务是付款，金额填到支出列",IF(AND(SUMPRODUCT(--(INDEX(记账规则!$A$13:$H$32,MATCH($E283,记账规则!$A$13:$A$32,0),0)="@对方"))&gt;0,$G283=""),"这个类型要填对方科目",IF(AND($G283&lt;&gt;"",ISNA(MATCH($G283,会计科目表!$B$6:$B$85,0))),"对方科目不存在",IF(AND($E283="缴纳税费",$H283=""),"缴税请在费用项目里选税种",IF(AND($F283&lt;&gt;"",ISNA(MATCH($F283,往来单位!$A$6:$A$85,0))),"往来单位未建档",IF(YEAR($B283)&lt;&gt;参数设置!$B$5,"不在本会计年度",IF(AND($B282&lt;&gt;"",ISNUMBER($B282),$B283&lt;$B282),"日期比上一行早，余额按行序滚，建议按日期录","OK")))))))))))))))</f>
        <v/>
      </c>
      <c r="O283" s="58" t="str">
        <f aca="false">IF($B283="","",TEXT($B283,"yyyy-mm"))</f>
        <v/>
      </c>
      <c r="P283" s="60" t="str">
        <f aca="false">IF($E283="","",ROUND(N($I283)+N($J283),2))</f>
        <v/>
      </c>
      <c r="Q283" s="58" t="str">
        <f aca="false">IF($D283="","",IFERROR(INDEX(资金账户!$F$6:$F$25,MATCH($D283,资金账户!$B$6:$B$25,0)),""))</f>
        <v/>
      </c>
      <c r="R283" s="58" t="str">
        <f aca="false">IF($E283="","",IFERROR(IF(INDEX(记账规则!$A$13:$H$32,MATCH($E283,记账规则!$A$13:$A$32,0),4)="借","收","支"),""))</f>
        <v/>
      </c>
      <c r="S283" s="57" t="str">
        <f aca="false">IF($D283="","",ROUND(SUMIFS(资金账户!$H$6:$H$25,资金账户!$B$6:$B$25,$D283)+SUMIFS($I$6:$I283,$D$6:$D283,$D283)-SUMIFS($J$6:$J283,$D$6:$D283,$D283),2))</f>
        <v/>
      </c>
      <c r="T283" s="61" t="str">
        <f aca="false">IF($B283="","",YEAR($B283))</f>
        <v/>
      </c>
    </row>
    <row r="284" customFormat="false" ht="15" hidden="false" customHeight="false" outlineLevel="0" collapsed="false">
      <c r="A284" s="53" t="str">
        <f aca="false">IF($B284="","",ROW()-5)</f>
        <v/>
      </c>
      <c r="B284" s="54"/>
      <c r="C284" s="33"/>
      <c r="D284" s="33"/>
      <c r="E284" s="33"/>
      <c r="F284" s="32"/>
      <c r="G284" s="41"/>
      <c r="H284" s="39"/>
      <c r="I284" s="43"/>
      <c r="J284" s="43"/>
      <c r="K284" s="41"/>
      <c r="L284" s="39"/>
      <c r="M284" s="41"/>
      <c r="N284" s="25" t="str">
        <f aca="false">IF(AND($B284="",$E284="",$I284="",$J284=""),"",IF(NOT(ISNUMBER($B284)),"日期无效",IF(ISNA(MATCH($C284,参数设置!$A$10:$A$12,0)),"公司无效",IF(ISNA(MATCH($D284,资金账户!$B$6:$B$25,0)),"账户未建档",IF(ISNA(MATCH($E284,记账规则!$A$13:$A$32,0)),"业务类型无效",IF(AND(N($I284)&lt;&gt;0,N($J284)&lt;&gt;0),"收入和支出只能填一列",IF($P284=0,"金额为 0",IF(AND($R284="收",N($I284)=0),"这类业务是收款，金额填到收入列",IF(AND($R284="支",N($J284)=0),"这类业务是付款，金额填到支出列",IF(AND(SUMPRODUCT(--(INDEX(记账规则!$A$13:$H$32,MATCH($E284,记账规则!$A$13:$A$32,0),0)="@对方"))&gt;0,$G284=""),"这个类型要填对方科目",IF(AND($G284&lt;&gt;"",ISNA(MATCH($G284,会计科目表!$B$6:$B$85,0))),"对方科目不存在",IF(AND($E284="缴纳税费",$H284=""),"缴税请在费用项目里选税种",IF(AND($F284&lt;&gt;"",ISNA(MATCH($F284,往来单位!$A$6:$A$85,0))),"往来单位未建档",IF(YEAR($B284)&lt;&gt;参数设置!$B$5,"不在本会计年度",IF(AND($B283&lt;&gt;"",ISNUMBER($B283),$B284&lt;$B283),"日期比上一行早，余额按行序滚，建议按日期录","OK")))))))))))))))</f>
        <v/>
      </c>
      <c r="O284" s="58" t="str">
        <f aca="false">IF($B284="","",TEXT($B284,"yyyy-mm"))</f>
        <v/>
      </c>
      <c r="P284" s="60" t="str">
        <f aca="false">IF($E284="","",ROUND(N($I284)+N($J284),2))</f>
        <v/>
      </c>
      <c r="Q284" s="58" t="str">
        <f aca="false">IF($D284="","",IFERROR(INDEX(资金账户!$F$6:$F$25,MATCH($D284,资金账户!$B$6:$B$25,0)),""))</f>
        <v/>
      </c>
      <c r="R284" s="58" t="str">
        <f aca="false">IF($E284="","",IFERROR(IF(INDEX(记账规则!$A$13:$H$32,MATCH($E284,记账规则!$A$13:$A$32,0),4)="借","收","支"),""))</f>
        <v/>
      </c>
      <c r="S284" s="57" t="str">
        <f aca="false">IF($D284="","",ROUND(SUMIFS(资金账户!$H$6:$H$25,资金账户!$B$6:$B$25,$D284)+SUMIFS($I$6:$I284,$D$6:$D284,$D284)-SUMIFS($J$6:$J284,$D$6:$D284,$D284),2))</f>
        <v/>
      </c>
      <c r="T284" s="61" t="str">
        <f aca="false">IF($B284="","",YEAR($B284))</f>
        <v/>
      </c>
    </row>
    <row r="285" customFormat="false" ht="15" hidden="false" customHeight="false" outlineLevel="0" collapsed="false">
      <c r="A285" s="53" t="str">
        <f aca="false">IF($B285="","",ROW()-5)</f>
        <v/>
      </c>
      <c r="B285" s="54"/>
      <c r="C285" s="33"/>
      <c r="D285" s="33"/>
      <c r="E285" s="33"/>
      <c r="F285" s="32"/>
      <c r="G285" s="41"/>
      <c r="H285" s="39"/>
      <c r="I285" s="43"/>
      <c r="J285" s="43"/>
      <c r="K285" s="41"/>
      <c r="L285" s="39"/>
      <c r="M285" s="41"/>
      <c r="N285" s="25" t="str">
        <f aca="false">IF(AND($B285="",$E285="",$I285="",$J285=""),"",IF(NOT(ISNUMBER($B285)),"日期无效",IF(ISNA(MATCH($C285,参数设置!$A$10:$A$12,0)),"公司无效",IF(ISNA(MATCH($D285,资金账户!$B$6:$B$25,0)),"账户未建档",IF(ISNA(MATCH($E285,记账规则!$A$13:$A$32,0)),"业务类型无效",IF(AND(N($I285)&lt;&gt;0,N($J285)&lt;&gt;0),"收入和支出只能填一列",IF($P285=0,"金额为 0",IF(AND($R285="收",N($I285)=0),"这类业务是收款，金额填到收入列",IF(AND($R285="支",N($J285)=0),"这类业务是付款，金额填到支出列",IF(AND(SUMPRODUCT(--(INDEX(记账规则!$A$13:$H$32,MATCH($E285,记账规则!$A$13:$A$32,0),0)="@对方"))&gt;0,$G285=""),"这个类型要填对方科目",IF(AND($G285&lt;&gt;"",ISNA(MATCH($G285,会计科目表!$B$6:$B$85,0))),"对方科目不存在",IF(AND($E285="缴纳税费",$H285=""),"缴税请在费用项目里选税种",IF(AND($F285&lt;&gt;"",ISNA(MATCH($F285,往来单位!$A$6:$A$85,0))),"往来单位未建档",IF(YEAR($B285)&lt;&gt;参数设置!$B$5,"不在本会计年度",IF(AND($B284&lt;&gt;"",ISNUMBER($B284),$B285&lt;$B284),"日期比上一行早，余额按行序滚，建议按日期录","OK")))))))))))))))</f>
        <v/>
      </c>
      <c r="O285" s="58" t="str">
        <f aca="false">IF($B285="","",TEXT($B285,"yyyy-mm"))</f>
        <v/>
      </c>
      <c r="P285" s="60" t="str">
        <f aca="false">IF($E285="","",ROUND(N($I285)+N($J285),2))</f>
        <v/>
      </c>
      <c r="Q285" s="58" t="str">
        <f aca="false">IF($D285="","",IFERROR(INDEX(资金账户!$F$6:$F$25,MATCH($D285,资金账户!$B$6:$B$25,0)),""))</f>
        <v/>
      </c>
      <c r="R285" s="58" t="str">
        <f aca="false">IF($E285="","",IFERROR(IF(INDEX(记账规则!$A$13:$H$32,MATCH($E285,记账规则!$A$13:$A$32,0),4)="借","收","支"),""))</f>
        <v/>
      </c>
      <c r="S285" s="57" t="str">
        <f aca="false">IF($D285="","",ROUND(SUMIFS(资金账户!$H$6:$H$25,资金账户!$B$6:$B$25,$D285)+SUMIFS($I$6:$I285,$D$6:$D285,$D285)-SUMIFS($J$6:$J285,$D$6:$D285,$D285),2))</f>
        <v/>
      </c>
      <c r="T285" s="61" t="str">
        <f aca="false">IF($B285="","",YEAR($B285))</f>
        <v/>
      </c>
    </row>
    <row r="286" customFormat="false" ht="15" hidden="false" customHeight="false" outlineLevel="0" collapsed="false">
      <c r="A286" s="53" t="str">
        <f aca="false">IF($B286="","",ROW()-5)</f>
        <v/>
      </c>
      <c r="B286" s="54"/>
      <c r="C286" s="33"/>
      <c r="D286" s="33"/>
      <c r="E286" s="33"/>
      <c r="F286" s="32"/>
      <c r="G286" s="41"/>
      <c r="H286" s="39"/>
      <c r="I286" s="43"/>
      <c r="J286" s="43"/>
      <c r="K286" s="41"/>
      <c r="L286" s="39"/>
      <c r="M286" s="41"/>
      <c r="N286" s="25" t="str">
        <f aca="false">IF(AND($B286="",$E286="",$I286="",$J286=""),"",IF(NOT(ISNUMBER($B286)),"日期无效",IF(ISNA(MATCH($C286,参数设置!$A$10:$A$12,0)),"公司无效",IF(ISNA(MATCH($D286,资金账户!$B$6:$B$25,0)),"账户未建档",IF(ISNA(MATCH($E286,记账规则!$A$13:$A$32,0)),"业务类型无效",IF(AND(N($I286)&lt;&gt;0,N($J286)&lt;&gt;0),"收入和支出只能填一列",IF($P286=0,"金额为 0",IF(AND($R286="收",N($I286)=0),"这类业务是收款，金额填到收入列",IF(AND($R286="支",N($J286)=0),"这类业务是付款，金额填到支出列",IF(AND(SUMPRODUCT(--(INDEX(记账规则!$A$13:$H$32,MATCH($E286,记账规则!$A$13:$A$32,0),0)="@对方"))&gt;0,$G286=""),"这个类型要填对方科目",IF(AND($G286&lt;&gt;"",ISNA(MATCH($G286,会计科目表!$B$6:$B$85,0))),"对方科目不存在",IF(AND($E286="缴纳税费",$H286=""),"缴税请在费用项目里选税种",IF(AND($F286&lt;&gt;"",ISNA(MATCH($F286,往来单位!$A$6:$A$85,0))),"往来单位未建档",IF(YEAR($B286)&lt;&gt;参数设置!$B$5,"不在本会计年度",IF(AND($B285&lt;&gt;"",ISNUMBER($B285),$B286&lt;$B285),"日期比上一行早，余额按行序滚，建议按日期录","OK")))))))))))))))</f>
        <v/>
      </c>
      <c r="O286" s="58" t="str">
        <f aca="false">IF($B286="","",TEXT($B286,"yyyy-mm"))</f>
        <v/>
      </c>
      <c r="P286" s="60" t="str">
        <f aca="false">IF($E286="","",ROUND(N($I286)+N($J286),2))</f>
        <v/>
      </c>
      <c r="Q286" s="58" t="str">
        <f aca="false">IF($D286="","",IFERROR(INDEX(资金账户!$F$6:$F$25,MATCH($D286,资金账户!$B$6:$B$25,0)),""))</f>
        <v/>
      </c>
      <c r="R286" s="58" t="str">
        <f aca="false">IF($E286="","",IFERROR(IF(INDEX(记账规则!$A$13:$H$32,MATCH($E286,记账规则!$A$13:$A$32,0),4)="借","收","支"),""))</f>
        <v/>
      </c>
      <c r="S286" s="57" t="str">
        <f aca="false">IF($D286="","",ROUND(SUMIFS(资金账户!$H$6:$H$25,资金账户!$B$6:$B$25,$D286)+SUMIFS($I$6:$I286,$D$6:$D286,$D286)-SUMIFS($J$6:$J286,$D$6:$D286,$D286),2))</f>
        <v/>
      </c>
      <c r="T286" s="61" t="str">
        <f aca="false">IF($B286="","",YEAR($B286))</f>
        <v/>
      </c>
    </row>
    <row r="287" customFormat="false" ht="15" hidden="false" customHeight="false" outlineLevel="0" collapsed="false">
      <c r="A287" s="53" t="str">
        <f aca="false">IF($B287="","",ROW()-5)</f>
        <v/>
      </c>
      <c r="B287" s="54"/>
      <c r="C287" s="33"/>
      <c r="D287" s="33"/>
      <c r="E287" s="33"/>
      <c r="F287" s="32"/>
      <c r="G287" s="41"/>
      <c r="H287" s="39"/>
      <c r="I287" s="43"/>
      <c r="J287" s="43"/>
      <c r="K287" s="41"/>
      <c r="L287" s="39"/>
      <c r="M287" s="41"/>
      <c r="N287" s="25" t="str">
        <f aca="false">IF(AND($B287="",$E287="",$I287="",$J287=""),"",IF(NOT(ISNUMBER($B287)),"日期无效",IF(ISNA(MATCH($C287,参数设置!$A$10:$A$12,0)),"公司无效",IF(ISNA(MATCH($D287,资金账户!$B$6:$B$25,0)),"账户未建档",IF(ISNA(MATCH($E287,记账规则!$A$13:$A$32,0)),"业务类型无效",IF(AND(N($I287)&lt;&gt;0,N($J287)&lt;&gt;0),"收入和支出只能填一列",IF($P287=0,"金额为 0",IF(AND($R287="收",N($I287)=0),"这类业务是收款，金额填到收入列",IF(AND($R287="支",N($J287)=0),"这类业务是付款，金额填到支出列",IF(AND(SUMPRODUCT(--(INDEX(记账规则!$A$13:$H$32,MATCH($E287,记账规则!$A$13:$A$32,0),0)="@对方"))&gt;0,$G287=""),"这个类型要填对方科目",IF(AND($G287&lt;&gt;"",ISNA(MATCH($G287,会计科目表!$B$6:$B$85,0))),"对方科目不存在",IF(AND($E287="缴纳税费",$H287=""),"缴税请在费用项目里选税种",IF(AND($F287&lt;&gt;"",ISNA(MATCH($F287,往来单位!$A$6:$A$85,0))),"往来单位未建档",IF(YEAR($B287)&lt;&gt;参数设置!$B$5,"不在本会计年度",IF(AND($B286&lt;&gt;"",ISNUMBER($B286),$B287&lt;$B286),"日期比上一行早，余额按行序滚，建议按日期录","OK")))))))))))))))</f>
        <v/>
      </c>
      <c r="O287" s="58" t="str">
        <f aca="false">IF($B287="","",TEXT($B287,"yyyy-mm"))</f>
        <v/>
      </c>
      <c r="P287" s="60" t="str">
        <f aca="false">IF($E287="","",ROUND(N($I287)+N($J287),2))</f>
        <v/>
      </c>
      <c r="Q287" s="58" t="str">
        <f aca="false">IF($D287="","",IFERROR(INDEX(资金账户!$F$6:$F$25,MATCH($D287,资金账户!$B$6:$B$25,0)),""))</f>
        <v/>
      </c>
      <c r="R287" s="58" t="str">
        <f aca="false">IF($E287="","",IFERROR(IF(INDEX(记账规则!$A$13:$H$32,MATCH($E287,记账规则!$A$13:$A$32,0),4)="借","收","支"),""))</f>
        <v/>
      </c>
      <c r="S287" s="57" t="str">
        <f aca="false">IF($D287="","",ROUND(SUMIFS(资金账户!$H$6:$H$25,资金账户!$B$6:$B$25,$D287)+SUMIFS($I$6:$I287,$D$6:$D287,$D287)-SUMIFS($J$6:$J287,$D$6:$D287,$D287),2))</f>
        <v/>
      </c>
      <c r="T287" s="61" t="str">
        <f aca="false">IF($B287="","",YEAR($B287))</f>
        <v/>
      </c>
    </row>
    <row r="288" customFormat="false" ht="15" hidden="false" customHeight="false" outlineLevel="0" collapsed="false">
      <c r="A288" s="53" t="str">
        <f aca="false">IF($B288="","",ROW()-5)</f>
        <v/>
      </c>
      <c r="B288" s="54"/>
      <c r="C288" s="33"/>
      <c r="D288" s="33"/>
      <c r="E288" s="33"/>
      <c r="F288" s="32"/>
      <c r="G288" s="41"/>
      <c r="H288" s="39"/>
      <c r="I288" s="43"/>
      <c r="J288" s="43"/>
      <c r="K288" s="41"/>
      <c r="L288" s="39"/>
      <c r="M288" s="41"/>
      <c r="N288" s="25" t="str">
        <f aca="false">IF(AND($B288="",$E288="",$I288="",$J288=""),"",IF(NOT(ISNUMBER($B288)),"日期无效",IF(ISNA(MATCH($C288,参数设置!$A$10:$A$12,0)),"公司无效",IF(ISNA(MATCH($D288,资金账户!$B$6:$B$25,0)),"账户未建档",IF(ISNA(MATCH($E288,记账规则!$A$13:$A$32,0)),"业务类型无效",IF(AND(N($I288)&lt;&gt;0,N($J288)&lt;&gt;0),"收入和支出只能填一列",IF($P288=0,"金额为 0",IF(AND($R288="收",N($I288)=0),"这类业务是收款，金额填到收入列",IF(AND($R288="支",N($J288)=0),"这类业务是付款，金额填到支出列",IF(AND(SUMPRODUCT(--(INDEX(记账规则!$A$13:$H$32,MATCH($E288,记账规则!$A$13:$A$32,0),0)="@对方"))&gt;0,$G288=""),"这个类型要填对方科目",IF(AND($G288&lt;&gt;"",ISNA(MATCH($G288,会计科目表!$B$6:$B$85,0))),"对方科目不存在",IF(AND($E288="缴纳税费",$H288=""),"缴税请在费用项目里选税种",IF(AND($F288&lt;&gt;"",ISNA(MATCH($F288,往来单位!$A$6:$A$85,0))),"往来单位未建档",IF(YEAR($B288)&lt;&gt;参数设置!$B$5,"不在本会计年度",IF(AND($B287&lt;&gt;"",ISNUMBER($B287),$B288&lt;$B287),"日期比上一行早，余额按行序滚，建议按日期录","OK")))))))))))))))</f>
        <v/>
      </c>
      <c r="O288" s="58" t="str">
        <f aca="false">IF($B288="","",TEXT($B288,"yyyy-mm"))</f>
        <v/>
      </c>
      <c r="P288" s="60" t="str">
        <f aca="false">IF($E288="","",ROUND(N($I288)+N($J288),2))</f>
        <v/>
      </c>
      <c r="Q288" s="58" t="str">
        <f aca="false">IF($D288="","",IFERROR(INDEX(资金账户!$F$6:$F$25,MATCH($D288,资金账户!$B$6:$B$25,0)),""))</f>
        <v/>
      </c>
      <c r="R288" s="58" t="str">
        <f aca="false">IF($E288="","",IFERROR(IF(INDEX(记账规则!$A$13:$H$32,MATCH($E288,记账规则!$A$13:$A$32,0),4)="借","收","支"),""))</f>
        <v/>
      </c>
      <c r="S288" s="57" t="str">
        <f aca="false">IF($D288="","",ROUND(SUMIFS(资金账户!$H$6:$H$25,资金账户!$B$6:$B$25,$D288)+SUMIFS($I$6:$I288,$D$6:$D288,$D288)-SUMIFS($J$6:$J288,$D$6:$D288,$D288),2))</f>
        <v/>
      </c>
      <c r="T288" s="61" t="str">
        <f aca="false">IF($B288="","",YEAR($B288))</f>
        <v/>
      </c>
    </row>
    <row r="289" customFormat="false" ht="15" hidden="false" customHeight="false" outlineLevel="0" collapsed="false">
      <c r="A289" s="53" t="str">
        <f aca="false">IF($B289="","",ROW()-5)</f>
        <v/>
      </c>
      <c r="B289" s="54"/>
      <c r="C289" s="33"/>
      <c r="D289" s="33"/>
      <c r="E289" s="33"/>
      <c r="F289" s="32"/>
      <c r="G289" s="41"/>
      <c r="H289" s="39"/>
      <c r="I289" s="43"/>
      <c r="J289" s="43"/>
      <c r="K289" s="41"/>
      <c r="L289" s="39"/>
      <c r="M289" s="41"/>
      <c r="N289" s="25" t="str">
        <f aca="false">IF(AND($B289="",$E289="",$I289="",$J289=""),"",IF(NOT(ISNUMBER($B289)),"日期无效",IF(ISNA(MATCH($C289,参数设置!$A$10:$A$12,0)),"公司无效",IF(ISNA(MATCH($D289,资金账户!$B$6:$B$25,0)),"账户未建档",IF(ISNA(MATCH($E289,记账规则!$A$13:$A$32,0)),"业务类型无效",IF(AND(N($I289)&lt;&gt;0,N($J289)&lt;&gt;0),"收入和支出只能填一列",IF($P289=0,"金额为 0",IF(AND($R289="收",N($I289)=0),"这类业务是收款，金额填到收入列",IF(AND($R289="支",N($J289)=0),"这类业务是付款，金额填到支出列",IF(AND(SUMPRODUCT(--(INDEX(记账规则!$A$13:$H$32,MATCH($E289,记账规则!$A$13:$A$32,0),0)="@对方"))&gt;0,$G289=""),"这个类型要填对方科目",IF(AND($G289&lt;&gt;"",ISNA(MATCH($G289,会计科目表!$B$6:$B$85,0))),"对方科目不存在",IF(AND($E289="缴纳税费",$H289=""),"缴税请在费用项目里选税种",IF(AND($F289&lt;&gt;"",ISNA(MATCH($F289,往来单位!$A$6:$A$85,0))),"往来单位未建档",IF(YEAR($B289)&lt;&gt;参数设置!$B$5,"不在本会计年度",IF(AND($B288&lt;&gt;"",ISNUMBER($B288),$B289&lt;$B288),"日期比上一行早，余额按行序滚，建议按日期录","OK")))))))))))))))</f>
        <v/>
      </c>
      <c r="O289" s="58" t="str">
        <f aca="false">IF($B289="","",TEXT($B289,"yyyy-mm"))</f>
        <v/>
      </c>
      <c r="P289" s="60" t="str">
        <f aca="false">IF($E289="","",ROUND(N($I289)+N($J289),2))</f>
        <v/>
      </c>
      <c r="Q289" s="58" t="str">
        <f aca="false">IF($D289="","",IFERROR(INDEX(资金账户!$F$6:$F$25,MATCH($D289,资金账户!$B$6:$B$25,0)),""))</f>
        <v/>
      </c>
      <c r="R289" s="58" t="str">
        <f aca="false">IF($E289="","",IFERROR(IF(INDEX(记账规则!$A$13:$H$32,MATCH($E289,记账规则!$A$13:$A$32,0),4)="借","收","支"),""))</f>
        <v/>
      </c>
      <c r="S289" s="57" t="str">
        <f aca="false">IF($D289="","",ROUND(SUMIFS(资金账户!$H$6:$H$25,资金账户!$B$6:$B$25,$D289)+SUMIFS($I$6:$I289,$D$6:$D289,$D289)-SUMIFS($J$6:$J289,$D$6:$D289,$D289),2))</f>
        <v/>
      </c>
      <c r="T289" s="61" t="str">
        <f aca="false">IF($B289="","",YEAR($B289))</f>
        <v/>
      </c>
    </row>
    <row r="290" customFormat="false" ht="15" hidden="false" customHeight="false" outlineLevel="0" collapsed="false">
      <c r="A290" s="53" t="str">
        <f aca="false">IF($B290="","",ROW()-5)</f>
        <v/>
      </c>
      <c r="B290" s="54"/>
      <c r="C290" s="33"/>
      <c r="D290" s="33"/>
      <c r="E290" s="33"/>
      <c r="F290" s="32"/>
      <c r="G290" s="41"/>
      <c r="H290" s="39"/>
      <c r="I290" s="43"/>
      <c r="J290" s="43"/>
      <c r="K290" s="41"/>
      <c r="L290" s="39"/>
      <c r="M290" s="41"/>
      <c r="N290" s="25" t="str">
        <f aca="false">IF(AND($B290="",$E290="",$I290="",$J290=""),"",IF(NOT(ISNUMBER($B290)),"日期无效",IF(ISNA(MATCH($C290,参数设置!$A$10:$A$12,0)),"公司无效",IF(ISNA(MATCH($D290,资金账户!$B$6:$B$25,0)),"账户未建档",IF(ISNA(MATCH($E290,记账规则!$A$13:$A$32,0)),"业务类型无效",IF(AND(N($I290)&lt;&gt;0,N($J290)&lt;&gt;0),"收入和支出只能填一列",IF($P290=0,"金额为 0",IF(AND($R290="收",N($I290)=0),"这类业务是收款，金额填到收入列",IF(AND($R290="支",N($J290)=0),"这类业务是付款，金额填到支出列",IF(AND(SUMPRODUCT(--(INDEX(记账规则!$A$13:$H$32,MATCH($E290,记账规则!$A$13:$A$32,0),0)="@对方"))&gt;0,$G290=""),"这个类型要填对方科目",IF(AND($G290&lt;&gt;"",ISNA(MATCH($G290,会计科目表!$B$6:$B$85,0))),"对方科目不存在",IF(AND($E290="缴纳税费",$H290=""),"缴税请在费用项目里选税种",IF(AND($F290&lt;&gt;"",ISNA(MATCH($F290,往来单位!$A$6:$A$85,0))),"往来单位未建档",IF(YEAR($B290)&lt;&gt;参数设置!$B$5,"不在本会计年度",IF(AND($B289&lt;&gt;"",ISNUMBER($B289),$B290&lt;$B289),"日期比上一行早，余额按行序滚，建议按日期录","OK")))))))))))))))</f>
        <v/>
      </c>
      <c r="O290" s="58" t="str">
        <f aca="false">IF($B290="","",TEXT($B290,"yyyy-mm"))</f>
        <v/>
      </c>
      <c r="P290" s="60" t="str">
        <f aca="false">IF($E290="","",ROUND(N($I290)+N($J290),2))</f>
        <v/>
      </c>
      <c r="Q290" s="58" t="str">
        <f aca="false">IF($D290="","",IFERROR(INDEX(资金账户!$F$6:$F$25,MATCH($D290,资金账户!$B$6:$B$25,0)),""))</f>
        <v/>
      </c>
      <c r="R290" s="58" t="str">
        <f aca="false">IF($E290="","",IFERROR(IF(INDEX(记账规则!$A$13:$H$32,MATCH($E290,记账规则!$A$13:$A$32,0),4)="借","收","支"),""))</f>
        <v/>
      </c>
      <c r="S290" s="57" t="str">
        <f aca="false">IF($D290="","",ROUND(SUMIFS(资金账户!$H$6:$H$25,资金账户!$B$6:$B$25,$D290)+SUMIFS($I$6:$I290,$D$6:$D290,$D290)-SUMIFS($J$6:$J290,$D$6:$D290,$D290),2))</f>
        <v/>
      </c>
      <c r="T290" s="61" t="str">
        <f aca="false">IF($B290="","",YEAR($B290))</f>
        <v/>
      </c>
    </row>
    <row r="291" customFormat="false" ht="15" hidden="false" customHeight="false" outlineLevel="0" collapsed="false">
      <c r="A291" s="53" t="str">
        <f aca="false">IF($B291="","",ROW()-5)</f>
        <v/>
      </c>
      <c r="B291" s="54"/>
      <c r="C291" s="33"/>
      <c r="D291" s="33"/>
      <c r="E291" s="33"/>
      <c r="F291" s="32"/>
      <c r="G291" s="41"/>
      <c r="H291" s="39"/>
      <c r="I291" s="43"/>
      <c r="J291" s="43"/>
      <c r="K291" s="41"/>
      <c r="L291" s="39"/>
      <c r="M291" s="41"/>
      <c r="N291" s="25" t="str">
        <f aca="false">IF(AND($B291="",$E291="",$I291="",$J291=""),"",IF(NOT(ISNUMBER($B291)),"日期无效",IF(ISNA(MATCH($C291,参数设置!$A$10:$A$12,0)),"公司无效",IF(ISNA(MATCH($D291,资金账户!$B$6:$B$25,0)),"账户未建档",IF(ISNA(MATCH($E291,记账规则!$A$13:$A$32,0)),"业务类型无效",IF(AND(N($I291)&lt;&gt;0,N($J291)&lt;&gt;0),"收入和支出只能填一列",IF($P291=0,"金额为 0",IF(AND($R291="收",N($I291)=0),"这类业务是收款，金额填到收入列",IF(AND($R291="支",N($J291)=0),"这类业务是付款，金额填到支出列",IF(AND(SUMPRODUCT(--(INDEX(记账规则!$A$13:$H$32,MATCH($E291,记账规则!$A$13:$A$32,0),0)="@对方"))&gt;0,$G291=""),"这个类型要填对方科目",IF(AND($G291&lt;&gt;"",ISNA(MATCH($G291,会计科目表!$B$6:$B$85,0))),"对方科目不存在",IF(AND($E291="缴纳税费",$H291=""),"缴税请在费用项目里选税种",IF(AND($F291&lt;&gt;"",ISNA(MATCH($F291,往来单位!$A$6:$A$85,0))),"往来单位未建档",IF(YEAR($B291)&lt;&gt;参数设置!$B$5,"不在本会计年度",IF(AND($B290&lt;&gt;"",ISNUMBER($B290),$B291&lt;$B290),"日期比上一行早，余额按行序滚，建议按日期录","OK")))))))))))))))</f>
        <v/>
      </c>
      <c r="O291" s="58" t="str">
        <f aca="false">IF($B291="","",TEXT($B291,"yyyy-mm"))</f>
        <v/>
      </c>
      <c r="P291" s="60" t="str">
        <f aca="false">IF($E291="","",ROUND(N($I291)+N($J291),2))</f>
        <v/>
      </c>
      <c r="Q291" s="58" t="str">
        <f aca="false">IF($D291="","",IFERROR(INDEX(资金账户!$F$6:$F$25,MATCH($D291,资金账户!$B$6:$B$25,0)),""))</f>
        <v/>
      </c>
      <c r="R291" s="58" t="str">
        <f aca="false">IF($E291="","",IFERROR(IF(INDEX(记账规则!$A$13:$H$32,MATCH($E291,记账规则!$A$13:$A$32,0),4)="借","收","支"),""))</f>
        <v/>
      </c>
      <c r="S291" s="57" t="str">
        <f aca="false">IF($D291="","",ROUND(SUMIFS(资金账户!$H$6:$H$25,资金账户!$B$6:$B$25,$D291)+SUMIFS($I$6:$I291,$D$6:$D291,$D291)-SUMIFS($J$6:$J291,$D$6:$D291,$D291),2))</f>
        <v/>
      </c>
      <c r="T291" s="61" t="str">
        <f aca="false">IF($B291="","",YEAR($B291))</f>
        <v/>
      </c>
    </row>
    <row r="292" customFormat="false" ht="15" hidden="false" customHeight="false" outlineLevel="0" collapsed="false">
      <c r="A292" s="53" t="str">
        <f aca="false">IF($B292="","",ROW()-5)</f>
        <v/>
      </c>
      <c r="B292" s="54"/>
      <c r="C292" s="33"/>
      <c r="D292" s="33"/>
      <c r="E292" s="33"/>
      <c r="F292" s="32"/>
      <c r="G292" s="41"/>
      <c r="H292" s="39"/>
      <c r="I292" s="43"/>
      <c r="J292" s="43"/>
      <c r="K292" s="41"/>
      <c r="L292" s="39"/>
      <c r="M292" s="41"/>
      <c r="N292" s="25" t="str">
        <f aca="false">IF(AND($B292="",$E292="",$I292="",$J292=""),"",IF(NOT(ISNUMBER($B292)),"日期无效",IF(ISNA(MATCH($C292,参数设置!$A$10:$A$12,0)),"公司无效",IF(ISNA(MATCH($D292,资金账户!$B$6:$B$25,0)),"账户未建档",IF(ISNA(MATCH($E292,记账规则!$A$13:$A$32,0)),"业务类型无效",IF(AND(N($I292)&lt;&gt;0,N($J292)&lt;&gt;0),"收入和支出只能填一列",IF($P292=0,"金额为 0",IF(AND($R292="收",N($I292)=0),"这类业务是收款，金额填到收入列",IF(AND($R292="支",N($J292)=0),"这类业务是付款，金额填到支出列",IF(AND(SUMPRODUCT(--(INDEX(记账规则!$A$13:$H$32,MATCH($E292,记账规则!$A$13:$A$32,0),0)="@对方"))&gt;0,$G292=""),"这个类型要填对方科目",IF(AND($G292&lt;&gt;"",ISNA(MATCH($G292,会计科目表!$B$6:$B$85,0))),"对方科目不存在",IF(AND($E292="缴纳税费",$H292=""),"缴税请在费用项目里选税种",IF(AND($F292&lt;&gt;"",ISNA(MATCH($F292,往来单位!$A$6:$A$85,0))),"往来单位未建档",IF(YEAR($B292)&lt;&gt;参数设置!$B$5,"不在本会计年度",IF(AND($B291&lt;&gt;"",ISNUMBER($B291),$B292&lt;$B291),"日期比上一行早，余额按行序滚，建议按日期录","OK")))))))))))))))</f>
        <v/>
      </c>
      <c r="O292" s="58" t="str">
        <f aca="false">IF($B292="","",TEXT($B292,"yyyy-mm"))</f>
        <v/>
      </c>
      <c r="P292" s="60" t="str">
        <f aca="false">IF($E292="","",ROUND(N($I292)+N($J292),2))</f>
        <v/>
      </c>
      <c r="Q292" s="58" t="str">
        <f aca="false">IF($D292="","",IFERROR(INDEX(资金账户!$F$6:$F$25,MATCH($D292,资金账户!$B$6:$B$25,0)),""))</f>
        <v/>
      </c>
      <c r="R292" s="58" t="str">
        <f aca="false">IF($E292="","",IFERROR(IF(INDEX(记账规则!$A$13:$H$32,MATCH($E292,记账规则!$A$13:$A$32,0),4)="借","收","支"),""))</f>
        <v/>
      </c>
      <c r="S292" s="57" t="str">
        <f aca="false">IF($D292="","",ROUND(SUMIFS(资金账户!$H$6:$H$25,资金账户!$B$6:$B$25,$D292)+SUMIFS($I$6:$I292,$D$6:$D292,$D292)-SUMIFS($J$6:$J292,$D$6:$D292,$D292),2))</f>
        <v/>
      </c>
      <c r="T292" s="61" t="str">
        <f aca="false">IF($B292="","",YEAR($B292))</f>
        <v/>
      </c>
    </row>
    <row r="293" customFormat="false" ht="15" hidden="false" customHeight="false" outlineLevel="0" collapsed="false">
      <c r="A293" s="53" t="str">
        <f aca="false">IF($B293="","",ROW()-5)</f>
        <v/>
      </c>
      <c r="B293" s="54"/>
      <c r="C293" s="33"/>
      <c r="D293" s="33"/>
      <c r="E293" s="33"/>
      <c r="F293" s="32"/>
      <c r="G293" s="41"/>
      <c r="H293" s="39"/>
      <c r="I293" s="43"/>
      <c r="J293" s="43"/>
      <c r="K293" s="41"/>
      <c r="L293" s="39"/>
      <c r="M293" s="41"/>
      <c r="N293" s="25" t="str">
        <f aca="false">IF(AND($B293="",$E293="",$I293="",$J293=""),"",IF(NOT(ISNUMBER($B293)),"日期无效",IF(ISNA(MATCH($C293,参数设置!$A$10:$A$12,0)),"公司无效",IF(ISNA(MATCH($D293,资金账户!$B$6:$B$25,0)),"账户未建档",IF(ISNA(MATCH($E293,记账规则!$A$13:$A$32,0)),"业务类型无效",IF(AND(N($I293)&lt;&gt;0,N($J293)&lt;&gt;0),"收入和支出只能填一列",IF($P293=0,"金额为 0",IF(AND($R293="收",N($I293)=0),"这类业务是收款，金额填到收入列",IF(AND($R293="支",N($J293)=0),"这类业务是付款，金额填到支出列",IF(AND(SUMPRODUCT(--(INDEX(记账规则!$A$13:$H$32,MATCH($E293,记账规则!$A$13:$A$32,0),0)="@对方"))&gt;0,$G293=""),"这个类型要填对方科目",IF(AND($G293&lt;&gt;"",ISNA(MATCH($G293,会计科目表!$B$6:$B$85,0))),"对方科目不存在",IF(AND($E293="缴纳税费",$H293=""),"缴税请在费用项目里选税种",IF(AND($F293&lt;&gt;"",ISNA(MATCH($F293,往来单位!$A$6:$A$85,0))),"往来单位未建档",IF(YEAR($B293)&lt;&gt;参数设置!$B$5,"不在本会计年度",IF(AND($B292&lt;&gt;"",ISNUMBER($B292),$B293&lt;$B292),"日期比上一行早，余额按行序滚，建议按日期录","OK")))))))))))))))</f>
        <v/>
      </c>
      <c r="O293" s="58" t="str">
        <f aca="false">IF($B293="","",TEXT($B293,"yyyy-mm"))</f>
        <v/>
      </c>
      <c r="P293" s="60" t="str">
        <f aca="false">IF($E293="","",ROUND(N($I293)+N($J293),2))</f>
        <v/>
      </c>
      <c r="Q293" s="58" t="str">
        <f aca="false">IF($D293="","",IFERROR(INDEX(资金账户!$F$6:$F$25,MATCH($D293,资金账户!$B$6:$B$25,0)),""))</f>
        <v/>
      </c>
      <c r="R293" s="58" t="str">
        <f aca="false">IF($E293="","",IFERROR(IF(INDEX(记账规则!$A$13:$H$32,MATCH($E293,记账规则!$A$13:$A$32,0),4)="借","收","支"),""))</f>
        <v/>
      </c>
      <c r="S293" s="57" t="str">
        <f aca="false">IF($D293="","",ROUND(SUMIFS(资金账户!$H$6:$H$25,资金账户!$B$6:$B$25,$D293)+SUMIFS($I$6:$I293,$D$6:$D293,$D293)-SUMIFS($J$6:$J293,$D$6:$D293,$D293),2))</f>
        <v/>
      </c>
      <c r="T293" s="61" t="str">
        <f aca="false">IF($B293="","",YEAR($B293))</f>
        <v/>
      </c>
    </row>
    <row r="294" customFormat="false" ht="15" hidden="false" customHeight="false" outlineLevel="0" collapsed="false">
      <c r="A294" s="53" t="str">
        <f aca="false">IF($B294="","",ROW()-5)</f>
        <v/>
      </c>
      <c r="B294" s="54"/>
      <c r="C294" s="33"/>
      <c r="D294" s="33"/>
      <c r="E294" s="33"/>
      <c r="F294" s="32"/>
      <c r="G294" s="41"/>
      <c r="H294" s="39"/>
      <c r="I294" s="43"/>
      <c r="J294" s="43"/>
      <c r="K294" s="41"/>
      <c r="L294" s="39"/>
      <c r="M294" s="41"/>
      <c r="N294" s="25" t="str">
        <f aca="false">IF(AND($B294="",$E294="",$I294="",$J294=""),"",IF(NOT(ISNUMBER($B294)),"日期无效",IF(ISNA(MATCH($C294,参数设置!$A$10:$A$12,0)),"公司无效",IF(ISNA(MATCH($D294,资金账户!$B$6:$B$25,0)),"账户未建档",IF(ISNA(MATCH($E294,记账规则!$A$13:$A$32,0)),"业务类型无效",IF(AND(N($I294)&lt;&gt;0,N($J294)&lt;&gt;0),"收入和支出只能填一列",IF($P294=0,"金额为 0",IF(AND($R294="收",N($I294)=0),"这类业务是收款，金额填到收入列",IF(AND($R294="支",N($J294)=0),"这类业务是付款，金额填到支出列",IF(AND(SUMPRODUCT(--(INDEX(记账规则!$A$13:$H$32,MATCH($E294,记账规则!$A$13:$A$32,0),0)="@对方"))&gt;0,$G294=""),"这个类型要填对方科目",IF(AND($G294&lt;&gt;"",ISNA(MATCH($G294,会计科目表!$B$6:$B$85,0))),"对方科目不存在",IF(AND($E294="缴纳税费",$H294=""),"缴税请在费用项目里选税种",IF(AND($F294&lt;&gt;"",ISNA(MATCH($F294,往来单位!$A$6:$A$85,0))),"往来单位未建档",IF(YEAR($B294)&lt;&gt;参数设置!$B$5,"不在本会计年度",IF(AND($B293&lt;&gt;"",ISNUMBER($B293),$B294&lt;$B293),"日期比上一行早，余额按行序滚，建议按日期录","OK")))))))))))))))</f>
        <v/>
      </c>
      <c r="O294" s="58" t="str">
        <f aca="false">IF($B294="","",TEXT($B294,"yyyy-mm"))</f>
        <v/>
      </c>
      <c r="P294" s="60" t="str">
        <f aca="false">IF($E294="","",ROUND(N($I294)+N($J294),2))</f>
        <v/>
      </c>
      <c r="Q294" s="58" t="str">
        <f aca="false">IF($D294="","",IFERROR(INDEX(资金账户!$F$6:$F$25,MATCH($D294,资金账户!$B$6:$B$25,0)),""))</f>
        <v/>
      </c>
      <c r="R294" s="58" t="str">
        <f aca="false">IF($E294="","",IFERROR(IF(INDEX(记账规则!$A$13:$H$32,MATCH($E294,记账规则!$A$13:$A$32,0),4)="借","收","支"),""))</f>
        <v/>
      </c>
      <c r="S294" s="57" t="str">
        <f aca="false">IF($D294="","",ROUND(SUMIFS(资金账户!$H$6:$H$25,资金账户!$B$6:$B$25,$D294)+SUMIFS($I$6:$I294,$D$6:$D294,$D294)-SUMIFS($J$6:$J294,$D$6:$D294,$D294),2))</f>
        <v/>
      </c>
      <c r="T294" s="61" t="str">
        <f aca="false">IF($B294="","",YEAR($B294))</f>
        <v/>
      </c>
    </row>
    <row r="295" customFormat="false" ht="15" hidden="false" customHeight="false" outlineLevel="0" collapsed="false">
      <c r="A295" s="53" t="str">
        <f aca="false">IF($B295="","",ROW()-5)</f>
        <v/>
      </c>
      <c r="B295" s="54"/>
      <c r="C295" s="33"/>
      <c r="D295" s="33"/>
      <c r="E295" s="33"/>
      <c r="F295" s="32"/>
      <c r="G295" s="41"/>
      <c r="H295" s="39"/>
      <c r="I295" s="43"/>
      <c r="J295" s="43"/>
      <c r="K295" s="41"/>
      <c r="L295" s="39"/>
      <c r="M295" s="41"/>
      <c r="N295" s="25" t="str">
        <f aca="false">IF(AND($B295="",$E295="",$I295="",$J295=""),"",IF(NOT(ISNUMBER($B295)),"日期无效",IF(ISNA(MATCH($C295,参数设置!$A$10:$A$12,0)),"公司无效",IF(ISNA(MATCH($D295,资金账户!$B$6:$B$25,0)),"账户未建档",IF(ISNA(MATCH($E295,记账规则!$A$13:$A$32,0)),"业务类型无效",IF(AND(N($I295)&lt;&gt;0,N($J295)&lt;&gt;0),"收入和支出只能填一列",IF($P295=0,"金额为 0",IF(AND($R295="收",N($I295)=0),"这类业务是收款，金额填到收入列",IF(AND($R295="支",N($J295)=0),"这类业务是付款，金额填到支出列",IF(AND(SUMPRODUCT(--(INDEX(记账规则!$A$13:$H$32,MATCH($E295,记账规则!$A$13:$A$32,0),0)="@对方"))&gt;0,$G295=""),"这个类型要填对方科目",IF(AND($G295&lt;&gt;"",ISNA(MATCH($G295,会计科目表!$B$6:$B$85,0))),"对方科目不存在",IF(AND($E295="缴纳税费",$H295=""),"缴税请在费用项目里选税种",IF(AND($F295&lt;&gt;"",ISNA(MATCH($F295,往来单位!$A$6:$A$85,0))),"往来单位未建档",IF(YEAR($B295)&lt;&gt;参数设置!$B$5,"不在本会计年度",IF(AND($B294&lt;&gt;"",ISNUMBER($B294),$B295&lt;$B294),"日期比上一行早，余额按行序滚，建议按日期录","OK")))))))))))))))</f>
        <v/>
      </c>
      <c r="O295" s="58" t="str">
        <f aca="false">IF($B295="","",TEXT($B295,"yyyy-mm"))</f>
        <v/>
      </c>
      <c r="P295" s="60" t="str">
        <f aca="false">IF($E295="","",ROUND(N($I295)+N($J295),2))</f>
        <v/>
      </c>
      <c r="Q295" s="58" t="str">
        <f aca="false">IF($D295="","",IFERROR(INDEX(资金账户!$F$6:$F$25,MATCH($D295,资金账户!$B$6:$B$25,0)),""))</f>
        <v/>
      </c>
      <c r="R295" s="58" t="str">
        <f aca="false">IF($E295="","",IFERROR(IF(INDEX(记账规则!$A$13:$H$32,MATCH($E295,记账规则!$A$13:$A$32,0),4)="借","收","支"),""))</f>
        <v/>
      </c>
      <c r="S295" s="57" t="str">
        <f aca="false">IF($D295="","",ROUND(SUMIFS(资金账户!$H$6:$H$25,资金账户!$B$6:$B$25,$D295)+SUMIFS($I$6:$I295,$D$6:$D295,$D295)-SUMIFS($J$6:$J295,$D$6:$D295,$D295),2))</f>
        <v/>
      </c>
      <c r="T295" s="61" t="str">
        <f aca="false">IF($B295="","",YEAR($B295))</f>
        <v/>
      </c>
    </row>
    <row r="296" customFormat="false" ht="15" hidden="false" customHeight="false" outlineLevel="0" collapsed="false">
      <c r="A296" s="53" t="str">
        <f aca="false">IF($B296="","",ROW()-5)</f>
        <v/>
      </c>
      <c r="B296" s="54"/>
      <c r="C296" s="33"/>
      <c r="D296" s="33"/>
      <c r="E296" s="33"/>
      <c r="F296" s="32"/>
      <c r="G296" s="41"/>
      <c r="H296" s="39"/>
      <c r="I296" s="43"/>
      <c r="J296" s="43"/>
      <c r="K296" s="41"/>
      <c r="L296" s="39"/>
      <c r="M296" s="41"/>
      <c r="N296" s="25" t="str">
        <f aca="false">IF(AND($B296="",$E296="",$I296="",$J296=""),"",IF(NOT(ISNUMBER($B296)),"日期无效",IF(ISNA(MATCH($C296,参数设置!$A$10:$A$12,0)),"公司无效",IF(ISNA(MATCH($D296,资金账户!$B$6:$B$25,0)),"账户未建档",IF(ISNA(MATCH($E296,记账规则!$A$13:$A$32,0)),"业务类型无效",IF(AND(N($I296)&lt;&gt;0,N($J296)&lt;&gt;0),"收入和支出只能填一列",IF($P296=0,"金额为 0",IF(AND($R296="收",N($I296)=0),"这类业务是收款，金额填到收入列",IF(AND($R296="支",N($J296)=0),"这类业务是付款，金额填到支出列",IF(AND(SUMPRODUCT(--(INDEX(记账规则!$A$13:$H$32,MATCH($E296,记账规则!$A$13:$A$32,0),0)="@对方"))&gt;0,$G296=""),"这个类型要填对方科目",IF(AND($G296&lt;&gt;"",ISNA(MATCH($G296,会计科目表!$B$6:$B$85,0))),"对方科目不存在",IF(AND($E296="缴纳税费",$H296=""),"缴税请在费用项目里选税种",IF(AND($F296&lt;&gt;"",ISNA(MATCH($F296,往来单位!$A$6:$A$85,0))),"往来单位未建档",IF(YEAR($B296)&lt;&gt;参数设置!$B$5,"不在本会计年度",IF(AND($B295&lt;&gt;"",ISNUMBER($B295),$B296&lt;$B295),"日期比上一行早，余额按行序滚，建议按日期录","OK")))))))))))))))</f>
        <v/>
      </c>
      <c r="O296" s="58" t="str">
        <f aca="false">IF($B296="","",TEXT($B296,"yyyy-mm"))</f>
        <v/>
      </c>
      <c r="P296" s="60" t="str">
        <f aca="false">IF($E296="","",ROUND(N($I296)+N($J296),2))</f>
        <v/>
      </c>
      <c r="Q296" s="58" t="str">
        <f aca="false">IF($D296="","",IFERROR(INDEX(资金账户!$F$6:$F$25,MATCH($D296,资金账户!$B$6:$B$25,0)),""))</f>
        <v/>
      </c>
      <c r="R296" s="58" t="str">
        <f aca="false">IF($E296="","",IFERROR(IF(INDEX(记账规则!$A$13:$H$32,MATCH($E296,记账规则!$A$13:$A$32,0),4)="借","收","支"),""))</f>
        <v/>
      </c>
      <c r="S296" s="57" t="str">
        <f aca="false">IF($D296="","",ROUND(SUMIFS(资金账户!$H$6:$H$25,资金账户!$B$6:$B$25,$D296)+SUMIFS($I$6:$I296,$D$6:$D296,$D296)-SUMIFS($J$6:$J296,$D$6:$D296,$D296),2))</f>
        <v/>
      </c>
      <c r="T296" s="61" t="str">
        <f aca="false">IF($B296="","",YEAR($B296))</f>
        <v/>
      </c>
    </row>
    <row r="297" customFormat="false" ht="15" hidden="false" customHeight="false" outlineLevel="0" collapsed="false">
      <c r="A297" s="53" t="str">
        <f aca="false">IF($B297="","",ROW()-5)</f>
        <v/>
      </c>
      <c r="B297" s="54"/>
      <c r="C297" s="33"/>
      <c r="D297" s="33"/>
      <c r="E297" s="33"/>
      <c r="F297" s="32"/>
      <c r="G297" s="41"/>
      <c r="H297" s="39"/>
      <c r="I297" s="43"/>
      <c r="J297" s="43"/>
      <c r="K297" s="41"/>
      <c r="L297" s="39"/>
      <c r="M297" s="41"/>
      <c r="N297" s="25" t="str">
        <f aca="false">IF(AND($B297="",$E297="",$I297="",$J297=""),"",IF(NOT(ISNUMBER($B297)),"日期无效",IF(ISNA(MATCH($C297,参数设置!$A$10:$A$12,0)),"公司无效",IF(ISNA(MATCH($D297,资金账户!$B$6:$B$25,0)),"账户未建档",IF(ISNA(MATCH($E297,记账规则!$A$13:$A$32,0)),"业务类型无效",IF(AND(N($I297)&lt;&gt;0,N($J297)&lt;&gt;0),"收入和支出只能填一列",IF($P297=0,"金额为 0",IF(AND($R297="收",N($I297)=0),"这类业务是收款，金额填到收入列",IF(AND($R297="支",N($J297)=0),"这类业务是付款，金额填到支出列",IF(AND(SUMPRODUCT(--(INDEX(记账规则!$A$13:$H$32,MATCH($E297,记账规则!$A$13:$A$32,0),0)="@对方"))&gt;0,$G297=""),"这个类型要填对方科目",IF(AND($G297&lt;&gt;"",ISNA(MATCH($G297,会计科目表!$B$6:$B$85,0))),"对方科目不存在",IF(AND($E297="缴纳税费",$H297=""),"缴税请在费用项目里选税种",IF(AND($F297&lt;&gt;"",ISNA(MATCH($F297,往来单位!$A$6:$A$85,0))),"往来单位未建档",IF(YEAR($B297)&lt;&gt;参数设置!$B$5,"不在本会计年度",IF(AND($B296&lt;&gt;"",ISNUMBER($B296),$B297&lt;$B296),"日期比上一行早，余额按行序滚，建议按日期录","OK")))))))))))))))</f>
        <v/>
      </c>
      <c r="O297" s="58" t="str">
        <f aca="false">IF($B297="","",TEXT($B297,"yyyy-mm"))</f>
        <v/>
      </c>
      <c r="P297" s="60" t="str">
        <f aca="false">IF($E297="","",ROUND(N($I297)+N($J297),2))</f>
        <v/>
      </c>
      <c r="Q297" s="58" t="str">
        <f aca="false">IF($D297="","",IFERROR(INDEX(资金账户!$F$6:$F$25,MATCH($D297,资金账户!$B$6:$B$25,0)),""))</f>
        <v/>
      </c>
      <c r="R297" s="58" t="str">
        <f aca="false">IF($E297="","",IFERROR(IF(INDEX(记账规则!$A$13:$H$32,MATCH($E297,记账规则!$A$13:$A$32,0),4)="借","收","支"),""))</f>
        <v/>
      </c>
      <c r="S297" s="57" t="str">
        <f aca="false">IF($D297="","",ROUND(SUMIFS(资金账户!$H$6:$H$25,资金账户!$B$6:$B$25,$D297)+SUMIFS($I$6:$I297,$D$6:$D297,$D297)-SUMIFS($J$6:$J297,$D$6:$D297,$D297),2))</f>
        <v/>
      </c>
      <c r="T297" s="61" t="str">
        <f aca="false">IF($B297="","",YEAR($B297))</f>
        <v/>
      </c>
    </row>
    <row r="298" customFormat="false" ht="15" hidden="false" customHeight="false" outlineLevel="0" collapsed="false">
      <c r="A298" s="53" t="str">
        <f aca="false">IF($B298="","",ROW()-5)</f>
        <v/>
      </c>
      <c r="B298" s="54"/>
      <c r="C298" s="33"/>
      <c r="D298" s="33"/>
      <c r="E298" s="33"/>
      <c r="F298" s="32"/>
      <c r="G298" s="41"/>
      <c r="H298" s="39"/>
      <c r="I298" s="43"/>
      <c r="J298" s="43"/>
      <c r="K298" s="41"/>
      <c r="L298" s="39"/>
      <c r="M298" s="41"/>
      <c r="N298" s="25" t="str">
        <f aca="false">IF(AND($B298="",$E298="",$I298="",$J298=""),"",IF(NOT(ISNUMBER($B298)),"日期无效",IF(ISNA(MATCH($C298,参数设置!$A$10:$A$12,0)),"公司无效",IF(ISNA(MATCH($D298,资金账户!$B$6:$B$25,0)),"账户未建档",IF(ISNA(MATCH($E298,记账规则!$A$13:$A$32,0)),"业务类型无效",IF(AND(N($I298)&lt;&gt;0,N($J298)&lt;&gt;0),"收入和支出只能填一列",IF($P298=0,"金额为 0",IF(AND($R298="收",N($I298)=0),"这类业务是收款，金额填到收入列",IF(AND($R298="支",N($J298)=0),"这类业务是付款，金额填到支出列",IF(AND(SUMPRODUCT(--(INDEX(记账规则!$A$13:$H$32,MATCH($E298,记账规则!$A$13:$A$32,0),0)="@对方"))&gt;0,$G298=""),"这个类型要填对方科目",IF(AND($G298&lt;&gt;"",ISNA(MATCH($G298,会计科目表!$B$6:$B$85,0))),"对方科目不存在",IF(AND($E298="缴纳税费",$H298=""),"缴税请在费用项目里选税种",IF(AND($F298&lt;&gt;"",ISNA(MATCH($F298,往来单位!$A$6:$A$85,0))),"往来单位未建档",IF(YEAR($B298)&lt;&gt;参数设置!$B$5,"不在本会计年度",IF(AND($B297&lt;&gt;"",ISNUMBER($B297),$B298&lt;$B297),"日期比上一行早，余额按行序滚，建议按日期录","OK")))))))))))))))</f>
        <v/>
      </c>
      <c r="O298" s="58" t="str">
        <f aca="false">IF($B298="","",TEXT($B298,"yyyy-mm"))</f>
        <v/>
      </c>
      <c r="P298" s="60" t="str">
        <f aca="false">IF($E298="","",ROUND(N($I298)+N($J298),2))</f>
        <v/>
      </c>
      <c r="Q298" s="58" t="str">
        <f aca="false">IF($D298="","",IFERROR(INDEX(资金账户!$F$6:$F$25,MATCH($D298,资金账户!$B$6:$B$25,0)),""))</f>
        <v/>
      </c>
      <c r="R298" s="58" t="str">
        <f aca="false">IF($E298="","",IFERROR(IF(INDEX(记账规则!$A$13:$H$32,MATCH($E298,记账规则!$A$13:$A$32,0),4)="借","收","支"),""))</f>
        <v/>
      </c>
      <c r="S298" s="57" t="str">
        <f aca="false">IF($D298="","",ROUND(SUMIFS(资金账户!$H$6:$H$25,资金账户!$B$6:$B$25,$D298)+SUMIFS($I$6:$I298,$D$6:$D298,$D298)-SUMIFS($J$6:$J298,$D$6:$D298,$D298),2))</f>
        <v/>
      </c>
      <c r="T298" s="61" t="str">
        <f aca="false">IF($B298="","",YEAR($B298))</f>
        <v/>
      </c>
    </row>
    <row r="299" customFormat="false" ht="15" hidden="false" customHeight="false" outlineLevel="0" collapsed="false">
      <c r="A299" s="53" t="str">
        <f aca="false">IF($B299="","",ROW()-5)</f>
        <v/>
      </c>
      <c r="B299" s="54"/>
      <c r="C299" s="33"/>
      <c r="D299" s="33"/>
      <c r="E299" s="33"/>
      <c r="F299" s="32"/>
      <c r="G299" s="41"/>
      <c r="H299" s="39"/>
      <c r="I299" s="43"/>
      <c r="J299" s="43"/>
      <c r="K299" s="41"/>
      <c r="L299" s="39"/>
      <c r="M299" s="41"/>
      <c r="N299" s="25" t="str">
        <f aca="false">IF(AND($B299="",$E299="",$I299="",$J299=""),"",IF(NOT(ISNUMBER($B299)),"日期无效",IF(ISNA(MATCH($C299,参数设置!$A$10:$A$12,0)),"公司无效",IF(ISNA(MATCH($D299,资金账户!$B$6:$B$25,0)),"账户未建档",IF(ISNA(MATCH($E299,记账规则!$A$13:$A$32,0)),"业务类型无效",IF(AND(N($I299)&lt;&gt;0,N($J299)&lt;&gt;0),"收入和支出只能填一列",IF($P299=0,"金额为 0",IF(AND($R299="收",N($I299)=0),"这类业务是收款，金额填到收入列",IF(AND($R299="支",N($J299)=0),"这类业务是付款，金额填到支出列",IF(AND(SUMPRODUCT(--(INDEX(记账规则!$A$13:$H$32,MATCH($E299,记账规则!$A$13:$A$32,0),0)="@对方"))&gt;0,$G299=""),"这个类型要填对方科目",IF(AND($G299&lt;&gt;"",ISNA(MATCH($G299,会计科目表!$B$6:$B$85,0))),"对方科目不存在",IF(AND($E299="缴纳税费",$H299=""),"缴税请在费用项目里选税种",IF(AND($F299&lt;&gt;"",ISNA(MATCH($F299,往来单位!$A$6:$A$85,0))),"往来单位未建档",IF(YEAR($B299)&lt;&gt;参数设置!$B$5,"不在本会计年度",IF(AND($B298&lt;&gt;"",ISNUMBER($B298),$B299&lt;$B298),"日期比上一行早，余额按行序滚，建议按日期录","OK")))))))))))))))</f>
        <v/>
      </c>
      <c r="O299" s="58" t="str">
        <f aca="false">IF($B299="","",TEXT($B299,"yyyy-mm"))</f>
        <v/>
      </c>
      <c r="P299" s="60" t="str">
        <f aca="false">IF($E299="","",ROUND(N($I299)+N($J299),2))</f>
        <v/>
      </c>
      <c r="Q299" s="58" t="str">
        <f aca="false">IF($D299="","",IFERROR(INDEX(资金账户!$F$6:$F$25,MATCH($D299,资金账户!$B$6:$B$25,0)),""))</f>
        <v/>
      </c>
      <c r="R299" s="58" t="str">
        <f aca="false">IF($E299="","",IFERROR(IF(INDEX(记账规则!$A$13:$H$32,MATCH($E299,记账规则!$A$13:$A$32,0),4)="借","收","支"),""))</f>
        <v/>
      </c>
      <c r="S299" s="57" t="str">
        <f aca="false">IF($D299="","",ROUND(SUMIFS(资金账户!$H$6:$H$25,资金账户!$B$6:$B$25,$D299)+SUMIFS($I$6:$I299,$D$6:$D299,$D299)-SUMIFS($J$6:$J299,$D$6:$D299,$D299),2))</f>
        <v/>
      </c>
      <c r="T299" s="61" t="str">
        <f aca="false">IF($B299="","",YEAR($B299))</f>
        <v/>
      </c>
    </row>
    <row r="300" customFormat="false" ht="15" hidden="false" customHeight="false" outlineLevel="0" collapsed="false">
      <c r="A300" s="53" t="str">
        <f aca="false">IF($B300="","",ROW()-5)</f>
        <v/>
      </c>
      <c r="B300" s="54"/>
      <c r="C300" s="33"/>
      <c r="D300" s="33"/>
      <c r="E300" s="33"/>
      <c r="F300" s="32"/>
      <c r="G300" s="41"/>
      <c r="H300" s="39"/>
      <c r="I300" s="43"/>
      <c r="J300" s="43"/>
      <c r="K300" s="41"/>
      <c r="L300" s="39"/>
      <c r="M300" s="41"/>
      <c r="N300" s="25" t="str">
        <f aca="false">IF(AND($B300="",$E300="",$I300="",$J300=""),"",IF(NOT(ISNUMBER($B300)),"日期无效",IF(ISNA(MATCH($C300,参数设置!$A$10:$A$12,0)),"公司无效",IF(ISNA(MATCH($D300,资金账户!$B$6:$B$25,0)),"账户未建档",IF(ISNA(MATCH($E300,记账规则!$A$13:$A$32,0)),"业务类型无效",IF(AND(N($I300)&lt;&gt;0,N($J300)&lt;&gt;0),"收入和支出只能填一列",IF($P300=0,"金额为 0",IF(AND($R300="收",N($I300)=0),"这类业务是收款，金额填到收入列",IF(AND($R300="支",N($J300)=0),"这类业务是付款，金额填到支出列",IF(AND(SUMPRODUCT(--(INDEX(记账规则!$A$13:$H$32,MATCH($E300,记账规则!$A$13:$A$32,0),0)="@对方"))&gt;0,$G300=""),"这个类型要填对方科目",IF(AND($G300&lt;&gt;"",ISNA(MATCH($G300,会计科目表!$B$6:$B$85,0))),"对方科目不存在",IF(AND($E300="缴纳税费",$H300=""),"缴税请在费用项目里选税种",IF(AND($F300&lt;&gt;"",ISNA(MATCH($F300,往来单位!$A$6:$A$85,0))),"往来单位未建档",IF(YEAR($B300)&lt;&gt;参数设置!$B$5,"不在本会计年度",IF(AND($B299&lt;&gt;"",ISNUMBER($B299),$B300&lt;$B299),"日期比上一行早，余额按行序滚，建议按日期录","OK")))))))))))))))</f>
        <v/>
      </c>
      <c r="O300" s="58" t="str">
        <f aca="false">IF($B300="","",TEXT($B300,"yyyy-mm"))</f>
        <v/>
      </c>
      <c r="P300" s="60" t="str">
        <f aca="false">IF($E300="","",ROUND(N($I300)+N($J300),2))</f>
        <v/>
      </c>
      <c r="Q300" s="58" t="str">
        <f aca="false">IF($D300="","",IFERROR(INDEX(资金账户!$F$6:$F$25,MATCH($D300,资金账户!$B$6:$B$25,0)),""))</f>
        <v/>
      </c>
      <c r="R300" s="58" t="str">
        <f aca="false">IF($E300="","",IFERROR(IF(INDEX(记账规则!$A$13:$H$32,MATCH($E300,记账规则!$A$13:$A$32,0),4)="借","收","支"),""))</f>
        <v/>
      </c>
      <c r="S300" s="57" t="str">
        <f aca="false">IF($D300="","",ROUND(SUMIFS(资金账户!$H$6:$H$25,资金账户!$B$6:$B$25,$D300)+SUMIFS($I$6:$I300,$D$6:$D300,$D300)-SUMIFS($J$6:$J300,$D$6:$D300,$D300),2))</f>
        <v/>
      </c>
      <c r="T300" s="61" t="str">
        <f aca="false">IF($B300="","",YEAR($B300))</f>
        <v/>
      </c>
    </row>
    <row r="301" customFormat="false" ht="15" hidden="false" customHeight="false" outlineLevel="0" collapsed="false">
      <c r="A301" s="53" t="str">
        <f aca="false">IF($B301="","",ROW()-5)</f>
        <v/>
      </c>
      <c r="B301" s="54"/>
      <c r="C301" s="33"/>
      <c r="D301" s="33"/>
      <c r="E301" s="33"/>
      <c r="F301" s="32"/>
      <c r="G301" s="41"/>
      <c r="H301" s="39"/>
      <c r="I301" s="43"/>
      <c r="J301" s="43"/>
      <c r="K301" s="41"/>
      <c r="L301" s="39"/>
      <c r="M301" s="41"/>
      <c r="N301" s="25" t="str">
        <f aca="false">IF(AND($B301="",$E301="",$I301="",$J301=""),"",IF(NOT(ISNUMBER($B301)),"日期无效",IF(ISNA(MATCH($C301,参数设置!$A$10:$A$12,0)),"公司无效",IF(ISNA(MATCH($D301,资金账户!$B$6:$B$25,0)),"账户未建档",IF(ISNA(MATCH($E301,记账规则!$A$13:$A$32,0)),"业务类型无效",IF(AND(N($I301)&lt;&gt;0,N($J301)&lt;&gt;0),"收入和支出只能填一列",IF($P301=0,"金额为 0",IF(AND($R301="收",N($I301)=0),"这类业务是收款，金额填到收入列",IF(AND($R301="支",N($J301)=0),"这类业务是付款，金额填到支出列",IF(AND(SUMPRODUCT(--(INDEX(记账规则!$A$13:$H$32,MATCH($E301,记账规则!$A$13:$A$32,0),0)="@对方"))&gt;0,$G301=""),"这个类型要填对方科目",IF(AND($G301&lt;&gt;"",ISNA(MATCH($G301,会计科目表!$B$6:$B$85,0))),"对方科目不存在",IF(AND($E301="缴纳税费",$H301=""),"缴税请在费用项目里选税种",IF(AND($F301&lt;&gt;"",ISNA(MATCH($F301,往来单位!$A$6:$A$85,0))),"往来单位未建档",IF(YEAR($B301)&lt;&gt;参数设置!$B$5,"不在本会计年度",IF(AND($B300&lt;&gt;"",ISNUMBER($B300),$B301&lt;$B300),"日期比上一行早，余额按行序滚，建议按日期录","OK")))))))))))))))</f>
        <v/>
      </c>
      <c r="O301" s="58" t="str">
        <f aca="false">IF($B301="","",TEXT($B301,"yyyy-mm"))</f>
        <v/>
      </c>
      <c r="P301" s="60" t="str">
        <f aca="false">IF($E301="","",ROUND(N($I301)+N($J301),2))</f>
        <v/>
      </c>
      <c r="Q301" s="58" t="str">
        <f aca="false">IF($D301="","",IFERROR(INDEX(资金账户!$F$6:$F$25,MATCH($D301,资金账户!$B$6:$B$25,0)),""))</f>
        <v/>
      </c>
      <c r="R301" s="58" t="str">
        <f aca="false">IF($E301="","",IFERROR(IF(INDEX(记账规则!$A$13:$H$32,MATCH($E301,记账规则!$A$13:$A$32,0),4)="借","收","支"),""))</f>
        <v/>
      </c>
      <c r="S301" s="57" t="str">
        <f aca="false">IF($D301="","",ROUND(SUMIFS(资金账户!$H$6:$H$25,资金账户!$B$6:$B$25,$D301)+SUMIFS($I$6:$I301,$D$6:$D301,$D301)-SUMIFS($J$6:$J301,$D$6:$D301,$D301),2))</f>
        <v/>
      </c>
      <c r="T301" s="61" t="str">
        <f aca="false">IF($B301="","",YEAR($B301))</f>
        <v/>
      </c>
    </row>
    <row r="302" customFormat="false" ht="15" hidden="false" customHeight="false" outlineLevel="0" collapsed="false">
      <c r="A302" s="53" t="str">
        <f aca="false">IF($B302="","",ROW()-5)</f>
        <v/>
      </c>
      <c r="B302" s="54"/>
      <c r="C302" s="33"/>
      <c r="D302" s="33"/>
      <c r="E302" s="33"/>
      <c r="F302" s="32"/>
      <c r="G302" s="41"/>
      <c r="H302" s="39"/>
      <c r="I302" s="43"/>
      <c r="J302" s="43"/>
      <c r="K302" s="41"/>
      <c r="L302" s="39"/>
      <c r="M302" s="41"/>
      <c r="N302" s="25" t="str">
        <f aca="false">IF(AND($B302="",$E302="",$I302="",$J302=""),"",IF(NOT(ISNUMBER($B302)),"日期无效",IF(ISNA(MATCH($C302,参数设置!$A$10:$A$12,0)),"公司无效",IF(ISNA(MATCH($D302,资金账户!$B$6:$B$25,0)),"账户未建档",IF(ISNA(MATCH($E302,记账规则!$A$13:$A$32,0)),"业务类型无效",IF(AND(N($I302)&lt;&gt;0,N($J302)&lt;&gt;0),"收入和支出只能填一列",IF($P302=0,"金额为 0",IF(AND($R302="收",N($I302)=0),"这类业务是收款，金额填到收入列",IF(AND($R302="支",N($J302)=0),"这类业务是付款，金额填到支出列",IF(AND(SUMPRODUCT(--(INDEX(记账规则!$A$13:$H$32,MATCH($E302,记账规则!$A$13:$A$32,0),0)="@对方"))&gt;0,$G302=""),"这个类型要填对方科目",IF(AND($G302&lt;&gt;"",ISNA(MATCH($G302,会计科目表!$B$6:$B$85,0))),"对方科目不存在",IF(AND($E302="缴纳税费",$H302=""),"缴税请在费用项目里选税种",IF(AND($F302&lt;&gt;"",ISNA(MATCH($F302,往来单位!$A$6:$A$85,0))),"往来单位未建档",IF(YEAR($B302)&lt;&gt;参数设置!$B$5,"不在本会计年度",IF(AND($B301&lt;&gt;"",ISNUMBER($B301),$B302&lt;$B301),"日期比上一行早，余额按行序滚，建议按日期录","OK")))))))))))))))</f>
        <v/>
      </c>
      <c r="O302" s="58" t="str">
        <f aca="false">IF($B302="","",TEXT($B302,"yyyy-mm"))</f>
        <v/>
      </c>
      <c r="P302" s="60" t="str">
        <f aca="false">IF($E302="","",ROUND(N($I302)+N($J302),2))</f>
        <v/>
      </c>
      <c r="Q302" s="58" t="str">
        <f aca="false">IF($D302="","",IFERROR(INDEX(资金账户!$F$6:$F$25,MATCH($D302,资金账户!$B$6:$B$25,0)),""))</f>
        <v/>
      </c>
      <c r="R302" s="58" t="str">
        <f aca="false">IF($E302="","",IFERROR(IF(INDEX(记账规则!$A$13:$H$32,MATCH($E302,记账规则!$A$13:$A$32,0),4)="借","收","支"),""))</f>
        <v/>
      </c>
      <c r="S302" s="57" t="str">
        <f aca="false">IF($D302="","",ROUND(SUMIFS(资金账户!$H$6:$H$25,资金账户!$B$6:$B$25,$D302)+SUMIFS($I$6:$I302,$D$6:$D302,$D302)-SUMIFS($J$6:$J302,$D$6:$D302,$D302),2))</f>
        <v/>
      </c>
      <c r="T302" s="61" t="str">
        <f aca="false">IF($B302="","",YEAR($B302))</f>
        <v/>
      </c>
    </row>
    <row r="303" customFormat="false" ht="15" hidden="false" customHeight="false" outlineLevel="0" collapsed="false">
      <c r="A303" s="53" t="str">
        <f aca="false">IF($B303="","",ROW()-5)</f>
        <v/>
      </c>
      <c r="B303" s="54"/>
      <c r="C303" s="33"/>
      <c r="D303" s="33"/>
      <c r="E303" s="33"/>
      <c r="F303" s="32"/>
      <c r="G303" s="41"/>
      <c r="H303" s="39"/>
      <c r="I303" s="43"/>
      <c r="J303" s="43"/>
      <c r="K303" s="41"/>
      <c r="L303" s="39"/>
      <c r="M303" s="41"/>
      <c r="N303" s="25" t="str">
        <f aca="false">IF(AND($B303="",$E303="",$I303="",$J303=""),"",IF(NOT(ISNUMBER($B303)),"日期无效",IF(ISNA(MATCH($C303,参数设置!$A$10:$A$12,0)),"公司无效",IF(ISNA(MATCH($D303,资金账户!$B$6:$B$25,0)),"账户未建档",IF(ISNA(MATCH($E303,记账规则!$A$13:$A$32,0)),"业务类型无效",IF(AND(N($I303)&lt;&gt;0,N($J303)&lt;&gt;0),"收入和支出只能填一列",IF($P303=0,"金额为 0",IF(AND($R303="收",N($I303)=0),"这类业务是收款，金额填到收入列",IF(AND($R303="支",N($J303)=0),"这类业务是付款，金额填到支出列",IF(AND(SUMPRODUCT(--(INDEX(记账规则!$A$13:$H$32,MATCH($E303,记账规则!$A$13:$A$32,0),0)="@对方"))&gt;0,$G303=""),"这个类型要填对方科目",IF(AND($G303&lt;&gt;"",ISNA(MATCH($G303,会计科目表!$B$6:$B$85,0))),"对方科目不存在",IF(AND($E303="缴纳税费",$H303=""),"缴税请在费用项目里选税种",IF(AND($F303&lt;&gt;"",ISNA(MATCH($F303,往来单位!$A$6:$A$85,0))),"往来单位未建档",IF(YEAR($B303)&lt;&gt;参数设置!$B$5,"不在本会计年度",IF(AND($B302&lt;&gt;"",ISNUMBER($B302),$B303&lt;$B302),"日期比上一行早，余额按行序滚，建议按日期录","OK")))))))))))))))</f>
        <v/>
      </c>
      <c r="O303" s="58" t="str">
        <f aca="false">IF($B303="","",TEXT($B303,"yyyy-mm"))</f>
        <v/>
      </c>
      <c r="P303" s="60" t="str">
        <f aca="false">IF($E303="","",ROUND(N($I303)+N($J303),2))</f>
        <v/>
      </c>
      <c r="Q303" s="58" t="str">
        <f aca="false">IF($D303="","",IFERROR(INDEX(资金账户!$F$6:$F$25,MATCH($D303,资金账户!$B$6:$B$25,0)),""))</f>
        <v/>
      </c>
      <c r="R303" s="58" t="str">
        <f aca="false">IF($E303="","",IFERROR(IF(INDEX(记账规则!$A$13:$H$32,MATCH($E303,记账规则!$A$13:$A$32,0),4)="借","收","支"),""))</f>
        <v/>
      </c>
      <c r="S303" s="57" t="str">
        <f aca="false">IF($D303="","",ROUND(SUMIFS(资金账户!$H$6:$H$25,资金账户!$B$6:$B$25,$D303)+SUMIFS($I$6:$I303,$D$6:$D303,$D303)-SUMIFS($J$6:$J303,$D$6:$D303,$D303),2))</f>
        <v/>
      </c>
      <c r="T303" s="61" t="str">
        <f aca="false">IF($B303="","",YEAR($B303))</f>
        <v/>
      </c>
    </row>
    <row r="304" customFormat="false" ht="15" hidden="false" customHeight="false" outlineLevel="0" collapsed="false">
      <c r="A304" s="53" t="str">
        <f aca="false">IF($B304="","",ROW()-5)</f>
        <v/>
      </c>
      <c r="B304" s="54"/>
      <c r="C304" s="33"/>
      <c r="D304" s="33"/>
      <c r="E304" s="33"/>
      <c r="F304" s="32"/>
      <c r="G304" s="41"/>
      <c r="H304" s="39"/>
      <c r="I304" s="43"/>
      <c r="J304" s="43"/>
      <c r="K304" s="41"/>
      <c r="L304" s="39"/>
      <c r="M304" s="41"/>
      <c r="N304" s="25" t="str">
        <f aca="false">IF(AND($B304="",$E304="",$I304="",$J304=""),"",IF(NOT(ISNUMBER($B304)),"日期无效",IF(ISNA(MATCH($C304,参数设置!$A$10:$A$12,0)),"公司无效",IF(ISNA(MATCH($D304,资金账户!$B$6:$B$25,0)),"账户未建档",IF(ISNA(MATCH($E304,记账规则!$A$13:$A$32,0)),"业务类型无效",IF(AND(N($I304)&lt;&gt;0,N($J304)&lt;&gt;0),"收入和支出只能填一列",IF($P304=0,"金额为 0",IF(AND($R304="收",N($I304)=0),"这类业务是收款，金额填到收入列",IF(AND($R304="支",N($J304)=0),"这类业务是付款，金额填到支出列",IF(AND(SUMPRODUCT(--(INDEX(记账规则!$A$13:$H$32,MATCH($E304,记账规则!$A$13:$A$32,0),0)="@对方"))&gt;0,$G304=""),"这个类型要填对方科目",IF(AND($G304&lt;&gt;"",ISNA(MATCH($G304,会计科目表!$B$6:$B$85,0))),"对方科目不存在",IF(AND($E304="缴纳税费",$H304=""),"缴税请在费用项目里选税种",IF(AND($F304&lt;&gt;"",ISNA(MATCH($F304,往来单位!$A$6:$A$85,0))),"往来单位未建档",IF(YEAR($B304)&lt;&gt;参数设置!$B$5,"不在本会计年度",IF(AND($B303&lt;&gt;"",ISNUMBER($B303),$B304&lt;$B303),"日期比上一行早，余额按行序滚，建议按日期录","OK")))))))))))))))</f>
        <v/>
      </c>
      <c r="O304" s="58" t="str">
        <f aca="false">IF($B304="","",TEXT($B304,"yyyy-mm"))</f>
        <v/>
      </c>
      <c r="P304" s="60" t="str">
        <f aca="false">IF($E304="","",ROUND(N($I304)+N($J304),2))</f>
        <v/>
      </c>
      <c r="Q304" s="58" t="str">
        <f aca="false">IF($D304="","",IFERROR(INDEX(资金账户!$F$6:$F$25,MATCH($D304,资金账户!$B$6:$B$25,0)),""))</f>
        <v/>
      </c>
      <c r="R304" s="58" t="str">
        <f aca="false">IF($E304="","",IFERROR(IF(INDEX(记账规则!$A$13:$H$32,MATCH($E304,记账规则!$A$13:$A$32,0),4)="借","收","支"),""))</f>
        <v/>
      </c>
      <c r="S304" s="57" t="str">
        <f aca="false">IF($D304="","",ROUND(SUMIFS(资金账户!$H$6:$H$25,资金账户!$B$6:$B$25,$D304)+SUMIFS($I$6:$I304,$D$6:$D304,$D304)-SUMIFS($J$6:$J304,$D$6:$D304,$D304),2))</f>
        <v/>
      </c>
      <c r="T304" s="61" t="str">
        <f aca="false">IF($B304="","",YEAR($B304))</f>
        <v/>
      </c>
    </row>
    <row r="305" customFormat="false" ht="15" hidden="false" customHeight="false" outlineLevel="0" collapsed="false">
      <c r="A305" s="53" t="str">
        <f aca="false">IF($B305="","",ROW()-5)</f>
        <v/>
      </c>
      <c r="B305" s="54"/>
      <c r="C305" s="33"/>
      <c r="D305" s="33"/>
      <c r="E305" s="33"/>
      <c r="F305" s="32"/>
      <c r="G305" s="41"/>
      <c r="H305" s="39"/>
      <c r="I305" s="43"/>
      <c r="J305" s="43"/>
      <c r="K305" s="41"/>
      <c r="L305" s="39"/>
      <c r="M305" s="41"/>
      <c r="N305" s="25" t="str">
        <f aca="false">IF(AND($B305="",$E305="",$I305="",$J305=""),"",IF(NOT(ISNUMBER($B305)),"日期无效",IF(ISNA(MATCH($C305,参数设置!$A$10:$A$12,0)),"公司无效",IF(ISNA(MATCH($D305,资金账户!$B$6:$B$25,0)),"账户未建档",IF(ISNA(MATCH($E305,记账规则!$A$13:$A$32,0)),"业务类型无效",IF(AND(N($I305)&lt;&gt;0,N($J305)&lt;&gt;0),"收入和支出只能填一列",IF($P305=0,"金额为 0",IF(AND($R305="收",N($I305)=0),"这类业务是收款，金额填到收入列",IF(AND($R305="支",N($J305)=0),"这类业务是付款，金额填到支出列",IF(AND(SUMPRODUCT(--(INDEX(记账规则!$A$13:$H$32,MATCH($E305,记账规则!$A$13:$A$32,0),0)="@对方"))&gt;0,$G305=""),"这个类型要填对方科目",IF(AND($G305&lt;&gt;"",ISNA(MATCH($G305,会计科目表!$B$6:$B$85,0))),"对方科目不存在",IF(AND($E305="缴纳税费",$H305=""),"缴税请在费用项目里选税种",IF(AND($F305&lt;&gt;"",ISNA(MATCH($F305,往来单位!$A$6:$A$85,0))),"往来单位未建档",IF(YEAR($B305)&lt;&gt;参数设置!$B$5,"不在本会计年度",IF(AND($B304&lt;&gt;"",ISNUMBER($B304),$B305&lt;$B304),"日期比上一行早，余额按行序滚，建议按日期录","OK")))))))))))))))</f>
        <v/>
      </c>
      <c r="O305" s="58" t="str">
        <f aca="false">IF($B305="","",TEXT($B305,"yyyy-mm"))</f>
        <v/>
      </c>
      <c r="P305" s="60" t="str">
        <f aca="false">IF($E305="","",ROUND(N($I305)+N($J305),2))</f>
        <v/>
      </c>
      <c r="Q305" s="58" t="str">
        <f aca="false">IF($D305="","",IFERROR(INDEX(资金账户!$F$6:$F$25,MATCH($D305,资金账户!$B$6:$B$25,0)),""))</f>
        <v/>
      </c>
      <c r="R305" s="58" t="str">
        <f aca="false">IF($E305="","",IFERROR(IF(INDEX(记账规则!$A$13:$H$32,MATCH($E305,记账规则!$A$13:$A$32,0),4)="借","收","支"),""))</f>
        <v/>
      </c>
      <c r="S305" s="57" t="str">
        <f aca="false">IF($D305="","",ROUND(SUMIFS(资金账户!$H$6:$H$25,资金账户!$B$6:$B$25,$D305)+SUMIFS($I$6:$I305,$D$6:$D305,$D305)-SUMIFS($J$6:$J305,$D$6:$D305,$D305),2))</f>
        <v/>
      </c>
      <c r="T305" s="61" t="str">
        <f aca="false">IF($B305="","",YEAR($B305))</f>
        <v/>
      </c>
    </row>
    <row r="306" customFormat="false" ht="15" hidden="false" customHeight="false" outlineLevel="0" collapsed="false">
      <c r="A306" s="53" t="str">
        <f aca="false">IF($B306="","",ROW()-5)</f>
        <v/>
      </c>
      <c r="B306" s="54"/>
      <c r="C306" s="33"/>
      <c r="D306" s="33"/>
      <c r="E306" s="33"/>
      <c r="F306" s="32"/>
      <c r="G306" s="41"/>
      <c r="H306" s="39"/>
      <c r="I306" s="43"/>
      <c r="J306" s="43"/>
      <c r="K306" s="41"/>
      <c r="L306" s="39"/>
      <c r="M306" s="41"/>
      <c r="N306" s="25" t="str">
        <f aca="false">IF(AND($B306="",$E306="",$I306="",$J306=""),"",IF(NOT(ISNUMBER($B306)),"日期无效",IF(ISNA(MATCH($C306,参数设置!$A$10:$A$12,0)),"公司无效",IF(ISNA(MATCH($D306,资金账户!$B$6:$B$25,0)),"账户未建档",IF(ISNA(MATCH($E306,记账规则!$A$13:$A$32,0)),"业务类型无效",IF(AND(N($I306)&lt;&gt;0,N($J306)&lt;&gt;0),"收入和支出只能填一列",IF($P306=0,"金额为 0",IF(AND($R306="收",N($I306)=0),"这类业务是收款，金额填到收入列",IF(AND($R306="支",N($J306)=0),"这类业务是付款，金额填到支出列",IF(AND(SUMPRODUCT(--(INDEX(记账规则!$A$13:$H$32,MATCH($E306,记账规则!$A$13:$A$32,0),0)="@对方"))&gt;0,$G306=""),"这个类型要填对方科目",IF(AND($G306&lt;&gt;"",ISNA(MATCH($G306,会计科目表!$B$6:$B$85,0))),"对方科目不存在",IF(AND($E306="缴纳税费",$H306=""),"缴税请在费用项目里选税种",IF(AND($F306&lt;&gt;"",ISNA(MATCH($F306,往来单位!$A$6:$A$85,0))),"往来单位未建档",IF(YEAR($B306)&lt;&gt;参数设置!$B$5,"不在本会计年度",IF(AND($B305&lt;&gt;"",ISNUMBER($B305),$B306&lt;$B305),"日期比上一行早，余额按行序滚，建议按日期录","OK")))))))))))))))</f>
        <v/>
      </c>
      <c r="O306" s="58" t="str">
        <f aca="false">IF($B306="","",TEXT($B306,"yyyy-mm"))</f>
        <v/>
      </c>
      <c r="P306" s="60" t="str">
        <f aca="false">IF($E306="","",ROUND(N($I306)+N($J306),2))</f>
        <v/>
      </c>
      <c r="Q306" s="58" t="str">
        <f aca="false">IF($D306="","",IFERROR(INDEX(资金账户!$F$6:$F$25,MATCH($D306,资金账户!$B$6:$B$25,0)),""))</f>
        <v/>
      </c>
      <c r="R306" s="58" t="str">
        <f aca="false">IF($E306="","",IFERROR(IF(INDEX(记账规则!$A$13:$H$32,MATCH($E306,记账规则!$A$13:$A$32,0),4)="借","收","支"),""))</f>
        <v/>
      </c>
      <c r="S306" s="57" t="str">
        <f aca="false">IF($D306="","",ROUND(SUMIFS(资金账户!$H$6:$H$25,资金账户!$B$6:$B$25,$D306)+SUMIFS($I$6:$I306,$D$6:$D306,$D306)-SUMIFS($J$6:$J306,$D$6:$D306,$D306),2))</f>
        <v/>
      </c>
      <c r="T306" s="61" t="str">
        <f aca="false">IF($B306="","",YEAR($B306))</f>
        <v/>
      </c>
    </row>
    <row r="307" customFormat="false" ht="15" hidden="false" customHeight="false" outlineLevel="0" collapsed="false">
      <c r="A307" s="53" t="str">
        <f aca="false">IF($B307="","",ROW()-5)</f>
        <v/>
      </c>
      <c r="B307" s="54"/>
      <c r="C307" s="33"/>
      <c r="D307" s="33"/>
      <c r="E307" s="33"/>
      <c r="F307" s="32"/>
      <c r="G307" s="41"/>
      <c r="H307" s="39"/>
      <c r="I307" s="43"/>
      <c r="J307" s="43"/>
      <c r="K307" s="41"/>
      <c r="L307" s="39"/>
      <c r="M307" s="41"/>
      <c r="N307" s="25" t="str">
        <f aca="false">IF(AND($B307="",$E307="",$I307="",$J307=""),"",IF(NOT(ISNUMBER($B307)),"日期无效",IF(ISNA(MATCH($C307,参数设置!$A$10:$A$12,0)),"公司无效",IF(ISNA(MATCH($D307,资金账户!$B$6:$B$25,0)),"账户未建档",IF(ISNA(MATCH($E307,记账规则!$A$13:$A$32,0)),"业务类型无效",IF(AND(N($I307)&lt;&gt;0,N($J307)&lt;&gt;0),"收入和支出只能填一列",IF($P307=0,"金额为 0",IF(AND($R307="收",N($I307)=0),"这类业务是收款，金额填到收入列",IF(AND($R307="支",N($J307)=0),"这类业务是付款，金额填到支出列",IF(AND(SUMPRODUCT(--(INDEX(记账规则!$A$13:$H$32,MATCH($E307,记账规则!$A$13:$A$32,0),0)="@对方"))&gt;0,$G307=""),"这个类型要填对方科目",IF(AND($G307&lt;&gt;"",ISNA(MATCH($G307,会计科目表!$B$6:$B$85,0))),"对方科目不存在",IF(AND($E307="缴纳税费",$H307=""),"缴税请在费用项目里选税种",IF(AND($F307&lt;&gt;"",ISNA(MATCH($F307,往来单位!$A$6:$A$85,0))),"往来单位未建档",IF(YEAR($B307)&lt;&gt;参数设置!$B$5,"不在本会计年度",IF(AND($B306&lt;&gt;"",ISNUMBER($B306),$B307&lt;$B306),"日期比上一行早，余额按行序滚，建议按日期录","OK")))))))))))))))</f>
        <v/>
      </c>
      <c r="O307" s="58" t="str">
        <f aca="false">IF($B307="","",TEXT($B307,"yyyy-mm"))</f>
        <v/>
      </c>
      <c r="P307" s="60" t="str">
        <f aca="false">IF($E307="","",ROUND(N($I307)+N($J307),2))</f>
        <v/>
      </c>
      <c r="Q307" s="58" t="str">
        <f aca="false">IF($D307="","",IFERROR(INDEX(资金账户!$F$6:$F$25,MATCH($D307,资金账户!$B$6:$B$25,0)),""))</f>
        <v/>
      </c>
      <c r="R307" s="58" t="str">
        <f aca="false">IF($E307="","",IFERROR(IF(INDEX(记账规则!$A$13:$H$32,MATCH($E307,记账规则!$A$13:$A$32,0),4)="借","收","支"),""))</f>
        <v/>
      </c>
      <c r="S307" s="57" t="str">
        <f aca="false">IF($D307="","",ROUND(SUMIFS(资金账户!$H$6:$H$25,资金账户!$B$6:$B$25,$D307)+SUMIFS($I$6:$I307,$D$6:$D307,$D307)-SUMIFS($J$6:$J307,$D$6:$D307,$D307),2))</f>
        <v/>
      </c>
      <c r="T307" s="61" t="str">
        <f aca="false">IF($B307="","",YEAR($B307))</f>
        <v/>
      </c>
    </row>
    <row r="308" customFormat="false" ht="15" hidden="false" customHeight="false" outlineLevel="0" collapsed="false">
      <c r="A308" s="53" t="str">
        <f aca="false">IF($B308="","",ROW()-5)</f>
        <v/>
      </c>
      <c r="B308" s="54"/>
      <c r="C308" s="33"/>
      <c r="D308" s="33"/>
      <c r="E308" s="33"/>
      <c r="F308" s="32"/>
      <c r="G308" s="41"/>
      <c r="H308" s="39"/>
      <c r="I308" s="43"/>
      <c r="J308" s="43"/>
      <c r="K308" s="41"/>
      <c r="L308" s="39"/>
      <c r="M308" s="41"/>
      <c r="N308" s="25" t="str">
        <f aca="false">IF(AND($B308="",$E308="",$I308="",$J308=""),"",IF(NOT(ISNUMBER($B308)),"日期无效",IF(ISNA(MATCH($C308,参数设置!$A$10:$A$12,0)),"公司无效",IF(ISNA(MATCH($D308,资金账户!$B$6:$B$25,0)),"账户未建档",IF(ISNA(MATCH($E308,记账规则!$A$13:$A$32,0)),"业务类型无效",IF(AND(N($I308)&lt;&gt;0,N($J308)&lt;&gt;0),"收入和支出只能填一列",IF($P308=0,"金额为 0",IF(AND($R308="收",N($I308)=0),"这类业务是收款，金额填到收入列",IF(AND($R308="支",N($J308)=0),"这类业务是付款，金额填到支出列",IF(AND(SUMPRODUCT(--(INDEX(记账规则!$A$13:$H$32,MATCH($E308,记账规则!$A$13:$A$32,0),0)="@对方"))&gt;0,$G308=""),"这个类型要填对方科目",IF(AND($G308&lt;&gt;"",ISNA(MATCH($G308,会计科目表!$B$6:$B$85,0))),"对方科目不存在",IF(AND($E308="缴纳税费",$H308=""),"缴税请在费用项目里选税种",IF(AND($F308&lt;&gt;"",ISNA(MATCH($F308,往来单位!$A$6:$A$85,0))),"往来单位未建档",IF(YEAR($B308)&lt;&gt;参数设置!$B$5,"不在本会计年度",IF(AND($B307&lt;&gt;"",ISNUMBER($B307),$B308&lt;$B307),"日期比上一行早，余额按行序滚，建议按日期录","OK")))))))))))))))</f>
        <v/>
      </c>
      <c r="O308" s="58" t="str">
        <f aca="false">IF($B308="","",TEXT($B308,"yyyy-mm"))</f>
        <v/>
      </c>
      <c r="P308" s="60" t="str">
        <f aca="false">IF($E308="","",ROUND(N($I308)+N($J308),2))</f>
        <v/>
      </c>
      <c r="Q308" s="58" t="str">
        <f aca="false">IF($D308="","",IFERROR(INDEX(资金账户!$F$6:$F$25,MATCH($D308,资金账户!$B$6:$B$25,0)),""))</f>
        <v/>
      </c>
      <c r="R308" s="58" t="str">
        <f aca="false">IF($E308="","",IFERROR(IF(INDEX(记账规则!$A$13:$H$32,MATCH($E308,记账规则!$A$13:$A$32,0),4)="借","收","支"),""))</f>
        <v/>
      </c>
      <c r="S308" s="57" t="str">
        <f aca="false">IF($D308="","",ROUND(SUMIFS(资金账户!$H$6:$H$25,资金账户!$B$6:$B$25,$D308)+SUMIFS($I$6:$I308,$D$6:$D308,$D308)-SUMIFS($J$6:$J308,$D$6:$D308,$D308),2))</f>
        <v/>
      </c>
      <c r="T308" s="61" t="str">
        <f aca="false">IF($B308="","",YEAR($B308))</f>
        <v/>
      </c>
    </row>
    <row r="309" customFormat="false" ht="15" hidden="false" customHeight="false" outlineLevel="0" collapsed="false">
      <c r="A309" s="53" t="str">
        <f aca="false">IF($B309="","",ROW()-5)</f>
        <v/>
      </c>
      <c r="B309" s="54"/>
      <c r="C309" s="33"/>
      <c r="D309" s="33"/>
      <c r="E309" s="33"/>
      <c r="F309" s="32"/>
      <c r="G309" s="41"/>
      <c r="H309" s="39"/>
      <c r="I309" s="43"/>
      <c r="J309" s="43"/>
      <c r="K309" s="41"/>
      <c r="L309" s="39"/>
      <c r="M309" s="41"/>
      <c r="N309" s="25" t="str">
        <f aca="false">IF(AND($B309="",$E309="",$I309="",$J309=""),"",IF(NOT(ISNUMBER($B309)),"日期无效",IF(ISNA(MATCH($C309,参数设置!$A$10:$A$12,0)),"公司无效",IF(ISNA(MATCH($D309,资金账户!$B$6:$B$25,0)),"账户未建档",IF(ISNA(MATCH($E309,记账规则!$A$13:$A$32,0)),"业务类型无效",IF(AND(N($I309)&lt;&gt;0,N($J309)&lt;&gt;0),"收入和支出只能填一列",IF($P309=0,"金额为 0",IF(AND($R309="收",N($I309)=0),"这类业务是收款，金额填到收入列",IF(AND($R309="支",N($J309)=0),"这类业务是付款，金额填到支出列",IF(AND(SUMPRODUCT(--(INDEX(记账规则!$A$13:$H$32,MATCH($E309,记账规则!$A$13:$A$32,0),0)="@对方"))&gt;0,$G309=""),"这个类型要填对方科目",IF(AND($G309&lt;&gt;"",ISNA(MATCH($G309,会计科目表!$B$6:$B$85,0))),"对方科目不存在",IF(AND($E309="缴纳税费",$H309=""),"缴税请在费用项目里选税种",IF(AND($F309&lt;&gt;"",ISNA(MATCH($F309,往来单位!$A$6:$A$85,0))),"往来单位未建档",IF(YEAR($B309)&lt;&gt;参数设置!$B$5,"不在本会计年度",IF(AND($B308&lt;&gt;"",ISNUMBER($B308),$B309&lt;$B308),"日期比上一行早，余额按行序滚，建议按日期录","OK")))))))))))))))</f>
        <v/>
      </c>
      <c r="O309" s="58" t="str">
        <f aca="false">IF($B309="","",TEXT($B309,"yyyy-mm"))</f>
        <v/>
      </c>
      <c r="P309" s="60" t="str">
        <f aca="false">IF($E309="","",ROUND(N($I309)+N($J309),2))</f>
        <v/>
      </c>
      <c r="Q309" s="58" t="str">
        <f aca="false">IF($D309="","",IFERROR(INDEX(资金账户!$F$6:$F$25,MATCH($D309,资金账户!$B$6:$B$25,0)),""))</f>
        <v/>
      </c>
      <c r="R309" s="58" t="str">
        <f aca="false">IF($E309="","",IFERROR(IF(INDEX(记账规则!$A$13:$H$32,MATCH($E309,记账规则!$A$13:$A$32,0),4)="借","收","支"),""))</f>
        <v/>
      </c>
      <c r="S309" s="57" t="str">
        <f aca="false">IF($D309="","",ROUND(SUMIFS(资金账户!$H$6:$H$25,资金账户!$B$6:$B$25,$D309)+SUMIFS($I$6:$I309,$D$6:$D309,$D309)-SUMIFS($J$6:$J309,$D$6:$D309,$D309),2))</f>
        <v/>
      </c>
      <c r="T309" s="61" t="str">
        <f aca="false">IF($B309="","",YEAR($B309))</f>
        <v/>
      </c>
    </row>
    <row r="310" customFormat="false" ht="15" hidden="false" customHeight="false" outlineLevel="0" collapsed="false">
      <c r="A310" s="53" t="str">
        <f aca="false">IF($B310="","",ROW()-5)</f>
        <v/>
      </c>
      <c r="B310" s="54"/>
      <c r="C310" s="33"/>
      <c r="D310" s="33"/>
      <c r="E310" s="33"/>
      <c r="F310" s="32"/>
      <c r="G310" s="41"/>
      <c r="H310" s="39"/>
      <c r="I310" s="43"/>
      <c r="J310" s="43"/>
      <c r="K310" s="41"/>
      <c r="L310" s="39"/>
      <c r="M310" s="41"/>
      <c r="N310" s="25" t="str">
        <f aca="false">IF(AND($B310="",$E310="",$I310="",$J310=""),"",IF(NOT(ISNUMBER($B310)),"日期无效",IF(ISNA(MATCH($C310,参数设置!$A$10:$A$12,0)),"公司无效",IF(ISNA(MATCH($D310,资金账户!$B$6:$B$25,0)),"账户未建档",IF(ISNA(MATCH($E310,记账规则!$A$13:$A$32,0)),"业务类型无效",IF(AND(N($I310)&lt;&gt;0,N($J310)&lt;&gt;0),"收入和支出只能填一列",IF($P310=0,"金额为 0",IF(AND($R310="收",N($I310)=0),"这类业务是收款，金额填到收入列",IF(AND($R310="支",N($J310)=0),"这类业务是付款，金额填到支出列",IF(AND(SUMPRODUCT(--(INDEX(记账规则!$A$13:$H$32,MATCH($E310,记账规则!$A$13:$A$32,0),0)="@对方"))&gt;0,$G310=""),"这个类型要填对方科目",IF(AND($G310&lt;&gt;"",ISNA(MATCH($G310,会计科目表!$B$6:$B$85,0))),"对方科目不存在",IF(AND($E310="缴纳税费",$H310=""),"缴税请在费用项目里选税种",IF(AND($F310&lt;&gt;"",ISNA(MATCH($F310,往来单位!$A$6:$A$85,0))),"往来单位未建档",IF(YEAR($B310)&lt;&gt;参数设置!$B$5,"不在本会计年度",IF(AND($B309&lt;&gt;"",ISNUMBER($B309),$B310&lt;$B309),"日期比上一行早，余额按行序滚，建议按日期录","OK")))))))))))))))</f>
        <v/>
      </c>
      <c r="O310" s="58" t="str">
        <f aca="false">IF($B310="","",TEXT($B310,"yyyy-mm"))</f>
        <v/>
      </c>
      <c r="P310" s="60" t="str">
        <f aca="false">IF($E310="","",ROUND(N($I310)+N($J310),2))</f>
        <v/>
      </c>
      <c r="Q310" s="58" t="str">
        <f aca="false">IF($D310="","",IFERROR(INDEX(资金账户!$F$6:$F$25,MATCH($D310,资金账户!$B$6:$B$25,0)),""))</f>
        <v/>
      </c>
      <c r="R310" s="58" t="str">
        <f aca="false">IF($E310="","",IFERROR(IF(INDEX(记账规则!$A$13:$H$32,MATCH($E310,记账规则!$A$13:$A$32,0),4)="借","收","支"),""))</f>
        <v/>
      </c>
      <c r="S310" s="57" t="str">
        <f aca="false">IF($D310="","",ROUND(SUMIFS(资金账户!$H$6:$H$25,资金账户!$B$6:$B$25,$D310)+SUMIFS($I$6:$I310,$D$6:$D310,$D310)-SUMIFS($J$6:$J310,$D$6:$D310,$D310),2))</f>
        <v/>
      </c>
      <c r="T310" s="61" t="str">
        <f aca="false">IF($B310="","",YEAR($B310))</f>
        <v/>
      </c>
    </row>
    <row r="311" customFormat="false" ht="15" hidden="false" customHeight="false" outlineLevel="0" collapsed="false">
      <c r="A311" s="53" t="str">
        <f aca="false">IF($B311="","",ROW()-5)</f>
        <v/>
      </c>
      <c r="B311" s="54"/>
      <c r="C311" s="33"/>
      <c r="D311" s="33"/>
      <c r="E311" s="33"/>
      <c r="F311" s="32"/>
      <c r="G311" s="41"/>
      <c r="H311" s="39"/>
      <c r="I311" s="43"/>
      <c r="J311" s="43"/>
      <c r="K311" s="41"/>
      <c r="L311" s="39"/>
      <c r="M311" s="41"/>
      <c r="N311" s="25" t="str">
        <f aca="false">IF(AND($B311="",$E311="",$I311="",$J311=""),"",IF(NOT(ISNUMBER($B311)),"日期无效",IF(ISNA(MATCH($C311,参数设置!$A$10:$A$12,0)),"公司无效",IF(ISNA(MATCH($D311,资金账户!$B$6:$B$25,0)),"账户未建档",IF(ISNA(MATCH($E311,记账规则!$A$13:$A$32,0)),"业务类型无效",IF(AND(N($I311)&lt;&gt;0,N($J311)&lt;&gt;0),"收入和支出只能填一列",IF($P311=0,"金额为 0",IF(AND($R311="收",N($I311)=0),"这类业务是收款，金额填到收入列",IF(AND($R311="支",N($J311)=0),"这类业务是付款，金额填到支出列",IF(AND(SUMPRODUCT(--(INDEX(记账规则!$A$13:$H$32,MATCH($E311,记账规则!$A$13:$A$32,0),0)="@对方"))&gt;0,$G311=""),"这个类型要填对方科目",IF(AND($G311&lt;&gt;"",ISNA(MATCH($G311,会计科目表!$B$6:$B$85,0))),"对方科目不存在",IF(AND($E311="缴纳税费",$H311=""),"缴税请在费用项目里选税种",IF(AND($F311&lt;&gt;"",ISNA(MATCH($F311,往来单位!$A$6:$A$85,0))),"往来单位未建档",IF(YEAR($B311)&lt;&gt;参数设置!$B$5,"不在本会计年度",IF(AND($B310&lt;&gt;"",ISNUMBER($B310),$B311&lt;$B310),"日期比上一行早，余额按行序滚，建议按日期录","OK")))))))))))))))</f>
        <v/>
      </c>
      <c r="O311" s="58" t="str">
        <f aca="false">IF($B311="","",TEXT($B311,"yyyy-mm"))</f>
        <v/>
      </c>
      <c r="P311" s="60" t="str">
        <f aca="false">IF($E311="","",ROUND(N($I311)+N($J311),2))</f>
        <v/>
      </c>
      <c r="Q311" s="58" t="str">
        <f aca="false">IF($D311="","",IFERROR(INDEX(资金账户!$F$6:$F$25,MATCH($D311,资金账户!$B$6:$B$25,0)),""))</f>
        <v/>
      </c>
      <c r="R311" s="58" t="str">
        <f aca="false">IF($E311="","",IFERROR(IF(INDEX(记账规则!$A$13:$H$32,MATCH($E311,记账规则!$A$13:$A$32,0),4)="借","收","支"),""))</f>
        <v/>
      </c>
      <c r="S311" s="57" t="str">
        <f aca="false">IF($D311="","",ROUND(SUMIFS(资金账户!$H$6:$H$25,资金账户!$B$6:$B$25,$D311)+SUMIFS($I$6:$I311,$D$6:$D311,$D311)-SUMIFS($J$6:$J311,$D$6:$D311,$D311),2))</f>
        <v/>
      </c>
      <c r="T311" s="61" t="str">
        <f aca="false">IF($B311="","",YEAR($B311))</f>
        <v/>
      </c>
    </row>
    <row r="312" customFormat="false" ht="15" hidden="false" customHeight="false" outlineLevel="0" collapsed="false">
      <c r="A312" s="53" t="str">
        <f aca="false">IF($B312="","",ROW()-5)</f>
        <v/>
      </c>
      <c r="B312" s="54"/>
      <c r="C312" s="33"/>
      <c r="D312" s="33"/>
      <c r="E312" s="33"/>
      <c r="F312" s="32"/>
      <c r="G312" s="41"/>
      <c r="H312" s="39"/>
      <c r="I312" s="43"/>
      <c r="J312" s="43"/>
      <c r="K312" s="41"/>
      <c r="L312" s="39"/>
      <c r="M312" s="41"/>
      <c r="N312" s="25" t="str">
        <f aca="false">IF(AND($B312="",$E312="",$I312="",$J312=""),"",IF(NOT(ISNUMBER($B312)),"日期无效",IF(ISNA(MATCH($C312,参数设置!$A$10:$A$12,0)),"公司无效",IF(ISNA(MATCH($D312,资金账户!$B$6:$B$25,0)),"账户未建档",IF(ISNA(MATCH($E312,记账规则!$A$13:$A$32,0)),"业务类型无效",IF(AND(N($I312)&lt;&gt;0,N($J312)&lt;&gt;0),"收入和支出只能填一列",IF($P312=0,"金额为 0",IF(AND($R312="收",N($I312)=0),"这类业务是收款，金额填到收入列",IF(AND($R312="支",N($J312)=0),"这类业务是付款，金额填到支出列",IF(AND(SUMPRODUCT(--(INDEX(记账规则!$A$13:$H$32,MATCH($E312,记账规则!$A$13:$A$32,0),0)="@对方"))&gt;0,$G312=""),"这个类型要填对方科目",IF(AND($G312&lt;&gt;"",ISNA(MATCH($G312,会计科目表!$B$6:$B$85,0))),"对方科目不存在",IF(AND($E312="缴纳税费",$H312=""),"缴税请在费用项目里选税种",IF(AND($F312&lt;&gt;"",ISNA(MATCH($F312,往来单位!$A$6:$A$85,0))),"往来单位未建档",IF(YEAR($B312)&lt;&gt;参数设置!$B$5,"不在本会计年度",IF(AND($B311&lt;&gt;"",ISNUMBER($B311),$B312&lt;$B311),"日期比上一行早，余额按行序滚，建议按日期录","OK")))))))))))))))</f>
        <v/>
      </c>
      <c r="O312" s="58" t="str">
        <f aca="false">IF($B312="","",TEXT($B312,"yyyy-mm"))</f>
        <v/>
      </c>
      <c r="P312" s="60" t="str">
        <f aca="false">IF($E312="","",ROUND(N($I312)+N($J312),2))</f>
        <v/>
      </c>
      <c r="Q312" s="58" t="str">
        <f aca="false">IF($D312="","",IFERROR(INDEX(资金账户!$F$6:$F$25,MATCH($D312,资金账户!$B$6:$B$25,0)),""))</f>
        <v/>
      </c>
      <c r="R312" s="58" t="str">
        <f aca="false">IF($E312="","",IFERROR(IF(INDEX(记账规则!$A$13:$H$32,MATCH($E312,记账规则!$A$13:$A$32,0),4)="借","收","支"),""))</f>
        <v/>
      </c>
      <c r="S312" s="57" t="str">
        <f aca="false">IF($D312="","",ROUND(SUMIFS(资金账户!$H$6:$H$25,资金账户!$B$6:$B$25,$D312)+SUMIFS($I$6:$I312,$D$6:$D312,$D312)-SUMIFS($J$6:$J312,$D$6:$D312,$D312),2))</f>
        <v/>
      </c>
      <c r="T312" s="61" t="str">
        <f aca="false">IF($B312="","",YEAR($B312))</f>
        <v/>
      </c>
    </row>
    <row r="313" customFormat="false" ht="15" hidden="false" customHeight="false" outlineLevel="0" collapsed="false">
      <c r="A313" s="53" t="str">
        <f aca="false">IF($B313="","",ROW()-5)</f>
        <v/>
      </c>
      <c r="B313" s="54"/>
      <c r="C313" s="33"/>
      <c r="D313" s="33"/>
      <c r="E313" s="33"/>
      <c r="F313" s="32"/>
      <c r="G313" s="41"/>
      <c r="H313" s="39"/>
      <c r="I313" s="43"/>
      <c r="J313" s="43"/>
      <c r="K313" s="41"/>
      <c r="L313" s="39"/>
      <c r="M313" s="41"/>
      <c r="N313" s="25" t="str">
        <f aca="false">IF(AND($B313="",$E313="",$I313="",$J313=""),"",IF(NOT(ISNUMBER($B313)),"日期无效",IF(ISNA(MATCH($C313,参数设置!$A$10:$A$12,0)),"公司无效",IF(ISNA(MATCH($D313,资金账户!$B$6:$B$25,0)),"账户未建档",IF(ISNA(MATCH($E313,记账规则!$A$13:$A$32,0)),"业务类型无效",IF(AND(N($I313)&lt;&gt;0,N($J313)&lt;&gt;0),"收入和支出只能填一列",IF($P313=0,"金额为 0",IF(AND($R313="收",N($I313)=0),"这类业务是收款，金额填到收入列",IF(AND($R313="支",N($J313)=0),"这类业务是付款，金额填到支出列",IF(AND(SUMPRODUCT(--(INDEX(记账规则!$A$13:$H$32,MATCH($E313,记账规则!$A$13:$A$32,0),0)="@对方"))&gt;0,$G313=""),"这个类型要填对方科目",IF(AND($G313&lt;&gt;"",ISNA(MATCH($G313,会计科目表!$B$6:$B$85,0))),"对方科目不存在",IF(AND($E313="缴纳税费",$H313=""),"缴税请在费用项目里选税种",IF(AND($F313&lt;&gt;"",ISNA(MATCH($F313,往来单位!$A$6:$A$85,0))),"往来单位未建档",IF(YEAR($B313)&lt;&gt;参数设置!$B$5,"不在本会计年度",IF(AND($B312&lt;&gt;"",ISNUMBER($B312),$B313&lt;$B312),"日期比上一行早，余额按行序滚，建议按日期录","OK")))))))))))))))</f>
        <v/>
      </c>
      <c r="O313" s="58" t="str">
        <f aca="false">IF($B313="","",TEXT($B313,"yyyy-mm"))</f>
        <v/>
      </c>
      <c r="P313" s="60" t="str">
        <f aca="false">IF($E313="","",ROUND(N($I313)+N($J313),2))</f>
        <v/>
      </c>
      <c r="Q313" s="58" t="str">
        <f aca="false">IF($D313="","",IFERROR(INDEX(资金账户!$F$6:$F$25,MATCH($D313,资金账户!$B$6:$B$25,0)),""))</f>
        <v/>
      </c>
      <c r="R313" s="58" t="str">
        <f aca="false">IF($E313="","",IFERROR(IF(INDEX(记账规则!$A$13:$H$32,MATCH($E313,记账规则!$A$13:$A$32,0),4)="借","收","支"),""))</f>
        <v/>
      </c>
      <c r="S313" s="57" t="str">
        <f aca="false">IF($D313="","",ROUND(SUMIFS(资金账户!$H$6:$H$25,资金账户!$B$6:$B$25,$D313)+SUMIFS($I$6:$I313,$D$6:$D313,$D313)-SUMIFS($J$6:$J313,$D$6:$D313,$D313),2))</f>
        <v/>
      </c>
      <c r="T313" s="61" t="str">
        <f aca="false">IF($B313="","",YEAR($B313))</f>
        <v/>
      </c>
    </row>
    <row r="314" customFormat="false" ht="15" hidden="false" customHeight="false" outlineLevel="0" collapsed="false">
      <c r="A314" s="53" t="str">
        <f aca="false">IF($B314="","",ROW()-5)</f>
        <v/>
      </c>
      <c r="B314" s="54"/>
      <c r="C314" s="33"/>
      <c r="D314" s="33"/>
      <c r="E314" s="33"/>
      <c r="F314" s="32"/>
      <c r="G314" s="41"/>
      <c r="H314" s="39"/>
      <c r="I314" s="43"/>
      <c r="J314" s="43"/>
      <c r="K314" s="41"/>
      <c r="L314" s="39"/>
      <c r="M314" s="41"/>
      <c r="N314" s="25" t="str">
        <f aca="false">IF(AND($B314="",$E314="",$I314="",$J314=""),"",IF(NOT(ISNUMBER($B314)),"日期无效",IF(ISNA(MATCH($C314,参数设置!$A$10:$A$12,0)),"公司无效",IF(ISNA(MATCH($D314,资金账户!$B$6:$B$25,0)),"账户未建档",IF(ISNA(MATCH($E314,记账规则!$A$13:$A$32,0)),"业务类型无效",IF(AND(N($I314)&lt;&gt;0,N($J314)&lt;&gt;0),"收入和支出只能填一列",IF($P314=0,"金额为 0",IF(AND($R314="收",N($I314)=0),"这类业务是收款，金额填到收入列",IF(AND($R314="支",N($J314)=0),"这类业务是付款，金额填到支出列",IF(AND(SUMPRODUCT(--(INDEX(记账规则!$A$13:$H$32,MATCH($E314,记账规则!$A$13:$A$32,0),0)="@对方"))&gt;0,$G314=""),"这个类型要填对方科目",IF(AND($G314&lt;&gt;"",ISNA(MATCH($G314,会计科目表!$B$6:$B$85,0))),"对方科目不存在",IF(AND($E314="缴纳税费",$H314=""),"缴税请在费用项目里选税种",IF(AND($F314&lt;&gt;"",ISNA(MATCH($F314,往来单位!$A$6:$A$85,0))),"往来单位未建档",IF(YEAR($B314)&lt;&gt;参数设置!$B$5,"不在本会计年度",IF(AND($B313&lt;&gt;"",ISNUMBER($B313),$B314&lt;$B313),"日期比上一行早，余额按行序滚，建议按日期录","OK")))))))))))))))</f>
        <v/>
      </c>
      <c r="O314" s="58" t="str">
        <f aca="false">IF($B314="","",TEXT($B314,"yyyy-mm"))</f>
        <v/>
      </c>
      <c r="P314" s="60" t="str">
        <f aca="false">IF($E314="","",ROUND(N($I314)+N($J314),2))</f>
        <v/>
      </c>
      <c r="Q314" s="58" t="str">
        <f aca="false">IF($D314="","",IFERROR(INDEX(资金账户!$F$6:$F$25,MATCH($D314,资金账户!$B$6:$B$25,0)),""))</f>
        <v/>
      </c>
      <c r="R314" s="58" t="str">
        <f aca="false">IF($E314="","",IFERROR(IF(INDEX(记账规则!$A$13:$H$32,MATCH($E314,记账规则!$A$13:$A$32,0),4)="借","收","支"),""))</f>
        <v/>
      </c>
      <c r="S314" s="57" t="str">
        <f aca="false">IF($D314="","",ROUND(SUMIFS(资金账户!$H$6:$H$25,资金账户!$B$6:$B$25,$D314)+SUMIFS($I$6:$I314,$D$6:$D314,$D314)-SUMIFS($J$6:$J314,$D$6:$D314,$D314),2))</f>
        <v/>
      </c>
      <c r="T314" s="61" t="str">
        <f aca="false">IF($B314="","",YEAR($B314))</f>
        <v/>
      </c>
    </row>
    <row r="315" customFormat="false" ht="15" hidden="false" customHeight="false" outlineLevel="0" collapsed="false">
      <c r="A315" s="53" t="str">
        <f aca="false">IF($B315="","",ROW()-5)</f>
        <v/>
      </c>
      <c r="B315" s="54"/>
      <c r="C315" s="33"/>
      <c r="D315" s="33"/>
      <c r="E315" s="33"/>
      <c r="F315" s="32"/>
      <c r="G315" s="41"/>
      <c r="H315" s="39"/>
      <c r="I315" s="43"/>
      <c r="J315" s="43"/>
      <c r="K315" s="41"/>
      <c r="L315" s="39"/>
      <c r="M315" s="41"/>
      <c r="N315" s="25" t="str">
        <f aca="false">IF(AND($B315="",$E315="",$I315="",$J315=""),"",IF(NOT(ISNUMBER($B315)),"日期无效",IF(ISNA(MATCH($C315,参数设置!$A$10:$A$12,0)),"公司无效",IF(ISNA(MATCH($D315,资金账户!$B$6:$B$25,0)),"账户未建档",IF(ISNA(MATCH($E315,记账规则!$A$13:$A$32,0)),"业务类型无效",IF(AND(N($I315)&lt;&gt;0,N($J315)&lt;&gt;0),"收入和支出只能填一列",IF($P315=0,"金额为 0",IF(AND($R315="收",N($I315)=0),"这类业务是收款，金额填到收入列",IF(AND($R315="支",N($J315)=0),"这类业务是付款，金额填到支出列",IF(AND(SUMPRODUCT(--(INDEX(记账规则!$A$13:$H$32,MATCH($E315,记账规则!$A$13:$A$32,0),0)="@对方"))&gt;0,$G315=""),"这个类型要填对方科目",IF(AND($G315&lt;&gt;"",ISNA(MATCH($G315,会计科目表!$B$6:$B$85,0))),"对方科目不存在",IF(AND($E315="缴纳税费",$H315=""),"缴税请在费用项目里选税种",IF(AND($F315&lt;&gt;"",ISNA(MATCH($F315,往来单位!$A$6:$A$85,0))),"往来单位未建档",IF(YEAR($B315)&lt;&gt;参数设置!$B$5,"不在本会计年度",IF(AND($B314&lt;&gt;"",ISNUMBER($B314),$B315&lt;$B314),"日期比上一行早，余额按行序滚，建议按日期录","OK")))))))))))))))</f>
        <v/>
      </c>
      <c r="O315" s="58" t="str">
        <f aca="false">IF($B315="","",TEXT($B315,"yyyy-mm"))</f>
        <v/>
      </c>
      <c r="P315" s="60" t="str">
        <f aca="false">IF($E315="","",ROUND(N($I315)+N($J315),2))</f>
        <v/>
      </c>
      <c r="Q315" s="58" t="str">
        <f aca="false">IF($D315="","",IFERROR(INDEX(资金账户!$F$6:$F$25,MATCH($D315,资金账户!$B$6:$B$25,0)),""))</f>
        <v/>
      </c>
      <c r="R315" s="58" t="str">
        <f aca="false">IF($E315="","",IFERROR(IF(INDEX(记账规则!$A$13:$H$32,MATCH($E315,记账规则!$A$13:$A$32,0),4)="借","收","支"),""))</f>
        <v/>
      </c>
      <c r="S315" s="57" t="str">
        <f aca="false">IF($D315="","",ROUND(SUMIFS(资金账户!$H$6:$H$25,资金账户!$B$6:$B$25,$D315)+SUMIFS($I$6:$I315,$D$6:$D315,$D315)-SUMIFS($J$6:$J315,$D$6:$D315,$D315),2))</f>
        <v/>
      </c>
      <c r="T315" s="61" t="str">
        <f aca="false">IF($B315="","",YEAR($B315))</f>
        <v/>
      </c>
    </row>
    <row r="316" customFormat="false" ht="15" hidden="false" customHeight="false" outlineLevel="0" collapsed="false">
      <c r="A316" s="53" t="str">
        <f aca="false">IF($B316="","",ROW()-5)</f>
        <v/>
      </c>
      <c r="B316" s="54"/>
      <c r="C316" s="33"/>
      <c r="D316" s="33"/>
      <c r="E316" s="33"/>
      <c r="F316" s="32"/>
      <c r="G316" s="41"/>
      <c r="H316" s="39"/>
      <c r="I316" s="43"/>
      <c r="J316" s="43"/>
      <c r="K316" s="41"/>
      <c r="L316" s="39"/>
      <c r="M316" s="41"/>
      <c r="N316" s="25" t="str">
        <f aca="false">IF(AND($B316="",$E316="",$I316="",$J316=""),"",IF(NOT(ISNUMBER($B316)),"日期无效",IF(ISNA(MATCH($C316,参数设置!$A$10:$A$12,0)),"公司无效",IF(ISNA(MATCH($D316,资金账户!$B$6:$B$25,0)),"账户未建档",IF(ISNA(MATCH($E316,记账规则!$A$13:$A$32,0)),"业务类型无效",IF(AND(N($I316)&lt;&gt;0,N($J316)&lt;&gt;0),"收入和支出只能填一列",IF($P316=0,"金额为 0",IF(AND($R316="收",N($I316)=0),"这类业务是收款，金额填到收入列",IF(AND($R316="支",N($J316)=0),"这类业务是付款，金额填到支出列",IF(AND(SUMPRODUCT(--(INDEX(记账规则!$A$13:$H$32,MATCH($E316,记账规则!$A$13:$A$32,0),0)="@对方"))&gt;0,$G316=""),"这个类型要填对方科目",IF(AND($G316&lt;&gt;"",ISNA(MATCH($G316,会计科目表!$B$6:$B$85,0))),"对方科目不存在",IF(AND($E316="缴纳税费",$H316=""),"缴税请在费用项目里选税种",IF(AND($F316&lt;&gt;"",ISNA(MATCH($F316,往来单位!$A$6:$A$85,0))),"往来单位未建档",IF(YEAR($B316)&lt;&gt;参数设置!$B$5,"不在本会计年度",IF(AND($B315&lt;&gt;"",ISNUMBER($B315),$B316&lt;$B315),"日期比上一行早，余额按行序滚，建议按日期录","OK")))))))))))))))</f>
        <v/>
      </c>
      <c r="O316" s="58" t="str">
        <f aca="false">IF($B316="","",TEXT($B316,"yyyy-mm"))</f>
        <v/>
      </c>
      <c r="P316" s="60" t="str">
        <f aca="false">IF($E316="","",ROUND(N($I316)+N($J316),2))</f>
        <v/>
      </c>
      <c r="Q316" s="58" t="str">
        <f aca="false">IF($D316="","",IFERROR(INDEX(资金账户!$F$6:$F$25,MATCH($D316,资金账户!$B$6:$B$25,0)),""))</f>
        <v/>
      </c>
      <c r="R316" s="58" t="str">
        <f aca="false">IF($E316="","",IFERROR(IF(INDEX(记账规则!$A$13:$H$32,MATCH($E316,记账规则!$A$13:$A$32,0),4)="借","收","支"),""))</f>
        <v/>
      </c>
      <c r="S316" s="57" t="str">
        <f aca="false">IF($D316="","",ROUND(SUMIFS(资金账户!$H$6:$H$25,资金账户!$B$6:$B$25,$D316)+SUMIFS($I$6:$I316,$D$6:$D316,$D316)-SUMIFS($J$6:$J316,$D$6:$D316,$D316),2))</f>
        <v/>
      </c>
      <c r="T316" s="61" t="str">
        <f aca="false">IF($B316="","",YEAR($B316))</f>
        <v/>
      </c>
    </row>
    <row r="317" customFormat="false" ht="15" hidden="false" customHeight="false" outlineLevel="0" collapsed="false">
      <c r="A317" s="53" t="str">
        <f aca="false">IF($B317="","",ROW()-5)</f>
        <v/>
      </c>
      <c r="B317" s="54"/>
      <c r="C317" s="33"/>
      <c r="D317" s="33"/>
      <c r="E317" s="33"/>
      <c r="F317" s="32"/>
      <c r="G317" s="41"/>
      <c r="H317" s="39"/>
      <c r="I317" s="43"/>
      <c r="J317" s="43"/>
      <c r="K317" s="41"/>
      <c r="L317" s="39"/>
      <c r="M317" s="41"/>
      <c r="N317" s="25" t="str">
        <f aca="false">IF(AND($B317="",$E317="",$I317="",$J317=""),"",IF(NOT(ISNUMBER($B317)),"日期无效",IF(ISNA(MATCH($C317,参数设置!$A$10:$A$12,0)),"公司无效",IF(ISNA(MATCH($D317,资金账户!$B$6:$B$25,0)),"账户未建档",IF(ISNA(MATCH($E317,记账规则!$A$13:$A$32,0)),"业务类型无效",IF(AND(N($I317)&lt;&gt;0,N($J317)&lt;&gt;0),"收入和支出只能填一列",IF($P317=0,"金额为 0",IF(AND($R317="收",N($I317)=0),"这类业务是收款，金额填到收入列",IF(AND($R317="支",N($J317)=0),"这类业务是付款，金额填到支出列",IF(AND(SUMPRODUCT(--(INDEX(记账规则!$A$13:$H$32,MATCH($E317,记账规则!$A$13:$A$32,0),0)="@对方"))&gt;0,$G317=""),"这个类型要填对方科目",IF(AND($G317&lt;&gt;"",ISNA(MATCH($G317,会计科目表!$B$6:$B$85,0))),"对方科目不存在",IF(AND($E317="缴纳税费",$H317=""),"缴税请在费用项目里选税种",IF(AND($F317&lt;&gt;"",ISNA(MATCH($F317,往来单位!$A$6:$A$85,0))),"往来单位未建档",IF(YEAR($B317)&lt;&gt;参数设置!$B$5,"不在本会计年度",IF(AND($B316&lt;&gt;"",ISNUMBER($B316),$B317&lt;$B316),"日期比上一行早，余额按行序滚，建议按日期录","OK")))))))))))))))</f>
        <v/>
      </c>
      <c r="O317" s="58" t="str">
        <f aca="false">IF($B317="","",TEXT($B317,"yyyy-mm"))</f>
        <v/>
      </c>
      <c r="P317" s="60" t="str">
        <f aca="false">IF($E317="","",ROUND(N($I317)+N($J317),2))</f>
        <v/>
      </c>
      <c r="Q317" s="58" t="str">
        <f aca="false">IF($D317="","",IFERROR(INDEX(资金账户!$F$6:$F$25,MATCH($D317,资金账户!$B$6:$B$25,0)),""))</f>
        <v/>
      </c>
      <c r="R317" s="58" t="str">
        <f aca="false">IF($E317="","",IFERROR(IF(INDEX(记账规则!$A$13:$H$32,MATCH($E317,记账规则!$A$13:$A$32,0),4)="借","收","支"),""))</f>
        <v/>
      </c>
      <c r="S317" s="57" t="str">
        <f aca="false">IF($D317="","",ROUND(SUMIFS(资金账户!$H$6:$H$25,资金账户!$B$6:$B$25,$D317)+SUMIFS($I$6:$I317,$D$6:$D317,$D317)-SUMIFS($J$6:$J317,$D$6:$D317,$D317),2))</f>
        <v/>
      </c>
      <c r="T317" s="61" t="str">
        <f aca="false">IF($B317="","",YEAR($B317))</f>
        <v/>
      </c>
    </row>
    <row r="318" customFormat="false" ht="15" hidden="false" customHeight="false" outlineLevel="0" collapsed="false">
      <c r="A318" s="53" t="str">
        <f aca="false">IF($B318="","",ROW()-5)</f>
        <v/>
      </c>
      <c r="B318" s="54"/>
      <c r="C318" s="33"/>
      <c r="D318" s="33"/>
      <c r="E318" s="33"/>
      <c r="F318" s="32"/>
      <c r="G318" s="41"/>
      <c r="H318" s="39"/>
      <c r="I318" s="43"/>
      <c r="J318" s="43"/>
      <c r="K318" s="41"/>
      <c r="L318" s="39"/>
      <c r="M318" s="41"/>
      <c r="N318" s="25" t="str">
        <f aca="false">IF(AND($B318="",$E318="",$I318="",$J318=""),"",IF(NOT(ISNUMBER($B318)),"日期无效",IF(ISNA(MATCH($C318,参数设置!$A$10:$A$12,0)),"公司无效",IF(ISNA(MATCH($D318,资金账户!$B$6:$B$25,0)),"账户未建档",IF(ISNA(MATCH($E318,记账规则!$A$13:$A$32,0)),"业务类型无效",IF(AND(N($I318)&lt;&gt;0,N($J318)&lt;&gt;0),"收入和支出只能填一列",IF($P318=0,"金额为 0",IF(AND($R318="收",N($I318)=0),"这类业务是收款，金额填到收入列",IF(AND($R318="支",N($J318)=0),"这类业务是付款，金额填到支出列",IF(AND(SUMPRODUCT(--(INDEX(记账规则!$A$13:$H$32,MATCH($E318,记账规则!$A$13:$A$32,0),0)="@对方"))&gt;0,$G318=""),"这个类型要填对方科目",IF(AND($G318&lt;&gt;"",ISNA(MATCH($G318,会计科目表!$B$6:$B$85,0))),"对方科目不存在",IF(AND($E318="缴纳税费",$H318=""),"缴税请在费用项目里选税种",IF(AND($F318&lt;&gt;"",ISNA(MATCH($F318,往来单位!$A$6:$A$85,0))),"往来单位未建档",IF(YEAR($B318)&lt;&gt;参数设置!$B$5,"不在本会计年度",IF(AND($B317&lt;&gt;"",ISNUMBER($B317),$B318&lt;$B317),"日期比上一行早，余额按行序滚，建议按日期录","OK")))))))))))))))</f>
        <v/>
      </c>
      <c r="O318" s="58" t="str">
        <f aca="false">IF($B318="","",TEXT($B318,"yyyy-mm"))</f>
        <v/>
      </c>
      <c r="P318" s="60" t="str">
        <f aca="false">IF($E318="","",ROUND(N($I318)+N($J318),2))</f>
        <v/>
      </c>
      <c r="Q318" s="58" t="str">
        <f aca="false">IF($D318="","",IFERROR(INDEX(资金账户!$F$6:$F$25,MATCH($D318,资金账户!$B$6:$B$25,0)),""))</f>
        <v/>
      </c>
      <c r="R318" s="58" t="str">
        <f aca="false">IF($E318="","",IFERROR(IF(INDEX(记账规则!$A$13:$H$32,MATCH($E318,记账规则!$A$13:$A$32,0),4)="借","收","支"),""))</f>
        <v/>
      </c>
      <c r="S318" s="57" t="str">
        <f aca="false">IF($D318="","",ROUND(SUMIFS(资金账户!$H$6:$H$25,资金账户!$B$6:$B$25,$D318)+SUMIFS($I$6:$I318,$D$6:$D318,$D318)-SUMIFS($J$6:$J318,$D$6:$D318,$D318),2))</f>
        <v/>
      </c>
      <c r="T318" s="61" t="str">
        <f aca="false">IF($B318="","",YEAR($B318))</f>
        <v/>
      </c>
    </row>
    <row r="319" customFormat="false" ht="15" hidden="false" customHeight="false" outlineLevel="0" collapsed="false">
      <c r="A319" s="53" t="str">
        <f aca="false">IF($B319="","",ROW()-5)</f>
        <v/>
      </c>
      <c r="B319" s="54"/>
      <c r="C319" s="33"/>
      <c r="D319" s="33"/>
      <c r="E319" s="33"/>
      <c r="F319" s="32"/>
      <c r="G319" s="41"/>
      <c r="H319" s="39"/>
      <c r="I319" s="43"/>
      <c r="J319" s="43"/>
      <c r="K319" s="41"/>
      <c r="L319" s="39"/>
      <c r="M319" s="41"/>
      <c r="N319" s="25" t="str">
        <f aca="false">IF(AND($B319="",$E319="",$I319="",$J319=""),"",IF(NOT(ISNUMBER($B319)),"日期无效",IF(ISNA(MATCH($C319,参数设置!$A$10:$A$12,0)),"公司无效",IF(ISNA(MATCH($D319,资金账户!$B$6:$B$25,0)),"账户未建档",IF(ISNA(MATCH($E319,记账规则!$A$13:$A$32,0)),"业务类型无效",IF(AND(N($I319)&lt;&gt;0,N($J319)&lt;&gt;0),"收入和支出只能填一列",IF($P319=0,"金额为 0",IF(AND($R319="收",N($I319)=0),"这类业务是收款，金额填到收入列",IF(AND($R319="支",N($J319)=0),"这类业务是付款，金额填到支出列",IF(AND(SUMPRODUCT(--(INDEX(记账规则!$A$13:$H$32,MATCH($E319,记账规则!$A$13:$A$32,0),0)="@对方"))&gt;0,$G319=""),"这个类型要填对方科目",IF(AND($G319&lt;&gt;"",ISNA(MATCH($G319,会计科目表!$B$6:$B$85,0))),"对方科目不存在",IF(AND($E319="缴纳税费",$H319=""),"缴税请在费用项目里选税种",IF(AND($F319&lt;&gt;"",ISNA(MATCH($F319,往来单位!$A$6:$A$85,0))),"往来单位未建档",IF(YEAR($B319)&lt;&gt;参数设置!$B$5,"不在本会计年度",IF(AND($B318&lt;&gt;"",ISNUMBER($B318),$B319&lt;$B318),"日期比上一行早，余额按行序滚，建议按日期录","OK")))))))))))))))</f>
        <v/>
      </c>
      <c r="O319" s="58" t="str">
        <f aca="false">IF($B319="","",TEXT($B319,"yyyy-mm"))</f>
        <v/>
      </c>
      <c r="P319" s="60" t="str">
        <f aca="false">IF($E319="","",ROUND(N($I319)+N($J319),2))</f>
        <v/>
      </c>
      <c r="Q319" s="58" t="str">
        <f aca="false">IF($D319="","",IFERROR(INDEX(资金账户!$F$6:$F$25,MATCH($D319,资金账户!$B$6:$B$25,0)),""))</f>
        <v/>
      </c>
      <c r="R319" s="58" t="str">
        <f aca="false">IF($E319="","",IFERROR(IF(INDEX(记账规则!$A$13:$H$32,MATCH($E319,记账规则!$A$13:$A$32,0),4)="借","收","支"),""))</f>
        <v/>
      </c>
      <c r="S319" s="57" t="str">
        <f aca="false">IF($D319="","",ROUND(SUMIFS(资金账户!$H$6:$H$25,资金账户!$B$6:$B$25,$D319)+SUMIFS($I$6:$I319,$D$6:$D319,$D319)-SUMIFS($J$6:$J319,$D$6:$D319,$D319),2))</f>
        <v/>
      </c>
      <c r="T319" s="61" t="str">
        <f aca="false">IF($B319="","",YEAR($B319))</f>
        <v/>
      </c>
    </row>
    <row r="320" customFormat="false" ht="15" hidden="false" customHeight="false" outlineLevel="0" collapsed="false">
      <c r="A320" s="53" t="str">
        <f aca="false">IF($B320="","",ROW()-5)</f>
        <v/>
      </c>
      <c r="B320" s="54"/>
      <c r="C320" s="33"/>
      <c r="D320" s="33"/>
      <c r="E320" s="33"/>
      <c r="F320" s="32"/>
      <c r="G320" s="41"/>
      <c r="H320" s="39"/>
      <c r="I320" s="43"/>
      <c r="J320" s="43"/>
      <c r="K320" s="41"/>
      <c r="L320" s="39"/>
      <c r="M320" s="41"/>
      <c r="N320" s="25" t="str">
        <f aca="false">IF(AND($B320="",$E320="",$I320="",$J320=""),"",IF(NOT(ISNUMBER($B320)),"日期无效",IF(ISNA(MATCH($C320,参数设置!$A$10:$A$12,0)),"公司无效",IF(ISNA(MATCH($D320,资金账户!$B$6:$B$25,0)),"账户未建档",IF(ISNA(MATCH($E320,记账规则!$A$13:$A$32,0)),"业务类型无效",IF(AND(N($I320)&lt;&gt;0,N($J320)&lt;&gt;0),"收入和支出只能填一列",IF($P320=0,"金额为 0",IF(AND($R320="收",N($I320)=0),"这类业务是收款，金额填到收入列",IF(AND($R320="支",N($J320)=0),"这类业务是付款，金额填到支出列",IF(AND(SUMPRODUCT(--(INDEX(记账规则!$A$13:$H$32,MATCH($E320,记账规则!$A$13:$A$32,0),0)="@对方"))&gt;0,$G320=""),"这个类型要填对方科目",IF(AND($G320&lt;&gt;"",ISNA(MATCH($G320,会计科目表!$B$6:$B$85,0))),"对方科目不存在",IF(AND($E320="缴纳税费",$H320=""),"缴税请在费用项目里选税种",IF(AND($F320&lt;&gt;"",ISNA(MATCH($F320,往来单位!$A$6:$A$85,0))),"往来单位未建档",IF(YEAR($B320)&lt;&gt;参数设置!$B$5,"不在本会计年度",IF(AND($B319&lt;&gt;"",ISNUMBER($B319),$B320&lt;$B319),"日期比上一行早，余额按行序滚，建议按日期录","OK")))))))))))))))</f>
        <v/>
      </c>
      <c r="O320" s="58" t="str">
        <f aca="false">IF($B320="","",TEXT($B320,"yyyy-mm"))</f>
        <v/>
      </c>
      <c r="P320" s="60" t="str">
        <f aca="false">IF($E320="","",ROUND(N($I320)+N($J320),2))</f>
        <v/>
      </c>
      <c r="Q320" s="58" t="str">
        <f aca="false">IF($D320="","",IFERROR(INDEX(资金账户!$F$6:$F$25,MATCH($D320,资金账户!$B$6:$B$25,0)),""))</f>
        <v/>
      </c>
      <c r="R320" s="58" t="str">
        <f aca="false">IF($E320="","",IFERROR(IF(INDEX(记账规则!$A$13:$H$32,MATCH($E320,记账规则!$A$13:$A$32,0),4)="借","收","支"),""))</f>
        <v/>
      </c>
      <c r="S320" s="57" t="str">
        <f aca="false">IF($D320="","",ROUND(SUMIFS(资金账户!$H$6:$H$25,资金账户!$B$6:$B$25,$D320)+SUMIFS($I$6:$I320,$D$6:$D320,$D320)-SUMIFS($J$6:$J320,$D$6:$D320,$D320),2))</f>
        <v/>
      </c>
      <c r="T320" s="61" t="str">
        <f aca="false">IF($B320="","",YEAR($B320))</f>
        <v/>
      </c>
    </row>
    <row r="321" customFormat="false" ht="15" hidden="false" customHeight="false" outlineLevel="0" collapsed="false">
      <c r="A321" s="53" t="str">
        <f aca="false">IF($B321="","",ROW()-5)</f>
        <v/>
      </c>
      <c r="B321" s="54"/>
      <c r="C321" s="33"/>
      <c r="D321" s="33"/>
      <c r="E321" s="33"/>
      <c r="F321" s="32"/>
      <c r="G321" s="41"/>
      <c r="H321" s="39"/>
      <c r="I321" s="43"/>
      <c r="J321" s="43"/>
      <c r="K321" s="41"/>
      <c r="L321" s="39"/>
      <c r="M321" s="41"/>
      <c r="N321" s="25" t="str">
        <f aca="false">IF(AND($B321="",$E321="",$I321="",$J321=""),"",IF(NOT(ISNUMBER($B321)),"日期无效",IF(ISNA(MATCH($C321,参数设置!$A$10:$A$12,0)),"公司无效",IF(ISNA(MATCH($D321,资金账户!$B$6:$B$25,0)),"账户未建档",IF(ISNA(MATCH($E321,记账规则!$A$13:$A$32,0)),"业务类型无效",IF(AND(N($I321)&lt;&gt;0,N($J321)&lt;&gt;0),"收入和支出只能填一列",IF($P321=0,"金额为 0",IF(AND($R321="收",N($I321)=0),"这类业务是收款，金额填到收入列",IF(AND($R321="支",N($J321)=0),"这类业务是付款，金额填到支出列",IF(AND(SUMPRODUCT(--(INDEX(记账规则!$A$13:$H$32,MATCH($E321,记账规则!$A$13:$A$32,0),0)="@对方"))&gt;0,$G321=""),"这个类型要填对方科目",IF(AND($G321&lt;&gt;"",ISNA(MATCH($G321,会计科目表!$B$6:$B$85,0))),"对方科目不存在",IF(AND($E321="缴纳税费",$H321=""),"缴税请在费用项目里选税种",IF(AND($F321&lt;&gt;"",ISNA(MATCH($F321,往来单位!$A$6:$A$85,0))),"往来单位未建档",IF(YEAR($B321)&lt;&gt;参数设置!$B$5,"不在本会计年度",IF(AND($B320&lt;&gt;"",ISNUMBER($B320),$B321&lt;$B320),"日期比上一行早，余额按行序滚，建议按日期录","OK")))))))))))))))</f>
        <v/>
      </c>
      <c r="O321" s="58" t="str">
        <f aca="false">IF($B321="","",TEXT($B321,"yyyy-mm"))</f>
        <v/>
      </c>
      <c r="P321" s="60" t="str">
        <f aca="false">IF($E321="","",ROUND(N($I321)+N($J321),2))</f>
        <v/>
      </c>
      <c r="Q321" s="58" t="str">
        <f aca="false">IF($D321="","",IFERROR(INDEX(资金账户!$F$6:$F$25,MATCH($D321,资金账户!$B$6:$B$25,0)),""))</f>
        <v/>
      </c>
      <c r="R321" s="58" t="str">
        <f aca="false">IF($E321="","",IFERROR(IF(INDEX(记账规则!$A$13:$H$32,MATCH($E321,记账规则!$A$13:$A$32,0),4)="借","收","支"),""))</f>
        <v/>
      </c>
      <c r="S321" s="57" t="str">
        <f aca="false">IF($D321="","",ROUND(SUMIFS(资金账户!$H$6:$H$25,资金账户!$B$6:$B$25,$D321)+SUMIFS($I$6:$I321,$D$6:$D321,$D321)-SUMIFS($J$6:$J321,$D$6:$D321,$D321),2))</f>
        <v/>
      </c>
      <c r="T321" s="61" t="str">
        <f aca="false">IF($B321="","",YEAR($B321))</f>
        <v/>
      </c>
    </row>
    <row r="322" customFormat="false" ht="15" hidden="false" customHeight="false" outlineLevel="0" collapsed="false">
      <c r="A322" s="53" t="str">
        <f aca="false">IF($B322="","",ROW()-5)</f>
        <v/>
      </c>
      <c r="B322" s="54"/>
      <c r="C322" s="33"/>
      <c r="D322" s="33"/>
      <c r="E322" s="33"/>
      <c r="F322" s="32"/>
      <c r="G322" s="41"/>
      <c r="H322" s="39"/>
      <c r="I322" s="43"/>
      <c r="J322" s="43"/>
      <c r="K322" s="41"/>
      <c r="L322" s="39"/>
      <c r="M322" s="41"/>
      <c r="N322" s="25" t="str">
        <f aca="false">IF(AND($B322="",$E322="",$I322="",$J322=""),"",IF(NOT(ISNUMBER($B322)),"日期无效",IF(ISNA(MATCH($C322,参数设置!$A$10:$A$12,0)),"公司无效",IF(ISNA(MATCH($D322,资金账户!$B$6:$B$25,0)),"账户未建档",IF(ISNA(MATCH($E322,记账规则!$A$13:$A$32,0)),"业务类型无效",IF(AND(N($I322)&lt;&gt;0,N($J322)&lt;&gt;0),"收入和支出只能填一列",IF($P322=0,"金额为 0",IF(AND($R322="收",N($I322)=0),"这类业务是收款，金额填到收入列",IF(AND($R322="支",N($J322)=0),"这类业务是付款，金额填到支出列",IF(AND(SUMPRODUCT(--(INDEX(记账规则!$A$13:$H$32,MATCH($E322,记账规则!$A$13:$A$32,0),0)="@对方"))&gt;0,$G322=""),"这个类型要填对方科目",IF(AND($G322&lt;&gt;"",ISNA(MATCH($G322,会计科目表!$B$6:$B$85,0))),"对方科目不存在",IF(AND($E322="缴纳税费",$H322=""),"缴税请在费用项目里选税种",IF(AND($F322&lt;&gt;"",ISNA(MATCH($F322,往来单位!$A$6:$A$85,0))),"往来单位未建档",IF(YEAR($B322)&lt;&gt;参数设置!$B$5,"不在本会计年度",IF(AND($B321&lt;&gt;"",ISNUMBER($B321),$B322&lt;$B321),"日期比上一行早，余额按行序滚，建议按日期录","OK")))))))))))))))</f>
        <v/>
      </c>
      <c r="O322" s="58" t="str">
        <f aca="false">IF($B322="","",TEXT($B322,"yyyy-mm"))</f>
        <v/>
      </c>
      <c r="P322" s="60" t="str">
        <f aca="false">IF($E322="","",ROUND(N($I322)+N($J322),2))</f>
        <v/>
      </c>
      <c r="Q322" s="58" t="str">
        <f aca="false">IF($D322="","",IFERROR(INDEX(资金账户!$F$6:$F$25,MATCH($D322,资金账户!$B$6:$B$25,0)),""))</f>
        <v/>
      </c>
      <c r="R322" s="58" t="str">
        <f aca="false">IF($E322="","",IFERROR(IF(INDEX(记账规则!$A$13:$H$32,MATCH($E322,记账规则!$A$13:$A$32,0),4)="借","收","支"),""))</f>
        <v/>
      </c>
      <c r="S322" s="57" t="str">
        <f aca="false">IF($D322="","",ROUND(SUMIFS(资金账户!$H$6:$H$25,资金账户!$B$6:$B$25,$D322)+SUMIFS($I$6:$I322,$D$6:$D322,$D322)-SUMIFS($J$6:$J322,$D$6:$D322,$D322),2))</f>
        <v/>
      </c>
      <c r="T322" s="61" t="str">
        <f aca="false">IF($B322="","",YEAR($B322))</f>
        <v/>
      </c>
    </row>
    <row r="323" customFormat="false" ht="15" hidden="false" customHeight="false" outlineLevel="0" collapsed="false">
      <c r="A323" s="53" t="str">
        <f aca="false">IF($B323="","",ROW()-5)</f>
        <v/>
      </c>
      <c r="B323" s="54"/>
      <c r="C323" s="33"/>
      <c r="D323" s="33"/>
      <c r="E323" s="33"/>
      <c r="F323" s="32"/>
      <c r="G323" s="41"/>
      <c r="H323" s="39"/>
      <c r="I323" s="43"/>
      <c r="J323" s="43"/>
      <c r="K323" s="41"/>
      <c r="L323" s="39"/>
      <c r="M323" s="41"/>
      <c r="N323" s="25" t="str">
        <f aca="false">IF(AND($B323="",$E323="",$I323="",$J323=""),"",IF(NOT(ISNUMBER($B323)),"日期无效",IF(ISNA(MATCH($C323,参数设置!$A$10:$A$12,0)),"公司无效",IF(ISNA(MATCH($D323,资金账户!$B$6:$B$25,0)),"账户未建档",IF(ISNA(MATCH($E323,记账规则!$A$13:$A$32,0)),"业务类型无效",IF(AND(N($I323)&lt;&gt;0,N($J323)&lt;&gt;0),"收入和支出只能填一列",IF($P323=0,"金额为 0",IF(AND($R323="收",N($I323)=0),"这类业务是收款，金额填到收入列",IF(AND($R323="支",N($J323)=0),"这类业务是付款，金额填到支出列",IF(AND(SUMPRODUCT(--(INDEX(记账规则!$A$13:$H$32,MATCH($E323,记账规则!$A$13:$A$32,0),0)="@对方"))&gt;0,$G323=""),"这个类型要填对方科目",IF(AND($G323&lt;&gt;"",ISNA(MATCH($G323,会计科目表!$B$6:$B$85,0))),"对方科目不存在",IF(AND($E323="缴纳税费",$H323=""),"缴税请在费用项目里选税种",IF(AND($F323&lt;&gt;"",ISNA(MATCH($F323,往来单位!$A$6:$A$85,0))),"往来单位未建档",IF(YEAR($B323)&lt;&gt;参数设置!$B$5,"不在本会计年度",IF(AND($B322&lt;&gt;"",ISNUMBER($B322),$B323&lt;$B322),"日期比上一行早，余额按行序滚，建议按日期录","OK")))))))))))))))</f>
        <v/>
      </c>
      <c r="O323" s="58" t="str">
        <f aca="false">IF($B323="","",TEXT($B323,"yyyy-mm"))</f>
        <v/>
      </c>
      <c r="P323" s="60" t="str">
        <f aca="false">IF($E323="","",ROUND(N($I323)+N($J323),2))</f>
        <v/>
      </c>
      <c r="Q323" s="58" t="str">
        <f aca="false">IF($D323="","",IFERROR(INDEX(资金账户!$F$6:$F$25,MATCH($D323,资金账户!$B$6:$B$25,0)),""))</f>
        <v/>
      </c>
      <c r="R323" s="58" t="str">
        <f aca="false">IF($E323="","",IFERROR(IF(INDEX(记账规则!$A$13:$H$32,MATCH($E323,记账规则!$A$13:$A$32,0),4)="借","收","支"),""))</f>
        <v/>
      </c>
      <c r="S323" s="57" t="str">
        <f aca="false">IF($D323="","",ROUND(SUMIFS(资金账户!$H$6:$H$25,资金账户!$B$6:$B$25,$D323)+SUMIFS($I$6:$I323,$D$6:$D323,$D323)-SUMIFS($J$6:$J323,$D$6:$D323,$D323),2))</f>
        <v/>
      </c>
      <c r="T323" s="61" t="str">
        <f aca="false">IF($B323="","",YEAR($B323))</f>
        <v/>
      </c>
    </row>
    <row r="324" customFormat="false" ht="15" hidden="false" customHeight="false" outlineLevel="0" collapsed="false">
      <c r="A324" s="53" t="str">
        <f aca="false">IF($B324="","",ROW()-5)</f>
        <v/>
      </c>
      <c r="B324" s="54"/>
      <c r="C324" s="33"/>
      <c r="D324" s="33"/>
      <c r="E324" s="33"/>
      <c r="F324" s="32"/>
      <c r="G324" s="41"/>
      <c r="H324" s="39"/>
      <c r="I324" s="43"/>
      <c r="J324" s="43"/>
      <c r="K324" s="41"/>
      <c r="L324" s="39"/>
      <c r="M324" s="41"/>
      <c r="N324" s="25" t="str">
        <f aca="false">IF(AND($B324="",$E324="",$I324="",$J324=""),"",IF(NOT(ISNUMBER($B324)),"日期无效",IF(ISNA(MATCH($C324,参数设置!$A$10:$A$12,0)),"公司无效",IF(ISNA(MATCH($D324,资金账户!$B$6:$B$25,0)),"账户未建档",IF(ISNA(MATCH($E324,记账规则!$A$13:$A$32,0)),"业务类型无效",IF(AND(N($I324)&lt;&gt;0,N($J324)&lt;&gt;0),"收入和支出只能填一列",IF($P324=0,"金额为 0",IF(AND($R324="收",N($I324)=0),"这类业务是收款，金额填到收入列",IF(AND($R324="支",N($J324)=0),"这类业务是付款，金额填到支出列",IF(AND(SUMPRODUCT(--(INDEX(记账规则!$A$13:$H$32,MATCH($E324,记账规则!$A$13:$A$32,0),0)="@对方"))&gt;0,$G324=""),"这个类型要填对方科目",IF(AND($G324&lt;&gt;"",ISNA(MATCH($G324,会计科目表!$B$6:$B$85,0))),"对方科目不存在",IF(AND($E324="缴纳税费",$H324=""),"缴税请在费用项目里选税种",IF(AND($F324&lt;&gt;"",ISNA(MATCH($F324,往来单位!$A$6:$A$85,0))),"往来单位未建档",IF(YEAR($B324)&lt;&gt;参数设置!$B$5,"不在本会计年度",IF(AND($B323&lt;&gt;"",ISNUMBER($B323),$B324&lt;$B323),"日期比上一行早，余额按行序滚，建议按日期录","OK")))))))))))))))</f>
        <v/>
      </c>
      <c r="O324" s="58" t="str">
        <f aca="false">IF($B324="","",TEXT($B324,"yyyy-mm"))</f>
        <v/>
      </c>
      <c r="P324" s="60" t="str">
        <f aca="false">IF($E324="","",ROUND(N($I324)+N($J324),2))</f>
        <v/>
      </c>
      <c r="Q324" s="58" t="str">
        <f aca="false">IF($D324="","",IFERROR(INDEX(资金账户!$F$6:$F$25,MATCH($D324,资金账户!$B$6:$B$25,0)),""))</f>
        <v/>
      </c>
      <c r="R324" s="58" t="str">
        <f aca="false">IF($E324="","",IFERROR(IF(INDEX(记账规则!$A$13:$H$32,MATCH($E324,记账规则!$A$13:$A$32,0),4)="借","收","支"),""))</f>
        <v/>
      </c>
      <c r="S324" s="57" t="str">
        <f aca="false">IF($D324="","",ROUND(SUMIFS(资金账户!$H$6:$H$25,资金账户!$B$6:$B$25,$D324)+SUMIFS($I$6:$I324,$D$6:$D324,$D324)-SUMIFS($J$6:$J324,$D$6:$D324,$D324),2))</f>
        <v/>
      </c>
      <c r="T324" s="61" t="str">
        <f aca="false">IF($B324="","",YEAR($B324))</f>
        <v/>
      </c>
    </row>
    <row r="325" customFormat="false" ht="15" hidden="false" customHeight="false" outlineLevel="0" collapsed="false">
      <c r="A325" s="53" t="str">
        <f aca="false">IF($B325="","",ROW()-5)</f>
        <v/>
      </c>
      <c r="B325" s="54"/>
      <c r="C325" s="33"/>
      <c r="D325" s="33"/>
      <c r="E325" s="33"/>
      <c r="F325" s="32"/>
      <c r="G325" s="41"/>
      <c r="H325" s="39"/>
      <c r="I325" s="43"/>
      <c r="J325" s="43"/>
      <c r="K325" s="41"/>
      <c r="L325" s="39"/>
      <c r="M325" s="41"/>
      <c r="N325" s="25" t="str">
        <f aca="false">IF(AND($B325="",$E325="",$I325="",$J325=""),"",IF(NOT(ISNUMBER($B325)),"日期无效",IF(ISNA(MATCH($C325,参数设置!$A$10:$A$12,0)),"公司无效",IF(ISNA(MATCH($D325,资金账户!$B$6:$B$25,0)),"账户未建档",IF(ISNA(MATCH($E325,记账规则!$A$13:$A$32,0)),"业务类型无效",IF(AND(N($I325)&lt;&gt;0,N($J325)&lt;&gt;0),"收入和支出只能填一列",IF($P325=0,"金额为 0",IF(AND($R325="收",N($I325)=0),"这类业务是收款，金额填到收入列",IF(AND($R325="支",N($J325)=0),"这类业务是付款，金额填到支出列",IF(AND(SUMPRODUCT(--(INDEX(记账规则!$A$13:$H$32,MATCH($E325,记账规则!$A$13:$A$32,0),0)="@对方"))&gt;0,$G325=""),"这个类型要填对方科目",IF(AND($G325&lt;&gt;"",ISNA(MATCH($G325,会计科目表!$B$6:$B$85,0))),"对方科目不存在",IF(AND($E325="缴纳税费",$H325=""),"缴税请在费用项目里选税种",IF(AND($F325&lt;&gt;"",ISNA(MATCH($F325,往来单位!$A$6:$A$85,0))),"往来单位未建档",IF(YEAR($B325)&lt;&gt;参数设置!$B$5,"不在本会计年度",IF(AND($B324&lt;&gt;"",ISNUMBER($B324),$B325&lt;$B324),"日期比上一行早，余额按行序滚，建议按日期录","OK")))))))))))))))</f>
        <v/>
      </c>
      <c r="O325" s="58" t="str">
        <f aca="false">IF($B325="","",TEXT($B325,"yyyy-mm"))</f>
        <v/>
      </c>
      <c r="P325" s="60" t="str">
        <f aca="false">IF($E325="","",ROUND(N($I325)+N($J325),2))</f>
        <v/>
      </c>
      <c r="Q325" s="58" t="str">
        <f aca="false">IF($D325="","",IFERROR(INDEX(资金账户!$F$6:$F$25,MATCH($D325,资金账户!$B$6:$B$25,0)),""))</f>
        <v/>
      </c>
      <c r="R325" s="58" t="str">
        <f aca="false">IF($E325="","",IFERROR(IF(INDEX(记账规则!$A$13:$H$32,MATCH($E325,记账规则!$A$13:$A$32,0),4)="借","收","支"),""))</f>
        <v/>
      </c>
      <c r="S325" s="57" t="str">
        <f aca="false">IF($D325="","",ROUND(SUMIFS(资金账户!$H$6:$H$25,资金账户!$B$6:$B$25,$D325)+SUMIFS($I$6:$I325,$D$6:$D325,$D325)-SUMIFS($J$6:$J325,$D$6:$D325,$D325),2))</f>
        <v/>
      </c>
      <c r="T325" s="61" t="str">
        <f aca="false">IF($B325="","",YEAR($B325))</f>
        <v/>
      </c>
    </row>
    <row r="326" customFormat="false" ht="15" hidden="false" customHeight="false" outlineLevel="0" collapsed="false">
      <c r="A326" s="53" t="str">
        <f aca="false">IF($B326="","",ROW()-5)</f>
        <v/>
      </c>
      <c r="B326" s="54"/>
      <c r="C326" s="33"/>
      <c r="D326" s="33"/>
      <c r="E326" s="33"/>
      <c r="F326" s="32"/>
      <c r="G326" s="41"/>
      <c r="H326" s="39"/>
      <c r="I326" s="43"/>
      <c r="J326" s="43"/>
      <c r="K326" s="41"/>
      <c r="L326" s="39"/>
      <c r="M326" s="41"/>
      <c r="N326" s="25" t="str">
        <f aca="false">IF(AND($B326="",$E326="",$I326="",$J326=""),"",IF(NOT(ISNUMBER($B326)),"日期无效",IF(ISNA(MATCH($C326,参数设置!$A$10:$A$12,0)),"公司无效",IF(ISNA(MATCH($D326,资金账户!$B$6:$B$25,0)),"账户未建档",IF(ISNA(MATCH($E326,记账规则!$A$13:$A$32,0)),"业务类型无效",IF(AND(N($I326)&lt;&gt;0,N($J326)&lt;&gt;0),"收入和支出只能填一列",IF($P326=0,"金额为 0",IF(AND($R326="收",N($I326)=0),"这类业务是收款，金额填到收入列",IF(AND($R326="支",N($J326)=0),"这类业务是付款，金额填到支出列",IF(AND(SUMPRODUCT(--(INDEX(记账规则!$A$13:$H$32,MATCH($E326,记账规则!$A$13:$A$32,0),0)="@对方"))&gt;0,$G326=""),"这个类型要填对方科目",IF(AND($G326&lt;&gt;"",ISNA(MATCH($G326,会计科目表!$B$6:$B$85,0))),"对方科目不存在",IF(AND($E326="缴纳税费",$H326=""),"缴税请在费用项目里选税种",IF(AND($F326&lt;&gt;"",ISNA(MATCH($F326,往来单位!$A$6:$A$85,0))),"往来单位未建档",IF(YEAR($B326)&lt;&gt;参数设置!$B$5,"不在本会计年度",IF(AND($B325&lt;&gt;"",ISNUMBER($B325),$B326&lt;$B325),"日期比上一行早，余额按行序滚，建议按日期录","OK")))))))))))))))</f>
        <v/>
      </c>
      <c r="O326" s="58" t="str">
        <f aca="false">IF($B326="","",TEXT($B326,"yyyy-mm"))</f>
        <v/>
      </c>
      <c r="P326" s="60" t="str">
        <f aca="false">IF($E326="","",ROUND(N($I326)+N($J326),2))</f>
        <v/>
      </c>
      <c r="Q326" s="58" t="str">
        <f aca="false">IF($D326="","",IFERROR(INDEX(资金账户!$F$6:$F$25,MATCH($D326,资金账户!$B$6:$B$25,0)),""))</f>
        <v/>
      </c>
      <c r="R326" s="58" t="str">
        <f aca="false">IF($E326="","",IFERROR(IF(INDEX(记账规则!$A$13:$H$32,MATCH($E326,记账规则!$A$13:$A$32,0),4)="借","收","支"),""))</f>
        <v/>
      </c>
      <c r="S326" s="57" t="str">
        <f aca="false">IF($D326="","",ROUND(SUMIFS(资金账户!$H$6:$H$25,资金账户!$B$6:$B$25,$D326)+SUMIFS($I$6:$I326,$D$6:$D326,$D326)-SUMIFS($J$6:$J326,$D$6:$D326,$D326),2))</f>
        <v/>
      </c>
      <c r="T326" s="61" t="str">
        <f aca="false">IF($B326="","",YEAR($B326))</f>
        <v/>
      </c>
    </row>
    <row r="327" customFormat="false" ht="15" hidden="false" customHeight="false" outlineLevel="0" collapsed="false">
      <c r="A327" s="53" t="str">
        <f aca="false">IF($B327="","",ROW()-5)</f>
        <v/>
      </c>
      <c r="B327" s="54"/>
      <c r="C327" s="33"/>
      <c r="D327" s="33"/>
      <c r="E327" s="33"/>
      <c r="F327" s="32"/>
      <c r="G327" s="41"/>
      <c r="H327" s="39"/>
      <c r="I327" s="43"/>
      <c r="J327" s="43"/>
      <c r="K327" s="41"/>
      <c r="L327" s="39"/>
      <c r="M327" s="41"/>
      <c r="N327" s="25" t="str">
        <f aca="false">IF(AND($B327="",$E327="",$I327="",$J327=""),"",IF(NOT(ISNUMBER($B327)),"日期无效",IF(ISNA(MATCH($C327,参数设置!$A$10:$A$12,0)),"公司无效",IF(ISNA(MATCH($D327,资金账户!$B$6:$B$25,0)),"账户未建档",IF(ISNA(MATCH($E327,记账规则!$A$13:$A$32,0)),"业务类型无效",IF(AND(N($I327)&lt;&gt;0,N($J327)&lt;&gt;0),"收入和支出只能填一列",IF($P327=0,"金额为 0",IF(AND($R327="收",N($I327)=0),"这类业务是收款，金额填到收入列",IF(AND($R327="支",N($J327)=0),"这类业务是付款，金额填到支出列",IF(AND(SUMPRODUCT(--(INDEX(记账规则!$A$13:$H$32,MATCH($E327,记账规则!$A$13:$A$32,0),0)="@对方"))&gt;0,$G327=""),"这个类型要填对方科目",IF(AND($G327&lt;&gt;"",ISNA(MATCH($G327,会计科目表!$B$6:$B$85,0))),"对方科目不存在",IF(AND($E327="缴纳税费",$H327=""),"缴税请在费用项目里选税种",IF(AND($F327&lt;&gt;"",ISNA(MATCH($F327,往来单位!$A$6:$A$85,0))),"往来单位未建档",IF(YEAR($B327)&lt;&gt;参数设置!$B$5,"不在本会计年度",IF(AND($B326&lt;&gt;"",ISNUMBER($B326),$B327&lt;$B326),"日期比上一行早，余额按行序滚，建议按日期录","OK")))))))))))))))</f>
        <v/>
      </c>
      <c r="O327" s="58" t="str">
        <f aca="false">IF($B327="","",TEXT($B327,"yyyy-mm"))</f>
        <v/>
      </c>
      <c r="P327" s="60" t="str">
        <f aca="false">IF($E327="","",ROUND(N($I327)+N($J327),2))</f>
        <v/>
      </c>
      <c r="Q327" s="58" t="str">
        <f aca="false">IF($D327="","",IFERROR(INDEX(资金账户!$F$6:$F$25,MATCH($D327,资金账户!$B$6:$B$25,0)),""))</f>
        <v/>
      </c>
      <c r="R327" s="58" t="str">
        <f aca="false">IF($E327="","",IFERROR(IF(INDEX(记账规则!$A$13:$H$32,MATCH($E327,记账规则!$A$13:$A$32,0),4)="借","收","支"),""))</f>
        <v/>
      </c>
      <c r="S327" s="57" t="str">
        <f aca="false">IF($D327="","",ROUND(SUMIFS(资金账户!$H$6:$H$25,资金账户!$B$6:$B$25,$D327)+SUMIFS($I$6:$I327,$D$6:$D327,$D327)-SUMIFS($J$6:$J327,$D$6:$D327,$D327),2))</f>
        <v/>
      </c>
      <c r="T327" s="61" t="str">
        <f aca="false">IF($B327="","",YEAR($B327))</f>
        <v/>
      </c>
    </row>
    <row r="328" customFormat="false" ht="15" hidden="false" customHeight="false" outlineLevel="0" collapsed="false">
      <c r="A328" s="53" t="str">
        <f aca="false">IF($B328="","",ROW()-5)</f>
        <v/>
      </c>
      <c r="B328" s="54"/>
      <c r="C328" s="33"/>
      <c r="D328" s="33"/>
      <c r="E328" s="33"/>
      <c r="F328" s="32"/>
      <c r="G328" s="41"/>
      <c r="H328" s="39"/>
      <c r="I328" s="43"/>
      <c r="J328" s="43"/>
      <c r="K328" s="41"/>
      <c r="L328" s="39"/>
      <c r="M328" s="41"/>
      <c r="N328" s="25" t="str">
        <f aca="false">IF(AND($B328="",$E328="",$I328="",$J328=""),"",IF(NOT(ISNUMBER($B328)),"日期无效",IF(ISNA(MATCH($C328,参数设置!$A$10:$A$12,0)),"公司无效",IF(ISNA(MATCH($D328,资金账户!$B$6:$B$25,0)),"账户未建档",IF(ISNA(MATCH($E328,记账规则!$A$13:$A$32,0)),"业务类型无效",IF(AND(N($I328)&lt;&gt;0,N($J328)&lt;&gt;0),"收入和支出只能填一列",IF($P328=0,"金额为 0",IF(AND($R328="收",N($I328)=0),"这类业务是收款，金额填到收入列",IF(AND($R328="支",N($J328)=0),"这类业务是付款，金额填到支出列",IF(AND(SUMPRODUCT(--(INDEX(记账规则!$A$13:$H$32,MATCH($E328,记账规则!$A$13:$A$32,0),0)="@对方"))&gt;0,$G328=""),"这个类型要填对方科目",IF(AND($G328&lt;&gt;"",ISNA(MATCH($G328,会计科目表!$B$6:$B$85,0))),"对方科目不存在",IF(AND($E328="缴纳税费",$H328=""),"缴税请在费用项目里选税种",IF(AND($F328&lt;&gt;"",ISNA(MATCH($F328,往来单位!$A$6:$A$85,0))),"往来单位未建档",IF(YEAR($B328)&lt;&gt;参数设置!$B$5,"不在本会计年度",IF(AND($B327&lt;&gt;"",ISNUMBER($B327),$B328&lt;$B327),"日期比上一行早，余额按行序滚，建议按日期录","OK")))))))))))))))</f>
        <v/>
      </c>
      <c r="O328" s="58" t="str">
        <f aca="false">IF($B328="","",TEXT($B328,"yyyy-mm"))</f>
        <v/>
      </c>
      <c r="P328" s="60" t="str">
        <f aca="false">IF($E328="","",ROUND(N($I328)+N($J328),2))</f>
        <v/>
      </c>
      <c r="Q328" s="58" t="str">
        <f aca="false">IF($D328="","",IFERROR(INDEX(资金账户!$F$6:$F$25,MATCH($D328,资金账户!$B$6:$B$25,0)),""))</f>
        <v/>
      </c>
      <c r="R328" s="58" t="str">
        <f aca="false">IF($E328="","",IFERROR(IF(INDEX(记账规则!$A$13:$H$32,MATCH($E328,记账规则!$A$13:$A$32,0),4)="借","收","支"),""))</f>
        <v/>
      </c>
      <c r="S328" s="57" t="str">
        <f aca="false">IF($D328="","",ROUND(SUMIFS(资金账户!$H$6:$H$25,资金账户!$B$6:$B$25,$D328)+SUMIFS($I$6:$I328,$D$6:$D328,$D328)-SUMIFS($J$6:$J328,$D$6:$D328,$D328),2))</f>
        <v/>
      </c>
      <c r="T328" s="61" t="str">
        <f aca="false">IF($B328="","",YEAR($B328))</f>
        <v/>
      </c>
    </row>
    <row r="329" customFormat="false" ht="15" hidden="false" customHeight="false" outlineLevel="0" collapsed="false">
      <c r="A329" s="53" t="str">
        <f aca="false">IF($B329="","",ROW()-5)</f>
        <v/>
      </c>
      <c r="B329" s="54"/>
      <c r="C329" s="33"/>
      <c r="D329" s="33"/>
      <c r="E329" s="33"/>
      <c r="F329" s="32"/>
      <c r="G329" s="41"/>
      <c r="H329" s="39"/>
      <c r="I329" s="43"/>
      <c r="J329" s="43"/>
      <c r="K329" s="41"/>
      <c r="L329" s="39"/>
      <c r="M329" s="41"/>
      <c r="N329" s="25" t="str">
        <f aca="false">IF(AND($B329="",$E329="",$I329="",$J329=""),"",IF(NOT(ISNUMBER($B329)),"日期无效",IF(ISNA(MATCH($C329,参数设置!$A$10:$A$12,0)),"公司无效",IF(ISNA(MATCH($D329,资金账户!$B$6:$B$25,0)),"账户未建档",IF(ISNA(MATCH($E329,记账规则!$A$13:$A$32,0)),"业务类型无效",IF(AND(N($I329)&lt;&gt;0,N($J329)&lt;&gt;0),"收入和支出只能填一列",IF($P329=0,"金额为 0",IF(AND($R329="收",N($I329)=0),"这类业务是收款，金额填到收入列",IF(AND($R329="支",N($J329)=0),"这类业务是付款，金额填到支出列",IF(AND(SUMPRODUCT(--(INDEX(记账规则!$A$13:$H$32,MATCH($E329,记账规则!$A$13:$A$32,0),0)="@对方"))&gt;0,$G329=""),"这个类型要填对方科目",IF(AND($G329&lt;&gt;"",ISNA(MATCH($G329,会计科目表!$B$6:$B$85,0))),"对方科目不存在",IF(AND($E329="缴纳税费",$H329=""),"缴税请在费用项目里选税种",IF(AND($F329&lt;&gt;"",ISNA(MATCH($F329,往来单位!$A$6:$A$85,0))),"往来单位未建档",IF(YEAR($B329)&lt;&gt;参数设置!$B$5,"不在本会计年度",IF(AND($B328&lt;&gt;"",ISNUMBER($B328),$B329&lt;$B328),"日期比上一行早，余额按行序滚，建议按日期录","OK")))))))))))))))</f>
        <v/>
      </c>
      <c r="O329" s="58" t="str">
        <f aca="false">IF($B329="","",TEXT($B329,"yyyy-mm"))</f>
        <v/>
      </c>
      <c r="P329" s="60" t="str">
        <f aca="false">IF($E329="","",ROUND(N($I329)+N($J329),2))</f>
        <v/>
      </c>
      <c r="Q329" s="58" t="str">
        <f aca="false">IF($D329="","",IFERROR(INDEX(资金账户!$F$6:$F$25,MATCH($D329,资金账户!$B$6:$B$25,0)),""))</f>
        <v/>
      </c>
      <c r="R329" s="58" t="str">
        <f aca="false">IF($E329="","",IFERROR(IF(INDEX(记账规则!$A$13:$H$32,MATCH($E329,记账规则!$A$13:$A$32,0),4)="借","收","支"),""))</f>
        <v/>
      </c>
      <c r="S329" s="57" t="str">
        <f aca="false">IF($D329="","",ROUND(SUMIFS(资金账户!$H$6:$H$25,资金账户!$B$6:$B$25,$D329)+SUMIFS($I$6:$I329,$D$6:$D329,$D329)-SUMIFS($J$6:$J329,$D$6:$D329,$D329),2))</f>
        <v/>
      </c>
      <c r="T329" s="61" t="str">
        <f aca="false">IF($B329="","",YEAR($B329))</f>
        <v/>
      </c>
    </row>
    <row r="330" customFormat="false" ht="15" hidden="false" customHeight="false" outlineLevel="0" collapsed="false">
      <c r="A330" s="53" t="str">
        <f aca="false">IF($B330="","",ROW()-5)</f>
        <v/>
      </c>
      <c r="B330" s="54"/>
      <c r="C330" s="33"/>
      <c r="D330" s="33"/>
      <c r="E330" s="33"/>
      <c r="F330" s="32"/>
      <c r="G330" s="41"/>
      <c r="H330" s="39"/>
      <c r="I330" s="43"/>
      <c r="J330" s="43"/>
      <c r="K330" s="41"/>
      <c r="L330" s="39"/>
      <c r="M330" s="41"/>
      <c r="N330" s="25" t="str">
        <f aca="false">IF(AND($B330="",$E330="",$I330="",$J330=""),"",IF(NOT(ISNUMBER($B330)),"日期无效",IF(ISNA(MATCH($C330,参数设置!$A$10:$A$12,0)),"公司无效",IF(ISNA(MATCH($D330,资金账户!$B$6:$B$25,0)),"账户未建档",IF(ISNA(MATCH($E330,记账规则!$A$13:$A$32,0)),"业务类型无效",IF(AND(N($I330)&lt;&gt;0,N($J330)&lt;&gt;0),"收入和支出只能填一列",IF($P330=0,"金额为 0",IF(AND($R330="收",N($I330)=0),"这类业务是收款，金额填到收入列",IF(AND($R330="支",N($J330)=0),"这类业务是付款，金额填到支出列",IF(AND(SUMPRODUCT(--(INDEX(记账规则!$A$13:$H$32,MATCH($E330,记账规则!$A$13:$A$32,0),0)="@对方"))&gt;0,$G330=""),"这个类型要填对方科目",IF(AND($G330&lt;&gt;"",ISNA(MATCH($G330,会计科目表!$B$6:$B$85,0))),"对方科目不存在",IF(AND($E330="缴纳税费",$H330=""),"缴税请在费用项目里选税种",IF(AND($F330&lt;&gt;"",ISNA(MATCH($F330,往来单位!$A$6:$A$85,0))),"往来单位未建档",IF(YEAR($B330)&lt;&gt;参数设置!$B$5,"不在本会计年度",IF(AND($B329&lt;&gt;"",ISNUMBER($B329),$B330&lt;$B329),"日期比上一行早，余额按行序滚，建议按日期录","OK")))))))))))))))</f>
        <v/>
      </c>
      <c r="O330" s="58" t="str">
        <f aca="false">IF($B330="","",TEXT($B330,"yyyy-mm"))</f>
        <v/>
      </c>
      <c r="P330" s="60" t="str">
        <f aca="false">IF($E330="","",ROUND(N($I330)+N($J330),2))</f>
        <v/>
      </c>
      <c r="Q330" s="58" t="str">
        <f aca="false">IF($D330="","",IFERROR(INDEX(资金账户!$F$6:$F$25,MATCH($D330,资金账户!$B$6:$B$25,0)),""))</f>
        <v/>
      </c>
      <c r="R330" s="58" t="str">
        <f aca="false">IF($E330="","",IFERROR(IF(INDEX(记账规则!$A$13:$H$32,MATCH($E330,记账规则!$A$13:$A$32,0),4)="借","收","支"),""))</f>
        <v/>
      </c>
      <c r="S330" s="57" t="str">
        <f aca="false">IF($D330="","",ROUND(SUMIFS(资金账户!$H$6:$H$25,资金账户!$B$6:$B$25,$D330)+SUMIFS($I$6:$I330,$D$6:$D330,$D330)-SUMIFS($J$6:$J330,$D$6:$D330,$D330),2))</f>
        <v/>
      </c>
      <c r="T330" s="61" t="str">
        <f aca="false">IF($B330="","",YEAR($B330))</f>
        <v/>
      </c>
    </row>
    <row r="331" customFormat="false" ht="15" hidden="false" customHeight="false" outlineLevel="0" collapsed="false">
      <c r="A331" s="53" t="str">
        <f aca="false">IF($B331="","",ROW()-5)</f>
        <v/>
      </c>
      <c r="B331" s="54"/>
      <c r="C331" s="33"/>
      <c r="D331" s="33"/>
      <c r="E331" s="33"/>
      <c r="F331" s="32"/>
      <c r="G331" s="41"/>
      <c r="H331" s="39"/>
      <c r="I331" s="43"/>
      <c r="J331" s="43"/>
      <c r="K331" s="41"/>
      <c r="L331" s="39"/>
      <c r="M331" s="41"/>
      <c r="N331" s="25" t="str">
        <f aca="false">IF(AND($B331="",$E331="",$I331="",$J331=""),"",IF(NOT(ISNUMBER($B331)),"日期无效",IF(ISNA(MATCH($C331,参数设置!$A$10:$A$12,0)),"公司无效",IF(ISNA(MATCH($D331,资金账户!$B$6:$B$25,0)),"账户未建档",IF(ISNA(MATCH($E331,记账规则!$A$13:$A$32,0)),"业务类型无效",IF(AND(N($I331)&lt;&gt;0,N($J331)&lt;&gt;0),"收入和支出只能填一列",IF($P331=0,"金额为 0",IF(AND($R331="收",N($I331)=0),"这类业务是收款，金额填到收入列",IF(AND($R331="支",N($J331)=0),"这类业务是付款，金额填到支出列",IF(AND(SUMPRODUCT(--(INDEX(记账规则!$A$13:$H$32,MATCH($E331,记账规则!$A$13:$A$32,0),0)="@对方"))&gt;0,$G331=""),"这个类型要填对方科目",IF(AND($G331&lt;&gt;"",ISNA(MATCH($G331,会计科目表!$B$6:$B$85,0))),"对方科目不存在",IF(AND($E331="缴纳税费",$H331=""),"缴税请在费用项目里选税种",IF(AND($F331&lt;&gt;"",ISNA(MATCH($F331,往来单位!$A$6:$A$85,0))),"往来单位未建档",IF(YEAR($B331)&lt;&gt;参数设置!$B$5,"不在本会计年度",IF(AND($B330&lt;&gt;"",ISNUMBER($B330),$B331&lt;$B330),"日期比上一行早，余额按行序滚，建议按日期录","OK")))))))))))))))</f>
        <v/>
      </c>
      <c r="O331" s="58" t="str">
        <f aca="false">IF($B331="","",TEXT($B331,"yyyy-mm"))</f>
        <v/>
      </c>
      <c r="P331" s="60" t="str">
        <f aca="false">IF($E331="","",ROUND(N($I331)+N($J331),2))</f>
        <v/>
      </c>
      <c r="Q331" s="58" t="str">
        <f aca="false">IF($D331="","",IFERROR(INDEX(资金账户!$F$6:$F$25,MATCH($D331,资金账户!$B$6:$B$25,0)),""))</f>
        <v/>
      </c>
      <c r="R331" s="58" t="str">
        <f aca="false">IF($E331="","",IFERROR(IF(INDEX(记账规则!$A$13:$H$32,MATCH($E331,记账规则!$A$13:$A$32,0),4)="借","收","支"),""))</f>
        <v/>
      </c>
      <c r="S331" s="57" t="str">
        <f aca="false">IF($D331="","",ROUND(SUMIFS(资金账户!$H$6:$H$25,资金账户!$B$6:$B$25,$D331)+SUMIFS($I$6:$I331,$D$6:$D331,$D331)-SUMIFS($J$6:$J331,$D$6:$D331,$D331),2))</f>
        <v/>
      </c>
      <c r="T331" s="61" t="str">
        <f aca="false">IF($B331="","",YEAR($B331))</f>
        <v/>
      </c>
    </row>
    <row r="332" customFormat="false" ht="15" hidden="false" customHeight="false" outlineLevel="0" collapsed="false">
      <c r="A332" s="53" t="str">
        <f aca="false">IF($B332="","",ROW()-5)</f>
        <v/>
      </c>
      <c r="B332" s="54"/>
      <c r="C332" s="33"/>
      <c r="D332" s="33"/>
      <c r="E332" s="33"/>
      <c r="F332" s="32"/>
      <c r="G332" s="41"/>
      <c r="H332" s="39"/>
      <c r="I332" s="43"/>
      <c r="J332" s="43"/>
      <c r="K332" s="41"/>
      <c r="L332" s="39"/>
      <c r="M332" s="41"/>
      <c r="N332" s="25" t="str">
        <f aca="false">IF(AND($B332="",$E332="",$I332="",$J332=""),"",IF(NOT(ISNUMBER($B332)),"日期无效",IF(ISNA(MATCH($C332,参数设置!$A$10:$A$12,0)),"公司无效",IF(ISNA(MATCH($D332,资金账户!$B$6:$B$25,0)),"账户未建档",IF(ISNA(MATCH($E332,记账规则!$A$13:$A$32,0)),"业务类型无效",IF(AND(N($I332)&lt;&gt;0,N($J332)&lt;&gt;0),"收入和支出只能填一列",IF($P332=0,"金额为 0",IF(AND($R332="收",N($I332)=0),"这类业务是收款，金额填到收入列",IF(AND($R332="支",N($J332)=0),"这类业务是付款，金额填到支出列",IF(AND(SUMPRODUCT(--(INDEX(记账规则!$A$13:$H$32,MATCH($E332,记账规则!$A$13:$A$32,0),0)="@对方"))&gt;0,$G332=""),"这个类型要填对方科目",IF(AND($G332&lt;&gt;"",ISNA(MATCH($G332,会计科目表!$B$6:$B$85,0))),"对方科目不存在",IF(AND($E332="缴纳税费",$H332=""),"缴税请在费用项目里选税种",IF(AND($F332&lt;&gt;"",ISNA(MATCH($F332,往来单位!$A$6:$A$85,0))),"往来单位未建档",IF(YEAR($B332)&lt;&gt;参数设置!$B$5,"不在本会计年度",IF(AND($B331&lt;&gt;"",ISNUMBER($B331),$B332&lt;$B331),"日期比上一行早，余额按行序滚，建议按日期录","OK")))))))))))))))</f>
        <v/>
      </c>
      <c r="O332" s="58" t="str">
        <f aca="false">IF($B332="","",TEXT($B332,"yyyy-mm"))</f>
        <v/>
      </c>
      <c r="P332" s="60" t="str">
        <f aca="false">IF($E332="","",ROUND(N($I332)+N($J332),2))</f>
        <v/>
      </c>
      <c r="Q332" s="58" t="str">
        <f aca="false">IF($D332="","",IFERROR(INDEX(资金账户!$F$6:$F$25,MATCH($D332,资金账户!$B$6:$B$25,0)),""))</f>
        <v/>
      </c>
      <c r="R332" s="58" t="str">
        <f aca="false">IF($E332="","",IFERROR(IF(INDEX(记账规则!$A$13:$H$32,MATCH($E332,记账规则!$A$13:$A$32,0),4)="借","收","支"),""))</f>
        <v/>
      </c>
      <c r="S332" s="57" t="str">
        <f aca="false">IF($D332="","",ROUND(SUMIFS(资金账户!$H$6:$H$25,资金账户!$B$6:$B$25,$D332)+SUMIFS($I$6:$I332,$D$6:$D332,$D332)-SUMIFS($J$6:$J332,$D$6:$D332,$D332),2))</f>
        <v/>
      </c>
      <c r="T332" s="61" t="str">
        <f aca="false">IF($B332="","",YEAR($B332))</f>
        <v/>
      </c>
    </row>
    <row r="333" customFormat="false" ht="15" hidden="false" customHeight="false" outlineLevel="0" collapsed="false">
      <c r="A333" s="53" t="str">
        <f aca="false">IF($B333="","",ROW()-5)</f>
        <v/>
      </c>
      <c r="B333" s="54"/>
      <c r="C333" s="33"/>
      <c r="D333" s="33"/>
      <c r="E333" s="33"/>
      <c r="F333" s="32"/>
      <c r="G333" s="41"/>
      <c r="H333" s="39"/>
      <c r="I333" s="43"/>
      <c r="J333" s="43"/>
      <c r="K333" s="41"/>
      <c r="L333" s="39"/>
      <c r="M333" s="41"/>
      <c r="N333" s="25" t="str">
        <f aca="false">IF(AND($B333="",$E333="",$I333="",$J333=""),"",IF(NOT(ISNUMBER($B333)),"日期无效",IF(ISNA(MATCH($C333,参数设置!$A$10:$A$12,0)),"公司无效",IF(ISNA(MATCH($D333,资金账户!$B$6:$B$25,0)),"账户未建档",IF(ISNA(MATCH($E333,记账规则!$A$13:$A$32,0)),"业务类型无效",IF(AND(N($I333)&lt;&gt;0,N($J333)&lt;&gt;0),"收入和支出只能填一列",IF($P333=0,"金额为 0",IF(AND($R333="收",N($I333)=0),"这类业务是收款，金额填到收入列",IF(AND($R333="支",N($J333)=0),"这类业务是付款，金额填到支出列",IF(AND(SUMPRODUCT(--(INDEX(记账规则!$A$13:$H$32,MATCH($E333,记账规则!$A$13:$A$32,0),0)="@对方"))&gt;0,$G333=""),"这个类型要填对方科目",IF(AND($G333&lt;&gt;"",ISNA(MATCH($G333,会计科目表!$B$6:$B$85,0))),"对方科目不存在",IF(AND($E333="缴纳税费",$H333=""),"缴税请在费用项目里选税种",IF(AND($F333&lt;&gt;"",ISNA(MATCH($F333,往来单位!$A$6:$A$85,0))),"往来单位未建档",IF(YEAR($B333)&lt;&gt;参数设置!$B$5,"不在本会计年度",IF(AND($B332&lt;&gt;"",ISNUMBER($B332),$B333&lt;$B332),"日期比上一行早，余额按行序滚，建议按日期录","OK")))))))))))))))</f>
        <v/>
      </c>
      <c r="O333" s="58" t="str">
        <f aca="false">IF($B333="","",TEXT($B333,"yyyy-mm"))</f>
        <v/>
      </c>
      <c r="P333" s="60" t="str">
        <f aca="false">IF($E333="","",ROUND(N($I333)+N($J333),2))</f>
        <v/>
      </c>
      <c r="Q333" s="58" t="str">
        <f aca="false">IF($D333="","",IFERROR(INDEX(资金账户!$F$6:$F$25,MATCH($D333,资金账户!$B$6:$B$25,0)),""))</f>
        <v/>
      </c>
      <c r="R333" s="58" t="str">
        <f aca="false">IF($E333="","",IFERROR(IF(INDEX(记账规则!$A$13:$H$32,MATCH($E333,记账规则!$A$13:$A$32,0),4)="借","收","支"),""))</f>
        <v/>
      </c>
      <c r="S333" s="57" t="str">
        <f aca="false">IF($D333="","",ROUND(SUMIFS(资金账户!$H$6:$H$25,资金账户!$B$6:$B$25,$D333)+SUMIFS($I$6:$I333,$D$6:$D333,$D333)-SUMIFS($J$6:$J333,$D$6:$D333,$D333),2))</f>
        <v/>
      </c>
      <c r="T333" s="61" t="str">
        <f aca="false">IF($B333="","",YEAR($B333))</f>
        <v/>
      </c>
    </row>
    <row r="334" customFormat="false" ht="15" hidden="false" customHeight="false" outlineLevel="0" collapsed="false">
      <c r="A334" s="53" t="str">
        <f aca="false">IF($B334="","",ROW()-5)</f>
        <v/>
      </c>
      <c r="B334" s="54"/>
      <c r="C334" s="33"/>
      <c r="D334" s="33"/>
      <c r="E334" s="33"/>
      <c r="F334" s="32"/>
      <c r="G334" s="41"/>
      <c r="H334" s="39"/>
      <c r="I334" s="43"/>
      <c r="J334" s="43"/>
      <c r="K334" s="41"/>
      <c r="L334" s="39"/>
      <c r="M334" s="41"/>
      <c r="N334" s="25" t="str">
        <f aca="false">IF(AND($B334="",$E334="",$I334="",$J334=""),"",IF(NOT(ISNUMBER($B334)),"日期无效",IF(ISNA(MATCH($C334,参数设置!$A$10:$A$12,0)),"公司无效",IF(ISNA(MATCH($D334,资金账户!$B$6:$B$25,0)),"账户未建档",IF(ISNA(MATCH($E334,记账规则!$A$13:$A$32,0)),"业务类型无效",IF(AND(N($I334)&lt;&gt;0,N($J334)&lt;&gt;0),"收入和支出只能填一列",IF($P334=0,"金额为 0",IF(AND($R334="收",N($I334)=0),"这类业务是收款，金额填到收入列",IF(AND($R334="支",N($J334)=0),"这类业务是付款，金额填到支出列",IF(AND(SUMPRODUCT(--(INDEX(记账规则!$A$13:$H$32,MATCH($E334,记账规则!$A$13:$A$32,0),0)="@对方"))&gt;0,$G334=""),"这个类型要填对方科目",IF(AND($G334&lt;&gt;"",ISNA(MATCH($G334,会计科目表!$B$6:$B$85,0))),"对方科目不存在",IF(AND($E334="缴纳税费",$H334=""),"缴税请在费用项目里选税种",IF(AND($F334&lt;&gt;"",ISNA(MATCH($F334,往来单位!$A$6:$A$85,0))),"往来单位未建档",IF(YEAR($B334)&lt;&gt;参数设置!$B$5,"不在本会计年度",IF(AND($B333&lt;&gt;"",ISNUMBER($B333),$B334&lt;$B333),"日期比上一行早，余额按行序滚，建议按日期录","OK")))))))))))))))</f>
        <v/>
      </c>
      <c r="O334" s="58" t="str">
        <f aca="false">IF($B334="","",TEXT($B334,"yyyy-mm"))</f>
        <v/>
      </c>
      <c r="P334" s="60" t="str">
        <f aca="false">IF($E334="","",ROUND(N($I334)+N($J334),2))</f>
        <v/>
      </c>
      <c r="Q334" s="58" t="str">
        <f aca="false">IF($D334="","",IFERROR(INDEX(资金账户!$F$6:$F$25,MATCH($D334,资金账户!$B$6:$B$25,0)),""))</f>
        <v/>
      </c>
      <c r="R334" s="58" t="str">
        <f aca="false">IF($E334="","",IFERROR(IF(INDEX(记账规则!$A$13:$H$32,MATCH($E334,记账规则!$A$13:$A$32,0),4)="借","收","支"),""))</f>
        <v/>
      </c>
      <c r="S334" s="57" t="str">
        <f aca="false">IF($D334="","",ROUND(SUMIFS(资金账户!$H$6:$H$25,资金账户!$B$6:$B$25,$D334)+SUMIFS($I$6:$I334,$D$6:$D334,$D334)-SUMIFS($J$6:$J334,$D$6:$D334,$D334),2))</f>
        <v/>
      </c>
      <c r="T334" s="61" t="str">
        <f aca="false">IF($B334="","",YEAR($B334))</f>
        <v/>
      </c>
    </row>
    <row r="335" customFormat="false" ht="15" hidden="false" customHeight="false" outlineLevel="0" collapsed="false">
      <c r="A335" s="53" t="str">
        <f aca="false">IF($B335="","",ROW()-5)</f>
        <v/>
      </c>
      <c r="B335" s="54"/>
      <c r="C335" s="33"/>
      <c r="D335" s="33"/>
      <c r="E335" s="33"/>
      <c r="F335" s="32"/>
      <c r="G335" s="41"/>
      <c r="H335" s="39"/>
      <c r="I335" s="43"/>
      <c r="J335" s="43"/>
      <c r="K335" s="41"/>
      <c r="L335" s="39"/>
      <c r="M335" s="41"/>
      <c r="N335" s="25" t="str">
        <f aca="false">IF(AND($B335="",$E335="",$I335="",$J335=""),"",IF(NOT(ISNUMBER($B335)),"日期无效",IF(ISNA(MATCH($C335,参数设置!$A$10:$A$12,0)),"公司无效",IF(ISNA(MATCH($D335,资金账户!$B$6:$B$25,0)),"账户未建档",IF(ISNA(MATCH($E335,记账规则!$A$13:$A$32,0)),"业务类型无效",IF(AND(N($I335)&lt;&gt;0,N($J335)&lt;&gt;0),"收入和支出只能填一列",IF($P335=0,"金额为 0",IF(AND($R335="收",N($I335)=0),"这类业务是收款，金额填到收入列",IF(AND($R335="支",N($J335)=0),"这类业务是付款，金额填到支出列",IF(AND(SUMPRODUCT(--(INDEX(记账规则!$A$13:$H$32,MATCH($E335,记账规则!$A$13:$A$32,0),0)="@对方"))&gt;0,$G335=""),"这个类型要填对方科目",IF(AND($G335&lt;&gt;"",ISNA(MATCH($G335,会计科目表!$B$6:$B$85,0))),"对方科目不存在",IF(AND($E335="缴纳税费",$H335=""),"缴税请在费用项目里选税种",IF(AND($F335&lt;&gt;"",ISNA(MATCH($F335,往来单位!$A$6:$A$85,0))),"往来单位未建档",IF(YEAR($B335)&lt;&gt;参数设置!$B$5,"不在本会计年度",IF(AND($B334&lt;&gt;"",ISNUMBER($B334),$B335&lt;$B334),"日期比上一行早，余额按行序滚，建议按日期录","OK")))))))))))))))</f>
        <v/>
      </c>
      <c r="O335" s="58" t="str">
        <f aca="false">IF($B335="","",TEXT($B335,"yyyy-mm"))</f>
        <v/>
      </c>
      <c r="P335" s="60" t="str">
        <f aca="false">IF($E335="","",ROUND(N($I335)+N($J335),2))</f>
        <v/>
      </c>
      <c r="Q335" s="58" t="str">
        <f aca="false">IF($D335="","",IFERROR(INDEX(资金账户!$F$6:$F$25,MATCH($D335,资金账户!$B$6:$B$25,0)),""))</f>
        <v/>
      </c>
      <c r="R335" s="58" t="str">
        <f aca="false">IF($E335="","",IFERROR(IF(INDEX(记账规则!$A$13:$H$32,MATCH($E335,记账规则!$A$13:$A$32,0),4)="借","收","支"),""))</f>
        <v/>
      </c>
      <c r="S335" s="57" t="str">
        <f aca="false">IF($D335="","",ROUND(SUMIFS(资金账户!$H$6:$H$25,资金账户!$B$6:$B$25,$D335)+SUMIFS($I$6:$I335,$D$6:$D335,$D335)-SUMIFS($J$6:$J335,$D$6:$D335,$D335),2))</f>
        <v/>
      </c>
      <c r="T335" s="61" t="str">
        <f aca="false">IF($B335="","",YEAR($B335))</f>
        <v/>
      </c>
    </row>
    <row r="336" customFormat="false" ht="15" hidden="false" customHeight="false" outlineLevel="0" collapsed="false">
      <c r="A336" s="53" t="str">
        <f aca="false">IF($B336="","",ROW()-5)</f>
        <v/>
      </c>
      <c r="B336" s="54"/>
      <c r="C336" s="33"/>
      <c r="D336" s="33"/>
      <c r="E336" s="33"/>
      <c r="F336" s="32"/>
      <c r="G336" s="41"/>
      <c r="H336" s="39"/>
      <c r="I336" s="43"/>
      <c r="J336" s="43"/>
      <c r="K336" s="41"/>
      <c r="L336" s="39"/>
      <c r="M336" s="41"/>
      <c r="N336" s="25" t="str">
        <f aca="false">IF(AND($B336="",$E336="",$I336="",$J336=""),"",IF(NOT(ISNUMBER($B336)),"日期无效",IF(ISNA(MATCH($C336,参数设置!$A$10:$A$12,0)),"公司无效",IF(ISNA(MATCH($D336,资金账户!$B$6:$B$25,0)),"账户未建档",IF(ISNA(MATCH($E336,记账规则!$A$13:$A$32,0)),"业务类型无效",IF(AND(N($I336)&lt;&gt;0,N($J336)&lt;&gt;0),"收入和支出只能填一列",IF($P336=0,"金额为 0",IF(AND($R336="收",N($I336)=0),"这类业务是收款，金额填到收入列",IF(AND($R336="支",N($J336)=0),"这类业务是付款，金额填到支出列",IF(AND(SUMPRODUCT(--(INDEX(记账规则!$A$13:$H$32,MATCH($E336,记账规则!$A$13:$A$32,0),0)="@对方"))&gt;0,$G336=""),"这个类型要填对方科目",IF(AND($G336&lt;&gt;"",ISNA(MATCH($G336,会计科目表!$B$6:$B$85,0))),"对方科目不存在",IF(AND($E336="缴纳税费",$H336=""),"缴税请在费用项目里选税种",IF(AND($F336&lt;&gt;"",ISNA(MATCH($F336,往来单位!$A$6:$A$85,0))),"往来单位未建档",IF(YEAR($B336)&lt;&gt;参数设置!$B$5,"不在本会计年度",IF(AND($B335&lt;&gt;"",ISNUMBER($B335),$B336&lt;$B335),"日期比上一行早，余额按行序滚，建议按日期录","OK")))))))))))))))</f>
        <v/>
      </c>
      <c r="O336" s="58" t="str">
        <f aca="false">IF($B336="","",TEXT($B336,"yyyy-mm"))</f>
        <v/>
      </c>
      <c r="P336" s="60" t="str">
        <f aca="false">IF($E336="","",ROUND(N($I336)+N($J336),2))</f>
        <v/>
      </c>
      <c r="Q336" s="58" t="str">
        <f aca="false">IF($D336="","",IFERROR(INDEX(资金账户!$F$6:$F$25,MATCH($D336,资金账户!$B$6:$B$25,0)),""))</f>
        <v/>
      </c>
      <c r="R336" s="58" t="str">
        <f aca="false">IF($E336="","",IFERROR(IF(INDEX(记账规则!$A$13:$H$32,MATCH($E336,记账规则!$A$13:$A$32,0),4)="借","收","支"),""))</f>
        <v/>
      </c>
      <c r="S336" s="57" t="str">
        <f aca="false">IF($D336="","",ROUND(SUMIFS(资金账户!$H$6:$H$25,资金账户!$B$6:$B$25,$D336)+SUMIFS($I$6:$I336,$D$6:$D336,$D336)-SUMIFS($J$6:$J336,$D$6:$D336,$D336),2))</f>
        <v/>
      </c>
      <c r="T336" s="61" t="str">
        <f aca="false">IF($B336="","",YEAR($B336))</f>
        <v/>
      </c>
    </row>
    <row r="337" customFormat="false" ht="15" hidden="false" customHeight="false" outlineLevel="0" collapsed="false">
      <c r="A337" s="53" t="str">
        <f aca="false">IF($B337="","",ROW()-5)</f>
        <v/>
      </c>
      <c r="B337" s="54"/>
      <c r="C337" s="33"/>
      <c r="D337" s="33"/>
      <c r="E337" s="33"/>
      <c r="F337" s="32"/>
      <c r="G337" s="41"/>
      <c r="H337" s="39"/>
      <c r="I337" s="43"/>
      <c r="J337" s="43"/>
      <c r="K337" s="41"/>
      <c r="L337" s="39"/>
      <c r="M337" s="41"/>
      <c r="N337" s="25" t="str">
        <f aca="false">IF(AND($B337="",$E337="",$I337="",$J337=""),"",IF(NOT(ISNUMBER($B337)),"日期无效",IF(ISNA(MATCH($C337,参数设置!$A$10:$A$12,0)),"公司无效",IF(ISNA(MATCH($D337,资金账户!$B$6:$B$25,0)),"账户未建档",IF(ISNA(MATCH($E337,记账规则!$A$13:$A$32,0)),"业务类型无效",IF(AND(N($I337)&lt;&gt;0,N($J337)&lt;&gt;0),"收入和支出只能填一列",IF($P337=0,"金额为 0",IF(AND($R337="收",N($I337)=0),"这类业务是收款，金额填到收入列",IF(AND($R337="支",N($J337)=0),"这类业务是付款，金额填到支出列",IF(AND(SUMPRODUCT(--(INDEX(记账规则!$A$13:$H$32,MATCH($E337,记账规则!$A$13:$A$32,0),0)="@对方"))&gt;0,$G337=""),"这个类型要填对方科目",IF(AND($G337&lt;&gt;"",ISNA(MATCH($G337,会计科目表!$B$6:$B$85,0))),"对方科目不存在",IF(AND($E337="缴纳税费",$H337=""),"缴税请在费用项目里选税种",IF(AND($F337&lt;&gt;"",ISNA(MATCH($F337,往来单位!$A$6:$A$85,0))),"往来单位未建档",IF(YEAR($B337)&lt;&gt;参数设置!$B$5,"不在本会计年度",IF(AND($B336&lt;&gt;"",ISNUMBER($B336),$B337&lt;$B336),"日期比上一行早，余额按行序滚，建议按日期录","OK")))))))))))))))</f>
        <v/>
      </c>
      <c r="O337" s="58" t="str">
        <f aca="false">IF($B337="","",TEXT($B337,"yyyy-mm"))</f>
        <v/>
      </c>
      <c r="P337" s="60" t="str">
        <f aca="false">IF($E337="","",ROUND(N($I337)+N($J337),2))</f>
        <v/>
      </c>
      <c r="Q337" s="58" t="str">
        <f aca="false">IF($D337="","",IFERROR(INDEX(资金账户!$F$6:$F$25,MATCH($D337,资金账户!$B$6:$B$25,0)),""))</f>
        <v/>
      </c>
      <c r="R337" s="58" t="str">
        <f aca="false">IF($E337="","",IFERROR(IF(INDEX(记账规则!$A$13:$H$32,MATCH($E337,记账规则!$A$13:$A$32,0),4)="借","收","支"),""))</f>
        <v/>
      </c>
      <c r="S337" s="57" t="str">
        <f aca="false">IF($D337="","",ROUND(SUMIFS(资金账户!$H$6:$H$25,资金账户!$B$6:$B$25,$D337)+SUMIFS($I$6:$I337,$D$6:$D337,$D337)-SUMIFS($J$6:$J337,$D$6:$D337,$D337),2))</f>
        <v/>
      </c>
      <c r="T337" s="61" t="str">
        <f aca="false">IF($B337="","",YEAR($B337))</f>
        <v/>
      </c>
    </row>
    <row r="338" customFormat="false" ht="15" hidden="false" customHeight="false" outlineLevel="0" collapsed="false">
      <c r="A338" s="53" t="str">
        <f aca="false">IF($B338="","",ROW()-5)</f>
        <v/>
      </c>
      <c r="B338" s="54"/>
      <c r="C338" s="33"/>
      <c r="D338" s="33"/>
      <c r="E338" s="33"/>
      <c r="F338" s="32"/>
      <c r="G338" s="41"/>
      <c r="H338" s="39"/>
      <c r="I338" s="43"/>
      <c r="J338" s="43"/>
      <c r="K338" s="41"/>
      <c r="L338" s="39"/>
      <c r="M338" s="41"/>
      <c r="N338" s="25" t="str">
        <f aca="false">IF(AND($B338="",$E338="",$I338="",$J338=""),"",IF(NOT(ISNUMBER($B338)),"日期无效",IF(ISNA(MATCH($C338,参数设置!$A$10:$A$12,0)),"公司无效",IF(ISNA(MATCH($D338,资金账户!$B$6:$B$25,0)),"账户未建档",IF(ISNA(MATCH($E338,记账规则!$A$13:$A$32,0)),"业务类型无效",IF(AND(N($I338)&lt;&gt;0,N($J338)&lt;&gt;0),"收入和支出只能填一列",IF($P338=0,"金额为 0",IF(AND($R338="收",N($I338)=0),"这类业务是收款，金额填到收入列",IF(AND($R338="支",N($J338)=0),"这类业务是付款，金额填到支出列",IF(AND(SUMPRODUCT(--(INDEX(记账规则!$A$13:$H$32,MATCH($E338,记账规则!$A$13:$A$32,0),0)="@对方"))&gt;0,$G338=""),"这个类型要填对方科目",IF(AND($G338&lt;&gt;"",ISNA(MATCH($G338,会计科目表!$B$6:$B$85,0))),"对方科目不存在",IF(AND($E338="缴纳税费",$H338=""),"缴税请在费用项目里选税种",IF(AND($F338&lt;&gt;"",ISNA(MATCH($F338,往来单位!$A$6:$A$85,0))),"往来单位未建档",IF(YEAR($B338)&lt;&gt;参数设置!$B$5,"不在本会计年度",IF(AND($B337&lt;&gt;"",ISNUMBER($B337),$B338&lt;$B337),"日期比上一行早，余额按行序滚，建议按日期录","OK")))))))))))))))</f>
        <v/>
      </c>
      <c r="O338" s="58" t="str">
        <f aca="false">IF($B338="","",TEXT($B338,"yyyy-mm"))</f>
        <v/>
      </c>
      <c r="P338" s="60" t="str">
        <f aca="false">IF($E338="","",ROUND(N($I338)+N($J338),2))</f>
        <v/>
      </c>
      <c r="Q338" s="58" t="str">
        <f aca="false">IF($D338="","",IFERROR(INDEX(资金账户!$F$6:$F$25,MATCH($D338,资金账户!$B$6:$B$25,0)),""))</f>
        <v/>
      </c>
      <c r="R338" s="58" t="str">
        <f aca="false">IF($E338="","",IFERROR(IF(INDEX(记账规则!$A$13:$H$32,MATCH($E338,记账规则!$A$13:$A$32,0),4)="借","收","支"),""))</f>
        <v/>
      </c>
      <c r="S338" s="57" t="str">
        <f aca="false">IF($D338="","",ROUND(SUMIFS(资金账户!$H$6:$H$25,资金账户!$B$6:$B$25,$D338)+SUMIFS($I$6:$I338,$D$6:$D338,$D338)-SUMIFS($J$6:$J338,$D$6:$D338,$D338),2))</f>
        <v/>
      </c>
      <c r="T338" s="61" t="str">
        <f aca="false">IF($B338="","",YEAR($B338))</f>
        <v/>
      </c>
    </row>
    <row r="339" customFormat="false" ht="15" hidden="false" customHeight="false" outlineLevel="0" collapsed="false">
      <c r="A339" s="53" t="str">
        <f aca="false">IF($B339="","",ROW()-5)</f>
        <v/>
      </c>
      <c r="B339" s="54"/>
      <c r="C339" s="33"/>
      <c r="D339" s="33"/>
      <c r="E339" s="33"/>
      <c r="F339" s="32"/>
      <c r="G339" s="41"/>
      <c r="H339" s="39"/>
      <c r="I339" s="43"/>
      <c r="J339" s="43"/>
      <c r="K339" s="41"/>
      <c r="L339" s="39"/>
      <c r="M339" s="41"/>
      <c r="N339" s="25" t="str">
        <f aca="false">IF(AND($B339="",$E339="",$I339="",$J339=""),"",IF(NOT(ISNUMBER($B339)),"日期无效",IF(ISNA(MATCH($C339,参数设置!$A$10:$A$12,0)),"公司无效",IF(ISNA(MATCH($D339,资金账户!$B$6:$B$25,0)),"账户未建档",IF(ISNA(MATCH($E339,记账规则!$A$13:$A$32,0)),"业务类型无效",IF(AND(N($I339)&lt;&gt;0,N($J339)&lt;&gt;0),"收入和支出只能填一列",IF($P339=0,"金额为 0",IF(AND($R339="收",N($I339)=0),"这类业务是收款，金额填到收入列",IF(AND($R339="支",N($J339)=0),"这类业务是付款，金额填到支出列",IF(AND(SUMPRODUCT(--(INDEX(记账规则!$A$13:$H$32,MATCH($E339,记账规则!$A$13:$A$32,0),0)="@对方"))&gt;0,$G339=""),"这个类型要填对方科目",IF(AND($G339&lt;&gt;"",ISNA(MATCH($G339,会计科目表!$B$6:$B$85,0))),"对方科目不存在",IF(AND($E339="缴纳税费",$H339=""),"缴税请在费用项目里选税种",IF(AND($F339&lt;&gt;"",ISNA(MATCH($F339,往来单位!$A$6:$A$85,0))),"往来单位未建档",IF(YEAR($B339)&lt;&gt;参数设置!$B$5,"不在本会计年度",IF(AND($B338&lt;&gt;"",ISNUMBER($B338),$B339&lt;$B338),"日期比上一行早，余额按行序滚，建议按日期录","OK")))))))))))))))</f>
        <v/>
      </c>
      <c r="O339" s="58" t="str">
        <f aca="false">IF($B339="","",TEXT($B339,"yyyy-mm"))</f>
        <v/>
      </c>
      <c r="P339" s="60" t="str">
        <f aca="false">IF($E339="","",ROUND(N($I339)+N($J339),2))</f>
        <v/>
      </c>
      <c r="Q339" s="58" t="str">
        <f aca="false">IF($D339="","",IFERROR(INDEX(资金账户!$F$6:$F$25,MATCH($D339,资金账户!$B$6:$B$25,0)),""))</f>
        <v/>
      </c>
      <c r="R339" s="58" t="str">
        <f aca="false">IF($E339="","",IFERROR(IF(INDEX(记账规则!$A$13:$H$32,MATCH($E339,记账规则!$A$13:$A$32,0),4)="借","收","支"),""))</f>
        <v/>
      </c>
      <c r="S339" s="57" t="str">
        <f aca="false">IF($D339="","",ROUND(SUMIFS(资金账户!$H$6:$H$25,资金账户!$B$6:$B$25,$D339)+SUMIFS($I$6:$I339,$D$6:$D339,$D339)-SUMIFS($J$6:$J339,$D$6:$D339,$D339),2))</f>
        <v/>
      </c>
      <c r="T339" s="61" t="str">
        <f aca="false">IF($B339="","",YEAR($B339))</f>
        <v/>
      </c>
    </row>
    <row r="340" customFormat="false" ht="15" hidden="false" customHeight="false" outlineLevel="0" collapsed="false">
      <c r="A340" s="53" t="str">
        <f aca="false">IF($B340="","",ROW()-5)</f>
        <v/>
      </c>
      <c r="B340" s="54"/>
      <c r="C340" s="33"/>
      <c r="D340" s="33"/>
      <c r="E340" s="33"/>
      <c r="F340" s="32"/>
      <c r="G340" s="41"/>
      <c r="H340" s="39"/>
      <c r="I340" s="43"/>
      <c r="J340" s="43"/>
      <c r="K340" s="41"/>
      <c r="L340" s="39"/>
      <c r="M340" s="41"/>
      <c r="N340" s="25" t="str">
        <f aca="false">IF(AND($B340="",$E340="",$I340="",$J340=""),"",IF(NOT(ISNUMBER($B340)),"日期无效",IF(ISNA(MATCH($C340,参数设置!$A$10:$A$12,0)),"公司无效",IF(ISNA(MATCH($D340,资金账户!$B$6:$B$25,0)),"账户未建档",IF(ISNA(MATCH($E340,记账规则!$A$13:$A$32,0)),"业务类型无效",IF(AND(N($I340)&lt;&gt;0,N($J340)&lt;&gt;0),"收入和支出只能填一列",IF($P340=0,"金额为 0",IF(AND($R340="收",N($I340)=0),"这类业务是收款，金额填到收入列",IF(AND($R340="支",N($J340)=0),"这类业务是付款，金额填到支出列",IF(AND(SUMPRODUCT(--(INDEX(记账规则!$A$13:$H$32,MATCH($E340,记账规则!$A$13:$A$32,0),0)="@对方"))&gt;0,$G340=""),"这个类型要填对方科目",IF(AND($G340&lt;&gt;"",ISNA(MATCH($G340,会计科目表!$B$6:$B$85,0))),"对方科目不存在",IF(AND($E340="缴纳税费",$H340=""),"缴税请在费用项目里选税种",IF(AND($F340&lt;&gt;"",ISNA(MATCH($F340,往来单位!$A$6:$A$85,0))),"往来单位未建档",IF(YEAR($B340)&lt;&gt;参数设置!$B$5,"不在本会计年度",IF(AND($B339&lt;&gt;"",ISNUMBER($B339),$B340&lt;$B339),"日期比上一行早，余额按行序滚，建议按日期录","OK")))))))))))))))</f>
        <v/>
      </c>
      <c r="O340" s="58" t="str">
        <f aca="false">IF($B340="","",TEXT($B340,"yyyy-mm"))</f>
        <v/>
      </c>
      <c r="P340" s="60" t="str">
        <f aca="false">IF($E340="","",ROUND(N($I340)+N($J340),2))</f>
        <v/>
      </c>
      <c r="Q340" s="58" t="str">
        <f aca="false">IF($D340="","",IFERROR(INDEX(资金账户!$F$6:$F$25,MATCH($D340,资金账户!$B$6:$B$25,0)),""))</f>
        <v/>
      </c>
      <c r="R340" s="58" t="str">
        <f aca="false">IF($E340="","",IFERROR(IF(INDEX(记账规则!$A$13:$H$32,MATCH($E340,记账规则!$A$13:$A$32,0),4)="借","收","支"),""))</f>
        <v/>
      </c>
      <c r="S340" s="57" t="str">
        <f aca="false">IF($D340="","",ROUND(SUMIFS(资金账户!$H$6:$H$25,资金账户!$B$6:$B$25,$D340)+SUMIFS($I$6:$I340,$D$6:$D340,$D340)-SUMIFS($J$6:$J340,$D$6:$D340,$D340),2))</f>
        <v/>
      </c>
      <c r="T340" s="61" t="str">
        <f aca="false">IF($B340="","",YEAR($B340))</f>
        <v/>
      </c>
    </row>
    <row r="341" customFormat="false" ht="15" hidden="false" customHeight="false" outlineLevel="0" collapsed="false">
      <c r="A341" s="53" t="str">
        <f aca="false">IF($B341="","",ROW()-5)</f>
        <v/>
      </c>
      <c r="B341" s="54"/>
      <c r="C341" s="33"/>
      <c r="D341" s="33"/>
      <c r="E341" s="33"/>
      <c r="F341" s="32"/>
      <c r="G341" s="41"/>
      <c r="H341" s="39"/>
      <c r="I341" s="43"/>
      <c r="J341" s="43"/>
      <c r="K341" s="41"/>
      <c r="L341" s="39"/>
      <c r="M341" s="41"/>
      <c r="N341" s="25" t="str">
        <f aca="false">IF(AND($B341="",$E341="",$I341="",$J341=""),"",IF(NOT(ISNUMBER($B341)),"日期无效",IF(ISNA(MATCH($C341,参数设置!$A$10:$A$12,0)),"公司无效",IF(ISNA(MATCH($D341,资金账户!$B$6:$B$25,0)),"账户未建档",IF(ISNA(MATCH($E341,记账规则!$A$13:$A$32,0)),"业务类型无效",IF(AND(N($I341)&lt;&gt;0,N($J341)&lt;&gt;0),"收入和支出只能填一列",IF($P341=0,"金额为 0",IF(AND($R341="收",N($I341)=0),"这类业务是收款，金额填到收入列",IF(AND($R341="支",N($J341)=0),"这类业务是付款，金额填到支出列",IF(AND(SUMPRODUCT(--(INDEX(记账规则!$A$13:$H$32,MATCH($E341,记账规则!$A$13:$A$32,0),0)="@对方"))&gt;0,$G341=""),"这个类型要填对方科目",IF(AND($G341&lt;&gt;"",ISNA(MATCH($G341,会计科目表!$B$6:$B$85,0))),"对方科目不存在",IF(AND($E341="缴纳税费",$H341=""),"缴税请在费用项目里选税种",IF(AND($F341&lt;&gt;"",ISNA(MATCH($F341,往来单位!$A$6:$A$85,0))),"往来单位未建档",IF(YEAR($B341)&lt;&gt;参数设置!$B$5,"不在本会计年度",IF(AND($B340&lt;&gt;"",ISNUMBER($B340),$B341&lt;$B340),"日期比上一行早，余额按行序滚，建议按日期录","OK")))))))))))))))</f>
        <v/>
      </c>
      <c r="O341" s="58" t="str">
        <f aca="false">IF($B341="","",TEXT($B341,"yyyy-mm"))</f>
        <v/>
      </c>
      <c r="P341" s="60" t="str">
        <f aca="false">IF($E341="","",ROUND(N($I341)+N($J341),2))</f>
        <v/>
      </c>
      <c r="Q341" s="58" t="str">
        <f aca="false">IF($D341="","",IFERROR(INDEX(资金账户!$F$6:$F$25,MATCH($D341,资金账户!$B$6:$B$25,0)),""))</f>
        <v/>
      </c>
      <c r="R341" s="58" t="str">
        <f aca="false">IF($E341="","",IFERROR(IF(INDEX(记账规则!$A$13:$H$32,MATCH($E341,记账规则!$A$13:$A$32,0),4)="借","收","支"),""))</f>
        <v/>
      </c>
      <c r="S341" s="57" t="str">
        <f aca="false">IF($D341="","",ROUND(SUMIFS(资金账户!$H$6:$H$25,资金账户!$B$6:$B$25,$D341)+SUMIFS($I$6:$I341,$D$6:$D341,$D341)-SUMIFS($J$6:$J341,$D$6:$D341,$D341),2))</f>
        <v/>
      </c>
      <c r="T341" s="61" t="str">
        <f aca="false">IF($B341="","",YEAR($B341))</f>
        <v/>
      </c>
    </row>
    <row r="342" customFormat="false" ht="15" hidden="false" customHeight="false" outlineLevel="0" collapsed="false">
      <c r="A342" s="53" t="str">
        <f aca="false">IF($B342="","",ROW()-5)</f>
        <v/>
      </c>
      <c r="B342" s="54"/>
      <c r="C342" s="33"/>
      <c r="D342" s="33"/>
      <c r="E342" s="33"/>
      <c r="F342" s="32"/>
      <c r="G342" s="41"/>
      <c r="H342" s="39"/>
      <c r="I342" s="43"/>
      <c r="J342" s="43"/>
      <c r="K342" s="41"/>
      <c r="L342" s="39"/>
      <c r="M342" s="41"/>
      <c r="N342" s="25" t="str">
        <f aca="false">IF(AND($B342="",$E342="",$I342="",$J342=""),"",IF(NOT(ISNUMBER($B342)),"日期无效",IF(ISNA(MATCH($C342,参数设置!$A$10:$A$12,0)),"公司无效",IF(ISNA(MATCH($D342,资金账户!$B$6:$B$25,0)),"账户未建档",IF(ISNA(MATCH($E342,记账规则!$A$13:$A$32,0)),"业务类型无效",IF(AND(N($I342)&lt;&gt;0,N($J342)&lt;&gt;0),"收入和支出只能填一列",IF($P342=0,"金额为 0",IF(AND($R342="收",N($I342)=0),"这类业务是收款，金额填到收入列",IF(AND($R342="支",N($J342)=0),"这类业务是付款，金额填到支出列",IF(AND(SUMPRODUCT(--(INDEX(记账规则!$A$13:$H$32,MATCH($E342,记账规则!$A$13:$A$32,0),0)="@对方"))&gt;0,$G342=""),"这个类型要填对方科目",IF(AND($G342&lt;&gt;"",ISNA(MATCH($G342,会计科目表!$B$6:$B$85,0))),"对方科目不存在",IF(AND($E342="缴纳税费",$H342=""),"缴税请在费用项目里选税种",IF(AND($F342&lt;&gt;"",ISNA(MATCH($F342,往来单位!$A$6:$A$85,0))),"往来单位未建档",IF(YEAR($B342)&lt;&gt;参数设置!$B$5,"不在本会计年度",IF(AND($B341&lt;&gt;"",ISNUMBER($B341),$B342&lt;$B341),"日期比上一行早，余额按行序滚，建议按日期录","OK")))))))))))))))</f>
        <v/>
      </c>
      <c r="O342" s="58" t="str">
        <f aca="false">IF($B342="","",TEXT($B342,"yyyy-mm"))</f>
        <v/>
      </c>
      <c r="P342" s="60" t="str">
        <f aca="false">IF($E342="","",ROUND(N($I342)+N($J342),2))</f>
        <v/>
      </c>
      <c r="Q342" s="58" t="str">
        <f aca="false">IF($D342="","",IFERROR(INDEX(资金账户!$F$6:$F$25,MATCH($D342,资金账户!$B$6:$B$25,0)),""))</f>
        <v/>
      </c>
      <c r="R342" s="58" t="str">
        <f aca="false">IF($E342="","",IFERROR(IF(INDEX(记账规则!$A$13:$H$32,MATCH($E342,记账规则!$A$13:$A$32,0),4)="借","收","支"),""))</f>
        <v/>
      </c>
      <c r="S342" s="57" t="str">
        <f aca="false">IF($D342="","",ROUND(SUMIFS(资金账户!$H$6:$H$25,资金账户!$B$6:$B$25,$D342)+SUMIFS($I$6:$I342,$D$6:$D342,$D342)-SUMIFS($J$6:$J342,$D$6:$D342,$D342),2))</f>
        <v/>
      </c>
      <c r="T342" s="61" t="str">
        <f aca="false">IF($B342="","",YEAR($B342))</f>
        <v/>
      </c>
    </row>
    <row r="343" customFormat="false" ht="15" hidden="false" customHeight="false" outlineLevel="0" collapsed="false">
      <c r="A343" s="53" t="str">
        <f aca="false">IF($B343="","",ROW()-5)</f>
        <v/>
      </c>
      <c r="B343" s="54"/>
      <c r="C343" s="33"/>
      <c r="D343" s="33"/>
      <c r="E343" s="33"/>
      <c r="F343" s="32"/>
      <c r="G343" s="41"/>
      <c r="H343" s="39"/>
      <c r="I343" s="43"/>
      <c r="J343" s="43"/>
      <c r="K343" s="41"/>
      <c r="L343" s="39"/>
      <c r="M343" s="41"/>
      <c r="N343" s="25" t="str">
        <f aca="false">IF(AND($B343="",$E343="",$I343="",$J343=""),"",IF(NOT(ISNUMBER($B343)),"日期无效",IF(ISNA(MATCH($C343,参数设置!$A$10:$A$12,0)),"公司无效",IF(ISNA(MATCH($D343,资金账户!$B$6:$B$25,0)),"账户未建档",IF(ISNA(MATCH($E343,记账规则!$A$13:$A$32,0)),"业务类型无效",IF(AND(N($I343)&lt;&gt;0,N($J343)&lt;&gt;0),"收入和支出只能填一列",IF($P343=0,"金额为 0",IF(AND($R343="收",N($I343)=0),"这类业务是收款，金额填到收入列",IF(AND($R343="支",N($J343)=0),"这类业务是付款，金额填到支出列",IF(AND(SUMPRODUCT(--(INDEX(记账规则!$A$13:$H$32,MATCH($E343,记账规则!$A$13:$A$32,0),0)="@对方"))&gt;0,$G343=""),"这个类型要填对方科目",IF(AND($G343&lt;&gt;"",ISNA(MATCH($G343,会计科目表!$B$6:$B$85,0))),"对方科目不存在",IF(AND($E343="缴纳税费",$H343=""),"缴税请在费用项目里选税种",IF(AND($F343&lt;&gt;"",ISNA(MATCH($F343,往来单位!$A$6:$A$85,0))),"往来单位未建档",IF(YEAR($B343)&lt;&gt;参数设置!$B$5,"不在本会计年度",IF(AND($B342&lt;&gt;"",ISNUMBER($B342),$B343&lt;$B342),"日期比上一行早，余额按行序滚，建议按日期录","OK")))))))))))))))</f>
        <v/>
      </c>
      <c r="O343" s="58" t="str">
        <f aca="false">IF($B343="","",TEXT($B343,"yyyy-mm"))</f>
        <v/>
      </c>
      <c r="P343" s="60" t="str">
        <f aca="false">IF($E343="","",ROUND(N($I343)+N($J343),2))</f>
        <v/>
      </c>
      <c r="Q343" s="58" t="str">
        <f aca="false">IF($D343="","",IFERROR(INDEX(资金账户!$F$6:$F$25,MATCH($D343,资金账户!$B$6:$B$25,0)),""))</f>
        <v/>
      </c>
      <c r="R343" s="58" t="str">
        <f aca="false">IF($E343="","",IFERROR(IF(INDEX(记账规则!$A$13:$H$32,MATCH($E343,记账规则!$A$13:$A$32,0),4)="借","收","支"),""))</f>
        <v/>
      </c>
      <c r="S343" s="57" t="str">
        <f aca="false">IF($D343="","",ROUND(SUMIFS(资金账户!$H$6:$H$25,资金账户!$B$6:$B$25,$D343)+SUMIFS($I$6:$I343,$D$6:$D343,$D343)-SUMIFS($J$6:$J343,$D$6:$D343,$D343),2))</f>
        <v/>
      </c>
      <c r="T343" s="61" t="str">
        <f aca="false">IF($B343="","",YEAR($B343))</f>
        <v/>
      </c>
    </row>
    <row r="344" customFormat="false" ht="15" hidden="false" customHeight="false" outlineLevel="0" collapsed="false">
      <c r="A344" s="53" t="str">
        <f aca="false">IF($B344="","",ROW()-5)</f>
        <v/>
      </c>
      <c r="B344" s="54"/>
      <c r="C344" s="33"/>
      <c r="D344" s="33"/>
      <c r="E344" s="33"/>
      <c r="F344" s="32"/>
      <c r="G344" s="41"/>
      <c r="H344" s="39"/>
      <c r="I344" s="43"/>
      <c r="J344" s="43"/>
      <c r="K344" s="41"/>
      <c r="L344" s="39"/>
      <c r="M344" s="41"/>
      <c r="N344" s="25" t="str">
        <f aca="false">IF(AND($B344="",$E344="",$I344="",$J344=""),"",IF(NOT(ISNUMBER($B344)),"日期无效",IF(ISNA(MATCH($C344,参数设置!$A$10:$A$12,0)),"公司无效",IF(ISNA(MATCH($D344,资金账户!$B$6:$B$25,0)),"账户未建档",IF(ISNA(MATCH($E344,记账规则!$A$13:$A$32,0)),"业务类型无效",IF(AND(N($I344)&lt;&gt;0,N($J344)&lt;&gt;0),"收入和支出只能填一列",IF($P344=0,"金额为 0",IF(AND($R344="收",N($I344)=0),"这类业务是收款，金额填到收入列",IF(AND($R344="支",N($J344)=0),"这类业务是付款，金额填到支出列",IF(AND(SUMPRODUCT(--(INDEX(记账规则!$A$13:$H$32,MATCH($E344,记账规则!$A$13:$A$32,0),0)="@对方"))&gt;0,$G344=""),"这个类型要填对方科目",IF(AND($G344&lt;&gt;"",ISNA(MATCH($G344,会计科目表!$B$6:$B$85,0))),"对方科目不存在",IF(AND($E344="缴纳税费",$H344=""),"缴税请在费用项目里选税种",IF(AND($F344&lt;&gt;"",ISNA(MATCH($F344,往来单位!$A$6:$A$85,0))),"往来单位未建档",IF(YEAR($B344)&lt;&gt;参数设置!$B$5,"不在本会计年度",IF(AND($B343&lt;&gt;"",ISNUMBER($B343),$B344&lt;$B343),"日期比上一行早，余额按行序滚，建议按日期录","OK")))))))))))))))</f>
        <v/>
      </c>
      <c r="O344" s="58" t="str">
        <f aca="false">IF($B344="","",TEXT($B344,"yyyy-mm"))</f>
        <v/>
      </c>
      <c r="P344" s="60" t="str">
        <f aca="false">IF($E344="","",ROUND(N($I344)+N($J344),2))</f>
        <v/>
      </c>
      <c r="Q344" s="58" t="str">
        <f aca="false">IF($D344="","",IFERROR(INDEX(资金账户!$F$6:$F$25,MATCH($D344,资金账户!$B$6:$B$25,0)),""))</f>
        <v/>
      </c>
      <c r="R344" s="58" t="str">
        <f aca="false">IF($E344="","",IFERROR(IF(INDEX(记账规则!$A$13:$H$32,MATCH($E344,记账规则!$A$13:$A$32,0),4)="借","收","支"),""))</f>
        <v/>
      </c>
      <c r="S344" s="57" t="str">
        <f aca="false">IF($D344="","",ROUND(SUMIFS(资金账户!$H$6:$H$25,资金账户!$B$6:$B$25,$D344)+SUMIFS($I$6:$I344,$D$6:$D344,$D344)-SUMIFS($J$6:$J344,$D$6:$D344,$D344),2))</f>
        <v/>
      </c>
      <c r="T344" s="61" t="str">
        <f aca="false">IF($B344="","",YEAR($B344))</f>
        <v/>
      </c>
    </row>
    <row r="345" customFormat="false" ht="15" hidden="false" customHeight="false" outlineLevel="0" collapsed="false">
      <c r="A345" s="53" t="str">
        <f aca="false">IF($B345="","",ROW()-5)</f>
        <v/>
      </c>
      <c r="B345" s="54"/>
      <c r="C345" s="33"/>
      <c r="D345" s="33"/>
      <c r="E345" s="33"/>
      <c r="F345" s="32"/>
      <c r="G345" s="41"/>
      <c r="H345" s="39"/>
      <c r="I345" s="43"/>
      <c r="J345" s="43"/>
      <c r="K345" s="41"/>
      <c r="L345" s="39"/>
      <c r="M345" s="41"/>
      <c r="N345" s="25" t="str">
        <f aca="false">IF(AND($B345="",$E345="",$I345="",$J345=""),"",IF(NOT(ISNUMBER($B345)),"日期无效",IF(ISNA(MATCH($C345,参数设置!$A$10:$A$12,0)),"公司无效",IF(ISNA(MATCH($D345,资金账户!$B$6:$B$25,0)),"账户未建档",IF(ISNA(MATCH($E345,记账规则!$A$13:$A$32,0)),"业务类型无效",IF(AND(N($I345)&lt;&gt;0,N($J345)&lt;&gt;0),"收入和支出只能填一列",IF($P345=0,"金额为 0",IF(AND($R345="收",N($I345)=0),"这类业务是收款，金额填到收入列",IF(AND($R345="支",N($J345)=0),"这类业务是付款，金额填到支出列",IF(AND(SUMPRODUCT(--(INDEX(记账规则!$A$13:$H$32,MATCH($E345,记账规则!$A$13:$A$32,0),0)="@对方"))&gt;0,$G345=""),"这个类型要填对方科目",IF(AND($G345&lt;&gt;"",ISNA(MATCH($G345,会计科目表!$B$6:$B$85,0))),"对方科目不存在",IF(AND($E345="缴纳税费",$H345=""),"缴税请在费用项目里选税种",IF(AND($F345&lt;&gt;"",ISNA(MATCH($F345,往来单位!$A$6:$A$85,0))),"往来单位未建档",IF(YEAR($B345)&lt;&gt;参数设置!$B$5,"不在本会计年度",IF(AND($B344&lt;&gt;"",ISNUMBER($B344),$B345&lt;$B344),"日期比上一行早，余额按行序滚，建议按日期录","OK")))))))))))))))</f>
        <v/>
      </c>
      <c r="O345" s="58" t="str">
        <f aca="false">IF($B345="","",TEXT($B345,"yyyy-mm"))</f>
        <v/>
      </c>
      <c r="P345" s="60" t="str">
        <f aca="false">IF($E345="","",ROUND(N($I345)+N($J345),2))</f>
        <v/>
      </c>
      <c r="Q345" s="58" t="str">
        <f aca="false">IF($D345="","",IFERROR(INDEX(资金账户!$F$6:$F$25,MATCH($D345,资金账户!$B$6:$B$25,0)),""))</f>
        <v/>
      </c>
      <c r="R345" s="58" t="str">
        <f aca="false">IF($E345="","",IFERROR(IF(INDEX(记账规则!$A$13:$H$32,MATCH($E345,记账规则!$A$13:$A$32,0),4)="借","收","支"),""))</f>
        <v/>
      </c>
      <c r="S345" s="57" t="str">
        <f aca="false">IF($D345="","",ROUND(SUMIFS(资金账户!$H$6:$H$25,资金账户!$B$6:$B$25,$D345)+SUMIFS($I$6:$I345,$D$6:$D345,$D345)-SUMIFS($J$6:$J345,$D$6:$D345,$D345),2))</f>
        <v/>
      </c>
      <c r="T345" s="61" t="str">
        <f aca="false">IF($B345="","",YEAR($B345))</f>
        <v/>
      </c>
    </row>
    <row r="346" customFormat="false" ht="15" hidden="false" customHeight="false" outlineLevel="0" collapsed="false">
      <c r="A346" s="53" t="str">
        <f aca="false">IF($B346="","",ROW()-5)</f>
        <v/>
      </c>
      <c r="B346" s="54"/>
      <c r="C346" s="33"/>
      <c r="D346" s="33"/>
      <c r="E346" s="33"/>
      <c r="F346" s="32"/>
      <c r="G346" s="41"/>
      <c r="H346" s="39"/>
      <c r="I346" s="43"/>
      <c r="J346" s="43"/>
      <c r="K346" s="41"/>
      <c r="L346" s="39"/>
      <c r="M346" s="41"/>
      <c r="N346" s="25" t="str">
        <f aca="false">IF(AND($B346="",$E346="",$I346="",$J346=""),"",IF(NOT(ISNUMBER($B346)),"日期无效",IF(ISNA(MATCH($C346,参数设置!$A$10:$A$12,0)),"公司无效",IF(ISNA(MATCH($D346,资金账户!$B$6:$B$25,0)),"账户未建档",IF(ISNA(MATCH($E346,记账规则!$A$13:$A$32,0)),"业务类型无效",IF(AND(N($I346)&lt;&gt;0,N($J346)&lt;&gt;0),"收入和支出只能填一列",IF($P346=0,"金额为 0",IF(AND($R346="收",N($I346)=0),"这类业务是收款，金额填到收入列",IF(AND($R346="支",N($J346)=0),"这类业务是付款，金额填到支出列",IF(AND(SUMPRODUCT(--(INDEX(记账规则!$A$13:$H$32,MATCH($E346,记账规则!$A$13:$A$32,0),0)="@对方"))&gt;0,$G346=""),"这个类型要填对方科目",IF(AND($G346&lt;&gt;"",ISNA(MATCH($G346,会计科目表!$B$6:$B$85,0))),"对方科目不存在",IF(AND($E346="缴纳税费",$H346=""),"缴税请在费用项目里选税种",IF(AND($F346&lt;&gt;"",ISNA(MATCH($F346,往来单位!$A$6:$A$85,0))),"往来单位未建档",IF(YEAR($B346)&lt;&gt;参数设置!$B$5,"不在本会计年度",IF(AND($B345&lt;&gt;"",ISNUMBER($B345),$B346&lt;$B345),"日期比上一行早，余额按行序滚，建议按日期录","OK")))))))))))))))</f>
        <v/>
      </c>
      <c r="O346" s="58" t="str">
        <f aca="false">IF($B346="","",TEXT($B346,"yyyy-mm"))</f>
        <v/>
      </c>
      <c r="P346" s="60" t="str">
        <f aca="false">IF($E346="","",ROUND(N($I346)+N($J346),2))</f>
        <v/>
      </c>
      <c r="Q346" s="58" t="str">
        <f aca="false">IF($D346="","",IFERROR(INDEX(资金账户!$F$6:$F$25,MATCH($D346,资金账户!$B$6:$B$25,0)),""))</f>
        <v/>
      </c>
      <c r="R346" s="58" t="str">
        <f aca="false">IF($E346="","",IFERROR(IF(INDEX(记账规则!$A$13:$H$32,MATCH($E346,记账规则!$A$13:$A$32,0),4)="借","收","支"),""))</f>
        <v/>
      </c>
      <c r="S346" s="57" t="str">
        <f aca="false">IF($D346="","",ROUND(SUMIFS(资金账户!$H$6:$H$25,资金账户!$B$6:$B$25,$D346)+SUMIFS($I$6:$I346,$D$6:$D346,$D346)-SUMIFS($J$6:$J346,$D$6:$D346,$D346),2))</f>
        <v/>
      </c>
      <c r="T346" s="61" t="str">
        <f aca="false">IF($B346="","",YEAR($B346))</f>
        <v/>
      </c>
    </row>
    <row r="347" customFormat="false" ht="15" hidden="false" customHeight="false" outlineLevel="0" collapsed="false">
      <c r="A347" s="53" t="str">
        <f aca="false">IF($B347="","",ROW()-5)</f>
        <v/>
      </c>
      <c r="B347" s="54"/>
      <c r="C347" s="33"/>
      <c r="D347" s="33"/>
      <c r="E347" s="33"/>
      <c r="F347" s="32"/>
      <c r="G347" s="41"/>
      <c r="H347" s="39"/>
      <c r="I347" s="43"/>
      <c r="J347" s="43"/>
      <c r="K347" s="41"/>
      <c r="L347" s="39"/>
      <c r="M347" s="41"/>
      <c r="N347" s="25" t="str">
        <f aca="false">IF(AND($B347="",$E347="",$I347="",$J347=""),"",IF(NOT(ISNUMBER($B347)),"日期无效",IF(ISNA(MATCH($C347,参数设置!$A$10:$A$12,0)),"公司无效",IF(ISNA(MATCH($D347,资金账户!$B$6:$B$25,0)),"账户未建档",IF(ISNA(MATCH($E347,记账规则!$A$13:$A$32,0)),"业务类型无效",IF(AND(N($I347)&lt;&gt;0,N($J347)&lt;&gt;0),"收入和支出只能填一列",IF($P347=0,"金额为 0",IF(AND($R347="收",N($I347)=0),"这类业务是收款，金额填到收入列",IF(AND($R347="支",N($J347)=0),"这类业务是付款，金额填到支出列",IF(AND(SUMPRODUCT(--(INDEX(记账规则!$A$13:$H$32,MATCH($E347,记账规则!$A$13:$A$32,0),0)="@对方"))&gt;0,$G347=""),"这个类型要填对方科目",IF(AND($G347&lt;&gt;"",ISNA(MATCH($G347,会计科目表!$B$6:$B$85,0))),"对方科目不存在",IF(AND($E347="缴纳税费",$H347=""),"缴税请在费用项目里选税种",IF(AND($F347&lt;&gt;"",ISNA(MATCH($F347,往来单位!$A$6:$A$85,0))),"往来单位未建档",IF(YEAR($B347)&lt;&gt;参数设置!$B$5,"不在本会计年度",IF(AND($B346&lt;&gt;"",ISNUMBER($B346),$B347&lt;$B346),"日期比上一行早，余额按行序滚，建议按日期录","OK")))))))))))))))</f>
        <v/>
      </c>
      <c r="O347" s="58" t="str">
        <f aca="false">IF($B347="","",TEXT($B347,"yyyy-mm"))</f>
        <v/>
      </c>
      <c r="P347" s="60" t="str">
        <f aca="false">IF($E347="","",ROUND(N($I347)+N($J347),2))</f>
        <v/>
      </c>
      <c r="Q347" s="58" t="str">
        <f aca="false">IF($D347="","",IFERROR(INDEX(资金账户!$F$6:$F$25,MATCH($D347,资金账户!$B$6:$B$25,0)),""))</f>
        <v/>
      </c>
      <c r="R347" s="58" t="str">
        <f aca="false">IF($E347="","",IFERROR(IF(INDEX(记账规则!$A$13:$H$32,MATCH($E347,记账规则!$A$13:$A$32,0),4)="借","收","支"),""))</f>
        <v/>
      </c>
      <c r="S347" s="57" t="str">
        <f aca="false">IF($D347="","",ROUND(SUMIFS(资金账户!$H$6:$H$25,资金账户!$B$6:$B$25,$D347)+SUMIFS($I$6:$I347,$D$6:$D347,$D347)-SUMIFS($J$6:$J347,$D$6:$D347,$D347),2))</f>
        <v/>
      </c>
      <c r="T347" s="61" t="str">
        <f aca="false">IF($B347="","",YEAR($B347))</f>
        <v/>
      </c>
    </row>
    <row r="348" customFormat="false" ht="15" hidden="false" customHeight="false" outlineLevel="0" collapsed="false">
      <c r="A348" s="53" t="str">
        <f aca="false">IF($B348="","",ROW()-5)</f>
        <v/>
      </c>
      <c r="B348" s="54"/>
      <c r="C348" s="33"/>
      <c r="D348" s="33"/>
      <c r="E348" s="33"/>
      <c r="F348" s="32"/>
      <c r="G348" s="41"/>
      <c r="H348" s="39"/>
      <c r="I348" s="43"/>
      <c r="J348" s="43"/>
      <c r="K348" s="41"/>
      <c r="L348" s="39"/>
      <c r="M348" s="41"/>
      <c r="N348" s="25" t="str">
        <f aca="false">IF(AND($B348="",$E348="",$I348="",$J348=""),"",IF(NOT(ISNUMBER($B348)),"日期无效",IF(ISNA(MATCH($C348,参数设置!$A$10:$A$12,0)),"公司无效",IF(ISNA(MATCH($D348,资金账户!$B$6:$B$25,0)),"账户未建档",IF(ISNA(MATCH($E348,记账规则!$A$13:$A$32,0)),"业务类型无效",IF(AND(N($I348)&lt;&gt;0,N($J348)&lt;&gt;0),"收入和支出只能填一列",IF($P348=0,"金额为 0",IF(AND($R348="收",N($I348)=0),"这类业务是收款，金额填到收入列",IF(AND($R348="支",N($J348)=0),"这类业务是付款，金额填到支出列",IF(AND(SUMPRODUCT(--(INDEX(记账规则!$A$13:$H$32,MATCH($E348,记账规则!$A$13:$A$32,0),0)="@对方"))&gt;0,$G348=""),"这个类型要填对方科目",IF(AND($G348&lt;&gt;"",ISNA(MATCH($G348,会计科目表!$B$6:$B$85,0))),"对方科目不存在",IF(AND($E348="缴纳税费",$H348=""),"缴税请在费用项目里选税种",IF(AND($F348&lt;&gt;"",ISNA(MATCH($F348,往来单位!$A$6:$A$85,0))),"往来单位未建档",IF(YEAR($B348)&lt;&gt;参数设置!$B$5,"不在本会计年度",IF(AND($B347&lt;&gt;"",ISNUMBER($B347),$B348&lt;$B347),"日期比上一行早，余额按行序滚，建议按日期录","OK")))))))))))))))</f>
        <v/>
      </c>
      <c r="O348" s="58" t="str">
        <f aca="false">IF($B348="","",TEXT($B348,"yyyy-mm"))</f>
        <v/>
      </c>
      <c r="P348" s="60" t="str">
        <f aca="false">IF($E348="","",ROUND(N($I348)+N($J348),2))</f>
        <v/>
      </c>
      <c r="Q348" s="58" t="str">
        <f aca="false">IF($D348="","",IFERROR(INDEX(资金账户!$F$6:$F$25,MATCH($D348,资金账户!$B$6:$B$25,0)),""))</f>
        <v/>
      </c>
      <c r="R348" s="58" t="str">
        <f aca="false">IF($E348="","",IFERROR(IF(INDEX(记账规则!$A$13:$H$32,MATCH($E348,记账规则!$A$13:$A$32,0),4)="借","收","支"),""))</f>
        <v/>
      </c>
      <c r="S348" s="57" t="str">
        <f aca="false">IF($D348="","",ROUND(SUMIFS(资金账户!$H$6:$H$25,资金账户!$B$6:$B$25,$D348)+SUMIFS($I$6:$I348,$D$6:$D348,$D348)-SUMIFS($J$6:$J348,$D$6:$D348,$D348),2))</f>
        <v/>
      </c>
      <c r="T348" s="61" t="str">
        <f aca="false">IF($B348="","",YEAR($B348))</f>
        <v/>
      </c>
    </row>
    <row r="349" customFormat="false" ht="15" hidden="false" customHeight="false" outlineLevel="0" collapsed="false">
      <c r="A349" s="53" t="str">
        <f aca="false">IF($B349="","",ROW()-5)</f>
        <v/>
      </c>
      <c r="B349" s="54"/>
      <c r="C349" s="33"/>
      <c r="D349" s="33"/>
      <c r="E349" s="33"/>
      <c r="F349" s="32"/>
      <c r="G349" s="41"/>
      <c r="H349" s="39"/>
      <c r="I349" s="43"/>
      <c r="J349" s="43"/>
      <c r="K349" s="41"/>
      <c r="L349" s="39"/>
      <c r="M349" s="41"/>
      <c r="N349" s="25" t="str">
        <f aca="false">IF(AND($B349="",$E349="",$I349="",$J349=""),"",IF(NOT(ISNUMBER($B349)),"日期无效",IF(ISNA(MATCH($C349,参数设置!$A$10:$A$12,0)),"公司无效",IF(ISNA(MATCH($D349,资金账户!$B$6:$B$25,0)),"账户未建档",IF(ISNA(MATCH($E349,记账规则!$A$13:$A$32,0)),"业务类型无效",IF(AND(N($I349)&lt;&gt;0,N($J349)&lt;&gt;0),"收入和支出只能填一列",IF($P349=0,"金额为 0",IF(AND($R349="收",N($I349)=0),"这类业务是收款，金额填到收入列",IF(AND($R349="支",N($J349)=0),"这类业务是付款，金额填到支出列",IF(AND(SUMPRODUCT(--(INDEX(记账规则!$A$13:$H$32,MATCH($E349,记账规则!$A$13:$A$32,0),0)="@对方"))&gt;0,$G349=""),"这个类型要填对方科目",IF(AND($G349&lt;&gt;"",ISNA(MATCH($G349,会计科目表!$B$6:$B$85,0))),"对方科目不存在",IF(AND($E349="缴纳税费",$H349=""),"缴税请在费用项目里选税种",IF(AND($F349&lt;&gt;"",ISNA(MATCH($F349,往来单位!$A$6:$A$85,0))),"往来单位未建档",IF(YEAR($B349)&lt;&gt;参数设置!$B$5,"不在本会计年度",IF(AND($B348&lt;&gt;"",ISNUMBER($B348),$B349&lt;$B348),"日期比上一行早，余额按行序滚，建议按日期录","OK")))))))))))))))</f>
        <v/>
      </c>
      <c r="O349" s="58" t="str">
        <f aca="false">IF($B349="","",TEXT($B349,"yyyy-mm"))</f>
        <v/>
      </c>
      <c r="P349" s="60" t="str">
        <f aca="false">IF($E349="","",ROUND(N($I349)+N($J349),2))</f>
        <v/>
      </c>
      <c r="Q349" s="58" t="str">
        <f aca="false">IF($D349="","",IFERROR(INDEX(资金账户!$F$6:$F$25,MATCH($D349,资金账户!$B$6:$B$25,0)),""))</f>
        <v/>
      </c>
      <c r="R349" s="58" t="str">
        <f aca="false">IF($E349="","",IFERROR(IF(INDEX(记账规则!$A$13:$H$32,MATCH($E349,记账规则!$A$13:$A$32,0),4)="借","收","支"),""))</f>
        <v/>
      </c>
      <c r="S349" s="57" t="str">
        <f aca="false">IF($D349="","",ROUND(SUMIFS(资金账户!$H$6:$H$25,资金账户!$B$6:$B$25,$D349)+SUMIFS($I$6:$I349,$D$6:$D349,$D349)-SUMIFS($J$6:$J349,$D$6:$D349,$D349),2))</f>
        <v/>
      </c>
      <c r="T349" s="61" t="str">
        <f aca="false">IF($B349="","",YEAR($B349))</f>
        <v/>
      </c>
    </row>
    <row r="350" customFormat="false" ht="15" hidden="false" customHeight="false" outlineLevel="0" collapsed="false">
      <c r="A350" s="53" t="str">
        <f aca="false">IF($B350="","",ROW()-5)</f>
        <v/>
      </c>
      <c r="B350" s="54"/>
      <c r="C350" s="33"/>
      <c r="D350" s="33"/>
      <c r="E350" s="33"/>
      <c r="F350" s="32"/>
      <c r="G350" s="41"/>
      <c r="H350" s="39"/>
      <c r="I350" s="43"/>
      <c r="J350" s="43"/>
      <c r="K350" s="41"/>
      <c r="L350" s="39"/>
      <c r="M350" s="41"/>
      <c r="N350" s="25" t="str">
        <f aca="false">IF(AND($B350="",$E350="",$I350="",$J350=""),"",IF(NOT(ISNUMBER($B350)),"日期无效",IF(ISNA(MATCH($C350,参数设置!$A$10:$A$12,0)),"公司无效",IF(ISNA(MATCH($D350,资金账户!$B$6:$B$25,0)),"账户未建档",IF(ISNA(MATCH($E350,记账规则!$A$13:$A$32,0)),"业务类型无效",IF(AND(N($I350)&lt;&gt;0,N($J350)&lt;&gt;0),"收入和支出只能填一列",IF($P350=0,"金额为 0",IF(AND($R350="收",N($I350)=0),"这类业务是收款，金额填到收入列",IF(AND($R350="支",N($J350)=0),"这类业务是付款，金额填到支出列",IF(AND(SUMPRODUCT(--(INDEX(记账规则!$A$13:$H$32,MATCH($E350,记账规则!$A$13:$A$32,0),0)="@对方"))&gt;0,$G350=""),"这个类型要填对方科目",IF(AND($G350&lt;&gt;"",ISNA(MATCH($G350,会计科目表!$B$6:$B$85,0))),"对方科目不存在",IF(AND($E350="缴纳税费",$H350=""),"缴税请在费用项目里选税种",IF(AND($F350&lt;&gt;"",ISNA(MATCH($F350,往来单位!$A$6:$A$85,0))),"往来单位未建档",IF(YEAR($B350)&lt;&gt;参数设置!$B$5,"不在本会计年度",IF(AND($B349&lt;&gt;"",ISNUMBER($B349),$B350&lt;$B349),"日期比上一行早，余额按行序滚，建议按日期录","OK")))))))))))))))</f>
        <v/>
      </c>
      <c r="O350" s="58" t="str">
        <f aca="false">IF($B350="","",TEXT($B350,"yyyy-mm"))</f>
        <v/>
      </c>
      <c r="P350" s="60" t="str">
        <f aca="false">IF($E350="","",ROUND(N($I350)+N($J350),2))</f>
        <v/>
      </c>
      <c r="Q350" s="58" t="str">
        <f aca="false">IF($D350="","",IFERROR(INDEX(资金账户!$F$6:$F$25,MATCH($D350,资金账户!$B$6:$B$25,0)),""))</f>
        <v/>
      </c>
      <c r="R350" s="58" t="str">
        <f aca="false">IF($E350="","",IFERROR(IF(INDEX(记账规则!$A$13:$H$32,MATCH($E350,记账规则!$A$13:$A$32,0),4)="借","收","支"),""))</f>
        <v/>
      </c>
      <c r="S350" s="57" t="str">
        <f aca="false">IF($D350="","",ROUND(SUMIFS(资金账户!$H$6:$H$25,资金账户!$B$6:$B$25,$D350)+SUMIFS($I$6:$I350,$D$6:$D350,$D350)-SUMIFS($J$6:$J350,$D$6:$D350,$D350),2))</f>
        <v/>
      </c>
      <c r="T350" s="61" t="str">
        <f aca="false">IF($B350="","",YEAR($B350))</f>
        <v/>
      </c>
    </row>
    <row r="351" customFormat="false" ht="15" hidden="false" customHeight="false" outlineLevel="0" collapsed="false">
      <c r="A351" s="53" t="str">
        <f aca="false">IF($B351="","",ROW()-5)</f>
        <v/>
      </c>
      <c r="B351" s="54"/>
      <c r="C351" s="33"/>
      <c r="D351" s="33"/>
      <c r="E351" s="33"/>
      <c r="F351" s="32"/>
      <c r="G351" s="41"/>
      <c r="H351" s="39"/>
      <c r="I351" s="43"/>
      <c r="J351" s="43"/>
      <c r="K351" s="41"/>
      <c r="L351" s="39"/>
      <c r="M351" s="41"/>
      <c r="N351" s="25" t="str">
        <f aca="false">IF(AND($B351="",$E351="",$I351="",$J351=""),"",IF(NOT(ISNUMBER($B351)),"日期无效",IF(ISNA(MATCH($C351,参数设置!$A$10:$A$12,0)),"公司无效",IF(ISNA(MATCH($D351,资金账户!$B$6:$B$25,0)),"账户未建档",IF(ISNA(MATCH($E351,记账规则!$A$13:$A$32,0)),"业务类型无效",IF(AND(N($I351)&lt;&gt;0,N($J351)&lt;&gt;0),"收入和支出只能填一列",IF($P351=0,"金额为 0",IF(AND($R351="收",N($I351)=0),"这类业务是收款，金额填到收入列",IF(AND($R351="支",N($J351)=0),"这类业务是付款，金额填到支出列",IF(AND(SUMPRODUCT(--(INDEX(记账规则!$A$13:$H$32,MATCH($E351,记账规则!$A$13:$A$32,0),0)="@对方"))&gt;0,$G351=""),"这个类型要填对方科目",IF(AND($G351&lt;&gt;"",ISNA(MATCH($G351,会计科目表!$B$6:$B$85,0))),"对方科目不存在",IF(AND($E351="缴纳税费",$H351=""),"缴税请在费用项目里选税种",IF(AND($F351&lt;&gt;"",ISNA(MATCH($F351,往来单位!$A$6:$A$85,0))),"往来单位未建档",IF(YEAR($B351)&lt;&gt;参数设置!$B$5,"不在本会计年度",IF(AND($B350&lt;&gt;"",ISNUMBER($B350),$B351&lt;$B350),"日期比上一行早，余额按行序滚，建议按日期录","OK")))))))))))))))</f>
        <v/>
      </c>
      <c r="O351" s="58" t="str">
        <f aca="false">IF($B351="","",TEXT($B351,"yyyy-mm"))</f>
        <v/>
      </c>
      <c r="P351" s="60" t="str">
        <f aca="false">IF($E351="","",ROUND(N($I351)+N($J351),2))</f>
        <v/>
      </c>
      <c r="Q351" s="58" t="str">
        <f aca="false">IF($D351="","",IFERROR(INDEX(资金账户!$F$6:$F$25,MATCH($D351,资金账户!$B$6:$B$25,0)),""))</f>
        <v/>
      </c>
      <c r="R351" s="58" t="str">
        <f aca="false">IF($E351="","",IFERROR(IF(INDEX(记账规则!$A$13:$H$32,MATCH($E351,记账规则!$A$13:$A$32,0),4)="借","收","支"),""))</f>
        <v/>
      </c>
      <c r="S351" s="57" t="str">
        <f aca="false">IF($D351="","",ROUND(SUMIFS(资金账户!$H$6:$H$25,资金账户!$B$6:$B$25,$D351)+SUMIFS($I$6:$I351,$D$6:$D351,$D351)-SUMIFS($J$6:$J351,$D$6:$D351,$D351),2))</f>
        <v/>
      </c>
      <c r="T351" s="61" t="str">
        <f aca="false">IF($B351="","",YEAR($B351))</f>
        <v/>
      </c>
    </row>
    <row r="352" customFormat="false" ht="15" hidden="false" customHeight="false" outlineLevel="0" collapsed="false">
      <c r="A352" s="53" t="str">
        <f aca="false">IF($B352="","",ROW()-5)</f>
        <v/>
      </c>
      <c r="B352" s="54"/>
      <c r="C352" s="33"/>
      <c r="D352" s="33"/>
      <c r="E352" s="33"/>
      <c r="F352" s="32"/>
      <c r="G352" s="41"/>
      <c r="H352" s="39"/>
      <c r="I352" s="43"/>
      <c r="J352" s="43"/>
      <c r="K352" s="41"/>
      <c r="L352" s="39"/>
      <c r="M352" s="41"/>
      <c r="N352" s="25" t="str">
        <f aca="false">IF(AND($B352="",$E352="",$I352="",$J352=""),"",IF(NOT(ISNUMBER($B352)),"日期无效",IF(ISNA(MATCH($C352,参数设置!$A$10:$A$12,0)),"公司无效",IF(ISNA(MATCH($D352,资金账户!$B$6:$B$25,0)),"账户未建档",IF(ISNA(MATCH($E352,记账规则!$A$13:$A$32,0)),"业务类型无效",IF(AND(N($I352)&lt;&gt;0,N($J352)&lt;&gt;0),"收入和支出只能填一列",IF($P352=0,"金额为 0",IF(AND($R352="收",N($I352)=0),"这类业务是收款，金额填到收入列",IF(AND($R352="支",N($J352)=0),"这类业务是付款，金额填到支出列",IF(AND(SUMPRODUCT(--(INDEX(记账规则!$A$13:$H$32,MATCH($E352,记账规则!$A$13:$A$32,0),0)="@对方"))&gt;0,$G352=""),"这个类型要填对方科目",IF(AND($G352&lt;&gt;"",ISNA(MATCH($G352,会计科目表!$B$6:$B$85,0))),"对方科目不存在",IF(AND($E352="缴纳税费",$H352=""),"缴税请在费用项目里选税种",IF(AND($F352&lt;&gt;"",ISNA(MATCH($F352,往来单位!$A$6:$A$85,0))),"往来单位未建档",IF(YEAR($B352)&lt;&gt;参数设置!$B$5,"不在本会计年度",IF(AND($B351&lt;&gt;"",ISNUMBER($B351),$B352&lt;$B351),"日期比上一行早，余额按行序滚，建议按日期录","OK")))))))))))))))</f>
        <v/>
      </c>
      <c r="O352" s="58" t="str">
        <f aca="false">IF($B352="","",TEXT($B352,"yyyy-mm"))</f>
        <v/>
      </c>
      <c r="P352" s="60" t="str">
        <f aca="false">IF($E352="","",ROUND(N($I352)+N($J352),2))</f>
        <v/>
      </c>
      <c r="Q352" s="58" t="str">
        <f aca="false">IF($D352="","",IFERROR(INDEX(资金账户!$F$6:$F$25,MATCH($D352,资金账户!$B$6:$B$25,0)),""))</f>
        <v/>
      </c>
      <c r="R352" s="58" t="str">
        <f aca="false">IF($E352="","",IFERROR(IF(INDEX(记账规则!$A$13:$H$32,MATCH($E352,记账规则!$A$13:$A$32,0),4)="借","收","支"),""))</f>
        <v/>
      </c>
      <c r="S352" s="57" t="str">
        <f aca="false">IF($D352="","",ROUND(SUMIFS(资金账户!$H$6:$H$25,资金账户!$B$6:$B$25,$D352)+SUMIFS($I$6:$I352,$D$6:$D352,$D352)-SUMIFS($J$6:$J352,$D$6:$D352,$D352),2))</f>
        <v/>
      </c>
      <c r="T352" s="61" t="str">
        <f aca="false">IF($B352="","",YEAR($B352))</f>
        <v/>
      </c>
    </row>
    <row r="353" customFormat="false" ht="15" hidden="false" customHeight="false" outlineLevel="0" collapsed="false">
      <c r="A353" s="53" t="str">
        <f aca="false">IF($B353="","",ROW()-5)</f>
        <v/>
      </c>
      <c r="B353" s="54"/>
      <c r="C353" s="33"/>
      <c r="D353" s="33"/>
      <c r="E353" s="33"/>
      <c r="F353" s="32"/>
      <c r="G353" s="41"/>
      <c r="H353" s="39"/>
      <c r="I353" s="43"/>
      <c r="J353" s="43"/>
      <c r="K353" s="41"/>
      <c r="L353" s="39"/>
      <c r="M353" s="41"/>
      <c r="N353" s="25" t="str">
        <f aca="false">IF(AND($B353="",$E353="",$I353="",$J353=""),"",IF(NOT(ISNUMBER($B353)),"日期无效",IF(ISNA(MATCH($C353,参数设置!$A$10:$A$12,0)),"公司无效",IF(ISNA(MATCH($D353,资金账户!$B$6:$B$25,0)),"账户未建档",IF(ISNA(MATCH($E353,记账规则!$A$13:$A$32,0)),"业务类型无效",IF(AND(N($I353)&lt;&gt;0,N($J353)&lt;&gt;0),"收入和支出只能填一列",IF($P353=0,"金额为 0",IF(AND($R353="收",N($I353)=0),"这类业务是收款，金额填到收入列",IF(AND($R353="支",N($J353)=0),"这类业务是付款，金额填到支出列",IF(AND(SUMPRODUCT(--(INDEX(记账规则!$A$13:$H$32,MATCH($E353,记账规则!$A$13:$A$32,0),0)="@对方"))&gt;0,$G353=""),"这个类型要填对方科目",IF(AND($G353&lt;&gt;"",ISNA(MATCH($G353,会计科目表!$B$6:$B$85,0))),"对方科目不存在",IF(AND($E353="缴纳税费",$H353=""),"缴税请在费用项目里选税种",IF(AND($F353&lt;&gt;"",ISNA(MATCH($F353,往来单位!$A$6:$A$85,0))),"往来单位未建档",IF(YEAR($B353)&lt;&gt;参数设置!$B$5,"不在本会计年度",IF(AND($B352&lt;&gt;"",ISNUMBER($B352),$B353&lt;$B352),"日期比上一行早，余额按行序滚，建议按日期录","OK")))))))))))))))</f>
        <v/>
      </c>
      <c r="O353" s="58" t="str">
        <f aca="false">IF($B353="","",TEXT($B353,"yyyy-mm"))</f>
        <v/>
      </c>
      <c r="P353" s="60" t="str">
        <f aca="false">IF($E353="","",ROUND(N($I353)+N($J353),2))</f>
        <v/>
      </c>
      <c r="Q353" s="58" t="str">
        <f aca="false">IF($D353="","",IFERROR(INDEX(资金账户!$F$6:$F$25,MATCH($D353,资金账户!$B$6:$B$25,0)),""))</f>
        <v/>
      </c>
      <c r="R353" s="58" t="str">
        <f aca="false">IF($E353="","",IFERROR(IF(INDEX(记账规则!$A$13:$H$32,MATCH($E353,记账规则!$A$13:$A$32,0),4)="借","收","支"),""))</f>
        <v/>
      </c>
      <c r="S353" s="57" t="str">
        <f aca="false">IF($D353="","",ROUND(SUMIFS(资金账户!$H$6:$H$25,资金账户!$B$6:$B$25,$D353)+SUMIFS($I$6:$I353,$D$6:$D353,$D353)-SUMIFS($J$6:$J353,$D$6:$D353,$D353),2))</f>
        <v/>
      </c>
      <c r="T353" s="61" t="str">
        <f aca="false">IF($B353="","",YEAR($B353))</f>
        <v/>
      </c>
    </row>
    <row r="354" customFormat="false" ht="15" hidden="false" customHeight="false" outlineLevel="0" collapsed="false">
      <c r="A354" s="53" t="str">
        <f aca="false">IF($B354="","",ROW()-5)</f>
        <v/>
      </c>
      <c r="B354" s="54"/>
      <c r="C354" s="33"/>
      <c r="D354" s="33"/>
      <c r="E354" s="33"/>
      <c r="F354" s="32"/>
      <c r="G354" s="41"/>
      <c r="H354" s="39"/>
      <c r="I354" s="43"/>
      <c r="J354" s="43"/>
      <c r="K354" s="41"/>
      <c r="L354" s="39"/>
      <c r="M354" s="41"/>
      <c r="N354" s="25" t="str">
        <f aca="false">IF(AND($B354="",$E354="",$I354="",$J354=""),"",IF(NOT(ISNUMBER($B354)),"日期无效",IF(ISNA(MATCH($C354,参数设置!$A$10:$A$12,0)),"公司无效",IF(ISNA(MATCH($D354,资金账户!$B$6:$B$25,0)),"账户未建档",IF(ISNA(MATCH($E354,记账规则!$A$13:$A$32,0)),"业务类型无效",IF(AND(N($I354)&lt;&gt;0,N($J354)&lt;&gt;0),"收入和支出只能填一列",IF($P354=0,"金额为 0",IF(AND($R354="收",N($I354)=0),"这类业务是收款，金额填到收入列",IF(AND($R354="支",N($J354)=0),"这类业务是付款，金额填到支出列",IF(AND(SUMPRODUCT(--(INDEX(记账规则!$A$13:$H$32,MATCH($E354,记账规则!$A$13:$A$32,0),0)="@对方"))&gt;0,$G354=""),"这个类型要填对方科目",IF(AND($G354&lt;&gt;"",ISNA(MATCH($G354,会计科目表!$B$6:$B$85,0))),"对方科目不存在",IF(AND($E354="缴纳税费",$H354=""),"缴税请在费用项目里选税种",IF(AND($F354&lt;&gt;"",ISNA(MATCH($F354,往来单位!$A$6:$A$85,0))),"往来单位未建档",IF(YEAR($B354)&lt;&gt;参数设置!$B$5,"不在本会计年度",IF(AND($B353&lt;&gt;"",ISNUMBER($B353),$B354&lt;$B353),"日期比上一行早，余额按行序滚，建议按日期录","OK")))))))))))))))</f>
        <v/>
      </c>
      <c r="O354" s="58" t="str">
        <f aca="false">IF($B354="","",TEXT($B354,"yyyy-mm"))</f>
        <v/>
      </c>
      <c r="P354" s="60" t="str">
        <f aca="false">IF($E354="","",ROUND(N($I354)+N($J354),2))</f>
        <v/>
      </c>
      <c r="Q354" s="58" t="str">
        <f aca="false">IF($D354="","",IFERROR(INDEX(资金账户!$F$6:$F$25,MATCH($D354,资金账户!$B$6:$B$25,0)),""))</f>
        <v/>
      </c>
      <c r="R354" s="58" t="str">
        <f aca="false">IF($E354="","",IFERROR(IF(INDEX(记账规则!$A$13:$H$32,MATCH($E354,记账规则!$A$13:$A$32,0),4)="借","收","支"),""))</f>
        <v/>
      </c>
      <c r="S354" s="57" t="str">
        <f aca="false">IF($D354="","",ROUND(SUMIFS(资金账户!$H$6:$H$25,资金账户!$B$6:$B$25,$D354)+SUMIFS($I$6:$I354,$D$6:$D354,$D354)-SUMIFS($J$6:$J354,$D$6:$D354,$D354),2))</f>
        <v/>
      </c>
      <c r="T354" s="61" t="str">
        <f aca="false">IF($B354="","",YEAR($B354))</f>
        <v/>
      </c>
    </row>
    <row r="355" customFormat="false" ht="15" hidden="false" customHeight="false" outlineLevel="0" collapsed="false">
      <c r="A355" s="53" t="str">
        <f aca="false">IF($B355="","",ROW()-5)</f>
        <v/>
      </c>
      <c r="B355" s="54"/>
      <c r="C355" s="33"/>
      <c r="D355" s="33"/>
      <c r="E355" s="33"/>
      <c r="F355" s="32"/>
      <c r="G355" s="41"/>
      <c r="H355" s="39"/>
      <c r="I355" s="43"/>
      <c r="J355" s="43"/>
      <c r="K355" s="41"/>
      <c r="L355" s="39"/>
      <c r="M355" s="41"/>
      <c r="N355" s="25" t="str">
        <f aca="false">IF(AND($B355="",$E355="",$I355="",$J355=""),"",IF(NOT(ISNUMBER($B355)),"日期无效",IF(ISNA(MATCH($C355,参数设置!$A$10:$A$12,0)),"公司无效",IF(ISNA(MATCH($D355,资金账户!$B$6:$B$25,0)),"账户未建档",IF(ISNA(MATCH($E355,记账规则!$A$13:$A$32,0)),"业务类型无效",IF(AND(N($I355)&lt;&gt;0,N($J355)&lt;&gt;0),"收入和支出只能填一列",IF($P355=0,"金额为 0",IF(AND($R355="收",N($I355)=0),"这类业务是收款，金额填到收入列",IF(AND($R355="支",N($J355)=0),"这类业务是付款，金额填到支出列",IF(AND(SUMPRODUCT(--(INDEX(记账规则!$A$13:$H$32,MATCH($E355,记账规则!$A$13:$A$32,0),0)="@对方"))&gt;0,$G355=""),"这个类型要填对方科目",IF(AND($G355&lt;&gt;"",ISNA(MATCH($G355,会计科目表!$B$6:$B$85,0))),"对方科目不存在",IF(AND($E355="缴纳税费",$H355=""),"缴税请在费用项目里选税种",IF(AND($F355&lt;&gt;"",ISNA(MATCH($F355,往来单位!$A$6:$A$85,0))),"往来单位未建档",IF(YEAR($B355)&lt;&gt;参数设置!$B$5,"不在本会计年度",IF(AND($B354&lt;&gt;"",ISNUMBER($B354),$B355&lt;$B354),"日期比上一行早，余额按行序滚，建议按日期录","OK")))))))))))))))</f>
        <v/>
      </c>
      <c r="O355" s="58" t="str">
        <f aca="false">IF($B355="","",TEXT($B355,"yyyy-mm"))</f>
        <v/>
      </c>
      <c r="P355" s="60" t="str">
        <f aca="false">IF($E355="","",ROUND(N($I355)+N($J355),2))</f>
        <v/>
      </c>
      <c r="Q355" s="58" t="str">
        <f aca="false">IF($D355="","",IFERROR(INDEX(资金账户!$F$6:$F$25,MATCH($D355,资金账户!$B$6:$B$25,0)),""))</f>
        <v/>
      </c>
      <c r="R355" s="58" t="str">
        <f aca="false">IF($E355="","",IFERROR(IF(INDEX(记账规则!$A$13:$H$32,MATCH($E355,记账规则!$A$13:$A$32,0),4)="借","收","支"),""))</f>
        <v/>
      </c>
      <c r="S355" s="57" t="str">
        <f aca="false">IF($D355="","",ROUND(SUMIFS(资金账户!$H$6:$H$25,资金账户!$B$6:$B$25,$D355)+SUMIFS($I$6:$I355,$D$6:$D355,$D355)-SUMIFS($J$6:$J355,$D$6:$D355,$D355),2))</f>
        <v/>
      </c>
      <c r="T355" s="61" t="str">
        <f aca="false">IF($B355="","",YEAR($B355))</f>
        <v/>
      </c>
    </row>
    <row r="356" customFormat="false" ht="15" hidden="false" customHeight="false" outlineLevel="0" collapsed="false">
      <c r="A356" s="53" t="str">
        <f aca="false">IF($B356="","",ROW()-5)</f>
        <v/>
      </c>
      <c r="B356" s="54"/>
      <c r="C356" s="33"/>
      <c r="D356" s="33"/>
      <c r="E356" s="33"/>
      <c r="F356" s="32"/>
      <c r="G356" s="41"/>
      <c r="H356" s="39"/>
      <c r="I356" s="43"/>
      <c r="J356" s="43"/>
      <c r="K356" s="41"/>
      <c r="L356" s="39"/>
      <c r="M356" s="41"/>
      <c r="N356" s="25" t="str">
        <f aca="false">IF(AND($B356="",$E356="",$I356="",$J356=""),"",IF(NOT(ISNUMBER($B356)),"日期无效",IF(ISNA(MATCH($C356,参数设置!$A$10:$A$12,0)),"公司无效",IF(ISNA(MATCH($D356,资金账户!$B$6:$B$25,0)),"账户未建档",IF(ISNA(MATCH($E356,记账规则!$A$13:$A$32,0)),"业务类型无效",IF(AND(N($I356)&lt;&gt;0,N($J356)&lt;&gt;0),"收入和支出只能填一列",IF($P356=0,"金额为 0",IF(AND($R356="收",N($I356)=0),"这类业务是收款，金额填到收入列",IF(AND($R356="支",N($J356)=0),"这类业务是付款，金额填到支出列",IF(AND(SUMPRODUCT(--(INDEX(记账规则!$A$13:$H$32,MATCH($E356,记账规则!$A$13:$A$32,0),0)="@对方"))&gt;0,$G356=""),"这个类型要填对方科目",IF(AND($G356&lt;&gt;"",ISNA(MATCH($G356,会计科目表!$B$6:$B$85,0))),"对方科目不存在",IF(AND($E356="缴纳税费",$H356=""),"缴税请在费用项目里选税种",IF(AND($F356&lt;&gt;"",ISNA(MATCH($F356,往来单位!$A$6:$A$85,0))),"往来单位未建档",IF(YEAR($B356)&lt;&gt;参数设置!$B$5,"不在本会计年度",IF(AND($B355&lt;&gt;"",ISNUMBER($B355),$B356&lt;$B355),"日期比上一行早，余额按行序滚，建议按日期录","OK")))))))))))))))</f>
        <v/>
      </c>
      <c r="O356" s="58" t="str">
        <f aca="false">IF($B356="","",TEXT($B356,"yyyy-mm"))</f>
        <v/>
      </c>
      <c r="P356" s="60" t="str">
        <f aca="false">IF($E356="","",ROUND(N($I356)+N($J356),2))</f>
        <v/>
      </c>
      <c r="Q356" s="58" t="str">
        <f aca="false">IF($D356="","",IFERROR(INDEX(资金账户!$F$6:$F$25,MATCH($D356,资金账户!$B$6:$B$25,0)),""))</f>
        <v/>
      </c>
      <c r="R356" s="58" t="str">
        <f aca="false">IF($E356="","",IFERROR(IF(INDEX(记账规则!$A$13:$H$32,MATCH($E356,记账规则!$A$13:$A$32,0),4)="借","收","支"),""))</f>
        <v/>
      </c>
      <c r="S356" s="57" t="str">
        <f aca="false">IF($D356="","",ROUND(SUMIFS(资金账户!$H$6:$H$25,资金账户!$B$6:$B$25,$D356)+SUMIFS($I$6:$I356,$D$6:$D356,$D356)-SUMIFS($J$6:$J356,$D$6:$D356,$D356),2))</f>
        <v/>
      </c>
      <c r="T356" s="61" t="str">
        <f aca="false">IF($B356="","",YEAR($B356))</f>
        <v/>
      </c>
    </row>
    <row r="357" customFormat="false" ht="15" hidden="false" customHeight="false" outlineLevel="0" collapsed="false">
      <c r="A357" s="53" t="str">
        <f aca="false">IF($B357="","",ROW()-5)</f>
        <v/>
      </c>
      <c r="B357" s="54"/>
      <c r="C357" s="33"/>
      <c r="D357" s="33"/>
      <c r="E357" s="33"/>
      <c r="F357" s="32"/>
      <c r="G357" s="41"/>
      <c r="H357" s="39"/>
      <c r="I357" s="43"/>
      <c r="J357" s="43"/>
      <c r="K357" s="41"/>
      <c r="L357" s="39"/>
      <c r="M357" s="41"/>
      <c r="N357" s="25" t="str">
        <f aca="false">IF(AND($B357="",$E357="",$I357="",$J357=""),"",IF(NOT(ISNUMBER($B357)),"日期无效",IF(ISNA(MATCH($C357,参数设置!$A$10:$A$12,0)),"公司无效",IF(ISNA(MATCH($D357,资金账户!$B$6:$B$25,0)),"账户未建档",IF(ISNA(MATCH($E357,记账规则!$A$13:$A$32,0)),"业务类型无效",IF(AND(N($I357)&lt;&gt;0,N($J357)&lt;&gt;0),"收入和支出只能填一列",IF($P357=0,"金额为 0",IF(AND($R357="收",N($I357)=0),"这类业务是收款，金额填到收入列",IF(AND($R357="支",N($J357)=0),"这类业务是付款，金额填到支出列",IF(AND(SUMPRODUCT(--(INDEX(记账规则!$A$13:$H$32,MATCH($E357,记账规则!$A$13:$A$32,0),0)="@对方"))&gt;0,$G357=""),"这个类型要填对方科目",IF(AND($G357&lt;&gt;"",ISNA(MATCH($G357,会计科目表!$B$6:$B$85,0))),"对方科目不存在",IF(AND($E357="缴纳税费",$H357=""),"缴税请在费用项目里选税种",IF(AND($F357&lt;&gt;"",ISNA(MATCH($F357,往来单位!$A$6:$A$85,0))),"往来单位未建档",IF(YEAR($B357)&lt;&gt;参数设置!$B$5,"不在本会计年度",IF(AND($B356&lt;&gt;"",ISNUMBER($B356),$B357&lt;$B356),"日期比上一行早，余额按行序滚，建议按日期录","OK")))))))))))))))</f>
        <v/>
      </c>
      <c r="O357" s="58" t="str">
        <f aca="false">IF($B357="","",TEXT($B357,"yyyy-mm"))</f>
        <v/>
      </c>
      <c r="P357" s="60" t="str">
        <f aca="false">IF($E357="","",ROUND(N($I357)+N($J357),2))</f>
        <v/>
      </c>
      <c r="Q357" s="58" t="str">
        <f aca="false">IF($D357="","",IFERROR(INDEX(资金账户!$F$6:$F$25,MATCH($D357,资金账户!$B$6:$B$25,0)),""))</f>
        <v/>
      </c>
      <c r="R357" s="58" t="str">
        <f aca="false">IF($E357="","",IFERROR(IF(INDEX(记账规则!$A$13:$H$32,MATCH($E357,记账规则!$A$13:$A$32,0),4)="借","收","支"),""))</f>
        <v/>
      </c>
      <c r="S357" s="57" t="str">
        <f aca="false">IF($D357="","",ROUND(SUMIFS(资金账户!$H$6:$H$25,资金账户!$B$6:$B$25,$D357)+SUMIFS($I$6:$I357,$D$6:$D357,$D357)-SUMIFS($J$6:$J357,$D$6:$D357,$D357),2))</f>
        <v/>
      </c>
      <c r="T357" s="61" t="str">
        <f aca="false">IF($B357="","",YEAR($B357))</f>
        <v/>
      </c>
    </row>
    <row r="358" customFormat="false" ht="15" hidden="false" customHeight="false" outlineLevel="0" collapsed="false">
      <c r="A358" s="53" t="str">
        <f aca="false">IF($B358="","",ROW()-5)</f>
        <v/>
      </c>
      <c r="B358" s="54"/>
      <c r="C358" s="33"/>
      <c r="D358" s="33"/>
      <c r="E358" s="33"/>
      <c r="F358" s="32"/>
      <c r="G358" s="41"/>
      <c r="H358" s="39"/>
      <c r="I358" s="43"/>
      <c r="J358" s="43"/>
      <c r="K358" s="41"/>
      <c r="L358" s="39"/>
      <c r="M358" s="41"/>
      <c r="N358" s="25" t="str">
        <f aca="false">IF(AND($B358="",$E358="",$I358="",$J358=""),"",IF(NOT(ISNUMBER($B358)),"日期无效",IF(ISNA(MATCH($C358,参数设置!$A$10:$A$12,0)),"公司无效",IF(ISNA(MATCH($D358,资金账户!$B$6:$B$25,0)),"账户未建档",IF(ISNA(MATCH($E358,记账规则!$A$13:$A$32,0)),"业务类型无效",IF(AND(N($I358)&lt;&gt;0,N($J358)&lt;&gt;0),"收入和支出只能填一列",IF($P358=0,"金额为 0",IF(AND($R358="收",N($I358)=0),"这类业务是收款，金额填到收入列",IF(AND($R358="支",N($J358)=0),"这类业务是付款，金额填到支出列",IF(AND(SUMPRODUCT(--(INDEX(记账规则!$A$13:$H$32,MATCH($E358,记账规则!$A$13:$A$32,0),0)="@对方"))&gt;0,$G358=""),"这个类型要填对方科目",IF(AND($G358&lt;&gt;"",ISNA(MATCH($G358,会计科目表!$B$6:$B$85,0))),"对方科目不存在",IF(AND($E358="缴纳税费",$H358=""),"缴税请在费用项目里选税种",IF(AND($F358&lt;&gt;"",ISNA(MATCH($F358,往来单位!$A$6:$A$85,0))),"往来单位未建档",IF(YEAR($B358)&lt;&gt;参数设置!$B$5,"不在本会计年度",IF(AND($B357&lt;&gt;"",ISNUMBER($B357),$B358&lt;$B357),"日期比上一行早，余额按行序滚，建议按日期录","OK")))))))))))))))</f>
        <v/>
      </c>
      <c r="O358" s="58" t="str">
        <f aca="false">IF($B358="","",TEXT($B358,"yyyy-mm"))</f>
        <v/>
      </c>
      <c r="P358" s="60" t="str">
        <f aca="false">IF($E358="","",ROUND(N($I358)+N($J358),2))</f>
        <v/>
      </c>
      <c r="Q358" s="58" t="str">
        <f aca="false">IF($D358="","",IFERROR(INDEX(资金账户!$F$6:$F$25,MATCH($D358,资金账户!$B$6:$B$25,0)),""))</f>
        <v/>
      </c>
      <c r="R358" s="58" t="str">
        <f aca="false">IF($E358="","",IFERROR(IF(INDEX(记账规则!$A$13:$H$32,MATCH($E358,记账规则!$A$13:$A$32,0),4)="借","收","支"),""))</f>
        <v/>
      </c>
      <c r="S358" s="57" t="str">
        <f aca="false">IF($D358="","",ROUND(SUMIFS(资金账户!$H$6:$H$25,资金账户!$B$6:$B$25,$D358)+SUMIFS($I$6:$I358,$D$6:$D358,$D358)-SUMIFS($J$6:$J358,$D$6:$D358,$D358),2))</f>
        <v/>
      </c>
      <c r="T358" s="61" t="str">
        <f aca="false">IF($B358="","",YEAR($B358))</f>
        <v/>
      </c>
    </row>
    <row r="359" customFormat="false" ht="15" hidden="false" customHeight="false" outlineLevel="0" collapsed="false">
      <c r="A359" s="53" t="str">
        <f aca="false">IF($B359="","",ROW()-5)</f>
        <v/>
      </c>
      <c r="B359" s="54"/>
      <c r="C359" s="33"/>
      <c r="D359" s="33"/>
      <c r="E359" s="33"/>
      <c r="F359" s="32"/>
      <c r="G359" s="41"/>
      <c r="H359" s="39"/>
      <c r="I359" s="43"/>
      <c r="J359" s="43"/>
      <c r="K359" s="41"/>
      <c r="L359" s="39"/>
      <c r="M359" s="41"/>
      <c r="N359" s="25" t="str">
        <f aca="false">IF(AND($B359="",$E359="",$I359="",$J359=""),"",IF(NOT(ISNUMBER($B359)),"日期无效",IF(ISNA(MATCH($C359,参数设置!$A$10:$A$12,0)),"公司无效",IF(ISNA(MATCH($D359,资金账户!$B$6:$B$25,0)),"账户未建档",IF(ISNA(MATCH($E359,记账规则!$A$13:$A$32,0)),"业务类型无效",IF(AND(N($I359)&lt;&gt;0,N($J359)&lt;&gt;0),"收入和支出只能填一列",IF($P359=0,"金额为 0",IF(AND($R359="收",N($I359)=0),"这类业务是收款，金额填到收入列",IF(AND($R359="支",N($J359)=0),"这类业务是付款，金额填到支出列",IF(AND(SUMPRODUCT(--(INDEX(记账规则!$A$13:$H$32,MATCH($E359,记账规则!$A$13:$A$32,0),0)="@对方"))&gt;0,$G359=""),"这个类型要填对方科目",IF(AND($G359&lt;&gt;"",ISNA(MATCH($G359,会计科目表!$B$6:$B$85,0))),"对方科目不存在",IF(AND($E359="缴纳税费",$H359=""),"缴税请在费用项目里选税种",IF(AND($F359&lt;&gt;"",ISNA(MATCH($F359,往来单位!$A$6:$A$85,0))),"往来单位未建档",IF(YEAR($B359)&lt;&gt;参数设置!$B$5,"不在本会计年度",IF(AND($B358&lt;&gt;"",ISNUMBER($B358),$B359&lt;$B358),"日期比上一行早，余额按行序滚，建议按日期录","OK")))))))))))))))</f>
        <v/>
      </c>
      <c r="O359" s="58" t="str">
        <f aca="false">IF($B359="","",TEXT($B359,"yyyy-mm"))</f>
        <v/>
      </c>
      <c r="P359" s="60" t="str">
        <f aca="false">IF($E359="","",ROUND(N($I359)+N($J359),2))</f>
        <v/>
      </c>
      <c r="Q359" s="58" t="str">
        <f aca="false">IF($D359="","",IFERROR(INDEX(资金账户!$F$6:$F$25,MATCH($D359,资金账户!$B$6:$B$25,0)),""))</f>
        <v/>
      </c>
      <c r="R359" s="58" t="str">
        <f aca="false">IF($E359="","",IFERROR(IF(INDEX(记账规则!$A$13:$H$32,MATCH($E359,记账规则!$A$13:$A$32,0),4)="借","收","支"),""))</f>
        <v/>
      </c>
      <c r="S359" s="57" t="str">
        <f aca="false">IF($D359="","",ROUND(SUMIFS(资金账户!$H$6:$H$25,资金账户!$B$6:$B$25,$D359)+SUMIFS($I$6:$I359,$D$6:$D359,$D359)-SUMIFS($J$6:$J359,$D$6:$D359,$D359),2))</f>
        <v/>
      </c>
      <c r="T359" s="61" t="str">
        <f aca="false">IF($B359="","",YEAR($B359))</f>
        <v/>
      </c>
    </row>
    <row r="360" customFormat="false" ht="15" hidden="false" customHeight="false" outlineLevel="0" collapsed="false">
      <c r="A360" s="53" t="str">
        <f aca="false">IF($B360="","",ROW()-5)</f>
        <v/>
      </c>
      <c r="B360" s="54"/>
      <c r="C360" s="33"/>
      <c r="D360" s="33"/>
      <c r="E360" s="33"/>
      <c r="F360" s="32"/>
      <c r="G360" s="41"/>
      <c r="H360" s="39"/>
      <c r="I360" s="43"/>
      <c r="J360" s="43"/>
      <c r="K360" s="41"/>
      <c r="L360" s="39"/>
      <c r="M360" s="41"/>
      <c r="N360" s="25" t="str">
        <f aca="false">IF(AND($B360="",$E360="",$I360="",$J360=""),"",IF(NOT(ISNUMBER($B360)),"日期无效",IF(ISNA(MATCH($C360,参数设置!$A$10:$A$12,0)),"公司无效",IF(ISNA(MATCH($D360,资金账户!$B$6:$B$25,0)),"账户未建档",IF(ISNA(MATCH($E360,记账规则!$A$13:$A$32,0)),"业务类型无效",IF(AND(N($I360)&lt;&gt;0,N($J360)&lt;&gt;0),"收入和支出只能填一列",IF($P360=0,"金额为 0",IF(AND($R360="收",N($I360)=0),"这类业务是收款，金额填到收入列",IF(AND($R360="支",N($J360)=0),"这类业务是付款，金额填到支出列",IF(AND(SUMPRODUCT(--(INDEX(记账规则!$A$13:$H$32,MATCH($E360,记账规则!$A$13:$A$32,0),0)="@对方"))&gt;0,$G360=""),"这个类型要填对方科目",IF(AND($G360&lt;&gt;"",ISNA(MATCH($G360,会计科目表!$B$6:$B$85,0))),"对方科目不存在",IF(AND($E360="缴纳税费",$H360=""),"缴税请在费用项目里选税种",IF(AND($F360&lt;&gt;"",ISNA(MATCH($F360,往来单位!$A$6:$A$85,0))),"往来单位未建档",IF(YEAR($B360)&lt;&gt;参数设置!$B$5,"不在本会计年度",IF(AND($B359&lt;&gt;"",ISNUMBER($B359),$B360&lt;$B359),"日期比上一行早，余额按行序滚，建议按日期录","OK")))))))))))))))</f>
        <v/>
      </c>
      <c r="O360" s="58" t="str">
        <f aca="false">IF($B360="","",TEXT($B360,"yyyy-mm"))</f>
        <v/>
      </c>
      <c r="P360" s="60" t="str">
        <f aca="false">IF($E360="","",ROUND(N($I360)+N($J360),2))</f>
        <v/>
      </c>
      <c r="Q360" s="58" t="str">
        <f aca="false">IF($D360="","",IFERROR(INDEX(资金账户!$F$6:$F$25,MATCH($D360,资金账户!$B$6:$B$25,0)),""))</f>
        <v/>
      </c>
      <c r="R360" s="58" t="str">
        <f aca="false">IF($E360="","",IFERROR(IF(INDEX(记账规则!$A$13:$H$32,MATCH($E360,记账规则!$A$13:$A$32,0),4)="借","收","支"),""))</f>
        <v/>
      </c>
      <c r="S360" s="57" t="str">
        <f aca="false">IF($D360="","",ROUND(SUMIFS(资金账户!$H$6:$H$25,资金账户!$B$6:$B$25,$D360)+SUMIFS($I$6:$I360,$D$6:$D360,$D360)-SUMIFS($J$6:$J360,$D$6:$D360,$D360),2))</f>
        <v/>
      </c>
      <c r="T360" s="61" t="str">
        <f aca="false">IF($B360="","",YEAR($B360))</f>
        <v/>
      </c>
    </row>
    <row r="361" customFormat="false" ht="15" hidden="false" customHeight="false" outlineLevel="0" collapsed="false">
      <c r="A361" s="53" t="str">
        <f aca="false">IF($B361="","",ROW()-5)</f>
        <v/>
      </c>
      <c r="B361" s="54"/>
      <c r="C361" s="33"/>
      <c r="D361" s="33"/>
      <c r="E361" s="33"/>
      <c r="F361" s="32"/>
      <c r="G361" s="41"/>
      <c r="H361" s="39"/>
      <c r="I361" s="43"/>
      <c r="J361" s="43"/>
      <c r="K361" s="41"/>
      <c r="L361" s="39"/>
      <c r="M361" s="41"/>
      <c r="N361" s="25" t="str">
        <f aca="false">IF(AND($B361="",$E361="",$I361="",$J361=""),"",IF(NOT(ISNUMBER($B361)),"日期无效",IF(ISNA(MATCH($C361,参数设置!$A$10:$A$12,0)),"公司无效",IF(ISNA(MATCH($D361,资金账户!$B$6:$B$25,0)),"账户未建档",IF(ISNA(MATCH($E361,记账规则!$A$13:$A$32,0)),"业务类型无效",IF(AND(N($I361)&lt;&gt;0,N($J361)&lt;&gt;0),"收入和支出只能填一列",IF($P361=0,"金额为 0",IF(AND($R361="收",N($I361)=0),"这类业务是收款，金额填到收入列",IF(AND($R361="支",N($J361)=0),"这类业务是付款，金额填到支出列",IF(AND(SUMPRODUCT(--(INDEX(记账规则!$A$13:$H$32,MATCH($E361,记账规则!$A$13:$A$32,0),0)="@对方"))&gt;0,$G361=""),"这个类型要填对方科目",IF(AND($G361&lt;&gt;"",ISNA(MATCH($G361,会计科目表!$B$6:$B$85,0))),"对方科目不存在",IF(AND($E361="缴纳税费",$H361=""),"缴税请在费用项目里选税种",IF(AND($F361&lt;&gt;"",ISNA(MATCH($F361,往来单位!$A$6:$A$85,0))),"往来单位未建档",IF(YEAR($B361)&lt;&gt;参数设置!$B$5,"不在本会计年度",IF(AND($B360&lt;&gt;"",ISNUMBER($B360),$B361&lt;$B360),"日期比上一行早，余额按行序滚，建议按日期录","OK")))))))))))))))</f>
        <v/>
      </c>
      <c r="O361" s="58" t="str">
        <f aca="false">IF($B361="","",TEXT($B361,"yyyy-mm"))</f>
        <v/>
      </c>
      <c r="P361" s="60" t="str">
        <f aca="false">IF($E361="","",ROUND(N($I361)+N($J361),2))</f>
        <v/>
      </c>
      <c r="Q361" s="58" t="str">
        <f aca="false">IF($D361="","",IFERROR(INDEX(资金账户!$F$6:$F$25,MATCH($D361,资金账户!$B$6:$B$25,0)),""))</f>
        <v/>
      </c>
      <c r="R361" s="58" t="str">
        <f aca="false">IF($E361="","",IFERROR(IF(INDEX(记账规则!$A$13:$H$32,MATCH($E361,记账规则!$A$13:$A$32,0),4)="借","收","支"),""))</f>
        <v/>
      </c>
      <c r="S361" s="57" t="str">
        <f aca="false">IF($D361="","",ROUND(SUMIFS(资金账户!$H$6:$H$25,资金账户!$B$6:$B$25,$D361)+SUMIFS($I$6:$I361,$D$6:$D361,$D361)-SUMIFS($J$6:$J361,$D$6:$D361,$D361),2))</f>
        <v/>
      </c>
      <c r="T361" s="61" t="str">
        <f aca="false">IF($B361="","",YEAR($B361))</f>
        <v/>
      </c>
    </row>
    <row r="362" customFormat="false" ht="15" hidden="false" customHeight="false" outlineLevel="0" collapsed="false">
      <c r="A362" s="53" t="str">
        <f aca="false">IF($B362="","",ROW()-5)</f>
        <v/>
      </c>
      <c r="B362" s="54"/>
      <c r="C362" s="33"/>
      <c r="D362" s="33"/>
      <c r="E362" s="33"/>
      <c r="F362" s="32"/>
      <c r="G362" s="41"/>
      <c r="H362" s="39"/>
      <c r="I362" s="43"/>
      <c r="J362" s="43"/>
      <c r="K362" s="41"/>
      <c r="L362" s="39"/>
      <c r="M362" s="41"/>
      <c r="N362" s="25" t="str">
        <f aca="false">IF(AND($B362="",$E362="",$I362="",$J362=""),"",IF(NOT(ISNUMBER($B362)),"日期无效",IF(ISNA(MATCH($C362,参数设置!$A$10:$A$12,0)),"公司无效",IF(ISNA(MATCH($D362,资金账户!$B$6:$B$25,0)),"账户未建档",IF(ISNA(MATCH($E362,记账规则!$A$13:$A$32,0)),"业务类型无效",IF(AND(N($I362)&lt;&gt;0,N($J362)&lt;&gt;0),"收入和支出只能填一列",IF($P362=0,"金额为 0",IF(AND($R362="收",N($I362)=0),"这类业务是收款，金额填到收入列",IF(AND($R362="支",N($J362)=0),"这类业务是付款，金额填到支出列",IF(AND(SUMPRODUCT(--(INDEX(记账规则!$A$13:$H$32,MATCH($E362,记账规则!$A$13:$A$32,0),0)="@对方"))&gt;0,$G362=""),"这个类型要填对方科目",IF(AND($G362&lt;&gt;"",ISNA(MATCH($G362,会计科目表!$B$6:$B$85,0))),"对方科目不存在",IF(AND($E362="缴纳税费",$H362=""),"缴税请在费用项目里选税种",IF(AND($F362&lt;&gt;"",ISNA(MATCH($F362,往来单位!$A$6:$A$85,0))),"往来单位未建档",IF(YEAR($B362)&lt;&gt;参数设置!$B$5,"不在本会计年度",IF(AND($B361&lt;&gt;"",ISNUMBER($B361),$B362&lt;$B361),"日期比上一行早，余额按行序滚，建议按日期录","OK")))))))))))))))</f>
        <v/>
      </c>
      <c r="O362" s="58" t="str">
        <f aca="false">IF($B362="","",TEXT($B362,"yyyy-mm"))</f>
        <v/>
      </c>
      <c r="P362" s="60" t="str">
        <f aca="false">IF($E362="","",ROUND(N($I362)+N($J362),2))</f>
        <v/>
      </c>
      <c r="Q362" s="58" t="str">
        <f aca="false">IF($D362="","",IFERROR(INDEX(资金账户!$F$6:$F$25,MATCH($D362,资金账户!$B$6:$B$25,0)),""))</f>
        <v/>
      </c>
      <c r="R362" s="58" t="str">
        <f aca="false">IF($E362="","",IFERROR(IF(INDEX(记账规则!$A$13:$H$32,MATCH($E362,记账规则!$A$13:$A$32,0),4)="借","收","支"),""))</f>
        <v/>
      </c>
      <c r="S362" s="57" t="str">
        <f aca="false">IF($D362="","",ROUND(SUMIFS(资金账户!$H$6:$H$25,资金账户!$B$6:$B$25,$D362)+SUMIFS($I$6:$I362,$D$6:$D362,$D362)-SUMIFS($J$6:$J362,$D$6:$D362,$D362),2))</f>
        <v/>
      </c>
      <c r="T362" s="61" t="str">
        <f aca="false">IF($B362="","",YEAR($B362))</f>
        <v/>
      </c>
    </row>
    <row r="363" customFormat="false" ht="15" hidden="false" customHeight="false" outlineLevel="0" collapsed="false">
      <c r="A363" s="53" t="str">
        <f aca="false">IF($B363="","",ROW()-5)</f>
        <v/>
      </c>
      <c r="B363" s="54"/>
      <c r="C363" s="33"/>
      <c r="D363" s="33"/>
      <c r="E363" s="33"/>
      <c r="F363" s="32"/>
      <c r="G363" s="41"/>
      <c r="H363" s="39"/>
      <c r="I363" s="43"/>
      <c r="J363" s="43"/>
      <c r="K363" s="41"/>
      <c r="L363" s="39"/>
      <c r="M363" s="41"/>
      <c r="N363" s="25" t="str">
        <f aca="false">IF(AND($B363="",$E363="",$I363="",$J363=""),"",IF(NOT(ISNUMBER($B363)),"日期无效",IF(ISNA(MATCH($C363,参数设置!$A$10:$A$12,0)),"公司无效",IF(ISNA(MATCH($D363,资金账户!$B$6:$B$25,0)),"账户未建档",IF(ISNA(MATCH($E363,记账规则!$A$13:$A$32,0)),"业务类型无效",IF(AND(N($I363)&lt;&gt;0,N($J363)&lt;&gt;0),"收入和支出只能填一列",IF($P363=0,"金额为 0",IF(AND($R363="收",N($I363)=0),"这类业务是收款，金额填到收入列",IF(AND($R363="支",N($J363)=0),"这类业务是付款，金额填到支出列",IF(AND(SUMPRODUCT(--(INDEX(记账规则!$A$13:$H$32,MATCH($E363,记账规则!$A$13:$A$32,0),0)="@对方"))&gt;0,$G363=""),"这个类型要填对方科目",IF(AND($G363&lt;&gt;"",ISNA(MATCH($G363,会计科目表!$B$6:$B$85,0))),"对方科目不存在",IF(AND($E363="缴纳税费",$H363=""),"缴税请在费用项目里选税种",IF(AND($F363&lt;&gt;"",ISNA(MATCH($F363,往来单位!$A$6:$A$85,0))),"往来单位未建档",IF(YEAR($B363)&lt;&gt;参数设置!$B$5,"不在本会计年度",IF(AND($B362&lt;&gt;"",ISNUMBER($B362),$B363&lt;$B362),"日期比上一行早，余额按行序滚，建议按日期录","OK")))))))))))))))</f>
        <v/>
      </c>
      <c r="O363" s="58" t="str">
        <f aca="false">IF($B363="","",TEXT($B363,"yyyy-mm"))</f>
        <v/>
      </c>
      <c r="P363" s="60" t="str">
        <f aca="false">IF($E363="","",ROUND(N($I363)+N($J363),2))</f>
        <v/>
      </c>
      <c r="Q363" s="58" t="str">
        <f aca="false">IF($D363="","",IFERROR(INDEX(资金账户!$F$6:$F$25,MATCH($D363,资金账户!$B$6:$B$25,0)),""))</f>
        <v/>
      </c>
      <c r="R363" s="58" t="str">
        <f aca="false">IF($E363="","",IFERROR(IF(INDEX(记账规则!$A$13:$H$32,MATCH($E363,记账规则!$A$13:$A$32,0),4)="借","收","支"),""))</f>
        <v/>
      </c>
      <c r="S363" s="57" t="str">
        <f aca="false">IF($D363="","",ROUND(SUMIFS(资金账户!$H$6:$H$25,资金账户!$B$6:$B$25,$D363)+SUMIFS($I$6:$I363,$D$6:$D363,$D363)-SUMIFS($J$6:$J363,$D$6:$D363,$D363),2))</f>
        <v/>
      </c>
      <c r="T363" s="61" t="str">
        <f aca="false">IF($B363="","",YEAR($B363))</f>
        <v/>
      </c>
    </row>
    <row r="364" customFormat="false" ht="15" hidden="false" customHeight="false" outlineLevel="0" collapsed="false">
      <c r="A364" s="53" t="str">
        <f aca="false">IF($B364="","",ROW()-5)</f>
        <v/>
      </c>
      <c r="B364" s="54"/>
      <c r="C364" s="33"/>
      <c r="D364" s="33"/>
      <c r="E364" s="33"/>
      <c r="F364" s="32"/>
      <c r="G364" s="41"/>
      <c r="H364" s="39"/>
      <c r="I364" s="43"/>
      <c r="J364" s="43"/>
      <c r="K364" s="41"/>
      <c r="L364" s="39"/>
      <c r="M364" s="41"/>
      <c r="N364" s="25" t="str">
        <f aca="false">IF(AND($B364="",$E364="",$I364="",$J364=""),"",IF(NOT(ISNUMBER($B364)),"日期无效",IF(ISNA(MATCH($C364,参数设置!$A$10:$A$12,0)),"公司无效",IF(ISNA(MATCH($D364,资金账户!$B$6:$B$25,0)),"账户未建档",IF(ISNA(MATCH($E364,记账规则!$A$13:$A$32,0)),"业务类型无效",IF(AND(N($I364)&lt;&gt;0,N($J364)&lt;&gt;0),"收入和支出只能填一列",IF($P364=0,"金额为 0",IF(AND($R364="收",N($I364)=0),"这类业务是收款，金额填到收入列",IF(AND($R364="支",N($J364)=0),"这类业务是付款，金额填到支出列",IF(AND(SUMPRODUCT(--(INDEX(记账规则!$A$13:$H$32,MATCH($E364,记账规则!$A$13:$A$32,0),0)="@对方"))&gt;0,$G364=""),"这个类型要填对方科目",IF(AND($G364&lt;&gt;"",ISNA(MATCH($G364,会计科目表!$B$6:$B$85,0))),"对方科目不存在",IF(AND($E364="缴纳税费",$H364=""),"缴税请在费用项目里选税种",IF(AND($F364&lt;&gt;"",ISNA(MATCH($F364,往来单位!$A$6:$A$85,0))),"往来单位未建档",IF(YEAR($B364)&lt;&gt;参数设置!$B$5,"不在本会计年度",IF(AND($B363&lt;&gt;"",ISNUMBER($B363),$B364&lt;$B363),"日期比上一行早，余额按行序滚，建议按日期录","OK")))))))))))))))</f>
        <v/>
      </c>
      <c r="O364" s="58" t="str">
        <f aca="false">IF($B364="","",TEXT($B364,"yyyy-mm"))</f>
        <v/>
      </c>
      <c r="P364" s="60" t="str">
        <f aca="false">IF($E364="","",ROUND(N($I364)+N($J364),2))</f>
        <v/>
      </c>
      <c r="Q364" s="58" t="str">
        <f aca="false">IF($D364="","",IFERROR(INDEX(资金账户!$F$6:$F$25,MATCH($D364,资金账户!$B$6:$B$25,0)),""))</f>
        <v/>
      </c>
      <c r="R364" s="58" t="str">
        <f aca="false">IF($E364="","",IFERROR(IF(INDEX(记账规则!$A$13:$H$32,MATCH($E364,记账规则!$A$13:$A$32,0),4)="借","收","支"),""))</f>
        <v/>
      </c>
      <c r="S364" s="57" t="str">
        <f aca="false">IF($D364="","",ROUND(SUMIFS(资金账户!$H$6:$H$25,资金账户!$B$6:$B$25,$D364)+SUMIFS($I$6:$I364,$D$6:$D364,$D364)-SUMIFS($J$6:$J364,$D$6:$D364,$D364),2))</f>
        <v/>
      </c>
      <c r="T364" s="61" t="str">
        <f aca="false">IF($B364="","",YEAR($B364))</f>
        <v/>
      </c>
    </row>
    <row r="365" customFormat="false" ht="15" hidden="false" customHeight="false" outlineLevel="0" collapsed="false">
      <c r="A365" s="53" t="str">
        <f aca="false">IF($B365="","",ROW()-5)</f>
        <v/>
      </c>
      <c r="B365" s="54"/>
      <c r="C365" s="33"/>
      <c r="D365" s="33"/>
      <c r="E365" s="33"/>
      <c r="F365" s="32"/>
      <c r="G365" s="41"/>
      <c r="H365" s="39"/>
      <c r="I365" s="43"/>
      <c r="J365" s="43"/>
      <c r="K365" s="41"/>
      <c r="L365" s="39"/>
      <c r="M365" s="41"/>
      <c r="N365" s="25" t="str">
        <f aca="false">IF(AND($B365="",$E365="",$I365="",$J365=""),"",IF(NOT(ISNUMBER($B365)),"日期无效",IF(ISNA(MATCH($C365,参数设置!$A$10:$A$12,0)),"公司无效",IF(ISNA(MATCH($D365,资金账户!$B$6:$B$25,0)),"账户未建档",IF(ISNA(MATCH($E365,记账规则!$A$13:$A$32,0)),"业务类型无效",IF(AND(N($I365)&lt;&gt;0,N($J365)&lt;&gt;0),"收入和支出只能填一列",IF($P365=0,"金额为 0",IF(AND($R365="收",N($I365)=0),"这类业务是收款，金额填到收入列",IF(AND($R365="支",N($J365)=0),"这类业务是付款，金额填到支出列",IF(AND(SUMPRODUCT(--(INDEX(记账规则!$A$13:$H$32,MATCH($E365,记账规则!$A$13:$A$32,0),0)="@对方"))&gt;0,$G365=""),"这个类型要填对方科目",IF(AND($G365&lt;&gt;"",ISNA(MATCH($G365,会计科目表!$B$6:$B$85,0))),"对方科目不存在",IF(AND($E365="缴纳税费",$H365=""),"缴税请在费用项目里选税种",IF(AND($F365&lt;&gt;"",ISNA(MATCH($F365,往来单位!$A$6:$A$85,0))),"往来单位未建档",IF(YEAR($B365)&lt;&gt;参数设置!$B$5,"不在本会计年度",IF(AND($B364&lt;&gt;"",ISNUMBER($B364),$B365&lt;$B364),"日期比上一行早，余额按行序滚，建议按日期录","OK")))))))))))))))</f>
        <v/>
      </c>
      <c r="O365" s="58" t="str">
        <f aca="false">IF($B365="","",TEXT($B365,"yyyy-mm"))</f>
        <v/>
      </c>
      <c r="P365" s="60" t="str">
        <f aca="false">IF($E365="","",ROUND(N($I365)+N($J365),2))</f>
        <v/>
      </c>
      <c r="Q365" s="58" t="str">
        <f aca="false">IF($D365="","",IFERROR(INDEX(资金账户!$F$6:$F$25,MATCH($D365,资金账户!$B$6:$B$25,0)),""))</f>
        <v/>
      </c>
      <c r="R365" s="58" t="str">
        <f aca="false">IF($E365="","",IFERROR(IF(INDEX(记账规则!$A$13:$H$32,MATCH($E365,记账规则!$A$13:$A$32,0),4)="借","收","支"),""))</f>
        <v/>
      </c>
      <c r="S365" s="57" t="str">
        <f aca="false">IF($D365="","",ROUND(SUMIFS(资金账户!$H$6:$H$25,资金账户!$B$6:$B$25,$D365)+SUMIFS($I$6:$I365,$D$6:$D365,$D365)-SUMIFS($J$6:$J365,$D$6:$D365,$D365),2))</f>
        <v/>
      </c>
      <c r="T365" s="61" t="str">
        <f aca="false">IF($B365="","",YEAR($B365))</f>
        <v/>
      </c>
    </row>
    <row r="366" customFormat="false" ht="15" hidden="false" customHeight="false" outlineLevel="0" collapsed="false">
      <c r="A366" s="53" t="str">
        <f aca="false">IF($B366="","",ROW()-5)</f>
        <v/>
      </c>
      <c r="B366" s="54"/>
      <c r="C366" s="33"/>
      <c r="D366" s="33"/>
      <c r="E366" s="33"/>
      <c r="F366" s="32"/>
      <c r="G366" s="41"/>
      <c r="H366" s="39"/>
      <c r="I366" s="43"/>
      <c r="J366" s="43"/>
      <c r="K366" s="41"/>
      <c r="L366" s="39"/>
      <c r="M366" s="41"/>
      <c r="N366" s="25" t="str">
        <f aca="false">IF(AND($B366="",$E366="",$I366="",$J366=""),"",IF(NOT(ISNUMBER($B366)),"日期无效",IF(ISNA(MATCH($C366,参数设置!$A$10:$A$12,0)),"公司无效",IF(ISNA(MATCH($D366,资金账户!$B$6:$B$25,0)),"账户未建档",IF(ISNA(MATCH($E366,记账规则!$A$13:$A$32,0)),"业务类型无效",IF(AND(N($I366)&lt;&gt;0,N($J366)&lt;&gt;0),"收入和支出只能填一列",IF($P366=0,"金额为 0",IF(AND($R366="收",N($I366)=0),"这类业务是收款，金额填到收入列",IF(AND($R366="支",N($J366)=0),"这类业务是付款，金额填到支出列",IF(AND(SUMPRODUCT(--(INDEX(记账规则!$A$13:$H$32,MATCH($E366,记账规则!$A$13:$A$32,0),0)="@对方"))&gt;0,$G366=""),"这个类型要填对方科目",IF(AND($G366&lt;&gt;"",ISNA(MATCH($G366,会计科目表!$B$6:$B$85,0))),"对方科目不存在",IF(AND($E366="缴纳税费",$H366=""),"缴税请在费用项目里选税种",IF(AND($F366&lt;&gt;"",ISNA(MATCH($F366,往来单位!$A$6:$A$85,0))),"往来单位未建档",IF(YEAR($B366)&lt;&gt;参数设置!$B$5,"不在本会计年度",IF(AND($B365&lt;&gt;"",ISNUMBER($B365),$B366&lt;$B365),"日期比上一行早，余额按行序滚，建议按日期录","OK")))))))))))))))</f>
        <v/>
      </c>
      <c r="O366" s="58" t="str">
        <f aca="false">IF($B366="","",TEXT($B366,"yyyy-mm"))</f>
        <v/>
      </c>
      <c r="P366" s="60" t="str">
        <f aca="false">IF($E366="","",ROUND(N($I366)+N($J366),2))</f>
        <v/>
      </c>
      <c r="Q366" s="58" t="str">
        <f aca="false">IF($D366="","",IFERROR(INDEX(资金账户!$F$6:$F$25,MATCH($D366,资金账户!$B$6:$B$25,0)),""))</f>
        <v/>
      </c>
      <c r="R366" s="58" t="str">
        <f aca="false">IF($E366="","",IFERROR(IF(INDEX(记账规则!$A$13:$H$32,MATCH($E366,记账规则!$A$13:$A$32,0),4)="借","收","支"),""))</f>
        <v/>
      </c>
      <c r="S366" s="57" t="str">
        <f aca="false">IF($D366="","",ROUND(SUMIFS(资金账户!$H$6:$H$25,资金账户!$B$6:$B$25,$D366)+SUMIFS($I$6:$I366,$D$6:$D366,$D366)-SUMIFS($J$6:$J366,$D$6:$D366,$D366),2))</f>
        <v/>
      </c>
      <c r="T366" s="61" t="str">
        <f aca="false">IF($B366="","",YEAR($B366))</f>
        <v/>
      </c>
    </row>
    <row r="367" customFormat="false" ht="15" hidden="false" customHeight="false" outlineLevel="0" collapsed="false">
      <c r="A367" s="53" t="str">
        <f aca="false">IF($B367="","",ROW()-5)</f>
        <v/>
      </c>
      <c r="B367" s="54"/>
      <c r="C367" s="33"/>
      <c r="D367" s="33"/>
      <c r="E367" s="33"/>
      <c r="F367" s="32"/>
      <c r="G367" s="41"/>
      <c r="H367" s="39"/>
      <c r="I367" s="43"/>
      <c r="J367" s="43"/>
      <c r="K367" s="41"/>
      <c r="L367" s="39"/>
      <c r="M367" s="41"/>
      <c r="N367" s="25" t="str">
        <f aca="false">IF(AND($B367="",$E367="",$I367="",$J367=""),"",IF(NOT(ISNUMBER($B367)),"日期无效",IF(ISNA(MATCH($C367,参数设置!$A$10:$A$12,0)),"公司无效",IF(ISNA(MATCH($D367,资金账户!$B$6:$B$25,0)),"账户未建档",IF(ISNA(MATCH($E367,记账规则!$A$13:$A$32,0)),"业务类型无效",IF(AND(N($I367)&lt;&gt;0,N($J367)&lt;&gt;0),"收入和支出只能填一列",IF($P367=0,"金额为 0",IF(AND($R367="收",N($I367)=0),"这类业务是收款，金额填到收入列",IF(AND($R367="支",N($J367)=0),"这类业务是付款，金额填到支出列",IF(AND(SUMPRODUCT(--(INDEX(记账规则!$A$13:$H$32,MATCH($E367,记账规则!$A$13:$A$32,0),0)="@对方"))&gt;0,$G367=""),"这个类型要填对方科目",IF(AND($G367&lt;&gt;"",ISNA(MATCH($G367,会计科目表!$B$6:$B$85,0))),"对方科目不存在",IF(AND($E367="缴纳税费",$H367=""),"缴税请在费用项目里选税种",IF(AND($F367&lt;&gt;"",ISNA(MATCH($F367,往来单位!$A$6:$A$85,0))),"往来单位未建档",IF(YEAR($B367)&lt;&gt;参数设置!$B$5,"不在本会计年度",IF(AND($B366&lt;&gt;"",ISNUMBER($B366),$B367&lt;$B366),"日期比上一行早，余额按行序滚，建议按日期录","OK")))))))))))))))</f>
        <v/>
      </c>
      <c r="O367" s="58" t="str">
        <f aca="false">IF($B367="","",TEXT($B367,"yyyy-mm"))</f>
        <v/>
      </c>
      <c r="P367" s="60" t="str">
        <f aca="false">IF($E367="","",ROUND(N($I367)+N($J367),2))</f>
        <v/>
      </c>
      <c r="Q367" s="58" t="str">
        <f aca="false">IF($D367="","",IFERROR(INDEX(资金账户!$F$6:$F$25,MATCH($D367,资金账户!$B$6:$B$25,0)),""))</f>
        <v/>
      </c>
      <c r="R367" s="58" t="str">
        <f aca="false">IF($E367="","",IFERROR(IF(INDEX(记账规则!$A$13:$H$32,MATCH($E367,记账规则!$A$13:$A$32,0),4)="借","收","支"),""))</f>
        <v/>
      </c>
      <c r="S367" s="57" t="str">
        <f aca="false">IF($D367="","",ROUND(SUMIFS(资金账户!$H$6:$H$25,资金账户!$B$6:$B$25,$D367)+SUMIFS($I$6:$I367,$D$6:$D367,$D367)-SUMIFS($J$6:$J367,$D$6:$D367,$D367),2))</f>
        <v/>
      </c>
      <c r="T367" s="61" t="str">
        <f aca="false">IF($B367="","",YEAR($B367))</f>
        <v/>
      </c>
    </row>
    <row r="368" customFormat="false" ht="15" hidden="false" customHeight="false" outlineLevel="0" collapsed="false">
      <c r="A368" s="53" t="str">
        <f aca="false">IF($B368="","",ROW()-5)</f>
        <v/>
      </c>
      <c r="B368" s="54"/>
      <c r="C368" s="33"/>
      <c r="D368" s="33"/>
      <c r="E368" s="33"/>
      <c r="F368" s="32"/>
      <c r="G368" s="41"/>
      <c r="H368" s="39"/>
      <c r="I368" s="43"/>
      <c r="J368" s="43"/>
      <c r="K368" s="41"/>
      <c r="L368" s="39"/>
      <c r="M368" s="41"/>
      <c r="N368" s="25" t="str">
        <f aca="false">IF(AND($B368="",$E368="",$I368="",$J368=""),"",IF(NOT(ISNUMBER($B368)),"日期无效",IF(ISNA(MATCH($C368,参数设置!$A$10:$A$12,0)),"公司无效",IF(ISNA(MATCH($D368,资金账户!$B$6:$B$25,0)),"账户未建档",IF(ISNA(MATCH($E368,记账规则!$A$13:$A$32,0)),"业务类型无效",IF(AND(N($I368)&lt;&gt;0,N($J368)&lt;&gt;0),"收入和支出只能填一列",IF($P368=0,"金额为 0",IF(AND($R368="收",N($I368)=0),"这类业务是收款，金额填到收入列",IF(AND($R368="支",N($J368)=0),"这类业务是付款，金额填到支出列",IF(AND(SUMPRODUCT(--(INDEX(记账规则!$A$13:$H$32,MATCH($E368,记账规则!$A$13:$A$32,0),0)="@对方"))&gt;0,$G368=""),"这个类型要填对方科目",IF(AND($G368&lt;&gt;"",ISNA(MATCH($G368,会计科目表!$B$6:$B$85,0))),"对方科目不存在",IF(AND($E368="缴纳税费",$H368=""),"缴税请在费用项目里选税种",IF(AND($F368&lt;&gt;"",ISNA(MATCH($F368,往来单位!$A$6:$A$85,0))),"往来单位未建档",IF(YEAR($B368)&lt;&gt;参数设置!$B$5,"不在本会计年度",IF(AND($B367&lt;&gt;"",ISNUMBER($B367),$B368&lt;$B367),"日期比上一行早，余额按行序滚，建议按日期录","OK")))))))))))))))</f>
        <v/>
      </c>
      <c r="O368" s="58" t="str">
        <f aca="false">IF($B368="","",TEXT($B368,"yyyy-mm"))</f>
        <v/>
      </c>
      <c r="P368" s="60" t="str">
        <f aca="false">IF($E368="","",ROUND(N($I368)+N($J368),2))</f>
        <v/>
      </c>
      <c r="Q368" s="58" t="str">
        <f aca="false">IF($D368="","",IFERROR(INDEX(资金账户!$F$6:$F$25,MATCH($D368,资金账户!$B$6:$B$25,0)),""))</f>
        <v/>
      </c>
      <c r="R368" s="58" t="str">
        <f aca="false">IF($E368="","",IFERROR(IF(INDEX(记账规则!$A$13:$H$32,MATCH($E368,记账规则!$A$13:$A$32,0),4)="借","收","支"),""))</f>
        <v/>
      </c>
      <c r="S368" s="57" t="str">
        <f aca="false">IF($D368="","",ROUND(SUMIFS(资金账户!$H$6:$H$25,资金账户!$B$6:$B$25,$D368)+SUMIFS($I$6:$I368,$D$6:$D368,$D368)-SUMIFS($J$6:$J368,$D$6:$D368,$D368),2))</f>
        <v/>
      </c>
      <c r="T368" s="61" t="str">
        <f aca="false">IF($B368="","",YEAR($B368))</f>
        <v/>
      </c>
    </row>
    <row r="369" customFormat="false" ht="15" hidden="false" customHeight="false" outlineLevel="0" collapsed="false">
      <c r="A369" s="53" t="str">
        <f aca="false">IF($B369="","",ROW()-5)</f>
        <v/>
      </c>
      <c r="B369" s="54"/>
      <c r="C369" s="33"/>
      <c r="D369" s="33"/>
      <c r="E369" s="33"/>
      <c r="F369" s="32"/>
      <c r="G369" s="41"/>
      <c r="H369" s="39"/>
      <c r="I369" s="43"/>
      <c r="J369" s="43"/>
      <c r="K369" s="41"/>
      <c r="L369" s="39"/>
      <c r="M369" s="41"/>
      <c r="N369" s="25" t="str">
        <f aca="false">IF(AND($B369="",$E369="",$I369="",$J369=""),"",IF(NOT(ISNUMBER($B369)),"日期无效",IF(ISNA(MATCH($C369,参数设置!$A$10:$A$12,0)),"公司无效",IF(ISNA(MATCH($D369,资金账户!$B$6:$B$25,0)),"账户未建档",IF(ISNA(MATCH($E369,记账规则!$A$13:$A$32,0)),"业务类型无效",IF(AND(N($I369)&lt;&gt;0,N($J369)&lt;&gt;0),"收入和支出只能填一列",IF($P369=0,"金额为 0",IF(AND($R369="收",N($I369)=0),"这类业务是收款，金额填到收入列",IF(AND($R369="支",N($J369)=0),"这类业务是付款，金额填到支出列",IF(AND(SUMPRODUCT(--(INDEX(记账规则!$A$13:$H$32,MATCH($E369,记账规则!$A$13:$A$32,0),0)="@对方"))&gt;0,$G369=""),"这个类型要填对方科目",IF(AND($G369&lt;&gt;"",ISNA(MATCH($G369,会计科目表!$B$6:$B$85,0))),"对方科目不存在",IF(AND($E369="缴纳税费",$H369=""),"缴税请在费用项目里选税种",IF(AND($F369&lt;&gt;"",ISNA(MATCH($F369,往来单位!$A$6:$A$85,0))),"往来单位未建档",IF(YEAR($B369)&lt;&gt;参数设置!$B$5,"不在本会计年度",IF(AND($B368&lt;&gt;"",ISNUMBER($B368),$B369&lt;$B368),"日期比上一行早，余额按行序滚，建议按日期录","OK")))))))))))))))</f>
        <v/>
      </c>
      <c r="O369" s="58" t="str">
        <f aca="false">IF($B369="","",TEXT($B369,"yyyy-mm"))</f>
        <v/>
      </c>
      <c r="P369" s="60" t="str">
        <f aca="false">IF($E369="","",ROUND(N($I369)+N($J369),2))</f>
        <v/>
      </c>
      <c r="Q369" s="58" t="str">
        <f aca="false">IF($D369="","",IFERROR(INDEX(资金账户!$F$6:$F$25,MATCH($D369,资金账户!$B$6:$B$25,0)),""))</f>
        <v/>
      </c>
      <c r="R369" s="58" t="str">
        <f aca="false">IF($E369="","",IFERROR(IF(INDEX(记账规则!$A$13:$H$32,MATCH($E369,记账规则!$A$13:$A$32,0),4)="借","收","支"),""))</f>
        <v/>
      </c>
      <c r="S369" s="57" t="str">
        <f aca="false">IF($D369="","",ROUND(SUMIFS(资金账户!$H$6:$H$25,资金账户!$B$6:$B$25,$D369)+SUMIFS($I$6:$I369,$D$6:$D369,$D369)-SUMIFS($J$6:$J369,$D$6:$D369,$D369),2))</f>
        <v/>
      </c>
      <c r="T369" s="61" t="str">
        <f aca="false">IF($B369="","",YEAR($B369))</f>
        <v/>
      </c>
    </row>
    <row r="370" customFormat="false" ht="15" hidden="false" customHeight="false" outlineLevel="0" collapsed="false">
      <c r="A370" s="53" t="str">
        <f aca="false">IF($B370="","",ROW()-5)</f>
        <v/>
      </c>
      <c r="B370" s="54"/>
      <c r="C370" s="33"/>
      <c r="D370" s="33"/>
      <c r="E370" s="33"/>
      <c r="F370" s="32"/>
      <c r="G370" s="41"/>
      <c r="H370" s="39"/>
      <c r="I370" s="43"/>
      <c r="J370" s="43"/>
      <c r="K370" s="41"/>
      <c r="L370" s="39"/>
      <c r="M370" s="41"/>
      <c r="N370" s="25" t="str">
        <f aca="false">IF(AND($B370="",$E370="",$I370="",$J370=""),"",IF(NOT(ISNUMBER($B370)),"日期无效",IF(ISNA(MATCH($C370,参数设置!$A$10:$A$12,0)),"公司无效",IF(ISNA(MATCH($D370,资金账户!$B$6:$B$25,0)),"账户未建档",IF(ISNA(MATCH($E370,记账规则!$A$13:$A$32,0)),"业务类型无效",IF(AND(N($I370)&lt;&gt;0,N($J370)&lt;&gt;0),"收入和支出只能填一列",IF($P370=0,"金额为 0",IF(AND($R370="收",N($I370)=0),"这类业务是收款，金额填到收入列",IF(AND($R370="支",N($J370)=0),"这类业务是付款，金额填到支出列",IF(AND(SUMPRODUCT(--(INDEX(记账规则!$A$13:$H$32,MATCH($E370,记账规则!$A$13:$A$32,0),0)="@对方"))&gt;0,$G370=""),"这个类型要填对方科目",IF(AND($G370&lt;&gt;"",ISNA(MATCH($G370,会计科目表!$B$6:$B$85,0))),"对方科目不存在",IF(AND($E370="缴纳税费",$H370=""),"缴税请在费用项目里选税种",IF(AND($F370&lt;&gt;"",ISNA(MATCH($F370,往来单位!$A$6:$A$85,0))),"往来单位未建档",IF(YEAR($B370)&lt;&gt;参数设置!$B$5,"不在本会计年度",IF(AND($B369&lt;&gt;"",ISNUMBER($B369),$B370&lt;$B369),"日期比上一行早，余额按行序滚，建议按日期录","OK")))))))))))))))</f>
        <v/>
      </c>
      <c r="O370" s="58" t="str">
        <f aca="false">IF($B370="","",TEXT($B370,"yyyy-mm"))</f>
        <v/>
      </c>
      <c r="P370" s="60" t="str">
        <f aca="false">IF($E370="","",ROUND(N($I370)+N($J370),2))</f>
        <v/>
      </c>
      <c r="Q370" s="58" t="str">
        <f aca="false">IF($D370="","",IFERROR(INDEX(资金账户!$F$6:$F$25,MATCH($D370,资金账户!$B$6:$B$25,0)),""))</f>
        <v/>
      </c>
      <c r="R370" s="58" t="str">
        <f aca="false">IF($E370="","",IFERROR(IF(INDEX(记账规则!$A$13:$H$32,MATCH($E370,记账规则!$A$13:$A$32,0),4)="借","收","支"),""))</f>
        <v/>
      </c>
      <c r="S370" s="57" t="str">
        <f aca="false">IF($D370="","",ROUND(SUMIFS(资金账户!$H$6:$H$25,资金账户!$B$6:$B$25,$D370)+SUMIFS($I$6:$I370,$D$6:$D370,$D370)-SUMIFS($J$6:$J370,$D$6:$D370,$D370),2))</f>
        <v/>
      </c>
      <c r="T370" s="61" t="str">
        <f aca="false">IF($B370="","",YEAR($B370))</f>
        <v/>
      </c>
    </row>
    <row r="371" customFormat="false" ht="15" hidden="false" customHeight="false" outlineLevel="0" collapsed="false">
      <c r="A371" s="53" t="str">
        <f aca="false">IF($B371="","",ROW()-5)</f>
        <v/>
      </c>
      <c r="B371" s="54"/>
      <c r="C371" s="33"/>
      <c r="D371" s="33"/>
      <c r="E371" s="33"/>
      <c r="F371" s="32"/>
      <c r="G371" s="41"/>
      <c r="H371" s="39"/>
      <c r="I371" s="43"/>
      <c r="J371" s="43"/>
      <c r="K371" s="41"/>
      <c r="L371" s="39"/>
      <c r="M371" s="41"/>
      <c r="N371" s="25" t="str">
        <f aca="false">IF(AND($B371="",$E371="",$I371="",$J371=""),"",IF(NOT(ISNUMBER($B371)),"日期无效",IF(ISNA(MATCH($C371,参数设置!$A$10:$A$12,0)),"公司无效",IF(ISNA(MATCH($D371,资金账户!$B$6:$B$25,0)),"账户未建档",IF(ISNA(MATCH($E371,记账规则!$A$13:$A$32,0)),"业务类型无效",IF(AND(N($I371)&lt;&gt;0,N($J371)&lt;&gt;0),"收入和支出只能填一列",IF($P371=0,"金额为 0",IF(AND($R371="收",N($I371)=0),"这类业务是收款，金额填到收入列",IF(AND($R371="支",N($J371)=0),"这类业务是付款，金额填到支出列",IF(AND(SUMPRODUCT(--(INDEX(记账规则!$A$13:$H$32,MATCH($E371,记账规则!$A$13:$A$32,0),0)="@对方"))&gt;0,$G371=""),"这个类型要填对方科目",IF(AND($G371&lt;&gt;"",ISNA(MATCH($G371,会计科目表!$B$6:$B$85,0))),"对方科目不存在",IF(AND($E371="缴纳税费",$H371=""),"缴税请在费用项目里选税种",IF(AND($F371&lt;&gt;"",ISNA(MATCH($F371,往来单位!$A$6:$A$85,0))),"往来单位未建档",IF(YEAR($B371)&lt;&gt;参数设置!$B$5,"不在本会计年度",IF(AND($B370&lt;&gt;"",ISNUMBER($B370),$B371&lt;$B370),"日期比上一行早，余额按行序滚，建议按日期录","OK")))))))))))))))</f>
        <v/>
      </c>
      <c r="O371" s="58" t="str">
        <f aca="false">IF($B371="","",TEXT($B371,"yyyy-mm"))</f>
        <v/>
      </c>
      <c r="P371" s="60" t="str">
        <f aca="false">IF($E371="","",ROUND(N($I371)+N($J371),2))</f>
        <v/>
      </c>
      <c r="Q371" s="58" t="str">
        <f aca="false">IF($D371="","",IFERROR(INDEX(资金账户!$F$6:$F$25,MATCH($D371,资金账户!$B$6:$B$25,0)),""))</f>
        <v/>
      </c>
      <c r="R371" s="58" t="str">
        <f aca="false">IF($E371="","",IFERROR(IF(INDEX(记账规则!$A$13:$H$32,MATCH($E371,记账规则!$A$13:$A$32,0),4)="借","收","支"),""))</f>
        <v/>
      </c>
      <c r="S371" s="57" t="str">
        <f aca="false">IF($D371="","",ROUND(SUMIFS(资金账户!$H$6:$H$25,资金账户!$B$6:$B$25,$D371)+SUMIFS($I$6:$I371,$D$6:$D371,$D371)-SUMIFS($J$6:$J371,$D$6:$D371,$D371),2))</f>
        <v/>
      </c>
      <c r="T371" s="61" t="str">
        <f aca="false">IF($B371="","",YEAR($B371))</f>
        <v/>
      </c>
    </row>
    <row r="372" customFormat="false" ht="15" hidden="false" customHeight="false" outlineLevel="0" collapsed="false">
      <c r="A372" s="53" t="str">
        <f aca="false">IF($B372="","",ROW()-5)</f>
        <v/>
      </c>
      <c r="B372" s="54"/>
      <c r="C372" s="33"/>
      <c r="D372" s="33"/>
      <c r="E372" s="33"/>
      <c r="F372" s="32"/>
      <c r="G372" s="41"/>
      <c r="H372" s="39"/>
      <c r="I372" s="43"/>
      <c r="J372" s="43"/>
      <c r="K372" s="41"/>
      <c r="L372" s="39"/>
      <c r="M372" s="41"/>
      <c r="N372" s="25" t="str">
        <f aca="false">IF(AND($B372="",$E372="",$I372="",$J372=""),"",IF(NOT(ISNUMBER($B372)),"日期无效",IF(ISNA(MATCH($C372,参数设置!$A$10:$A$12,0)),"公司无效",IF(ISNA(MATCH($D372,资金账户!$B$6:$B$25,0)),"账户未建档",IF(ISNA(MATCH($E372,记账规则!$A$13:$A$32,0)),"业务类型无效",IF(AND(N($I372)&lt;&gt;0,N($J372)&lt;&gt;0),"收入和支出只能填一列",IF($P372=0,"金额为 0",IF(AND($R372="收",N($I372)=0),"这类业务是收款，金额填到收入列",IF(AND($R372="支",N($J372)=0),"这类业务是付款，金额填到支出列",IF(AND(SUMPRODUCT(--(INDEX(记账规则!$A$13:$H$32,MATCH($E372,记账规则!$A$13:$A$32,0),0)="@对方"))&gt;0,$G372=""),"这个类型要填对方科目",IF(AND($G372&lt;&gt;"",ISNA(MATCH($G372,会计科目表!$B$6:$B$85,0))),"对方科目不存在",IF(AND($E372="缴纳税费",$H372=""),"缴税请在费用项目里选税种",IF(AND($F372&lt;&gt;"",ISNA(MATCH($F372,往来单位!$A$6:$A$85,0))),"往来单位未建档",IF(YEAR($B372)&lt;&gt;参数设置!$B$5,"不在本会计年度",IF(AND($B371&lt;&gt;"",ISNUMBER($B371),$B372&lt;$B371),"日期比上一行早，余额按行序滚，建议按日期录","OK")))))))))))))))</f>
        <v/>
      </c>
      <c r="O372" s="58" t="str">
        <f aca="false">IF($B372="","",TEXT($B372,"yyyy-mm"))</f>
        <v/>
      </c>
      <c r="P372" s="60" t="str">
        <f aca="false">IF($E372="","",ROUND(N($I372)+N($J372),2))</f>
        <v/>
      </c>
      <c r="Q372" s="58" t="str">
        <f aca="false">IF($D372="","",IFERROR(INDEX(资金账户!$F$6:$F$25,MATCH($D372,资金账户!$B$6:$B$25,0)),""))</f>
        <v/>
      </c>
      <c r="R372" s="58" t="str">
        <f aca="false">IF($E372="","",IFERROR(IF(INDEX(记账规则!$A$13:$H$32,MATCH($E372,记账规则!$A$13:$A$32,0),4)="借","收","支"),""))</f>
        <v/>
      </c>
      <c r="S372" s="57" t="str">
        <f aca="false">IF($D372="","",ROUND(SUMIFS(资金账户!$H$6:$H$25,资金账户!$B$6:$B$25,$D372)+SUMIFS($I$6:$I372,$D$6:$D372,$D372)-SUMIFS($J$6:$J372,$D$6:$D372,$D372),2))</f>
        <v/>
      </c>
      <c r="T372" s="61" t="str">
        <f aca="false">IF($B372="","",YEAR($B372))</f>
        <v/>
      </c>
    </row>
    <row r="373" customFormat="false" ht="15" hidden="false" customHeight="false" outlineLevel="0" collapsed="false">
      <c r="A373" s="53" t="str">
        <f aca="false">IF($B373="","",ROW()-5)</f>
        <v/>
      </c>
      <c r="B373" s="54"/>
      <c r="C373" s="33"/>
      <c r="D373" s="33"/>
      <c r="E373" s="33"/>
      <c r="F373" s="32"/>
      <c r="G373" s="41"/>
      <c r="H373" s="39"/>
      <c r="I373" s="43"/>
      <c r="J373" s="43"/>
      <c r="K373" s="41"/>
      <c r="L373" s="39"/>
      <c r="M373" s="41"/>
      <c r="N373" s="25" t="str">
        <f aca="false">IF(AND($B373="",$E373="",$I373="",$J373=""),"",IF(NOT(ISNUMBER($B373)),"日期无效",IF(ISNA(MATCH($C373,参数设置!$A$10:$A$12,0)),"公司无效",IF(ISNA(MATCH($D373,资金账户!$B$6:$B$25,0)),"账户未建档",IF(ISNA(MATCH($E373,记账规则!$A$13:$A$32,0)),"业务类型无效",IF(AND(N($I373)&lt;&gt;0,N($J373)&lt;&gt;0),"收入和支出只能填一列",IF($P373=0,"金额为 0",IF(AND($R373="收",N($I373)=0),"这类业务是收款，金额填到收入列",IF(AND($R373="支",N($J373)=0),"这类业务是付款，金额填到支出列",IF(AND(SUMPRODUCT(--(INDEX(记账规则!$A$13:$H$32,MATCH($E373,记账规则!$A$13:$A$32,0),0)="@对方"))&gt;0,$G373=""),"这个类型要填对方科目",IF(AND($G373&lt;&gt;"",ISNA(MATCH($G373,会计科目表!$B$6:$B$85,0))),"对方科目不存在",IF(AND($E373="缴纳税费",$H373=""),"缴税请在费用项目里选税种",IF(AND($F373&lt;&gt;"",ISNA(MATCH($F373,往来单位!$A$6:$A$85,0))),"往来单位未建档",IF(YEAR($B373)&lt;&gt;参数设置!$B$5,"不在本会计年度",IF(AND($B372&lt;&gt;"",ISNUMBER($B372),$B373&lt;$B372),"日期比上一行早，余额按行序滚，建议按日期录","OK")))))))))))))))</f>
        <v/>
      </c>
      <c r="O373" s="58" t="str">
        <f aca="false">IF($B373="","",TEXT($B373,"yyyy-mm"))</f>
        <v/>
      </c>
      <c r="P373" s="60" t="str">
        <f aca="false">IF($E373="","",ROUND(N($I373)+N($J373),2))</f>
        <v/>
      </c>
      <c r="Q373" s="58" t="str">
        <f aca="false">IF($D373="","",IFERROR(INDEX(资金账户!$F$6:$F$25,MATCH($D373,资金账户!$B$6:$B$25,0)),""))</f>
        <v/>
      </c>
      <c r="R373" s="58" t="str">
        <f aca="false">IF($E373="","",IFERROR(IF(INDEX(记账规则!$A$13:$H$32,MATCH($E373,记账规则!$A$13:$A$32,0),4)="借","收","支"),""))</f>
        <v/>
      </c>
      <c r="S373" s="57" t="str">
        <f aca="false">IF($D373="","",ROUND(SUMIFS(资金账户!$H$6:$H$25,资金账户!$B$6:$B$25,$D373)+SUMIFS($I$6:$I373,$D$6:$D373,$D373)-SUMIFS($J$6:$J373,$D$6:$D373,$D373),2))</f>
        <v/>
      </c>
      <c r="T373" s="61" t="str">
        <f aca="false">IF($B373="","",YEAR($B373))</f>
        <v/>
      </c>
    </row>
    <row r="374" customFormat="false" ht="15" hidden="false" customHeight="false" outlineLevel="0" collapsed="false">
      <c r="A374" s="53" t="str">
        <f aca="false">IF($B374="","",ROW()-5)</f>
        <v/>
      </c>
      <c r="B374" s="54"/>
      <c r="C374" s="33"/>
      <c r="D374" s="33"/>
      <c r="E374" s="33"/>
      <c r="F374" s="32"/>
      <c r="G374" s="41"/>
      <c r="H374" s="39"/>
      <c r="I374" s="43"/>
      <c r="J374" s="43"/>
      <c r="K374" s="41"/>
      <c r="L374" s="39"/>
      <c r="M374" s="41"/>
      <c r="N374" s="25" t="str">
        <f aca="false">IF(AND($B374="",$E374="",$I374="",$J374=""),"",IF(NOT(ISNUMBER($B374)),"日期无效",IF(ISNA(MATCH($C374,参数设置!$A$10:$A$12,0)),"公司无效",IF(ISNA(MATCH($D374,资金账户!$B$6:$B$25,0)),"账户未建档",IF(ISNA(MATCH($E374,记账规则!$A$13:$A$32,0)),"业务类型无效",IF(AND(N($I374)&lt;&gt;0,N($J374)&lt;&gt;0),"收入和支出只能填一列",IF($P374=0,"金额为 0",IF(AND($R374="收",N($I374)=0),"这类业务是收款，金额填到收入列",IF(AND($R374="支",N($J374)=0),"这类业务是付款，金额填到支出列",IF(AND(SUMPRODUCT(--(INDEX(记账规则!$A$13:$H$32,MATCH($E374,记账规则!$A$13:$A$32,0),0)="@对方"))&gt;0,$G374=""),"这个类型要填对方科目",IF(AND($G374&lt;&gt;"",ISNA(MATCH($G374,会计科目表!$B$6:$B$85,0))),"对方科目不存在",IF(AND($E374="缴纳税费",$H374=""),"缴税请在费用项目里选税种",IF(AND($F374&lt;&gt;"",ISNA(MATCH($F374,往来单位!$A$6:$A$85,0))),"往来单位未建档",IF(YEAR($B374)&lt;&gt;参数设置!$B$5,"不在本会计年度",IF(AND($B373&lt;&gt;"",ISNUMBER($B373),$B374&lt;$B373),"日期比上一行早，余额按行序滚，建议按日期录","OK")))))))))))))))</f>
        <v/>
      </c>
      <c r="O374" s="58" t="str">
        <f aca="false">IF($B374="","",TEXT($B374,"yyyy-mm"))</f>
        <v/>
      </c>
      <c r="P374" s="60" t="str">
        <f aca="false">IF($E374="","",ROUND(N($I374)+N($J374),2))</f>
        <v/>
      </c>
      <c r="Q374" s="58" t="str">
        <f aca="false">IF($D374="","",IFERROR(INDEX(资金账户!$F$6:$F$25,MATCH($D374,资金账户!$B$6:$B$25,0)),""))</f>
        <v/>
      </c>
      <c r="R374" s="58" t="str">
        <f aca="false">IF($E374="","",IFERROR(IF(INDEX(记账规则!$A$13:$H$32,MATCH($E374,记账规则!$A$13:$A$32,0),4)="借","收","支"),""))</f>
        <v/>
      </c>
      <c r="S374" s="57" t="str">
        <f aca="false">IF($D374="","",ROUND(SUMIFS(资金账户!$H$6:$H$25,资金账户!$B$6:$B$25,$D374)+SUMIFS($I$6:$I374,$D$6:$D374,$D374)-SUMIFS($J$6:$J374,$D$6:$D374,$D374),2))</f>
        <v/>
      </c>
      <c r="T374" s="61" t="str">
        <f aca="false">IF($B374="","",YEAR($B374))</f>
        <v/>
      </c>
    </row>
    <row r="375" customFormat="false" ht="15" hidden="false" customHeight="false" outlineLevel="0" collapsed="false">
      <c r="A375" s="53" t="str">
        <f aca="false">IF($B375="","",ROW()-5)</f>
        <v/>
      </c>
      <c r="B375" s="54"/>
      <c r="C375" s="33"/>
      <c r="D375" s="33"/>
      <c r="E375" s="33"/>
      <c r="F375" s="32"/>
      <c r="G375" s="41"/>
      <c r="H375" s="39"/>
      <c r="I375" s="43"/>
      <c r="J375" s="43"/>
      <c r="K375" s="41"/>
      <c r="L375" s="39"/>
      <c r="M375" s="41"/>
      <c r="N375" s="25" t="str">
        <f aca="false">IF(AND($B375="",$E375="",$I375="",$J375=""),"",IF(NOT(ISNUMBER($B375)),"日期无效",IF(ISNA(MATCH($C375,参数设置!$A$10:$A$12,0)),"公司无效",IF(ISNA(MATCH($D375,资金账户!$B$6:$B$25,0)),"账户未建档",IF(ISNA(MATCH($E375,记账规则!$A$13:$A$32,0)),"业务类型无效",IF(AND(N($I375)&lt;&gt;0,N($J375)&lt;&gt;0),"收入和支出只能填一列",IF($P375=0,"金额为 0",IF(AND($R375="收",N($I375)=0),"这类业务是收款，金额填到收入列",IF(AND($R375="支",N($J375)=0),"这类业务是付款，金额填到支出列",IF(AND(SUMPRODUCT(--(INDEX(记账规则!$A$13:$H$32,MATCH($E375,记账规则!$A$13:$A$32,0),0)="@对方"))&gt;0,$G375=""),"这个类型要填对方科目",IF(AND($G375&lt;&gt;"",ISNA(MATCH($G375,会计科目表!$B$6:$B$85,0))),"对方科目不存在",IF(AND($E375="缴纳税费",$H375=""),"缴税请在费用项目里选税种",IF(AND($F375&lt;&gt;"",ISNA(MATCH($F375,往来单位!$A$6:$A$85,0))),"往来单位未建档",IF(YEAR($B375)&lt;&gt;参数设置!$B$5,"不在本会计年度",IF(AND($B374&lt;&gt;"",ISNUMBER($B374),$B375&lt;$B374),"日期比上一行早，余额按行序滚，建议按日期录","OK")))))))))))))))</f>
        <v/>
      </c>
      <c r="O375" s="58" t="str">
        <f aca="false">IF($B375="","",TEXT($B375,"yyyy-mm"))</f>
        <v/>
      </c>
      <c r="P375" s="60" t="str">
        <f aca="false">IF($E375="","",ROUND(N($I375)+N($J375),2))</f>
        <v/>
      </c>
      <c r="Q375" s="58" t="str">
        <f aca="false">IF($D375="","",IFERROR(INDEX(资金账户!$F$6:$F$25,MATCH($D375,资金账户!$B$6:$B$25,0)),""))</f>
        <v/>
      </c>
      <c r="R375" s="58" t="str">
        <f aca="false">IF($E375="","",IFERROR(IF(INDEX(记账规则!$A$13:$H$32,MATCH($E375,记账规则!$A$13:$A$32,0),4)="借","收","支"),""))</f>
        <v/>
      </c>
      <c r="S375" s="57" t="str">
        <f aca="false">IF($D375="","",ROUND(SUMIFS(资金账户!$H$6:$H$25,资金账户!$B$6:$B$25,$D375)+SUMIFS($I$6:$I375,$D$6:$D375,$D375)-SUMIFS($J$6:$J375,$D$6:$D375,$D375),2))</f>
        <v/>
      </c>
      <c r="T375" s="61" t="str">
        <f aca="false">IF($B375="","",YEAR($B375))</f>
        <v/>
      </c>
    </row>
    <row r="376" customFormat="false" ht="15" hidden="false" customHeight="false" outlineLevel="0" collapsed="false">
      <c r="A376" s="53" t="str">
        <f aca="false">IF($B376="","",ROW()-5)</f>
        <v/>
      </c>
      <c r="B376" s="54"/>
      <c r="C376" s="33"/>
      <c r="D376" s="33"/>
      <c r="E376" s="33"/>
      <c r="F376" s="32"/>
      <c r="G376" s="41"/>
      <c r="H376" s="39"/>
      <c r="I376" s="43"/>
      <c r="J376" s="43"/>
      <c r="K376" s="41"/>
      <c r="L376" s="39"/>
      <c r="M376" s="41"/>
      <c r="N376" s="25" t="str">
        <f aca="false">IF(AND($B376="",$E376="",$I376="",$J376=""),"",IF(NOT(ISNUMBER($B376)),"日期无效",IF(ISNA(MATCH($C376,参数设置!$A$10:$A$12,0)),"公司无效",IF(ISNA(MATCH($D376,资金账户!$B$6:$B$25,0)),"账户未建档",IF(ISNA(MATCH($E376,记账规则!$A$13:$A$32,0)),"业务类型无效",IF(AND(N($I376)&lt;&gt;0,N($J376)&lt;&gt;0),"收入和支出只能填一列",IF($P376=0,"金额为 0",IF(AND($R376="收",N($I376)=0),"这类业务是收款，金额填到收入列",IF(AND($R376="支",N($J376)=0),"这类业务是付款，金额填到支出列",IF(AND(SUMPRODUCT(--(INDEX(记账规则!$A$13:$H$32,MATCH($E376,记账规则!$A$13:$A$32,0),0)="@对方"))&gt;0,$G376=""),"这个类型要填对方科目",IF(AND($G376&lt;&gt;"",ISNA(MATCH($G376,会计科目表!$B$6:$B$85,0))),"对方科目不存在",IF(AND($E376="缴纳税费",$H376=""),"缴税请在费用项目里选税种",IF(AND($F376&lt;&gt;"",ISNA(MATCH($F376,往来单位!$A$6:$A$85,0))),"往来单位未建档",IF(YEAR($B376)&lt;&gt;参数设置!$B$5,"不在本会计年度",IF(AND($B375&lt;&gt;"",ISNUMBER($B375),$B376&lt;$B375),"日期比上一行早，余额按行序滚，建议按日期录","OK")))))))))))))))</f>
        <v/>
      </c>
      <c r="O376" s="58" t="str">
        <f aca="false">IF($B376="","",TEXT($B376,"yyyy-mm"))</f>
        <v/>
      </c>
      <c r="P376" s="60" t="str">
        <f aca="false">IF($E376="","",ROUND(N($I376)+N($J376),2))</f>
        <v/>
      </c>
      <c r="Q376" s="58" t="str">
        <f aca="false">IF($D376="","",IFERROR(INDEX(资金账户!$F$6:$F$25,MATCH($D376,资金账户!$B$6:$B$25,0)),""))</f>
        <v/>
      </c>
      <c r="R376" s="58" t="str">
        <f aca="false">IF($E376="","",IFERROR(IF(INDEX(记账规则!$A$13:$H$32,MATCH($E376,记账规则!$A$13:$A$32,0),4)="借","收","支"),""))</f>
        <v/>
      </c>
      <c r="S376" s="57" t="str">
        <f aca="false">IF($D376="","",ROUND(SUMIFS(资金账户!$H$6:$H$25,资金账户!$B$6:$B$25,$D376)+SUMIFS($I$6:$I376,$D$6:$D376,$D376)-SUMIFS($J$6:$J376,$D$6:$D376,$D376),2))</f>
        <v/>
      </c>
      <c r="T376" s="61" t="str">
        <f aca="false">IF($B376="","",YEAR($B376))</f>
        <v/>
      </c>
    </row>
    <row r="377" customFormat="false" ht="15" hidden="false" customHeight="false" outlineLevel="0" collapsed="false">
      <c r="A377" s="53" t="str">
        <f aca="false">IF($B377="","",ROW()-5)</f>
        <v/>
      </c>
      <c r="B377" s="54"/>
      <c r="C377" s="33"/>
      <c r="D377" s="33"/>
      <c r="E377" s="33"/>
      <c r="F377" s="32"/>
      <c r="G377" s="41"/>
      <c r="H377" s="39"/>
      <c r="I377" s="43"/>
      <c r="J377" s="43"/>
      <c r="K377" s="41"/>
      <c r="L377" s="39"/>
      <c r="M377" s="41"/>
      <c r="N377" s="25" t="str">
        <f aca="false">IF(AND($B377="",$E377="",$I377="",$J377=""),"",IF(NOT(ISNUMBER($B377)),"日期无效",IF(ISNA(MATCH($C377,参数设置!$A$10:$A$12,0)),"公司无效",IF(ISNA(MATCH($D377,资金账户!$B$6:$B$25,0)),"账户未建档",IF(ISNA(MATCH($E377,记账规则!$A$13:$A$32,0)),"业务类型无效",IF(AND(N($I377)&lt;&gt;0,N($J377)&lt;&gt;0),"收入和支出只能填一列",IF($P377=0,"金额为 0",IF(AND($R377="收",N($I377)=0),"这类业务是收款，金额填到收入列",IF(AND($R377="支",N($J377)=0),"这类业务是付款，金额填到支出列",IF(AND(SUMPRODUCT(--(INDEX(记账规则!$A$13:$H$32,MATCH($E377,记账规则!$A$13:$A$32,0),0)="@对方"))&gt;0,$G377=""),"这个类型要填对方科目",IF(AND($G377&lt;&gt;"",ISNA(MATCH($G377,会计科目表!$B$6:$B$85,0))),"对方科目不存在",IF(AND($E377="缴纳税费",$H377=""),"缴税请在费用项目里选税种",IF(AND($F377&lt;&gt;"",ISNA(MATCH($F377,往来单位!$A$6:$A$85,0))),"往来单位未建档",IF(YEAR($B377)&lt;&gt;参数设置!$B$5,"不在本会计年度",IF(AND($B376&lt;&gt;"",ISNUMBER($B376),$B377&lt;$B376),"日期比上一行早，余额按行序滚，建议按日期录","OK")))))))))))))))</f>
        <v/>
      </c>
      <c r="O377" s="58" t="str">
        <f aca="false">IF($B377="","",TEXT($B377,"yyyy-mm"))</f>
        <v/>
      </c>
      <c r="P377" s="60" t="str">
        <f aca="false">IF($E377="","",ROUND(N($I377)+N($J377),2))</f>
        <v/>
      </c>
      <c r="Q377" s="58" t="str">
        <f aca="false">IF($D377="","",IFERROR(INDEX(资金账户!$F$6:$F$25,MATCH($D377,资金账户!$B$6:$B$25,0)),""))</f>
        <v/>
      </c>
      <c r="R377" s="58" t="str">
        <f aca="false">IF($E377="","",IFERROR(IF(INDEX(记账规则!$A$13:$H$32,MATCH($E377,记账规则!$A$13:$A$32,0),4)="借","收","支"),""))</f>
        <v/>
      </c>
      <c r="S377" s="57" t="str">
        <f aca="false">IF($D377="","",ROUND(SUMIFS(资金账户!$H$6:$H$25,资金账户!$B$6:$B$25,$D377)+SUMIFS($I$6:$I377,$D$6:$D377,$D377)-SUMIFS($J$6:$J377,$D$6:$D377,$D377),2))</f>
        <v/>
      </c>
      <c r="T377" s="61" t="str">
        <f aca="false">IF($B377="","",YEAR($B377))</f>
        <v/>
      </c>
    </row>
    <row r="378" customFormat="false" ht="15" hidden="false" customHeight="false" outlineLevel="0" collapsed="false">
      <c r="A378" s="53" t="str">
        <f aca="false">IF($B378="","",ROW()-5)</f>
        <v/>
      </c>
      <c r="B378" s="54"/>
      <c r="C378" s="33"/>
      <c r="D378" s="33"/>
      <c r="E378" s="33"/>
      <c r="F378" s="32"/>
      <c r="G378" s="41"/>
      <c r="H378" s="39"/>
      <c r="I378" s="43"/>
      <c r="J378" s="43"/>
      <c r="K378" s="41"/>
      <c r="L378" s="39"/>
      <c r="M378" s="41"/>
      <c r="N378" s="25" t="str">
        <f aca="false">IF(AND($B378="",$E378="",$I378="",$J378=""),"",IF(NOT(ISNUMBER($B378)),"日期无效",IF(ISNA(MATCH($C378,参数设置!$A$10:$A$12,0)),"公司无效",IF(ISNA(MATCH($D378,资金账户!$B$6:$B$25,0)),"账户未建档",IF(ISNA(MATCH($E378,记账规则!$A$13:$A$32,0)),"业务类型无效",IF(AND(N($I378)&lt;&gt;0,N($J378)&lt;&gt;0),"收入和支出只能填一列",IF($P378=0,"金额为 0",IF(AND($R378="收",N($I378)=0),"这类业务是收款，金额填到收入列",IF(AND($R378="支",N($J378)=0),"这类业务是付款，金额填到支出列",IF(AND(SUMPRODUCT(--(INDEX(记账规则!$A$13:$H$32,MATCH($E378,记账规则!$A$13:$A$32,0),0)="@对方"))&gt;0,$G378=""),"这个类型要填对方科目",IF(AND($G378&lt;&gt;"",ISNA(MATCH($G378,会计科目表!$B$6:$B$85,0))),"对方科目不存在",IF(AND($E378="缴纳税费",$H378=""),"缴税请在费用项目里选税种",IF(AND($F378&lt;&gt;"",ISNA(MATCH($F378,往来单位!$A$6:$A$85,0))),"往来单位未建档",IF(YEAR($B378)&lt;&gt;参数设置!$B$5,"不在本会计年度",IF(AND($B377&lt;&gt;"",ISNUMBER($B377),$B378&lt;$B377),"日期比上一行早，余额按行序滚，建议按日期录","OK")))))))))))))))</f>
        <v/>
      </c>
      <c r="O378" s="58" t="str">
        <f aca="false">IF($B378="","",TEXT($B378,"yyyy-mm"))</f>
        <v/>
      </c>
      <c r="P378" s="60" t="str">
        <f aca="false">IF($E378="","",ROUND(N($I378)+N($J378),2))</f>
        <v/>
      </c>
      <c r="Q378" s="58" t="str">
        <f aca="false">IF($D378="","",IFERROR(INDEX(资金账户!$F$6:$F$25,MATCH($D378,资金账户!$B$6:$B$25,0)),""))</f>
        <v/>
      </c>
      <c r="R378" s="58" t="str">
        <f aca="false">IF($E378="","",IFERROR(IF(INDEX(记账规则!$A$13:$H$32,MATCH($E378,记账规则!$A$13:$A$32,0),4)="借","收","支"),""))</f>
        <v/>
      </c>
      <c r="S378" s="57" t="str">
        <f aca="false">IF($D378="","",ROUND(SUMIFS(资金账户!$H$6:$H$25,资金账户!$B$6:$B$25,$D378)+SUMIFS($I$6:$I378,$D$6:$D378,$D378)-SUMIFS($J$6:$J378,$D$6:$D378,$D378),2))</f>
        <v/>
      </c>
      <c r="T378" s="61" t="str">
        <f aca="false">IF($B378="","",YEAR($B378))</f>
        <v/>
      </c>
    </row>
    <row r="379" customFormat="false" ht="15" hidden="false" customHeight="false" outlineLevel="0" collapsed="false">
      <c r="A379" s="53" t="str">
        <f aca="false">IF($B379="","",ROW()-5)</f>
        <v/>
      </c>
      <c r="B379" s="54"/>
      <c r="C379" s="33"/>
      <c r="D379" s="33"/>
      <c r="E379" s="33"/>
      <c r="F379" s="32"/>
      <c r="G379" s="41"/>
      <c r="H379" s="39"/>
      <c r="I379" s="43"/>
      <c r="J379" s="43"/>
      <c r="K379" s="41"/>
      <c r="L379" s="39"/>
      <c r="M379" s="41"/>
      <c r="N379" s="25" t="str">
        <f aca="false">IF(AND($B379="",$E379="",$I379="",$J379=""),"",IF(NOT(ISNUMBER($B379)),"日期无效",IF(ISNA(MATCH($C379,参数设置!$A$10:$A$12,0)),"公司无效",IF(ISNA(MATCH($D379,资金账户!$B$6:$B$25,0)),"账户未建档",IF(ISNA(MATCH($E379,记账规则!$A$13:$A$32,0)),"业务类型无效",IF(AND(N($I379)&lt;&gt;0,N($J379)&lt;&gt;0),"收入和支出只能填一列",IF($P379=0,"金额为 0",IF(AND($R379="收",N($I379)=0),"这类业务是收款，金额填到收入列",IF(AND($R379="支",N($J379)=0),"这类业务是付款，金额填到支出列",IF(AND(SUMPRODUCT(--(INDEX(记账规则!$A$13:$H$32,MATCH($E379,记账规则!$A$13:$A$32,0),0)="@对方"))&gt;0,$G379=""),"这个类型要填对方科目",IF(AND($G379&lt;&gt;"",ISNA(MATCH($G379,会计科目表!$B$6:$B$85,0))),"对方科目不存在",IF(AND($E379="缴纳税费",$H379=""),"缴税请在费用项目里选税种",IF(AND($F379&lt;&gt;"",ISNA(MATCH($F379,往来单位!$A$6:$A$85,0))),"往来单位未建档",IF(YEAR($B379)&lt;&gt;参数设置!$B$5,"不在本会计年度",IF(AND($B378&lt;&gt;"",ISNUMBER($B378),$B379&lt;$B378),"日期比上一行早，余额按行序滚，建议按日期录","OK")))))))))))))))</f>
        <v/>
      </c>
      <c r="O379" s="58" t="str">
        <f aca="false">IF($B379="","",TEXT($B379,"yyyy-mm"))</f>
        <v/>
      </c>
      <c r="P379" s="60" t="str">
        <f aca="false">IF($E379="","",ROUND(N($I379)+N($J379),2))</f>
        <v/>
      </c>
      <c r="Q379" s="58" t="str">
        <f aca="false">IF($D379="","",IFERROR(INDEX(资金账户!$F$6:$F$25,MATCH($D379,资金账户!$B$6:$B$25,0)),""))</f>
        <v/>
      </c>
      <c r="R379" s="58" t="str">
        <f aca="false">IF($E379="","",IFERROR(IF(INDEX(记账规则!$A$13:$H$32,MATCH($E379,记账规则!$A$13:$A$32,0),4)="借","收","支"),""))</f>
        <v/>
      </c>
      <c r="S379" s="57" t="str">
        <f aca="false">IF($D379="","",ROUND(SUMIFS(资金账户!$H$6:$H$25,资金账户!$B$6:$B$25,$D379)+SUMIFS($I$6:$I379,$D$6:$D379,$D379)-SUMIFS($J$6:$J379,$D$6:$D379,$D379),2))</f>
        <v/>
      </c>
      <c r="T379" s="61" t="str">
        <f aca="false">IF($B379="","",YEAR($B379))</f>
        <v/>
      </c>
    </row>
    <row r="380" customFormat="false" ht="15" hidden="false" customHeight="false" outlineLevel="0" collapsed="false">
      <c r="A380" s="53" t="str">
        <f aca="false">IF($B380="","",ROW()-5)</f>
        <v/>
      </c>
      <c r="B380" s="54"/>
      <c r="C380" s="33"/>
      <c r="D380" s="33"/>
      <c r="E380" s="33"/>
      <c r="F380" s="32"/>
      <c r="G380" s="41"/>
      <c r="H380" s="39"/>
      <c r="I380" s="43"/>
      <c r="J380" s="43"/>
      <c r="K380" s="41"/>
      <c r="L380" s="39"/>
      <c r="M380" s="41"/>
      <c r="N380" s="25" t="str">
        <f aca="false">IF(AND($B380="",$E380="",$I380="",$J380=""),"",IF(NOT(ISNUMBER($B380)),"日期无效",IF(ISNA(MATCH($C380,参数设置!$A$10:$A$12,0)),"公司无效",IF(ISNA(MATCH($D380,资金账户!$B$6:$B$25,0)),"账户未建档",IF(ISNA(MATCH($E380,记账规则!$A$13:$A$32,0)),"业务类型无效",IF(AND(N($I380)&lt;&gt;0,N($J380)&lt;&gt;0),"收入和支出只能填一列",IF($P380=0,"金额为 0",IF(AND($R380="收",N($I380)=0),"这类业务是收款，金额填到收入列",IF(AND($R380="支",N($J380)=0),"这类业务是付款，金额填到支出列",IF(AND(SUMPRODUCT(--(INDEX(记账规则!$A$13:$H$32,MATCH($E380,记账规则!$A$13:$A$32,0),0)="@对方"))&gt;0,$G380=""),"这个类型要填对方科目",IF(AND($G380&lt;&gt;"",ISNA(MATCH($G380,会计科目表!$B$6:$B$85,0))),"对方科目不存在",IF(AND($E380="缴纳税费",$H380=""),"缴税请在费用项目里选税种",IF(AND($F380&lt;&gt;"",ISNA(MATCH($F380,往来单位!$A$6:$A$85,0))),"往来单位未建档",IF(YEAR($B380)&lt;&gt;参数设置!$B$5,"不在本会计年度",IF(AND($B379&lt;&gt;"",ISNUMBER($B379),$B380&lt;$B379),"日期比上一行早，余额按行序滚，建议按日期录","OK")))))))))))))))</f>
        <v/>
      </c>
      <c r="O380" s="58" t="str">
        <f aca="false">IF($B380="","",TEXT($B380,"yyyy-mm"))</f>
        <v/>
      </c>
      <c r="P380" s="60" t="str">
        <f aca="false">IF($E380="","",ROUND(N($I380)+N($J380),2))</f>
        <v/>
      </c>
      <c r="Q380" s="58" t="str">
        <f aca="false">IF($D380="","",IFERROR(INDEX(资金账户!$F$6:$F$25,MATCH($D380,资金账户!$B$6:$B$25,0)),""))</f>
        <v/>
      </c>
      <c r="R380" s="58" t="str">
        <f aca="false">IF($E380="","",IFERROR(IF(INDEX(记账规则!$A$13:$H$32,MATCH($E380,记账规则!$A$13:$A$32,0),4)="借","收","支"),""))</f>
        <v/>
      </c>
      <c r="S380" s="57" t="str">
        <f aca="false">IF($D380="","",ROUND(SUMIFS(资金账户!$H$6:$H$25,资金账户!$B$6:$B$25,$D380)+SUMIFS($I$6:$I380,$D$6:$D380,$D380)-SUMIFS($J$6:$J380,$D$6:$D380,$D380),2))</f>
        <v/>
      </c>
      <c r="T380" s="61" t="str">
        <f aca="false">IF($B380="","",YEAR($B380))</f>
        <v/>
      </c>
    </row>
    <row r="381" customFormat="false" ht="15" hidden="false" customHeight="false" outlineLevel="0" collapsed="false">
      <c r="A381" s="53" t="str">
        <f aca="false">IF($B381="","",ROW()-5)</f>
        <v/>
      </c>
      <c r="B381" s="54"/>
      <c r="C381" s="33"/>
      <c r="D381" s="33"/>
      <c r="E381" s="33"/>
      <c r="F381" s="32"/>
      <c r="G381" s="41"/>
      <c r="H381" s="39"/>
      <c r="I381" s="43"/>
      <c r="J381" s="43"/>
      <c r="K381" s="41"/>
      <c r="L381" s="39"/>
      <c r="M381" s="41"/>
      <c r="N381" s="25" t="str">
        <f aca="false">IF(AND($B381="",$E381="",$I381="",$J381=""),"",IF(NOT(ISNUMBER($B381)),"日期无效",IF(ISNA(MATCH($C381,参数设置!$A$10:$A$12,0)),"公司无效",IF(ISNA(MATCH($D381,资金账户!$B$6:$B$25,0)),"账户未建档",IF(ISNA(MATCH($E381,记账规则!$A$13:$A$32,0)),"业务类型无效",IF(AND(N($I381)&lt;&gt;0,N($J381)&lt;&gt;0),"收入和支出只能填一列",IF($P381=0,"金额为 0",IF(AND($R381="收",N($I381)=0),"这类业务是收款，金额填到收入列",IF(AND($R381="支",N($J381)=0),"这类业务是付款，金额填到支出列",IF(AND(SUMPRODUCT(--(INDEX(记账规则!$A$13:$H$32,MATCH($E381,记账规则!$A$13:$A$32,0),0)="@对方"))&gt;0,$G381=""),"这个类型要填对方科目",IF(AND($G381&lt;&gt;"",ISNA(MATCH($G381,会计科目表!$B$6:$B$85,0))),"对方科目不存在",IF(AND($E381="缴纳税费",$H381=""),"缴税请在费用项目里选税种",IF(AND($F381&lt;&gt;"",ISNA(MATCH($F381,往来单位!$A$6:$A$85,0))),"往来单位未建档",IF(YEAR($B381)&lt;&gt;参数设置!$B$5,"不在本会计年度",IF(AND($B380&lt;&gt;"",ISNUMBER($B380),$B381&lt;$B380),"日期比上一行早，余额按行序滚，建议按日期录","OK")))))))))))))))</f>
        <v/>
      </c>
      <c r="O381" s="58" t="str">
        <f aca="false">IF($B381="","",TEXT($B381,"yyyy-mm"))</f>
        <v/>
      </c>
      <c r="P381" s="60" t="str">
        <f aca="false">IF($E381="","",ROUND(N($I381)+N($J381),2))</f>
        <v/>
      </c>
      <c r="Q381" s="58" t="str">
        <f aca="false">IF($D381="","",IFERROR(INDEX(资金账户!$F$6:$F$25,MATCH($D381,资金账户!$B$6:$B$25,0)),""))</f>
        <v/>
      </c>
      <c r="R381" s="58" t="str">
        <f aca="false">IF($E381="","",IFERROR(IF(INDEX(记账规则!$A$13:$H$32,MATCH($E381,记账规则!$A$13:$A$32,0),4)="借","收","支"),""))</f>
        <v/>
      </c>
      <c r="S381" s="57" t="str">
        <f aca="false">IF($D381="","",ROUND(SUMIFS(资金账户!$H$6:$H$25,资金账户!$B$6:$B$25,$D381)+SUMIFS($I$6:$I381,$D$6:$D381,$D381)-SUMIFS($J$6:$J381,$D$6:$D381,$D381),2))</f>
        <v/>
      </c>
      <c r="T381" s="61" t="str">
        <f aca="false">IF($B381="","",YEAR($B381))</f>
        <v/>
      </c>
    </row>
    <row r="382" customFormat="false" ht="15" hidden="false" customHeight="false" outlineLevel="0" collapsed="false">
      <c r="A382" s="53" t="str">
        <f aca="false">IF($B382="","",ROW()-5)</f>
        <v/>
      </c>
      <c r="B382" s="54"/>
      <c r="C382" s="33"/>
      <c r="D382" s="33"/>
      <c r="E382" s="33"/>
      <c r="F382" s="32"/>
      <c r="G382" s="41"/>
      <c r="H382" s="39"/>
      <c r="I382" s="43"/>
      <c r="J382" s="43"/>
      <c r="K382" s="41"/>
      <c r="L382" s="39"/>
      <c r="M382" s="41"/>
      <c r="N382" s="25" t="str">
        <f aca="false">IF(AND($B382="",$E382="",$I382="",$J382=""),"",IF(NOT(ISNUMBER($B382)),"日期无效",IF(ISNA(MATCH($C382,参数设置!$A$10:$A$12,0)),"公司无效",IF(ISNA(MATCH($D382,资金账户!$B$6:$B$25,0)),"账户未建档",IF(ISNA(MATCH($E382,记账规则!$A$13:$A$32,0)),"业务类型无效",IF(AND(N($I382)&lt;&gt;0,N($J382)&lt;&gt;0),"收入和支出只能填一列",IF($P382=0,"金额为 0",IF(AND($R382="收",N($I382)=0),"这类业务是收款，金额填到收入列",IF(AND($R382="支",N($J382)=0),"这类业务是付款，金额填到支出列",IF(AND(SUMPRODUCT(--(INDEX(记账规则!$A$13:$H$32,MATCH($E382,记账规则!$A$13:$A$32,0),0)="@对方"))&gt;0,$G382=""),"这个类型要填对方科目",IF(AND($G382&lt;&gt;"",ISNA(MATCH($G382,会计科目表!$B$6:$B$85,0))),"对方科目不存在",IF(AND($E382="缴纳税费",$H382=""),"缴税请在费用项目里选税种",IF(AND($F382&lt;&gt;"",ISNA(MATCH($F382,往来单位!$A$6:$A$85,0))),"往来单位未建档",IF(YEAR($B382)&lt;&gt;参数设置!$B$5,"不在本会计年度",IF(AND($B381&lt;&gt;"",ISNUMBER($B381),$B382&lt;$B381),"日期比上一行早，余额按行序滚，建议按日期录","OK")))))))))))))))</f>
        <v/>
      </c>
      <c r="O382" s="58" t="str">
        <f aca="false">IF($B382="","",TEXT($B382,"yyyy-mm"))</f>
        <v/>
      </c>
      <c r="P382" s="60" t="str">
        <f aca="false">IF($E382="","",ROUND(N($I382)+N($J382),2))</f>
        <v/>
      </c>
      <c r="Q382" s="58" t="str">
        <f aca="false">IF($D382="","",IFERROR(INDEX(资金账户!$F$6:$F$25,MATCH($D382,资金账户!$B$6:$B$25,0)),""))</f>
        <v/>
      </c>
      <c r="R382" s="58" t="str">
        <f aca="false">IF($E382="","",IFERROR(IF(INDEX(记账规则!$A$13:$H$32,MATCH($E382,记账规则!$A$13:$A$32,0),4)="借","收","支"),""))</f>
        <v/>
      </c>
      <c r="S382" s="57" t="str">
        <f aca="false">IF($D382="","",ROUND(SUMIFS(资金账户!$H$6:$H$25,资金账户!$B$6:$B$25,$D382)+SUMIFS($I$6:$I382,$D$6:$D382,$D382)-SUMIFS($J$6:$J382,$D$6:$D382,$D382),2))</f>
        <v/>
      </c>
      <c r="T382" s="61" t="str">
        <f aca="false">IF($B382="","",YEAR($B382))</f>
        <v/>
      </c>
    </row>
    <row r="383" customFormat="false" ht="15" hidden="false" customHeight="false" outlineLevel="0" collapsed="false">
      <c r="A383" s="53" t="str">
        <f aca="false">IF($B383="","",ROW()-5)</f>
        <v/>
      </c>
      <c r="B383" s="54"/>
      <c r="C383" s="33"/>
      <c r="D383" s="33"/>
      <c r="E383" s="33"/>
      <c r="F383" s="32"/>
      <c r="G383" s="41"/>
      <c r="H383" s="39"/>
      <c r="I383" s="43"/>
      <c r="J383" s="43"/>
      <c r="K383" s="41"/>
      <c r="L383" s="39"/>
      <c r="M383" s="41"/>
      <c r="N383" s="25" t="str">
        <f aca="false">IF(AND($B383="",$E383="",$I383="",$J383=""),"",IF(NOT(ISNUMBER($B383)),"日期无效",IF(ISNA(MATCH($C383,参数设置!$A$10:$A$12,0)),"公司无效",IF(ISNA(MATCH($D383,资金账户!$B$6:$B$25,0)),"账户未建档",IF(ISNA(MATCH($E383,记账规则!$A$13:$A$32,0)),"业务类型无效",IF(AND(N($I383)&lt;&gt;0,N($J383)&lt;&gt;0),"收入和支出只能填一列",IF($P383=0,"金额为 0",IF(AND($R383="收",N($I383)=0),"这类业务是收款，金额填到收入列",IF(AND($R383="支",N($J383)=0),"这类业务是付款，金额填到支出列",IF(AND(SUMPRODUCT(--(INDEX(记账规则!$A$13:$H$32,MATCH($E383,记账规则!$A$13:$A$32,0),0)="@对方"))&gt;0,$G383=""),"这个类型要填对方科目",IF(AND($G383&lt;&gt;"",ISNA(MATCH($G383,会计科目表!$B$6:$B$85,0))),"对方科目不存在",IF(AND($E383="缴纳税费",$H383=""),"缴税请在费用项目里选税种",IF(AND($F383&lt;&gt;"",ISNA(MATCH($F383,往来单位!$A$6:$A$85,0))),"往来单位未建档",IF(YEAR($B383)&lt;&gt;参数设置!$B$5,"不在本会计年度",IF(AND($B382&lt;&gt;"",ISNUMBER($B382),$B383&lt;$B382),"日期比上一行早，余额按行序滚，建议按日期录","OK")))))))))))))))</f>
        <v/>
      </c>
      <c r="O383" s="58" t="str">
        <f aca="false">IF($B383="","",TEXT($B383,"yyyy-mm"))</f>
        <v/>
      </c>
      <c r="P383" s="60" t="str">
        <f aca="false">IF($E383="","",ROUND(N($I383)+N($J383),2))</f>
        <v/>
      </c>
      <c r="Q383" s="58" t="str">
        <f aca="false">IF($D383="","",IFERROR(INDEX(资金账户!$F$6:$F$25,MATCH($D383,资金账户!$B$6:$B$25,0)),""))</f>
        <v/>
      </c>
      <c r="R383" s="58" t="str">
        <f aca="false">IF($E383="","",IFERROR(IF(INDEX(记账规则!$A$13:$H$32,MATCH($E383,记账规则!$A$13:$A$32,0),4)="借","收","支"),""))</f>
        <v/>
      </c>
      <c r="S383" s="57" t="str">
        <f aca="false">IF($D383="","",ROUND(SUMIFS(资金账户!$H$6:$H$25,资金账户!$B$6:$B$25,$D383)+SUMIFS($I$6:$I383,$D$6:$D383,$D383)-SUMIFS($J$6:$J383,$D$6:$D383,$D383),2))</f>
        <v/>
      </c>
      <c r="T383" s="61" t="str">
        <f aca="false">IF($B383="","",YEAR($B383))</f>
        <v/>
      </c>
    </row>
    <row r="384" customFormat="false" ht="15" hidden="false" customHeight="false" outlineLevel="0" collapsed="false">
      <c r="A384" s="53" t="str">
        <f aca="false">IF($B384="","",ROW()-5)</f>
        <v/>
      </c>
      <c r="B384" s="54"/>
      <c r="C384" s="33"/>
      <c r="D384" s="33"/>
      <c r="E384" s="33"/>
      <c r="F384" s="32"/>
      <c r="G384" s="41"/>
      <c r="H384" s="39"/>
      <c r="I384" s="43"/>
      <c r="J384" s="43"/>
      <c r="K384" s="41"/>
      <c r="L384" s="39"/>
      <c r="M384" s="41"/>
      <c r="N384" s="25" t="str">
        <f aca="false">IF(AND($B384="",$E384="",$I384="",$J384=""),"",IF(NOT(ISNUMBER($B384)),"日期无效",IF(ISNA(MATCH($C384,参数设置!$A$10:$A$12,0)),"公司无效",IF(ISNA(MATCH($D384,资金账户!$B$6:$B$25,0)),"账户未建档",IF(ISNA(MATCH($E384,记账规则!$A$13:$A$32,0)),"业务类型无效",IF(AND(N($I384)&lt;&gt;0,N($J384)&lt;&gt;0),"收入和支出只能填一列",IF($P384=0,"金额为 0",IF(AND($R384="收",N($I384)=0),"这类业务是收款，金额填到收入列",IF(AND($R384="支",N($J384)=0),"这类业务是付款，金额填到支出列",IF(AND(SUMPRODUCT(--(INDEX(记账规则!$A$13:$H$32,MATCH($E384,记账规则!$A$13:$A$32,0),0)="@对方"))&gt;0,$G384=""),"这个类型要填对方科目",IF(AND($G384&lt;&gt;"",ISNA(MATCH($G384,会计科目表!$B$6:$B$85,0))),"对方科目不存在",IF(AND($E384="缴纳税费",$H384=""),"缴税请在费用项目里选税种",IF(AND($F384&lt;&gt;"",ISNA(MATCH($F384,往来单位!$A$6:$A$85,0))),"往来单位未建档",IF(YEAR($B384)&lt;&gt;参数设置!$B$5,"不在本会计年度",IF(AND($B383&lt;&gt;"",ISNUMBER($B383),$B384&lt;$B383),"日期比上一行早，余额按行序滚，建议按日期录","OK")))))))))))))))</f>
        <v/>
      </c>
      <c r="O384" s="58" t="str">
        <f aca="false">IF($B384="","",TEXT($B384,"yyyy-mm"))</f>
        <v/>
      </c>
      <c r="P384" s="60" t="str">
        <f aca="false">IF($E384="","",ROUND(N($I384)+N($J384),2))</f>
        <v/>
      </c>
      <c r="Q384" s="58" t="str">
        <f aca="false">IF($D384="","",IFERROR(INDEX(资金账户!$F$6:$F$25,MATCH($D384,资金账户!$B$6:$B$25,0)),""))</f>
        <v/>
      </c>
      <c r="R384" s="58" t="str">
        <f aca="false">IF($E384="","",IFERROR(IF(INDEX(记账规则!$A$13:$H$32,MATCH($E384,记账规则!$A$13:$A$32,0),4)="借","收","支"),""))</f>
        <v/>
      </c>
      <c r="S384" s="57" t="str">
        <f aca="false">IF($D384="","",ROUND(SUMIFS(资金账户!$H$6:$H$25,资金账户!$B$6:$B$25,$D384)+SUMIFS($I$6:$I384,$D$6:$D384,$D384)-SUMIFS($J$6:$J384,$D$6:$D384,$D384),2))</f>
        <v/>
      </c>
      <c r="T384" s="61" t="str">
        <f aca="false">IF($B384="","",YEAR($B384))</f>
        <v/>
      </c>
    </row>
    <row r="385" customFormat="false" ht="15" hidden="false" customHeight="false" outlineLevel="0" collapsed="false">
      <c r="A385" s="53" t="str">
        <f aca="false">IF($B385="","",ROW()-5)</f>
        <v/>
      </c>
      <c r="B385" s="54"/>
      <c r="C385" s="33"/>
      <c r="D385" s="33"/>
      <c r="E385" s="33"/>
      <c r="F385" s="32"/>
      <c r="G385" s="41"/>
      <c r="H385" s="39"/>
      <c r="I385" s="43"/>
      <c r="J385" s="43"/>
      <c r="K385" s="41"/>
      <c r="L385" s="39"/>
      <c r="M385" s="41"/>
      <c r="N385" s="25" t="str">
        <f aca="false">IF(AND($B385="",$E385="",$I385="",$J385=""),"",IF(NOT(ISNUMBER($B385)),"日期无效",IF(ISNA(MATCH($C385,参数设置!$A$10:$A$12,0)),"公司无效",IF(ISNA(MATCH($D385,资金账户!$B$6:$B$25,0)),"账户未建档",IF(ISNA(MATCH($E385,记账规则!$A$13:$A$32,0)),"业务类型无效",IF(AND(N($I385)&lt;&gt;0,N($J385)&lt;&gt;0),"收入和支出只能填一列",IF($P385=0,"金额为 0",IF(AND($R385="收",N($I385)=0),"这类业务是收款，金额填到收入列",IF(AND($R385="支",N($J385)=0),"这类业务是付款，金额填到支出列",IF(AND(SUMPRODUCT(--(INDEX(记账规则!$A$13:$H$32,MATCH($E385,记账规则!$A$13:$A$32,0),0)="@对方"))&gt;0,$G385=""),"这个类型要填对方科目",IF(AND($G385&lt;&gt;"",ISNA(MATCH($G385,会计科目表!$B$6:$B$85,0))),"对方科目不存在",IF(AND($E385="缴纳税费",$H385=""),"缴税请在费用项目里选税种",IF(AND($F385&lt;&gt;"",ISNA(MATCH($F385,往来单位!$A$6:$A$85,0))),"往来单位未建档",IF(YEAR($B385)&lt;&gt;参数设置!$B$5,"不在本会计年度",IF(AND($B384&lt;&gt;"",ISNUMBER($B384),$B385&lt;$B384),"日期比上一行早，余额按行序滚，建议按日期录","OK")))))))))))))))</f>
        <v/>
      </c>
      <c r="O385" s="58" t="str">
        <f aca="false">IF($B385="","",TEXT($B385,"yyyy-mm"))</f>
        <v/>
      </c>
      <c r="P385" s="60" t="str">
        <f aca="false">IF($E385="","",ROUND(N($I385)+N($J385),2))</f>
        <v/>
      </c>
      <c r="Q385" s="58" t="str">
        <f aca="false">IF($D385="","",IFERROR(INDEX(资金账户!$F$6:$F$25,MATCH($D385,资金账户!$B$6:$B$25,0)),""))</f>
        <v/>
      </c>
      <c r="R385" s="58" t="str">
        <f aca="false">IF($E385="","",IFERROR(IF(INDEX(记账规则!$A$13:$H$32,MATCH($E385,记账规则!$A$13:$A$32,0),4)="借","收","支"),""))</f>
        <v/>
      </c>
      <c r="S385" s="57" t="str">
        <f aca="false">IF($D385="","",ROUND(SUMIFS(资金账户!$H$6:$H$25,资金账户!$B$6:$B$25,$D385)+SUMIFS($I$6:$I385,$D$6:$D385,$D385)-SUMIFS($J$6:$J385,$D$6:$D385,$D385),2))</f>
        <v/>
      </c>
      <c r="T385" s="61" t="str">
        <f aca="false">IF($B385="","",YEAR($B385))</f>
        <v/>
      </c>
    </row>
    <row r="386" customFormat="false" ht="15" hidden="false" customHeight="false" outlineLevel="0" collapsed="false">
      <c r="A386" s="53" t="str">
        <f aca="false">IF($B386="","",ROW()-5)</f>
        <v/>
      </c>
      <c r="B386" s="54"/>
      <c r="C386" s="33"/>
      <c r="D386" s="33"/>
      <c r="E386" s="33"/>
      <c r="F386" s="32"/>
      <c r="G386" s="41"/>
      <c r="H386" s="39"/>
      <c r="I386" s="43"/>
      <c r="J386" s="43"/>
      <c r="K386" s="41"/>
      <c r="L386" s="39"/>
      <c r="M386" s="41"/>
      <c r="N386" s="25" t="str">
        <f aca="false">IF(AND($B386="",$E386="",$I386="",$J386=""),"",IF(NOT(ISNUMBER($B386)),"日期无效",IF(ISNA(MATCH($C386,参数设置!$A$10:$A$12,0)),"公司无效",IF(ISNA(MATCH($D386,资金账户!$B$6:$B$25,0)),"账户未建档",IF(ISNA(MATCH($E386,记账规则!$A$13:$A$32,0)),"业务类型无效",IF(AND(N($I386)&lt;&gt;0,N($J386)&lt;&gt;0),"收入和支出只能填一列",IF($P386=0,"金额为 0",IF(AND($R386="收",N($I386)=0),"这类业务是收款，金额填到收入列",IF(AND($R386="支",N($J386)=0),"这类业务是付款，金额填到支出列",IF(AND(SUMPRODUCT(--(INDEX(记账规则!$A$13:$H$32,MATCH($E386,记账规则!$A$13:$A$32,0),0)="@对方"))&gt;0,$G386=""),"这个类型要填对方科目",IF(AND($G386&lt;&gt;"",ISNA(MATCH($G386,会计科目表!$B$6:$B$85,0))),"对方科目不存在",IF(AND($E386="缴纳税费",$H386=""),"缴税请在费用项目里选税种",IF(AND($F386&lt;&gt;"",ISNA(MATCH($F386,往来单位!$A$6:$A$85,0))),"往来单位未建档",IF(YEAR($B386)&lt;&gt;参数设置!$B$5,"不在本会计年度",IF(AND($B385&lt;&gt;"",ISNUMBER($B385),$B386&lt;$B385),"日期比上一行早，余额按行序滚，建议按日期录","OK")))))))))))))))</f>
        <v/>
      </c>
      <c r="O386" s="58" t="str">
        <f aca="false">IF($B386="","",TEXT($B386,"yyyy-mm"))</f>
        <v/>
      </c>
      <c r="P386" s="60" t="str">
        <f aca="false">IF($E386="","",ROUND(N($I386)+N($J386),2))</f>
        <v/>
      </c>
      <c r="Q386" s="58" t="str">
        <f aca="false">IF($D386="","",IFERROR(INDEX(资金账户!$F$6:$F$25,MATCH($D386,资金账户!$B$6:$B$25,0)),""))</f>
        <v/>
      </c>
      <c r="R386" s="58" t="str">
        <f aca="false">IF($E386="","",IFERROR(IF(INDEX(记账规则!$A$13:$H$32,MATCH($E386,记账规则!$A$13:$A$32,0),4)="借","收","支"),""))</f>
        <v/>
      </c>
      <c r="S386" s="57" t="str">
        <f aca="false">IF($D386="","",ROUND(SUMIFS(资金账户!$H$6:$H$25,资金账户!$B$6:$B$25,$D386)+SUMIFS($I$6:$I386,$D$6:$D386,$D386)-SUMIFS($J$6:$J386,$D$6:$D386,$D386),2))</f>
        <v/>
      </c>
      <c r="T386" s="61" t="str">
        <f aca="false">IF($B386="","",YEAR($B386))</f>
        <v/>
      </c>
    </row>
    <row r="387" customFormat="false" ht="15" hidden="false" customHeight="false" outlineLevel="0" collapsed="false">
      <c r="A387" s="53" t="str">
        <f aca="false">IF($B387="","",ROW()-5)</f>
        <v/>
      </c>
      <c r="B387" s="54"/>
      <c r="C387" s="33"/>
      <c r="D387" s="33"/>
      <c r="E387" s="33"/>
      <c r="F387" s="32"/>
      <c r="G387" s="41"/>
      <c r="H387" s="39"/>
      <c r="I387" s="43"/>
      <c r="J387" s="43"/>
      <c r="K387" s="41"/>
      <c r="L387" s="39"/>
      <c r="M387" s="41"/>
      <c r="N387" s="25" t="str">
        <f aca="false">IF(AND($B387="",$E387="",$I387="",$J387=""),"",IF(NOT(ISNUMBER($B387)),"日期无效",IF(ISNA(MATCH($C387,参数设置!$A$10:$A$12,0)),"公司无效",IF(ISNA(MATCH($D387,资金账户!$B$6:$B$25,0)),"账户未建档",IF(ISNA(MATCH($E387,记账规则!$A$13:$A$32,0)),"业务类型无效",IF(AND(N($I387)&lt;&gt;0,N($J387)&lt;&gt;0),"收入和支出只能填一列",IF($P387=0,"金额为 0",IF(AND($R387="收",N($I387)=0),"这类业务是收款，金额填到收入列",IF(AND($R387="支",N($J387)=0),"这类业务是付款，金额填到支出列",IF(AND(SUMPRODUCT(--(INDEX(记账规则!$A$13:$H$32,MATCH($E387,记账规则!$A$13:$A$32,0),0)="@对方"))&gt;0,$G387=""),"这个类型要填对方科目",IF(AND($G387&lt;&gt;"",ISNA(MATCH($G387,会计科目表!$B$6:$B$85,0))),"对方科目不存在",IF(AND($E387="缴纳税费",$H387=""),"缴税请在费用项目里选税种",IF(AND($F387&lt;&gt;"",ISNA(MATCH($F387,往来单位!$A$6:$A$85,0))),"往来单位未建档",IF(YEAR($B387)&lt;&gt;参数设置!$B$5,"不在本会计年度",IF(AND($B386&lt;&gt;"",ISNUMBER($B386),$B387&lt;$B386),"日期比上一行早，余额按行序滚，建议按日期录","OK")))))))))))))))</f>
        <v/>
      </c>
      <c r="O387" s="58" t="str">
        <f aca="false">IF($B387="","",TEXT($B387,"yyyy-mm"))</f>
        <v/>
      </c>
      <c r="P387" s="60" t="str">
        <f aca="false">IF($E387="","",ROUND(N($I387)+N($J387),2))</f>
        <v/>
      </c>
      <c r="Q387" s="58" t="str">
        <f aca="false">IF($D387="","",IFERROR(INDEX(资金账户!$F$6:$F$25,MATCH($D387,资金账户!$B$6:$B$25,0)),""))</f>
        <v/>
      </c>
      <c r="R387" s="58" t="str">
        <f aca="false">IF($E387="","",IFERROR(IF(INDEX(记账规则!$A$13:$H$32,MATCH($E387,记账规则!$A$13:$A$32,0),4)="借","收","支"),""))</f>
        <v/>
      </c>
      <c r="S387" s="57" t="str">
        <f aca="false">IF($D387="","",ROUND(SUMIFS(资金账户!$H$6:$H$25,资金账户!$B$6:$B$25,$D387)+SUMIFS($I$6:$I387,$D$6:$D387,$D387)-SUMIFS($J$6:$J387,$D$6:$D387,$D387),2))</f>
        <v/>
      </c>
      <c r="T387" s="61" t="str">
        <f aca="false">IF($B387="","",YEAR($B387))</f>
        <v/>
      </c>
    </row>
    <row r="388" customFormat="false" ht="15" hidden="false" customHeight="false" outlineLevel="0" collapsed="false">
      <c r="A388" s="53" t="str">
        <f aca="false">IF($B388="","",ROW()-5)</f>
        <v/>
      </c>
      <c r="B388" s="54"/>
      <c r="C388" s="33"/>
      <c r="D388" s="33"/>
      <c r="E388" s="33"/>
      <c r="F388" s="32"/>
      <c r="G388" s="41"/>
      <c r="H388" s="39"/>
      <c r="I388" s="43"/>
      <c r="J388" s="43"/>
      <c r="K388" s="41"/>
      <c r="L388" s="39"/>
      <c r="M388" s="41"/>
      <c r="N388" s="25" t="str">
        <f aca="false">IF(AND($B388="",$E388="",$I388="",$J388=""),"",IF(NOT(ISNUMBER($B388)),"日期无效",IF(ISNA(MATCH($C388,参数设置!$A$10:$A$12,0)),"公司无效",IF(ISNA(MATCH($D388,资金账户!$B$6:$B$25,0)),"账户未建档",IF(ISNA(MATCH($E388,记账规则!$A$13:$A$32,0)),"业务类型无效",IF(AND(N($I388)&lt;&gt;0,N($J388)&lt;&gt;0),"收入和支出只能填一列",IF($P388=0,"金额为 0",IF(AND($R388="收",N($I388)=0),"这类业务是收款，金额填到收入列",IF(AND($R388="支",N($J388)=0),"这类业务是付款，金额填到支出列",IF(AND(SUMPRODUCT(--(INDEX(记账规则!$A$13:$H$32,MATCH($E388,记账规则!$A$13:$A$32,0),0)="@对方"))&gt;0,$G388=""),"这个类型要填对方科目",IF(AND($G388&lt;&gt;"",ISNA(MATCH($G388,会计科目表!$B$6:$B$85,0))),"对方科目不存在",IF(AND($E388="缴纳税费",$H388=""),"缴税请在费用项目里选税种",IF(AND($F388&lt;&gt;"",ISNA(MATCH($F388,往来单位!$A$6:$A$85,0))),"往来单位未建档",IF(YEAR($B388)&lt;&gt;参数设置!$B$5,"不在本会计年度",IF(AND($B387&lt;&gt;"",ISNUMBER($B387),$B388&lt;$B387),"日期比上一行早，余额按行序滚，建议按日期录","OK")))))))))))))))</f>
        <v/>
      </c>
      <c r="O388" s="58" t="str">
        <f aca="false">IF($B388="","",TEXT($B388,"yyyy-mm"))</f>
        <v/>
      </c>
      <c r="P388" s="60" t="str">
        <f aca="false">IF($E388="","",ROUND(N($I388)+N($J388),2))</f>
        <v/>
      </c>
      <c r="Q388" s="58" t="str">
        <f aca="false">IF($D388="","",IFERROR(INDEX(资金账户!$F$6:$F$25,MATCH($D388,资金账户!$B$6:$B$25,0)),""))</f>
        <v/>
      </c>
      <c r="R388" s="58" t="str">
        <f aca="false">IF($E388="","",IFERROR(IF(INDEX(记账规则!$A$13:$H$32,MATCH($E388,记账规则!$A$13:$A$32,0),4)="借","收","支"),""))</f>
        <v/>
      </c>
      <c r="S388" s="57" t="str">
        <f aca="false">IF($D388="","",ROUND(SUMIFS(资金账户!$H$6:$H$25,资金账户!$B$6:$B$25,$D388)+SUMIFS($I$6:$I388,$D$6:$D388,$D388)-SUMIFS($J$6:$J388,$D$6:$D388,$D388),2))</f>
        <v/>
      </c>
      <c r="T388" s="61" t="str">
        <f aca="false">IF($B388="","",YEAR($B388))</f>
        <v/>
      </c>
    </row>
    <row r="389" customFormat="false" ht="15" hidden="false" customHeight="false" outlineLevel="0" collapsed="false">
      <c r="A389" s="53" t="str">
        <f aca="false">IF($B389="","",ROW()-5)</f>
        <v/>
      </c>
      <c r="B389" s="54"/>
      <c r="C389" s="33"/>
      <c r="D389" s="33"/>
      <c r="E389" s="33"/>
      <c r="F389" s="32"/>
      <c r="G389" s="41"/>
      <c r="H389" s="39"/>
      <c r="I389" s="43"/>
      <c r="J389" s="43"/>
      <c r="K389" s="41"/>
      <c r="L389" s="39"/>
      <c r="M389" s="41"/>
      <c r="N389" s="25" t="str">
        <f aca="false">IF(AND($B389="",$E389="",$I389="",$J389=""),"",IF(NOT(ISNUMBER($B389)),"日期无效",IF(ISNA(MATCH($C389,参数设置!$A$10:$A$12,0)),"公司无效",IF(ISNA(MATCH($D389,资金账户!$B$6:$B$25,0)),"账户未建档",IF(ISNA(MATCH($E389,记账规则!$A$13:$A$32,0)),"业务类型无效",IF(AND(N($I389)&lt;&gt;0,N($J389)&lt;&gt;0),"收入和支出只能填一列",IF($P389=0,"金额为 0",IF(AND($R389="收",N($I389)=0),"这类业务是收款，金额填到收入列",IF(AND($R389="支",N($J389)=0),"这类业务是付款，金额填到支出列",IF(AND(SUMPRODUCT(--(INDEX(记账规则!$A$13:$H$32,MATCH($E389,记账规则!$A$13:$A$32,0),0)="@对方"))&gt;0,$G389=""),"这个类型要填对方科目",IF(AND($G389&lt;&gt;"",ISNA(MATCH($G389,会计科目表!$B$6:$B$85,0))),"对方科目不存在",IF(AND($E389="缴纳税费",$H389=""),"缴税请在费用项目里选税种",IF(AND($F389&lt;&gt;"",ISNA(MATCH($F389,往来单位!$A$6:$A$85,0))),"往来单位未建档",IF(YEAR($B389)&lt;&gt;参数设置!$B$5,"不在本会计年度",IF(AND($B388&lt;&gt;"",ISNUMBER($B388),$B389&lt;$B388),"日期比上一行早，余额按行序滚，建议按日期录","OK")))))))))))))))</f>
        <v/>
      </c>
      <c r="O389" s="58" t="str">
        <f aca="false">IF($B389="","",TEXT($B389,"yyyy-mm"))</f>
        <v/>
      </c>
      <c r="P389" s="60" t="str">
        <f aca="false">IF($E389="","",ROUND(N($I389)+N($J389),2))</f>
        <v/>
      </c>
      <c r="Q389" s="58" t="str">
        <f aca="false">IF($D389="","",IFERROR(INDEX(资金账户!$F$6:$F$25,MATCH($D389,资金账户!$B$6:$B$25,0)),""))</f>
        <v/>
      </c>
      <c r="R389" s="58" t="str">
        <f aca="false">IF($E389="","",IFERROR(IF(INDEX(记账规则!$A$13:$H$32,MATCH($E389,记账规则!$A$13:$A$32,0),4)="借","收","支"),""))</f>
        <v/>
      </c>
      <c r="S389" s="57" t="str">
        <f aca="false">IF($D389="","",ROUND(SUMIFS(资金账户!$H$6:$H$25,资金账户!$B$6:$B$25,$D389)+SUMIFS($I$6:$I389,$D$6:$D389,$D389)-SUMIFS($J$6:$J389,$D$6:$D389,$D389),2))</f>
        <v/>
      </c>
      <c r="T389" s="61" t="str">
        <f aca="false">IF($B389="","",YEAR($B389))</f>
        <v/>
      </c>
    </row>
    <row r="390" customFormat="false" ht="15" hidden="false" customHeight="false" outlineLevel="0" collapsed="false">
      <c r="A390" s="53" t="str">
        <f aca="false">IF($B390="","",ROW()-5)</f>
        <v/>
      </c>
      <c r="B390" s="54"/>
      <c r="C390" s="33"/>
      <c r="D390" s="33"/>
      <c r="E390" s="33"/>
      <c r="F390" s="32"/>
      <c r="G390" s="41"/>
      <c r="H390" s="39"/>
      <c r="I390" s="43"/>
      <c r="J390" s="43"/>
      <c r="K390" s="41"/>
      <c r="L390" s="39"/>
      <c r="M390" s="41"/>
      <c r="N390" s="25" t="str">
        <f aca="false">IF(AND($B390="",$E390="",$I390="",$J390=""),"",IF(NOT(ISNUMBER($B390)),"日期无效",IF(ISNA(MATCH($C390,参数设置!$A$10:$A$12,0)),"公司无效",IF(ISNA(MATCH($D390,资金账户!$B$6:$B$25,0)),"账户未建档",IF(ISNA(MATCH($E390,记账规则!$A$13:$A$32,0)),"业务类型无效",IF(AND(N($I390)&lt;&gt;0,N($J390)&lt;&gt;0),"收入和支出只能填一列",IF($P390=0,"金额为 0",IF(AND($R390="收",N($I390)=0),"这类业务是收款，金额填到收入列",IF(AND($R390="支",N($J390)=0),"这类业务是付款，金额填到支出列",IF(AND(SUMPRODUCT(--(INDEX(记账规则!$A$13:$H$32,MATCH($E390,记账规则!$A$13:$A$32,0),0)="@对方"))&gt;0,$G390=""),"这个类型要填对方科目",IF(AND($G390&lt;&gt;"",ISNA(MATCH($G390,会计科目表!$B$6:$B$85,0))),"对方科目不存在",IF(AND($E390="缴纳税费",$H390=""),"缴税请在费用项目里选税种",IF(AND($F390&lt;&gt;"",ISNA(MATCH($F390,往来单位!$A$6:$A$85,0))),"往来单位未建档",IF(YEAR($B390)&lt;&gt;参数设置!$B$5,"不在本会计年度",IF(AND($B389&lt;&gt;"",ISNUMBER($B389),$B390&lt;$B389),"日期比上一行早，余额按行序滚，建议按日期录","OK")))))))))))))))</f>
        <v/>
      </c>
      <c r="O390" s="58" t="str">
        <f aca="false">IF($B390="","",TEXT($B390,"yyyy-mm"))</f>
        <v/>
      </c>
      <c r="P390" s="60" t="str">
        <f aca="false">IF($E390="","",ROUND(N($I390)+N($J390),2))</f>
        <v/>
      </c>
      <c r="Q390" s="58" t="str">
        <f aca="false">IF($D390="","",IFERROR(INDEX(资金账户!$F$6:$F$25,MATCH($D390,资金账户!$B$6:$B$25,0)),""))</f>
        <v/>
      </c>
      <c r="R390" s="58" t="str">
        <f aca="false">IF($E390="","",IFERROR(IF(INDEX(记账规则!$A$13:$H$32,MATCH($E390,记账规则!$A$13:$A$32,0),4)="借","收","支"),""))</f>
        <v/>
      </c>
      <c r="S390" s="57" t="str">
        <f aca="false">IF($D390="","",ROUND(SUMIFS(资金账户!$H$6:$H$25,资金账户!$B$6:$B$25,$D390)+SUMIFS($I$6:$I390,$D$6:$D390,$D390)-SUMIFS($J$6:$J390,$D$6:$D390,$D390),2))</f>
        <v/>
      </c>
      <c r="T390" s="61" t="str">
        <f aca="false">IF($B390="","",YEAR($B390))</f>
        <v/>
      </c>
    </row>
    <row r="391" customFormat="false" ht="15" hidden="false" customHeight="false" outlineLevel="0" collapsed="false">
      <c r="A391" s="53" t="str">
        <f aca="false">IF($B391="","",ROW()-5)</f>
        <v/>
      </c>
      <c r="B391" s="54"/>
      <c r="C391" s="33"/>
      <c r="D391" s="33"/>
      <c r="E391" s="33"/>
      <c r="F391" s="32"/>
      <c r="G391" s="41"/>
      <c r="H391" s="39"/>
      <c r="I391" s="43"/>
      <c r="J391" s="43"/>
      <c r="K391" s="41"/>
      <c r="L391" s="39"/>
      <c r="M391" s="41"/>
      <c r="N391" s="25" t="str">
        <f aca="false">IF(AND($B391="",$E391="",$I391="",$J391=""),"",IF(NOT(ISNUMBER($B391)),"日期无效",IF(ISNA(MATCH($C391,参数设置!$A$10:$A$12,0)),"公司无效",IF(ISNA(MATCH($D391,资金账户!$B$6:$B$25,0)),"账户未建档",IF(ISNA(MATCH($E391,记账规则!$A$13:$A$32,0)),"业务类型无效",IF(AND(N($I391)&lt;&gt;0,N($J391)&lt;&gt;0),"收入和支出只能填一列",IF($P391=0,"金额为 0",IF(AND($R391="收",N($I391)=0),"这类业务是收款，金额填到收入列",IF(AND($R391="支",N($J391)=0),"这类业务是付款，金额填到支出列",IF(AND(SUMPRODUCT(--(INDEX(记账规则!$A$13:$H$32,MATCH($E391,记账规则!$A$13:$A$32,0),0)="@对方"))&gt;0,$G391=""),"这个类型要填对方科目",IF(AND($G391&lt;&gt;"",ISNA(MATCH($G391,会计科目表!$B$6:$B$85,0))),"对方科目不存在",IF(AND($E391="缴纳税费",$H391=""),"缴税请在费用项目里选税种",IF(AND($F391&lt;&gt;"",ISNA(MATCH($F391,往来单位!$A$6:$A$85,0))),"往来单位未建档",IF(YEAR($B391)&lt;&gt;参数设置!$B$5,"不在本会计年度",IF(AND($B390&lt;&gt;"",ISNUMBER($B390),$B391&lt;$B390),"日期比上一行早，余额按行序滚，建议按日期录","OK")))))))))))))))</f>
        <v/>
      </c>
      <c r="O391" s="58" t="str">
        <f aca="false">IF($B391="","",TEXT($B391,"yyyy-mm"))</f>
        <v/>
      </c>
      <c r="P391" s="60" t="str">
        <f aca="false">IF($E391="","",ROUND(N($I391)+N($J391),2))</f>
        <v/>
      </c>
      <c r="Q391" s="58" t="str">
        <f aca="false">IF($D391="","",IFERROR(INDEX(资金账户!$F$6:$F$25,MATCH($D391,资金账户!$B$6:$B$25,0)),""))</f>
        <v/>
      </c>
      <c r="R391" s="58" t="str">
        <f aca="false">IF($E391="","",IFERROR(IF(INDEX(记账规则!$A$13:$H$32,MATCH($E391,记账规则!$A$13:$A$32,0),4)="借","收","支"),""))</f>
        <v/>
      </c>
      <c r="S391" s="57" t="str">
        <f aca="false">IF($D391="","",ROUND(SUMIFS(资金账户!$H$6:$H$25,资金账户!$B$6:$B$25,$D391)+SUMIFS($I$6:$I391,$D$6:$D391,$D391)-SUMIFS($J$6:$J391,$D$6:$D391,$D391),2))</f>
        <v/>
      </c>
      <c r="T391" s="61" t="str">
        <f aca="false">IF($B391="","",YEAR($B391))</f>
        <v/>
      </c>
    </row>
    <row r="392" customFormat="false" ht="15" hidden="false" customHeight="false" outlineLevel="0" collapsed="false">
      <c r="A392" s="53" t="str">
        <f aca="false">IF($B392="","",ROW()-5)</f>
        <v/>
      </c>
      <c r="B392" s="54"/>
      <c r="C392" s="33"/>
      <c r="D392" s="33"/>
      <c r="E392" s="33"/>
      <c r="F392" s="32"/>
      <c r="G392" s="41"/>
      <c r="H392" s="39"/>
      <c r="I392" s="43"/>
      <c r="J392" s="43"/>
      <c r="K392" s="41"/>
      <c r="L392" s="39"/>
      <c r="M392" s="41"/>
      <c r="N392" s="25" t="str">
        <f aca="false">IF(AND($B392="",$E392="",$I392="",$J392=""),"",IF(NOT(ISNUMBER($B392)),"日期无效",IF(ISNA(MATCH($C392,参数设置!$A$10:$A$12,0)),"公司无效",IF(ISNA(MATCH($D392,资金账户!$B$6:$B$25,0)),"账户未建档",IF(ISNA(MATCH($E392,记账规则!$A$13:$A$32,0)),"业务类型无效",IF(AND(N($I392)&lt;&gt;0,N($J392)&lt;&gt;0),"收入和支出只能填一列",IF($P392=0,"金额为 0",IF(AND($R392="收",N($I392)=0),"这类业务是收款，金额填到收入列",IF(AND($R392="支",N($J392)=0),"这类业务是付款，金额填到支出列",IF(AND(SUMPRODUCT(--(INDEX(记账规则!$A$13:$H$32,MATCH($E392,记账规则!$A$13:$A$32,0),0)="@对方"))&gt;0,$G392=""),"这个类型要填对方科目",IF(AND($G392&lt;&gt;"",ISNA(MATCH($G392,会计科目表!$B$6:$B$85,0))),"对方科目不存在",IF(AND($E392="缴纳税费",$H392=""),"缴税请在费用项目里选税种",IF(AND($F392&lt;&gt;"",ISNA(MATCH($F392,往来单位!$A$6:$A$85,0))),"往来单位未建档",IF(YEAR($B392)&lt;&gt;参数设置!$B$5,"不在本会计年度",IF(AND($B391&lt;&gt;"",ISNUMBER($B391),$B392&lt;$B391),"日期比上一行早，余额按行序滚，建议按日期录","OK")))))))))))))))</f>
        <v/>
      </c>
      <c r="O392" s="58" t="str">
        <f aca="false">IF($B392="","",TEXT($B392,"yyyy-mm"))</f>
        <v/>
      </c>
      <c r="P392" s="60" t="str">
        <f aca="false">IF($E392="","",ROUND(N($I392)+N($J392),2))</f>
        <v/>
      </c>
      <c r="Q392" s="58" t="str">
        <f aca="false">IF($D392="","",IFERROR(INDEX(资金账户!$F$6:$F$25,MATCH($D392,资金账户!$B$6:$B$25,0)),""))</f>
        <v/>
      </c>
      <c r="R392" s="58" t="str">
        <f aca="false">IF($E392="","",IFERROR(IF(INDEX(记账规则!$A$13:$H$32,MATCH($E392,记账规则!$A$13:$A$32,0),4)="借","收","支"),""))</f>
        <v/>
      </c>
      <c r="S392" s="57" t="str">
        <f aca="false">IF($D392="","",ROUND(SUMIFS(资金账户!$H$6:$H$25,资金账户!$B$6:$B$25,$D392)+SUMIFS($I$6:$I392,$D$6:$D392,$D392)-SUMIFS($J$6:$J392,$D$6:$D392,$D392),2))</f>
        <v/>
      </c>
      <c r="T392" s="61" t="str">
        <f aca="false">IF($B392="","",YEAR($B392))</f>
        <v/>
      </c>
    </row>
    <row r="393" customFormat="false" ht="15" hidden="false" customHeight="false" outlineLevel="0" collapsed="false">
      <c r="A393" s="53" t="str">
        <f aca="false">IF($B393="","",ROW()-5)</f>
        <v/>
      </c>
      <c r="B393" s="54"/>
      <c r="C393" s="33"/>
      <c r="D393" s="33"/>
      <c r="E393" s="33"/>
      <c r="F393" s="32"/>
      <c r="G393" s="41"/>
      <c r="H393" s="39"/>
      <c r="I393" s="43"/>
      <c r="J393" s="43"/>
      <c r="K393" s="41"/>
      <c r="L393" s="39"/>
      <c r="M393" s="41"/>
      <c r="N393" s="25" t="str">
        <f aca="false">IF(AND($B393="",$E393="",$I393="",$J393=""),"",IF(NOT(ISNUMBER($B393)),"日期无效",IF(ISNA(MATCH($C393,参数设置!$A$10:$A$12,0)),"公司无效",IF(ISNA(MATCH($D393,资金账户!$B$6:$B$25,0)),"账户未建档",IF(ISNA(MATCH($E393,记账规则!$A$13:$A$32,0)),"业务类型无效",IF(AND(N($I393)&lt;&gt;0,N($J393)&lt;&gt;0),"收入和支出只能填一列",IF($P393=0,"金额为 0",IF(AND($R393="收",N($I393)=0),"这类业务是收款，金额填到收入列",IF(AND($R393="支",N($J393)=0),"这类业务是付款，金额填到支出列",IF(AND(SUMPRODUCT(--(INDEX(记账规则!$A$13:$H$32,MATCH($E393,记账规则!$A$13:$A$32,0),0)="@对方"))&gt;0,$G393=""),"这个类型要填对方科目",IF(AND($G393&lt;&gt;"",ISNA(MATCH($G393,会计科目表!$B$6:$B$85,0))),"对方科目不存在",IF(AND($E393="缴纳税费",$H393=""),"缴税请在费用项目里选税种",IF(AND($F393&lt;&gt;"",ISNA(MATCH($F393,往来单位!$A$6:$A$85,0))),"往来单位未建档",IF(YEAR($B393)&lt;&gt;参数设置!$B$5,"不在本会计年度",IF(AND($B392&lt;&gt;"",ISNUMBER($B392),$B393&lt;$B392),"日期比上一行早，余额按行序滚，建议按日期录","OK")))))))))))))))</f>
        <v/>
      </c>
      <c r="O393" s="58" t="str">
        <f aca="false">IF($B393="","",TEXT($B393,"yyyy-mm"))</f>
        <v/>
      </c>
      <c r="P393" s="60" t="str">
        <f aca="false">IF($E393="","",ROUND(N($I393)+N($J393),2))</f>
        <v/>
      </c>
      <c r="Q393" s="58" t="str">
        <f aca="false">IF($D393="","",IFERROR(INDEX(资金账户!$F$6:$F$25,MATCH($D393,资金账户!$B$6:$B$25,0)),""))</f>
        <v/>
      </c>
      <c r="R393" s="58" t="str">
        <f aca="false">IF($E393="","",IFERROR(IF(INDEX(记账规则!$A$13:$H$32,MATCH($E393,记账规则!$A$13:$A$32,0),4)="借","收","支"),""))</f>
        <v/>
      </c>
      <c r="S393" s="57" t="str">
        <f aca="false">IF($D393="","",ROUND(SUMIFS(资金账户!$H$6:$H$25,资金账户!$B$6:$B$25,$D393)+SUMIFS($I$6:$I393,$D$6:$D393,$D393)-SUMIFS($J$6:$J393,$D$6:$D393,$D393),2))</f>
        <v/>
      </c>
      <c r="T393" s="61" t="str">
        <f aca="false">IF($B393="","",YEAR($B393))</f>
        <v/>
      </c>
    </row>
    <row r="394" customFormat="false" ht="15" hidden="false" customHeight="false" outlineLevel="0" collapsed="false">
      <c r="A394" s="53" t="str">
        <f aca="false">IF($B394="","",ROW()-5)</f>
        <v/>
      </c>
      <c r="B394" s="54"/>
      <c r="C394" s="33"/>
      <c r="D394" s="33"/>
      <c r="E394" s="33"/>
      <c r="F394" s="32"/>
      <c r="G394" s="41"/>
      <c r="H394" s="39"/>
      <c r="I394" s="43"/>
      <c r="J394" s="43"/>
      <c r="K394" s="41"/>
      <c r="L394" s="39"/>
      <c r="M394" s="41"/>
      <c r="N394" s="25" t="str">
        <f aca="false">IF(AND($B394="",$E394="",$I394="",$J394=""),"",IF(NOT(ISNUMBER($B394)),"日期无效",IF(ISNA(MATCH($C394,参数设置!$A$10:$A$12,0)),"公司无效",IF(ISNA(MATCH($D394,资金账户!$B$6:$B$25,0)),"账户未建档",IF(ISNA(MATCH($E394,记账规则!$A$13:$A$32,0)),"业务类型无效",IF(AND(N($I394)&lt;&gt;0,N($J394)&lt;&gt;0),"收入和支出只能填一列",IF($P394=0,"金额为 0",IF(AND($R394="收",N($I394)=0),"这类业务是收款，金额填到收入列",IF(AND($R394="支",N($J394)=0),"这类业务是付款，金额填到支出列",IF(AND(SUMPRODUCT(--(INDEX(记账规则!$A$13:$H$32,MATCH($E394,记账规则!$A$13:$A$32,0),0)="@对方"))&gt;0,$G394=""),"这个类型要填对方科目",IF(AND($G394&lt;&gt;"",ISNA(MATCH($G394,会计科目表!$B$6:$B$85,0))),"对方科目不存在",IF(AND($E394="缴纳税费",$H394=""),"缴税请在费用项目里选税种",IF(AND($F394&lt;&gt;"",ISNA(MATCH($F394,往来单位!$A$6:$A$85,0))),"往来单位未建档",IF(YEAR($B394)&lt;&gt;参数设置!$B$5,"不在本会计年度",IF(AND($B393&lt;&gt;"",ISNUMBER($B393),$B394&lt;$B393),"日期比上一行早，余额按行序滚，建议按日期录","OK")))))))))))))))</f>
        <v/>
      </c>
      <c r="O394" s="58" t="str">
        <f aca="false">IF($B394="","",TEXT($B394,"yyyy-mm"))</f>
        <v/>
      </c>
      <c r="P394" s="60" t="str">
        <f aca="false">IF($E394="","",ROUND(N($I394)+N($J394),2))</f>
        <v/>
      </c>
      <c r="Q394" s="58" t="str">
        <f aca="false">IF($D394="","",IFERROR(INDEX(资金账户!$F$6:$F$25,MATCH($D394,资金账户!$B$6:$B$25,0)),""))</f>
        <v/>
      </c>
      <c r="R394" s="58" t="str">
        <f aca="false">IF($E394="","",IFERROR(IF(INDEX(记账规则!$A$13:$H$32,MATCH($E394,记账规则!$A$13:$A$32,0),4)="借","收","支"),""))</f>
        <v/>
      </c>
      <c r="S394" s="57" t="str">
        <f aca="false">IF($D394="","",ROUND(SUMIFS(资金账户!$H$6:$H$25,资金账户!$B$6:$B$25,$D394)+SUMIFS($I$6:$I394,$D$6:$D394,$D394)-SUMIFS($J$6:$J394,$D$6:$D394,$D394),2))</f>
        <v/>
      </c>
      <c r="T394" s="61" t="str">
        <f aca="false">IF($B394="","",YEAR($B394))</f>
        <v/>
      </c>
    </row>
    <row r="395" customFormat="false" ht="15" hidden="false" customHeight="false" outlineLevel="0" collapsed="false">
      <c r="A395" s="53" t="str">
        <f aca="false">IF($B395="","",ROW()-5)</f>
        <v/>
      </c>
      <c r="B395" s="54"/>
      <c r="C395" s="33"/>
      <c r="D395" s="33"/>
      <c r="E395" s="33"/>
      <c r="F395" s="32"/>
      <c r="G395" s="41"/>
      <c r="H395" s="39"/>
      <c r="I395" s="43"/>
      <c r="J395" s="43"/>
      <c r="K395" s="41"/>
      <c r="L395" s="39"/>
      <c r="M395" s="41"/>
      <c r="N395" s="25" t="str">
        <f aca="false">IF(AND($B395="",$E395="",$I395="",$J395=""),"",IF(NOT(ISNUMBER($B395)),"日期无效",IF(ISNA(MATCH($C395,参数设置!$A$10:$A$12,0)),"公司无效",IF(ISNA(MATCH($D395,资金账户!$B$6:$B$25,0)),"账户未建档",IF(ISNA(MATCH($E395,记账规则!$A$13:$A$32,0)),"业务类型无效",IF(AND(N($I395)&lt;&gt;0,N($J395)&lt;&gt;0),"收入和支出只能填一列",IF($P395=0,"金额为 0",IF(AND($R395="收",N($I395)=0),"这类业务是收款，金额填到收入列",IF(AND($R395="支",N($J395)=0),"这类业务是付款，金额填到支出列",IF(AND(SUMPRODUCT(--(INDEX(记账规则!$A$13:$H$32,MATCH($E395,记账规则!$A$13:$A$32,0),0)="@对方"))&gt;0,$G395=""),"这个类型要填对方科目",IF(AND($G395&lt;&gt;"",ISNA(MATCH($G395,会计科目表!$B$6:$B$85,0))),"对方科目不存在",IF(AND($E395="缴纳税费",$H395=""),"缴税请在费用项目里选税种",IF(AND($F395&lt;&gt;"",ISNA(MATCH($F395,往来单位!$A$6:$A$85,0))),"往来单位未建档",IF(YEAR($B395)&lt;&gt;参数设置!$B$5,"不在本会计年度",IF(AND($B394&lt;&gt;"",ISNUMBER($B394),$B395&lt;$B394),"日期比上一行早，余额按行序滚，建议按日期录","OK")))))))))))))))</f>
        <v/>
      </c>
      <c r="O395" s="58" t="str">
        <f aca="false">IF($B395="","",TEXT($B395,"yyyy-mm"))</f>
        <v/>
      </c>
      <c r="P395" s="60" t="str">
        <f aca="false">IF($E395="","",ROUND(N($I395)+N($J395),2))</f>
        <v/>
      </c>
      <c r="Q395" s="58" t="str">
        <f aca="false">IF($D395="","",IFERROR(INDEX(资金账户!$F$6:$F$25,MATCH($D395,资金账户!$B$6:$B$25,0)),""))</f>
        <v/>
      </c>
      <c r="R395" s="58" t="str">
        <f aca="false">IF($E395="","",IFERROR(IF(INDEX(记账规则!$A$13:$H$32,MATCH($E395,记账规则!$A$13:$A$32,0),4)="借","收","支"),""))</f>
        <v/>
      </c>
      <c r="S395" s="57" t="str">
        <f aca="false">IF($D395="","",ROUND(SUMIFS(资金账户!$H$6:$H$25,资金账户!$B$6:$B$25,$D395)+SUMIFS($I$6:$I395,$D$6:$D395,$D395)-SUMIFS($J$6:$J395,$D$6:$D395,$D395),2))</f>
        <v/>
      </c>
      <c r="T395" s="61" t="str">
        <f aca="false">IF($B395="","",YEAR($B395))</f>
        <v/>
      </c>
    </row>
    <row r="396" customFormat="false" ht="15" hidden="false" customHeight="false" outlineLevel="0" collapsed="false">
      <c r="A396" s="53" t="str">
        <f aca="false">IF($B396="","",ROW()-5)</f>
        <v/>
      </c>
      <c r="B396" s="54"/>
      <c r="C396" s="33"/>
      <c r="D396" s="33"/>
      <c r="E396" s="33"/>
      <c r="F396" s="32"/>
      <c r="G396" s="41"/>
      <c r="H396" s="39"/>
      <c r="I396" s="43"/>
      <c r="J396" s="43"/>
      <c r="K396" s="41"/>
      <c r="L396" s="39"/>
      <c r="M396" s="41"/>
      <c r="N396" s="25" t="str">
        <f aca="false">IF(AND($B396="",$E396="",$I396="",$J396=""),"",IF(NOT(ISNUMBER($B396)),"日期无效",IF(ISNA(MATCH($C396,参数设置!$A$10:$A$12,0)),"公司无效",IF(ISNA(MATCH($D396,资金账户!$B$6:$B$25,0)),"账户未建档",IF(ISNA(MATCH($E396,记账规则!$A$13:$A$32,0)),"业务类型无效",IF(AND(N($I396)&lt;&gt;0,N($J396)&lt;&gt;0),"收入和支出只能填一列",IF($P396=0,"金额为 0",IF(AND($R396="收",N($I396)=0),"这类业务是收款，金额填到收入列",IF(AND($R396="支",N($J396)=0),"这类业务是付款，金额填到支出列",IF(AND(SUMPRODUCT(--(INDEX(记账规则!$A$13:$H$32,MATCH($E396,记账规则!$A$13:$A$32,0),0)="@对方"))&gt;0,$G396=""),"这个类型要填对方科目",IF(AND($G396&lt;&gt;"",ISNA(MATCH($G396,会计科目表!$B$6:$B$85,0))),"对方科目不存在",IF(AND($E396="缴纳税费",$H396=""),"缴税请在费用项目里选税种",IF(AND($F396&lt;&gt;"",ISNA(MATCH($F396,往来单位!$A$6:$A$85,0))),"往来单位未建档",IF(YEAR($B396)&lt;&gt;参数设置!$B$5,"不在本会计年度",IF(AND($B395&lt;&gt;"",ISNUMBER($B395),$B396&lt;$B395),"日期比上一行早，余额按行序滚，建议按日期录","OK")))))))))))))))</f>
        <v/>
      </c>
      <c r="O396" s="58" t="str">
        <f aca="false">IF($B396="","",TEXT($B396,"yyyy-mm"))</f>
        <v/>
      </c>
      <c r="P396" s="60" t="str">
        <f aca="false">IF($E396="","",ROUND(N($I396)+N($J396),2))</f>
        <v/>
      </c>
      <c r="Q396" s="58" t="str">
        <f aca="false">IF($D396="","",IFERROR(INDEX(资金账户!$F$6:$F$25,MATCH($D396,资金账户!$B$6:$B$25,0)),""))</f>
        <v/>
      </c>
      <c r="R396" s="58" t="str">
        <f aca="false">IF($E396="","",IFERROR(IF(INDEX(记账规则!$A$13:$H$32,MATCH($E396,记账规则!$A$13:$A$32,0),4)="借","收","支"),""))</f>
        <v/>
      </c>
      <c r="S396" s="57" t="str">
        <f aca="false">IF($D396="","",ROUND(SUMIFS(资金账户!$H$6:$H$25,资金账户!$B$6:$B$25,$D396)+SUMIFS($I$6:$I396,$D$6:$D396,$D396)-SUMIFS($J$6:$J396,$D$6:$D396,$D396),2))</f>
        <v/>
      </c>
      <c r="T396" s="61" t="str">
        <f aca="false">IF($B396="","",YEAR($B396))</f>
        <v/>
      </c>
    </row>
    <row r="397" customFormat="false" ht="15" hidden="false" customHeight="false" outlineLevel="0" collapsed="false">
      <c r="A397" s="53" t="str">
        <f aca="false">IF($B397="","",ROW()-5)</f>
        <v/>
      </c>
      <c r="B397" s="54"/>
      <c r="C397" s="33"/>
      <c r="D397" s="33"/>
      <c r="E397" s="33"/>
      <c r="F397" s="32"/>
      <c r="G397" s="41"/>
      <c r="H397" s="39"/>
      <c r="I397" s="43"/>
      <c r="J397" s="43"/>
      <c r="K397" s="41"/>
      <c r="L397" s="39"/>
      <c r="M397" s="41"/>
      <c r="N397" s="25" t="str">
        <f aca="false">IF(AND($B397="",$E397="",$I397="",$J397=""),"",IF(NOT(ISNUMBER($B397)),"日期无效",IF(ISNA(MATCH($C397,参数设置!$A$10:$A$12,0)),"公司无效",IF(ISNA(MATCH($D397,资金账户!$B$6:$B$25,0)),"账户未建档",IF(ISNA(MATCH($E397,记账规则!$A$13:$A$32,0)),"业务类型无效",IF(AND(N($I397)&lt;&gt;0,N($J397)&lt;&gt;0),"收入和支出只能填一列",IF($P397=0,"金额为 0",IF(AND($R397="收",N($I397)=0),"这类业务是收款，金额填到收入列",IF(AND($R397="支",N($J397)=0),"这类业务是付款，金额填到支出列",IF(AND(SUMPRODUCT(--(INDEX(记账规则!$A$13:$H$32,MATCH($E397,记账规则!$A$13:$A$32,0),0)="@对方"))&gt;0,$G397=""),"这个类型要填对方科目",IF(AND($G397&lt;&gt;"",ISNA(MATCH($G397,会计科目表!$B$6:$B$85,0))),"对方科目不存在",IF(AND($E397="缴纳税费",$H397=""),"缴税请在费用项目里选税种",IF(AND($F397&lt;&gt;"",ISNA(MATCH($F397,往来单位!$A$6:$A$85,0))),"往来单位未建档",IF(YEAR($B397)&lt;&gt;参数设置!$B$5,"不在本会计年度",IF(AND($B396&lt;&gt;"",ISNUMBER($B396),$B397&lt;$B396),"日期比上一行早，余额按行序滚，建议按日期录","OK")))))))))))))))</f>
        <v/>
      </c>
      <c r="O397" s="58" t="str">
        <f aca="false">IF($B397="","",TEXT($B397,"yyyy-mm"))</f>
        <v/>
      </c>
      <c r="P397" s="60" t="str">
        <f aca="false">IF($E397="","",ROUND(N($I397)+N($J397),2))</f>
        <v/>
      </c>
      <c r="Q397" s="58" t="str">
        <f aca="false">IF($D397="","",IFERROR(INDEX(资金账户!$F$6:$F$25,MATCH($D397,资金账户!$B$6:$B$25,0)),""))</f>
        <v/>
      </c>
      <c r="R397" s="58" t="str">
        <f aca="false">IF($E397="","",IFERROR(IF(INDEX(记账规则!$A$13:$H$32,MATCH($E397,记账规则!$A$13:$A$32,0),4)="借","收","支"),""))</f>
        <v/>
      </c>
      <c r="S397" s="57" t="str">
        <f aca="false">IF($D397="","",ROUND(SUMIFS(资金账户!$H$6:$H$25,资金账户!$B$6:$B$25,$D397)+SUMIFS($I$6:$I397,$D$6:$D397,$D397)-SUMIFS($J$6:$J397,$D$6:$D397,$D397),2))</f>
        <v/>
      </c>
      <c r="T397" s="61" t="str">
        <f aca="false">IF($B397="","",YEAR($B397))</f>
        <v/>
      </c>
    </row>
    <row r="398" customFormat="false" ht="15" hidden="false" customHeight="false" outlineLevel="0" collapsed="false">
      <c r="A398" s="53" t="str">
        <f aca="false">IF($B398="","",ROW()-5)</f>
        <v/>
      </c>
      <c r="B398" s="54"/>
      <c r="C398" s="33"/>
      <c r="D398" s="33"/>
      <c r="E398" s="33"/>
      <c r="F398" s="32"/>
      <c r="G398" s="41"/>
      <c r="H398" s="39"/>
      <c r="I398" s="43"/>
      <c r="J398" s="43"/>
      <c r="K398" s="41"/>
      <c r="L398" s="39"/>
      <c r="M398" s="41"/>
      <c r="N398" s="25" t="str">
        <f aca="false">IF(AND($B398="",$E398="",$I398="",$J398=""),"",IF(NOT(ISNUMBER($B398)),"日期无效",IF(ISNA(MATCH($C398,参数设置!$A$10:$A$12,0)),"公司无效",IF(ISNA(MATCH($D398,资金账户!$B$6:$B$25,0)),"账户未建档",IF(ISNA(MATCH($E398,记账规则!$A$13:$A$32,0)),"业务类型无效",IF(AND(N($I398)&lt;&gt;0,N($J398)&lt;&gt;0),"收入和支出只能填一列",IF($P398=0,"金额为 0",IF(AND($R398="收",N($I398)=0),"这类业务是收款，金额填到收入列",IF(AND($R398="支",N($J398)=0),"这类业务是付款，金额填到支出列",IF(AND(SUMPRODUCT(--(INDEX(记账规则!$A$13:$H$32,MATCH($E398,记账规则!$A$13:$A$32,0),0)="@对方"))&gt;0,$G398=""),"这个类型要填对方科目",IF(AND($G398&lt;&gt;"",ISNA(MATCH($G398,会计科目表!$B$6:$B$85,0))),"对方科目不存在",IF(AND($E398="缴纳税费",$H398=""),"缴税请在费用项目里选税种",IF(AND($F398&lt;&gt;"",ISNA(MATCH($F398,往来单位!$A$6:$A$85,0))),"往来单位未建档",IF(YEAR($B398)&lt;&gt;参数设置!$B$5,"不在本会计年度",IF(AND($B397&lt;&gt;"",ISNUMBER($B397),$B398&lt;$B397),"日期比上一行早，余额按行序滚，建议按日期录","OK")))))))))))))))</f>
        <v/>
      </c>
      <c r="O398" s="58" t="str">
        <f aca="false">IF($B398="","",TEXT($B398,"yyyy-mm"))</f>
        <v/>
      </c>
      <c r="P398" s="60" t="str">
        <f aca="false">IF($E398="","",ROUND(N($I398)+N($J398),2))</f>
        <v/>
      </c>
      <c r="Q398" s="58" t="str">
        <f aca="false">IF($D398="","",IFERROR(INDEX(资金账户!$F$6:$F$25,MATCH($D398,资金账户!$B$6:$B$25,0)),""))</f>
        <v/>
      </c>
      <c r="R398" s="58" t="str">
        <f aca="false">IF($E398="","",IFERROR(IF(INDEX(记账规则!$A$13:$H$32,MATCH($E398,记账规则!$A$13:$A$32,0),4)="借","收","支"),""))</f>
        <v/>
      </c>
      <c r="S398" s="57" t="str">
        <f aca="false">IF($D398="","",ROUND(SUMIFS(资金账户!$H$6:$H$25,资金账户!$B$6:$B$25,$D398)+SUMIFS($I$6:$I398,$D$6:$D398,$D398)-SUMIFS($J$6:$J398,$D$6:$D398,$D398),2))</f>
        <v/>
      </c>
      <c r="T398" s="61" t="str">
        <f aca="false">IF($B398="","",YEAR($B398))</f>
        <v/>
      </c>
    </row>
    <row r="399" customFormat="false" ht="15" hidden="false" customHeight="false" outlineLevel="0" collapsed="false">
      <c r="A399" s="53" t="str">
        <f aca="false">IF($B399="","",ROW()-5)</f>
        <v/>
      </c>
      <c r="B399" s="54"/>
      <c r="C399" s="33"/>
      <c r="D399" s="33"/>
      <c r="E399" s="33"/>
      <c r="F399" s="32"/>
      <c r="G399" s="41"/>
      <c r="H399" s="39"/>
      <c r="I399" s="43"/>
      <c r="J399" s="43"/>
      <c r="K399" s="41"/>
      <c r="L399" s="39"/>
      <c r="M399" s="41"/>
      <c r="N399" s="25" t="str">
        <f aca="false">IF(AND($B399="",$E399="",$I399="",$J399=""),"",IF(NOT(ISNUMBER($B399)),"日期无效",IF(ISNA(MATCH($C399,参数设置!$A$10:$A$12,0)),"公司无效",IF(ISNA(MATCH($D399,资金账户!$B$6:$B$25,0)),"账户未建档",IF(ISNA(MATCH($E399,记账规则!$A$13:$A$32,0)),"业务类型无效",IF(AND(N($I399)&lt;&gt;0,N($J399)&lt;&gt;0),"收入和支出只能填一列",IF($P399=0,"金额为 0",IF(AND($R399="收",N($I399)=0),"这类业务是收款，金额填到收入列",IF(AND($R399="支",N($J399)=0),"这类业务是付款，金额填到支出列",IF(AND(SUMPRODUCT(--(INDEX(记账规则!$A$13:$H$32,MATCH($E399,记账规则!$A$13:$A$32,0),0)="@对方"))&gt;0,$G399=""),"这个类型要填对方科目",IF(AND($G399&lt;&gt;"",ISNA(MATCH($G399,会计科目表!$B$6:$B$85,0))),"对方科目不存在",IF(AND($E399="缴纳税费",$H399=""),"缴税请在费用项目里选税种",IF(AND($F399&lt;&gt;"",ISNA(MATCH($F399,往来单位!$A$6:$A$85,0))),"往来单位未建档",IF(YEAR($B399)&lt;&gt;参数设置!$B$5,"不在本会计年度",IF(AND($B398&lt;&gt;"",ISNUMBER($B398),$B399&lt;$B398),"日期比上一行早，余额按行序滚，建议按日期录","OK")))))))))))))))</f>
        <v/>
      </c>
      <c r="O399" s="58" t="str">
        <f aca="false">IF($B399="","",TEXT($B399,"yyyy-mm"))</f>
        <v/>
      </c>
      <c r="P399" s="60" t="str">
        <f aca="false">IF($E399="","",ROUND(N($I399)+N($J399),2))</f>
        <v/>
      </c>
      <c r="Q399" s="58" t="str">
        <f aca="false">IF($D399="","",IFERROR(INDEX(资金账户!$F$6:$F$25,MATCH($D399,资金账户!$B$6:$B$25,0)),""))</f>
        <v/>
      </c>
      <c r="R399" s="58" t="str">
        <f aca="false">IF($E399="","",IFERROR(IF(INDEX(记账规则!$A$13:$H$32,MATCH($E399,记账规则!$A$13:$A$32,0),4)="借","收","支"),""))</f>
        <v/>
      </c>
      <c r="S399" s="57" t="str">
        <f aca="false">IF($D399="","",ROUND(SUMIFS(资金账户!$H$6:$H$25,资金账户!$B$6:$B$25,$D399)+SUMIFS($I$6:$I399,$D$6:$D399,$D399)-SUMIFS($J$6:$J399,$D$6:$D399,$D399),2))</f>
        <v/>
      </c>
      <c r="T399" s="61" t="str">
        <f aca="false">IF($B399="","",YEAR($B399))</f>
        <v/>
      </c>
    </row>
    <row r="400" customFormat="false" ht="15" hidden="false" customHeight="false" outlineLevel="0" collapsed="false">
      <c r="A400" s="53" t="str">
        <f aca="false">IF($B400="","",ROW()-5)</f>
        <v/>
      </c>
      <c r="B400" s="54"/>
      <c r="C400" s="33"/>
      <c r="D400" s="33"/>
      <c r="E400" s="33"/>
      <c r="F400" s="32"/>
      <c r="G400" s="41"/>
      <c r="H400" s="39"/>
      <c r="I400" s="43"/>
      <c r="J400" s="43"/>
      <c r="K400" s="41"/>
      <c r="L400" s="39"/>
      <c r="M400" s="41"/>
      <c r="N400" s="25" t="str">
        <f aca="false">IF(AND($B400="",$E400="",$I400="",$J400=""),"",IF(NOT(ISNUMBER($B400)),"日期无效",IF(ISNA(MATCH($C400,参数设置!$A$10:$A$12,0)),"公司无效",IF(ISNA(MATCH($D400,资金账户!$B$6:$B$25,0)),"账户未建档",IF(ISNA(MATCH($E400,记账规则!$A$13:$A$32,0)),"业务类型无效",IF(AND(N($I400)&lt;&gt;0,N($J400)&lt;&gt;0),"收入和支出只能填一列",IF($P400=0,"金额为 0",IF(AND($R400="收",N($I400)=0),"这类业务是收款，金额填到收入列",IF(AND($R400="支",N($J400)=0),"这类业务是付款，金额填到支出列",IF(AND(SUMPRODUCT(--(INDEX(记账规则!$A$13:$H$32,MATCH($E400,记账规则!$A$13:$A$32,0),0)="@对方"))&gt;0,$G400=""),"这个类型要填对方科目",IF(AND($G400&lt;&gt;"",ISNA(MATCH($G400,会计科目表!$B$6:$B$85,0))),"对方科目不存在",IF(AND($E400="缴纳税费",$H400=""),"缴税请在费用项目里选税种",IF(AND($F400&lt;&gt;"",ISNA(MATCH($F400,往来单位!$A$6:$A$85,0))),"往来单位未建档",IF(YEAR($B400)&lt;&gt;参数设置!$B$5,"不在本会计年度",IF(AND($B399&lt;&gt;"",ISNUMBER($B399),$B400&lt;$B399),"日期比上一行早，余额按行序滚，建议按日期录","OK")))))))))))))))</f>
        <v/>
      </c>
      <c r="O400" s="58" t="str">
        <f aca="false">IF($B400="","",TEXT($B400,"yyyy-mm"))</f>
        <v/>
      </c>
      <c r="P400" s="60" t="str">
        <f aca="false">IF($E400="","",ROUND(N($I400)+N($J400),2))</f>
        <v/>
      </c>
      <c r="Q400" s="58" t="str">
        <f aca="false">IF($D400="","",IFERROR(INDEX(资金账户!$F$6:$F$25,MATCH($D400,资金账户!$B$6:$B$25,0)),""))</f>
        <v/>
      </c>
      <c r="R400" s="58" t="str">
        <f aca="false">IF($E400="","",IFERROR(IF(INDEX(记账规则!$A$13:$H$32,MATCH($E400,记账规则!$A$13:$A$32,0),4)="借","收","支"),""))</f>
        <v/>
      </c>
      <c r="S400" s="57" t="str">
        <f aca="false">IF($D400="","",ROUND(SUMIFS(资金账户!$H$6:$H$25,资金账户!$B$6:$B$25,$D400)+SUMIFS($I$6:$I400,$D$6:$D400,$D400)-SUMIFS($J$6:$J400,$D$6:$D400,$D400),2))</f>
        <v/>
      </c>
      <c r="T400" s="61" t="str">
        <f aca="false">IF($B400="","",YEAR($B400))</f>
        <v/>
      </c>
    </row>
    <row r="401" customFormat="false" ht="15" hidden="false" customHeight="false" outlineLevel="0" collapsed="false">
      <c r="A401" s="53" t="str">
        <f aca="false">IF($B401="","",ROW()-5)</f>
        <v/>
      </c>
      <c r="B401" s="54"/>
      <c r="C401" s="33"/>
      <c r="D401" s="33"/>
      <c r="E401" s="33"/>
      <c r="F401" s="32"/>
      <c r="G401" s="41"/>
      <c r="H401" s="39"/>
      <c r="I401" s="43"/>
      <c r="J401" s="43"/>
      <c r="K401" s="41"/>
      <c r="L401" s="39"/>
      <c r="M401" s="41"/>
      <c r="N401" s="25" t="str">
        <f aca="false">IF(AND($B401="",$E401="",$I401="",$J401=""),"",IF(NOT(ISNUMBER($B401)),"日期无效",IF(ISNA(MATCH($C401,参数设置!$A$10:$A$12,0)),"公司无效",IF(ISNA(MATCH($D401,资金账户!$B$6:$B$25,0)),"账户未建档",IF(ISNA(MATCH($E401,记账规则!$A$13:$A$32,0)),"业务类型无效",IF(AND(N($I401)&lt;&gt;0,N($J401)&lt;&gt;0),"收入和支出只能填一列",IF($P401=0,"金额为 0",IF(AND($R401="收",N($I401)=0),"这类业务是收款，金额填到收入列",IF(AND($R401="支",N($J401)=0),"这类业务是付款，金额填到支出列",IF(AND(SUMPRODUCT(--(INDEX(记账规则!$A$13:$H$32,MATCH($E401,记账规则!$A$13:$A$32,0),0)="@对方"))&gt;0,$G401=""),"这个类型要填对方科目",IF(AND($G401&lt;&gt;"",ISNA(MATCH($G401,会计科目表!$B$6:$B$85,0))),"对方科目不存在",IF(AND($E401="缴纳税费",$H401=""),"缴税请在费用项目里选税种",IF(AND($F401&lt;&gt;"",ISNA(MATCH($F401,往来单位!$A$6:$A$85,0))),"往来单位未建档",IF(YEAR($B401)&lt;&gt;参数设置!$B$5,"不在本会计年度",IF(AND($B400&lt;&gt;"",ISNUMBER($B400),$B401&lt;$B400),"日期比上一行早，余额按行序滚，建议按日期录","OK")))))))))))))))</f>
        <v/>
      </c>
      <c r="O401" s="58" t="str">
        <f aca="false">IF($B401="","",TEXT($B401,"yyyy-mm"))</f>
        <v/>
      </c>
      <c r="P401" s="60" t="str">
        <f aca="false">IF($E401="","",ROUND(N($I401)+N($J401),2))</f>
        <v/>
      </c>
      <c r="Q401" s="58" t="str">
        <f aca="false">IF($D401="","",IFERROR(INDEX(资金账户!$F$6:$F$25,MATCH($D401,资金账户!$B$6:$B$25,0)),""))</f>
        <v/>
      </c>
      <c r="R401" s="58" t="str">
        <f aca="false">IF($E401="","",IFERROR(IF(INDEX(记账规则!$A$13:$H$32,MATCH($E401,记账规则!$A$13:$A$32,0),4)="借","收","支"),""))</f>
        <v/>
      </c>
      <c r="S401" s="57" t="str">
        <f aca="false">IF($D401="","",ROUND(SUMIFS(资金账户!$H$6:$H$25,资金账户!$B$6:$B$25,$D401)+SUMIFS($I$6:$I401,$D$6:$D401,$D401)-SUMIFS($J$6:$J401,$D$6:$D401,$D401),2))</f>
        <v/>
      </c>
      <c r="T401" s="61" t="str">
        <f aca="false">IF($B401="","",YEAR($B401))</f>
        <v/>
      </c>
    </row>
    <row r="402" customFormat="false" ht="15" hidden="false" customHeight="false" outlineLevel="0" collapsed="false">
      <c r="A402" s="53" t="str">
        <f aca="false">IF($B402="","",ROW()-5)</f>
        <v/>
      </c>
      <c r="B402" s="54"/>
      <c r="C402" s="33"/>
      <c r="D402" s="33"/>
      <c r="E402" s="33"/>
      <c r="F402" s="32"/>
      <c r="G402" s="41"/>
      <c r="H402" s="39"/>
      <c r="I402" s="43"/>
      <c r="J402" s="43"/>
      <c r="K402" s="41"/>
      <c r="L402" s="39"/>
      <c r="M402" s="41"/>
      <c r="N402" s="25" t="str">
        <f aca="false">IF(AND($B402="",$E402="",$I402="",$J402=""),"",IF(NOT(ISNUMBER($B402)),"日期无效",IF(ISNA(MATCH($C402,参数设置!$A$10:$A$12,0)),"公司无效",IF(ISNA(MATCH($D402,资金账户!$B$6:$B$25,0)),"账户未建档",IF(ISNA(MATCH($E402,记账规则!$A$13:$A$32,0)),"业务类型无效",IF(AND(N($I402)&lt;&gt;0,N($J402)&lt;&gt;0),"收入和支出只能填一列",IF($P402=0,"金额为 0",IF(AND($R402="收",N($I402)=0),"这类业务是收款，金额填到收入列",IF(AND($R402="支",N($J402)=0),"这类业务是付款，金额填到支出列",IF(AND(SUMPRODUCT(--(INDEX(记账规则!$A$13:$H$32,MATCH($E402,记账规则!$A$13:$A$32,0),0)="@对方"))&gt;0,$G402=""),"这个类型要填对方科目",IF(AND($G402&lt;&gt;"",ISNA(MATCH($G402,会计科目表!$B$6:$B$85,0))),"对方科目不存在",IF(AND($E402="缴纳税费",$H402=""),"缴税请在费用项目里选税种",IF(AND($F402&lt;&gt;"",ISNA(MATCH($F402,往来单位!$A$6:$A$85,0))),"往来单位未建档",IF(YEAR($B402)&lt;&gt;参数设置!$B$5,"不在本会计年度",IF(AND($B401&lt;&gt;"",ISNUMBER($B401),$B402&lt;$B401),"日期比上一行早，余额按行序滚，建议按日期录","OK")))))))))))))))</f>
        <v/>
      </c>
      <c r="O402" s="58" t="str">
        <f aca="false">IF($B402="","",TEXT($B402,"yyyy-mm"))</f>
        <v/>
      </c>
      <c r="P402" s="60" t="str">
        <f aca="false">IF($E402="","",ROUND(N($I402)+N($J402),2))</f>
        <v/>
      </c>
      <c r="Q402" s="58" t="str">
        <f aca="false">IF($D402="","",IFERROR(INDEX(资金账户!$F$6:$F$25,MATCH($D402,资金账户!$B$6:$B$25,0)),""))</f>
        <v/>
      </c>
      <c r="R402" s="58" t="str">
        <f aca="false">IF($E402="","",IFERROR(IF(INDEX(记账规则!$A$13:$H$32,MATCH($E402,记账规则!$A$13:$A$32,0),4)="借","收","支"),""))</f>
        <v/>
      </c>
      <c r="S402" s="57" t="str">
        <f aca="false">IF($D402="","",ROUND(SUMIFS(资金账户!$H$6:$H$25,资金账户!$B$6:$B$25,$D402)+SUMIFS($I$6:$I402,$D$6:$D402,$D402)-SUMIFS($J$6:$J402,$D$6:$D402,$D402),2))</f>
        <v/>
      </c>
      <c r="T402" s="61" t="str">
        <f aca="false">IF($B402="","",YEAR($B402))</f>
        <v/>
      </c>
    </row>
    <row r="403" customFormat="false" ht="15" hidden="false" customHeight="false" outlineLevel="0" collapsed="false">
      <c r="A403" s="53" t="str">
        <f aca="false">IF($B403="","",ROW()-5)</f>
        <v/>
      </c>
      <c r="B403" s="54"/>
      <c r="C403" s="33"/>
      <c r="D403" s="33"/>
      <c r="E403" s="33"/>
      <c r="F403" s="32"/>
      <c r="G403" s="41"/>
      <c r="H403" s="39"/>
      <c r="I403" s="43"/>
      <c r="J403" s="43"/>
      <c r="K403" s="41"/>
      <c r="L403" s="39"/>
      <c r="M403" s="41"/>
      <c r="N403" s="25" t="str">
        <f aca="false">IF(AND($B403="",$E403="",$I403="",$J403=""),"",IF(NOT(ISNUMBER($B403)),"日期无效",IF(ISNA(MATCH($C403,参数设置!$A$10:$A$12,0)),"公司无效",IF(ISNA(MATCH($D403,资金账户!$B$6:$B$25,0)),"账户未建档",IF(ISNA(MATCH($E403,记账规则!$A$13:$A$32,0)),"业务类型无效",IF(AND(N($I403)&lt;&gt;0,N($J403)&lt;&gt;0),"收入和支出只能填一列",IF($P403=0,"金额为 0",IF(AND($R403="收",N($I403)=0),"这类业务是收款，金额填到收入列",IF(AND($R403="支",N($J403)=0),"这类业务是付款，金额填到支出列",IF(AND(SUMPRODUCT(--(INDEX(记账规则!$A$13:$H$32,MATCH($E403,记账规则!$A$13:$A$32,0),0)="@对方"))&gt;0,$G403=""),"这个类型要填对方科目",IF(AND($G403&lt;&gt;"",ISNA(MATCH($G403,会计科目表!$B$6:$B$85,0))),"对方科目不存在",IF(AND($E403="缴纳税费",$H403=""),"缴税请在费用项目里选税种",IF(AND($F403&lt;&gt;"",ISNA(MATCH($F403,往来单位!$A$6:$A$85,0))),"往来单位未建档",IF(YEAR($B403)&lt;&gt;参数设置!$B$5,"不在本会计年度",IF(AND($B402&lt;&gt;"",ISNUMBER($B402),$B403&lt;$B402),"日期比上一行早，余额按行序滚，建议按日期录","OK")))))))))))))))</f>
        <v/>
      </c>
      <c r="O403" s="58" t="str">
        <f aca="false">IF($B403="","",TEXT($B403,"yyyy-mm"))</f>
        <v/>
      </c>
      <c r="P403" s="60" t="str">
        <f aca="false">IF($E403="","",ROUND(N($I403)+N($J403),2))</f>
        <v/>
      </c>
      <c r="Q403" s="58" t="str">
        <f aca="false">IF($D403="","",IFERROR(INDEX(资金账户!$F$6:$F$25,MATCH($D403,资金账户!$B$6:$B$25,0)),""))</f>
        <v/>
      </c>
      <c r="R403" s="58" t="str">
        <f aca="false">IF($E403="","",IFERROR(IF(INDEX(记账规则!$A$13:$H$32,MATCH($E403,记账规则!$A$13:$A$32,0),4)="借","收","支"),""))</f>
        <v/>
      </c>
      <c r="S403" s="57" t="str">
        <f aca="false">IF($D403="","",ROUND(SUMIFS(资金账户!$H$6:$H$25,资金账户!$B$6:$B$25,$D403)+SUMIFS($I$6:$I403,$D$6:$D403,$D403)-SUMIFS($J$6:$J403,$D$6:$D403,$D403),2))</f>
        <v/>
      </c>
      <c r="T403" s="61" t="str">
        <f aca="false">IF($B403="","",YEAR($B403))</f>
        <v/>
      </c>
    </row>
    <row r="404" customFormat="false" ht="15" hidden="false" customHeight="false" outlineLevel="0" collapsed="false">
      <c r="A404" s="53" t="str">
        <f aca="false">IF($B404="","",ROW()-5)</f>
        <v/>
      </c>
      <c r="B404" s="54"/>
      <c r="C404" s="33"/>
      <c r="D404" s="33"/>
      <c r="E404" s="33"/>
      <c r="F404" s="32"/>
      <c r="G404" s="41"/>
      <c r="H404" s="39"/>
      <c r="I404" s="43"/>
      <c r="J404" s="43"/>
      <c r="K404" s="41"/>
      <c r="L404" s="39"/>
      <c r="M404" s="41"/>
      <c r="N404" s="25" t="str">
        <f aca="false">IF(AND($B404="",$E404="",$I404="",$J404=""),"",IF(NOT(ISNUMBER($B404)),"日期无效",IF(ISNA(MATCH($C404,参数设置!$A$10:$A$12,0)),"公司无效",IF(ISNA(MATCH($D404,资金账户!$B$6:$B$25,0)),"账户未建档",IF(ISNA(MATCH($E404,记账规则!$A$13:$A$32,0)),"业务类型无效",IF(AND(N($I404)&lt;&gt;0,N($J404)&lt;&gt;0),"收入和支出只能填一列",IF($P404=0,"金额为 0",IF(AND($R404="收",N($I404)=0),"这类业务是收款，金额填到收入列",IF(AND($R404="支",N($J404)=0),"这类业务是付款，金额填到支出列",IF(AND(SUMPRODUCT(--(INDEX(记账规则!$A$13:$H$32,MATCH($E404,记账规则!$A$13:$A$32,0),0)="@对方"))&gt;0,$G404=""),"这个类型要填对方科目",IF(AND($G404&lt;&gt;"",ISNA(MATCH($G404,会计科目表!$B$6:$B$85,0))),"对方科目不存在",IF(AND($E404="缴纳税费",$H404=""),"缴税请在费用项目里选税种",IF(AND($F404&lt;&gt;"",ISNA(MATCH($F404,往来单位!$A$6:$A$85,0))),"往来单位未建档",IF(YEAR($B404)&lt;&gt;参数设置!$B$5,"不在本会计年度",IF(AND($B403&lt;&gt;"",ISNUMBER($B403),$B404&lt;$B403),"日期比上一行早，余额按行序滚，建议按日期录","OK")))))))))))))))</f>
        <v/>
      </c>
      <c r="O404" s="58" t="str">
        <f aca="false">IF($B404="","",TEXT($B404,"yyyy-mm"))</f>
        <v/>
      </c>
      <c r="P404" s="60" t="str">
        <f aca="false">IF($E404="","",ROUND(N($I404)+N($J404),2))</f>
        <v/>
      </c>
      <c r="Q404" s="58" t="str">
        <f aca="false">IF($D404="","",IFERROR(INDEX(资金账户!$F$6:$F$25,MATCH($D404,资金账户!$B$6:$B$25,0)),""))</f>
        <v/>
      </c>
      <c r="R404" s="58" t="str">
        <f aca="false">IF($E404="","",IFERROR(IF(INDEX(记账规则!$A$13:$H$32,MATCH($E404,记账规则!$A$13:$A$32,0),4)="借","收","支"),""))</f>
        <v/>
      </c>
      <c r="S404" s="57" t="str">
        <f aca="false">IF($D404="","",ROUND(SUMIFS(资金账户!$H$6:$H$25,资金账户!$B$6:$B$25,$D404)+SUMIFS($I$6:$I404,$D$6:$D404,$D404)-SUMIFS($J$6:$J404,$D$6:$D404,$D404),2))</f>
        <v/>
      </c>
      <c r="T404" s="61" t="str">
        <f aca="false">IF($B404="","",YEAR($B404))</f>
        <v/>
      </c>
    </row>
    <row r="405" customFormat="false" ht="15" hidden="false" customHeight="false" outlineLevel="0" collapsed="false">
      <c r="A405" s="53" t="str">
        <f aca="false">IF($B405="","",ROW()-5)</f>
        <v/>
      </c>
      <c r="B405" s="54"/>
      <c r="C405" s="33"/>
      <c r="D405" s="33"/>
      <c r="E405" s="33"/>
      <c r="F405" s="32"/>
      <c r="G405" s="41"/>
      <c r="H405" s="39"/>
      <c r="I405" s="43"/>
      <c r="J405" s="43"/>
      <c r="K405" s="41"/>
      <c r="L405" s="39"/>
      <c r="M405" s="41"/>
      <c r="N405" s="25" t="str">
        <f aca="false">IF(AND($B405="",$E405="",$I405="",$J405=""),"",IF(NOT(ISNUMBER($B405)),"日期无效",IF(ISNA(MATCH($C405,参数设置!$A$10:$A$12,0)),"公司无效",IF(ISNA(MATCH($D405,资金账户!$B$6:$B$25,0)),"账户未建档",IF(ISNA(MATCH($E405,记账规则!$A$13:$A$32,0)),"业务类型无效",IF(AND(N($I405)&lt;&gt;0,N($J405)&lt;&gt;0),"收入和支出只能填一列",IF($P405=0,"金额为 0",IF(AND($R405="收",N($I405)=0),"这类业务是收款，金额填到收入列",IF(AND($R405="支",N($J405)=0),"这类业务是付款，金额填到支出列",IF(AND(SUMPRODUCT(--(INDEX(记账规则!$A$13:$H$32,MATCH($E405,记账规则!$A$13:$A$32,0),0)="@对方"))&gt;0,$G405=""),"这个类型要填对方科目",IF(AND($G405&lt;&gt;"",ISNA(MATCH($G405,会计科目表!$B$6:$B$85,0))),"对方科目不存在",IF(AND($E405="缴纳税费",$H405=""),"缴税请在费用项目里选税种",IF(AND($F405&lt;&gt;"",ISNA(MATCH($F405,往来单位!$A$6:$A$85,0))),"往来单位未建档",IF(YEAR($B405)&lt;&gt;参数设置!$B$5,"不在本会计年度",IF(AND($B404&lt;&gt;"",ISNUMBER($B404),$B405&lt;$B404),"日期比上一行早，余额按行序滚，建议按日期录","OK")))))))))))))))</f>
        <v/>
      </c>
      <c r="O405" s="58" t="str">
        <f aca="false">IF($B405="","",TEXT($B405,"yyyy-mm"))</f>
        <v/>
      </c>
      <c r="P405" s="60" t="str">
        <f aca="false">IF($E405="","",ROUND(N($I405)+N($J405),2))</f>
        <v/>
      </c>
      <c r="Q405" s="58" t="str">
        <f aca="false">IF($D405="","",IFERROR(INDEX(资金账户!$F$6:$F$25,MATCH($D405,资金账户!$B$6:$B$25,0)),""))</f>
        <v/>
      </c>
      <c r="R405" s="58" t="str">
        <f aca="false">IF($E405="","",IFERROR(IF(INDEX(记账规则!$A$13:$H$32,MATCH($E405,记账规则!$A$13:$A$32,0),4)="借","收","支"),""))</f>
        <v/>
      </c>
      <c r="S405" s="57" t="str">
        <f aca="false">IF($D405="","",ROUND(SUMIFS(资金账户!$H$6:$H$25,资金账户!$B$6:$B$25,$D405)+SUMIFS($I$6:$I405,$D$6:$D405,$D405)-SUMIFS($J$6:$J405,$D$6:$D405,$D405),2))</f>
        <v/>
      </c>
      <c r="T405" s="61" t="str">
        <f aca="false">IF($B405="","",YEAR($B405))</f>
        <v/>
      </c>
    </row>
    <row r="406" customFormat="false" ht="15" hidden="false" customHeight="false" outlineLevel="0" collapsed="false">
      <c r="A406" s="53" t="str">
        <f aca="false">IF($B406="","",ROW()-5)</f>
        <v/>
      </c>
      <c r="B406" s="54"/>
      <c r="C406" s="33"/>
      <c r="D406" s="33"/>
      <c r="E406" s="33"/>
      <c r="F406" s="32"/>
      <c r="G406" s="41"/>
      <c r="H406" s="39"/>
      <c r="I406" s="43"/>
      <c r="J406" s="43"/>
      <c r="K406" s="41"/>
      <c r="L406" s="39"/>
      <c r="M406" s="41"/>
      <c r="N406" s="25" t="str">
        <f aca="false">IF(AND($B406="",$E406="",$I406="",$J406=""),"",IF(NOT(ISNUMBER($B406)),"日期无效",IF(ISNA(MATCH($C406,参数设置!$A$10:$A$12,0)),"公司无效",IF(ISNA(MATCH($D406,资金账户!$B$6:$B$25,0)),"账户未建档",IF(ISNA(MATCH($E406,记账规则!$A$13:$A$32,0)),"业务类型无效",IF(AND(N($I406)&lt;&gt;0,N($J406)&lt;&gt;0),"收入和支出只能填一列",IF($P406=0,"金额为 0",IF(AND($R406="收",N($I406)=0),"这类业务是收款，金额填到收入列",IF(AND($R406="支",N($J406)=0),"这类业务是付款，金额填到支出列",IF(AND(SUMPRODUCT(--(INDEX(记账规则!$A$13:$H$32,MATCH($E406,记账规则!$A$13:$A$32,0),0)="@对方"))&gt;0,$G406=""),"这个类型要填对方科目",IF(AND($G406&lt;&gt;"",ISNA(MATCH($G406,会计科目表!$B$6:$B$85,0))),"对方科目不存在",IF(AND($E406="缴纳税费",$H406=""),"缴税请在费用项目里选税种",IF(AND($F406&lt;&gt;"",ISNA(MATCH($F406,往来单位!$A$6:$A$85,0))),"往来单位未建档",IF(YEAR($B406)&lt;&gt;参数设置!$B$5,"不在本会计年度",IF(AND($B405&lt;&gt;"",ISNUMBER($B405),$B406&lt;$B405),"日期比上一行早，余额按行序滚，建议按日期录","OK")))))))))))))))</f>
        <v/>
      </c>
      <c r="O406" s="58" t="str">
        <f aca="false">IF($B406="","",TEXT($B406,"yyyy-mm"))</f>
        <v/>
      </c>
      <c r="P406" s="60" t="str">
        <f aca="false">IF($E406="","",ROUND(N($I406)+N($J406),2))</f>
        <v/>
      </c>
      <c r="Q406" s="58" t="str">
        <f aca="false">IF($D406="","",IFERROR(INDEX(资金账户!$F$6:$F$25,MATCH($D406,资金账户!$B$6:$B$25,0)),""))</f>
        <v/>
      </c>
      <c r="R406" s="58" t="str">
        <f aca="false">IF($E406="","",IFERROR(IF(INDEX(记账规则!$A$13:$H$32,MATCH($E406,记账规则!$A$13:$A$32,0),4)="借","收","支"),""))</f>
        <v/>
      </c>
      <c r="S406" s="57" t="str">
        <f aca="false">IF($D406="","",ROUND(SUMIFS(资金账户!$H$6:$H$25,资金账户!$B$6:$B$25,$D406)+SUMIFS($I$6:$I406,$D$6:$D406,$D406)-SUMIFS($J$6:$J406,$D$6:$D406,$D406),2))</f>
        <v/>
      </c>
      <c r="T406" s="61" t="str">
        <f aca="false">IF($B406="","",YEAR($B406))</f>
        <v/>
      </c>
    </row>
    <row r="407" customFormat="false" ht="15" hidden="false" customHeight="false" outlineLevel="0" collapsed="false">
      <c r="A407" s="53" t="str">
        <f aca="false">IF($B407="","",ROW()-5)</f>
        <v/>
      </c>
      <c r="B407" s="54"/>
      <c r="C407" s="33"/>
      <c r="D407" s="33"/>
      <c r="E407" s="33"/>
      <c r="F407" s="32"/>
      <c r="G407" s="41"/>
      <c r="H407" s="39"/>
      <c r="I407" s="43"/>
      <c r="J407" s="43"/>
      <c r="K407" s="41"/>
      <c r="L407" s="39"/>
      <c r="M407" s="41"/>
      <c r="N407" s="25" t="str">
        <f aca="false">IF(AND($B407="",$E407="",$I407="",$J407=""),"",IF(NOT(ISNUMBER($B407)),"日期无效",IF(ISNA(MATCH($C407,参数设置!$A$10:$A$12,0)),"公司无效",IF(ISNA(MATCH($D407,资金账户!$B$6:$B$25,0)),"账户未建档",IF(ISNA(MATCH($E407,记账规则!$A$13:$A$32,0)),"业务类型无效",IF(AND(N($I407)&lt;&gt;0,N($J407)&lt;&gt;0),"收入和支出只能填一列",IF($P407=0,"金额为 0",IF(AND($R407="收",N($I407)=0),"这类业务是收款，金额填到收入列",IF(AND($R407="支",N($J407)=0),"这类业务是付款，金额填到支出列",IF(AND(SUMPRODUCT(--(INDEX(记账规则!$A$13:$H$32,MATCH($E407,记账规则!$A$13:$A$32,0),0)="@对方"))&gt;0,$G407=""),"这个类型要填对方科目",IF(AND($G407&lt;&gt;"",ISNA(MATCH($G407,会计科目表!$B$6:$B$85,0))),"对方科目不存在",IF(AND($E407="缴纳税费",$H407=""),"缴税请在费用项目里选税种",IF(AND($F407&lt;&gt;"",ISNA(MATCH($F407,往来单位!$A$6:$A$85,0))),"往来单位未建档",IF(YEAR($B407)&lt;&gt;参数设置!$B$5,"不在本会计年度",IF(AND($B406&lt;&gt;"",ISNUMBER($B406),$B407&lt;$B406),"日期比上一行早，余额按行序滚，建议按日期录","OK")))))))))))))))</f>
        <v/>
      </c>
      <c r="O407" s="58" t="str">
        <f aca="false">IF($B407="","",TEXT($B407,"yyyy-mm"))</f>
        <v/>
      </c>
      <c r="P407" s="60" t="str">
        <f aca="false">IF($E407="","",ROUND(N($I407)+N($J407),2))</f>
        <v/>
      </c>
      <c r="Q407" s="58" t="str">
        <f aca="false">IF($D407="","",IFERROR(INDEX(资金账户!$F$6:$F$25,MATCH($D407,资金账户!$B$6:$B$25,0)),""))</f>
        <v/>
      </c>
      <c r="R407" s="58" t="str">
        <f aca="false">IF($E407="","",IFERROR(IF(INDEX(记账规则!$A$13:$H$32,MATCH($E407,记账规则!$A$13:$A$32,0),4)="借","收","支"),""))</f>
        <v/>
      </c>
      <c r="S407" s="57" t="str">
        <f aca="false">IF($D407="","",ROUND(SUMIFS(资金账户!$H$6:$H$25,资金账户!$B$6:$B$25,$D407)+SUMIFS($I$6:$I407,$D$6:$D407,$D407)-SUMIFS($J$6:$J407,$D$6:$D407,$D407),2))</f>
        <v/>
      </c>
      <c r="T407" s="61" t="str">
        <f aca="false">IF($B407="","",YEAR($B407))</f>
        <v/>
      </c>
    </row>
    <row r="408" customFormat="false" ht="15" hidden="false" customHeight="false" outlineLevel="0" collapsed="false">
      <c r="A408" s="53" t="str">
        <f aca="false">IF($B408="","",ROW()-5)</f>
        <v/>
      </c>
      <c r="B408" s="54"/>
      <c r="C408" s="33"/>
      <c r="D408" s="33"/>
      <c r="E408" s="33"/>
      <c r="F408" s="32"/>
      <c r="G408" s="41"/>
      <c r="H408" s="39"/>
      <c r="I408" s="43"/>
      <c r="J408" s="43"/>
      <c r="K408" s="41"/>
      <c r="L408" s="39"/>
      <c r="M408" s="41"/>
      <c r="N408" s="25" t="str">
        <f aca="false">IF(AND($B408="",$E408="",$I408="",$J408=""),"",IF(NOT(ISNUMBER($B408)),"日期无效",IF(ISNA(MATCH($C408,参数设置!$A$10:$A$12,0)),"公司无效",IF(ISNA(MATCH($D408,资金账户!$B$6:$B$25,0)),"账户未建档",IF(ISNA(MATCH($E408,记账规则!$A$13:$A$32,0)),"业务类型无效",IF(AND(N($I408)&lt;&gt;0,N($J408)&lt;&gt;0),"收入和支出只能填一列",IF($P408=0,"金额为 0",IF(AND($R408="收",N($I408)=0),"这类业务是收款，金额填到收入列",IF(AND($R408="支",N($J408)=0),"这类业务是付款，金额填到支出列",IF(AND(SUMPRODUCT(--(INDEX(记账规则!$A$13:$H$32,MATCH($E408,记账规则!$A$13:$A$32,0),0)="@对方"))&gt;0,$G408=""),"这个类型要填对方科目",IF(AND($G408&lt;&gt;"",ISNA(MATCH($G408,会计科目表!$B$6:$B$85,0))),"对方科目不存在",IF(AND($E408="缴纳税费",$H408=""),"缴税请在费用项目里选税种",IF(AND($F408&lt;&gt;"",ISNA(MATCH($F408,往来单位!$A$6:$A$85,0))),"往来单位未建档",IF(YEAR($B408)&lt;&gt;参数设置!$B$5,"不在本会计年度",IF(AND($B407&lt;&gt;"",ISNUMBER($B407),$B408&lt;$B407),"日期比上一行早，余额按行序滚，建议按日期录","OK")))))))))))))))</f>
        <v/>
      </c>
      <c r="O408" s="58" t="str">
        <f aca="false">IF($B408="","",TEXT($B408,"yyyy-mm"))</f>
        <v/>
      </c>
      <c r="P408" s="60" t="str">
        <f aca="false">IF($E408="","",ROUND(N($I408)+N($J408),2))</f>
        <v/>
      </c>
      <c r="Q408" s="58" t="str">
        <f aca="false">IF($D408="","",IFERROR(INDEX(资金账户!$F$6:$F$25,MATCH($D408,资金账户!$B$6:$B$25,0)),""))</f>
        <v/>
      </c>
      <c r="R408" s="58" t="str">
        <f aca="false">IF($E408="","",IFERROR(IF(INDEX(记账规则!$A$13:$H$32,MATCH($E408,记账规则!$A$13:$A$32,0),4)="借","收","支"),""))</f>
        <v/>
      </c>
      <c r="S408" s="57" t="str">
        <f aca="false">IF($D408="","",ROUND(SUMIFS(资金账户!$H$6:$H$25,资金账户!$B$6:$B$25,$D408)+SUMIFS($I$6:$I408,$D$6:$D408,$D408)-SUMIFS($J$6:$J408,$D$6:$D408,$D408),2))</f>
        <v/>
      </c>
      <c r="T408" s="61" t="str">
        <f aca="false">IF($B408="","",YEAR($B408))</f>
        <v/>
      </c>
    </row>
    <row r="409" customFormat="false" ht="15" hidden="false" customHeight="false" outlineLevel="0" collapsed="false">
      <c r="A409" s="53" t="str">
        <f aca="false">IF($B409="","",ROW()-5)</f>
        <v/>
      </c>
      <c r="B409" s="54"/>
      <c r="C409" s="33"/>
      <c r="D409" s="33"/>
      <c r="E409" s="33"/>
      <c r="F409" s="32"/>
      <c r="G409" s="41"/>
      <c r="H409" s="39"/>
      <c r="I409" s="43"/>
      <c r="J409" s="43"/>
      <c r="K409" s="41"/>
      <c r="L409" s="39"/>
      <c r="M409" s="41"/>
      <c r="N409" s="25" t="str">
        <f aca="false">IF(AND($B409="",$E409="",$I409="",$J409=""),"",IF(NOT(ISNUMBER($B409)),"日期无效",IF(ISNA(MATCH($C409,参数设置!$A$10:$A$12,0)),"公司无效",IF(ISNA(MATCH($D409,资金账户!$B$6:$B$25,0)),"账户未建档",IF(ISNA(MATCH($E409,记账规则!$A$13:$A$32,0)),"业务类型无效",IF(AND(N($I409)&lt;&gt;0,N($J409)&lt;&gt;0),"收入和支出只能填一列",IF($P409=0,"金额为 0",IF(AND($R409="收",N($I409)=0),"这类业务是收款，金额填到收入列",IF(AND($R409="支",N($J409)=0),"这类业务是付款，金额填到支出列",IF(AND(SUMPRODUCT(--(INDEX(记账规则!$A$13:$H$32,MATCH($E409,记账规则!$A$13:$A$32,0),0)="@对方"))&gt;0,$G409=""),"这个类型要填对方科目",IF(AND($G409&lt;&gt;"",ISNA(MATCH($G409,会计科目表!$B$6:$B$85,0))),"对方科目不存在",IF(AND($E409="缴纳税费",$H409=""),"缴税请在费用项目里选税种",IF(AND($F409&lt;&gt;"",ISNA(MATCH($F409,往来单位!$A$6:$A$85,0))),"往来单位未建档",IF(YEAR($B409)&lt;&gt;参数设置!$B$5,"不在本会计年度",IF(AND($B408&lt;&gt;"",ISNUMBER($B408),$B409&lt;$B408),"日期比上一行早，余额按行序滚，建议按日期录","OK")))))))))))))))</f>
        <v/>
      </c>
      <c r="O409" s="58" t="str">
        <f aca="false">IF($B409="","",TEXT($B409,"yyyy-mm"))</f>
        <v/>
      </c>
      <c r="P409" s="60" t="str">
        <f aca="false">IF($E409="","",ROUND(N($I409)+N($J409),2))</f>
        <v/>
      </c>
      <c r="Q409" s="58" t="str">
        <f aca="false">IF($D409="","",IFERROR(INDEX(资金账户!$F$6:$F$25,MATCH($D409,资金账户!$B$6:$B$25,0)),""))</f>
        <v/>
      </c>
      <c r="R409" s="58" t="str">
        <f aca="false">IF($E409="","",IFERROR(IF(INDEX(记账规则!$A$13:$H$32,MATCH($E409,记账规则!$A$13:$A$32,0),4)="借","收","支"),""))</f>
        <v/>
      </c>
      <c r="S409" s="57" t="str">
        <f aca="false">IF($D409="","",ROUND(SUMIFS(资金账户!$H$6:$H$25,资金账户!$B$6:$B$25,$D409)+SUMIFS($I$6:$I409,$D$6:$D409,$D409)-SUMIFS($J$6:$J409,$D$6:$D409,$D409),2))</f>
        <v/>
      </c>
      <c r="T409" s="61" t="str">
        <f aca="false">IF($B409="","",YEAR($B409))</f>
        <v/>
      </c>
    </row>
    <row r="410" customFormat="false" ht="15" hidden="false" customHeight="false" outlineLevel="0" collapsed="false">
      <c r="A410" s="53" t="str">
        <f aca="false">IF($B410="","",ROW()-5)</f>
        <v/>
      </c>
      <c r="B410" s="54"/>
      <c r="C410" s="33"/>
      <c r="D410" s="33"/>
      <c r="E410" s="33"/>
      <c r="F410" s="32"/>
      <c r="G410" s="41"/>
      <c r="H410" s="39"/>
      <c r="I410" s="43"/>
      <c r="J410" s="43"/>
      <c r="K410" s="41"/>
      <c r="L410" s="39"/>
      <c r="M410" s="41"/>
      <c r="N410" s="25" t="str">
        <f aca="false">IF(AND($B410="",$E410="",$I410="",$J410=""),"",IF(NOT(ISNUMBER($B410)),"日期无效",IF(ISNA(MATCH($C410,参数设置!$A$10:$A$12,0)),"公司无效",IF(ISNA(MATCH($D410,资金账户!$B$6:$B$25,0)),"账户未建档",IF(ISNA(MATCH($E410,记账规则!$A$13:$A$32,0)),"业务类型无效",IF(AND(N($I410)&lt;&gt;0,N($J410)&lt;&gt;0),"收入和支出只能填一列",IF($P410=0,"金额为 0",IF(AND($R410="收",N($I410)=0),"这类业务是收款，金额填到收入列",IF(AND($R410="支",N($J410)=0),"这类业务是付款，金额填到支出列",IF(AND(SUMPRODUCT(--(INDEX(记账规则!$A$13:$H$32,MATCH($E410,记账规则!$A$13:$A$32,0),0)="@对方"))&gt;0,$G410=""),"这个类型要填对方科目",IF(AND($G410&lt;&gt;"",ISNA(MATCH($G410,会计科目表!$B$6:$B$85,0))),"对方科目不存在",IF(AND($E410="缴纳税费",$H410=""),"缴税请在费用项目里选税种",IF(AND($F410&lt;&gt;"",ISNA(MATCH($F410,往来单位!$A$6:$A$85,0))),"往来单位未建档",IF(YEAR($B410)&lt;&gt;参数设置!$B$5,"不在本会计年度",IF(AND($B409&lt;&gt;"",ISNUMBER($B409),$B410&lt;$B409),"日期比上一行早，余额按行序滚，建议按日期录","OK")))))))))))))))</f>
        <v/>
      </c>
      <c r="O410" s="58" t="str">
        <f aca="false">IF($B410="","",TEXT($B410,"yyyy-mm"))</f>
        <v/>
      </c>
      <c r="P410" s="60" t="str">
        <f aca="false">IF($E410="","",ROUND(N($I410)+N($J410),2))</f>
        <v/>
      </c>
      <c r="Q410" s="58" t="str">
        <f aca="false">IF($D410="","",IFERROR(INDEX(资金账户!$F$6:$F$25,MATCH($D410,资金账户!$B$6:$B$25,0)),""))</f>
        <v/>
      </c>
      <c r="R410" s="58" t="str">
        <f aca="false">IF($E410="","",IFERROR(IF(INDEX(记账规则!$A$13:$H$32,MATCH($E410,记账规则!$A$13:$A$32,0),4)="借","收","支"),""))</f>
        <v/>
      </c>
      <c r="S410" s="57" t="str">
        <f aca="false">IF($D410="","",ROUND(SUMIFS(资金账户!$H$6:$H$25,资金账户!$B$6:$B$25,$D410)+SUMIFS($I$6:$I410,$D$6:$D410,$D410)-SUMIFS($J$6:$J410,$D$6:$D410,$D410),2))</f>
        <v/>
      </c>
      <c r="T410" s="61" t="str">
        <f aca="false">IF($B410="","",YEAR($B410))</f>
        <v/>
      </c>
    </row>
    <row r="411" customFormat="false" ht="15" hidden="false" customHeight="false" outlineLevel="0" collapsed="false">
      <c r="A411" s="53" t="str">
        <f aca="false">IF($B411="","",ROW()-5)</f>
        <v/>
      </c>
      <c r="B411" s="54"/>
      <c r="C411" s="33"/>
      <c r="D411" s="33"/>
      <c r="E411" s="33"/>
      <c r="F411" s="32"/>
      <c r="G411" s="41"/>
      <c r="H411" s="39"/>
      <c r="I411" s="43"/>
      <c r="J411" s="43"/>
      <c r="K411" s="41"/>
      <c r="L411" s="39"/>
      <c r="M411" s="41"/>
      <c r="N411" s="25" t="str">
        <f aca="false">IF(AND($B411="",$E411="",$I411="",$J411=""),"",IF(NOT(ISNUMBER($B411)),"日期无效",IF(ISNA(MATCH($C411,参数设置!$A$10:$A$12,0)),"公司无效",IF(ISNA(MATCH($D411,资金账户!$B$6:$B$25,0)),"账户未建档",IF(ISNA(MATCH($E411,记账规则!$A$13:$A$32,0)),"业务类型无效",IF(AND(N($I411)&lt;&gt;0,N($J411)&lt;&gt;0),"收入和支出只能填一列",IF($P411=0,"金额为 0",IF(AND($R411="收",N($I411)=0),"这类业务是收款，金额填到收入列",IF(AND($R411="支",N($J411)=0),"这类业务是付款，金额填到支出列",IF(AND(SUMPRODUCT(--(INDEX(记账规则!$A$13:$H$32,MATCH($E411,记账规则!$A$13:$A$32,0),0)="@对方"))&gt;0,$G411=""),"这个类型要填对方科目",IF(AND($G411&lt;&gt;"",ISNA(MATCH($G411,会计科目表!$B$6:$B$85,0))),"对方科目不存在",IF(AND($E411="缴纳税费",$H411=""),"缴税请在费用项目里选税种",IF(AND($F411&lt;&gt;"",ISNA(MATCH($F411,往来单位!$A$6:$A$85,0))),"往来单位未建档",IF(YEAR($B411)&lt;&gt;参数设置!$B$5,"不在本会计年度",IF(AND($B410&lt;&gt;"",ISNUMBER($B410),$B411&lt;$B410),"日期比上一行早，余额按行序滚，建议按日期录","OK")))))))))))))))</f>
        <v/>
      </c>
      <c r="O411" s="58" t="str">
        <f aca="false">IF($B411="","",TEXT($B411,"yyyy-mm"))</f>
        <v/>
      </c>
      <c r="P411" s="60" t="str">
        <f aca="false">IF($E411="","",ROUND(N($I411)+N($J411),2))</f>
        <v/>
      </c>
      <c r="Q411" s="58" t="str">
        <f aca="false">IF($D411="","",IFERROR(INDEX(资金账户!$F$6:$F$25,MATCH($D411,资金账户!$B$6:$B$25,0)),""))</f>
        <v/>
      </c>
      <c r="R411" s="58" t="str">
        <f aca="false">IF($E411="","",IFERROR(IF(INDEX(记账规则!$A$13:$H$32,MATCH($E411,记账规则!$A$13:$A$32,0),4)="借","收","支"),""))</f>
        <v/>
      </c>
      <c r="S411" s="57" t="str">
        <f aca="false">IF($D411="","",ROUND(SUMIFS(资金账户!$H$6:$H$25,资金账户!$B$6:$B$25,$D411)+SUMIFS($I$6:$I411,$D$6:$D411,$D411)-SUMIFS($J$6:$J411,$D$6:$D411,$D411),2))</f>
        <v/>
      </c>
      <c r="T411" s="61" t="str">
        <f aca="false">IF($B411="","",YEAR($B411))</f>
        <v/>
      </c>
    </row>
    <row r="412" customFormat="false" ht="15" hidden="false" customHeight="false" outlineLevel="0" collapsed="false">
      <c r="A412" s="53" t="str">
        <f aca="false">IF($B412="","",ROW()-5)</f>
        <v/>
      </c>
      <c r="B412" s="54"/>
      <c r="C412" s="33"/>
      <c r="D412" s="33"/>
      <c r="E412" s="33"/>
      <c r="F412" s="32"/>
      <c r="G412" s="41"/>
      <c r="H412" s="39"/>
      <c r="I412" s="43"/>
      <c r="J412" s="43"/>
      <c r="K412" s="41"/>
      <c r="L412" s="39"/>
      <c r="M412" s="41"/>
      <c r="N412" s="25" t="str">
        <f aca="false">IF(AND($B412="",$E412="",$I412="",$J412=""),"",IF(NOT(ISNUMBER($B412)),"日期无效",IF(ISNA(MATCH($C412,参数设置!$A$10:$A$12,0)),"公司无效",IF(ISNA(MATCH($D412,资金账户!$B$6:$B$25,0)),"账户未建档",IF(ISNA(MATCH($E412,记账规则!$A$13:$A$32,0)),"业务类型无效",IF(AND(N($I412)&lt;&gt;0,N($J412)&lt;&gt;0),"收入和支出只能填一列",IF($P412=0,"金额为 0",IF(AND($R412="收",N($I412)=0),"这类业务是收款，金额填到收入列",IF(AND($R412="支",N($J412)=0),"这类业务是付款，金额填到支出列",IF(AND(SUMPRODUCT(--(INDEX(记账规则!$A$13:$H$32,MATCH($E412,记账规则!$A$13:$A$32,0),0)="@对方"))&gt;0,$G412=""),"这个类型要填对方科目",IF(AND($G412&lt;&gt;"",ISNA(MATCH($G412,会计科目表!$B$6:$B$85,0))),"对方科目不存在",IF(AND($E412="缴纳税费",$H412=""),"缴税请在费用项目里选税种",IF(AND($F412&lt;&gt;"",ISNA(MATCH($F412,往来单位!$A$6:$A$85,0))),"往来单位未建档",IF(YEAR($B412)&lt;&gt;参数设置!$B$5,"不在本会计年度",IF(AND($B411&lt;&gt;"",ISNUMBER($B411),$B412&lt;$B411),"日期比上一行早，余额按行序滚，建议按日期录","OK")))))))))))))))</f>
        <v/>
      </c>
      <c r="O412" s="58" t="str">
        <f aca="false">IF($B412="","",TEXT($B412,"yyyy-mm"))</f>
        <v/>
      </c>
      <c r="P412" s="60" t="str">
        <f aca="false">IF($E412="","",ROUND(N($I412)+N($J412),2))</f>
        <v/>
      </c>
      <c r="Q412" s="58" t="str">
        <f aca="false">IF($D412="","",IFERROR(INDEX(资金账户!$F$6:$F$25,MATCH($D412,资金账户!$B$6:$B$25,0)),""))</f>
        <v/>
      </c>
      <c r="R412" s="58" t="str">
        <f aca="false">IF($E412="","",IFERROR(IF(INDEX(记账规则!$A$13:$H$32,MATCH($E412,记账规则!$A$13:$A$32,0),4)="借","收","支"),""))</f>
        <v/>
      </c>
      <c r="S412" s="57" t="str">
        <f aca="false">IF($D412="","",ROUND(SUMIFS(资金账户!$H$6:$H$25,资金账户!$B$6:$B$25,$D412)+SUMIFS($I$6:$I412,$D$6:$D412,$D412)-SUMIFS($J$6:$J412,$D$6:$D412,$D412),2))</f>
        <v/>
      </c>
      <c r="T412" s="61" t="str">
        <f aca="false">IF($B412="","",YEAR($B412))</f>
        <v/>
      </c>
    </row>
    <row r="413" customFormat="false" ht="15" hidden="false" customHeight="false" outlineLevel="0" collapsed="false">
      <c r="A413" s="53" t="str">
        <f aca="false">IF($B413="","",ROW()-5)</f>
        <v/>
      </c>
      <c r="B413" s="54"/>
      <c r="C413" s="33"/>
      <c r="D413" s="33"/>
      <c r="E413" s="33"/>
      <c r="F413" s="32"/>
      <c r="G413" s="41"/>
      <c r="H413" s="39"/>
      <c r="I413" s="43"/>
      <c r="J413" s="43"/>
      <c r="K413" s="41"/>
      <c r="L413" s="39"/>
      <c r="M413" s="41"/>
      <c r="N413" s="25" t="str">
        <f aca="false">IF(AND($B413="",$E413="",$I413="",$J413=""),"",IF(NOT(ISNUMBER($B413)),"日期无效",IF(ISNA(MATCH($C413,参数设置!$A$10:$A$12,0)),"公司无效",IF(ISNA(MATCH($D413,资金账户!$B$6:$B$25,0)),"账户未建档",IF(ISNA(MATCH($E413,记账规则!$A$13:$A$32,0)),"业务类型无效",IF(AND(N($I413)&lt;&gt;0,N($J413)&lt;&gt;0),"收入和支出只能填一列",IF($P413=0,"金额为 0",IF(AND($R413="收",N($I413)=0),"这类业务是收款，金额填到收入列",IF(AND($R413="支",N($J413)=0),"这类业务是付款，金额填到支出列",IF(AND(SUMPRODUCT(--(INDEX(记账规则!$A$13:$H$32,MATCH($E413,记账规则!$A$13:$A$32,0),0)="@对方"))&gt;0,$G413=""),"这个类型要填对方科目",IF(AND($G413&lt;&gt;"",ISNA(MATCH($G413,会计科目表!$B$6:$B$85,0))),"对方科目不存在",IF(AND($E413="缴纳税费",$H413=""),"缴税请在费用项目里选税种",IF(AND($F413&lt;&gt;"",ISNA(MATCH($F413,往来单位!$A$6:$A$85,0))),"往来单位未建档",IF(YEAR($B413)&lt;&gt;参数设置!$B$5,"不在本会计年度",IF(AND($B412&lt;&gt;"",ISNUMBER($B412),$B413&lt;$B412),"日期比上一行早，余额按行序滚，建议按日期录","OK")))))))))))))))</f>
        <v/>
      </c>
      <c r="O413" s="58" t="str">
        <f aca="false">IF($B413="","",TEXT($B413,"yyyy-mm"))</f>
        <v/>
      </c>
      <c r="P413" s="60" t="str">
        <f aca="false">IF($E413="","",ROUND(N($I413)+N($J413),2))</f>
        <v/>
      </c>
      <c r="Q413" s="58" t="str">
        <f aca="false">IF($D413="","",IFERROR(INDEX(资金账户!$F$6:$F$25,MATCH($D413,资金账户!$B$6:$B$25,0)),""))</f>
        <v/>
      </c>
      <c r="R413" s="58" t="str">
        <f aca="false">IF($E413="","",IFERROR(IF(INDEX(记账规则!$A$13:$H$32,MATCH($E413,记账规则!$A$13:$A$32,0),4)="借","收","支"),""))</f>
        <v/>
      </c>
      <c r="S413" s="57" t="str">
        <f aca="false">IF($D413="","",ROUND(SUMIFS(资金账户!$H$6:$H$25,资金账户!$B$6:$B$25,$D413)+SUMIFS($I$6:$I413,$D$6:$D413,$D413)-SUMIFS($J$6:$J413,$D$6:$D413,$D413),2))</f>
        <v/>
      </c>
      <c r="T413" s="61" t="str">
        <f aca="false">IF($B413="","",YEAR($B413))</f>
        <v/>
      </c>
    </row>
    <row r="414" customFormat="false" ht="15" hidden="false" customHeight="false" outlineLevel="0" collapsed="false">
      <c r="A414" s="53" t="str">
        <f aca="false">IF($B414="","",ROW()-5)</f>
        <v/>
      </c>
      <c r="B414" s="54"/>
      <c r="C414" s="33"/>
      <c r="D414" s="33"/>
      <c r="E414" s="33"/>
      <c r="F414" s="32"/>
      <c r="G414" s="41"/>
      <c r="H414" s="39"/>
      <c r="I414" s="43"/>
      <c r="J414" s="43"/>
      <c r="K414" s="41"/>
      <c r="L414" s="39"/>
      <c r="M414" s="41"/>
      <c r="N414" s="25" t="str">
        <f aca="false">IF(AND($B414="",$E414="",$I414="",$J414=""),"",IF(NOT(ISNUMBER($B414)),"日期无效",IF(ISNA(MATCH($C414,参数设置!$A$10:$A$12,0)),"公司无效",IF(ISNA(MATCH($D414,资金账户!$B$6:$B$25,0)),"账户未建档",IF(ISNA(MATCH($E414,记账规则!$A$13:$A$32,0)),"业务类型无效",IF(AND(N($I414)&lt;&gt;0,N($J414)&lt;&gt;0),"收入和支出只能填一列",IF($P414=0,"金额为 0",IF(AND($R414="收",N($I414)=0),"这类业务是收款，金额填到收入列",IF(AND($R414="支",N($J414)=0),"这类业务是付款，金额填到支出列",IF(AND(SUMPRODUCT(--(INDEX(记账规则!$A$13:$H$32,MATCH($E414,记账规则!$A$13:$A$32,0),0)="@对方"))&gt;0,$G414=""),"这个类型要填对方科目",IF(AND($G414&lt;&gt;"",ISNA(MATCH($G414,会计科目表!$B$6:$B$85,0))),"对方科目不存在",IF(AND($E414="缴纳税费",$H414=""),"缴税请在费用项目里选税种",IF(AND($F414&lt;&gt;"",ISNA(MATCH($F414,往来单位!$A$6:$A$85,0))),"往来单位未建档",IF(YEAR($B414)&lt;&gt;参数设置!$B$5,"不在本会计年度",IF(AND($B413&lt;&gt;"",ISNUMBER($B413),$B414&lt;$B413),"日期比上一行早，余额按行序滚，建议按日期录","OK")))))))))))))))</f>
        <v/>
      </c>
      <c r="O414" s="58" t="str">
        <f aca="false">IF($B414="","",TEXT($B414,"yyyy-mm"))</f>
        <v/>
      </c>
      <c r="P414" s="60" t="str">
        <f aca="false">IF($E414="","",ROUND(N($I414)+N($J414),2))</f>
        <v/>
      </c>
      <c r="Q414" s="58" t="str">
        <f aca="false">IF($D414="","",IFERROR(INDEX(资金账户!$F$6:$F$25,MATCH($D414,资金账户!$B$6:$B$25,0)),""))</f>
        <v/>
      </c>
      <c r="R414" s="58" t="str">
        <f aca="false">IF($E414="","",IFERROR(IF(INDEX(记账规则!$A$13:$H$32,MATCH($E414,记账规则!$A$13:$A$32,0),4)="借","收","支"),""))</f>
        <v/>
      </c>
      <c r="S414" s="57" t="str">
        <f aca="false">IF($D414="","",ROUND(SUMIFS(资金账户!$H$6:$H$25,资金账户!$B$6:$B$25,$D414)+SUMIFS($I$6:$I414,$D$6:$D414,$D414)-SUMIFS($J$6:$J414,$D$6:$D414,$D414),2))</f>
        <v/>
      </c>
      <c r="T414" s="61" t="str">
        <f aca="false">IF($B414="","",YEAR($B414))</f>
        <v/>
      </c>
    </row>
    <row r="415" customFormat="false" ht="15" hidden="false" customHeight="false" outlineLevel="0" collapsed="false">
      <c r="A415" s="53" t="str">
        <f aca="false">IF($B415="","",ROW()-5)</f>
        <v/>
      </c>
      <c r="B415" s="54"/>
      <c r="C415" s="33"/>
      <c r="D415" s="33"/>
      <c r="E415" s="33"/>
      <c r="F415" s="32"/>
      <c r="G415" s="41"/>
      <c r="H415" s="39"/>
      <c r="I415" s="43"/>
      <c r="J415" s="43"/>
      <c r="K415" s="41"/>
      <c r="L415" s="39"/>
      <c r="M415" s="41"/>
      <c r="N415" s="25" t="str">
        <f aca="false">IF(AND($B415="",$E415="",$I415="",$J415=""),"",IF(NOT(ISNUMBER($B415)),"日期无效",IF(ISNA(MATCH($C415,参数设置!$A$10:$A$12,0)),"公司无效",IF(ISNA(MATCH($D415,资金账户!$B$6:$B$25,0)),"账户未建档",IF(ISNA(MATCH($E415,记账规则!$A$13:$A$32,0)),"业务类型无效",IF(AND(N($I415)&lt;&gt;0,N($J415)&lt;&gt;0),"收入和支出只能填一列",IF($P415=0,"金额为 0",IF(AND($R415="收",N($I415)=0),"这类业务是收款，金额填到收入列",IF(AND($R415="支",N($J415)=0),"这类业务是付款，金额填到支出列",IF(AND(SUMPRODUCT(--(INDEX(记账规则!$A$13:$H$32,MATCH($E415,记账规则!$A$13:$A$32,0),0)="@对方"))&gt;0,$G415=""),"这个类型要填对方科目",IF(AND($G415&lt;&gt;"",ISNA(MATCH($G415,会计科目表!$B$6:$B$85,0))),"对方科目不存在",IF(AND($E415="缴纳税费",$H415=""),"缴税请在费用项目里选税种",IF(AND($F415&lt;&gt;"",ISNA(MATCH($F415,往来单位!$A$6:$A$85,0))),"往来单位未建档",IF(YEAR($B415)&lt;&gt;参数设置!$B$5,"不在本会计年度",IF(AND($B414&lt;&gt;"",ISNUMBER($B414),$B415&lt;$B414),"日期比上一行早，余额按行序滚，建议按日期录","OK")))))))))))))))</f>
        <v/>
      </c>
      <c r="O415" s="58" t="str">
        <f aca="false">IF($B415="","",TEXT($B415,"yyyy-mm"))</f>
        <v/>
      </c>
      <c r="P415" s="60" t="str">
        <f aca="false">IF($E415="","",ROUND(N($I415)+N($J415),2))</f>
        <v/>
      </c>
      <c r="Q415" s="58" t="str">
        <f aca="false">IF($D415="","",IFERROR(INDEX(资金账户!$F$6:$F$25,MATCH($D415,资金账户!$B$6:$B$25,0)),""))</f>
        <v/>
      </c>
      <c r="R415" s="58" t="str">
        <f aca="false">IF($E415="","",IFERROR(IF(INDEX(记账规则!$A$13:$H$32,MATCH($E415,记账规则!$A$13:$A$32,0),4)="借","收","支"),""))</f>
        <v/>
      </c>
      <c r="S415" s="57" t="str">
        <f aca="false">IF($D415="","",ROUND(SUMIFS(资金账户!$H$6:$H$25,资金账户!$B$6:$B$25,$D415)+SUMIFS($I$6:$I415,$D$6:$D415,$D415)-SUMIFS($J$6:$J415,$D$6:$D415,$D415),2))</f>
        <v/>
      </c>
      <c r="T415" s="61" t="str">
        <f aca="false">IF($B415="","",YEAR($B415))</f>
        <v/>
      </c>
    </row>
    <row r="416" customFormat="false" ht="15" hidden="false" customHeight="false" outlineLevel="0" collapsed="false">
      <c r="A416" s="53" t="str">
        <f aca="false">IF($B416="","",ROW()-5)</f>
        <v/>
      </c>
      <c r="B416" s="54"/>
      <c r="C416" s="33"/>
      <c r="D416" s="33"/>
      <c r="E416" s="33"/>
      <c r="F416" s="32"/>
      <c r="G416" s="41"/>
      <c r="H416" s="39"/>
      <c r="I416" s="43"/>
      <c r="J416" s="43"/>
      <c r="K416" s="41"/>
      <c r="L416" s="39"/>
      <c r="M416" s="41"/>
      <c r="N416" s="25" t="str">
        <f aca="false">IF(AND($B416="",$E416="",$I416="",$J416=""),"",IF(NOT(ISNUMBER($B416)),"日期无效",IF(ISNA(MATCH($C416,参数设置!$A$10:$A$12,0)),"公司无效",IF(ISNA(MATCH($D416,资金账户!$B$6:$B$25,0)),"账户未建档",IF(ISNA(MATCH($E416,记账规则!$A$13:$A$32,0)),"业务类型无效",IF(AND(N($I416)&lt;&gt;0,N($J416)&lt;&gt;0),"收入和支出只能填一列",IF($P416=0,"金额为 0",IF(AND($R416="收",N($I416)=0),"这类业务是收款，金额填到收入列",IF(AND($R416="支",N($J416)=0),"这类业务是付款，金额填到支出列",IF(AND(SUMPRODUCT(--(INDEX(记账规则!$A$13:$H$32,MATCH($E416,记账规则!$A$13:$A$32,0),0)="@对方"))&gt;0,$G416=""),"这个类型要填对方科目",IF(AND($G416&lt;&gt;"",ISNA(MATCH($G416,会计科目表!$B$6:$B$85,0))),"对方科目不存在",IF(AND($E416="缴纳税费",$H416=""),"缴税请在费用项目里选税种",IF(AND($F416&lt;&gt;"",ISNA(MATCH($F416,往来单位!$A$6:$A$85,0))),"往来单位未建档",IF(YEAR($B416)&lt;&gt;参数设置!$B$5,"不在本会计年度",IF(AND($B415&lt;&gt;"",ISNUMBER($B415),$B416&lt;$B415),"日期比上一行早，余额按行序滚，建议按日期录","OK")))))))))))))))</f>
        <v/>
      </c>
      <c r="O416" s="58" t="str">
        <f aca="false">IF($B416="","",TEXT($B416,"yyyy-mm"))</f>
        <v/>
      </c>
      <c r="P416" s="60" t="str">
        <f aca="false">IF($E416="","",ROUND(N($I416)+N($J416),2))</f>
        <v/>
      </c>
      <c r="Q416" s="58" t="str">
        <f aca="false">IF($D416="","",IFERROR(INDEX(资金账户!$F$6:$F$25,MATCH($D416,资金账户!$B$6:$B$25,0)),""))</f>
        <v/>
      </c>
      <c r="R416" s="58" t="str">
        <f aca="false">IF($E416="","",IFERROR(IF(INDEX(记账规则!$A$13:$H$32,MATCH($E416,记账规则!$A$13:$A$32,0),4)="借","收","支"),""))</f>
        <v/>
      </c>
      <c r="S416" s="57" t="str">
        <f aca="false">IF($D416="","",ROUND(SUMIFS(资金账户!$H$6:$H$25,资金账户!$B$6:$B$25,$D416)+SUMIFS($I$6:$I416,$D$6:$D416,$D416)-SUMIFS($J$6:$J416,$D$6:$D416,$D416),2))</f>
        <v/>
      </c>
      <c r="T416" s="61" t="str">
        <f aca="false">IF($B416="","",YEAR($B416))</f>
        <v/>
      </c>
    </row>
    <row r="417" customFormat="false" ht="15" hidden="false" customHeight="false" outlineLevel="0" collapsed="false">
      <c r="A417" s="53" t="str">
        <f aca="false">IF($B417="","",ROW()-5)</f>
        <v/>
      </c>
      <c r="B417" s="54"/>
      <c r="C417" s="33"/>
      <c r="D417" s="33"/>
      <c r="E417" s="33"/>
      <c r="F417" s="32"/>
      <c r="G417" s="41"/>
      <c r="H417" s="39"/>
      <c r="I417" s="43"/>
      <c r="J417" s="43"/>
      <c r="K417" s="41"/>
      <c r="L417" s="39"/>
      <c r="M417" s="41"/>
      <c r="N417" s="25" t="str">
        <f aca="false">IF(AND($B417="",$E417="",$I417="",$J417=""),"",IF(NOT(ISNUMBER($B417)),"日期无效",IF(ISNA(MATCH($C417,参数设置!$A$10:$A$12,0)),"公司无效",IF(ISNA(MATCH($D417,资金账户!$B$6:$B$25,0)),"账户未建档",IF(ISNA(MATCH($E417,记账规则!$A$13:$A$32,0)),"业务类型无效",IF(AND(N($I417)&lt;&gt;0,N($J417)&lt;&gt;0),"收入和支出只能填一列",IF($P417=0,"金额为 0",IF(AND($R417="收",N($I417)=0),"这类业务是收款，金额填到收入列",IF(AND($R417="支",N($J417)=0),"这类业务是付款，金额填到支出列",IF(AND(SUMPRODUCT(--(INDEX(记账规则!$A$13:$H$32,MATCH($E417,记账规则!$A$13:$A$32,0),0)="@对方"))&gt;0,$G417=""),"这个类型要填对方科目",IF(AND($G417&lt;&gt;"",ISNA(MATCH($G417,会计科目表!$B$6:$B$85,0))),"对方科目不存在",IF(AND($E417="缴纳税费",$H417=""),"缴税请在费用项目里选税种",IF(AND($F417&lt;&gt;"",ISNA(MATCH($F417,往来单位!$A$6:$A$85,0))),"往来单位未建档",IF(YEAR($B417)&lt;&gt;参数设置!$B$5,"不在本会计年度",IF(AND($B416&lt;&gt;"",ISNUMBER($B416),$B417&lt;$B416),"日期比上一行早，余额按行序滚，建议按日期录","OK")))))))))))))))</f>
        <v/>
      </c>
      <c r="O417" s="58" t="str">
        <f aca="false">IF($B417="","",TEXT($B417,"yyyy-mm"))</f>
        <v/>
      </c>
      <c r="P417" s="60" t="str">
        <f aca="false">IF($E417="","",ROUND(N($I417)+N($J417),2))</f>
        <v/>
      </c>
      <c r="Q417" s="58" t="str">
        <f aca="false">IF($D417="","",IFERROR(INDEX(资金账户!$F$6:$F$25,MATCH($D417,资金账户!$B$6:$B$25,0)),""))</f>
        <v/>
      </c>
      <c r="R417" s="58" t="str">
        <f aca="false">IF($E417="","",IFERROR(IF(INDEX(记账规则!$A$13:$H$32,MATCH($E417,记账规则!$A$13:$A$32,0),4)="借","收","支"),""))</f>
        <v/>
      </c>
      <c r="S417" s="57" t="str">
        <f aca="false">IF($D417="","",ROUND(SUMIFS(资金账户!$H$6:$H$25,资金账户!$B$6:$B$25,$D417)+SUMIFS($I$6:$I417,$D$6:$D417,$D417)-SUMIFS($J$6:$J417,$D$6:$D417,$D417),2))</f>
        <v/>
      </c>
      <c r="T417" s="61" t="str">
        <f aca="false">IF($B417="","",YEAR($B417))</f>
        <v/>
      </c>
    </row>
    <row r="418" customFormat="false" ht="15" hidden="false" customHeight="false" outlineLevel="0" collapsed="false">
      <c r="A418" s="53" t="str">
        <f aca="false">IF($B418="","",ROW()-5)</f>
        <v/>
      </c>
      <c r="B418" s="54"/>
      <c r="C418" s="33"/>
      <c r="D418" s="33"/>
      <c r="E418" s="33"/>
      <c r="F418" s="32"/>
      <c r="G418" s="41"/>
      <c r="H418" s="39"/>
      <c r="I418" s="43"/>
      <c r="J418" s="43"/>
      <c r="K418" s="41"/>
      <c r="L418" s="39"/>
      <c r="M418" s="41"/>
      <c r="N418" s="25" t="str">
        <f aca="false">IF(AND($B418="",$E418="",$I418="",$J418=""),"",IF(NOT(ISNUMBER($B418)),"日期无效",IF(ISNA(MATCH($C418,参数设置!$A$10:$A$12,0)),"公司无效",IF(ISNA(MATCH($D418,资金账户!$B$6:$B$25,0)),"账户未建档",IF(ISNA(MATCH($E418,记账规则!$A$13:$A$32,0)),"业务类型无效",IF(AND(N($I418)&lt;&gt;0,N($J418)&lt;&gt;0),"收入和支出只能填一列",IF($P418=0,"金额为 0",IF(AND($R418="收",N($I418)=0),"这类业务是收款，金额填到收入列",IF(AND($R418="支",N($J418)=0),"这类业务是付款，金额填到支出列",IF(AND(SUMPRODUCT(--(INDEX(记账规则!$A$13:$H$32,MATCH($E418,记账规则!$A$13:$A$32,0),0)="@对方"))&gt;0,$G418=""),"这个类型要填对方科目",IF(AND($G418&lt;&gt;"",ISNA(MATCH($G418,会计科目表!$B$6:$B$85,0))),"对方科目不存在",IF(AND($E418="缴纳税费",$H418=""),"缴税请在费用项目里选税种",IF(AND($F418&lt;&gt;"",ISNA(MATCH($F418,往来单位!$A$6:$A$85,0))),"往来单位未建档",IF(YEAR($B418)&lt;&gt;参数设置!$B$5,"不在本会计年度",IF(AND($B417&lt;&gt;"",ISNUMBER($B417),$B418&lt;$B417),"日期比上一行早，余额按行序滚，建议按日期录","OK")))))))))))))))</f>
        <v/>
      </c>
      <c r="O418" s="58" t="str">
        <f aca="false">IF($B418="","",TEXT($B418,"yyyy-mm"))</f>
        <v/>
      </c>
      <c r="P418" s="60" t="str">
        <f aca="false">IF($E418="","",ROUND(N($I418)+N($J418),2))</f>
        <v/>
      </c>
      <c r="Q418" s="58" t="str">
        <f aca="false">IF($D418="","",IFERROR(INDEX(资金账户!$F$6:$F$25,MATCH($D418,资金账户!$B$6:$B$25,0)),""))</f>
        <v/>
      </c>
      <c r="R418" s="58" t="str">
        <f aca="false">IF($E418="","",IFERROR(IF(INDEX(记账规则!$A$13:$H$32,MATCH($E418,记账规则!$A$13:$A$32,0),4)="借","收","支"),""))</f>
        <v/>
      </c>
      <c r="S418" s="57" t="str">
        <f aca="false">IF($D418="","",ROUND(SUMIFS(资金账户!$H$6:$H$25,资金账户!$B$6:$B$25,$D418)+SUMIFS($I$6:$I418,$D$6:$D418,$D418)-SUMIFS($J$6:$J418,$D$6:$D418,$D418),2))</f>
        <v/>
      </c>
      <c r="T418" s="61" t="str">
        <f aca="false">IF($B418="","",YEAR($B418))</f>
        <v/>
      </c>
    </row>
    <row r="419" customFormat="false" ht="15" hidden="false" customHeight="false" outlineLevel="0" collapsed="false">
      <c r="A419" s="53" t="str">
        <f aca="false">IF($B419="","",ROW()-5)</f>
        <v/>
      </c>
      <c r="B419" s="54"/>
      <c r="C419" s="33"/>
      <c r="D419" s="33"/>
      <c r="E419" s="33"/>
      <c r="F419" s="32"/>
      <c r="G419" s="41"/>
      <c r="H419" s="39"/>
      <c r="I419" s="43"/>
      <c r="J419" s="43"/>
      <c r="K419" s="41"/>
      <c r="L419" s="39"/>
      <c r="M419" s="41"/>
      <c r="N419" s="25" t="str">
        <f aca="false">IF(AND($B419="",$E419="",$I419="",$J419=""),"",IF(NOT(ISNUMBER($B419)),"日期无效",IF(ISNA(MATCH($C419,参数设置!$A$10:$A$12,0)),"公司无效",IF(ISNA(MATCH($D419,资金账户!$B$6:$B$25,0)),"账户未建档",IF(ISNA(MATCH($E419,记账规则!$A$13:$A$32,0)),"业务类型无效",IF(AND(N($I419)&lt;&gt;0,N($J419)&lt;&gt;0),"收入和支出只能填一列",IF($P419=0,"金额为 0",IF(AND($R419="收",N($I419)=0),"这类业务是收款，金额填到收入列",IF(AND($R419="支",N($J419)=0),"这类业务是付款，金额填到支出列",IF(AND(SUMPRODUCT(--(INDEX(记账规则!$A$13:$H$32,MATCH($E419,记账规则!$A$13:$A$32,0),0)="@对方"))&gt;0,$G419=""),"这个类型要填对方科目",IF(AND($G419&lt;&gt;"",ISNA(MATCH($G419,会计科目表!$B$6:$B$85,0))),"对方科目不存在",IF(AND($E419="缴纳税费",$H419=""),"缴税请在费用项目里选税种",IF(AND($F419&lt;&gt;"",ISNA(MATCH($F419,往来单位!$A$6:$A$85,0))),"往来单位未建档",IF(YEAR($B419)&lt;&gt;参数设置!$B$5,"不在本会计年度",IF(AND($B418&lt;&gt;"",ISNUMBER($B418),$B419&lt;$B418),"日期比上一行早，余额按行序滚，建议按日期录","OK")))))))))))))))</f>
        <v/>
      </c>
      <c r="O419" s="58" t="str">
        <f aca="false">IF($B419="","",TEXT($B419,"yyyy-mm"))</f>
        <v/>
      </c>
      <c r="P419" s="60" t="str">
        <f aca="false">IF($E419="","",ROUND(N($I419)+N($J419),2))</f>
        <v/>
      </c>
      <c r="Q419" s="58" t="str">
        <f aca="false">IF($D419="","",IFERROR(INDEX(资金账户!$F$6:$F$25,MATCH($D419,资金账户!$B$6:$B$25,0)),""))</f>
        <v/>
      </c>
      <c r="R419" s="58" t="str">
        <f aca="false">IF($E419="","",IFERROR(IF(INDEX(记账规则!$A$13:$H$32,MATCH($E419,记账规则!$A$13:$A$32,0),4)="借","收","支"),""))</f>
        <v/>
      </c>
      <c r="S419" s="57" t="str">
        <f aca="false">IF($D419="","",ROUND(SUMIFS(资金账户!$H$6:$H$25,资金账户!$B$6:$B$25,$D419)+SUMIFS($I$6:$I419,$D$6:$D419,$D419)-SUMIFS($J$6:$J419,$D$6:$D419,$D419),2))</f>
        <v/>
      </c>
      <c r="T419" s="61" t="str">
        <f aca="false">IF($B419="","",YEAR($B419))</f>
        <v/>
      </c>
    </row>
    <row r="420" customFormat="false" ht="15" hidden="false" customHeight="false" outlineLevel="0" collapsed="false">
      <c r="A420" s="53" t="str">
        <f aca="false">IF($B420="","",ROW()-5)</f>
        <v/>
      </c>
      <c r="B420" s="54"/>
      <c r="C420" s="33"/>
      <c r="D420" s="33"/>
      <c r="E420" s="33"/>
      <c r="F420" s="32"/>
      <c r="G420" s="41"/>
      <c r="H420" s="39"/>
      <c r="I420" s="43"/>
      <c r="J420" s="43"/>
      <c r="K420" s="41"/>
      <c r="L420" s="39"/>
      <c r="M420" s="41"/>
      <c r="N420" s="25" t="str">
        <f aca="false">IF(AND($B420="",$E420="",$I420="",$J420=""),"",IF(NOT(ISNUMBER($B420)),"日期无效",IF(ISNA(MATCH($C420,参数设置!$A$10:$A$12,0)),"公司无效",IF(ISNA(MATCH($D420,资金账户!$B$6:$B$25,0)),"账户未建档",IF(ISNA(MATCH($E420,记账规则!$A$13:$A$32,0)),"业务类型无效",IF(AND(N($I420)&lt;&gt;0,N($J420)&lt;&gt;0),"收入和支出只能填一列",IF($P420=0,"金额为 0",IF(AND($R420="收",N($I420)=0),"这类业务是收款，金额填到收入列",IF(AND($R420="支",N($J420)=0),"这类业务是付款，金额填到支出列",IF(AND(SUMPRODUCT(--(INDEX(记账规则!$A$13:$H$32,MATCH($E420,记账规则!$A$13:$A$32,0),0)="@对方"))&gt;0,$G420=""),"这个类型要填对方科目",IF(AND($G420&lt;&gt;"",ISNA(MATCH($G420,会计科目表!$B$6:$B$85,0))),"对方科目不存在",IF(AND($E420="缴纳税费",$H420=""),"缴税请在费用项目里选税种",IF(AND($F420&lt;&gt;"",ISNA(MATCH($F420,往来单位!$A$6:$A$85,0))),"往来单位未建档",IF(YEAR($B420)&lt;&gt;参数设置!$B$5,"不在本会计年度",IF(AND($B419&lt;&gt;"",ISNUMBER($B419),$B420&lt;$B419),"日期比上一行早，余额按行序滚，建议按日期录","OK")))))))))))))))</f>
        <v/>
      </c>
      <c r="O420" s="58" t="str">
        <f aca="false">IF($B420="","",TEXT($B420,"yyyy-mm"))</f>
        <v/>
      </c>
      <c r="P420" s="60" t="str">
        <f aca="false">IF($E420="","",ROUND(N($I420)+N($J420),2))</f>
        <v/>
      </c>
      <c r="Q420" s="58" t="str">
        <f aca="false">IF($D420="","",IFERROR(INDEX(资金账户!$F$6:$F$25,MATCH($D420,资金账户!$B$6:$B$25,0)),""))</f>
        <v/>
      </c>
      <c r="R420" s="58" t="str">
        <f aca="false">IF($E420="","",IFERROR(IF(INDEX(记账规则!$A$13:$H$32,MATCH($E420,记账规则!$A$13:$A$32,0),4)="借","收","支"),""))</f>
        <v/>
      </c>
      <c r="S420" s="57" t="str">
        <f aca="false">IF($D420="","",ROUND(SUMIFS(资金账户!$H$6:$H$25,资金账户!$B$6:$B$25,$D420)+SUMIFS($I$6:$I420,$D$6:$D420,$D420)-SUMIFS($J$6:$J420,$D$6:$D420,$D420),2))</f>
        <v/>
      </c>
      <c r="T420" s="61" t="str">
        <f aca="false">IF($B420="","",YEAR($B420))</f>
        <v/>
      </c>
    </row>
    <row r="421" customFormat="false" ht="15" hidden="false" customHeight="false" outlineLevel="0" collapsed="false">
      <c r="A421" s="53" t="str">
        <f aca="false">IF($B421="","",ROW()-5)</f>
        <v/>
      </c>
      <c r="B421" s="54"/>
      <c r="C421" s="33"/>
      <c r="D421" s="33"/>
      <c r="E421" s="33"/>
      <c r="F421" s="32"/>
      <c r="G421" s="41"/>
      <c r="H421" s="39"/>
      <c r="I421" s="43"/>
      <c r="J421" s="43"/>
      <c r="K421" s="41"/>
      <c r="L421" s="39"/>
      <c r="M421" s="41"/>
      <c r="N421" s="25" t="str">
        <f aca="false">IF(AND($B421="",$E421="",$I421="",$J421=""),"",IF(NOT(ISNUMBER($B421)),"日期无效",IF(ISNA(MATCH($C421,参数设置!$A$10:$A$12,0)),"公司无效",IF(ISNA(MATCH($D421,资金账户!$B$6:$B$25,0)),"账户未建档",IF(ISNA(MATCH($E421,记账规则!$A$13:$A$32,0)),"业务类型无效",IF(AND(N($I421)&lt;&gt;0,N($J421)&lt;&gt;0),"收入和支出只能填一列",IF($P421=0,"金额为 0",IF(AND($R421="收",N($I421)=0),"这类业务是收款，金额填到收入列",IF(AND($R421="支",N($J421)=0),"这类业务是付款，金额填到支出列",IF(AND(SUMPRODUCT(--(INDEX(记账规则!$A$13:$H$32,MATCH($E421,记账规则!$A$13:$A$32,0),0)="@对方"))&gt;0,$G421=""),"这个类型要填对方科目",IF(AND($G421&lt;&gt;"",ISNA(MATCH($G421,会计科目表!$B$6:$B$85,0))),"对方科目不存在",IF(AND($E421="缴纳税费",$H421=""),"缴税请在费用项目里选税种",IF(AND($F421&lt;&gt;"",ISNA(MATCH($F421,往来单位!$A$6:$A$85,0))),"往来单位未建档",IF(YEAR($B421)&lt;&gt;参数设置!$B$5,"不在本会计年度",IF(AND($B420&lt;&gt;"",ISNUMBER($B420),$B421&lt;$B420),"日期比上一行早，余额按行序滚，建议按日期录","OK")))))))))))))))</f>
        <v/>
      </c>
      <c r="O421" s="58" t="str">
        <f aca="false">IF($B421="","",TEXT($B421,"yyyy-mm"))</f>
        <v/>
      </c>
      <c r="P421" s="60" t="str">
        <f aca="false">IF($E421="","",ROUND(N($I421)+N($J421),2))</f>
        <v/>
      </c>
      <c r="Q421" s="58" t="str">
        <f aca="false">IF($D421="","",IFERROR(INDEX(资金账户!$F$6:$F$25,MATCH($D421,资金账户!$B$6:$B$25,0)),""))</f>
        <v/>
      </c>
      <c r="R421" s="58" t="str">
        <f aca="false">IF($E421="","",IFERROR(IF(INDEX(记账规则!$A$13:$H$32,MATCH($E421,记账规则!$A$13:$A$32,0),4)="借","收","支"),""))</f>
        <v/>
      </c>
      <c r="S421" s="57" t="str">
        <f aca="false">IF($D421="","",ROUND(SUMIFS(资金账户!$H$6:$H$25,资金账户!$B$6:$B$25,$D421)+SUMIFS($I$6:$I421,$D$6:$D421,$D421)-SUMIFS($J$6:$J421,$D$6:$D421,$D421),2))</f>
        <v/>
      </c>
      <c r="T421" s="61" t="str">
        <f aca="false">IF($B421="","",YEAR($B421))</f>
        <v/>
      </c>
    </row>
    <row r="422" customFormat="false" ht="15" hidden="false" customHeight="false" outlineLevel="0" collapsed="false">
      <c r="A422" s="53" t="str">
        <f aca="false">IF($B422="","",ROW()-5)</f>
        <v/>
      </c>
      <c r="B422" s="54"/>
      <c r="C422" s="33"/>
      <c r="D422" s="33"/>
      <c r="E422" s="33"/>
      <c r="F422" s="32"/>
      <c r="G422" s="41"/>
      <c r="H422" s="39"/>
      <c r="I422" s="43"/>
      <c r="J422" s="43"/>
      <c r="K422" s="41"/>
      <c r="L422" s="39"/>
      <c r="M422" s="41"/>
      <c r="N422" s="25" t="str">
        <f aca="false">IF(AND($B422="",$E422="",$I422="",$J422=""),"",IF(NOT(ISNUMBER($B422)),"日期无效",IF(ISNA(MATCH($C422,参数设置!$A$10:$A$12,0)),"公司无效",IF(ISNA(MATCH($D422,资金账户!$B$6:$B$25,0)),"账户未建档",IF(ISNA(MATCH($E422,记账规则!$A$13:$A$32,0)),"业务类型无效",IF(AND(N($I422)&lt;&gt;0,N($J422)&lt;&gt;0),"收入和支出只能填一列",IF($P422=0,"金额为 0",IF(AND($R422="收",N($I422)=0),"这类业务是收款，金额填到收入列",IF(AND($R422="支",N($J422)=0),"这类业务是付款，金额填到支出列",IF(AND(SUMPRODUCT(--(INDEX(记账规则!$A$13:$H$32,MATCH($E422,记账规则!$A$13:$A$32,0),0)="@对方"))&gt;0,$G422=""),"这个类型要填对方科目",IF(AND($G422&lt;&gt;"",ISNA(MATCH($G422,会计科目表!$B$6:$B$85,0))),"对方科目不存在",IF(AND($E422="缴纳税费",$H422=""),"缴税请在费用项目里选税种",IF(AND($F422&lt;&gt;"",ISNA(MATCH($F422,往来单位!$A$6:$A$85,0))),"往来单位未建档",IF(YEAR($B422)&lt;&gt;参数设置!$B$5,"不在本会计年度",IF(AND($B421&lt;&gt;"",ISNUMBER($B421),$B422&lt;$B421),"日期比上一行早，余额按行序滚，建议按日期录","OK")))))))))))))))</f>
        <v/>
      </c>
      <c r="O422" s="58" t="str">
        <f aca="false">IF($B422="","",TEXT($B422,"yyyy-mm"))</f>
        <v/>
      </c>
      <c r="P422" s="60" t="str">
        <f aca="false">IF($E422="","",ROUND(N($I422)+N($J422),2))</f>
        <v/>
      </c>
      <c r="Q422" s="58" t="str">
        <f aca="false">IF($D422="","",IFERROR(INDEX(资金账户!$F$6:$F$25,MATCH($D422,资金账户!$B$6:$B$25,0)),""))</f>
        <v/>
      </c>
      <c r="R422" s="58" t="str">
        <f aca="false">IF($E422="","",IFERROR(IF(INDEX(记账规则!$A$13:$H$32,MATCH($E422,记账规则!$A$13:$A$32,0),4)="借","收","支"),""))</f>
        <v/>
      </c>
      <c r="S422" s="57" t="str">
        <f aca="false">IF($D422="","",ROUND(SUMIFS(资金账户!$H$6:$H$25,资金账户!$B$6:$B$25,$D422)+SUMIFS($I$6:$I422,$D$6:$D422,$D422)-SUMIFS($J$6:$J422,$D$6:$D422,$D422),2))</f>
        <v/>
      </c>
      <c r="T422" s="61" t="str">
        <f aca="false">IF($B422="","",YEAR($B422))</f>
        <v/>
      </c>
    </row>
    <row r="423" customFormat="false" ht="15" hidden="false" customHeight="false" outlineLevel="0" collapsed="false">
      <c r="A423" s="53" t="str">
        <f aca="false">IF($B423="","",ROW()-5)</f>
        <v/>
      </c>
      <c r="B423" s="54"/>
      <c r="C423" s="33"/>
      <c r="D423" s="33"/>
      <c r="E423" s="33"/>
      <c r="F423" s="32"/>
      <c r="G423" s="41"/>
      <c r="H423" s="39"/>
      <c r="I423" s="43"/>
      <c r="J423" s="43"/>
      <c r="K423" s="41"/>
      <c r="L423" s="39"/>
      <c r="M423" s="41"/>
      <c r="N423" s="25" t="str">
        <f aca="false">IF(AND($B423="",$E423="",$I423="",$J423=""),"",IF(NOT(ISNUMBER($B423)),"日期无效",IF(ISNA(MATCH($C423,参数设置!$A$10:$A$12,0)),"公司无效",IF(ISNA(MATCH($D423,资金账户!$B$6:$B$25,0)),"账户未建档",IF(ISNA(MATCH($E423,记账规则!$A$13:$A$32,0)),"业务类型无效",IF(AND(N($I423)&lt;&gt;0,N($J423)&lt;&gt;0),"收入和支出只能填一列",IF($P423=0,"金额为 0",IF(AND($R423="收",N($I423)=0),"这类业务是收款，金额填到收入列",IF(AND($R423="支",N($J423)=0),"这类业务是付款，金额填到支出列",IF(AND(SUMPRODUCT(--(INDEX(记账规则!$A$13:$H$32,MATCH($E423,记账规则!$A$13:$A$32,0),0)="@对方"))&gt;0,$G423=""),"这个类型要填对方科目",IF(AND($G423&lt;&gt;"",ISNA(MATCH($G423,会计科目表!$B$6:$B$85,0))),"对方科目不存在",IF(AND($E423="缴纳税费",$H423=""),"缴税请在费用项目里选税种",IF(AND($F423&lt;&gt;"",ISNA(MATCH($F423,往来单位!$A$6:$A$85,0))),"往来单位未建档",IF(YEAR($B423)&lt;&gt;参数设置!$B$5,"不在本会计年度",IF(AND($B422&lt;&gt;"",ISNUMBER($B422),$B423&lt;$B422),"日期比上一行早，余额按行序滚，建议按日期录","OK")))))))))))))))</f>
        <v/>
      </c>
      <c r="O423" s="58" t="str">
        <f aca="false">IF($B423="","",TEXT($B423,"yyyy-mm"))</f>
        <v/>
      </c>
      <c r="P423" s="60" t="str">
        <f aca="false">IF($E423="","",ROUND(N($I423)+N($J423),2))</f>
        <v/>
      </c>
      <c r="Q423" s="58" t="str">
        <f aca="false">IF($D423="","",IFERROR(INDEX(资金账户!$F$6:$F$25,MATCH($D423,资金账户!$B$6:$B$25,0)),""))</f>
        <v/>
      </c>
      <c r="R423" s="58" t="str">
        <f aca="false">IF($E423="","",IFERROR(IF(INDEX(记账规则!$A$13:$H$32,MATCH($E423,记账规则!$A$13:$A$32,0),4)="借","收","支"),""))</f>
        <v/>
      </c>
      <c r="S423" s="57" t="str">
        <f aca="false">IF($D423="","",ROUND(SUMIFS(资金账户!$H$6:$H$25,资金账户!$B$6:$B$25,$D423)+SUMIFS($I$6:$I423,$D$6:$D423,$D423)-SUMIFS($J$6:$J423,$D$6:$D423,$D423),2))</f>
        <v/>
      </c>
      <c r="T423" s="61" t="str">
        <f aca="false">IF($B423="","",YEAR($B423))</f>
        <v/>
      </c>
    </row>
    <row r="424" customFormat="false" ht="15" hidden="false" customHeight="false" outlineLevel="0" collapsed="false">
      <c r="A424" s="53" t="str">
        <f aca="false">IF($B424="","",ROW()-5)</f>
        <v/>
      </c>
      <c r="B424" s="54"/>
      <c r="C424" s="33"/>
      <c r="D424" s="33"/>
      <c r="E424" s="33"/>
      <c r="F424" s="32"/>
      <c r="G424" s="41"/>
      <c r="H424" s="39"/>
      <c r="I424" s="43"/>
      <c r="J424" s="43"/>
      <c r="K424" s="41"/>
      <c r="L424" s="39"/>
      <c r="M424" s="41"/>
      <c r="N424" s="25" t="str">
        <f aca="false">IF(AND($B424="",$E424="",$I424="",$J424=""),"",IF(NOT(ISNUMBER($B424)),"日期无效",IF(ISNA(MATCH($C424,参数设置!$A$10:$A$12,0)),"公司无效",IF(ISNA(MATCH($D424,资金账户!$B$6:$B$25,0)),"账户未建档",IF(ISNA(MATCH($E424,记账规则!$A$13:$A$32,0)),"业务类型无效",IF(AND(N($I424)&lt;&gt;0,N($J424)&lt;&gt;0),"收入和支出只能填一列",IF($P424=0,"金额为 0",IF(AND($R424="收",N($I424)=0),"这类业务是收款，金额填到收入列",IF(AND($R424="支",N($J424)=0),"这类业务是付款，金额填到支出列",IF(AND(SUMPRODUCT(--(INDEX(记账规则!$A$13:$H$32,MATCH($E424,记账规则!$A$13:$A$32,0),0)="@对方"))&gt;0,$G424=""),"这个类型要填对方科目",IF(AND($G424&lt;&gt;"",ISNA(MATCH($G424,会计科目表!$B$6:$B$85,0))),"对方科目不存在",IF(AND($E424="缴纳税费",$H424=""),"缴税请在费用项目里选税种",IF(AND($F424&lt;&gt;"",ISNA(MATCH($F424,往来单位!$A$6:$A$85,0))),"往来单位未建档",IF(YEAR($B424)&lt;&gt;参数设置!$B$5,"不在本会计年度",IF(AND($B423&lt;&gt;"",ISNUMBER($B423),$B424&lt;$B423),"日期比上一行早，余额按行序滚，建议按日期录","OK")))))))))))))))</f>
        <v/>
      </c>
      <c r="O424" s="58" t="str">
        <f aca="false">IF($B424="","",TEXT($B424,"yyyy-mm"))</f>
        <v/>
      </c>
      <c r="P424" s="60" t="str">
        <f aca="false">IF($E424="","",ROUND(N($I424)+N($J424),2))</f>
        <v/>
      </c>
      <c r="Q424" s="58" t="str">
        <f aca="false">IF($D424="","",IFERROR(INDEX(资金账户!$F$6:$F$25,MATCH($D424,资金账户!$B$6:$B$25,0)),""))</f>
        <v/>
      </c>
      <c r="R424" s="58" t="str">
        <f aca="false">IF($E424="","",IFERROR(IF(INDEX(记账规则!$A$13:$H$32,MATCH($E424,记账规则!$A$13:$A$32,0),4)="借","收","支"),""))</f>
        <v/>
      </c>
      <c r="S424" s="57" t="str">
        <f aca="false">IF($D424="","",ROUND(SUMIFS(资金账户!$H$6:$H$25,资金账户!$B$6:$B$25,$D424)+SUMIFS($I$6:$I424,$D$6:$D424,$D424)-SUMIFS($J$6:$J424,$D$6:$D424,$D424),2))</f>
        <v/>
      </c>
      <c r="T424" s="61" t="str">
        <f aca="false">IF($B424="","",YEAR($B424))</f>
        <v/>
      </c>
    </row>
    <row r="425" customFormat="false" ht="15" hidden="false" customHeight="false" outlineLevel="0" collapsed="false">
      <c r="A425" s="53" t="str">
        <f aca="false">IF($B425="","",ROW()-5)</f>
        <v/>
      </c>
      <c r="B425" s="54"/>
      <c r="C425" s="33"/>
      <c r="D425" s="33"/>
      <c r="E425" s="33"/>
      <c r="F425" s="32"/>
      <c r="G425" s="41"/>
      <c r="H425" s="39"/>
      <c r="I425" s="43"/>
      <c r="J425" s="43"/>
      <c r="K425" s="41"/>
      <c r="L425" s="39"/>
      <c r="M425" s="41"/>
      <c r="N425" s="25" t="str">
        <f aca="false">IF(AND($B425="",$E425="",$I425="",$J425=""),"",IF(NOT(ISNUMBER($B425)),"日期无效",IF(ISNA(MATCH($C425,参数设置!$A$10:$A$12,0)),"公司无效",IF(ISNA(MATCH($D425,资金账户!$B$6:$B$25,0)),"账户未建档",IF(ISNA(MATCH($E425,记账规则!$A$13:$A$32,0)),"业务类型无效",IF(AND(N($I425)&lt;&gt;0,N($J425)&lt;&gt;0),"收入和支出只能填一列",IF($P425=0,"金额为 0",IF(AND($R425="收",N($I425)=0),"这类业务是收款，金额填到收入列",IF(AND($R425="支",N($J425)=0),"这类业务是付款，金额填到支出列",IF(AND(SUMPRODUCT(--(INDEX(记账规则!$A$13:$H$32,MATCH($E425,记账规则!$A$13:$A$32,0),0)="@对方"))&gt;0,$G425=""),"这个类型要填对方科目",IF(AND($G425&lt;&gt;"",ISNA(MATCH($G425,会计科目表!$B$6:$B$85,0))),"对方科目不存在",IF(AND($E425="缴纳税费",$H425=""),"缴税请在费用项目里选税种",IF(AND($F425&lt;&gt;"",ISNA(MATCH($F425,往来单位!$A$6:$A$85,0))),"往来单位未建档",IF(YEAR($B425)&lt;&gt;参数设置!$B$5,"不在本会计年度",IF(AND($B424&lt;&gt;"",ISNUMBER($B424),$B425&lt;$B424),"日期比上一行早，余额按行序滚，建议按日期录","OK")))))))))))))))</f>
        <v/>
      </c>
      <c r="O425" s="58" t="str">
        <f aca="false">IF($B425="","",TEXT($B425,"yyyy-mm"))</f>
        <v/>
      </c>
      <c r="P425" s="60" t="str">
        <f aca="false">IF($E425="","",ROUND(N($I425)+N($J425),2))</f>
        <v/>
      </c>
      <c r="Q425" s="58" t="str">
        <f aca="false">IF($D425="","",IFERROR(INDEX(资金账户!$F$6:$F$25,MATCH($D425,资金账户!$B$6:$B$25,0)),""))</f>
        <v/>
      </c>
      <c r="R425" s="58" t="str">
        <f aca="false">IF($E425="","",IFERROR(IF(INDEX(记账规则!$A$13:$H$32,MATCH($E425,记账规则!$A$13:$A$32,0),4)="借","收","支"),""))</f>
        <v/>
      </c>
      <c r="S425" s="57" t="str">
        <f aca="false">IF($D425="","",ROUND(SUMIFS(资金账户!$H$6:$H$25,资金账户!$B$6:$B$25,$D425)+SUMIFS($I$6:$I425,$D$6:$D425,$D425)-SUMIFS($J$6:$J425,$D$6:$D425,$D425),2))</f>
        <v/>
      </c>
      <c r="T425" s="61" t="str">
        <f aca="false">IF($B425="","",YEAR($B425))</f>
        <v/>
      </c>
    </row>
    <row r="426" customFormat="false" ht="15" hidden="false" customHeight="false" outlineLevel="0" collapsed="false">
      <c r="A426" s="53" t="str">
        <f aca="false">IF($B426="","",ROW()-5)</f>
        <v/>
      </c>
      <c r="B426" s="54"/>
      <c r="C426" s="33"/>
      <c r="D426" s="33"/>
      <c r="E426" s="33"/>
      <c r="F426" s="32"/>
      <c r="G426" s="41"/>
      <c r="H426" s="39"/>
      <c r="I426" s="43"/>
      <c r="J426" s="43"/>
      <c r="K426" s="41"/>
      <c r="L426" s="39"/>
      <c r="M426" s="41"/>
      <c r="N426" s="25" t="str">
        <f aca="false">IF(AND($B426="",$E426="",$I426="",$J426=""),"",IF(NOT(ISNUMBER($B426)),"日期无效",IF(ISNA(MATCH($C426,参数设置!$A$10:$A$12,0)),"公司无效",IF(ISNA(MATCH($D426,资金账户!$B$6:$B$25,0)),"账户未建档",IF(ISNA(MATCH($E426,记账规则!$A$13:$A$32,0)),"业务类型无效",IF(AND(N($I426)&lt;&gt;0,N($J426)&lt;&gt;0),"收入和支出只能填一列",IF($P426=0,"金额为 0",IF(AND($R426="收",N($I426)=0),"这类业务是收款，金额填到收入列",IF(AND($R426="支",N($J426)=0),"这类业务是付款，金额填到支出列",IF(AND(SUMPRODUCT(--(INDEX(记账规则!$A$13:$H$32,MATCH($E426,记账规则!$A$13:$A$32,0),0)="@对方"))&gt;0,$G426=""),"这个类型要填对方科目",IF(AND($G426&lt;&gt;"",ISNA(MATCH($G426,会计科目表!$B$6:$B$85,0))),"对方科目不存在",IF(AND($E426="缴纳税费",$H426=""),"缴税请在费用项目里选税种",IF(AND($F426&lt;&gt;"",ISNA(MATCH($F426,往来单位!$A$6:$A$85,0))),"往来单位未建档",IF(YEAR($B426)&lt;&gt;参数设置!$B$5,"不在本会计年度",IF(AND($B425&lt;&gt;"",ISNUMBER($B425),$B426&lt;$B425),"日期比上一行早，余额按行序滚，建议按日期录","OK")))))))))))))))</f>
        <v/>
      </c>
      <c r="O426" s="58" t="str">
        <f aca="false">IF($B426="","",TEXT($B426,"yyyy-mm"))</f>
        <v/>
      </c>
      <c r="P426" s="60" t="str">
        <f aca="false">IF($E426="","",ROUND(N($I426)+N($J426),2))</f>
        <v/>
      </c>
      <c r="Q426" s="58" t="str">
        <f aca="false">IF($D426="","",IFERROR(INDEX(资金账户!$F$6:$F$25,MATCH($D426,资金账户!$B$6:$B$25,0)),""))</f>
        <v/>
      </c>
      <c r="R426" s="58" t="str">
        <f aca="false">IF($E426="","",IFERROR(IF(INDEX(记账规则!$A$13:$H$32,MATCH($E426,记账规则!$A$13:$A$32,0),4)="借","收","支"),""))</f>
        <v/>
      </c>
      <c r="S426" s="57" t="str">
        <f aca="false">IF($D426="","",ROUND(SUMIFS(资金账户!$H$6:$H$25,资金账户!$B$6:$B$25,$D426)+SUMIFS($I$6:$I426,$D$6:$D426,$D426)-SUMIFS($J$6:$J426,$D$6:$D426,$D426),2))</f>
        <v/>
      </c>
      <c r="T426" s="61" t="str">
        <f aca="false">IF($B426="","",YEAR($B426))</f>
        <v/>
      </c>
    </row>
    <row r="427" customFormat="false" ht="15" hidden="false" customHeight="false" outlineLevel="0" collapsed="false">
      <c r="A427" s="53" t="str">
        <f aca="false">IF($B427="","",ROW()-5)</f>
        <v/>
      </c>
      <c r="B427" s="54"/>
      <c r="C427" s="33"/>
      <c r="D427" s="33"/>
      <c r="E427" s="33"/>
      <c r="F427" s="32"/>
      <c r="G427" s="41"/>
      <c r="H427" s="39"/>
      <c r="I427" s="43"/>
      <c r="J427" s="43"/>
      <c r="K427" s="41"/>
      <c r="L427" s="39"/>
      <c r="M427" s="41"/>
      <c r="N427" s="25" t="str">
        <f aca="false">IF(AND($B427="",$E427="",$I427="",$J427=""),"",IF(NOT(ISNUMBER($B427)),"日期无效",IF(ISNA(MATCH($C427,参数设置!$A$10:$A$12,0)),"公司无效",IF(ISNA(MATCH($D427,资金账户!$B$6:$B$25,0)),"账户未建档",IF(ISNA(MATCH($E427,记账规则!$A$13:$A$32,0)),"业务类型无效",IF(AND(N($I427)&lt;&gt;0,N($J427)&lt;&gt;0),"收入和支出只能填一列",IF($P427=0,"金额为 0",IF(AND($R427="收",N($I427)=0),"这类业务是收款，金额填到收入列",IF(AND($R427="支",N($J427)=0),"这类业务是付款，金额填到支出列",IF(AND(SUMPRODUCT(--(INDEX(记账规则!$A$13:$H$32,MATCH($E427,记账规则!$A$13:$A$32,0),0)="@对方"))&gt;0,$G427=""),"这个类型要填对方科目",IF(AND($G427&lt;&gt;"",ISNA(MATCH($G427,会计科目表!$B$6:$B$85,0))),"对方科目不存在",IF(AND($E427="缴纳税费",$H427=""),"缴税请在费用项目里选税种",IF(AND($F427&lt;&gt;"",ISNA(MATCH($F427,往来单位!$A$6:$A$85,0))),"往来单位未建档",IF(YEAR($B427)&lt;&gt;参数设置!$B$5,"不在本会计年度",IF(AND($B426&lt;&gt;"",ISNUMBER($B426),$B427&lt;$B426),"日期比上一行早，余额按行序滚，建议按日期录","OK")))))))))))))))</f>
        <v/>
      </c>
      <c r="O427" s="58" t="str">
        <f aca="false">IF($B427="","",TEXT($B427,"yyyy-mm"))</f>
        <v/>
      </c>
      <c r="P427" s="60" t="str">
        <f aca="false">IF($E427="","",ROUND(N($I427)+N($J427),2))</f>
        <v/>
      </c>
      <c r="Q427" s="58" t="str">
        <f aca="false">IF($D427="","",IFERROR(INDEX(资金账户!$F$6:$F$25,MATCH($D427,资金账户!$B$6:$B$25,0)),""))</f>
        <v/>
      </c>
      <c r="R427" s="58" t="str">
        <f aca="false">IF($E427="","",IFERROR(IF(INDEX(记账规则!$A$13:$H$32,MATCH($E427,记账规则!$A$13:$A$32,0),4)="借","收","支"),""))</f>
        <v/>
      </c>
      <c r="S427" s="57" t="str">
        <f aca="false">IF($D427="","",ROUND(SUMIFS(资金账户!$H$6:$H$25,资金账户!$B$6:$B$25,$D427)+SUMIFS($I$6:$I427,$D$6:$D427,$D427)-SUMIFS($J$6:$J427,$D$6:$D427,$D427),2))</f>
        <v/>
      </c>
      <c r="T427" s="61" t="str">
        <f aca="false">IF($B427="","",YEAR($B427))</f>
        <v/>
      </c>
    </row>
    <row r="428" customFormat="false" ht="15" hidden="false" customHeight="false" outlineLevel="0" collapsed="false">
      <c r="A428" s="53" t="str">
        <f aca="false">IF($B428="","",ROW()-5)</f>
        <v/>
      </c>
      <c r="B428" s="54"/>
      <c r="C428" s="33"/>
      <c r="D428" s="33"/>
      <c r="E428" s="33"/>
      <c r="F428" s="32"/>
      <c r="G428" s="41"/>
      <c r="H428" s="39"/>
      <c r="I428" s="43"/>
      <c r="J428" s="43"/>
      <c r="K428" s="41"/>
      <c r="L428" s="39"/>
      <c r="M428" s="41"/>
      <c r="N428" s="25" t="str">
        <f aca="false">IF(AND($B428="",$E428="",$I428="",$J428=""),"",IF(NOT(ISNUMBER($B428)),"日期无效",IF(ISNA(MATCH($C428,参数设置!$A$10:$A$12,0)),"公司无效",IF(ISNA(MATCH($D428,资金账户!$B$6:$B$25,0)),"账户未建档",IF(ISNA(MATCH($E428,记账规则!$A$13:$A$32,0)),"业务类型无效",IF(AND(N($I428)&lt;&gt;0,N($J428)&lt;&gt;0),"收入和支出只能填一列",IF($P428=0,"金额为 0",IF(AND($R428="收",N($I428)=0),"这类业务是收款，金额填到收入列",IF(AND($R428="支",N($J428)=0),"这类业务是付款，金额填到支出列",IF(AND(SUMPRODUCT(--(INDEX(记账规则!$A$13:$H$32,MATCH($E428,记账规则!$A$13:$A$32,0),0)="@对方"))&gt;0,$G428=""),"这个类型要填对方科目",IF(AND($G428&lt;&gt;"",ISNA(MATCH($G428,会计科目表!$B$6:$B$85,0))),"对方科目不存在",IF(AND($E428="缴纳税费",$H428=""),"缴税请在费用项目里选税种",IF(AND($F428&lt;&gt;"",ISNA(MATCH($F428,往来单位!$A$6:$A$85,0))),"往来单位未建档",IF(YEAR($B428)&lt;&gt;参数设置!$B$5,"不在本会计年度",IF(AND($B427&lt;&gt;"",ISNUMBER($B427),$B428&lt;$B427),"日期比上一行早，余额按行序滚，建议按日期录","OK")))))))))))))))</f>
        <v/>
      </c>
      <c r="O428" s="58" t="str">
        <f aca="false">IF($B428="","",TEXT($B428,"yyyy-mm"))</f>
        <v/>
      </c>
      <c r="P428" s="60" t="str">
        <f aca="false">IF($E428="","",ROUND(N($I428)+N($J428),2))</f>
        <v/>
      </c>
      <c r="Q428" s="58" t="str">
        <f aca="false">IF($D428="","",IFERROR(INDEX(资金账户!$F$6:$F$25,MATCH($D428,资金账户!$B$6:$B$25,0)),""))</f>
        <v/>
      </c>
      <c r="R428" s="58" t="str">
        <f aca="false">IF($E428="","",IFERROR(IF(INDEX(记账规则!$A$13:$H$32,MATCH($E428,记账规则!$A$13:$A$32,0),4)="借","收","支"),""))</f>
        <v/>
      </c>
      <c r="S428" s="57" t="str">
        <f aca="false">IF($D428="","",ROUND(SUMIFS(资金账户!$H$6:$H$25,资金账户!$B$6:$B$25,$D428)+SUMIFS($I$6:$I428,$D$6:$D428,$D428)-SUMIFS($J$6:$J428,$D$6:$D428,$D428),2))</f>
        <v/>
      </c>
      <c r="T428" s="61" t="str">
        <f aca="false">IF($B428="","",YEAR($B428))</f>
        <v/>
      </c>
    </row>
    <row r="429" customFormat="false" ht="15" hidden="false" customHeight="false" outlineLevel="0" collapsed="false">
      <c r="A429" s="53" t="str">
        <f aca="false">IF($B429="","",ROW()-5)</f>
        <v/>
      </c>
      <c r="B429" s="54"/>
      <c r="C429" s="33"/>
      <c r="D429" s="33"/>
      <c r="E429" s="33"/>
      <c r="F429" s="32"/>
      <c r="G429" s="41"/>
      <c r="H429" s="39"/>
      <c r="I429" s="43"/>
      <c r="J429" s="43"/>
      <c r="K429" s="41"/>
      <c r="L429" s="39"/>
      <c r="M429" s="41"/>
      <c r="N429" s="25" t="str">
        <f aca="false">IF(AND($B429="",$E429="",$I429="",$J429=""),"",IF(NOT(ISNUMBER($B429)),"日期无效",IF(ISNA(MATCH($C429,参数设置!$A$10:$A$12,0)),"公司无效",IF(ISNA(MATCH($D429,资金账户!$B$6:$B$25,0)),"账户未建档",IF(ISNA(MATCH($E429,记账规则!$A$13:$A$32,0)),"业务类型无效",IF(AND(N($I429)&lt;&gt;0,N($J429)&lt;&gt;0),"收入和支出只能填一列",IF($P429=0,"金额为 0",IF(AND($R429="收",N($I429)=0),"这类业务是收款，金额填到收入列",IF(AND($R429="支",N($J429)=0),"这类业务是付款，金额填到支出列",IF(AND(SUMPRODUCT(--(INDEX(记账规则!$A$13:$H$32,MATCH($E429,记账规则!$A$13:$A$32,0),0)="@对方"))&gt;0,$G429=""),"这个类型要填对方科目",IF(AND($G429&lt;&gt;"",ISNA(MATCH($G429,会计科目表!$B$6:$B$85,0))),"对方科目不存在",IF(AND($E429="缴纳税费",$H429=""),"缴税请在费用项目里选税种",IF(AND($F429&lt;&gt;"",ISNA(MATCH($F429,往来单位!$A$6:$A$85,0))),"往来单位未建档",IF(YEAR($B429)&lt;&gt;参数设置!$B$5,"不在本会计年度",IF(AND($B428&lt;&gt;"",ISNUMBER($B428),$B429&lt;$B428),"日期比上一行早，余额按行序滚，建议按日期录","OK")))))))))))))))</f>
        <v/>
      </c>
      <c r="O429" s="58" t="str">
        <f aca="false">IF($B429="","",TEXT($B429,"yyyy-mm"))</f>
        <v/>
      </c>
      <c r="P429" s="60" t="str">
        <f aca="false">IF($E429="","",ROUND(N($I429)+N($J429),2))</f>
        <v/>
      </c>
      <c r="Q429" s="58" t="str">
        <f aca="false">IF($D429="","",IFERROR(INDEX(资金账户!$F$6:$F$25,MATCH($D429,资金账户!$B$6:$B$25,0)),""))</f>
        <v/>
      </c>
      <c r="R429" s="58" t="str">
        <f aca="false">IF($E429="","",IFERROR(IF(INDEX(记账规则!$A$13:$H$32,MATCH($E429,记账规则!$A$13:$A$32,0),4)="借","收","支"),""))</f>
        <v/>
      </c>
      <c r="S429" s="57" t="str">
        <f aca="false">IF($D429="","",ROUND(SUMIFS(资金账户!$H$6:$H$25,资金账户!$B$6:$B$25,$D429)+SUMIFS($I$6:$I429,$D$6:$D429,$D429)-SUMIFS($J$6:$J429,$D$6:$D429,$D429),2))</f>
        <v/>
      </c>
      <c r="T429" s="61" t="str">
        <f aca="false">IF($B429="","",YEAR($B429))</f>
        <v/>
      </c>
    </row>
    <row r="430" customFormat="false" ht="15" hidden="false" customHeight="false" outlineLevel="0" collapsed="false">
      <c r="A430" s="53" t="str">
        <f aca="false">IF($B430="","",ROW()-5)</f>
        <v/>
      </c>
      <c r="B430" s="54"/>
      <c r="C430" s="33"/>
      <c r="D430" s="33"/>
      <c r="E430" s="33"/>
      <c r="F430" s="32"/>
      <c r="G430" s="41"/>
      <c r="H430" s="39"/>
      <c r="I430" s="43"/>
      <c r="J430" s="43"/>
      <c r="K430" s="41"/>
      <c r="L430" s="39"/>
      <c r="M430" s="41"/>
      <c r="N430" s="25" t="str">
        <f aca="false">IF(AND($B430="",$E430="",$I430="",$J430=""),"",IF(NOT(ISNUMBER($B430)),"日期无效",IF(ISNA(MATCH($C430,参数设置!$A$10:$A$12,0)),"公司无效",IF(ISNA(MATCH($D430,资金账户!$B$6:$B$25,0)),"账户未建档",IF(ISNA(MATCH($E430,记账规则!$A$13:$A$32,0)),"业务类型无效",IF(AND(N($I430)&lt;&gt;0,N($J430)&lt;&gt;0),"收入和支出只能填一列",IF($P430=0,"金额为 0",IF(AND($R430="收",N($I430)=0),"这类业务是收款，金额填到收入列",IF(AND($R430="支",N($J430)=0),"这类业务是付款，金额填到支出列",IF(AND(SUMPRODUCT(--(INDEX(记账规则!$A$13:$H$32,MATCH($E430,记账规则!$A$13:$A$32,0),0)="@对方"))&gt;0,$G430=""),"这个类型要填对方科目",IF(AND($G430&lt;&gt;"",ISNA(MATCH($G430,会计科目表!$B$6:$B$85,0))),"对方科目不存在",IF(AND($E430="缴纳税费",$H430=""),"缴税请在费用项目里选税种",IF(AND($F430&lt;&gt;"",ISNA(MATCH($F430,往来单位!$A$6:$A$85,0))),"往来单位未建档",IF(YEAR($B430)&lt;&gt;参数设置!$B$5,"不在本会计年度",IF(AND($B429&lt;&gt;"",ISNUMBER($B429),$B430&lt;$B429),"日期比上一行早，余额按行序滚，建议按日期录","OK")))))))))))))))</f>
        <v/>
      </c>
      <c r="O430" s="58" t="str">
        <f aca="false">IF($B430="","",TEXT($B430,"yyyy-mm"))</f>
        <v/>
      </c>
      <c r="P430" s="60" t="str">
        <f aca="false">IF($E430="","",ROUND(N($I430)+N($J430),2))</f>
        <v/>
      </c>
      <c r="Q430" s="58" t="str">
        <f aca="false">IF($D430="","",IFERROR(INDEX(资金账户!$F$6:$F$25,MATCH($D430,资金账户!$B$6:$B$25,0)),""))</f>
        <v/>
      </c>
      <c r="R430" s="58" t="str">
        <f aca="false">IF($E430="","",IFERROR(IF(INDEX(记账规则!$A$13:$H$32,MATCH($E430,记账规则!$A$13:$A$32,0),4)="借","收","支"),""))</f>
        <v/>
      </c>
      <c r="S430" s="57" t="str">
        <f aca="false">IF($D430="","",ROUND(SUMIFS(资金账户!$H$6:$H$25,资金账户!$B$6:$B$25,$D430)+SUMIFS($I$6:$I430,$D$6:$D430,$D430)-SUMIFS($J$6:$J430,$D$6:$D430,$D430),2))</f>
        <v/>
      </c>
      <c r="T430" s="61" t="str">
        <f aca="false">IF($B430="","",YEAR($B430))</f>
        <v/>
      </c>
    </row>
    <row r="431" customFormat="false" ht="15" hidden="false" customHeight="false" outlineLevel="0" collapsed="false">
      <c r="A431" s="53" t="str">
        <f aca="false">IF($B431="","",ROW()-5)</f>
        <v/>
      </c>
      <c r="B431" s="54"/>
      <c r="C431" s="33"/>
      <c r="D431" s="33"/>
      <c r="E431" s="33"/>
      <c r="F431" s="32"/>
      <c r="G431" s="41"/>
      <c r="H431" s="39"/>
      <c r="I431" s="43"/>
      <c r="J431" s="43"/>
      <c r="K431" s="41"/>
      <c r="L431" s="39"/>
      <c r="M431" s="41"/>
      <c r="N431" s="25" t="str">
        <f aca="false">IF(AND($B431="",$E431="",$I431="",$J431=""),"",IF(NOT(ISNUMBER($B431)),"日期无效",IF(ISNA(MATCH($C431,参数设置!$A$10:$A$12,0)),"公司无效",IF(ISNA(MATCH($D431,资金账户!$B$6:$B$25,0)),"账户未建档",IF(ISNA(MATCH($E431,记账规则!$A$13:$A$32,0)),"业务类型无效",IF(AND(N($I431)&lt;&gt;0,N($J431)&lt;&gt;0),"收入和支出只能填一列",IF($P431=0,"金额为 0",IF(AND($R431="收",N($I431)=0),"这类业务是收款，金额填到收入列",IF(AND($R431="支",N($J431)=0),"这类业务是付款，金额填到支出列",IF(AND(SUMPRODUCT(--(INDEX(记账规则!$A$13:$H$32,MATCH($E431,记账规则!$A$13:$A$32,0),0)="@对方"))&gt;0,$G431=""),"这个类型要填对方科目",IF(AND($G431&lt;&gt;"",ISNA(MATCH($G431,会计科目表!$B$6:$B$85,0))),"对方科目不存在",IF(AND($E431="缴纳税费",$H431=""),"缴税请在费用项目里选税种",IF(AND($F431&lt;&gt;"",ISNA(MATCH($F431,往来单位!$A$6:$A$85,0))),"往来单位未建档",IF(YEAR($B431)&lt;&gt;参数设置!$B$5,"不在本会计年度",IF(AND($B430&lt;&gt;"",ISNUMBER($B430),$B431&lt;$B430),"日期比上一行早，余额按行序滚，建议按日期录","OK")))))))))))))))</f>
        <v/>
      </c>
      <c r="O431" s="58" t="str">
        <f aca="false">IF($B431="","",TEXT($B431,"yyyy-mm"))</f>
        <v/>
      </c>
      <c r="P431" s="60" t="str">
        <f aca="false">IF($E431="","",ROUND(N($I431)+N($J431),2))</f>
        <v/>
      </c>
      <c r="Q431" s="58" t="str">
        <f aca="false">IF($D431="","",IFERROR(INDEX(资金账户!$F$6:$F$25,MATCH($D431,资金账户!$B$6:$B$25,0)),""))</f>
        <v/>
      </c>
      <c r="R431" s="58" t="str">
        <f aca="false">IF($E431="","",IFERROR(IF(INDEX(记账规则!$A$13:$H$32,MATCH($E431,记账规则!$A$13:$A$32,0),4)="借","收","支"),""))</f>
        <v/>
      </c>
      <c r="S431" s="57" t="str">
        <f aca="false">IF($D431="","",ROUND(SUMIFS(资金账户!$H$6:$H$25,资金账户!$B$6:$B$25,$D431)+SUMIFS($I$6:$I431,$D$6:$D431,$D431)-SUMIFS($J$6:$J431,$D$6:$D431,$D431),2))</f>
        <v/>
      </c>
      <c r="T431" s="61" t="str">
        <f aca="false">IF($B431="","",YEAR($B431))</f>
        <v/>
      </c>
    </row>
    <row r="432" customFormat="false" ht="15" hidden="false" customHeight="false" outlineLevel="0" collapsed="false">
      <c r="A432" s="53" t="str">
        <f aca="false">IF($B432="","",ROW()-5)</f>
        <v/>
      </c>
      <c r="B432" s="54"/>
      <c r="C432" s="33"/>
      <c r="D432" s="33"/>
      <c r="E432" s="33"/>
      <c r="F432" s="32"/>
      <c r="G432" s="41"/>
      <c r="H432" s="39"/>
      <c r="I432" s="43"/>
      <c r="J432" s="43"/>
      <c r="K432" s="41"/>
      <c r="L432" s="39"/>
      <c r="M432" s="41"/>
      <c r="N432" s="25" t="str">
        <f aca="false">IF(AND($B432="",$E432="",$I432="",$J432=""),"",IF(NOT(ISNUMBER($B432)),"日期无效",IF(ISNA(MATCH($C432,参数设置!$A$10:$A$12,0)),"公司无效",IF(ISNA(MATCH($D432,资金账户!$B$6:$B$25,0)),"账户未建档",IF(ISNA(MATCH($E432,记账规则!$A$13:$A$32,0)),"业务类型无效",IF(AND(N($I432)&lt;&gt;0,N($J432)&lt;&gt;0),"收入和支出只能填一列",IF($P432=0,"金额为 0",IF(AND($R432="收",N($I432)=0),"这类业务是收款，金额填到收入列",IF(AND($R432="支",N($J432)=0),"这类业务是付款，金额填到支出列",IF(AND(SUMPRODUCT(--(INDEX(记账规则!$A$13:$H$32,MATCH($E432,记账规则!$A$13:$A$32,0),0)="@对方"))&gt;0,$G432=""),"这个类型要填对方科目",IF(AND($G432&lt;&gt;"",ISNA(MATCH($G432,会计科目表!$B$6:$B$85,0))),"对方科目不存在",IF(AND($E432="缴纳税费",$H432=""),"缴税请在费用项目里选税种",IF(AND($F432&lt;&gt;"",ISNA(MATCH($F432,往来单位!$A$6:$A$85,0))),"往来单位未建档",IF(YEAR($B432)&lt;&gt;参数设置!$B$5,"不在本会计年度",IF(AND($B431&lt;&gt;"",ISNUMBER($B431),$B432&lt;$B431),"日期比上一行早，余额按行序滚，建议按日期录","OK")))))))))))))))</f>
        <v/>
      </c>
      <c r="O432" s="58" t="str">
        <f aca="false">IF($B432="","",TEXT($B432,"yyyy-mm"))</f>
        <v/>
      </c>
      <c r="P432" s="60" t="str">
        <f aca="false">IF($E432="","",ROUND(N($I432)+N($J432),2))</f>
        <v/>
      </c>
      <c r="Q432" s="58" t="str">
        <f aca="false">IF($D432="","",IFERROR(INDEX(资金账户!$F$6:$F$25,MATCH($D432,资金账户!$B$6:$B$25,0)),""))</f>
        <v/>
      </c>
      <c r="R432" s="58" t="str">
        <f aca="false">IF($E432="","",IFERROR(IF(INDEX(记账规则!$A$13:$H$32,MATCH($E432,记账规则!$A$13:$A$32,0),4)="借","收","支"),""))</f>
        <v/>
      </c>
      <c r="S432" s="57" t="str">
        <f aca="false">IF($D432="","",ROUND(SUMIFS(资金账户!$H$6:$H$25,资金账户!$B$6:$B$25,$D432)+SUMIFS($I$6:$I432,$D$6:$D432,$D432)-SUMIFS($J$6:$J432,$D$6:$D432,$D432),2))</f>
        <v/>
      </c>
      <c r="T432" s="61" t="str">
        <f aca="false">IF($B432="","",YEAR($B432))</f>
        <v/>
      </c>
    </row>
    <row r="433" customFormat="false" ht="15" hidden="false" customHeight="false" outlineLevel="0" collapsed="false">
      <c r="A433" s="53" t="str">
        <f aca="false">IF($B433="","",ROW()-5)</f>
        <v/>
      </c>
      <c r="B433" s="54"/>
      <c r="C433" s="33"/>
      <c r="D433" s="33"/>
      <c r="E433" s="33"/>
      <c r="F433" s="32"/>
      <c r="G433" s="41"/>
      <c r="H433" s="39"/>
      <c r="I433" s="43"/>
      <c r="J433" s="43"/>
      <c r="K433" s="41"/>
      <c r="L433" s="39"/>
      <c r="M433" s="41"/>
      <c r="N433" s="25" t="str">
        <f aca="false">IF(AND($B433="",$E433="",$I433="",$J433=""),"",IF(NOT(ISNUMBER($B433)),"日期无效",IF(ISNA(MATCH($C433,参数设置!$A$10:$A$12,0)),"公司无效",IF(ISNA(MATCH($D433,资金账户!$B$6:$B$25,0)),"账户未建档",IF(ISNA(MATCH($E433,记账规则!$A$13:$A$32,0)),"业务类型无效",IF(AND(N($I433)&lt;&gt;0,N($J433)&lt;&gt;0),"收入和支出只能填一列",IF($P433=0,"金额为 0",IF(AND($R433="收",N($I433)=0),"这类业务是收款，金额填到收入列",IF(AND($R433="支",N($J433)=0),"这类业务是付款，金额填到支出列",IF(AND(SUMPRODUCT(--(INDEX(记账规则!$A$13:$H$32,MATCH($E433,记账规则!$A$13:$A$32,0),0)="@对方"))&gt;0,$G433=""),"这个类型要填对方科目",IF(AND($G433&lt;&gt;"",ISNA(MATCH($G433,会计科目表!$B$6:$B$85,0))),"对方科目不存在",IF(AND($E433="缴纳税费",$H433=""),"缴税请在费用项目里选税种",IF(AND($F433&lt;&gt;"",ISNA(MATCH($F433,往来单位!$A$6:$A$85,0))),"往来单位未建档",IF(YEAR($B433)&lt;&gt;参数设置!$B$5,"不在本会计年度",IF(AND($B432&lt;&gt;"",ISNUMBER($B432),$B433&lt;$B432),"日期比上一行早，余额按行序滚，建议按日期录","OK")))))))))))))))</f>
        <v/>
      </c>
      <c r="O433" s="58" t="str">
        <f aca="false">IF($B433="","",TEXT($B433,"yyyy-mm"))</f>
        <v/>
      </c>
      <c r="P433" s="60" t="str">
        <f aca="false">IF($E433="","",ROUND(N($I433)+N($J433),2))</f>
        <v/>
      </c>
      <c r="Q433" s="58" t="str">
        <f aca="false">IF($D433="","",IFERROR(INDEX(资金账户!$F$6:$F$25,MATCH($D433,资金账户!$B$6:$B$25,0)),""))</f>
        <v/>
      </c>
      <c r="R433" s="58" t="str">
        <f aca="false">IF($E433="","",IFERROR(IF(INDEX(记账规则!$A$13:$H$32,MATCH($E433,记账规则!$A$13:$A$32,0),4)="借","收","支"),""))</f>
        <v/>
      </c>
      <c r="S433" s="57" t="str">
        <f aca="false">IF($D433="","",ROUND(SUMIFS(资金账户!$H$6:$H$25,资金账户!$B$6:$B$25,$D433)+SUMIFS($I$6:$I433,$D$6:$D433,$D433)-SUMIFS($J$6:$J433,$D$6:$D433,$D433),2))</f>
        <v/>
      </c>
      <c r="T433" s="61" t="str">
        <f aca="false">IF($B433="","",YEAR($B433))</f>
        <v/>
      </c>
    </row>
    <row r="434" customFormat="false" ht="15" hidden="false" customHeight="false" outlineLevel="0" collapsed="false">
      <c r="A434" s="53" t="str">
        <f aca="false">IF($B434="","",ROW()-5)</f>
        <v/>
      </c>
      <c r="B434" s="54"/>
      <c r="C434" s="33"/>
      <c r="D434" s="33"/>
      <c r="E434" s="33"/>
      <c r="F434" s="32"/>
      <c r="G434" s="41"/>
      <c r="H434" s="39"/>
      <c r="I434" s="43"/>
      <c r="J434" s="43"/>
      <c r="K434" s="41"/>
      <c r="L434" s="39"/>
      <c r="M434" s="41"/>
      <c r="N434" s="25" t="str">
        <f aca="false">IF(AND($B434="",$E434="",$I434="",$J434=""),"",IF(NOT(ISNUMBER($B434)),"日期无效",IF(ISNA(MATCH($C434,参数设置!$A$10:$A$12,0)),"公司无效",IF(ISNA(MATCH($D434,资金账户!$B$6:$B$25,0)),"账户未建档",IF(ISNA(MATCH($E434,记账规则!$A$13:$A$32,0)),"业务类型无效",IF(AND(N($I434)&lt;&gt;0,N($J434)&lt;&gt;0),"收入和支出只能填一列",IF($P434=0,"金额为 0",IF(AND($R434="收",N($I434)=0),"这类业务是收款，金额填到收入列",IF(AND($R434="支",N($J434)=0),"这类业务是付款，金额填到支出列",IF(AND(SUMPRODUCT(--(INDEX(记账规则!$A$13:$H$32,MATCH($E434,记账规则!$A$13:$A$32,0),0)="@对方"))&gt;0,$G434=""),"这个类型要填对方科目",IF(AND($G434&lt;&gt;"",ISNA(MATCH($G434,会计科目表!$B$6:$B$85,0))),"对方科目不存在",IF(AND($E434="缴纳税费",$H434=""),"缴税请在费用项目里选税种",IF(AND($F434&lt;&gt;"",ISNA(MATCH($F434,往来单位!$A$6:$A$85,0))),"往来单位未建档",IF(YEAR($B434)&lt;&gt;参数设置!$B$5,"不在本会计年度",IF(AND($B433&lt;&gt;"",ISNUMBER($B433),$B434&lt;$B433),"日期比上一行早，余额按行序滚，建议按日期录","OK")))))))))))))))</f>
        <v/>
      </c>
      <c r="O434" s="58" t="str">
        <f aca="false">IF($B434="","",TEXT($B434,"yyyy-mm"))</f>
        <v/>
      </c>
      <c r="P434" s="60" t="str">
        <f aca="false">IF($E434="","",ROUND(N($I434)+N($J434),2))</f>
        <v/>
      </c>
      <c r="Q434" s="58" t="str">
        <f aca="false">IF($D434="","",IFERROR(INDEX(资金账户!$F$6:$F$25,MATCH($D434,资金账户!$B$6:$B$25,0)),""))</f>
        <v/>
      </c>
      <c r="R434" s="58" t="str">
        <f aca="false">IF($E434="","",IFERROR(IF(INDEX(记账规则!$A$13:$H$32,MATCH($E434,记账规则!$A$13:$A$32,0),4)="借","收","支"),""))</f>
        <v/>
      </c>
      <c r="S434" s="57" t="str">
        <f aca="false">IF($D434="","",ROUND(SUMIFS(资金账户!$H$6:$H$25,资金账户!$B$6:$B$25,$D434)+SUMIFS($I$6:$I434,$D$6:$D434,$D434)-SUMIFS($J$6:$J434,$D$6:$D434,$D434),2))</f>
        <v/>
      </c>
      <c r="T434" s="61" t="str">
        <f aca="false">IF($B434="","",YEAR($B434))</f>
        <v/>
      </c>
    </row>
    <row r="435" customFormat="false" ht="15" hidden="false" customHeight="false" outlineLevel="0" collapsed="false">
      <c r="A435" s="53" t="str">
        <f aca="false">IF($B435="","",ROW()-5)</f>
        <v/>
      </c>
      <c r="B435" s="54"/>
      <c r="C435" s="33"/>
      <c r="D435" s="33"/>
      <c r="E435" s="33"/>
      <c r="F435" s="32"/>
      <c r="G435" s="41"/>
      <c r="H435" s="39"/>
      <c r="I435" s="43"/>
      <c r="J435" s="43"/>
      <c r="K435" s="41"/>
      <c r="L435" s="39"/>
      <c r="M435" s="41"/>
      <c r="N435" s="25" t="str">
        <f aca="false">IF(AND($B435="",$E435="",$I435="",$J435=""),"",IF(NOT(ISNUMBER($B435)),"日期无效",IF(ISNA(MATCH($C435,参数设置!$A$10:$A$12,0)),"公司无效",IF(ISNA(MATCH($D435,资金账户!$B$6:$B$25,0)),"账户未建档",IF(ISNA(MATCH($E435,记账规则!$A$13:$A$32,0)),"业务类型无效",IF(AND(N($I435)&lt;&gt;0,N($J435)&lt;&gt;0),"收入和支出只能填一列",IF($P435=0,"金额为 0",IF(AND($R435="收",N($I435)=0),"这类业务是收款，金额填到收入列",IF(AND($R435="支",N($J435)=0),"这类业务是付款，金额填到支出列",IF(AND(SUMPRODUCT(--(INDEX(记账规则!$A$13:$H$32,MATCH($E435,记账规则!$A$13:$A$32,0),0)="@对方"))&gt;0,$G435=""),"这个类型要填对方科目",IF(AND($G435&lt;&gt;"",ISNA(MATCH($G435,会计科目表!$B$6:$B$85,0))),"对方科目不存在",IF(AND($E435="缴纳税费",$H435=""),"缴税请在费用项目里选税种",IF(AND($F435&lt;&gt;"",ISNA(MATCH($F435,往来单位!$A$6:$A$85,0))),"往来单位未建档",IF(YEAR($B435)&lt;&gt;参数设置!$B$5,"不在本会计年度",IF(AND($B434&lt;&gt;"",ISNUMBER($B434),$B435&lt;$B434),"日期比上一行早，余额按行序滚，建议按日期录","OK")))))))))))))))</f>
        <v/>
      </c>
      <c r="O435" s="58" t="str">
        <f aca="false">IF($B435="","",TEXT($B435,"yyyy-mm"))</f>
        <v/>
      </c>
      <c r="P435" s="60" t="str">
        <f aca="false">IF($E435="","",ROUND(N($I435)+N($J435),2))</f>
        <v/>
      </c>
      <c r="Q435" s="58" t="str">
        <f aca="false">IF($D435="","",IFERROR(INDEX(资金账户!$F$6:$F$25,MATCH($D435,资金账户!$B$6:$B$25,0)),""))</f>
        <v/>
      </c>
      <c r="R435" s="58" t="str">
        <f aca="false">IF($E435="","",IFERROR(IF(INDEX(记账规则!$A$13:$H$32,MATCH($E435,记账规则!$A$13:$A$32,0),4)="借","收","支"),""))</f>
        <v/>
      </c>
      <c r="S435" s="57" t="str">
        <f aca="false">IF($D435="","",ROUND(SUMIFS(资金账户!$H$6:$H$25,资金账户!$B$6:$B$25,$D435)+SUMIFS($I$6:$I435,$D$6:$D435,$D435)-SUMIFS($J$6:$J435,$D$6:$D435,$D435),2))</f>
        <v/>
      </c>
      <c r="T435" s="61" t="str">
        <f aca="false">IF($B435="","",YEAR($B435))</f>
        <v/>
      </c>
    </row>
    <row r="436" customFormat="false" ht="15" hidden="false" customHeight="false" outlineLevel="0" collapsed="false">
      <c r="A436" s="53" t="str">
        <f aca="false">IF($B436="","",ROW()-5)</f>
        <v/>
      </c>
      <c r="B436" s="54"/>
      <c r="C436" s="33"/>
      <c r="D436" s="33"/>
      <c r="E436" s="33"/>
      <c r="F436" s="32"/>
      <c r="G436" s="41"/>
      <c r="H436" s="39"/>
      <c r="I436" s="43"/>
      <c r="J436" s="43"/>
      <c r="K436" s="41"/>
      <c r="L436" s="39"/>
      <c r="M436" s="41"/>
      <c r="N436" s="25" t="str">
        <f aca="false">IF(AND($B436="",$E436="",$I436="",$J436=""),"",IF(NOT(ISNUMBER($B436)),"日期无效",IF(ISNA(MATCH($C436,参数设置!$A$10:$A$12,0)),"公司无效",IF(ISNA(MATCH($D436,资金账户!$B$6:$B$25,0)),"账户未建档",IF(ISNA(MATCH($E436,记账规则!$A$13:$A$32,0)),"业务类型无效",IF(AND(N($I436)&lt;&gt;0,N($J436)&lt;&gt;0),"收入和支出只能填一列",IF($P436=0,"金额为 0",IF(AND($R436="收",N($I436)=0),"这类业务是收款，金额填到收入列",IF(AND($R436="支",N($J436)=0),"这类业务是付款，金额填到支出列",IF(AND(SUMPRODUCT(--(INDEX(记账规则!$A$13:$H$32,MATCH($E436,记账规则!$A$13:$A$32,0),0)="@对方"))&gt;0,$G436=""),"这个类型要填对方科目",IF(AND($G436&lt;&gt;"",ISNA(MATCH($G436,会计科目表!$B$6:$B$85,0))),"对方科目不存在",IF(AND($E436="缴纳税费",$H436=""),"缴税请在费用项目里选税种",IF(AND($F436&lt;&gt;"",ISNA(MATCH($F436,往来单位!$A$6:$A$85,0))),"往来单位未建档",IF(YEAR($B436)&lt;&gt;参数设置!$B$5,"不在本会计年度",IF(AND($B435&lt;&gt;"",ISNUMBER($B435),$B436&lt;$B435),"日期比上一行早，余额按行序滚，建议按日期录","OK")))))))))))))))</f>
        <v/>
      </c>
      <c r="O436" s="58" t="str">
        <f aca="false">IF($B436="","",TEXT($B436,"yyyy-mm"))</f>
        <v/>
      </c>
      <c r="P436" s="60" t="str">
        <f aca="false">IF($E436="","",ROUND(N($I436)+N($J436),2))</f>
        <v/>
      </c>
      <c r="Q436" s="58" t="str">
        <f aca="false">IF($D436="","",IFERROR(INDEX(资金账户!$F$6:$F$25,MATCH($D436,资金账户!$B$6:$B$25,0)),""))</f>
        <v/>
      </c>
      <c r="R436" s="58" t="str">
        <f aca="false">IF($E436="","",IFERROR(IF(INDEX(记账规则!$A$13:$H$32,MATCH($E436,记账规则!$A$13:$A$32,0),4)="借","收","支"),""))</f>
        <v/>
      </c>
      <c r="S436" s="57" t="str">
        <f aca="false">IF($D436="","",ROUND(SUMIFS(资金账户!$H$6:$H$25,资金账户!$B$6:$B$25,$D436)+SUMIFS($I$6:$I436,$D$6:$D436,$D436)-SUMIFS($J$6:$J436,$D$6:$D436,$D436),2))</f>
        <v/>
      </c>
      <c r="T436" s="61" t="str">
        <f aca="false">IF($B436="","",YEAR($B436))</f>
        <v/>
      </c>
    </row>
    <row r="437" customFormat="false" ht="15" hidden="false" customHeight="false" outlineLevel="0" collapsed="false">
      <c r="A437" s="53" t="str">
        <f aca="false">IF($B437="","",ROW()-5)</f>
        <v/>
      </c>
      <c r="B437" s="54"/>
      <c r="C437" s="33"/>
      <c r="D437" s="33"/>
      <c r="E437" s="33"/>
      <c r="F437" s="32"/>
      <c r="G437" s="41"/>
      <c r="H437" s="39"/>
      <c r="I437" s="43"/>
      <c r="J437" s="43"/>
      <c r="K437" s="41"/>
      <c r="L437" s="39"/>
      <c r="M437" s="41"/>
      <c r="N437" s="25" t="str">
        <f aca="false">IF(AND($B437="",$E437="",$I437="",$J437=""),"",IF(NOT(ISNUMBER($B437)),"日期无效",IF(ISNA(MATCH($C437,参数设置!$A$10:$A$12,0)),"公司无效",IF(ISNA(MATCH($D437,资金账户!$B$6:$B$25,0)),"账户未建档",IF(ISNA(MATCH($E437,记账规则!$A$13:$A$32,0)),"业务类型无效",IF(AND(N($I437)&lt;&gt;0,N($J437)&lt;&gt;0),"收入和支出只能填一列",IF($P437=0,"金额为 0",IF(AND($R437="收",N($I437)=0),"这类业务是收款，金额填到收入列",IF(AND($R437="支",N($J437)=0),"这类业务是付款，金额填到支出列",IF(AND(SUMPRODUCT(--(INDEX(记账规则!$A$13:$H$32,MATCH($E437,记账规则!$A$13:$A$32,0),0)="@对方"))&gt;0,$G437=""),"这个类型要填对方科目",IF(AND($G437&lt;&gt;"",ISNA(MATCH($G437,会计科目表!$B$6:$B$85,0))),"对方科目不存在",IF(AND($E437="缴纳税费",$H437=""),"缴税请在费用项目里选税种",IF(AND($F437&lt;&gt;"",ISNA(MATCH($F437,往来单位!$A$6:$A$85,0))),"往来单位未建档",IF(YEAR($B437)&lt;&gt;参数设置!$B$5,"不在本会计年度",IF(AND($B436&lt;&gt;"",ISNUMBER($B436),$B437&lt;$B436),"日期比上一行早，余额按行序滚，建议按日期录","OK")))))))))))))))</f>
        <v/>
      </c>
      <c r="O437" s="58" t="str">
        <f aca="false">IF($B437="","",TEXT($B437,"yyyy-mm"))</f>
        <v/>
      </c>
      <c r="P437" s="60" t="str">
        <f aca="false">IF($E437="","",ROUND(N($I437)+N($J437),2))</f>
        <v/>
      </c>
      <c r="Q437" s="58" t="str">
        <f aca="false">IF($D437="","",IFERROR(INDEX(资金账户!$F$6:$F$25,MATCH($D437,资金账户!$B$6:$B$25,0)),""))</f>
        <v/>
      </c>
      <c r="R437" s="58" t="str">
        <f aca="false">IF($E437="","",IFERROR(IF(INDEX(记账规则!$A$13:$H$32,MATCH($E437,记账规则!$A$13:$A$32,0),4)="借","收","支"),""))</f>
        <v/>
      </c>
      <c r="S437" s="57" t="str">
        <f aca="false">IF($D437="","",ROUND(SUMIFS(资金账户!$H$6:$H$25,资金账户!$B$6:$B$25,$D437)+SUMIFS($I$6:$I437,$D$6:$D437,$D437)-SUMIFS($J$6:$J437,$D$6:$D437,$D437),2))</f>
        <v/>
      </c>
      <c r="T437" s="61" t="str">
        <f aca="false">IF($B437="","",YEAR($B437))</f>
        <v/>
      </c>
    </row>
    <row r="438" customFormat="false" ht="15" hidden="false" customHeight="false" outlineLevel="0" collapsed="false">
      <c r="A438" s="53" t="str">
        <f aca="false">IF($B438="","",ROW()-5)</f>
        <v/>
      </c>
      <c r="B438" s="54"/>
      <c r="C438" s="33"/>
      <c r="D438" s="33"/>
      <c r="E438" s="33"/>
      <c r="F438" s="32"/>
      <c r="G438" s="41"/>
      <c r="H438" s="39"/>
      <c r="I438" s="43"/>
      <c r="J438" s="43"/>
      <c r="K438" s="41"/>
      <c r="L438" s="39"/>
      <c r="M438" s="41"/>
      <c r="N438" s="25" t="str">
        <f aca="false">IF(AND($B438="",$E438="",$I438="",$J438=""),"",IF(NOT(ISNUMBER($B438)),"日期无效",IF(ISNA(MATCH($C438,参数设置!$A$10:$A$12,0)),"公司无效",IF(ISNA(MATCH($D438,资金账户!$B$6:$B$25,0)),"账户未建档",IF(ISNA(MATCH($E438,记账规则!$A$13:$A$32,0)),"业务类型无效",IF(AND(N($I438)&lt;&gt;0,N($J438)&lt;&gt;0),"收入和支出只能填一列",IF($P438=0,"金额为 0",IF(AND($R438="收",N($I438)=0),"这类业务是收款，金额填到收入列",IF(AND($R438="支",N($J438)=0),"这类业务是付款，金额填到支出列",IF(AND(SUMPRODUCT(--(INDEX(记账规则!$A$13:$H$32,MATCH($E438,记账规则!$A$13:$A$32,0),0)="@对方"))&gt;0,$G438=""),"这个类型要填对方科目",IF(AND($G438&lt;&gt;"",ISNA(MATCH($G438,会计科目表!$B$6:$B$85,0))),"对方科目不存在",IF(AND($E438="缴纳税费",$H438=""),"缴税请在费用项目里选税种",IF(AND($F438&lt;&gt;"",ISNA(MATCH($F438,往来单位!$A$6:$A$85,0))),"往来单位未建档",IF(YEAR($B438)&lt;&gt;参数设置!$B$5,"不在本会计年度",IF(AND($B437&lt;&gt;"",ISNUMBER($B437),$B438&lt;$B437),"日期比上一行早，余额按行序滚，建议按日期录","OK")))))))))))))))</f>
        <v/>
      </c>
      <c r="O438" s="58" t="str">
        <f aca="false">IF($B438="","",TEXT($B438,"yyyy-mm"))</f>
        <v/>
      </c>
      <c r="P438" s="60" t="str">
        <f aca="false">IF($E438="","",ROUND(N($I438)+N($J438),2))</f>
        <v/>
      </c>
      <c r="Q438" s="58" t="str">
        <f aca="false">IF($D438="","",IFERROR(INDEX(资金账户!$F$6:$F$25,MATCH($D438,资金账户!$B$6:$B$25,0)),""))</f>
        <v/>
      </c>
      <c r="R438" s="58" t="str">
        <f aca="false">IF($E438="","",IFERROR(IF(INDEX(记账规则!$A$13:$H$32,MATCH($E438,记账规则!$A$13:$A$32,0),4)="借","收","支"),""))</f>
        <v/>
      </c>
      <c r="S438" s="57" t="str">
        <f aca="false">IF($D438="","",ROUND(SUMIFS(资金账户!$H$6:$H$25,资金账户!$B$6:$B$25,$D438)+SUMIFS($I$6:$I438,$D$6:$D438,$D438)-SUMIFS($J$6:$J438,$D$6:$D438,$D438),2))</f>
        <v/>
      </c>
      <c r="T438" s="61" t="str">
        <f aca="false">IF($B438="","",YEAR($B438))</f>
        <v/>
      </c>
    </row>
    <row r="439" customFormat="false" ht="15" hidden="false" customHeight="false" outlineLevel="0" collapsed="false">
      <c r="A439" s="53" t="str">
        <f aca="false">IF($B439="","",ROW()-5)</f>
        <v/>
      </c>
      <c r="B439" s="54"/>
      <c r="C439" s="33"/>
      <c r="D439" s="33"/>
      <c r="E439" s="33"/>
      <c r="F439" s="32"/>
      <c r="G439" s="41"/>
      <c r="H439" s="39"/>
      <c r="I439" s="43"/>
      <c r="J439" s="43"/>
      <c r="K439" s="41"/>
      <c r="L439" s="39"/>
      <c r="M439" s="41"/>
      <c r="N439" s="25" t="str">
        <f aca="false">IF(AND($B439="",$E439="",$I439="",$J439=""),"",IF(NOT(ISNUMBER($B439)),"日期无效",IF(ISNA(MATCH($C439,参数设置!$A$10:$A$12,0)),"公司无效",IF(ISNA(MATCH($D439,资金账户!$B$6:$B$25,0)),"账户未建档",IF(ISNA(MATCH($E439,记账规则!$A$13:$A$32,0)),"业务类型无效",IF(AND(N($I439)&lt;&gt;0,N($J439)&lt;&gt;0),"收入和支出只能填一列",IF($P439=0,"金额为 0",IF(AND($R439="收",N($I439)=0),"这类业务是收款，金额填到收入列",IF(AND($R439="支",N($J439)=0),"这类业务是付款，金额填到支出列",IF(AND(SUMPRODUCT(--(INDEX(记账规则!$A$13:$H$32,MATCH($E439,记账规则!$A$13:$A$32,0),0)="@对方"))&gt;0,$G439=""),"这个类型要填对方科目",IF(AND($G439&lt;&gt;"",ISNA(MATCH($G439,会计科目表!$B$6:$B$85,0))),"对方科目不存在",IF(AND($E439="缴纳税费",$H439=""),"缴税请在费用项目里选税种",IF(AND($F439&lt;&gt;"",ISNA(MATCH($F439,往来单位!$A$6:$A$85,0))),"往来单位未建档",IF(YEAR($B439)&lt;&gt;参数设置!$B$5,"不在本会计年度",IF(AND($B438&lt;&gt;"",ISNUMBER($B438),$B439&lt;$B438),"日期比上一行早，余额按行序滚，建议按日期录","OK")))))))))))))))</f>
        <v/>
      </c>
      <c r="O439" s="58" t="str">
        <f aca="false">IF($B439="","",TEXT($B439,"yyyy-mm"))</f>
        <v/>
      </c>
      <c r="P439" s="60" t="str">
        <f aca="false">IF($E439="","",ROUND(N($I439)+N($J439),2))</f>
        <v/>
      </c>
      <c r="Q439" s="58" t="str">
        <f aca="false">IF($D439="","",IFERROR(INDEX(资金账户!$F$6:$F$25,MATCH($D439,资金账户!$B$6:$B$25,0)),""))</f>
        <v/>
      </c>
      <c r="R439" s="58" t="str">
        <f aca="false">IF($E439="","",IFERROR(IF(INDEX(记账规则!$A$13:$H$32,MATCH($E439,记账规则!$A$13:$A$32,0),4)="借","收","支"),""))</f>
        <v/>
      </c>
      <c r="S439" s="57" t="str">
        <f aca="false">IF($D439="","",ROUND(SUMIFS(资金账户!$H$6:$H$25,资金账户!$B$6:$B$25,$D439)+SUMIFS($I$6:$I439,$D$6:$D439,$D439)-SUMIFS($J$6:$J439,$D$6:$D439,$D439),2))</f>
        <v/>
      </c>
      <c r="T439" s="61" t="str">
        <f aca="false">IF($B439="","",YEAR($B439))</f>
        <v/>
      </c>
    </row>
    <row r="440" customFormat="false" ht="15" hidden="false" customHeight="false" outlineLevel="0" collapsed="false">
      <c r="A440" s="53" t="str">
        <f aca="false">IF($B440="","",ROW()-5)</f>
        <v/>
      </c>
      <c r="B440" s="54"/>
      <c r="C440" s="33"/>
      <c r="D440" s="33"/>
      <c r="E440" s="33"/>
      <c r="F440" s="32"/>
      <c r="G440" s="41"/>
      <c r="H440" s="39"/>
      <c r="I440" s="43"/>
      <c r="J440" s="43"/>
      <c r="K440" s="41"/>
      <c r="L440" s="39"/>
      <c r="M440" s="41"/>
      <c r="N440" s="25" t="str">
        <f aca="false">IF(AND($B440="",$E440="",$I440="",$J440=""),"",IF(NOT(ISNUMBER($B440)),"日期无效",IF(ISNA(MATCH($C440,参数设置!$A$10:$A$12,0)),"公司无效",IF(ISNA(MATCH($D440,资金账户!$B$6:$B$25,0)),"账户未建档",IF(ISNA(MATCH($E440,记账规则!$A$13:$A$32,0)),"业务类型无效",IF(AND(N($I440)&lt;&gt;0,N($J440)&lt;&gt;0),"收入和支出只能填一列",IF($P440=0,"金额为 0",IF(AND($R440="收",N($I440)=0),"这类业务是收款，金额填到收入列",IF(AND($R440="支",N($J440)=0),"这类业务是付款，金额填到支出列",IF(AND(SUMPRODUCT(--(INDEX(记账规则!$A$13:$H$32,MATCH($E440,记账规则!$A$13:$A$32,0),0)="@对方"))&gt;0,$G440=""),"这个类型要填对方科目",IF(AND($G440&lt;&gt;"",ISNA(MATCH($G440,会计科目表!$B$6:$B$85,0))),"对方科目不存在",IF(AND($E440="缴纳税费",$H440=""),"缴税请在费用项目里选税种",IF(AND($F440&lt;&gt;"",ISNA(MATCH($F440,往来单位!$A$6:$A$85,0))),"往来单位未建档",IF(YEAR($B440)&lt;&gt;参数设置!$B$5,"不在本会计年度",IF(AND($B439&lt;&gt;"",ISNUMBER($B439),$B440&lt;$B439),"日期比上一行早，余额按行序滚，建议按日期录","OK")))))))))))))))</f>
        <v/>
      </c>
      <c r="O440" s="58" t="str">
        <f aca="false">IF($B440="","",TEXT($B440,"yyyy-mm"))</f>
        <v/>
      </c>
      <c r="P440" s="60" t="str">
        <f aca="false">IF($E440="","",ROUND(N($I440)+N($J440),2))</f>
        <v/>
      </c>
      <c r="Q440" s="58" t="str">
        <f aca="false">IF($D440="","",IFERROR(INDEX(资金账户!$F$6:$F$25,MATCH($D440,资金账户!$B$6:$B$25,0)),""))</f>
        <v/>
      </c>
      <c r="R440" s="58" t="str">
        <f aca="false">IF($E440="","",IFERROR(IF(INDEX(记账规则!$A$13:$H$32,MATCH($E440,记账规则!$A$13:$A$32,0),4)="借","收","支"),""))</f>
        <v/>
      </c>
      <c r="S440" s="57" t="str">
        <f aca="false">IF($D440="","",ROUND(SUMIFS(资金账户!$H$6:$H$25,资金账户!$B$6:$B$25,$D440)+SUMIFS($I$6:$I440,$D$6:$D440,$D440)-SUMIFS($J$6:$J440,$D$6:$D440,$D440),2))</f>
        <v/>
      </c>
      <c r="T440" s="61" t="str">
        <f aca="false">IF($B440="","",YEAR($B440))</f>
        <v/>
      </c>
    </row>
    <row r="441" customFormat="false" ht="15" hidden="false" customHeight="false" outlineLevel="0" collapsed="false">
      <c r="A441" s="53" t="str">
        <f aca="false">IF($B441="","",ROW()-5)</f>
        <v/>
      </c>
      <c r="B441" s="54"/>
      <c r="C441" s="33"/>
      <c r="D441" s="33"/>
      <c r="E441" s="33"/>
      <c r="F441" s="32"/>
      <c r="G441" s="41"/>
      <c r="H441" s="39"/>
      <c r="I441" s="43"/>
      <c r="J441" s="43"/>
      <c r="K441" s="41"/>
      <c r="L441" s="39"/>
      <c r="M441" s="41"/>
      <c r="N441" s="25" t="str">
        <f aca="false">IF(AND($B441="",$E441="",$I441="",$J441=""),"",IF(NOT(ISNUMBER($B441)),"日期无效",IF(ISNA(MATCH($C441,参数设置!$A$10:$A$12,0)),"公司无效",IF(ISNA(MATCH($D441,资金账户!$B$6:$B$25,0)),"账户未建档",IF(ISNA(MATCH($E441,记账规则!$A$13:$A$32,0)),"业务类型无效",IF(AND(N($I441)&lt;&gt;0,N($J441)&lt;&gt;0),"收入和支出只能填一列",IF($P441=0,"金额为 0",IF(AND($R441="收",N($I441)=0),"这类业务是收款，金额填到收入列",IF(AND($R441="支",N($J441)=0),"这类业务是付款，金额填到支出列",IF(AND(SUMPRODUCT(--(INDEX(记账规则!$A$13:$H$32,MATCH($E441,记账规则!$A$13:$A$32,0),0)="@对方"))&gt;0,$G441=""),"这个类型要填对方科目",IF(AND($G441&lt;&gt;"",ISNA(MATCH($G441,会计科目表!$B$6:$B$85,0))),"对方科目不存在",IF(AND($E441="缴纳税费",$H441=""),"缴税请在费用项目里选税种",IF(AND($F441&lt;&gt;"",ISNA(MATCH($F441,往来单位!$A$6:$A$85,0))),"往来单位未建档",IF(YEAR($B441)&lt;&gt;参数设置!$B$5,"不在本会计年度",IF(AND($B440&lt;&gt;"",ISNUMBER($B440),$B441&lt;$B440),"日期比上一行早，余额按行序滚，建议按日期录","OK")))))))))))))))</f>
        <v/>
      </c>
      <c r="O441" s="58" t="str">
        <f aca="false">IF($B441="","",TEXT($B441,"yyyy-mm"))</f>
        <v/>
      </c>
      <c r="P441" s="60" t="str">
        <f aca="false">IF($E441="","",ROUND(N($I441)+N($J441),2))</f>
        <v/>
      </c>
      <c r="Q441" s="58" t="str">
        <f aca="false">IF($D441="","",IFERROR(INDEX(资金账户!$F$6:$F$25,MATCH($D441,资金账户!$B$6:$B$25,0)),""))</f>
        <v/>
      </c>
      <c r="R441" s="58" t="str">
        <f aca="false">IF($E441="","",IFERROR(IF(INDEX(记账规则!$A$13:$H$32,MATCH($E441,记账规则!$A$13:$A$32,0),4)="借","收","支"),""))</f>
        <v/>
      </c>
      <c r="S441" s="57" t="str">
        <f aca="false">IF($D441="","",ROUND(SUMIFS(资金账户!$H$6:$H$25,资金账户!$B$6:$B$25,$D441)+SUMIFS($I$6:$I441,$D$6:$D441,$D441)-SUMIFS($J$6:$J441,$D$6:$D441,$D441),2))</f>
        <v/>
      </c>
      <c r="T441" s="61" t="str">
        <f aca="false">IF($B441="","",YEAR($B441))</f>
        <v/>
      </c>
    </row>
    <row r="442" customFormat="false" ht="15" hidden="false" customHeight="false" outlineLevel="0" collapsed="false">
      <c r="A442" s="53" t="str">
        <f aca="false">IF($B442="","",ROW()-5)</f>
        <v/>
      </c>
      <c r="B442" s="54"/>
      <c r="C442" s="33"/>
      <c r="D442" s="33"/>
      <c r="E442" s="33"/>
      <c r="F442" s="32"/>
      <c r="G442" s="41"/>
      <c r="H442" s="39"/>
      <c r="I442" s="43"/>
      <c r="J442" s="43"/>
      <c r="K442" s="41"/>
      <c r="L442" s="39"/>
      <c r="M442" s="41"/>
      <c r="N442" s="25" t="str">
        <f aca="false">IF(AND($B442="",$E442="",$I442="",$J442=""),"",IF(NOT(ISNUMBER($B442)),"日期无效",IF(ISNA(MATCH($C442,参数设置!$A$10:$A$12,0)),"公司无效",IF(ISNA(MATCH($D442,资金账户!$B$6:$B$25,0)),"账户未建档",IF(ISNA(MATCH($E442,记账规则!$A$13:$A$32,0)),"业务类型无效",IF(AND(N($I442)&lt;&gt;0,N($J442)&lt;&gt;0),"收入和支出只能填一列",IF($P442=0,"金额为 0",IF(AND($R442="收",N($I442)=0),"这类业务是收款，金额填到收入列",IF(AND($R442="支",N($J442)=0),"这类业务是付款，金额填到支出列",IF(AND(SUMPRODUCT(--(INDEX(记账规则!$A$13:$H$32,MATCH($E442,记账规则!$A$13:$A$32,0),0)="@对方"))&gt;0,$G442=""),"这个类型要填对方科目",IF(AND($G442&lt;&gt;"",ISNA(MATCH($G442,会计科目表!$B$6:$B$85,0))),"对方科目不存在",IF(AND($E442="缴纳税费",$H442=""),"缴税请在费用项目里选税种",IF(AND($F442&lt;&gt;"",ISNA(MATCH($F442,往来单位!$A$6:$A$85,0))),"往来单位未建档",IF(YEAR($B442)&lt;&gt;参数设置!$B$5,"不在本会计年度",IF(AND($B441&lt;&gt;"",ISNUMBER($B441),$B442&lt;$B441),"日期比上一行早，余额按行序滚，建议按日期录","OK")))))))))))))))</f>
        <v/>
      </c>
      <c r="O442" s="58" t="str">
        <f aca="false">IF($B442="","",TEXT($B442,"yyyy-mm"))</f>
        <v/>
      </c>
      <c r="P442" s="60" t="str">
        <f aca="false">IF($E442="","",ROUND(N($I442)+N($J442),2))</f>
        <v/>
      </c>
      <c r="Q442" s="58" t="str">
        <f aca="false">IF($D442="","",IFERROR(INDEX(资金账户!$F$6:$F$25,MATCH($D442,资金账户!$B$6:$B$25,0)),""))</f>
        <v/>
      </c>
      <c r="R442" s="58" t="str">
        <f aca="false">IF($E442="","",IFERROR(IF(INDEX(记账规则!$A$13:$H$32,MATCH($E442,记账规则!$A$13:$A$32,0),4)="借","收","支"),""))</f>
        <v/>
      </c>
      <c r="S442" s="57" t="str">
        <f aca="false">IF($D442="","",ROUND(SUMIFS(资金账户!$H$6:$H$25,资金账户!$B$6:$B$25,$D442)+SUMIFS($I$6:$I442,$D$6:$D442,$D442)-SUMIFS($J$6:$J442,$D$6:$D442,$D442),2))</f>
        <v/>
      </c>
      <c r="T442" s="61" t="str">
        <f aca="false">IF($B442="","",YEAR($B442))</f>
        <v/>
      </c>
    </row>
    <row r="443" customFormat="false" ht="15" hidden="false" customHeight="false" outlineLevel="0" collapsed="false">
      <c r="A443" s="53" t="str">
        <f aca="false">IF($B443="","",ROW()-5)</f>
        <v/>
      </c>
      <c r="B443" s="54"/>
      <c r="C443" s="33"/>
      <c r="D443" s="33"/>
      <c r="E443" s="33"/>
      <c r="F443" s="32"/>
      <c r="G443" s="41"/>
      <c r="H443" s="39"/>
      <c r="I443" s="43"/>
      <c r="J443" s="43"/>
      <c r="K443" s="41"/>
      <c r="L443" s="39"/>
      <c r="M443" s="41"/>
      <c r="N443" s="25" t="str">
        <f aca="false">IF(AND($B443="",$E443="",$I443="",$J443=""),"",IF(NOT(ISNUMBER($B443)),"日期无效",IF(ISNA(MATCH($C443,参数设置!$A$10:$A$12,0)),"公司无效",IF(ISNA(MATCH($D443,资金账户!$B$6:$B$25,0)),"账户未建档",IF(ISNA(MATCH($E443,记账规则!$A$13:$A$32,0)),"业务类型无效",IF(AND(N($I443)&lt;&gt;0,N($J443)&lt;&gt;0),"收入和支出只能填一列",IF($P443=0,"金额为 0",IF(AND($R443="收",N($I443)=0),"这类业务是收款，金额填到收入列",IF(AND($R443="支",N($J443)=0),"这类业务是付款，金额填到支出列",IF(AND(SUMPRODUCT(--(INDEX(记账规则!$A$13:$H$32,MATCH($E443,记账规则!$A$13:$A$32,0),0)="@对方"))&gt;0,$G443=""),"这个类型要填对方科目",IF(AND($G443&lt;&gt;"",ISNA(MATCH($G443,会计科目表!$B$6:$B$85,0))),"对方科目不存在",IF(AND($E443="缴纳税费",$H443=""),"缴税请在费用项目里选税种",IF(AND($F443&lt;&gt;"",ISNA(MATCH($F443,往来单位!$A$6:$A$85,0))),"往来单位未建档",IF(YEAR($B443)&lt;&gt;参数设置!$B$5,"不在本会计年度",IF(AND($B442&lt;&gt;"",ISNUMBER($B442),$B443&lt;$B442),"日期比上一行早，余额按行序滚，建议按日期录","OK")))))))))))))))</f>
        <v/>
      </c>
      <c r="O443" s="58" t="str">
        <f aca="false">IF($B443="","",TEXT($B443,"yyyy-mm"))</f>
        <v/>
      </c>
      <c r="P443" s="60" t="str">
        <f aca="false">IF($E443="","",ROUND(N($I443)+N($J443),2))</f>
        <v/>
      </c>
      <c r="Q443" s="58" t="str">
        <f aca="false">IF($D443="","",IFERROR(INDEX(资金账户!$F$6:$F$25,MATCH($D443,资金账户!$B$6:$B$25,0)),""))</f>
        <v/>
      </c>
      <c r="R443" s="58" t="str">
        <f aca="false">IF($E443="","",IFERROR(IF(INDEX(记账规则!$A$13:$H$32,MATCH($E443,记账规则!$A$13:$A$32,0),4)="借","收","支"),""))</f>
        <v/>
      </c>
      <c r="S443" s="57" t="str">
        <f aca="false">IF($D443="","",ROUND(SUMIFS(资金账户!$H$6:$H$25,资金账户!$B$6:$B$25,$D443)+SUMIFS($I$6:$I443,$D$6:$D443,$D443)-SUMIFS($J$6:$J443,$D$6:$D443,$D443),2))</f>
        <v/>
      </c>
      <c r="T443" s="61" t="str">
        <f aca="false">IF($B443="","",YEAR($B443))</f>
        <v/>
      </c>
    </row>
    <row r="444" customFormat="false" ht="15" hidden="false" customHeight="false" outlineLevel="0" collapsed="false">
      <c r="A444" s="53" t="str">
        <f aca="false">IF($B444="","",ROW()-5)</f>
        <v/>
      </c>
      <c r="B444" s="54"/>
      <c r="C444" s="33"/>
      <c r="D444" s="33"/>
      <c r="E444" s="33"/>
      <c r="F444" s="32"/>
      <c r="G444" s="41"/>
      <c r="H444" s="39"/>
      <c r="I444" s="43"/>
      <c r="J444" s="43"/>
      <c r="K444" s="41"/>
      <c r="L444" s="39"/>
      <c r="M444" s="41"/>
      <c r="N444" s="25" t="str">
        <f aca="false">IF(AND($B444="",$E444="",$I444="",$J444=""),"",IF(NOT(ISNUMBER($B444)),"日期无效",IF(ISNA(MATCH($C444,参数设置!$A$10:$A$12,0)),"公司无效",IF(ISNA(MATCH($D444,资金账户!$B$6:$B$25,0)),"账户未建档",IF(ISNA(MATCH($E444,记账规则!$A$13:$A$32,0)),"业务类型无效",IF(AND(N($I444)&lt;&gt;0,N($J444)&lt;&gt;0),"收入和支出只能填一列",IF($P444=0,"金额为 0",IF(AND($R444="收",N($I444)=0),"这类业务是收款，金额填到收入列",IF(AND($R444="支",N($J444)=0),"这类业务是付款，金额填到支出列",IF(AND(SUMPRODUCT(--(INDEX(记账规则!$A$13:$H$32,MATCH($E444,记账规则!$A$13:$A$32,0),0)="@对方"))&gt;0,$G444=""),"这个类型要填对方科目",IF(AND($G444&lt;&gt;"",ISNA(MATCH($G444,会计科目表!$B$6:$B$85,0))),"对方科目不存在",IF(AND($E444="缴纳税费",$H444=""),"缴税请在费用项目里选税种",IF(AND($F444&lt;&gt;"",ISNA(MATCH($F444,往来单位!$A$6:$A$85,0))),"往来单位未建档",IF(YEAR($B444)&lt;&gt;参数设置!$B$5,"不在本会计年度",IF(AND($B443&lt;&gt;"",ISNUMBER($B443),$B444&lt;$B443),"日期比上一行早，余额按行序滚，建议按日期录","OK")))))))))))))))</f>
        <v/>
      </c>
      <c r="O444" s="58" t="str">
        <f aca="false">IF($B444="","",TEXT($B444,"yyyy-mm"))</f>
        <v/>
      </c>
      <c r="P444" s="60" t="str">
        <f aca="false">IF($E444="","",ROUND(N($I444)+N($J444),2))</f>
        <v/>
      </c>
      <c r="Q444" s="58" t="str">
        <f aca="false">IF($D444="","",IFERROR(INDEX(资金账户!$F$6:$F$25,MATCH($D444,资金账户!$B$6:$B$25,0)),""))</f>
        <v/>
      </c>
      <c r="R444" s="58" t="str">
        <f aca="false">IF($E444="","",IFERROR(IF(INDEX(记账规则!$A$13:$H$32,MATCH($E444,记账规则!$A$13:$A$32,0),4)="借","收","支"),""))</f>
        <v/>
      </c>
      <c r="S444" s="57" t="str">
        <f aca="false">IF($D444="","",ROUND(SUMIFS(资金账户!$H$6:$H$25,资金账户!$B$6:$B$25,$D444)+SUMIFS($I$6:$I444,$D$6:$D444,$D444)-SUMIFS($J$6:$J444,$D$6:$D444,$D444),2))</f>
        <v/>
      </c>
      <c r="T444" s="61" t="str">
        <f aca="false">IF($B444="","",YEAR($B444))</f>
        <v/>
      </c>
    </row>
    <row r="445" customFormat="false" ht="15" hidden="false" customHeight="false" outlineLevel="0" collapsed="false">
      <c r="A445" s="53" t="str">
        <f aca="false">IF($B445="","",ROW()-5)</f>
        <v/>
      </c>
      <c r="B445" s="54"/>
      <c r="C445" s="33"/>
      <c r="D445" s="33"/>
      <c r="E445" s="33"/>
      <c r="F445" s="32"/>
      <c r="G445" s="41"/>
      <c r="H445" s="39"/>
      <c r="I445" s="43"/>
      <c r="J445" s="43"/>
      <c r="K445" s="41"/>
      <c r="L445" s="39"/>
      <c r="M445" s="41"/>
      <c r="N445" s="25" t="str">
        <f aca="false">IF(AND($B445="",$E445="",$I445="",$J445=""),"",IF(NOT(ISNUMBER($B445)),"日期无效",IF(ISNA(MATCH($C445,参数设置!$A$10:$A$12,0)),"公司无效",IF(ISNA(MATCH($D445,资金账户!$B$6:$B$25,0)),"账户未建档",IF(ISNA(MATCH($E445,记账规则!$A$13:$A$32,0)),"业务类型无效",IF(AND(N($I445)&lt;&gt;0,N($J445)&lt;&gt;0),"收入和支出只能填一列",IF($P445=0,"金额为 0",IF(AND($R445="收",N($I445)=0),"这类业务是收款，金额填到收入列",IF(AND($R445="支",N($J445)=0),"这类业务是付款，金额填到支出列",IF(AND(SUMPRODUCT(--(INDEX(记账规则!$A$13:$H$32,MATCH($E445,记账规则!$A$13:$A$32,0),0)="@对方"))&gt;0,$G445=""),"这个类型要填对方科目",IF(AND($G445&lt;&gt;"",ISNA(MATCH($G445,会计科目表!$B$6:$B$85,0))),"对方科目不存在",IF(AND($E445="缴纳税费",$H445=""),"缴税请在费用项目里选税种",IF(AND($F445&lt;&gt;"",ISNA(MATCH($F445,往来单位!$A$6:$A$85,0))),"往来单位未建档",IF(YEAR($B445)&lt;&gt;参数设置!$B$5,"不在本会计年度",IF(AND($B444&lt;&gt;"",ISNUMBER($B444),$B445&lt;$B444),"日期比上一行早，余额按行序滚，建议按日期录","OK")))))))))))))))</f>
        <v/>
      </c>
      <c r="O445" s="58" t="str">
        <f aca="false">IF($B445="","",TEXT($B445,"yyyy-mm"))</f>
        <v/>
      </c>
      <c r="P445" s="60" t="str">
        <f aca="false">IF($E445="","",ROUND(N($I445)+N($J445),2))</f>
        <v/>
      </c>
      <c r="Q445" s="58" t="str">
        <f aca="false">IF($D445="","",IFERROR(INDEX(资金账户!$F$6:$F$25,MATCH($D445,资金账户!$B$6:$B$25,0)),""))</f>
        <v/>
      </c>
      <c r="R445" s="58" t="str">
        <f aca="false">IF($E445="","",IFERROR(IF(INDEX(记账规则!$A$13:$H$32,MATCH($E445,记账规则!$A$13:$A$32,0),4)="借","收","支"),""))</f>
        <v/>
      </c>
      <c r="S445" s="57" t="str">
        <f aca="false">IF($D445="","",ROUND(SUMIFS(资金账户!$H$6:$H$25,资金账户!$B$6:$B$25,$D445)+SUMIFS($I$6:$I445,$D$6:$D445,$D445)-SUMIFS($J$6:$J445,$D$6:$D445,$D445),2))</f>
        <v/>
      </c>
      <c r="T445" s="61" t="str">
        <f aca="false">IF($B445="","",YEAR($B445))</f>
        <v/>
      </c>
    </row>
    <row r="446" customFormat="false" ht="15" hidden="false" customHeight="false" outlineLevel="0" collapsed="false">
      <c r="A446" s="53" t="str">
        <f aca="false">IF($B446="","",ROW()-5)</f>
        <v/>
      </c>
      <c r="B446" s="54"/>
      <c r="C446" s="33"/>
      <c r="D446" s="33"/>
      <c r="E446" s="33"/>
      <c r="F446" s="32"/>
      <c r="G446" s="41"/>
      <c r="H446" s="39"/>
      <c r="I446" s="43"/>
      <c r="J446" s="43"/>
      <c r="K446" s="41"/>
      <c r="L446" s="39"/>
      <c r="M446" s="41"/>
      <c r="N446" s="25" t="str">
        <f aca="false">IF(AND($B446="",$E446="",$I446="",$J446=""),"",IF(NOT(ISNUMBER($B446)),"日期无效",IF(ISNA(MATCH($C446,参数设置!$A$10:$A$12,0)),"公司无效",IF(ISNA(MATCH($D446,资金账户!$B$6:$B$25,0)),"账户未建档",IF(ISNA(MATCH($E446,记账规则!$A$13:$A$32,0)),"业务类型无效",IF(AND(N($I446)&lt;&gt;0,N($J446)&lt;&gt;0),"收入和支出只能填一列",IF($P446=0,"金额为 0",IF(AND($R446="收",N($I446)=0),"这类业务是收款，金额填到收入列",IF(AND($R446="支",N($J446)=0),"这类业务是付款，金额填到支出列",IF(AND(SUMPRODUCT(--(INDEX(记账规则!$A$13:$H$32,MATCH($E446,记账规则!$A$13:$A$32,0),0)="@对方"))&gt;0,$G446=""),"这个类型要填对方科目",IF(AND($G446&lt;&gt;"",ISNA(MATCH($G446,会计科目表!$B$6:$B$85,0))),"对方科目不存在",IF(AND($E446="缴纳税费",$H446=""),"缴税请在费用项目里选税种",IF(AND($F446&lt;&gt;"",ISNA(MATCH($F446,往来单位!$A$6:$A$85,0))),"往来单位未建档",IF(YEAR($B446)&lt;&gt;参数设置!$B$5,"不在本会计年度",IF(AND($B445&lt;&gt;"",ISNUMBER($B445),$B446&lt;$B445),"日期比上一行早，余额按行序滚，建议按日期录","OK")))))))))))))))</f>
        <v/>
      </c>
      <c r="O446" s="58" t="str">
        <f aca="false">IF($B446="","",TEXT($B446,"yyyy-mm"))</f>
        <v/>
      </c>
      <c r="P446" s="60" t="str">
        <f aca="false">IF($E446="","",ROUND(N($I446)+N($J446),2))</f>
        <v/>
      </c>
      <c r="Q446" s="58" t="str">
        <f aca="false">IF($D446="","",IFERROR(INDEX(资金账户!$F$6:$F$25,MATCH($D446,资金账户!$B$6:$B$25,0)),""))</f>
        <v/>
      </c>
      <c r="R446" s="58" t="str">
        <f aca="false">IF($E446="","",IFERROR(IF(INDEX(记账规则!$A$13:$H$32,MATCH($E446,记账规则!$A$13:$A$32,0),4)="借","收","支"),""))</f>
        <v/>
      </c>
      <c r="S446" s="57" t="str">
        <f aca="false">IF($D446="","",ROUND(SUMIFS(资金账户!$H$6:$H$25,资金账户!$B$6:$B$25,$D446)+SUMIFS($I$6:$I446,$D$6:$D446,$D446)-SUMIFS($J$6:$J446,$D$6:$D446,$D446),2))</f>
        <v/>
      </c>
      <c r="T446" s="61" t="str">
        <f aca="false">IF($B446="","",YEAR($B446))</f>
        <v/>
      </c>
    </row>
    <row r="447" customFormat="false" ht="15" hidden="false" customHeight="false" outlineLevel="0" collapsed="false">
      <c r="A447" s="53" t="str">
        <f aca="false">IF($B447="","",ROW()-5)</f>
        <v/>
      </c>
      <c r="B447" s="54"/>
      <c r="C447" s="33"/>
      <c r="D447" s="33"/>
      <c r="E447" s="33"/>
      <c r="F447" s="32"/>
      <c r="G447" s="41"/>
      <c r="H447" s="39"/>
      <c r="I447" s="43"/>
      <c r="J447" s="43"/>
      <c r="K447" s="41"/>
      <c r="L447" s="39"/>
      <c r="M447" s="41"/>
      <c r="N447" s="25" t="str">
        <f aca="false">IF(AND($B447="",$E447="",$I447="",$J447=""),"",IF(NOT(ISNUMBER($B447)),"日期无效",IF(ISNA(MATCH($C447,参数设置!$A$10:$A$12,0)),"公司无效",IF(ISNA(MATCH($D447,资金账户!$B$6:$B$25,0)),"账户未建档",IF(ISNA(MATCH($E447,记账规则!$A$13:$A$32,0)),"业务类型无效",IF(AND(N($I447)&lt;&gt;0,N($J447)&lt;&gt;0),"收入和支出只能填一列",IF($P447=0,"金额为 0",IF(AND($R447="收",N($I447)=0),"这类业务是收款，金额填到收入列",IF(AND($R447="支",N($J447)=0),"这类业务是付款，金额填到支出列",IF(AND(SUMPRODUCT(--(INDEX(记账规则!$A$13:$H$32,MATCH($E447,记账规则!$A$13:$A$32,0),0)="@对方"))&gt;0,$G447=""),"这个类型要填对方科目",IF(AND($G447&lt;&gt;"",ISNA(MATCH($G447,会计科目表!$B$6:$B$85,0))),"对方科目不存在",IF(AND($E447="缴纳税费",$H447=""),"缴税请在费用项目里选税种",IF(AND($F447&lt;&gt;"",ISNA(MATCH($F447,往来单位!$A$6:$A$85,0))),"往来单位未建档",IF(YEAR($B447)&lt;&gt;参数设置!$B$5,"不在本会计年度",IF(AND($B446&lt;&gt;"",ISNUMBER($B446),$B447&lt;$B446),"日期比上一行早，余额按行序滚，建议按日期录","OK")))))))))))))))</f>
        <v/>
      </c>
      <c r="O447" s="58" t="str">
        <f aca="false">IF($B447="","",TEXT($B447,"yyyy-mm"))</f>
        <v/>
      </c>
      <c r="P447" s="60" t="str">
        <f aca="false">IF($E447="","",ROUND(N($I447)+N($J447),2))</f>
        <v/>
      </c>
      <c r="Q447" s="58" t="str">
        <f aca="false">IF($D447="","",IFERROR(INDEX(资金账户!$F$6:$F$25,MATCH($D447,资金账户!$B$6:$B$25,0)),""))</f>
        <v/>
      </c>
      <c r="R447" s="58" t="str">
        <f aca="false">IF($E447="","",IFERROR(IF(INDEX(记账规则!$A$13:$H$32,MATCH($E447,记账规则!$A$13:$A$32,0),4)="借","收","支"),""))</f>
        <v/>
      </c>
      <c r="S447" s="57" t="str">
        <f aca="false">IF($D447="","",ROUND(SUMIFS(资金账户!$H$6:$H$25,资金账户!$B$6:$B$25,$D447)+SUMIFS($I$6:$I447,$D$6:$D447,$D447)-SUMIFS($J$6:$J447,$D$6:$D447,$D447),2))</f>
        <v/>
      </c>
      <c r="T447" s="61" t="str">
        <f aca="false">IF($B447="","",YEAR($B447))</f>
        <v/>
      </c>
    </row>
    <row r="448" customFormat="false" ht="15" hidden="false" customHeight="false" outlineLevel="0" collapsed="false">
      <c r="A448" s="53" t="str">
        <f aca="false">IF($B448="","",ROW()-5)</f>
        <v/>
      </c>
      <c r="B448" s="54"/>
      <c r="C448" s="33"/>
      <c r="D448" s="33"/>
      <c r="E448" s="33"/>
      <c r="F448" s="32"/>
      <c r="G448" s="41"/>
      <c r="H448" s="39"/>
      <c r="I448" s="43"/>
      <c r="J448" s="43"/>
      <c r="K448" s="41"/>
      <c r="L448" s="39"/>
      <c r="M448" s="41"/>
      <c r="N448" s="25" t="str">
        <f aca="false">IF(AND($B448="",$E448="",$I448="",$J448=""),"",IF(NOT(ISNUMBER($B448)),"日期无效",IF(ISNA(MATCH($C448,参数设置!$A$10:$A$12,0)),"公司无效",IF(ISNA(MATCH($D448,资金账户!$B$6:$B$25,0)),"账户未建档",IF(ISNA(MATCH($E448,记账规则!$A$13:$A$32,0)),"业务类型无效",IF(AND(N($I448)&lt;&gt;0,N($J448)&lt;&gt;0),"收入和支出只能填一列",IF($P448=0,"金额为 0",IF(AND($R448="收",N($I448)=0),"这类业务是收款，金额填到收入列",IF(AND($R448="支",N($J448)=0),"这类业务是付款，金额填到支出列",IF(AND(SUMPRODUCT(--(INDEX(记账规则!$A$13:$H$32,MATCH($E448,记账规则!$A$13:$A$32,0),0)="@对方"))&gt;0,$G448=""),"这个类型要填对方科目",IF(AND($G448&lt;&gt;"",ISNA(MATCH($G448,会计科目表!$B$6:$B$85,0))),"对方科目不存在",IF(AND($E448="缴纳税费",$H448=""),"缴税请在费用项目里选税种",IF(AND($F448&lt;&gt;"",ISNA(MATCH($F448,往来单位!$A$6:$A$85,0))),"往来单位未建档",IF(YEAR($B448)&lt;&gt;参数设置!$B$5,"不在本会计年度",IF(AND($B447&lt;&gt;"",ISNUMBER($B447),$B448&lt;$B447),"日期比上一行早，余额按行序滚，建议按日期录","OK")))))))))))))))</f>
        <v/>
      </c>
      <c r="O448" s="58" t="str">
        <f aca="false">IF($B448="","",TEXT($B448,"yyyy-mm"))</f>
        <v/>
      </c>
      <c r="P448" s="60" t="str">
        <f aca="false">IF($E448="","",ROUND(N($I448)+N($J448),2))</f>
        <v/>
      </c>
      <c r="Q448" s="58" t="str">
        <f aca="false">IF($D448="","",IFERROR(INDEX(资金账户!$F$6:$F$25,MATCH($D448,资金账户!$B$6:$B$25,0)),""))</f>
        <v/>
      </c>
      <c r="R448" s="58" t="str">
        <f aca="false">IF($E448="","",IFERROR(IF(INDEX(记账规则!$A$13:$H$32,MATCH($E448,记账规则!$A$13:$A$32,0),4)="借","收","支"),""))</f>
        <v/>
      </c>
      <c r="S448" s="57" t="str">
        <f aca="false">IF($D448="","",ROUND(SUMIFS(资金账户!$H$6:$H$25,资金账户!$B$6:$B$25,$D448)+SUMIFS($I$6:$I448,$D$6:$D448,$D448)-SUMIFS($J$6:$J448,$D$6:$D448,$D448),2))</f>
        <v/>
      </c>
      <c r="T448" s="61" t="str">
        <f aca="false">IF($B448="","",YEAR($B448))</f>
        <v/>
      </c>
    </row>
    <row r="449" customFormat="false" ht="15" hidden="false" customHeight="false" outlineLevel="0" collapsed="false">
      <c r="A449" s="53" t="str">
        <f aca="false">IF($B449="","",ROW()-5)</f>
        <v/>
      </c>
      <c r="B449" s="54"/>
      <c r="C449" s="33"/>
      <c r="D449" s="33"/>
      <c r="E449" s="33"/>
      <c r="F449" s="32"/>
      <c r="G449" s="41"/>
      <c r="H449" s="39"/>
      <c r="I449" s="43"/>
      <c r="J449" s="43"/>
      <c r="K449" s="41"/>
      <c r="L449" s="39"/>
      <c r="M449" s="41"/>
      <c r="N449" s="25" t="str">
        <f aca="false">IF(AND($B449="",$E449="",$I449="",$J449=""),"",IF(NOT(ISNUMBER($B449)),"日期无效",IF(ISNA(MATCH($C449,参数设置!$A$10:$A$12,0)),"公司无效",IF(ISNA(MATCH($D449,资金账户!$B$6:$B$25,0)),"账户未建档",IF(ISNA(MATCH($E449,记账规则!$A$13:$A$32,0)),"业务类型无效",IF(AND(N($I449)&lt;&gt;0,N($J449)&lt;&gt;0),"收入和支出只能填一列",IF($P449=0,"金额为 0",IF(AND($R449="收",N($I449)=0),"这类业务是收款，金额填到收入列",IF(AND($R449="支",N($J449)=0),"这类业务是付款，金额填到支出列",IF(AND(SUMPRODUCT(--(INDEX(记账规则!$A$13:$H$32,MATCH($E449,记账规则!$A$13:$A$32,0),0)="@对方"))&gt;0,$G449=""),"这个类型要填对方科目",IF(AND($G449&lt;&gt;"",ISNA(MATCH($G449,会计科目表!$B$6:$B$85,0))),"对方科目不存在",IF(AND($E449="缴纳税费",$H449=""),"缴税请在费用项目里选税种",IF(AND($F449&lt;&gt;"",ISNA(MATCH($F449,往来单位!$A$6:$A$85,0))),"往来单位未建档",IF(YEAR($B449)&lt;&gt;参数设置!$B$5,"不在本会计年度",IF(AND($B448&lt;&gt;"",ISNUMBER($B448),$B449&lt;$B448),"日期比上一行早，余额按行序滚，建议按日期录","OK")))))))))))))))</f>
        <v/>
      </c>
      <c r="O449" s="58" t="str">
        <f aca="false">IF($B449="","",TEXT($B449,"yyyy-mm"))</f>
        <v/>
      </c>
      <c r="P449" s="60" t="str">
        <f aca="false">IF($E449="","",ROUND(N($I449)+N($J449),2))</f>
        <v/>
      </c>
      <c r="Q449" s="58" t="str">
        <f aca="false">IF($D449="","",IFERROR(INDEX(资金账户!$F$6:$F$25,MATCH($D449,资金账户!$B$6:$B$25,0)),""))</f>
        <v/>
      </c>
      <c r="R449" s="58" t="str">
        <f aca="false">IF($E449="","",IFERROR(IF(INDEX(记账规则!$A$13:$H$32,MATCH($E449,记账规则!$A$13:$A$32,0),4)="借","收","支"),""))</f>
        <v/>
      </c>
      <c r="S449" s="57" t="str">
        <f aca="false">IF($D449="","",ROUND(SUMIFS(资金账户!$H$6:$H$25,资金账户!$B$6:$B$25,$D449)+SUMIFS($I$6:$I449,$D$6:$D449,$D449)-SUMIFS($J$6:$J449,$D$6:$D449,$D449),2))</f>
        <v/>
      </c>
      <c r="T449" s="61" t="str">
        <f aca="false">IF($B449="","",YEAR($B449))</f>
        <v/>
      </c>
    </row>
    <row r="450" customFormat="false" ht="15" hidden="false" customHeight="false" outlineLevel="0" collapsed="false">
      <c r="A450" s="53" t="str">
        <f aca="false">IF($B450="","",ROW()-5)</f>
        <v/>
      </c>
      <c r="B450" s="54"/>
      <c r="C450" s="33"/>
      <c r="D450" s="33"/>
      <c r="E450" s="33"/>
      <c r="F450" s="32"/>
      <c r="G450" s="41"/>
      <c r="H450" s="39"/>
      <c r="I450" s="43"/>
      <c r="J450" s="43"/>
      <c r="K450" s="41"/>
      <c r="L450" s="39"/>
      <c r="M450" s="41"/>
      <c r="N450" s="25" t="str">
        <f aca="false">IF(AND($B450="",$E450="",$I450="",$J450=""),"",IF(NOT(ISNUMBER($B450)),"日期无效",IF(ISNA(MATCH($C450,参数设置!$A$10:$A$12,0)),"公司无效",IF(ISNA(MATCH($D450,资金账户!$B$6:$B$25,0)),"账户未建档",IF(ISNA(MATCH($E450,记账规则!$A$13:$A$32,0)),"业务类型无效",IF(AND(N($I450)&lt;&gt;0,N($J450)&lt;&gt;0),"收入和支出只能填一列",IF($P450=0,"金额为 0",IF(AND($R450="收",N($I450)=0),"这类业务是收款，金额填到收入列",IF(AND($R450="支",N($J450)=0),"这类业务是付款，金额填到支出列",IF(AND(SUMPRODUCT(--(INDEX(记账规则!$A$13:$H$32,MATCH($E450,记账规则!$A$13:$A$32,0),0)="@对方"))&gt;0,$G450=""),"这个类型要填对方科目",IF(AND($G450&lt;&gt;"",ISNA(MATCH($G450,会计科目表!$B$6:$B$85,0))),"对方科目不存在",IF(AND($E450="缴纳税费",$H450=""),"缴税请在费用项目里选税种",IF(AND($F450&lt;&gt;"",ISNA(MATCH($F450,往来单位!$A$6:$A$85,0))),"往来单位未建档",IF(YEAR($B450)&lt;&gt;参数设置!$B$5,"不在本会计年度",IF(AND($B449&lt;&gt;"",ISNUMBER($B449),$B450&lt;$B449),"日期比上一行早，余额按行序滚，建议按日期录","OK")))))))))))))))</f>
        <v/>
      </c>
      <c r="O450" s="58" t="str">
        <f aca="false">IF($B450="","",TEXT($B450,"yyyy-mm"))</f>
        <v/>
      </c>
      <c r="P450" s="60" t="str">
        <f aca="false">IF($E450="","",ROUND(N($I450)+N($J450),2))</f>
        <v/>
      </c>
      <c r="Q450" s="58" t="str">
        <f aca="false">IF($D450="","",IFERROR(INDEX(资金账户!$F$6:$F$25,MATCH($D450,资金账户!$B$6:$B$25,0)),""))</f>
        <v/>
      </c>
      <c r="R450" s="58" t="str">
        <f aca="false">IF($E450="","",IFERROR(IF(INDEX(记账规则!$A$13:$H$32,MATCH($E450,记账规则!$A$13:$A$32,0),4)="借","收","支"),""))</f>
        <v/>
      </c>
      <c r="S450" s="57" t="str">
        <f aca="false">IF($D450="","",ROUND(SUMIFS(资金账户!$H$6:$H$25,资金账户!$B$6:$B$25,$D450)+SUMIFS($I$6:$I450,$D$6:$D450,$D450)-SUMIFS($J$6:$J450,$D$6:$D450,$D450),2))</f>
        <v/>
      </c>
      <c r="T450" s="61" t="str">
        <f aca="false">IF($B450="","",YEAR($B450))</f>
        <v/>
      </c>
    </row>
    <row r="451" customFormat="false" ht="15" hidden="false" customHeight="false" outlineLevel="0" collapsed="false">
      <c r="A451" s="53" t="str">
        <f aca="false">IF($B451="","",ROW()-5)</f>
        <v/>
      </c>
      <c r="B451" s="54"/>
      <c r="C451" s="33"/>
      <c r="D451" s="33"/>
      <c r="E451" s="33"/>
      <c r="F451" s="32"/>
      <c r="G451" s="41"/>
      <c r="H451" s="39"/>
      <c r="I451" s="43"/>
      <c r="J451" s="43"/>
      <c r="K451" s="41"/>
      <c r="L451" s="39"/>
      <c r="M451" s="41"/>
      <c r="N451" s="25" t="str">
        <f aca="false">IF(AND($B451="",$E451="",$I451="",$J451=""),"",IF(NOT(ISNUMBER($B451)),"日期无效",IF(ISNA(MATCH($C451,参数设置!$A$10:$A$12,0)),"公司无效",IF(ISNA(MATCH($D451,资金账户!$B$6:$B$25,0)),"账户未建档",IF(ISNA(MATCH($E451,记账规则!$A$13:$A$32,0)),"业务类型无效",IF(AND(N($I451)&lt;&gt;0,N($J451)&lt;&gt;0),"收入和支出只能填一列",IF($P451=0,"金额为 0",IF(AND($R451="收",N($I451)=0),"这类业务是收款，金额填到收入列",IF(AND($R451="支",N($J451)=0),"这类业务是付款，金额填到支出列",IF(AND(SUMPRODUCT(--(INDEX(记账规则!$A$13:$H$32,MATCH($E451,记账规则!$A$13:$A$32,0),0)="@对方"))&gt;0,$G451=""),"这个类型要填对方科目",IF(AND($G451&lt;&gt;"",ISNA(MATCH($G451,会计科目表!$B$6:$B$85,0))),"对方科目不存在",IF(AND($E451="缴纳税费",$H451=""),"缴税请在费用项目里选税种",IF(AND($F451&lt;&gt;"",ISNA(MATCH($F451,往来单位!$A$6:$A$85,0))),"往来单位未建档",IF(YEAR($B451)&lt;&gt;参数设置!$B$5,"不在本会计年度",IF(AND($B450&lt;&gt;"",ISNUMBER($B450),$B451&lt;$B450),"日期比上一行早，余额按行序滚，建议按日期录","OK")))))))))))))))</f>
        <v/>
      </c>
      <c r="O451" s="58" t="str">
        <f aca="false">IF($B451="","",TEXT($B451,"yyyy-mm"))</f>
        <v/>
      </c>
      <c r="P451" s="60" t="str">
        <f aca="false">IF($E451="","",ROUND(N($I451)+N($J451),2))</f>
        <v/>
      </c>
      <c r="Q451" s="58" t="str">
        <f aca="false">IF($D451="","",IFERROR(INDEX(资金账户!$F$6:$F$25,MATCH($D451,资金账户!$B$6:$B$25,0)),""))</f>
        <v/>
      </c>
      <c r="R451" s="58" t="str">
        <f aca="false">IF($E451="","",IFERROR(IF(INDEX(记账规则!$A$13:$H$32,MATCH($E451,记账规则!$A$13:$A$32,0),4)="借","收","支"),""))</f>
        <v/>
      </c>
      <c r="S451" s="57" t="str">
        <f aca="false">IF($D451="","",ROUND(SUMIFS(资金账户!$H$6:$H$25,资金账户!$B$6:$B$25,$D451)+SUMIFS($I$6:$I451,$D$6:$D451,$D451)-SUMIFS($J$6:$J451,$D$6:$D451,$D451),2))</f>
        <v/>
      </c>
      <c r="T451" s="61" t="str">
        <f aca="false">IF($B451="","",YEAR($B451))</f>
        <v/>
      </c>
    </row>
    <row r="452" customFormat="false" ht="15" hidden="false" customHeight="false" outlineLevel="0" collapsed="false">
      <c r="A452" s="53" t="str">
        <f aca="false">IF($B452="","",ROW()-5)</f>
        <v/>
      </c>
      <c r="B452" s="54"/>
      <c r="C452" s="33"/>
      <c r="D452" s="33"/>
      <c r="E452" s="33"/>
      <c r="F452" s="32"/>
      <c r="G452" s="41"/>
      <c r="H452" s="39"/>
      <c r="I452" s="43"/>
      <c r="J452" s="43"/>
      <c r="K452" s="41"/>
      <c r="L452" s="39"/>
      <c r="M452" s="41"/>
      <c r="N452" s="25" t="str">
        <f aca="false">IF(AND($B452="",$E452="",$I452="",$J452=""),"",IF(NOT(ISNUMBER($B452)),"日期无效",IF(ISNA(MATCH($C452,参数设置!$A$10:$A$12,0)),"公司无效",IF(ISNA(MATCH($D452,资金账户!$B$6:$B$25,0)),"账户未建档",IF(ISNA(MATCH($E452,记账规则!$A$13:$A$32,0)),"业务类型无效",IF(AND(N($I452)&lt;&gt;0,N($J452)&lt;&gt;0),"收入和支出只能填一列",IF($P452=0,"金额为 0",IF(AND($R452="收",N($I452)=0),"这类业务是收款，金额填到收入列",IF(AND($R452="支",N($J452)=0),"这类业务是付款，金额填到支出列",IF(AND(SUMPRODUCT(--(INDEX(记账规则!$A$13:$H$32,MATCH($E452,记账规则!$A$13:$A$32,0),0)="@对方"))&gt;0,$G452=""),"这个类型要填对方科目",IF(AND($G452&lt;&gt;"",ISNA(MATCH($G452,会计科目表!$B$6:$B$85,0))),"对方科目不存在",IF(AND($E452="缴纳税费",$H452=""),"缴税请在费用项目里选税种",IF(AND($F452&lt;&gt;"",ISNA(MATCH($F452,往来单位!$A$6:$A$85,0))),"往来单位未建档",IF(YEAR($B452)&lt;&gt;参数设置!$B$5,"不在本会计年度",IF(AND($B451&lt;&gt;"",ISNUMBER($B451),$B452&lt;$B451),"日期比上一行早，余额按行序滚，建议按日期录","OK")))))))))))))))</f>
        <v/>
      </c>
      <c r="O452" s="58" t="str">
        <f aca="false">IF($B452="","",TEXT($B452,"yyyy-mm"))</f>
        <v/>
      </c>
      <c r="P452" s="60" t="str">
        <f aca="false">IF($E452="","",ROUND(N($I452)+N($J452),2))</f>
        <v/>
      </c>
      <c r="Q452" s="58" t="str">
        <f aca="false">IF($D452="","",IFERROR(INDEX(资金账户!$F$6:$F$25,MATCH($D452,资金账户!$B$6:$B$25,0)),""))</f>
        <v/>
      </c>
      <c r="R452" s="58" t="str">
        <f aca="false">IF($E452="","",IFERROR(IF(INDEX(记账规则!$A$13:$H$32,MATCH($E452,记账规则!$A$13:$A$32,0),4)="借","收","支"),""))</f>
        <v/>
      </c>
      <c r="S452" s="57" t="str">
        <f aca="false">IF($D452="","",ROUND(SUMIFS(资金账户!$H$6:$H$25,资金账户!$B$6:$B$25,$D452)+SUMIFS($I$6:$I452,$D$6:$D452,$D452)-SUMIFS($J$6:$J452,$D$6:$D452,$D452),2))</f>
        <v/>
      </c>
      <c r="T452" s="61" t="str">
        <f aca="false">IF($B452="","",YEAR($B452))</f>
        <v/>
      </c>
    </row>
    <row r="453" customFormat="false" ht="15" hidden="false" customHeight="false" outlineLevel="0" collapsed="false">
      <c r="A453" s="53" t="str">
        <f aca="false">IF($B453="","",ROW()-5)</f>
        <v/>
      </c>
      <c r="B453" s="54"/>
      <c r="C453" s="33"/>
      <c r="D453" s="33"/>
      <c r="E453" s="33"/>
      <c r="F453" s="32"/>
      <c r="G453" s="41"/>
      <c r="H453" s="39"/>
      <c r="I453" s="43"/>
      <c r="J453" s="43"/>
      <c r="K453" s="41"/>
      <c r="L453" s="39"/>
      <c r="M453" s="41"/>
      <c r="N453" s="25" t="str">
        <f aca="false">IF(AND($B453="",$E453="",$I453="",$J453=""),"",IF(NOT(ISNUMBER($B453)),"日期无效",IF(ISNA(MATCH($C453,参数设置!$A$10:$A$12,0)),"公司无效",IF(ISNA(MATCH($D453,资金账户!$B$6:$B$25,0)),"账户未建档",IF(ISNA(MATCH($E453,记账规则!$A$13:$A$32,0)),"业务类型无效",IF(AND(N($I453)&lt;&gt;0,N($J453)&lt;&gt;0),"收入和支出只能填一列",IF($P453=0,"金额为 0",IF(AND($R453="收",N($I453)=0),"这类业务是收款，金额填到收入列",IF(AND($R453="支",N($J453)=0),"这类业务是付款，金额填到支出列",IF(AND(SUMPRODUCT(--(INDEX(记账规则!$A$13:$H$32,MATCH($E453,记账规则!$A$13:$A$32,0),0)="@对方"))&gt;0,$G453=""),"这个类型要填对方科目",IF(AND($G453&lt;&gt;"",ISNA(MATCH($G453,会计科目表!$B$6:$B$85,0))),"对方科目不存在",IF(AND($E453="缴纳税费",$H453=""),"缴税请在费用项目里选税种",IF(AND($F453&lt;&gt;"",ISNA(MATCH($F453,往来单位!$A$6:$A$85,0))),"往来单位未建档",IF(YEAR($B453)&lt;&gt;参数设置!$B$5,"不在本会计年度",IF(AND($B452&lt;&gt;"",ISNUMBER($B452),$B453&lt;$B452),"日期比上一行早，余额按行序滚，建议按日期录","OK")))))))))))))))</f>
        <v/>
      </c>
      <c r="O453" s="58" t="str">
        <f aca="false">IF($B453="","",TEXT($B453,"yyyy-mm"))</f>
        <v/>
      </c>
      <c r="P453" s="60" t="str">
        <f aca="false">IF($E453="","",ROUND(N($I453)+N($J453),2))</f>
        <v/>
      </c>
      <c r="Q453" s="58" t="str">
        <f aca="false">IF($D453="","",IFERROR(INDEX(资金账户!$F$6:$F$25,MATCH($D453,资金账户!$B$6:$B$25,0)),""))</f>
        <v/>
      </c>
      <c r="R453" s="58" t="str">
        <f aca="false">IF($E453="","",IFERROR(IF(INDEX(记账规则!$A$13:$H$32,MATCH($E453,记账规则!$A$13:$A$32,0),4)="借","收","支"),""))</f>
        <v/>
      </c>
      <c r="S453" s="57" t="str">
        <f aca="false">IF($D453="","",ROUND(SUMIFS(资金账户!$H$6:$H$25,资金账户!$B$6:$B$25,$D453)+SUMIFS($I$6:$I453,$D$6:$D453,$D453)-SUMIFS($J$6:$J453,$D$6:$D453,$D453),2))</f>
        <v/>
      </c>
      <c r="T453" s="61" t="str">
        <f aca="false">IF($B453="","",YEAR($B453))</f>
        <v/>
      </c>
    </row>
    <row r="454" customFormat="false" ht="15" hidden="false" customHeight="false" outlineLevel="0" collapsed="false">
      <c r="A454" s="53" t="str">
        <f aca="false">IF($B454="","",ROW()-5)</f>
        <v/>
      </c>
      <c r="B454" s="54"/>
      <c r="C454" s="33"/>
      <c r="D454" s="33"/>
      <c r="E454" s="33"/>
      <c r="F454" s="32"/>
      <c r="G454" s="41"/>
      <c r="H454" s="39"/>
      <c r="I454" s="43"/>
      <c r="J454" s="43"/>
      <c r="K454" s="41"/>
      <c r="L454" s="39"/>
      <c r="M454" s="41"/>
      <c r="N454" s="25" t="str">
        <f aca="false">IF(AND($B454="",$E454="",$I454="",$J454=""),"",IF(NOT(ISNUMBER($B454)),"日期无效",IF(ISNA(MATCH($C454,参数设置!$A$10:$A$12,0)),"公司无效",IF(ISNA(MATCH($D454,资金账户!$B$6:$B$25,0)),"账户未建档",IF(ISNA(MATCH($E454,记账规则!$A$13:$A$32,0)),"业务类型无效",IF(AND(N($I454)&lt;&gt;0,N($J454)&lt;&gt;0),"收入和支出只能填一列",IF($P454=0,"金额为 0",IF(AND($R454="收",N($I454)=0),"这类业务是收款，金额填到收入列",IF(AND($R454="支",N($J454)=0),"这类业务是付款，金额填到支出列",IF(AND(SUMPRODUCT(--(INDEX(记账规则!$A$13:$H$32,MATCH($E454,记账规则!$A$13:$A$32,0),0)="@对方"))&gt;0,$G454=""),"这个类型要填对方科目",IF(AND($G454&lt;&gt;"",ISNA(MATCH($G454,会计科目表!$B$6:$B$85,0))),"对方科目不存在",IF(AND($E454="缴纳税费",$H454=""),"缴税请在费用项目里选税种",IF(AND($F454&lt;&gt;"",ISNA(MATCH($F454,往来单位!$A$6:$A$85,0))),"往来单位未建档",IF(YEAR($B454)&lt;&gt;参数设置!$B$5,"不在本会计年度",IF(AND($B453&lt;&gt;"",ISNUMBER($B453),$B454&lt;$B453),"日期比上一行早，余额按行序滚，建议按日期录","OK")))))))))))))))</f>
        <v/>
      </c>
      <c r="O454" s="58" t="str">
        <f aca="false">IF($B454="","",TEXT($B454,"yyyy-mm"))</f>
        <v/>
      </c>
      <c r="P454" s="60" t="str">
        <f aca="false">IF($E454="","",ROUND(N($I454)+N($J454),2))</f>
        <v/>
      </c>
      <c r="Q454" s="58" t="str">
        <f aca="false">IF($D454="","",IFERROR(INDEX(资金账户!$F$6:$F$25,MATCH($D454,资金账户!$B$6:$B$25,0)),""))</f>
        <v/>
      </c>
      <c r="R454" s="58" t="str">
        <f aca="false">IF($E454="","",IFERROR(IF(INDEX(记账规则!$A$13:$H$32,MATCH($E454,记账规则!$A$13:$A$32,0),4)="借","收","支"),""))</f>
        <v/>
      </c>
      <c r="S454" s="57" t="str">
        <f aca="false">IF($D454="","",ROUND(SUMIFS(资金账户!$H$6:$H$25,资金账户!$B$6:$B$25,$D454)+SUMIFS($I$6:$I454,$D$6:$D454,$D454)-SUMIFS($J$6:$J454,$D$6:$D454,$D454),2))</f>
        <v/>
      </c>
      <c r="T454" s="61" t="str">
        <f aca="false">IF($B454="","",YEAR($B454))</f>
        <v/>
      </c>
    </row>
    <row r="455" customFormat="false" ht="15" hidden="false" customHeight="false" outlineLevel="0" collapsed="false">
      <c r="A455" s="53" t="str">
        <f aca="false">IF($B455="","",ROW()-5)</f>
        <v/>
      </c>
      <c r="B455" s="54"/>
      <c r="C455" s="33"/>
      <c r="D455" s="33"/>
      <c r="E455" s="33"/>
      <c r="F455" s="32"/>
      <c r="G455" s="41"/>
      <c r="H455" s="39"/>
      <c r="I455" s="43"/>
      <c r="J455" s="43"/>
      <c r="K455" s="41"/>
      <c r="L455" s="39"/>
      <c r="M455" s="41"/>
      <c r="N455" s="25" t="str">
        <f aca="false">IF(AND($B455="",$E455="",$I455="",$J455=""),"",IF(NOT(ISNUMBER($B455)),"日期无效",IF(ISNA(MATCH($C455,参数设置!$A$10:$A$12,0)),"公司无效",IF(ISNA(MATCH($D455,资金账户!$B$6:$B$25,0)),"账户未建档",IF(ISNA(MATCH($E455,记账规则!$A$13:$A$32,0)),"业务类型无效",IF(AND(N($I455)&lt;&gt;0,N($J455)&lt;&gt;0),"收入和支出只能填一列",IF($P455=0,"金额为 0",IF(AND($R455="收",N($I455)=0),"这类业务是收款，金额填到收入列",IF(AND($R455="支",N($J455)=0),"这类业务是付款，金额填到支出列",IF(AND(SUMPRODUCT(--(INDEX(记账规则!$A$13:$H$32,MATCH($E455,记账规则!$A$13:$A$32,0),0)="@对方"))&gt;0,$G455=""),"这个类型要填对方科目",IF(AND($G455&lt;&gt;"",ISNA(MATCH($G455,会计科目表!$B$6:$B$85,0))),"对方科目不存在",IF(AND($E455="缴纳税费",$H455=""),"缴税请在费用项目里选税种",IF(AND($F455&lt;&gt;"",ISNA(MATCH($F455,往来单位!$A$6:$A$85,0))),"往来单位未建档",IF(YEAR($B455)&lt;&gt;参数设置!$B$5,"不在本会计年度",IF(AND($B454&lt;&gt;"",ISNUMBER($B454),$B455&lt;$B454),"日期比上一行早，余额按行序滚，建议按日期录","OK")))))))))))))))</f>
        <v/>
      </c>
      <c r="O455" s="58" t="str">
        <f aca="false">IF($B455="","",TEXT($B455,"yyyy-mm"))</f>
        <v/>
      </c>
      <c r="P455" s="60" t="str">
        <f aca="false">IF($E455="","",ROUND(N($I455)+N($J455),2))</f>
        <v/>
      </c>
      <c r="Q455" s="58" t="str">
        <f aca="false">IF($D455="","",IFERROR(INDEX(资金账户!$F$6:$F$25,MATCH($D455,资金账户!$B$6:$B$25,0)),""))</f>
        <v/>
      </c>
      <c r="R455" s="58" t="str">
        <f aca="false">IF($E455="","",IFERROR(IF(INDEX(记账规则!$A$13:$H$32,MATCH($E455,记账规则!$A$13:$A$32,0),4)="借","收","支"),""))</f>
        <v/>
      </c>
      <c r="S455" s="57" t="str">
        <f aca="false">IF($D455="","",ROUND(SUMIFS(资金账户!$H$6:$H$25,资金账户!$B$6:$B$25,$D455)+SUMIFS($I$6:$I455,$D$6:$D455,$D455)-SUMIFS($J$6:$J455,$D$6:$D455,$D455),2))</f>
        <v/>
      </c>
      <c r="T455" s="61" t="str">
        <f aca="false">IF($B455="","",YEAR($B455))</f>
        <v/>
      </c>
    </row>
    <row r="456" customFormat="false" ht="15" hidden="false" customHeight="false" outlineLevel="0" collapsed="false">
      <c r="A456" s="53" t="str">
        <f aca="false">IF($B456="","",ROW()-5)</f>
        <v/>
      </c>
      <c r="B456" s="54"/>
      <c r="C456" s="33"/>
      <c r="D456" s="33"/>
      <c r="E456" s="33"/>
      <c r="F456" s="32"/>
      <c r="G456" s="41"/>
      <c r="H456" s="39"/>
      <c r="I456" s="43"/>
      <c r="J456" s="43"/>
      <c r="K456" s="41"/>
      <c r="L456" s="39"/>
      <c r="M456" s="41"/>
      <c r="N456" s="25" t="str">
        <f aca="false">IF(AND($B456="",$E456="",$I456="",$J456=""),"",IF(NOT(ISNUMBER($B456)),"日期无效",IF(ISNA(MATCH($C456,参数设置!$A$10:$A$12,0)),"公司无效",IF(ISNA(MATCH($D456,资金账户!$B$6:$B$25,0)),"账户未建档",IF(ISNA(MATCH($E456,记账规则!$A$13:$A$32,0)),"业务类型无效",IF(AND(N($I456)&lt;&gt;0,N($J456)&lt;&gt;0),"收入和支出只能填一列",IF($P456=0,"金额为 0",IF(AND($R456="收",N($I456)=0),"这类业务是收款，金额填到收入列",IF(AND($R456="支",N($J456)=0),"这类业务是付款，金额填到支出列",IF(AND(SUMPRODUCT(--(INDEX(记账规则!$A$13:$H$32,MATCH($E456,记账规则!$A$13:$A$32,0),0)="@对方"))&gt;0,$G456=""),"这个类型要填对方科目",IF(AND($G456&lt;&gt;"",ISNA(MATCH($G456,会计科目表!$B$6:$B$85,0))),"对方科目不存在",IF(AND($E456="缴纳税费",$H456=""),"缴税请在费用项目里选税种",IF(AND($F456&lt;&gt;"",ISNA(MATCH($F456,往来单位!$A$6:$A$85,0))),"往来单位未建档",IF(YEAR($B456)&lt;&gt;参数设置!$B$5,"不在本会计年度",IF(AND($B455&lt;&gt;"",ISNUMBER($B455),$B456&lt;$B455),"日期比上一行早，余额按行序滚，建议按日期录","OK")))))))))))))))</f>
        <v/>
      </c>
      <c r="O456" s="58" t="str">
        <f aca="false">IF($B456="","",TEXT($B456,"yyyy-mm"))</f>
        <v/>
      </c>
      <c r="P456" s="60" t="str">
        <f aca="false">IF($E456="","",ROUND(N($I456)+N($J456),2))</f>
        <v/>
      </c>
      <c r="Q456" s="58" t="str">
        <f aca="false">IF($D456="","",IFERROR(INDEX(资金账户!$F$6:$F$25,MATCH($D456,资金账户!$B$6:$B$25,0)),""))</f>
        <v/>
      </c>
      <c r="R456" s="58" t="str">
        <f aca="false">IF($E456="","",IFERROR(IF(INDEX(记账规则!$A$13:$H$32,MATCH($E456,记账规则!$A$13:$A$32,0),4)="借","收","支"),""))</f>
        <v/>
      </c>
      <c r="S456" s="57" t="str">
        <f aca="false">IF($D456="","",ROUND(SUMIFS(资金账户!$H$6:$H$25,资金账户!$B$6:$B$25,$D456)+SUMIFS($I$6:$I456,$D$6:$D456,$D456)-SUMIFS($J$6:$J456,$D$6:$D456,$D456),2))</f>
        <v/>
      </c>
      <c r="T456" s="61" t="str">
        <f aca="false">IF($B456="","",YEAR($B456))</f>
        <v/>
      </c>
    </row>
    <row r="457" customFormat="false" ht="15" hidden="false" customHeight="false" outlineLevel="0" collapsed="false">
      <c r="A457" s="53" t="str">
        <f aca="false">IF($B457="","",ROW()-5)</f>
        <v/>
      </c>
      <c r="B457" s="54"/>
      <c r="C457" s="33"/>
      <c r="D457" s="33"/>
      <c r="E457" s="33"/>
      <c r="F457" s="32"/>
      <c r="G457" s="41"/>
      <c r="H457" s="39"/>
      <c r="I457" s="43"/>
      <c r="J457" s="43"/>
      <c r="K457" s="41"/>
      <c r="L457" s="39"/>
      <c r="M457" s="41"/>
      <c r="N457" s="25" t="str">
        <f aca="false">IF(AND($B457="",$E457="",$I457="",$J457=""),"",IF(NOT(ISNUMBER($B457)),"日期无效",IF(ISNA(MATCH($C457,参数设置!$A$10:$A$12,0)),"公司无效",IF(ISNA(MATCH($D457,资金账户!$B$6:$B$25,0)),"账户未建档",IF(ISNA(MATCH($E457,记账规则!$A$13:$A$32,0)),"业务类型无效",IF(AND(N($I457)&lt;&gt;0,N($J457)&lt;&gt;0),"收入和支出只能填一列",IF($P457=0,"金额为 0",IF(AND($R457="收",N($I457)=0),"这类业务是收款，金额填到收入列",IF(AND($R457="支",N($J457)=0),"这类业务是付款，金额填到支出列",IF(AND(SUMPRODUCT(--(INDEX(记账规则!$A$13:$H$32,MATCH($E457,记账规则!$A$13:$A$32,0),0)="@对方"))&gt;0,$G457=""),"这个类型要填对方科目",IF(AND($G457&lt;&gt;"",ISNA(MATCH($G457,会计科目表!$B$6:$B$85,0))),"对方科目不存在",IF(AND($E457="缴纳税费",$H457=""),"缴税请在费用项目里选税种",IF(AND($F457&lt;&gt;"",ISNA(MATCH($F457,往来单位!$A$6:$A$85,0))),"往来单位未建档",IF(YEAR($B457)&lt;&gt;参数设置!$B$5,"不在本会计年度",IF(AND($B456&lt;&gt;"",ISNUMBER($B456),$B457&lt;$B456),"日期比上一行早，余额按行序滚，建议按日期录","OK")))))))))))))))</f>
        <v/>
      </c>
      <c r="O457" s="58" t="str">
        <f aca="false">IF($B457="","",TEXT($B457,"yyyy-mm"))</f>
        <v/>
      </c>
      <c r="P457" s="60" t="str">
        <f aca="false">IF($E457="","",ROUND(N($I457)+N($J457),2))</f>
        <v/>
      </c>
      <c r="Q457" s="58" t="str">
        <f aca="false">IF($D457="","",IFERROR(INDEX(资金账户!$F$6:$F$25,MATCH($D457,资金账户!$B$6:$B$25,0)),""))</f>
        <v/>
      </c>
      <c r="R457" s="58" t="str">
        <f aca="false">IF($E457="","",IFERROR(IF(INDEX(记账规则!$A$13:$H$32,MATCH($E457,记账规则!$A$13:$A$32,0),4)="借","收","支"),""))</f>
        <v/>
      </c>
      <c r="S457" s="57" t="str">
        <f aca="false">IF($D457="","",ROUND(SUMIFS(资金账户!$H$6:$H$25,资金账户!$B$6:$B$25,$D457)+SUMIFS($I$6:$I457,$D$6:$D457,$D457)-SUMIFS($J$6:$J457,$D$6:$D457,$D457),2))</f>
        <v/>
      </c>
      <c r="T457" s="61" t="str">
        <f aca="false">IF($B457="","",YEAR($B457))</f>
        <v/>
      </c>
    </row>
    <row r="458" customFormat="false" ht="15" hidden="false" customHeight="false" outlineLevel="0" collapsed="false">
      <c r="A458" s="53" t="str">
        <f aca="false">IF($B458="","",ROW()-5)</f>
        <v/>
      </c>
      <c r="B458" s="54"/>
      <c r="C458" s="33"/>
      <c r="D458" s="33"/>
      <c r="E458" s="33"/>
      <c r="F458" s="32"/>
      <c r="G458" s="41"/>
      <c r="H458" s="39"/>
      <c r="I458" s="43"/>
      <c r="J458" s="43"/>
      <c r="K458" s="41"/>
      <c r="L458" s="39"/>
      <c r="M458" s="41"/>
      <c r="N458" s="25" t="str">
        <f aca="false">IF(AND($B458="",$E458="",$I458="",$J458=""),"",IF(NOT(ISNUMBER($B458)),"日期无效",IF(ISNA(MATCH($C458,参数设置!$A$10:$A$12,0)),"公司无效",IF(ISNA(MATCH($D458,资金账户!$B$6:$B$25,0)),"账户未建档",IF(ISNA(MATCH($E458,记账规则!$A$13:$A$32,0)),"业务类型无效",IF(AND(N($I458)&lt;&gt;0,N($J458)&lt;&gt;0),"收入和支出只能填一列",IF($P458=0,"金额为 0",IF(AND($R458="收",N($I458)=0),"这类业务是收款，金额填到收入列",IF(AND($R458="支",N($J458)=0),"这类业务是付款，金额填到支出列",IF(AND(SUMPRODUCT(--(INDEX(记账规则!$A$13:$H$32,MATCH($E458,记账规则!$A$13:$A$32,0),0)="@对方"))&gt;0,$G458=""),"这个类型要填对方科目",IF(AND($G458&lt;&gt;"",ISNA(MATCH($G458,会计科目表!$B$6:$B$85,0))),"对方科目不存在",IF(AND($E458="缴纳税费",$H458=""),"缴税请在费用项目里选税种",IF(AND($F458&lt;&gt;"",ISNA(MATCH($F458,往来单位!$A$6:$A$85,0))),"往来单位未建档",IF(YEAR($B458)&lt;&gt;参数设置!$B$5,"不在本会计年度",IF(AND($B457&lt;&gt;"",ISNUMBER($B457),$B458&lt;$B457),"日期比上一行早，余额按行序滚，建议按日期录","OK")))))))))))))))</f>
        <v/>
      </c>
      <c r="O458" s="58" t="str">
        <f aca="false">IF($B458="","",TEXT($B458,"yyyy-mm"))</f>
        <v/>
      </c>
      <c r="P458" s="60" t="str">
        <f aca="false">IF($E458="","",ROUND(N($I458)+N($J458),2))</f>
        <v/>
      </c>
      <c r="Q458" s="58" t="str">
        <f aca="false">IF($D458="","",IFERROR(INDEX(资金账户!$F$6:$F$25,MATCH($D458,资金账户!$B$6:$B$25,0)),""))</f>
        <v/>
      </c>
      <c r="R458" s="58" t="str">
        <f aca="false">IF($E458="","",IFERROR(IF(INDEX(记账规则!$A$13:$H$32,MATCH($E458,记账规则!$A$13:$A$32,0),4)="借","收","支"),""))</f>
        <v/>
      </c>
      <c r="S458" s="57" t="str">
        <f aca="false">IF($D458="","",ROUND(SUMIFS(资金账户!$H$6:$H$25,资金账户!$B$6:$B$25,$D458)+SUMIFS($I$6:$I458,$D$6:$D458,$D458)-SUMIFS($J$6:$J458,$D$6:$D458,$D458),2))</f>
        <v/>
      </c>
      <c r="T458" s="61" t="str">
        <f aca="false">IF($B458="","",YEAR($B458))</f>
        <v/>
      </c>
    </row>
    <row r="459" customFormat="false" ht="15" hidden="false" customHeight="false" outlineLevel="0" collapsed="false">
      <c r="A459" s="53" t="str">
        <f aca="false">IF($B459="","",ROW()-5)</f>
        <v/>
      </c>
      <c r="B459" s="54"/>
      <c r="C459" s="33"/>
      <c r="D459" s="33"/>
      <c r="E459" s="33"/>
      <c r="F459" s="32"/>
      <c r="G459" s="41"/>
      <c r="H459" s="39"/>
      <c r="I459" s="43"/>
      <c r="J459" s="43"/>
      <c r="K459" s="41"/>
      <c r="L459" s="39"/>
      <c r="M459" s="41"/>
      <c r="N459" s="25" t="str">
        <f aca="false">IF(AND($B459="",$E459="",$I459="",$J459=""),"",IF(NOT(ISNUMBER($B459)),"日期无效",IF(ISNA(MATCH($C459,参数设置!$A$10:$A$12,0)),"公司无效",IF(ISNA(MATCH($D459,资金账户!$B$6:$B$25,0)),"账户未建档",IF(ISNA(MATCH($E459,记账规则!$A$13:$A$32,0)),"业务类型无效",IF(AND(N($I459)&lt;&gt;0,N($J459)&lt;&gt;0),"收入和支出只能填一列",IF($P459=0,"金额为 0",IF(AND($R459="收",N($I459)=0),"这类业务是收款，金额填到收入列",IF(AND($R459="支",N($J459)=0),"这类业务是付款，金额填到支出列",IF(AND(SUMPRODUCT(--(INDEX(记账规则!$A$13:$H$32,MATCH($E459,记账规则!$A$13:$A$32,0),0)="@对方"))&gt;0,$G459=""),"这个类型要填对方科目",IF(AND($G459&lt;&gt;"",ISNA(MATCH($G459,会计科目表!$B$6:$B$85,0))),"对方科目不存在",IF(AND($E459="缴纳税费",$H459=""),"缴税请在费用项目里选税种",IF(AND($F459&lt;&gt;"",ISNA(MATCH($F459,往来单位!$A$6:$A$85,0))),"往来单位未建档",IF(YEAR($B459)&lt;&gt;参数设置!$B$5,"不在本会计年度",IF(AND($B458&lt;&gt;"",ISNUMBER($B458),$B459&lt;$B458),"日期比上一行早，余额按行序滚，建议按日期录","OK")))))))))))))))</f>
        <v/>
      </c>
      <c r="O459" s="58" t="str">
        <f aca="false">IF($B459="","",TEXT($B459,"yyyy-mm"))</f>
        <v/>
      </c>
      <c r="P459" s="60" t="str">
        <f aca="false">IF($E459="","",ROUND(N($I459)+N($J459),2))</f>
        <v/>
      </c>
      <c r="Q459" s="58" t="str">
        <f aca="false">IF($D459="","",IFERROR(INDEX(资金账户!$F$6:$F$25,MATCH($D459,资金账户!$B$6:$B$25,0)),""))</f>
        <v/>
      </c>
      <c r="R459" s="58" t="str">
        <f aca="false">IF($E459="","",IFERROR(IF(INDEX(记账规则!$A$13:$H$32,MATCH($E459,记账规则!$A$13:$A$32,0),4)="借","收","支"),""))</f>
        <v/>
      </c>
      <c r="S459" s="57" t="str">
        <f aca="false">IF($D459="","",ROUND(SUMIFS(资金账户!$H$6:$H$25,资金账户!$B$6:$B$25,$D459)+SUMIFS($I$6:$I459,$D$6:$D459,$D459)-SUMIFS($J$6:$J459,$D$6:$D459,$D459),2))</f>
        <v/>
      </c>
      <c r="T459" s="61" t="str">
        <f aca="false">IF($B459="","",YEAR($B459))</f>
        <v/>
      </c>
    </row>
    <row r="460" customFormat="false" ht="15" hidden="false" customHeight="false" outlineLevel="0" collapsed="false">
      <c r="A460" s="53" t="str">
        <f aca="false">IF($B460="","",ROW()-5)</f>
        <v/>
      </c>
      <c r="B460" s="54"/>
      <c r="C460" s="33"/>
      <c r="D460" s="33"/>
      <c r="E460" s="33"/>
      <c r="F460" s="32"/>
      <c r="G460" s="41"/>
      <c r="H460" s="39"/>
      <c r="I460" s="43"/>
      <c r="J460" s="43"/>
      <c r="K460" s="41"/>
      <c r="L460" s="39"/>
      <c r="M460" s="41"/>
      <c r="N460" s="25" t="str">
        <f aca="false">IF(AND($B460="",$E460="",$I460="",$J460=""),"",IF(NOT(ISNUMBER($B460)),"日期无效",IF(ISNA(MATCH($C460,参数设置!$A$10:$A$12,0)),"公司无效",IF(ISNA(MATCH($D460,资金账户!$B$6:$B$25,0)),"账户未建档",IF(ISNA(MATCH($E460,记账规则!$A$13:$A$32,0)),"业务类型无效",IF(AND(N($I460)&lt;&gt;0,N($J460)&lt;&gt;0),"收入和支出只能填一列",IF($P460=0,"金额为 0",IF(AND($R460="收",N($I460)=0),"这类业务是收款，金额填到收入列",IF(AND($R460="支",N($J460)=0),"这类业务是付款，金额填到支出列",IF(AND(SUMPRODUCT(--(INDEX(记账规则!$A$13:$H$32,MATCH($E460,记账规则!$A$13:$A$32,0),0)="@对方"))&gt;0,$G460=""),"这个类型要填对方科目",IF(AND($G460&lt;&gt;"",ISNA(MATCH($G460,会计科目表!$B$6:$B$85,0))),"对方科目不存在",IF(AND($E460="缴纳税费",$H460=""),"缴税请在费用项目里选税种",IF(AND($F460&lt;&gt;"",ISNA(MATCH($F460,往来单位!$A$6:$A$85,0))),"往来单位未建档",IF(YEAR($B460)&lt;&gt;参数设置!$B$5,"不在本会计年度",IF(AND($B459&lt;&gt;"",ISNUMBER($B459),$B460&lt;$B459),"日期比上一行早，余额按行序滚，建议按日期录","OK")))))))))))))))</f>
        <v/>
      </c>
      <c r="O460" s="58" t="str">
        <f aca="false">IF($B460="","",TEXT($B460,"yyyy-mm"))</f>
        <v/>
      </c>
      <c r="P460" s="60" t="str">
        <f aca="false">IF($E460="","",ROUND(N($I460)+N($J460),2))</f>
        <v/>
      </c>
      <c r="Q460" s="58" t="str">
        <f aca="false">IF($D460="","",IFERROR(INDEX(资金账户!$F$6:$F$25,MATCH($D460,资金账户!$B$6:$B$25,0)),""))</f>
        <v/>
      </c>
      <c r="R460" s="58" t="str">
        <f aca="false">IF($E460="","",IFERROR(IF(INDEX(记账规则!$A$13:$H$32,MATCH($E460,记账规则!$A$13:$A$32,0),4)="借","收","支"),""))</f>
        <v/>
      </c>
      <c r="S460" s="57" t="str">
        <f aca="false">IF($D460="","",ROUND(SUMIFS(资金账户!$H$6:$H$25,资金账户!$B$6:$B$25,$D460)+SUMIFS($I$6:$I460,$D$6:$D460,$D460)-SUMIFS($J$6:$J460,$D$6:$D460,$D460),2))</f>
        <v/>
      </c>
      <c r="T460" s="61" t="str">
        <f aca="false">IF($B460="","",YEAR($B460))</f>
        <v/>
      </c>
    </row>
    <row r="461" customFormat="false" ht="15" hidden="false" customHeight="false" outlineLevel="0" collapsed="false">
      <c r="A461" s="53" t="str">
        <f aca="false">IF($B461="","",ROW()-5)</f>
        <v/>
      </c>
      <c r="B461" s="54"/>
      <c r="C461" s="33"/>
      <c r="D461" s="33"/>
      <c r="E461" s="33"/>
      <c r="F461" s="32"/>
      <c r="G461" s="41"/>
      <c r="H461" s="39"/>
      <c r="I461" s="43"/>
      <c r="J461" s="43"/>
      <c r="K461" s="41"/>
      <c r="L461" s="39"/>
      <c r="M461" s="41"/>
      <c r="N461" s="25" t="str">
        <f aca="false">IF(AND($B461="",$E461="",$I461="",$J461=""),"",IF(NOT(ISNUMBER($B461)),"日期无效",IF(ISNA(MATCH($C461,参数设置!$A$10:$A$12,0)),"公司无效",IF(ISNA(MATCH($D461,资金账户!$B$6:$B$25,0)),"账户未建档",IF(ISNA(MATCH($E461,记账规则!$A$13:$A$32,0)),"业务类型无效",IF(AND(N($I461)&lt;&gt;0,N($J461)&lt;&gt;0),"收入和支出只能填一列",IF($P461=0,"金额为 0",IF(AND($R461="收",N($I461)=0),"这类业务是收款，金额填到收入列",IF(AND($R461="支",N($J461)=0),"这类业务是付款，金额填到支出列",IF(AND(SUMPRODUCT(--(INDEX(记账规则!$A$13:$H$32,MATCH($E461,记账规则!$A$13:$A$32,0),0)="@对方"))&gt;0,$G461=""),"这个类型要填对方科目",IF(AND($G461&lt;&gt;"",ISNA(MATCH($G461,会计科目表!$B$6:$B$85,0))),"对方科目不存在",IF(AND($E461="缴纳税费",$H461=""),"缴税请在费用项目里选税种",IF(AND($F461&lt;&gt;"",ISNA(MATCH($F461,往来单位!$A$6:$A$85,0))),"往来单位未建档",IF(YEAR($B461)&lt;&gt;参数设置!$B$5,"不在本会计年度",IF(AND($B460&lt;&gt;"",ISNUMBER($B460),$B461&lt;$B460),"日期比上一行早，余额按行序滚，建议按日期录","OK")))))))))))))))</f>
        <v/>
      </c>
      <c r="O461" s="58" t="str">
        <f aca="false">IF($B461="","",TEXT($B461,"yyyy-mm"))</f>
        <v/>
      </c>
      <c r="P461" s="60" t="str">
        <f aca="false">IF($E461="","",ROUND(N($I461)+N($J461),2))</f>
        <v/>
      </c>
      <c r="Q461" s="58" t="str">
        <f aca="false">IF($D461="","",IFERROR(INDEX(资金账户!$F$6:$F$25,MATCH($D461,资金账户!$B$6:$B$25,0)),""))</f>
        <v/>
      </c>
      <c r="R461" s="58" t="str">
        <f aca="false">IF($E461="","",IFERROR(IF(INDEX(记账规则!$A$13:$H$32,MATCH($E461,记账规则!$A$13:$A$32,0),4)="借","收","支"),""))</f>
        <v/>
      </c>
      <c r="S461" s="57" t="str">
        <f aca="false">IF($D461="","",ROUND(SUMIFS(资金账户!$H$6:$H$25,资金账户!$B$6:$B$25,$D461)+SUMIFS($I$6:$I461,$D$6:$D461,$D461)-SUMIFS($J$6:$J461,$D$6:$D461,$D461),2))</f>
        <v/>
      </c>
      <c r="T461" s="61" t="str">
        <f aca="false">IF($B461="","",YEAR($B461))</f>
        <v/>
      </c>
    </row>
    <row r="462" customFormat="false" ht="15" hidden="false" customHeight="false" outlineLevel="0" collapsed="false">
      <c r="A462" s="53" t="str">
        <f aca="false">IF($B462="","",ROW()-5)</f>
        <v/>
      </c>
      <c r="B462" s="54"/>
      <c r="C462" s="33"/>
      <c r="D462" s="33"/>
      <c r="E462" s="33"/>
      <c r="F462" s="32"/>
      <c r="G462" s="41"/>
      <c r="H462" s="39"/>
      <c r="I462" s="43"/>
      <c r="J462" s="43"/>
      <c r="K462" s="41"/>
      <c r="L462" s="39"/>
      <c r="M462" s="41"/>
      <c r="N462" s="25" t="str">
        <f aca="false">IF(AND($B462="",$E462="",$I462="",$J462=""),"",IF(NOT(ISNUMBER($B462)),"日期无效",IF(ISNA(MATCH($C462,参数设置!$A$10:$A$12,0)),"公司无效",IF(ISNA(MATCH($D462,资金账户!$B$6:$B$25,0)),"账户未建档",IF(ISNA(MATCH($E462,记账规则!$A$13:$A$32,0)),"业务类型无效",IF(AND(N($I462)&lt;&gt;0,N($J462)&lt;&gt;0),"收入和支出只能填一列",IF($P462=0,"金额为 0",IF(AND($R462="收",N($I462)=0),"这类业务是收款，金额填到收入列",IF(AND($R462="支",N($J462)=0),"这类业务是付款，金额填到支出列",IF(AND(SUMPRODUCT(--(INDEX(记账规则!$A$13:$H$32,MATCH($E462,记账规则!$A$13:$A$32,0),0)="@对方"))&gt;0,$G462=""),"这个类型要填对方科目",IF(AND($G462&lt;&gt;"",ISNA(MATCH($G462,会计科目表!$B$6:$B$85,0))),"对方科目不存在",IF(AND($E462="缴纳税费",$H462=""),"缴税请在费用项目里选税种",IF(AND($F462&lt;&gt;"",ISNA(MATCH($F462,往来单位!$A$6:$A$85,0))),"往来单位未建档",IF(YEAR($B462)&lt;&gt;参数设置!$B$5,"不在本会计年度",IF(AND($B461&lt;&gt;"",ISNUMBER($B461),$B462&lt;$B461),"日期比上一行早，余额按行序滚，建议按日期录","OK")))))))))))))))</f>
        <v/>
      </c>
      <c r="O462" s="58" t="str">
        <f aca="false">IF($B462="","",TEXT($B462,"yyyy-mm"))</f>
        <v/>
      </c>
      <c r="P462" s="60" t="str">
        <f aca="false">IF($E462="","",ROUND(N($I462)+N($J462),2))</f>
        <v/>
      </c>
      <c r="Q462" s="58" t="str">
        <f aca="false">IF($D462="","",IFERROR(INDEX(资金账户!$F$6:$F$25,MATCH($D462,资金账户!$B$6:$B$25,0)),""))</f>
        <v/>
      </c>
      <c r="R462" s="58" t="str">
        <f aca="false">IF($E462="","",IFERROR(IF(INDEX(记账规则!$A$13:$H$32,MATCH($E462,记账规则!$A$13:$A$32,0),4)="借","收","支"),""))</f>
        <v/>
      </c>
      <c r="S462" s="57" t="str">
        <f aca="false">IF($D462="","",ROUND(SUMIFS(资金账户!$H$6:$H$25,资金账户!$B$6:$B$25,$D462)+SUMIFS($I$6:$I462,$D$6:$D462,$D462)-SUMIFS($J$6:$J462,$D$6:$D462,$D462),2))</f>
        <v/>
      </c>
      <c r="T462" s="61" t="str">
        <f aca="false">IF($B462="","",YEAR($B462))</f>
        <v/>
      </c>
    </row>
    <row r="463" customFormat="false" ht="15" hidden="false" customHeight="false" outlineLevel="0" collapsed="false">
      <c r="A463" s="53" t="str">
        <f aca="false">IF($B463="","",ROW()-5)</f>
        <v/>
      </c>
      <c r="B463" s="54"/>
      <c r="C463" s="33"/>
      <c r="D463" s="33"/>
      <c r="E463" s="33"/>
      <c r="F463" s="32"/>
      <c r="G463" s="41"/>
      <c r="H463" s="39"/>
      <c r="I463" s="43"/>
      <c r="J463" s="43"/>
      <c r="K463" s="41"/>
      <c r="L463" s="39"/>
      <c r="M463" s="41"/>
      <c r="N463" s="25" t="str">
        <f aca="false">IF(AND($B463="",$E463="",$I463="",$J463=""),"",IF(NOT(ISNUMBER($B463)),"日期无效",IF(ISNA(MATCH($C463,参数设置!$A$10:$A$12,0)),"公司无效",IF(ISNA(MATCH($D463,资金账户!$B$6:$B$25,0)),"账户未建档",IF(ISNA(MATCH($E463,记账规则!$A$13:$A$32,0)),"业务类型无效",IF(AND(N($I463)&lt;&gt;0,N($J463)&lt;&gt;0),"收入和支出只能填一列",IF($P463=0,"金额为 0",IF(AND($R463="收",N($I463)=0),"这类业务是收款，金额填到收入列",IF(AND($R463="支",N($J463)=0),"这类业务是付款，金额填到支出列",IF(AND(SUMPRODUCT(--(INDEX(记账规则!$A$13:$H$32,MATCH($E463,记账规则!$A$13:$A$32,0),0)="@对方"))&gt;0,$G463=""),"这个类型要填对方科目",IF(AND($G463&lt;&gt;"",ISNA(MATCH($G463,会计科目表!$B$6:$B$85,0))),"对方科目不存在",IF(AND($E463="缴纳税费",$H463=""),"缴税请在费用项目里选税种",IF(AND($F463&lt;&gt;"",ISNA(MATCH($F463,往来单位!$A$6:$A$85,0))),"往来单位未建档",IF(YEAR($B463)&lt;&gt;参数设置!$B$5,"不在本会计年度",IF(AND($B462&lt;&gt;"",ISNUMBER($B462),$B463&lt;$B462),"日期比上一行早，余额按行序滚，建议按日期录","OK")))))))))))))))</f>
        <v/>
      </c>
      <c r="O463" s="58" t="str">
        <f aca="false">IF($B463="","",TEXT($B463,"yyyy-mm"))</f>
        <v/>
      </c>
      <c r="P463" s="60" t="str">
        <f aca="false">IF($E463="","",ROUND(N($I463)+N($J463),2))</f>
        <v/>
      </c>
      <c r="Q463" s="58" t="str">
        <f aca="false">IF($D463="","",IFERROR(INDEX(资金账户!$F$6:$F$25,MATCH($D463,资金账户!$B$6:$B$25,0)),""))</f>
        <v/>
      </c>
      <c r="R463" s="58" t="str">
        <f aca="false">IF($E463="","",IFERROR(IF(INDEX(记账规则!$A$13:$H$32,MATCH($E463,记账规则!$A$13:$A$32,0),4)="借","收","支"),""))</f>
        <v/>
      </c>
      <c r="S463" s="57" t="str">
        <f aca="false">IF($D463="","",ROUND(SUMIFS(资金账户!$H$6:$H$25,资金账户!$B$6:$B$25,$D463)+SUMIFS($I$6:$I463,$D$6:$D463,$D463)-SUMIFS($J$6:$J463,$D$6:$D463,$D463),2))</f>
        <v/>
      </c>
      <c r="T463" s="61" t="str">
        <f aca="false">IF($B463="","",YEAR($B463))</f>
        <v/>
      </c>
    </row>
    <row r="464" customFormat="false" ht="15" hidden="false" customHeight="false" outlineLevel="0" collapsed="false">
      <c r="A464" s="53" t="str">
        <f aca="false">IF($B464="","",ROW()-5)</f>
        <v/>
      </c>
      <c r="B464" s="54"/>
      <c r="C464" s="33"/>
      <c r="D464" s="33"/>
      <c r="E464" s="33"/>
      <c r="F464" s="32"/>
      <c r="G464" s="41"/>
      <c r="H464" s="39"/>
      <c r="I464" s="43"/>
      <c r="J464" s="43"/>
      <c r="K464" s="41"/>
      <c r="L464" s="39"/>
      <c r="M464" s="41"/>
      <c r="N464" s="25" t="str">
        <f aca="false">IF(AND($B464="",$E464="",$I464="",$J464=""),"",IF(NOT(ISNUMBER($B464)),"日期无效",IF(ISNA(MATCH($C464,参数设置!$A$10:$A$12,0)),"公司无效",IF(ISNA(MATCH($D464,资金账户!$B$6:$B$25,0)),"账户未建档",IF(ISNA(MATCH($E464,记账规则!$A$13:$A$32,0)),"业务类型无效",IF(AND(N($I464)&lt;&gt;0,N($J464)&lt;&gt;0),"收入和支出只能填一列",IF($P464=0,"金额为 0",IF(AND($R464="收",N($I464)=0),"这类业务是收款，金额填到收入列",IF(AND($R464="支",N($J464)=0),"这类业务是付款，金额填到支出列",IF(AND(SUMPRODUCT(--(INDEX(记账规则!$A$13:$H$32,MATCH($E464,记账规则!$A$13:$A$32,0),0)="@对方"))&gt;0,$G464=""),"这个类型要填对方科目",IF(AND($G464&lt;&gt;"",ISNA(MATCH($G464,会计科目表!$B$6:$B$85,0))),"对方科目不存在",IF(AND($E464="缴纳税费",$H464=""),"缴税请在费用项目里选税种",IF(AND($F464&lt;&gt;"",ISNA(MATCH($F464,往来单位!$A$6:$A$85,0))),"往来单位未建档",IF(YEAR($B464)&lt;&gt;参数设置!$B$5,"不在本会计年度",IF(AND($B463&lt;&gt;"",ISNUMBER($B463),$B464&lt;$B463),"日期比上一行早，余额按行序滚，建议按日期录","OK")))))))))))))))</f>
        <v/>
      </c>
      <c r="O464" s="58" t="str">
        <f aca="false">IF($B464="","",TEXT($B464,"yyyy-mm"))</f>
        <v/>
      </c>
      <c r="P464" s="60" t="str">
        <f aca="false">IF($E464="","",ROUND(N($I464)+N($J464),2))</f>
        <v/>
      </c>
      <c r="Q464" s="58" t="str">
        <f aca="false">IF($D464="","",IFERROR(INDEX(资金账户!$F$6:$F$25,MATCH($D464,资金账户!$B$6:$B$25,0)),""))</f>
        <v/>
      </c>
      <c r="R464" s="58" t="str">
        <f aca="false">IF($E464="","",IFERROR(IF(INDEX(记账规则!$A$13:$H$32,MATCH($E464,记账规则!$A$13:$A$32,0),4)="借","收","支"),""))</f>
        <v/>
      </c>
      <c r="S464" s="57" t="str">
        <f aca="false">IF($D464="","",ROUND(SUMIFS(资金账户!$H$6:$H$25,资金账户!$B$6:$B$25,$D464)+SUMIFS($I$6:$I464,$D$6:$D464,$D464)-SUMIFS($J$6:$J464,$D$6:$D464,$D464),2))</f>
        <v/>
      </c>
      <c r="T464" s="61" t="str">
        <f aca="false">IF($B464="","",YEAR($B464))</f>
        <v/>
      </c>
    </row>
    <row r="465" customFormat="false" ht="15" hidden="false" customHeight="false" outlineLevel="0" collapsed="false">
      <c r="A465" s="53" t="str">
        <f aca="false">IF($B465="","",ROW()-5)</f>
        <v/>
      </c>
      <c r="B465" s="54"/>
      <c r="C465" s="33"/>
      <c r="D465" s="33"/>
      <c r="E465" s="33"/>
      <c r="F465" s="32"/>
      <c r="G465" s="41"/>
      <c r="H465" s="39"/>
      <c r="I465" s="43"/>
      <c r="J465" s="43"/>
      <c r="K465" s="41"/>
      <c r="L465" s="39"/>
      <c r="M465" s="41"/>
      <c r="N465" s="25" t="str">
        <f aca="false">IF(AND($B465="",$E465="",$I465="",$J465=""),"",IF(NOT(ISNUMBER($B465)),"日期无效",IF(ISNA(MATCH($C465,参数设置!$A$10:$A$12,0)),"公司无效",IF(ISNA(MATCH($D465,资金账户!$B$6:$B$25,0)),"账户未建档",IF(ISNA(MATCH($E465,记账规则!$A$13:$A$32,0)),"业务类型无效",IF(AND(N($I465)&lt;&gt;0,N($J465)&lt;&gt;0),"收入和支出只能填一列",IF($P465=0,"金额为 0",IF(AND($R465="收",N($I465)=0),"这类业务是收款，金额填到收入列",IF(AND($R465="支",N($J465)=0),"这类业务是付款，金额填到支出列",IF(AND(SUMPRODUCT(--(INDEX(记账规则!$A$13:$H$32,MATCH($E465,记账规则!$A$13:$A$32,0),0)="@对方"))&gt;0,$G465=""),"这个类型要填对方科目",IF(AND($G465&lt;&gt;"",ISNA(MATCH($G465,会计科目表!$B$6:$B$85,0))),"对方科目不存在",IF(AND($E465="缴纳税费",$H465=""),"缴税请在费用项目里选税种",IF(AND($F465&lt;&gt;"",ISNA(MATCH($F465,往来单位!$A$6:$A$85,0))),"往来单位未建档",IF(YEAR($B465)&lt;&gt;参数设置!$B$5,"不在本会计年度",IF(AND($B464&lt;&gt;"",ISNUMBER($B464),$B465&lt;$B464),"日期比上一行早，余额按行序滚，建议按日期录","OK")))))))))))))))</f>
        <v/>
      </c>
      <c r="O465" s="58" t="str">
        <f aca="false">IF($B465="","",TEXT($B465,"yyyy-mm"))</f>
        <v/>
      </c>
      <c r="P465" s="60" t="str">
        <f aca="false">IF($E465="","",ROUND(N($I465)+N($J465),2))</f>
        <v/>
      </c>
      <c r="Q465" s="58" t="str">
        <f aca="false">IF($D465="","",IFERROR(INDEX(资金账户!$F$6:$F$25,MATCH($D465,资金账户!$B$6:$B$25,0)),""))</f>
        <v/>
      </c>
      <c r="R465" s="58" t="str">
        <f aca="false">IF($E465="","",IFERROR(IF(INDEX(记账规则!$A$13:$H$32,MATCH($E465,记账规则!$A$13:$A$32,0),4)="借","收","支"),""))</f>
        <v/>
      </c>
      <c r="S465" s="57" t="str">
        <f aca="false">IF($D465="","",ROUND(SUMIFS(资金账户!$H$6:$H$25,资金账户!$B$6:$B$25,$D465)+SUMIFS($I$6:$I465,$D$6:$D465,$D465)-SUMIFS($J$6:$J465,$D$6:$D465,$D465),2))</f>
        <v/>
      </c>
      <c r="T465" s="61" t="str">
        <f aca="false">IF($B465="","",YEAR($B465))</f>
        <v/>
      </c>
    </row>
    <row r="466" customFormat="false" ht="15" hidden="false" customHeight="false" outlineLevel="0" collapsed="false">
      <c r="A466" s="53" t="str">
        <f aca="false">IF($B466="","",ROW()-5)</f>
        <v/>
      </c>
      <c r="B466" s="54"/>
      <c r="C466" s="33"/>
      <c r="D466" s="33"/>
      <c r="E466" s="33"/>
      <c r="F466" s="32"/>
      <c r="G466" s="41"/>
      <c r="H466" s="39"/>
      <c r="I466" s="43"/>
      <c r="J466" s="43"/>
      <c r="K466" s="41"/>
      <c r="L466" s="39"/>
      <c r="M466" s="41"/>
      <c r="N466" s="25" t="str">
        <f aca="false">IF(AND($B466="",$E466="",$I466="",$J466=""),"",IF(NOT(ISNUMBER($B466)),"日期无效",IF(ISNA(MATCH($C466,参数设置!$A$10:$A$12,0)),"公司无效",IF(ISNA(MATCH($D466,资金账户!$B$6:$B$25,0)),"账户未建档",IF(ISNA(MATCH($E466,记账规则!$A$13:$A$32,0)),"业务类型无效",IF(AND(N($I466)&lt;&gt;0,N($J466)&lt;&gt;0),"收入和支出只能填一列",IF($P466=0,"金额为 0",IF(AND($R466="收",N($I466)=0),"这类业务是收款，金额填到收入列",IF(AND($R466="支",N($J466)=0),"这类业务是付款，金额填到支出列",IF(AND(SUMPRODUCT(--(INDEX(记账规则!$A$13:$H$32,MATCH($E466,记账规则!$A$13:$A$32,0),0)="@对方"))&gt;0,$G466=""),"这个类型要填对方科目",IF(AND($G466&lt;&gt;"",ISNA(MATCH($G466,会计科目表!$B$6:$B$85,0))),"对方科目不存在",IF(AND($E466="缴纳税费",$H466=""),"缴税请在费用项目里选税种",IF(AND($F466&lt;&gt;"",ISNA(MATCH($F466,往来单位!$A$6:$A$85,0))),"往来单位未建档",IF(YEAR($B466)&lt;&gt;参数设置!$B$5,"不在本会计年度",IF(AND($B465&lt;&gt;"",ISNUMBER($B465),$B466&lt;$B465),"日期比上一行早，余额按行序滚，建议按日期录","OK")))))))))))))))</f>
        <v/>
      </c>
      <c r="O466" s="58" t="str">
        <f aca="false">IF($B466="","",TEXT($B466,"yyyy-mm"))</f>
        <v/>
      </c>
      <c r="P466" s="60" t="str">
        <f aca="false">IF($E466="","",ROUND(N($I466)+N($J466),2))</f>
        <v/>
      </c>
      <c r="Q466" s="58" t="str">
        <f aca="false">IF($D466="","",IFERROR(INDEX(资金账户!$F$6:$F$25,MATCH($D466,资金账户!$B$6:$B$25,0)),""))</f>
        <v/>
      </c>
      <c r="R466" s="58" t="str">
        <f aca="false">IF($E466="","",IFERROR(IF(INDEX(记账规则!$A$13:$H$32,MATCH($E466,记账规则!$A$13:$A$32,0),4)="借","收","支"),""))</f>
        <v/>
      </c>
      <c r="S466" s="57" t="str">
        <f aca="false">IF($D466="","",ROUND(SUMIFS(资金账户!$H$6:$H$25,资金账户!$B$6:$B$25,$D466)+SUMIFS($I$6:$I466,$D$6:$D466,$D466)-SUMIFS($J$6:$J466,$D$6:$D466,$D466),2))</f>
        <v/>
      </c>
      <c r="T466" s="61" t="str">
        <f aca="false">IF($B466="","",YEAR($B466))</f>
        <v/>
      </c>
    </row>
    <row r="467" customFormat="false" ht="15" hidden="false" customHeight="false" outlineLevel="0" collapsed="false">
      <c r="A467" s="53" t="str">
        <f aca="false">IF($B467="","",ROW()-5)</f>
        <v/>
      </c>
      <c r="B467" s="54"/>
      <c r="C467" s="33"/>
      <c r="D467" s="33"/>
      <c r="E467" s="33"/>
      <c r="F467" s="32"/>
      <c r="G467" s="41"/>
      <c r="H467" s="39"/>
      <c r="I467" s="43"/>
      <c r="J467" s="43"/>
      <c r="K467" s="41"/>
      <c r="L467" s="39"/>
      <c r="M467" s="41"/>
      <c r="N467" s="25" t="str">
        <f aca="false">IF(AND($B467="",$E467="",$I467="",$J467=""),"",IF(NOT(ISNUMBER($B467)),"日期无效",IF(ISNA(MATCH($C467,参数设置!$A$10:$A$12,0)),"公司无效",IF(ISNA(MATCH($D467,资金账户!$B$6:$B$25,0)),"账户未建档",IF(ISNA(MATCH($E467,记账规则!$A$13:$A$32,0)),"业务类型无效",IF(AND(N($I467)&lt;&gt;0,N($J467)&lt;&gt;0),"收入和支出只能填一列",IF($P467=0,"金额为 0",IF(AND($R467="收",N($I467)=0),"这类业务是收款，金额填到收入列",IF(AND($R467="支",N($J467)=0),"这类业务是付款，金额填到支出列",IF(AND(SUMPRODUCT(--(INDEX(记账规则!$A$13:$H$32,MATCH($E467,记账规则!$A$13:$A$32,0),0)="@对方"))&gt;0,$G467=""),"这个类型要填对方科目",IF(AND($G467&lt;&gt;"",ISNA(MATCH($G467,会计科目表!$B$6:$B$85,0))),"对方科目不存在",IF(AND($E467="缴纳税费",$H467=""),"缴税请在费用项目里选税种",IF(AND($F467&lt;&gt;"",ISNA(MATCH($F467,往来单位!$A$6:$A$85,0))),"往来单位未建档",IF(YEAR($B467)&lt;&gt;参数设置!$B$5,"不在本会计年度",IF(AND($B466&lt;&gt;"",ISNUMBER($B466),$B467&lt;$B466),"日期比上一行早，余额按行序滚，建议按日期录","OK")))))))))))))))</f>
        <v/>
      </c>
      <c r="O467" s="58" t="str">
        <f aca="false">IF($B467="","",TEXT($B467,"yyyy-mm"))</f>
        <v/>
      </c>
      <c r="P467" s="60" t="str">
        <f aca="false">IF($E467="","",ROUND(N($I467)+N($J467),2))</f>
        <v/>
      </c>
      <c r="Q467" s="58" t="str">
        <f aca="false">IF($D467="","",IFERROR(INDEX(资金账户!$F$6:$F$25,MATCH($D467,资金账户!$B$6:$B$25,0)),""))</f>
        <v/>
      </c>
      <c r="R467" s="58" t="str">
        <f aca="false">IF($E467="","",IFERROR(IF(INDEX(记账规则!$A$13:$H$32,MATCH($E467,记账规则!$A$13:$A$32,0),4)="借","收","支"),""))</f>
        <v/>
      </c>
      <c r="S467" s="57" t="str">
        <f aca="false">IF($D467="","",ROUND(SUMIFS(资金账户!$H$6:$H$25,资金账户!$B$6:$B$25,$D467)+SUMIFS($I$6:$I467,$D$6:$D467,$D467)-SUMIFS($J$6:$J467,$D$6:$D467,$D467),2))</f>
        <v/>
      </c>
      <c r="T467" s="61" t="str">
        <f aca="false">IF($B467="","",YEAR($B467))</f>
        <v/>
      </c>
    </row>
    <row r="468" customFormat="false" ht="15" hidden="false" customHeight="false" outlineLevel="0" collapsed="false">
      <c r="A468" s="53" t="str">
        <f aca="false">IF($B468="","",ROW()-5)</f>
        <v/>
      </c>
      <c r="B468" s="54"/>
      <c r="C468" s="33"/>
      <c r="D468" s="33"/>
      <c r="E468" s="33"/>
      <c r="F468" s="32"/>
      <c r="G468" s="41"/>
      <c r="H468" s="39"/>
      <c r="I468" s="43"/>
      <c r="J468" s="43"/>
      <c r="K468" s="41"/>
      <c r="L468" s="39"/>
      <c r="M468" s="41"/>
      <c r="N468" s="25" t="str">
        <f aca="false">IF(AND($B468="",$E468="",$I468="",$J468=""),"",IF(NOT(ISNUMBER($B468)),"日期无效",IF(ISNA(MATCH($C468,参数设置!$A$10:$A$12,0)),"公司无效",IF(ISNA(MATCH($D468,资金账户!$B$6:$B$25,0)),"账户未建档",IF(ISNA(MATCH($E468,记账规则!$A$13:$A$32,0)),"业务类型无效",IF(AND(N($I468)&lt;&gt;0,N($J468)&lt;&gt;0),"收入和支出只能填一列",IF($P468=0,"金额为 0",IF(AND($R468="收",N($I468)=0),"这类业务是收款，金额填到收入列",IF(AND($R468="支",N($J468)=0),"这类业务是付款，金额填到支出列",IF(AND(SUMPRODUCT(--(INDEX(记账规则!$A$13:$H$32,MATCH($E468,记账规则!$A$13:$A$32,0),0)="@对方"))&gt;0,$G468=""),"这个类型要填对方科目",IF(AND($G468&lt;&gt;"",ISNA(MATCH($G468,会计科目表!$B$6:$B$85,0))),"对方科目不存在",IF(AND($E468="缴纳税费",$H468=""),"缴税请在费用项目里选税种",IF(AND($F468&lt;&gt;"",ISNA(MATCH($F468,往来单位!$A$6:$A$85,0))),"往来单位未建档",IF(YEAR($B468)&lt;&gt;参数设置!$B$5,"不在本会计年度",IF(AND($B467&lt;&gt;"",ISNUMBER($B467),$B468&lt;$B467),"日期比上一行早，余额按行序滚，建议按日期录","OK")))))))))))))))</f>
        <v/>
      </c>
      <c r="O468" s="58" t="str">
        <f aca="false">IF($B468="","",TEXT($B468,"yyyy-mm"))</f>
        <v/>
      </c>
      <c r="P468" s="60" t="str">
        <f aca="false">IF($E468="","",ROUND(N($I468)+N($J468),2))</f>
        <v/>
      </c>
      <c r="Q468" s="58" t="str">
        <f aca="false">IF($D468="","",IFERROR(INDEX(资金账户!$F$6:$F$25,MATCH($D468,资金账户!$B$6:$B$25,0)),""))</f>
        <v/>
      </c>
      <c r="R468" s="58" t="str">
        <f aca="false">IF($E468="","",IFERROR(IF(INDEX(记账规则!$A$13:$H$32,MATCH($E468,记账规则!$A$13:$A$32,0),4)="借","收","支"),""))</f>
        <v/>
      </c>
      <c r="S468" s="57" t="str">
        <f aca="false">IF($D468="","",ROUND(SUMIFS(资金账户!$H$6:$H$25,资金账户!$B$6:$B$25,$D468)+SUMIFS($I$6:$I468,$D$6:$D468,$D468)-SUMIFS($J$6:$J468,$D$6:$D468,$D468),2))</f>
        <v/>
      </c>
      <c r="T468" s="61" t="str">
        <f aca="false">IF($B468="","",YEAR($B468))</f>
        <v/>
      </c>
    </row>
    <row r="469" customFormat="false" ht="15" hidden="false" customHeight="false" outlineLevel="0" collapsed="false">
      <c r="A469" s="53" t="str">
        <f aca="false">IF($B469="","",ROW()-5)</f>
        <v/>
      </c>
      <c r="B469" s="54"/>
      <c r="C469" s="33"/>
      <c r="D469" s="33"/>
      <c r="E469" s="33"/>
      <c r="F469" s="32"/>
      <c r="G469" s="41"/>
      <c r="H469" s="39"/>
      <c r="I469" s="43"/>
      <c r="J469" s="43"/>
      <c r="K469" s="41"/>
      <c r="L469" s="39"/>
      <c r="M469" s="41"/>
      <c r="N469" s="25" t="str">
        <f aca="false">IF(AND($B469="",$E469="",$I469="",$J469=""),"",IF(NOT(ISNUMBER($B469)),"日期无效",IF(ISNA(MATCH($C469,参数设置!$A$10:$A$12,0)),"公司无效",IF(ISNA(MATCH($D469,资金账户!$B$6:$B$25,0)),"账户未建档",IF(ISNA(MATCH($E469,记账规则!$A$13:$A$32,0)),"业务类型无效",IF(AND(N($I469)&lt;&gt;0,N($J469)&lt;&gt;0),"收入和支出只能填一列",IF($P469=0,"金额为 0",IF(AND($R469="收",N($I469)=0),"这类业务是收款，金额填到收入列",IF(AND($R469="支",N($J469)=0),"这类业务是付款，金额填到支出列",IF(AND(SUMPRODUCT(--(INDEX(记账规则!$A$13:$H$32,MATCH($E469,记账规则!$A$13:$A$32,0),0)="@对方"))&gt;0,$G469=""),"这个类型要填对方科目",IF(AND($G469&lt;&gt;"",ISNA(MATCH($G469,会计科目表!$B$6:$B$85,0))),"对方科目不存在",IF(AND($E469="缴纳税费",$H469=""),"缴税请在费用项目里选税种",IF(AND($F469&lt;&gt;"",ISNA(MATCH($F469,往来单位!$A$6:$A$85,0))),"往来单位未建档",IF(YEAR($B469)&lt;&gt;参数设置!$B$5,"不在本会计年度",IF(AND($B468&lt;&gt;"",ISNUMBER($B468),$B469&lt;$B468),"日期比上一行早，余额按行序滚，建议按日期录","OK")))))))))))))))</f>
        <v/>
      </c>
      <c r="O469" s="58" t="str">
        <f aca="false">IF($B469="","",TEXT($B469,"yyyy-mm"))</f>
        <v/>
      </c>
      <c r="P469" s="60" t="str">
        <f aca="false">IF($E469="","",ROUND(N($I469)+N($J469),2))</f>
        <v/>
      </c>
      <c r="Q469" s="58" t="str">
        <f aca="false">IF($D469="","",IFERROR(INDEX(资金账户!$F$6:$F$25,MATCH($D469,资金账户!$B$6:$B$25,0)),""))</f>
        <v/>
      </c>
      <c r="R469" s="58" t="str">
        <f aca="false">IF($E469="","",IFERROR(IF(INDEX(记账规则!$A$13:$H$32,MATCH($E469,记账规则!$A$13:$A$32,0),4)="借","收","支"),""))</f>
        <v/>
      </c>
      <c r="S469" s="57" t="str">
        <f aca="false">IF($D469="","",ROUND(SUMIFS(资金账户!$H$6:$H$25,资金账户!$B$6:$B$25,$D469)+SUMIFS($I$6:$I469,$D$6:$D469,$D469)-SUMIFS($J$6:$J469,$D$6:$D469,$D469),2))</f>
        <v/>
      </c>
      <c r="T469" s="61" t="str">
        <f aca="false">IF($B469="","",YEAR($B469))</f>
        <v/>
      </c>
    </row>
    <row r="470" customFormat="false" ht="15" hidden="false" customHeight="false" outlineLevel="0" collapsed="false">
      <c r="A470" s="53" t="str">
        <f aca="false">IF($B470="","",ROW()-5)</f>
        <v/>
      </c>
      <c r="B470" s="54"/>
      <c r="C470" s="33"/>
      <c r="D470" s="33"/>
      <c r="E470" s="33"/>
      <c r="F470" s="32"/>
      <c r="G470" s="41"/>
      <c r="H470" s="39"/>
      <c r="I470" s="43"/>
      <c r="J470" s="43"/>
      <c r="K470" s="41"/>
      <c r="L470" s="39"/>
      <c r="M470" s="41"/>
      <c r="N470" s="25" t="str">
        <f aca="false">IF(AND($B470="",$E470="",$I470="",$J470=""),"",IF(NOT(ISNUMBER($B470)),"日期无效",IF(ISNA(MATCH($C470,参数设置!$A$10:$A$12,0)),"公司无效",IF(ISNA(MATCH($D470,资金账户!$B$6:$B$25,0)),"账户未建档",IF(ISNA(MATCH($E470,记账规则!$A$13:$A$32,0)),"业务类型无效",IF(AND(N($I470)&lt;&gt;0,N($J470)&lt;&gt;0),"收入和支出只能填一列",IF($P470=0,"金额为 0",IF(AND($R470="收",N($I470)=0),"这类业务是收款，金额填到收入列",IF(AND($R470="支",N($J470)=0),"这类业务是付款，金额填到支出列",IF(AND(SUMPRODUCT(--(INDEX(记账规则!$A$13:$H$32,MATCH($E470,记账规则!$A$13:$A$32,0),0)="@对方"))&gt;0,$G470=""),"这个类型要填对方科目",IF(AND($G470&lt;&gt;"",ISNA(MATCH($G470,会计科目表!$B$6:$B$85,0))),"对方科目不存在",IF(AND($E470="缴纳税费",$H470=""),"缴税请在费用项目里选税种",IF(AND($F470&lt;&gt;"",ISNA(MATCH($F470,往来单位!$A$6:$A$85,0))),"往来单位未建档",IF(YEAR($B470)&lt;&gt;参数设置!$B$5,"不在本会计年度",IF(AND($B469&lt;&gt;"",ISNUMBER($B469),$B470&lt;$B469),"日期比上一行早，余额按行序滚，建议按日期录","OK")))))))))))))))</f>
        <v/>
      </c>
      <c r="O470" s="58" t="str">
        <f aca="false">IF($B470="","",TEXT($B470,"yyyy-mm"))</f>
        <v/>
      </c>
      <c r="P470" s="60" t="str">
        <f aca="false">IF($E470="","",ROUND(N($I470)+N($J470),2))</f>
        <v/>
      </c>
      <c r="Q470" s="58" t="str">
        <f aca="false">IF($D470="","",IFERROR(INDEX(资金账户!$F$6:$F$25,MATCH($D470,资金账户!$B$6:$B$25,0)),""))</f>
        <v/>
      </c>
      <c r="R470" s="58" t="str">
        <f aca="false">IF($E470="","",IFERROR(IF(INDEX(记账规则!$A$13:$H$32,MATCH($E470,记账规则!$A$13:$A$32,0),4)="借","收","支"),""))</f>
        <v/>
      </c>
      <c r="S470" s="57" t="str">
        <f aca="false">IF($D470="","",ROUND(SUMIFS(资金账户!$H$6:$H$25,资金账户!$B$6:$B$25,$D470)+SUMIFS($I$6:$I470,$D$6:$D470,$D470)-SUMIFS($J$6:$J470,$D$6:$D470,$D470),2))</f>
        <v/>
      </c>
      <c r="T470" s="61" t="str">
        <f aca="false">IF($B470="","",YEAR($B470))</f>
        <v/>
      </c>
    </row>
    <row r="471" customFormat="false" ht="15" hidden="false" customHeight="false" outlineLevel="0" collapsed="false">
      <c r="A471" s="53" t="str">
        <f aca="false">IF($B471="","",ROW()-5)</f>
        <v/>
      </c>
      <c r="B471" s="54"/>
      <c r="C471" s="33"/>
      <c r="D471" s="33"/>
      <c r="E471" s="33"/>
      <c r="F471" s="32"/>
      <c r="G471" s="41"/>
      <c r="H471" s="39"/>
      <c r="I471" s="43"/>
      <c r="J471" s="43"/>
      <c r="K471" s="41"/>
      <c r="L471" s="39"/>
      <c r="M471" s="41"/>
      <c r="N471" s="25" t="str">
        <f aca="false">IF(AND($B471="",$E471="",$I471="",$J471=""),"",IF(NOT(ISNUMBER($B471)),"日期无效",IF(ISNA(MATCH($C471,参数设置!$A$10:$A$12,0)),"公司无效",IF(ISNA(MATCH($D471,资金账户!$B$6:$B$25,0)),"账户未建档",IF(ISNA(MATCH($E471,记账规则!$A$13:$A$32,0)),"业务类型无效",IF(AND(N($I471)&lt;&gt;0,N($J471)&lt;&gt;0),"收入和支出只能填一列",IF($P471=0,"金额为 0",IF(AND($R471="收",N($I471)=0),"这类业务是收款，金额填到收入列",IF(AND($R471="支",N($J471)=0),"这类业务是付款，金额填到支出列",IF(AND(SUMPRODUCT(--(INDEX(记账规则!$A$13:$H$32,MATCH($E471,记账规则!$A$13:$A$32,0),0)="@对方"))&gt;0,$G471=""),"这个类型要填对方科目",IF(AND($G471&lt;&gt;"",ISNA(MATCH($G471,会计科目表!$B$6:$B$85,0))),"对方科目不存在",IF(AND($E471="缴纳税费",$H471=""),"缴税请在费用项目里选税种",IF(AND($F471&lt;&gt;"",ISNA(MATCH($F471,往来单位!$A$6:$A$85,0))),"往来单位未建档",IF(YEAR($B471)&lt;&gt;参数设置!$B$5,"不在本会计年度",IF(AND($B470&lt;&gt;"",ISNUMBER($B470),$B471&lt;$B470),"日期比上一行早，余额按行序滚，建议按日期录","OK")))))))))))))))</f>
        <v/>
      </c>
      <c r="O471" s="58" t="str">
        <f aca="false">IF($B471="","",TEXT($B471,"yyyy-mm"))</f>
        <v/>
      </c>
      <c r="P471" s="60" t="str">
        <f aca="false">IF($E471="","",ROUND(N($I471)+N($J471),2))</f>
        <v/>
      </c>
      <c r="Q471" s="58" t="str">
        <f aca="false">IF($D471="","",IFERROR(INDEX(资金账户!$F$6:$F$25,MATCH($D471,资金账户!$B$6:$B$25,0)),""))</f>
        <v/>
      </c>
      <c r="R471" s="58" t="str">
        <f aca="false">IF($E471="","",IFERROR(IF(INDEX(记账规则!$A$13:$H$32,MATCH($E471,记账规则!$A$13:$A$32,0),4)="借","收","支"),""))</f>
        <v/>
      </c>
      <c r="S471" s="57" t="str">
        <f aca="false">IF($D471="","",ROUND(SUMIFS(资金账户!$H$6:$H$25,资金账户!$B$6:$B$25,$D471)+SUMIFS($I$6:$I471,$D$6:$D471,$D471)-SUMIFS($J$6:$J471,$D$6:$D471,$D471),2))</f>
        <v/>
      </c>
      <c r="T471" s="61" t="str">
        <f aca="false">IF($B471="","",YEAR($B471))</f>
        <v/>
      </c>
    </row>
    <row r="472" customFormat="false" ht="15" hidden="false" customHeight="false" outlineLevel="0" collapsed="false">
      <c r="A472" s="53" t="str">
        <f aca="false">IF($B472="","",ROW()-5)</f>
        <v/>
      </c>
      <c r="B472" s="54"/>
      <c r="C472" s="33"/>
      <c r="D472" s="33"/>
      <c r="E472" s="33"/>
      <c r="F472" s="32"/>
      <c r="G472" s="41"/>
      <c r="H472" s="39"/>
      <c r="I472" s="43"/>
      <c r="J472" s="43"/>
      <c r="K472" s="41"/>
      <c r="L472" s="39"/>
      <c r="M472" s="41"/>
      <c r="N472" s="25" t="str">
        <f aca="false">IF(AND($B472="",$E472="",$I472="",$J472=""),"",IF(NOT(ISNUMBER($B472)),"日期无效",IF(ISNA(MATCH($C472,参数设置!$A$10:$A$12,0)),"公司无效",IF(ISNA(MATCH($D472,资金账户!$B$6:$B$25,0)),"账户未建档",IF(ISNA(MATCH($E472,记账规则!$A$13:$A$32,0)),"业务类型无效",IF(AND(N($I472)&lt;&gt;0,N($J472)&lt;&gt;0),"收入和支出只能填一列",IF($P472=0,"金额为 0",IF(AND($R472="收",N($I472)=0),"这类业务是收款，金额填到收入列",IF(AND($R472="支",N($J472)=0),"这类业务是付款，金额填到支出列",IF(AND(SUMPRODUCT(--(INDEX(记账规则!$A$13:$H$32,MATCH($E472,记账规则!$A$13:$A$32,0),0)="@对方"))&gt;0,$G472=""),"这个类型要填对方科目",IF(AND($G472&lt;&gt;"",ISNA(MATCH($G472,会计科目表!$B$6:$B$85,0))),"对方科目不存在",IF(AND($E472="缴纳税费",$H472=""),"缴税请在费用项目里选税种",IF(AND($F472&lt;&gt;"",ISNA(MATCH($F472,往来单位!$A$6:$A$85,0))),"往来单位未建档",IF(YEAR($B472)&lt;&gt;参数设置!$B$5,"不在本会计年度",IF(AND($B471&lt;&gt;"",ISNUMBER($B471),$B472&lt;$B471),"日期比上一行早，余额按行序滚，建议按日期录","OK")))))))))))))))</f>
        <v/>
      </c>
      <c r="O472" s="58" t="str">
        <f aca="false">IF($B472="","",TEXT($B472,"yyyy-mm"))</f>
        <v/>
      </c>
      <c r="P472" s="60" t="str">
        <f aca="false">IF($E472="","",ROUND(N($I472)+N($J472),2))</f>
        <v/>
      </c>
      <c r="Q472" s="58" t="str">
        <f aca="false">IF($D472="","",IFERROR(INDEX(资金账户!$F$6:$F$25,MATCH($D472,资金账户!$B$6:$B$25,0)),""))</f>
        <v/>
      </c>
      <c r="R472" s="58" t="str">
        <f aca="false">IF($E472="","",IFERROR(IF(INDEX(记账规则!$A$13:$H$32,MATCH($E472,记账规则!$A$13:$A$32,0),4)="借","收","支"),""))</f>
        <v/>
      </c>
      <c r="S472" s="57" t="str">
        <f aca="false">IF($D472="","",ROUND(SUMIFS(资金账户!$H$6:$H$25,资金账户!$B$6:$B$25,$D472)+SUMIFS($I$6:$I472,$D$6:$D472,$D472)-SUMIFS($J$6:$J472,$D$6:$D472,$D472),2))</f>
        <v/>
      </c>
      <c r="T472" s="61" t="str">
        <f aca="false">IF($B472="","",YEAR($B472))</f>
        <v/>
      </c>
    </row>
    <row r="473" customFormat="false" ht="15" hidden="false" customHeight="false" outlineLevel="0" collapsed="false">
      <c r="A473" s="53" t="str">
        <f aca="false">IF($B473="","",ROW()-5)</f>
        <v/>
      </c>
      <c r="B473" s="54"/>
      <c r="C473" s="33"/>
      <c r="D473" s="33"/>
      <c r="E473" s="33"/>
      <c r="F473" s="32"/>
      <c r="G473" s="41"/>
      <c r="H473" s="39"/>
      <c r="I473" s="43"/>
      <c r="J473" s="43"/>
      <c r="K473" s="41"/>
      <c r="L473" s="39"/>
      <c r="M473" s="41"/>
      <c r="N473" s="25" t="str">
        <f aca="false">IF(AND($B473="",$E473="",$I473="",$J473=""),"",IF(NOT(ISNUMBER($B473)),"日期无效",IF(ISNA(MATCH($C473,参数设置!$A$10:$A$12,0)),"公司无效",IF(ISNA(MATCH($D473,资金账户!$B$6:$B$25,0)),"账户未建档",IF(ISNA(MATCH($E473,记账规则!$A$13:$A$32,0)),"业务类型无效",IF(AND(N($I473)&lt;&gt;0,N($J473)&lt;&gt;0),"收入和支出只能填一列",IF($P473=0,"金额为 0",IF(AND($R473="收",N($I473)=0),"这类业务是收款，金额填到收入列",IF(AND($R473="支",N($J473)=0),"这类业务是付款，金额填到支出列",IF(AND(SUMPRODUCT(--(INDEX(记账规则!$A$13:$H$32,MATCH($E473,记账规则!$A$13:$A$32,0),0)="@对方"))&gt;0,$G473=""),"这个类型要填对方科目",IF(AND($G473&lt;&gt;"",ISNA(MATCH($G473,会计科目表!$B$6:$B$85,0))),"对方科目不存在",IF(AND($E473="缴纳税费",$H473=""),"缴税请在费用项目里选税种",IF(AND($F473&lt;&gt;"",ISNA(MATCH($F473,往来单位!$A$6:$A$85,0))),"往来单位未建档",IF(YEAR($B473)&lt;&gt;参数设置!$B$5,"不在本会计年度",IF(AND($B472&lt;&gt;"",ISNUMBER($B472),$B473&lt;$B472),"日期比上一行早，余额按行序滚，建议按日期录","OK")))))))))))))))</f>
        <v/>
      </c>
      <c r="O473" s="58" t="str">
        <f aca="false">IF($B473="","",TEXT($B473,"yyyy-mm"))</f>
        <v/>
      </c>
      <c r="P473" s="60" t="str">
        <f aca="false">IF($E473="","",ROUND(N($I473)+N($J473),2))</f>
        <v/>
      </c>
      <c r="Q473" s="58" t="str">
        <f aca="false">IF($D473="","",IFERROR(INDEX(资金账户!$F$6:$F$25,MATCH($D473,资金账户!$B$6:$B$25,0)),""))</f>
        <v/>
      </c>
      <c r="R473" s="58" t="str">
        <f aca="false">IF($E473="","",IFERROR(IF(INDEX(记账规则!$A$13:$H$32,MATCH($E473,记账规则!$A$13:$A$32,0),4)="借","收","支"),""))</f>
        <v/>
      </c>
      <c r="S473" s="57" t="str">
        <f aca="false">IF($D473="","",ROUND(SUMIFS(资金账户!$H$6:$H$25,资金账户!$B$6:$B$25,$D473)+SUMIFS($I$6:$I473,$D$6:$D473,$D473)-SUMIFS($J$6:$J473,$D$6:$D473,$D473),2))</f>
        <v/>
      </c>
      <c r="T473" s="61" t="str">
        <f aca="false">IF($B473="","",YEAR($B473))</f>
        <v/>
      </c>
    </row>
    <row r="474" customFormat="false" ht="15" hidden="false" customHeight="false" outlineLevel="0" collapsed="false">
      <c r="A474" s="53" t="str">
        <f aca="false">IF($B474="","",ROW()-5)</f>
        <v/>
      </c>
      <c r="B474" s="54"/>
      <c r="C474" s="33"/>
      <c r="D474" s="33"/>
      <c r="E474" s="33"/>
      <c r="F474" s="32"/>
      <c r="G474" s="41"/>
      <c r="H474" s="39"/>
      <c r="I474" s="43"/>
      <c r="J474" s="43"/>
      <c r="K474" s="41"/>
      <c r="L474" s="39"/>
      <c r="M474" s="41"/>
      <c r="N474" s="25" t="str">
        <f aca="false">IF(AND($B474="",$E474="",$I474="",$J474=""),"",IF(NOT(ISNUMBER($B474)),"日期无效",IF(ISNA(MATCH($C474,参数设置!$A$10:$A$12,0)),"公司无效",IF(ISNA(MATCH($D474,资金账户!$B$6:$B$25,0)),"账户未建档",IF(ISNA(MATCH($E474,记账规则!$A$13:$A$32,0)),"业务类型无效",IF(AND(N($I474)&lt;&gt;0,N($J474)&lt;&gt;0),"收入和支出只能填一列",IF($P474=0,"金额为 0",IF(AND($R474="收",N($I474)=0),"这类业务是收款，金额填到收入列",IF(AND($R474="支",N($J474)=0),"这类业务是付款，金额填到支出列",IF(AND(SUMPRODUCT(--(INDEX(记账规则!$A$13:$H$32,MATCH($E474,记账规则!$A$13:$A$32,0),0)="@对方"))&gt;0,$G474=""),"这个类型要填对方科目",IF(AND($G474&lt;&gt;"",ISNA(MATCH($G474,会计科目表!$B$6:$B$85,0))),"对方科目不存在",IF(AND($E474="缴纳税费",$H474=""),"缴税请在费用项目里选税种",IF(AND($F474&lt;&gt;"",ISNA(MATCH($F474,往来单位!$A$6:$A$85,0))),"往来单位未建档",IF(YEAR($B474)&lt;&gt;参数设置!$B$5,"不在本会计年度",IF(AND($B473&lt;&gt;"",ISNUMBER($B473),$B474&lt;$B473),"日期比上一行早，余额按行序滚，建议按日期录","OK")))))))))))))))</f>
        <v/>
      </c>
      <c r="O474" s="58" t="str">
        <f aca="false">IF($B474="","",TEXT($B474,"yyyy-mm"))</f>
        <v/>
      </c>
      <c r="P474" s="60" t="str">
        <f aca="false">IF($E474="","",ROUND(N($I474)+N($J474),2))</f>
        <v/>
      </c>
      <c r="Q474" s="58" t="str">
        <f aca="false">IF($D474="","",IFERROR(INDEX(资金账户!$F$6:$F$25,MATCH($D474,资金账户!$B$6:$B$25,0)),""))</f>
        <v/>
      </c>
      <c r="R474" s="58" t="str">
        <f aca="false">IF($E474="","",IFERROR(IF(INDEX(记账规则!$A$13:$H$32,MATCH($E474,记账规则!$A$13:$A$32,0),4)="借","收","支"),""))</f>
        <v/>
      </c>
      <c r="S474" s="57" t="str">
        <f aca="false">IF($D474="","",ROUND(SUMIFS(资金账户!$H$6:$H$25,资金账户!$B$6:$B$25,$D474)+SUMIFS($I$6:$I474,$D$6:$D474,$D474)-SUMIFS($J$6:$J474,$D$6:$D474,$D474),2))</f>
        <v/>
      </c>
      <c r="T474" s="61" t="str">
        <f aca="false">IF($B474="","",YEAR($B474))</f>
        <v/>
      </c>
    </row>
    <row r="475" customFormat="false" ht="15" hidden="false" customHeight="false" outlineLevel="0" collapsed="false">
      <c r="A475" s="53" t="str">
        <f aca="false">IF($B475="","",ROW()-5)</f>
        <v/>
      </c>
      <c r="B475" s="54"/>
      <c r="C475" s="33"/>
      <c r="D475" s="33"/>
      <c r="E475" s="33"/>
      <c r="F475" s="32"/>
      <c r="G475" s="41"/>
      <c r="H475" s="39"/>
      <c r="I475" s="43"/>
      <c r="J475" s="43"/>
      <c r="K475" s="41"/>
      <c r="L475" s="39"/>
      <c r="M475" s="41"/>
      <c r="N475" s="25" t="str">
        <f aca="false">IF(AND($B475="",$E475="",$I475="",$J475=""),"",IF(NOT(ISNUMBER($B475)),"日期无效",IF(ISNA(MATCH($C475,参数设置!$A$10:$A$12,0)),"公司无效",IF(ISNA(MATCH($D475,资金账户!$B$6:$B$25,0)),"账户未建档",IF(ISNA(MATCH($E475,记账规则!$A$13:$A$32,0)),"业务类型无效",IF(AND(N($I475)&lt;&gt;0,N($J475)&lt;&gt;0),"收入和支出只能填一列",IF($P475=0,"金额为 0",IF(AND($R475="收",N($I475)=0),"这类业务是收款，金额填到收入列",IF(AND($R475="支",N($J475)=0),"这类业务是付款，金额填到支出列",IF(AND(SUMPRODUCT(--(INDEX(记账规则!$A$13:$H$32,MATCH($E475,记账规则!$A$13:$A$32,0),0)="@对方"))&gt;0,$G475=""),"这个类型要填对方科目",IF(AND($G475&lt;&gt;"",ISNA(MATCH($G475,会计科目表!$B$6:$B$85,0))),"对方科目不存在",IF(AND($E475="缴纳税费",$H475=""),"缴税请在费用项目里选税种",IF(AND($F475&lt;&gt;"",ISNA(MATCH($F475,往来单位!$A$6:$A$85,0))),"往来单位未建档",IF(YEAR($B475)&lt;&gt;参数设置!$B$5,"不在本会计年度",IF(AND($B474&lt;&gt;"",ISNUMBER($B474),$B475&lt;$B474),"日期比上一行早，余额按行序滚，建议按日期录","OK")))))))))))))))</f>
        <v/>
      </c>
      <c r="O475" s="58" t="str">
        <f aca="false">IF($B475="","",TEXT($B475,"yyyy-mm"))</f>
        <v/>
      </c>
      <c r="P475" s="60" t="str">
        <f aca="false">IF($E475="","",ROUND(N($I475)+N($J475),2))</f>
        <v/>
      </c>
      <c r="Q475" s="58" t="str">
        <f aca="false">IF($D475="","",IFERROR(INDEX(资金账户!$F$6:$F$25,MATCH($D475,资金账户!$B$6:$B$25,0)),""))</f>
        <v/>
      </c>
      <c r="R475" s="58" t="str">
        <f aca="false">IF($E475="","",IFERROR(IF(INDEX(记账规则!$A$13:$H$32,MATCH($E475,记账规则!$A$13:$A$32,0),4)="借","收","支"),""))</f>
        <v/>
      </c>
      <c r="S475" s="57" t="str">
        <f aca="false">IF($D475="","",ROUND(SUMIFS(资金账户!$H$6:$H$25,资金账户!$B$6:$B$25,$D475)+SUMIFS($I$6:$I475,$D$6:$D475,$D475)-SUMIFS($J$6:$J475,$D$6:$D475,$D475),2))</f>
        <v/>
      </c>
      <c r="T475" s="61" t="str">
        <f aca="false">IF($B475="","",YEAR($B475))</f>
        <v/>
      </c>
    </row>
    <row r="476" customFormat="false" ht="15" hidden="false" customHeight="false" outlineLevel="0" collapsed="false">
      <c r="A476" s="53" t="str">
        <f aca="false">IF($B476="","",ROW()-5)</f>
        <v/>
      </c>
      <c r="B476" s="54"/>
      <c r="C476" s="33"/>
      <c r="D476" s="33"/>
      <c r="E476" s="33"/>
      <c r="F476" s="32"/>
      <c r="G476" s="41"/>
      <c r="H476" s="39"/>
      <c r="I476" s="43"/>
      <c r="J476" s="43"/>
      <c r="K476" s="41"/>
      <c r="L476" s="39"/>
      <c r="M476" s="41"/>
      <c r="N476" s="25" t="str">
        <f aca="false">IF(AND($B476="",$E476="",$I476="",$J476=""),"",IF(NOT(ISNUMBER($B476)),"日期无效",IF(ISNA(MATCH($C476,参数设置!$A$10:$A$12,0)),"公司无效",IF(ISNA(MATCH($D476,资金账户!$B$6:$B$25,0)),"账户未建档",IF(ISNA(MATCH($E476,记账规则!$A$13:$A$32,0)),"业务类型无效",IF(AND(N($I476)&lt;&gt;0,N($J476)&lt;&gt;0),"收入和支出只能填一列",IF($P476=0,"金额为 0",IF(AND($R476="收",N($I476)=0),"这类业务是收款，金额填到收入列",IF(AND($R476="支",N($J476)=0),"这类业务是付款，金额填到支出列",IF(AND(SUMPRODUCT(--(INDEX(记账规则!$A$13:$H$32,MATCH($E476,记账规则!$A$13:$A$32,0),0)="@对方"))&gt;0,$G476=""),"这个类型要填对方科目",IF(AND($G476&lt;&gt;"",ISNA(MATCH($G476,会计科目表!$B$6:$B$85,0))),"对方科目不存在",IF(AND($E476="缴纳税费",$H476=""),"缴税请在费用项目里选税种",IF(AND($F476&lt;&gt;"",ISNA(MATCH($F476,往来单位!$A$6:$A$85,0))),"往来单位未建档",IF(YEAR($B476)&lt;&gt;参数设置!$B$5,"不在本会计年度",IF(AND($B475&lt;&gt;"",ISNUMBER($B475),$B476&lt;$B475),"日期比上一行早，余额按行序滚，建议按日期录","OK")))))))))))))))</f>
        <v/>
      </c>
      <c r="O476" s="58" t="str">
        <f aca="false">IF($B476="","",TEXT($B476,"yyyy-mm"))</f>
        <v/>
      </c>
      <c r="P476" s="60" t="str">
        <f aca="false">IF($E476="","",ROUND(N($I476)+N($J476),2))</f>
        <v/>
      </c>
      <c r="Q476" s="58" t="str">
        <f aca="false">IF($D476="","",IFERROR(INDEX(资金账户!$F$6:$F$25,MATCH($D476,资金账户!$B$6:$B$25,0)),""))</f>
        <v/>
      </c>
      <c r="R476" s="58" t="str">
        <f aca="false">IF($E476="","",IFERROR(IF(INDEX(记账规则!$A$13:$H$32,MATCH($E476,记账规则!$A$13:$A$32,0),4)="借","收","支"),""))</f>
        <v/>
      </c>
      <c r="S476" s="57" t="str">
        <f aca="false">IF($D476="","",ROUND(SUMIFS(资金账户!$H$6:$H$25,资金账户!$B$6:$B$25,$D476)+SUMIFS($I$6:$I476,$D$6:$D476,$D476)-SUMIFS($J$6:$J476,$D$6:$D476,$D476),2))</f>
        <v/>
      </c>
      <c r="T476" s="61" t="str">
        <f aca="false">IF($B476="","",YEAR($B476))</f>
        <v/>
      </c>
    </row>
    <row r="477" customFormat="false" ht="15" hidden="false" customHeight="false" outlineLevel="0" collapsed="false">
      <c r="A477" s="53" t="str">
        <f aca="false">IF($B477="","",ROW()-5)</f>
        <v/>
      </c>
      <c r="B477" s="54"/>
      <c r="C477" s="33"/>
      <c r="D477" s="33"/>
      <c r="E477" s="33"/>
      <c r="F477" s="32"/>
      <c r="G477" s="41"/>
      <c r="H477" s="39"/>
      <c r="I477" s="43"/>
      <c r="J477" s="43"/>
      <c r="K477" s="41"/>
      <c r="L477" s="39"/>
      <c r="M477" s="41"/>
      <c r="N477" s="25" t="str">
        <f aca="false">IF(AND($B477="",$E477="",$I477="",$J477=""),"",IF(NOT(ISNUMBER($B477)),"日期无效",IF(ISNA(MATCH($C477,参数设置!$A$10:$A$12,0)),"公司无效",IF(ISNA(MATCH($D477,资金账户!$B$6:$B$25,0)),"账户未建档",IF(ISNA(MATCH($E477,记账规则!$A$13:$A$32,0)),"业务类型无效",IF(AND(N($I477)&lt;&gt;0,N($J477)&lt;&gt;0),"收入和支出只能填一列",IF($P477=0,"金额为 0",IF(AND($R477="收",N($I477)=0),"这类业务是收款，金额填到收入列",IF(AND($R477="支",N($J477)=0),"这类业务是付款，金额填到支出列",IF(AND(SUMPRODUCT(--(INDEX(记账规则!$A$13:$H$32,MATCH($E477,记账规则!$A$13:$A$32,0),0)="@对方"))&gt;0,$G477=""),"这个类型要填对方科目",IF(AND($G477&lt;&gt;"",ISNA(MATCH($G477,会计科目表!$B$6:$B$85,0))),"对方科目不存在",IF(AND($E477="缴纳税费",$H477=""),"缴税请在费用项目里选税种",IF(AND($F477&lt;&gt;"",ISNA(MATCH($F477,往来单位!$A$6:$A$85,0))),"往来单位未建档",IF(YEAR($B477)&lt;&gt;参数设置!$B$5,"不在本会计年度",IF(AND($B476&lt;&gt;"",ISNUMBER($B476),$B477&lt;$B476),"日期比上一行早，余额按行序滚，建议按日期录","OK")))))))))))))))</f>
        <v/>
      </c>
      <c r="O477" s="58" t="str">
        <f aca="false">IF($B477="","",TEXT($B477,"yyyy-mm"))</f>
        <v/>
      </c>
      <c r="P477" s="60" t="str">
        <f aca="false">IF($E477="","",ROUND(N($I477)+N($J477),2))</f>
        <v/>
      </c>
      <c r="Q477" s="58" t="str">
        <f aca="false">IF($D477="","",IFERROR(INDEX(资金账户!$F$6:$F$25,MATCH($D477,资金账户!$B$6:$B$25,0)),""))</f>
        <v/>
      </c>
      <c r="R477" s="58" t="str">
        <f aca="false">IF($E477="","",IFERROR(IF(INDEX(记账规则!$A$13:$H$32,MATCH($E477,记账规则!$A$13:$A$32,0),4)="借","收","支"),""))</f>
        <v/>
      </c>
      <c r="S477" s="57" t="str">
        <f aca="false">IF($D477="","",ROUND(SUMIFS(资金账户!$H$6:$H$25,资金账户!$B$6:$B$25,$D477)+SUMIFS($I$6:$I477,$D$6:$D477,$D477)-SUMIFS($J$6:$J477,$D$6:$D477,$D477),2))</f>
        <v/>
      </c>
      <c r="T477" s="61" t="str">
        <f aca="false">IF($B477="","",YEAR($B477))</f>
        <v/>
      </c>
    </row>
    <row r="478" customFormat="false" ht="15" hidden="false" customHeight="false" outlineLevel="0" collapsed="false">
      <c r="A478" s="53" t="str">
        <f aca="false">IF($B478="","",ROW()-5)</f>
        <v/>
      </c>
      <c r="B478" s="54"/>
      <c r="C478" s="33"/>
      <c r="D478" s="33"/>
      <c r="E478" s="33"/>
      <c r="F478" s="32"/>
      <c r="G478" s="41"/>
      <c r="H478" s="39"/>
      <c r="I478" s="43"/>
      <c r="J478" s="43"/>
      <c r="K478" s="41"/>
      <c r="L478" s="39"/>
      <c r="M478" s="41"/>
      <c r="N478" s="25" t="str">
        <f aca="false">IF(AND($B478="",$E478="",$I478="",$J478=""),"",IF(NOT(ISNUMBER($B478)),"日期无效",IF(ISNA(MATCH($C478,参数设置!$A$10:$A$12,0)),"公司无效",IF(ISNA(MATCH($D478,资金账户!$B$6:$B$25,0)),"账户未建档",IF(ISNA(MATCH($E478,记账规则!$A$13:$A$32,0)),"业务类型无效",IF(AND(N($I478)&lt;&gt;0,N($J478)&lt;&gt;0),"收入和支出只能填一列",IF($P478=0,"金额为 0",IF(AND($R478="收",N($I478)=0),"这类业务是收款，金额填到收入列",IF(AND($R478="支",N($J478)=0),"这类业务是付款，金额填到支出列",IF(AND(SUMPRODUCT(--(INDEX(记账规则!$A$13:$H$32,MATCH($E478,记账规则!$A$13:$A$32,0),0)="@对方"))&gt;0,$G478=""),"这个类型要填对方科目",IF(AND($G478&lt;&gt;"",ISNA(MATCH($G478,会计科目表!$B$6:$B$85,0))),"对方科目不存在",IF(AND($E478="缴纳税费",$H478=""),"缴税请在费用项目里选税种",IF(AND($F478&lt;&gt;"",ISNA(MATCH($F478,往来单位!$A$6:$A$85,0))),"往来单位未建档",IF(YEAR($B478)&lt;&gt;参数设置!$B$5,"不在本会计年度",IF(AND($B477&lt;&gt;"",ISNUMBER($B477),$B478&lt;$B477),"日期比上一行早，余额按行序滚，建议按日期录","OK")))))))))))))))</f>
        <v/>
      </c>
      <c r="O478" s="58" t="str">
        <f aca="false">IF($B478="","",TEXT($B478,"yyyy-mm"))</f>
        <v/>
      </c>
      <c r="P478" s="60" t="str">
        <f aca="false">IF($E478="","",ROUND(N($I478)+N($J478),2))</f>
        <v/>
      </c>
      <c r="Q478" s="58" t="str">
        <f aca="false">IF($D478="","",IFERROR(INDEX(资金账户!$F$6:$F$25,MATCH($D478,资金账户!$B$6:$B$25,0)),""))</f>
        <v/>
      </c>
      <c r="R478" s="58" t="str">
        <f aca="false">IF($E478="","",IFERROR(IF(INDEX(记账规则!$A$13:$H$32,MATCH($E478,记账规则!$A$13:$A$32,0),4)="借","收","支"),""))</f>
        <v/>
      </c>
      <c r="S478" s="57" t="str">
        <f aca="false">IF($D478="","",ROUND(SUMIFS(资金账户!$H$6:$H$25,资金账户!$B$6:$B$25,$D478)+SUMIFS($I$6:$I478,$D$6:$D478,$D478)-SUMIFS($J$6:$J478,$D$6:$D478,$D478),2))</f>
        <v/>
      </c>
      <c r="T478" s="61" t="str">
        <f aca="false">IF($B478="","",YEAR($B478))</f>
        <v/>
      </c>
    </row>
    <row r="479" customFormat="false" ht="15" hidden="false" customHeight="false" outlineLevel="0" collapsed="false">
      <c r="A479" s="53" t="str">
        <f aca="false">IF($B479="","",ROW()-5)</f>
        <v/>
      </c>
      <c r="B479" s="54"/>
      <c r="C479" s="33"/>
      <c r="D479" s="33"/>
      <c r="E479" s="33"/>
      <c r="F479" s="32"/>
      <c r="G479" s="41"/>
      <c r="H479" s="39"/>
      <c r="I479" s="43"/>
      <c r="J479" s="43"/>
      <c r="K479" s="41"/>
      <c r="L479" s="39"/>
      <c r="M479" s="41"/>
      <c r="N479" s="25" t="str">
        <f aca="false">IF(AND($B479="",$E479="",$I479="",$J479=""),"",IF(NOT(ISNUMBER($B479)),"日期无效",IF(ISNA(MATCH($C479,参数设置!$A$10:$A$12,0)),"公司无效",IF(ISNA(MATCH($D479,资金账户!$B$6:$B$25,0)),"账户未建档",IF(ISNA(MATCH($E479,记账规则!$A$13:$A$32,0)),"业务类型无效",IF(AND(N($I479)&lt;&gt;0,N($J479)&lt;&gt;0),"收入和支出只能填一列",IF($P479=0,"金额为 0",IF(AND($R479="收",N($I479)=0),"这类业务是收款，金额填到收入列",IF(AND($R479="支",N($J479)=0),"这类业务是付款，金额填到支出列",IF(AND(SUMPRODUCT(--(INDEX(记账规则!$A$13:$H$32,MATCH($E479,记账规则!$A$13:$A$32,0),0)="@对方"))&gt;0,$G479=""),"这个类型要填对方科目",IF(AND($G479&lt;&gt;"",ISNA(MATCH($G479,会计科目表!$B$6:$B$85,0))),"对方科目不存在",IF(AND($E479="缴纳税费",$H479=""),"缴税请在费用项目里选税种",IF(AND($F479&lt;&gt;"",ISNA(MATCH($F479,往来单位!$A$6:$A$85,0))),"往来单位未建档",IF(YEAR($B479)&lt;&gt;参数设置!$B$5,"不在本会计年度",IF(AND($B478&lt;&gt;"",ISNUMBER($B478),$B479&lt;$B478),"日期比上一行早，余额按行序滚，建议按日期录","OK")))))))))))))))</f>
        <v/>
      </c>
      <c r="O479" s="58" t="str">
        <f aca="false">IF($B479="","",TEXT($B479,"yyyy-mm"))</f>
        <v/>
      </c>
      <c r="P479" s="60" t="str">
        <f aca="false">IF($E479="","",ROUND(N($I479)+N($J479),2))</f>
        <v/>
      </c>
      <c r="Q479" s="58" t="str">
        <f aca="false">IF($D479="","",IFERROR(INDEX(资金账户!$F$6:$F$25,MATCH($D479,资金账户!$B$6:$B$25,0)),""))</f>
        <v/>
      </c>
      <c r="R479" s="58" t="str">
        <f aca="false">IF($E479="","",IFERROR(IF(INDEX(记账规则!$A$13:$H$32,MATCH($E479,记账规则!$A$13:$A$32,0),4)="借","收","支"),""))</f>
        <v/>
      </c>
      <c r="S479" s="57" t="str">
        <f aca="false">IF($D479="","",ROUND(SUMIFS(资金账户!$H$6:$H$25,资金账户!$B$6:$B$25,$D479)+SUMIFS($I$6:$I479,$D$6:$D479,$D479)-SUMIFS($J$6:$J479,$D$6:$D479,$D479),2))</f>
        <v/>
      </c>
      <c r="T479" s="61" t="str">
        <f aca="false">IF($B479="","",YEAR($B479))</f>
        <v/>
      </c>
    </row>
    <row r="480" customFormat="false" ht="15" hidden="false" customHeight="false" outlineLevel="0" collapsed="false">
      <c r="A480" s="53" t="str">
        <f aca="false">IF($B480="","",ROW()-5)</f>
        <v/>
      </c>
      <c r="B480" s="54"/>
      <c r="C480" s="33"/>
      <c r="D480" s="33"/>
      <c r="E480" s="33"/>
      <c r="F480" s="32"/>
      <c r="G480" s="41"/>
      <c r="H480" s="39"/>
      <c r="I480" s="43"/>
      <c r="J480" s="43"/>
      <c r="K480" s="41"/>
      <c r="L480" s="39"/>
      <c r="M480" s="41"/>
      <c r="N480" s="25" t="str">
        <f aca="false">IF(AND($B480="",$E480="",$I480="",$J480=""),"",IF(NOT(ISNUMBER($B480)),"日期无效",IF(ISNA(MATCH($C480,参数设置!$A$10:$A$12,0)),"公司无效",IF(ISNA(MATCH($D480,资金账户!$B$6:$B$25,0)),"账户未建档",IF(ISNA(MATCH($E480,记账规则!$A$13:$A$32,0)),"业务类型无效",IF(AND(N($I480)&lt;&gt;0,N($J480)&lt;&gt;0),"收入和支出只能填一列",IF($P480=0,"金额为 0",IF(AND($R480="收",N($I480)=0),"这类业务是收款，金额填到收入列",IF(AND($R480="支",N($J480)=0),"这类业务是付款，金额填到支出列",IF(AND(SUMPRODUCT(--(INDEX(记账规则!$A$13:$H$32,MATCH($E480,记账规则!$A$13:$A$32,0),0)="@对方"))&gt;0,$G480=""),"这个类型要填对方科目",IF(AND($G480&lt;&gt;"",ISNA(MATCH($G480,会计科目表!$B$6:$B$85,0))),"对方科目不存在",IF(AND($E480="缴纳税费",$H480=""),"缴税请在费用项目里选税种",IF(AND($F480&lt;&gt;"",ISNA(MATCH($F480,往来单位!$A$6:$A$85,0))),"往来单位未建档",IF(YEAR($B480)&lt;&gt;参数设置!$B$5,"不在本会计年度",IF(AND($B479&lt;&gt;"",ISNUMBER($B479),$B480&lt;$B479),"日期比上一行早，余额按行序滚，建议按日期录","OK")))))))))))))))</f>
        <v/>
      </c>
      <c r="O480" s="58" t="str">
        <f aca="false">IF($B480="","",TEXT($B480,"yyyy-mm"))</f>
        <v/>
      </c>
      <c r="P480" s="60" t="str">
        <f aca="false">IF($E480="","",ROUND(N($I480)+N($J480),2))</f>
        <v/>
      </c>
      <c r="Q480" s="58" t="str">
        <f aca="false">IF($D480="","",IFERROR(INDEX(资金账户!$F$6:$F$25,MATCH($D480,资金账户!$B$6:$B$25,0)),""))</f>
        <v/>
      </c>
      <c r="R480" s="58" t="str">
        <f aca="false">IF($E480="","",IFERROR(IF(INDEX(记账规则!$A$13:$H$32,MATCH($E480,记账规则!$A$13:$A$32,0),4)="借","收","支"),""))</f>
        <v/>
      </c>
      <c r="S480" s="57" t="str">
        <f aca="false">IF($D480="","",ROUND(SUMIFS(资金账户!$H$6:$H$25,资金账户!$B$6:$B$25,$D480)+SUMIFS($I$6:$I480,$D$6:$D480,$D480)-SUMIFS($J$6:$J480,$D$6:$D480,$D480),2))</f>
        <v/>
      </c>
      <c r="T480" s="61" t="str">
        <f aca="false">IF($B480="","",YEAR($B480))</f>
        <v/>
      </c>
    </row>
    <row r="481" customFormat="false" ht="15" hidden="false" customHeight="false" outlineLevel="0" collapsed="false">
      <c r="A481" s="53" t="str">
        <f aca="false">IF($B481="","",ROW()-5)</f>
        <v/>
      </c>
      <c r="B481" s="54"/>
      <c r="C481" s="33"/>
      <c r="D481" s="33"/>
      <c r="E481" s="33"/>
      <c r="F481" s="32"/>
      <c r="G481" s="41"/>
      <c r="H481" s="39"/>
      <c r="I481" s="43"/>
      <c r="J481" s="43"/>
      <c r="K481" s="41"/>
      <c r="L481" s="39"/>
      <c r="M481" s="41"/>
      <c r="N481" s="25" t="str">
        <f aca="false">IF(AND($B481="",$E481="",$I481="",$J481=""),"",IF(NOT(ISNUMBER($B481)),"日期无效",IF(ISNA(MATCH($C481,参数设置!$A$10:$A$12,0)),"公司无效",IF(ISNA(MATCH($D481,资金账户!$B$6:$B$25,0)),"账户未建档",IF(ISNA(MATCH($E481,记账规则!$A$13:$A$32,0)),"业务类型无效",IF(AND(N($I481)&lt;&gt;0,N($J481)&lt;&gt;0),"收入和支出只能填一列",IF($P481=0,"金额为 0",IF(AND($R481="收",N($I481)=0),"这类业务是收款，金额填到收入列",IF(AND($R481="支",N($J481)=0),"这类业务是付款，金额填到支出列",IF(AND(SUMPRODUCT(--(INDEX(记账规则!$A$13:$H$32,MATCH($E481,记账规则!$A$13:$A$32,0),0)="@对方"))&gt;0,$G481=""),"这个类型要填对方科目",IF(AND($G481&lt;&gt;"",ISNA(MATCH($G481,会计科目表!$B$6:$B$85,0))),"对方科目不存在",IF(AND($E481="缴纳税费",$H481=""),"缴税请在费用项目里选税种",IF(AND($F481&lt;&gt;"",ISNA(MATCH($F481,往来单位!$A$6:$A$85,0))),"往来单位未建档",IF(YEAR($B481)&lt;&gt;参数设置!$B$5,"不在本会计年度",IF(AND($B480&lt;&gt;"",ISNUMBER($B480),$B481&lt;$B480),"日期比上一行早，余额按行序滚，建议按日期录","OK")))))))))))))))</f>
        <v/>
      </c>
      <c r="O481" s="58" t="str">
        <f aca="false">IF($B481="","",TEXT($B481,"yyyy-mm"))</f>
        <v/>
      </c>
      <c r="P481" s="60" t="str">
        <f aca="false">IF($E481="","",ROUND(N($I481)+N($J481),2))</f>
        <v/>
      </c>
      <c r="Q481" s="58" t="str">
        <f aca="false">IF($D481="","",IFERROR(INDEX(资金账户!$F$6:$F$25,MATCH($D481,资金账户!$B$6:$B$25,0)),""))</f>
        <v/>
      </c>
      <c r="R481" s="58" t="str">
        <f aca="false">IF($E481="","",IFERROR(IF(INDEX(记账规则!$A$13:$H$32,MATCH($E481,记账规则!$A$13:$A$32,0),4)="借","收","支"),""))</f>
        <v/>
      </c>
      <c r="S481" s="57" t="str">
        <f aca="false">IF($D481="","",ROUND(SUMIFS(资金账户!$H$6:$H$25,资金账户!$B$6:$B$25,$D481)+SUMIFS($I$6:$I481,$D$6:$D481,$D481)-SUMIFS($J$6:$J481,$D$6:$D481,$D481),2))</f>
        <v/>
      </c>
      <c r="T481" s="61" t="str">
        <f aca="false">IF($B481="","",YEAR($B481))</f>
        <v/>
      </c>
    </row>
    <row r="482" customFormat="false" ht="15" hidden="false" customHeight="false" outlineLevel="0" collapsed="false">
      <c r="A482" s="53" t="str">
        <f aca="false">IF($B482="","",ROW()-5)</f>
        <v/>
      </c>
      <c r="B482" s="54"/>
      <c r="C482" s="33"/>
      <c r="D482" s="33"/>
      <c r="E482" s="33"/>
      <c r="F482" s="32"/>
      <c r="G482" s="41"/>
      <c r="H482" s="39"/>
      <c r="I482" s="43"/>
      <c r="J482" s="43"/>
      <c r="K482" s="41"/>
      <c r="L482" s="39"/>
      <c r="M482" s="41"/>
      <c r="N482" s="25" t="str">
        <f aca="false">IF(AND($B482="",$E482="",$I482="",$J482=""),"",IF(NOT(ISNUMBER($B482)),"日期无效",IF(ISNA(MATCH($C482,参数设置!$A$10:$A$12,0)),"公司无效",IF(ISNA(MATCH($D482,资金账户!$B$6:$B$25,0)),"账户未建档",IF(ISNA(MATCH($E482,记账规则!$A$13:$A$32,0)),"业务类型无效",IF(AND(N($I482)&lt;&gt;0,N($J482)&lt;&gt;0),"收入和支出只能填一列",IF($P482=0,"金额为 0",IF(AND($R482="收",N($I482)=0),"这类业务是收款，金额填到收入列",IF(AND($R482="支",N($J482)=0),"这类业务是付款，金额填到支出列",IF(AND(SUMPRODUCT(--(INDEX(记账规则!$A$13:$H$32,MATCH($E482,记账规则!$A$13:$A$32,0),0)="@对方"))&gt;0,$G482=""),"这个类型要填对方科目",IF(AND($G482&lt;&gt;"",ISNA(MATCH($G482,会计科目表!$B$6:$B$85,0))),"对方科目不存在",IF(AND($E482="缴纳税费",$H482=""),"缴税请在费用项目里选税种",IF(AND($F482&lt;&gt;"",ISNA(MATCH($F482,往来单位!$A$6:$A$85,0))),"往来单位未建档",IF(YEAR($B482)&lt;&gt;参数设置!$B$5,"不在本会计年度",IF(AND($B481&lt;&gt;"",ISNUMBER($B481),$B482&lt;$B481),"日期比上一行早，余额按行序滚，建议按日期录","OK")))))))))))))))</f>
        <v/>
      </c>
      <c r="O482" s="58" t="str">
        <f aca="false">IF($B482="","",TEXT($B482,"yyyy-mm"))</f>
        <v/>
      </c>
      <c r="P482" s="60" t="str">
        <f aca="false">IF($E482="","",ROUND(N($I482)+N($J482),2))</f>
        <v/>
      </c>
      <c r="Q482" s="58" t="str">
        <f aca="false">IF($D482="","",IFERROR(INDEX(资金账户!$F$6:$F$25,MATCH($D482,资金账户!$B$6:$B$25,0)),""))</f>
        <v/>
      </c>
      <c r="R482" s="58" t="str">
        <f aca="false">IF($E482="","",IFERROR(IF(INDEX(记账规则!$A$13:$H$32,MATCH($E482,记账规则!$A$13:$A$32,0),4)="借","收","支"),""))</f>
        <v/>
      </c>
      <c r="S482" s="57" t="str">
        <f aca="false">IF($D482="","",ROUND(SUMIFS(资金账户!$H$6:$H$25,资金账户!$B$6:$B$25,$D482)+SUMIFS($I$6:$I482,$D$6:$D482,$D482)-SUMIFS($J$6:$J482,$D$6:$D482,$D482),2))</f>
        <v/>
      </c>
      <c r="T482" s="61" t="str">
        <f aca="false">IF($B482="","",YEAR($B482))</f>
        <v/>
      </c>
    </row>
    <row r="483" customFormat="false" ht="15" hidden="false" customHeight="false" outlineLevel="0" collapsed="false">
      <c r="A483" s="53" t="str">
        <f aca="false">IF($B483="","",ROW()-5)</f>
        <v/>
      </c>
      <c r="B483" s="54"/>
      <c r="C483" s="33"/>
      <c r="D483" s="33"/>
      <c r="E483" s="33"/>
      <c r="F483" s="32"/>
      <c r="G483" s="41"/>
      <c r="H483" s="39"/>
      <c r="I483" s="43"/>
      <c r="J483" s="43"/>
      <c r="K483" s="41"/>
      <c r="L483" s="39"/>
      <c r="M483" s="41"/>
      <c r="N483" s="25" t="str">
        <f aca="false">IF(AND($B483="",$E483="",$I483="",$J483=""),"",IF(NOT(ISNUMBER($B483)),"日期无效",IF(ISNA(MATCH($C483,参数设置!$A$10:$A$12,0)),"公司无效",IF(ISNA(MATCH($D483,资金账户!$B$6:$B$25,0)),"账户未建档",IF(ISNA(MATCH($E483,记账规则!$A$13:$A$32,0)),"业务类型无效",IF(AND(N($I483)&lt;&gt;0,N($J483)&lt;&gt;0),"收入和支出只能填一列",IF($P483=0,"金额为 0",IF(AND($R483="收",N($I483)=0),"这类业务是收款，金额填到收入列",IF(AND($R483="支",N($J483)=0),"这类业务是付款，金额填到支出列",IF(AND(SUMPRODUCT(--(INDEX(记账规则!$A$13:$H$32,MATCH($E483,记账规则!$A$13:$A$32,0),0)="@对方"))&gt;0,$G483=""),"这个类型要填对方科目",IF(AND($G483&lt;&gt;"",ISNA(MATCH($G483,会计科目表!$B$6:$B$85,0))),"对方科目不存在",IF(AND($E483="缴纳税费",$H483=""),"缴税请在费用项目里选税种",IF(AND($F483&lt;&gt;"",ISNA(MATCH($F483,往来单位!$A$6:$A$85,0))),"往来单位未建档",IF(YEAR($B483)&lt;&gt;参数设置!$B$5,"不在本会计年度",IF(AND($B482&lt;&gt;"",ISNUMBER($B482),$B483&lt;$B482),"日期比上一行早，余额按行序滚，建议按日期录","OK")))))))))))))))</f>
        <v/>
      </c>
      <c r="O483" s="58" t="str">
        <f aca="false">IF($B483="","",TEXT($B483,"yyyy-mm"))</f>
        <v/>
      </c>
      <c r="P483" s="60" t="str">
        <f aca="false">IF($E483="","",ROUND(N($I483)+N($J483),2))</f>
        <v/>
      </c>
      <c r="Q483" s="58" t="str">
        <f aca="false">IF($D483="","",IFERROR(INDEX(资金账户!$F$6:$F$25,MATCH($D483,资金账户!$B$6:$B$25,0)),""))</f>
        <v/>
      </c>
      <c r="R483" s="58" t="str">
        <f aca="false">IF($E483="","",IFERROR(IF(INDEX(记账规则!$A$13:$H$32,MATCH($E483,记账规则!$A$13:$A$32,0),4)="借","收","支"),""))</f>
        <v/>
      </c>
      <c r="S483" s="57" t="str">
        <f aca="false">IF($D483="","",ROUND(SUMIFS(资金账户!$H$6:$H$25,资金账户!$B$6:$B$25,$D483)+SUMIFS($I$6:$I483,$D$6:$D483,$D483)-SUMIFS($J$6:$J483,$D$6:$D483,$D483),2))</f>
        <v/>
      </c>
      <c r="T483" s="61" t="str">
        <f aca="false">IF($B483="","",YEAR($B483))</f>
        <v/>
      </c>
    </row>
    <row r="484" customFormat="false" ht="15" hidden="false" customHeight="false" outlineLevel="0" collapsed="false">
      <c r="A484" s="53" t="str">
        <f aca="false">IF($B484="","",ROW()-5)</f>
        <v/>
      </c>
      <c r="B484" s="54"/>
      <c r="C484" s="33"/>
      <c r="D484" s="33"/>
      <c r="E484" s="33"/>
      <c r="F484" s="32"/>
      <c r="G484" s="41"/>
      <c r="H484" s="39"/>
      <c r="I484" s="43"/>
      <c r="J484" s="43"/>
      <c r="K484" s="41"/>
      <c r="L484" s="39"/>
      <c r="M484" s="41"/>
      <c r="N484" s="25" t="str">
        <f aca="false">IF(AND($B484="",$E484="",$I484="",$J484=""),"",IF(NOT(ISNUMBER($B484)),"日期无效",IF(ISNA(MATCH($C484,参数设置!$A$10:$A$12,0)),"公司无效",IF(ISNA(MATCH($D484,资金账户!$B$6:$B$25,0)),"账户未建档",IF(ISNA(MATCH($E484,记账规则!$A$13:$A$32,0)),"业务类型无效",IF(AND(N($I484)&lt;&gt;0,N($J484)&lt;&gt;0),"收入和支出只能填一列",IF($P484=0,"金额为 0",IF(AND($R484="收",N($I484)=0),"这类业务是收款，金额填到收入列",IF(AND($R484="支",N($J484)=0),"这类业务是付款，金额填到支出列",IF(AND(SUMPRODUCT(--(INDEX(记账规则!$A$13:$H$32,MATCH($E484,记账规则!$A$13:$A$32,0),0)="@对方"))&gt;0,$G484=""),"这个类型要填对方科目",IF(AND($G484&lt;&gt;"",ISNA(MATCH($G484,会计科目表!$B$6:$B$85,0))),"对方科目不存在",IF(AND($E484="缴纳税费",$H484=""),"缴税请在费用项目里选税种",IF(AND($F484&lt;&gt;"",ISNA(MATCH($F484,往来单位!$A$6:$A$85,0))),"往来单位未建档",IF(YEAR($B484)&lt;&gt;参数设置!$B$5,"不在本会计年度",IF(AND($B483&lt;&gt;"",ISNUMBER($B483),$B484&lt;$B483),"日期比上一行早，余额按行序滚，建议按日期录","OK")))))))))))))))</f>
        <v/>
      </c>
      <c r="O484" s="58" t="str">
        <f aca="false">IF($B484="","",TEXT($B484,"yyyy-mm"))</f>
        <v/>
      </c>
      <c r="P484" s="60" t="str">
        <f aca="false">IF($E484="","",ROUND(N($I484)+N($J484),2))</f>
        <v/>
      </c>
      <c r="Q484" s="58" t="str">
        <f aca="false">IF($D484="","",IFERROR(INDEX(资金账户!$F$6:$F$25,MATCH($D484,资金账户!$B$6:$B$25,0)),""))</f>
        <v/>
      </c>
      <c r="R484" s="58" t="str">
        <f aca="false">IF($E484="","",IFERROR(IF(INDEX(记账规则!$A$13:$H$32,MATCH($E484,记账规则!$A$13:$A$32,0),4)="借","收","支"),""))</f>
        <v/>
      </c>
      <c r="S484" s="57" t="str">
        <f aca="false">IF($D484="","",ROUND(SUMIFS(资金账户!$H$6:$H$25,资金账户!$B$6:$B$25,$D484)+SUMIFS($I$6:$I484,$D$6:$D484,$D484)-SUMIFS($J$6:$J484,$D$6:$D484,$D484),2))</f>
        <v/>
      </c>
      <c r="T484" s="61" t="str">
        <f aca="false">IF($B484="","",YEAR($B484))</f>
        <v/>
      </c>
    </row>
    <row r="485" customFormat="false" ht="15" hidden="false" customHeight="false" outlineLevel="0" collapsed="false">
      <c r="A485" s="53" t="str">
        <f aca="false">IF($B485="","",ROW()-5)</f>
        <v/>
      </c>
      <c r="B485" s="54"/>
      <c r="C485" s="33"/>
      <c r="D485" s="33"/>
      <c r="E485" s="33"/>
      <c r="F485" s="32"/>
      <c r="G485" s="41"/>
      <c r="H485" s="39"/>
      <c r="I485" s="43"/>
      <c r="J485" s="43"/>
      <c r="K485" s="41"/>
      <c r="L485" s="39"/>
      <c r="M485" s="41"/>
      <c r="N485" s="25" t="str">
        <f aca="false">IF(AND($B485="",$E485="",$I485="",$J485=""),"",IF(NOT(ISNUMBER($B485)),"日期无效",IF(ISNA(MATCH($C485,参数设置!$A$10:$A$12,0)),"公司无效",IF(ISNA(MATCH($D485,资金账户!$B$6:$B$25,0)),"账户未建档",IF(ISNA(MATCH($E485,记账规则!$A$13:$A$32,0)),"业务类型无效",IF(AND(N($I485)&lt;&gt;0,N($J485)&lt;&gt;0),"收入和支出只能填一列",IF($P485=0,"金额为 0",IF(AND($R485="收",N($I485)=0),"这类业务是收款，金额填到收入列",IF(AND($R485="支",N($J485)=0),"这类业务是付款，金额填到支出列",IF(AND(SUMPRODUCT(--(INDEX(记账规则!$A$13:$H$32,MATCH($E485,记账规则!$A$13:$A$32,0),0)="@对方"))&gt;0,$G485=""),"这个类型要填对方科目",IF(AND($G485&lt;&gt;"",ISNA(MATCH($G485,会计科目表!$B$6:$B$85,0))),"对方科目不存在",IF(AND($E485="缴纳税费",$H485=""),"缴税请在费用项目里选税种",IF(AND($F485&lt;&gt;"",ISNA(MATCH($F485,往来单位!$A$6:$A$85,0))),"往来单位未建档",IF(YEAR($B485)&lt;&gt;参数设置!$B$5,"不在本会计年度",IF(AND($B484&lt;&gt;"",ISNUMBER($B484),$B485&lt;$B484),"日期比上一行早，余额按行序滚，建议按日期录","OK")))))))))))))))</f>
        <v/>
      </c>
      <c r="O485" s="58" t="str">
        <f aca="false">IF($B485="","",TEXT($B485,"yyyy-mm"))</f>
        <v/>
      </c>
      <c r="P485" s="60" t="str">
        <f aca="false">IF($E485="","",ROUND(N($I485)+N($J485),2))</f>
        <v/>
      </c>
      <c r="Q485" s="58" t="str">
        <f aca="false">IF($D485="","",IFERROR(INDEX(资金账户!$F$6:$F$25,MATCH($D485,资金账户!$B$6:$B$25,0)),""))</f>
        <v/>
      </c>
      <c r="R485" s="58" t="str">
        <f aca="false">IF($E485="","",IFERROR(IF(INDEX(记账规则!$A$13:$H$32,MATCH($E485,记账规则!$A$13:$A$32,0),4)="借","收","支"),""))</f>
        <v/>
      </c>
      <c r="S485" s="57" t="str">
        <f aca="false">IF($D485="","",ROUND(SUMIFS(资金账户!$H$6:$H$25,资金账户!$B$6:$B$25,$D485)+SUMIFS($I$6:$I485,$D$6:$D485,$D485)-SUMIFS($J$6:$J485,$D$6:$D485,$D485),2))</f>
        <v/>
      </c>
      <c r="T485" s="61" t="str">
        <f aca="false">IF($B485="","",YEAR($B485))</f>
        <v/>
      </c>
    </row>
    <row r="486" customFormat="false" ht="15" hidden="false" customHeight="false" outlineLevel="0" collapsed="false">
      <c r="A486" s="53" t="str">
        <f aca="false">IF($B486="","",ROW()-5)</f>
        <v/>
      </c>
      <c r="B486" s="54"/>
      <c r="C486" s="33"/>
      <c r="D486" s="33"/>
      <c r="E486" s="33"/>
      <c r="F486" s="32"/>
      <c r="G486" s="41"/>
      <c r="H486" s="39"/>
      <c r="I486" s="43"/>
      <c r="J486" s="43"/>
      <c r="K486" s="41"/>
      <c r="L486" s="39"/>
      <c r="M486" s="41"/>
      <c r="N486" s="25" t="str">
        <f aca="false">IF(AND($B486="",$E486="",$I486="",$J486=""),"",IF(NOT(ISNUMBER($B486)),"日期无效",IF(ISNA(MATCH($C486,参数设置!$A$10:$A$12,0)),"公司无效",IF(ISNA(MATCH($D486,资金账户!$B$6:$B$25,0)),"账户未建档",IF(ISNA(MATCH($E486,记账规则!$A$13:$A$32,0)),"业务类型无效",IF(AND(N($I486)&lt;&gt;0,N($J486)&lt;&gt;0),"收入和支出只能填一列",IF($P486=0,"金额为 0",IF(AND($R486="收",N($I486)=0),"这类业务是收款，金额填到收入列",IF(AND($R486="支",N($J486)=0),"这类业务是付款，金额填到支出列",IF(AND(SUMPRODUCT(--(INDEX(记账规则!$A$13:$H$32,MATCH($E486,记账规则!$A$13:$A$32,0),0)="@对方"))&gt;0,$G486=""),"这个类型要填对方科目",IF(AND($G486&lt;&gt;"",ISNA(MATCH($G486,会计科目表!$B$6:$B$85,0))),"对方科目不存在",IF(AND($E486="缴纳税费",$H486=""),"缴税请在费用项目里选税种",IF(AND($F486&lt;&gt;"",ISNA(MATCH($F486,往来单位!$A$6:$A$85,0))),"往来单位未建档",IF(YEAR($B486)&lt;&gt;参数设置!$B$5,"不在本会计年度",IF(AND($B485&lt;&gt;"",ISNUMBER($B485),$B486&lt;$B485),"日期比上一行早，余额按行序滚，建议按日期录","OK")))))))))))))))</f>
        <v/>
      </c>
      <c r="O486" s="58" t="str">
        <f aca="false">IF($B486="","",TEXT($B486,"yyyy-mm"))</f>
        <v/>
      </c>
      <c r="P486" s="60" t="str">
        <f aca="false">IF($E486="","",ROUND(N($I486)+N($J486),2))</f>
        <v/>
      </c>
      <c r="Q486" s="58" t="str">
        <f aca="false">IF($D486="","",IFERROR(INDEX(资金账户!$F$6:$F$25,MATCH($D486,资金账户!$B$6:$B$25,0)),""))</f>
        <v/>
      </c>
      <c r="R486" s="58" t="str">
        <f aca="false">IF($E486="","",IFERROR(IF(INDEX(记账规则!$A$13:$H$32,MATCH($E486,记账规则!$A$13:$A$32,0),4)="借","收","支"),""))</f>
        <v/>
      </c>
      <c r="S486" s="57" t="str">
        <f aca="false">IF($D486="","",ROUND(SUMIFS(资金账户!$H$6:$H$25,资金账户!$B$6:$B$25,$D486)+SUMIFS($I$6:$I486,$D$6:$D486,$D486)-SUMIFS($J$6:$J486,$D$6:$D486,$D486),2))</f>
        <v/>
      </c>
      <c r="T486" s="61" t="str">
        <f aca="false">IF($B486="","",YEAR($B486))</f>
        <v/>
      </c>
    </row>
    <row r="487" customFormat="false" ht="15" hidden="false" customHeight="false" outlineLevel="0" collapsed="false">
      <c r="A487" s="53" t="str">
        <f aca="false">IF($B487="","",ROW()-5)</f>
        <v/>
      </c>
      <c r="B487" s="54"/>
      <c r="C487" s="33"/>
      <c r="D487" s="33"/>
      <c r="E487" s="33"/>
      <c r="F487" s="32"/>
      <c r="G487" s="41"/>
      <c r="H487" s="39"/>
      <c r="I487" s="43"/>
      <c r="J487" s="43"/>
      <c r="K487" s="41"/>
      <c r="L487" s="39"/>
      <c r="M487" s="41"/>
      <c r="N487" s="25" t="str">
        <f aca="false">IF(AND($B487="",$E487="",$I487="",$J487=""),"",IF(NOT(ISNUMBER($B487)),"日期无效",IF(ISNA(MATCH($C487,参数设置!$A$10:$A$12,0)),"公司无效",IF(ISNA(MATCH($D487,资金账户!$B$6:$B$25,0)),"账户未建档",IF(ISNA(MATCH($E487,记账规则!$A$13:$A$32,0)),"业务类型无效",IF(AND(N($I487)&lt;&gt;0,N($J487)&lt;&gt;0),"收入和支出只能填一列",IF($P487=0,"金额为 0",IF(AND($R487="收",N($I487)=0),"这类业务是收款，金额填到收入列",IF(AND($R487="支",N($J487)=0),"这类业务是付款，金额填到支出列",IF(AND(SUMPRODUCT(--(INDEX(记账规则!$A$13:$H$32,MATCH($E487,记账规则!$A$13:$A$32,0),0)="@对方"))&gt;0,$G487=""),"这个类型要填对方科目",IF(AND($G487&lt;&gt;"",ISNA(MATCH($G487,会计科目表!$B$6:$B$85,0))),"对方科目不存在",IF(AND($E487="缴纳税费",$H487=""),"缴税请在费用项目里选税种",IF(AND($F487&lt;&gt;"",ISNA(MATCH($F487,往来单位!$A$6:$A$85,0))),"往来单位未建档",IF(YEAR($B487)&lt;&gt;参数设置!$B$5,"不在本会计年度",IF(AND($B486&lt;&gt;"",ISNUMBER($B486),$B487&lt;$B486),"日期比上一行早，余额按行序滚，建议按日期录","OK")))))))))))))))</f>
        <v/>
      </c>
      <c r="O487" s="58" t="str">
        <f aca="false">IF($B487="","",TEXT($B487,"yyyy-mm"))</f>
        <v/>
      </c>
      <c r="P487" s="60" t="str">
        <f aca="false">IF($E487="","",ROUND(N($I487)+N($J487),2))</f>
        <v/>
      </c>
      <c r="Q487" s="58" t="str">
        <f aca="false">IF($D487="","",IFERROR(INDEX(资金账户!$F$6:$F$25,MATCH($D487,资金账户!$B$6:$B$25,0)),""))</f>
        <v/>
      </c>
      <c r="R487" s="58" t="str">
        <f aca="false">IF($E487="","",IFERROR(IF(INDEX(记账规则!$A$13:$H$32,MATCH($E487,记账规则!$A$13:$A$32,0),4)="借","收","支"),""))</f>
        <v/>
      </c>
      <c r="S487" s="57" t="str">
        <f aca="false">IF($D487="","",ROUND(SUMIFS(资金账户!$H$6:$H$25,资金账户!$B$6:$B$25,$D487)+SUMIFS($I$6:$I487,$D$6:$D487,$D487)-SUMIFS($J$6:$J487,$D$6:$D487,$D487),2))</f>
        <v/>
      </c>
      <c r="T487" s="61" t="str">
        <f aca="false">IF($B487="","",YEAR($B487))</f>
        <v/>
      </c>
    </row>
    <row r="488" customFormat="false" ht="15" hidden="false" customHeight="false" outlineLevel="0" collapsed="false">
      <c r="A488" s="53" t="str">
        <f aca="false">IF($B488="","",ROW()-5)</f>
        <v/>
      </c>
      <c r="B488" s="54"/>
      <c r="C488" s="33"/>
      <c r="D488" s="33"/>
      <c r="E488" s="33"/>
      <c r="F488" s="32"/>
      <c r="G488" s="41"/>
      <c r="H488" s="39"/>
      <c r="I488" s="43"/>
      <c r="J488" s="43"/>
      <c r="K488" s="41"/>
      <c r="L488" s="39"/>
      <c r="M488" s="41"/>
      <c r="N488" s="25" t="str">
        <f aca="false">IF(AND($B488="",$E488="",$I488="",$J488=""),"",IF(NOT(ISNUMBER($B488)),"日期无效",IF(ISNA(MATCH($C488,参数设置!$A$10:$A$12,0)),"公司无效",IF(ISNA(MATCH($D488,资金账户!$B$6:$B$25,0)),"账户未建档",IF(ISNA(MATCH($E488,记账规则!$A$13:$A$32,0)),"业务类型无效",IF(AND(N($I488)&lt;&gt;0,N($J488)&lt;&gt;0),"收入和支出只能填一列",IF($P488=0,"金额为 0",IF(AND($R488="收",N($I488)=0),"这类业务是收款，金额填到收入列",IF(AND($R488="支",N($J488)=0),"这类业务是付款，金额填到支出列",IF(AND(SUMPRODUCT(--(INDEX(记账规则!$A$13:$H$32,MATCH($E488,记账规则!$A$13:$A$32,0),0)="@对方"))&gt;0,$G488=""),"这个类型要填对方科目",IF(AND($G488&lt;&gt;"",ISNA(MATCH($G488,会计科目表!$B$6:$B$85,0))),"对方科目不存在",IF(AND($E488="缴纳税费",$H488=""),"缴税请在费用项目里选税种",IF(AND($F488&lt;&gt;"",ISNA(MATCH($F488,往来单位!$A$6:$A$85,0))),"往来单位未建档",IF(YEAR($B488)&lt;&gt;参数设置!$B$5,"不在本会计年度",IF(AND($B487&lt;&gt;"",ISNUMBER($B487),$B488&lt;$B487),"日期比上一行早，余额按行序滚，建议按日期录","OK")))))))))))))))</f>
        <v/>
      </c>
      <c r="O488" s="58" t="str">
        <f aca="false">IF($B488="","",TEXT($B488,"yyyy-mm"))</f>
        <v/>
      </c>
      <c r="P488" s="60" t="str">
        <f aca="false">IF($E488="","",ROUND(N($I488)+N($J488),2))</f>
        <v/>
      </c>
      <c r="Q488" s="58" t="str">
        <f aca="false">IF($D488="","",IFERROR(INDEX(资金账户!$F$6:$F$25,MATCH($D488,资金账户!$B$6:$B$25,0)),""))</f>
        <v/>
      </c>
      <c r="R488" s="58" t="str">
        <f aca="false">IF($E488="","",IFERROR(IF(INDEX(记账规则!$A$13:$H$32,MATCH($E488,记账规则!$A$13:$A$32,0),4)="借","收","支"),""))</f>
        <v/>
      </c>
      <c r="S488" s="57" t="str">
        <f aca="false">IF($D488="","",ROUND(SUMIFS(资金账户!$H$6:$H$25,资金账户!$B$6:$B$25,$D488)+SUMIFS($I$6:$I488,$D$6:$D488,$D488)-SUMIFS($J$6:$J488,$D$6:$D488,$D488),2))</f>
        <v/>
      </c>
      <c r="T488" s="61" t="str">
        <f aca="false">IF($B488="","",YEAR($B488))</f>
        <v/>
      </c>
    </row>
    <row r="489" customFormat="false" ht="15" hidden="false" customHeight="false" outlineLevel="0" collapsed="false">
      <c r="A489" s="53" t="str">
        <f aca="false">IF($B489="","",ROW()-5)</f>
        <v/>
      </c>
      <c r="B489" s="54"/>
      <c r="C489" s="33"/>
      <c r="D489" s="33"/>
      <c r="E489" s="33"/>
      <c r="F489" s="32"/>
      <c r="G489" s="41"/>
      <c r="H489" s="39"/>
      <c r="I489" s="43"/>
      <c r="J489" s="43"/>
      <c r="K489" s="41"/>
      <c r="L489" s="39"/>
      <c r="M489" s="41"/>
      <c r="N489" s="25" t="str">
        <f aca="false">IF(AND($B489="",$E489="",$I489="",$J489=""),"",IF(NOT(ISNUMBER($B489)),"日期无效",IF(ISNA(MATCH($C489,参数设置!$A$10:$A$12,0)),"公司无效",IF(ISNA(MATCH($D489,资金账户!$B$6:$B$25,0)),"账户未建档",IF(ISNA(MATCH($E489,记账规则!$A$13:$A$32,0)),"业务类型无效",IF(AND(N($I489)&lt;&gt;0,N($J489)&lt;&gt;0),"收入和支出只能填一列",IF($P489=0,"金额为 0",IF(AND($R489="收",N($I489)=0),"这类业务是收款，金额填到收入列",IF(AND($R489="支",N($J489)=0),"这类业务是付款，金额填到支出列",IF(AND(SUMPRODUCT(--(INDEX(记账规则!$A$13:$H$32,MATCH($E489,记账规则!$A$13:$A$32,0),0)="@对方"))&gt;0,$G489=""),"这个类型要填对方科目",IF(AND($G489&lt;&gt;"",ISNA(MATCH($G489,会计科目表!$B$6:$B$85,0))),"对方科目不存在",IF(AND($E489="缴纳税费",$H489=""),"缴税请在费用项目里选税种",IF(AND($F489&lt;&gt;"",ISNA(MATCH($F489,往来单位!$A$6:$A$85,0))),"往来单位未建档",IF(YEAR($B489)&lt;&gt;参数设置!$B$5,"不在本会计年度",IF(AND($B488&lt;&gt;"",ISNUMBER($B488),$B489&lt;$B488),"日期比上一行早，余额按行序滚，建议按日期录","OK")))))))))))))))</f>
        <v/>
      </c>
      <c r="O489" s="58" t="str">
        <f aca="false">IF($B489="","",TEXT($B489,"yyyy-mm"))</f>
        <v/>
      </c>
      <c r="P489" s="60" t="str">
        <f aca="false">IF($E489="","",ROUND(N($I489)+N($J489),2))</f>
        <v/>
      </c>
      <c r="Q489" s="58" t="str">
        <f aca="false">IF($D489="","",IFERROR(INDEX(资金账户!$F$6:$F$25,MATCH($D489,资金账户!$B$6:$B$25,0)),""))</f>
        <v/>
      </c>
      <c r="R489" s="58" t="str">
        <f aca="false">IF($E489="","",IFERROR(IF(INDEX(记账规则!$A$13:$H$32,MATCH($E489,记账规则!$A$13:$A$32,0),4)="借","收","支"),""))</f>
        <v/>
      </c>
      <c r="S489" s="57" t="str">
        <f aca="false">IF($D489="","",ROUND(SUMIFS(资金账户!$H$6:$H$25,资金账户!$B$6:$B$25,$D489)+SUMIFS($I$6:$I489,$D$6:$D489,$D489)-SUMIFS($J$6:$J489,$D$6:$D489,$D489),2))</f>
        <v/>
      </c>
      <c r="T489" s="61" t="str">
        <f aca="false">IF($B489="","",YEAR($B489))</f>
        <v/>
      </c>
    </row>
    <row r="490" customFormat="false" ht="15" hidden="false" customHeight="false" outlineLevel="0" collapsed="false">
      <c r="A490" s="53" t="str">
        <f aca="false">IF($B490="","",ROW()-5)</f>
        <v/>
      </c>
      <c r="B490" s="54"/>
      <c r="C490" s="33"/>
      <c r="D490" s="33"/>
      <c r="E490" s="33"/>
      <c r="F490" s="32"/>
      <c r="G490" s="41"/>
      <c r="H490" s="39"/>
      <c r="I490" s="43"/>
      <c r="J490" s="43"/>
      <c r="K490" s="41"/>
      <c r="L490" s="39"/>
      <c r="M490" s="41"/>
      <c r="N490" s="25" t="str">
        <f aca="false">IF(AND($B490="",$E490="",$I490="",$J490=""),"",IF(NOT(ISNUMBER($B490)),"日期无效",IF(ISNA(MATCH($C490,参数设置!$A$10:$A$12,0)),"公司无效",IF(ISNA(MATCH($D490,资金账户!$B$6:$B$25,0)),"账户未建档",IF(ISNA(MATCH($E490,记账规则!$A$13:$A$32,0)),"业务类型无效",IF(AND(N($I490)&lt;&gt;0,N($J490)&lt;&gt;0),"收入和支出只能填一列",IF($P490=0,"金额为 0",IF(AND($R490="收",N($I490)=0),"这类业务是收款，金额填到收入列",IF(AND($R490="支",N($J490)=0),"这类业务是付款，金额填到支出列",IF(AND(SUMPRODUCT(--(INDEX(记账规则!$A$13:$H$32,MATCH($E490,记账规则!$A$13:$A$32,0),0)="@对方"))&gt;0,$G490=""),"这个类型要填对方科目",IF(AND($G490&lt;&gt;"",ISNA(MATCH($G490,会计科目表!$B$6:$B$85,0))),"对方科目不存在",IF(AND($E490="缴纳税费",$H490=""),"缴税请在费用项目里选税种",IF(AND($F490&lt;&gt;"",ISNA(MATCH($F490,往来单位!$A$6:$A$85,0))),"往来单位未建档",IF(YEAR($B490)&lt;&gt;参数设置!$B$5,"不在本会计年度",IF(AND($B489&lt;&gt;"",ISNUMBER($B489),$B490&lt;$B489),"日期比上一行早，余额按行序滚，建议按日期录","OK")))))))))))))))</f>
        <v/>
      </c>
      <c r="O490" s="58" t="str">
        <f aca="false">IF($B490="","",TEXT($B490,"yyyy-mm"))</f>
        <v/>
      </c>
      <c r="P490" s="60" t="str">
        <f aca="false">IF($E490="","",ROUND(N($I490)+N($J490),2))</f>
        <v/>
      </c>
      <c r="Q490" s="58" t="str">
        <f aca="false">IF($D490="","",IFERROR(INDEX(资金账户!$F$6:$F$25,MATCH($D490,资金账户!$B$6:$B$25,0)),""))</f>
        <v/>
      </c>
      <c r="R490" s="58" t="str">
        <f aca="false">IF($E490="","",IFERROR(IF(INDEX(记账规则!$A$13:$H$32,MATCH($E490,记账规则!$A$13:$A$32,0),4)="借","收","支"),""))</f>
        <v/>
      </c>
      <c r="S490" s="57" t="str">
        <f aca="false">IF($D490="","",ROUND(SUMIFS(资金账户!$H$6:$H$25,资金账户!$B$6:$B$25,$D490)+SUMIFS($I$6:$I490,$D$6:$D490,$D490)-SUMIFS($J$6:$J490,$D$6:$D490,$D490),2))</f>
        <v/>
      </c>
      <c r="T490" s="61" t="str">
        <f aca="false">IF($B490="","",YEAR($B490))</f>
        <v/>
      </c>
    </row>
    <row r="491" customFormat="false" ht="15" hidden="false" customHeight="false" outlineLevel="0" collapsed="false">
      <c r="A491" s="53" t="str">
        <f aca="false">IF($B491="","",ROW()-5)</f>
        <v/>
      </c>
      <c r="B491" s="54"/>
      <c r="C491" s="33"/>
      <c r="D491" s="33"/>
      <c r="E491" s="33"/>
      <c r="F491" s="32"/>
      <c r="G491" s="41"/>
      <c r="H491" s="39"/>
      <c r="I491" s="43"/>
      <c r="J491" s="43"/>
      <c r="K491" s="41"/>
      <c r="L491" s="39"/>
      <c r="M491" s="41"/>
      <c r="N491" s="25" t="str">
        <f aca="false">IF(AND($B491="",$E491="",$I491="",$J491=""),"",IF(NOT(ISNUMBER($B491)),"日期无效",IF(ISNA(MATCH($C491,参数设置!$A$10:$A$12,0)),"公司无效",IF(ISNA(MATCH($D491,资金账户!$B$6:$B$25,0)),"账户未建档",IF(ISNA(MATCH($E491,记账规则!$A$13:$A$32,0)),"业务类型无效",IF(AND(N($I491)&lt;&gt;0,N($J491)&lt;&gt;0),"收入和支出只能填一列",IF($P491=0,"金额为 0",IF(AND($R491="收",N($I491)=0),"这类业务是收款，金额填到收入列",IF(AND($R491="支",N($J491)=0),"这类业务是付款，金额填到支出列",IF(AND(SUMPRODUCT(--(INDEX(记账规则!$A$13:$H$32,MATCH($E491,记账规则!$A$13:$A$32,0),0)="@对方"))&gt;0,$G491=""),"这个类型要填对方科目",IF(AND($G491&lt;&gt;"",ISNA(MATCH($G491,会计科目表!$B$6:$B$85,0))),"对方科目不存在",IF(AND($E491="缴纳税费",$H491=""),"缴税请在费用项目里选税种",IF(AND($F491&lt;&gt;"",ISNA(MATCH($F491,往来单位!$A$6:$A$85,0))),"往来单位未建档",IF(YEAR($B491)&lt;&gt;参数设置!$B$5,"不在本会计年度",IF(AND($B490&lt;&gt;"",ISNUMBER($B490),$B491&lt;$B490),"日期比上一行早，余额按行序滚，建议按日期录","OK")))))))))))))))</f>
        <v/>
      </c>
      <c r="O491" s="58" t="str">
        <f aca="false">IF($B491="","",TEXT($B491,"yyyy-mm"))</f>
        <v/>
      </c>
      <c r="P491" s="60" t="str">
        <f aca="false">IF($E491="","",ROUND(N($I491)+N($J491),2))</f>
        <v/>
      </c>
      <c r="Q491" s="58" t="str">
        <f aca="false">IF($D491="","",IFERROR(INDEX(资金账户!$F$6:$F$25,MATCH($D491,资金账户!$B$6:$B$25,0)),""))</f>
        <v/>
      </c>
      <c r="R491" s="58" t="str">
        <f aca="false">IF($E491="","",IFERROR(IF(INDEX(记账规则!$A$13:$H$32,MATCH($E491,记账规则!$A$13:$A$32,0),4)="借","收","支"),""))</f>
        <v/>
      </c>
      <c r="S491" s="57" t="str">
        <f aca="false">IF($D491="","",ROUND(SUMIFS(资金账户!$H$6:$H$25,资金账户!$B$6:$B$25,$D491)+SUMIFS($I$6:$I491,$D$6:$D491,$D491)-SUMIFS($J$6:$J491,$D$6:$D491,$D491),2))</f>
        <v/>
      </c>
      <c r="T491" s="61" t="str">
        <f aca="false">IF($B491="","",YEAR($B491))</f>
        <v/>
      </c>
    </row>
    <row r="492" customFormat="false" ht="15" hidden="false" customHeight="false" outlineLevel="0" collapsed="false">
      <c r="A492" s="53" t="str">
        <f aca="false">IF($B492="","",ROW()-5)</f>
        <v/>
      </c>
      <c r="B492" s="54"/>
      <c r="C492" s="33"/>
      <c r="D492" s="33"/>
      <c r="E492" s="33"/>
      <c r="F492" s="32"/>
      <c r="G492" s="41"/>
      <c r="H492" s="39"/>
      <c r="I492" s="43"/>
      <c r="J492" s="43"/>
      <c r="K492" s="41"/>
      <c r="L492" s="39"/>
      <c r="M492" s="41"/>
      <c r="N492" s="25" t="str">
        <f aca="false">IF(AND($B492="",$E492="",$I492="",$J492=""),"",IF(NOT(ISNUMBER($B492)),"日期无效",IF(ISNA(MATCH($C492,参数设置!$A$10:$A$12,0)),"公司无效",IF(ISNA(MATCH($D492,资金账户!$B$6:$B$25,0)),"账户未建档",IF(ISNA(MATCH($E492,记账规则!$A$13:$A$32,0)),"业务类型无效",IF(AND(N($I492)&lt;&gt;0,N($J492)&lt;&gt;0),"收入和支出只能填一列",IF($P492=0,"金额为 0",IF(AND($R492="收",N($I492)=0),"这类业务是收款，金额填到收入列",IF(AND($R492="支",N($J492)=0),"这类业务是付款，金额填到支出列",IF(AND(SUMPRODUCT(--(INDEX(记账规则!$A$13:$H$32,MATCH($E492,记账规则!$A$13:$A$32,0),0)="@对方"))&gt;0,$G492=""),"这个类型要填对方科目",IF(AND($G492&lt;&gt;"",ISNA(MATCH($G492,会计科目表!$B$6:$B$85,0))),"对方科目不存在",IF(AND($E492="缴纳税费",$H492=""),"缴税请在费用项目里选税种",IF(AND($F492&lt;&gt;"",ISNA(MATCH($F492,往来单位!$A$6:$A$85,0))),"往来单位未建档",IF(YEAR($B492)&lt;&gt;参数设置!$B$5,"不在本会计年度",IF(AND($B491&lt;&gt;"",ISNUMBER($B491),$B492&lt;$B491),"日期比上一行早，余额按行序滚，建议按日期录","OK")))))))))))))))</f>
        <v/>
      </c>
      <c r="O492" s="58" t="str">
        <f aca="false">IF($B492="","",TEXT($B492,"yyyy-mm"))</f>
        <v/>
      </c>
      <c r="P492" s="60" t="str">
        <f aca="false">IF($E492="","",ROUND(N($I492)+N($J492),2))</f>
        <v/>
      </c>
      <c r="Q492" s="58" t="str">
        <f aca="false">IF($D492="","",IFERROR(INDEX(资金账户!$F$6:$F$25,MATCH($D492,资金账户!$B$6:$B$25,0)),""))</f>
        <v/>
      </c>
      <c r="R492" s="58" t="str">
        <f aca="false">IF($E492="","",IFERROR(IF(INDEX(记账规则!$A$13:$H$32,MATCH($E492,记账规则!$A$13:$A$32,0),4)="借","收","支"),""))</f>
        <v/>
      </c>
      <c r="S492" s="57" t="str">
        <f aca="false">IF($D492="","",ROUND(SUMIFS(资金账户!$H$6:$H$25,资金账户!$B$6:$B$25,$D492)+SUMIFS($I$6:$I492,$D$6:$D492,$D492)-SUMIFS($J$6:$J492,$D$6:$D492,$D492),2))</f>
        <v/>
      </c>
      <c r="T492" s="61" t="str">
        <f aca="false">IF($B492="","",YEAR($B492))</f>
        <v/>
      </c>
    </row>
    <row r="493" customFormat="false" ht="15" hidden="false" customHeight="false" outlineLevel="0" collapsed="false">
      <c r="A493" s="53" t="str">
        <f aca="false">IF($B493="","",ROW()-5)</f>
        <v/>
      </c>
      <c r="B493" s="54"/>
      <c r="C493" s="33"/>
      <c r="D493" s="33"/>
      <c r="E493" s="33"/>
      <c r="F493" s="32"/>
      <c r="G493" s="41"/>
      <c r="H493" s="39"/>
      <c r="I493" s="43"/>
      <c r="J493" s="43"/>
      <c r="K493" s="41"/>
      <c r="L493" s="39"/>
      <c r="M493" s="41"/>
      <c r="N493" s="25" t="str">
        <f aca="false">IF(AND($B493="",$E493="",$I493="",$J493=""),"",IF(NOT(ISNUMBER($B493)),"日期无效",IF(ISNA(MATCH($C493,参数设置!$A$10:$A$12,0)),"公司无效",IF(ISNA(MATCH($D493,资金账户!$B$6:$B$25,0)),"账户未建档",IF(ISNA(MATCH($E493,记账规则!$A$13:$A$32,0)),"业务类型无效",IF(AND(N($I493)&lt;&gt;0,N($J493)&lt;&gt;0),"收入和支出只能填一列",IF($P493=0,"金额为 0",IF(AND($R493="收",N($I493)=0),"这类业务是收款，金额填到收入列",IF(AND($R493="支",N($J493)=0),"这类业务是付款，金额填到支出列",IF(AND(SUMPRODUCT(--(INDEX(记账规则!$A$13:$H$32,MATCH($E493,记账规则!$A$13:$A$32,0),0)="@对方"))&gt;0,$G493=""),"这个类型要填对方科目",IF(AND($G493&lt;&gt;"",ISNA(MATCH($G493,会计科目表!$B$6:$B$85,0))),"对方科目不存在",IF(AND($E493="缴纳税费",$H493=""),"缴税请在费用项目里选税种",IF(AND($F493&lt;&gt;"",ISNA(MATCH($F493,往来单位!$A$6:$A$85,0))),"往来单位未建档",IF(YEAR($B493)&lt;&gt;参数设置!$B$5,"不在本会计年度",IF(AND($B492&lt;&gt;"",ISNUMBER($B492),$B493&lt;$B492),"日期比上一行早，余额按行序滚，建议按日期录","OK")))))))))))))))</f>
        <v/>
      </c>
      <c r="O493" s="58" t="str">
        <f aca="false">IF($B493="","",TEXT($B493,"yyyy-mm"))</f>
        <v/>
      </c>
      <c r="P493" s="60" t="str">
        <f aca="false">IF($E493="","",ROUND(N($I493)+N($J493),2))</f>
        <v/>
      </c>
      <c r="Q493" s="58" t="str">
        <f aca="false">IF($D493="","",IFERROR(INDEX(资金账户!$F$6:$F$25,MATCH($D493,资金账户!$B$6:$B$25,0)),""))</f>
        <v/>
      </c>
      <c r="R493" s="58" t="str">
        <f aca="false">IF($E493="","",IFERROR(IF(INDEX(记账规则!$A$13:$H$32,MATCH($E493,记账规则!$A$13:$A$32,0),4)="借","收","支"),""))</f>
        <v/>
      </c>
      <c r="S493" s="57" t="str">
        <f aca="false">IF($D493="","",ROUND(SUMIFS(资金账户!$H$6:$H$25,资金账户!$B$6:$B$25,$D493)+SUMIFS($I$6:$I493,$D$6:$D493,$D493)-SUMIFS($J$6:$J493,$D$6:$D493,$D493),2))</f>
        <v/>
      </c>
      <c r="T493" s="61" t="str">
        <f aca="false">IF($B493="","",YEAR($B493))</f>
        <v/>
      </c>
    </row>
    <row r="494" customFormat="false" ht="15" hidden="false" customHeight="false" outlineLevel="0" collapsed="false">
      <c r="A494" s="53" t="str">
        <f aca="false">IF($B494="","",ROW()-5)</f>
        <v/>
      </c>
      <c r="B494" s="54"/>
      <c r="C494" s="33"/>
      <c r="D494" s="33"/>
      <c r="E494" s="33"/>
      <c r="F494" s="32"/>
      <c r="G494" s="41"/>
      <c r="H494" s="39"/>
      <c r="I494" s="43"/>
      <c r="J494" s="43"/>
      <c r="K494" s="41"/>
      <c r="L494" s="39"/>
      <c r="M494" s="41"/>
      <c r="N494" s="25" t="str">
        <f aca="false">IF(AND($B494="",$E494="",$I494="",$J494=""),"",IF(NOT(ISNUMBER($B494)),"日期无效",IF(ISNA(MATCH($C494,参数设置!$A$10:$A$12,0)),"公司无效",IF(ISNA(MATCH($D494,资金账户!$B$6:$B$25,0)),"账户未建档",IF(ISNA(MATCH($E494,记账规则!$A$13:$A$32,0)),"业务类型无效",IF(AND(N($I494)&lt;&gt;0,N($J494)&lt;&gt;0),"收入和支出只能填一列",IF($P494=0,"金额为 0",IF(AND($R494="收",N($I494)=0),"这类业务是收款，金额填到收入列",IF(AND($R494="支",N($J494)=0),"这类业务是付款，金额填到支出列",IF(AND(SUMPRODUCT(--(INDEX(记账规则!$A$13:$H$32,MATCH($E494,记账规则!$A$13:$A$32,0),0)="@对方"))&gt;0,$G494=""),"这个类型要填对方科目",IF(AND($G494&lt;&gt;"",ISNA(MATCH($G494,会计科目表!$B$6:$B$85,0))),"对方科目不存在",IF(AND($E494="缴纳税费",$H494=""),"缴税请在费用项目里选税种",IF(AND($F494&lt;&gt;"",ISNA(MATCH($F494,往来单位!$A$6:$A$85,0))),"往来单位未建档",IF(YEAR($B494)&lt;&gt;参数设置!$B$5,"不在本会计年度",IF(AND($B493&lt;&gt;"",ISNUMBER($B493),$B494&lt;$B493),"日期比上一行早，余额按行序滚，建议按日期录","OK")))))))))))))))</f>
        <v/>
      </c>
      <c r="O494" s="58" t="str">
        <f aca="false">IF($B494="","",TEXT($B494,"yyyy-mm"))</f>
        <v/>
      </c>
      <c r="P494" s="60" t="str">
        <f aca="false">IF($E494="","",ROUND(N($I494)+N($J494),2))</f>
        <v/>
      </c>
      <c r="Q494" s="58" t="str">
        <f aca="false">IF($D494="","",IFERROR(INDEX(资金账户!$F$6:$F$25,MATCH($D494,资金账户!$B$6:$B$25,0)),""))</f>
        <v/>
      </c>
      <c r="R494" s="58" t="str">
        <f aca="false">IF($E494="","",IFERROR(IF(INDEX(记账规则!$A$13:$H$32,MATCH($E494,记账规则!$A$13:$A$32,0),4)="借","收","支"),""))</f>
        <v/>
      </c>
      <c r="S494" s="57" t="str">
        <f aca="false">IF($D494="","",ROUND(SUMIFS(资金账户!$H$6:$H$25,资金账户!$B$6:$B$25,$D494)+SUMIFS($I$6:$I494,$D$6:$D494,$D494)-SUMIFS($J$6:$J494,$D$6:$D494,$D494),2))</f>
        <v/>
      </c>
      <c r="T494" s="61" t="str">
        <f aca="false">IF($B494="","",YEAR($B494))</f>
        <v/>
      </c>
    </row>
    <row r="495" customFormat="false" ht="15" hidden="false" customHeight="false" outlineLevel="0" collapsed="false">
      <c r="A495" s="53" t="str">
        <f aca="false">IF($B495="","",ROW()-5)</f>
        <v/>
      </c>
      <c r="B495" s="54"/>
      <c r="C495" s="33"/>
      <c r="D495" s="33"/>
      <c r="E495" s="33"/>
      <c r="F495" s="32"/>
      <c r="G495" s="41"/>
      <c r="H495" s="39"/>
      <c r="I495" s="43"/>
      <c r="J495" s="43"/>
      <c r="K495" s="41"/>
      <c r="L495" s="39"/>
      <c r="M495" s="41"/>
      <c r="N495" s="25" t="str">
        <f aca="false">IF(AND($B495="",$E495="",$I495="",$J495=""),"",IF(NOT(ISNUMBER($B495)),"日期无效",IF(ISNA(MATCH($C495,参数设置!$A$10:$A$12,0)),"公司无效",IF(ISNA(MATCH($D495,资金账户!$B$6:$B$25,0)),"账户未建档",IF(ISNA(MATCH($E495,记账规则!$A$13:$A$32,0)),"业务类型无效",IF(AND(N($I495)&lt;&gt;0,N($J495)&lt;&gt;0),"收入和支出只能填一列",IF($P495=0,"金额为 0",IF(AND($R495="收",N($I495)=0),"这类业务是收款，金额填到收入列",IF(AND($R495="支",N($J495)=0),"这类业务是付款，金额填到支出列",IF(AND(SUMPRODUCT(--(INDEX(记账规则!$A$13:$H$32,MATCH($E495,记账规则!$A$13:$A$32,0),0)="@对方"))&gt;0,$G495=""),"这个类型要填对方科目",IF(AND($G495&lt;&gt;"",ISNA(MATCH($G495,会计科目表!$B$6:$B$85,0))),"对方科目不存在",IF(AND($E495="缴纳税费",$H495=""),"缴税请在费用项目里选税种",IF(AND($F495&lt;&gt;"",ISNA(MATCH($F495,往来单位!$A$6:$A$85,0))),"往来单位未建档",IF(YEAR($B495)&lt;&gt;参数设置!$B$5,"不在本会计年度",IF(AND($B494&lt;&gt;"",ISNUMBER($B494),$B495&lt;$B494),"日期比上一行早，余额按行序滚，建议按日期录","OK")))))))))))))))</f>
        <v/>
      </c>
      <c r="O495" s="58" t="str">
        <f aca="false">IF($B495="","",TEXT($B495,"yyyy-mm"))</f>
        <v/>
      </c>
      <c r="P495" s="60" t="str">
        <f aca="false">IF($E495="","",ROUND(N($I495)+N($J495),2))</f>
        <v/>
      </c>
      <c r="Q495" s="58" t="str">
        <f aca="false">IF($D495="","",IFERROR(INDEX(资金账户!$F$6:$F$25,MATCH($D495,资金账户!$B$6:$B$25,0)),""))</f>
        <v/>
      </c>
      <c r="R495" s="58" t="str">
        <f aca="false">IF($E495="","",IFERROR(IF(INDEX(记账规则!$A$13:$H$32,MATCH($E495,记账规则!$A$13:$A$32,0),4)="借","收","支"),""))</f>
        <v/>
      </c>
      <c r="S495" s="57" t="str">
        <f aca="false">IF($D495="","",ROUND(SUMIFS(资金账户!$H$6:$H$25,资金账户!$B$6:$B$25,$D495)+SUMIFS($I$6:$I495,$D$6:$D495,$D495)-SUMIFS($J$6:$J495,$D$6:$D495,$D495),2))</f>
        <v/>
      </c>
      <c r="T495" s="61" t="str">
        <f aca="false">IF($B495="","",YEAR($B495))</f>
        <v/>
      </c>
    </row>
    <row r="496" customFormat="false" ht="15" hidden="false" customHeight="false" outlineLevel="0" collapsed="false">
      <c r="A496" s="53" t="str">
        <f aca="false">IF($B496="","",ROW()-5)</f>
        <v/>
      </c>
      <c r="B496" s="54"/>
      <c r="C496" s="33"/>
      <c r="D496" s="33"/>
      <c r="E496" s="33"/>
      <c r="F496" s="32"/>
      <c r="G496" s="41"/>
      <c r="H496" s="39"/>
      <c r="I496" s="43"/>
      <c r="J496" s="43"/>
      <c r="K496" s="41"/>
      <c r="L496" s="39"/>
      <c r="M496" s="41"/>
      <c r="N496" s="25" t="str">
        <f aca="false">IF(AND($B496="",$E496="",$I496="",$J496=""),"",IF(NOT(ISNUMBER($B496)),"日期无效",IF(ISNA(MATCH($C496,参数设置!$A$10:$A$12,0)),"公司无效",IF(ISNA(MATCH($D496,资金账户!$B$6:$B$25,0)),"账户未建档",IF(ISNA(MATCH($E496,记账规则!$A$13:$A$32,0)),"业务类型无效",IF(AND(N($I496)&lt;&gt;0,N($J496)&lt;&gt;0),"收入和支出只能填一列",IF($P496=0,"金额为 0",IF(AND($R496="收",N($I496)=0),"这类业务是收款，金额填到收入列",IF(AND($R496="支",N($J496)=0),"这类业务是付款，金额填到支出列",IF(AND(SUMPRODUCT(--(INDEX(记账规则!$A$13:$H$32,MATCH($E496,记账规则!$A$13:$A$32,0),0)="@对方"))&gt;0,$G496=""),"这个类型要填对方科目",IF(AND($G496&lt;&gt;"",ISNA(MATCH($G496,会计科目表!$B$6:$B$85,0))),"对方科目不存在",IF(AND($E496="缴纳税费",$H496=""),"缴税请在费用项目里选税种",IF(AND($F496&lt;&gt;"",ISNA(MATCH($F496,往来单位!$A$6:$A$85,0))),"往来单位未建档",IF(YEAR($B496)&lt;&gt;参数设置!$B$5,"不在本会计年度",IF(AND($B495&lt;&gt;"",ISNUMBER($B495),$B496&lt;$B495),"日期比上一行早，余额按行序滚，建议按日期录","OK")))))))))))))))</f>
        <v/>
      </c>
      <c r="O496" s="58" t="str">
        <f aca="false">IF($B496="","",TEXT($B496,"yyyy-mm"))</f>
        <v/>
      </c>
      <c r="P496" s="60" t="str">
        <f aca="false">IF($E496="","",ROUND(N($I496)+N($J496),2))</f>
        <v/>
      </c>
      <c r="Q496" s="58" t="str">
        <f aca="false">IF($D496="","",IFERROR(INDEX(资金账户!$F$6:$F$25,MATCH($D496,资金账户!$B$6:$B$25,0)),""))</f>
        <v/>
      </c>
      <c r="R496" s="58" t="str">
        <f aca="false">IF($E496="","",IFERROR(IF(INDEX(记账规则!$A$13:$H$32,MATCH($E496,记账规则!$A$13:$A$32,0),4)="借","收","支"),""))</f>
        <v/>
      </c>
      <c r="S496" s="57" t="str">
        <f aca="false">IF($D496="","",ROUND(SUMIFS(资金账户!$H$6:$H$25,资金账户!$B$6:$B$25,$D496)+SUMIFS($I$6:$I496,$D$6:$D496,$D496)-SUMIFS($J$6:$J496,$D$6:$D496,$D496),2))</f>
        <v/>
      </c>
      <c r="T496" s="61" t="str">
        <f aca="false">IF($B496="","",YEAR($B496))</f>
        <v/>
      </c>
    </row>
    <row r="497" customFormat="false" ht="15" hidden="false" customHeight="false" outlineLevel="0" collapsed="false">
      <c r="A497" s="53" t="str">
        <f aca="false">IF($B497="","",ROW()-5)</f>
        <v/>
      </c>
      <c r="B497" s="54"/>
      <c r="C497" s="33"/>
      <c r="D497" s="33"/>
      <c r="E497" s="33"/>
      <c r="F497" s="32"/>
      <c r="G497" s="41"/>
      <c r="H497" s="39"/>
      <c r="I497" s="43"/>
      <c r="J497" s="43"/>
      <c r="K497" s="41"/>
      <c r="L497" s="39"/>
      <c r="M497" s="41"/>
      <c r="N497" s="25" t="str">
        <f aca="false">IF(AND($B497="",$E497="",$I497="",$J497=""),"",IF(NOT(ISNUMBER($B497)),"日期无效",IF(ISNA(MATCH($C497,参数设置!$A$10:$A$12,0)),"公司无效",IF(ISNA(MATCH($D497,资金账户!$B$6:$B$25,0)),"账户未建档",IF(ISNA(MATCH($E497,记账规则!$A$13:$A$32,0)),"业务类型无效",IF(AND(N($I497)&lt;&gt;0,N($J497)&lt;&gt;0),"收入和支出只能填一列",IF($P497=0,"金额为 0",IF(AND($R497="收",N($I497)=0),"这类业务是收款，金额填到收入列",IF(AND($R497="支",N($J497)=0),"这类业务是付款，金额填到支出列",IF(AND(SUMPRODUCT(--(INDEX(记账规则!$A$13:$H$32,MATCH($E497,记账规则!$A$13:$A$32,0),0)="@对方"))&gt;0,$G497=""),"这个类型要填对方科目",IF(AND($G497&lt;&gt;"",ISNA(MATCH($G497,会计科目表!$B$6:$B$85,0))),"对方科目不存在",IF(AND($E497="缴纳税费",$H497=""),"缴税请在费用项目里选税种",IF(AND($F497&lt;&gt;"",ISNA(MATCH($F497,往来单位!$A$6:$A$85,0))),"往来单位未建档",IF(YEAR($B497)&lt;&gt;参数设置!$B$5,"不在本会计年度",IF(AND($B496&lt;&gt;"",ISNUMBER($B496),$B497&lt;$B496),"日期比上一行早，余额按行序滚，建议按日期录","OK")))))))))))))))</f>
        <v/>
      </c>
      <c r="O497" s="58" t="str">
        <f aca="false">IF($B497="","",TEXT($B497,"yyyy-mm"))</f>
        <v/>
      </c>
      <c r="P497" s="60" t="str">
        <f aca="false">IF($E497="","",ROUND(N($I497)+N($J497),2))</f>
        <v/>
      </c>
      <c r="Q497" s="58" t="str">
        <f aca="false">IF($D497="","",IFERROR(INDEX(资金账户!$F$6:$F$25,MATCH($D497,资金账户!$B$6:$B$25,0)),""))</f>
        <v/>
      </c>
      <c r="R497" s="58" t="str">
        <f aca="false">IF($E497="","",IFERROR(IF(INDEX(记账规则!$A$13:$H$32,MATCH($E497,记账规则!$A$13:$A$32,0),4)="借","收","支"),""))</f>
        <v/>
      </c>
      <c r="S497" s="57" t="str">
        <f aca="false">IF($D497="","",ROUND(SUMIFS(资金账户!$H$6:$H$25,资金账户!$B$6:$B$25,$D497)+SUMIFS($I$6:$I497,$D$6:$D497,$D497)-SUMIFS($J$6:$J497,$D$6:$D497,$D497),2))</f>
        <v/>
      </c>
      <c r="T497" s="61" t="str">
        <f aca="false">IF($B497="","",YEAR($B497))</f>
        <v/>
      </c>
    </row>
    <row r="498" customFormat="false" ht="15" hidden="false" customHeight="false" outlineLevel="0" collapsed="false">
      <c r="A498" s="53" t="str">
        <f aca="false">IF($B498="","",ROW()-5)</f>
        <v/>
      </c>
      <c r="B498" s="54"/>
      <c r="C498" s="33"/>
      <c r="D498" s="33"/>
      <c r="E498" s="33"/>
      <c r="F498" s="32"/>
      <c r="G498" s="41"/>
      <c r="H498" s="39"/>
      <c r="I498" s="43"/>
      <c r="J498" s="43"/>
      <c r="K498" s="41"/>
      <c r="L498" s="39"/>
      <c r="M498" s="41"/>
      <c r="N498" s="25" t="str">
        <f aca="false">IF(AND($B498="",$E498="",$I498="",$J498=""),"",IF(NOT(ISNUMBER($B498)),"日期无效",IF(ISNA(MATCH($C498,参数设置!$A$10:$A$12,0)),"公司无效",IF(ISNA(MATCH($D498,资金账户!$B$6:$B$25,0)),"账户未建档",IF(ISNA(MATCH($E498,记账规则!$A$13:$A$32,0)),"业务类型无效",IF(AND(N($I498)&lt;&gt;0,N($J498)&lt;&gt;0),"收入和支出只能填一列",IF($P498=0,"金额为 0",IF(AND($R498="收",N($I498)=0),"这类业务是收款，金额填到收入列",IF(AND($R498="支",N($J498)=0),"这类业务是付款，金额填到支出列",IF(AND(SUMPRODUCT(--(INDEX(记账规则!$A$13:$H$32,MATCH($E498,记账规则!$A$13:$A$32,0),0)="@对方"))&gt;0,$G498=""),"这个类型要填对方科目",IF(AND($G498&lt;&gt;"",ISNA(MATCH($G498,会计科目表!$B$6:$B$85,0))),"对方科目不存在",IF(AND($E498="缴纳税费",$H498=""),"缴税请在费用项目里选税种",IF(AND($F498&lt;&gt;"",ISNA(MATCH($F498,往来单位!$A$6:$A$85,0))),"往来单位未建档",IF(YEAR($B498)&lt;&gt;参数设置!$B$5,"不在本会计年度",IF(AND($B497&lt;&gt;"",ISNUMBER($B497),$B498&lt;$B497),"日期比上一行早，余额按行序滚，建议按日期录","OK")))))))))))))))</f>
        <v/>
      </c>
      <c r="O498" s="58" t="str">
        <f aca="false">IF($B498="","",TEXT($B498,"yyyy-mm"))</f>
        <v/>
      </c>
      <c r="P498" s="60" t="str">
        <f aca="false">IF($E498="","",ROUND(N($I498)+N($J498),2))</f>
        <v/>
      </c>
      <c r="Q498" s="58" t="str">
        <f aca="false">IF($D498="","",IFERROR(INDEX(资金账户!$F$6:$F$25,MATCH($D498,资金账户!$B$6:$B$25,0)),""))</f>
        <v/>
      </c>
      <c r="R498" s="58" t="str">
        <f aca="false">IF($E498="","",IFERROR(IF(INDEX(记账规则!$A$13:$H$32,MATCH($E498,记账规则!$A$13:$A$32,0),4)="借","收","支"),""))</f>
        <v/>
      </c>
      <c r="S498" s="57" t="str">
        <f aca="false">IF($D498="","",ROUND(SUMIFS(资金账户!$H$6:$H$25,资金账户!$B$6:$B$25,$D498)+SUMIFS($I$6:$I498,$D$6:$D498,$D498)-SUMIFS($J$6:$J498,$D$6:$D498,$D498),2))</f>
        <v/>
      </c>
      <c r="T498" s="61" t="str">
        <f aca="false">IF($B498="","",YEAR($B498))</f>
        <v/>
      </c>
    </row>
    <row r="499" customFormat="false" ht="15" hidden="false" customHeight="false" outlineLevel="0" collapsed="false">
      <c r="A499" s="53" t="str">
        <f aca="false">IF($B499="","",ROW()-5)</f>
        <v/>
      </c>
      <c r="B499" s="54"/>
      <c r="C499" s="33"/>
      <c r="D499" s="33"/>
      <c r="E499" s="33"/>
      <c r="F499" s="32"/>
      <c r="G499" s="41"/>
      <c r="H499" s="39"/>
      <c r="I499" s="43"/>
      <c r="J499" s="43"/>
      <c r="K499" s="41"/>
      <c r="L499" s="39"/>
      <c r="M499" s="41"/>
      <c r="N499" s="25" t="str">
        <f aca="false">IF(AND($B499="",$E499="",$I499="",$J499=""),"",IF(NOT(ISNUMBER($B499)),"日期无效",IF(ISNA(MATCH($C499,参数设置!$A$10:$A$12,0)),"公司无效",IF(ISNA(MATCH($D499,资金账户!$B$6:$B$25,0)),"账户未建档",IF(ISNA(MATCH($E499,记账规则!$A$13:$A$32,0)),"业务类型无效",IF(AND(N($I499)&lt;&gt;0,N($J499)&lt;&gt;0),"收入和支出只能填一列",IF($P499=0,"金额为 0",IF(AND($R499="收",N($I499)=0),"这类业务是收款，金额填到收入列",IF(AND($R499="支",N($J499)=0),"这类业务是付款，金额填到支出列",IF(AND(SUMPRODUCT(--(INDEX(记账规则!$A$13:$H$32,MATCH($E499,记账规则!$A$13:$A$32,0),0)="@对方"))&gt;0,$G499=""),"这个类型要填对方科目",IF(AND($G499&lt;&gt;"",ISNA(MATCH($G499,会计科目表!$B$6:$B$85,0))),"对方科目不存在",IF(AND($E499="缴纳税费",$H499=""),"缴税请在费用项目里选税种",IF(AND($F499&lt;&gt;"",ISNA(MATCH($F499,往来单位!$A$6:$A$85,0))),"往来单位未建档",IF(YEAR($B499)&lt;&gt;参数设置!$B$5,"不在本会计年度",IF(AND($B498&lt;&gt;"",ISNUMBER($B498),$B499&lt;$B498),"日期比上一行早，余额按行序滚，建议按日期录","OK")))))))))))))))</f>
        <v/>
      </c>
      <c r="O499" s="58" t="str">
        <f aca="false">IF($B499="","",TEXT($B499,"yyyy-mm"))</f>
        <v/>
      </c>
      <c r="P499" s="60" t="str">
        <f aca="false">IF($E499="","",ROUND(N($I499)+N($J499),2))</f>
        <v/>
      </c>
      <c r="Q499" s="58" t="str">
        <f aca="false">IF($D499="","",IFERROR(INDEX(资金账户!$F$6:$F$25,MATCH($D499,资金账户!$B$6:$B$25,0)),""))</f>
        <v/>
      </c>
      <c r="R499" s="58" t="str">
        <f aca="false">IF($E499="","",IFERROR(IF(INDEX(记账规则!$A$13:$H$32,MATCH($E499,记账规则!$A$13:$A$32,0),4)="借","收","支"),""))</f>
        <v/>
      </c>
      <c r="S499" s="57" t="str">
        <f aca="false">IF($D499="","",ROUND(SUMIFS(资金账户!$H$6:$H$25,资金账户!$B$6:$B$25,$D499)+SUMIFS($I$6:$I499,$D$6:$D499,$D499)-SUMIFS($J$6:$J499,$D$6:$D499,$D499),2))</f>
        <v/>
      </c>
      <c r="T499" s="61" t="str">
        <f aca="false">IF($B499="","",YEAR($B499))</f>
        <v/>
      </c>
    </row>
    <row r="500" customFormat="false" ht="15" hidden="false" customHeight="false" outlineLevel="0" collapsed="false">
      <c r="A500" s="53" t="str">
        <f aca="false">IF($B500="","",ROW()-5)</f>
        <v/>
      </c>
      <c r="B500" s="54"/>
      <c r="C500" s="33"/>
      <c r="D500" s="33"/>
      <c r="E500" s="33"/>
      <c r="F500" s="32"/>
      <c r="G500" s="41"/>
      <c r="H500" s="39"/>
      <c r="I500" s="43"/>
      <c r="J500" s="43"/>
      <c r="K500" s="41"/>
      <c r="L500" s="39"/>
      <c r="M500" s="41"/>
      <c r="N500" s="25" t="str">
        <f aca="false">IF(AND($B500="",$E500="",$I500="",$J500=""),"",IF(NOT(ISNUMBER($B500)),"日期无效",IF(ISNA(MATCH($C500,参数设置!$A$10:$A$12,0)),"公司无效",IF(ISNA(MATCH($D500,资金账户!$B$6:$B$25,0)),"账户未建档",IF(ISNA(MATCH($E500,记账规则!$A$13:$A$32,0)),"业务类型无效",IF(AND(N($I500)&lt;&gt;0,N($J500)&lt;&gt;0),"收入和支出只能填一列",IF($P500=0,"金额为 0",IF(AND($R500="收",N($I500)=0),"这类业务是收款，金额填到收入列",IF(AND($R500="支",N($J500)=0),"这类业务是付款，金额填到支出列",IF(AND(SUMPRODUCT(--(INDEX(记账规则!$A$13:$H$32,MATCH($E500,记账规则!$A$13:$A$32,0),0)="@对方"))&gt;0,$G500=""),"这个类型要填对方科目",IF(AND($G500&lt;&gt;"",ISNA(MATCH($G500,会计科目表!$B$6:$B$85,0))),"对方科目不存在",IF(AND($E500="缴纳税费",$H500=""),"缴税请在费用项目里选税种",IF(AND($F500&lt;&gt;"",ISNA(MATCH($F500,往来单位!$A$6:$A$85,0))),"往来单位未建档",IF(YEAR($B500)&lt;&gt;参数设置!$B$5,"不在本会计年度",IF(AND($B499&lt;&gt;"",ISNUMBER($B499),$B500&lt;$B499),"日期比上一行早，余额按行序滚，建议按日期录","OK")))))))))))))))</f>
        <v/>
      </c>
      <c r="O500" s="58" t="str">
        <f aca="false">IF($B500="","",TEXT($B500,"yyyy-mm"))</f>
        <v/>
      </c>
      <c r="P500" s="60" t="str">
        <f aca="false">IF($E500="","",ROUND(N($I500)+N($J500),2))</f>
        <v/>
      </c>
      <c r="Q500" s="58" t="str">
        <f aca="false">IF($D500="","",IFERROR(INDEX(资金账户!$F$6:$F$25,MATCH($D500,资金账户!$B$6:$B$25,0)),""))</f>
        <v/>
      </c>
      <c r="R500" s="58" t="str">
        <f aca="false">IF($E500="","",IFERROR(IF(INDEX(记账规则!$A$13:$H$32,MATCH($E500,记账规则!$A$13:$A$32,0),4)="借","收","支"),""))</f>
        <v/>
      </c>
      <c r="S500" s="57" t="str">
        <f aca="false">IF($D500="","",ROUND(SUMIFS(资金账户!$H$6:$H$25,资金账户!$B$6:$B$25,$D500)+SUMIFS($I$6:$I500,$D$6:$D500,$D500)-SUMIFS($J$6:$J500,$D$6:$D500,$D500),2))</f>
        <v/>
      </c>
      <c r="T500" s="61" t="str">
        <f aca="false">IF($B500="","",YEAR($B500))</f>
        <v/>
      </c>
    </row>
    <row r="501" customFormat="false" ht="15" hidden="false" customHeight="false" outlineLevel="0" collapsed="false">
      <c r="A501" s="53" t="str">
        <f aca="false">IF($B501="","",ROW()-5)</f>
        <v/>
      </c>
      <c r="B501" s="54"/>
      <c r="C501" s="33"/>
      <c r="D501" s="33"/>
      <c r="E501" s="33"/>
      <c r="F501" s="32"/>
      <c r="G501" s="41"/>
      <c r="H501" s="39"/>
      <c r="I501" s="43"/>
      <c r="J501" s="43"/>
      <c r="K501" s="41"/>
      <c r="L501" s="39"/>
      <c r="M501" s="41"/>
      <c r="N501" s="25" t="str">
        <f aca="false">IF(AND($B501="",$E501="",$I501="",$J501=""),"",IF(NOT(ISNUMBER($B501)),"日期无效",IF(ISNA(MATCH($C501,参数设置!$A$10:$A$12,0)),"公司无效",IF(ISNA(MATCH($D501,资金账户!$B$6:$B$25,0)),"账户未建档",IF(ISNA(MATCH($E501,记账规则!$A$13:$A$32,0)),"业务类型无效",IF(AND(N($I501)&lt;&gt;0,N($J501)&lt;&gt;0),"收入和支出只能填一列",IF($P501=0,"金额为 0",IF(AND($R501="收",N($I501)=0),"这类业务是收款，金额填到收入列",IF(AND($R501="支",N($J501)=0),"这类业务是付款，金额填到支出列",IF(AND(SUMPRODUCT(--(INDEX(记账规则!$A$13:$H$32,MATCH($E501,记账规则!$A$13:$A$32,0),0)="@对方"))&gt;0,$G501=""),"这个类型要填对方科目",IF(AND($G501&lt;&gt;"",ISNA(MATCH($G501,会计科目表!$B$6:$B$85,0))),"对方科目不存在",IF(AND($E501="缴纳税费",$H501=""),"缴税请在费用项目里选税种",IF(AND($F501&lt;&gt;"",ISNA(MATCH($F501,往来单位!$A$6:$A$85,0))),"往来单位未建档",IF(YEAR($B501)&lt;&gt;参数设置!$B$5,"不在本会计年度",IF(AND($B500&lt;&gt;"",ISNUMBER($B500),$B501&lt;$B500),"日期比上一行早，余额按行序滚，建议按日期录","OK")))))))))))))))</f>
        <v/>
      </c>
      <c r="O501" s="58" t="str">
        <f aca="false">IF($B501="","",TEXT($B501,"yyyy-mm"))</f>
        <v/>
      </c>
      <c r="P501" s="60" t="str">
        <f aca="false">IF($E501="","",ROUND(N($I501)+N($J501),2))</f>
        <v/>
      </c>
      <c r="Q501" s="58" t="str">
        <f aca="false">IF($D501="","",IFERROR(INDEX(资金账户!$F$6:$F$25,MATCH($D501,资金账户!$B$6:$B$25,0)),""))</f>
        <v/>
      </c>
      <c r="R501" s="58" t="str">
        <f aca="false">IF($E501="","",IFERROR(IF(INDEX(记账规则!$A$13:$H$32,MATCH($E501,记账规则!$A$13:$A$32,0),4)="借","收","支"),""))</f>
        <v/>
      </c>
      <c r="S501" s="57" t="str">
        <f aca="false">IF($D501="","",ROUND(SUMIFS(资金账户!$H$6:$H$25,资金账户!$B$6:$B$25,$D501)+SUMIFS($I$6:$I501,$D$6:$D501,$D501)-SUMIFS($J$6:$J501,$D$6:$D501,$D501),2))</f>
        <v/>
      </c>
      <c r="T501" s="61" t="str">
        <f aca="false">IF($B501="","",YEAR($B501))</f>
        <v/>
      </c>
    </row>
    <row r="502" customFormat="false" ht="15" hidden="false" customHeight="false" outlineLevel="0" collapsed="false">
      <c r="A502" s="53" t="str">
        <f aca="false">IF($B502="","",ROW()-5)</f>
        <v/>
      </c>
      <c r="B502" s="54"/>
      <c r="C502" s="33"/>
      <c r="D502" s="33"/>
      <c r="E502" s="33"/>
      <c r="F502" s="32"/>
      <c r="G502" s="41"/>
      <c r="H502" s="39"/>
      <c r="I502" s="43"/>
      <c r="J502" s="43"/>
      <c r="K502" s="41"/>
      <c r="L502" s="39"/>
      <c r="M502" s="41"/>
      <c r="N502" s="25" t="str">
        <f aca="false">IF(AND($B502="",$E502="",$I502="",$J502=""),"",IF(NOT(ISNUMBER($B502)),"日期无效",IF(ISNA(MATCH($C502,参数设置!$A$10:$A$12,0)),"公司无效",IF(ISNA(MATCH($D502,资金账户!$B$6:$B$25,0)),"账户未建档",IF(ISNA(MATCH($E502,记账规则!$A$13:$A$32,0)),"业务类型无效",IF(AND(N($I502)&lt;&gt;0,N($J502)&lt;&gt;0),"收入和支出只能填一列",IF($P502=0,"金额为 0",IF(AND($R502="收",N($I502)=0),"这类业务是收款，金额填到收入列",IF(AND($R502="支",N($J502)=0),"这类业务是付款，金额填到支出列",IF(AND(SUMPRODUCT(--(INDEX(记账规则!$A$13:$H$32,MATCH($E502,记账规则!$A$13:$A$32,0),0)="@对方"))&gt;0,$G502=""),"这个类型要填对方科目",IF(AND($G502&lt;&gt;"",ISNA(MATCH($G502,会计科目表!$B$6:$B$85,0))),"对方科目不存在",IF(AND($E502="缴纳税费",$H502=""),"缴税请在费用项目里选税种",IF(AND($F502&lt;&gt;"",ISNA(MATCH($F502,往来单位!$A$6:$A$85,0))),"往来单位未建档",IF(YEAR($B502)&lt;&gt;参数设置!$B$5,"不在本会计年度",IF(AND($B501&lt;&gt;"",ISNUMBER($B501),$B502&lt;$B501),"日期比上一行早，余额按行序滚，建议按日期录","OK")))))))))))))))</f>
        <v/>
      </c>
      <c r="O502" s="58" t="str">
        <f aca="false">IF($B502="","",TEXT($B502,"yyyy-mm"))</f>
        <v/>
      </c>
      <c r="P502" s="60" t="str">
        <f aca="false">IF($E502="","",ROUND(N($I502)+N($J502),2))</f>
        <v/>
      </c>
      <c r="Q502" s="58" t="str">
        <f aca="false">IF($D502="","",IFERROR(INDEX(资金账户!$F$6:$F$25,MATCH($D502,资金账户!$B$6:$B$25,0)),""))</f>
        <v/>
      </c>
      <c r="R502" s="58" t="str">
        <f aca="false">IF($E502="","",IFERROR(IF(INDEX(记账规则!$A$13:$H$32,MATCH($E502,记账规则!$A$13:$A$32,0),4)="借","收","支"),""))</f>
        <v/>
      </c>
      <c r="S502" s="57" t="str">
        <f aca="false">IF($D502="","",ROUND(SUMIFS(资金账户!$H$6:$H$25,资金账户!$B$6:$B$25,$D502)+SUMIFS($I$6:$I502,$D$6:$D502,$D502)-SUMIFS($J$6:$J502,$D$6:$D502,$D502),2))</f>
        <v/>
      </c>
      <c r="T502" s="61" t="str">
        <f aca="false">IF($B502="","",YEAR($B502))</f>
        <v/>
      </c>
    </row>
    <row r="503" customFormat="false" ht="15" hidden="false" customHeight="false" outlineLevel="0" collapsed="false">
      <c r="A503" s="53" t="str">
        <f aca="false">IF($B503="","",ROW()-5)</f>
        <v/>
      </c>
      <c r="B503" s="54"/>
      <c r="C503" s="33"/>
      <c r="D503" s="33"/>
      <c r="E503" s="33"/>
      <c r="F503" s="32"/>
      <c r="G503" s="41"/>
      <c r="H503" s="39"/>
      <c r="I503" s="43"/>
      <c r="J503" s="43"/>
      <c r="K503" s="41"/>
      <c r="L503" s="39"/>
      <c r="M503" s="41"/>
      <c r="N503" s="25" t="str">
        <f aca="false">IF(AND($B503="",$E503="",$I503="",$J503=""),"",IF(NOT(ISNUMBER($B503)),"日期无效",IF(ISNA(MATCH($C503,参数设置!$A$10:$A$12,0)),"公司无效",IF(ISNA(MATCH($D503,资金账户!$B$6:$B$25,0)),"账户未建档",IF(ISNA(MATCH($E503,记账规则!$A$13:$A$32,0)),"业务类型无效",IF(AND(N($I503)&lt;&gt;0,N($J503)&lt;&gt;0),"收入和支出只能填一列",IF($P503=0,"金额为 0",IF(AND($R503="收",N($I503)=0),"这类业务是收款，金额填到收入列",IF(AND($R503="支",N($J503)=0),"这类业务是付款，金额填到支出列",IF(AND(SUMPRODUCT(--(INDEX(记账规则!$A$13:$H$32,MATCH($E503,记账规则!$A$13:$A$32,0),0)="@对方"))&gt;0,$G503=""),"这个类型要填对方科目",IF(AND($G503&lt;&gt;"",ISNA(MATCH($G503,会计科目表!$B$6:$B$85,0))),"对方科目不存在",IF(AND($E503="缴纳税费",$H503=""),"缴税请在费用项目里选税种",IF(AND($F503&lt;&gt;"",ISNA(MATCH($F503,往来单位!$A$6:$A$85,0))),"往来单位未建档",IF(YEAR($B503)&lt;&gt;参数设置!$B$5,"不在本会计年度",IF(AND($B502&lt;&gt;"",ISNUMBER($B502),$B503&lt;$B502),"日期比上一行早，余额按行序滚，建议按日期录","OK")))))))))))))))</f>
        <v/>
      </c>
      <c r="O503" s="58" t="str">
        <f aca="false">IF($B503="","",TEXT($B503,"yyyy-mm"))</f>
        <v/>
      </c>
      <c r="P503" s="60" t="str">
        <f aca="false">IF($E503="","",ROUND(N($I503)+N($J503),2))</f>
        <v/>
      </c>
      <c r="Q503" s="58" t="str">
        <f aca="false">IF($D503="","",IFERROR(INDEX(资金账户!$F$6:$F$25,MATCH($D503,资金账户!$B$6:$B$25,0)),""))</f>
        <v/>
      </c>
      <c r="R503" s="58" t="str">
        <f aca="false">IF($E503="","",IFERROR(IF(INDEX(记账规则!$A$13:$H$32,MATCH($E503,记账规则!$A$13:$A$32,0),4)="借","收","支"),""))</f>
        <v/>
      </c>
      <c r="S503" s="57" t="str">
        <f aca="false">IF($D503="","",ROUND(SUMIFS(资金账户!$H$6:$H$25,资金账户!$B$6:$B$25,$D503)+SUMIFS($I$6:$I503,$D$6:$D503,$D503)-SUMIFS($J$6:$J503,$D$6:$D503,$D503),2))</f>
        <v/>
      </c>
      <c r="T503" s="61" t="str">
        <f aca="false">IF($B503="","",YEAR($B503))</f>
        <v/>
      </c>
    </row>
    <row r="504" customFormat="false" ht="15" hidden="false" customHeight="false" outlineLevel="0" collapsed="false">
      <c r="A504" s="53" t="str">
        <f aca="false">IF($B504="","",ROW()-5)</f>
        <v/>
      </c>
      <c r="B504" s="54"/>
      <c r="C504" s="33"/>
      <c r="D504" s="33"/>
      <c r="E504" s="33"/>
      <c r="F504" s="32"/>
      <c r="G504" s="41"/>
      <c r="H504" s="39"/>
      <c r="I504" s="43"/>
      <c r="J504" s="43"/>
      <c r="K504" s="41"/>
      <c r="L504" s="39"/>
      <c r="M504" s="41"/>
      <c r="N504" s="25" t="str">
        <f aca="false">IF(AND($B504="",$E504="",$I504="",$J504=""),"",IF(NOT(ISNUMBER($B504)),"日期无效",IF(ISNA(MATCH($C504,参数设置!$A$10:$A$12,0)),"公司无效",IF(ISNA(MATCH($D504,资金账户!$B$6:$B$25,0)),"账户未建档",IF(ISNA(MATCH($E504,记账规则!$A$13:$A$32,0)),"业务类型无效",IF(AND(N($I504)&lt;&gt;0,N($J504)&lt;&gt;0),"收入和支出只能填一列",IF($P504=0,"金额为 0",IF(AND($R504="收",N($I504)=0),"这类业务是收款，金额填到收入列",IF(AND($R504="支",N($J504)=0),"这类业务是付款，金额填到支出列",IF(AND(SUMPRODUCT(--(INDEX(记账规则!$A$13:$H$32,MATCH($E504,记账规则!$A$13:$A$32,0),0)="@对方"))&gt;0,$G504=""),"这个类型要填对方科目",IF(AND($G504&lt;&gt;"",ISNA(MATCH($G504,会计科目表!$B$6:$B$85,0))),"对方科目不存在",IF(AND($E504="缴纳税费",$H504=""),"缴税请在费用项目里选税种",IF(AND($F504&lt;&gt;"",ISNA(MATCH($F504,往来单位!$A$6:$A$85,0))),"往来单位未建档",IF(YEAR($B504)&lt;&gt;参数设置!$B$5,"不在本会计年度",IF(AND($B503&lt;&gt;"",ISNUMBER($B503),$B504&lt;$B503),"日期比上一行早，余额按行序滚，建议按日期录","OK")))))))))))))))</f>
        <v/>
      </c>
      <c r="O504" s="58" t="str">
        <f aca="false">IF($B504="","",TEXT($B504,"yyyy-mm"))</f>
        <v/>
      </c>
      <c r="P504" s="60" t="str">
        <f aca="false">IF($E504="","",ROUND(N($I504)+N($J504),2))</f>
        <v/>
      </c>
      <c r="Q504" s="58" t="str">
        <f aca="false">IF($D504="","",IFERROR(INDEX(资金账户!$F$6:$F$25,MATCH($D504,资金账户!$B$6:$B$25,0)),""))</f>
        <v/>
      </c>
      <c r="R504" s="58" t="str">
        <f aca="false">IF($E504="","",IFERROR(IF(INDEX(记账规则!$A$13:$H$32,MATCH($E504,记账规则!$A$13:$A$32,0),4)="借","收","支"),""))</f>
        <v/>
      </c>
      <c r="S504" s="57" t="str">
        <f aca="false">IF($D504="","",ROUND(SUMIFS(资金账户!$H$6:$H$25,资金账户!$B$6:$B$25,$D504)+SUMIFS($I$6:$I504,$D$6:$D504,$D504)-SUMIFS($J$6:$J504,$D$6:$D504,$D504),2))</f>
        <v/>
      </c>
      <c r="T504" s="61" t="str">
        <f aca="false">IF($B504="","",YEAR($B504))</f>
        <v/>
      </c>
    </row>
    <row r="505" customFormat="false" ht="15" hidden="false" customHeight="false" outlineLevel="0" collapsed="false">
      <c r="A505" s="53" t="str">
        <f aca="false">IF($B505="","",ROW()-5)</f>
        <v/>
      </c>
      <c r="B505" s="54"/>
      <c r="C505" s="33"/>
      <c r="D505" s="33"/>
      <c r="E505" s="33"/>
      <c r="F505" s="32"/>
      <c r="G505" s="41"/>
      <c r="H505" s="39"/>
      <c r="I505" s="43"/>
      <c r="J505" s="43"/>
      <c r="K505" s="41"/>
      <c r="L505" s="39"/>
      <c r="M505" s="41"/>
      <c r="N505" s="25" t="str">
        <f aca="false">IF(AND($B505="",$E505="",$I505="",$J505=""),"",IF(NOT(ISNUMBER($B505)),"日期无效",IF(ISNA(MATCH($C505,参数设置!$A$10:$A$12,0)),"公司无效",IF(ISNA(MATCH($D505,资金账户!$B$6:$B$25,0)),"账户未建档",IF(ISNA(MATCH($E505,记账规则!$A$13:$A$32,0)),"业务类型无效",IF(AND(N($I505)&lt;&gt;0,N($J505)&lt;&gt;0),"收入和支出只能填一列",IF($P505=0,"金额为 0",IF(AND($R505="收",N($I505)=0),"这类业务是收款，金额填到收入列",IF(AND($R505="支",N($J505)=0),"这类业务是付款，金额填到支出列",IF(AND(SUMPRODUCT(--(INDEX(记账规则!$A$13:$H$32,MATCH($E505,记账规则!$A$13:$A$32,0),0)="@对方"))&gt;0,$G505=""),"这个类型要填对方科目",IF(AND($G505&lt;&gt;"",ISNA(MATCH($G505,会计科目表!$B$6:$B$85,0))),"对方科目不存在",IF(AND($E505="缴纳税费",$H505=""),"缴税请在费用项目里选税种",IF(AND($F505&lt;&gt;"",ISNA(MATCH($F505,往来单位!$A$6:$A$85,0))),"往来单位未建档",IF(YEAR($B505)&lt;&gt;参数设置!$B$5,"不在本会计年度",IF(AND($B504&lt;&gt;"",ISNUMBER($B504),$B505&lt;$B504),"日期比上一行早，余额按行序滚，建议按日期录","OK")))))))))))))))</f>
        <v/>
      </c>
      <c r="O505" s="58" t="str">
        <f aca="false">IF($B505="","",TEXT($B505,"yyyy-mm"))</f>
        <v/>
      </c>
      <c r="P505" s="60" t="str">
        <f aca="false">IF($E505="","",ROUND(N($I505)+N($J505),2))</f>
        <v/>
      </c>
      <c r="Q505" s="58" t="str">
        <f aca="false">IF($D505="","",IFERROR(INDEX(资金账户!$F$6:$F$25,MATCH($D505,资金账户!$B$6:$B$25,0)),""))</f>
        <v/>
      </c>
      <c r="R505" s="58" t="str">
        <f aca="false">IF($E505="","",IFERROR(IF(INDEX(记账规则!$A$13:$H$32,MATCH($E505,记账规则!$A$13:$A$32,0),4)="借","收","支"),""))</f>
        <v/>
      </c>
      <c r="S505" s="57" t="str">
        <f aca="false">IF($D505="","",ROUND(SUMIFS(资金账户!$H$6:$H$25,资金账户!$B$6:$B$25,$D505)+SUMIFS($I$6:$I505,$D$6:$D505,$D505)-SUMIFS($J$6:$J505,$D$6:$D505,$D505),2))</f>
        <v/>
      </c>
      <c r="T505" s="61" t="str">
        <f aca="false">IF($B505="","",YEAR($B505))</f>
        <v/>
      </c>
    </row>
    <row r="506" customFormat="false" ht="15" hidden="false" customHeight="false" outlineLevel="0" collapsed="false">
      <c r="A506" s="53" t="str">
        <f aca="false">IF($B506="","",ROW()-5)</f>
        <v/>
      </c>
      <c r="B506" s="54"/>
      <c r="C506" s="33"/>
      <c r="D506" s="33"/>
      <c r="E506" s="33"/>
      <c r="F506" s="32"/>
      <c r="G506" s="41"/>
      <c r="H506" s="39"/>
      <c r="I506" s="43"/>
      <c r="J506" s="43"/>
      <c r="K506" s="41"/>
      <c r="L506" s="39"/>
      <c r="M506" s="41"/>
      <c r="N506" s="25" t="str">
        <f aca="false">IF(AND($B506="",$E506="",$I506="",$J506=""),"",IF(NOT(ISNUMBER($B506)),"日期无效",IF(ISNA(MATCH($C506,参数设置!$A$10:$A$12,0)),"公司无效",IF(ISNA(MATCH($D506,资金账户!$B$6:$B$25,0)),"账户未建档",IF(ISNA(MATCH($E506,记账规则!$A$13:$A$32,0)),"业务类型无效",IF(AND(N($I506)&lt;&gt;0,N($J506)&lt;&gt;0),"收入和支出只能填一列",IF($P506=0,"金额为 0",IF(AND($R506="收",N($I506)=0),"这类业务是收款，金额填到收入列",IF(AND($R506="支",N($J506)=0),"这类业务是付款，金额填到支出列",IF(AND(SUMPRODUCT(--(INDEX(记账规则!$A$13:$H$32,MATCH($E506,记账规则!$A$13:$A$32,0),0)="@对方"))&gt;0,$G506=""),"这个类型要填对方科目",IF(AND($G506&lt;&gt;"",ISNA(MATCH($G506,会计科目表!$B$6:$B$85,0))),"对方科目不存在",IF(AND($E506="缴纳税费",$H506=""),"缴税请在费用项目里选税种",IF(AND($F506&lt;&gt;"",ISNA(MATCH($F506,往来单位!$A$6:$A$85,0))),"往来单位未建档",IF(YEAR($B506)&lt;&gt;参数设置!$B$5,"不在本会计年度",IF(AND($B505&lt;&gt;"",ISNUMBER($B505),$B506&lt;$B505),"日期比上一行早，余额按行序滚，建议按日期录","OK")))))))))))))))</f>
        <v/>
      </c>
      <c r="O506" s="58" t="str">
        <f aca="false">IF($B506="","",TEXT($B506,"yyyy-mm"))</f>
        <v/>
      </c>
      <c r="P506" s="60" t="str">
        <f aca="false">IF($E506="","",ROUND(N($I506)+N($J506),2))</f>
        <v/>
      </c>
      <c r="Q506" s="58" t="str">
        <f aca="false">IF($D506="","",IFERROR(INDEX(资金账户!$F$6:$F$25,MATCH($D506,资金账户!$B$6:$B$25,0)),""))</f>
        <v/>
      </c>
      <c r="R506" s="58" t="str">
        <f aca="false">IF($E506="","",IFERROR(IF(INDEX(记账规则!$A$13:$H$32,MATCH($E506,记账规则!$A$13:$A$32,0),4)="借","收","支"),""))</f>
        <v/>
      </c>
      <c r="S506" s="57" t="str">
        <f aca="false">IF($D506="","",ROUND(SUMIFS(资金账户!$H$6:$H$25,资金账户!$B$6:$B$25,$D506)+SUMIFS($I$6:$I506,$D$6:$D506,$D506)-SUMIFS($J$6:$J506,$D$6:$D506,$D506),2))</f>
        <v/>
      </c>
      <c r="T506" s="61" t="str">
        <f aca="false">IF($B506="","",YEAR($B506))</f>
        <v/>
      </c>
    </row>
    <row r="507" customFormat="false" ht="15" hidden="false" customHeight="false" outlineLevel="0" collapsed="false">
      <c r="A507" s="53" t="str">
        <f aca="false">IF($B507="","",ROW()-5)</f>
        <v/>
      </c>
      <c r="B507" s="54"/>
      <c r="C507" s="33"/>
      <c r="D507" s="33"/>
      <c r="E507" s="33"/>
      <c r="F507" s="32"/>
      <c r="G507" s="41"/>
      <c r="H507" s="39"/>
      <c r="I507" s="43"/>
      <c r="J507" s="43"/>
      <c r="K507" s="41"/>
      <c r="L507" s="39"/>
      <c r="M507" s="41"/>
      <c r="N507" s="25" t="str">
        <f aca="false">IF(AND($B507="",$E507="",$I507="",$J507=""),"",IF(NOT(ISNUMBER($B507)),"日期无效",IF(ISNA(MATCH($C507,参数设置!$A$10:$A$12,0)),"公司无效",IF(ISNA(MATCH($D507,资金账户!$B$6:$B$25,0)),"账户未建档",IF(ISNA(MATCH($E507,记账规则!$A$13:$A$32,0)),"业务类型无效",IF(AND(N($I507)&lt;&gt;0,N($J507)&lt;&gt;0),"收入和支出只能填一列",IF($P507=0,"金额为 0",IF(AND($R507="收",N($I507)=0),"这类业务是收款，金额填到收入列",IF(AND($R507="支",N($J507)=0),"这类业务是付款，金额填到支出列",IF(AND(SUMPRODUCT(--(INDEX(记账规则!$A$13:$H$32,MATCH($E507,记账规则!$A$13:$A$32,0),0)="@对方"))&gt;0,$G507=""),"这个类型要填对方科目",IF(AND($G507&lt;&gt;"",ISNA(MATCH($G507,会计科目表!$B$6:$B$85,0))),"对方科目不存在",IF(AND($E507="缴纳税费",$H507=""),"缴税请在费用项目里选税种",IF(AND($F507&lt;&gt;"",ISNA(MATCH($F507,往来单位!$A$6:$A$85,0))),"往来单位未建档",IF(YEAR($B507)&lt;&gt;参数设置!$B$5,"不在本会计年度",IF(AND($B506&lt;&gt;"",ISNUMBER($B506),$B507&lt;$B506),"日期比上一行早，余额按行序滚，建议按日期录","OK")))))))))))))))</f>
        <v/>
      </c>
      <c r="O507" s="58" t="str">
        <f aca="false">IF($B507="","",TEXT($B507,"yyyy-mm"))</f>
        <v/>
      </c>
      <c r="P507" s="60" t="str">
        <f aca="false">IF($E507="","",ROUND(N($I507)+N($J507),2))</f>
        <v/>
      </c>
      <c r="Q507" s="58" t="str">
        <f aca="false">IF($D507="","",IFERROR(INDEX(资金账户!$F$6:$F$25,MATCH($D507,资金账户!$B$6:$B$25,0)),""))</f>
        <v/>
      </c>
      <c r="R507" s="58" t="str">
        <f aca="false">IF($E507="","",IFERROR(IF(INDEX(记账规则!$A$13:$H$32,MATCH($E507,记账规则!$A$13:$A$32,0),4)="借","收","支"),""))</f>
        <v/>
      </c>
      <c r="S507" s="57" t="str">
        <f aca="false">IF($D507="","",ROUND(SUMIFS(资金账户!$H$6:$H$25,资金账户!$B$6:$B$25,$D507)+SUMIFS($I$6:$I507,$D$6:$D507,$D507)-SUMIFS($J$6:$J507,$D$6:$D507,$D507),2))</f>
        <v/>
      </c>
      <c r="T507" s="61" t="str">
        <f aca="false">IF($B507="","",YEAR($B507))</f>
        <v/>
      </c>
    </row>
    <row r="508" customFormat="false" ht="15" hidden="false" customHeight="false" outlineLevel="0" collapsed="false">
      <c r="A508" s="53" t="str">
        <f aca="false">IF($B508="","",ROW()-5)</f>
        <v/>
      </c>
      <c r="B508" s="54"/>
      <c r="C508" s="33"/>
      <c r="D508" s="33"/>
      <c r="E508" s="33"/>
      <c r="F508" s="32"/>
      <c r="G508" s="41"/>
      <c r="H508" s="39"/>
      <c r="I508" s="43"/>
      <c r="J508" s="43"/>
      <c r="K508" s="41"/>
      <c r="L508" s="39"/>
      <c r="M508" s="41"/>
      <c r="N508" s="25" t="str">
        <f aca="false">IF(AND($B508="",$E508="",$I508="",$J508=""),"",IF(NOT(ISNUMBER($B508)),"日期无效",IF(ISNA(MATCH($C508,参数设置!$A$10:$A$12,0)),"公司无效",IF(ISNA(MATCH($D508,资金账户!$B$6:$B$25,0)),"账户未建档",IF(ISNA(MATCH($E508,记账规则!$A$13:$A$32,0)),"业务类型无效",IF(AND(N($I508)&lt;&gt;0,N($J508)&lt;&gt;0),"收入和支出只能填一列",IF($P508=0,"金额为 0",IF(AND($R508="收",N($I508)=0),"这类业务是收款，金额填到收入列",IF(AND($R508="支",N($J508)=0),"这类业务是付款，金额填到支出列",IF(AND(SUMPRODUCT(--(INDEX(记账规则!$A$13:$H$32,MATCH($E508,记账规则!$A$13:$A$32,0),0)="@对方"))&gt;0,$G508=""),"这个类型要填对方科目",IF(AND($G508&lt;&gt;"",ISNA(MATCH($G508,会计科目表!$B$6:$B$85,0))),"对方科目不存在",IF(AND($E508="缴纳税费",$H508=""),"缴税请在费用项目里选税种",IF(AND($F508&lt;&gt;"",ISNA(MATCH($F508,往来单位!$A$6:$A$85,0))),"往来单位未建档",IF(YEAR($B508)&lt;&gt;参数设置!$B$5,"不在本会计年度",IF(AND($B507&lt;&gt;"",ISNUMBER($B507),$B508&lt;$B507),"日期比上一行早，余额按行序滚，建议按日期录","OK")))))))))))))))</f>
        <v/>
      </c>
      <c r="O508" s="58" t="str">
        <f aca="false">IF($B508="","",TEXT($B508,"yyyy-mm"))</f>
        <v/>
      </c>
      <c r="P508" s="60" t="str">
        <f aca="false">IF($E508="","",ROUND(N($I508)+N($J508),2))</f>
        <v/>
      </c>
      <c r="Q508" s="58" t="str">
        <f aca="false">IF($D508="","",IFERROR(INDEX(资金账户!$F$6:$F$25,MATCH($D508,资金账户!$B$6:$B$25,0)),""))</f>
        <v/>
      </c>
      <c r="R508" s="58" t="str">
        <f aca="false">IF($E508="","",IFERROR(IF(INDEX(记账规则!$A$13:$H$32,MATCH($E508,记账规则!$A$13:$A$32,0),4)="借","收","支"),""))</f>
        <v/>
      </c>
      <c r="S508" s="57" t="str">
        <f aca="false">IF($D508="","",ROUND(SUMIFS(资金账户!$H$6:$H$25,资金账户!$B$6:$B$25,$D508)+SUMIFS($I$6:$I508,$D$6:$D508,$D508)-SUMIFS($J$6:$J508,$D$6:$D508,$D508),2))</f>
        <v/>
      </c>
      <c r="T508" s="61" t="str">
        <f aca="false">IF($B508="","",YEAR($B508))</f>
        <v/>
      </c>
    </row>
    <row r="509" customFormat="false" ht="15" hidden="false" customHeight="false" outlineLevel="0" collapsed="false">
      <c r="A509" s="53" t="str">
        <f aca="false">IF($B509="","",ROW()-5)</f>
        <v/>
      </c>
      <c r="B509" s="54"/>
      <c r="C509" s="33"/>
      <c r="D509" s="33"/>
      <c r="E509" s="33"/>
      <c r="F509" s="32"/>
      <c r="G509" s="41"/>
      <c r="H509" s="39"/>
      <c r="I509" s="43"/>
      <c r="J509" s="43"/>
      <c r="K509" s="41"/>
      <c r="L509" s="39"/>
      <c r="M509" s="41"/>
      <c r="N509" s="25" t="str">
        <f aca="false">IF(AND($B509="",$E509="",$I509="",$J509=""),"",IF(NOT(ISNUMBER($B509)),"日期无效",IF(ISNA(MATCH($C509,参数设置!$A$10:$A$12,0)),"公司无效",IF(ISNA(MATCH($D509,资金账户!$B$6:$B$25,0)),"账户未建档",IF(ISNA(MATCH($E509,记账规则!$A$13:$A$32,0)),"业务类型无效",IF(AND(N($I509)&lt;&gt;0,N($J509)&lt;&gt;0),"收入和支出只能填一列",IF($P509=0,"金额为 0",IF(AND($R509="收",N($I509)=0),"这类业务是收款，金额填到收入列",IF(AND($R509="支",N($J509)=0),"这类业务是付款，金额填到支出列",IF(AND(SUMPRODUCT(--(INDEX(记账规则!$A$13:$H$32,MATCH($E509,记账规则!$A$13:$A$32,0),0)="@对方"))&gt;0,$G509=""),"这个类型要填对方科目",IF(AND($G509&lt;&gt;"",ISNA(MATCH($G509,会计科目表!$B$6:$B$85,0))),"对方科目不存在",IF(AND($E509="缴纳税费",$H509=""),"缴税请在费用项目里选税种",IF(AND($F509&lt;&gt;"",ISNA(MATCH($F509,往来单位!$A$6:$A$85,0))),"往来单位未建档",IF(YEAR($B509)&lt;&gt;参数设置!$B$5,"不在本会计年度",IF(AND($B508&lt;&gt;"",ISNUMBER($B508),$B509&lt;$B508),"日期比上一行早，余额按行序滚，建议按日期录","OK")))))))))))))))</f>
        <v/>
      </c>
      <c r="O509" s="58" t="str">
        <f aca="false">IF($B509="","",TEXT($B509,"yyyy-mm"))</f>
        <v/>
      </c>
      <c r="P509" s="60" t="str">
        <f aca="false">IF($E509="","",ROUND(N($I509)+N($J509),2))</f>
        <v/>
      </c>
      <c r="Q509" s="58" t="str">
        <f aca="false">IF($D509="","",IFERROR(INDEX(资金账户!$F$6:$F$25,MATCH($D509,资金账户!$B$6:$B$25,0)),""))</f>
        <v/>
      </c>
      <c r="R509" s="58" t="str">
        <f aca="false">IF($E509="","",IFERROR(IF(INDEX(记账规则!$A$13:$H$32,MATCH($E509,记账规则!$A$13:$A$32,0),4)="借","收","支"),""))</f>
        <v/>
      </c>
      <c r="S509" s="57" t="str">
        <f aca="false">IF($D509="","",ROUND(SUMIFS(资金账户!$H$6:$H$25,资金账户!$B$6:$B$25,$D509)+SUMIFS($I$6:$I509,$D$6:$D509,$D509)-SUMIFS($J$6:$J509,$D$6:$D509,$D509),2))</f>
        <v/>
      </c>
      <c r="T509" s="61" t="str">
        <f aca="false">IF($B509="","",YEAR($B509))</f>
        <v/>
      </c>
    </row>
    <row r="510" customFormat="false" ht="15" hidden="false" customHeight="false" outlineLevel="0" collapsed="false">
      <c r="A510" s="53" t="str">
        <f aca="false">IF($B510="","",ROW()-5)</f>
        <v/>
      </c>
      <c r="B510" s="54"/>
      <c r="C510" s="33"/>
      <c r="D510" s="33"/>
      <c r="E510" s="33"/>
      <c r="F510" s="32"/>
      <c r="G510" s="41"/>
      <c r="H510" s="39"/>
      <c r="I510" s="43"/>
      <c r="J510" s="43"/>
      <c r="K510" s="41"/>
      <c r="L510" s="39"/>
      <c r="M510" s="41"/>
      <c r="N510" s="25" t="str">
        <f aca="false">IF(AND($B510="",$E510="",$I510="",$J510=""),"",IF(NOT(ISNUMBER($B510)),"日期无效",IF(ISNA(MATCH($C510,参数设置!$A$10:$A$12,0)),"公司无效",IF(ISNA(MATCH($D510,资金账户!$B$6:$B$25,0)),"账户未建档",IF(ISNA(MATCH($E510,记账规则!$A$13:$A$32,0)),"业务类型无效",IF(AND(N($I510)&lt;&gt;0,N($J510)&lt;&gt;0),"收入和支出只能填一列",IF($P510=0,"金额为 0",IF(AND($R510="收",N($I510)=0),"这类业务是收款，金额填到收入列",IF(AND($R510="支",N($J510)=0),"这类业务是付款，金额填到支出列",IF(AND(SUMPRODUCT(--(INDEX(记账规则!$A$13:$H$32,MATCH($E510,记账规则!$A$13:$A$32,0),0)="@对方"))&gt;0,$G510=""),"这个类型要填对方科目",IF(AND($G510&lt;&gt;"",ISNA(MATCH($G510,会计科目表!$B$6:$B$85,0))),"对方科目不存在",IF(AND($E510="缴纳税费",$H510=""),"缴税请在费用项目里选税种",IF(AND($F510&lt;&gt;"",ISNA(MATCH($F510,往来单位!$A$6:$A$85,0))),"往来单位未建档",IF(YEAR($B510)&lt;&gt;参数设置!$B$5,"不在本会计年度",IF(AND($B509&lt;&gt;"",ISNUMBER($B509),$B510&lt;$B509),"日期比上一行早，余额按行序滚，建议按日期录","OK")))))))))))))))</f>
        <v/>
      </c>
      <c r="O510" s="58" t="str">
        <f aca="false">IF($B510="","",TEXT($B510,"yyyy-mm"))</f>
        <v/>
      </c>
      <c r="P510" s="60" t="str">
        <f aca="false">IF($E510="","",ROUND(N($I510)+N($J510),2))</f>
        <v/>
      </c>
      <c r="Q510" s="58" t="str">
        <f aca="false">IF($D510="","",IFERROR(INDEX(资金账户!$F$6:$F$25,MATCH($D510,资金账户!$B$6:$B$25,0)),""))</f>
        <v/>
      </c>
      <c r="R510" s="58" t="str">
        <f aca="false">IF($E510="","",IFERROR(IF(INDEX(记账规则!$A$13:$H$32,MATCH($E510,记账规则!$A$13:$A$32,0),4)="借","收","支"),""))</f>
        <v/>
      </c>
      <c r="S510" s="57" t="str">
        <f aca="false">IF($D510="","",ROUND(SUMIFS(资金账户!$H$6:$H$25,资金账户!$B$6:$B$25,$D510)+SUMIFS($I$6:$I510,$D$6:$D510,$D510)-SUMIFS($J$6:$J510,$D$6:$D510,$D510),2))</f>
        <v/>
      </c>
      <c r="T510" s="61" t="str">
        <f aca="false">IF($B510="","",YEAR($B510))</f>
        <v/>
      </c>
    </row>
    <row r="511" customFormat="false" ht="15" hidden="false" customHeight="false" outlineLevel="0" collapsed="false">
      <c r="A511" s="53" t="str">
        <f aca="false">IF($B511="","",ROW()-5)</f>
        <v/>
      </c>
      <c r="B511" s="54"/>
      <c r="C511" s="33"/>
      <c r="D511" s="33"/>
      <c r="E511" s="33"/>
      <c r="F511" s="32"/>
      <c r="G511" s="41"/>
      <c r="H511" s="39"/>
      <c r="I511" s="43"/>
      <c r="J511" s="43"/>
      <c r="K511" s="41"/>
      <c r="L511" s="39"/>
      <c r="M511" s="41"/>
      <c r="N511" s="25" t="str">
        <f aca="false">IF(AND($B511="",$E511="",$I511="",$J511=""),"",IF(NOT(ISNUMBER($B511)),"日期无效",IF(ISNA(MATCH($C511,参数设置!$A$10:$A$12,0)),"公司无效",IF(ISNA(MATCH($D511,资金账户!$B$6:$B$25,0)),"账户未建档",IF(ISNA(MATCH($E511,记账规则!$A$13:$A$32,0)),"业务类型无效",IF(AND(N($I511)&lt;&gt;0,N($J511)&lt;&gt;0),"收入和支出只能填一列",IF($P511=0,"金额为 0",IF(AND($R511="收",N($I511)=0),"这类业务是收款，金额填到收入列",IF(AND($R511="支",N($J511)=0),"这类业务是付款，金额填到支出列",IF(AND(SUMPRODUCT(--(INDEX(记账规则!$A$13:$H$32,MATCH($E511,记账规则!$A$13:$A$32,0),0)="@对方"))&gt;0,$G511=""),"这个类型要填对方科目",IF(AND($G511&lt;&gt;"",ISNA(MATCH($G511,会计科目表!$B$6:$B$85,0))),"对方科目不存在",IF(AND($E511="缴纳税费",$H511=""),"缴税请在费用项目里选税种",IF(AND($F511&lt;&gt;"",ISNA(MATCH($F511,往来单位!$A$6:$A$85,0))),"往来单位未建档",IF(YEAR($B511)&lt;&gt;参数设置!$B$5,"不在本会计年度",IF(AND($B510&lt;&gt;"",ISNUMBER($B510),$B511&lt;$B510),"日期比上一行早，余额按行序滚，建议按日期录","OK")))))))))))))))</f>
        <v/>
      </c>
      <c r="O511" s="58" t="str">
        <f aca="false">IF($B511="","",TEXT($B511,"yyyy-mm"))</f>
        <v/>
      </c>
      <c r="P511" s="60" t="str">
        <f aca="false">IF($E511="","",ROUND(N($I511)+N($J511),2))</f>
        <v/>
      </c>
      <c r="Q511" s="58" t="str">
        <f aca="false">IF($D511="","",IFERROR(INDEX(资金账户!$F$6:$F$25,MATCH($D511,资金账户!$B$6:$B$25,0)),""))</f>
        <v/>
      </c>
      <c r="R511" s="58" t="str">
        <f aca="false">IF($E511="","",IFERROR(IF(INDEX(记账规则!$A$13:$H$32,MATCH($E511,记账规则!$A$13:$A$32,0),4)="借","收","支"),""))</f>
        <v/>
      </c>
      <c r="S511" s="57" t="str">
        <f aca="false">IF($D511="","",ROUND(SUMIFS(资金账户!$H$6:$H$25,资金账户!$B$6:$B$25,$D511)+SUMIFS($I$6:$I511,$D$6:$D511,$D511)-SUMIFS($J$6:$J511,$D$6:$D511,$D511),2))</f>
        <v/>
      </c>
      <c r="T511" s="61" t="str">
        <f aca="false">IF($B511="","",YEAR($B511))</f>
        <v/>
      </c>
    </row>
    <row r="512" customFormat="false" ht="15" hidden="false" customHeight="false" outlineLevel="0" collapsed="false">
      <c r="A512" s="53" t="str">
        <f aca="false">IF($B512="","",ROW()-5)</f>
        <v/>
      </c>
      <c r="B512" s="54"/>
      <c r="C512" s="33"/>
      <c r="D512" s="33"/>
      <c r="E512" s="33"/>
      <c r="F512" s="32"/>
      <c r="G512" s="41"/>
      <c r="H512" s="39"/>
      <c r="I512" s="43"/>
      <c r="J512" s="43"/>
      <c r="K512" s="41"/>
      <c r="L512" s="39"/>
      <c r="M512" s="41"/>
      <c r="N512" s="25" t="str">
        <f aca="false">IF(AND($B512="",$E512="",$I512="",$J512=""),"",IF(NOT(ISNUMBER($B512)),"日期无效",IF(ISNA(MATCH($C512,参数设置!$A$10:$A$12,0)),"公司无效",IF(ISNA(MATCH($D512,资金账户!$B$6:$B$25,0)),"账户未建档",IF(ISNA(MATCH($E512,记账规则!$A$13:$A$32,0)),"业务类型无效",IF(AND(N($I512)&lt;&gt;0,N($J512)&lt;&gt;0),"收入和支出只能填一列",IF($P512=0,"金额为 0",IF(AND($R512="收",N($I512)=0),"这类业务是收款，金额填到收入列",IF(AND($R512="支",N($J512)=0),"这类业务是付款，金额填到支出列",IF(AND(SUMPRODUCT(--(INDEX(记账规则!$A$13:$H$32,MATCH($E512,记账规则!$A$13:$A$32,0),0)="@对方"))&gt;0,$G512=""),"这个类型要填对方科目",IF(AND($G512&lt;&gt;"",ISNA(MATCH($G512,会计科目表!$B$6:$B$85,0))),"对方科目不存在",IF(AND($E512="缴纳税费",$H512=""),"缴税请在费用项目里选税种",IF(AND($F512&lt;&gt;"",ISNA(MATCH($F512,往来单位!$A$6:$A$85,0))),"往来单位未建档",IF(YEAR($B512)&lt;&gt;参数设置!$B$5,"不在本会计年度",IF(AND($B511&lt;&gt;"",ISNUMBER($B511),$B512&lt;$B511),"日期比上一行早，余额按行序滚，建议按日期录","OK")))))))))))))))</f>
        <v/>
      </c>
      <c r="O512" s="58" t="str">
        <f aca="false">IF($B512="","",TEXT($B512,"yyyy-mm"))</f>
        <v/>
      </c>
      <c r="P512" s="60" t="str">
        <f aca="false">IF($E512="","",ROUND(N($I512)+N($J512),2))</f>
        <v/>
      </c>
      <c r="Q512" s="58" t="str">
        <f aca="false">IF($D512="","",IFERROR(INDEX(资金账户!$F$6:$F$25,MATCH($D512,资金账户!$B$6:$B$25,0)),""))</f>
        <v/>
      </c>
      <c r="R512" s="58" t="str">
        <f aca="false">IF($E512="","",IFERROR(IF(INDEX(记账规则!$A$13:$H$32,MATCH($E512,记账规则!$A$13:$A$32,0),4)="借","收","支"),""))</f>
        <v/>
      </c>
      <c r="S512" s="57" t="str">
        <f aca="false">IF($D512="","",ROUND(SUMIFS(资金账户!$H$6:$H$25,资金账户!$B$6:$B$25,$D512)+SUMIFS($I$6:$I512,$D$6:$D512,$D512)-SUMIFS($J$6:$J512,$D$6:$D512,$D512),2))</f>
        <v/>
      </c>
      <c r="T512" s="61" t="str">
        <f aca="false">IF($B512="","",YEAR($B512))</f>
        <v/>
      </c>
    </row>
    <row r="513" customFormat="false" ht="15" hidden="false" customHeight="false" outlineLevel="0" collapsed="false">
      <c r="A513" s="53" t="str">
        <f aca="false">IF($B513="","",ROW()-5)</f>
        <v/>
      </c>
      <c r="B513" s="54"/>
      <c r="C513" s="33"/>
      <c r="D513" s="33"/>
      <c r="E513" s="33"/>
      <c r="F513" s="32"/>
      <c r="G513" s="41"/>
      <c r="H513" s="39"/>
      <c r="I513" s="43"/>
      <c r="J513" s="43"/>
      <c r="K513" s="41"/>
      <c r="L513" s="39"/>
      <c r="M513" s="41"/>
      <c r="N513" s="25" t="str">
        <f aca="false">IF(AND($B513="",$E513="",$I513="",$J513=""),"",IF(NOT(ISNUMBER($B513)),"日期无效",IF(ISNA(MATCH($C513,参数设置!$A$10:$A$12,0)),"公司无效",IF(ISNA(MATCH($D513,资金账户!$B$6:$B$25,0)),"账户未建档",IF(ISNA(MATCH($E513,记账规则!$A$13:$A$32,0)),"业务类型无效",IF(AND(N($I513)&lt;&gt;0,N($J513)&lt;&gt;0),"收入和支出只能填一列",IF($P513=0,"金额为 0",IF(AND($R513="收",N($I513)=0),"这类业务是收款，金额填到收入列",IF(AND($R513="支",N($J513)=0),"这类业务是付款，金额填到支出列",IF(AND(SUMPRODUCT(--(INDEX(记账规则!$A$13:$H$32,MATCH($E513,记账规则!$A$13:$A$32,0),0)="@对方"))&gt;0,$G513=""),"这个类型要填对方科目",IF(AND($G513&lt;&gt;"",ISNA(MATCH($G513,会计科目表!$B$6:$B$85,0))),"对方科目不存在",IF(AND($E513="缴纳税费",$H513=""),"缴税请在费用项目里选税种",IF(AND($F513&lt;&gt;"",ISNA(MATCH($F513,往来单位!$A$6:$A$85,0))),"往来单位未建档",IF(YEAR($B513)&lt;&gt;参数设置!$B$5,"不在本会计年度",IF(AND($B512&lt;&gt;"",ISNUMBER($B512),$B513&lt;$B512),"日期比上一行早，余额按行序滚，建议按日期录","OK")))))))))))))))</f>
        <v/>
      </c>
      <c r="O513" s="58" t="str">
        <f aca="false">IF($B513="","",TEXT($B513,"yyyy-mm"))</f>
        <v/>
      </c>
      <c r="P513" s="60" t="str">
        <f aca="false">IF($E513="","",ROUND(N($I513)+N($J513),2))</f>
        <v/>
      </c>
      <c r="Q513" s="58" t="str">
        <f aca="false">IF($D513="","",IFERROR(INDEX(资金账户!$F$6:$F$25,MATCH($D513,资金账户!$B$6:$B$25,0)),""))</f>
        <v/>
      </c>
      <c r="R513" s="58" t="str">
        <f aca="false">IF($E513="","",IFERROR(IF(INDEX(记账规则!$A$13:$H$32,MATCH($E513,记账规则!$A$13:$A$32,0),4)="借","收","支"),""))</f>
        <v/>
      </c>
      <c r="S513" s="57" t="str">
        <f aca="false">IF($D513="","",ROUND(SUMIFS(资金账户!$H$6:$H$25,资金账户!$B$6:$B$25,$D513)+SUMIFS($I$6:$I513,$D$6:$D513,$D513)-SUMIFS($J$6:$J513,$D$6:$D513,$D513),2))</f>
        <v/>
      </c>
      <c r="T513" s="61" t="str">
        <f aca="false">IF($B513="","",YEAR($B513))</f>
        <v/>
      </c>
    </row>
    <row r="514" customFormat="false" ht="15" hidden="false" customHeight="false" outlineLevel="0" collapsed="false">
      <c r="A514" s="53" t="str">
        <f aca="false">IF($B514="","",ROW()-5)</f>
        <v/>
      </c>
      <c r="B514" s="54"/>
      <c r="C514" s="33"/>
      <c r="D514" s="33"/>
      <c r="E514" s="33"/>
      <c r="F514" s="32"/>
      <c r="G514" s="41"/>
      <c r="H514" s="39"/>
      <c r="I514" s="43"/>
      <c r="J514" s="43"/>
      <c r="K514" s="41"/>
      <c r="L514" s="39"/>
      <c r="M514" s="41"/>
      <c r="N514" s="25" t="str">
        <f aca="false">IF(AND($B514="",$E514="",$I514="",$J514=""),"",IF(NOT(ISNUMBER($B514)),"日期无效",IF(ISNA(MATCH($C514,参数设置!$A$10:$A$12,0)),"公司无效",IF(ISNA(MATCH($D514,资金账户!$B$6:$B$25,0)),"账户未建档",IF(ISNA(MATCH($E514,记账规则!$A$13:$A$32,0)),"业务类型无效",IF(AND(N($I514)&lt;&gt;0,N($J514)&lt;&gt;0),"收入和支出只能填一列",IF($P514=0,"金额为 0",IF(AND($R514="收",N($I514)=0),"这类业务是收款，金额填到收入列",IF(AND($R514="支",N($J514)=0),"这类业务是付款，金额填到支出列",IF(AND(SUMPRODUCT(--(INDEX(记账规则!$A$13:$H$32,MATCH($E514,记账规则!$A$13:$A$32,0),0)="@对方"))&gt;0,$G514=""),"这个类型要填对方科目",IF(AND($G514&lt;&gt;"",ISNA(MATCH($G514,会计科目表!$B$6:$B$85,0))),"对方科目不存在",IF(AND($E514="缴纳税费",$H514=""),"缴税请在费用项目里选税种",IF(AND($F514&lt;&gt;"",ISNA(MATCH($F514,往来单位!$A$6:$A$85,0))),"往来单位未建档",IF(YEAR($B514)&lt;&gt;参数设置!$B$5,"不在本会计年度",IF(AND($B513&lt;&gt;"",ISNUMBER($B513),$B514&lt;$B513),"日期比上一行早，余额按行序滚，建议按日期录","OK")))))))))))))))</f>
        <v/>
      </c>
      <c r="O514" s="58" t="str">
        <f aca="false">IF($B514="","",TEXT($B514,"yyyy-mm"))</f>
        <v/>
      </c>
      <c r="P514" s="60" t="str">
        <f aca="false">IF($E514="","",ROUND(N($I514)+N($J514),2))</f>
        <v/>
      </c>
      <c r="Q514" s="58" t="str">
        <f aca="false">IF($D514="","",IFERROR(INDEX(资金账户!$F$6:$F$25,MATCH($D514,资金账户!$B$6:$B$25,0)),""))</f>
        <v/>
      </c>
      <c r="R514" s="58" t="str">
        <f aca="false">IF($E514="","",IFERROR(IF(INDEX(记账规则!$A$13:$H$32,MATCH($E514,记账规则!$A$13:$A$32,0),4)="借","收","支"),""))</f>
        <v/>
      </c>
      <c r="S514" s="57" t="str">
        <f aca="false">IF($D514="","",ROUND(SUMIFS(资金账户!$H$6:$H$25,资金账户!$B$6:$B$25,$D514)+SUMIFS($I$6:$I514,$D$6:$D514,$D514)-SUMIFS($J$6:$J514,$D$6:$D514,$D514),2))</f>
        <v/>
      </c>
      <c r="T514" s="61" t="str">
        <f aca="false">IF($B514="","",YEAR($B514))</f>
        <v/>
      </c>
    </row>
    <row r="515" customFormat="false" ht="15" hidden="false" customHeight="false" outlineLevel="0" collapsed="false">
      <c r="A515" s="53" t="str">
        <f aca="false">IF($B515="","",ROW()-5)</f>
        <v/>
      </c>
      <c r="B515" s="54"/>
      <c r="C515" s="33"/>
      <c r="D515" s="33"/>
      <c r="E515" s="33"/>
      <c r="F515" s="32"/>
      <c r="G515" s="41"/>
      <c r="H515" s="39"/>
      <c r="I515" s="43"/>
      <c r="J515" s="43"/>
      <c r="K515" s="41"/>
      <c r="L515" s="39"/>
      <c r="M515" s="41"/>
      <c r="N515" s="25" t="str">
        <f aca="false">IF(AND($B515="",$E515="",$I515="",$J515=""),"",IF(NOT(ISNUMBER($B515)),"日期无效",IF(ISNA(MATCH($C515,参数设置!$A$10:$A$12,0)),"公司无效",IF(ISNA(MATCH($D515,资金账户!$B$6:$B$25,0)),"账户未建档",IF(ISNA(MATCH($E515,记账规则!$A$13:$A$32,0)),"业务类型无效",IF(AND(N($I515)&lt;&gt;0,N($J515)&lt;&gt;0),"收入和支出只能填一列",IF($P515=0,"金额为 0",IF(AND($R515="收",N($I515)=0),"这类业务是收款，金额填到收入列",IF(AND($R515="支",N($J515)=0),"这类业务是付款，金额填到支出列",IF(AND(SUMPRODUCT(--(INDEX(记账规则!$A$13:$H$32,MATCH($E515,记账规则!$A$13:$A$32,0),0)="@对方"))&gt;0,$G515=""),"这个类型要填对方科目",IF(AND($G515&lt;&gt;"",ISNA(MATCH($G515,会计科目表!$B$6:$B$85,0))),"对方科目不存在",IF(AND($E515="缴纳税费",$H515=""),"缴税请在费用项目里选税种",IF(AND($F515&lt;&gt;"",ISNA(MATCH($F515,往来单位!$A$6:$A$85,0))),"往来单位未建档",IF(YEAR($B515)&lt;&gt;参数设置!$B$5,"不在本会计年度",IF(AND($B514&lt;&gt;"",ISNUMBER($B514),$B515&lt;$B514),"日期比上一行早，余额按行序滚，建议按日期录","OK")))))))))))))))</f>
        <v/>
      </c>
      <c r="O515" s="58" t="str">
        <f aca="false">IF($B515="","",TEXT($B515,"yyyy-mm"))</f>
        <v/>
      </c>
      <c r="P515" s="60" t="str">
        <f aca="false">IF($E515="","",ROUND(N($I515)+N($J515),2))</f>
        <v/>
      </c>
      <c r="Q515" s="58" t="str">
        <f aca="false">IF($D515="","",IFERROR(INDEX(资金账户!$F$6:$F$25,MATCH($D515,资金账户!$B$6:$B$25,0)),""))</f>
        <v/>
      </c>
      <c r="R515" s="58" t="str">
        <f aca="false">IF($E515="","",IFERROR(IF(INDEX(记账规则!$A$13:$H$32,MATCH($E515,记账规则!$A$13:$A$32,0),4)="借","收","支"),""))</f>
        <v/>
      </c>
      <c r="S515" s="57" t="str">
        <f aca="false">IF($D515="","",ROUND(SUMIFS(资金账户!$H$6:$H$25,资金账户!$B$6:$B$25,$D515)+SUMIFS($I$6:$I515,$D$6:$D515,$D515)-SUMIFS($J$6:$J515,$D$6:$D515,$D515),2))</f>
        <v/>
      </c>
      <c r="T515" s="61" t="str">
        <f aca="false">IF($B515="","",YEAR($B515))</f>
        <v/>
      </c>
    </row>
    <row r="516" customFormat="false" ht="15" hidden="false" customHeight="false" outlineLevel="0" collapsed="false">
      <c r="A516" s="53" t="str">
        <f aca="false">IF($B516="","",ROW()-5)</f>
        <v/>
      </c>
      <c r="B516" s="54"/>
      <c r="C516" s="33"/>
      <c r="D516" s="33"/>
      <c r="E516" s="33"/>
      <c r="F516" s="32"/>
      <c r="G516" s="41"/>
      <c r="H516" s="39"/>
      <c r="I516" s="43"/>
      <c r="J516" s="43"/>
      <c r="K516" s="41"/>
      <c r="L516" s="39"/>
      <c r="M516" s="41"/>
      <c r="N516" s="25" t="str">
        <f aca="false">IF(AND($B516="",$E516="",$I516="",$J516=""),"",IF(NOT(ISNUMBER($B516)),"日期无效",IF(ISNA(MATCH($C516,参数设置!$A$10:$A$12,0)),"公司无效",IF(ISNA(MATCH($D516,资金账户!$B$6:$B$25,0)),"账户未建档",IF(ISNA(MATCH($E516,记账规则!$A$13:$A$32,0)),"业务类型无效",IF(AND(N($I516)&lt;&gt;0,N($J516)&lt;&gt;0),"收入和支出只能填一列",IF($P516=0,"金额为 0",IF(AND($R516="收",N($I516)=0),"这类业务是收款，金额填到收入列",IF(AND($R516="支",N($J516)=0),"这类业务是付款，金额填到支出列",IF(AND(SUMPRODUCT(--(INDEX(记账规则!$A$13:$H$32,MATCH($E516,记账规则!$A$13:$A$32,0),0)="@对方"))&gt;0,$G516=""),"这个类型要填对方科目",IF(AND($G516&lt;&gt;"",ISNA(MATCH($G516,会计科目表!$B$6:$B$85,0))),"对方科目不存在",IF(AND($E516="缴纳税费",$H516=""),"缴税请在费用项目里选税种",IF(AND($F516&lt;&gt;"",ISNA(MATCH($F516,往来单位!$A$6:$A$85,0))),"往来单位未建档",IF(YEAR($B516)&lt;&gt;参数设置!$B$5,"不在本会计年度",IF(AND($B515&lt;&gt;"",ISNUMBER($B515),$B516&lt;$B515),"日期比上一行早，余额按行序滚，建议按日期录","OK")))))))))))))))</f>
        <v/>
      </c>
      <c r="O516" s="58" t="str">
        <f aca="false">IF($B516="","",TEXT($B516,"yyyy-mm"))</f>
        <v/>
      </c>
      <c r="P516" s="60" t="str">
        <f aca="false">IF($E516="","",ROUND(N($I516)+N($J516),2))</f>
        <v/>
      </c>
      <c r="Q516" s="58" t="str">
        <f aca="false">IF($D516="","",IFERROR(INDEX(资金账户!$F$6:$F$25,MATCH($D516,资金账户!$B$6:$B$25,0)),""))</f>
        <v/>
      </c>
      <c r="R516" s="58" t="str">
        <f aca="false">IF($E516="","",IFERROR(IF(INDEX(记账规则!$A$13:$H$32,MATCH($E516,记账规则!$A$13:$A$32,0),4)="借","收","支"),""))</f>
        <v/>
      </c>
      <c r="S516" s="57" t="str">
        <f aca="false">IF($D516="","",ROUND(SUMIFS(资金账户!$H$6:$H$25,资金账户!$B$6:$B$25,$D516)+SUMIFS($I$6:$I516,$D$6:$D516,$D516)-SUMIFS($J$6:$J516,$D$6:$D516,$D516),2))</f>
        <v/>
      </c>
      <c r="T516" s="61" t="str">
        <f aca="false">IF($B516="","",YEAR($B516))</f>
        <v/>
      </c>
    </row>
    <row r="517" customFormat="false" ht="15" hidden="false" customHeight="false" outlineLevel="0" collapsed="false">
      <c r="A517" s="53" t="str">
        <f aca="false">IF($B517="","",ROW()-5)</f>
        <v/>
      </c>
      <c r="B517" s="54"/>
      <c r="C517" s="33"/>
      <c r="D517" s="33"/>
      <c r="E517" s="33"/>
      <c r="F517" s="32"/>
      <c r="G517" s="41"/>
      <c r="H517" s="39"/>
      <c r="I517" s="43"/>
      <c r="J517" s="43"/>
      <c r="K517" s="41"/>
      <c r="L517" s="39"/>
      <c r="M517" s="41"/>
      <c r="N517" s="25" t="str">
        <f aca="false">IF(AND($B517="",$E517="",$I517="",$J517=""),"",IF(NOT(ISNUMBER($B517)),"日期无效",IF(ISNA(MATCH($C517,参数设置!$A$10:$A$12,0)),"公司无效",IF(ISNA(MATCH($D517,资金账户!$B$6:$B$25,0)),"账户未建档",IF(ISNA(MATCH($E517,记账规则!$A$13:$A$32,0)),"业务类型无效",IF(AND(N($I517)&lt;&gt;0,N($J517)&lt;&gt;0),"收入和支出只能填一列",IF($P517=0,"金额为 0",IF(AND($R517="收",N($I517)=0),"这类业务是收款，金额填到收入列",IF(AND($R517="支",N($J517)=0),"这类业务是付款，金额填到支出列",IF(AND(SUMPRODUCT(--(INDEX(记账规则!$A$13:$H$32,MATCH($E517,记账规则!$A$13:$A$32,0),0)="@对方"))&gt;0,$G517=""),"这个类型要填对方科目",IF(AND($G517&lt;&gt;"",ISNA(MATCH($G517,会计科目表!$B$6:$B$85,0))),"对方科目不存在",IF(AND($E517="缴纳税费",$H517=""),"缴税请在费用项目里选税种",IF(AND($F517&lt;&gt;"",ISNA(MATCH($F517,往来单位!$A$6:$A$85,0))),"往来单位未建档",IF(YEAR($B517)&lt;&gt;参数设置!$B$5,"不在本会计年度",IF(AND($B516&lt;&gt;"",ISNUMBER($B516),$B517&lt;$B516),"日期比上一行早，余额按行序滚，建议按日期录","OK")))))))))))))))</f>
        <v/>
      </c>
      <c r="O517" s="58" t="str">
        <f aca="false">IF($B517="","",TEXT($B517,"yyyy-mm"))</f>
        <v/>
      </c>
      <c r="P517" s="60" t="str">
        <f aca="false">IF($E517="","",ROUND(N($I517)+N($J517),2))</f>
        <v/>
      </c>
      <c r="Q517" s="58" t="str">
        <f aca="false">IF($D517="","",IFERROR(INDEX(资金账户!$F$6:$F$25,MATCH($D517,资金账户!$B$6:$B$25,0)),""))</f>
        <v/>
      </c>
      <c r="R517" s="58" t="str">
        <f aca="false">IF($E517="","",IFERROR(IF(INDEX(记账规则!$A$13:$H$32,MATCH($E517,记账规则!$A$13:$A$32,0),4)="借","收","支"),""))</f>
        <v/>
      </c>
      <c r="S517" s="57" t="str">
        <f aca="false">IF($D517="","",ROUND(SUMIFS(资金账户!$H$6:$H$25,资金账户!$B$6:$B$25,$D517)+SUMIFS($I$6:$I517,$D$6:$D517,$D517)-SUMIFS($J$6:$J517,$D$6:$D517,$D517),2))</f>
        <v/>
      </c>
      <c r="T517" s="61" t="str">
        <f aca="false">IF($B517="","",YEAR($B517))</f>
        <v/>
      </c>
    </row>
    <row r="518" customFormat="false" ht="15" hidden="false" customHeight="false" outlineLevel="0" collapsed="false">
      <c r="A518" s="53" t="str">
        <f aca="false">IF($B518="","",ROW()-5)</f>
        <v/>
      </c>
      <c r="B518" s="54"/>
      <c r="C518" s="33"/>
      <c r="D518" s="33"/>
      <c r="E518" s="33"/>
      <c r="F518" s="32"/>
      <c r="G518" s="41"/>
      <c r="H518" s="39"/>
      <c r="I518" s="43"/>
      <c r="J518" s="43"/>
      <c r="K518" s="41"/>
      <c r="L518" s="39"/>
      <c r="M518" s="41"/>
      <c r="N518" s="25" t="str">
        <f aca="false">IF(AND($B518="",$E518="",$I518="",$J518=""),"",IF(NOT(ISNUMBER($B518)),"日期无效",IF(ISNA(MATCH($C518,参数设置!$A$10:$A$12,0)),"公司无效",IF(ISNA(MATCH($D518,资金账户!$B$6:$B$25,0)),"账户未建档",IF(ISNA(MATCH($E518,记账规则!$A$13:$A$32,0)),"业务类型无效",IF(AND(N($I518)&lt;&gt;0,N($J518)&lt;&gt;0),"收入和支出只能填一列",IF($P518=0,"金额为 0",IF(AND($R518="收",N($I518)=0),"这类业务是收款，金额填到收入列",IF(AND($R518="支",N($J518)=0),"这类业务是付款，金额填到支出列",IF(AND(SUMPRODUCT(--(INDEX(记账规则!$A$13:$H$32,MATCH($E518,记账规则!$A$13:$A$32,0),0)="@对方"))&gt;0,$G518=""),"这个类型要填对方科目",IF(AND($G518&lt;&gt;"",ISNA(MATCH($G518,会计科目表!$B$6:$B$85,0))),"对方科目不存在",IF(AND($E518="缴纳税费",$H518=""),"缴税请在费用项目里选税种",IF(AND($F518&lt;&gt;"",ISNA(MATCH($F518,往来单位!$A$6:$A$85,0))),"往来单位未建档",IF(YEAR($B518)&lt;&gt;参数设置!$B$5,"不在本会计年度",IF(AND($B517&lt;&gt;"",ISNUMBER($B517),$B518&lt;$B517),"日期比上一行早，余额按行序滚，建议按日期录","OK")))))))))))))))</f>
        <v/>
      </c>
      <c r="O518" s="58" t="str">
        <f aca="false">IF($B518="","",TEXT($B518,"yyyy-mm"))</f>
        <v/>
      </c>
      <c r="P518" s="60" t="str">
        <f aca="false">IF($E518="","",ROUND(N($I518)+N($J518),2))</f>
        <v/>
      </c>
      <c r="Q518" s="58" t="str">
        <f aca="false">IF($D518="","",IFERROR(INDEX(资金账户!$F$6:$F$25,MATCH($D518,资金账户!$B$6:$B$25,0)),""))</f>
        <v/>
      </c>
      <c r="R518" s="58" t="str">
        <f aca="false">IF($E518="","",IFERROR(IF(INDEX(记账规则!$A$13:$H$32,MATCH($E518,记账规则!$A$13:$A$32,0),4)="借","收","支"),""))</f>
        <v/>
      </c>
      <c r="S518" s="57" t="str">
        <f aca="false">IF($D518="","",ROUND(SUMIFS(资金账户!$H$6:$H$25,资金账户!$B$6:$B$25,$D518)+SUMIFS($I$6:$I518,$D$6:$D518,$D518)-SUMIFS($J$6:$J518,$D$6:$D518,$D518),2))</f>
        <v/>
      </c>
      <c r="T518" s="61" t="str">
        <f aca="false">IF($B518="","",YEAR($B518))</f>
        <v/>
      </c>
    </row>
    <row r="519" customFormat="false" ht="15" hidden="false" customHeight="false" outlineLevel="0" collapsed="false">
      <c r="A519" s="53" t="str">
        <f aca="false">IF($B519="","",ROW()-5)</f>
        <v/>
      </c>
      <c r="B519" s="54"/>
      <c r="C519" s="33"/>
      <c r="D519" s="33"/>
      <c r="E519" s="33"/>
      <c r="F519" s="32"/>
      <c r="G519" s="41"/>
      <c r="H519" s="39"/>
      <c r="I519" s="43"/>
      <c r="J519" s="43"/>
      <c r="K519" s="41"/>
      <c r="L519" s="39"/>
      <c r="M519" s="41"/>
      <c r="N519" s="25" t="str">
        <f aca="false">IF(AND($B519="",$E519="",$I519="",$J519=""),"",IF(NOT(ISNUMBER($B519)),"日期无效",IF(ISNA(MATCH($C519,参数设置!$A$10:$A$12,0)),"公司无效",IF(ISNA(MATCH($D519,资金账户!$B$6:$B$25,0)),"账户未建档",IF(ISNA(MATCH($E519,记账规则!$A$13:$A$32,0)),"业务类型无效",IF(AND(N($I519)&lt;&gt;0,N($J519)&lt;&gt;0),"收入和支出只能填一列",IF($P519=0,"金额为 0",IF(AND($R519="收",N($I519)=0),"这类业务是收款，金额填到收入列",IF(AND($R519="支",N($J519)=0),"这类业务是付款，金额填到支出列",IF(AND(SUMPRODUCT(--(INDEX(记账规则!$A$13:$H$32,MATCH($E519,记账规则!$A$13:$A$32,0),0)="@对方"))&gt;0,$G519=""),"这个类型要填对方科目",IF(AND($G519&lt;&gt;"",ISNA(MATCH($G519,会计科目表!$B$6:$B$85,0))),"对方科目不存在",IF(AND($E519="缴纳税费",$H519=""),"缴税请在费用项目里选税种",IF(AND($F519&lt;&gt;"",ISNA(MATCH($F519,往来单位!$A$6:$A$85,0))),"往来单位未建档",IF(YEAR($B519)&lt;&gt;参数设置!$B$5,"不在本会计年度",IF(AND($B518&lt;&gt;"",ISNUMBER($B518),$B519&lt;$B518),"日期比上一行早，余额按行序滚，建议按日期录","OK")))))))))))))))</f>
        <v/>
      </c>
      <c r="O519" s="58" t="str">
        <f aca="false">IF($B519="","",TEXT($B519,"yyyy-mm"))</f>
        <v/>
      </c>
      <c r="P519" s="60" t="str">
        <f aca="false">IF($E519="","",ROUND(N($I519)+N($J519),2))</f>
        <v/>
      </c>
      <c r="Q519" s="58" t="str">
        <f aca="false">IF($D519="","",IFERROR(INDEX(资金账户!$F$6:$F$25,MATCH($D519,资金账户!$B$6:$B$25,0)),""))</f>
        <v/>
      </c>
      <c r="R519" s="58" t="str">
        <f aca="false">IF($E519="","",IFERROR(IF(INDEX(记账规则!$A$13:$H$32,MATCH($E519,记账规则!$A$13:$A$32,0),4)="借","收","支"),""))</f>
        <v/>
      </c>
      <c r="S519" s="57" t="str">
        <f aca="false">IF($D519="","",ROUND(SUMIFS(资金账户!$H$6:$H$25,资金账户!$B$6:$B$25,$D519)+SUMIFS($I$6:$I519,$D$6:$D519,$D519)-SUMIFS($J$6:$J519,$D$6:$D519,$D519),2))</f>
        <v/>
      </c>
      <c r="T519" s="61" t="str">
        <f aca="false">IF($B519="","",YEAR($B519))</f>
        <v/>
      </c>
    </row>
    <row r="520" customFormat="false" ht="15" hidden="false" customHeight="false" outlineLevel="0" collapsed="false">
      <c r="A520" s="53" t="str">
        <f aca="false">IF($B520="","",ROW()-5)</f>
        <v/>
      </c>
      <c r="B520" s="54"/>
      <c r="C520" s="33"/>
      <c r="D520" s="33"/>
      <c r="E520" s="33"/>
      <c r="F520" s="32"/>
      <c r="G520" s="41"/>
      <c r="H520" s="39"/>
      <c r="I520" s="43"/>
      <c r="J520" s="43"/>
      <c r="K520" s="41"/>
      <c r="L520" s="39"/>
      <c r="M520" s="41"/>
      <c r="N520" s="25" t="str">
        <f aca="false">IF(AND($B520="",$E520="",$I520="",$J520=""),"",IF(NOT(ISNUMBER($B520)),"日期无效",IF(ISNA(MATCH($C520,参数设置!$A$10:$A$12,0)),"公司无效",IF(ISNA(MATCH($D520,资金账户!$B$6:$B$25,0)),"账户未建档",IF(ISNA(MATCH($E520,记账规则!$A$13:$A$32,0)),"业务类型无效",IF(AND(N($I520)&lt;&gt;0,N($J520)&lt;&gt;0),"收入和支出只能填一列",IF($P520=0,"金额为 0",IF(AND($R520="收",N($I520)=0),"这类业务是收款，金额填到收入列",IF(AND($R520="支",N($J520)=0),"这类业务是付款，金额填到支出列",IF(AND(SUMPRODUCT(--(INDEX(记账规则!$A$13:$H$32,MATCH($E520,记账规则!$A$13:$A$32,0),0)="@对方"))&gt;0,$G520=""),"这个类型要填对方科目",IF(AND($G520&lt;&gt;"",ISNA(MATCH($G520,会计科目表!$B$6:$B$85,0))),"对方科目不存在",IF(AND($E520="缴纳税费",$H520=""),"缴税请在费用项目里选税种",IF(AND($F520&lt;&gt;"",ISNA(MATCH($F520,往来单位!$A$6:$A$85,0))),"往来单位未建档",IF(YEAR($B520)&lt;&gt;参数设置!$B$5,"不在本会计年度",IF(AND($B519&lt;&gt;"",ISNUMBER($B519),$B520&lt;$B519),"日期比上一行早，余额按行序滚，建议按日期录","OK")))))))))))))))</f>
        <v/>
      </c>
      <c r="O520" s="58" t="str">
        <f aca="false">IF($B520="","",TEXT($B520,"yyyy-mm"))</f>
        <v/>
      </c>
      <c r="P520" s="60" t="str">
        <f aca="false">IF($E520="","",ROUND(N($I520)+N($J520),2))</f>
        <v/>
      </c>
      <c r="Q520" s="58" t="str">
        <f aca="false">IF($D520="","",IFERROR(INDEX(资金账户!$F$6:$F$25,MATCH($D520,资金账户!$B$6:$B$25,0)),""))</f>
        <v/>
      </c>
      <c r="R520" s="58" t="str">
        <f aca="false">IF($E520="","",IFERROR(IF(INDEX(记账规则!$A$13:$H$32,MATCH($E520,记账规则!$A$13:$A$32,0),4)="借","收","支"),""))</f>
        <v/>
      </c>
      <c r="S520" s="57" t="str">
        <f aca="false">IF($D520="","",ROUND(SUMIFS(资金账户!$H$6:$H$25,资金账户!$B$6:$B$25,$D520)+SUMIFS($I$6:$I520,$D$6:$D520,$D520)-SUMIFS($J$6:$J520,$D$6:$D520,$D520),2))</f>
        <v/>
      </c>
      <c r="T520" s="61" t="str">
        <f aca="false">IF($B520="","",YEAR($B520))</f>
        <v/>
      </c>
    </row>
    <row r="521" customFormat="false" ht="15" hidden="false" customHeight="false" outlineLevel="0" collapsed="false">
      <c r="A521" s="53" t="str">
        <f aca="false">IF($B521="","",ROW()-5)</f>
        <v/>
      </c>
      <c r="B521" s="54"/>
      <c r="C521" s="33"/>
      <c r="D521" s="33"/>
      <c r="E521" s="33"/>
      <c r="F521" s="32"/>
      <c r="G521" s="41"/>
      <c r="H521" s="39"/>
      <c r="I521" s="43"/>
      <c r="J521" s="43"/>
      <c r="K521" s="41"/>
      <c r="L521" s="39"/>
      <c r="M521" s="41"/>
      <c r="N521" s="25" t="str">
        <f aca="false">IF(AND($B521="",$E521="",$I521="",$J521=""),"",IF(NOT(ISNUMBER($B521)),"日期无效",IF(ISNA(MATCH($C521,参数设置!$A$10:$A$12,0)),"公司无效",IF(ISNA(MATCH($D521,资金账户!$B$6:$B$25,0)),"账户未建档",IF(ISNA(MATCH($E521,记账规则!$A$13:$A$32,0)),"业务类型无效",IF(AND(N($I521)&lt;&gt;0,N($J521)&lt;&gt;0),"收入和支出只能填一列",IF($P521=0,"金额为 0",IF(AND($R521="收",N($I521)=0),"这类业务是收款，金额填到收入列",IF(AND($R521="支",N($J521)=0),"这类业务是付款，金额填到支出列",IF(AND(SUMPRODUCT(--(INDEX(记账规则!$A$13:$H$32,MATCH($E521,记账规则!$A$13:$A$32,0),0)="@对方"))&gt;0,$G521=""),"这个类型要填对方科目",IF(AND($G521&lt;&gt;"",ISNA(MATCH($G521,会计科目表!$B$6:$B$85,0))),"对方科目不存在",IF(AND($E521="缴纳税费",$H521=""),"缴税请在费用项目里选税种",IF(AND($F521&lt;&gt;"",ISNA(MATCH($F521,往来单位!$A$6:$A$85,0))),"往来单位未建档",IF(YEAR($B521)&lt;&gt;参数设置!$B$5,"不在本会计年度",IF(AND($B520&lt;&gt;"",ISNUMBER($B520),$B521&lt;$B520),"日期比上一行早，余额按行序滚，建议按日期录","OK")))))))))))))))</f>
        <v/>
      </c>
      <c r="O521" s="58" t="str">
        <f aca="false">IF($B521="","",TEXT($B521,"yyyy-mm"))</f>
        <v/>
      </c>
      <c r="P521" s="60" t="str">
        <f aca="false">IF($E521="","",ROUND(N($I521)+N($J521),2))</f>
        <v/>
      </c>
      <c r="Q521" s="58" t="str">
        <f aca="false">IF($D521="","",IFERROR(INDEX(资金账户!$F$6:$F$25,MATCH($D521,资金账户!$B$6:$B$25,0)),""))</f>
        <v/>
      </c>
      <c r="R521" s="58" t="str">
        <f aca="false">IF($E521="","",IFERROR(IF(INDEX(记账规则!$A$13:$H$32,MATCH($E521,记账规则!$A$13:$A$32,0),4)="借","收","支"),""))</f>
        <v/>
      </c>
      <c r="S521" s="57" t="str">
        <f aca="false">IF($D521="","",ROUND(SUMIFS(资金账户!$H$6:$H$25,资金账户!$B$6:$B$25,$D521)+SUMIFS($I$6:$I521,$D$6:$D521,$D521)-SUMIFS($J$6:$J521,$D$6:$D521,$D521),2))</f>
        <v/>
      </c>
      <c r="T521" s="61" t="str">
        <f aca="false">IF($B521="","",YEAR($B521))</f>
        <v/>
      </c>
    </row>
    <row r="522" customFormat="false" ht="15" hidden="false" customHeight="false" outlineLevel="0" collapsed="false">
      <c r="A522" s="53" t="str">
        <f aca="false">IF($B522="","",ROW()-5)</f>
        <v/>
      </c>
      <c r="B522" s="54"/>
      <c r="C522" s="33"/>
      <c r="D522" s="33"/>
      <c r="E522" s="33"/>
      <c r="F522" s="32"/>
      <c r="G522" s="41"/>
      <c r="H522" s="39"/>
      <c r="I522" s="43"/>
      <c r="J522" s="43"/>
      <c r="K522" s="41"/>
      <c r="L522" s="39"/>
      <c r="M522" s="41"/>
      <c r="N522" s="25" t="str">
        <f aca="false">IF(AND($B522="",$E522="",$I522="",$J522=""),"",IF(NOT(ISNUMBER($B522)),"日期无效",IF(ISNA(MATCH($C522,参数设置!$A$10:$A$12,0)),"公司无效",IF(ISNA(MATCH($D522,资金账户!$B$6:$B$25,0)),"账户未建档",IF(ISNA(MATCH($E522,记账规则!$A$13:$A$32,0)),"业务类型无效",IF(AND(N($I522)&lt;&gt;0,N($J522)&lt;&gt;0),"收入和支出只能填一列",IF($P522=0,"金额为 0",IF(AND($R522="收",N($I522)=0),"这类业务是收款，金额填到收入列",IF(AND($R522="支",N($J522)=0),"这类业务是付款，金额填到支出列",IF(AND(SUMPRODUCT(--(INDEX(记账规则!$A$13:$H$32,MATCH($E522,记账规则!$A$13:$A$32,0),0)="@对方"))&gt;0,$G522=""),"这个类型要填对方科目",IF(AND($G522&lt;&gt;"",ISNA(MATCH($G522,会计科目表!$B$6:$B$85,0))),"对方科目不存在",IF(AND($E522="缴纳税费",$H522=""),"缴税请在费用项目里选税种",IF(AND($F522&lt;&gt;"",ISNA(MATCH($F522,往来单位!$A$6:$A$85,0))),"往来单位未建档",IF(YEAR($B522)&lt;&gt;参数设置!$B$5,"不在本会计年度",IF(AND($B521&lt;&gt;"",ISNUMBER($B521),$B522&lt;$B521),"日期比上一行早，余额按行序滚，建议按日期录","OK")))))))))))))))</f>
        <v/>
      </c>
      <c r="O522" s="58" t="str">
        <f aca="false">IF($B522="","",TEXT($B522,"yyyy-mm"))</f>
        <v/>
      </c>
      <c r="P522" s="60" t="str">
        <f aca="false">IF($E522="","",ROUND(N($I522)+N($J522),2))</f>
        <v/>
      </c>
      <c r="Q522" s="58" t="str">
        <f aca="false">IF($D522="","",IFERROR(INDEX(资金账户!$F$6:$F$25,MATCH($D522,资金账户!$B$6:$B$25,0)),""))</f>
        <v/>
      </c>
      <c r="R522" s="58" t="str">
        <f aca="false">IF($E522="","",IFERROR(IF(INDEX(记账规则!$A$13:$H$32,MATCH($E522,记账规则!$A$13:$A$32,0),4)="借","收","支"),""))</f>
        <v/>
      </c>
      <c r="S522" s="57" t="str">
        <f aca="false">IF($D522="","",ROUND(SUMIFS(资金账户!$H$6:$H$25,资金账户!$B$6:$B$25,$D522)+SUMIFS($I$6:$I522,$D$6:$D522,$D522)-SUMIFS($J$6:$J522,$D$6:$D522,$D522),2))</f>
        <v/>
      </c>
      <c r="T522" s="61" t="str">
        <f aca="false">IF($B522="","",YEAR($B522))</f>
        <v/>
      </c>
    </row>
    <row r="523" customFormat="false" ht="15" hidden="false" customHeight="false" outlineLevel="0" collapsed="false">
      <c r="A523" s="53" t="str">
        <f aca="false">IF($B523="","",ROW()-5)</f>
        <v/>
      </c>
      <c r="B523" s="54"/>
      <c r="C523" s="33"/>
      <c r="D523" s="33"/>
      <c r="E523" s="33"/>
      <c r="F523" s="32"/>
      <c r="G523" s="41"/>
      <c r="H523" s="39"/>
      <c r="I523" s="43"/>
      <c r="J523" s="43"/>
      <c r="K523" s="41"/>
      <c r="L523" s="39"/>
      <c r="M523" s="41"/>
      <c r="N523" s="25" t="str">
        <f aca="false">IF(AND($B523="",$E523="",$I523="",$J523=""),"",IF(NOT(ISNUMBER($B523)),"日期无效",IF(ISNA(MATCH($C523,参数设置!$A$10:$A$12,0)),"公司无效",IF(ISNA(MATCH($D523,资金账户!$B$6:$B$25,0)),"账户未建档",IF(ISNA(MATCH($E523,记账规则!$A$13:$A$32,0)),"业务类型无效",IF(AND(N($I523)&lt;&gt;0,N($J523)&lt;&gt;0),"收入和支出只能填一列",IF($P523=0,"金额为 0",IF(AND($R523="收",N($I523)=0),"这类业务是收款，金额填到收入列",IF(AND($R523="支",N($J523)=0),"这类业务是付款，金额填到支出列",IF(AND(SUMPRODUCT(--(INDEX(记账规则!$A$13:$H$32,MATCH($E523,记账规则!$A$13:$A$32,0),0)="@对方"))&gt;0,$G523=""),"这个类型要填对方科目",IF(AND($G523&lt;&gt;"",ISNA(MATCH($G523,会计科目表!$B$6:$B$85,0))),"对方科目不存在",IF(AND($E523="缴纳税费",$H523=""),"缴税请在费用项目里选税种",IF(AND($F523&lt;&gt;"",ISNA(MATCH($F523,往来单位!$A$6:$A$85,0))),"往来单位未建档",IF(YEAR($B523)&lt;&gt;参数设置!$B$5,"不在本会计年度",IF(AND($B522&lt;&gt;"",ISNUMBER($B522),$B523&lt;$B522),"日期比上一行早，余额按行序滚，建议按日期录","OK")))))))))))))))</f>
        <v/>
      </c>
      <c r="O523" s="58" t="str">
        <f aca="false">IF($B523="","",TEXT($B523,"yyyy-mm"))</f>
        <v/>
      </c>
      <c r="P523" s="60" t="str">
        <f aca="false">IF($E523="","",ROUND(N($I523)+N($J523),2))</f>
        <v/>
      </c>
      <c r="Q523" s="58" t="str">
        <f aca="false">IF($D523="","",IFERROR(INDEX(资金账户!$F$6:$F$25,MATCH($D523,资金账户!$B$6:$B$25,0)),""))</f>
        <v/>
      </c>
      <c r="R523" s="58" t="str">
        <f aca="false">IF($E523="","",IFERROR(IF(INDEX(记账规则!$A$13:$H$32,MATCH($E523,记账规则!$A$13:$A$32,0),4)="借","收","支"),""))</f>
        <v/>
      </c>
      <c r="S523" s="57" t="str">
        <f aca="false">IF($D523="","",ROUND(SUMIFS(资金账户!$H$6:$H$25,资金账户!$B$6:$B$25,$D523)+SUMIFS($I$6:$I523,$D$6:$D523,$D523)-SUMIFS($J$6:$J523,$D$6:$D523,$D523),2))</f>
        <v/>
      </c>
      <c r="T523" s="61" t="str">
        <f aca="false">IF($B523="","",YEAR($B523))</f>
        <v/>
      </c>
    </row>
    <row r="524" customFormat="false" ht="15" hidden="false" customHeight="false" outlineLevel="0" collapsed="false">
      <c r="A524" s="53" t="str">
        <f aca="false">IF($B524="","",ROW()-5)</f>
        <v/>
      </c>
      <c r="B524" s="54"/>
      <c r="C524" s="33"/>
      <c r="D524" s="33"/>
      <c r="E524" s="33"/>
      <c r="F524" s="32"/>
      <c r="G524" s="41"/>
      <c r="H524" s="39"/>
      <c r="I524" s="43"/>
      <c r="J524" s="43"/>
      <c r="K524" s="41"/>
      <c r="L524" s="39"/>
      <c r="M524" s="41"/>
      <c r="N524" s="25" t="str">
        <f aca="false">IF(AND($B524="",$E524="",$I524="",$J524=""),"",IF(NOT(ISNUMBER($B524)),"日期无效",IF(ISNA(MATCH($C524,参数设置!$A$10:$A$12,0)),"公司无效",IF(ISNA(MATCH($D524,资金账户!$B$6:$B$25,0)),"账户未建档",IF(ISNA(MATCH($E524,记账规则!$A$13:$A$32,0)),"业务类型无效",IF(AND(N($I524)&lt;&gt;0,N($J524)&lt;&gt;0),"收入和支出只能填一列",IF($P524=0,"金额为 0",IF(AND($R524="收",N($I524)=0),"这类业务是收款，金额填到收入列",IF(AND($R524="支",N($J524)=0),"这类业务是付款，金额填到支出列",IF(AND(SUMPRODUCT(--(INDEX(记账规则!$A$13:$H$32,MATCH($E524,记账规则!$A$13:$A$32,0),0)="@对方"))&gt;0,$G524=""),"这个类型要填对方科目",IF(AND($G524&lt;&gt;"",ISNA(MATCH($G524,会计科目表!$B$6:$B$85,0))),"对方科目不存在",IF(AND($E524="缴纳税费",$H524=""),"缴税请在费用项目里选税种",IF(AND($F524&lt;&gt;"",ISNA(MATCH($F524,往来单位!$A$6:$A$85,0))),"往来单位未建档",IF(YEAR($B524)&lt;&gt;参数设置!$B$5,"不在本会计年度",IF(AND($B523&lt;&gt;"",ISNUMBER($B523),$B524&lt;$B523),"日期比上一行早，余额按行序滚，建议按日期录","OK")))))))))))))))</f>
        <v/>
      </c>
      <c r="O524" s="58" t="str">
        <f aca="false">IF($B524="","",TEXT($B524,"yyyy-mm"))</f>
        <v/>
      </c>
      <c r="P524" s="60" t="str">
        <f aca="false">IF($E524="","",ROUND(N($I524)+N($J524),2))</f>
        <v/>
      </c>
      <c r="Q524" s="58" t="str">
        <f aca="false">IF($D524="","",IFERROR(INDEX(资金账户!$F$6:$F$25,MATCH($D524,资金账户!$B$6:$B$25,0)),""))</f>
        <v/>
      </c>
      <c r="R524" s="58" t="str">
        <f aca="false">IF($E524="","",IFERROR(IF(INDEX(记账规则!$A$13:$H$32,MATCH($E524,记账规则!$A$13:$A$32,0),4)="借","收","支"),""))</f>
        <v/>
      </c>
      <c r="S524" s="57" t="str">
        <f aca="false">IF($D524="","",ROUND(SUMIFS(资金账户!$H$6:$H$25,资金账户!$B$6:$B$25,$D524)+SUMIFS($I$6:$I524,$D$6:$D524,$D524)-SUMIFS($J$6:$J524,$D$6:$D524,$D524),2))</f>
        <v/>
      </c>
      <c r="T524" s="61" t="str">
        <f aca="false">IF($B524="","",YEAR($B524))</f>
        <v/>
      </c>
    </row>
    <row r="525" customFormat="false" ht="15" hidden="false" customHeight="false" outlineLevel="0" collapsed="false">
      <c r="A525" s="53" t="str">
        <f aca="false">IF($B525="","",ROW()-5)</f>
        <v/>
      </c>
      <c r="B525" s="54"/>
      <c r="C525" s="33"/>
      <c r="D525" s="33"/>
      <c r="E525" s="33"/>
      <c r="F525" s="32"/>
      <c r="G525" s="41"/>
      <c r="H525" s="39"/>
      <c r="I525" s="43"/>
      <c r="J525" s="43"/>
      <c r="K525" s="41"/>
      <c r="L525" s="39"/>
      <c r="M525" s="41"/>
      <c r="N525" s="25" t="str">
        <f aca="false">IF(AND($B525="",$E525="",$I525="",$J525=""),"",IF(NOT(ISNUMBER($B525)),"日期无效",IF(ISNA(MATCH($C525,参数设置!$A$10:$A$12,0)),"公司无效",IF(ISNA(MATCH($D525,资金账户!$B$6:$B$25,0)),"账户未建档",IF(ISNA(MATCH($E525,记账规则!$A$13:$A$32,0)),"业务类型无效",IF(AND(N($I525)&lt;&gt;0,N($J525)&lt;&gt;0),"收入和支出只能填一列",IF($P525=0,"金额为 0",IF(AND($R525="收",N($I525)=0),"这类业务是收款，金额填到收入列",IF(AND($R525="支",N($J525)=0),"这类业务是付款，金额填到支出列",IF(AND(SUMPRODUCT(--(INDEX(记账规则!$A$13:$H$32,MATCH($E525,记账规则!$A$13:$A$32,0),0)="@对方"))&gt;0,$G525=""),"这个类型要填对方科目",IF(AND($G525&lt;&gt;"",ISNA(MATCH($G525,会计科目表!$B$6:$B$85,0))),"对方科目不存在",IF(AND($E525="缴纳税费",$H525=""),"缴税请在费用项目里选税种",IF(AND($F525&lt;&gt;"",ISNA(MATCH($F525,往来单位!$A$6:$A$85,0))),"往来单位未建档",IF(YEAR($B525)&lt;&gt;参数设置!$B$5,"不在本会计年度",IF(AND($B524&lt;&gt;"",ISNUMBER($B524),$B525&lt;$B524),"日期比上一行早，余额按行序滚，建议按日期录","OK")))))))))))))))</f>
        <v/>
      </c>
      <c r="O525" s="58" t="str">
        <f aca="false">IF($B525="","",TEXT($B525,"yyyy-mm"))</f>
        <v/>
      </c>
      <c r="P525" s="60" t="str">
        <f aca="false">IF($E525="","",ROUND(N($I525)+N($J525),2))</f>
        <v/>
      </c>
      <c r="Q525" s="58" t="str">
        <f aca="false">IF($D525="","",IFERROR(INDEX(资金账户!$F$6:$F$25,MATCH($D525,资金账户!$B$6:$B$25,0)),""))</f>
        <v/>
      </c>
      <c r="R525" s="58" t="str">
        <f aca="false">IF($E525="","",IFERROR(IF(INDEX(记账规则!$A$13:$H$32,MATCH($E525,记账规则!$A$13:$A$32,0),4)="借","收","支"),""))</f>
        <v/>
      </c>
      <c r="S525" s="57" t="str">
        <f aca="false">IF($D525="","",ROUND(SUMIFS(资金账户!$H$6:$H$25,资金账户!$B$6:$B$25,$D525)+SUMIFS($I$6:$I525,$D$6:$D525,$D525)-SUMIFS($J$6:$J525,$D$6:$D525,$D525),2))</f>
        <v/>
      </c>
      <c r="T525" s="61" t="str">
        <f aca="false">IF($B525="","",YEAR($B525))</f>
        <v/>
      </c>
    </row>
    <row r="526" customFormat="false" ht="15" hidden="false" customHeight="false" outlineLevel="0" collapsed="false">
      <c r="A526" s="53" t="str">
        <f aca="false">IF($B526="","",ROW()-5)</f>
        <v/>
      </c>
      <c r="B526" s="54"/>
      <c r="C526" s="33"/>
      <c r="D526" s="33"/>
      <c r="E526" s="33"/>
      <c r="F526" s="32"/>
      <c r="G526" s="41"/>
      <c r="H526" s="39"/>
      <c r="I526" s="43"/>
      <c r="J526" s="43"/>
      <c r="K526" s="41"/>
      <c r="L526" s="39"/>
      <c r="M526" s="41"/>
      <c r="N526" s="25" t="str">
        <f aca="false">IF(AND($B526="",$E526="",$I526="",$J526=""),"",IF(NOT(ISNUMBER($B526)),"日期无效",IF(ISNA(MATCH($C526,参数设置!$A$10:$A$12,0)),"公司无效",IF(ISNA(MATCH($D526,资金账户!$B$6:$B$25,0)),"账户未建档",IF(ISNA(MATCH($E526,记账规则!$A$13:$A$32,0)),"业务类型无效",IF(AND(N($I526)&lt;&gt;0,N($J526)&lt;&gt;0),"收入和支出只能填一列",IF($P526=0,"金额为 0",IF(AND($R526="收",N($I526)=0),"这类业务是收款，金额填到收入列",IF(AND($R526="支",N($J526)=0),"这类业务是付款，金额填到支出列",IF(AND(SUMPRODUCT(--(INDEX(记账规则!$A$13:$H$32,MATCH($E526,记账规则!$A$13:$A$32,0),0)="@对方"))&gt;0,$G526=""),"这个类型要填对方科目",IF(AND($G526&lt;&gt;"",ISNA(MATCH($G526,会计科目表!$B$6:$B$85,0))),"对方科目不存在",IF(AND($E526="缴纳税费",$H526=""),"缴税请在费用项目里选税种",IF(AND($F526&lt;&gt;"",ISNA(MATCH($F526,往来单位!$A$6:$A$85,0))),"往来单位未建档",IF(YEAR($B526)&lt;&gt;参数设置!$B$5,"不在本会计年度",IF(AND($B525&lt;&gt;"",ISNUMBER($B525),$B526&lt;$B525),"日期比上一行早，余额按行序滚，建议按日期录","OK")))))))))))))))</f>
        <v/>
      </c>
      <c r="O526" s="58" t="str">
        <f aca="false">IF($B526="","",TEXT($B526,"yyyy-mm"))</f>
        <v/>
      </c>
      <c r="P526" s="60" t="str">
        <f aca="false">IF($E526="","",ROUND(N($I526)+N($J526),2))</f>
        <v/>
      </c>
      <c r="Q526" s="58" t="str">
        <f aca="false">IF($D526="","",IFERROR(INDEX(资金账户!$F$6:$F$25,MATCH($D526,资金账户!$B$6:$B$25,0)),""))</f>
        <v/>
      </c>
      <c r="R526" s="58" t="str">
        <f aca="false">IF($E526="","",IFERROR(IF(INDEX(记账规则!$A$13:$H$32,MATCH($E526,记账规则!$A$13:$A$32,0),4)="借","收","支"),""))</f>
        <v/>
      </c>
      <c r="S526" s="57" t="str">
        <f aca="false">IF($D526="","",ROUND(SUMIFS(资金账户!$H$6:$H$25,资金账户!$B$6:$B$25,$D526)+SUMIFS($I$6:$I526,$D$6:$D526,$D526)-SUMIFS($J$6:$J526,$D$6:$D526,$D526),2))</f>
        <v/>
      </c>
      <c r="T526" s="61" t="str">
        <f aca="false">IF($B526="","",YEAR($B526))</f>
        <v/>
      </c>
    </row>
    <row r="527" customFormat="false" ht="15" hidden="false" customHeight="false" outlineLevel="0" collapsed="false">
      <c r="A527" s="53" t="str">
        <f aca="false">IF($B527="","",ROW()-5)</f>
        <v/>
      </c>
      <c r="B527" s="54"/>
      <c r="C527" s="33"/>
      <c r="D527" s="33"/>
      <c r="E527" s="33"/>
      <c r="F527" s="32"/>
      <c r="G527" s="41"/>
      <c r="H527" s="39"/>
      <c r="I527" s="43"/>
      <c r="J527" s="43"/>
      <c r="K527" s="41"/>
      <c r="L527" s="39"/>
      <c r="M527" s="41"/>
      <c r="N527" s="25" t="str">
        <f aca="false">IF(AND($B527="",$E527="",$I527="",$J527=""),"",IF(NOT(ISNUMBER($B527)),"日期无效",IF(ISNA(MATCH($C527,参数设置!$A$10:$A$12,0)),"公司无效",IF(ISNA(MATCH($D527,资金账户!$B$6:$B$25,0)),"账户未建档",IF(ISNA(MATCH($E527,记账规则!$A$13:$A$32,0)),"业务类型无效",IF(AND(N($I527)&lt;&gt;0,N($J527)&lt;&gt;0),"收入和支出只能填一列",IF($P527=0,"金额为 0",IF(AND($R527="收",N($I527)=0),"这类业务是收款，金额填到收入列",IF(AND($R527="支",N($J527)=0),"这类业务是付款，金额填到支出列",IF(AND(SUMPRODUCT(--(INDEX(记账规则!$A$13:$H$32,MATCH($E527,记账规则!$A$13:$A$32,0),0)="@对方"))&gt;0,$G527=""),"这个类型要填对方科目",IF(AND($G527&lt;&gt;"",ISNA(MATCH($G527,会计科目表!$B$6:$B$85,0))),"对方科目不存在",IF(AND($E527="缴纳税费",$H527=""),"缴税请在费用项目里选税种",IF(AND($F527&lt;&gt;"",ISNA(MATCH($F527,往来单位!$A$6:$A$85,0))),"往来单位未建档",IF(YEAR($B527)&lt;&gt;参数设置!$B$5,"不在本会计年度",IF(AND($B526&lt;&gt;"",ISNUMBER($B526),$B527&lt;$B526),"日期比上一行早，余额按行序滚，建议按日期录","OK")))))))))))))))</f>
        <v/>
      </c>
      <c r="O527" s="58" t="str">
        <f aca="false">IF($B527="","",TEXT($B527,"yyyy-mm"))</f>
        <v/>
      </c>
      <c r="P527" s="60" t="str">
        <f aca="false">IF($E527="","",ROUND(N($I527)+N($J527),2))</f>
        <v/>
      </c>
      <c r="Q527" s="58" t="str">
        <f aca="false">IF($D527="","",IFERROR(INDEX(资金账户!$F$6:$F$25,MATCH($D527,资金账户!$B$6:$B$25,0)),""))</f>
        <v/>
      </c>
      <c r="R527" s="58" t="str">
        <f aca="false">IF($E527="","",IFERROR(IF(INDEX(记账规则!$A$13:$H$32,MATCH($E527,记账规则!$A$13:$A$32,0),4)="借","收","支"),""))</f>
        <v/>
      </c>
      <c r="S527" s="57" t="str">
        <f aca="false">IF($D527="","",ROUND(SUMIFS(资金账户!$H$6:$H$25,资金账户!$B$6:$B$25,$D527)+SUMIFS($I$6:$I527,$D$6:$D527,$D527)-SUMIFS($J$6:$J527,$D$6:$D527,$D527),2))</f>
        <v/>
      </c>
      <c r="T527" s="61" t="str">
        <f aca="false">IF($B527="","",YEAR($B527))</f>
        <v/>
      </c>
    </row>
    <row r="528" customFormat="false" ht="15" hidden="false" customHeight="false" outlineLevel="0" collapsed="false">
      <c r="A528" s="53" t="str">
        <f aca="false">IF($B528="","",ROW()-5)</f>
        <v/>
      </c>
      <c r="B528" s="54"/>
      <c r="C528" s="33"/>
      <c r="D528" s="33"/>
      <c r="E528" s="33"/>
      <c r="F528" s="32"/>
      <c r="G528" s="41"/>
      <c r="H528" s="39"/>
      <c r="I528" s="43"/>
      <c r="J528" s="43"/>
      <c r="K528" s="41"/>
      <c r="L528" s="39"/>
      <c r="M528" s="41"/>
      <c r="N528" s="25" t="str">
        <f aca="false">IF(AND($B528="",$E528="",$I528="",$J528=""),"",IF(NOT(ISNUMBER($B528)),"日期无效",IF(ISNA(MATCH($C528,参数设置!$A$10:$A$12,0)),"公司无效",IF(ISNA(MATCH($D528,资金账户!$B$6:$B$25,0)),"账户未建档",IF(ISNA(MATCH($E528,记账规则!$A$13:$A$32,0)),"业务类型无效",IF(AND(N($I528)&lt;&gt;0,N($J528)&lt;&gt;0),"收入和支出只能填一列",IF($P528=0,"金额为 0",IF(AND($R528="收",N($I528)=0),"这类业务是收款，金额填到收入列",IF(AND($R528="支",N($J528)=0),"这类业务是付款，金额填到支出列",IF(AND(SUMPRODUCT(--(INDEX(记账规则!$A$13:$H$32,MATCH($E528,记账规则!$A$13:$A$32,0),0)="@对方"))&gt;0,$G528=""),"这个类型要填对方科目",IF(AND($G528&lt;&gt;"",ISNA(MATCH($G528,会计科目表!$B$6:$B$85,0))),"对方科目不存在",IF(AND($E528="缴纳税费",$H528=""),"缴税请在费用项目里选税种",IF(AND($F528&lt;&gt;"",ISNA(MATCH($F528,往来单位!$A$6:$A$85,0))),"往来单位未建档",IF(YEAR($B528)&lt;&gt;参数设置!$B$5,"不在本会计年度",IF(AND($B527&lt;&gt;"",ISNUMBER($B527),$B528&lt;$B527),"日期比上一行早，余额按行序滚，建议按日期录","OK")))))))))))))))</f>
        <v/>
      </c>
      <c r="O528" s="58" t="str">
        <f aca="false">IF($B528="","",TEXT($B528,"yyyy-mm"))</f>
        <v/>
      </c>
      <c r="P528" s="60" t="str">
        <f aca="false">IF($E528="","",ROUND(N($I528)+N($J528),2))</f>
        <v/>
      </c>
      <c r="Q528" s="58" t="str">
        <f aca="false">IF($D528="","",IFERROR(INDEX(资金账户!$F$6:$F$25,MATCH($D528,资金账户!$B$6:$B$25,0)),""))</f>
        <v/>
      </c>
      <c r="R528" s="58" t="str">
        <f aca="false">IF($E528="","",IFERROR(IF(INDEX(记账规则!$A$13:$H$32,MATCH($E528,记账规则!$A$13:$A$32,0),4)="借","收","支"),""))</f>
        <v/>
      </c>
      <c r="S528" s="57" t="str">
        <f aca="false">IF($D528="","",ROUND(SUMIFS(资金账户!$H$6:$H$25,资金账户!$B$6:$B$25,$D528)+SUMIFS($I$6:$I528,$D$6:$D528,$D528)-SUMIFS($J$6:$J528,$D$6:$D528,$D528),2))</f>
        <v/>
      </c>
      <c r="T528" s="61" t="str">
        <f aca="false">IF($B528="","",YEAR($B528))</f>
        <v/>
      </c>
    </row>
    <row r="529" customFormat="false" ht="15" hidden="false" customHeight="false" outlineLevel="0" collapsed="false">
      <c r="A529" s="53" t="str">
        <f aca="false">IF($B529="","",ROW()-5)</f>
        <v/>
      </c>
      <c r="B529" s="54"/>
      <c r="C529" s="33"/>
      <c r="D529" s="33"/>
      <c r="E529" s="33"/>
      <c r="F529" s="32"/>
      <c r="G529" s="41"/>
      <c r="H529" s="39"/>
      <c r="I529" s="43"/>
      <c r="J529" s="43"/>
      <c r="K529" s="41"/>
      <c r="L529" s="39"/>
      <c r="M529" s="41"/>
      <c r="N529" s="25" t="str">
        <f aca="false">IF(AND($B529="",$E529="",$I529="",$J529=""),"",IF(NOT(ISNUMBER($B529)),"日期无效",IF(ISNA(MATCH($C529,参数设置!$A$10:$A$12,0)),"公司无效",IF(ISNA(MATCH($D529,资金账户!$B$6:$B$25,0)),"账户未建档",IF(ISNA(MATCH($E529,记账规则!$A$13:$A$32,0)),"业务类型无效",IF(AND(N($I529)&lt;&gt;0,N($J529)&lt;&gt;0),"收入和支出只能填一列",IF($P529=0,"金额为 0",IF(AND($R529="收",N($I529)=0),"这类业务是收款，金额填到收入列",IF(AND($R529="支",N($J529)=0),"这类业务是付款，金额填到支出列",IF(AND(SUMPRODUCT(--(INDEX(记账规则!$A$13:$H$32,MATCH($E529,记账规则!$A$13:$A$32,0),0)="@对方"))&gt;0,$G529=""),"这个类型要填对方科目",IF(AND($G529&lt;&gt;"",ISNA(MATCH($G529,会计科目表!$B$6:$B$85,0))),"对方科目不存在",IF(AND($E529="缴纳税费",$H529=""),"缴税请在费用项目里选税种",IF(AND($F529&lt;&gt;"",ISNA(MATCH($F529,往来单位!$A$6:$A$85,0))),"往来单位未建档",IF(YEAR($B529)&lt;&gt;参数设置!$B$5,"不在本会计年度",IF(AND($B528&lt;&gt;"",ISNUMBER($B528),$B529&lt;$B528),"日期比上一行早，余额按行序滚，建议按日期录","OK")))))))))))))))</f>
        <v/>
      </c>
      <c r="O529" s="58" t="str">
        <f aca="false">IF($B529="","",TEXT($B529,"yyyy-mm"))</f>
        <v/>
      </c>
      <c r="P529" s="60" t="str">
        <f aca="false">IF($E529="","",ROUND(N($I529)+N($J529),2))</f>
        <v/>
      </c>
      <c r="Q529" s="58" t="str">
        <f aca="false">IF($D529="","",IFERROR(INDEX(资金账户!$F$6:$F$25,MATCH($D529,资金账户!$B$6:$B$25,0)),""))</f>
        <v/>
      </c>
      <c r="R529" s="58" t="str">
        <f aca="false">IF($E529="","",IFERROR(IF(INDEX(记账规则!$A$13:$H$32,MATCH($E529,记账规则!$A$13:$A$32,0),4)="借","收","支"),""))</f>
        <v/>
      </c>
      <c r="S529" s="57" t="str">
        <f aca="false">IF($D529="","",ROUND(SUMIFS(资金账户!$H$6:$H$25,资金账户!$B$6:$B$25,$D529)+SUMIFS($I$6:$I529,$D$6:$D529,$D529)-SUMIFS($J$6:$J529,$D$6:$D529,$D529),2))</f>
        <v/>
      </c>
      <c r="T529" s="61" t="str">
        <f aca="false">IF($B529="","",YEAR($B529))</f>
        <v/>
      </c>
    </row>
    <row r="530" customFormat="false" ht="15" hidden="false" customHeight="false" outlineLevel="0" collapsed="false">
      <c r="A530" s="53" t="str">
        <f aca="false">IF($B530="","",ROW()-5)</f>
        <v/>
      </c>
      <c r="B530" s="54"/>
      <c r="C530" s="33"/>
      <c r="D530" s="33"/>
      <c r="E530" s="33"/>
      <c r="F530" s="32"/>
      <c r="G530" s="41"/>
      <c r="H530" s="39"/>
      <c r="I530" s="43"/>
      <c r="J530" s="43"/>
      <c r="K530" s="41"/>
      <c r="L530" s="39"/>
      <c r="M530" s="41"/>
      <c r="N530" s="25" t="str">
        <f aca="false">IF(AND($B530="",$E530="",$I530="",$J530=""),"",IF(NOT(ISNUMBER($B530)),"日期无效",IF(ISNA(MATCH($C530,参数设置!$A$10:$A$12,0)),"公司无效",IF(ISNA(MATCH($D530,资金账户!$B$6:$B$25,0)),"账户未建档",IF(ISNA(MATCH($E530,记账规则!$A$13:$A$32,0)),"业务类型无效",IF(AND(N($I530)&lt;&gt;0,N($J530)&lt;&gt;0),"收入和支出只能填一列",IF($P530=0,"金额为 0",IF(AND($R530="收",N($I530)=0),"这类业务是收款，金额填到收入列",IF(AND($R530="支",N($J530)=0),"这类业务是付款，金额填到支出列",IF(AND(SUMPRODUCT(--(INDEX(记账规则!$A$13:$H$32,MATCH($E530,记账规则!$A$13:$A$32,0),0)="@对方"))&gt;0,$G530=""),"这个类型要填对方科目",IF(AND($G530&lt;&gt;"",ISNA(MATCH($G530,会计科目表!$B$6:$B$85,0))),"对方科目不存在",IF(AND($E530="缴纳税费",$H530=""),"缴税请在费用项目里选税种",IF(AND($F530&lt;&gt;"",ISNA(MATCH($F530,往来单位!$A$6:$A$85,0))),"往来单位未建档",IF(YEAR($B530)&lt;&gt;参数设置!$B$5,"不在本会计年度",IF(AND($B529&lt;&gt;"",ISNUMBER($B529),$B530&lt;$B529),"日期比上一行早，余额按行序滚，建议按日期录","OK")))))))))))))))</f>
        <v/>
      </c>
      <c r="O530" s="58" t="str">
        <f aca="false">IF($B530="","",TEXT($B530,"yyyy-mm"))</f>
        <v/>
      </c>
      <c r="P530" s="60" t="str">
        <f aca="false">IF($E530="","",ROUND(N($I530)+N($J530),2))</f>
        <v/>
      </c>
      <c r="Q530" s="58" t="str">
        <f aca="false">IF($D530="","",IFERROR(INDEX(资金账户!$F$6:$F$25,MATCH($D530,资金账户!$B$6:$B$25,0)),""))</f>
        <v/>
      </c>
      <c r="R530" s="58" t="str">
        <f aca="false">IF($E530="","",IFERROR(IF(INDEX(记账规则!$A$13:$H$32,MATCH($E530,记账规则!$A$13:$A$32,0),4)="借","收","支"),""))</f>
        <v/>
      </c>
      <c r="S530" s="57" t="str">
        <f aca="false">IF($D530="","",ROUND(SUMIFS(资金账户!$H$6:$H$25,资金账户!$B$6:$B$25,$D530)+SUMIFS($I$6:$I530,$D$6:$D530,$D530)-SUMIFS($J$6:$J530,$D$6:$D530,$D530),2))</f>
        <v/>
      </c>
      <c r="T530" s="61" t="str">
        <f aca="false">IF($B530="","",YEAR($B530))</f>
        <v/>
      </c>
    </row>
    <row r="531" customFormat="false" ht="15" hidden="false" customHeight="false" outlineLevel="0" collapsed="false">
      <c r="A531" s="53" t="str">
        <f aca="false">IF($B531="","",ROW()-5)</f>
        <v/>
      </c>
      <c r="B531" s="54"/>
      <c r="C531" s="33"/>
      <c r="D531" s="33"/>
      <c r="E531" s="33"/>
      <c r="F531" s="32"/>
      <c r="G531" s="41"/>
      <c r="H531" s="39"/>
      <c r="I531" s="43"/>
      <c r="J531" s="43"/>
      <c r="K531" s="41"/>
      <c r="L531" s="39"/>
      <c r="M531" s="41"/>
      <c r="N531" s="25" t="str">
        <f aca="false">IF(AND($B531="",$E531="",$I531="",$J531=""),"",IF(NOT(ISNUMBER($B531)),"日期无效",IF(ISNA(MATCH($C531,参数设置!$A$10:$A$12,0)),"公司无效",IF(ISNA(MATCH($D531,资金账户!$B$6:$B$25,0)),"账户未建档",IF(ISNA(MATCH($E531,记账规则!$A$13:$A$32,0)),"业务类型无效",IF(AND(N($I531)&lt;&gt;0,N($J531)&lt;&gt;0),"收入和支出只能填一列",IF($P531=0,"金额为 0",IF(AND($R531="收",N($I531)=0),"这类业务是收款，金额填到收入列",IF(AND($R531="支",N($J531)=0),"这类业务是付款，金额填到支出列",IF(AND(SUMPRODUCT(--(INDEX(记账规则!$A$13:$H$32,MATCH($E531,记账规则!$A$13:$A$32,0),0)="@对方"))&gt;0,$G531=""),"这个类型要填对方科目",IF(AND($G531&lt;&gt;"",ISNA(MATCH($G531,会计科目表!$B$6:$B$85,0))),"对方科目不存在",IF(AND($E531="缴纳税费",$H531=""),"缴税请在费用项目里选税种",IF(AND($F531&lt;&gt;"",ISNA(MATCH($F531,往来单位!$A$6:$A$85,0))),"往来单位未建档",IF(YEAR($B531)&lt;&gt;参数设置!$B$5,"不在本会计年度",IF(AND($B530&lt;&gt;"",ISNUMBER($B530),$B531&lt;$B530),"日期比上一行早，余额按行序滚，建议按日期录","OK")))))))))))))))</f>
        <v/>
      </c>
      <c r="O531" s="58" t="str">
        <f aca="false">IF($B531="","",TEXT($B531,"yyyy-mm"))</f>
        <v/>
      </c>
      <c r="P531" s="60" t="str">
        <f aca="false">IF($E531="","",ROUND(N($I531)+N($J531),2))</f>
        <v/>
      </c>
      <c r="Q531" s="58" t="str">
        <f aca="false">IF($D531="","",IFERROR(INDEX(资金账户!$F$6:$F$25,MATCH($D531,资金账户!$B$6:$B$25,0)),""))</f>
        <v/>
      </c>
      <c r="R531" s="58" t="str">
        <f aca="false">IF($E531="","",IFERROR(IF(INDEX(记账规则!$A$13:$H$32,MATCH($E531,记账规则!$A$13:$A$32,0),4)="借","收","支"),""))</f>
        <v/>
      </c>
      <c r="S531" s="57" t="str">
        <f aca="false">IF($D531="","",ROUND(SUMIFS(资金账户!$H$6:$H$25,资金账户!$B$6:$B$25,$D531)+SUMIFS($I$6:$I531,$D$6:$D531,$D531)-SUMIFS($J$6:$J531,$D$6:$D531,$D531),2))</f>
        <v/>
      </c>
      <c r="T531" s="61" t="str">
        <f aca="false">IF($B531="","",YEAR($B531))</f>
        <v/>
      </c>
    </row>
    <row r="532" customFormat="false" ht="15" hidden="false" customHeight="false" outlineLevel="0" collapsed="false">
      <c r="A532" s="53" t="str">
        <f aca="false">IF($B532="","",ROW()-5)</f>
        <v/>
      </c>
      <c r="B532" s="54"/>
      <c r="C532" s="33"/>
      <c r="D532" s="33"/>
      <c r="E532" s="33"/>
      <c r="F532" s="32"/>
      <c r="G532" s="41"/>
      <c r="H532" s="39"/>
      <c r="I532" s="43"/>
      <c r="J532" s="43"/>
      <c r="K532" s="41"/>
      <c r="L532" s="39"/>
      <c r="M532" s="41"/>
      <c r="N532" s="25" t="str">
        <f aca="false">IF(AND($B532="",$E532="",$I532="",$J532=""),"",IF(NOT(ISNUMBER($B532)),"日期无效",IF(ISNA(MATCH($C532,参数设置!$A$10:$A$12,0)),"公司无效",IF(ISNA(MATCH($D532,资金账户!$B$6:$B$25,0)),"账户未建档",IF(ISNA(MATCH($E532,记账规则!$A$13:$A$32,0)),"业务类型无效",IF(AND(N($I532)&lt;&gt;0,N($J532)&lt;&gt;0),"收入和支出只能填一列",IF($P532=0,"金额为 0",IF(AND($R532="收",N($I532)=0),"这类业务是收款，金额填到收入列",IF(AND($R532="支",N($J532)=0),"这类业务是付款，金额填到支出列",IF(AND(SUMPRODUCT(--(INDEX(记账规则!$A$13:$H$32,MATCH($E532,记账规则!$A$13:$A$32,0),0)="@对方"))&gt;0,$G532=""),"这个类型要填对方科目",IF(AND($G532&lt;&gt;"",ISNA(MATCH($G532,会计科目表!$B$6:$B$85,0))),"对方科目不存在",IF(AND($E532="缴纳税费",$H532=""),"缴税请在费用项目里选税种",IF(AND($F532&lt;&gt;"",ISNA(MATCH($F532,往来单位!$A$6:$A$85,0))),"往来单位未建档",IF(YEAR($B532)&lt;&gt;参数设置!$B$5,"不在本会计年度",IF(AND($B531&lt;&gt;"",ISNUMBER($B531),$B532&lt;$B531),"日期比上一行早，余额按行序滚，建议按日期录","OK")))))))))))))))</f>
        <v/>
      </c>
      <c r="O532" s="58" t="str">
        <f aca="false">IF($B532="","",TEXT($B532,"yyyy-mm"))</f>
        <v/>
      </c>
      <c r="P532" s="60" t="str">
        <f aca="false">IF($E532="","",ROUND(N($I532)+N($J532),2))</f>
        <v/>
      </c>
      <c r="Q532" s="58" t="str">
        <f aca="false">IF($D532="","",IFERROR(INDEX(资金账户!$F$6:$F$25,MATCH($D532,资金账户!$B$6:$B$25,0)),""))</f>
        <v/>
      </c>
      <c r="R532" s="58" t="str">
        <f aca="false">IF($E532="","",IFERROR(IF(INDEX(记账规则!$A$13:$H$32,MATCH($E532,记账规则!$A$13:$A$32,0),4)="借","收","支"),""))</f>
        <v/>
      </c>
      <c r="S532" s="57" t="str">
        <f aca="false">IF($D532="","",ROUND(SUMIFS(资金账户!$H$6:$H$25,资金账户!$B$6:$B$25,$D532)+SUMIFS($I$6:$I532,$D$6:$D532,$D532)-SUMIFS($J$6:$J532,$D$6:$D532,$D532),2))</f>
        <v/>
      </c>
      <c r="T532" s="61" t="str">
        <f aca="false">IF($B532="","",YEAR($B532))</f>
        <v/>
      </c>
    </row>
    <row r="533" customFormat="false" ht="15" hidden="false" customHeight="false" outlineLevel="0" collapsed="false">
      <c r="A533" s="53" t="str">
        <f aca="false">IF($B533="","",ROW()-5)</f>
        <v/>
      </c>
      <c r="B533" s="54"/>
      <c r="C533" s="33"/>
      <c r="D533" s="33"/>
      <c r="E533" s="33"/>
      <c r="F533" s="32"/>
      <c r="G533" s="41"/>
      <c r="H533" s="39"/>
      <c r="I533" s="43"/>
      <c r="J533" s="43"/>
      <c r="K533" s="41"/>
      <c r="L533" s="39"/>
      <c r="M533" s="41"/>
      <c r="N533" s="25" t="str">
        <f aca="false">IF(AND($B533="",$E533="",$I533="",$J533=""),"",IF(NOT(ISNUMBER($B533)),"日期无效",IF(ISNA(MATCH($C533,参数设置!$A$10:$A$12,0)),"公司无效",IF(ISNA(MATCH($D533,资金账户!$B$6:$B$25,0)),"账户未建档",IF(ISNA(MATCH($E533,记账规则!$A$13:$A$32,0)),"业务类型无效",IF(AND(N($I533)&lt;&gt;0,N($J533)&lt;&gt;0),"收入和支出只能填一列",IF($P533=0,"金额为 0",IF(AND($R533="收",N($I533)=0),"这类业务是收款，金额填到收入列",IF(AND($R533="支",N($J533)=0),"这类业务是付款，金额填到支出列",IF(AND(SUMPRODUCT(--(INDEX(记账规则!$A$13:$H$32,MATCH($E533,记账规则!$A$13:$A$32,0),0)="@对方"))&gt;0,$G533=""),"这个类型要填对方科目",IF(AND($G533&lt;&gt;"",ISNA(MATCH($G533,会计科目表!$B$6:$B$85,0))),"对方科目不存在",IF(AND($E533="缴纳税费",$H533=""),"缴税请在费用项目里选税种",IF(AND($F533&lt;&gt;"",ISNA(MATCH($F533,往来单位!$A$6:$A$85,0))),"往来单位未建档",IF(YEAR($B533)&lt;&gt;参数设置!$B$5,"不在本会计年度",IF(AND($B532&lt;&gt;"",ISNUMBER($B532),$B533&lt;$B532),"日期比上一行早，余额按行序滚，建议按日期录","OK")))))))))))))))</f>
        <v/>
      </c>
      <c r="O533" s="58" t="str">
        <f aca="false">IF($B533="","",TEXT($B533,"yyyy-mm"))</f>
        <v/>
      </c>
      <c r="P533" s="60" t="str">
        <f aca="false">IF($E533="","",ROUND(N($I533)+N($J533),2))</f>
        <v/>
      </c>
      <c r="Q533" s="58" t="str">
        <f aca="false">IF($D533="","",IFERROR(INDEX(资金账户!$F$6:$F$25,MATCH($D533,资金账户!$B$6:$B$25,0)),""))</f>
        <v/>
      </c>
      <c r="R533" s="58" t="str">
        <f aca="false">IF($E533="","",IFERROR(IF(INDEX(记账规则!$A$13:$H$32,MATCH($E533,记账规则!$A$13:$A$32,0),4)="借","收","支"),""))</f>
        <v/>
      </c>
      <c r="S533" s="57" t="str">
        <f aca="false">IF($D533="","",ROUND(SUMIFS(资金账户!$H$6:$H$25,资金账户!$B$6:$B$25,$D533)+SUMIFS($I$6:$I533,$D$6:$D533,$D533)-SUMIFS($J$6:$J533,$D$6:$D533,$D533),2))</f>
        <v/>
      </c>
      <c r="T533" s="61" t="str">
        <f aca="false">IF($B533="","",YEAR($B533))</f>
        <v/>
      </c>
    </row>
    <row r="534" customFormat="false" ht="15" hidden="false" customHeight="false" outlineLevel="0" collapsed="false">
      <c r="A534" s="53" t="str">
        <f aca="false">IF($B534="","",ROW()-5)</f>
        <v/>
      </c>
      <c r="B534" s="54"/>
      <c r="C534" s="33"/>
      <c r="D534" s="33"/>
      <c r="E534" s="33"/>
      <c r="F534" s="32"/>
      <c r="G534" s="41"/>
      <c r="H534" s="39"/>
      <c r="I534" s="43"/>
      <c r="J534" s="43"/>
      <c r="K534" s="41"/>
      <c r="L534" s="39"/>
      <c r="M534" s="41"/>
      <c r="N534" s="25" t="str">
        <f aca="false">IF(AND($B534="",$E534="",$I534="",$J534=""),"",IF(NOT(ISNUMBER($B534)),"日期无效",IF(ISNA(MATCH($C534,参数设置!$A$10:$A$12,0)),"公司无效",IF(ISNA(MATCH($D534,资金账户!$B$6:$B$25,0)),"账户未建档",IF(ISNA(MATCH($E534,记账规则!$A$13:$A$32,0)),"业务类型无效",IF(AND(N($I534)&lt;&gt;0,N($J534)&lt;&gt;0),"收入和支出只能填一列",IF($P534=0,"金额为 0",IF(AND($R534="收",N($I534)=0),"这类业务是收款，金额填到收入列",IF(AND($R534="支",N($J534)=0),"这类业务是付款，金额填到支出列",IF(AND(SUMPRODUCT(--(INDEX(记账规则!$A$13:$H$32,MATCH($E534,记账规则!$A$13:$A$32,0),0)="@对方"))&gt;0,$G534=""),"这个类型要填对方科目",IF(AND($G534&lt;&gt;"",ISNA(MATCH($G534,会计科目表!$B$6:$B$85,0))),"对方科目不存在",IF(AND($E534="缴纳税费",$H534=""),"缴税请在费用项目里选税种",IF(AND($F534&lt;&gt;"",ISNA(MATCH($F534,往来单位!$A$6:$A$85,0))),"往来单位未建档",IF(YEAR($B534)&lt;&gt;参数设置!$B$5,"不在本会计年度",IF(AND($B533&lt;&gt;"",ISNUMBER($B533),$B534&lt;$B533),"日期比上一行早，余额按行序滚，建议按日期录","OK")))))))))))))))</f>
        <v/>
      </c>
      <c r="O534" s="58" t="str">
        <f aca="false">IF($B534="","",TEXT($B534,"yyyy-mm"))</f>
        <v/>
      </c>
      <c r="P534" s="60" t="str">
        <f aca="false">IF($E534="","",ROUND(N($I534)+N($J534),2))</f>
        <v/>
      </c>
      <c r="Q534" s="58" t="str">
        <f aca="false">IF($D534="","",IFERROR(INDEX(资金账户!$F$6:$F$25,MATCH($D534,资金账户!$B$6:$B$25,0)),""))</f>
        <v/>
      </c>
      <c r="R534" s="58" t="str">
        <f aca="false">IF($E534="","",IFERROR(IF(INDEX(记账规则!$A$13:$H$32,MATCH($E534,记账规则!$A$13:$A$32,0),4)="借","收","支"),""))</f>
        <v/>
      </c>
      <c r="S534" s="57" t="str">
        <f aca="false">IF($D534="","",ROUND(SUMIFS(资金账户!$H$6:$H$25,资金账户!$B$6:$B$25,$D534)+SUMIFS($I$6:$I534,$D$6:$D534,$D534)-SUMIFS($J$6:$J534,$D$6:$D534,$D534),2))</f>
        <v/>
      </c>
      <c r="T534" s="61" t="str">
        <f aca="false">IF($B534="","",YEAR($B534))</f>
        <v/>
      </c>
    </row>
    <row r="535" customFormat="false" ht="15" hidden="false" customHeight="false" outlineLevel="0" collapsed="false">
      <c r="A535" s="53" t="str">
        <f aca="false">IF($B535="","",ROW()-5)</f>
        <v/>
      </c>
      <c r="B535" s="54"/>
      <c r="C535" s="33"/>
      <c r="D535" s="33"/>
      <c r="E535" s="33"/>
      <c r="F535" s="32"/>
      <c r="G535" s="41"/>
      <c r="H535" s="39"/>
      <c r="I535" s="43"/>
      <c r="J535" s="43"/>
      <c r="K535" s="41"/>
      <c r="L535" s="39"/>
      <c r="M535" s="41"/>
      <c r="N535" s="25" t="str">
        <f aca="false">IF(AND($B535="",$E535="",$I535="",$J535=""),"",IF(NOT(ISNUMBER($B535)),"日期无效",IF(ISNA(MATCH($C535,参数设置!$A$10:$A$12,0)),"公司无效",IF(ISNA(MATCH($D535,资金账户!$B$6:$B$25,0)),"账户未建档",IF(ISNA(MATCH($E535,记账规则!$A$13:$A$32,0)),"业务类型无效",IF(AND(N($I535)&lt;&gt;0,N($J535)&lt;&gt;0),"收入和支出只能填一列",IF($P535=0,"金额为 0",IF(AND($R535="收",N($I535)=0),"这类业务是收款，金额填到收入列",IF(AND($R535="支",N($J535)=0),"这类业务是付款，金额填到支出列",IF(AND(SUMPRODUCT(--(INDEX(记账规则!$A$13:$H$32,MATCH($E535,记账规则!$A$13:$A$32,0),0)="@对方"))&gt;0,$G535=""),"这个类型要填对方科目",IF(AND($G535&lt;&gt;"",ISNA(MATCH($G535,会计科目表!$B$6:$B$85,0))),"对方科目不存在",IF(AND($E535="缴纳税费",$H535=""),"缴税请在费用项目里选税种",IF(AND($F535&lt;&gt;"",ISNA(MATCH($F535,往来单位!$A$6:$A$85,0))),"往来单位未建档",IF(YEAR($B535)&lt;&gt;参数设置!$B$5,"不在本会计年度",IF(AND($B534&lt;&gt;"",ISNUMBER($B534),$B535&lt;$B534),"日期比上一行早，余额按行序滚，建议按日期录","OK")))))))))))))))</f>
        <v/>
      </c>
      <c r="O535" s="58" t="str">
        <f aca="false">IF($B535="","",TEXT($B535,"yyyy-mm"))</f>
        <v/>
      </c>
      <c r="P535" s="60" t="str">
        <f aca="false">IF($E535="","",ROUND(N($I535)+N($J535),2))</f>
        <v/>
      </c>
      <c r="Q535" s="58" t="str">
        <f aca="false">IF($D535="","",IFERROR(INDEX(资金账户!$F$6:$F$25,MATCH($D535,资金账户!$B$6:$B$25,0)),""))</f>
        <v/>
      </c>
      <c r="R535" s="58" t="str">
        <f aca="false">IF($E535="","",IFERROR(IF(INDEX(记账规则!$A$13:$H$32,MATCH($E535,记账规则!$A$13:$A$32,0),4)="借","收","支"),""))</f>
        <v/>
      </c>
      <c r="S535" s="57" t="str">
        <f aca="false">IF($D535="","",ROUND(SUMIFS(资金账户!$H$6:$H$25,资金账户!$B$6:$B$25,$D535)+SUMIFS($I$6:$I535,$D$6:$D535,$D535)-SUMIFS($J$6:$J535,$D$6:$D535,$D535),2))</f>
        <v/>
      </c>
      <c r="T535" s="61" t="str">
        <f aca="false">IF($B535="","",YEAR($B535))</f>
        <v/>
      </c>
    </row>
    <row r="536" customFormat="false" ht="15" hidden="false" customHeight="false" outlineLevel="0" collapsed="false">
      <c r="A536" s="53" t="str">
        <f aca="false">IF($B536="","",ROW()-5)</f>
        <v/>
      </c>
      <c r="B536" s="54"/>
      <c r="C536" s="33"/>
      <c r="D536" s="33"/>
      <c r="E536" s="33"/>
      <c r="F536" s="32"/>
      <c r="G536" s="41"/>
      <c r="H536" s="39"/>
      <c r="I536" s="43"/>
      <c r="J536" s="43"/>
      <c r="K536" s="41"/>
      <c r="L536" s="39"/>
      <c r="M536" s="41"/>
      <c r="N536" s="25" t="str">
        <f aca="false">IF(AND($B536="",$E536="",$I536="",$J536=""),"",IF(NOT(ISNUMBER($B536)),"日期无效",IF(ISNA(MATCH($C536,参数设置!$A$10:$A$12,0)),"公司无效",IF(ISNA(MATCH($D536,资金账户!$B$6:$B$25,0)),"账户未建档",IF(ISNA(MATCH($E536,记账规则!$A$13:$A$32,0)),"业务类型无效",IF(AND(N($I536)&lt;&gt;0,N($J536)&lt;&gt;0),"收入和支出只能填一列",IF($P536=0,"金额为 0",IF(AND($R536="收",N($I536)=0),"这类业务是收款，金额填到收入列",IF(AND($R536="支",N($J536)=0),"这类业务是付款，金额填到支出列",IF(AND(SUMPRODUCT(--(INDEX(记账规则!$A$13:$H$32,MATCH($E536,记账规则!$A$13:$A$32,0),0)="@对方"))&gt;0,$G536=""),"这个类型要填对方科目",IF(AND($G536&lt;&gt;"",ISNA(MATCH($G536,会计科目表!$B$6:$B$85,0))),"对方科目不存在",IF(AND($E536="缴纳税费",$H536=""),"缴税请在费用项目里选税种",IF(AND($F536&lt;&gt;"",ISNA(MATCH($F536,往来单位!$A$6:$A$85,0))),"往来单位未建档",IF(YEAR($B536)&lt;&gt;参数设置!$B$5,"不在本会计年度",IF(AND($B535&lt;&gt;"",ISNUMBER($B535),$B536&lt;$B535),"日期比上一行早，余额按行序滚，建议按日期录","OK")))))))))))))))</f>
        <v/>
      </c>
      <c r="O536" s="58" t="str">
        <f aca="false">IF($B536="","",TEXT($B536,"yyyy-mm"))</f>
        <v/>
      </c>
      <c r="P536" s="60" t="str">
        <f aca="false">IF($E536="","",ROUND(N($I536)+N($J536),2))</f>
        <v/>
      </c>
      <c r="Q536" s="58" t="str">
        <f aca="false">IF($D536="","",IFERROR(INDEX(资金账户!$F$6:$F$25,MATCH($D536,资金账户!$B$6:$B$25,0)),""))</f>
        <v/>
      </c>
      <c r="R536" s="58" t="str">
        <f aca="false">IF($E536="","",IFERROR(IF(INDEX(记账规则!$A$13:$H$32,MATCH($E536,记账规则!$A$13:$A$32,0),4)="借","收","支"),""))</f>
        <v/>
      </c>
      <c r="S536" s="57" t="str">
        <f aca="false">IF($D536="","",ROUND(SUMIFS(资金账户!$H$6:$H$25,资金账户!$B$6:$B$25,$D536)+SUMIFS($I$6:$I536,$D$6:$D536,$D536)-SUMIFS($J$6:$J536,$D$6:$D536,$D536),2))</f>
        <v/>
      </c>
      <c r="T536" s="61" t="str">
        <f aca="false">IF($B536="","",YEAR($B536))</f>
        <v/>
      </c>
    </row>
    <row r="537" customFormat="false" ht="15" hidden="false" customHeight="false" outlineLevel="0" collapsed="false">
      <c r="A537" s="53" t="str">
        <f aca="false">IF($B537="","",ROW()-5)</f>
        <v/>
      </c>
      <c r="B537" s="54"/>
      <c r="C537" s="33"/>
      <c r="D537" s="33"/>
      <c r="E537" s="33"/>
      <c r="F537" s="32"/>
      <c r="G537" s="41"/>
      <c r="H537" s="39"/>
      <c r="I537" s="43"/>
      <c r="J537" s="43"/>
      <c r="K537" s="41"/>
      <c r="L537" s="39"/>
      <c r="M537" s="41"/>
      <c r="N537" s="25" t="str">
        <f aca="false">IF(AND($B537="",$E537="",$I537="",$J537=""),"",IF(NOT(ISNUMBER($B537)),"日期无效",IF(ISNA(MATCH($C537,参数设置!$A$10:$A$12,0)),"公司无效",IF(ISNA(MATCH($D537,资金账户!$B$6:$B$25,0)),"账户未建档",IF(ISNA(MATCH($E537,记账规则!$A$13:$A$32,0)),"业务类型无效",IF(AND(N($I537)&lt;&gt;0,N($J537)&lt;&gt;0),"收入和支出只能填一列",IF($P537=0,"金额为 0",IF(AND($R537="收",N($I537)=0),"这类业务是收款，金额填到收入列",IF(AND($R537="支",N($J537)=0),"这类业务是付款，金额填到支出列",IF(AND(SUMPRODUCT(--(INDEX(记账规则!$A$13:$H$32,MATCH($E537,记账规则!$A$13:$A$32,0),0)="@对方"))&gt;0,$G537=""),"这个类型要填对方科目",IF(AND($G537&lt;&gt;"",ISNA(MATCH($G537,会计科目表!$B$6:$B$85,0))),"对方科目不存在",IF(AND($E537="缴纳税费",$H537=""),"缴税请在费用项目里选税种",IF(AND($F537&lt;&gt;"",ISNA(MATCH($F537,往来单位!$A$6:$A$85,0))),"往来单位未建档",IF(YEAR($B537)&lt;&gt;参数设置!$B$5,"不在本会计年度",IF(AND($B536&lt;&gt;"",ISNUMBER($B536),$B537&lt;$B536),"日期比上一行早，余额按行序滚，建议按日期录","OK")))))))))))))))</f>
        <v/>
      </c>
      <c r="O537" s="58" t="str">
        <f aca="false">IF($B537="","",TEXT($B537,"yyyy-mm"))</f>
        <v/>
      </c>
      <c r="P537" s="60" t="str">
        <f aca="false">IF($E537="","",ROUND(N($I537)+N($J537),2))</f>
        <v/>
      </c>
      <c r="Q537" s="58" t="str">
        <f aca="false">IF($D537="","",IFERROR(INDEX(资金账户!$F$6:$F$25,MATCH($D537,资金账户!$B$6:$B$25,0)),""))</f>
        <v/>
      </c>
      <c r="R537" s="58" t="str">
        <f aca="false">IF($E537="","",IFERROR(IF(INDEX(记账规则!$A$13:$H$32,MATCH($E537,记账规则!$A$13:$A$32,0),4)="借","收","支"),""))</f>
        <v/>
      </c>
      <c r="S537" s="57" t="str">
        <f aca="false">IF($D537="","",ROUND(SUMIFS(资金账户!$H$6:$H$25,资金账户!$B$6:$B$25,$D537)+SUMIFS($I$6:$I537,$D$6:$D537,$D537)-SUMIFS($J$6:$J537,$D$6:$D537,$D537),2))</f>
        <v/>
      </c>
      <c r="T537" s="61" t="str">
        <f aca="false">IF($B537="","",YEAR($B537))</f>
        <v/>
      </c>
    </row>
    <row r="538" customFormat="false" ht="15" hidden="false" customHeight="false" outlineLevel="0" collapsed="false">
      <c r="A538" s="53" t="str">
        <f aca="false">IF($B538="","",ROW()-5)</f>
        <v/>
      </c>
      <c r="B538" s="54"/>
      <c r="C538" s="33"/>
      <c r="D538" s="33"/>
      <c r="E538" s="33"/>
      <c r="F538" s="32"/>
      <c r="G538" s="41"/>
      <c r="H538" s="39"/>
      <c r="I538" s="43"/>
      <c r="J538" s="43"/>
      <c r="K538" s="41"/>
      <c r="L538" s="39"/>
      <c r="M538" s="41"/>
      <c r="N538" s="25" t="str">
        <f aca="false">IF(AND($B538="",$E538="",$I538="",$J538=""),"",IF(NOT(ISNUMBER($B538)),"日期无效",IF(ISNA(MATCH($C538,参数设置!$A$10:$A$12,0)),"公司无效",IF(ISNA(MATCH($D538,资金账户!$B$6:$B$25,0)),"账户未建档",IF(ISNA(MATCH($E538,记账规则!$A$13:$A$32,0)),"业务类型无效",IF(AND(N($I538)&lt;&gt;0,N($J538)&lt;&gt;0),"收入和支出只能填一列",IF($P538=0,"金额为 0",IF(AND($R538="收",N($I538)=0),"这类业务是收款，金额填到收入列",IF(AND($R538="支",N($J538)=0),"这类业务是付款，金额填到支出列",IF(AND(SUMPRODUCT(--(INDEX(记账规则!$A$13:$H$32,MATCH($E538,记账规则!$A$13:$A$32,0),0)="@对方"))&gt;0,$G538=""),"这个类型要填对方科目",IF(AND($G538&lt;&gt;"",ISNA(MATCH($G538,会计科目表!$B$6:$B$85,0))),"对方科目不存在",IF(AND($E538="缴纳税费",$H538=""),"缴税请在费用项目里选税种",IF(AND($F538&lt;&gt;"",ISNA(MATCH($F538,往来单位!$A$6:$A$85,0))),"往来单位未建档",IF(YEAR($B538)&lt;&gt;参数设置!$B$5,"不在本会计年度",IF(AND($B537&lt;&gt;"",ISNUMBER($B537),$B538&lt;$B537),"日期比上一行早，余额按行序滚，建议按日期录","OK")))))))))))))))</f>
        <v/>
      </c>
      <c r="O538" s="58" t="str">
        <f aca="false">IF($B538="","",TEXT($B538,"yyyy-mm"))</f>
        <v/>
      </c>
      <c r="P538" s="60" t="str">
        <f aca="false">IF($E538="","",ROUND(N($I538)+N($J538),2))</f>
        <v/>
      </c>
      <c r="Q538" s="58" t="str">
        <f aca="false">IF($D538="","",IFERROR(INDEX(资金账户!$F$6:$F$25,MATCH($D538,资金账户!$B$6:$B$25,0)),""))</f>
        <v/>
      </c>
      <c r="R538" s="58" t="str">
        <f aca="false">IF($E538="","",IFERROR(IF(INDEX(记账规则!$A$13:$H$32,MATCH($E538,记账规则!$A$13:$A$32,0),4)="借","收","支"),""))</f>
        <v/>
      </c>
      <c r="S538" s="57" t="str">
        <f aca="false">IF($D538="","",ROUND(SUMIFS(资金账户!$H$6:$H$25,资金账户!$B$6:$B$25,$D538)+SUMIFS($I$6:$I538,$D$6:$D538,$D538)-SUMIFS($J$6:$J538,$D$6:$D538,$D538),2))</f>
        <v/>
      </c>
      <c r="T538" s="61" t="str">
        <f aca="false">IF($B538="","",YEAR($B538))</f>
        <v/>
      </c>
    </row>
    <row r="539" customFormat="false" ht="15" hidden="false" customHeight="false" outlineLevel="0" collapsed="false">
      <c r="A539" s="53" t="str">
        <f aca="false">IF($B539="","",ROW()-5)</f>
        <v/>
      </c>
      <c r="B539" s="54"/>
      <c r="C539" s="33"/>
      <c r="D539" s="33"/>
      <c r="E539" s="33"/>
      <c r="F539" s="32"/>
      <c r="G539" s="41"/>
      <c r="H539" s="39"/>
      <c r="I539" s="43"/>
      <c r="J539" s="43"/>
      <c r="K539" s="41"/>
      <c r="L539" s="39"/>
      <c r="M539" s="41"/>
      <c r="N539" s="25" t="str">
        <f aca="false">IF(AND($B539="",$E539="",$I539="",$J539=""),"",IF(NOT(ISNUMBER($B539)),"日期无效",IF(ISNA(MATCH($C539,参数设置!$A$10:$A$12,0)),"公司无效",IF(ISNA(MATCH($D539,资金账户!$B$6:$B$25,0)),"账户未建档",IF(ISNA(MATCH($E539,记账规则!$A$13:$A$32,0)),"业务类型无效",IF(AND(N($I539)&lt;&gt;0,N($J539)&lt;&gt;0),"收入和支出只能填一列",IF($P539=0,"金额为 0",IF(AND($R539="收",N($I539)=0),"这类业务是收款，金额填到收入列",IF(AND($R539="支",N($J539)=0),"这类业务是付款，金额填到支出列",IF(AND(SUMPRODUCT(--(INDEX(记账规则!$A$13:$H$32,MATCH($E539,记账规则!$A$13:$A$32,0),0)="@对方"))&gt;0,$G539=""),"这个类型要填对方科目",IF(AND($G539&lt;&gt;"",ISNA(MATCH($G539,会计科目表!$B$6:$B$85,0))),"对方科目不存在",IF(AND($E539="缴纳税费",$H539=""),"缴税请在费用项目里选税种",IF(AND($F539&lt;&gt;"",ISNA(MATCH($F539,往来单位!$A$6:$A$85,0))),"往来单位未建档",IF(YEAR($B539)&lt;&gt;参数设置!$B$5,"不在本会计年度",IF(AND($B538&lt;&gt;"",ISNUMBER($B538),$B539&lt;$B538),"日期比上一行早，余额按行序滚，建议按日期录","OK")))))))))))))))</f>
        <v/>
      </c>
      <c r="O539" s="58" t="str">
        <f aca="false">IF($B539="","",TEXT($B539,"yyyy-mm"))</f>
        <v/>
      </c>
      <c r="P539" s="60" t="str">
        <f aca="false">IF($E539="","",ROUND(N($I539)+N($J539),2))</f>
        <v/>
      </c>
      <c r="Q539" s="58" t="str">
        <f aca="false">IF($D539="","",IFERROR(INDEX(资金账户!$F$6:$F$25,MATCH($D539,资金账户!$B$6:$B$25,0)),""))</f>
        <v/>
      </c>
      <c r="R539" s="58" t="str">
        <f aca="false">IF($E539="","",IFERROR(IF(INDEX(记账规则!$A$13:$H$32,MATCH($E539,记账规则!$A$13:$A$32,0),4)="借","收","支"),""))</f>
        <v/>
      </c>
      <c r="S539" s="57" t="str">
        <f aca="false">IF($D539="","",ROUND(SUMIFS(资金账户!$H$6:$H$25,资金账户!$B$6:$B$25,$D539)+SUMIFS($I$6:$I539,$D$6:$D539,$D539)-SUMIFS($J$6:$J539,$D$6:$D539,$D539),2))</f>
        <v/>
      </c>
      <c r="T539" s="61" t="str">
        <f aca="false">IF($B539="","",YEAR($B539))</f>
        <v/>
      </c>
    </row>
    <row r="540" customFormat="false" ht="15" hidden="false" customHeight="false" outlineLevel="0" collapsed="false">
      <c r="A540" s="53" t="str">
        <f aca="false">IF($B540="","",ROW()-5)</f>
        <v/>
      </c>
      <c r="B540" s="54"/>
      <c r="C540" s="33"/>
      <c r="D540" s="33"/>
      <c r="E540" s="33"/>
      <c r="F540" s="32"/>
      <c r="G540" s="41"/>
      <c r="H540" s="39"/>
      <c r="I540" s="43"/>
      <c r="J540" s="43"/>
      <c r="K540" s="41"/>
      <c r="L540" s="39"/>
      <c r="M540" s="41"/>
      <c r="N540" s="25" t="str">
        <f aca="false">IF(AND($B540="",$E540="",$I540="",$J540=""),"",IF(NOT(ISNUMBER($B540)),"日期无效",IF(ISNA(MATCH($C540,参数设置!$A$10:$A$12,0)),"公司无效",IF(ISNA(MATCH($D540,资金账户!$B$6:$B$25,0)),"账户未建档",IF(ISNA(MATCH($E540,记账规则!$A$13:$A$32,0)),"业务类型无效",IF(AND(N($I540)&lt;&gt;0,N($J540)&lt;&gt;0),"收入和支出只能填一列",IF($P540=0,"金额为 0",IF(AND($R540="收",N($I540)=0),"这类业务是收款，金额填到收入列",IF(AND($R540="支",N($J540)=0),"这类业务是付款，金额填到支出列",IF(AND(SUMPRODUCT(--(INDEX(记账规则!$A$13:$H$32,MATCH($E540,记账规则!$A$13:$A$32,0),0)="@对方"))&gt;0,$G540=""),"这个类型要填对方科目",IF(AND($G540&lt;&gt;"",ISNA(MATCH($G540,会计科目表!$B$6:$B$85,0))),"对方科目不存在",IF(AND($E540="缴纳税费",$H540=""),"缴税请在费用项目里选税种",IF(AND($F540&lt;&gt;"",ISNA(MATCH($F540,往来单位!$A$6:$A$85,0))),"往来单位未建档",IF(YEAR($B540)&lt;&gt;参数设置!$B$5,"不在本会计年度",IF(AND($B539&lt;&gt;"",ISNUMBER($B539),$B540&lt;$B539),"日期比上一行早，余额按行序滚，建议按日期录","OK")))))))))))))))</f>
        <v/>
      </c>
      <c r="O540" s="58" t="str">
        <f aca="false">IF($B540="","",TEXT($B540,"yyyy-mm"))</f>
        <v/>
      </c>
      <c r="P540" s="60" t="str">
        <f aca="false">IF($E540="","",ROUND(N($I540)+N($J540),2))</f>
        <v/>
      </c>
      <c r="Q540" s="58" t="str">
        <f aca="false">IF($D540="","",IFERROR(INDEX(资金账户!$F$6:$F$25,MATCH($D540,资金账户!$B$6:$B$25,0)),""))</f>
        <v/>
      </c>
      <c r="R540" s="58" t="str">
        <f aca="false">IF($E540="","",IFERROR(IF(INDEX(记账规则!$A$13:$H$32,MATCH($E540,记账规则!$A$13:$A$32,0),4)="借","收","支"),""))</f>
        <v/>
      </c>
      <c r="S540" s="57" t="str">
        <f aca="false">IF($D540="","",ROUND(SUMIFS(资金账户!$H$6:$H$25,资金账户!$B$6:$B$25,$D540)+SUMIFS($I$6:$I540,$D$6:$D540,$D540)-SUMIFS($J$6:$J540,$D$6:$D540,$D540),2))</f>
        <v/>
      </c>
      <c r="T540" s="61" t="str">
        <f aca="false">IF($B540="","",YEAR($B540))</f>
        <v/>
      </c>
    </row>
    <row r="541" customFormat="false" ht="15" hidden="false" customHeight="false" outlineLevel="0" collapsed="false">
      <c r="A541" s="53" t="str">
        <f aca="false">IF($B541="","",ROW()-5)</f>
        <v/>
      </c>
      <c r="B541" s="54"/>
      <c r="C541" s="33"/>
      <c r="D541" s="33"/>
      <c r="E541" s="33"/>
      <c r="F541" s="32"/>
      <c r="G541" s="41"/>
      <c r="H541" s="39"/>
      <c r="I541" s="43"/>
      <c r="J541" s="43"/>
      <c r="K541" s="41"/>
      <c r="L541" s="39"/>
      <c r="M541" s="41"/>
      <c r="N541" s="25" t="str">
        <f aca="false">IF(AND($B541="",$E541="",$I541="",$J541=""),"",IF(NOT(ISNUMBER($B541)),"日期无效",IF(ISNA(MATCH($C541,参数设置!$A$10:$A$12,0)),"公司无效",IF(ISNA(MATCH($D541,资金账户!$B$6:$B$25,0)),"账户未建档",IF(ISNA(MATCH($E541,记账规则!$A$13:$A$32,0)),"业务类型无效",IF(AND(N($I541)&lt;&gt;0,N($J541)&lt;&gt;0),"收入和支出只能填一列",IF($P541=0,"金额为 0",IF(AND($R541="收",N($I541)=0),"这类业务是收款，金额填到收入列",IF(AND($R541="支",N($J541)=0),"这类业务是付款，金额填到支出列",IF(AND(SUMPRODUCT(--(INDEX(记账规则!$A$13:$H$32,MATCH($E541,记账规则!$A$13:$A$32,0),0)="@对方"))&gt;0,$G541=""),"这个类型要填对方科目",IF(AND($G541&lt;&gt;"",ISNA(MATCH($G541,会计科目表!$B$6:$B$85,0))),"对方科目不存在",IF(AND($E541="缴纳税费",$H541=""),"缴税请在费用项目里选税种",IF(AND($F541&lt;&gt;"",ISNA(MATCH($F541,往来单位!$A$6:$A$85,0))),"往来单位未建档",IF(YEAR($B541)&lt;&gt;参数设置!$B$5,"不在本会计年度",IF(AND($B540&lt;&gt;"",ISNUMBER($B540),$B541&lt;$B540),"日期比上一行早，余额按行序滚，建议按日期录","OK")))))))))))))))</f>
        <v/>
      </c>
      <c r="O541" s="58" t="str">
        <f aca="false">IF($B541="","",TEXT($B541,"yyyy-mm"))</f>
        <v/>
      </c>
      <c r="P541" s="60" t="str">
        <f aca="false">IF($E541="","",ROUND(N($I541)+N($J541),2))</f>
        <v/>
      </c>
      <c r="Q541" s="58" t="str">
        <f aca="false">IF($D541="","",IFERROR(INDEX(资金账户!$F$6:$F$25,MATCH($D541,资金账户!$B$6:$B$25,0)),""))</f>
        <v/>
      </c>
      <c r="R541" s="58" t="str">
        <f aca="false">IF($E541="","",IFERROR(IF(INDEX(记账规则!$A$13:$H$32,MATCH($E541,记账规则!$A$13:$A$32,0),4)="借","收","支"),""))</f>
        <v/>
      </c>
      <c r="S541" s="57" t="str">
        <f aca="false">IF($D541="","",ROUND(SUMIFS(资金账户!$H$6:$H$25,资金账户!$B$6:$B$25,$D541)+SUMIFS($I$6:$I541,$D$6:$D541,$D541)-SUMIFS($J$6:$J541,$D$6:$D541,$D541),2))</f>
        <v/>
      </c>
      <c r="T541" s="61" t="str">
        <f aca="false">IF($B541="","",YEAR($B541))</f>
        <v/>
      </c>
    </row>
    <row r="542" customFormat="false" ht="15" hidden="false" customHeight="false" outlineLevel="0" collapsed="false">
      <c r="A542" s="53" t="str">
        <f aca="false">IF($B542="","",ROW()-5)</f>
        <v/>
      </c>
      <c r="B542" s="54"/>
      <c r="C542" s="33"/>
      <c r="D542" s="33"/>
      <c r="E542" s="33"/>
      <c r="F542" s="32"/>
      <c r="G542" s="41"/>
      <c r="H542" s="39"/>
      <c r="I542" s="43"/>
      <c r="J542" s="43"/>
      <c r="K542" s="41"/>
      <c r="L542" s="39"/>
      <c r="M542" s="41"/>
      <c r="N542" s="25" t="str">
        <f aca="false">IF(AND($B542="",$E542="",$I542="",$J542=""),"",IF(NOT(ISNUMBER($B542)),"日期无效",IF(ISNA(MATCH($C542,参数设置!$A$10:$A$12,0)),"公司无效",IF(ISNA(MATCH($D542,资金账户!$B$6:$B$25,0)),"账户未建档",IF(ISNA(MATCH($E542,记账规则!$A$13:$A$32,0)),"业务类型无效",IF(AND(N($I542)&lt;&gt;0,N($J542)&lt;&gt;0),"收入和支出只能填一列",IF($P542=0,"金额为 0",IF(AND($R542="收",N($I542)=0),"这类业务是收款，金额填到收入列",IF(AND($R542="支",N($J542)=0),"这类业务是付款，金额填到支出列",IF(AND(SUMPRODUCT(--(INDEX(记账规则!$A$13:$H$32,MATCH($E542,记账规则!$A$13:$A$32,0),0)="@对方"))&gt;0,$G542=""),"这个类型要填对方科目",IF(AND($G542&lt;&gt;"",ISNA(MATCH($G542,会计科目表!$B$6:$B$85,0))),"对方科目不存在",IF(AND($E542="缴纳税费",$H542=""),"缴税请在费用项目里选税种",IF(AND($F542&lt;&gt;"",ISNA(MATCH($F542,往来单位!$A$6:$A$85,0))),"往来单位未建档",IF(YEAR($B542)&lt;&gt;参数设置!$B$5,"不在本会计年度",IF(AND($B541&lt;&gt;"",ISNUMBER($B541),$B542&lt;$B541),"日期比上一行早，余额按行序滚，建议按日期录","OK")))))))))))))))</f>
        <v/>
      </c>
      <c r="O542" s="58" t="str">
        <f aca="false">IF($B542="","",TEXT($B542,"yyyy-mm"))</f>
        <v/>
      </c>
      <c r="P542" s="60" t="str">
        <f aca="false">IF($E542="","",ROUND(N($I542)+N($J542),2))</f>
        <v/>
      </c>
      <c r="Q542" s="58" t="str">
        <f aca="false">IF($D542="","",IFERROR(INDEX(资金账户!$F$6:$F$25,MATCH($D542,资金账户!$B$6:$B$25,0)),""))</f>
        <v/>
      </c>
      <c r="R542" s="58" t="str">
        <f aca="false">IF($E542="","",IFERROR(IF(INDEX(记账规则!$A$13:$H$32,MATCH($E542,记账规则!$A$13:$A$32,0),4)="借","收","支"),""))</f>
        <v/>
      </c>
      <c r="S542" s="57" t="str">
        <f aca="false">IF($D542="","",ROUND(SUMIFS(资金账户!$H$6:$H$25,资金账户!$B$6:$B$25,$D542)+SUMIFS($I$6:$I542,$D$6:$D542,$D542)-SUMIFS($J$6:$J542,$D$6:$D542,$D542),2))</f>
        <v/>
      </c>
      <c r="T542" s="61" t="str">
        <f aca="false">IF($B542="","",YEAR($B542))</f>
        <v/>
      </c>
    </row>
    <row r="543" customFormat="false" ht="15" hidden="false" customHeight="false" outlineLevel="0" collapsed="false">
      <c r="A543" s="53" t="str">
        <f aca="false">IF($B543="","",ROW()-5)</f>
        <v/>
      </c>
      <c r="B543" s="54"/>
      <c r="C543" s="33"/>
      <c r="D543" s="33"/>
      <c r="E543" s="33"/>
      <c r="F543" s="32"/>
      <c r="G543" s="41"/>
      <c r="H543" s="39"/>
      <c r="I543" s="43"/>
      <c r="J543" s="43"/>
      <c r="K543" s="41"/>
      <c r="L543" s="39"/>
      <c r="M543" s="41"/>
      <c r="N543" s="25" t="str">
        <f aca="false">IF(AND($B543="",$E543="",$I543="",$J543=""),"",IF(NOT(ISNUMBER($B543)),"日期无效",IF(ISNA(MATCH($C543,参数设置!$A$10:$A$12,0)),"公司无效",IF(ISNA(MATCH($D543,资金账户!$B$6:$B$25,0)),"账户未建档",IF(ISNA(MATCH($E543,记账规则!$A$13:$A$32,0)),"业务类型无效",IF(AND(N($I543)&lt;&gt;0,N($J543)&lt;&gt;0),"收入和支出只能填一列",IF($P543=0,"金额为 0",IF(AND($R543="收",N($I543)=0),"这类业务是收款，金额填到收入列",IF(AND($R543="支",N($J543)=0),"这类业务是付款，金额填到支出列",IF(AND(SUMPRODUCT(--(INDEX(记账规则!$A$13:$H$32,MATCH($E543,记账规则!$A$13:$A$32,0),0)="@对方"))&gt;0,$G543=""),"这个类型要填对方科目",IF(AND($G543&lt;&gt;"",ISNA(MATCH($G543,会计科目表!$B$6:$B$85,0))),"对方科目不存在",IF(AND($E543="缴纳税费",$H543=""),"缴税请在费用项目里选税种",IF(AND($F543&lt;&gt;"",ISNA(MATCH($F543,往来单位!$A$6:$A$85,0))),"往来单位未建档",IF(YEAR($B543)&lt;&gt;参数设置!$B$5,"不在本会计年度",IF(AND($B542&lt;&gt;"",ISNUMBER($B542),$B543&lt;$B542),"日期比上一行早，余额按行序滚，建议按日期录","OK")))))))))))))))</f>
        <v/>
      </c>
      <c r="O543" s="58" t="str">
        <f aca="false">IF($B543="","",TEXT($B543,"yyyy-mm"))</f>
        <v/>
      </c>
      <c r="P543" s="60" t="str">
        <f aca="false">IF($E543="","",ROUND(N($I543)+N($J543),2))</f>
        <v/>
      </c>
      <c r="Q543" s="58" t="str">
        <f aca="false">IF($D543="","",IFERROR(INDEX(资金账户!$F$6:$F$25,MATCH($D543,资金账户!$B$6:$B$25,0)),""))</f>
        <v/>
      </c>
      <c r="R543" s="58" t="str">
        <f aca="false">IF($E543="","",IFERROR(IF(INDEX(记账规则!$A$13:$H$32,MATCH($E543,记账规则!$A$13:$A$32,0),4)="借","收","支"),""))</f>
        <v/>
      </c>
      <c r="S543" s="57" t="str">
        <f aca="false">IF($D543="","",ROUND(SUMIFS(资金账户!$H$6:$H$25,资金账户!$B$6:$B$25,$D543)+SUMIFS($I$6:$I543,$D$6:$D543,$D543)-SUMIFS($J$6:$J543,$D$6:$D543,$D543),2))</f>
        <v/>
      </c>
      <c r="T543" s="61" t="str">
        <f aca="false">IF($B543="","",YEAR($B543))</f>
        <v/>
      </c>
    </row>
    <row r="544" customFormat="false" ht="15" hidden="false" customHeight="false" outlineLevel="0" collapsed="false">
      <c r="A544" s="53" t="str">
        <f aca="false">IF($B544="","",ROW()-5)</f>
        <v/>
      </c>
      <c r="B544" s="54"/>
      <c r="C544" s="33"/>
      <c r="D544" s="33"/>
      <c r="E544" s="33"/>
      <c r="F544" s="32"/>
      <c r="G544" s="41"/>
      <c r="H544" s="39"/>
      <c r="I544" s="43"/>
      <c r="J544" s="43"/>
      <c r="K544" s="41"/>
      <c r="L544" s="39"/>
      <c r="M544" s="41"/>
      <c r="N544" s="25" t="str">
        <f aca="false">IF(AND($B544="",$E544="",$I544="",$J544=""),"",IF(NOT(ISNUMBER($B544)),"日期无效",IF(ISNA(MATCH($C544,参数设置!$A$10:$A$12,0)),"公司无效",IF(ISNA(MATCH($D544,资金账户!$B$6:$B$25,0)),"账户未建档",IF(ISNA(MATCH($E544,记账规则!$A$13:$A$32,0)),"业务类型无效",IF(AND(N($I544)&lt;&gt;0,N($J544)&lt;&gt;0),"收入和支出只能填一列",IF($P544=0,"金额为 0",IF(AND($R544="收",N($I544)=0),"这类业务是收款，金额填到收入列",IF(AND($R544="支",N($J544)=0),"这类业务是付款，金额填到支出列",IF(AND(SUMPRODUCT(--(INDEX(记账规则!$A$13:$H$32,MATCH($E544,记账规则!$A$13:$A$32,0),0)="@对方"))&gt;0,$G544=""),"这个类型要填对方科目",IF(AND($G544&lt;&gt;"",ISNA(MATCH($G544,会计科目表!$B$6:$B$85,0))),"对方科目不存在",IF(AND($E544="缴纳税费",$H544=""),"缴税请在费用项目里选税种",IF(AND($F544&lt;&gt;"",ISNA(MATCH($F544,往来单位!$A$6:$A$85,0))),"往来单位未建档",IF(YEAR($B544)&lt;&gt;参数设置!$B$5,"不在本会计年度",IF(AND($B543&lt;&gt;"",ISNUMBER($B543),$B544&lt;$B543),"日期比上一行早，余额按行序滚，建议按日期录","OK")))))))))))))))</f>
        <v/>
      </c>
      <c r="O544" s="58" t="str">
        <f aca="false">IF($B544="","",TEXT($B544,"yyyy-mm"))</f>
        <v/>
      </c>
      <c r="P544" s="60" t="str">
        <f aca="false">IF($E544="","",ROUND(N($I544)+N($J544),2))</f>
        <v/>
      </c>
      <c r="Q544" s="58" t="str">
        <f aca="false">IF($D544="","",IFERROR(INDEX(资金账户!$F$6:$F$25,MATCH($D544,资金账户!$B$6:$B$25,0)),""))</f>
        <v/>
      </c>
      <c r="R544" s="58" t="str">
        <f aca="false">IF($E544="","",IFERROR(IF(INDEX(记账规则!$A$13:$H$32,MATCH($E544,记账规则!$A$13:$A$32,0),4)="借","收","支"),""))</f>
        <v/>
      </c>
      <c r="S544" s="57" t="str">
        <f aca="false">IF($D544="","",ROUND(SUMIFS(资金账户!$H$6:$H$25,资金账户!$B$6:$B$25,$D544)+SUMIFS($I$6:$I544,$D$6:$D544,$D544)-SUMIFS($J$6:$J544,$D$6:$D544,$D544),2))</f>
        <v/>
      </c>
      <c r="T544" s="61" t="str">
        <f aca="false">IF($B544="","",YEAR($B544))</f>
        <v/>
      </c>
    </row>
    <row r="545" customFormat="false" ht="15" hidden="false" customHeight="false" outlineLevel="0" collapsed="false">
      <c r="A545" s="53" t="str">
        <f aca="false">IF($B545="","",ROW()-5)</f>
        <v/>
      </c>
      <c r="B545" s="54"/>
      <c r="C545" s="33"/>
      <c r="D545" s="33"/>
      <c r="E545" s="33"/>
      <c r="F545" s="32"/>
      <c r="G545" s="41"/>
      <c r="H545" s="39"/>
      <c r="I545" s="43"/>
      <c r="J545" s="43"/>
      <c r="K545" s="41"/>
      <c r="L545" s="39"/>
      <c r="M545" s="41"/>
      <c r="N545" s="25" t="str">
        <f aca="false">IF(AND($B545="",$E545="",$I545="",$J545=""),"",IF(NOT(ISNUMBER($B545)),"日期无效",IF(ISNA(MATCH($C545,参数设置!$A$10:$A$12,0)),"公司无效",IF(ISNA(MATCH($D545,资金账户!$B$6:$B$25,0)),"账户未建档",IF(ISNA(MATCH($E545,记账规则!$A$13:$A$32,0)),"业务类型无效",IF(AND(N($I545)&lt;&gt;0,N($J545)&lt;&gt;0),"收入和支出只能填一列",IF($P545=0,"金额为 0",IF(AND($R545="收",N($I545)=0),"这类业务是收款，金额填到收入列",IF(AND($R545="支",N($J545)=0),"这类业务是付款，金额填到支出列",IF(AND(SUMPRODUCT(--(INDEX(记账规则!$A$13:$H$32,MATCH($E545,记账规则!$A$13:$A$32,0),0)="@对方"))&gt;0,$G545=""),"这个类型要填对方科目",IF(AND($G545&lt;&gt;"",ISNA(MATCH($G545,会计科目表!$B$6:$B$85,0))),"对方科目不存在",IF(AND($E545="缴纳税费",$H545=""),"缴税请在费用项目里选税种",IF(AND($F545&lt;&gt;"",ISNA(MATCH($F545,往来单位!$A$6:$A$85,0))),"往来单位未建档",IF(YEAR($B545)&lt;&gt;参数设置!$B$5,"不在本会计年度",IF(AND($B544&lt;&gt;"",ISNUMBER($B544),$B545&lt;$B544),"日期比上一行早，余额按行序滚，建议按日期录","OK")))))))))))))))</f>
        <v/>
      </c>
      <c r="O545" s="58" t="str">
        <f aca="false">IF($B545="","",TEXT($B545,"yyyy-mm"))</f>
        <v/>
      </c>
      <c r="P545" s="60" t="str">
        <f aca="false">IF($E545="","",ROUND(N($I545)+N($J545),2))</f>
        <v/>
      </c>
      <c r="Q545" s="58" t="str">
        <f aca="false">IF($D545="","",IFERROR(INDEX(资金账户!$F$6:$F$25,MATCH($D545,资金账户!$B$6:$B$25,0)),""))</f>
        <v/>
      </c>
      <c r="R545" s="58" t="str">
        <f aca="false">IF($E545="","",IFERROR(IF(INDEX(记账规则!$A$13:$H$32,MATCH($E545,记账规则!$A$13:$A$32,0),4)="借","收","支"),""))</f>
        <v/>
      </c>
      <c r="S545" s="57" t="str">
        <f aca="false">IF($D545="","",ROUND(SUMIFS(资金账户!$H$6:$H$25,资金账户!$B$6:$B$25,$D545)+SUMIFS($I$6:$I545,$D$6:$D545,$D545)-SUMIFS($J$6:$J545,$D$6:$D545,$D545),2))</f>
        <v/>
      </c>
      <c r="T545" s="61" t="str">
        <f aca="false">IF($B545="","",YEAR($B545))</f>
        <v/>
      </c>
    </row>
    <row r="546" customFormat="false" ht="15" hidden="false" customHeight="false" outlineLevel="0" collapsed="false">
      <c r="A546" s="53" t="str">
        <f aca="false">IF($B546="","",ROW()-5)</f>
        <v/>
      </c>
      <c r="B546" s="54"/>
      <c r="C546" s="33"/>
      <c r="D546" s="33"/>
      <c r="E546" s="33"/>
      <c r="F546" s="32"/>
      <c r="G546" s="41"/>
      <c r="H546" s="39"/>
      <c r="I546" s="43"/>
      <c r="J546" s="43"/>
      <c r="K546" s="41"/>
      <c r="L546" s="39"/>
      <c r="M546" s="41"/>
      <c r="N546" s="25" t="str">
        <f aca="false">IF(AND($B546="",$E546="",$I546="",$J546=""),"",IF(NOT(ISNUMBER($B546)),"日期无效",IF(ISNA(MATCH($C546,参数设置!$A$10:$A$12,0)),"公司无效",IF(ISNA(MATCH($D546,资金账户!$B$6:$B$25,0)),"账户未建档",IF(ISNA(MATCH($E546,记账规则!$A$13:$A$32,0)),"业务类型无效",IF(AND(N($I546)&lt;&gt;0,N($J546)&lt;&gt;0),"收入和支出只能填一列",IF($P546=0,"金额为 0",IF(AND($R546="收",N($I546)=0),"这类业务是收款，金额填到收入列",IF(AND($R546="支",N($J546)=0),"这类业务是付款，金额填到支出列",IF(AND(SUMPRODUCT(--(INDEX(记账规则!$A$13:$H$32,MATCH($E546,记账规则!$A$13:$A$32,0),0)="@对方"))&gt;0,$G546=""),"这个类型要填对方科目",IF(AND($G546&lt;&gt;"",ISNA(MATCH($G546,会计科目表!$B$6:$B$85,0))),"对方科目不存在",IF(AND($E546="缴纳税费",$H546=""),"缴税请在费用项目里选税种",IF(AND($F546&lt;&gt;"",ISNA(MATCH($F546,往来单位!$A$6:$A$85,0))),"往来单位未建档",IF(YEAR($B546)&lt;&gt;参数设置!$B$5,"不在本会计年度",IF(AND($B545&lt;&gt;"",ISNUMBER($B545),$B546&lt;$B545),"日期比上一行早，余额按行序滚，建议按日期录","OK")))))))))))))))</f>
        <v/>
      </c>
      <c r="O546" s="58" t="str">
        <f aca="false">IF($B546="","",TEXT($B546,"yyyy-mm"))</f>
        <v/>
      </c>
      <c r="P546" s="60" t="str">
        <f aca="false">IF($E546="","",ROUND(N($I546)+N($J546),2))</f>
        <v/>
      </c>
      <c r="Q546" s="58" t="str">
        <f aca="false">IF($D546="","",IFERROR(INDEX(资金账户!$F$6:$F$25,MATCH($D546,资金账户!$B$6:$B$25,0)),""))</f>
        <v/>
      </c>
      <c r="R546" s="58" t="str">
        <f aca="false">IF($E546="","",IFERROR(IF(INDEX(记账规则!$A$13:$H$32,MATCH($E546,记账规则!$A$13:$A$32,0),4)="借","收","支"),""))</f>
        <v/>
      </c>
      <c r="S546" s="57" t="str">
        <f aca="false">IF($D546="","",ROUND(SUMIFS(资金账户!$H$6:$H$25,资金账户!$B$6:$B$25,$D546)+SUMIFS($I$6:$I546,$D$6:$D546,$D546)-SUMIFS($J$6:$J546,$D$6:$D546,$D546),2))</f>
        <v/>
      </c>
      <c r="T546" s="61" t="str">
        <f aca="false">IF($B546="","",YEAR($B546))</f>
        <v/>
      </c>
    </row>
    <row r="547" customFormat="false" ht="15" hidden="false" customHeight="false" outlineLevel="0" collapsed="false">
      <c r="A547" s="53" t="str">
        <f aca="false">IF($B547="","",ROW()-5)</f>
        <v/>
      </c>
      <c r="B547" s="54"/>
      <c r="C547" s="33"/>
      <c r="D547" s="33"/>
      <c r="E547" s="33"/>
      <c r="F547" s="32"/>
      <c r="G547" s="41"/>
      <c r="H547" s="39"/>
      <c r="I547" s="43"/>
      <c r="J547" s="43"/>
      <c r="K547" s="41"/>
      <c r="L547" s="39"/>
      <c r="M547" s="41"/>
      <c r="N547" s="25" t="str">
        <f aca="false">IF(AND($B547="",$E547="",$I547="",$J547=""),"",IF(NOT(ISNUMBER($B547)),"日期无效",IF(ISNA(MATCH($C547,参数设置!$A$10:$A$12,0)),"公司无效",IF(ISNA(MATCH($D547,资金账户!$B$6:$B$25,0)),"账户未建档",IF(ISNA(MATCH($E547,记账规则!$A$13:$A$32,0)),"业务类型无效",IF(AND(N($I547)&lt;&gt;0,N($J547)&lt;&gt;0),"收入和支出只能填一列",IF($P547=0,"金额为 0",IF(AND($R547="收",N($I547)=0),"这类业务是收款，金额填到收入列",IF(AND($R547="支",N($J547)=0),"这类业务是付款，金额填到支出列",IF(AND(SUMPRODUCT(--(INDEX(记账规则!$A$13:$H$32,MATCH($E547,记账规则!$A$13:$A$32,0),0)="@对方"))&gt;0,$G547=""),"这个类型要填对方科目",IF(AND($G547&lt;&gt;"",ISNA(MATCH($G547,会计科目表!$B$6:$B$85,0))),"对方科目不存在",IF(AND($E547="缴纳税费",$H547=""),"缴税请在费用项目里选税种",IF(AND($F547&lt;&gt;"",ISNA(MATCH($F547,往来单位!$A$6:$A$85,0))),"往来单位未建档",IF(YEAR($B547)&lt;&gt;参数设置!$B$5,"不在本会计年度",IF(AND($B546&lt;&gt;"",ISNUMBER($B546),$B547&lt;$B546),"日期比上一行早，余额按行序滚，建议按日期录","OK")))))))))))))))</f>
        <v/>
      </c>
      <c r="O547" s="58" t="str">
        <f aca="false">IF($B547="","",TEXT($B547,"yyyy-mm"))</f>
        <v/>
      </c>
      <c r="P547" s="60" t="str">
        <f aca="false">IF($E547="","",ROUND(N($I547)+N($J547),2))</f>
        <v/>
      </c>
      <c r="Q547" s="58" t="str">
        <f aca="false">IF($D547="","",IFERROR(INDEX(资金账户!$F$6:$F$25,MATCH($D547,资金账户!$B$6:$B$25,0)),""))</f>
        <v/>
      </c>
      <c r="R547" s="58" t="str">
        <f aca="false">IF($E547="","",IFERROR(IF(INDEX(记账规则!$A$13:$H$32,MATCH($E547,记账规则!$A$13:$A$32,0),4)="借","收","支"),""))</f>
        <v/>
      </c>
      <c r="S547" s="57" t="str">
        <f aca="false">IF($D547="","",ROUND(SUMIFS(资金账户!$H$6:$H$25,资金账户!$B$6:$B$25,$D547)+SUMIFS($I$6:$I547,$D$6:$D547,$D547)-SUMIFS($J$6:$J547,$D$6:$D547,$D547),2))</f>
        <v/>
      </c>
      <c r="T547" s="61" t="str">
        <f aca="false">IF($B547="","",YEAR($B547))</f>
        <v/>
      </c>
    </row>
    <row r="548" customFormat="false" ht="15" hidden="false" customHeight="false" outlineLevel="0" collapsed="false">
      <c r="A548" s="53" t="str">
        <f aca="false">IF($B548="","",ROW()-5)</f>
        <v/>
      </c>
      <c r="B548" s="54"/>
      <c r="C548" s="33"/>
      <c r="D548" s="33"/>
      <c r="E548" s="33"/>
      <c r="F548" s="32"/>
      <c r="G548" s="41"/>
      <c r="H548" s="39"/>
      <c r="I548" s="43"/>
      <c r="J548" s="43"/>
      <c r="K548" s="41"/>
      <c r="L548" s="39"/>
      <c r="M548" s="41"/>
      <c r="N548" s="25" t="str">
        <f aca="false">IF(AND($B548="",$E548="",$I548="",$J548=""),"",IF(NOT(ISNUMBER($B548)),"日期无效",IF(ISNA(MATCH($C548,参数设置!$A$10:$A$12,0)),"公司无效",IF(ISNA(MATCH($D548,资金账户!$B$6:$B$25,0)),"账户未建档",IF(ISNA(MATCH($E548,记账规则!$A$13:$A$32,0)),"业务类型无效",IF(AND(N($I548)&lt;&gt;0,N($J548)&lt;&gt;0),"收入和支出只能填一列",IF($P548=0,"金额为 0",IF(AND($R548="收",N($I548)=0),"这类业务是收款，金额填到收入列",IF(AND($R548="支",N($J548)=0),"这类业务是付款，金额填到支出列",IF(AND(SUMPRODUCT(--(INDEX(记账规则!$A$13:$H$32,MATCH($E548,记账规则!$A$13:$A$32,0),0)="@对方"))&gt;0,$G548=""),"这个类型要填对方科目",IF(AND($G548&lt;&gt;"",ISNA(MATCH($G548,会计科目表!$B$6:$B$85,0))),"对方科目不存在",IF(AND($E548="缴纳税费",$H548=""),"缴税请在费用项目里选税种",IF(AND($F548&lt;&gt;"",ISNA(MATCH($F548,往来单位!$A$6:$A$85,0))),"往来单位未建档",IF(YEAR($B548)&lt;&gt;参数设置!$B$5,"不在本会计年度",IF(AND($B547&lt;&gt;"",ISNUMBER($B547),$B548&lt;$B547),"日期比上一行早，余额按行序滚，建议按日期录","OK")))))))))))))))</f>
        <v/>
      </c>
      <c r="O548" s="58" t="str">
        <f aca="false">IF($B548="","",TEXT($B548,"yyyy-mm"))</f>
        <v/>
      </c>
      <c r="P548" s="60" t="str">
        <f aca="false">IF($E548="","",ROUND(N($I548)+N($J548),2))</f>
        <v/>
      </c>
      <c r="Q548" s="58" t="str">
        <f aca="false">IF($D548="","",IFERROR(INDEX(资金账户!$F$6:$F$25,MATCH($D548,资金账户!$B$6:$B$25,0)),""))</f>
        <v/>
      </c>
      <c r="R548" s="58" t="str">
        <f aca="false">IF($E548="","",IFERROR(IF(INDEX(记账规则!$A$13:$H$32,MATCH($E548,记账规则!$A$13:$A$32,0),4)="借","收","支"),""))</f>
        <v/>
      </c>
      <c r="S548" s="57" t="str">
        <f aca="false">IF($D548="","",ROUND(SUMIFS(资金账户!$H$6:$H$25,资金账户!$B$6:$B$25,$D548)+SUMIFS($I$6:$I548,$D$6:$D548,$D548)-SUMIFS($J$6:$J548,$D$6:$D548,$D548),2))</f>
        <v/>
      </c>
      <c r="T548" s="61" t="str">
        <f aca="false">IF($B548="","",YEAR($B548))</f>
        <v/>
      </c>
    </row>
    <row r="549" customFormat="false" ht="15" hidden="false" customHeight="false" outlineLevel="0" collapsed="false">
      <c r="A549" s="53" t="str">
        <f aca="false">IF($B549="","",ROW()-5)</f>
        <v/>
      </c>
      <c r="B549" s="54"/>
      <c r="C549" s="33"/>
      <c r="D549" s="33"/>
      <c r="E549" s="33"/>
      <c r="F549" s="32"/>
      <c r="G549" s="41"/>
      <c r="H549" s="39"/>
      <c r="I549" s="43"/>
      <c r="J549" s="43"/>
      <c r="K549" s="41"/>
      <c r="L549" s="39"/>
      <c r="M549" s="41"/>
      <c r="N549" s="25" t="str">
        <f aca="false">IF(AND($B549="",$E549="",$I549="",$J549=""),"",IF(NOT(ISNUMBER($B549)),"日期无效",IF(ISNA(MATCH($C549,参数设置!$A$10:$A$12,0)),"公司无效",IF(ISNA(MATCH($D549,资金账户!$B$6:$B$25,0)),"账户未建档",IF(ISNA(MATCH($E549,记账规则!$A$13:$A$32,0)),"业务类型无效",IF(AND(N($I549)&lt;&gt;0,N($J549)&lt;&gt;0),"收入和支出只能填一列",IF($P549=0,"金额为 0",IF(AND($R549="收",N($I549)=0),"这类业务是收款，金额填到收入列",IF(AND($R549="支",N($J549)=0),"这类业务是付款，金额填到支出列",IF(AND(SUMPRODUCT(--(INDEX(记账规则!$A$13:$H$32,MATCH($E549,记账规则!$A$13:$A$32,0),0)="@对方"))&gt;0,$G549=""),"这个类型要填对方科目",IF(AND($G549&lt;&gt;"",ISNA(MATCH($G549,会计科目表!$B$6:$B$85,0))),"对方科目不存在",IF(AND($E549="缴纳税费",$H549=""),"缴税请在费用项目里选税种",IF(AND($F549&lt;&gt;"",ISNA(MATCH($F549,往来单位!$A$6:$A$85,0))),"往来单位未建档",IF(YEAR($B549)&lt;&gt;参数设置!$B$5,"不在本会计年度",IF(AND($B548&lt;&gt;"",ISNUMBER($B548),$B549&lt;$B548),"日期比上一行早，余额按行序滚，建议按日期录","OK")))))))))))))))</f>
        <v/>
      </c>
      <c r="O549" s="58" t="str">
        <f aca="false">IF($B549="","",TEXT($B549,"yyyy-mm"))</f>
        <v/>
      </c>
      <c r="P549" s="60" t="str">
        <f aca="false">IF($E549="","",ROUND(N($I549)+N($J549),2))</f>
        <v/>
      </c>
      <c r="Q549" s="58" t="str">
        <f aca="false">IF($D549="","",IFERROR(INDEX(资金账户!$F$6:$F$25,MATCH($D549,资金账户!$B$6:$B$25,0)),""))</f>
        <v/>
      </c>
      <c r="R549" s="58" t="str">
        <f aca="false">IF($E549="","",IFERROR(IF(INDEX(记账规则!$A$13:$H$32,MATCH($E549,记账规则!$A$13:$A$32,0),4)="借","收","支"),""))</f>
        <v/>
      </c>
      <c r="S549" s="57" t="str">
        <f aca="false">IF($D549="","",ROUND(SUMIFS(资金账户!$H$6:$H$25,资金账户!$B$6:$B$25,$D549)+SUMIFS($I$6:$I549,$D$6:$D549,$D549)-SUMIFS($J$6:$J549,$D$6:$D549,$D549),2))</f>
        <v/>
      </c>
      <c r="T549" s="61" t="str">
        <f aca="false">IF($B549="","",YEAR($B549))</f>
        <v/>
      </c>
    </row>
    <row r="550" customFormat="false" ht="15" hidden="false" customHeight="false" outlineLevel="0" collapsed="false">
      <c r="A550" s="53" t="str">
        <f aca="false">IF($B550="","",ROW()-5)</f>
        <v/>
      </c>
      <c r="B550" s="54"/>
      <c r="C550" s="33"/>
      <c r="D550" s="33"/>
      <c r="E550" s="33"/>
      <c r="F550" s="32"/>
      <c r="G550" s="41"/>
      <c r="H550" s="39"/>
      <c r="I550" s="43"/>
      <c r="J550" s="43"/>
      <c r="K550" s="41"/>
      <c r="L550" s="39"/>
      <c r="M550" s="41"/>
      <c r="N550" s="25" t="str">
        <f aca="false">IF(AND($B550="",$E550="",$I550="",$J550=""),"",IF(NOT(ISNUMBER($B550)),"日期无效",IF(ISNA(MATCH($C550,参数设置!$A$10:$A$12,0)),"公司无效",IF(ISNA(MATCH($D550,资金账户!$B$6:$B$25,0)),"账户未建档",IF(ISNA(MATCH($E550,记账规则!$A$13:$A$32,0)),"业务类型无效",IF(AND(N($I550)&lt;&gt;0,N($J550)&lt;&gt;0),"收入和支出只能填一列",IF($P550=0,"金额为 0",IF(AND($R550="收",N($I550)=0),"这类业务是收款，金额填到收入列",IF(AND($R550="支",N($J550)=0),"这类业务是付款，金额填到支出列",IF(AND(SUMPRODUCT(--(INDEX(记账规则!$A$13:$H$32,MATCH($E550,记账规则!$A$13:$A$32,0),0)="@对方"))&gt;0,$G550=""),"这个类型要填对方科目",IF(AND($G550&lt;&gt;"",ISNA(MATCH($G550,会计科目表!$B$6:$B$85,0))),"对方科目不存在",IF(AND($E550="缴纳税费",$H550=""),"缴税请在费用项目里选税种",IF(AND($F550&lt;&gt;"",ISNA(MATCH($F550,往来单位!$A$6:$A$85,0))),"往来单位未建档",IF(YEAR($B550)&lt;&gt;参数设置!$B$5,"不在本会计年度",IF(AND($B549&lt;&gt;"",ISNUMBER($B549),$B550&lt;$B549),"日期比上一行早，余额按行序滚，建议按日期录","OK")))))))))))))))</f>
        <v/>
      </c>
      <c r="O550" s="58" t="str">
        <f aca="false">IF($B550="","",TEXT($B550,"yyyy-mm"))</f>
        <v/>
      </c>
      <c r="P550" s="60" t="str">
        <f aca="false">IF($E550="","",ROUND(N($I550)+N($J550),2))</f>
        <v/>
      </c>
      <c r="Q550" s="58" t="str">
        <f aca="false">IF($D550="","",IFERROR(INDEX(资金账户!$F$6:$F$25,MATCH($D550,资金账户!$B$6:$B$25,0)),""))</f>
        <v/>
      </c>
      <c r="R550" s="58" t="str">
        <f aca="false">IF($E550="","",IFERROR(IF(INDEX(记账规则!$A$13:$H$32,MATCH($E550,记账规则!$A$13:$A$32,0),4)="借","收","支"),""))</f>
        <v/>
      </c>
      <c r="S550" s="57" t="str">
        <f aca="false">IF($D550="","",ROUND(SUMIFS(资金账户!$H$6:$H$25,资金账户!$B$6:$B$25,$D550)+SUMIFS($I$6:$I550,$D$6:$D550,$D550)-SUMIFS($J$6:$J550,$D$6:$D550,$D550),2))</f>
        <v/>
      </c>
      <c r="T550" s="61" t="str">
        <f aca="false">IF($B550="","",YEAR($B550))</f>
        <v/>
      </c>
    </row>
    <row r="551" customFormat="false" ht="15" hidden="false" customHeight="false" outlineLevel="0" collapsed="false">
      <c r="A551" s="53" t="str">
        <f aca="false">IF($B551="","",ROW()-5)</f>
        <v/>
      </c>
      <c r="B551" s="54"/>
      <c r="C551" s="33"/>
      <c r="D551" s="33"/>
      <c r="E551" s="33"/>
      <c r="F551" s="32"/>
      <c r="G551" s="41"/>
      <c r="H551" s="39"/>
      <c r="I551" s="43"/>
      <c r="J551" s="43"/>
      <c r="K551" s="41"/>
      <c r="L551" s="39"/>
      <c r="M551" s="41"/>
      <c r="N551" s="25" t="str">
        <f aca="false">IF(AND($B551="",$E551="",$I551="",$J551=""),"",IF(NOT(ISNUMBER($B551)),"日期无效",IF(ISNA(MATCH($C551,参数设置!$A$10:$A$12,0)),"公司无效",IF(ISNA(MATCH($D551,资金账户!$B$6:$B$25,0)),"账户未建档",IF(ISNA(MATCH($E551,记账规则!$A$13:$A$32,0)),"业务类型无效",IF(AND(N($I551)&lt;&gt;0,N($J551)&lt;&gt;0),"收入和支出只能填一列",IF($P551=0,"金额为 0",IF(AND($R551="收",N($I551)=0),"这类业务是收款，金额填到收入列",IF(AND($R551="支",N($J551)=0),"这类业务是付款，金额填到支出列",IF(AND(SUMPRODUCT(--(INDEX(记账规则!$A$13:$H$32,MATCH($E551,记账规则!$A$13:$A$32,0),0)="@对方"))&gt;0,$G551=""),"这个类型要填对方科目",IF(AND($G551&lt;&gt;"",ISNA(MATCH($G551,会计科目表!$B$6:$B$85,0))),"对方科目不存在",IF(AND($E551="缴纳税费",$H551=""),"缴税请在费用项目里选税种",IF(AND($F551&lt;&gt;"",ISNA(MATCH($F551,往来单位!$A$6:$A$85,0))),"往来单位未建档",IF(YEAR($B551)&lt;&gt;参数设置!$B$5,"不在本会计年度",IF(AND($B550&lt;&gt;"",ISNUMBER($B550),$B551&lt;$B550),"日期比上一行早，余额按行序滚，建议按日期录","OK")))))))))))))))</f>
        <v/>
      </c>
      <c r="O551" s="58" t="str">
        <f aca="false">IF($B551="","",TEXT($B551,"yyyy-mm"))</f>
        <v/>
      </c>
      <c r="P551" s="60" t="str">
        <f aca="false">IF($E551="","",ROUND(N($I551)+N($J551),2))</f>
        <v/>
      </c>
      <c r="Q551" s="58" t="str">
        <f aca="false">IF($D551="","",IFERROR(INDEX(资金账户!$F$6:$F$25,MATCH($D551,资金账户!$B$6:$B$25,0)),""))</f>
        <v/>
      </c>
      <c r="R551" s="58" t="str">
        <f aca="false">IF($E551="","",IFERROR(IF(INDEX(记账规则!$A$13:$H$32,MATCH($E551,记账规则!$A$13:$A$32,0),4)="借","收","支"),""))</f>
        <v/>
      </c>
      <c r="S551" s="57" t="str">
        <f aca="false">IF($D551="","",ROUND(SUMIFS(资金账户!$H$6:$H$25,资金账户!$B$6:$B$25,$D551)+SUMIFS($I$6:$I551,$D$6:$D551,$D551)-SUMIFS($J$6:$J551,$D$6:$D551,$D551),2))</f>
        <v/>
      </c>
      <c r="T551" s="61" t="str">
        <f aca="false">IF($B551="","",YEAR($B551))</f>
        <v/>
      </c>
    </row>
    <row r="552" customFormat="false" ht="15" hidden="false" customHeight="false" outlineLevel="0" collapsed="false">
      <c r="A552" s="53" t="str">
        <f aca="false">IF($B552="","",ROW()-5)</f>
        <v/>
      </c>
      <c r="B552" s="54"/>
      <c r="C552" s="33"/>
      <c r="D552" s="33"/>
      <c r="E552" s="33"/>
      <c r="F552" s="32"/>
      <c r="G552" s="41"/>
      <c r="H552" s="39"/>
      <c r="I552" s="43"/>
      <c r="J552" s="43"/>
      <c r="K552" s="41"/>
      <c r="L552" s="39"/>
      <c r="M552" s="41"/>
      <c r="N552" s="25" t="str">
        <f aca="false">IF(AND($B552="",$E552="",$I552="",$J552=""),"",IF(NOT(ISNUMBER($B552)),"日期无效",IF(ISNA(MATCH($C552,参数设置!$A$10:$A$12,0)),"公司无效",IF(ISNA(MATCH($D552,资金账户!$B$6:$B$25,0)),"账户未建档",IF(ISNA(MATCH($E552,记账规则!$A$13:$A$32,0)),"业务类型无效",IF(AND(N($I552)&lt;&gt;0,N($J552)&lt;&gt;0),"收入和支出只能填一列",IF($P552=0,"金额为 0",IF(AND($R552="收",N($I552)=0),"这类业务是收款，金额填到收入列",IF(AND($R552="支",N($J552)=0),"这类业务是付款，金额填到支出列",IF(AND(SUMPRODUCT(--(INDEX(记账规则!$A$13:$H$32,MATCH($E552,记账规则!$A$13:$A$32,0),0)="@对方"))&gt;0,$G552=""),"这个类型要填对方科目",IF(AND($G552&lt;&gt;"",ISNA(MATCH($G552,会计科目表!$B$6:$B$85,0))),"对方科目不存在",IF(AND($E552="缴纳税费",$H552=""),"缴税请在费用项目里选税种",IF(AND($F552&lt;&gt;"",ISNA(MATCH($F552,往来单位!$A$6:$A$85,0))),"往来单位未建档",IF(YEAR($B552)&lt;&gt;参数设置!$B$5,"不在本会计年度",IF(AND($B551&lt;&gt;"",ISNUMBER($B551),$B552&lt;$B551),"日期比上一行早，余额按行序滚，建议按日期录","OK")))))))))))))))</f>
        <v/>
      </c>
      <c r="O552" s="58" t="str">
        <f aca="false">IF($B552="","",TEXT($B552,"yyyy-mm"))</f>
        <v/>
      </c>
      <c r="P552" s="60" t="str">
        <f aca="false">IF($E552="","",ROUND(N($I552)+N($J552),2))</f>
        <v/>
      </c>
      <c r="Q552" s="58" t="str">
        <f aca="false">IF($D552="","",IFERROR(INDEX(资金账户!$F$6:$F$25,MATCH($D552,资金账户!$B$6:$B$25,0)),""))</f>
        <v/>
      </c>
      <c r="R552" s="58" t="str">
        <f aca="false">IF($E552="","",IFERROR(IF(INDEX(记账规则!$A$13:$H$32,MATCH($E552,记账规则!$A$13:$A$32,0),4)="借","收","支"),""))</f>
        <v/>
      </c>
      <c r="S552" s="57" t="str">
        <f aca="false">IF($D552="","",ROUND(SUMIFS(资金账户!$H$6:$H$25,资金账户!$B$6:$B$25,$D552)+SUMIFS($I$6:$I552,$D$6:$D552,$D552)-SUMIFS($J$6:$J552,$D$6:$D552,$D552),2))</f>
        <v/>
      </c>
      <c r="T552" s="61" t="str">
        <f aca="false">IF($B552="","",YEAR($B552))</f>
        <v/>
      </c>
    </row>
    <row r="553" customFormat="false" ht="15" hidden="false" customHeight="false" outlineLevel="0" collapsed="false">
      <c r="A553" s="53" t="str">
        <f aca="false">IF($B553="","",ROW()-5)</f>
        <v/>
      </c>
      <c r="B553" s="54"/>
      <c r="C553" s="33"/>
      <c r="D553" s="33"/>
      <c r="E553" s="33"/>
      <c r="F553" s="32"/>
      <c r="G553" s="41"/>
      <c r="H553" s="39"/>
      <c r="I553" s="43"/>
      <c r="J553" s="43"/>
      <c r="K553" s="41"/>
      <c r="L553" s="39"/>
      <c r="M553" s="41"/>
      <c r="N553" s="25" t="str">
        <f aca="false">IF(AND($B553="",$E553="",$I553="",$J553=""),"",IF(NOT(ISNUMBER($B553)),"日期无效",IF(ISNA(MATCH($C553,参数设置!$A$10:$A$12,0)),"公司无效",IF(ISNA(MATCH($D553,资金账户!$B$6:$B$25,0)),"账户未建档",IF(ISNA(MATCH($E553,记账规则!$A$13:$A$32,0)),"业务类型无效",IF(AND(N($I553)&lt;&gt;0,N($J553)&lt;&gt;0),"收入和支出只能填一列",IF($P553=0,"金额为 0",IF(AND($R553="收",N($I553)=0),"这类业务是收款，金额填到收入列",IF(AND($R553="支",N($J553)=0),"这类业务是付款，金额填到支出列",IF(AND(SUMPRODUCT(--(INDEX(记账规则!$A$13:$H$32,MATCH($E553,记账规则!$A$13:$A$32,0),0)="@对方"))&gt;0,$G553=""),"这个类型要填对方科目",IF(AND($G553&lt;&gt;"",ISNA(MATCH($G553,会计科目表!$B$6:$B$85,0))),"对方科目不存在",IF(AND($E553="缴纳税费",$H553=""),"缴税请在费用项目里选税种",IF(AND($F553&lt;&gt;"",ISNA(MATCH($F553,往来单位!$A$6:$A$85,0))),"往来单位未建档",IF(YEAR($B553)&lt;&gt;参数设置!$B$5,"不在本会计年度",IF(AND($B552&lt;&gt;"",ISNUMBER($B552),$B553&lt;$B552),"日期比上一行早，余额按行序滚，建议按日期录","OK")))))))))))))))</f>
        <v/>
      </c>
      <c r="O553" s="58" t="str">
        <f aca="false">IF($B553="","",TEXT($B553,"yyyy-mm"))</f>
        <v/>
      </c>
      <c r="P553" s="60" t="str">
        <f aca="false">IF($E553="","",ROUND(N($I553)+N($J553),2))</f>
        <v/>
      </c>
      <c r="Q553" s="58" t="str">
        <f aca="false">IF($D553="","",IFERROR(INDEX(资金账户!$F$6:$F$25,MATCH($D553,资金账户!$B$6:$B$25,0)),""))</f>
        <v/>
      </c>
      <c r="R553" s="58" t="str">
        <f aca="false">IF($E553="","",IFERROR(IF(INDEX(记账规则!$A$13:$H$32,MATCH($E553,记账规则!$A$13:$A$32,0),4)="借","收","支"),""))</f>
        <v/>
      </c>
      <c r="S553" s="57" t="str">
        <f aca="false">IF($D553="","",ROUND(SUMIFS(资金账户!$H$6:$H$25,资金账户!$B$6:$B$25,$D553)+SUMIFS($I$6:$I553,$D$6:$D553,$D553)-SUMIFS($J$6:$J553,$D$6:$D553,$D553),2))</f>
        <v/>
      </c>
      <c r="T553" s="61" t="str">
        <f aca="false">IF($B553="","",YEAR($B553))</f>
        <v/>
      </c>
    </row>
    <row r="554" customFormat="false" ht="15" hidden="false" customHeight="false" outlineLevel="0" collapsed="false">
      <c r="A554" s="53" t="str">
        <f aca="false">IF($B554="","",ROW()-5)</f>
        <v/>
      </c>
      <c r="B554" s="54"/>
      <c r="C554" s="33"/>
      <c r="D554" s="33"/>
      <c r="E554" s="33"/>
      <c r="F554" s="32"/>
      <c r="G554" s="41"/>
      <c r="H554" s="39"/>
      <c r="I554" s="43"/>
      <c r="J554" s="43"/>
      <c r="K554" s="41"/>
      <c r="L554" s="39"/>
      <c r="M554" s="41"/>
      <c r="N554" s="25" t="str">
        <f aca="false">IF(AND($B554="",$E554="",$I554="",$J554=""),"",IF(NOT(ISNUMBER($B554)),"日期无效",IF(ISNA(MATCH($C554,参数设置!$A$10:$A$12,0)),"公司无效",IF(ISNA(MATCH($D554,资金账户!$B$6:$B$25,0)),"账户未建档",IF(ISNA(MATCH($E554,记账规则!$A$13:$A$32,0)),"业务类型无效",IF(AND(N($I554)&lt;&gt;0,N($J554)&lt;&gt;0),"收入和支出只能填一列",IF($P554=0,"金额为 0",IF(AND($R554="收",N($I554)=0),"这类业务是收款，金额填到收入列",IF(AND($R554="支",N($J554)=0),"这类业务是付款，金额填到支出列",IF(AND(SUMPRODUCT(--(INDEX(记账规则!$A$13:$H$32,MATCH($E554,记账规则!$A$13:$A$32,0),0)="@对方"))&gt;0,$G554=""),"这个类型要填对方科目",IF(AND($G554&lt;&gt;"",ISNA(MATCH($G554,会计科目表!$B$6:$B$85,0))),"对方科目不存在",IF(AND($E554="缴纳税费",$H554=""),"缴税请在费用项目里选税种",IF(AND($F554&lt;&gt;"",ISNA(MATCH($F554,往来单位!$A$6:$A$85,0))),"往来单位未建档",IF(YEAR($B554)&lt;&gt;参数设置!$B$5,"不在本会计年度",IF(AND($B553&lt;&gt;"",ISNUMBER($B553),$B554&lt;$B553),"日期比上一行早，余额按行序滚，建议按日期录","OK")))))))))))))))</f>
        <v/>
      </c>
      <c r="O554" s="58" t="str">
        <f aca="false">IF($B554="","",TEXT($B554,"yyyy-mm"))</f>
        <v/>
      </c>
      <c r="P554" s="60" t="str">
        <f aca="false">IF($E554="","",ROUND(N($I554)+N($J554),2))</f>
        <v/>
      </c>
      <c r="Q554" s="58" t="str">
        <f aca="false">IF($D554="","",IFERROR(INDEX(资金账户!$F$6:$F$25,MATCH($D554,资金账户!$B$6:$B$25,0)),""))</f>
        <v/>
      </c>
      <c r="R554" s="58" t="str">
        <f aca="false">IF($E554="","",IFERROR(IF(INDEX(记账规则!$A$13:$H$32,MATCH($E554,记账规则!$A$13:$A$32,0),4)="借","收","支"),""))</f>
        <v/>
      </c>
      <c r="S554" s="57" t="str">
        <f aca="false">IF($D554="","",ROUND(SUMIFS(资金账户!$H$6:$H$25,资金账户!$B$6:$B$25,$D554)+SUMIFS($I$6:$I554,$D$6:$D554,$D554)-SUMIFS($J$6:$J554,$D$6:$D554,$D554),2))</f>
        <v/>
      </c>
      <c r="T554" s="61" t="str">
        <f aca="false">IF($B554="","",YEAR($B554))</f>
        <v/>
      </c>
    </row>
    <row r="555" customFormat="false" ht="15" hidden="false" customHeight="false" outlineLevel="0" collapsed="false">
      <c r="A555" s="53" t="str">
        <f aca="false">IF($B555="","",ROW()-5)</f>
        <v/>
      </c>
      <c r="B555" s="54"/>
      <c r="C555" s="33"/>
      <c r="D555" s="33"/>
      <c r="E555" s="33"/>
      <c r="F555" s="32"/>
      <c r="G555" s="41"/>
      <c r="H555" s="39"/>
      <c r="I555" s="43"/>
      <c r="J555" s="43"/>
      <c r="K555" s="41"/>
      <c r="L555" s="39"/>
      <c r="M555" s="41"/>
      <c r="N555" s="25" t="str">
        <f aca="false">IF(AND($B555="",$E555="",$I555="",$J555=""),"",IF(NOT(ISNUMBER($B555)),"日期无效",IF(ISNA(MATCH($C555,参数设置!$A$10:$A$12,0)),"公司无效",IF(ISNA(MATCH($D555,资金账户!$B$6:$B$25,0)),"账户未建档",IF(ISNA(MATCH($E555,记账规则!$A$13:$A$32,0)),"业务类型无效",IF(AND(N($I555)&lt;&gt;0,N($J555)&lt;&gt;0),"收入和支出只能填一列",IF($P555=0,"金额为 0",IF(AND($R555="收",N($I555)=0),"这类业务是收款，金额填到收入列",IF(AND($R555="支",N($J555)=0),"这类业务是付款，金额填到支出列",IF(AND(SUMPRODUCT(--(INDEX(记账规则!$A$13:$H$32,MATCH($E555,记账规则!$A$13:$A$32,0),0)="@对方"))&gt;0,$G555=""),"这个类型要填对方科目",IF(AND($G555&lt;&gt;"",ISNA(MATCH($G555,会计科目表!$B$6:$B$85,0))),"对方科目不存在",IF(AND($E555="缴纳税费",$H555=""),"缴税请在费用项目里选税种",IF(AND($F555&lt;&gt;"",ISNA(MATCH($F555,往来单位!$A$6:$A$85,0))),"往来单位未建档",IF(YEAR($B555)&lt;&gt;参数设置!$B$5,"不在本会计年度",IF(AND($B554&lt;&gt;"",ISNUMBER($B554),$B555&lt;$B554),"日期比上一行早，余额按行序滚，建议按日期录","OK")))))))))))))))</f>
        <v/>
      </c>
      <c r="O555" s="58" t="str">
        <f aca="false">IF($B555="","",TEXT($B555,"yyyy-mm"))</f>
        <v/>
      </c>
      <c r="P555" s="60" t="str">
        <f aca="false">IF($E555="","",ROUND(N($I555)+N($J555),2))</f>
        <v/>
      </c>
      <c r="Q555" s="58" t="str">
        <f aca="false">IF($D555="","",IFERROR(INDEX(资金账户!$F$6:$F$25,MATCH($D555,资金账户!$B$6:$B$25,0)),""))</f>
        <v/>
      </c>
      <c r="R555" s="58" t="str">
        <f aca="false">IF($E555="","",IFERROR(IF(INDEX(记账规则!$A$13:$H$32,MATCH($E555,记账规则!$A$13:$A$32,0),4)="借","收","支"),""))</f>
        <v/>
      </c>
      <c r="S555" s="57" t="str">
        <f aca="false">IF($D555="","",ROUND(SUMIFS(资金账户!$H$6:$H$25,资金账户!$B$6:$B$25,$D555)+SUMIFS($I$6:$I555,$D$6:$D555,$D555)-SUMIFS($J$6:$J555,$D$6:$D555,$D555),2))</f>
        <v/>
      </c>
      <c r="T555" s="61" t="str">
        <f aca="false">IF($B555="","",YEAR($B555))</f>
        <v/>
      </c>
    </row>
    <row r="556" customFormat="false" ht="15" hidden="false" customHeight="false" outlineLevel="0" collapsed="false">
      <c r="A556" s="53" t="str">
        <f aca="false">IF($B556="","",ROW()-5)</f>
        <v/>
      </c>
      <c r="B556" s="54"/>
      <c r="C556" s="33"/>
      <c r="D556" s="33"/>
      <c r="E556" s="33"/>
      <c r="F556" s="32"/>
      <c r="G556" s="41"/>
      <c r="H556" s="39"/>
      <c r="I556" s="43"/>
      <c r="J556" s="43"/>
      <c r="K556" s="41"/>
      <c r="L556" s="39"/>
      <c r="M556" s="41"/>
      <c r="N556" s="25" t="str">
        <f aca="false">IF(AND($B556="",$E556="",$I556="",$J556=""),"",IF(NOT(ISNUMBER($B556)),"日期无效",IF(ISNA(MATCH($C556,参数设置!$A$10:$A$12,0)),"公司无效",IF(ISNA(MATCH($D556,资金账户!$B$6:$B$25,0)),"账户未建档",IF(ISNA(MATCH($E556,记账规则!$A$13:$A$32,0)),"业务类型无效",IF(AND(N($I556)&lt;&gt;0,N($J556)&lt;&gt;0),"收入和支出只能填一列",IF($P556=0,"金额为 0",IF(AND($R556="收",N($I556)=0),"这类业务是收款，金额填到收入列",IF(AND($R556="支",N($J556)=0),"这类业务是付款，金额填到支出列",IF(AND(SUMPRODUCT(--(INDEX(记账规则!$A$13:$H$32,MATCH($E556,记账规则!$A$13:$A$32,0),0)="@对方"))&gt;0,$G556=""),"这个类型要填对方科目",IF(AND($G556&lt;&gt;"",ISNA(MATCH($G556,会计科目表!$B$6:$B$85,0))),"对方科目不存在",IF(AND($E556="缴纳税费",$H556=""),"缴税请在费用项目里选税种",IF(AND($F556&lt;&gt;"",ISNA(MATCH($F556,往来单位!$A$6:$A$85,0))),"往来单位未建档",IF(YEAR($B556)&lt;&gt;参数设置!$B$5,"不在本会计年度",IF(AND($B555&lt;&gt;"",ISNUMBER($B555),$B556&lt;$B555),"日期比上一行早，余额按行序滚，建议按日期录","OK")))))))))))))))</f>
        <v/>
      </c>
      <c r="O556" s="58" t="str">
        <f aca="false">IF($B556="","",TEXT($B556,"yyyy-mm"))</f>
        <v/>
      </c>
      <c r="P556" s="60" t="str">
        <f aca="false">IF($E556="","",ROUND(N($I556)+N($J556),2))</f>
        <v/>
      </c>
      <c r="Q556" s="58" t="str">
        <f aca="false">IF($D556="","",IFERROR(INDEX(资金账户!$F$6:$F$25,MATCH($D556,资金账户!$B$6:$B$25,0)),""))</f>
        <v/>
      </c>
      <c r="R556" s="58" t="str">
        <f aca="false">IF($E556="","",IFERROR(IF(INDEX(记账规则!$A$13:$H$32,MATCH($E556,记账规则!$A$13:$A$32,0),4)="借","收","支"),""))</f>
        <v/>
      </c>
      <c r="S556" s="57" t="str">
        <f aca="false">IF($D556="","",ROUND(SUMIFS(资金账户!$H$6:$H$25,资金账户!$B$6:$B$25,$D556)+SUMIFS($I$6:$I556,$D$6:$D556,$D556)-SUMIFS($J$6:$J556,$D$6:$D556,$D556),2))</f>
        <v/>
      </c>
      <c r="T556" s="61" t="str">
        <f aca="false">IF($B556="","",YEAR($B556))</f>
        <v/>
      </c>
    </row>
    <row r="557" customFormat="false" ht="15" hidden="false" customHeight="false" outlineLevel="0" collapsed="false">
      <c r="A557" s="53" t="str">
        <f aca="false">IF($B557="","",ROW()-5)</f>
        <v/>
      </c>
      <c r="B557" s="54"/>
      <c r="C557" s="33"/>
      <c r="D557" s="33"/>
      <c r="E557" s="33"/>
      <c r="F557" s="32"/>
      <c r="G557" s="41"/>
      <c r="H557" s="39"/>
      <c r="I557" s="43"/>
      <c r="J557" s="43"/>
      <c r="K557" s="41"/>
      <c r="L557" s="39"/>
      <c r="M557" s="41"/>
      <c r="N557" s="25" t="str">
        <f aca="false">IF(AND($B557="",$E557="",$I557="",$J557=""),"",IF(NOT(ISNUMBER($B557)),"日期无效",IF(ISNA(MATCH($C557,参数设置!$A$10:$A$12,0)),"公司无效",IF(ISNA(MATCH($D557,资金账户!$B$6:$B$25,0)),"账户未建档",IF(ISNA(MATCH($E557,记账规则!$A$13:$A$32,0)),"业务类型无效",IF(AND(N($I557)&lt;&gt;0,N($J557)&lt;&gt;0),"收入和支出只能填一列",IF($P557=0,"金额为 0",IF(AND($R557="收",N($I557)=0),"这类业务是收款，金额填到收入列",IF(AND($R557="支",N($J557)=0),"这类业务是付款，金额填到支出列",IF(AND(SUMPRODUCT(--(INDEX(记账规则!$A$13:$H$32,MATCH($E557,记账规则!$A$13:$A$32,0),0)="@对方"))&gt;0,$G557=""),"这个类型要填对方科目",IF(AND($G557&lt;&gt;"",ISNA(MATCH($G557,会计科目表!$B$6:$B$85,0))),"对方科目不存在",IF(AND($E557="缴纳税费",$H557=""),"缴税请在费用项目里选税种",IF(AND($F557&lt;&gt;"",ISNA(MATCH($F557,往来单位!$A$6:$A$85,0))),"往来单位未建档",IF(YEAR($B557)&lt;&gt;参数设置!$B$5,"不在本会计年度",IF(AND($B556&lt;&gt;"",ISNUMBER($B556),$B557&lt;$B556),"日期比上一行早，余额按行序滚，建议按日期录","OK")))))))))))))))</f>
        <v/>
      </c>
      <c r="O557" s="58" t="str">
        <f aca="false">IF($B557="","",TEXT($B557,"yyyy-mm"))</f>
        <v/>
      </c>
      <c r="P557" s="60" t="str">
        <f aca="false">IF($E557="","",ROUND(N($I557)+N($J557),2))</f>
        <v/>
      </c>
      <c r="Q557" s="58" t="str">
        <f aca="false">IF($D557="","",IFERROR(INDEX(资金账户!$F$6:$F$25,MATCH($D557,资金账户!$B$6:$B$25,0)),""))</f>
        <v/>
      </c>
      <c r="R557" s="58" t="str">
        <f aca="false">IF($E557="","",IFERROR(IF(INDEX(记账规则!$A$13:$H$32,MATCH($E557,记账规则!$A$13:$A$32,0),4)="借","收","支"),""))</f>
        <v/>
      </c>
      <c r="S557" s="57" t="str">
        <f aca="false">IF($D557="","",ROUND(SUMIFS(资金账户!$H$6:$H$25,资金账户!$B$6:$B$25,$D557)+SUMIFS($I$6:$I557,$D$6:$D557,$D557)-SUMIFS($J$6:$J557,$D$6:$D557,$D557),2))</f>
        <v/>
      </c>
      <c r="T557" s="61" t="str">
        <f aca="false">IF($B557="","",YEAR($B557))</f>
        <v/>
      </c>
    </row>
    <row r="558" customFormat="false" ht="15" hidden="false" customHeight="false" outlineLevel="0" collapsed="false">
      <c r="A558" s="53" t="str">
        <f aca="false">IF($B558="","",ROW()-5)</f>
        <v/>
      </c>
      <c r="B558" s="54"/>
      <c r="C558" s="33"/>
      <c r="D558" s="33"/>
      <c r="E558" s="33"/>
      <c r="F558" s="32"/>
      <c r="G558" s="41"/>
      <c r="H558" s="39"/>
      <c r="I558" s="43"/>
      <c r="J558" s="43"/>
      <c r="K558" s="41"/>
      <c r="L558" s="39"/>
      <c r="M558" s="41"/>
      <c r="N558" s="25" t="str">
        <f aca="false">IF(AND($B558="",$E558="",$I558="",$J558=""),"",IF(NOT(ISNUMBER($B558)),"日期无效",IF(ISNA(MATCH($C558,参数设置!$A$10:$A$12,0)),"公司无效",IF(ISNA(MATCH($D558,资金账户!$B$6:$B$25,0)),"账户未建档",IF(ISNA(MATCH($E558,记账规则!$A$13:$A$32,0)),"业务类型无效",IF(AND(N($I558)&lt;&gt;0,N($J558)&lt;&gt;0),"收入和支出只能填一列",IF($P558=0,"金额为 0",IF(AND($R558="收",N($I558)=0),"这类业务是收款，金额填到收入列",IF(AND($R558="支",N($J558)=0),"这类业务是付款，金额填到支出列",IF(AND(SUMPRODUCT(--(INDEX(记账规则!$A$13:$H$32,MATCH($E558,记账规则!$A$13:$A$32,0),0)="@对方"))&gt;0,$G558=""),"这个类型要填对方科目",IF(AND($G558&lt;&gt;"",ISNA(MATCH($G558,会计科目表!$B$6:$B$85,0))),"对方科目不存在",IF(AND($E558="缴纳税费",$H558=""),"缴税请在费用项目里选税种",IF(AND($F558&lt;&gt;"",ISNA(MATCH($F558,往来单位!$A$6:$A$85,0))),"往来单位未建档",IF(YEAR($B558)&lt;&gt;参数设置!$B$5,"不在本会计年度",IF(AND($B557&lt;&gt;"",ISNUMBER($B557),$B558&lt;$B557),"日期比上一行早，余额按行序滚，建议按日期录","OK")))))))))))))))</f>
        <v/>
      </c>
      <c r="O558" s="58" t="str">
        <f aca="false">IF($B558="","",TEXT($B558,"yyyy-mm"))</f>
        <v/>
      </c>
      <c r="P558" s="60" t="str">
        <f aca="false">IF($E558="","",ROUND(N($I558)+N($J558),2))</f>
        <v/>
      </c>
      <c r="Q558" s="58" t="str">
        <f aca="false">IF($D558="","",IFERROR(INDEX(资金账户!$F$6:$F$25,MATCH($D558,资金账户!$B$6:$B$25,0)),""))</f>
        <v/>
      </c>
      <c r="R558" s="58" t="str">
        <f aca="false">IF($E558="","",IFERROR(IF(INDEX(记账规则!$A$13:$H$32,MATCH($E558,记账规则!$A$13:$A$32,0),4)="借","收","支"),""))</f>
        <v/>
      </c>
      <c r="S558" s="57" t="str">
        <f aca="false">IF($D558="","",ROUND(SUMIFS(资金账户!$H$6:$H$25,资金账户!$B$6:$B$25,$D558)+SUMIFS($I$6:$I558,$D$6:$D558,$D558)-SUMIFS($J$6:$J558,$D$6:$D558,$D558),2))</f>
        <v/>
      </c>
      <c r="T558" s="61" t="str">
        <f aca="false">IF($B558="","",YEAR($B558))</f>
        <v/>
      </c>
    </row>
    <row r="559" customFormat="false" ht="15" hidden="false" customHeight="false" outlineLevel="0" collapsed="false">
      <c r="A559" s="53" t="str">
        <f aca="false">IF($B559="","",ROW()-5)</f>
        <v/>
      </c>
      <c r="B559" s="54"/>
      <c r="C559" s="33"/>
      <c r="D559" s="33"/>
      <c r="E559" s="33"/>
      <c r="F559" s="32"/>
      <c r="G559" s="41"/>
      <c r="H559" s="39"/>
      <c r="I559" s="43"/>
      <c r="J559" s="43"/>
      <c r="K559" s="41"/>
      <c r="L559" s="39"/>
      <c r="M559" s="41"/>
      <c r="N559" s="25" t="str">
        <f aca="false">IF(AND($B559="",$E559="",$I559="",$J559=""),"",IF(NOT(ISNUMBER($B559)),"日期无效",IF(ISNA(MATCH($C559,参数设置!$A$10:$A$12,0)),"公司无效",IF(ISNA(MATCH($D559,资金账户!$B$6:$B$25,0)),"账户未建档",IF(ISNA(MATCH($E559,记账规则!$A$13:$A$32,0)),"业务类型无效",IF(AND(N($I559)&lt;&gt;0,N($J559)&lt;&gt;0),"收入和支出只能填一列",IF($P559=0,"金额为 0",IF(AND($R559="收",N($I559)=0),"这类业务是收款，金额填到收入列",IF(AND($R559="支",N($J559)=0),"这类业务是付款，金额填到支出列",IF(AND(SUMPRODUCT(--(INDEX(记账规则!$A$13:$H$32,MATCH($E559,记账规则!$A$13:$A$32,0),0)="@对方"))&gt;0,$G559=""),"这个类型要填对方科目",IF(AND($G559&lt;&gt;"",ISNA(MATCH($G559,会计科目表!$B$6:$B$85,0))),"对方科目不存在",IF(AND($E559="缴纳税费",$H559=""),"缴税请在费用项目里选税种",IF(AND($F559&lt;&gt;"",ISNA(MATCH($F559,往来单位!$A$6:$A$85,0))),"往来单位未建档",IF(YEAR($B559)&lt;&gt;参数设置!$B$5,"不在本会计年度",IF(AND($B558&lt;&gt;"",ISNUMBER($B558),$B559&lt;$B558),"日期比上一行早，余额按行序滚，建议按日期录","OK")))))))))))))))</f>
        <v/>
      </c>
      <c r="O559" s="58" t="str">
        <f aca="false">IF($B559="","",TEXT($B559,"yyyy-mm"))</f>
        <v/>
      </c>
      <c r="P559" s="60" t="str">
        <f aca="false">IF($E559="","",ROUND(N($I559)+N($J559),2))</f>
        <v/>
      </c>
      <c r="Q559" s="58" t="str">
        <f aca="false">IF($D559="","",IFERROR(INDEX(资金账户!$F$6:$F$25,MATCH($D559,资金账户!$B$6:$B$25,0)),""))</f>
        <v/>
      </c>
      <c r="R559" s="58" t="str">
        <f aca="false">IF($E559="","",IFERROR(IF(INDEX(记账规则!$A$13:$H$32,MATCH($E559,记账规则!$A$13:$A$32,0),4)="借","收","支"),""))</f>
        <v/>
      </c>
      <c r="S559" s="57" t="str">
        <f aca="false">IF($D559="","",ROUND(SUMIFS(资金账户!$H$6:$H$25,资金账户!$B$6:$B$25,$D559)+SUMIFS($I$6:$I559,$D$6:$D559,$D559)-SUMIFS($J$6:$J559,$D$6:$D559,$D559),2))</f>
        <v/>
      </c>
      <c r="T559" s="61" t="str">
        <f aca="false">IF($B559="","",YEAR($B559))</f>
        <v/>
      </c>
    </row>
    <row r="560" customFormat="false" ht="15" hidden="false" customHeight="false" outlineLevel="0" collapsed="false">
      <c r="A560" s="53" t="str">
        <f aca="false">IF($B560="","",ROW()-5)</f>
        <v/>
      </c>
      <c r="B560" s="54"/>
      <c r="C560" s="33"/>
      <c r="D560" s="33"/>
      <c r="E560" s="33"/>
      <c r="F560" s="32"/>
      <c r="G560" s="41"/>
      <c r="H560" s="39"/>
      <c r="I560" s="43"/>
      <c r="J560" s="43"/>
      <c r="K560" s="41"/>
      <c r="L560" s="39"/>
      <c r="M560" s="41"/>
      <c r="N560" s="25" t="str">
        <f aca="false">IF(AND($B560="",$E560="",$I560="",$J560=""),"",IF(NOT(ISNUMBER($B560)),"日期无效",IF(ISNA(MATCH($C560,参数设置!$A$10:$A$12,0)),"公司无效",IF(ISNA(MATCH($D560,资金账户!$B$6:$B$25,0)),"账户未建档",IF(ISNA(MATCH($E560,记账规则!$A$13:$A$32,0)),"业务类型无效",IF(AND(N($I560)&lt;&gt;0,N($J560)&lt;&gt;0),"收入和支出只能填一列",IF($P560=0,"金额为 0",IF(AND($R560="收",N($I560)=0),"这类业务是收款，金额填到收入列",IF(AND($R560="支",N($J560)=0),"这类业务是付款，金额填到支出列",IF(AND(SUMPRODUCT(--(INDEX(记账规则!$A$13:$H$32,MATCH($E560,记账规则!$A$13:$A$32,0),0)="@对方"))&gt;0,$G560=""),"这个类型要填对方科目",IF(AND($G560&lt;&gt;"",ISNA(MATCH($G560,会计科目表!$B$6:$B$85,0))),"对方科目不存在",IF(AND($E560="缴纳税费",$H560=""),"缴税请在费用项目里选税种",IF(AND($F560&lt;&gt;"",ISNA(MATCH($F560,往来单位!$A$6:$A$85,0))),"往来单位未建档",IF(YEAR($B560)&lt;&gt;参数设置!$B$5,"不在本会计年度",IF(AND($B559&lt;&gt;"",ISNUMBER($B559),$B560&lt;$B559),"日期比上一行早，余额按行序滚，建议按日期录","OK")))))))))))))))</f>
        <v/>
      </c>
      <c r="O560" s="58" t="str">
        <f aca="false">IF($B560="","",TEXT($B560,"yyyy-mm"))</f>
        <v/>
      </c>
      <c r="P560" s="60" t="str">
        <f aca="false">IF($E560="","",ROUND(N($I560)+N($J560),2))</f>
        <v/>
      </c>
      <c r="Q560" s="58" t="str">
        <f aca="false">IF($D560="","",IFERROR(INDEX(资金账户!$F$6:$F$25,MATCH($D560,资金账户!$B$6:$B$25,0)),""))</f>
        <v/>
      </c>
      <c r="R560" s="58" t="str">
        <f aca="false">IF($E560="","",IFERROR(IF(INDEX(记账规则!$A$13:$H$32,MATCH($E560,记账规则!$A$13:$A$32,0),4)="借","收","支"),""))</f>
        <v/>
      </c>
      <c r="S560" s="57" t="str">
        <f aca="false">IF($D560="","",ROUND(SUMIFS(资金账户!$H$6:$H$25,资金账户!$B$6:$B$25,$D560)+SUMIFS($I$6:$I560,$D$6:$D560,$D560)-SUMIFS($J$6:$J560,$D$6:$D560,$D560),2))</f>
        <v/>
      </c>
      <c r="T560" s="61" t="str">
        <f aca="false">IF($B560="","",YEAR($B560))</f>
        <v/>
      </c>
    </row>
    <row r="561" customFormat="false" ht="15" hidden="false" customHeight="false" outlineLevel="0" collapsed="false">
      <c r="A561" s="53" t="str">
        <f aca="false">IF($B561="","",ROW()-5)</f>
        <v/>
      </c>
      <c r="B561" s="54"/>
      <c r="C561" s="33"/>
      <c r="D561" s="33"/>
      <c r="E561" s="33"/>
      <c r="F561" s="32"/>
      <c r="G561" s="41"/>
      <c r="H561" s="39"/>
      <c r="I561" s="43"/>
      <c r="J561" s="43"/>
      <c r="K561" s="41"/>
      <c r="L561" s="39"/>
      <c r="M561" s="41"/>
      <c r="N561" s="25" t="str">
        <f aca="false">IF(AND($B561="",$E561="",$I561="",$J561=""),"",IF(NOT(ISNUMBER($B561)),"日期无效",IF(ISNA(MATCH($C561,参数设置!$A$10:$A$12,0)),"公司无效",IF(ISNA(MATCH($D561,资金账户!$B$6:$B$25,0)),"账户未建档",IF(ISNA(MATCH($E561,记账规则!$A$13:$A$32,0)),"业务类型无效",IF(AND(N($I561)&lt;&gt;0,N($J561)&lt;&gt;0),"收入和支出只能填一列",IF($P561=0,"金额为 0",IF(AND($R561="收",N($I561)=0),"这类业务是收款，金额填到收入列",IF(AND($R561="支",N($J561)=0),"这类业务是付款，金额填到支出列",IF(AND(SUMPRODUCT(--(INDEX(记账规则!$A$13:$H$32,MATCH($E561,记账规则!$A$13:$A$32,0),0)="@对方"))&gt;0,$G561=""),"这个类型要填对方科目",IF(AND($G561&lt;&gt;"",ISNA(MATCH($G561,会计科目表!$B$6:$B$85,0))),"对方科目不存在",IF(AND($E561="缴纳税费",$H561=""),"缴税请在费用项目里选税种",IF(AND($F561&lt;&gt;"",ISNA(MATCH($F561,往来单位!$A$6:$A$85,0))),"往来单位未建档",IF(YEAR($B561)&lt;&gt;参数设置!$B$5,"不在本会计年度",IF(AND($B560&lt;&gt;"",ISNUMBER($B560),$B561&lt;$B560),"日期比上一行早，余额按行序滚，建议按日期录","OK")))))))))))))))</f>
        <v/>
      </c>
      <c r="O561" s="58" t="str">
        <f aca="false">IF($B561="","",TEXT($B561,"yyyy-mm"))</f>
        <v/>
      </c>
      <c r="P561" s="60" t="str">
        <f aca="false">IF($E561="","",ROUND(N($I561)+N($J561),2))</f>
        <v/>
      </c>
      <c r="Q561" s="58" t="str">
        <f aca="false">IF($D561="","",IFERROR(INDEX(资金账户!$F$6:$F$25,MATCH($D561,资金账户!$B$6:$B$25,0)),""))</f>
        <v/>
      </c>
      <c r="R561" s="58" t="str">
        <f aca="false">IF($E561="","",IFERROR(IF(INDEX(记账规则!$A$13:$H$32,MATCH($E561,记账规则!$A$13:$A$32,0),4)="借","收","支"),""))</f>
        <v/>
      </c>
      <c r="S561" s="57" t="str">
        <f aca="false">IF($D561="","",ROUND(SUMIFS(资金账户!$H$6:$H$25,资金账户!$B$6:$B$25,$D561)+SUMIFS($I$6:$I561,$D$6:$D561,$D561)-SUMIFS($J$6:$J561,$D$6:$D561,$D561),2))</f>
        <v/>
      </c>
      <c r="T561" s="61" t="str">
        <f aca="false">IF($B561="","",YEAR($B561))</f>
        <v/>
      </c>
    </row>
    <row r="562" customFormat="false" ht="15" hidden="false" customHeight="false" outlineLevel="0" collapsed="false">
      <c r="A562" s="53" t="str">
        <f aca="false">IF($B562="","",ROW()-5)</f>
        <v/>
      </c>
      <c r="B562" s="54"/>
      <c r="C562" s="33"/>
      <c r="D562" s="33"/>
      <c r="E562" s="33"/>
      <c r="F562" s="32"/>
      <c r="G562" s="41"/>
      <c r="H562" s="39"/>
      <c r="I562" s="43"/>
      <c r="J562" s="43"/>
      <c r="K562" s="41"/>
      <c r="L562" s="39"/>
      <c r="M562" s="41"/>
      <c r="N562" s="25" t="str">
        <f aca="false">IF(AND($B562="",$E562="",$I562="",$J562=""),"",IF(NOT(ISNUMBER($B562)),"日期无效",IF(ISNA(MATCH($C562,参数设置!$A$10:$A$12,0)),"公司无效",IF(ISNA(MATCH($D562,资金账户!$B$6:$B$25,0)),"账户未建档",IF(ISNA(MATCH($E562,记账规则!$A$13:$A$32,0)),"业务类型无效",IF(AND(N($I562)&lt;&gt;0,N($J562)&lt;&gt;0),"收入和支出只能填一列",IF($P562=0,"金额为 0",IF(AND($R562="收",N($I562)=0),"这类业务是收款，金额填到收入列",IF(AND($R562="支",N($J562)=0),"这类业务是付款，金额填到支出列",IF(AND(SUMPRODUCT(--(INDEX(记账规则!$A$13:$H$32,MATCH($E562,记账规则!$A$13:$A$32,0),0)="@对方"))&gt;0,$G562=""),"这个类型要填对方科目",IF(AND($G562&lt;&gt;"",ISNA(MATCH($G562,会计科目表!$B$6:$B$85,0))),"对方科目不存在",IF(AND($E562="缴纳税费",$H562=""),"缴税请在费用项目里选税种",IF(AND($F562&lt;&gt;"",ISNA(MATCH($F562,往来单位!$A$6:$A$85,0))),"往来单位未建档",IF(YEAR($B562)&lt;&gt;参数设置!$B$5,"不在本会计年度",IF(AND($B561&lt;&gt;"",ISNUMBER($B561),$B562&lt;$B561),"日期比上一行早，余额按行序滚，建议按日期录","OK")))))))))))))))</f>
        <v/>
      </c>
      <c r="O562" s="58" t="str">
        <f aca="false">IF($B562="","",TEXT($B562,"yyyy-mm"))</f>
        <v/>
      </c>
      <c r="P562" s="60" t="str">
        <f aca="false">IF($E562="","",ROUND(N($I562)+N($J562),2))</f>
        <v/>
      </c>
      <c r="Q562" s="58" t="str">
        <f aca="false">IF($D562="","",IFERROR(INDEX(资金账户!$F$6:$F$25,MATCH($D562,资金账户!$B$6:$B$25,0)),""))</f>
        <v/>
      </c>
      <c r="R562" s="58" t="str">
        <f aca="false">IF($E562="","",IFERROR(IF(INDEX(记账规则!$A$13:$H$32,MATCH($E562,记账规则!$A$13:$A$32,0),4)="借","收","支"),""))</f>
        <v/>
      </c>
      <c r="S562" s="57" t="str">
        <f aca="false">IF($D562="","",ROUND(SUMIFS(资金账户!$H$6:$H$25,资金账户!$B$6:$B$25,$D562)+SUMIFS($I$6:$I562,$D$6:$D562,$D562)-SUMIFS($J$6:$J562,$D$6:$D562,$D562),2))</f>
        <v/>
      </c>
      <c r="T562" s="61" t="str">
        <f aca="false">IF($B562="","",YEAR($B562))</f>
        <v/>
      </c>
    </row>
    <row r="563" customFormat="false" ht="15" hidden="false" customHeight="false" outlineLevel="0" collapsed="false">
      <c r="A563" s="53" t="str">
        <f aca="false">IF($B563="","",ROW()-5)</f>
        <v/>
      </c>
      <c r="B563" s="54"/>
      <c r="C563" s="33"/>
      <c r="D563" s="33"/>
      <c r="E563" s="33"/>
      <c r="F563" s="32"/>
      <c r="G563" s="41"/>
      <c r="H563" s="39"/>
      <c r="I563" s="43"/>
      <c r="J563" s="43"/>
      <c r="K563" s="41"/>
      <c r="L563" s="39"/>
      <c r="M563" s="41"/>
      <c r="N563" s="25" t="str">
        <f aca="false">IF(AND($B563="",$E563="",$I563="",$J563=""),"",IF(NOT(ISNUMBER($B563)),"日期无效",IF(ISNA(MATCH($C563,参数设置!$A$10:$A$12,0)),"公司无效",IF(ISNA(MATCH($D563,资金账户!$B$6:$B$25,0)),"账户未建档",IF(ISNA(MATCH($E563,记账规则!$A$13:$A$32,0)),"业务类型无效",IF(AND(N($I563)&lt;&gt;0,N($J563)&lt;&gt;0),"收入和支出只能填一列",IF($P563=0,"金额为 0",IF(AND($R563="收",N($I563)=0),"这类业务是收款，金额填到收入列",IF(AND($R563="支",N($J563)=0),"这类业务是付款，金额填到支出列",IF(AND(SUMPRODUCT(--(INDEX(记账规则!$A$13:$H$32,MATCH($E563,记账规则!$A$13:$A$32,0),0)="@对方"))&gt;0,$G563=""),"这个类型要填对方科目",IF(AND($G563&lt;&gt;"",ISNA(MATCH($G563,会计科目表!$B$6:$B$85,0))),"对方科目不存在",IF(AND($E563="缴纳税费",$H563=""),"缴税请在费用项目里选税种",IF(AND($F563&lt;&gt;"",ISNA(MATCH($F563,往来单位!$A$6:$A$85,0))),"往来单位未建档",IF(YEAR($B563)&lt;&gt;参数设置!$B$5,"不在本会计年度",IF(AND($B562&lt;&gt;"",ISNUMBER($B562),$B563&lt;$B562),"日期比上一行早，余额按行序滚，建议按日期录","OK")))))))))))))))</f>
        <v/>
      </c>
      <c r="O563" s="58" t="str">
        <f aca="false">IF($B563="","",TEXT($B563,"yyyy-mm"))</f>
        <v/>
      </c>
      <c r="P563" s="60" t="str">
        <f aca="false">IF($E563="","",ROUND(N($I563)+N($J563),2))</f>
        <v/>
      </c>
      <c r="Q563" s="58" t="str">
        <f aca="false">IF($D563="","",IFERROR(INDEX(资金账户!$F$6:$F$25,MATCH($D563,资金账户!$B$6:$B$25,0)),""))</f>
        <v/>
      </c>
      <c r="R563" s="58" t="str">
        <f aca="false">IF($E563="","",IFERROR(IF(INDEX(记账规则!$A$13:$H$32,MATCH($E563,记账规则!$A$13:$A$32,0),4)="借","收","支"),""))</f>
        <v/>
      </c>
      <c r="S563" s="57" t="str">
        <f aca="false">IF($D563="","",ROUND(SUMIFS(资金账户!$H$6:$H$25,资金账户!$B$6:$B$25,$D563)+SUMIFS($I$6:$I563,$D$6:$D563,$D563)-SUMIFS($J$6:$J563,$D$6:$D563,$D563),2))</f>
        <v/>
      </c>
      <c r="T563" s="61" t="str">
        <f aca="false">IF($B563="","",YEAR($B563))</f>
        <v/>
      </c>
    </row>
    <row r="564" customFormat="false" ht="15" hidden="false" customHeight="false" outlineLevel="0" collapsed="false">
      <c r="A564" s="53" t="str">
        <f aca="false">IF($B564="","",ROW()-5)</f>
        <v/>
      </c>
      <c r="B564" s="54"/>
      <c r="C564" s="33"/>
      <c r="D564" s="33"/>
      <c r="E564" s="33"/>
      <c r="F564" s="32"/>
      <c r="G564" s="41"/>
      <c r="H564" s="39"/>
      <c r="I564" s="43"/>
      <c r="J564" s="43"/>
      <c r="K564" s="41"/>
      <c r="L564" s="39"/>
      <c r="M564" s="41"/>
      <c r="N564" s="25" t="str">
        <f aca="false">IF(AND($B564="",$E564="",$I564="",$J564=""),"",IF(NOT(ISNUMBER($B564)),"日期无效",IF(ISNA(MATCH($C564,参数设置!$A$10:$A$12,0)),"公司无效",IF(ISNA(MATCH($D564,资金账户!$B$6:$B$25,0)),"账户未建档",IF(ISNA(MATCH($E564,记账规则!$A$13:$A$32,0)),"业务类型无效",IF(AND(N($I564)&lt;&gt;0,N($J564)&lt;&gt;0),"收入和支出只能填一列",IF($P564=0,"金额为 0",IF(AND($R564="收",N($I564)=0),"这类业务是收款，金额填到收入列",IF(AND($R564="支",N($J564)=0),"这类业务是付款，金额填到支出列",IF(AND(SUMPRODUCT(--(INDEX(记账规则!$A$13:$H$32,MATCH($E564,记账规则!$A$13:$A$32,0),0)="@对方"))&gt;0,$G564=""),"这个类型要填对方科目",IF(AND($G564&lt;&gt;"",ISNA(MATCH($G564,会计科目表!$B$6:$B$85,0))),"对方科目不存在",IF(AND($E564="缴纳税费",$H564=""),"缴税请在费用项目里选税种",IF(AND($F564&lt;&gt;"",ISNA(MATCH($F564,往来单位!$A$6:$A$85,0))),"往来单位未建档",IF(YEAR($B564)&lt;&gt;参数设置!$B$5,"不在本会计年度",IF(AND($B563&lt;&gt;"",ISNUMBER($B563),$B564&lt;$B563),"日期比上一行早，余额按行序滚，建议按日期录","OK")))))))))))))))</f>
        <v/>
      </c>
      <c r="O564" s="58" t="str">
        <f aca="false">IF($B564="","",TEXT($B564,"yyyy-mm"))</f>
        <v/>
      </c>
      <c r="P564" s="60" t="str">
        <f aca="false">IF($E564="","",ROUND(N($I564)+N($J564),2))</f>
        <v/>
      </c>
      <c r="Q564" s="58" t="str">
        <f aca="false">IF($D564="","",IFERROR(INDEX(资金账户!$F$6:$F$25,MATCH($D564,资金账户!$B$6:$B$25,0)),""))</f>
        <v/>
      </c>
      <c r="R564" s="58" t="str">
        <f aca="false">IF($E564="","",IFERROR(IF(INDEX(记账规则!$A$13:$H$32,MATCH($E564,记账规则!$A$13:$A$32,0),4)="借","收","支"),""))</f>
        <v/>
      </c>
      <c r="S564" s="57" t="str">
        <f aca="false">IF($D564="","",ROUND(SUMIFS(资金账户!$H$6:$H$25,资金账户!$B$6:$B$25,$D564)+SUMIFS($I$6:$I564,$D$6:$D564,$D564)-SUMIFS($J$6:$J564,$D$6:$D564,$D564),2))</f>
        <v/>
      </c>
      <c r="T564" s="61" t="str">
        <f aca="false">IF($B564="","",YEAR($B564))</f>
        <v/>
      </c>
    </row>
    <row r="565" customFormat="false" ht="15" hidden="false" customHeight="false" outlineLevel="0" collapsed="false">
      <c r="A565" s="53" t="str">
        <f aca="false">IF($B565="","",ROW()-5)</f>
        <v/>
      </c>
      <c r="B565" s="54"/>
      <c r="C565" s="33"/>
      <c r="D565" s="33"/>
      <c r="E565" s="33"/>
      <c r="F565" s="32"/>
      <c r="G565" s="41"/>
      <c r="H565" s="39"/>
      <c r="I565" s="43"/>
      <c r="J565" s="43"/>
      <c r="K565" s="41"/>
      <c r="L565" s="39"/>
      <c r="M565" s="41"/>
      <c r="N565" s="25" t="str">
        <f aca="false">IF(AND($B565="",$E565="",$I565="",$J565=""),"",IF(NOT(ISNUMBER($B565)),"日期无效",IF(ISNA(MATCH($C565,参数设置!$A$10:$A$12,0)),"公司无效",IF(ISNA(MATCH($D565,资金账户!$B$6:$B$25,0)),"账户未建档",IF(ISNA(MATCH($E565,记账规则!$A$13:$A$32,0)),"业务类型无效",IF(AND(N($I565)&lt;&gt;0,N($J565)&lt;&gt;0),"收入和支出只能填一列",IF($P565=0,"金额为 0",IF(AND($R565="收",N($I565)=0),"这类业务是收款，金额填到收入列",IF(AND($R565="支",N($J565)=0),"这类业务是付款，金额填到支出列",IF(AND(SUMPRODUCT(--(INDEX(记账规则!$A$13:$H$32,MATCH($E565,记账规则!$A$13:$A$32,0),0)="@对方"))&gt;0,$G565=""),"这个类型要填对方科目",IF(AND($G565&lt;&gt;"",ISNA(MATCH($G565,会计科目表!$B$6:$B$85,0))),"对方科目不存在",IF(AND($E565="缴纳税费",$H565=""),"缴税请在费用项目里选税种",IF(AND($F565&lt;&gt;"",ISNA(MATCH($F565,往来单位!$A$6:$A$85,0))),"往来单位未建档",IF(YEAR($B565)&lt;&gt;参数设置!$B$5,"不在本会计年度",IF(AND($B564&lt;&gt;"",ISNUMBER($B564),$B565&lt;$B564),"日期比上一行早，余额按行序滚，建议按日期录","OK")))))))))))))))</f>
        <v/>
      </c>
      <c r="O565" s="58" t="str">
        <f aca="false">IF($B565="","",TEXT($B565,"yyyy-mm"))</f>
        <v/>
      </c>
      <c r="P565" s="60" t="str">
        <f aca="false">IF($E565="","",ROUND(N($I565)+N($J565),2))</f>
        <v/>
      </c>
      <c r="Q565" s="58" t="str">
        <f aca="false">IF($D565="","",IFERROR(INDEX(资金账户!$F$6:$F$25,MATCH($D565,资金账户!$B$6:$B$25,0)),""))</f>
        <v/>
      </c>
      <c r="R565" s="58" t="str">
        <f aca="false">IF($E565="","",IFERROR(IF(INDEX(记账规则!$A$13:$H$32,MATCH($E565,记账规则!$A$13:$A$32,0),4)="借","收","支"),""))</f>
        <v/>
      </c>
      <c r="S565" s="57" t="str">
        <f aca="false">IF($D565="","",ROUND(SUMIFS(资金账户!$H$6:$H$25,资金账户!$B$6:$B$25,$D565)+SUMIFS($I$6:$I565,$D$6:$D565,$D565)-SUMIFS($J$6:$J565,$D$6:$D565,$D565),2))</f>
        <v/>
      </c>
      <c r="T565" s="61" t="str">
        <f aca="false">IF($B565="","",YEAR($B565))</f>
        <v/>
      </c>
    </row>
    <row r="566" customFormat="false" ht="15" hidden="false" customHeight="false" outlineLevel="0" collapsed="false">
      <c r="A566" s="53" t="str">
        <f aca="false">IF($B566="","",ROW()-5)</f>
        <v/>
      </c>
      <c r="B566" s="54"/>
      <c r="C566" s="33"/>
      <c r="D566" s="33"/>
      <c r="E566" s="33"/>
      <c r="F566" s="32"/>
      <c r="G566" s="41"/>
      <c r="H566" s="39"/>
      <c r="I566" s="43"/>
      <c r="J566" s="43"/>
      <c r="K566" s="41"/>
      <c r="L566" s="39"/>
      <c r="M566" s="41"/>
      <c r="N566" s="25" t="str">
        <f aca="false">IF(AND($B566="",$E566="",$I566="",$J566=""),"",IF(NOT(ISNUMBER($B566)),"日期无效",IF(ISNA(MATCH($C566,参数设置!$A$10:$A$12,0)),"公司无效",IF(ISNA(MATCH($D566,资金账户!$B$6:$B$25,0)),"账户未建档",IF(ISNA(MATCH($E566,记账规则!$A$13:$A$32,0)),"业务类型无效",IF(AND(N($I566)&lt;&gt;0,N($J566)&lt;&gt;0),"收入和支出只能填一列",IF($P566=0,"金额为 0",IF(AND($R566="收",N($I566)=0),"这类业务是收款，金额填到收入列",IF(AND($R566="支",N($J566)=0),"这类业务是付款，金额填到支出列",IF(AND(SUMPRODUCT(--(INDEX(记账规则!$A$13:$H$32,MATCH($E566,记账规则!$A$13:$A$32,0),0)="@对方"))&gt;0,$G566=""),"这个类型要填对方科目",IF(AND($G566&lt;&gt;"",ISNA(MATCH($G566,会计科目表!$B$6:$B$85,0))),"对方科目不存在",IF(AND($E566="缴纳税费",$H566=""),"缴税请在费用项目里选税种",IF(AND($F566&lt;&gt;"",ISNA(MATCH($F566,往来单位!$A$6:$A$85,0))),"往来单位未建档",IF(YEAR($B566)&lt;&gt;参数设置!$B$5,"不在本会计年度",IF(AND($B565&lt;&gt;"",ISNUMBER($B565),$B566&lt;$B565),"日期比上一行早，余额按行序滚，建议按日期录","OK")))))))))))))))</f>
        <v/>
      </c>
      <c r="O566" s="58" t="str">
        <f aca="false">IF($B566="","",TEXT($B566,"yyyy-mm"))</f>
        <v/>
      </c>
      <c r="P566" s="60" t="str">
        <f aca="false">IF($E566="","",ROUND(N($I566)+N($J566),2))</f>
        <v/>
      </c>
      <c r="Q566" s="58" t="str">
        <f aca="false">IF($D566="","",IFERROR(INDEX(资金账户!$F$6:$F$25,MATCH($D566,资金账户!$B$6:$B$25,0)),""))</f>
        <v/>
      </c>
      <c r="R566" s="58" t="str">
        <f aca="false">IF($E566="","",IFERROR(IF(INDEX(记账规则!$A$13:$H$32,MATCH($E566,记账规则!$A$13:$A$32,0),4)="借","收","支"),""))</f>
        <v/>
      </c>
      <c r="S566" s="57" t="str">
        <f aca="false">IF($D566="","",ROUND(SUMIFS(资金账户!$H$6:$H$25,资金账户!$B$6:$B$25,$D566)+SUMIFS($I$6:$I566,$D$6:$D566,$D566)-SUMIFS($J$6:$J566,$D$6:$D566,$D566),2))</f>
        <v/>
      </c>
      <c r="T566" s="61" t="str">
        <f aca="false">IF($B566="","",YEAR($B566))</f>
        <v/>
      </c>
    </row>
    <row r="567" customFormat="false" ht="15" hidden="false" customHeight="false" outlineLevel="0" collapsed="false">
      <c r="A567" s="53" t="str">
        <f aca="false">IF($B567="","",ROW()-5)</f>
        <v/>
      </c>
      <c r="B567" s="54"/>
      <c r="C567" s="33"/>
      <c r="D567" s="33"/>
      <c r="E567" s="33"/>
      <c r="F567" s="32"/>
      <c r="G567" s="41"/>
      <c r="H567" s="39"/>
      <c r="I567" s="43"/>
      <c r="J567" s="43"/>
      <c r="K567" s="41"/>
      <c r="L567" s="39"/>
      <c r="M567" s="41"/>
      <c r="N567" s="25" t="str">
        <f aca="false">IF(AND($B567="",$E567="",$I567="",$J567=""),"",IF(NOT(ISNUMBER($B567)),"日期无效",IF(ISNA(MATCH($C567,参数设置!$A$10:$A$12,0)),"公司无效",IF(ISNA(MATCH($D567,资金账户!$B$6:$B$25,0)),"账户未建档",IF(ISNA(MATCH($E567,记账规则!$A$13:$A$32,0)),"业务类型无效",IF(AND(N($I567)&lt;&gt;0,N($J567)&lt;&gt;0),"收入和支出只能填一列",IF($P567=0,"金额为 0",IF(AND($R567="收",N($I567)=0),"这类业务是收款，金额填到收入列",IF(AND($R567="支",N($J567)=0),"这类业务是付款，金额填到支出列",IF(AND(SUMPRODUCT(--(INDEX(记账规则!$A$13:$H$32,MATCH($E567,记账规则!$A$13:$A$32,0),0)="@对方"))&gt;0,$G567=""),"这个类型要填对方科目",IF(AND($G567&lt;&gt;"",ISNA(MATCH($G567,会计科目表!$B$6:$B$85,0))),"对方科目不存在",IF(AND($E567="缴纳税费",$H567=""),"缴税请在费用项目里选税种",IF(AND($F567&lt;&gt;"",ISNA(MATCH($F567,往来单位!$A$6:$A$85,0))),"往来单位未建档",IF(YEAR($B567)&lt;&gt;参数设置!$B$5,"不在本会计年度",IF(AND($B566&lt;&gt;"",ISNUMBER($B566),$B567&lt;$B566),"日期比上一行早，余额按行序滚，建议按日期录","OK")))))))))))))))</f>
        <v/>
      </c>
      <c r="O567" s="58" t="str">
        <f aca="false">IF($B567="","",TEXT($B567,"yyyy-mm"))</f>
        <v/>
      </c>
      <c r="P567" s="60" t="str">
        <f aca="false">IF($E567="","",ROUND(N($I567)+N($J567),2))</f>
        <v/>
      </c>
      <c r="Q567" s="58" t="str">
        <f aca="false">IF($D567="","",IFERROR(INDEX(资金账户!$F$6:$F$25,MATCH($D567,资金账户!$B$6:$B$25,0)),""))</f>
        <v/>
      </c>
      <c r="R567" s="58" t="str">
        <f aca="false">IF($E567="","",IFERROR(IF(INDEX(记账规则!$A$13:$H$32,MATCH($E567,记账规则!$A$13:$A$32,0),4)="借","收","支"),""))</f>
        <v/>
      </c>
      <c r="S567" s="57" t="str">
        <f aca="false">IF($D567="","",ROUND(SUMIFS(资金账户!$H$6:$H$25,资金账户!$B$6:$B$25,$D567)+SUMIFS($I$6:$I567,$D$6:$D567,$D567)-SUMIFS($J$6:$J567,$D$6:$D567,$D567),2))</f>
        <v/>
      </c>
      <c r="T567" s="61" t="str">
        <f aca="false">IF($B567="","",YEAR($B567))</f>
        <v/>
      </c>
    </row>
    <row r="568" customFormat="false" ht="15" hidden="false" customHeight="false" outlineLevel="0" collapsed="false">
      <c r="A568" s="53" t="str">
        <f aca="false">IF($B568="","",ROW()-5)</f>
        <v/>
      </c>
      <c r="B568" s="54"/>
      <c r="C568" s="33"/>
      <c r="D568" s="33"/>
      <c r="E568" s="33"/>
      <c r="F568" s="32"/>
      <c r="G568" s="41"/>
      <c r="H568" s="39"/>
      <c r="I568" s="43"/>
      <c r="J568" s="43"/>
      <c r="K568" s="41"/>
      <c r="L568" s="39"/>
      <c r="M568" s="41"/>
      <c r="N568" s="25" t="str">
        <f aca="false">IF(AND($B568="",$E568="",$I568="",$J568=""),"",IF(NOT(ISNUMBER($B568)),"日期无效",IF(ISNA(MATCH($C568,参数设置!$A$10:$A$12,0)),"公司无效",IF(ISNA(MATCH($D568,资金账户!$B$6:$B$25,0)),"账户未建档",IF(ISNA(MATCH($E568,记账规则!$A$13:$A$32,0)),"业务类型无效",IF(AND(N($I568)&lt;&gt;0,N($J568)&lt;&gt;0),"收入和支出只能填一列",IF($P568=0,"金额为 0",IF(AND($R568="收",N($I568)=0),"这类业务是收款，金额填到收入列",IF(AND($R568="支",N($J568)=0),"这类业务是付款，金额填到支出列",IF(AND(SUMPRODUCT(--(INDEX(记账规则!$A$13:$H$32,MATCH($E568,记账规则!$A$13:$A$32,0),0)="@对方"))&gt;0,$G568=""),"这个类型要填对方科目",IF(AND($G568&lt;&gt;"",ISNA(MATCH($G568,会计科目表!$B$6:$B$85,0))),"对方科目不存在",IF(AND($E568="缴纳税费",$H568=""),"缴税请在费用项目里选税种",IF(AND($F568&lt;&gt;"",ISNA(MATCH($F568,往来单位!$A$6:$A$85,0))),"往来单位未建档",IF(YEAR($B568)&lt;&gt;参数设置!$B$5,"不在本会计年度",IF(AND($B567&lt;&gt;"",ISNUMBER($B567),$B568&lt;$B567),"日期比上一行早，余额按行序滚，建议按日期录","OK")))))))))))))))</f>
        <v/>
      </c>
      <c r="O568" s="58" t="str">
        <f aca="false">IF($B568="","",TEXT($B568,"yyyy-mm"))</f>
        <v/>
      </c>
      <c r="P568" s="60" t="str">
        <f aca="false">IF($E568="","",ROUND(N($I568)+N($J568),2))</f>
        <v/>
      </c>
      <c r="Q568" s="58" t="str">
        <f aca="false">IF($D568="","",IFERROR(INDEX(资金账户!$F$6:$F$25,MATCH($D568,资金账户!$B$6:$B$25,0)),""))</f>
        <v/>
      </c>
      <c r="R568" s="58" t="str">
        <f aca="false">IF($E568="","",IFERROR(IF(INDEX(记账规则!$A$13:$H$32,MATCH($E568,记账规则!$A$13:$A$32,0),4)="借","收","支"),""))</f>
        <v/>
      </c>
      <c r="S568" s="57" t="str">
        <f aca="false">IF($D568="","",ROUND(SUMIFS(资金账户!$H$6:$H$25,资金账户!$B$6:$B$25,$D568)+SUMIFS($I$6:$I568,$D$6:$D568,$D568)-SUMIFS($J$6:$J568,$D$6:$D568,$D568),2))</f>
        <v/>
      </c>
      <c r="T568" s="61" t="str">
        <f aca="false">IF($B568="","",YEAR($B568))</f>
        <v/>
      </c>
    </row>
    <row r="569" customFormat="false" ht="15" hidden="false" customHeight="false" outlineLevel="0" collapsed="false">
      <c r="A569" s="53" t="str">
        <f aca="false">IF($B569="","",ROW()-5)</f>
        <v/>
      </c>
      <c r="B569" s="54"/>
      <c r="C569" s="33"/>
      <c r="D569" s="33"/>
      <c r="E569" s="33"/>
      <c r="F569" s="32"/>
      <c r="G569" s="41"/>
      <c r="H569" s="39"/>
      <c r="I569" s="43"/>
      <c r="J569" s="43"/>
      <c r="K569" s="41"/>
      <c r="L569" s="39"/>
      <c r="M569" s="41"/>
      <c r="N569" s="25" t="str">
        <f aca="false">IF(AND($B569="",$E569="",$I569="",$J569=""),"",IF(NOT(ISNUMBER($B569)),"日期无效",IF(ISNA(MATCH($C569,参数设置!$A$10:$A$12,0)),"公司无效",IF(ISNA(MATCH($D569,资金账户!$B$6:$B$25,0)),"账户未建档",IF(ISNA(MATCH($E569,记账规则!$A$13:$A$32,0)),"业务类型无效",IF(AND(N($I569)&lt;&gt;0,N($J569)&lt;&gt;0),"收入和支出只能填一列",IF($P569=0,"金额为 0",IF(AND($R569="收",N($I569)=0),"这类业务是收款，金额填到收入列",IF(AND($R569="支",N($J569)=0),"这类业务是付款，金额填到支出列",IF(AND(SUMPRODUCT(--(INDEX(记账规则!$A$13:$H$32,MATCH($E569,记账规则!$A$13:$A$32,0),0)="@对方"))&gt;0,$G569=""),"这个类型要填对方科目",IF(AND($G569&lt;&gt;"",ISNA(MATCH($G569,会计科目表!$B$6:$B$85,0))),"对方科目不存在",IF(AND($E569="缴纳税费",$H569=""),"缴税请在费用项目里选税种",IF(AND($F569&lt;&gt;"",ISNA(MATCH($F569,往来单位!$A$6:$A$85,0))),"往来单位未建档",IF(YEAR($B569)&lt;&gt;参数设置!$B$5,"不在本会计年度",IF(AND($B568&lt;&gt;"",ISNUMBER($B568),$B569&lt;$B568),"日期比上一行早，余额按行序滚，建议按日期录","OK")))))))))))))))</f>
        <v/>
      </c>
      <c r="O569" s="58" t="str">
        <f aca="false">IF($B569="","",TEXT($B569,"yyyy-mm"))</f>
        <v/>
      </c>
      <c r="P569" s="60" t="str">
        <f aca="false">IF($E569="","",ROUND(N($I569)+N($J569),2))</f>
        <v/>
      </c>
      <c r="Q569" s="58" t="str">
        <f aca="false">IF($D569="","",IFERROR(INDEX(资金账户!$F$6:$F$25,MATCH($D569,资金账户!$B$6:$B$25,0)),""))</f>
        <v/>
      </c>
      <c r="R569" s="58" t="str">
        <f aca="false">IF($E569="","",IFERROR(IF(INDEX(记账规则!$A$13:$H$32,MATCH($E569,记账规则!$A$13:$A$32,0),4)="借","收","支"),""))</f>
        <v/>
      </c>
      <c r="S569" s="57" t="str">
        <f aca="false">IF($D569="","",ROUND(SUMIFS(资金账户!$H$6:$H$25,资金账户!$B$6:$B$25,$D569)+SUMIFS($I$6:$I569,$D$6:$D569,$D569)-SUMIFS($J$6:$J569,$D$6:$D569,$D569),2))</f>
        <v/>
      </c>
      <c r="T569" s="61" t="str">
        <f aca="false">IF($B569="","",YEAR($B569))</f>
        <v/>
      </c>
    </row>
    <row r="570" customFormat="false" ht="15" hidden="false" customHeight="false" outlineLevel="0" collapsed="false">
      <c r="A570" s="53" t="str">
        <f aca="false">IF($B570="","",ROW()-5)</f>
        <v/>
      </c>
      <c r="B570" s="54"/>
      <c r="C570" s="33"/>
      <c r="D570" s="33"/>
      <c r="E570" s="33"/>
      <c r="F570" s="32"/>
      <c r="G570" s="41"/>
      <c r="H570" s="39"/>
      <c r="I570" s="43"/>
      <c r="J570" s="43"/>
      <c r="K570" s="41"/>
      <c r="L570" s="39"/>
      <c r="M570" s="41"/>
      <c r="N570" s="25" t="str">
        <f aca="false">IF(AND($B570="",$E570="",$I570="",$J570=""),"",IF(NOT(ISNUMBER($B570)),"日期无效",IF(ISNA(MATCH($C570,参数设置!$A$10:$A$12,0)),"公司无效",IF(ISNA(MATCH($D570,资金账户!$B$6:$B$25,0)),"账户未建档",IF(ISNA(MATCH($E570,记账规则!$A$13:$A$32,0)),"业务类型无效",IF(AND(N($I570)&lt;&gt;0,N($J570)&lt;&gt;0),"收入和支出只能填一列",IF($P570=0,"金额为 0",IF(AND($R570="收",N($I570)=0),"这类业务是收款，金额填到收入列",IF(AND($R570="支",N($J570)=0),"这类业务是付款，金额填到支出列",IF(AND(SUMPRODUCT(--(INDEX(记账规则!$A$13:$H$32,MATCH($E570,记账规则!$A$13:$A$32,0),0)="@对方"))&gt;0,$G570=""),"这个类型要填对方科目",IF(AND($G570&lt;&gt;"",ISNA(MATCH($G570,会计科目表!$B$6:$B$85,0))),"对方科目不存在",IF(AND($E570="缴纳税费",$H570=""),"缴税请在费用项目里选税种",IF(AND($F570&lt;&gt;"",ISNA(MATCH($F570,往来单位!$A$6:$A$85,0))),"往来单位未建档",IF(YEAR($B570)&lt;&gt;参数设置!$B$5,"不在本会计年度",IF(AND($B569&lt;&gt;"",ISNUMBER($B569),$B570&lt;$B569),"日期比上一行早，余额按行序滚，建议按日期录","OK")))))))))))))))</f>
        <v/>
      </c>
      <c r="O570" s="58" t="str">
        <f aca="false">IF($B570="","",TEXT($B570,"yyyy-mm"))</f>
        <v/>
      </c>
      <c r="P570" s="60" t="str">
        <f aca="false">IF($E570="","",ROUND(N($I570)+N($J570),2))</f>
        <v/>
      </c>
      <c r="Q570" s="58" t="str">
        <f aca="false">IF($D570="","",IFERROR(INDEX(资金账户!$F$6:$F$25,MATCH($D570,资金账户!$B$6:$B$25,0)),""))</f>
        <v/>
      </c>
      <c r="R570" s="58" t="str">
        <f aca="false">IF($E570="","",IFERROR(IF(INDEX(记账规则!$A$13:$H$32,MATCH($E570,记账规则!$A$13:$A$32,0),4)="借","收","支"),""))</f>
        <v/>
      </c>
      <c r="S570" s="57" t="str">
        <f aca="false">IF($D570="","",ROUND(SUMIFS(资金账户!$H$6:$H$25,资金账户!$B$6:$B$25,$D570)+SUMIFS($I$6:$I570,$D$6:$D570,$D570)-SUMIFS($J$6:$J570,$D$6:$D570,$D570),2))</f>
        <v/>
      </c>
      <c r="T570" s="61" t="str">
        <f aca="false">IF($B570="","",YEAR($B570))</f>
        <v/>
      </c>
    </row>
    <row r="571" customFormat="false" ht="15" hidden="false" customHeight="false" outlineLevel="0" collapsed="false">
      <c r="A571" s="53" t="str">
        <f aca="false">IF($B571="","",ROW()-5)</f>
        <v/>
      </c>
      <c r="B571" s="54"/>
      <c r="C571" s="33"/>
      <c r="D571" s="33"/>
      <c r="E571" s="33"/>
      <c r="F571" s="32"/>
      <c r="G571" s="41"/>
      <c r="H571" s="39"/>
      <c r="I571" s="43"/>
      <c r="J571" s="43"/>
      <c r="K571" s="41"/>
      <c r="L571" s="39"/>
      <c r="M571" s="41"/>
      <c r="N571" s="25" t="str">
        <f aca="false">IF(AND($B571="",$E571="",$I571="",$J571=""),"",IF(NOT(ISNUMBER($B571)),"日期无效",IF(ISNA(MATCH($C571,参数设置!$A$10:$A$12,0)),"公司无效",IF(ISNA(MATCH($D571,资金账户!$B$6:$B$25,0)),"账户未建档",IF(ISNA(MATCH($E571,记账规则!$A$13:$A$32,0)),"业务类型无效",IF(AND(N($I571)&lt;&gt;0,N($J571)&lt;&gt;0),"收入和支出只能填一列",IF($P571=0,"金额为 0",IF(AND($R571="收",N($I571)=0),"这类业务是收款，金额填到收入列",IF(AND($R571="支",N($J571)=0),"这类业务是付款，金额填到支出列",IF(AND(SUMPRODUCT(--(INDEX(记账规则!$A$13:$H$32,MATCH($E571,记账规则!$A$13:$A$32,0),0)="@对方"))&gt;0,$G571=""),"这个类型要填对方科目",IF(AND($G571&lt;&gt;"",ISNA(MATCH($G571,会计科目表!$B$6:$B$85,0))),"对方科目不存在",IF(AND($E571="缴纳税费",$H571=""),"缴税请在费用项目里选税种",IF(AND($F571&lt;&gt;"",ISNA(MATCH($F571,往来单位!$A$6:$A$85,0))),"往来单位未建档",IF(YEAR($B571)&lt;&gt;参数设置!$B$5,"不在本会计年度",IF(AND($B570&lt;&gt;"",ISNUMBER($B570),$B571&lt;$B570),"日期比上一行早，余额按行序滚，建议按日期录","OK")))))))))))))))</f>
        <v/>
      </c>
      <c r="O571" s="58" t="str">
        <f aca="false">IF($B571="","",TEXT($B571,"yyyy-mm"))</f>
        <v/>
      </c>
      <c r="P571" s="60" t="str">
        <f aca="false">IF($E571="","",ROUND(N($I571)+N($J571),2))</f>
        <v/>
      </c>
      <c r="Q571" s="58" t="str">
        <f aca="false">IF($D571="","",IFERROR(INDEX(资金账户!$F$6:$F$25,MATCH($D571,资金账户!$B$6:$B$25,0)),""))</f>
        <v/>
      </c>
      <c r="R571" s="58" t="str">
        <f aca="false">IF($E571="","",IFERROR(IF(INDEX(记账规则!$A$13:$H$32,MATCH($E571,记账规则!$A$13:$A$32,0),4)="借","收","支"),""))</f>
        <v/>
      </c>
      <c r="S571" s="57" t="str">
        <f aca="false">IF($D571="","",ROUND(SUMIFS(资金账户!$H$6:$H$25,资金账户!$B$6:$B$25,$D571)+SUMIFS($I$6:$I571,$D$6:$D571,$D571)-SUMIFS($J$6:$J571,$D$6:$D571,$D571),2))</f>
        <v/>
      </c>
      <c r="T571" s="61" t="str">
        <f aca="false">IF($B571="","",YEAR($B571))</f>
        <v/>
      </c>
    </row>
    <row r="572" customFormat="false" ht="15" hidden="false" customHeight="false" outlineLevel="0" collapsed="false">
      <c r="A572" s="53" t="str">
        <f aca="false">IF($B572="","",ROW()-5)</f>
        <v/>
      </c>
      <c r="B572" s="54"/>
      <c r="C572" s="33"/>
      <c r="D572" s="33"/>
      <c r="E572" s="33"/>
      <c r="F572" s="32"/>
      <c r="G572" s="41"/>
      <c r="H572" s="39"/>
      <c r="I572" s="43"/>
      <c r="J572" s="43"/>
      <c r="K572" s="41"/>
      <c r="L572" s="39"/>
      <c r="M572" s="41"/>
      <c r="N572" s="25" t="str">
        <f aca="false">IF(AND($B572="",$E572="",$I572="",$J572=""),"",IF(NOT(ISNUMBER($B572)),"日期无效",IF(ISNA(MATCH($C572,参数设置!$A$10:$A$12,0)),"公司无效",IF(ISNA(MATCH($D572,资金账户!$B$6:$B$25,0)),"账户未建档",IF(ISNA(MATCH($E572,记账规则!$A$13:$A$32,0)),"业务类型无效",IF(AND(N($I572)&lt;&gt;0,N($J572)&lt;&gt;0),"收入和支出只能填一列",IF($P572=0,"金额为 0",IF(AND($R572="收",N($I572)=0),"这类业务是收款，金额填到收入列",IF(AND($R572="支",N($J572)=0),"这类业务是付款，金额填到支出列",IF(AND(SUMPRODUCT(--(INDEX(记账规则!$A$13:$H$32,MATCH($E572,记账规则!$A$13:$A$32,0),0)="@对方"))&gt;0,$G572=""),"这个类型要填对方科目",IF(AND($G572&lt;&gt;"",ISNA(MATCH($G572,会计科目表!$B$6:$B$85,0))),"对方科目不存在",IF(AND($E572="缴纳税费",$H572=""),"缴税请在费用项目里选税种",IF(AND($F572&lt;&gt;"",ISNA(MATCH($F572,往来单位!$A$6:$A$85,0))),"往来单位未建档",IF(YEAR($B572)&lt;&gt;参数设置!$B$5,"不在本会计年度",IF(AND($B571&lt;&gt;"",ISNUMBER($B571),$B572&lt;$B571),"日期比上一行早，余额按行序滚，建议按日期录","OK")))))))))))))))</f>
        <v/>
      </c>
      <c r="O572" s="58" t="str">
        <f aca="false">IF($B572="","",TEXT($B572,"yyyy-mm"))</f>
        <v/>
      </c>
      <c r="P572" s="60" t="str">
        <f aca="false">IF($E572="","",ROUND(N($I572)+N($J572),2))</f>
        <v/>
      </c>
      <c r="Q572" s="58" t="str">
        <f aca="false">IF($D572="","",IFERROR(INDEX(资金账户!$F$6:$F$25,MATCH($D572,资金账户!$B$6:$B$25,0)),""))</f>
        <v/>
      </c>
      <c r="R572" s="58" t="str">
        <f aca="false">IF($E572="","",IFERROR(IF(INDEX(记账规则!$A$13:$H$32,MATCH($E572,记账规则!$A$13:$A$32,0),4)="借","收","支"),""))</f>
        <v/>
      </c>
      <c r="S572" s="57" t="str">
        <f aca="false">IF($D572="","",ROUND(SUMIFS(资金账户!$H$6:$H$25,资金账户!$B$6:$B$25,$D572)+SUMIFS($I$6:$I572,$D$6:$D572,$D572)-SUMIFS($J$6:$J572,$D$6:$D572,$D572),2))</f>
        <v/>
      </c>
      <c r="T572" s="61" t="str">
        <f aca="false">IF($B572="","",YEAR($B572))</f>
        <v/>
      </c>
    </row>
    <row r="573" customFormat="false" ht="15" hidden="false" customHeight="false" outlineLevel="0" collapsed="false">
      <c r="A573" s="53" t="str">
        <f aca="false">IF($B573="","",ROW()-5)</f>
        <v/>
      </c>
      <c r="B573" s="54"/>
      <c r="C573" s="33"/>
      <c r="D573" s="33"/>
      <c r="E573" s="33"/>
      <c r="F573" s="32"/>
      <c r="G573" s="41"/>
      <c r="H573" s="39"/>
      <c r="I573" s="43"/>
      <c r="J573" s="43"/>
      <c r="K573" s="41"/>
      <c r="L573" s="39"/>
      <c r="M573" s="41"/>
      <c r="N573" s="25" t="str">
        <f aca="false">IF(AND($B573="",$E573="",$I573="",$J573=""),"",IF(NOT(ISNUMBER($B573)),"日期无效",IF(ISNA(MATCH($C573,参数设置!$A$10:$A$12,0)),"公司无效",IF(ISNA(MATCH($D573,资金账户!$B$6:$B$25,0)),"账户未建档",IF(ISNA(MATCH($E573,记账规则!$A$13:$A$32,0)),"业务类型无效",IF(AND(N($I573)&lt;&gt;0,N($J573)&lt;&gt;0),"收入和支出只能填一列",IF($P573=0,"金额为 0",IF(AND($R573="收",N($I573)=0),"这类业务是收款，金额填到收入列",IF(AND($R573="支",N($J573)=0),"这类业务是付款，金额填到支出列",IF(AND(SUMPRODUCT(--(INDEX(记账规则!$A$13:$H$32,MATCH($E573,记账规则!$A$13:$A$32,0),0)="@对方"))&gt;0,$G573=""),"这个类型要填对方科目",IF(AND($G573&lt;&gt;"",ISNA(MATCH($G573,会计科目表!$B$6:$B$85,0))),"对方科目不存在",IF(AND($E573="缴纳税费",$H573=""),"缴税请在费用项目里选税种",IF(AND($F573&lt;&gt;"",ISNA(MATCH($F573,往来单位!$A$6:$A$85,0))),"往来单位未建档",IF(YEAR($B573)&lt;&gt;参数设置!$B$5,"不在本会计年度",IF(AND($B572&lt;&gt;"",ISNUMBER($B572),$B573&lt;$B572),"日期比上一行早，余额按行序滚，建议按日期录","OK")))))))))))))))</f>
        <v/>
      </c>
      <c r="O573" s="58" t="str">
        <f aca="false">IF($B573="","",TEXT($B573,"yyyy-mm"))</f>
        <v/>
      </c>
      <c r="P573" s="60" t="str">
        <f aca="false">IF($E573="","",ROUND(N($I573)+N($J573),2))</f>
        <v/>
      </c>
      <c r="Q573" s="58" t="str">
        <f aca="false">IF($D573="","",IFERROR(INDEX(资金账户!$F$6:$F$25,MATCH($D573,资金账户!$B$6:$B$25,0)),""))</f>
        <v/>
      </c>
      <c r="R573" s="58" t="str">
        <f aca="false">IF($E573="","",IFERROR(IF(INDEX(记账规则!$A$13:$H$32,MATCH($E573,记账规则!$A$13:$A$32,0),4)="借","收","支"),""))</f>
        <v/>
      </c>
      <c r="S573" s="57" t="str">
        <f aca="false">IF($D573="","",ROUND(SUMIFS(资金账户!$H$6:$H$25,资金账户!$B$6:$B$25,$D573)+SUMIFS($I$6:$I573,$D$6:$D573,$D573)-SUMIFS($J$6:$J573,$D$6:$D573,$D573),2))</f>
        <v/>
      </c>
      <c r="T573" s="61" t="str">
        <f aca="false">IF($B573="","",YEAR($B573))</f>
        <v/>
      </c>
    </row>
    <row r="574" customFormat="false" ht="15" hidden="false" customHeight="false" outlineLevel="0" collapsed="false">
      <c r="A574" s="53" t="str">
        <f aca="false">IF($B574="","",ROW()-5)</f>
        <v/>
      </c>
      <c r="B574" s="54"/>
      <c r="C574" s="33"/>
      <c r="D574" s="33"/>
      <c r="E574" s="33"/>
      <c r="F574" s="32"/>
      <c r="G574" s="41"/>
      <c r="H574" s="39"/>
      <c r="I574" s="43"/>
      <c r="J574" s="43"/>
      <c r="K574" s="41"/>
      <c r="L574" s="39"/>
      <c r="M574" s="41"/>
      <c r="N574" s="25" t="str">
        <f aca="false">IF(AND($B574="",$E574="",$I574="",$J574=""),"",IF(NOT(ISNUMBER($B574)),"日期无效",IF(ISNA(MATCH($C574,参数设置!$A$10:$A$12,0)),"公司无效",IF(ISNA(MATCH($D574,资金账户!$B$6:$B$25,0)),"账户未建档",IF(ISNA(MATCH($E574,记账规则!$A$13:$A$32,0)),"业务类型无效",IF(AND(N($I574)&lt;&gt;0,N($J574)&lt;&gt;0),"收入和支出只能填一列",IF($P574=0,"金额为 0",IF(AND($R574="收",N($I574)=0),"这类业务是收款，金额填到收入列",IF(AND($R574="支",N($J574)=0),"这类业务是付款，金额填到支出列",IF(AND(SUMPRODUCT(--(INDEX(记账规则!$A$13:$H$32,MATCH($E574,记账规则!$A$13:$A$32,0),0)="@对方"))&gt;0,$G574=""),"这个类型要填对方科目",IF(AND($G574&lt;&gt;"",ISNA(MATCH($G574,会计科目表!$B$6:$B$85,0))),"对方科目不存在",IF(AND($E574="缴纳税费",$H574=""),"缴税请在费用项目里选税种",IF(AND($F574&lt;&gt;"",ISNA(MATCH($F574,往来单位!$A$6:$A$85,0))),"往来单位未建档",IF(YEAR($B574)&lt;&gt;参数设置!$B$5,"不在本会计年度",IF(AND($B573&lt;&gt;"",ISNUMBER($B573),$B574&lt;$B573),"日期比上一行早，余额按行序滚，建议按日期录","OK")))))))))))))))</f>
        <v/>
      </c>
      <c r="O574" s="58" t="str">
        <f aca="false">IF($B574="","",TEXT($B574,"yyyy-mm"))</f>
        <v/>
      </c>
      <c r="P574" s="60" t="str">
        <f aca="false">IF($E574="","",ROUND(N($I574)+N($J574),2))</f>
        <v/>
      </c>
      <c r="Q574" s="58" t="str">
        <f aca="false">IF($D574="","",IFERROR(INDEX(资金账户!$F$6:$F$25,MATCH($D574,资金账户!$B$6:$B$25,0)),""))</f>
        <v/>
      </c>
      <c r="R574" s="58" t="str">
        <f aca="false">IF($E574="","",IFERROR(IF(INDEX(记账规则!$A$13:$H$32,MATCH($E574,记账规则!$A$13:$A$32,0),4)="借","收","支"),""))</f>
        <v/>
      </c>
      <c r="S574" s="57" t="str">
        <f aca="false">IF($D574="","",ROUND(SUMIFS(资金账户!$H$6:$H$25,资金账户!$B$6:$B$25,$D574)+SUMIFS($I$6:$I574,$D$6:$D574,$D574)-SUMIFS($J$6:$J574,$D$6:$D574,$D574),2))</f>
        <v/>
      </c>
      <c r="T574" s="61" t="str">
        <f aca="false">IF($B574="","",YEAR($B574))</f>
        <v/>
      </c>
    </row>
    <row r="575" customFormat="false" ht="15" hidden="false" customHeight="false" outlineLevel="0" collapsed="false">
      <c r="A575" s="53" t="str">
        <f aca="false">IF($B575="","",ROW()-5)</f>
        <v/>
      </c>
      <c r="B575" s="54"/>
      <c r="C575" s="33"/>
      <c r="D575" s="33"/>
      <c r="E575" s="33"/>
      <c r="F575" s="32"/>
      <c r="G575" s="41"/>
      <c r="H575" s="39"/>
      <c r="I575" s="43"/>
      <c r="J575" s="43"/>
      <c r="K575" s="41"/>
      <c r="L575" s="39"/>
      <c r="M575" s="41"/>
      <c r="N575" s="25" t="str">
        <f aca="false">IF(AND($B575="",$E575="",$I575="",$J575=""),"",IF(NOT(ISNUMBER($B575)),"日期无效",IF(ISNA(MATCH($C575,参数设置!$A$10:$A$12,0)),"公司无效",IF(ISNA(MATCH($D575,资金账户!$B$6:$B$25,0)),"账户未建档",IF(ISNA(MATCH($E575,记账规则!$A$13:$A$32,0)),"业务类型无效",IF(AND(N($I575)&lt;&gt;0,N($J575)&lt;&gt;0),"收入和支出只能填一列",IF($P575=0,"金额为 0",IF(AND($R575="收",N($I575)=0),"这类业务是收款，金额填到收入列",IF(AND($R575="支",N($J575)=0),"这类业务是付款，金额填到支出列",IF(AND(SUMPRODUCT(--(INDEX(记账规则!$A$13:$H$32,MATCH($E575,记账规则!$A$13:$A$32,0),0)="@对方"))&gt;0,$G575=""),"这个类型要填对方科目",IF(AND($G575&lt;&gt;"",ISNA(MATCH($G575,会计科目表!$B$6:$B$85,0))),"对方科目不存在",IF(AND($E575="缴纳税费",$H575=""),"缴税请在费用项目里选税种",IF(AND($F575&lt;&gt;"",ISNA(MATCH($F575,往来单位!$A$6:$A$85,0))),"往来单位未建档",IF(YEAR($B575)&lt;&gt;参数设置!$B$5,"不在本会计年度",IF(AND($B574&lt;&gt;"",ISNUMBER($B574),$B575&lt;$B574),"日期比上一行早，余额按行序滚，建议按日期录","OK")))))))))))))))</f>
        <v/>
      </c>
      <c r="O575" s="58" t="str">
        <f aca="false">IF($B575="","",TEXT($B575,"yyyy-mm"))</f>
        <v/>
      </c>
      <c r="P575" s="60" t="str">
        <f aca="false">IF($E575="","",ROUND(N($I575)+N($J575),2))</f>
        <v/>
      </c>
      <c r="Q575" s="58" t="str">
        <f aca="false">IF($D575="","",IFERROR(INDEX(资金账户!$F$6:$F$25,MATCH($D575,资金账户!$B$6:$B$25,0)),""))</f>
        <v/>
      </c>
      <c r="R575" s="58" t="str">
        <f aca="false">IF($E575="","",IFERROR(IF(INDEX(记账规则!$A$13:$H$32,MATCH($E575,记账规则!$A$13:$A$32,0),4)="借","收","支"),""))</f>
        <v/>
      </c>
      <c r="S575" s="57" t="str">
        <f aca="false">IF($D575="","",ROUND(SUMIFS(资金账户!$H$6:$H$25,资金账户!$B$6:$B$25,$D575)+SUMIFS($I$6:$I575,$D$6:$D575,$D575)-SUMIFS($J$6:$J575,$D$6:$D575,$D575),2))</f>
        <v/>
      </c>
      <c r="T575" s="61" t="str">
        <f aca="false">IF($B575="","",YEAR($B575))</f>
        <v/>
      </c>
    </row>
    <row r="576" customFormat="false" ht="15" hidden="false" customHeight="false" outlineLevel="0" collapsed="false">
      <c r="A576" s="53" t="str">
        <f aca="false">IF($B576="","",ROW()-5)</f>
        <v/>
      </c>
      <c r="B576" s="54"/>
      <c r="C576" s="33"/>
      <c r="D576" s="33"/>
      <c r="E576" s="33"/>
      <c r="F576" s="32"/>
      <c r="G576" s="41"/>
      <c r="H576" s="39"/>
      <c r="I576" s="43"/>
      <c r="J576" s="43"/>
      <c r="K576" s="41"/>
      <c r="L576" s="39"/>
      <c r="M576" s="41"/>
      <c r="N576" s="25" t="str">
        <f aca="false">IF(AND($B576="",$E576="",$I576="",$J576=""),"",IF(NOT(ISNUMBER($B576)),"日期无效",IF(ISNA(MATCH($C576,参数设置!$A$10:$A$12,0)),"公司无效",IF(ISNA(MATCH($D576,资金账户!$B$6:$B$25,0)),"账户未建档",IF(ISNA(MATCH($E576,记账规则!$A$13:$A$32,0)),"业务类型无效",IF(AND(N($I576)&lt;&gt;0,N($J576)&lt;&gt;0),"收入和支出只能填一列",IF($P576=0,"金额为 0",IF(AND($R576="收",N($I576)=0),"这类业务是收款，金额填到收入列",IF(AND($R576="支",N($J576)=0),"这类业务是付款，金额填到支出列",IF(AND(SUMPRODUCT(--(INDEX(记账规则!$A$13:$H$32,MATCH($E576,记账规则!$A$13:$A$32,0),0)="@对方"))&gt;0,$G576=""),"这个类型要填对方科目",IF(AND($G576&lt;&gt;"",ISNA(MATCH($G576,会计科目表!$B$6:$B$85,0))),"对方科目不存在",IF(AND($E576="缴纳税费",$H576=""),"缴税请在费用项目里选税种",IF(AND($F576&lt;&gt;"",ISNA(MATCH($F576,往来单位!$A$6:$A$85,0))),"往来单位未建档",IF(YEAR($B576)&lt;&gt;参数设置!$B$5,"不在本会计年度",IF(AND($B575&lt;&gt;"",ISNUMBER($B575),$B576&lt;$B575),"日期比上一行早，余额按行序滚，建议按日期录","OK")))))))))))))))</f>
        <v/>
      </c>
      <c r="O576" s="58" t="str">
        <f aca="false">IF($B576="","",TEXT($B576,"yyyy-mm"))</f>
        <v/>
      </c>
      <c r="P576" s="60" t="str">
        <f aca="false">IF($E576="","",ROUND(N($I576)+N($J576),2))</f>
        <v/>
      </c>
      <c r="Q576" s="58" t="str">
        <f aca="false">IF($D576="","",IFERROR(INDEX(资金账户!$F$6:$F$25,MATCH($D576,资金账户!$B$6:$B$25,0)),""))</f>
        <v/>
      </c>
      <c r="R576" s="58" t="str">
        <f aca="false">IF($E576="","",IFERROR(IF(INDEX(记账规则!$A$13:$H$32,MATCH($E576,记账规则!$A$13:$A$32,0),4)="借","收","支"),""))</f>
        <v/>
      </c>
      <c r="S576" s="57" t="str">
        <f aca="false">IF($D576="","",ROUND(SUMIFS(资金账户!$H$6:$H$25,资金账户!$B$6:$B$25,$D576)+SUMIFS($I$6:$I576,$D$6:$D576,$D576)-SUMIFS($J$6:$J576,$D$6:$D576,$D576),2))</f>
        <v/>
      </c>
      <c r="T576" s="61" t="str">
        <f aca="false">IF($B576="","",YEAR($B576))</f>
        <v/>
      </c>
    </row>
    <row r="577" customFormat="false" ht="15" hidden="false" customHeight="false" outlineLevel="0" collapsed="false">
      <c r="A577" s="53" t="str">
        <f aca="false">IF($B577="","",ROW()-5)</f>
        <v/>
      </c>
      <c r="B577" s="54"/>
      <c r="C577" s="33"/>
      <c r="D577" s="33"/>
      <c r="E577" s="33"/>
      <c r="F577" s="32"/>
      <c r="G577" s="41"/>
      <c r="H577" s="39"/>
      <c r="I577" s="43"/>
      <c r="J577" s="43"/>
      <c r="K577" s="41"/>
      <c r="L577" s="39"/>
      <c r="M577" s="41"/>
      <c r="N577" s="25" t="str">
        <f aca="false">IF(AND($B577="",$E577="",$I577="",$J577=""),"",IF(NOT(ISNUMBER($B577)),"日期无效",IF(ISNA(MATCH($C577,参数设置!$A$10:$A$12,0)),"公司无效",IF(ISNA(MATCH($D577,资金账户!$B$6:$B$25,0)),"账户未建档",IF(ISNA(MATCH($E577,记账规则!$A$13:$A$32,0)),"业务类型无效",IF(AND(N($I577)&lt;&gt;0,N($J577)&lt;&gt;0),"收入和支出只能填一列",IF($P577=0,"金额为 0",IF(AND($R577="收",N($I577)=0),"这类业务是收款，金额填到收入列",IF(AND($R577="支",N($J577)=0),"这类业务是付款，金额填到支出列",IF(AND(SUMPRODUCT(--(INDEX(记账规则!$A$13:$H$32,MATCH($E577,记账规则!$A$13:$A$32,0),0)="@对方"))&gt;0,$G577=""),"这个类型要填对方科目",IF(AND($G577&lt;&gt;"",ISNA(MATCH($G577,会计科目表!$B$6:$B$85,0))),"对方科目不存在",IF(AND($E577="缴纳税费",$H577=""),"缴税请在费用项目里选税种",IF(AND($F577&lt;&gt;"",ISNA(MATCH($F577,往来单位!$A$6:$A$85,0))),"往来单位未建档",IF(YEAR($B577)&lt;&gt;参数设置!$B$5,"不在本会计年度",IF(AND($B576&lt;&gt;"",ISNUMBER($B576),$B577&lt;$B576),"日期比上一行早，余额按行序滚，建议按日期录","OK")))))))))))))))</f>
        <v/>
      </c>
      <c r="O577" s="58" t="str">
        <f aca="false">IF($B577="","",TEXT($B577,"yyyy-mm"))</f>
        <v/>
      </c>
      <c r="P577" s="60" t="str">
        <f aca="false">IF($E577="","",ROUND(N($I577)+N($J577),2))</f>
        <v/>
      </c>
      <c r="Q577" s="58" t="str">
        <f aca="false">IF($D577="","",IFERROR(INDEX(资金账户!$F$6:$F$25,MATCH($D577,资金账户!$B$6:$B$25,0)),""))</f>
        <v/>
      </c>
      <c r="R577" s="58" t="str">
        <f aca="false">IF($E577="","",IFERROR(IF(INDEX(记账规则!$A$13:$H$32,MATCH($E577,记账规则!$A$13:$A$32,0),4)="借","收","支"),""))</f>
        <v/>
      </c>
      <c r="S577" s="57" t="str">
        <f aca="false">IF($D577="","",ROUND(SUMIFS(资金账户!$H$6:$H$25,资金账户!$B$6:$B$25,$D577)+SUMIFS($I$6:$I577,$D$6:$D577,$D577)-SUMIFS($J$6:$J577,$D$6:$D577,$D577),2))</f>
        <v/>
      </c>
      <c r="T577" s="61" t="str">
        <f aca="false">IF($B577="","",YEAR($B577))</f>
        <v/>
      </c>
    </row>
    <row r="578" customFormat="false" ht="15" hidden="false" customHeight="false" outlineLevel="0" collapsed="false">
      <c r="A578" s="53" t="str">
        <f aca="false">IF($B578="","",ROW()-5)</f>
        <v/>
      </c>
      <c r="B578" s="54"/>
      <c r="C578" s="33"/>
      <c r="D578" s="33"/>
      <c r="E578" s="33"/>
      <c r="F578" s="32"/>
      <c r="G578" s="41"/>
      <c r="H578" s="39"/>
      <c r="I578" s="43"/>
      <c r="J578" s="43"/>
      <c r="K578" s="41"/>
      <c r="L578" s="39"/>
      <c r="M578" s="41"/>
      <c r="N578" s="25" t="str">
        <f aca="false">IF(AND($B578="",$E578="",$I578="",$J578=""),"",IF(NOT(ISNUMBER($B578)),"日期无效",IF(ISNA(MATCH($C578,参数设置!$A$10:$A$12,0)),"公司无效",IF(ISNA(MATCH($D578,资金账户!$B$6:$B$25,0)),"账户未建档",IF(ISNA(MATCH($E578,记账规则!$A$13:$A$32,0)),"业务类型无效",IF(AND(N($I578)&lt;&gt;0,N($J578)&lt;&gt;0),"收入和支出只能填一列",IF($P578=0,"金额为 0",IF(AND($R578="收",N($I578)=0),"这类业务是收款，金额填到收入列",IF(AND($R578="支",N($J578)=0),"这类业务是付款，金额填到支出列",IF(AND(SUMPRODUCT(--(INDEX(记账规则!$A$13:$H$32,MATCH($E578,记账规则!$A$13:$A$32,0),0)="@对方"))&gt;0,$G578=""),"这个类型要填对方科目",IF(AND($G578&lt;&gt;"",ISNA(MATCH($G578,会计科目表!$B$6:$B$85,0))),"对方科目不存在",IF(AND($E578="缴纳税费",$H578=""),"缴税请在费用项目里选税种",IF(AND($F578&lt;&gt;"",ISNA(MATCH($F578,往来单位!$A$6:$A$85,0))),"往来单位未建档",IF(YEAR($B578)&lt;&gt;参数设置!$B$5,"不在本会计年度",IF(AND($B577&lt;&gt;"",ISNUMBER($B577),$B578&lt;$B577),"日期比上一行早，余额按行序滚，建议按日期录","OK")))))))))))))))</f>
        <v/>
      </c>
      <c r="O578" s="58" t="str">
        <f aca="false">IF($B578="","",TEXT($B578,"yyyy-mm"))</f>
        <v/>
      </c>
      <c r="P578" s="60" t="str">
        <f aca="false">IF($E578="","",ROUND(N($I578)+N($J578),2))</f>
        <v/>
      </c>
      <c r="Q578" s="58" t="str">
        <f aca="false">IF($D578="","",IFERROR(INDEX(资金账户!$F$6:$F$25,MATCH($D578,资金账户!$B$6:$B$25,0)),""))</f>
        <v/>
      </c>
      <c r="R578" s="58" t="str">
        <f aca="false">IF($E578="","",IFERROR(IF(INDEX(记账规则!$A$13:$H$32,MATCH($E578,记账规则!$A$13:$A$32,0),4)="借","收","支"),""))</f>
        <v/>
      </c>
      <c r="S578" s="57" t="str">
        <f aca="false">IF($D578="","",ROUND(SUMIFS(资金账户!$H$6:$H$25,资金账户!$B$6:$B$25,$D578)+SUMIFS($I$6:$I578,$D$6:$D578,$D578)-SUMIFS($J$6:$J578,$D$6:$D578,$D578),2))</f>
        <v/>
      </c>
      <c r="T578" s="61" t="str">
        <f aca="false">IF($B578="","",YEAR($B578))</f>
        <v/>
      </c>
    </row>
    <row r="579" customFormat="false" ht="15" hidden="false" customHeight="false" outlineLevel="0" collapsed="false">
      <c r="A579" s="53" t="str">
        <f aca="false">IF($B579="","",ROW()-5)</f>
        <v/>
      </c>
      <c r="B579" s="54"/>
      <c r="C579" s="33"/>
      <c r="D579" s="33"/>
      <c r="E579" s="33"/>
      <c r="F579" s="32"/>
      <c r="G579" s="41"/>
      <c r="H579" s="39"/>
      <c r="I579" s="43"/>
      <c r="J579" s="43"/>
      <c r="K579" s="41"/>
      <c r="L579" s="39"/>
      <c r="M579" s="41"/>
      <c r="N579" s="25" t="str">
        <f aca="false">IF(AND($B579="",$E579="",$I579="",$J579=""),"",IF(NOT(ISNUMBER($B579)),"日期无效",IF(ISNA(MATCH($C579,参数设置!$A$10:$A$12,0)),"公司无效",IF(ISNA(MATCH($D579,资金账户!$B$6:$B$25,0)),"账户未建档",IF(ISNA(MATCH($E579,记账规则!$A$13:$A$32,0)),"业务类型无效",IF(AND(N($I579)&lt;&gt;0,N($J579)&lt;&gt;0),"收入和支出只能填一列",IF($P579=0,"金额为 0",IF(AND($R579="收",N($I579)=0),"这类业务是收款，金额填到收入列",IF(AND($R579="支",N($J579)=0),"这类业务是付款，金额填到支出列",IF(AND(SUMPRODUCT(--(INDEX(记账规则!$A$13:$H$32,MATCH($E579,记账规则!$A$13:$A$32,0),0)="@对方"))&gt;0,$G579=""),"这个类型要填对方科目",IF(AND($G579&lt;&gt;"",ISNA(MATCH($G579,会计科目表!$B$6:$B$85,0))),"对方科目不存在",IF(AND($E579="缴纳税费",$H579=""),"缴税请在费用项目里选税种",IF(AND($F579&lt;&gt;"",ISNA(MATCH($F579,往来单位!$A$6:$A$85,0))),"往来单位未建档",IF(YEAR($B579)&lt;&gt;参数设置!$B$5,"不在本会计年度",IF(AND($B578&lt;&gt;"",ISNUMBER($B578),$B579&lt;$B578),"日期比上一行早，余额按行序滚，建议按日期录","OK")))))))))))))))</f>
        <v/>
      </c>
      <c r="O579" s="58" t="str">
        <f aca="false">IF($B579="","",TEXT($B579,"yyyy-mm"))</f>
        <v/>
      </c>
      <c r="P579" s="60" t="str">
        <f aca="false">IF($E579="","",ROUND(N($I579)+N($J579),2))</f>
        <v/>
      </c>
      <c r="Q579" s="58" t="str">
        <f aca="false">IF($D579="","",IFERROR(INDEX(资金账户!$F$6:$F$25,MATCH($D579,资金账户!$B$6:$B$25,0)),""))</f>
        <v/>
      </c>
      <c r="R579" s="58" t="str">
        <f aca="false">IF($E579="","",IFERROR(IF(INDEX(记账规则!$A$13:$H$32,MATCH($E579,记账规则!$A$13:$A$32,0),4)="借","收","支"),""))</f>
        <v/>
      </c>
      <c r="S579" s="57" t="str">
        <f aca="false">IF($D579="","",ROUND(SUMIFS(资金账户!$H$6:$H$25,资金账户!$B$6:$B$25,$D579)+SUMIFS($I$6:$I579,$D$6:$D579,$D579)-SUMIFS($J$6:$J579,$D$6:$D579,$D579),2))</f>
        <v/>
      </c>
      <c r="T579" s="61" t="str">
        <f aca="false">IF($B579="","",YEAR($B579))</f>
        <v/>
      </c>
    </row>
    <row r="580" customFormat="false" ht="15" hidden="false" customHeight="false" outlineLevel="0" collapsed="false">
      <c r="A580" s="53" t="str">
        <f aca="false">IF($B580="","",ROW()-5)</f>
        <v/>
      </c>
      <c r="B580" s="54"/>
      <c r="C580" s="33"/>
      <c r="D580" s="33"/>
      <c r="E580" s="33"/>
      <c r="F580" s="32"/>
      <c r="G580" s="41"/>
      <c r="H580" s="39"/>
      <c r="I580" s="43"/>
      <c r="J580" s="43"/>
      <c r="K580" s="41"/>
      <c r="L580" s="39"/>
      <c r="M580" s="41"/>
      <c r="N580" s="25" t="str">
        <f aca="false">IF(AND($B580="",$E580="",$I580="",$J580=""),"",IF(NOT(ISNUMBER($B580)),"日期无效",IF(ISNA(MATCH($C580,参数设置!$A$10:$A$12,0)),"公司无效",IF(ISNA(MATCH($D580,资金账户!$B$6:$B$25,0)),"账户未建档",IF(ISNA(MATCH($E580,记账规则!$A$13:$A$32,0)),"业务类型无效",IF(AND(N($I580)&lt;&gt;0,N($J580)&lt;&gt;0),"收入和支出只能填一列",IF($P580=0,"金额为 0",IF(AND($R580="收",N($I580)=0),"这类业务是收款，金额填到收入列",IF(AND($R580="支",N($J580)=0),"这类业务是付款，金额填到支出列",IF(AND(SUMPRODUCT(--(INDEX(记账规则!$A$13:$H$32,MATCH($E580,记账规则!$A$13:$A$32,0),0)="@对方"))&gt;0,$G580=""),"这个类型要填对方科目",IF(AND($G580&lt;&gt;"",ISNA(MATCH($G580,会计科目表!$B$6:$B$85,0))),"对方科目不存在",IF(AND($E580="缴纳税费",$H580=""),"缴税请在费用项目里选税种",IF(AND($F580&lt;&gt;"",ISNA(MATCH($F580,往来单位!$A$6:$A$85,0))),"往来单位未建档",IF(YEAR($B580)&lt;&gt;参数设置!$B$5,"不在本会计年度",IF(AND($B579&lt;&gt;"",ISNUMBER($B579),$B580&lt;$B579),"日期比上一行早，余额按行序滚，建议按日期录","OK")))))))))))))))</f>
        <v/>
      </c>
      <c r="O580" s="58" t="str">
        <f aca="false">IF($B580="","",TEXT($B580,"yyyy-mm"))</f>
        <v/>
      </c>
      <c r="P580" s="60" t="str">
        <f aca="false">IF($E580="","",ROUND(N($I580)+N($J580),2))</f>
        <v/>
      </c>
      <c r="Q580" s="58" t="str">
        <f aca="false">IF($D580="","",IFERROR(INDEX(资金账户!$F$6:$F$25,MATCH($D580,资金账户!$B$6:$B$25,0)),""))</f>
        <v/>
      </c>
      <c r="R580" s="58" t="str">
        <f aca="false">IF($E580="","",IFERROR(IF(INDEX(记账规则!$A$13:$H$32,MATCH($E580,记账规则!$A$13:$A$32,0),4)="借","收","支"),""))</f>
        <v/>
      </c>
      <c r="S580" s="57" t="str">
        <f aca="false">IF($D580="","",ROUND(SUMIFS(资金账户!$H$6:$H$25,资金账户!$B$6:$B$25,$D580)+SUMIFS($I$6:$I580,$D$6:$D580,$D580)-SUMIFS($J$6:$J580,$D$6:$D580,$D580),2))</f>
        <v/>
      </c>
      <c r="T580" s="61" t="str">
        <f aca="false">IF($B580="","",YEAR($B580))</f>
        <v/>
      </c>
    </row>
    <row r="581" customFormat="false" ht="15" hidden="false" customHeight="false" outlineLevel="0" collapsed="false">
      <c r="A581" s="53" t="str">
        <f aca="false">IF($B581="","",ROW()-5)</f>
        <v/>
      </c>
      <c r="B581" s="54"/>
      <c r="C581" s="33"/>
      <c r="D581" s="33"/>
      <c r="E581" s="33"/>
      <c r="F581" s="32"/>
      <c r="G581" s="41"/>
      <c r="H581" s="39"/>
      <c r="I581" s="43"/>
      <c r="J581" s="43"/>
      <c r="K581" s="41"/>
      <c r="L581" s="39"/>
      <c r="M581" s="41"/>
      <c r="N581" s="25" t="str">
        <f aca="false">IF(AND($B581="",$E581="",$I581="",$J581=""),"",IF(NOT(ISNUMBER($B581)),"日期无效",IF(ISNA(MATCH($C581,参数设置!$A$10:$A$12,0)),"公司无效",IF(ISNA(MATCH($D581,资金账户!$B$6:$B$25,0)),"账户未建档",IF(ISNA(MATCH($E581,记账规则!$A$13:$A$32,0)),"业务类型无效",IF(AND(N($I581)&lt;&gt;0,N($J581)&lt;&gt;0),"收入和支出只能填一列",IF($P581=0,"金额为 0",IF(AND($R581="收",N($I581)=0),"这类业务是收款，金额填到收入列",IF(AND($R581="支",N($J581)=0),"这类业务是付款，金额填到支出列",IF(AND(SUMPRODUCT(--(INDEX(记账规则!$A$13:$H$32,MATCH($E581,记账规则!$A$13:$A$32,0),0)="@对方"))&gt;0,$G581=""),"这个类型要填对方科目",IF(AND($G581&lt;&gt;"",ISNA(MATCH($G581,会计科目表!$B$6:$B$85,0))),"对方科目不存在",IF(AND($E581="缴纳税费",$H581=""),"缴税请在费用项目里选税种",IF(AND($F581&lt;&gt;"",ISNA(MATCH($F581,往来单位!$A$6:$A$85,0))),"往来单位未建档",IF(YEAR($B581)&lt;&gt;参数设置!$B$5,"不在本会计年度",IF(AND($B580&lt;&gt;"",ISNUMBER($B580),$B581&lt;$B580),"日期比上一行早，余额按行序滚，建议按日期录","OK")))))))))))))))</f>
        <v/>
      </c>
      <c r="O581" s="58" t="str">
        <f aca="false">IF($B581="","",TEXT($B581,"yyyy-mm"))</f>
        <v/>
      </c>
      <c r="P581" s="60" t="str">
        <f aca="false">IF($E581="","",ROUND(N($I581)+N($J581),2))</f>
        <v/>
      </c>
      <c r="Q581" s="58" t="str">
        <f aca="false">IF($D581="","",IFERROR(INDEX(资金账户!$F$6:$F$25,MATCH($D581,资金账户!$B$6:$B$25,0)),""))</f>
        <v/>
      </c>
      <c r="R581" s="58" t="str">
        <f aca="false">IF($E581="","",IFERROR(IF(INDEX(记账规则!$A$13:$H$32,MATCH($E581,记账规则!$A$13:$A$32,0),4)="借","收","支"),""))</f>
        <v/>
      </c>
      <c r="S581" s="57" t="str">
        <f aca="false">IF($D581="","",ROUND(SUMIFS(资金账户!$H$6:$H$25,资金账户!$B$6:$B$25,$D581)+SUMIFS($I$6:$I581,$D$6:$D581,$D581)-SUMIFS($J$6:$J581,$D$6:$D581,$D581),2))</f>
        <v/>
      </c>
      <c r="T581" s="61" t="str">
        <f aca="false">IF($B581="","",YEAR($B581))</f>
        <v/>
      </c>
    </row>
    <row r="582" customFormat="false" ht="15" hidden="false" customHeight="false" outlineLevel="0" collapsed="false">
      <c r="A582" s="53" t="str">
        <f aca="false">IF($B582="","",ROW()-5)</f>
        <v/>
      </c>
      <c r="B582" s="54"/>
      <c r="C582" s="33"/>
      <c r="D582" s="33"/>
      <c r="E582" s="33"/>
      <c r="F582" s="32"/>
      <c r="G582" s="41"/>
      <c r="H582" s="39"/>
      <c r="I582" s="43"/>
      <c r="J582" s="43"/>
      <c r="K582" s="41"/>
      <c r="L582" s="39"/>
      <c r="M582" s="41"/>
      <c r="N582" s="25" t="str">
        <f aca="false">IF(AND($B582="",$E582="",$I582="",$J582=""),"",IF(NOT(ISNUMBER($B582)),"日期无效",IF(ISNA(MATCH($C582,参数设置!$A$10:$A$12,0)),"公司无效",IF(ISNA(MATCH($D582,资金账户!$B$6:$B$25,0)),"账户未建档",IF(ISNA(MATCH($E582,记账规则!$A$13:$A$32,0)),"业务类型无效",IF(AND(N($I582)&lt;&gt;0,N($J582)&lt;&gt;0),"收入和支出只能填一列",IF($P582=0,"金额为 0",IF(AND($R582="收",N($I582)=0),"这类业务是收款，金额填到收入列",IF(AND($R582="支",N($J582)=0),"这类业务是付款，金额填到支出列",IF(AND(SUMPRODUCT(--(INDEX(记账规则!$A$13:$H$32,MATCH($E582,记账规则!$A$13:$A$32,0),0)="@对方"))&gt;0,$G582=""),"这个类型要填对方科目",IF(AND($G582&lt;&gt;"",ISNA(MATCH($G582,会计科目表!$B$6:$B$85,0))),"对方科目不存在",IF(AND($E582="缴纳税费",$H582=""),"缴税请在费用项目里选税种",IF(AND($F582&lt;&gt;"",ISNA(MATCH($F582,往来单位!$A$6:$A$85,0))),"往来单位未建档",IF(YEAR($B582)&lt;&gt;参数设置!$B$5,"不在本会计年度",IF(AND($B581&lt;&gt;"",ISNUMBER($B581),$B582&lt;$B581),"日期比上一行早，余额按行序滚，建议按日期录","OK")))))))))))))))</f>
        <v/>
      </c>
      <c r="O582" s="58" t="str">
        <f aca="false">IF($B582="","",TEXT($B582,"yyyy-mm"))</f>
        <v/>
      </c>
      <c r="P582" s="60" t="str">
        <f aca="false">IF($E582="","",ROUND(N($I582)+N($J582),2))</f>
        <v/>
      </c>
      <c r="Q582" s="58" t="str">
        <f aca="false">IF($D582="","",IFERROR(INDEX(资金账户!$F$6:$F$25,MATCH($D582,资金账户!$B$6:$B$25,0)),""))</f>
        <v/>
      </c>
      <c r="R582" s="58" t="str">
        <f aca="false">IF($E582="","",IFERROR(IF(INDEX(记账规则!$A$13:$H$32,MATCH($E582,记账规则!$A$13:$A$32,0),4)="借","收","支"),""))</f>
        <v/>
      </c>
      <c r="S582" s="57" t="str">
        <f aca="false">IF($D582="","",ROUND(SUMIFS(资金账户!$H$6:$H$25,资金账户!$B$6:$B$25,$D582)+SUMIFS($I$6:$I582,$D$6:$D582,$D582)-SUMIFS($J$6:$J582,$D$6:$D582,$D582),2))</f>
        <v/>
      </c>
      <c r="T582" s="61" t="str">
        <f aca="false">IF($B582="","",YEAR($B582))</f>
        <v/>
      </c>
    </row>
    <row r="583" customFormat="false" ht="15" hidden="false" customHeight="false" outlineLevel="0" collapsed="false">
      <c r="A583" s="53" t="str">
        <f aca="false">IF($B583="","",ROW()-5)</f>
        <v/>
      </c>
      <c r="B583" s="54"/>
      <c r="C583" s="33"/>
      <c r="D583" s="33"/>
      <c r="E583" s="33"/>
      <c r="F583" s="32"/>
      <c r="G583" s="41"/>
      <c r="H583" s="39"/>
      <c r="I583" s="43"/>
      <c r="J583" s="43"/>
      <c r="K583" s="41"/>
      <c r="L583" s="39"/>
      <c r="M583" s="41"/>
      <c r="N583" s="25" t="str">
        <f aca="false">IF(AND($B583="",$E583="",$I583="",$J583=""),"",IF(NOT(ISNUMBER($B583)),"日期无效",IF(ISNA(MATCH($C583,参数设置!$A$10:$A$12,0)),"公司无效",IF(ISNA(MATCH($D583,资金账户!$B$6:$B$25,0)),"账户未建档",IF(ISNA(MATCH($E583,记账规则!$A$13:$A$32,0)),"业务类型无效",IF(AND(N($I583)&lt;&gt;0,N($J583)&lt;&gt;0),"收入和支出只能填一列",IF($P583=0,"金额为 0",IF(AND($R583="收",N($I583)=0),"这类业务是收款，金额填到收入列",IF(AND($R583="支",N($J583)=0),"这类业务是付款，金额填到支出列",IF(AND(SUMPRODUCT(--(INDEX(记账规则!$A$13:$H$32,MATCH($E583,记账规则!$A$13:$A$32,0),0)="@对方"))&gt;0,$G583=""),"这个类型要填对方科目",IF(AND($G583&lt;&gt;"",ISNA(MATCH($G583,会计科目表!$B$6:$B$85,0))),"对方科目不存在",IF(AND($E583="缴纳税费",$H583=""),"缴税请在费用项目里选税种",IF(AND($F583&lt;&gt;"",ISNA(MATCH($F583,往来单位!$A$6:$A$85,0))),"往来单位未建档",IF(YEAR($B583)&lt;&gt;参数设置!$B$5,"不在本会计年度",IF(AND($B582&lt;&gt;"",ISNUMBER($B582),$B583&lt;$B582),"日期比上一行早，余额按行序滚，建议按日期录","OK")))))))))))))))</f>
        <v/>
      </c>
      <c r="O583" s="58" t="str">
        <f aca="false">IF($B583="","",TEXT($B583,"yyyy-mm"))</f>
        <v/>
      </c>
      <c r="P583" s="60" t="str">
        <f aca="false">IF($E583="","",ROUND(N($I583)+N($J583),2))</f>
        <v/>
      </c>
      <c r="Q583" s="58" t="str">
        <f aca="false">IF($D583="","",IFERROR(INDEX(资金账户!$F$6:$F$25,MATCH($D583,资金账户!$B$6:$B$25,0)),""))</f>
        <v/>
      </c>
      <c r="R583" s="58" t="str">
        <f aca="false">IF($E583="","",IFERROR(IF(INDEX(记账规则!$A$13:$H$32,MATCH($E583,记账规则!$A$13:$A$32,0),4)="借","收","支"),""))</f>
        <v/>
      </c>
      <c r="S583" s="57" t="str">
        <f aca="false">IF($D583="","",ROUND(SUMIFS(资金账户!$H$6:$H$25,资金账户!$B$6:$B$25,$D583)+SUMIFS($I$6:$I583,$D$6:$D583,$D583)-SUMIFS($J$6:$J583,$D$6:$D583,$D583),2))</f>
        <v/>
      </c>
      <c r="T583" s="61" t="str">
        <f aca="false">IF($B583="","",YEAR($B583))</f>
        <v/>
      </c>
    </row>
    <row r="584" customFormat="false" ht="15" hidden="false" customHeight="false" outlineLevel="0" collapsed="false">
      <c r="A584" s="53" t="str">
        <f aca="false">IF($B584="","",ROW()-5)</f>
        <v/>
      </c>
      <c r="B584" s="54"/>
      <c r="C584" s="33"/>
      <c r="D584" s="33"/>
      <c r="E584" s="33"/>
      <c r="F584" s="32"/>
      <c r="G584" s="41"/>
      <c r="H584" s="39"/>
      <c r="I584" s="43"/>
      <c r="J584" s="43"/>
      <c r="K584" s="41"/>
      <c r="L584" s="39"/>
      <c r="M584" s="41"/>
      <c r="N584" s="25" t="str">
        <f aca="false">IF(AND($B584="",$E584="",$I584="",$J584=""),"",IF(NOT(ISNUMBER($B584)),"日期无效",IF(ISNA(MATCH($C584,参数设置!$A$10:$A$12,0)),"公司无效",IF(ISNA(MATCH($D584,资金账户!$B$6:$B$25,0)),"账户未建档",IF(ISNA(MATCH($E584,记账规则!$A$13:$A$32,0)),"业务类型无效",IF(AND(N($I584)&lt;&gt;0,N($J584)&lt;&gt;0),"收入和支出只能填一列",IF($P584=0,"金额为 0",IF(AND($R584="收",N($I584)=0),"这类业务是收款，金额填到收入列",IF(AND($R584="支",N($J584)=0),"这类业务是付款，金额填到支出列",IF(AND(SUMPRODUCT(--(INDEX(记账规则!$A$13:$H$32,MATCH($E584,记账规则!$A$13:$A$32,0),0)="@对方"))&gt;0,$G584=""),"这个类型要填对方科目",IF(AND($G584&lt;&gt;"",ISNA(MATCH($G584,会计科目表!$B$6:$B$85,0))),"对方科目不存在",IF(AND($E584="缴纳税费",$H584=""),"缴税请在费用项目里选税种",IF(AND($F584&lt;&gt;"",ISNA(MATCH($F584,往来单位!$A$6:$A$85,0))),"往来单位未建档",IF(YEAR($B584)&lt;&gt;参数设置!$B$5,"不在本会计年度",IF(AND($B583&lt;&gt;"",ISNUMBER($B583),$B584&lt;$B583),"日期比上一行早，余额按行序滚，建议按日期录","OK")))))))))))))))</f>
        <v/>
      </c>
      <c r="O584" s="58" t="str">
        <f aca="false">IF($B584="","",TEXT($B584,"yyyy-mm"))</f>
        <v/>
      </c>
      <c r="P584" s="60" t="str">
        <f aca="false">IF($E584="","",ROUND(N($I584)+N($J584),2))</f>
        <v/>
      </c>
      <c r="Q584" s="58" t="str">
        <f aca="false">IF($D584="","",IFERROR(INDEX(资金账户!$F$6:$F$25,MATCH($D584,资金账户!$B$6:$B$25,0)),""))</f>
        <v/>
      </c>
      <c r="R584" s="58" t="str">
        <f aca="false">IF($E584="","",IFERROR(IF(INDEX(记账规则!$A$13:$H$32,MATCH($E584,记账规则!$A$13:$A$32,0),4)="借","收","支"),""))</f>
        <v/>
      </c>
      <c r="S584" s="57" t="str">
        <f aca="false">IF($D584="","",ROUND(SUMIFS(资金账户!$H$6:$H$25,资金账户!$B$6:$B$25,$D584)+SUMIFS($I$6:$I584,$D$6:$D584,$D584)-SUMIFS($J$6:$J584,$D$6:$D584,$D584),2))</f>
        <v/>
      </c>
      <c r="T584" s="61" t="str">
        <f aca="false">IF($B584="","",YEAR($B584))</f>
        <v/>
      </c>
    </row>
    <row r="585" customFormat="false" ht="15" hidden="false" customHeight="false" outlineLevel="0" collapsed="false">
      <c r="A585" s="53" t="str">
        <f aca="false">IF($B585="","",ROW()-5)</f>
        <v/>
      </c>
      <c r="B585" s="54"/>
      <c r="C585" s="33"/>
      <c r="D585" s="33"/>
      <c r="E585" s="33"/>
      <c r="F585" s="32"/>
      <c r="G585" s="41"/>
      <c r="H585" s="39"/>
      <c r="I585" s="43"/>
      <c r="J585" s="43"/>
      <c r="K585" s="41"/>
      <c r="L585" s="39"/>
      <c r="M585" s="41"/>
      <c r="N585" s="25" t="str">
        <f aca="false">IF(AND($B585="",$E585="",$I585="",$J585=""),"",IF(NOT(ISNUMBER($B585)),"日期无效",IF(ISNA(MATCH($C585,参数设置!$A$10:$A$12,0)),"公司无效",IF(ISNA(MATCH($D585,资金账户!$B$6:$B$25,0)),"账户未建档",IF(ISNA(MATCH($E585,记账规则!$A$13:$A$32,0)),"业务类型无效",IF(AND(N($I585)&lt;&gt;0,N($J585)&lt;&gt;0),"收入和支出只能填一列",IF($P585=0,"金额为 0",IF(AND($R585="收",N($I585)=0),"这类业务是收款，金额填到收入列",IF(AND($R585="支",N($J585)=0),"这类业务是付款，金额填到支出列",IF(AND(SUMPRODUCT(--(INDEX(记账规则!$A$13:$H$32,MATCH($E585,记账规则!$A$13:$A$32,0),0)="@对方"))&gt;0,$G585=""),"这个类型要填对方科目",IF(AND($G585&lt;&gt;"",ISNA(MATCH($G585,会计科目表!$B$6:$B$85,0))),"对方科目不存在",IF(AND($E585="缴纳税费",$H585=""),"缴税请在费用项目里选税种",IF(AND($F585&lt;&gt;"",ISNA(MATCH($F585,往来单位!$A$6:$A$85,0))),"往来单位未建档",IF(YEAR($B585)&lt;&gt;参数设置!$B$5,"不在本会计年度",IF(AND($B584&lt;&gt;"",ISNUMBER($B584),$B585&lt;$B584),"日期比上一行早，余额按行序滚，建议按日期录","OK")))))))))))))))</f>
        <v/>
      </c>
      <c r="O585" s="58" t="str">
        <f aca="false">IF($B585="","",TEXT($B585,"yyyy-mm"))</f>
        <v/>
      </c>
      <c r="P585" s="60" t="str">
        <f aca="false">IF($E585="","",ROUND(N($I585)+N($J585),2))</f>
        <v/>
      </c>
      <c r="Q585" s="58" t="str">
        <f aca="false">IF($D585="","",IFERROR(INDEX(资金账户!$F$6:$F$25,MATCH($D585,资金账户!$B$6:$B$25,0)),""))</f>
        <v/>
      </c>
      <c r="R585" s="58" t="str">
        <f aca="false">IF($E585="","",IFERROR(IF(INDEX(记账规则!$A$13:$H$32,MATCH($E585,记账规则!$A$13:$A$32,0),4)="借","收","支"),""))</f>
        <v/>
      </c>
      <c r="S585" s="57" t="str">
        <f aca="false">IF($D585="","",ROUND(SUMIFS(资金账户!$H$6:$H$25,资金账户!$B$6:$B$25,$D585)+SUMIFS($I$6:$I585,$D$6:$D585,$D585)-SUMIFS($J$6:$J585,$D$6:$D585,$D585),2))</f>
        <v/>
      </c>
      <c r="T585" s="61" t="str">
        <f aca="false">IF($B585="","",YEAR($B585))</f>
        <v/>
      </c>
    </row>
    <row r="586" customFormat="false" ht="15" hidden="false" customHeight="false" outlineLevel="0" collapsed="false">
      <c r="A586" s="53" t="str">
        <f aca="false">IF($B586="","",ROW()-5)</f>
        <v/>
      </c>
      <c r="B586" s="54"/>
      <c r="C586" s="33"/>
      <c r="D586" s="33"/>
      <c r="E586" s="33"/>
      <c r="F586" s="32"/>
      <c r="G586" s="41"/>
      <c r="H586" s="39"/>
      <c r="I586" s="43"/>
      <c r="J586" s="43"/>
      <c r="K586" s="41"/>
      <c r="L586" s="39"/>
      <c r="M586" s="41"/>
      <c r="N586" s="25" t="str">
        <f aca="false">IF(AND($B586="",$E586="",$I586="",$J586=""),"",IF(NOT(ISNUMBER($B586)),"日期无效",IF(ISNA(MATCH($C586,参数设置!$A$10:$A$12,0)),"公司无效",IF(ISNA(MATCH($D586,资金账户!$B$6:$B$25,0)),"账户未建档",IF(ISNA(MATCH($E586,记账规则!$A$13:$A$32,0)),"业务类型无效",IF(AND(N($I586)&lt;&gt;0,N($J586)&lt;&gt;0),"收入和支出只能填一列",IF($P586=0,"金额为 0",IF(AND($R586="收",N($I586)=0),"这类业务是收款，金额填到收入列",IF(AND($R586="支",N($J586)=0),"这类业务是付款，金额填到支出列",IF(AND(SUMPRODUCT(--(INDEX(记账规则!$A$13:$H$32,MATCH($E586,记账规则!$A$13:$A$32,0),0)="@对方"))&gt;0,$G586=""),"这个类型要填对方科目",IF(AND($G586&lt;&gt;"",ISNA(MATCH($G586,会计科目表!$B$6:$B$85,0))),"对方科目不存在",IF(AND($E586="缴纳税费",$H586=""),"缴税请在费用项目里选税种",IF(AND($F586&lt;&gt;"",ISNA(MATCH($F586,往来单位!$A$6:$A$85,0))),"往来单位未建档",IF(YEAR($B586)&lt;&gt;参数设置!$B$5,"不在本会计年度",IF(AND($B585&lt;&gt;"",ISNUMBER($B585),$B586&lt;$B585),"日期比上一行早，余额按行序滚，建议按日期录","OK")))))))))))))))</f>
        <v/>
      </c>
      <c r="O586" s="58" t="str">
        <f aca="false">IF($B586="","",TEXT($B586,"yyyy-mm"))</f>
        <v/>
      </c>
      <c r="P586" s="60" t="str">
        <f aca="false">IF($E586="","",ROUND(N($I586)+N($J586),2))</f>
        <v/>
      </c>
      <c r="Q586" s="58" t="str">
        <f aca="false">IF($D586="","",IFERROR(INDEX(资金账户!$F$6:$F$25,MATCH($D586,资金账户!$B$6:$B$25,0)),""))</f>
        <v/>
      </c>
      <c r="R586" s="58" t="str">
        <f aca="false">IF($E586="","",IFERROR(IF(INDEX(记账规则!$A$13:$H$32,MATCH($E586,记账规则!$A$13:$A$32,0),4)="借","收","支"),""))</f>
        <v/>
      </c>
      <c r="S586" s="57" t="str">
        <f aca="false">IF($D586="","",ROUND(SUMIFS(资金账户!$H$6:$H$25,资金账户!$B$6:$B$25,$D586)+SUMIFS($I$6:$I586,$D$6:$D586,$D586)-SUMIFS($J$6:$J586,$D$6:$D586,$D586),2))</f>
        <v/>
      </c>
      <c r="T586" s="61" t="str">
        <f aca="false">IF($B586="","",YEAR($B586))</f>
        <v/>
      </c>
    </row>
    <row r="587" customFormat="false" ht="15" hidden="false" customHeight="false" outlineLevel="0" collapsed="false">
      <c r="A587" s="53" t="str">
        <f aca="false">IF($B587="","",ROW()-5)</f>
        <v/>
      </c>
      <c r="B587" s="54"/>
      <c r="C587" s="33"/>
      <c r="D587" s="33"/>
      <c r="E587" s="33"/>
      <c r="F587" s="32"/>
      <c r="G587" s="41"/>
      <c r="H587" s="39"/>
      <c r="I587" s="43"/>
      <c r="J587" s="43"/>
      <c r="K587" s="41"/>
      <c r="L587" s="39"/>
      <c r="M587" s="41"/>
      <c r="N587" s="25" t="str">
        <f aca="false">IF(AND($B587="",$E587="",$I587="",$J587=""),"",IF(NOT(ISNUMBER($B587)),"日期无效",IF(ISNA(MATCH($C587,参数设置!$A$10:$A$12,0)),"公司无效",IF(ISNA(MATCH($D587,资金账户!$B$6:$B$25,0)),"账户未建档",IF(ISNA(MATCH($E587,记账规则!$A$13:$A$32,0)),"业务类型无效",IF(AND(N($I587)&lt;&gt;0,N($J587)&lt;&gt;0),"收入和支出只能填一列",IF($P587=0,"金额为 0",IF(AND($R587="收",N($I587)=0),"这类业务是收款，金额填到收入列",IF(AND($R587="支",N($J587)=0),"这类业务是付款，金额填到支出列",IF(AND(SUMPRODUCT(--(INDEX(记账规则!$A$13:$H$32,MATCH($E587,记账规则!$A$13:$A$32,0),0)="@对方"))&gt;0,$G587=""),"这个类型要填对方科目",IF(AND($G587&lt;&gt;"",ISNA(MATCH($G587,会计科目表!$B$6:$B$85,0))),"对方科目不存在",IF(AND($E587="缴纳税费",$H587=""),"缴税请在费用项目里选税种",IF(AND($F587&lt;&gt;"",ISNA(MATCH($F587,往来单位!$A$6:$A$85,0))),"往来单位未建档",IF(YEAR($B587)&lt;&gt;参数设置!$B$5,"不在本会计年度",IF(AND($B586&lt;&gt;"",ISNUMBER($B586),$B587&lt;$B586),"日期比上一行早，余额按行序滚，建议按日期录","OK")))))))))))))))</f>
        <v/>
      </c>
      <c r="O587" s="58" t="str">
        <f aca="false">IF($B587="","",TEXT($B587,"yyyy-mm"))</f>
        <v/>
      </c>
      <c r="P587" s="60" t="str">
        <f aca="false">IF($E587="","",ROUND(N($I587)+N($J587),2))</f>
        <v/>
      </c>
      <c r="Q587" s="58" t="str">
        <f aca="false">IF($D587="","",IFERROR(INDEX(资金账户!$F$6:$F$25,MATCH($D587,资金账户!$B$6:$B$25,0)),""))</f>
        <v/>
      </c>
      <c r="R587" s="58" t="str">
        <f aca="false">IF($E587="","",IFERROR(IF(INDEX(记账规则!$A$13:$H$32,MATCH($E587,记账规则!$A$13:$A$32,0),4)="借","收","支"),""))</f>
        <v/>
      </c>
      <c r="S587" s="57" t="str">
        <f aca="false">IF($D587="","",ROUND(SUMIFS(资金账户!$H$6:$H$25,资金账户!$B$6:$B$25,$D587)+SUMIFS($I$6:$I587,$D$6:$D587,$D587)-SUMIFS($J$6:$J587,$D$6:$D587,$D587),2))</f>
        <v/>
      </c>
      <c r="T587" s="61" t="str">
        <f aca="false">IF($B587="","",YEAR($B587))</f>
        <v/>
      </c>
    </row>
    <row r="588" customFormat="false" ht="15" hidden="false" customHeight="false" outlineLevel="0" collapsed="false">
      <c r="A588" s="53" t="str">
        <f aca="false">IF($B588="","",ROW()-5)</f>
        <v/>
      </c>
      <c r="B588" s="54"/>
      <c r="C588" s="33"/>
      <c r="D588" s="33"/>
      <c r="E588" s="33"/>
      <c r="F588" s="32"/>
      <c r="G588" s="41"/>
      <c r="H588" s="39"/>
      <c r="I588" s="43"/>
      <c r="J588" s="43"/>
      <c r="K588" s="41"/>
      <c r="L588" s="39"/>
      <c r="M588" s="41"/>
      <c r="N588" s="25" t="str">
        <f aca="false">IF(AND($B588="",$E588="",$I588="",$J588=""),"",IF(NOT(ISNUMBER($B588)),"日期无效",IF(ISNA(MATCH($C588,参数设置!$A$10:$A$12,0)),"公司无效",IF(ISNA(MATCH($D588,资金账户!$B$6:$B$25,0)),"账户未建档",IF(ISNA(MATCH($E588,记账规则!$A$13:$A$32,0)),"业务类型无效",IF(AND(N($I588)&lt;&gt;0,N($J588)&lt;&gt;0),"收入和支出只能填一列",IF($P588=0,"金额为 0",IF(AND($R588="收",N($I588)=0),"这类业务是收款，金额填到收入列",IF(AND($R588="支",N($J588)=0),"这类业务是付款，金额填到支出列",IF(AND(SUMPRODUCT(--(INDEX(记账规则!$A$13:$H$32,MATCH($E588,记账规则!$A$13:$A$32,0),0)="@对方"))&gt;0,$G588=""),"这个类型要填对方科目",IF(AND($G588&lt;&gt;"",ISNA(MATCH($G588,会计科目表!$B$6:$B$85,0))),"对方科目不存在",IF(AND($E588="缴纳税费",$H588=""),"缴税请在费用项目里选税种",IF(AND($F588&lt;&gt;"",ISNA(MATCH($F588,往来单位!$A$6:$A$85,0))),"往来单位未建档",IF(YEAR($B588)&lt;&gt;参数设置!$B$5,"不在本会计年度",IF(AND($B587&lt;&gt;"",ISNUMBER($B587),$B588&lt;$B587),"日期比上一行早，余额按行序滚，建议按日期录","OK")))))))))))))))</f>
        <v/>
      </c>
      <c r="O588" s="58" t="str">
        <f aca="false">IF($B588="","",TEXT($B588,"yyyy-mm"))</f>
        <v/>
      </c>
      <c r="P588" s="60" t="str">
        <f aca="false">IF($E588="","",ROUND(N($I588)+N($J588),2))</f>
        <v/>
      </c>
      <c r="Q588" s="58" t="str">
        <f aca="false">IF($D588="","",IFERROR(INDEX(资金账户!$F$6:$F$25,MATCH($D588,资金账户!$B$6:$B$25,0)),""))</f>
        <v/>
      </c>
      <c r="R588" s="58" t="str">
        <f aca="false">IF($E588="","",IFERROR(IF(INDEX(记账规则!$A$13:$H$32,MATCH($E588,记账规则!$A$13:$A$32,0),4)="借","收","支"),""))</f>
        <v/>
      </c>
      <c r="S588" s="57" t="str">
        <f aca="false">IF($D588="","",ROUND(SUMIFS(资金账户!$H$6:$H$25,资金账户!$B$6:$B$25,$D588)+SUMIFS($I$6:$I588,$D$6:$D588,$D588)-SUMIFS($J$6:$J588,$D$6:$D588,$D588),2))</f>
        <v/>
      </c>
      <c r="T588" s="61" t="str">
        <f aca="false">IF($B588="","",YEAR($B588))</f>
        <v/>
      </c>
    </row>
    <row r="589" customFormat="false" ht="15" hidden="false" customHeight="false" outlineLevel="0" collapsed="false">
      <c r="A589" s="53" t="str">
        <f aca="false">IF($B589="","",ROW()-5)</f>
        <v/>
      </c>
      <c r="B589" s="54"/>
      <c r="C589" s="33"/>
      <c r="D589" s="33"/>
      <c r="E589" s="33"/>
      <c r="F589" s="32"/>
      <c r="G589" s="41"/>
      <c r="H589" s="39"/>
      <c r="I589" s="43"/>
      <c r="J589" s="43"/>
      <c r="K589" s="41"/>
      <c r="L589" s="39"/>
      <c r="M589" s="41"/>
      <c r="N589" s="25" t="str">
        <f aca="false">IF(AND($B589="",$E589="",$I589="",$J589=""),"",IF(NOT(ISNUMBER($B589)),"日期无效",IF(ISNA(MATCH($C589,参数设置!$A$10:$A$12,0)),"公司无效",IF(ISNA(MATCH($D589,资金账户!$B$6:$B$25,0)),"账户未建档",IF(ISNA(MATCH($E589,记账规则!$A$13:$A$32,0)),"业务类型无效",IF(AND(N($I589)&lt;&gt;0,N($J589)&lt;&gt;0),"收入和支出只能填一列",IF($P589=0,"金额为 0",IF(AND($R589="收",N($I589)=0),"这类业务是收款，金额填到收入列",IF(AND($R589="支",N($J589)=0),"这类业务是付款，金额填到支出列",IF(AND(SUMPRODUCT(--(INDEX(记账规则!$A$13:$H$32,MATCH($E589,记账规则!$A$13:$A$32,0),0)="@对方"))&gt;0,$G589=""),"这个类型要填对方科目",IF(AND($G589&lt;&gt;"",ISNA(MATCH($G589,会计科目表!$B$6:$B$85,0))),"对方科目不存在",IF(AND($E589="缴纳税费",$H589=""),"缴税请在费用项目里选税种",IF(AND($F589&lt;&gt;"",ISNA(MATCH($F589,往来单位!$A$6:$A$85,0))),"往来单位未建档",IF(YEAR($B589)&lt;&gt;参数设置!$B$5,"不在本会计年度",IF(AND($B588&lt;&gt;"",ISNUMBER($B588),$B589&lt;$B588),"日期比上一行早，余额按行序滚，建议按日期录","OK")))))))))))))))</f>
        <v/>
      </c>
      <c r="O589" s="58" t="str">
        <f aca="false">IF($B589="","",TEXT($B589,"yyyy-mm"))</f>
        <v/>
      </c>
      <c r="P589" s="60" t="str">
        <f aca="false">IF($E589="","",ROUND(N($I589)+N($J589),2))</f>
        <v/>
      </c>
      <c r="Q589" s="58" t="str">
        <f aca="false">IF($D589="","",IFERROR(INDEX(资金账户!$F$6:$F$25,MATCH($D589,资金账户!$B$6:$B$25,0)),""))</f>
        <v/>
      </c>
      <c r="R589" s="58" t="str">
        <f aca="false">IF($E589="","",IFERROR(IF(INDEX(记账规则!$A$13:$H$32,MATCH($E589,记账规则!$A$13:$A$32,0),4)="借","收","支"),""))</f>
        <v/>
      </c>
      <c r="S589" s="57" t="str">
        <f aca="false">IF($D589="","",ROUND(SUMIFS(资金账户!$H$6:$H$25,资金账户!$B$6:$B$25,$D589)+SUMIFS($I$6:$I589,$D$6:$D589,$D589)-SUMIFS($J$6:$J589,$D$6:$D589,$D589),2))</f>
        <v/>
      </c>
      <c r="T589" s="61" t="str">
        <f aca="false">IF($B589="","",YEAR($B589))</f>
        <v/>
      </c>
    </row>
    <row r="590" customFormat="false" ht="15" hidden="false" customHeight="false" outlineLevel="0" collapsed="false">
      <c r="A590" s="53" t="str">
        <f aca="false">IF($B590="","",ROW()-5)</f>
        <v/>
      </c>
      <c r="B590" s="54"/>
      <c r="C590" s="33"/>
      <c r="D590" s="33"/>
      <c r="E590" s="33"/>
      <c r="F590" s="32"/>
      <c r="G590" s="41"/>
      <c r="H590" s="39"/>
      <c r="I590" s="43"/>
      <c r="J590" s="43"/>
      <c r="K590" s="41"/>
      <c r="L590" s="39"/>
      <c r="M590" s="41"/>
      <c r="N590" s="25" t="str">
        <f aca="false">IF(AND($B590="",$E590="",$I590="",$J590=""),"",IF(NOT(ISNUMBER($B590)),"日期无效",IF(ISNA(MATCH($C590,参数设置!$A$10:$A$12,0)),"公司无效",IF(ISNA(MATCH($D590,资金账户!$B$6:$B$25,0)),"账户未建档",IF(ISNA(MATCH($E590,记账规则!$A$13:$A$32,0)),"业务类型无效",IF(AND(N($I590)&lt;&gt;0,N($J590)&lt;&gt;0),"收入和支出只能填一列",IF($P590=0,"金额为 0",IF(AND($R590="收",N($I590)=0),"这类业务是收款，金额填到收入列",IF(AND($R590="支",N($J590)=0),"这类业务是付款，金额填到支出列",IF(AND(SUMPRODUCT(--(INDEX(记账规则!$A$13:$H$32,MATCH($E590,记账规则!$A$13:$A$32,0),0)="@对方"))&gt;0,$G590=""),"这个类型要填对方科目",IF(AND($G590&lt;&gt;"",ISNA(MATCH($G590,会计科目表!$B$6:$B$85,0))),"对方科目不存在",IF(AND($E590="缴纳税费",$H590=""),"缴税请在费用项目里选税种",IF(AND($F590&lt;&gt;"",ISNA(MATCH($F590,往来单位!$A$6:$A$85,0))),"往来单位未建档",IF(YEAR($B590)&lt;&gt;参数设置!$B$5,"不在本会计年度",IF(AND($B589&lt;&gt;"",ISNUMBER($B589),$B590&lt;$B589),"日期比上一行早，余额按行序滚，建议按日期录","OK")))))))))))))))</f>
        <v/>
      </c>
      <c r="O590" s="58" t="str">
        <f aca="false">IF($B590="","",TEXT($B590,"yyyy-mm"))</f>
        <v/>
      </c>
      <c r="P590" s="60" t="str">
        <f aca="false">IF($E590="","",ROUND(N($I590)+N($J590),2))</f>
        <v/>
      </c>
      <c r="Q590" s="58" t="str">
        <f aca="false">IF($D590="","",IFERROR(INDEX(资金账户!$F$6:$F$25,MATCH($D590,资金账户!$B$6:$B$25,0)),""))</f>
        <v/>
      </c>
      <c r="R590" s="58" t="str">
        <f aca="false">IF($E590="","",IFERROR(IF(INDEX(记账规则!$A$13:$H$32,MATCH($E590,记账规则!$A$13:$A$32,0),4)="借","收","支"),""))</f>
        <v/>
      </c>
      <c r="S590" s="57" t="str">
        <f aca="false">IF($D590="","",ROUND(SUMIFS(资金账户!$H$6:$H$25,资金账户!$B$6:$B$25,$D590)+SUMIFS($I$6:$I590,$D$6:$D590,$D590)-SUMIFS($J$6:$J590,$D$6:$D590,$D590),2))</f>
        <v/>
      </c>
      <c r="T590" s="61" t="str">
        <f aca="false">IF($B590="","",YEAR($B590))</f>
        <v/>
      </c>
    </row>
    <row r="591" customFormat="false" ht="15" hidden="false" customHeight="false" outlineLevel="0" collapsed="false">
      <c r="A591" s="53" t="str">
        <f aca="false">IF($B591="","",ROW()-5)</f>
        <v/>
      </c>
      <c r="B591" s="54"/>
      <c r="C591" s="33"/>
      <c r="D591" s="33"/>
      <c r="E591" s="33"/>
      <c r="F591" s="32"/>
      <c r="G591" s="41"/>
      <c r="H591" s="39"/>
      <c r="I591" s="43"/>
      <c r="J591" s="43"/>
      <c r="K591" s="41"/>
      <c r="L591" s="39"/>
      <c r="M591" s="41"/>
      <c r="N591" s="25" t="str">
        <f aca="false">IF(AND($B591="",$E591="",$I591="",$J591=""),"",IF(NOT(ISNUMBER($B591)),"日期无效",IF(ISNA(MATCH($C591,参数设置!$A$10:$A$12,0)),"公司无效",IF(ISNA(MATCH($D591,资金账户!$B$6:$B$25,0)),"账户未建档",IF(ISNA(MATCH($E591,记账规则!$A$13:$A$32,0)),"业务类型无效",IF(AND(N($I591)&lt;&gt;0,N($J591)&lt;&gt;0),"收入和支出只能填一列",IF($P591=0,"金额为 0",IF(AND($R591="收",N($I591)=0),"这类业务是收款，金额填到收入列",IF(AND($R591="支",N($J591)=0),"这类业务是付款，金额填到支出列",IF(AND(SUMPRODUCT(--(INDEX(记账规则!$A$13:$H$32,MATCH($E591,记账规则!$A$13:$A$32,0),0)="@对方"))&gt;0,$G591=""),"这个类型要填对方科目",IF(AND($G591&lt;&gt;"",ISNA(MATCH($G591,会计科目表!$B$6:$B$85,0))),"对方科目不存在",IF(AND($E591="缴纳税费",$H591=""),"缴税请在费用项目里选税种",IF(AND($F591&lt;&gt;"",ISNA(MATCH($F591,往来单位!$A$6:$A$85,0))),"往来单位未建档",IF(YEAR($B591)&lt;&gt;参数设置!$B$5,"不在本会计年度",IF(AND($B590&lt;&gt;"",ISNUMBER($B590),$B591&lt;$B590),"日期比上一行早，余额按行序滚，建议按日期录","OK")))))))))))))))</f>
        <v/>
      </c>
      <c r="O591" s="58" t="str">
        <f aca="false">IF($B591="","",TEXT($B591,"yyyy-mm"))</f>
        <v/>
      </c>
      <c r="P591" s="60" t="str">
        <f aca="false">IF($E591="","",ROUND(N($I591)+N($J591),2))</f>
        <v/>
      </c>
      <c r="Q591" s="58" t="str">
        <f aca="false">IF($D591="","",IFERROR(INDEX(资金账户!$F$6:$F$25,MATCH($D591,资金账户!$B$6:$B$25,0)),""))</f>
        <v/>
      </c>
      <c r="R591" s="58" t="str">
        <f aca="false">IF($E591="","",IFERROR(IF(INDEX(记账规则!$A$13:$H$32,MATCH($E591,记账规则!$A$13:$A$32,0),4)="借","收","支"),""))</f>
        <v/>
      </c>
      <c r="S591" s="57" t="str">
        <f aca="false">IF($D591="","",ROUND(SUMIFS(资金账户!$H$6:$H$25,资金账户!$B$6:$B$25,$D591)+SUMIFS($I$6:$I591,$D$6:$D591,$D591)-SUMIFS($J$6:$J591,$D$6:$D591,$D591),2))</f>
        <v/>
      </c>
      <c r="T591" s="61" t="str">
        <f aca="false">IF($B591="","",YEAR($B591))</f>
        <v/>
      </c>
    </row>
    <row r="592" customFormat="false" ht="15" hidden="false" customHeight="false" outlineLevel="0" collapsed="false">
      <c r="A592" s="53" t="str">
        <f aca="false">IF($B592="","",ROW()-5)</f>
        <v/>
      </c>
      <c r="B592" s="54"/>
      <c r="C592" s="33"/>
      <c r="D592" s="33"/>
      <c r="E592" s="33"/>
      <c r="F592" s="32"/>
      <c r="G592" s="41"/>
      <c r="H592" s="39"/>
      <c r="I592" s="43"/>
      <c r="J592" s="43"/>
      <c r="K592" s="41"/>
      <c r="L592" s="39"/>
      <c r="M592" s="41"/>
      <c r="N592" s="25" t="str">
        <f aca="false">IF(AND($B592="",$E592="",$I592="",$J592=""),"",IF(NOT(ISNUMBER($B592)),"日期无效",IF(ISNA(MATCH($C592,参数设置!$A$10:$A$12,0)),"公司无效",IF(ISNA(MATCH($D592,资金账户!$B$6:$B$25,0)),"账户未建档",IF(ISNA(MATCH($E592,记账规则!$A$13:$A$32,0)),"业务类型无效",IF(AND(N($I592)&lt;&gt;0,N($J592)&lt;&gt;0),"收入和支出只能填一列",IF($P592=0,"金额为 0",IF(AND($R592="收",N($I592)=0),"这类业务是收款，金额填到收入列",IF(AND($R592="支",N($J592)=0),"这类业务是付款，金额填到支出列",IF(AND(SUMPRODUCT(--(INDEX(记账规则!$A$13:$H$32,MATCH($E592,记账规则!$A$13:$A$32,0),0)="@对方"))&gt;0,$G592=""),"这个类型要填对方科目",IF(AND($G592&lt;&gt;"",ISNA(MATCH($G592,会计科目表!$B$6:$B$85,0))),"对方科目不存在",IF(AND($E592="缴纳税费",$H592=""),"缴税请在费用项目里选税种",IF(AND($F592&lt;&gt;"",ISNA(MATCH($F592,往来单位!$A$6:$A$85,0))),"往来单位未建档",IF(YEAR($B592)&lt;&gt;参数设置!$B$5,"不在本会计年度",IF(AND($B591&lt;&gt;"",ISNUMBER($B591),$B592&lt;$B591),"日期比上一行早，余额按行序滚，建议按日期录","OK")))))))))))))))</f>
        <v/>
      </c>
      <c r="O592" s="58" t="str">
        <f aca="false">IF($B592="","",TEXT($B592,"yyyy-mm"))</f>
        <v/>
      </c>
      <c r="P592" s="60" t="str">
        <f aca="false">IF($E592="","",ROUND(N($I592)+N($J592),2))</f>
        <v/>
      </c>
      <c r="Q592" s="58" t="str">
        <f aca="false">IF($D592="","",IFERROR(INDEX(资金账户!$F$6:$F$25,MATCH($D592,资金账户!$B$6:$B$25,0)),""))</f>
        <v/>
      </c>
      <c r="R592" s="58" t="str">
        <f aca="false">IF($E592="","",IFERROR(IF(INDEX(记账规则!$A$13:$H$32,MATCH($E592,记账规则!$A$13:$A$32,0),4)="借","收","支"),""))</f>
        <v/>
      </c>
      <c r="S592" s="57" t="str">
        <f aca="false">IF($D592="","",ROUND(SUMIFS(资金账户!$H$6:$H$25,资金账户!$B$6:$B$25,$D592)+SUMIFS($I$6:$I592,$D$6:$D592,$D592)-SUMIFS($J$6:$J592,$D$6:$D592,$D592),2))</f>
        <v/>
      </c>
      <c r="T592" s="61" t="str">
        <f aca="false">IF($B592="","",YEAR($B592))</f>
        <v/>
      </c>
    </row>
    <row r="593" customFormat="false" ht="15" hidden="false" customHeight="false" outlineLevel="0" collapsed="false">
      <c r="A593" s="53" t="str">
        <f aca="false">IF($B593="","",ROW()-5)</f>
        <v/>
      </c>
      <c r="B593" s="54"/>
      <c r="C593" s="33"/>
      <c r="D593" s="33"/>
      <c r="E593" s="33"/>
      <c r="F593" s="32"/>
      <c r="G593" s="41"/>
      <c r="H593" s="39"/>
      <c r="I593" s="43"/>
      <c r="J593" s="43"/>
      <c r="K593" s="41"/>
      <c r="L593" s="39"/>
      <c r="M593" s="41"/>
      <c r="N593" s="25" t="str">
        <f aca="false">IF(AND($B593="",$E593="",$I593="",$J593=""),"",IF(NOT(ISNUMBER($B593)),"日期无效",IF(ISNA(MATCH($C593,参数设置!$A$10:$A$12,0)),"公司无效",IF(ISNA(MATCH($D593,资金账户!$B$6:$B$25,0)),"账户未建档",IF(ISNA(MATCH($E593,记账规则!$A$13:$A$32,0)),"业务类型无效",IF(AND(N($I593)&lt;&gt;0,N($J593)&lt;&gt;0),"收入和支出只能填一列",IF($P593=0,"金额为 0",IF(AND($R593="收",N($I593)=0),"这类业务是收款，金额填到收入列",IF(AND($R593="支",N($J593)=0),"这类业务是付款，金额填到支出列",IF(AND(SUMPRODUCT(--(INDEX(记账规则!$A$13:$H$32,MATCH($E593,记账规则!$A$13:$A$32,0),0)="@对方"))&gt;0,$G593=""),"这个类型要填对方科目",IF(AND($G593&lt;&gt;"",ISNA(MATCH($G593,会计科目表!$B$6:$B$85,0))),"对方科目不存在",IF(AND($E593="缴纳税费",$H593=""),"缴税请在费用项目里选税种",IF(AND($F593&lt;&gt;"",ISNA(MATCH($F593,往来单位!$A$6:$A$85,0))),"往来单位未建档",IF(YEAR($B593)&lt;&gt;参数设置!$B$5,"不在本会计年度",IF(AND($B592&lt;&gt;"",ISNUMBER($B592),$B593&lt;$B592),"日期比上一行早，余额按行序滚，建议按日期录","OK")))))))))))))))</f>
        <v/>
      </c>
      <c r="O593" s="58" t="str">
        <f aca="false">IF($B593="","",TEXT($B593,"yyyy-mm"))</f>
        <v/>
      </c>
      <c r="P593" s="60" t="str">
        <f aca="false">IF($E593="","",ROUND(N($I593)+N($J593),2))</f>
        <v/>
      </c>
      <c r="Q593" s="58" t="str">
        <f aca="false">IF($D593="","",IFERROR(INDEX(资金账户!$F$6:$F$25,MATCH($D593,资金账户!$B$6:$B$25,0)),""))</f>
        <v/>
      </c>
      <c r="R593" s="58" t="str">
        <f aca="false">IF($E593="","",IFERROR(IF(INDEX(记账规则!$A$13:$H$32,MATCH($E593,记账规则!$A$13:$A$32,0),4)="借","收","支"),""))</f>
        <v/>
      </c>
      <c r="S593" s="57" t="str">
        <f aca="false">IF($D593="","",ROUND(SUMIFS(资金账户!$H$6:$H$25,资金账户!$B$6:$B$25,$D593)+SUMIFS($I$6:$I593,$D$6:$D593,$D593)-SUMIFS($J$6:$J593,$D$6:$D593,$D593),2))</f>
        <v/>
      </c>
      <c r="T593" s="61" t="str">
        <f aca="false">IF($B593="","",YEAR($B593))</f>
        <v/>
      </c>
    </row>
    <row r="594" customFormat="false" ht="15" hidden="false" customHeight="false" outlineLevel="0" collapsed="false">
      <c r="A594" s="53" t="str">
        <f aca="false">IF($B594="","",ROW()-5)</f>
        <v/>
      </c>
      <c r="B594" s="54"/>
      <c r="C594" s="33"/>
      <c r="D594" s="33"/>
      <c r="E594" s="33"/>
      <c r="F594" s="32"/>
      <c r="G594" s="41"/>
      <c r="H594" s="39"/>
      <c r="I594" s="43"/>
      <c r="J594" s="43"/>
      <c r="K594" s="41"/>
      <c r="L594" s="39"/>
      <c r="M594" s="41"/>
      <c r="N594" s="25" t="str">
        <f aca="false">IF(AND($B594="",$E594="",$I594="",$J594=""),"",IF(NOT(ISNUMBER($B594)),"日期无效",IF(ISNA(MATCH($C594,参数设置!$A$10:$A$12,0)),"公司无效",IF(ISNA(MATCH($D594,资金账户!$B$6:$B$25,0)),"账户未建档",IF(ISNA(MATCH($E594,记账规则!$A$13:$A$32,0)),"业务类型无效",IF(AND(N($I594)&lt;&gt;0,N($J594)&lt;&gt;0),"收入和支出只能填一列",IF($P594=0,"金额为 0",IF(AND($R594="收",N($I594)=0),"这类业务是收款，金额填到收入列",IF(AND($R594="支",N($J594)=0),"这类业务是付款，金额填到支出列",IF(AND(SUMPRODUCT(--(INDEX(记账规则!$A$13:$H$32,MATCH($E594,记账规则!$A$13:$A$32,0),0)="@对方"))&gt;0,$G594=""),"这个类型要填对方科目",IF(AND($G594&lt;&gt;"",ISNA(MATCH($G594,会计科目表!$B$6:$B$85,0))),"对方科目不存在",IF(AND($E594="缴纳税费",$H594=""),"缴税请在费用项目里选税种",IF(AND($F594&lt;&gt;"",ISNA(MATCH($F594,往来单位!$A$6:$A$85,0))),"往来单位未建档",IF(YEAR($B594)&lt;&gt;参数设置!$B$5,"不在本会计年度",IF(AND($B593&lt;&gt;"",ISNUMBER($B593),$B594&lt;$B593),"日期比上一行早，余额按行序滚，建议按日期录","OK")))))))))))))))</f>
        <v/>
      </c>
      <c r="O594" s="58" t="str">
        <f aca="false">IF($B594="","",TEXT($B594,"yyyy-mm"))</f>
        <v/>
      </c>
      <c r="P594" s="60" t="str">
        <f aca="false">IF($E594="","",ROUND(N($I594)+N($J594),2))</f>
        <v/>
      </c>
      <c r="Q594" s="58" t="str">
        <f aca="false">IF($D594="","",IFERROR(INDEX(资金账户!$F$6:$F$25,MATCH($D594,资金账户!$B$6:$B$25,0)),""))</f>
        <v/>
      </c>
      <c r="R594" s="58" t="str">
        <f aca="false">IF($E594="","",IFERROR(IF(INDEX(记账规则!$A$13:$H$32,MATCH($E594,记账规则!$A$13:$A$32,0),4)="借","收","支"),""))</f>
        <v/>
      </c>
      <c r="S594" s="57" t="str">
        <f aca="false">IF($D594="","",ROUND(SUMIFS(资金账户!$H$6:$H$25,资金账户!$B$6:$B$25,$D594)+SUMIFS($I$6:$I594,$D$6:$D594,$D594)-SUMIFS($J$6:$J594,$D$6:$D594,$D594),2))</f>
        <v/>
      </c>
      <c r="T594" s="61" t="str">
        <f aca="false">IF($B594="","",YEAR($B594))</f>
        <v/>
      </c>
    </row>
    <row r="595" customFormat="false" ht="15" hidden="false" customHeight="false" outlineLevel="0" collapsed="false">
      <c r="A595" s="53" t="str">
        <f aca="false">IF($B595="","",ROW()-5)</f>
        <v/>
      </c>
      <c r="B595" s="54"/>
      <c r="C595" s="33"/>
      <c r="D595" s="33"/>
      <c r="E595" s="33"/>
      <c r="F595" s="32"/>
      <c r="G595" s="41"/>
      <c r="H595" s="39"/>
      <c r="I595" s="43"/>
      <c r="J595" s="43"/>
      <c r="K595" s="41"/>
      <c r="L595" s="39"/>
      <c r="M595" s="41"/>
      <c r="N595" s="25" t="str">
        <f aca="false">IF(AND($B595="",$E595="",$I595="",$J595=""),"",IF(NOT(ISNUMBER($B595)),"日期无效",IF(ISNA(MATCH($C595,参数设置!$A$10:$A$12,0)),"公司无效",IF(ISNA(MATCH($D595,资金账户!$B$6:$B$25,0)),"账户未建档",IF(ISNA(MATCH($E595,记账规则!$A$13:$A$32,0)),"业务类型无效",IF(AND(N($I595)&lt;&gt;0,N($J595)&lt;&gt;0),"收入和支出只能填一列",IF($P595=0,"金额为 0",IF(AND($R595="收",N($I595)=0),"这类业务是收款，金额填到收入列",IF(AND($R595="支",N($J595)=0),"这类业务是付款，金额填到支出列",IF(AND(SUMPRODUCT(--(INDEX(记账规则!$A$13:$H$32,MATCH($E595,记账规则!$A$13:$A$32,0),0)="@对方"))&gt;0,$G595=""),"这个类型要填对方科目",IF(AND($G595&lt;&gt;"",ISNA(MATCH($G595,会计科目表!$B$6:$B$85,0))),"对方科目不存在",IF(AND($E595="缴纳税费",$H595=""),"缴税请在费用项目里选税种",IF(AND($F595&lt;&gt;"",ISNA(MATCH($F595,往来单位!$A$6:$A$85,0))),"往来单位未建档",IF(YEAR($B595)&lt;&gt;参数设置!$B$5,"不在本会计年度",IF(AND($B594&lt;&gt;"",ISNUMBER($B594),$B595&lt;$B594),"日期比上一行早，余额按行序滚，建议按日期录","OK")))))))))))))))</f>
        <v/>
      </c>
      <c r="O595" s="58" t="str">
        <f aca="false">IF($B595="","",TEXT($B595,"yyyy-mm"))</f>
        <v/>
      </c>
      <c r="P595" s="60" t="str">
        <f aca="false">IF($E595="","",ROUND(N($I595)+N($J595),2))</f>
        <v/>
      </c>
      <c r="Q595" s="58" t="str">
        <f aca="false">IF($D595="","",IFERROR(INDEX(资金账户!$F$6:$F$25,MATCH($D595,资金账户!$B$6:$B$25,0)),""))</f>
        <v/>
      </c>
      <c r="R595" s="58" t="str">
        <f aca="false">IF($E595="","",IFERROR(IF(INDEX(记账规则!$A$13:$H$32,MATCH($E595,记账规则!$A$13:$A$32,0),4)="借","收","支"),""))</f>
        <v/>
      </c>
      <c r="S595" s="57" t="str">
        <f aca="false">IF($D595="","",ROUND(SUMIFS(资金账户!$H$6:$H$25,资金账户!$B$6:$B$25,$D595)+SUMIFS($I$6:$I595,$D$6:$D595,$D595)-SUMIFS($J$6:$J595,$D$6:$D595,$D595),2))</f>
        <v/>
      </c>
      <c r="T595" s="61" t="str">
        <f aca="false">IF($B595="","",YEAR($B595))</f>
        <v/>
      </c>
    </row>
    <row r="596" customFormat="false" ht="15" hidden="false" customHeight="false" outlineLevel="0" collapsed="false">
      <c r="A596" s="53" t="str">
        <f aca="false">IF($B596="","",ROW()-5)</f>
        <v/>
      </c>
      <c r="B596" s="54"/>
      <c r="C596" s="33"/>
      <c r="D596" s="33"/>
      <c r="E596" s="33"/>
      <c r="F596" s="32"/>
      <c r="G596" s="41"/>
      <c r="H596" s="39"/>
      <c r="I596" s="43"/>
      <c r="J596" s="43"/>
      <c r="K596" s="41"/>
      <c r="L596" s="39"/>
      <c r="M596" s="41"/>
      <c r="N596" s="25" t="str">
        <f aca="false">IF(AND($B596="",$E596="",$I596="",$J596=""),"",IF(NOT(ISNUMBER($B596)),"日期无效",IF(ISNA(MATCH($C596,参数设置!$A$10:$A$12,0)),"公司无效",IF(ISNA(MATCH($D596,资金账户!$B$6:$B$25,0)),"账户未建档",IF(ISNA(MATCH($E596,记账规则!$A$13:$A$32,0)),"业务类型无效",IF(AND(N($I596)&lt;&gt;0,N($J596)&lt;&gt;0),"收入和支出只能填一列",IF($P596=0,"金额为 0",IF(AND($R596="收",N($I596)=0),"这类业务是收款，金额填到收入列",IF(AND($R596="支",N($J596)=0),"这类业务是付款，金额填到支出列",IF(AND(SUMPRODUCT(--(INDEX(记账规则!$A$13:$H$32,MATCH($E596,记账规则!$A$13:$A$32,0),0)="@对方"))&gt;0,$G596=""),"这个类型要填对方科目",IF(AND($G596&lt;&gt;"",ISNA(MATCH($G596,会计科目表!$B$6:$B$85,0))),"对方科目不存在",IF(AND($E596="缴纳税费",$H596=""),"缴税请在费用项目里选税种",IF(AND($F596&lt;&gt;"",ISNA(MATCH($F596,往来单位!$A$6:$A$85,0))),"往来单位未建档",IF(YEAR($B596)&lt;&gt;参数设置!$B$5,"不在本会计年度",IF(AND($B595&lt;&gt;"",ISNUMBER($B595),$B596&lt;$B595),"日期比上一行早，余额按行序滚，建议按日期录","OK")))))))))))))))</f>
        <v/>
      </c>
      <c r="O596" s="58" t="str">
        <f aca="false">IF($B596="","",TEXT($B596,"yyyy-mm"))</f>
        <v/>
      </c>
      <c r="P596" s="60" t="str">
        <f aca="false">IF($E596="","",ROUND(N($I596)+N($J596),2))</f>
        <v/>
      </c>
      <c r="Q596" s="58" t="str">
        <f aca="false">IF($D596="","",IFERROR(INDEX(资金账户!$F$6:$F$25,MATCH($D596,资金账户!$B$6:$B$25,0)),""))</f>
        <v/>
      </c>
      <c r="R596" s="58" t="str">
        <f aca="false">IF($E596="","",IFERROR(IF(INDEX(记账规则!$A$13:$H$32,MATCH($E596,记账规则!$A$13:$A$32,0),4)="借","收","支"),""))</f>
        <v/>
      </c>
      <c r="S596" s="57" t="str">
        <f aca="false">IF($D596="","",ROUND(SUMIFS(资金账户!$H$6:$H$25,资金账户!$B$6:$B$25,$D596)+SUMIFS($I$6:$I596,$D$6:$D596,$D596)-SUMIFS($J$6:$J596,$D$6:$D596,$D596),2))</f>
        <v/>
      </c>
      <c r="T596" s="61" t="str">
        <f aca="false">IF($B596="","",YEAR($B596))</f>
        <v/>
      </c>
    </row>
    <row r="597" customFormat="false" ht="15" hidden="false" customHeight="false" outlineLevel="0" collapsed="false">
      <c r="A597" s="53" t="str">
        <f aca="false">IF($B597="","",ROW()-5)</f>
        <v/>
      </c>
      <c r="B597" s="54"/>
      <c r="C597" s="33"/>
      <c r="D597" s="33"/>
      <c r="E597" s="33"/>
      <c r="F597" s="32"/>
      <c r="G597" s="41"/>
      <c r="H597" s="39"/>
      <c r="I597" s="43"/>
      <c r="J597" s="43"/>
      <c r="K597" s="41"/>
      <c r="L597" s="39"/>
      <c r="M597" s="41"/>
      <c r="N597" s="25" t="str">
        <f aca="false">IF(AND($B597="",$E597="",$I597="",$J597=""),"",IF(NOT(ISNUMBER($B597)),"日期无效",IF(ISNA(MATCH($C597,参数设置!$A$10:$A$12,0)),"公司无效",IF(ISNA(MATCH($D597,资金账户!$B$6:$B$25,0)),"账户未建档",IF(ISNA(MATCH($E597,记账规则!$A$13:$A$32,0)),"业务类型无效",IF(AND(N($I597)&lt;&gt;0,N($J597)&lt;&gt;0),"收入和支出只能填一列",IF($P597=0,"金额为 0",IF(AND($R597="收",N($I597)=0),"这类业务是收款，金额填到收入列",IF(AND($R597="支",N($J597)=0),"这类业务是付款，金额填到支出列",IF(AND(SUMPRODUCT(--(INDEX(记账规则!$A$13:$H$32,MATCH($E597,记账规则!$A$13:$A$32,0),0)="@对方"))&gt;0,$G597=""),"这个类型要填对方科目",IF(AND($G597&lt;&gt;"",ISNA(MATCH($G597,会计科目表!$B$6:$B$85,0))),"对方科目不存在",IF(AND($E597="缴纳税费",$H597=""),"缴税请在费用项目里选税种",IF(AND($F597&lt;&gt;"",ISNA(MATCH($F597,往来单位!$A$6:$A$85,0))),"往来单位未建档",IF(YEAR($B597)&lt;&gt;参数设置!$B$5,"不在本会计年度",IF(AND($B596&lt;&gt;"",ISNUMBER($B596),$B597&lt;$B596),"日期比上一行早，余额按行序滚，建议按日期录","OK")))))))))))))))</f>
        <v/>
      </c>
      <c r="O597" s="58" t="str">
        <f aca="false">IF($B597="","",TEXT($B597,"yyyy-mm"))</f>
        <v/>
      </c>
      <c r="P597" s="60" t="str">
        <f aca="false">IF($E597="","",ROUND(N($I597)+N($J597),2))</f>
        <v/>
      </c>
      <c r="Q597" s="58" t="str">
        <f aca="false">IF($D597="","",IFERROR(INDEX(资金账户!$F$6:$F$25,MATCH($D597,资金账户!$B$6:$B$25,0)),""))</f>
        <v/>
      </c>
      <c r="R597" s="58" t="str">
        <f aca="false">IF($E597="","",IFERROR(IF(INDEX(记账规则!$A$13:$H$32,MATCH($E597,记账规则!$A$13:$A$32,0),4)="借","收","支"),""))</f>
        <v/>
      </c>
      <c r="S597" s="57" t="str">
        <f aca="false">IF($D597="","",ROUND(SUMIFS(资金账户!$H$6:$H$25,资金账户!$B$6:$B$25,$D597)+SUMIFS($I$6:$I597,$D$6:$D597,$D597)-SUMIFS($J$6:$J597,$D$6:$D597,$D597),2))</f>
        <v/>
      </c>
      <c r="T597" s="61" t="str">
        <f aca="false">IF($B597="","",YEAR($B597))</f>
        <v/>
      </c>
    </row>
    <row r="598" customFormat="false" ht="15" hidden="false" customHeight="false" outlineLevel="0" collapsed="false">
      <c r="A598" s="53" t="str">
        <f aca="false">IF($B598="","",ROW()-5)</f>
        <v/>
      </c>
      <c r="B598" s="54"/>
      <c r="C598" s="33"/>
      <c r="D598" s="33"/>
      <c r="E598" s="33"/>
      <c r="F598" s="32"/>
      <c r="G598" s="41"/>
      <c r="H598" s="39"/>
      <c r="I598" s="43"/>
      <c r="J598" s="43"/>
      <c r="K598" s="41"/>
      <c r="L598" s="39"/>
      <c r="M598" s="41"/>
      <c r="N598" s="25" t="str">
        <f aca="false">IF(AND($B598="",$E598="",$I598="",$J598=""),"",IF(NOT(ISNUMBER($B598)),"日期无效",IF(ISNA(MATCH($C598,参数设置!$A$10:$A$12,0)),"公司无效",IF(ISNA(MATCH($D598,资金账户!$B$6:$B$25,0)),"账户未建档",IF(ISNA(MATCH($E598,记账规则!$A$13:$A$32,0)),"业务类型无效",IF(AND(N($I598)&lt;&gt;0,N($J598)&lt;&gt;0),"收入和支出只能填一列",IF($P598=0,"金额为 0",IF(AND($R598="收",N($I598)=0),"这类业务是收款，金额填到收入列",IF(AND($R598="支",N($J598)=0),"这类业务是付款，金额填到支出列",IF(AND(SUMPRODUCT(--(INDEX(记账规则!$A$13:$H$32,MATCH($E598,记账规则!$A$13:$A$32,0),0)="@对方"))&gt;0,$G598=""),"这个类型要填对方科目",IF(AND($G598&lt;&gt;"",ISNA(MATCH($G598,会计科目表!$B$6:$B$85,0))),"对方科目不存在",IF(AND($E598="缴纳税费",$H598=""),"缴税请在费用项目里选税种",IF(AND($F598&lt;&gt;"",ISNA(MATCH($F598,往来单位!$A$6:$A$85,0))),"往来单位未建档",IF(YEAR($B598)&lt;&gt;参数设置!$B$5,"不在本会计年度",IF(AND($B597&lt;&gt;"",ISNUMBER($B597),$B598&lt;$B597),"日期比上一行早，余额按行序滚，建议按日期录","OK")))))))))))))))</f>
        <v/>
      </c>
      <c r="O598" s="58" t="str">
        <f aca="false">IF($B598="","",TEXT($B598,"yyyy-mm"))</f>
        <v/>
      </c>
      <c r="P598" s="60" t="str">
        <f aca="false">IF($E598="","",ROUND(N($I598)+N($J598),2))</f>
        <v/>
      </c>
      <c r="Q598" s="58" t="str">
        <f aca="false">IF($D598="","",IFERROR(INDEX(资金账户!$F$6:$F$25,MATCH($D598,资金账户!$B$6:$B$25,0)),""))</f>
        <v/>
      </c>
      <c r="R598" s="58" t="str">
        <f aca="false">IF($E598="","",IFERROR(IF(INDEX(记账规则!$A$13:$H$32,MATCH($E598,记账规则!$A$13:$A$32,0),4)="借","收","支"),""))</f>
        <v/>
      </c>
      <c r="S598" s="57" t="str">
        <f aca="false">IF($D598="","",ROUND(SUMIFS(资金账户!$H$6:$H$25,资金账户!$B$6:$B$25,$D598)+SUMIFS($I$6:$I598,$D$6:$D598,$D598)-SUMIFS($J$6:$J598,$D$6:$D598,$D598),2))</f>
        <v/>
      </c>
      <c r="T598" s="61" t="str">
        <f aca="false">IF($B598="","",YEAR($B598))</f>
        <v/>
      </c>
    </row>
    <row r="599" customFormat="false" ht="15" hidden="false" customHeight="false" outlineLevel="0" collapsed="false">
      <c r="A599" s="53" t="str">
        <f aca="false">IF($B599="","",ROW()-5)</f>
        <v/>
      </c>
      <c r="B599" s="54"/>
      <c r="C599" s="33"/>
      <c r="D599" s="33"/>
      <c r="E599" s="33"/>
      <c r="F599" s="32"/>
      <c r="G599" s="41"/>
      <c r="H599" s="39"/>
      <c r="I599" s="43"/>
      <c r="J599" s="43"/>
      <c r="K599" s="41"/>
      <c r="L599" s="39"/>
      <c r="M599" s="41"/>
      <c r="N599" s="25" t="str">
        <f aca="false">IF(AND($B599="",$E599="",$I599="",$J599=""),"",IF(NOT(ISNUMBER($B599)),"日期无效",IF(ISNA(MATCH($C599,参数设置!$A$10:$A$12,0)),"公司无效",IF(ISNA(MATCH($D599,资金账户!$B$6:$B$25,0)),"账户未建档",IF(ISNA(MATCH($E599,记账规则!$A$13:$A$32,0)),"业务类型无效",IF(AND(N($I599)&lt;&gt;0,N($J599)&lt;&gt;0),"收入和支出只能填一列",IF($P599=0,"金额为 0",IF(AND($R599="收",N($I599)=0),"这类业务是收款，金额填到收入列",IF(AND($R599="支",N($J599)=0),"这类业务是付款，金额填到支出列",IF(AND(SUMPRODUCT(--(INDEX(记账规则!$A$13:$H$32,MATCH($E599,记账规则!$A$13:$A$32,0),0)="@对方"))&gt;0,$G599=""),"这个类型要填对方科目",IF(AND($G599&lt;&gt;"",ISNA(MATCH($G599,会计科目表!$B$6:$B$85,0))),"对方科目不存在",IF(AND($E599="缴纳税费",$H599=""),"缴税请在费用项目里选税种",IF(AND($F599&lt;&gt;"",ISNA(MATCH($F599,往来单位!$A$6:$A$85,0))),"往来单位未建档",IF(YEAR($B599)&lt;&gt;参数设置!$B$5,"不在本会计年度",IF(AND($B598&lt;&gt;"",ISNUMBER($B598),$B599&lt;$B598),"日期比上一行早，余额按行序滚，建议按日期录","OK")))))))))))))))</f>
        <v/>
      </c>
      <c r="O599" s="58" t="str">
        <f aca="false">IF($B599="","",TEXT($B599,"yyyy-mm"))</f>
        <v/>
      </c>
      <c r="P599" s="60" t="str">
        <f aca="false">IF($E599="","",ROUND(N($I599)+N($J599),2))</f>
        <v/>
      </c>
      <c r="Q599" s="58" t="str">
        <f aca="false">IF($D599="","",IFERROR(INDEX(资金账户!$F$6:$F$25,MATCH($D599,资金账户!$B$6:$B$25,0)),""))</f>
        <v/>
      </c>
      <c r="R599" s="58" t="str">
        <f aca="false">IF($E599="","",IFERROR(IF(INDEX(记账规则!$A$13:$H$32,MATCH($E599,记账规则!$A$13:$A$32,0),4)="借","收","支"),""))</f>
        <v/>
      </c>
      <c r="S599" s="57" t="str">
        <f aca="false">IF($D599="","",ROUND(SUMIFS(资金账户!$H$6:$H$25,资金账户!$B$6:$B$25,$D599)+SUMIFS($I$6:$I599,$D$6:$D599,$D599)-SUMIFS($J$6:$J599,$D$6:$D599,$D599),2))</f>
        <v/>
      </c>
      <c r="T599" s="61" t="str">
        <f aca="false">IF($B599="","",YEAR($B599))</f>
        <v/>
      </c>
    </row>
    <row r="600" customFormat="false" ht="15" hidden="false" customHeight="false" outlineLevel="0" collapsed="false">
      <c r="A600" s="53" t="str">
        <f aca="false">IF($B600="","",ROW()-5)</f>
        <v/>
      </c>
      <c r="B600" s="54"/>
      <c r="C600" s="33"/>
      <c r="D600" s="33"/>
      <c r="E600" s="33"/>
      <c r="F600" s="32"/>
      <c r="G600" s="41"/>
      <c r="H600" s="39"/>
      <c r="I600" s="43"/>
      <c r="J600" s="43"/>
      <c r="K600" s="41"/>
      <c r="L600" s="39"/>
      <c r="M600" s="41"/>
      <c r="N600" s="25" t="str">
        <f aca="false">IF(AND($B600="",$E600="",$I600="",$J600=""),"",IF(NOT(ISNUMBER($B600)),"日期无效",IF(ISNA(MATCH($C600,参数设置!$A$10:$A$12,0)),"公司无效",IF(ISNA(MATCH($D600,资金账户!$B$6:$B$25,0)),"账户未建档",IF(ISNA(MATCH($E600,记账规则!$A$13:$A$32,0)),"业务类型无效",IF(AND(N($I600)&lt;&gt;0,N($J600)&lt;&gt;0),"收入和支出只能填一列",IF($P600=0,"金额为 0",IF(AND($R600="收",N($I600)=0),"这类业务是收款，金额填到收入列",IF(AND($R600="支",N($J600)=0),"这类业务是付款，金额填到支出列",IF(AND(SUMPRODUCT(--(INDEX(记账规则!$A$13:$H$32,MATCH($E600,记账规则!$A$13:$A$32,0),0)="@对方"))&gt;0,$G600=""),"这个类型要填对方科目",IF(AND($G600&lt;&gt;"",ISNA(MATCH($G600,会计科目表!$B$6:$B$85,0))),"对方科目不存在",IF(AND($E600="缴纳税费",$H600=""),"缴税请在费用项目里选税种",IF(AND($F600&lt;&gt;"",ISNA(MATCH($F600,往来单位!$A$6:$A$85,0))),"往来单位未建档",IF(YEAR($B600)&lt;&gt;参数设置!$B$5,"不在本会计年度",IF(AND($B599&lt;&gt;"",ISNUMBER($B599),$B600&lt;$B599),"日期比上一行早，余额按行序滚，建议按日期录","OK")))))))))))))))</f>
        <v/>
      </c>
      <c r="O600" s="58" t="str">
        <f aca="false">IF($B600="","",TEXT($B600,"yyyy-mm"))</f>
        <v/>
      </c>
      <c r="P600" s="60" t="str">
        <f aca="false">IF($E600="","",ROUND(N($I600)+N($J600),2))</f>
        <v/>
      </c>
      <c r="Q600" s="58" t="str">
        <f aca="false">IF($D600="","",IFERROR(INDEX(资金账户!$F$6:$F$25,MATCH($D600,资金账户!$B$6:$B$25,0)),""))</f>
        <v/>
      </c>
      <c r="R600" s="58" t="str">
        <f aca="false">IF($E600="","",IFERROR(IF(INDEX(记账规则!$A$13:$H$32,MATCH($E600,记账规则!$A$13:$A$32,0),4)="借","收","支"),""))</f>
        <v/>
      </c>
      <c r="S600" s="57" t="str">
        <f aca="false">IF($D600="","",ROUND(SUMIFS(资金账户!$H$6:$H$25,资金账户!$B$6:$B$25,$D600)+SUMIFS($I$6:$I600,$D$6:$D600,$D600)-SUMIFS($J$6:$J600,$D$6:$D600,$D600),2))</f>
        <v/>
      </c>
      <c r="T600" s="61" t="str">
        <f aca="false">IF($B600="","",YEAR($B600))</f>
        <v/>
      </c>
    </row>
    <row r="601" customFormat="false" ht="15" hidden="false" customHeight="false" outlineLevel="0" collapsed="false">
      <c r="A601" s="53" t="str">
        <f aca="false">IF($B601="","",ROW()-5)</f>
        <v/>
      </c>
      <c r="B601" s="54"/>
      <c r="C601" s="33"/>
      <c r="D601" s="33"/>
      <c r="E601" s="33"/>
      <c r="F601" s="32"/>
      <c r="G601" s="41"/>
      <c r="H601" s="39"/>
      <c r="I601" s="43"/>
      <c r="J601" s="43"/>
      <c r="K601" s="41"/>
      <c r="L601" s="39"/>
      <c r="M601" s="41"/>
      <c r="N601" s="25" t="str">
        <f aca="false">IF(AND($B601="",$E601="",$I601="",$J601=""),"",IF(NOT(ISNUMBER($B601)),"日期无效",IF(ISNA(MATCH($C601,参数设置!$A$10:$A$12,0)),"公司无效",IF(ISNA(MATCH($D601,资金账户!$B$6:$B$25,0)),"账户未建档",IF(ISNA(MATCH($E601,记账规则!$A$13:$A$32,0)),"业务类型无效",IF(AND(N($I601)&lt;&gt;0,N($J601)&lt;&gt;0),"收入和支出只能填一列",IF($P601=0,"金额为 0",IF(AND($R601="收",N($I601)=0),"这类业务是收款，金额填到收入列",IF(AND($R601="支",N($J601)=0),"这类业务是付款，金额填到支出列",IF(AND(SUMPRODUCT(--(INDEX(记账规则!$A$13:$H$32,MATCH($E601,记账规则!$A$13:$A$32,0),0)="@对方"))&gt;0,$G601=""),"这个类型要填对方科目",IF(AND($G601&lt;&gt;"",ISNA(MATCH($G601,会计科目表!$B$6:$B$85,0))),"对方科目不存在",IF(AND($E601="缴纳税费",$H601=""),"缴税请在费用项目里选税种",IF(AND($F601&lt;&gt;"",ISNA(MATCH($F601,往来单位!$A$6:$A$85,0))),"往来单位未建档",IF(YEAR($B601)&lt;&gt;参数设置!$B$5,"不在本会计年度",IF(AND($B600&lt;&gt;"",ISNUMBER($B600),$B601&lt;$B600),"日期比上一行早，余额按行序滚，建议按日期录","OK")))))))))))))))</f>
        <v/>
      </c>
      <c r="O601" s="58" t="str">
        <f aca="false">IF($B601="","",TEXT($B601,"yyyy-mm"))</f>
        <v/>
      </c>
      <c r="P601" s="60" t="str">
        <f aca="false">IF($E601="","",ROUND(N($I601)+N($J601),2))</f>
        <v/>
      </c>
      <c r="Q601" s="58" t="str">
        <f aca="false">IF($D601="","",IFERROR(INDEX(资金账户!$F$6:$F$25,MATCH($D601,资金账户!$B$6:$B$25,0)),""))</f>
        <v/>
      </c>
      <c r="R601" s="58" t="str">
        <f aca="false">IF($E601="","",IFERROR(IF(INDEX(记账规则!$A$13:$H$32,MATCH($E601,记账规则!$A$13:$A$32,0),4)="借","收","支"),""))</f>
        <v/>
      </c>
      <c r="S601" s="57" t="str">
        <f aca="false">IF($D601="","",ROUND(SUMIFS(资金账户!$H$6:$H$25,资金账户!$B$6:$B$25,$D601)+SUMIFS($I$6:$I601,$D$6:$D601,$D601)-SUMIFS($J$6:$J601,$D$6:$D601,$D601),2))</f>
        <v/>
      </c>
      <c r="T601" s="61" t="str">
        <f aca="false">IF($B601="","",YEAR($B601))</f>
        <v/>
      </c>
    </row>
    <row r="602" customFormat="false" ht="15" hidden="false" customHeight="false" outlineLevel="0" collapsed="false">
      <c r="A602" s="53" t="str">
        <f aca="false">IF($B602="","",ROW()-5)</f>
        <v/>
      </c>
      <c r="B602" s="54"/>
      <c r="C602" s="33"/>
      <c r="D602" s="33"/>
      <c r="E602" s="33"/>
      <c r="F602" s="32"/>
      <c r="G602" s="41"/>
      <c r="H602" s="39"/>
      <c r="I602" s="43"/>
      <c r="J602" s="43"/>
      <c r="K602" s="41"/>
      <c r="L602" s="39"/>
      <c r="M602" s="41"/>
      <c r="N602" s="25" t="str">
        <f aca="false">IF(AND($B602="",$E602="",$I602="",$J602=""),"",IF(NOT(ISNUMBER($B602)),"日期无效",IF(ISNA(MATCH($C602,参数设置!$A$10:$A$12,0)),"公司无效",IF(ISNA(MATCH($D602,资金账户!$B$6:$B$25,0)),"账户未建档",IF(ISNA(MATCH($E602,记账规则!$A$13:$A$32,0)),"业务类型无效",IF(AND(N($I602)&lt;&gt;0,N($J602)&lt;&gt;0),"收入和支出只能填一列",IF($P602=0,"金额为 0",IF(AND($R602="收",N($I602)=0),"这类业务是收款，金额填到收入列",IF(AND($R602="支",N($J602)=0),"这类业务是付款，金额填到支出列",IF(AND(SUMPRODUCT(--(INDEX(记账规则!$A$13:$H$32,MATCH($E602,记账规则!$A$13:$A$32,0),0)="@对方"))&gt;0,$G602=""),"这个类型要填对方科目",IF(AND($G602&lt;&gt;"",ISNA(MATCH($G602,会计科目表!$B$6:$B$85,0))),"对方科目不存在",IF(AND($E602="缴纳税费",$H602=""),"缴税请在费用项目里选税种",IF(AND($F602&lt;&gt;"",ISNA(MATCH($F602,往来单位!$A$6:$A$85,0))),"往来单位未建档",IF(YEAR($B602)&lt;&gt;参数设置!$B$5,"不在本会计年度",IF(AND($B601&lt;&gt;"",ISNUMBER($B601),$B602&lt;$B601),"日期比上一行早，余额按行序滚，建议按日期录","OK")))))))))))))))</f>
        <v/>
      </c>
      <c r="O602" s="58" t="str">
        <f aca="false">IF($B602="","",TEXT($B602,"yyyy-mm"))</f>
        <v/>
      </c>
      <c r="P602" s="60" t="str">
        <f aca="false">IF($E602="","",ROUND(N($I602)+N($J602),2))</f>
        <v/>
      </c>
      <c r="Q602" s="58" t="str">
        <f aca="false">IF($D602="","",IFERROR(INDEX(资金账户!$F$6:$F$25,MATCH($D602,资金账户!$B$6:$B$25,0)),""))</f>
        <v/>
      </c>
      <c r="R602" s="58" t="str">
        <f aca="false">IF($E602="","",IFERROR(IF(INDEX(记账规则!$A$13:$H$32,MATCH($E602,记账规则!$A$13:$A$32,0),4)="借","收","支"),""))</f>
        <v/>
      </c>
      <c r="S602" s="57" t="str">
        <f aca="false">IF($D602="","",ROUND(SUMIFS(资金账户!$H$6:$H$25,资金账户!$B$6:$B$25,$D602)+SUMIFS($I$6:$I602,$D$6:$D602,$D602)-SUMIFS($J$6:$J602,$D$6:$D602,$D602),2))</f>
        <v/>
      </c>
      <c r="T602" s="61" t="str">
        <f aca="false">IF($B602="","",YEAR($B602))</f>
        <v/>
      </c>
    </row>
    <row r="603" customFormat="false" ht="15" hidden="false" customHeight="false" outlineLevel="0" collapsed="false">
      <c r="A603" s="53" t="str">
        <f aca="false">IF($B603="","",ROW()-5)</f>
        <v/>
      </c>
      <c r="B603" s="54"/>
      <c r="C603" s="33"/>
      <c r="D603" s="33"/>
      <c r="E603" s="33"/>
      <c r="F603" s="32"/>
      <c r="G603" s="41"/>
      <c r="H603" s="39"/>
      <c r="I603" s="43"/>
      <c r="J603" s="43"/>
      <c r="K603" s="41"/>
      <c r="L603" s="39"/>
      <c r="M603" s="41"/>
      <c r="N603" s="25" t="str">
        <f aca="false">IF(AND($B603="",$E603="",$I603="",$J603=""),"",IF(NOT(ISNUMBER($B603)),"日期无效",IF(ISNA(MATCH($C603,参数设置!$A$10:$A$12,0)),"公司无效",IF(ISNA(MATCH($D603,资金账户!$B$6:$B$25,0)),"账户未建档",IF(ISNA(MATCH($E603,记账规则!$A$13:$A$32,0)),"业务类型无效",IF(AND(N($I603)&lt;&gt;0,N($J603)&lt;&gt;0),"收入和支出只能填一列",IF($P603=0,"金额为 0",IF(AND($R603="收",N($I603)=0),"这类业务是收款，金额填到收入列",IF(AND($R603="支",N($J603)=0),"这类业务是付款，金额填到支出列",IF(AND(SUMPRODUCT(--(INDEX(记账规则!$A$13:$H$32,MATCH($E603,记账规则!$A$13:$A$32,0),0)="@对方"))&gt;0,$G603=""),"这个类型要填对方科目",IF(AND($G603&lt;&gt;"",ISNA(MATCH($G603,会计科目表!$B$6:$B$85,0))),"对方科目不存在",IF(AND($E603="缴纳税费",$H603=""),"缴税请在费用项目里选税种",IF(AND($F603&lt;&gt;"",ISNA(MATCH($F603,往来单位!$A$6:$A$85,0))),"往来单位未建档",IF(YEAR($B603)&lt;&gt;参数设置!$B$5,"不在本会计年度",IF(AND($B602&lt;&gt;"",ISNUMBER($B602),$B603&lt;$B602),"日期比上一行早，余额按行序滚，建议按日期录","OK")))))))))))))))</f>
        <v/>
      </c>
      <c r="O603" s="58" t="str">
        <f aca="false">IF($B603="","",TEXT($B603,"yyyy-mm"))</f>
        <v/>
      </c>
      <c r="P603" s="60" t="str">
        <f aca="false">IF($E603="","",ROUND(N($I603)+N($J603),2))</f>
        <v/>
      </c>
      <c r="Q603" s="58" t="str">
        <f aca="false">IF($D603="","",IFERROR(INDEX(资金账户!$F$6:$F$25,MATCH($D603,资金账户!$B$6:$B$25,0)),""))</f>
        <v/>
      </c>
      <c r="R603" s="58" t="str">
        <f aca="false">IF($E603="","",IFERROR(IF(INDEX(记账规则!$A$13:$H$32,MATCH($E603,记账规则!$A$13:$A$32,0),4)="借","收","支"),""))</f>
        <v/>
      </c>
      <c r="S603" s="57" t="str">
        <f aca="false">IF($D603="","",ROUND(SUMIFS(资金账户!$H$6:$H$25,资金账户!$B$6:$B$25,$D603)+SUMIFS($I$6:$I603,$D$6:$D603,$D603)-SUMIFS($J$6:$J603,$D$6:$D603,$D603),2))</f>
        <v/>
      </c>
      <c r="T603" s="61" t="str">
        <f aca="false">IF($B603="","",YEAR($B603))</f>
        <v/>
      </c>
    </row>
    <row r="604" customFormat="false" ht="15" hidden="false" customHeight="false" outlineLevel="0" collapsed="false">
      <c r="A604" s="53" t="str">
        <f aca="false">IF($B604="","",ROW()-5)</f>
        <v/>
      </c>
      <c r="B604" s="54"/>
      <c r="C604" s="33"/>
      <c r="D604" s="33"/>
      <c r="E604" s="33"/>
      <c r="F604" s="32"/>
      <c r="G604" s="41"/>
      <c r="H604" s="39"/>
      <c r="I604" s="43"/>
      <c r="J604" s="43"/>
      <c r="K604" s="41"/>
      <c r="L604" s="39"/>
      <c r="M604" s="41"/>
      <c r="N604" s="25" t="str">
        <f aca="false">IF(AND($B604="",$E604="",$I604="",$J604=""),"",IF(NOT(ISNUMBER($B604)),"日期无效",IF(ISNA(MATCH($C604,参数设置!$A$10:$A$12,0)),"公司无效",IF(ISNA(MATCH($D604,资金账户!$B$6:$B$25,0)),"账户未建档",IF(ISNA(MATCH($E604,记账规则!$A$13:$A$32,0)),"业务类型无效",IF(AND(N($I604)&lt;&gt;0,N($J604)&lt;&gt;0),"收入和支出只能填一列",IF($P604=0,"金额为 0",IF(AND($R604="收",N($I604)=0),"这类业务是收款，金额填到收入列",IF(AND($R604="支",N($J604)=0),"这类业务是付款，金额填到支出列",IF(AND(SUMPRODUCT(--(INDEX(记账规则!$A$13:$H$32,MATCH($E604,记账规则!$A$13:$A$32,0),0)="@对方"))&gt;0,$G604=""),"这个类型要填对方科目",IF(AND($G604&lt;&gt;"",ISNA(MATCH($G604,会计科目表!$B$6:$B$85,0))),"对方科目不存在",IF(AND($E604="缴纳税费",$H604=""),"缴税请在费用项目里选税种",IF(AND($F604&lt;&gt;"",ISNA(MATCH($F604,往来单位!$A$6:$A$85,0))),"往来单位未建档",IF(YEAR($B604)&lt;&gt;参数设置!$B$5,"不在本会计年度",IF(AND($B603&lt;&gt;"",ISNUMBER($B603),$B604&lt;$B603),"日期比上一行早，余额按行序滚，建议按日期录","OK")))))))))))))))</f>
        <v/>
      </c>
      <c r="O604" s="58" t="str">
        <f aca="false">IF($B604="","",TEXT($B604,"yyyy-mm"))</f>
        <v/>
      </c>
      <c r="P604" s="60" t="str">
        <f aca="false">IF($E604="","",ROUND(N($I604)+N($J604),2))</f>
        <v/>
      </c>
      <c r="Q604" s="58" t="str">
        <f aca="false">IF($D604="","",IFERROR(INDEX(资金账户!$F$6:$F$25,MATCH($D604,资金账户!$B$6:$B$25,0)),""))</f>
        <v/>
      </c>
      <c r="R604" s="58" t="str">
        <f aca="false">IF($E604="","",IFERROR(IF(INDEX(记账规则!$A$13:$H$32,MATCH($E604,记账规则!$A$13:$A$32,0),4)="借","收","支"),""))</f>
        <v/>
      </c>
      <c r="S604" s="57" t="str">
        <f aca="false">IF($D604="","",ROUND(SUMIFS(资金账户!$H$6:$H$25,资金账户!$B$6:$B$25,$D604)+SUMIFS($I$6:$I604,$D$6:$D604,$D604)-SUMIFS($J$6:$J604,$D$6:$D604,$D604),2))</f>
        <v/>
      </c>
      <c r="T604" s="61" t="str">
        <f aca="false">IF($B604="","",YEAR($B604))</f>
        <v/>
      </c>
    </row>
    <row r="605" customFormat="false" ht="15" hidden="false" customHeight="false" outlineLevel="0" collapsed="false">
      <c r="A605" s="53" t="str">
        <f aca="false">IF($B605="","",ROW()-5)</f>
        <v/>
      </c>
      <c r="B605" s="54"/>
      <c r="C605" s="33"/>
      <c r="D605" s="33"/>
      <c r="E605" s="33"/>
      <c r="F605" s="32"/>
      <c r="G605" s="41"/>
      <c r="H605" s="39"/>
      <c r="I605" s="43"/>
      <c r="J605" s="43"/>
      <c r="K605" s="41"/>
      <c r="L605" s="39"/>
      <c r="M605" s="41"/>
      <c r="N605" s="25" t="str">
        <f aca="false">IF(AND($B605="",$E605="",$I605="",$J605=""),"",IF(NOT(ISNUMBER($B605)),"日期无效",IF(ISNA(MATCH($C605,参数设置!$A$10:$A$12,0)),"公司无效",IF(ISNA(MATCH($D605,资金账户!$B$6:$B$25,0)),"账户未建档",IF(ISNA(MATCH($E605,记账规则!$A$13:$A$32,0)),"业务类型无效",IF(AND(N($I605)&lt;&gt;0,N($J605)&lt;&gt;0),"收入和支出只能填一列",IF($P605=0,"金额为 0",IF(AND($R605="收",N($I605)=0),"这类业务是收款，金额填到收入列",IF(AND($R605="支",N($J605)=0),"这类业务是付款，金额填到支出列",IF(AND(SUMPRODUCT(--(INDEX(记账规则!$A$13:$H$32,MATCH($E605,记账规则!$A$13:$A$32,0),0)="@对方"))&gt;0,$G605=""),"这个类型要填对方科目",IF(AND($G605&lt;&gt;"",ISNA(MATCH($G605,会计科目表!$B$6:$B$85,0))),"对方科目不存在",IF(AND($E605="缴纳税费",$H605=""),"缴税请在费用项目里选税种",IF(AND($F605&lt;&gt;"",ISNA(MATCH($F605,往来单位!$A$6:$A$85,0))),"往来单位未建档",IF(YEAR($B605)&lt;&gt;参数设置!$B$5,"不在本会计年度",IF(AND($B604&lt;&gt;"",ISNUMBER($B604),$B605&lt;$B604),"日期比上一行早，余额按行序滚，建议按日期录","OK")))))))))))))))</f>
        <v/>
      </c>
      <c r="O605" s="58" t="str">
        <f aca="false">IF($B605="","",TEXT($B605,"yyyy-mm"))</f>
        <v/>
      </c>
      <c r="P605" s="60" t="str">
        <f aca="false">IF($E605="","",ROUND(N($I605)+N($J605),2))</f>
        <v/>
      </c>
      <c r="Q605" s="58" t="str">
        <f aca="false">IF($D605="","",IFERROR(INDEX(资金账户!$F$6:$F$25,MATCH($D605,资金账户!$B$6:$B$25,0)),""))</f>
        <v/>
      </c>
      <c r="R605" s="58" t="str">
        <f aca="false">IF($E605="","",IFERROR(IF(INDEX(记账规则!$A$13:$H$32,MATCH($E605,记账规则!$A$13:$A$32,0),4)="借","收","支"),""))</f>
        <v/>
      </c>
      <c r="S605" s="57" t="str">
        <f aca="false">IF($D605="","",ROUND(SUMIFS(资金账户!$H$6:$H$25,资金账户!$B$6:$B$25,$D605)+SUMIFS($I$6:$I605,$D$6:$D605,$D605)-SUMIFS($J$6:$J605,$D$6:$D605,$D605),2))</f>
        <v/>
      </c>
      <c r="T605" s="61" t="str">
        <f aca="false">IF($B605="","",YEAR($B605))</f>
        <v/>
      </c>
    </row>
  </sheetData>
  <mergeCells count="2">
    <mergeCell ref="A1:T1"/>
    <mergeCell ref="A2:T2"/>
  </mergeCells>
  <conditionalFormatting sqref="N6:N605">
    <cfRule type="expression" priority="2" aboveAverage="0" equalAverage="0" bottom="0" percent="0" rank="0" text="" dxfId="0">
      <formula>AND($N6&lt;&gt;"",$N6&lt;&gt;"OK")</formula>
    </cfRule>
  </conditionalFormatting>
  <conditionalFormatting sqref="S6:S605">
    <cfRule type="cellIs" priority="3" operator="lessThan" aboveAverage="0" equalAverage="0" bottom="0" percent="0" rank="0" text="" dxfId="0">
      <formula>0</formula>
    </cfRule>
  </conditionalFormatting>
  <dataValidations count="6">
    <dataValidation allowBlank="true" error="必须选择下拉中已维护的值，手工输入会导致取数错位" errorStyle="stop" errorTitle="请从下拉中选择" operator="between" showDropDown="false" showErrorMessage="true" showInputMessage="false" sqref="C6:C60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605" type="list">
      <formula1>资金账户!$B$6:$B$25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605" type="list">
      <formula1>"收客户货款,付供应商货款,收预收款,付预付款,收其他应收款,借出代垫款,收往来借入款,付其他应付款,费用支出,缴纳税费,现销收款,其他收入,购置固定资产,发放工资,收到借款,归还借款,支付利息,股东投入,账户互转,其他支出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605" type="list">
      <formula1>往来单位!$A$6:$A$85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G6:G60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6:H605" type="list">
      <formula1>参数设置!$A$16:$A$75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X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4" min="14" style="0" width="2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1" min="19" style="0" width="13"/>
    <col collapsed="false" customWidth="true" hidden="false" outlineLevel="0" max="22" min="22" style="0" width="7"/>
    <col collapsed="false" customWidth="true" hidden="true" outlineLevel="0" max="24" min="23" style="0" width="9"/>
  </cols>
  <sheetData>
    <row r="1" customFormat="false" ht="25.5" hidden="false" customHeight="true" outlineLevel="0" collapsed="false">
      <c r="A1" s="1" t="s">
        <v>660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true" outlineLevel="0" collapsed="false">
      <c r="A2" s="2" t="s">
        <v>661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5" customFormat="false" ht="30" hidden="false" customHeight="true" outlineLevel="0" collapsed="false">
      <c r="A5" s="8" t="s">
        <v>560</v>
      </c>
      <c r="B5" s="8" t="s">
        <v>561</v>
      </c>
      <c r="C5" s="8" t="s">
        <v>544</v>
      </c>
      <c r="D5" s="8" t="s">
        <v>662</v>
      </c>
      <c r="E5" s="8" t="s">
        <v>269</v>
      </c>
      <c r="F5" s="8" t="s">
        <v>350</v>
      </c>
      <c r="G5" s="8" t="s">
        <v>351</v>
      </c>
      <c r="H5" s="8" t="s">
        <v>353</v>
      </c>
      <c r="I5" s="8" t="s">
        <v>562</v>
      </c>
      <c r="J5" s="8" t="s">
        <v>663</v>
      </c>
      <c r="K5" s="8" t="s">
        <v>610</v>
      </c>
      <c r="L5" s="8" t="s">
        <v>115</v>
      </c>
      <c r="M5" s="8" t="s">
        <v>664</v>
      </c>
      <c r="N5" s="8" t="s">
        <v>566</v>
      </c>
      <c r="O5" s="8" t="s">
        <v>178</v>
      </c>
      <c r="P5" s="8" t="s">
        <v>361</v>
      </c>
      <c r="Q5" s="52" t="s">
        <v>356</v>
      </c>
      <c r="R5" s="52" t="s">
        <v>569</v>
      </c>
      <c r="S5" s="52" t="s">
        <v>665</v>
      </c>
      <c r="T5" s="52" t="s">
        <v>666</v>
      </c>
      <c r="U5" s="52" t="s">
        <v>342</v>
      </c>
      <c r="V5" s="52" t="s">
        <v>571</v>
      </c>
      <c r="W5" s="52" t="s">
        <v>667</v>
      </c>
      <c r="X5" s="52" t="s">
        <v>668</v>
      </c>
    </row>
    <row r="6" customFormat="false" ht="15" hidden="false" customHeight="false" outlineLevel="0" collapsed="false">
      <c r="A6" s="53" t="n">
        <f aca="false">IF($B6="","",ROW()-5)</f>
        <v>1</v>
      </c>
      <c r="B6" s="54" t="n">
        <v>46132</v>
      </c>
      <c r="C6" s="33" t="s">
        <v>107</v>
      </c>
      <c r="D6" s="39" t="s">
        <v>669</v>
      </c>
      <c r="E6" s="33" t="s">
        <v>340</v>
      </c>
      <c r="F6" s="39" t="s">
        <v>378</v>
      </c>
      <c r="G6" s="48" t="str">
        <f aca="false">IF($F6="","",IFERROR(INDEX(商品档案!$B$6:$B$65,MATCH($F6,商品档案!$A$6:$A$65,0)),""))</f>
        <v>树苗</v>
      </c>
      <c r="H6" s="55" t="str">
        <f aca="false">IF($F6="","",IFERROR(INDEX(商品档案!$D$6:$D$65,MATCH($F6,商品档案!$A$6:$A$65,0)),""))</f>
        <v>株</v>
      </c>
      <c r="I6" s="49" t="n">
        <v>3000</v>
      </c>
      <c r="J6" s="43"/>
      <c r="K6" s="41"/>
      <c r="L6" s="39"/>
      <c r="M6" s="62"/>
      <c r="N6" s="32" t="s">
        <v>670</v>
      </c>
      <c r="O6" s="41"/>
      <c r="P6" s="25" t="str">
        <f aca="false">IF(AND($B6="",$E6=""),"",IF(NOT(ISNUMBER($B6)),"日期无效",IF(ISNA(MATCH($C6,参数设置!$A$10:$A$12,0)),"公司无效",IF($D6="","缺批次号",IF(ISNA(MATCH($E6,记账规则!$A$36:$A$38,0)),"业务类型无效",IF(AND($E6&lt;&gt;"加工费用",ISNA(MATCH($F6,商品档案!$A$6:$A$65,0))),"商品编码无效",IF(AND($E6&lt;&gt;"加工费用",IFERROR(INDEX(商品档案!$E$6:$E$65,MATCH($F6,商品档案!$A$6:$A$65,0)),"")&lt;&gt;$C6),"商品不属于该公司",IF(AND($E6&lt;&gt;"加工费用",N($I6)=0),"数量为 0",IF(AND($E6="加工费用",N($J6)=0),"加工费金额为 0",IF(AND($E6="加工费用",ISNA(MATCH($K6,会计科目表!$B$6:$B$85,0))),"对方科目不存在",IF(YEAR($B6)&lt;&gt;参数设置!$B$5,"不在本会计年度","OK")))))))))))</f>
        <v>OK</v>
      </c>
      <c r="Q6" s="58" t="str">
        <f aca="false">IF($F6="","",IFERROR(INDEX(商品档案!$G$6:$G$65,MATCH($F6,商品档案!$A$6:$A$65,0)),""))</f>
        <v>原材料</v>
      </c>
      <c r="R6" s="59" t="n">
        <f aca="false">IF($F6="","",SUMIFS(进销存台账!$N$6:$N$65,进销存台账!$A$6:$A$65,$C6,进销存台账!$B$6:$B$65,$F6))</f>
        <v>2.6</v>
      </c>
      <c r="S6" s="60" t="n">
        <f aca="false">IF($E6="领用投入",ROUND(N($I6)*N($R6),2),IF($E6="加工费用",ROUND(N($J6),2),0))</f>
        <v>7800</v>
      </c>
      <c r="T6" s="60" t="n">
        <f aca="false">IF($E6&lt;&gt;"产成品入库",0,IF(SUMIFS($W$6:$W$305,$C$6:$C$305,$C6,$D$6:$D$305,$D6,$E$6:$E$305,"产成品入库")=0,0,ROUND(SUMIFS($S$6:$S$305,$C$6:$C$305,$C6,$D$6:$D$305,$D6)*N($X6)/SUMIFS($W$6:$W$305,$C$6:$C$305,$C6,$D$6:$D$305,$D6,$E$6:$E$305,"产成品入库"),2)-ROUND(SUMIFS($S$6:$S$305,$C$6:$C$305,$C6,$D$6:$D$305,$D6)*(N($X6)-N($W6))/SUMIFS($W$6:$W$305,$C$6:$C$305,$C6,$D$6:$D$305,$D6,$E$6:$E$305,"产成品入库"),2)))</f>
        <v>0</v>
      </c>
      <c r="U6" s="57" t="n">
        <f aca="false">IF($E6="","",ROUND($S6+$T6,2))</f>
        <v>7800</v>
      </c>
      <c r="V6" s="61" t="n">
        <f aca="false">IF($B6="","",YEAR($B6))</f>
        <v>2026</v>
      </c>
      <c r="W6" s="63" t="str">
        <f aca="false">IF($E6&lt;&gt;"产成品入库","",IF(N($M6)=0,1,N($M6)))</f>
        <v/>
      </c>
      <c r="X6" s="63" t="str">
        <f aca="false">IF($E6&lt;&gt;"产成品入库","",SUMIFS($W$6:$W6,$C$6:$C6,$C6,$D$6:$D6,$D6,$E$6:$E6,"产成品入库"))</f>
        <v/>
      </c>
    </row>
    <row r="7" customFormat="false" ht="15" hidden="false" customHeight="false" outlineLevel="0" collapsed="false">
      <c r="A7" s="53" t="n">
        <f aca="false">IF($B7="","",ROW()-5)</f>
        <v>2</v>
      </c>
      <c r="B7" s="54" t="n">
        <v>46162</v>
      </c>
      <c r="C7" s="33" t="s">
        <v>107</v>
      </c>
      <c r="D7" s="39" t="s">
        <v>669</v>
      </c>
      <c r="E7" s="33" t="s">
        <v>340</v>
      </c>
      <c r="F7" s="39" t="s">
        <v>383</v>
      </c>
      <c r="G7" s="48" t="str">
        <f aca="false">IF($F7="","",IFERROR(INDEX(商品档案!$B$6:$B$65,MATCH($F7,商品档案!$A$6:$A$65,0)),""))</f>
        <v>肥料</v>
      </c>
      <c r="H7" s="55" t="str">
        <f aca="false">IF($F7="","",IFERROR(INDEX(商品档案!$D$6:$D$65,MATCH($F7,商品档案!$A$6:$A$65,0)),""))</f>
        <v>吨</v>
      </c>
      <c r="I7" s="49" t="n">
        <v>4</v>
      </c>
      <c r="J7" s="43"/>
      <c r="K7" s="41"/>
      <c r="L7" s="39"/>
      <c r="M7" s="62"/>
      <c r="N7" s="32" t="s">
        <v>671</v>
      </c>
      <c r="O7" s="41"/>
      <c r="P7" s="25" t="str">
        <f aca="false">IF(AND($B7="",$E7=""),"",IF(NOT(ISNUMBER($B7)),"日期无效",IF(ISNA(MATCH($C7,参数设置!$A$10:$A$12,0)),"公司无效",IF($D7="","缺批次号",IF(ISNA(MATCH($E7,记账规则!$A$36:$A$38,0)),"业务类型无效",IF(AND($E7&lt;&gt;"加工费用",ISNA(MATCH($F7,商品档案!$A$6:$A$65,0))),"商品编码无效",IF(AND($E7&lt;&gt;"加工费用",IFERROR(INDEX(商品档案!$E$6:$E$65,MATCH($F7,商品档案!$A$6:$A$65,0)),"")&lt;&gt;$C7),"商品不属于该公司",IF(AND($E7&lt;&gt;"加工费用",N($I7)=0),"数量为 0",IF(AND($E7="加工费用",N($J7)=0),"加工费金额为 0",IF(AND($E7="加工费用",ISNA(MATCH($K7,会计科目表!$B$6:$B$85,0))),"对方科目不存在",IF(YEAR($B7)&lt;&gt;参数设置!$B$5,"不在本会计年度","OK")))))))))))</f>
        <v>OK</v>
      </c>
      <c r="Q7" s="58" t="str">
        <f aca="false">IF($F7="","",IFERROR(INDEX(商品档案!$G$6:$G$65,MATCH($F7,商品档案!$A$6:$A$65,0)),""))</f>
        <v>原材料</v>
      </c>
      <c r="R7" s="59" t="n">
        <f aca="false">IF($F7="","",SUMIFS(进销存台账!$N$6:$N$65,进销存台账!$A$6:$A$65,$C7,进销存台账!$B$6:$B$65,$F7))</f>
        <v>1122.22222222222</v>
      </c>
      <c r="S7" s="60" t="n">
        <f aca="false">IF($E7="领用投入",ROUND(N($I7)*N($R7),2),IF($E7="加工费用",ROUND(N($J7),2),0))</f>
        <v>4488.89</v>
      </c>
      <c r="T7" s="60" t="n">
        <f aca="false">IF($E7&lt;&gt;"产成品入库",0,IF(SUMIFS($W$6:$W$305,$C$6:$C$305,$C7,$D$6:$D$305,$D7,$E$6:$E$305,"产成品入库")=0,0,ROUND(SUMIFS($S$6:$S$305,$C$6:$C$305,$C7,$D$6:$D$305,$D7)*N($X7)/SUMIFS($W$6:$W$305,$C$6:$C$305,$C7,$D$6:$D$305,$D7,$E$6:$E$305,"产成品入库"),2)-ROUND(SUMIFS($S$6:$S$305,$C$6:$C$305,$C7,$D$6:$D$305,$D7)*(N($X7)-N($W7))/SUMIFS($W$6:$W$305,$C$6:$C$305,$C7,$D$6:$D$305,$D7,$E$6:$E$305,"产成品入库"),2)))</f>
        <v>0</v>
      </c>
      <c r="U7" s="57" t="n">
        <f aca="false">IF($E7="","",ROUND($S7+$T7,2))</f>
        <v>4488.89</v>
      </c>
      <c r="V7" s="61" t="n">
        <f aca="false">IF($B7="","",YEAR($B7))</f>
        <v>2026</v>
      </c>
      <c r="W7" s="63" t="str">
        <f aca="false">IF($E7&lt;&gt;"产成品入库","",IF(N($M7)=0,1,N($M7)))</f>
        <v/>
      </c>
      <c r="X7" s="63" t="str">
        <f aca="false">IF($E7&lt;&gt;"产成品入库","",SUMIFS($W$6:$W7,$C$6:$C7,$C7,$D$6:$D7,$D7,$E$6:$E7,"产成品入库"))</f>
        <v/>
      </c>
    </row>
    <row r="8" customFormat="false" ht="15" hidden="false" customHeight="false" outlineLevel="0" collapsed="false">
      <c r="A8" s="53" t="n">
        <f aca="false">IF($B8="","",ROW()-5)</f>
        <v>3</v>
      </c>
      <c r="B8" s="54" t="n">
        <v>46173</v>
      </c>
      <c r="C8" s="33" t="s">
        <v>107</v>
      </c>
      <c r="D8" s="39" t="s">
        <v>669</v>
      </c>
      <c r="E8" s="33" t="s">
        <v>343</v>
      </c>
      <c r="F8" s="39"/>
      <c r="G8" s="48" t="str">
        <f aca="false">IF($F8="","",IFERROR(INDEX(商品档案!$B$6:$B$65,MATCH($F8,商品档案!$A$6:$A$65,0)),""))</f>
        <v/>
      </c>
      <c r="H8" s="55" t="str">
        <f aca="false">IF($F8="","",IFERROR(INDEX(商品档案!$D$6:$D$65,MATCH($F8,商品档案!$A$6:$A$65,0)),""))</f>
        <v/>
      </c>
      <c r="I8" s="49"/>
      <c r="J8" s="43" t="n">
        <v>68000</v>
      </c>
      <c r="K8" s="32" t="s">
        <v>138</v>
      </c>
      <c r="L8" s="33" t="s">
        <v>137</v>
      </c>
      <c r="M8" s="62"/>
      <c r="N8" s="32" t="s">
        <v>672</v>
      </c>
      <c r="O8" s="41"/>
      <c r="P8" s="25" t="str">
        <f aca="false">IF(AND($B8="",$E8=""),"",IF(NOT(ISNUMBER($B8)),"日期无效",IF(ISNA(MATCH($C8,参数设置!$A$10:$A$12,0)),"公司无效",IF($D8="","缺批次号",IF(ISNA(MATCH($E8,记账规则!$A$36:$A$38,0)),"业务类型无效",IF(AND($E8&lt;&gt;"加工费用",ISNA(MATCH($F8,商品档案!$A$6:$A$65,0))),"商品编码无效",IF(AND($E8&lt;&gt;"加工费用",IFERROR(INDEX(商品档案!$E$6:$E$65,MATCH($F8,商品档案!$A$6:$A$65,0)),"")&lt;&gt;$C8),"商品不属于该公司",IF(AND($E8&lt;&gt;"加工费用",N($I8)=0),"数量为 0",IF(AND($E8="加工费用",N($J8)=0),"加工费金额为 0",IF(AND($E8="加工费用",ISNA(MATCH($K8,会计科目表!$B$6:$B$85,0))),"对方科目不存在",IF(YEAR($B8)&lt;&gt;参数设置!$B$5,"不在本会计年度","OK")))))))))))</f>
        <v>OK</v>
      </c>
      <c r="Q8" s="58" t="str">
        <f aca="false">IF($F8="","",IFERROR(INDEX(商品档案!$G$6:$G$65,MATCH($F8,商品档案!$A$6:$A$65,0)),""))</f>
        <v/>
      </c>
      <c r="R8" s="59" t="str">
        <f aca="false">IF($F8="","",SUMIFS(进销存台账!$N$6:$N$65,进销存台账!$A$6:$A$65,$C8,进销存台账!$B$6:$B$65,$F8))</f>
        <v/>
      </c>
      <c r="S8" s="60" t="n">
        <f aca="false">IF($E8="领用投入",ROUND(N($I8)*N($R8),2),IF($E8="加工费用",ROUND(N($J8),2),0))</f>
        <v>68000</v>
      </c>
      <c r="T8" s="60" t="n">
        <f aca="false">IF($E8&lt;&gt;"产成品入库",0,IF(SUMIFS($W$6:$W$305,$C$6:$C$305,$C8,$D$6:$D$305,$D8,$E$6:$E$305,"产成品入库")=0,0,ROUND(SUMIFS($S$6:$S$305,$C$6:$C$305,$C8,$D$6:$D$305,$D8)*N($X8)/SUMIFS($W$6:$W$305,$C$6:$C$305,$C8,$D$6:$D$305,$D8,$E$6:$E$305,"产成品入库"),2)-ROUND(SUMIFS($S$6:$S$305,$C$6:$C$305,$C8,$D$6:$D$305,$D8)*(N($X8)-N($W8))/SUMIFS($W$6:$W$305,$C$6:$C$305,$C8,$D$6:$D$305,$D8,$E$6:$E$305,"产成品入库"),2)))</f>
        <v>0</v>
      </c>
      <c r="U8" s="57" t="n">
        <f aca="false">IF($E8="","",ROUND($S8+$T8,2))</f>
        <v>68000</v>
      </c>
      <c r="V8" s="61" t="n">
        <f aca="false">IF($B8="","",YEAR($B8))</f>
        <v>2026</v>
      </c>
      <c r="W8" s="63" t="str">
        <f aca="false">IF($E8&lt;&gt;"产成品入库","",IF(N($M8)=0,1,N($M8)))</f>
        <v/>
      </c>
      <c r="X8" s="63" t="str">
        <f aca="false">IF($E8&lt;&gt;"产成品入库","",SUMIFS($W$6:$W8,$C$6:$C8,$C8,$D$6:$D8,$D8,$E$6:$E8,"产成品入库"))</f>
        <v/>
      </c>
    </row>
    <row r="9" customFormat="false" ht="15" hidden="false" customHeight="false" outlineLevel="0" collapsed="false">
      <c r="A9" s="53" t="n">
        <f aca="false">IF($B9="","",ROW()-5)</f>
        <v>4</v>
      </c>
      <c r="B9" s="54" t="n">
        <v>46173</v>
      </c>
      <c r="C9" s="33" t="s">
        <v>107</v>
      </c>
      <c r="D9" s="39" t="s">
        <v>669</v>
      </c>
      <c r="E9" s="33" t="s">
        <v>343</v>
      </c>
      <c r="F9" s="39"/>
      <c r="G9" s="48" t="str">
        <f aca="false">IF($F9="","",IFERROR(INDEX(商品档案!$B$6:$B$65,MATCH($F9,商品档案!$A$6:$A$65,0)),""))</f>
        <v/>
      </c>
      <c r="H9" s="55" t="str">
        <f aca="false">IF($F9="","",IFERROR(INDEX(商品档案!$D$6:$D$65,MATCH($F9,商品档案!$A$6:$A$65,0)),""))</f>
        <v/>
      </c>
      <c r="I9" s="49"/>
      <c r="J9" s="43" t="n">
        <v>25000</v>
      </c>
      <c r="K9" s="32" t="s">
        <v>25</v>
      </c>
      <c r="L9" s="33" t="s">
        <v>156</v>
      </c>
      <c r="M9" s="62"/>
      <c r="N9" s="32" t="s">
        <v>156</v>
      </c>
      <c r="O9" s="41"/>
      <c r="P9" s="25" t="str">
        <f aca="false">IF(AND($B9="",$E9=""),"",IF(NOT(ISNUMBER($B9)),"日期无效",IF(ISNA(MATCH($C9,参数设置!$A$10:$A$12,0)),"公司无效",IF($D9="","缺批次号",IF(ISNA(MATCH($E9,记账规则!$A$36:$A$38,0)),"业务类型无效",IF(AND($E9&lt;&gt;"加工费用",ISNA(MATCH($F9,商品档案!$A$6:$A$65,0))),"商品编码无效",IF(AND($E9&lt;&gt;"加工费用",IFERROR(INDEX(商品档案!$E$6:$E$65,MATCH($F9,商品档案!$A$6:$A$65,0)),"")&lt;&gt;$C9),"商品不属于该公司",IF(AND($E9&lt;&gt;"加工费用",N($I9)=0),"数量为 0",IF(AND($E9="加工费用",N($J9)=0),"加工费金额为 0",IF(AND($E9="加工费用",ISNA(MATCH($K9,会计科目表!$B$6:$B$85,0))),"对方科目不存在",IF(YEAR($B9)&lt;&gt;参数设置!$B$5,"不在本会计年度","OK")))))))))))</f>
        <v>OK</v>
      </c>
      <c r="Q9" s="58" t="str">
        <f aca="false">IF($F9="","",IFERROR(INDEX(商品档案!$G$6:$G$65,MATCH($F9,商品档案!$A$6:$A$65,0)),""))</f>
        <v/>
      </c>
      <c r="R9" s="59" t="str">
        <f aca="false">IF($F9="","",SUMIFS(进销存台账!$N$6:$N$65,进销存台账!$A$6:$A$65,$C9,进销存台账!$B$6:$B$65,$F9))</f>
        <v/>
      </c>
      <c r="S9" s="60" t="n">
        <f aca="false">IF($E9="领用投入",ROUND(N($I9)*N($R9),2),IF($E9="加工费用",ROUND(N($J9),2),0))</f>
        <v>25000</v>
      </c>
      <c r="T9" s="60" t="n">
        <f aca="false">IF($E9&lt;&gt;"产成品入库",0,IF(SUMIFS($W$6:$W$305,$C$6:$C$305,$C9,$D$6:$D$305,$D9,$E$6:$E$305,"产成品入库")=0,0,ROUND(SUMIFS($S$6:$S$305,$C$6:$C$305,$C9,$D$6:$D$305,$D9)*N($X9)/SUMIFS($W$6:$W$305,$C$6:$C$305,$C9,$D$6:$D$305,$D9,$E$6:$E$305,"产成品入库"),2)-ROUND(SUMIFS($S$6:$S$305,$C$6:$C$305,$C9,$D$6:$D$305,$D9)*(N($X9)-N($W9))/SUMIFS($W$6:$W$305,$C$6:$C$305,$C9,$D$6:$D$305,$D9,$E$6:$E$305,"产成品入库"),2)))</f>
        <v>0</v>
      </c>
      <c r="U9" s="57" t="n">
        <f aca="false">IF($E9="","",ROUND($S9+$T9,2))</f>
        <v>25000</v>
      </c>
      <c r="V9" s="61" t="n">
        <f aca="false">IF($B9="","",YEAR($B9))</f>
        <v>2026</v>
      </c>
      <c r="W9" s="63" t="str">
        <f aca="false">IF($E9&lt;&gt;"产成品入库","",IF(N($M9)=0,1,N($M9)))</f>
        <v/>
      </c>
      <c r="X9" s="63" t="str">
        <f aca="false">IF($E9&lt;&gt;"产成品入库","",SUMIFS($W$6:$W9,$C$6:$C9,$C9,$D$6:$D9,$D9,$E$6:$E9,"产成品入库"))</f>
        <v/>
      </c>
    </row>
    <row r="10" customFormat="false" ht="15" hidden="false" customHeight="false" outlineLevel="0" collapsed="false">
      <c r="A10" s="53" t="n">
        <f aca="false">IF($B10="","",ROW()-5)</f>
        <v>5</v>
      </c>
      <c r="B10" s="54" t="n">
        <v>46188</v>
      </c>
      <c r="C10" s="33" t="s">
        <v>107</v>
      </c>
      <c r="D10" s="39" t="s">
        <v>669</v>
      </c>
      <c r="E10" s="33" t="s">
        <v>345</v>
      </c>
      <c r="F10" s="39" t="s">
        <v>362</v>
      </c>
      <c r="G10" s="48" t="str">
        <f aca="false">IF($F10="","",IFERROR(INDEX(商品档案!$B$6:$B$65,MATCH($F10,商品档案!$A$6:$A$65,0)),""))</f>
        <v>原木</v>
      </c>
      <c r="H10" s="55" t="str">
        <f aca="false">IF($F10="","",IFERROR(INDEX(商品档案!$D$6:$D$65,MATCH($F10,商品档案!$A$6:$A$65,0)),""))</f>
        <v>立方米</v>
      </c>
      <c r="I10" s="49" t="n">
        <v>200</v>
      </c>
      <c r="J10" s="43"/>
      <c r="K10" s="41"/>
      <c r="L10" s="39"/>
      <c r="M10" s="62" t="n">
        <v>1</v>
      </c>
      <c r="N10" s="32" t="s">
        <v>673</v>
      </c>
      <c r="O10" s="41"/>
      <c r="P10" s="25" t="str">
        <f aca="false">IF(AND($B10="",$E10=""),"",IF(NOT(ISNUMBER($B10)),"日期无效",IF(ISNA(MATCH($C10,参数设置!$A$10:$A$12,0)),"公司无效",IF($D10="","缺批次号",IF(ISNA(MATCH($E10,记账规则!$A$36:$A$38,0)),"业务类型无效",IF(AND($E10&lt;&gt;"加工费用",ISNA(MATCH($F10,商品档案!$A$6:$A$65,0))),"商品编码无效",IF(AND($E10&lt;&gt;"加工费用",IFERROR(INDEX(商品档案!$E$6:$E$65,MATCH($F10,商品档案!$A$6:$A$65,0)),"")&lt;&gt;$C10),"商品不属于该公司",IF(AND($E10&lt;&gt;"加工费用",N($I10)=0),"数量为 0",IF(AND($E10="加工费用",N($J10)=0),"加工费金额为 0",IF(AND($E10="加工费用",ISNA(MATCH($K10,会计科目表!$B$6:$B$85,0))),"对方科目不存在",IF(YEAR($B10)&lt;&gt;参数设置!$B$5,"不在本会计年度","OK")))))))))))</f>
        <v>OK</v>
      </c>
      <c r="Q10" s="58" t="str">
        <f aca="false">IF($F10="","",IFERROR(INDEX(商品档案!$G$6:$G$65,MATCH($F10,商品档案!$A$6:$A$65,0)),""))</f>
        <v>库存商品</v>
      </c>
      <c r="R10" s="59" t="n">
        <f aca="false">IF($F10="","",SUMIFS(进销存台账!$N$6:$N$65,进销存台账!$A$6:$A$65,$C10,进销存台账!$B$6:$B$65,$F10))</f>
        <v>516.52778125</v>
      </c>
      <c r="S10" s="60" t="n">
        <f aca="false">IF($E10="领用投入",ROUND(N($I10)*N($R10),2),IF($E10="加工费用",ROUND(N($J10),2),0))</f>
        <v>0</v>
      </c>
      <c r="T10" s="60" t="n">
        <f aca="false">IF($E10&lt;&gt;"产成品入库",0,IF(SUMIFS($W$6:$W$305,$C$6:$C$305,$C10,$D$6:$D$305,$D10,$E$6:$E$305,"产成品入库")=0,0,ROUND(SUMIFS($S$6:$S$305,$C$6:$C$305,$C10,$D$6:$D$305,$D10)*N($X10)/SUMIFS($W$6:$W$305,$C$6:$C$305,$C10,$D$6:$D$305,$D10,$E$6:$E$305,"产成品入库"),2)-ROUND(SUMIFS($S$6:$S$305,$C$6:$C$305,$C10,$D$6:$D$305,$D10)*(N($X10)-N($W10))/SUMIFS($W$6:$W$305,$C$6:$C$305,$C10,$D$6:$D$305,$D10,$E$6:$E$305,"产成品入库"),2)))</f>
        <v>105288.89</v>
      </c>
      <c r="U10" s="57" t="n">
        <f aca="false">IF($E10="","",ROUND($S10+$T10,2))</f>
        <v>105288.89</v>
      </c>
      <c r="V10" s="61" t="n">
        <f aca="false">IF($B10="","",YEAR($B10))</f>
        <v>2026</v>
      </c>
      <c r="W10" s="63" t="n">
        <f aca="false">IF($E10&lt;&gt;"产成品入库","",IF(N($M10)=0,1,N($M10)))</f>
        <v>1</v>
      </c>
      <c r="X10" s="63" t="n">
        <f aca="false">IF($E10&lt;&gt;"产成品入库","",SUMIFS($W$6:$W10,$C$6:$C10,$C10,$D$6:$D10,$D10,$E$6:$E10,"产成品入库"))</f>
        <v>1</v>
      </c>
    </row>
    <row r="11" customFormat="false" ht="15" hidden="false" customHeight="false" outlineLevel="0" collapsed="false">
      <c r="A11" s="53" t="n">
        <f aca="false">IF($B11="","",ROW()-5)</f>
        <v>6</v>
      </c>
      <c r="B11" s="54" t="n">
        <v>46132</v>
      </c>
      <c r="C11" s="33" t="s">
        <v>107</v>
      </c>
      <c r="D11" s="39" t="s">
        <v>674</v>
      </c>
      <c r="E11" s="33" t="s">
        <v>340</v>
      </c>
      <c r="F11" s="39" t="s">
        <v>383</v>
      </c>
      <c r="G11" s="48" t="str">
        <f aca="false">IF($F11="","",IFERROR(INDEX(商品档案!$B$6:$B$65,MATCH($F11,商品档案!$A$6:$A$65,0)),""))</f>
        <v>肥料</v>
      </c>
      <c r="H11" s="55" t="str">
        <f aca="false">IF($F11="","",IFERROR(INDEX(商品档案!$D$6:$D$65,MATCH($F11,商品档案!$A$6:$A$65,0)),""))</f>
        <v>吨</v>
      </c>
      <c r="I11" s="49" t="n">
        <v>4</v>
      </c>
      <c r="J11" s="43"/>
      <c r="K11" s="41"/>
      <c r="L11" s="39"/>
      <c r="M11" s="62"/>
      <c r="N11" s="32" t="s">
        <v>675</v>
      </c>
      <c r="O11" s="41"/>
      <c r="P11" s="25" t="str">
        <f aca="false">IF(AND($B11="",$E11=""),"",IF(NOT(ISNUMBER($B11)),"日期无效",IF(ISNA(MATCH($C11,参数设置!$A$10:$A$12,0)),"公司无效",IF($D11="","缺批次号",IF(ISNA(MATCH($E11,记账规则!$A$36:$A$38,0)),"业务类型无效",IF(AND($E11&lt;&gt;"加工费用",ISNA(MATCH($F11,商品档案!$A$6:$A$65,0))),"商品编码无效",IF(AND($E11&lt;&gt;"加工费用",IFERROR(INDEX(商品档案!$E$6:$E$65,MATCH($F11,商品档案!$A$6:$A$65,0)),"")&lt;&gt;$C11),"商品不属于该公司",IF(AND($E11&lt;&gt;"加工费用",N($I11)=0),"数量为 0",IF(AND($E11="加工费用",N($J11)=0),"加工费金额为 0",IF(AND($E11="加工费用",ISNA(MATCH($K11,会计科目表!$B$6:$B$85,0))),"对方科目不存在",IF(YEAR($B11)&lt;&gt;参数设置!$B$5,"不在本会计年度","OK")))))))))))</f>
        <v>OK</v>
      </c>
      <c r="Q11" s="58" t="str">
        <f aca="false">IF($F11="","",IFERROR(INDEX(商品档案!$G$6:$G$65,MATCH($F11,商品档案!$A$6:$A$65,0)),""))</f>
        <v>原材料</v>
      </c>
      <c r="R11" s="59" t="n">
        <f aca="false">IF($F11="","",SUMIFS(进销存台账!$N$6:$N$65,进销存台账!$A$6:$A$65,$C11,进销存台账!$B$6:$B$65,$F11))</f>
        <v>1122.22222222222</v>
      </c>
      <c r="S11" s="60" t="n">
        <f aca="false">IF($E11="领用投入",ROUND(N($I11)*N($R11),2),IF($E11="加工费用",ROUND(N($J11),2),0))</f>
        <v>4488.89</v>
      </c>
      <c r="T11" s="60" t="n">
        <f aca="false">IF($E11&lt;&gt;"产成品入库",0,IF(SUMIFS($W$6:$W$305,$C$6:$C$305,$C11,$D$6:$D$305,$D11,$E$6:$E$305,"产成品入库")=0,0,ROUND(SUMIFS($S$6:$S$305,$C$6:$C$305,$C11,$D$6:$D$305,$D11)*N($X11)/SUMIFS($W$6:$W$305,$C$6:$C$305,$C11,$D$6:$D$305,$D11,$E$6:$E$305,"产成品入库"),2)-ROUND(SUMIFS($S$6:$S$305,$C$6:$C$305,$C11,$D$6:$D$305,$D11)*(N($X11)-N($W11))/SUMIFS($W$6:$W$305,$C$6:$C$305,$C11,$D$6:$D$305,$D11,$E$6:$E$305,"产成品入库"),2)))</f>
        <v>0</v>
      </c>
      <c r="U11" s="57" t="n">
        <f aca="false">IF($E11="","",ROUND($S11+$T11,2))</f>
        <v>4488.89</v>
      </c>
      <c r="V11" s="61" t="n">
        <f aca="false">IF($B11="","",YEAR($B11))</f>
        <v>2026</v>
      </c>
      <c r="W11" s="63" t="str">
        <f aca="false">IF($E11&lt;&gt;"产成品入库","",IF(N($M11)=0,1,N($M11)))</f>
        <v/>
      </c>
      <c r="X11" s="63" t="str">
        <f aca="false">IF($E11&lt;&gt;"产成品入库","",SUMIFS($W$6:$W11,$C$6:$C11,$C11,$D$6:$D11,$D11,$E$6:$E11,"产成品入库"))</f>
        <v/>
      </c>
    </row>
    <row r="12" customFormat="false" ht="15" hidden="false" customHeight="false" outlineLevel="0" collapsed="false">
      <c r="A12" s="53" t="n">
        <f aca="false">IF($B12="","",ROW()-5)</f>
        <v>7</v>
      </c>
      <c r="B12" s="54" t="n">
        <v>46203</v>
      </c>
      <c r="C12" s="33" t="s">
        <v>107</v>
      </c>
      <c r="D12" s="39" t="s">
        <v>674</v>
      </c>
      <c r="E12" s="33" t="s">
        <v>343</v>
      </c>
      <c r="F12" s="39"/>
      <c r="G12" s="48" t="str">
        <f aca="false">IF($F12="","",IFERROR(INDEX(商品档案!$B$6:$B$65,MATCH($F12,商品档案!$A$6:$A$65,0)),""))</f>
        <v/>
      </c>
      <c r="H12" s="55" t="str">
        <f aca="false">IF($F12="","",IFERROR(INDEX(商品档案!$D$6:$D$65,MATCH($F12,商品档案!$A$6:$A$65,0)),""))</f>
        <v/>
      </c>
      <c r="I12" s="49"/>
      <c r="J12" s="43" t="n">
        <v>32000</v>
      </c>
      <c r="K12" s="32" t="s">
        <v>138</v>
      </c>
      <c r="L12" s="33" t="s">
        <v>137</v>
      </c>
      <c r="M12" s="62"/>
      <c r="N12" s="32" t="s">
        <v>676</v>
      </c>
      <c r="O12" s="41"/>
      <c r="P12" s="25" t="str">
        <f aca="false">IF(AND($B12="",$E12=""),"",IF(NOT(ISNUMBER($B12)),"日期无效",IF(ISNA(MATCH($C12,参数设置!$A$10:$A$12,0)),"公司无效",IF($D12="","缺批次号",IF(ISNA(MATCH($E12,记账规则!$A$36:$A$38,0)),"业务类型无效",IF(AND($E12&lt;&gt;"加工费用",ISNA(MATCH($F12,商品档案!$A$6:$A$65,0))),"商品编码无效",IF(AND($E12&lt;&gt;"加工费用",IFERROR(INDEX(商品档案!$E$6:$E$65,MATCH($F12,商品档案!$A$6:$A$65,0)),"")&lt;&gt;$C12),"商品不属于该公司",IF(AND($E12&lt;&gt;"加工费用",N($I12)=0),"数量为 0",IF(AND($E12="加工费用",N($J12)=0),"加工费金额为 0",IF(AND($E12="加工费用",ISNA(MATCH($K12,会计科目表!$B$6:$B$85,0))),"对方科目不存在",IF(YEAR($B12)&lt;&gt;参数设置!$B$5,"不在本会计年度","OK")))))))))))</f>
        <v>OK</v>
      </c>
      <c r="Q12" s="58" t="str">
        <f aca="false">IF($F12="","",IFERROR(INDEX(商品档案!$G$6:$G$65,MATCH($F12,商品档案!$A$6:$A$65,0)),""))</f>
        <v/>
      </c>
      <c r="R12" s="59" t="str">
        <f aca="false">IF($F12="","",SUMIFS(进销存台账!$N$6:$N$65,进销存台账!$A$6:$A$65,$C12,进销存台账!$B$6:$B$65,$F12))</f>
        <v/>
      </c>
      <c r="S12" s="60" t="n">
        <f aca="false">IF($E12="领用投入",ROUND(N($I12)*N($R12),2),IF($E12="加工费用",ROUND(N($J12),2),0))</f>
        <v>32000</v>
      </c>
      <c r="T12" s="60" t="n">
        <f aca="false">IF($E12&lt;&gt;"产成品入库",0,IF(SUMIFS($W$6:$W$305,$C$6:$C$305,$C12,$D$6:$D$305,$D12,$E$6:$E$305,"产成品入库")=0,0,ROUND(SUMIFS($S$6:$S$305,$C$6:$C$305,$C12,$D$6:$D$305,$D12)*N($X12)/SUMIFS($W$6:$W$305,$C$6:$C$305,$C12,$D$6:$D$305,$D12,$E$6:$E$305,"产成品入库"),2)-ROUND(SUMIFS($S$6:$S$305,$C$6:$C$305,$C12,$D$6:$D$305,$D12)*(N($X12)-N($W12))/SUMIFS($W$6:$W$305,$C$6:$C$305,$C12,$D$6:$D$305,$D12,$E$6:$E$305,"产成品入库"),2)))</f>
        <v>0</v>
      </c>
      <c r="U12" s="57" t="n">
        <f aca="false">IF($E12="","",ROUND($S12+$T12,2))</f>
        <v>32000</v>
      </c>
      <c r="V12" s="61" t="n">
        <f aca="false">IF($B12="","",YEAR($B12))</f>
        <v>2026</v>
      </c>
      <c r="W12" s="63" t="str">
        <f aca="false">IF($E12&lt;&gt;"产成品入库","",IF(N($M12)=0,1,N($M12)))</f>
        <v/>
      </c>
      <c r="X12" s="63" t="str">
        <f aca="false">IF($E12&lt;&gt;"产成品入库","",SUMIFS($W$6:$W12,$C$6:$C12,$C12,$D$6:$D12,$D12,$E$6:$E12,"产成品入库"))</f>
        <v/>
      </c>
    </row>
    <row r="13" customFormat="false" ht="15" hidden="false" customHeight="false" outlineLevel="0" collapsed="false">
      <c r="A13" s="53" t="n">
        <f aca="false">IF($B13="","",ROW()-5)</f>
        <v>8</v>
      </c>
      <c r="B13" s="54" t="n">
        <v>46203</v>
      </c>
      <c r="C13" s="33" t="s">
        <v>107</v>
      </c>
      <c r="D13" s="39" t="s">
        <v>674</v>
      </c>
      <c r="E13" s="33" t="s">
        <v>345</v>
      </c>
      <c r="F13" s="39" t="s">
        <v>368</v>
      </c>
      <c r="G13" s="48" t="str">
        <f aca="false">IF($F13="","",IFERROR(INDEX(商品档案!$B$6:$B$65,MATCH($F13,商品档案!$A$6:$A$65,0)),""))</f>
        <v>湿艾草</v>
      </c>
      <c r="H13" s="55" t="str">
        <f aca="false">IF($F13="","",IFERROR(INDEX(商品档案!$D$6:$D$65,MATCH($F13,商品档案!$A$6:$A$65,0)),""))</f>
        <v>公斤</v>
      </c>
      <c r="I13" s="49" t="n">
        <v>20000</v>
      </c>
      <c r="J13" s="43"/>
      <c r="K13" s="41"/>
      <c r="L13" s="39"/>
      <c r="M13" s="62" t="n">
        <v>1</v>
      </c>
      <c r="N13" s="32" t="s">
        <v>677</v>
      </c>
      <c r="O13" s="41"/>
      <c r="P13" s="25" t="str">
        <f aca="false">IF(AND($B13="",$E13=""),"",IF(NOT(ISNUMBER($B13)),"日期无效",IF(ISNA(MATCH($C13,参数设置!$A$10:$A$12,0)),"公司无效",IF($D13="","缺批次号",IF(ISNA(MATCH($E13,记账规则!$A$36:$A$38,0)),"业务类型无效",IF(AND($E13&lt;&gt;"加工费用",ISNA(MATCH($F13,商品档案!$A$6:$A$65,0))),"商品编码无效",IF(AND($E13&lt;&gt;"加工费用",IFERROR(INDEX(商品档案!$E$6:$E$65,MATCH($F13,商品档案!$A$6:$A$65,0)),"")&lt;&gt;$C13),"商品不属于该公司",IF(AND($E13&lt;&gt;"加工费用",N($I13)=0),"数量为 0",IF(AND($E13="加工费用",N($J13)=0),"加工费金额为 0",IF(AND($E13="加工费用",ISNA(MATCH($K13,会计科目表!$B$6:$B$85,0))),"对方科目不存在",IF(YEAR($B13)&lt;&gt;参数设置!$B$5,"不在本会计年度","OK")))))))))))</f>
        <v>OK</v>
      </c>
      <c r="Q13" s="58" t="str">
        <f aca="false">IF($F13="","",IFERROR(INDEX(商品档案!$G$6:$G$65,MATCH($F13,商品档案!$A$6:$A$65,0)),""))</f>
        <v>库存商品</v>
      </c>
      <c r="R13" s="59" t="n">
        <f aca="false">IF($F13="","",SUMIFS(进销存台账!$N$6:$N$65,进销存台账!$A$6:$A$65,$C13,进销存台账!$B$6:$B$65,$F13))</f>
        <v>1.8244445</v>
      </c>
      <c r="S13" s="60" t="n">
        <f aca="false">IF($E13="领用投入",ROUND(N($I13)*N($R13),2),IF($E13="加工费用",ROUND(N($J13),2),0))</f>
        <v>0</v>
      </c>
      <c r="T13" s="60" t="n">
        <f aca="false">IF($E13&lt;&gt;"产成品入库",0,IF(SUMIFS($W$6:$W$305,$C$6:$C$305,$C13,$D$6:$D$305,$D13,$E$6:$E$305,"产成品入库")=0,0,ROUND(SUMIFS($S$6:$S$305,$C$6:$C$305,$C13,$D$6:$D$305,$D13)*N($X13)/SUMIFS($W$6:$W$305,$C$6:$C$305,$C13,$D$6:$D$305,$D13,$E$6:$E$305,"产成品入库"),2)-ROUND(SUMIFS($S$6:$S$305,$C$6:$C$305,$C13,$D$6:$D$305,$D13)*(N($X13)-N($W13))/SUMIFS($W$6:$W$305,$C$6:$C$305,$C13,$D$6:$D$305,$D13,$E$6:$E$305,"产成品入库"),2)))</f>
        <v>36488.89</v>
      </c>
      <c r="U13" s="57" t="n">
        <f aca="false">IF($E13="","",ROUND($S13+$T13,2))</f>
        <v>36488.89</v>
      </c>
      <c r="V13" s="61" t="n">
        <f aca="false">IF($B13="","",YEAR($B13))</f>
        <v>2026</v>
      </c>
      <c r="W13" s="63" t="n">
        <f aca="false">IF($E13&lt;&gt;"产成品入库","",IF(N($M13)=0,1,N($M13)))</f>
        <v>1</v>
      </c>
      <c r="X13" s="63" t="n">
        <f aca="false">IF($E13&lt;&gt;"产成品入库","",SUMIFS($W$6:$W13,$C$6:$C13,$C13,$D$6:$D13,$D13,$E$6:$E13,"产成品入库"))</f>
        <v>1</v>
      </c>
    </row>
    <row r="14" customFormat="false" ht="15" hidden="false" customHeight="false" outlineLevel="0" collapsed="false">
      <c r="A14" s="53" t="n">
        <f aca="false">IF($B14="","",ROW()-5)</f>
        <v>9</v>
      </c>
      <c r="B14" s="54" t="n">
        <v>46208</v>
      </c>
      <c r="C14" s="33" t="s">
        <v>107</v>
      </c>
      <c r="D14" s="39" t="s">
        <v>678</v>
      </c>
      <c r="E14" s="33" t="s">
        <v>340</v>
      </c>
      <c r="F14" s="39" t="s">
        <v>368</v>
      </c>
      <c r="G14" s="48" t="str">
        <f aca="false">IF($F14="","",IFERROR(INDEX(商品档案!$B$6:$B$65,MATCH($F14,商品档案!$A$6:$A$65,0)),""))</f>
        <v>湿艾草</v>
      </c>
      <c r="H14" s="55" t="str">
        <f aca="false">IF($F14="","",IFERROR(INDEX(商品档案!$D$6:$D$65,MATCH($F14,商品档案!$A$6:$A$65,0)),""))</f>
        <v>公斤</v>
      </c>
      <c r="I14" s="49" t="n">
        <v>20000</v>
      </c>
      <c r="J14" s="43"/>
      <c r="K14" s="41"/>
      <c r="L14" s="39"/>
      <c r="M14" s="62"/>
      <c r="N14" s="32" t="s">
        <v>679</v>
      </c>
      <c r="O14" s="41"/>
      <c r="P14" s="25" t="str">
        <f aca="false">IF(AND($B14="",$E14=""),"",IF(NOT(ISNUMBER($B14)),"日期无效",IF(ISNA(MATCH($C14,参数设置!$A$10:$A$12,0)),"公司无效",IF($D14="","缺批次号",IF(ISNA(MATCH($E14,记账规则!$A$36:$A$38,0)),"业务类型无效",IF(AND($E14&lt;&gt;"加工费用",ISNA(MATCH($F14,商品档案!$A$6:$A$65,0))),"商品编码无效",IF(AND($E14&lt;&gt;"加工费用",IFERROR(INDEX(商品档案!$E$6:$E$65,MATCH($F14,商品档案!$A$6:$A$65,0)),"")&lt;&gt;$C14),"商品不属于该公司",IF(AND($E14&lt;&gt;"加工费用",N($I14)=0),"数量为 0",IF(AND($E14="加工费用",N($J14)=0),"加工费金额为 0",IF(AND($E14="加工费用",ISNA(MATCH($K14,会计科目表!$B$6:$B$85,0))),"对方科目不存在",IF(YEAR($B14)&lt;&gt;参数设置!$B$5,"不在本会计年度","OK")))))))))))</f>
        <v>OK</v>
      </c>
      <c r="Q14" s="58" t="str">
        <f aca="false">IF($F14="","",IFERROR(INDEX(商品档案!$G$6:$G$65,MATCH($F14,商品档案!$A$6:$A$65,0)),""))</f>
        <v>库存商品</v>
      </c>
      <c r="R14" s="59" t="n">
        <f aca="false">IF($F14="","",SUMIFS(进销存台账!$N$6:$N$65,进销存台账!$A$6:$A$65,$C14,进销存台账!$B$6:$B$65,$F14))</f>
        <v>1.8244445</v>
      </c>
      <c r="S14" s="60" t="n">
        <f aca="false">IF($E14="领用投入",ROUND(N($I14)*N($R14),2),IF($E14="加工费用",ROUND(N($J14),2),0))</f>
        <v>36488.89</v>
      </c>
      <c r="T14" s="60" t="n">
        <f aca="false">IF($E14&lt;&gt;"产成品入库",0,IF(SUMIFS($W$6:$W$305,$C$6:$C$305,$C14,$D$6:$D$305,$D14,$E$6:$E$305,"产成品入库")=0,0,ROUND(SUMIFS($S$6:$S$305,$C$6:$C$305,$C14,$D$6:$D$305,$D14)*N($X14)/SUMIFS($W$6:$W$305,$C$6:$C$305,$C14,$D$6:$D$305,$D14,$E$6:$E$305,"产成品入库"),2)-ROUND(SUMIFS($S$6:$S$305,$C$6:$C$305,$C14,$D$6:$D$305,$D14)*(N($X14)-N($W14))/SUMIFS($W$6:$W$305,$C$6:$C$305,$C14,$D$6:$D$305,$D14,$E$6:$E$305,"产成品入库"),2)))</f>
        <v>0</v>
      </c>
      <c r="U14" s="57" t="n">
        <f aca="false">IF($E14="","",ROUND($S14+$T14,2))</f>
        <v>36488.89</v>
      </c>
      <c r="V14" s="61" t="n">
        <f aca="false">IF($B14="","",YEAR($B14))</f>
        <v>2026</v>
      </c>
      <c r="W14" s="63" t="str">
        <f aca="false">IF($E14&lt;&gt;"产成品入库","",IF(N($M14)=0,1,N($M14)))</f>
        <v/>
      </c>
      <c r="X14" s="63" t="str">
        <f aca="false">IF($E14&lt;&gt;"产成品入库","",SUMIFS($W$6:$W14,$C$6:$C14,$C14,$D$6:$D14,$D14,$E$6:$E14,"产成品入库"))</f>
        <v/>
      </c>
    </row>
    <row r="15" customFormat="false" ht="15" hidden="false" customHeight="false" outlineLevel="0" collapsed="false">
      <c r="A15" s="53" t="n">
        <f aca="false">IF($B15="","",ROW()-5)</f>
        <v>10</v>
      </c>
      <c r="B15" s="54" t="n">
        <v>46208</v>
      </c>
      <c r="C15" s="33" t="s">
        <v>107</v>
      </c>
      <c r="D15" s="39" t="s">
        <v>678</v>
      </c>
      <c r="E15" s="33" t="s">
        <v>343</v>
      </c>
      <c r="F15" s="39"/>
      <c r="G15" s="48" t="str">
        <f aca="false">IF($F15="","",IFERROR(INDEX(商品档案!$B$6:$B$65,MATCH($F15,商品档案!$A$6:$A$65,0)),""))</f>
        <v/>
      </c>
      <c r="H15" s="55" t="str">
        <f aca="false">IF($F15="","",IFERROR(INDEX(商品档案!$D$6:$D$65,MATCH($F15,商品档案!$A$6:$A$65,0)),""))</f>
        <v/>
      </c>
      <c r="I15" s="49"/>
      <c r="J15" s="43" t="n">
        <v>14000</v>
      </c>
      <c r="K15" s="32" t="s">
        <v>25</v>
      </c>
      <c r="L15" s="33" t="s">
        <v>130</v>
      </c>
      <c r="M15" s="62"/>
      <c r="N15" s="32" t="s">
        <v>680</v>
      </c>
      <c r="O15" s="41"/>
      <c r="P15" s="25" t="str">
        <f aca="false">IF(AND($B15="",$E15=""),"",IF(NOT(ISNUMBER($B15)),"日期无效",IF(ISNA(MATCH($C15,参数设置!$A$10:$A$12,0)),"公司无效",IF($D15="","缺批次号",IF(ISNA(MATCH($E15,记账规则!$A$36:$A$38,0)),"业务类型无效",IF(AND($E15&lt;&gt;"加工费用",ISNA(MATCH($F15,商品档案!$A$6:$A$65,0))),"商品编码无效",IF(AND($E15&lt;&gt;"加工费用",IFERROR(INDEX(商品档案!$E$6:$E$65,MATCH($F15,商品档案!$A$6:$A$65,0)),"")&lt;&gt;$C15),"商品不属于该公司",IF(AND($E15&lt;&gt;"加工费用",N($I15)=0),"数量为 0",IF(AND($E15="加工费用",N($J15)=0),"加工费金额为 0",IF(AND($E15="加工费用",ISNA(MATCH($K15,会计科目表!$B$6:$B$85,0))),"对方科目不存在",IF(YEAR($B15)&lt;&gt;参数设置!$B$5,"不在本会计年度","OK")))))))))))</f>
        <v>OK</v>
      </c>
      <c r="Q15" s="58" t="str">
        <f aca="false">IF($F15="","",IFERROR(INDEX(商品档案!$G$6:$G$65,MATCH($F15,商品档案!$A$6:$A$65,0)),""))</f>
        <v/>
      </c>
      <c r="R15" s="59" t="str">
        <f aca="false">IF($F15="","",SUMIFS(进销存台账!$N$6:$N$65,进销存台账!$A$6:$A$65,$C15,进销存台账!$B$6:$B$65,$F15))</f>
        <v/>
      </c>
      <c r="S15" s="60" t="n">
        <f aca="false">IF($E15="领用投入",ROUND(N($I15)*N($R15),2),IF($E15="加工费用",ROUND(N($J15),2),0))</f>
        <v>14000</v>
      </c>
      <c r="T15" s="60" t="n">
        <f aca="false">IF($E15&lt;&gt;"产成品入库",0,IF(SUMIFS($W$6:$W$305,$C$6:$C$305,$C15,$D$6:$D$305,$D15,$E$6:$E$305,"产成品入库")=0,0,ROUND(SUMIFS($S$6:$S$305,$C$6:$C$305,$C15,$D$6:$D$305,$D15)*N($X15)/SUMIFS($W$6:$W$305,$C$6:$C$305,$C15,$D$6:$D$305,$D15,$E$6:$E$305,"产成品入库"),2)-ROUND(SUMIFS($S$6:$S$305,$C$6:$C$305,$C15,$D$6:$D$305,$D15)*(N($X15)-N($W15))/SUMIFS($W$6:$W$305,$C$6:$C$305,$C15,$D$6:$D$305,$D15,$E$6:$E$305,"产成品入库"),2)))</f>
        <v>0</v>
      </c>
      <c r="U15" s="57" t="n">
        <f aca="false">IF($E15="","",ROUND($S15+$T15,2))</f>
        <v>14000</v>
      </c>
      <c r="V15" s="61" t="n">
        <f aca="false">IF($B15="","",YEAR($B15))</f>
        <v>2026</v>
      </c>
      <c r="W15" s="63" t="str">
        <f aca="false">IF($E15&lt;&gt;"产成品入库","",IF(N($M15)=0,1,N($M15)))</f>
        <v/>
      </c>
      <c r="X15" s="63" t="str">
        <f aca="false">IF($E15&lt;&gt;"产成品入库","",SUMIFS($W$6:$W15,$C$6:$C15,$C15,$D$6:$D15,$D15,$E$6:$E15,"产成品入库"))</f>
        <v/>
      </c>
    </row>
    <row r="16" customFormat="false" ht="15" hidden="false" customHeight="false" outlineLevel="0" collapsed="false">
      <c r="A16" s="53" t="n">
        <f aca="false">IF($B16="","",ROW()-5)</f>
        <v>11</v>
      </c>
      <c r="B16" s="54" t="n">
        <v>46213</v>
      </c>
      <c r="C16" s="33" t="s">
        <v>107</v>
      </c>
      <c r="D16" s="39" t="s">
        <v>678</v>
      </c>
      <c r="E16" s="33" t="s">
        <v>345</v>
      </c>
      <c r="F16" s="39" t="s">
        <v>374</v>
      </c>
      <c r="G16" s="48" t="str">
        <f aca="false">IF($F16="","",IFERROR(INDEX(商品档案!$B$6:$B$65,MATCH($F16,商品档案!$A$6:$A$65,0)),""))</f>
        <v>干艾草</v>
      </c>
      <c r="H16" s="55" t="str">
        <f aca="false">IF($F16="","",IFERROR(INDEX(商品档案!$D$6:$D$65,MATCH($F16,商品档案!$A$6:$A$65,0)),""))</f>
        <v>公斤</v>
      </c>
      <c r="I16" s="49" t="n">
        <v>4600</v>
      </c>
      <c r="J16" s="43"/>
      <c r="K16" s="41"/>
      <c r="L16" s="39"/>
      <c r="M16" s="62" t="n">
        <v>1</v>
      </c>
      <c r="N16" s="32" t="s">
        <v>681</v>
      </c>
      <c r="O16" s="41"/>
      <c r="P16" s="25" t="str">
        <f aca="false">IF(AND($B16="",$E16=""),"",IF(NOT(ISNUMBER($B16)),"日期无效",IF(ISNA(MATCH($C16,参数设置!$A$10:$A$12,0)),"公司无效",IF($D16="","缺批次号",IF(ISNA(MATCH($E16,记账规则!$A$36:$A$38,0)),"业务类型无效",IF(AND($E16&lt;&gt;"加工费用",ISNA(MATCH($F16,商品档案!$A$6:$A$65,0))),"商品编码无效",IF(AND($E16&lt;&gt;"加工费用",IFERROR(INDEX(商品档案!$E$6:$E$65,MATCH($F16,商品档案!$A$6:$A$65,0)),"")&lt;&gt;$C16),"商品不属于该公司",IF(AND($E16&lt;&gt;"加工费用",N($I16)=0),"数量为 0",IF(AND($E16="加工费用",N($J16)=0),"加工费金额为 0",IF(AND($E16="加工费用",ISNA(MATCH($K16,会计科目表!$B$6:$B$85,0))),"对方科目不存在",IF(YEAR($B16)&lt;&gt;参数设置!$B$5,"不在本会计年度","OK")))))))))))</f>
        <v>OK</v>
      </c>
      <c r="Q16" s="58" t="str">
        <f aca="false">IF($F16="","",IFERROR(INDEX(商品档案!$G$6:$G$65,MATCH($F16,商品档案!$A$6:$A$65,0)),""))</f>
        <v>库存商品</v>
      </c>
      <c r="R16" s="59" t="n">
        <f aca="false">IF($F16="","",SUMIFS(进销存台账!$N$6:$N$65,进销存台账!$A$6:$A$65,$C16,进销存台账!$B$6:$B$65,$F16))</f>
        <v>10.3771045454545</v>
      </c>
      <c r="S16" s="60" t="n">
        <f aca="false">IF($E16="领用投入",ROUND(N($I16)*N($R16),2),IF($E16="加工费用",ROUND(N($J16),2),0))</f>
        <v>0</v>
      </c>
      <c r="T16" s="60" t="n">
        <f aca="false">IF($E16&lt;&gt;"产成品入库",0,IF(SUMIFS($W$6:$W$305,$C$6:$C$305,$C16,$D$6:$D$305,$D16,$E$6:$E$305,"产成品入库")=0,0,ROUND(SUMIFS($S$6:$S$305,$C$6:$C$305,$C16,$D$6:$D$305,$D16)*N($X16)/SUMIFS($W$6:$W$305,$C$6:$C$305,$C16,$D$6:$D$305,$D16,$E$6:$E$305,"产成品入库"),2)-ROUND(SUMIFS($S$6:$S$305,$C$6:$C$305,$C16,$D$6:$D$305,$D16)*(N($X16)-N($W16))/SUMIFS($W$6:$W$305,$C$6:$C$305,$C16,$D$6:$D$305,$D16,$E$6:$E$305,"产成品入库"),2)))</f>
        <v>50488.89</v>
      </c>
      <c r="U16" s="57" t="n">
        <f aca="false">IF($E16="","",ROUND($S16+$T16,2))</f>
        <v>50488.89</v>
      </c>
      <c r="V16" s="61" t="n">
        <f aca="false">IF($B16="","",YEAR($B16))</f>
        <v>2026</v>
      </c>
      <c r="W16" s="63" t="n">
        <f aca="false">IF($E16&lt;&gt;"产成品入库","",IF(N($M16)=0,1,N($M16)))</f>
        <v>1</v>
      </c>
      <c r="X16" s="63" t="n">
        <f aca="false">IF($E16&lt;&gt;"产成品入库","",SUMIFS($W$6:$W16,$C$6:$C16,$C16,$D$6:$D16,$D16,$E$6:$E16,"产成品入库"))</f>
        <v>1</v>
      </c>
    </row>
    <row r="17" customFormat="false" ht="15" hidden="false" customHeight="false" outlineLevel="0" collapsed="false">
      <c r="A17" s="53" t="n">
        <f aca="false">IF($B17="","",ROW()-5)</f>
        <v>12</v>
      </c>
      <c r="B17" s="54" t="n">
        <v>46198</v>
      </c>
      <c r="C17" s="33" t="s">
        <v>110</v>
      </c>
      <c r="D17" s="39" t="s">
        <v>682</v>
      </c>
      <c r="E17" s="33" t="s">
        <v>340</v>
      </c>
      <c r="F17" s="39" t="s">
        <v>408</v>
      </c>
      <c r="G17" s="48" t="str">
        <f aca="false">IF($F17="","",IFERROR(INDEX(商品档案!$B$6:$B$65,MATCH($F17,商品档案!$A$6:$A$65,0)),""))</f>
        <v>原木</v>
      </c>
      <c r="H17" s="55" t="str">
        <f aca="false">IF($F17="","",IFERROR(INDEX(商品档案!$D$6:$D$65,MATCH($F17,商品档案!$A$6:$A$65,0)),""))</f>
        <v>立方米</v>
      </c>
      <c r="I17" s="49" t="n">
        <v>120</v>
      </c>
      <c r="J17" s="43"/>
      <c r="K17" s="41"/>
      <c r="L17" s="39"/>
      <c r="M17" s="62"/>
      <c r="N17" s="32" t="s">
        <v>683</v>
      </c>
      <c r="O17" s="41"/>
      <c r="P17" s="25" t="str">
        <f aca="false">IF(AND($B17="",$E17=""),"",IF(NOT(ISNUMBER($B17)),"日期无效",IF(ISNA(MATCH($C17,参数设置!$A$10:$A$12,0)),"公司无效",IF($D17="","缺批次号",IF(ISNA(MATCH($E17,记账规则!$A$36:$A$38,0)),"业务类型无效",IF(AND($E17&lt;&gt;"加工费用",ISNA(MATCH($F17,商品档案!$A$6:$A$65,0))),"商品编码无效",IF(AND($E17&lt;&gt;"加工费用",IFERROR(INDEX(商品档案!$E$6:$E$65,MATCH($F17,商品档案!$A$6:$A$65,0)),"")&lt;&gt;$C17),"商品不属于该公司",IF(AND($E17&lt;&gt;"加工费用",N($I17)=0),"数量为 0",IF(AND($E17="加工费用",N($J17)=0),"加工费金额为 0",IF(AND($E17="加工费用",ISNA(MATCH($K17,会计科目表!$B$6:$B$85,0))),"对方科目不存在",IF(YEAR($B17)&lt;&gt;参数设置!$B$5,"不在本会计年度","OK")))))))))))</f>
        <v>OK</v>
      </c>
      <c r="Q17" s="58" t="str">
        <f aca="false">IF($F17="","",IFERROR(INDEX(商品档案!$G$6:$G$65,MATCH($F17,商品档案!$A$6:$A$65,0)),""))</f>
        <v>原材料</v>
      </c>
      <c r="R17" s="59" t="n">
        <f aca="false">IF($F17="","",SUMIFS(进销存台账!$N$6:$N$65,进销存台账!$A$6:$A$65,$C17,进销存台账!$B$6:$B$65,$F17))</f>
        <v>1010.41095890411</v>
      </c>
      <c r="S17" s="60" t="n">
        <f aca="false">IF($E17="领用投入",ROUND(N($I17)*N($R17),2),IF($E17="加工费用",ROUND(N($J17),2),0))</f>
        <v>121249.32</v>
      </c>
      <c r="T17" s="60" t="n">
        <f aca="false">IF($E17&lt;&gt;"产成品入库",0,IF(SUMIFS($W$6:$W$305,$C$6:$C$305,$C17,$D$6:$D$305,$D17,$E$6:$E$305,"产成品入库")=0,0,ROUND(SUMIFS($S$6:$S$305,$C$6:$C$305,$C17,$D$6:$D$305,$D17)*N($X17)/SUMIFS($W$6:$W$305,$C$6:$C$305,$C17,$D$6:$D$305,$D17,$E$6:$E$305,"产成品入库"),2)-ROUND(SUMIFS($S$6:$S$305,$C$6:$C$305,$C17,$D$6:$D$305,$D17)*(N($X17)-N($W17))/SUMIFS($W$6:$W$305,$C$6:$C$305,$C17,$D$6:$D$305,$D17,$E$6:$E$305,"产成品入库"),2)))</f>
        <v>0</v>
      </c>
      <c r="U17" s="57" t="n">
        <f aca="false">IF($E17="","",ROUND($S17+$T17,2))</f>
        <v>121249.32</v>
      </c>
      <c r="V17" s="61" t="n">
        <f aca="false">IF($B17="","",YEAR($B17))</f>
        <v>2026</v>
      </c>
      <c r="W17" s="63" t="str">
        <f aca="false">IF($E17&lt;&gt;"产成品入库","",IF(N($M17)=0,1,N($M17)))</f>
        <v/>
      </c>
      <c r="X17" s="63" t="str">
        <f aca="false">IF($E17&lt;&gt;"产成品入库","",SUMIFS($W$6:$W17,$C$6:$C17,$C17,$D$6:$D17,$D17,$E$6:$E17,"产成品入库"))</f>
        <v/>
      </c>
    </row>
    <row r="18" customFormat="false" ht="15" hidden="false" customHeight="false" outlineLevel="0" collapsed="false">
      <c r="A18" s="53" t="n">
        <f aca="false">IF($B18="","",ROW()-5)</f>
        <v>13</v>
      </c>
      <c r="B18" s="54" t="n">
        <v>46203</v>
      </c>
      <c r="C18" s="33" t="s">
        <v>110</v>
      </c>
      <c r="D18" s="39" t="s">
        <v>682</v>
      </c>
      <c r="E18" s="33" t="s">
        <v>343</v>
      </c>
      <c r="F18" s="39"/>
      <c r="G18" s="48" t="str">
        <f aca="false">IF($F18="","",IFERROR(INDEX(商品档案!$B$6:$B$65,MATCH($F18,商品档案!$A$6:$A$65,0)),""))</f>
        <v/>
      </c>
      <c r="H18" s="55" t="str">
        <f aca="false">IF($F18="","",IFERROR(INDEX(商品档案!$D$6:$D$65,MATCH($F18,商品档案!$A$6:$A$65,0)),""))</f>
        <v/>
      </c>
      <c r="I18" s="49"/>
      <c r="J18" s="43" t="n">
        <v>42000</v>
      </c>
      <c r="K18" s="32" t="s">
        <v>138</v>
      </c>
      <c r="L18" s="33" t="s">
        <v>137</v>
      </c>
      <c r="M18" s="62"/>
      <c r="N18" s="32" t="s">
        <v>684</v>
      </c>
      <c r="O18" s="41"/>
      <c r="P18" s="25" t="str">
        <f aca="false">IF(AND($B18="",$E18=""),"",IF(NOT(ISNUMBER($B18)),"日期无效",IF(ISNA(MATCH($C18,参数设置!$A$10:$A$12,0)),"公司无效",IF($D18="","缺批次号",IF(ISNA(MATCH($E18,记账规则!$A$36:$A$38,0)),"业务类型无效",IF(AND($E18&lt;&gt;"加工费用",ISNA(MATCH($F18,商品档案!$A$6:$A$65,0))),"商品编码无效",IF(AND($E18&lt;&gt;"加工费用",IFERROR(INDEX(商品档案!$E$6:$E$65,MATCH($F18,商品档案!$A$6:$A$65,0)),"")&lt;&gt;$C18),"商品不属于该公司",IF(AND($E18&lt;&gt;"加工费用",N($I18)=0),"数量为 0",IF(AND($E18="加工费用",N($J18)=0),"加工费金额为 0",IF(AND($E18="加工费用",ISNA(MATCH($K18,会计科目表!$B$6:$B$85,0))),"对方科目不存在",IF(YEAR($B18)&lt;&gt;参数设置!$B$5,"不在本会计年度","OK")))))))))))</f>
        <v>OK</v>
      </c>
      <c r="Q18" s="58" t="str">
        <f aca="false">IF($F18="","",IFERROR(INDEX(商品档案!$G$6:$G$65,MATCH($F18,商品档案!$A$6:$A$65,0)),""))</f>
        <v/>
      </c>
      <c r="R18" s="59" t="str">
        <f aca="false">IF($F18="","",SUMIFS(进销存台账!$N$6:$N$65,进销存台账!$A$6:$A$65,$C18,进销存台账!$B$6:$B$65,$F18))</f>
        <v/>
      </c>
      <c r="S18" s="60" t="n">
        <f aca="false">IF($E18="领用投入",ROUND(N($I18)*N($R18),2),IF($E18="加工费用",ROUND(N($J18),2),0))</f>
        <v>42000</v>
      </c>
      <c r="T18" s="60" t="n">
        <f aca="false">IF($E18&lt;&gt;"产成品入库",0,IF(SUMIFS($W$6:$W$305,$C$6:$C$305,$C18,$D$6:$D$305,$D18,$E$6:$E$305,"产成品入库")=0,0,ROUND(SUMIFS($S$6:$S$305,$C$6:$C$305,$C18,$D$6:$D$305,$D18)*N($X18)/SUMIFS($W$6:$W$305,$C$6:$C$305,$C18,$D$6:$D$305,$D18,$E$6:$E$305,"产成品入库"),2)-ROUND(SUMIFS($S$6:$S$305,$C$6:$C$305,$C18,$D$6:$D$305,$D18)*(N($X18)-N($W18))/SUMIFS($W$6:$W$305,$C$6:$C$305,$C18,$D$6:$D$305,$D18,$E$6:$E$305,"产成品入库"),2)))</f>
        <v>0</v>
      </c>
      <c r="U18" s="57" t="n">
        <f aca="false">IF($E18="","",ROUND($S18+$T18,2))</f>
        <v>42000</v>
      </c>
      <c r="V18" s="61" t="n">
        <f aca="false">IF($B18="","",YEAR($B18))</f>
        <v>2026</v>
      </c>
      <c r="W18" s="63" t="str">
        <f aca="false">IF($E18&lt;&gt;"产成品入库","",IF(N($M18)=0,1,N($M18)))</f>
        <v/>
      </c>
      <c r="X18" s="63" t="str">
        <f aca="false">IF($E18&lt;&gt;"产成品入库","",SUMIFS($W$6:$W18,$C$6:$C18,$C18,$D$6:$D18,$D18,$E$6:$E18,"产成品入库"))</f>
        <v/>
      </c>
    </row>
    <row r="19" customFormat="false" ht="15" hidden="false" customHeight="false" outlineLevel="0" collapsed="false">
      <c r="A19" s="53" t="n">
        <f aca="false">IF($B19="","",ROW()-5)</f>
        <v>14</v>
      </c>
      <c r="B19" s="54" t="n">
        <v>46203</v>
      </c>
      <c r="C19" s="33" t="s">
        <v>110</v>
      </c>
      <c r="D19" s="39" t="s">
        <v>682</v>
      </c>
      <c r="E19" s="33" t="s">
        <v>343</v>
      </c>
      <c r="F19" s="39"/>
      <c r="G19" s="48" t="str">
        <f aca="false">IF($F19="","",IFERROR(INDEX(商品档案!$B$6:$B$65,MATCH($F19,商品档案!$A$6:$A$65,0)),""))</f>
        <v/>
      </c>
      <c r="H19" s="55" t="str">
        <f aca="false">IF($F19="","",IFERROR(INDEX(商品档案!$D$6:$D$65,MATCH($F19,商品档案!$A$6:$A$65,0)),""))</f>
        <v/>
      </c>
      <c r="I19" s="49"/>
      <c r="J19" s="43" t="n">
        <v>18000</v>
      </c>
      <c r="K19" s="32" t="s">
        <v>207</v>
      </c>
      <c r="L19" s="33" t="s">
        <v>140</v>
      </c>
      <c r="M19" s="62"/>
      <c r="N19" s="32" t="s">
        <v>685</v>
      </c>
      <c r="O19" s="41"/>
      <c r="P19" s="25" t="str">
        <f aca="false">IF(AND($B19="",$E19=""),"",IF(NOT(ISNUMBER($B19)),"日期无效",IF(ISNA(MATCH($C19,参数设置!$A$10:$A$12,0)),"公司无效",IF($D19="","缺批次号",IF(ISNA(MATCH($E19,记账规则!$A$36:$A$38,0)),"业务类型无效",IF(AND($E19&lt;&gt;"加工费用",ISNA(MATCH($F19,商品档案!$A$6:$A$65,0))),"商品编码无效",IF(AND($E19&lt;&gt;"加工费用",IFERROR(INDEX(商品档案!$E$6:$E$65,MATCH($F19,商品档案!$A$6:$A$65,0)),"")&lt;&gt;$C19),"商品不属于该公司",IF(AND($E19&lt;&gt;"加工费用",N($I19)=0),"数量为 0",IF(AND($E19="加工费用",N($J19)=0),"加工费金额为 0",IF(AND($E19="加工费用",ISNA(MATCH($K19,会计科目表!$B$6:$B$85,0))),"对方科目不存在",IF(YEAR($B19)&lt;&gt;参数设置!$B$5,"不在本会计年度","OK")))))))))))</f>
        <v>OK</v>
      </c>
      <c r="Q19" s="58" t="str">
        <f aca="false">IF($F19="","",IFERROR(INDEX(商品档案!$G$6:$G$65,MATCH($F19,商品档案!$A$6:$A$65,0)),""))</f>
        <v/>
      </c>
      <c r="R19" s="59" t="str">
        <f aca="false">IF($F19="","",SUMIFS(进销存台账!$N$6:$N$65,进销存台账!$A$6:$A$65,$C19,进销存台账!$B$6:$B$65,$F19))</f>
        <v/>
      </c>
      <c r="S19" s="60" t="n">
        <f aca="false">IF($E19="领用投入",ROUND(N($I19)*N($R19),2),IF($E19="加工费用",ROUND(N($J19),2),0))</f>
        <v>18000</v>
      </c>
      <c r="T19" s="60" t="n">
        <f aca="false">IF($E19&lt;&gt;"产成品入库",0,IF(SUMIFS($W$6:$W$305,$C$6:$C$305,$C19,$D$6:$D$305,$D19,$E$6:$E$305,"产成品入库")=0,0,ROUND(SUMIFS($S$6:$S$305,$C$6:$C$305,$C19,$D$6:$D$305,$D19)*N($X19)/SUMIFS($W$6:$W$305,$C$6:$C$305,$C19,$D$6:$D$305,$D19,$E$6:$E$305,"产成品入库"),2)-ROUND(SUMIFS($S$6:$S$305,$C$6:$C$305,$C19,$D$6:$D$305,$D19)*(N($X19)-N($W19))/SUMIFS($W$6:$W$305,$C$6:$C$305,$C19,$D$6:$D$305,$D19,$E$6:$E$305,"产成品入库"),2)))</f>
        <v>0</v>
      </c>
      <c r="U19" s="57" t="n">
        <f aca="false">IF($E19="","",ROUND($S19+$T19,2))</f>
        <v>18000</v>
      </c>
      <c r="V19" s="61" t="n">
        <f aca="false">IF($B19="","",YEAR($B19))</f>
        <v>2026</v>
      </c>
      <c r="W19" s="63" t="str">
        <f aca="false">IF($E19&lt;&gt;"产成品入库","",IF(N($M19)=0,1,N($M19)))</f>
        <v/>
      </c>
      <c r="X19" s="63" t="str">
        <f aca="false">IF($E19&lt;&gt;"产成品入库","",SUMIFS($W$6:$W19,$C$6:$C19,$C19,$D$6:$D19,$D19,$E$6:$E19,"产成品入库"))</f>
        <v/>
      </c>
    </row>
    <row r="20" customFormat="false" ht="15" hidden="false" customHeight="false" outlineLevel="0" collapsed="false">
      <c r="A20" s="53" t="n">
        <f aca="false">IF($B20="","",ROW()-5)</f>
        <v>15</v>
      </c>
      <c r="B20" s="54" t="n">
        <v>46203</v>
      </c>
      <c r="C20" s="33" t="s">
        <v>110</v>
      </c>
      <c r="D20" s="39" t="s">
        <v>682</v>
      </c>
      <c r="E20" s="33" t="s">
        <v>345</v>
      </c>
      <c r="F20" s="39" t="s">
        <v>391</v>
      </c>
      <c r="G20" s="48" t="str">
        <f aca="false">IF($F20="","",IFERROR(INDEX(商品档案!$B$6:$B$65,MATCH($F20,商品档案!$A$6:$A$65,0)),""))</f>
        <v>*木制品*木板</v>
      </c>
      <c r="H20" s="55" t="str">
        <f aca="false">IF($F20="","",IFERROR(INDEX(商品档案!$D$6:$D$65,MATCH($F20,商品档案!$A$6:$A$65,0)),""))</f>
        <v>张</v>
      </c>
      <c r="I20" s="49" t="n">
        <v>1800</v>
      </c>
      <c r="J20" s="43"/>
      <c r="K20" s="41"/>
      <c r="L20" s="39"/>
      <c r="M20" s="62" t="n">
        <v>1</v>
      </c>
      <c r="N20" s="32" t="s">
        <v>686</v>
      </c>
      <c r="O20" s="41"/>
      <c r="P20" s="25" t="str">
        <f aca="false">IF(AND($B20="",$E20=""),"",IF(NOT(ISNUMBER($B20)),"日期无效",IF(ISNA(MATCH($C20,参数设置!$A$10:$A$12,0)),"公司无效",IF($D20="","缺批次号",IF(ISNA(MATCH($E20,记账规则!$A$36:$A$38,0)),"业务类型无效",IF(AND($E20&lt;&gt;"加工费用",ISNA(MATCH($F20,商品档案!$A$6:$A$65,0))),"商品编码无效",IF(AND($E20&lt;&gt;"加工费用",IFERROR(INDEX(商品档案!$E$6:$E$65,MATCH($F20,商品档案!$A$6:$A$65,0)),"")&lt;&gt;$C20),"商品不属于该公司",IF(AND($E20&lt;&gt;"加工费用",N($I20)=0),"数量为 0",IF(AND($E20="加工费用",N($J20)=0),"加工费金额为 0",IF(AND($E20="加工费用",ISNA(MATCH($K20,会计科目表!$B$6:$B$85,0))),"对方科目不存在",IF(YEAR($B20)&lt;&gt;参数设置!$B$5,"不在本会计年度","OK")))))))))))</f>
        <v>OK</v>
      </c>
      <c r="Q20" s="58" t="str">
        <f aca="false">IF($F20="","",IFERROR(INDEX(商品档案!$G$6:$G$65,MATCH($F20,商品档案!$A$6:$A$65,0)),""))</f>
        <v>库存商品</v>
      </c>
      <c r="R20" s="59" t="n">
        <f aca="false">IF($F20="","",SUMIFS(进销存台账!$N$6:$N$65,进销存台账!$A$6:$A$65,$C20,进销存台账!$B$6:$B$65,$F20))</f>
        <v>99.2497384615385</v>
      </c>
      <c r="S20" s="60" t="n">
        <f aca="false">IF($E20="领用投入",ROUND(N($I20)*N($R20),2),IF($E20="加工费用",ROUND(N($J20),2),0))</f>
        <v>0</v>
      </c>
      <c r="T20" s="60" t="n">
        <f aca="false">IF($E20&lt;&gt;"产成品入库",0,IF(SUMIFS($W$6:$W$305,$C$6:$C$305,$C20,$D$6:$D$305,$D20,$E$6:$E$305,"产成品入库")=0,0,ROUND(SUMIFS($S$6:$S$305,$C$6:$C$305,$C20,$D$6:$D$305,$D20)*N($X20)/SUMIFS($W$6:$W$305,$C$6:$C$305,$C20,$D$6:$D$305,$D20,$E$6:$E$305,"产成品入库"),2)-ROUND(SUMIFS($S$6:$S$305,$C$6:$C$305,$C20,$D$6:$D$305,$D20)*(N($X20)-N($W20))/SUMIFS($W$6:$W$305,$C$6:$C$305,$C20,$D$6:$D$305,$D20,$E$6:$E$305,"产成品入库"),2)))</f>
        <v>181249.32</v>
      </c>
      <c r="U20" s="57" t="n">
        <f aca="false">IF($E20="","",ROUND($S20+$T20,2))</f>
        <v>181249.32</v>
      </c>
      <c r="V20" s="61" t="n">
        <f aca="false">IF($B20="","",YEAR($B20))</f>
        <v>2026</v>
      </c>
      <c r="W20" s="63" t="n">
        <f aca="false">IF($E20&lt;&gt;"产成品入库","",IF(N($M20)=0,1,N($M20)))</f>
        <v>1</v>
      </c>
      <c r="X20" s="63" t="n">
        <f aca="false">IF($E20&lt;&gt;"产成品入库","",SUMIFS($W$6:$W20,$C$6:$C20,$C20,$D$6:$D20,$D20,$E$6:$E20,"产成品入库"))</f>
        <v>1</v>
      </c>
    </row>
    <row r="21" customFormat="false" ht="15" hidden="false" customHeight="false" outlineLevel="0" collapsed="false">
      <c r="A21" s="53" t="n">
        <f aca="false">IF($B21="","",ROW()-5)</f>
        <v>16</v>
      </c>
      <c r="B21" s="54" t="n">
        <v>46223</v>
      </c>
      <c r="C21" s="33" t="s">
        <v>110</v>
      </c>
      <c r="D21" s="39" t="s">
        <v>687</v>
      </c>
      <c r="E21" s="33" t="s">
        <v>340</v>
      </c>
      <c r="F21" s="39" t="s">
        <v>408</v>
      </c>
      <c r="G21" s="48" t="str">
        <f aca="false">IF($F21="","",IFERROR(INDEX(商品档案!$B$6:$B$65,MATCH($F21,商品档案!$A$6:$A$65,0)),""))</f>
        <v>原木</v>
      </c>
      <c r="H21" s="55" t="str">
        <f aca="false">IF($F21="","",IFERROR(INDEX(商品档案!$D$6:$D$65,MATCH($F21,商品档案!$A$6:$A$65,0)),""))</f>
        <v>立方米</v>
      </c>
      <c r="I21" s="49" t="n">
        <v>60</v>
      </c>
      <c r="J21" s="43"/>
      <c r="K21" s="41"/>
      <c r="L21" s="39"/>
      <c r="M21" s="62"/>
      <c r="N21" s="32" t="s">
        <v>683</v>
      </c>
      <c r="O21" s="41"/>
      <c r="P21" s="25" t="str">
        <f aca="false">IF(AND($B21="",$E21=""),"",IF(NOT(ISNUMBER($B21)),"日期无效",IF(ISNA(MATCH($C21,参数设置!$A$10:$A$12,0)),"公司无效",IF($D21="","缺批次号",IF(ISNA(MATCH($E21,记账规则!$A$36:$A$38,0)),"业务类型无效",IF(AND($E21&lt;&gt;"加工费用",ISNA(MATCH($F21,商品档案!$A$6:$A$65,0))),"商品编码无效",IF(AND($E21&lt;&gt;"加工费用",IFERROR(INDEX(商品档案!$E$6:$E$65,MATCH($F21,商品档案!$A$6:$A$65,0)),"")&lt;&gt;$C21),"商品不属于该公司",IF(AND($E21&lt;&gt;"加工费用",N($I21)=0),"数量为 0",IF(AND($E21="加工费用",N($J21)=0),"加工费金额为 0",IF(AND($E21="加工费用",ISNA(MATCH($K21,会计科目表!$B$6:$B$85,0))),"对方科目不存在",IF(YEAR($B21)&lt;&gt;参数设置!$B$5,"不在本会计年度","OK")))))))))))</f>
        <v>OK</v>
      </c>
      <c r="Q21" s="58" t="str">
        <f aca="false">IF($F21="","",IFERROR(INDEX(商品档案!$G$6:$G$65,MATCH($F21,商品档案!$A$6:$A$65,0)),""))</f>
        <v>原材料</v>
      </c>
      <c r="R21" s="59" t="n">
        <f aca="false">IF($F21="","",SUMIFS(进销存台账!$N$6:$N$65,进销存台账!$A$6:$A$65,$C21,进销存台账!$B$6:$B$65,$F21))</f>
        <v>1010.41095890411</v>
      </c>
      <c r="S21" s="60" t="n">
        <f aca="false">IF($E21="领用投入",ROUND(N($I21)*N($R21),2),IF($E21="加工费用",ROUND(N($J21),2),0))</f>
        <v>60624.66</v>
      </c>
      <c r="T21" s="60" t="n">
        <f aca="false">IF($E21&lt;&gt;"产成品入库",0,IF(SUMIFS($W$6:$W$305,$C$6:$C$305,$C21,$D$6:$D$305,$D21,$E$6:$E$305,"产成品入库")=0,0,ROUND(SUMIFS($S$6:$S$305,$C$6:$C$305,$C21,$D$6:$D$305,$D21)*N($X21)/SUMIFS($W$6:$W$305,$C$6:$C$305,$C21,$D$6:$D$305,$D21,$E$6:$E$305,"产成品入库"),2)-ROUND(SUMIFS($S$6:$S$305,$C$6:$C$305,$C21,$D$6:$D$305,$D21)*(N($X21)-N($W21))/SUMIFS($W$6:$W$305,$C$6:$C$305,$C21,$D$6:$D$305,$D21,$E$6:$E$305,"产成品入库"),2)))</f>
        <v>0</v>
      </c>
      <c r="U21" s="57" t="n">
        <f aca="false">IF($E21="","",ROUND($S21+$T21,2))</f>
        <v>60624.66</v>
      </c>
      <c r="V21" s="61" t="n">
        <f aca="false">IF($B21="","",YEAR($B21))</f>
        <v>2026</v>
      </c>
      <c r="W21" s="63" t="str">
        <f aca="false">IF($E21&lt;&gt;"产成品入库","",IF(N($M21)=0,1,N($M21)))</f>
        <v/>
      </c>
      <c r="X21" s="63" t="str">
        <f aca="false">IF($E21&lt;&gt;"产成品入库","",SUMIFS($W$6:$W21,$C$6:$C21,$C21,$D$6:$D21,$D21,$E$6:$E21,"产成品入库"))</f>
        <v/>
      </c>
    </row>
    <row r="22" customFormat="false" ht="15" hidden="false" customHeight="false" outlineLevel="0" collapsed="false">
      <c r="A22" s="53" t="n">
        <f aca="false">IF($B22="","",ROW()-5)</f>
        <v>17</v>
      </c>
      <c r="B22" s="54" t="n">
        <v>46228</v>
      </c>
      <c r="C22" s="33" t="s">
        <v>110</v>
      </c>
      <c r="D22" s="39" t="s">
        <v>687</v>
      </c>
      <c r="E22" s="33" t="s">
        <v>343</v>
      </c>
      <c r="F22" s="39"/>
      <c r="G22" s="48" t="str">
        <f aca="false">IF($F22="","",IFERROR(INDEX(商品档案!$B$6:$B$65,MATCH($F22,商品档案!$A$6:$A$65,0)),""))</f>
        <v/>
      </c>
      <c r="H22" s="55" t="str">
        <f aca="false">IF($F22="","",IFERROR(INDEX(商品档案!$D$6:$D$65,MATCH($F22,商品档案!$A$6:$A$65,0)),""))</f>
        <v/>
      </c>
      <c r="I22" s="49"/>
      <c r="J22" s="43" t="n">
        <v>16000</v>
      </c>
      <c r="K22" s="32" t="s">
        <v>138</v>
      </c>
      <c r="L22" s="33" t="s">
        <v>137</v>
      </c>
      <c r="M22" s="62"/>
      <c r="N22" s="32" t="s">
        <v>684</v>
      </c>
      <c r="O22" s="41"/>
      <c r="P22" s="25" t="str">
        <f aca="false">IF(AND($B22="",$E22=""),"",IF(NOT(ISNUMBER($B22)),"日期无效",IF(ISNA(MATCH($C22,参数设置!$A$10:$A$12,0)),"公司无效",IF($D22="","缺批次号",IF(ISNA(MATCH($E22,记账规则!$A$36:$A$38,0)),"业务类型无效",IF(AND($E22&lt;&gt;"加工费用",ISNA(MATCH($F22,商品档案!$A$6:$A$65,0))),"商品编码无效",IF(AND($E22&lt;&gt;"加工费用",IFERROR(INDEX(商品档案!$E$6:$E$65,MATCH($F22,商品档案!$A$6:$A$65,0)),"")&lt;&gt;$C22),"商品不属于该公司",IF(AND($E22&lt;&gt;"加工费用",N($I22)=0),"数量为 0",IF(AND($E22="加工费用",N($J22)=0),"加工费金额为 0",IF(AND($E22="加工费用",ISNA(MATCH($K22,会计科目表!$B$6:$B$85,0))),"对方科目不存在",IF(YEAR($B22)&lt;&gt;参数设置!$B$5,"不在本会计年度","OK")))))))))))</f>
        <v>OK</v>
      </c>
      <c r="Q22" s="58" t="str">
        <f aca="false">IF($F22="","",IFERROR(INDEX(商品档案!$G$6:$G$65,MATCH($F22,商品档案!$A$6:$A$65,0)),""))</f>
        <v/>
      </c>
      <c r="R22" s="59" t="str">
        <f aca="false">IF($F22="","",SUMIFS(进销存台账!$N$6:$N$65,进销存台账!$A$6:$A$65,$C22,进销存台账!$B$6:$B$65,$F22))</f>
        <v/>
      </c>
      <c r="S22" s="60" t="n">
        <f aca="false">IF($E22="领用投入",ROUND(N($I22)*N($R22),2),IF($E22="加工费用",ROUND(N($J22),2),0))</f>
        <v>16000</v>
      </c>
      <c r="T22" s="60" t="n">
        <f aca="false">IF($E22&lt;&gt;"产成品入库",0,IF(SUMIFS($W$6:$W$305,$C$6:$C$305,$C22,$D$6:$D$305,$D22,$E$6:$E$305,"产成品入库")=0,0,ROUND(SUMIFS($S$6:$S$305,$C$6:$C$305,$C22,$D$6:$D$305,$D22)*N($X22)/SUMIFS($W$6:$W$305,$C$6:$C$305,$C22,$D$6:$D$305,$D22,$E$6:$E$305,"产成品入库"),2)-ROUND(SUMIFS($S$6:$S$305,$C$6:$C$305,$C22,$D$6:$D$305,$D22)*(N($X22)-N($W22))/SUMIFS($W$6:$W$305,$C$6:$C$305,$C22,$D$6:$D$305,$D22,$E$6:$E$305,"产成品入库"),2)))</f>
        <v>0</v>
      </c>
      <c r="U22" s="57" t="n">
        <f aca="false">IF($E22="","",ROUND($S22+$T22,2))</f>
        <v>16000</v>
      </c>
      <c r="V22" s="61" t="n">
        <f aca="false">IF($B22="","",YEAR($B22))</f>
        <v>2026</v>
      </c>
      <c r="W22" s="63" t="str">
        <f aca="false">IF($E22&lt;&gt;"产成品入库","",IF(N($M22)=0,1,N($M22)))</f>
        <v/>
      </c>
      <c r="X22" s="63" t="str">
        <f aca="false">IF($E22&lt;&gt;"产成品入库","",SUMIFS($W$6:$W22,$C$6:$C22,$C22,$D$6:$D22,$D22,$E$6:$E22,"产成品入库"))</f>
        <v/>
      </c>
    </row>
    <row r="23" customFormat="false" ht="25.35" hidden="false" customHeight="false" outlineLevel="0" collapsed="false">
      <c r="A23" s="53" t="n">
        <f aca="false">IF($B23="","",ROW()-5)</f>
        <v>18</v>
      </c>
      <c r="B23" s="54" t="n">
        <v>46228</v>
      </c>
      <c r="C23" s="33" t="s">
        <v>110</v>
      </c>
      <c r="D23" s="39" t="s">
        <v>687</v>
      </c>
      <c r="E23" s="33" t="s">
        <v>345</v>
      </c>
      <c r="F23" s="39" t="s">
        <v>396</v>
      </c>
      <c r="G23" s="48" t="str">
        <f aca="false">IF($F23="","",IFERROR(INDEX(商品档案!$B$6:$B$65,MATCH($F23,商品档案!$A$6:$A$65,0)),""))</f>
        <v>*木制品*模板</v>
      </c>
      <c r="H23" s="55" t="str">
        <f aca="false">IF($F23="","",IFERROR(INDEX(商品档案!$D$6:$D$65,MATCH($F23,商品档案!$A$6:$A$65,0)),""))</f>
        <v>张</v>
      </c>
      <c r="I23" s="49" t="n">
        <v>600</v>
      </c>
      <c r="J23" s="43"/>
      <c r="K23" s="41"/>
      <c r="L23" s="39"/>
      <c r="M23" s="62" t="n">
        <v>3</v>
      </c>
      <c r="N23" s="32" t="s">
        <v>688</v>
      </c>
      <c r="O23" s="41"/>
      <c r="P23" s="25" t="str">
        <f aca="false">IF(AND($B23="",$E23=""),"",IF(NOT(ISNUMBER($B23)),"日期无效",IF(ISNA(MATCH($C23,参数设置!$A$10:$A$12,0)),"公司无效",IF($D23="","缺批次号",IF(ISNA(MATCH($E23,记账规则!$A$36:$A$38,0)),"业务类型无效",IF(AND($E23&lt;&gt;"加工费用",ISNA(MATCH($F23,商品档案!$A$6:$A$65,0))),"商品编码无效",IF(AND($E23&lt;&gt;"加工费用",IFERROR(INDEX(商品档案!$E$6:$E$65,MATCH($F23,商品档案!$A$6:$A$65,0)),"")&lt;&gt;$C23),"商品不属于该公司",IF(AND($E23&lt;&gt;"加工费用",N($I23)=0),"数量为 0",IF(AND($E23="加工费用",N($J23)=0),"加工费金额为 0",IF(AND($E23="加工费用",ISNA(MATCH($K23,会计科目表!$B$6:$B$85,0))),"对方科目不存在",IF(YEAR($B23)&lt;&gt;参数设置!$B$5,"不在本会计年度","OK")))))))))))</f>
        <v>OK</v>
      </c>
      <c r="Q23" s="58" t="str">
        <f aca="false">IF($F23="","",IFERROR(INDEX(商品档案!$G$6:$G$65,MATCH($F23,商品档案!$A$6:$A$65,0)),""))</f>
        <v>库存商品</v>
      </c>
      <c r="R23" s="59" t="n">
        <f aca="false">IF($F23="","",SUMIFS(进销存台账!$N$6:$N$65,进销存台账!$A$6:$A$65,$C23,进销存台账!$B$6:$B$65,$F23))</f>
        <v>94.5205555555556</v>
      </c>
      <c r="S23" s="60" t="n">
        <f aca="false">IF($E23="领用投入",ROUND(N($I23)*N($R23),2),IF($E23="加工费用",ROUND(N($J23),2),0))</f>
        <v>0</v>
      </c>
      <c r="T23" s="60" t="n">
        <f aca="false">IF($E23&lt;&gt;"产成品入库",0,IF(SUMIFS($W$6:$W$305,$C$6:$C$305,$C23,$D$6:$D$305,$D23,$E$6:$E$305,"产成品入库")=0,0,ROUND(SUMIFS($S$6:$S$305,$C$6:$C$305,$C23,$D$6:$D$305,$D23)*N($X23)/SUMIFS($W$6:$W$305,$C$6:$C$305,$C23,$D$6:$D$305,$D23,$E$6:$E$305,"产成品入库"),2)-ROUND(SUMIFS($S$6:$S$305,$C$6:$C$305,$C23,$D$6:$D$305,$D23)*(N($X23)-N($W23))/SUMIFS($W$6:$W$305,$C$6:$C$305,$C23,$D$6:$D$305,$D23,$E$6:$E$305,"产成品入库"),2)))</f>
        <v>57468.5</v>
      </c>
      <c r="U23" s="57" t="n">
        <f aca="false">IF($E23="","",ROUND($S23+$T23,2))</f>
        <v>57468.5</v>
      </c>
      <c r="V23" s="61" t="n">
        <f aca="false">IF($B23="","",YEAR($B23))</f>
        <v>2026</v>
      </c>
      <c r="W23" s="63" t="n">
        <f aca="false">IF($E23&lt;&gt;"产成品入库","",IF(N($M23)=0,1,N($M23)))</f>
        <v>3</v>
      </c>
      <c r="X23" s="63" t="n">
        <f aca="false">IF($E23&lt;&gt;"产成品入库","",SUMIFS($W$6:$W23,$C$6:$C23,$C23,$D$6:$D23,$D23,$E$6:$E23,"产成品入库"))</f>
        <v>3</v>
      </c>
    </row>
    <row r="24" customFormat="false" ht="15" hidden="false" customHeight="false" outlineLevel="0" collapsed="false">
      <c r="A24" s="53" t="n">
        <f aca="false">IF($B24="","",ROW()-5)</f>
        <v>19</v>
      </c>
      <c r="B24" s="54" t="n">
        <v>46228</v>
      </c>
      <c r="C24" s="33" t="s">
        <v>110</v>
      </c>
      <c r="D24" s="39" t="s">
        <v>687</v>
      </c>
      <c r="E24" s="33" t="s">
        <v>345</v>
      </c>
      <c r="F24" s="39" t="s">
        <v>405</v>
      </c>
      <c r="G24" s="48" t="str">
        <f aca="false">IF($F24="","",IFERROR(INDEX(商品档案!$B$6:$B$65,MATCH($F24,商品档案!$A$6:$A$65,0)),""))</f>
        <v>*林业产品*建筑木方料</v>
      </c>
      <c r="H24" s="55" t="str">
        <f aca="false">IF($F24="","",IFERROR(INDEX(商品档案!$D$6:$D$65,MATCH($F24,商品档案!$A$6:$A$65,0)),""))</f>
        <v>立方米</v>
      </c>
      <c r="I24" s="49" t="n">
        <v>20</v>
      </c>
      <c r="J24" s="43"/>
      <c r="K24" s="41"/>
      <c r="L24" s="39"/>
      <c r="M24" s="62" t="n">
        <v>1</v>
      </c>
      <c r="N24" s="32" t="s">
        <v>689</v>
      </c>
      <c r="O24" s="41"/>
      <c r="P24" s="25" t="str">
        <f aca="false">IF(AND($B24="",$E24=""),"",IF(NOT(ISNUMBER($B24)),"日期无效",IF(ISNA(MATCH($C24,参数设置!$A$10:$A$12,0)),"公司无效",IF($D24="","缺批次号",IF(ISNA(MATCH($E24,记账规则!$A$36:$A$38,0)),"业务类型无效",IF(AND($E24&lt;&gt;"加工费用",ISNA(MATCH($F24,商品档案!$A$6:$A$65,0))),"商品编码无效",IF(AND($E24&lt;&gt;"加工费用",IFERROR(INDEX(商品档案!$E$6:$E$65,MATCH($F24,商品档案!$A$6:$A$65,0)),"")&lt;&gt;$C24),"商品不属于该公司",IF(AND($E24&lt;&gt;"加工费用",N($I24)=0),"数量为 0",IF(AND($E24="加工费用",N($J24)=0),"加工费金额为 0",IF(AND($E24="加工费用",ISNA(MATCH($K24,会计科目表!$B$6:$B$85,0))),"对方科目不存在",IF(YEAR($B24)&lt;&gt;参数设置!$B$5,"不在本会计年度","OK")))))))))))</f>
        <v>OK</v>
      </c>
      <c r="Q24" s="58" t="str">
        <f aca="false">IF($F24="","",IFERROR(INDEX(商品档案!$G$6:$G$65,MATCH($F24,商品档案!$A$6:$A$65,0)),""))</f>
        <v>库存商品</v>
      </c>
      <c r="R24" s="59" t="n">
        <f aca="false">IF($F24="","",SUMIFS(进销存台账!$N$6:$N$65,进销存台账!$A$6:$A$65,$C24,进销存台账!$B$6:$B$65,$F24))</f>
        <v>957.808</v>
      </c>
      <c r="S24" s="60" t="n">
        <f aca="false">IF($E24="领用投入",ROUND(N($I24)*N($R24),2),IF($E24="加工费用",ROUND(N($J24),2),0))</f>
        <v>0</v>
      </c>
      <c r="T24" s="60" t="n">
        <f aca="false">IF($E24&lt;&gt;"产成品入库",0,IF(SUMIFS($W$6:$W$305,$C$6:$C$305,$C24,$D$6:$D$305,$D24,$E$6:$E$305,"产成品入库")=0,0,ROUND(SUMIFS($S$6:$S$305,$C$6:$C$305,$C24,$D$6:$D$305,$D24)*N($X24)/SUMIFS($W$6:$W$305,$C$6:$C$305,$C24,$D$6:$D$305,$D24,$E$6:$E$305,"产成品入库"),2)-ROUND(SUMIFS($S$6:$S$305,$C$6:$C$305,$C24,$D$6:$D$305,$D24)*(N($X24)-N($W24))/SUMIFS($W$6:$W$305,$C$6:$C$305,$C24,$D$6:$D$305,$D24,$E$6:$E$305,"产成品入库"),2)))</f>
        <v>19156.16</v>
      </c>
      <c r="U24" s="57" t="n">
        <f aca="false">IF($E24="","",ROUND($S24+$T24,2))</f>
        <v>19156.16</v>
      </c>
      <c r="V24" s="61" t="n">
        <f aca="false">IF($B24="","",YEAR($B24))</f>
        <v>2026</v>
      </c>
      <c r="W24" s="63" t="n">
        <f aca="false">IF($E24&lt;&gt;"产成品入库","",IF(N($M24)=0,1,N($M24)))</f>
        <v>1</v>
      </c>
      <c r="X24" s="63" t="n">
        <f aca="false">IF($E24&lt;&gt;"产成品入库","",SUMIFS($W$6:$W24,$C$6:$C24,$C24,$D$6:$D24,$D24,$E$6:$E24,"产成品入库"))</f>
        <v>4</v>
      </c>
    </row>
    <row r="25" customFormat="false" ht="15" hidden="false" customHeight="false" outlineLevel="0" collapsed="false">
      <c r="A25" s="53" t="n">
        <f aca="false">IF($B25="","",ROW()-5)</f>
        <v>20</v>
      </c>
      <c r="B25" s="54" t="n">
        <v>46239</v>
      </c>
      <c r="C25" s="33" t="s">
        <v>110</v>
      </c>
      <c r="D25" s="39" t="s">
        <v>690</v>
      </c>
      <c r="E25" s="33" t="s">
        <v>340</v>
      </c>
      <c r="F25" s="39" t="s">
        <v>408</v>
      </c>
      <c r="G25" s="48" t="str">
        <f aca="false">IF($F25="","",IFERROR(INDEX(商品档案!$B$6:$B$65,MATCH($F25,商品档案!$A$6:$A$65,0)),""))</f>
        <v>原木</v>
      </c>
      <c r="H25" s="55" t="str">
        <f aca="false">IF($F25="","",IFERROR(INDEX(商品档案!$D$6:$D$65,MATCH($F25,商品档案!$A$6:$A$65,0)),""))</f>
        <v>立方米</v>
      </c>
      <c r="I25" s="49" t="n">
        <v>60</v>
      </c>
      <c r="J25" s="43"/>
      <c r="K25" s="41"/>
      <c r="L25" s="39"/>
      <c r="M25" s="62"/>
      <c r="N25" s="32" t="s">
        <v>683</v>
      </c>
      <c r="O25" s="41"/>
      <c r="P25" s="25" t="str">
        <f aca="false">IF(AND($B25="",$E25=""),"",IF(NOT(ISNUMBER($B25)),"日期无效",IF(ISNA(MATCH($C25,参数设置!$A$10:$A$12,0)),"公司无效",IF($D25="","缺批次号",IF(ISNA(MATCH($E25,记账规则!$A$36:$A$38,0)),"业务类型无效",IF(AND($E25&lt;&gt;"加工费用",ISNA(MATCH($F25,商品档案!$A$6:$A$65,0))),"商品编码无效",IF(AND($E25&lt;&gt;"加工费用",IFERROR(INDEX(商品档案!$E$6:$E$65,MATCH($F25,商品档案!$A$6:$A$65,0)),"")&lt;&gt;$C25),"商品不属于该公司",IF(AND($E25&lt;&gt;"加工费用",N($I25)=0),"数量为 0",IF(AND($E25="加工费用",N($J25)=0),"加工费金额为 0",IF(AND($E25="加工费用",ISNA(MATCH($K25,会计科目表!$B$6:$B$85,0))),"对方科目不存在",IF(YEAR($B25)&lt;&gt;参数设置!$B$5,"不在本会计年度","OK")))))))))))</f>
        <v>OK</v>
      </c>
      <c r="Q25" s="58" t="str">
        <f aca="false">IF($F25="","",IFERROR(INDEX(商品档案!$G$6:$G$65,MATCH($F25,商品档案!$A$6:$A$65,0)),""))</f>
        <v>原材料</v>
      </c>
      <c r="R25" s="59" t="n">
        <f aca="false">IF($F25="","",SUMIFS(进销存台账!$N$6:$N$65,进销存台账!$A$6:$A$65,$C25,进销存台账!$B$6:$B$65,$F25))</f>
        <v>1010.41095890411</v>
      </c>
      <c r="S25" s="60" t="n">
        <f aca="false">IF($E25="领用投入",ROUND(N($I25)*N($R25),2),IF($E25="加工费用",ROUND(N($J25),2),0))</f>
        <v>60624.66</v>
      </c>
      <c r="T25" s="60" t="n">
        <f aca="false">IF($E25&lt;&gt;"产成品入库",0,IF(SUMIFS($W$6:$W$305,$C$6:$C$305,$C25,$D$6:$D$305,$D25,$E$6:$E$305,"产成品入库")=0,0,ROUND(SUMIFS($S$6:$S$305,$C$6:$C$305,$C25,$D$6:$D$305,$D25)*N($X25)/SUMIFS($W$6:$W$305,$C$6:$C$305,$C25,$D$6:$D$305,$D25,$E$6:$E$305,"产成品入库"),2)-ROUND(SUMIFS($S$6:$S$305,$C$6:$C$305,$C25,$D$6:$D$305,$D25)*(N($X25)-N($W25))/SUMIFS($W$6:$W$305,$C$6:$C$305,$C25,$D$6:$D$305,$D25,$E$6:$E$305,"产成品入库"),2)))</f>
        <v>0</v>
      </c>
      <c r="U25" s="57" t="n">
        <f aca="false">IF($E25="","",ROUND($S25+$T25,2))</f>
        <v>60624.66</v>
      </c>
      <c r="V25" s="61" t="n">
        <f aca="false">IF($B25="","",YEAR($B25))</f>
        <v>2026</v>
      </c>
      <c r="W25" s="63" t="str">
        <f aca="false">IF($E25&lt;&gt;"产成品入库","",IF(N($M25)=0,1,N($M25)))</f>
        <v/>
      </c>
      <c r="X25" s="63" t="str">
        <f aca="false">IF($E25&lt;&gt;"产成品入库","",SUMIFS($W$6:$W25,$C$6:$C25,$C25,$D$6:$D25,$D25,$E$6:$E25,"产成品入库"))</f>
        <v/>
      </c>
    </row>
    <row r="26" customFormat="false" ht="15" hidden="false" customHeight="false" outlineLevel="0" collapsed="false">
      <c r="A26" s="53" t="n">
        <f aca="false">IF($B26="","",ROW()-5)</f>
        <v>21</v>
      </c>
      <c r="B26" s="54" t="n">
        <v>46244</v>
      </c>
      <c r="C26" s="33" t="s">
        <v>110</v>
      </c>
      <c r="D26" s="39" t="s">
        <v>690</v>
      </c>
      <c r="E26" s="33" t="s">
        <v>343</v>
      </c>
      <c r="F26" s="39"/>
      <c r="G26" s="48" t="str">
        <f aca="false">IF($F26="","",IFERROR(INDEX(商品档案!$B$6:$B$65,MATCH($F26,商品档案!$A$6:$A$65,0)),""))</f>
        <v/>
      </c>
      <c r="H26" s="55" t="str">
        <f aca="false">IF($F26="","",IFERROR(INDEX(商品档案!$D$6:$D$65,MATCH($F26,商品档案!$A$6:$A$65,0)),""))</f>
        <v/>
      </c>
      <c r="I26" s="49"/>
      <c r="J26" s="43" t="n">
        <v>11000</v>
      </c>
      <c r="K26" s="32" t="s">
        <v>138</v>
      </c>
      <c r="L26" s="33" t="s">
        <v>137</v>
      </c>
      <c r="M26" s="62"/>
      <c r="N26" s="32" t="s">
        <v>684</v>
      </c>
      <c r="O26" s="41"/>
      <c r="P26" s="25" t="str">
        <f aca="false">IF(AND($B26="",$E26=""),"",IF(NOT(ISNUMBER($B26)),"日期无效",IF(ISNA(MATCH($C26,参数设置!$A$10:$A$12,0)),"公司无效",IF($D26="","缺批次号",IF(ISNA(MATCH($E26,记账规则!$A$36:$A$38,0)),"业务类型无效",IF(AND($E26&lt;&gt;"加工费用",ISNA(MATCH($F26,商品档案!$A$6:$A$65,0))),"商品编码无效",IF(AND($E26&lt;&gt;"加工费用",IFERROR(INDEX(商品档案!$E$6:$E$65,MATCH($F26,商品档案!$A$6:$A$65,0)),"")&lt;&gt;$C26),"商品不属于该公司",IF(AND($E26&lt;&gt;"加工费用",N($I26)=0),"数量为 0",IF(AND($E26="加工费用",N($J26)=0),"加工费金额为 0",IF(AND($E26="加工费用",ISNA(MATCH($K26,会计科目表!$B$6:$B$85,0))),"对方科目不存在",IF(YEAR($B26)&lt;&gt;参数设置!$B$5,"不在本会计年度","OK")))))))))))</f>
        <v>OK</v>
      </c>
      <c r="Q26" s="58" t="str">
        <f aca="false">IF($F26="","",IFERROR(INDEX(商品档案!$G$6:$G$65,MATCH($F26,商品档案!$A$6:$A$65,0)),""))</f>
        <v/>
      </c>
      <c r="R26" s="59" t="str">
        <f aca="false">IF($F26="","",SUMIFS(进销存台账!$N$6:$N$65,进销存台账!$A$6:$A$65,$C26,进销存台账!$B$6:$B$65,$F26))</f>
        <v/>
      </c>
      <c r="S26" s="60" t="n">
        <f aca="false">IF($E26="领用投入",ROUND(N($I26)*N($R26),2),IF($E26="加工费用",ROUND(N($J26),2),0))</f>
        <v>11000</v>
      </c>
      <c r="T26" s="60" t="n">
        <f aca="false">IF($E26&lt;&gt;"产成品入库",0,IF(SUMIFS($W$6:$W$305,$C$6:$C$305,$C26,$D$6:$D$305,$D26,$E$6:$E$305,"产成品入库")=0,0,ROUND(SUMIFS($S$6:$S$305,$C$6:$C$305,$C26,$D$6:$D$305,$D26)*N($X26)/SUMIFS($W$6:$W$305,$C$6:$C$305,$C26,$D$6:$D$305,$D26,$E$6:$E$305,"产成品入库"),2)-ROUND(SUMIFS($S$6:$S$305,$C$6:$C$305,$C26,$D$6:$D$305,$D26)*(N($X26)-N($W26))/SUMIFS($W$6:$W$305,$C$6:$C$305,$C26,$D$6:$D$305,$D26,$E$6:$E$305,"产成品入库"),2)))</f>
        <v>0</v>
      </c>
      <c r="U26" s="57" t="n">
        <f aca="false">IF($E26="","",ROUND($S26+$T26,2))</f>
        <v>11000</v>
      </c>
      <c r="V26" s="61" t="n">
        <f aca="false">IF($B26="","",YEAR($B26))</f>
        <v>2026</v>
      </c>
      <c r="W26" s="63" t="str">
        <f aca="false">IF($E26&lt;&gt;"产成品入库","",IF(N($M26)=0,1,N($M26)))</f>
        <v/>
      </c>
      <c r="X26" s="63" t="str">
        <f aca="false">IF($E26&lt;&gt;"产成品入库","",SUMIFS($W$6:$W26,$C$6:$C26,$C26,$D$6:$D26,$D26,$E$6:$E26,"产成品入库"))</f>
        <v/>
      </c>
    </row>
    <row r="27" customFormat="false" ht="15" hidden="false" customHeight="false" outlineLevel="0" collapsed="false">
      <c r="A27" s="53" t="n">
        <f aca="false">IF($B27="","",ROW()-5)</f>
        <v>22</v>
      </c>
      <c r="B27" s="54" t="n">
        <v>46246</v>
      </c>
      <c r="C27" s="33" t="s">
        <v>110</v>
      </c>
      <c r="D27" s="39" t="s">
        <v>690</v>
      </c>
      <c r="E27" s="33" t="s">
        <v>345</v>
      </c>
      <c r="F27" s="39" t="s">
        <v>403</v>
      </c>
      <c r="G27" s="48" t="str">
        <f aca="false">IF($F27="","",IFERROR(INDEX(商品档案!$B$6:$B$65,MATCH($F27,商品档案!$A$6:$A$65,0)),""))</f>
        <v>*木制品*包装箱板材</v>
      </c>
      <c r="H27" s="55" t="str">
        <f aca="false">IF($F27="","",IFERROR(INDEX(商品档案!$D$6:$D$65,MATCH($F27,商品档案!$A$6:$A$65,0)),""))</f>
        <v>立方米</v>
      </c>
      <c r="I27" s="49" t="n">
        <v>48</v>
      </c>
      <c r="J27" s="43"/>
      <c r="K27" s="41"/>
      <c r="L27" s="39"/>
      <c r="M27" s="62" t="n">
        <v>1</v>
      </c>
      <c r="N27" s="32" t="s">
        <v>691</v>
      </c>
      <c r="O27" s="41"/>
      <c r="P27" s="25" t="str">
        <f aca="false">IF(AND($B27="",$E27=""),"",IF(NOT(ISNUMBER($B27)),"日期无效",IF(ISNA(MATCH($C27,参数设置!$A$10:$A$12,0)),"公司无效",IF($D27="","缺批次号",IF(ISNA(MATCH($E27,记账规则!$A$36:$A$38,0)),"业务类型无效",IF(AND($E27&lt;&gt;"加工费用",ISNA(MATCH($F27,商品档案!$A$6:$A$65,0))),"商品编码无效",IF(AND($E27&lt;&gt;"加工费用",IFERROR(INDEX(商品档案!$E$6:$E$65,MATCH($F27,商品档案!$A$6:$A$65,0)),"")&lt;&gt;$C27),"商品不属于该公司",IF(AND($E27&lt;&gt;"加工费用",N($I27)=0),"数量为 0",IF(AND($E27="加工费用",N($J27)=0),"加工费金额为 0",IF(AND($E27="加工费用",ISNA(MATCH($K27,会计科目表!$B$6:$B$85,0))),"对方科目不存在",IF(YEAR($B27)&lt;&gt;参数设置!$B$5,"不在本会计年度","OK")))))))))))</f>
        <v>OK</v>
      </c>
      <c r="Q27" s="58" t="str">
        <f aca="false">IF($F27="","",IFERROR(INDEX(商品档案!$G$6:$G$65,MATCH($F27,商品档案!$A$6:$A$65,0)),""))</f>
        <v>库存商品</v>
      </c>
      <c r="R27" s="59" t="n">
        <f aca="false">IF($F27="","",SUMIFS(进销存台账!$N$6:$N$65,进销存台账!$A$6:$A$65,$C27,进销存台账!$B$6:$B$65,$F27))</f>
        <v>1492.18041666667</v>
      </c>
      <c r="S27" s="60" t="n">
        <f aca="false">IF($E27="领用投入",ROUND(N($I27)*N($R27),2),IF($E27="加工费用",ROUND(N($J27),2),0))</f>
        <v>0</v>
      </c>
      <c r="T27" s="60" t="n">
        <f aca="false">IF($E27&lt;&gt;"产成品入库",0,IF(SUMIFS($W$6:$W$305,$C$6:$C$305,$C27,$D$6:$D$305,$D27,$E$6:$E$305,"产成品入库")=0,0,ROUND(SUMIFS($S$6:$S$305,$C$6:$C$305,$C27,$D$6:$D$305,$D27)*N($X27)/SUMIFS($W$6:$W$305,$C$6:$C$305,$C27,$D$6:$D$305,$D27,$E$6:$E$305,"产成品入库"),2)-ROUND(SUMIFS($S$6:$S$305,$C$6:$C$305,$C27,$D$6:$D$305,$D27)*(N($X27)-N($W27))/SUMIFS($W$6:$W$305,$C$6:$C$305,$C27,$D$6:$D$305,$D27,$E$6:$E$305,"产成品入库"),2)))</f>
        <v>71624.66</v>
      </c>
      <c r="U27" s="57" t="n">
        <f aca="false">IF($E27="","",ROUND($S27+$T27,2))</f>
        <v>71624.66</v>
      </c>
      <c r="V27" s="61" t="n">
        <f aca="false">IF($B27="","",YEAR($B27))</f>
        <v>2026</v>
      </c>
      <c r="W27" s="63" t="n">
        <f aca="false">IF($E27&lt;&gt;"产成品入库","",IF(N($M27)=0,1,N($M27)))</f>
        <v>1</v>
      </c>
      <c r="X27" s="63" t="n">
        <f aca="false">IF($E27&lt;&gt;"产成品入库","",SUMIFS($W$6:$W27,$C$6:$C27,$C27,$D$6:$D27,$D27,$E$6:$E27,"产成品入库"))</f>
        <v>1</v>
      </c>
    </row>
    <row r="28" customFormat="false" ht="15" hidden="false" customHeight="false" outlineLevel="0" collapsed="false">
      <c r="A28" s="53" t="n">
        <f aca="false">IF($B28="","",ROW()-5)</f>
        <v>23</v>
      </c>
      <c r="B28" s="54" t="n">
        <v>46223</v>
      </c>
      <c r="C28" s="33" t="s">
        <v>112</v>
      </c>
      <c r="D28" s="39" t="s">
        <v>692</v>
      </c>
      <c r="E28" s="33" t="s">
        <v>340</v>
      </c>
      <c r="F28" s="39" t="s">
        <v>442</v>
      </c>
      <c r="G28" s="48" t="str">
        <f aca="false">IF($F28="","",IFERROR(INDEX(商品档案!$B$6:$B$65,MATCH($F28,商品档案!$A$6:$A$65,0)),""))</f>
        <v>干艾草</v>
      </c>
      <c r="H28" s="55" t="str">
        <f aca="false">IF($F28="","",IFERROR(INDEX(商品档案!$D$6:$D$65,MATCH($F28,商品档案!$A$6:$A$65,0)),""))</f>
        <v>公斤</v>
      </c>
      <c r="I28" s="49" t="n">
        <v>3800</v>
      </c>
      <c r="J28" s="43"/>
      <c r="K28" s="41"/>
      <c r="L28" s="39"/>
      <c r="M28" s="62"/>
      <c r="N28" s="32" t="s">
        <v>693</v>
      </c>
      <c r="O28" s="41"/>
      <c r="P28" s="25" t="str">
        <f aca="false">IF(AND($B28="",$E28=""),"",IF(NOT(ISNUMBER($B28)),"日期无效",IF(ISNA(MATCH($C28,参数设置!$A$10:$A$12,0)),"公司无效",IF($D28="","缺批次号",IF(ISNA(MATCH($E28,记账规则!$A$36:$A$38,0)),"业务类型无效",IF(AND($E28&lt;&gt;"加工费用",ISNA(MATCH($F28,商品档案!$A$6:$A$65,0))),"商品编码无效",IF(AND($E28&lt;&gt;"加工费用",IFERROR(INDEX(商品档案!$E$6:$E$65,MATCH($F28,商品档案!$A$6:$A$65,0)),"")&lt;&gt;$C28),"商品不属于该公司",IF(AND($E28&lt;&gt;"加工费用",N($I28)=0),"数量为 0",IF(AND($E28="加工费用",N($J28)=0),"加工费金额为 0",IF(AND($E28="加工费用",ISNA(MATCH($K28,会计科目表!$B$6:$B$85,0))),"对方科目不存在",IF(YEAR($B28)&lt;&gt;参数设置!$B$5,"不在本会计年度","OK")))))))))))</f>
        <v>OK</v>
      </c>
      <c r="Q28" s="58" t="str">
        <f aca="false">IF($F28="","",IFERROR(INDEX(商品档案!$G$6:$G$65,MATCH($F28,商品档案!$A$6:$A$65,0)),""))</f>
        <v>原材料</v>
      </c>
      <c r="R28" s="59" t="n">
        <f aca="false">IF($F28="","",SUMIFS(进销存台账!$N$6:$N$65,进销存台账!$A$6:$A$65,$C28,进销存台账!$B$6:$B$65,$F28))</f>
        <v>13.4545454545455</v>
      </c>
      <c r="S28" s="60" t="n">
        <f aca="false">IF($E28="领用投入",ROUND(N($I28)*N($R28),2),IF($E28="加工费用",ROUND(N($J28),2),0))</f>
        <v>51127.27</v>
      </c>
      <c r="T28" s="60" t="n">
        <f aca="false">IF($E28&lt;&gt;"产成品入库",0,IF(SUMIFS($W$6:$W$305,$C$6:$C$305,$C28,$D$6:$D$305,$D28,$E$6:$E$305,"产成品入库")=0,0,ROUND(SUMIFS($S$6:$S$305,$C$6:$C$305,$C28,$D$6:$D$305,$D28)*N($X28)/SUMIFS($W$6:$W$305,$C$6:$C$305,$C28,$D$6:$D$305,$D28,$E$6:$E$305,"产成品入库"),2)-ROUND(SUMIFS($S$6:$S$305,$C$6:$C$305,$C28,$D$6:$D$305,$D28)*(N($X28)-N($W28))/SUMIFS($W$6:$W$305,$C$6:$C$305,$C28,$D$6:$D$305,$D28,$E$6:$E$305,"产成品入库"),2)))</f>
        <v>0</v>
      </c>
      <c r="U28" s="57" t="n">
        <f aca="false">IF($E28="","",ROUND($S28+$T28,2))</f>
        <v>51127.27</v>
      </c>
      <c r="V28" s="61" t="n">
        <f aca="false">IF($B28="","",YEAR($B28))</f>
        <v>2026</v>
      </c>
      <c r="W28" s="63" t="str">
        <f aca="false">IF($E28&lt;&gt;"产成品入库","",IF(N($M28)=0,1,N($M28)))</f>
        <v/>
      </c>
      <c r="X28" s="63" t="str">
        <f aca="false">IF($E28&lt;&gt;"产成品入库","",SUMIFS($W$6:$W28,$C$6:$C28,$C28,$D$6:$D28,$D28,$E$6:$E28,"产成品入库"))</f>
        <v/>
      </c>
    </row>
    <row r="29" customFormat="false" ht="15" hidden="false" customHeight="false" outlineLevel="0" collapsed="false">
      <c r="A29" s="53" t="n">
        <f aca="false">IF($B29="","",ROW()-5)</f>
        <v>24</v>
      </c>
      <c r="B29" s="54" t="n">
        <v>46228</v>
      </c>
      <c r="C29" s="33" t="s">
        <v>112</v>
      </c>
      <c r="D29" s="39" t="s">
        <v>692</v>
      </c>
      <c r="E29" s="33" t="s">
        <v>343</v>
      </c>
      <c r="F29" s="39"/>
      <c r="G29" s="48" t="str">
        <f aca="false">IF($F29="","",IFERROR(INDEX(商品档案!$B$6:$B$65,MATCH($F29,商品档案!$A$6:$A$65,0)),""))</f>
        <v/>
      </c>
      <c r="H29" s="55" t="str">
        <f aca="false">IF($F29="","",IFERROR(INDEX(商品档案!$D$6:$D$65,MATCH($F29,商品档案!$A$6:$A$65,0)),""))</f>
        <v/>
      </c>
      <c r="I29" s="49"/>
      <c r="J29" s="43" t="n">
        <v>36000</v>
      </c>
      <c r="K29" s="32" t="s">
        <v>138</v>
      </c>
      <c r="L29" s="33" t="s">
        <v>137</v>
      </c>
      <c r="M29" s="62"/>
      <c r="N29" s="32" t="s">
        <v>694</v>
      </c>
      <c r="O29" s="41"/>
      <c r="P29" s="25" t="str">
        <f aca="false">IF(AND($B29="",$E29=""),"",IF(NOT(ISNUMBER($B29)),"日期无效",IF(ISNA(MATCH($C29,参数设置!$A$10:$A$12,0)),"公司无效",IF($D29="","缺批次号",IF(ISNA(MATCH($E29,记账规则!$A$36:$A$38,0)),"业务类型无效",IF(AND($E29&lt;&gt;"加工费用",ISNA(MATCH($F29,商品档案!$A$6:$A$65,0))),"商品编码无效",IF(AND($E29&lt;&gt;"加工费用",IFERROR(INDEX(商品档案!$E$6:$E$65,MATCH($F29,商品档案!$A$6:$A$65,0)),"")&lt;&gt;$C29),"商品不属于该公司",IF(AND($E29&lt;&gt;"加工费用",N($I29)=0),"数量为 0",IF(AND($E29="加工费用",N($J29)=0),"加工费金额为 0",IF(AND($E29="加工费用",ISNA(MATCH($K29,会计科目表!$B$6:$B$85,0))),"对方科目不存在",IF(YEAR($B29)&lt;&gt;参数设置!$B$5,"不在本会计年度","OK")))))))))))</f>
        <v>OK</v>
      </c>
      <c r="Q29" s="58" t="str">
        <f aca="false">IF($F29="","",IFERROR(INDEX(商品档案!$G$6:$G$65,MATCH($F29,商品档案!$A$6:$A$65,0)),""))</f>
        <v/>
      </c>
      <c r="R29" s="59" t="str">
        <f aca="false">IF($F29="","",SUMIFS(进销存台账!$N$6:$N$65,进销存台账!$A$6:$A$65,$C29,进销存台账!$B$6:$B$65,$F29))</f>
        <v/>
      </c>
      <c r="S29" s="60" t="n">
        <f aca="false">IF($E29="领用投入",ROUND(N($I29)*N($R29),2),IF($E29="加工费用",ROUND(N($J29),2),0))</f>
        <v>36000</v>
      </c>
      <c r="T29" s="60" t="n">
        <f aca="false">IF($E29&lt;&gt;"产成品入库",0,IF(SUMIFS($W$6:$W$305,$C$6:$C$305,$C29,$D$6:$D$305,$D29,$E$6:$E$305,"产成品入库")=0,0,ROUND(SUMIFS($S$6:$S$305,$C$6:$C$305,$C29,$D$6:$D$305,$D29)*N($X29)/SUMIFS($W$6:$W$305,$C$6:$C$305,$C29,$D$6:$D$305,$D29,$E$6:$E$305,"产成品入库"),2)-ROUND(SUMIFS($S$6:$S$305,$C$6:$C$305,$C29,$D$6:$D$305,$D29)*(N($X29)-N($W29))/SUMIFS($W$6:$W$305,$C$6:$C$305,$C29,$D$6:$D$305,$D29,$E$6:$E$305,"产成品入库"),2)))</f>
        <v>0</v>
      </c>
      <c r="U29" s="57" t="n">
        <f aca="false">IF($E29="","",ROUND($S29+$T29,2))</f>
        <v>36000</v>
      </c>
      <c r="V29" s="61" t="n">
        <f aca="false">IF($B29="","",YEAR($B29))</f>
        <v>2026</v>
      </c>
      <c r="W29" s="63" t="str">
        <f aca="false">IF($E29&lt;&gt;"产成品入库","",IF(N($M29)=0,1,N($M29)))</f>
        <v/>
      </c>
      <c r="X29" s="63" t="str">
        <f aca="false">IF($E29&lt;&gt;"产成品入库","",SUMIFS($W$6:$W29,$C$6:$C29,$C29,$D$6:$D29,$D29,$E$6:$E29,"产成品入库"))</f>
        <v/>
      </c>
    </row>
    <row r="30" customFormat="false" ht="15" hidden="false" customHeight="false" outlineLevel="0" collapsed="false">
      <c r="A30" s="53" t="n">
        <f aca="false">IF($B30="","",ROW()-5)</f>
        <v>25</v>
      </c>
      <c r="B30" s="54" t="n">
        <v>46231</v>
      </c>
      <c r="C30" s="33" t="s">
        <v>112</v>
      </c>
      <c r="D30" s="39" t="s">
        <v>692</v>
      </c>
      <c r="E30" s="33" t="s">
        <v>345</v>
      </c>
      <c r="F30" s="39" t="s">
        <v>417</v>
      </c>
      <c r="G30" s="48" t="str">
        <f aca="false">IF($F30="","",IFERROR(INDEX(商品档案!$B$6:$B$65,MATCH($F30,商品档案!$A$6:$A$65,0)),""))</f>
        <v>艾草精油原液</v>
      </c>
      <c r="H30" s="55" t="str">
        <f aca="false">IF($F30="","",IFERROR(INDEX(商品档案!$D$6:$D$65,MATCH($F30,商品档案!$A$6:$A$65,0)),""))</f>
        <v>公斤</v>
      </c>
      <c r="I30" s="49" t="n">
        <v>76</v>
      </c>
      <c r="J30" s="43"/>
      <c r="K30" s="41"/>
      <c r="L30" s="39"/>
      <c r="M30" s="62" t="n">
        <v>1</v>
      </c>
      <c r="N30" s="32" t="s">
        <v>695</v>
      </c>
      <c r="O30" s="41"/>
      <c r="P30" s="25" t="str">
        <f aca="false">IF(AND($B30="",$E30=""),"",IF(NOT(ISNUMBER($B30)),"日期无效",IF(ISNA(MATCH($C30,参数设置!$A$10:$A$12,0)),"公司无效",IF($D30="","缺批次号",IF(ISNA(MATCH($E30,记账规则!$A$36:$A$38,0)),"业务类型无效",IF(AND($E30&lt;&gt;"加工费用",ISNA(MATCH($F30,商品档案!$A$6:$A$65,0))),"商品编码无效",IF(AND($E30&lt;&gt;"加工费用",IFERROR(INDEX(商品档案!$E$6:$E$65,MATCH($F30,商品档案!$A$6:$A$65,0)),"")&lt;&gt;$C30),"商品不属于该公司",IF(AND($E30&lt;&gt;"加工费用",N($I30)=0),"数量为 0",IF(AND($E30="加工费用",N($J30)=0),"加工费金额为 0",IF(AND($E30="加工费用",ISNA(MATCH($K30,会计科目表!$B$6:$B$85,0))),"对方科目不存在",IF(YEAR($B30)&lt;&gt;参数设置!$B$5,"不在本会计年度","OK")))))))))))</f>
        <v>OK</v>
      </c>
      <c r="Q30" s="58" t="str">
        <f aca="false">IF($F30="","",IFERROR(INDEX(商品档案!$G$6:$G$65,MATCH($F30,商品档案!$A$6:$A$65,0)),""))</f>
        <v>库存商品</v>
      </c>
      <c r="R30" s="59" t="n">
        <f aca="false">IF($F30="","",SUMIFS(进销存台账!$N$6:$N$65,进销存台账!$A$6:$A$65,$C30,进销存台账!$B$6:$B$65,$F30))</f>
        <v>1125.93580882353</v>
      </c>
      <c r="S30" s="60" t="n">
        <f aca="false">IF($E30="领用投入",ROUND(N($I30)*N($R30),2),IF($E30="加工费用",ROUND(N($J30),2),0))</f>
        <v>0</v>
      </c>
      <c r="T30" s="60" t="n">
        <f aca="false">IF($E30&lt;&gt;"产成品入库",0,IF(SUMIFS($W$6:$W$305,$C$6:$C$305,$C30,$D$6:$D$305,$D30,$E$6:$E$305,"产成品入库")=0,0,ROUND(SUMIFS($S$6:$S$305,$C$6:$C$305,$C30,$D$6:$D$305,$D30)*N($X30)/SUMIFS($W$6:$W$305,$C$6:$C$305,$C30,$D$6:$D$305,$D30,$E$6:$E$305,"产成品入库"),2)-ROUND(SUMIFS($S$6:$S$305,$C$6:$C$305,$C30,$D$6:$D$305,$D30)*(N($X30)-N($W30))/SUMIFS($W$6:$W$305,$C$6:$C$305,$C30,$D$6:$D$305,$D30,$E$6:$E$305,"产成品入库"),2)))</f>
        <v>87127.27</v>
      </c>
      <c r="U30" s="57" t="n">
        <f aca="false">IF($E30="","",ROUND($S30+$T30,2))</f>
        <v>87127.27</v>
      </c>
      <c r="V30" s="61" t="n">
        <f aca="false">IF($B30="","",YEAR($B30))</f>
        <v>2026</v>
      </c>
      <c r="W30" s="63" t="n">
        <f aca="false">IF($E30&lt;&gt;"产成品入库","",IF(N($M30)=0,1,N($M30)))</f>
        <v>1</v>
      </c>
      <c r="X30" s="63" t="n">
        <f aca="false">IF($E30&lt;&gt;"产成品入库","",SUMIFS($W$6:$W30,$C$6:$C30,$C30,$D$6:$D30,$D30,$E$6:$E30,"产成品入库"))</f>
        <v>1</v>
      </c>
    </row>
    <row r="31" customFormat="false" ht="15" hidden="false" customHeight="false" outlineLevel="0" collapsed="false">
      <c r="A31" s="53" t="n">
        <f aca="false">IF($B31="","",ROW()-5)</f>
        <v>26</v>
      </c>
      <c r="B31" s="54" t="n">
        <v>46235</v>
      </c>
      <c r="C31" s="33" t="s">
        <v>112</v>
      </c>
      <c r="D31" s="39" t="s">
        <v>696</v>
      </c>
      <c r="E31" s="33" t="s">
        <v>340</v>
      </c>
      <c r="F31" s="39" t="s">
        <v>417</v>
      </c>
      <c r="G31" s="48" t="str">
        <f aca="false">IF($F31="","",IFERROR(INDEX(商品档案!$B$6:$B$65,MATCH($F31,商品档案!$A$6:$A$65,0)),""))</f>
        <v>艾草精油原液</v>
      </c>
      <c r="H31" s="55" t="str">
        <f aca="false">IF($F31="","",IFERROR(INDEX(商品档案!$D$6:$D$65,MATCH($F31,商品档案!$A$6:$A$65,0)),""))</f>
        <v>公斤</v>
      </c>
      <c r="I31" s="49" t="n">
        <v>60</v>
      </c>
      <c r="J31" s="43"/>
      <c r="K31" s="41"/>
      <c r="L31" s="39"/>
      <c r="M31" s="62"/>
      <c r="N31" s="32" t="s">
        <v>697</v>
      </c>
      <c r="O31" s="41"/>
      <c r="P31" s="25" t="str">
        <f aca="false">IF(AND($B31="",$E31=""),"",IF(NOT(ISNUMBER($B31)),"日期无效",IF(ISNA(MATCH($C31,参数设置!$A$10:$A$12,0)),"公司无效",IF($D31="","缺批次号",IF(ISNA(MATCH($E31,记账规则!$A$36:$A$38,0)),"业务类型无效",IF(AND($E31&lt;&gt;"加工费用",ISNA(MATCH($F31,商品档案!$A$6:$A$65,0))),"商品编码无效",IF(AND($E31&lt;&gt;"加工费用",IFERROR(INDEX(商品档案!$E$6:$E$65,MATCH($F31,商品档案!$A$6:$A$65,0)),"")&lt;&gt;$C31),"商品不属于该公司",IF(AND($E31&lt;&gt;"加工费用",N($I31)=0),"数量为 0",IF(AND($E31="加工费用",N($J31)=0),"加工费金额为 0",IF(AND($E31="加工费用",ISNA(MATCH($K31,会计科目表!$B$6:$B$85,0))),"对方科目不存在",IF(YEAR($B31)&lt;&gt;参数设置!$B$5,"不在本会计年度","OK")))))))))))</f>
        <v>OK</v>
      </c>
      <c r="Q31" s="58" t="str">
        <f aca="false">IF($F31="","",IFERROR(INDEX(商品档案!$G$6:$G$65,MATCH($F31,商品档案!$A$6:$A$65,0)),""))</f>
        <v>库存商品</v>
      </c>
      <c r="R31" s="59" t="n">
        <f aca="false">IF($F31="","",SUMIFS(进销存台账!$N$6:$N$65,进销存台账!$A$6:$A$65,$C31,进销存台账!$B$6:$B$65,$F31))</f>
        <v>1125.93580882353</v>
      </c>
      <c r="S31" s="60" t="n">
        <f aca="false">IF($E31="领用投入",ROUND(N($I31)*N($R31),2),IF($E31="加工费用",ROUND(N($J31),2),0))</f>
        <v>67556.15</v>
      </c>
      <c r="T31" s="60" t="n">
        <f aca="false">IF($E31&lt;&gt;"产成品入库",0,IF(SUMIFS($W$6:$W$305,$C$6:$C$305,$C31,$D$6:$D$305,$D31,$E$6:$E$305,"产成品入库")=0,0,ROUND(SUMIFS($S$6:$S$305,$C$6:$C$305,$C31,$D$6:$D$305,$D31)*N($X31)/SUMIFS($W$6:$W$305,$C$6:$C$305,$C31,$D$6:$D$305,$D31,$E$6:$E$305,"产成品入库"),2)-ROUND(SUMIFS($S$6:$S$305,$C$6:$C$305,$C31,$D$6:$D$305,$D31)*(N($X31)-N($W31))/SUMIFS($W$6:$W$305,$C$6:$C$305,$C31,$D$6:$D$305,$D31,$E$6:$E$305,"产成品入库"),2)))</f>
        <v>0</v>
      </c>
      <c r="U31" s="57" t="n">
        <f aca="false">IF($E31="","",ROUND($S31+$T31,2))</f>
        <v>67556.15</v>
      </c>
      <c r="V31" s="61" t="n">
        <f aca="false">IF($B31="","",YEAR($B31))</f>
        <v>2026</v>
      </c>
      <c r="W31" s="63" t="str">
        <f aca="false">IF($E31&lt;&gt;"产成品入库","",IF(N($M31)=0,1,N($M31)))</f>
        <v/>
      </c>
      <c r="X31" s="63" t="str">
        <f aca="false">IF($E31&lt;&gt;"产成品入库","",SUMIFS($W$6:$W31,$C$6:$C31,$C31,$D$6:$D31,$D31,$E$6:$E31,"产成品入库"))</f>
        <v/>
      </c>
    </row>
    <row r="32" customFormat="false" ht="15" hidden="false" customHeight="false" outlineLevel="0" collapsed="false">
      <c r="A32" s="53" t="n">
        <f aca="false">IF($B32="","",ROW()-5)</f>
        <v>27</v>
      </c>
      <c r="B32" s="54" t="n">
        <v>46235</v>
      </c>
      <c r="C32" s="33" t="s">
        <v>112</v>
      </c>
      <c r="D32" s="39" t="s">
        <v>696</v>
      </c>
      <c r="E32" s="33" t="s">
        <v>340</v>
      </c>
      <c r="F32" s="39" t="s">
        <v>444</v>
      </c>
      <c r="G32" s="48" t="str">
        <f aca="false">IF($F32="","",IFERROR(INDEX(商品档案!$B$6:$B$65,MATCH($F32,商品档案!$A$6:$A$65,0)),""))</f>
        <v>包装瓶</v>
      </c>
      <c r="H32" s="55" t="str">
        <f aca="false">IF($F32="","",IFERROR(INDEX(商品档案!$D$6:$D$65,MATCH($F32,商品档案!$A$6:$A$65,0)),""))</f>
        <v>个</v>
      </c>
      <c r="I32" s="49" t="n">
        <v>8000</v>
      </c>
      <c r="J32" s="43"/>
      <c r="K32" s="41"/>
      <c r="L32" s="39"/>
      <c r="M32" s="62"/>
      <c r="N32" s="32" t="s">
        <v>698</v>
      </c>
      <c r="O32" s="41"/>
      <c r="P32" s="25" t="str">
        <f aca="false">IF(AND($B32="",$E32=""),"",IF(NOT(ISNUMBER($B32)),"日期无效",IF(ISNA(MATCH($C32,参数设置!$A$10:$A$12,0)),"公司无效",IF($D32="","缺批次号",IF(ISNA(MATCH($E32,记账规则!$A$36:$A$38,0)),"业务类型无效",IF(AND($E32&lt;&gt;"加工费用",ISNA(MATCH($F32,商品档案!$A$6:$A$65,0))),"商品编码无效",IF(AND($E32&lt;&gt;"加工费用",IFERROR(INDEX(商品档案!$E$6:$E$65,MATCH($F32,商品档案!$A$6:$A$65,0)),"")&lt;&gt;$C32),"商品不属于该公司",IF(AND($E32&lt;&gt;"加工费用",N($I32)=0),"数量为 0",IF(AND($E32="加工费用",N($J32)=0),"加工费金额为 0",IF(AND($E32="加工费用",ISNA(MATCH($K32,会计科目表!$B$6:$B$85,0))),"对方科目不存在",IF(YEAR($B32)&lt;&gt;参数设置!$B$5,"不在本会计年度","OK")))))))))))</f>
        <v>OK</v>
      </c>
      <c r="Q32" s="58" t="str">
        <f aca="false">IF($F32="","",IFERROR(INDEX(商品档案!$G$6:$G$65,MATCH($F32,商品档案!$A$6:$A$65,0)),""))</f>
        <v>原材料</v>
      </c>
      <c r="R32" s="59" t="n">
        <f aca="false">IF($F32="","",SUMIFS(进销存台账!$N$6:$N$65,进销存台账!$A$6:$A$65,$C32,进销存台账!$B$6:$B$65,$F32))</f>
        <v>0.937142857142857</v>
      </c>
      <c r="S32" s="60" t="n">
        <f aca="false">IF($E32="领用投入",ROUND(N($I32)*N($R32),2),IF($E32="加工费用",ROUND(N($J32),2),0))</f>
        <v>7497.14</v>
      </c>
      <c r="T32" s="60" t="n">
        <f aca="false">IF($E32&lt;&gt;"产成品入库",0,IF(SUMIFS($W$6:$W$305,$C$6:$C$305,$C32,$D$6:$D$305,$D32,$E$6:$E$305,"产成品入库")=0,0,ROUND(SUMIFS($S$6:$S$305,$C$6:$C$305,$C32,$D$6:$D$305,$D32)*N($X32)/SUMIFS($W$6:$W$305,$C$6:$C$305,$C32,$D$6:$D$305,$D32,$E$6:$E$305,"产成品入库"),2)-ROUND(SUMIFS($S$6:$S$305,$C$6:$C$305,$C32,$D$6:$D$305,$D32)*(N($X32)-N($W32))/SUMIFS($W$6:$W$305,$C$6:$C$305,$C32,$D$6:$D$305,$D32,$E$6:$E$305,"产成品入库"),2)))</f>
        <v>0</v>
      </c>
      <c r="U32" s="57" t="n">
        <f aca="false">IF($E32="","",ROUND($S32+$T32,2))</f>
        <v>7497.14</v>
      </c>
      <c r="V32" s="61" t="n">
        <f aca="false">IF($B32="","",YEAR($B32))</f>
        <v>2026</v>
      </c>
      <c r="W32" s="63" t="str">
        <f aca="false">IF($E32&lt;&gt;"产成品入库","",IF(N($M32)=0,1,N($M32)))</f>
        <v/>
      </c>
      <c r="X32" s="63" t="str">
        <f aca="false">IF($E32&lt;&gt;"产成品入库","",SUMIFS($W$6:$W32,$C$6:$C32,$C32,$D$6:$D32,$D32,$E$6:$E32,"产成品入库"))</f>
        <v/>
      </c>
    </row>
    <row r="33" customFormat="false" ht="15" hidden="false" customHeight="false" outlineLevel="0" collapsed="false">
      <c r="A33" s="53" t="n">
        <f aca="false">IF($B33="","",ROW()-5)</f>
        <v>28</v>
      </c>
      <c r="B33" s="54" t="n">
        <v>46235</v>
      </c>
      <c r="C33" s="33" t="s">
        <v>112</v>
      </c>
      <c r="D33" s="39" t="s">
        <v>696</v>
      </c>
      <c r="E33" s="33" t="s">
        <v>340</v>
      </c>
      <c r="F33" s="39" t="s">
        <v>448</v>
      </c>
      <c r="G33" s="48" t="str">
        <f aca="false">IF($F33="","",IFERROR(INDEX(商品档案!$B$6:$B$65,MATCH($F33,商品档案!$A$6:$A$65,0)),""))</f>
        <v>纸盒</v>
      </c>
      <c r="H33" s="55" t="str">
        <f aca="false">IF($F33="","",IFERROR(INDEX(商品档案!$D$6:$D$65,MATCH($F33,商品档案!$A$6:$A$65,0)),""))</f>
        <v>个</v>
      </c>
      <c r="I33" s="49" t="n">
        <v>8000</v>
      </c>
      <c r="J33" s="43"/>
      <c r="K33" s="41"/>
      <c r="L33" s="39"/>
      <c r="M33" s="62"/>
      <c r="N33" s="32" t="s">
        <v>449</v>
      </c>
      <c r="O33" s="41"/>
      <c r="P33" s="25" t="str">
        <f aca="false">IF(AND($B33="",$E33=""),"",IF(NOT(ISNUMBER($B33)),"日期无效",IF(ISNA(MATCH($C33,参数设置!$A$10:$A$12,0)),"公司无效",IF($D33="","缺批次号",IF(ISNA(MATCH($E33,记账规则!$A$36:$A$38,0)),"业务类型无效",IF(AND($E33&lt;&gt;"加工费用",ISNA(MATCH($F33,商品档案!$A$6:$A$65,0))),"商品编码无效",IF(AND($E33&lt;&gt;"加工费用",IFERROR(INDEX(商品档案!$E$6:$E$65,MATCH($F33,商品档案!$A$6:$A$65,0)),"")&lt;&gt;$C33),"商品不属于该公司",IF(AND($E33&lt;&gt;"加工费用",N($I33)=0),"数量为 0",IF(AND($E33="加工费用",N($J33)=0),"加工费金额为 0",IF(AND($E33="加工费用",ISNA(MATCH($K33,会计科目表!$B$6:$B$85,0))),"对方科目不存在",IF(YEAR($B33)&lt;&gt;参数设置!$B$5,"不在本会计年度","OK")))))))))))</f>
        <v>OK</v>
      </c>
      <c r="Q33" s="58" t="str">
        <f aca="false">IF($F33="","",IFERROR(INDEX(商品档案!$G$6:$G$65,MATCH($F33,商品档案!$A$6:$A$65,0)),""))</f>
        <v>原材料</v>
      </c>
      <c r="R33" s="59" t="n">
        <f aca="false">IF($F33="","",SUMIFS(进销存台账!$N$6:$N$65,进销存台账!$A$6:$A$65,$C33,进销存台账!$B$6:$B$65,$F33))</f>
        <v>0.335454545454545</v>
      </c>
      <c r="S33" s="60" t="n">
        <f aca="false">IF($E33="领用投入",ROUND(N($I33)*N($R33),2),IF($E33="加工费用",ROUND(N($J33),2),0))</f>
        <v>2683.64</v>
      </c>
      <c r="T33" s="60" t="n">
        <f aca="false">IF($E33&lt;&gt;"产成品入库",0,IF(SUMIFS($W$6:$W$305,$C$6:$C$305,$C33,$D$6:$D$305,$D33,$E$6:$E$305,"产成品入库")=0,0,ROUND(SUMIFS($S$6:$S$305,$C$6:$C$305,$C33,$D$6:$D$305,$D33)*N($X33)/SUMIFS($W$6:$W$305,$C$6:$C$305,$C33,$D$6:$D$305,$D33,$E$6:$E$305,"产成品入库"),2)-ROUND(SUMIFS($S$6:$S$305,$C$6:$C$305,$C33,$D$6:$D$305,$D33)*(N($X33)-N($W33))/SUMIFS($W$6:$W$305,$C$6:$C$305,$C33,$D$6:$D$305,$D33,$E$6:$E$305,"产成品入库"),2)))</f>
        <v>0</v>
      </c>
      <c r="U33" s="57" t="n">
        <f aca="false">IF($E33="","",ROUND($S33+$T33,2))</f>
        <v>2683.64</v>
      </c>
      <c r="V33" s="61" t="n">
        <f aca="false">IF($B33="","",YEAR($B33))</f>
        <v>2026</v>
      </c>
      <c r="W33" s="63" t="str">
        <f aca="false">IF($E33&lt;&gt;"产成品入库","",IF(N($M33)=0,1,N($M33)))</f>
        <v/>
      </c>
      <c r="X33" s="63" t="str">
        <f aca="false">IF($E33&lt;&gt;"产成品入库","",SUMIFS($W$6:$W33,$C$6:$C33,$C33,$D$6:$D33,$D33,$E$6:$E33,"产成品入库"))</f>
        <v/>
      </c>
    </row>
    <row r="34" customFormat="false" ht="15" hidden="false" customHeight="false" outlineLevel="0" collapsed="false">
      <c r="A34" s="53" t="n">
        <f aca="false">IF($B34="","",ROW()-5)</f>
        <v>29</v>
      </c>
      <c r="B34" s="54" t="n">
        <v>46237</v>
      </c>
      <c r="C34" s="33" t="s">
        <v>112</v>
      </c>
      <c r="D34" s="39" t="s">
        <v>696</v>
      </c>
      <c r="E34" s="33" t="s">
        <v>343</v>
      </c>
      <c r="F34" s="39"/>
      <c r="G34" s="48" t="str">
        <f aca="false">IF($F34="","",IFERROR(INDEX(商品档案!$B$6:$B$65,MATCH($F34,商品档案!$A$6:$A$65,0)),""))</f>
        <v/>
      </c>
      <c r="H34" s="55" t="str">
        <f aca="false">IF($F34="","",IFERROR(INDEX(商品档案!$D$6:$D$65,MATCH($F34,商品档案!$A$6:$A$65,0)),""))</f>
        <v/>
      </c>
      <c r="I34" s="49"/>
      <c r="J34" s="43" t="n">
        <v>9000</v>
      </c>
      <c r="K34" s="32" t="s">
        <v>138</v>
      </c>
      <c r="L34" s="33" t="s">
        <v>137</v>
      </c>
      <c r="M34" s="62"/>
      <c r="N34" s="32" t="s">
        <v>699</v>
      </c>
      <c r="O34" s="41"/>
      <c r="P34" s="25" t="str">
        <f aca="false">IF(AND($B34="",$E34=""),"",IF(NOT(ISNUMBER($B34)),"日期无效",IF(ISNA(MATCH($C34,参数设置!$A$10:$A$12,0)),"公司无效",IF($D34="","缺批次号",IF(ISNA(MATCH($E34,记账规则!$A$36:$A$38,0)),"业务类型无效",IF(AND($E34&lt;&gt;"加工费用",ISNA(MATCH($F34,商品档案!$A$6:$A$65,0))),"商品编码无效",IF(AND($E34&lt;&gt;"加工费用",IFERROR(INDEX(商品档案!$E$6:$E$65,MATCH($F34,商品档案!$A$6:$A$65,0)),"")&lt;&gt;$C34),"商品不属于该公司",IF(AND($E34&lt;&gt;"加工费用",N($I34)=0),"数量为 0",IF(AND($E34="加工费用",N($J34)=0),"加工费金额为 0",IF(AND($E34="加工费用",ISNA(MATCH($K34,会计科目表!$B$6:$B$85,0))),"对方科目不存在",IF(YEAR($B34)&lt;&gt;参数设置!$B$5,"不在本会计年度","OK")))))))))))</f>
        <v>OK</v>
      </c>
      <c r="Q34" s="58" t="str">
        <f aca="false">IF($F34="","",IFERROR(INDEX(商品档案!$G$6:$G$65,MATCH($F34,商品档案!$A$6:$A$65,0)),""))</f>
        <v/>
      </c>
      <c r="R34" s="59" t="str">
        <f aca="false">IF($F34="","",SUMIFS(进销存台账!$N$6:$N$65,进销存台账!$A$6:$A$65,$C34,进销存台账!$B$6:$B$65,$F34))</f>
        <v/>
      </c>
      <c r="S34" s="60" t="n">
        <f aca="false">IF($E34="领用投入",ROUND(N($I34)*N($R34),2),IF($E34="加工费用",ROUND(N($J34),2),0))</f>
        <v>9000</v>
      </c>
      <c r="T34" s="60" t="n">
        <f aca="false">IF($E34&lt;&gt;"产成品入库",0,IF(SUMIFS($W$6:$W$305,$C$6:$C$305,$C34,$D$6:$D$305,$D34,$E$6:$E$305,"产成品入库")=0,0,ROUND(SUMIFS($S$6:$S$305,$C$6:$C$305,$C34,$D$6:$D$305,$D34)*N($X34)/SUMIFS($W$6:$W$305,$C$6:$C$305,$C34,$D$6:$D$305,$D34,$E$6:$E$305,"产成品入库"),2)-ROUND(SUMIFS($S$6:$S$305,$C$6:$C$305,$C34,$D$6:$D$305,$D34)*(N($X34)-N($W34))/SUMIFS($W$6:$W$305,$C$6:$C$305,$C34,$D$6:$D$305,$D34,$E$6:$E$305,"产成品入库"),2)))</f>
        <v>0</v>
      </c>
      <c r="U34" s="57" t="n">
        <f aca="false">IF($E34="","",ROUND($S34+$T34,2))</f>
        <v>9000</v>
      </c>
      <c r="V34" s="61" t="n">
        <f aca="false">IF($B34="","",YEAR($B34))</f>
        <v>2026</v>
      </c>
      <c r="W34" s="63" t="str">
        <f aca="false">IF($E34&lt;&gt;"产成品入库","",IF(N($M34)=0,1,N($M34)))</f>
        <v/>
      </c>
      <c r="X34" s="63" t="str">
        <f aca="false">IF($E34&lt;&gt;"产成品入库","",SUMIFS($W$6:$W34,$C$6:$C34,$C34,$D$6:$D34,$D34,$E$6:$E34,"产成品入库"))</f>
        <v/>
      </c>
    </row>
    <row r="35" customFormat="false" ht="15" hidden="false" customHeight="false" outlineLevel="0" collapsed="false">
      <c r="A35" s="53" t="n">
        <f aca="false">IF($B35="","",ROW()-5)</f>
        <v>30</v>
      </c>
      <c r="B35" s="54" t="n">
        <v>46239</v>
      </c>
      <c r="C35" s="33" t="s">
        <v>112</v>
      </c>
      <c r="D35" s="39" t="s">
        <v>696</v>
      </c>
      <c r="E35" s="33" t="s">
        <v>345</v>
      </c>
      <c r="F35" s="39" t="s">
        <v>421</v>
      </c>
      <c r="G35" s="48" t="str">
        <f aca="false">IF($F35="","",IFERROR(INDEX(商品档案!$B$6:$B$65,MATCH($F35,商品档案!$A$6:$A$65,0)),""))</f>
        <v>艾草精油10ml</v>
      </c>
      <c r="H35" s="55" t="str">
        <f aca="false">IF($F35="","",IFERROR(INDEX(商品档案!$D$6:$D$65,MATCH($F35,商品档案!$A$6:$A$65,0)),""))</f>
        <v>瓶</v>
      </c>
      <c r="I35" s="49" t="n">
        <v>8000</v>
      </c>
      <c r="J35" s="43"/>
      <c r="K35" s="41"/>
      <c r="L35" s="39"/>
      <c r="M35" s="62" t="n">
        <v>1</v>
      </c>
      <c r="N35" s="41" t="s">
        <v>700</v>
      </c>
      <c r="O35" s="41"/>
      <c r="P35" s="25" t="str">
        <f aca="false">IF(AND($B35="",$E35=""),"",IF(NOT(ISNUMBER($B35)),"日期无效",IF(ISNA(MATCH($C35,参数设置!$A$10:$A$12,0)),"公司无效",IF($D35="","缺批次号",IF(ISNA(MATCH($E35,记账规则!$A$36:$A$38,0)),"业务类型无效",IF(AND($E35&lt;&gt;"加工费用",ISNA(MATCH($F35,商品档案!$A$6:$A$65,0))),"商品编码无效",IF(AND($E35&lt;&gt;"加工费用",IFERROR(INDEX(商品档案!$E$6:$E$65,MATCH($F35,商品档案!$A$6:$A$65,0)),"")&lt;&gt;$C35),"商品不属于该公司",IF(AND($E35&lt;&gt;"加工费用",N($I35)=0),"数量为 0",IF(AND($E35="加工费用",N($J35)=0),"加工费金额为 0",IF(AND($E35="加工费用",ISNA(MATCH($K35,会计科目表!$B$6:$B$85,0))),"对方科目不存在",IF(YEAR($B35)&lt;&gt;参数设置!$B$5,"不在本会计年度","OK")))))))))))</f>
        <v>OK</v>
      </c>
      <c r="Q35" s="58" t="str">
        <f aca="false">IF($F35="","",IFERROR(INDEX(商品档案!$G$6:$G$65,MATCH($F35,商品档案!$A$6:$A$65,0)),""))</f>
        <v>库存商品</v>
      </c>
      <c r="R35" s="59" t="n">
        <f aca="false">IF($F35="","",SUMIFS(进销存台账!$N$6:$N$65,进销存台账!$A$6:$A$65,$C35,进销存台账!$B$6:$B$65,$F35))</f>
        <v>10.927927173913</v>
      </c>
      <c r="S35" s="60" t="n">
        <f aca="false">IF($E35="领用投入",ROUND(N($I35)*N($R35),2),IF($E35="加工费用",ROUND(N($J35),2),0))</f>
        <v>0</v>
      </c>
      <c r="T35" s="60" t="n">
        <f aca="false">IF($E35&lt;&gt;"产成品入库",0,IF(SUMIFS($W$6:$W$305,$C$6:$C$305,$C35,$D$6:$D$305,$D35,$E$6:$E$305,"产成品入库")=0,0,ROUND(SUMIFS($S$6:$S$305,$C$6:$C$305,$C35,$D$6:$D$305,$D35)*N($X35)/SUMIFS($W$6:$W$305,$C$6:$C$305,$C35,$D$6:$D$305,$D35,$E$6:$E$305,"产成品入库"),2)-ROUND(SUMIFS($S$6:$S$305,$C$6:$C$305,$C35,$D$6:$D$305,$D35)*(N($X35)-N($W35))/SUMIFS($W$6:$W$305,$C$6:$C$305,$C35,$D$6:$D$305,$D35,$E$6:$E$305,"产成品入库"),2)))</f>
        <v>86736.93</v>
      </c>
      <c r="U35" s="57" t="n">
        <f aca="false">IF($E35="","",ROUND($S35+$T35,2))</f>
        <v>86736.93</v>
      </c>
      <c r="V35" s="61" t="n">
        <f aca="false">IF($B35="","",YEAR($B35))</f>
        <v>2026</v>
      </c>
      <c r="W35" s="63" t="n">
        <f aca="false">IF($E35&lt;&gt;"产成品入库","",IF(N($M35)=0,1,N($M35)))</f>
        <v>1</v>
      </c>
      <c r="X35" s="63" t="n">
        <f aca="false">IF($E35&lt;&gt;"产成品入库","",SUMIFS($W$6:$W35,$C$6:$C35,$C35,$D$6:$D35,$D35,$E$6:$E35,"产成品入库"))</f>
        <v>1</v>
      </c>
    </row>
    <row r="36" customFormat="false" ht="15" hidden="false" customHeight="false" outlineLevel="0" collapsed="false">
      <c r="A36" s="53" t="n">
        <f aca="false">IF($B36="","",ROW()-5)</f>
        <v>31</v>
      </c>
      <c r="B36" s="54" t="n">
        <v>46249</v>
      </c>
      <c r="C36" s="33" t="s">
        <v>112</v>
      </c>
      <c r="D36" s="39" t="s">
        <v>701</v>
      </c>
      <c r="E36" s="33" t="s">
        <v>340</v>
      </c>
      <c r="F36" s="39" t="s">
        <v>442</v>
      </c>
      <c r="G36" s="48" t="str">
        <f aca="false">IF($F36="","",IFERROR(INDEX(商品档案!$B$6:$B$65,MATCH($F36,商品档案!$A$6:$A$65,0)),""))</f>
        <v>干艾草</v>
      </c>
      <c r="H36" s="55" t="str">
        <f aca="false">IF($F36="","",IFERROR(INDEX(商品档案!$D$6:$D$65,MATCH($F36,商品档案!$A$6:$A$65,0)),""))</f>
        <v>公斤</v>
      </c>
      <c r="I36" s="49" t="n">
        <v>1500</v>
      </c>
      <c r="J36" s="43"/>
      <c r="K36" s="41"/>
      <c r="L36" s="39"/>
      <c r="M36" s="62"/>
      <c r="N36" s="32" t="s">
        <v>702</v>
      </c>
      <c r="O36" s="41"/>
      <c r="P36" s="25" t="str">
        <f aca="false">IF(AND($B36="",$E36=""),"",IF(NOT(ISNUMBER($B36)),"日期无效",IF(ISNA(MATCH($C36,参数设置!$A$10:$A$12,0)),"公司无效",IF($D36="","缺批次号",IF(ISNA(MATCH($E36,记账规则!$A$36:$A$38,0)),"业务类型无效",IF(AND($E36&lt;&gt;"加工费用",ISNA(MATCH($F36,商品档案!$A$6:$A$65,0))),"商品编码无效",IF(AND($E36&lt;&gt;"加工费用",IFERROR(INDEX(商品档案!$E$6:$E$65,MATCH($F36,商品档案!$A$6:$A$65,0)),"")&lt;&gt;$C36),"商品不属于该公司",IF(AND($E36&lt;&gt;"加工费用",N($I36)=0),"数量为 0",IF(AND($E36="加工费用",N($J36)=0),"加工费金额为 0",IF(AND($E36="加工费用",ISNA(MATCH($K36,会计科目表!$B$6:$B$85,0))),"对方科目不存在",IF(YEAR($B36)&lt;&gt;参数设置!$B$5,"不在本会计年度","OK")))))))))))</f>
        <v>OK</v>
      </c>
      <c r="Q36" s="58" t="str">
        <f aca="false">IF($F36="","",IFERROR(INDEX(商品档案!$G$6:$G$65,MATCH($F36,商品档案!$A$6:$A$65,0)),""))</f>
        <v>原材料</v>
      </c>
      <c r="R36" s="59" t="n">
        <f aca="false">IF($F36="","",SUMIFS(进销存台账!$N$6:$N$65,进销存台账!$A$6:$A$65,$C36,进销存台账!$B$6:$B$65,$F36))</f>
        <v>13.4545454545455</v>
      </c>
      <c r="S36" s="60" t="n">
        <f aca="false">IF($E36="领用投入",ROUND(N($I36)*N($R36),2),IF($E36="加工费用",ROUND(N($J36),2),0))</f>
        <v>20181.82</v>
      </c>
      <c r="T36" s="60" t="n">
        <f aca="false">IF($E36&lt;&gt;"产成品入库",0,IF(SUMIFS($W$6:$W$305,$C$6:$C$305,$C36,$D$6:$D$305,$D36,$E$6:$E$305,"产成品入库")=0,0,ROUND(SUMIFS($S$6:$S$305,$C$6:$C$305,$C36,$D$6:$D$305,$D36)*N($X36)/SUMIFS($W$6:$W$305,$C$6:$C$305,$C36,$D$6:$D$305,$D36,$E$6:$E$305,"产成品入库"),2)-ROUND(SUMIFS($S$6:$S$305,$C$6:$C$305,$C36,$D$6:$D$305,$D36)*(N($X36)-N($W36))/SUMIFS($W$6:$W$305,$C$6:$C$305,$C36,$D$6:$D$305,$D36,$E$6:$E$305,"产成品入库"),2)))</f>
        <v>0</v>
      </c>
      <c r="U36" s="57" t="n">
        <f aca="false">IF($E36="","",ROUND($S36+$T36,2))</f>
        <v>20181.82</v>
      </c>
      <c r="V36" s="61" t="n">
        <f aca="false">IF($B36="","",YEAR($B36))</f>
        <v>2026</v>
      </c>
      <c r="W36" s="63" t="str">
        <f aca="false">IF($E36&lt;&gt;"产成品入库","",IF(N($M36)=0,1,N($M36)))</f>
        <v/>
      </c>
      <c r="X36" s="63" t="str">
        <f aca="false">IF($E36&lt;&gt;"产成品入库","",SUMIFS($W$6:$W36,$C$6:$C36,$C36,$D$6:$D36,$D36,$E$6:$E36,"产成品入库"))</f>
        <v/>
      </c>
    </row>
    <row r="37" customFormat="false" ht="15" hidden="false" customHeight="false" outlineLevel="0" collapsed="false">
      <c r="A37" s="53" t="n">
        <f aca="false">IF($B37="","",ROW()-5)</f>
        <v>32</v>
      </c>
      <c r="B37" s="54" t="n">
        <v>46249</v>
      </c>
      <c r="C37" s="33" t="s">
        <v>112</v>
      </c>
      <c r="D37" s="39" t="s">
        <v>701</v>
      </c>
      <c r="E37" s="33" t="s">
        <v>343</v>
      </c>
      <c r="F37" s="39"/>
      <c r="G37" s="48" t="str">
        <f aca="false">IF($F37="","",IFERROR(INDEX(商品档案!$B$6:$B$65,MATCH($F37,商品档案!$A$6:$A$65,0)),""))</f>
        <v/>
      </c>
      <c r="H37" s="55" t="str">
        <f aca="false">IF($F37="","",IFERROR(INDEX(商品档案!$D$6:$D$65,MATCH($F37,商品档案!$A$6:$A$65,0)),""))</f>
        <v/>
      </c>
      <c r="I37" s="49"/>
      <c r="J37" s="43" t="n">
        <v>12000</v>
      </c>
      <c r="K37" s="32" t="s">
        <v>138</v>
      </c>
      <c r="L37" s="33" t="s">
        <v>137</v>
      </c>
      <c r="M37" s="62"/>
      <c r="N37" s="32" t="s">
        <v>703</v>
      </c>
      <c r="O37" s="41"/>
      <c r="P37" s="25" t="str">
        <f aca="false">IF(AND($B37="",$E37=""),"",IF(NOT(ISNUMBER($B37)),"日期无效",IF(ISNA(MATCH($C37,参数设置!$A$10:$A$12,0)),"公司无效",IF($D37="","缺批次号",IF(ISNA(MATCH($E37,记账规则!$A$36:$A$38,0)),"业务类型无效",IF(AND($E37&lt;&gt;"加工费用",ISNA(MATCH($F37,商品档案!$A$6:$A$65,0))),"商品编码无效",IF(AND($E37&lt;&gt;"加工费用",IFERROR(INDEX(商品档案!$E$6:$E$65,MATCH($F37,商品档案!$A$6:$A$65,0)),"")&lt;&gt;$C37),"商品不属于该公司",IF(AND($E37&lt;&gt;"加工费用",N($I37)=0),"数量为 0",IF(AND($E37="加工费用",N($J37)=0),"加工费金额为 0",IF(AND($E37="加工费用",ISNA(MATCH($K37,会计科目表!$B$6:$B$85,0))),"对方科目不存在",IF(YEAR($B37)&lt;&gt;参数设置!$B$5,"不在本会计年度","OK")))))))))))</f>
        <v>OK</v>
      </c>
      <c r="Q37" s="58" t="str">
        <f aca="false">IF($F37="","",IFERROR(INDEX(商品档案!$G$6:$G$65,MATCH($F37,商品档案!$A$6:$A$65,0)),""))</f>
        <v/>
      </c>
      <c r="R37" s="59" t="str">
        <f aca="false">IF($F37="","",SUMIFS(进销存台账!$N$6:$N$65,进销存台账!$A$6:$A$65,$C37,进销存台账!$B$6:$B$65,$F37))</f>
        <v/>
      </c>
      <c r="S37" s="60" t="n">
        <f aca="false">IF($E37="领用投入",ROUND(N($I37)*N($R37),2),IF($E37="加工费用",ROUND(N($J37),2),0))</f>
        <v>12000</v>
      </c>
      <c r="T37" s="60" t="n">
        <f aca="false">IF($E37&lt;&gt;"产成品入库",0,IF(SUMIFS($W$6:$W$305,$C$6:$C$305,$C37,$D$6:$D$305,$D37,$E$6:$E$305,"产成品入库")=0,0,ROUND(SUMIFS($S$6:$S$305,$C$6:$C$305,$C37,$D$6:$D$305,$D37)*N($X37)/SUMIFS($W$6:$W$305,$C$6:$C$305,$C37,$D$6:$D$305,$D37,$E$6:$E$305,"产成品入库"),2)-ROUND(SUMIFS($S$6:$S$305,$C$6:$C$305,$C37,$D$6:$D$305,$D37)*(N($X37)-N($W37))/SUMIFS($W$6:$W$305,$C$6:$C$305,$C37,$D$6:$D$305,$D37,$E$6:$E$305,"产成品入库"),2)))</f>
        <v>0</v>
      </c>
      <c r="U37" s="57" t="n">
        <f aca="false">IF($E37="","",ROUND($S37+$T37,2))</f>
        <v>12000</v>
      </c>
      <c r="V37" s="61" t="n">
        <f aca="false">IF($B37="","",YEAR($B37))</f>
        <v>2026</v>
      </c>
      <c r="W37" s="63" t="str">
        <f aca="false">IF($E37&lt;&gt;"产成品入库","",IF(N($M37)=0,1,N($M37)))</f>
        <v/>
      </c>
      <c r="X37" s="63" t="str">
        <f aca="false">IF($E37&lt;&gt;"产成品入库","",SUMIFS($W$6:$W37,$C$6:$C37,$C37,$D$6:$D37,$D37,$E$6:$E37,"产成品入库"))</f>
        <v/>
      </c>
    </row>
    <row r="38" customFormat="false" ht="15" hidden="false" customHeight="false" outlineLevel="0" collapsed="false">
      <c r="A38" s="53" t="n">
        <f aca="false">IF($B38="","",ROW()-5)</f>
        <v>33</v>
      </c>
      <c r="B38" s="54" t="n">
        <v>46252</v>
      </c>
      <c r="C38" s="33" t="s">
        <v>112</v>
      </c>
      <c r="D38" s="39" t="s">
        <v>701</v>
      </c>
      <c r="E38" s="33" t="s">
        <v>345</v>
      </c>
      <c r="F38" s="39" t="s">
        <v>428</v>
      </c>
      <c r="G38" s="48" t="str">
        <f aca="false">IF($F38="","",IFERROR(INDEX(商品档案!$B$6:$B$65,MATCH($F38,商品档案!$A$6:$A$65,0)),""))</f>
        <v>艾草纯露</v>
      </c>
      <c r="H38" s="55" t="str">
        <f aca="false">IF($F38="","",IFERROR(INDEX(商品档案!$D$6:$D$65,MATCH($F38,商品档案!$A$6:$A$65,0)),""))</f>
        <v>瓶</v>
      </c>
      <c r="I38" s="49" t="n">
        <v>6500</v>
      </c>
      <c r="J38" s="43"/>
      <c r="K38" s="41"/>
      <c r="L38" s="39"/>
      <c r="M38" s="62" t="n">
        <v>1</v>
      </c>
      <c r="N38" s="32" t="s">
        <v>704</v>
      </c>
      <c r="O38" s="41"/>
      <c r="P38" s="25" t="str">
        <f aca="false">IF(AND($B38="",$E38=""),"",IF(NOT(ISNUMBER($B38)),"日期无效",IF(ISNA(MATCH($C38,参数设置!$A$10:$A$12,0)),"公司无效",IF($D38="","缺批次号",IF(ISNA(MATCH($E38,记账规则!$A$36:$A$38,0)),"业务类型无效",IF(AND($E38&lt;&gt;"加工费用",ISNA(MATCH($F38,商品档案!$A$6:$A$65,0))),"商品编码无效",IF(AND($E38&lt;&gt;"加工费用",IFERROR(INDEX(商品档案!$E$6:$E$65,MATCH($F38,商品档案!$A$6:$A$65,0)),"")&lt;&gt;$C38),"商品不属于该公司",IF(AND($E38&lt;&gt;"加工费用",N($I38)=0),"数量为 0",IF(AND($E38="加工费用",N($J38)=0),"加工费金额为 0",IF(AND($E38="加工费用",ISNA(MATCH($K38,会计科目表!$B$6:$B$85,0))),"对方科目不存在",IF(YEAR($B38)&lt;&gt;参数设置!$B$5,"不在本会计年度","OK")))))))))))</f>
        <v>OK</v>
      </c>
      <c r="Q38" s="58" t="str">
        <f aca="false">IF($F38="","",IFERROR(INDEX(商品档案!$G$6:$G$65,MATCH($F38,商品档案!$A$6:$A$65,0)),""))</f>
        <v>库存商品</v>
      </c>
      <c r="R38" s="59" t="n">
        <f aca="false">IF($F38="","",SUMIFS(进销存台账!$N$6:$N$65,进销存台账!$A$6:$A$65,$C38,进销存台账!$B$6:$B$65,$F38))</f>
        <v>4.95104923076923</v>
      </c>
      <c r="S38" s="60" t="n">
        <f aca="false">IF($E38="领用投入",ROUND(N($I38)*N($R38),2),IF($E38="加工费用",ROUND(N($J38),2),0))</f>
        <v>0</v>
      </c>
      <c r="T38" s="60" t="n">
        <f aca="false">IF($E38&lt;&gt;"产成品入库",0,IF(SUMIFS($W$6:$W$305,$C$6:$C$305,$C38,$D$6:$D$305,$D38,$E$6:$E$305,"产成品入库")=0,0,ROUND(SUMIFS($S$6:$S$305,$C$6:$C$305,$C38,$D$6:$D$305,$D38)*N($X38)/SUMIFS($W$6:$W$305,$C$6:$C$305,$C38,$D$6:$D$305,$D38,$E$6:$E$305,"产成品入库"),2)-ROUND(SUMIFS($S$6:$S$305,$C$6:$C$305,$C38,$D$6:$D$305,$D38)*(N($X38)-N($W38))/SUMIFS($W$6:$W$305,$C$6:$C$305,$C38,$D$6:$D$305,$D38,$E$6:$E$305,"产成品入库"),2)))</f>
        <v>32181.82</v>
      </c>
      <c r="U38" s="57" t="n">
        <f aca="false">IF($E38="","",ROUND($S38+$T38,2))</f>
        <v>32181.82</v>
      </c>
      <c r="V38" s="61" t="n">
        <f aca="false">IF($B38="","",YEAR($B38))</f>
        <v>2026</v>
      </c>
      <c r="W38" s="63" t="n">
        <f aca="false">IF($E38&lt;&gt;"产成品入库","",IF(N($M38)=0,1,N($M38)))</f>
        <v>1</v>
      </c>
      <c r="X38" s="63" t="n">
        <f aca="false">IF($E38&lt;&gt;"产成品入库","",SUMIFS($W$6:$W38,$C$6:$C38,$C38,$D$6:$D38,$D38,$E$6:$E38,"产成品入库"))</f>
        <v>1</v>
      </c>
    </row>
    <row r="39" customFormat="false" ht="15" hidden="false" customHeight="false" outlineLevel="0" collapsed="false">
      <c r="A39" s="53" t="n">
        <f aca="false">IF($B39="","",ROW()-5)</f>
        <v>34</v>
      </c>
      <c r="B39" s="54" t="n">
        <v>46266</v>
      </c>
      <c r="C39" s="33" t="s">
        <v>112</v>
      </c>
      <c r="D39" s="39" t="s">
        <v>705</v>
      </c>
      <c r="E39" s="33" t="s">
        <v>340</v>
      </c>
      <c r="F39" s="39" t="s">
        <v>417</v>
      </c>
      <c r="G39" s="48" t="str">
        <f aca="false">IF($F39="","",IFERROR(INDEX(商品档案!$B$6:$B$65,MATCH($F39,商品档案!$A$6:$A$65,0)),""))</f>
        <v>艾草精油原液</v>
      </c>
      <c r="H39" s="55" t="str">
        <f aca="false">IF($F39="","",IFERROR(INDEX(商品档案!$D$6:$D$65,MATCH($F39,商品档案!$A$6:$A$65,0)),""))</f>
        <v>公斤</v>
      </c>
      <c r="I39" s="49" t="n">
        <v>5</v>
      </c>
      <c r="J39" s="43"/>
      <c r="K39" s="41"/>
      <c r="L39" s="39"/>
      <c r="M39" s="62"/>
      <c r="N39" s="32" t="s">
        <v>697</v>
      </c>
      <c r="O39" s="41"/>
      <c r="P39" s="25" t="str">
        <f aca="false">IF(AND($B39="",$E39=""),"",IF(NOT(ISNUMBER($B39)),"日期无效",IF(ISNA(MATCH($C39,参数设置!$A$10:$A$12,0)),"公司无效",IF($D39="","缺批次号",IF(ISNA(MATCH($E39,记账规则!$A$36:$A$38,0)),"业务类型无效",IF(AND($E39&lt;&gt;"加工费用",ISNA(MATCH($F39,商品档案!$A$6:$A$65,0))),"商品编码无效",IF(AND($E39&lt;&gt;"加工费用",IFERROR(INDEX(商品档案!$E$6:$E$65,MATCH($F39,商品档案!$A$6:$A$65,0)),"")&lt;&gt;$C39),"商品不属于该公司",IF(AND($E39&lt;&gt;"加工费用",N($I39)=0),"数量为 0",IF(AND($E39="加工费用",N($J39)=0),"加工费金额为 0",IF(AND($E39="加工费用",ISNA(MATCH($K39,会计科目表!$B$6:$B$85,0))),"对方科目不存在",IF(YEAR($B39)&lt;&gt;参数设置!$B$5,"不在本会计年度","OK")))))))))))</f>
        <v>OK</v>
      </c>
      <c r="Q39" s="58" t="str">
        <f aca="false">IF($F39="","",IFERROR(INDEX(商品档案!$G$6:$G$65,MATCH($F39,商品档案!$A$6:$A$65,0)),""))</f>
        <v>库存商品</v>
      </c>
      <c r="R39" s="59" t="n">
        <f aca="false">IF($F39="","",SUMIFS(进销存台账!$N$6:$N$65,进销存台账!$A$6:$A$65,$C39,进销存台账!$B$6:$B$65,$F39))</f>
        <v>1125.93580882353</v>
      </c>
      <c r="S39" s="60" t="n">
        <f aca="false">IF($E39="领用投入",ROUND(N($I39)*N($R39),2),IF($E39="加工费用",ROUND(N($J39),2),0))</f>
        <v>5629.68</v>
      </c>
      <c r="T39" s="60" t="n">
        <f aca="false">IF($E39&lt;&gt;"产成品入库",0,IF(SUMIFS($W$6:$W$305,$C$6:$C$305,$C39,$D$6:$D$305,$D39,$E$6:$E$305,"产成品入库")=0,0,ROUND(SUMIFS($S$6:$S$305,$C$6:$C$305,$C39,$D$6:$D$305,$D39)*N($X39)/SUMIFS($W$6:$W$305,$C$6:$C$305,$C39,$D$6:$D$305,$D39,$E$6:$E$305,"产成品入库"),2)-ROUND(SUMIFS($S$6:$S$305,$C$6:$C$305,$C39,$D$6:$D$305,$D39)*(N($X39)-N($W39))/SUMIFS($W$6:$W$305,$C$6:$C$305,$C39,$D$6:$D$305,$D39,$E$6:$E$305,"产成品入库"),2)))</f>
        <v>0</v>
      </c>
      <c r="U39" s="57" t="n">
        <f aca="false">IF($E39="","",ROUND($S39+$T39,2))</f>
        <v>5629.68</v>
      </c>
      <c r="V39" s="61" t="n">
        <f aca="false">IF($B39="","",YEAR($B39))</f>
        <v>2026</v>
      </c>
      <c r="W39" s="63" t="str">
        <f aca="false">IF($E39&lt;&gt;"产成品入库","",IF(N($M39)=0,1,N($M39)))</f>
        <v/>
      </c>
      <c r="X39" s="63" t="str">
        <f aca="false">IF($E39&lt;&gt;"产成品入库","",SUMIFS($W$6:$W39,$C$6:$C39,$C39,$D$6:$D39,$D39,$E$6:$E39,"产成品入库"))</f>
        <v/>
      </c>
    </row>
    <row r="40" customFormat="false" ht="15" hidden="false" customHeight="false" outlineLevel="0" collapsed="false">
      <c r="A40" s="53" t="n">
        <f aca="false">IF($B40="","",ROW()-5)</f>
        <v>35</v>
      </c>
      <c r="B40" s="54" t="n">
        <v>46266</v>
      </c>
      <c r="C40" s="33" t="s">
        <v>112</v>
      </c>
      <c r="D40" s="39" t="s">
        <v>705</v>
      </c>
      <c r="E40" s="33" t="s">
        <v>343</v>
      </c>
      <c r="F40" s="39"/>
      <c r="G40" s="48" t="str">
        <f aca="false">IF($F40="","",IFERROR(INDEX(商品档案!$B$6:$B$65,MATCH($F40,商品档案!$A$6:$A$65,0)),""))</f>
        <v/>
      </c>
      <c r="H40" s="55" t="str">
        <f aca="false">IF($F40="","",IFERROR(INDEX(商品档案!$D$6:$D$65,MATCH($F40,商品档案!$A$6:$A$65,0)),""))</f>
        <v/>
      </c>
      <c r="I40" s="49"/>
      <c r="J40" s="43" t="n">
        <v>18000</v>
      </c>
      <c r="K40" s="32" t="s">
        <v>138</v>
      </c>
      <c r="L40" s="33" t="s">
        <v>137</v>
      </c>
      <c r="M40" s="62"/>
      <c r="N40" s="32" t="s">
        <v>706</v>
      </c>
      <c r="O40" s="41"/>
      <c r="P40" s="25" t="str">
        <f aca="false">IF(AND($B40="",$E40=""),"",IF(NOT(ISNUMBER($B40)),"日期无效",IF(ISNA(MATCH($C40,参数设置!$A$10:$A$12,0)),"公司无效",IF($D40="","缺批次号",IF(ISNA(MATCH($E40,记账规则!$A$36:$A$38,0)),"业务类型无效",IF(AND($E40&lt;&gt;"加工费用",ISNA(MATCH($F40,商品档案!$A$6:$A$65,0))),"商品编码无效",IF(AND($E40&lt;&gt;"加工费用",IFERROR(INDEX(商品档案!$E$6:$E$65,MATCH($F40,商品档案!$A$6:$A$65,0)),"")&lt;&gt;$C40),"商品不属于该公司",IF(AND($E40&lt;&gt;"加工费用",N($I40)=0),"数量为 0",IF(AND($E40="加工费用",N($J40)=0),"加工费金额为 0",IF(AND($E40="加工费用",ISNA(MATCH($K40,会计科目表!$B$6:$B$85,0))),"对方科目不存在",IF(YEAR($B40)&lt;&gt;参数设置!$B$5,"不在本会计年度","OK")))))))))))</f>
        <v>OK</v>
      </c>
      <c r="Q40" s="58" t="str">
        <f aca="false">IF($F40="","",IFERROR(INDEX(商品档案!$G$6:$G$65,MATCH($F40,商品档案!$A$6:$A$65,0)),""))</f>
        <v/>
      </c>
      <c r="R40" s="59" t="str">
        <f aca="false">IF($F40="","",SUMIFS(进销存台账!$N$6:$N$65,进销存台账!$A$6:$A$65,$C40,进销存台账!$B$6:$B$65,$F40))</f>
        <v/>
      </c>
      <c r="S40" s="60" t="n">
        <f aca="false">IF($E40="领用投入",ROUND(N($I40)*N($R40),2),IF($E40="加工费用",ROUND(N($J40),2),0))</f>
        <v>18000</v>
      </c>
      <c r="T40" s="60" t="n">
        <f aca="false">IF($E40&lt;&gt;"产成品入库",0,IF(SUMIFS($W$6:$W$305,$C$6:$C$305,$C40,$D$6:$D$305,$D40,$E$6:$E$305,"产成品入库")=0,0,ROUND(SUMIFS($S$6:$S$305,$C$6:$C$305,$C40,$D$6:$D$305,$D40)*N($X40)/SUMIFS($W$6:$W$305,$C$6:$C$305,$C40,$D$6:$D$305,$D40,$E$6:$E$305,"产成品入库"),2)-ROUND(SUMIFS($S$6:$S$305,$C$6:$C$305,$C40,$D$6:$D$305,$D40)*(N($X40)-N($W40))/SUMIFS($W$6:$W$305,$C$6:$C$305,$C40,$D$6:$D$305,$D40,$E$6:$E$305,"产成品入库"),2)))</f>
        <v>0</v>
      </c>
      <c r="U40" s="57" t="n">
        <f aca="false">IF($E40="","",ROUND($S40+$T40,2))</f>
        <v>18000</v>
      </c>
      <c r="V40" s="61" t="n">
        <f aca="false">IF($B40="","",YEAR($B40))</f>
        <v>2026</v>
      </c>
      <c r="W40" s="63" t="str">
        <f aca="false">IF($E40&lt;&gt;"产成品入库","",IF(N($M40)=0,1,N($M40)))</f>
        <v/>
      </c>
      <c r="X40" s="63" t="str">
        <f aca="false">IF($E40&lt;&gt;"产成品入库","",SUMIFS($W$6:$W40,$C$6:$C40,$C40,$D$6:$D40,$D40,$E$6:$E40,"产成品入库"))</f>
        <v/>
      </c>
    </row>
    <row r="41" customFormat="false" ht="15" hidden="false" customHeight="false" outlineLevel="0" collapsed="false">
      <c r="A41" s="53" t="n">
        <f aca="false">IF($B41="","",ROW()-5)</f>
        <v>36</v>
      </c>
      <c r="B41" s="54" t="n">
        <v>46268</v>
      </c>
      <c r="C41" s="33" t="s">
        <v>112</v>
      </c>
      <c r="D41" s="39" t="s">
        <v>705</v>
      </c>
      <c r="E41" s="33" t="s">
        <v>345</v>
      </c>
      <c r="F41" s="39" t="s">
        <v>432</v>
      </c>
      <c r="G41" s="48" t="str">
        <f aca="false">IF($F41="","",IFERROR(INDEX(商品档案!$B$6:$B$65,MATCH($F41,商品档案!$A$6:$A$65,0)),""))</f>
        <v>艾草精油皂</v>
      </c>
      <c r="H41" s="55" t="str">
        <f aca="false">IF($F41="","",IFERROR(INDEX(商品档案!$D$6:$D$65,MATCH($F41,商品档案!$A$6:$A$65,0)),""))</f>
        <v>块</v>
      </c>
      <c r="I41" s="49" t="n">
        <v>5000</v>
      </c>
      <c r="J41" s="43"/>
      <c r="K41" s="41"/>
      <c r="L41" s="39"/>
      <c r="M41" s="62" t="n">
        <v>1</v>
      </c>
      <c r="N41" s="32" t="s">
        <v>707</v>
      </c>
      <c r="O41" s="41"/>
      <c r="P41" s="25" t="str">
        <f aca="false">IF(AND($B41="",$E41=""),"",IF(NOT(ISNUMBER($B41)),"日期无效",IF(ISNA(MATCH($C41,参数设置!$A$10:$A$12,0)),"公司无效",IF($D41="","缺批次号",IF(ISNA(MATCH($E41,记账规则!$A$36:$A$38,0)),"业务类型无效",IF(AND($E41&lt;&gt;"加工费用",ISNA(MATCH($F41,商品档案!$A$6:$A$65,0))),"商品编码无效",IF(AND($E41&lt;&gt;"加工费用",IFERROR(INDEX(商品档案!$E$6:$E$65,MATCH($F41,商品档案!$A$6:$A$65,0)),"")&lt;&gt;$C41),"商品不属于该公司",IF(AND($E41&lt;&gt;"加工费用",N($I41)=0),"数量为 0",IF(AND($E41="加工费用",N($J41)=0),"加工费金额为 0",IF(AND($E41="加工费用",ISNA(MATCH($K41,会计科目表!$B$6:$B$85,0))),"对方科目不存在",IF(YEAR($B41)&lt;&gt;参数设置!$B$5,"不在本会计年度","OK")))))))))))</f>
        <v>OK</v>
      </c>
      <c r="Q41" s="58" t="str">
        <f aca="false">IF($F41="","",IFERROR(INDEX(商品档案!$G$6:$G$65,MATCH($F41,商品档案!$A$6:$A$65,0)),""))</f>
        <v>库存商品</v>
      </c>
      <c r="R41" s="59" t="n">
        <f aca="false">IF($F41="","",SUMIFS(进销存台账!$N$6:$N$65,进销存台账!$A$6:$A$65,$C41,进销存台账!$B$6:$B$65,$F41))</f>
        <v>4.725936</v>
      </c>
      <c r="S41" s="60" t="n">
        <f aca="false">IF($E41="领用投入",ROUND(N($I41)*N($R41),2),IF($E41="加工费用",ROUND(N($J41),2),0))</f>
        <v>0</v>
      </c>
      <c r="T41" s="60" t="n">
        <f aca="false">IF($E41&lt;&gt;"产成品入库",0,IF(SUMIFS($W$6:$W$305,$C$6:$C$305,$C41,$D$6:$D$305,$D41,$E$6:$E$305,"产成品入库")=0,0,ROUND(SUMIFS($S$6:$S$305,$C$6:$C$305,$C41,$D$6:$D$305,$D41)*N($X41)/SUMIFS($W$6:$W$305,$C$6:$C$305,$C41,$D$6:$D$305,$D41,$E$6:$E$305,"产成品入库"),2)-ROUND(SUMIFS($S$6:$S$305,$C$6:$C$305,$C41,$D$6:$D$305,$D41)*(N($X41)-N($W41))/SUMIFS($W$6:$W$305,$C$6:$C$305,$C41,$D$6:$D$305,$D41,$E$6:$E$305,"产成品入库"),2)))</f>
        <v>23629.68</v>
      </c>
      <c r="U41" s="57" t="n">
        <f aca="false">IF($E41="","",ROUND($S41+$T41,2))</f>
        <v>23629.68</v>
      </c>
      <c r="V41" s="61" t="n">
        <f aca="false">IF($B41="","",YEAR($B41))</f>
        <v>2026</v>
      </c>
      <c r="W41" s="63" t="n">
        <f aca="false">IF($E41&lt;&gt;"产成品入库","",IF(N($M41)=0,1,N($M41)))</f>
        <v>1</v>
      </c>
      <c r="X41" s="63" t="n">
        <f aca="false">IF($E41&lt;&gt;"产成品入库","",SUMIFS($W$6:$W41,$C$6:$C41,$C41,$D$6:$D41,$D41,$E$6:$E41,"产成品入库"))</f>
        <v>1</v>
      </c>
    </row>
    <row r="42" customFormat="false" ht="15" hidden="false" customHeight="false" outlineLevel="0" collapsed="false">
      <c r="A42" s="53" t="str">
        <f aca="false">IF($B42="","",ROW()-5)</f>
        <v/>
      </c>
      <c r="B42" s="54"/>
      <c r="C42" s="33"/>
      <c r="D42" s="39"/>
      <c r="E42" s="33"/>
      <c r="F42" s="39"/>
      <c r="G42" s="48" t="str">
        <f aca="false">IF($F42="","",IFERROR(INDEX(商品档案!$B$6:$B$65,MATCH($F42,商品档案!$A$6:$A$65,0)),""))</f>
        <v/>
      </c>
      <c r="H42" s="55" t="str">
        <f aca="false">IF($F42="","",IFERROR(INDEX(商品档案!$D$6:$D$65,MATCH($F42,商品档案!$A$6:$A$65,0)),""))</f>
        <v/>
      </c>
      <c r="I42" s="49"/>
      <c r="J42" s="43"/>
      <c r="K42" s="41"/>
      <c r="L42" s="39"/>
      <c r="M42" s="62"/>
      <c r="N42" s="41"/>
      <c r="O42" s="41"/>
      <c r="P42" s="25" t="str">
        <f aca="false">IF(AND($B42="",$E42=""),"",IF(NOT(ISNUMBER($B42)),"日期无效",IF(ISNA(MATCH($C42,参数设置!$A$10:$A$12,0)),"公司无效",IF($D42="","缺批次号",IF(ISNA(MATCH($E42,记账规则!$A$36:$A$38,0)),"业务类型无效",IF(AND($E42&lt;&gt;"加工费用",ISNA(MATCH($F42,商品档案!$A$6:$A$65,0))),"商品编码无效",IF(AND($E42&lt;&gt;"加工费用",IFERROR(INDEX(商品档案!$E$6:$E$65,MATCH($F42,商品档案!$A$6:$A$65,0)),"")&lt;&gt;$C42),"商品不属于该公司",IF(AND($E42&lt;&gt;"加工费用",N($I42)=0),"数量为 0",IF(AND($E42="加工费用",N($J42)=0),"加工费金额为 0",IF(AND($E42="加工费用",ISNA(MATCH($K42,会计科目表!$B$6:$B$85,0))),"对方科目不存在",IF(YEAR($B42)&lt;&gt;参数设置!$B$5,"不在本会计年度","OK")))))))))))</f>
        <v/>
      </c>
      <c r="Q42" s="58" t="str">
        <f aca="false">IF($F42="","",IFERROR(INDEX(商品档案!$G$6:$G$65,MATCH($F42,商品档案!$A$6:$A$65,0)),""))</f>
        <v/>
      </c>
      <c r="R42" s="59" t="str">
        <f aca="false">IF($F42="","",SUMIFS(进销存台账!$N$6:$N$65,进销存台账!$A$6:$A$65,$C42,进销存台账!$B$6:$B$65,$F42))</f>
        <v/>
      </c>
      <c r="S42" s="60" t="n">
        <f aca="false">IF($E42="领用投入",ROUND(N($I42)*N($R42),2),IF($E42="加工费用",ROUND(N($J42),2),0))</f>
        <v>0</v>
      </c>
      <c r="T42" s="60" t="n">
        <f aca="false">IF($E42&lt;&gt;"产成品入库",0,IF(SUMIFS($W$6:$W$305,$C$6:$C$305,$C42,$D$6:$D$305,$D42,$E$6:$E$305,"产成品入库")=0,0,ROUND(SUMIFS($S$6:$S$305,$C$6:$C$305,$C42,$D$6:$D$305,$D42)*N($X42)/SUMIFS($W$6:$W$305,$C$6:$C$305,$C42,$D$6:$D$305,$D42,$E$6:$E$305,"产成品入库"),2)-ROUND(SUMIFS($S$6:$S$305,$C$6:$C$305,$C42,$D$6:$D$305,$D42)*(N($X42)-N($W42))/SUMIFS($W$6:$W$305,$C$6:$C$305,$C42,$D$6:$D$305,$D42,$E$6:$E$305,"产成品入库"),2)))</f>
        <v>0</v>
      </c>
      <c r="U42" s="57" t="str">
        <f aca="false">IF($E42="","",ROUND($S42+$T42,2))</f>
        <v/>
      </c>
      <c r="V42" s="61" t="str">
        <f aca="false">IF($B42="","",YEAR($B42))</f>
        <v/>
      </c>
      <c r="W42" s="63" t="str">
        <f aca="false">IF($E42&lt;&gt;"产成品入库","",IF(N($M42)=0,1,N($M42)))</f>
        <v/>
      </c>
      <c r="X42" s="63" t="str">
        <f aca="false">IF($E42&lt;&gt;"产成品入库","",SUMIFS($W$6:$W42,$C$6:$C42,$C42,$D$6:$D42,$D42,$E$6:$E42,"产成品入库"))</f>
        <v/>
      </c>
    </row>
    <row r="43" customFormat="false" ht="15" hidden="false" customHeight="false" outlineLevel="0" collapsed="false">
      <c r="A43" s="53" t="str">
        <f aca="false">IF($B43="","",ROW()-5)</f>
        <v/>
      </c>
      <c r="B43" s="54"/>
      <c r="C43" s="33"/>
      <c r="D43" s="39"/>
      <c r="E43" s="33"/>
      <c r="F43" s="39"/>
      <c r="G43" s="48" t="str">
        <f aca="false">IF($F43="","",IFERROR(INDEX(商品档案!$B$6:$B$65,MATCH($F43,商品档案!$A$6:$A$65,0)),""))</f>
        <v/>
      </c>
      <c r="H43" s="55" t="str">
        <f aca="false">IF($F43="","",IFERROR(INDEX(商品档案!$D$6:$D$65,MATCH($F43,商品档案!$A$6:$A$65,0)),""))</f>
        <v/>
      </c>
      <c r="I43" s="49"/>
      <c r="J43" s="43"/>
      <c r="K43" s="41"/>
      <c r="L43" s="39"/>
      <c r="M43" s="62"/>
      <c r="N43" s="41"/>
      <c r="O43" s="41"/>
      <c r="P43" s="25" t="str">
        <f aca="false">IF(AND($B43="",$E43=""),"",IF(NOT(ISNUMBER($B43)),"日期无效",IF(ISNA(MATCH($C43,参数设置!$A$10:$A$12,0)),"公司无效",IF($D43="","缺批次号",IF(ISNA(MATCH($E43,记账规则!$A$36:$A$38,0)),"业务类型无效",IF(AND($E43&lt;&gt;"加工费用",ISNA(MATCH($F43,商品档案!$A$6:$A$65,0))),"商品编码无效",IF(AND($E43&lt;&gt;"加工费用",IFERROR(INDEX(商品档案!$E$6:$E$65,MATCH($F43,商品档案!$A$6:$A$65,0)),"")&lt;&gt;$C43),"商品不属于该公司",IF(AND($E43&lt;&gt;"加工费用",N($I43)=0),"数量为 0",IF(AND($E43="加工费用",N($J43)=0),"加工费金额为 0",IF(AND($E43="加工费用",ISNA(MATCH($K43,会计科目表!$B$6:$B$85,0))),"对方科目不存在",IF(YEAR($B43)&lt;&gt;参数设置!$B$5,"不在本会计年度","OK")))))))))))</f>
        <v/>
      </c>
      <c r="Q43" s="58" t="str">
        <f aca="false">IF($F43="","",IFERROR(INDEX(商品档案!$G$6:$G$65,MATCH($F43,商品档案!$A$6:$A$65,0)),""))</f>
        <v/>
      </c>
      <c r="R43" s="59" t="str">
        <f aca="false">IF($F43="","",SUMIFS(进销存台账!$N$6:$N$65,进销存台账!$A$6:$A$65,$C43,进销存台账!$B$6:$B$65,$F43))</f>
        <v/>
      </c>
      <c r="S43" s="60" t="n">
        <f aca="false">IF($E43="领用投入",ROUND(N($I43)*N($R43),2),IF($E43="加工费用",ROUND(N($J43),2),0))</f>
        <v>0</v>
      </c>
      <c r="T43" s="60" t="n">
        <f aca="false">IF($E43&lt;&gt;"产成品入库",0,IF(SUMIFS($W$6:$W$305,$C$6:$C$305,$C43,$D$6:$D$305,$D43,$E$6:$E$305,"产成品入库")=0,0,ROUND(SUMIFS($S$6:$S$305,$C$6:$C$305,$C43,$D$6:$D$305,$D43)*N($X43)/SUMIFS($W$6:$W$305,$C$6:$C$305,$C43,$D$6:$D$305,$D43,$E$6:$E$305,"产成品入库"),2)-ROUND(SUMIFS($S$6:$S$305,$C$6:$C$305,$C43,$D$6:$D$305,$D43)*(N($X43)-N($W43))/SUMIFS($W$6:$W$305,$C$6:$C$305,$C43,$D$6:$D$305,$D43,$E$6:$E$305,"产成品入库"),2)))</f>
        <v>0</v>
      </c>
      <c r="U43" s="57" t="str">
        <f aca="false">IF($E43="","",ROUND($S43+$T43,2))</f>
        <v/>
      </c>
      <c r="V43" s="61" t="str">
        <f aca="false">IF($B43="","",YEAR($B43))</f>
        <v/>
      </c>
      <c r="W43" s="63" t="str">
        <f aca="false">IF($E43&lt;&gt;"产成品入库","",IF(N($M43)=0,1,N($M43)))</f>
        <v/>
      </c>
      <c r="X43" s="63" t="str">
        <f aca="false">IF($E43&lt;&gt;"产成品入库","",SUMIFS($W$6:$W43,$C$6:$C43,$C43,$D$6:$D43,$D43,$E$6:$E43,"产成品入库"))</f>
        <v/>
      </c>
    </row>
    <row r="44" customFormat="false" ht="15" hidden="false" customHeight="false" outlineLevel="0" collapsed="false">
      <c r="A44" s="53" t="str">
        <f aca="false">IF($B44="","",ROW()-5)</f>
        <v/>
      </c>
      <c r="B44" s="54"/>
      <c r="C44" s="33"/>
      <c r="D44" s="39"/>
      <c r="E44" s="33"/>
      <c r="F44" s="39"/>
      <c r="G44" s="48" t="str">
        <f aca="false">IF($F44="","",IFERROR(INDEX(商品档案!$B$6:$B$65,MATCH($F44,商品档案!$A$6:$A$65,0)),""))</f>
        <v/>
      </c>
      <c r="H44" s="55" t="str">
        <f aca="false">IF($F44="","",IFERROR(INDEX(商品档案!$D$6:$D$65,MATCH($F44,商品档案!$A$6:$A$65,0)),""))</f>
        <v/>
      </c>
      <c r="I44" s="49"/>
      <c r="J44" s="43"/>
      <c r="K44" s="41"/>
      <c r="L44" s="39"/>
      <c r="M44" s="62"/>
      <c r="N44" s="41"/>
      <c r="O44" s="41"/>
      <c r="P44" s="25" t="str">
        <f aca="false">IF(AND($B44="",$E44=""),"",IF(NOT(ISNUMBER($B44)),"日期无效",IF(ISNA(MATCH($C44,参数设置!$A$10:$A$12,0)),"公司无效",IF($D44="","缺批次号",IF(ISNA(MATCH($E44,记账规则!$A$36:$A$38,0)),"业务类型无效",IF(AND($E44&lt;&gt;"加工费用",ISNA(MATCH($F44,商品档案!$A$6:$A$65,0))),"商品编码无效",IF(AND($E44&lt;&gt;"加工费用",IFERROR(INDEX(商品档案!$E$6:$E$65,MATCH($F44,商品档案!$A$6:$A$65,0)),"")&lt;&gt;$C44),"商品不属于该公司",IF(AND($E44&lt;&gt;"加工费用",N($I44)=0),"数量为 0",IF(AND($E44="加工费用",N($J44)=0),"加工费金额为 0",IF(AND($E44="加工费用",ISNA(MATCH($K44,会计科目表!$B$6:$B$85,0))),"对方科目不存在",IF(YEAR($B44)&lt;&gt;参数设置!$B$5,"不在本会计年度","OK")))))))))))</f>
        <v/>
      </c>
      <c r="Q44" s="58" t="str">
        <f aca="false">IF($F44="","",IFERROR(INDEX(商品档案!$G$6:$G$65,MATCH($F44,商品档案!$A$6:$A$65,0)),""))</f>
        <v/>
      </c>
      <c r="R44" s="59" t="str">
        <f aca="false">IF($F44="","",SUMIFS(进销存台账!$N$6:$N$65,进销存台账!$A$6:$A$65,$C44,进销存台账!$B$6:$B$65,$F44))</f>
        <v/>
      </c>
      <c r="S44" s="60" t="n">
        <f aca="false">IF($E44="领用投入",ROUND(N($I44)*N($R44),2),IF($E44="加工费用",ROUND(N($J44),2),0))</f>
        <v>0</v>
      </c>
      <c r="T44" s="60" t="n">
        <f aca="false">IF($E44&lt;&gt;"产成品入库",0,IF(SUMIFS($W$6:$W$305,$C$6:$C$305,$C44,$D$6:$D$305,$D44,$E$6:$E$305,"产成品入库")=0,0,ROUND(SUMIFS($S$6:$S$305,$C$6:$C$305,$C44,$D$6:$D$305,$D44)*N($X44)/SUMIFS($W$6:$W$305,$C$6:$C$305,$C44,$D$6:$D$305,$D44,$E$6:$E$305,"产成品入库"),2)-ROUND(SUMIFS($S$6:$S$305,$C$6:$C$305,$C44,$D$6:$D$305,$D44)*(N($X44)-N($W44))/SUMIFS($W$6:$W$305,$C$6:$C$305,$C44,$D$6:$D$305,$D44,$E$6:$E$305,"产成品入库"),2)))</f>
        <v>0</v>
      </c>
      <c r="U44" s="57" t="str">
        <f aca="false">IF($E44="","",ROUND($S44+$T44,2))</f>
        <v/>
      </c>
      <c r="V44" s="61" t="str">
        <f aca="false">IF($B44="","",YEAR($B44))</f>
        <v/>
      </c>
      <c r="W44" s="63" t="str">
        <f aca="false">IF($E44&lt;&gt;"产成品入库","",IF(N($M44)=0,1,N($M44)))</f>
        <v/>
      </c>
      <c r="X44" s="63" t="str">
        <f aca="false">IF($E44&lt;&gt;"产成品入库","",SUMIFS($W$6:$W44,$C$6:$C44,$C44,$D$6:$D44,$D44,$E$6:$E44,"产成品入库"))</f>
        <v/>
      </c>
    </row>
    <row r="45" customFormat="false" ht="15" hidden="false" customHeight="false" outlineLevel="0" collapsed="false">
      <c r="A45" s="53" t="str">
        <f aca="false">IF($B45="","",ROW()-5)</f>
        <v/>
      </c>
      <c r="B45" s="54"/>
      <c r="C45" s="33"/>
      <c r="D45" s="39"/>
      <c r="E45" s="33"/>
      <c r="F45" s="39"/>
      <c r="G45" s="48" t="str">
        <f aca="false">IF($F45="","",IFERROR(INDEX(商品档案!$B$6:$B$65,MATCH($F45,商品档案!$A$6:$A$65,0)),""))</f>
        <v/>
      </c>
      <c r="H45" s="55" t="str">
        <f aca="false">IF($F45="","",IFERROR(INDEX(商品档案!$D$6:$D$65,MATCH($F45,商品档案!$A$6:$A$65,0)),""))</f>
        <v/>
      </c>
      <c r="I45" s="49"/>
      <c r="J45" s="43"/>
      <c r="K45" s="41"/>
      <c r="L45" s="39"/>
      <c r="M45" s="62"/>
      <c r="N45" s="41"/>
      <c r="O45" s="41"/>
      <c r="P45" s="25" t="str">
        <f aca="false">IF(AND($B45="",$E45=""),"",IF(NOT(ISNUMBER($B45)),"日期无效",IF(ISNA(MATCH($C45,参数设置!$A$10:$A$12,0)),"公司无效",IF($D45="","缺批次号",IF(ISNA(MATCH($E45,记账规则!$A$36:$A$38,0)),"业务类型无效",IF(AND($E45&lt;&gt;"加工费用",ISNA(MATCH($F45,商品档案!$A$6:$A$65,0))),"商品编码无效",IF(AND($E45&lt;&gt;"加工费用",IFERROR(INDEX(商品档案!$E$6:$E$65,MATCH($F45,商品档案!$A$6:$A$65,0)),"")&lt;&gt;$C45),"商品不属于该公司",IF(AND($E45&lt;&gt;"加工费用",N($I45)=0),"数量为 0",IF(AND($E45="加工费用",N($J45)=0),"加工费金额为 0",IF(AND($E45="加工费用",ISNA(MATCH($K45,会计科目表!$B$6:$B$85,0))),"对方科目不存在",IF(YEAR($B45)&lt;&gt;参数设置!$B$5,"不在本会计年度","OK")))))))))))</f>
        <v/>
      </c>
      <c r="Q45" s="58" t="str">
        <f aca="false">IF($F45="","",IFERROR(INDEX(商品档案!$G$6:$G$65,MATCH($F45,商品档案!$A$6:$A$65,0)),""))</f>
        <v/>
      </c>
      <c r="R45" s="59" t="str">
        <f aca="false">IF($F45="","",SUMIFS(进销存台账!$N$6:$N$65,进销存台账!$A$6:$A$65,$C45,进销存台账!$B$6:$B$65,$F45))</f>
        <v/>
      </c>
      <c r="S45" s="60" t="n">
        <f aca="false">IF($E45="领用投入",ROUND(N($I45)*N($R45),2),IF($E45="加工费用",ROUND(N($J45),2),0))</f>
        <v>0</v>
      </c>
      <c r="T45" s="60" t="n">
        <f aca="false">IF($E45&lt;&gt;"产成品入库",0,IF(SUMIFS($W$6:$W$305,$C$6:$C$305,$C45,$D$6:$D$305,$D45,$E$6:$E$305,"产成品入库")=0,0,ROUND(SUMIFS($S$6:$S$305,$C$6:$C$305,$C45,$D$6:$D$305,$D45)*N($X45)/SUMIFS($W$6:$W$305,$C$6:$C$305,$C45,$D$6:$D$305,$D45,$E$6:$E$305,"产成品入库"),2)-ROUND(SUMIFS($S$6:$S$305,$C$6:$C$305,$C45,$D$6:$D$305,$D45)*(N($X45)-N($W45))/SUMIFS($W$6:$W$305,$C$6:$C$305,$C45,$D$6:$D$305,$D45,$E$6:$E$305,"产成品入库"),2)))</f>
        <v>0</v>
      </c>
      <c r="U45" s="57" t="str">
        <f aca="false">IF($E45="","",ROUND($S45+$T45,2))</f>
        <v/>
      </c>
      <c r="V45" s="61" t="str">
        <f aca="false">IF($B45="","",YEAR($B45))</f>
        <v/>
      </c>
      <c r="W45" s="63" t="str">
        <f aca="false">IF($E45&lt;&gt;"产成品入库","",IF(N($M45)=0,1,N($M45)))</f>
        <v/>
      </c>
      <c r="X45" s="63" t="str">
        <f aca="false">IF($E45&lt;&gt;"产成品入库","",SUMIFS($W$6:$W45,$C$6:$C45,$C45,$D$6:$D45,$D45,$E$6:$E45,"产成品入库"))</f>
        <v/>
      </c>
    </row>
    <row r="46" customFormat="false" ht="15" hidden="false" customHeight="false" outlineLevel="0" collapsed="false">
      <c r="A46" s="53" t="str">
        <f aca="false">IF($B46="","",ROW()-5)</f>
        <v/>
      </c>
      <c r="B46" s="54"/>
      <c r="C46" s="33"/>
      <c r="D46" s="39"/>
      <c r="E46" s="33"/>
      <c r="F46" s="39"/>
      <c r="G46" s="48" t="str">
        <f aca="false">IF($F46="","",IFERROR(INDEX(商品档案!$B$6:$B$65,MATCH($F46,商品档案!$A$6:$A$65,0)),""))</f>
        <v/>
      </c>
      <c r="H46" s="55" t="str">
        <f aca="false">IF($F46="","",IFERROR(INDEX(商品档案!$D$6:$D$65,MATCH($F46,商品档案!$A$6:$A$65,0)),""))</f>
        <v/>
      </c>
      <c r="I46" s="49"/>
      <c r="J46" s="43"/>
      <c r="K46" s="41"/>
      <c r="L46" s="39"/>
      <c r="M46" s="62"/>
      <c r="N46" s="41"/>
      <c r="O46" s="41"/>
      <c r="P46" s="25" t="str">
        <f aca="false">IF(AND($B46="",$E46=""),"",IF(NOT(ISNUMBER($B46)),"日期无效",IF(ISNA(MATCH($C46,参数设置!$A$10:$A$12,0)),"公司无效",IF($D46="","缺批次号",IF(ISNA(MATCH($E46,记账规则!$A$36:$A$38,0)),"业务类型无效",IF(AND($E46&lt;&gt;"加工费用",ISNA(MATCH($F46,商品档案!$A$6:$A$65,0))),"商品编码无效",IF(AND($E46&lt;&gt;"加工费用",IFERROR(INDEX(商品档案!$E$6:$E$65,MATCH($F46,商品档案!$A$6:$A$65,0)),"")&lt;&gt;$C46),"商品不属于该公司",IF(AND($E46&lt;&gt;"加工费用",N($I46)=0),"数量为 0",IF(AND($E46="加工费用",N($J46)=0),"加工费金额为 0",IF(AND($E46="加工费用",ISNA(MATCH($K46,会计科目表!$B$6:$B$85,0))),"对方科目不存在",IF(YEAR($B46)&lt;&gt;参数设置!$B$5,"不在本会计年度","OK")))))))))))</f>
        <v/>
      </c>
      <c r="Q46" s="58" t="str">
        <f aca="false">IF($F46="","",IFERROR(INDEX(商品档案!$G$6:$G$65,MATCH($F46,商品档案!$A$6:$A$65,0)),""))</f>
        <v/>
      </c>
      <c r="R46" s="59" t="str">
        <f aca="false">IF($F46="","",SUMIFS(进销存台账!$N$6:$N$65,进销存台账!$A$6:$A$65,$C46,进销存台账!$B$6:$B$65,$F46))</f>
        <v/>
      </c>
      <c r="S46" s="60" t="n">
        <f aca="false">IF($E46="领用投入",ROUND(N($I46)*N($R46),2),IF($E46="加工费用",ROUND(N($J46),2),0))</f>
        <v>0</v>
      </c>
      <c r="T46" s="60" t="n">
        <f aca="false">IF($E46&lt;&gt;"产成品入库",0,IF(SUMIFS($W$6:$W$305,$C$6:$C$305,$C46,$D$6:$D$305,$D46,$E$6:$E$305,"产成品入库")=0,0,ROUND(SUMIFS($S$6:$S$305,$C$6:$C$305,$C46,$D$6:$D$305,$D46)*N($X46)/SUMIFS($W$6:$W$305,$C$6:$C$305,$C46,$D$6:$D$305,$D46,$E$6:$E$305,"产成品入库"),2)-ROUND(SUMIFS($S$6:$S$305,$C$6:$C$305,$C46,$D$6:$D$305,$D46)*(N($X46)-N($W46))/SUMIFS($W$6:$W$305,$C$6:$C$305,$C46,$D$6:$D$305,$D46,$E$6:$E$305,"产成品入库"),2)))</f>
        <v>0</v>
      </c>
      <c r="U46" s="57" t="str">
        <f aca="false">IF($E46="","",ROUND($S46+$T46,2))</f>
        <v/>
      </c>
      <c r="V46" s="61" t="str">
        <f aca="false">IF($B46="","",YEAR($B46))</f>
        <v/>
      </c>
      <c r="W46" s="63" t="str">
        <f aca="false">IF($E46&lt;&gt;"产成品入库","",IF(N($M46)=0,1,N($M46)))</f>
        <v/>
      </c>
      <c r="X46" s="63" t="str">
        <f aca="false">IF($E46&lt;&gt;"产成品入库","",SUMIFS($W$6:$W46,$C$6:$C46,$C46,$D$6:$D46,$D46,$E$6:$E46,"产成品入库"))</f>
        <v/>
      </c>
    </row>
    <row r="47" customFormat="false" ht="15" hidden="false" customHeight="false" outlineLevel="0" collapsed="false">
      <c r="A47" s="53" t="str">
        <f aca="false">IF($B47="","",ROW()-5)</f>
        <v/>
      </c>
      <c r="B47" s="54"/>
      <c r="C47" s="33"/>
      <c r="D47" s="39"/>
      <c r="E47" s="33"/>
      <c r="F47" s="39"/>
      <c r="G47" s="48" t="str">
        <f aca="false">IF($F47="","",IFERROR(INDEX(商品档案!$B$6:$B$65,MATCH($F47,商品档案!$A$6:$A$65,0)),""))</f>
        <v/>
      </c>
      <c r="H47" s="55" t="str">
        <f aca="false">IF($F47="","",IFERROR(INDEX(商品档案!$D$6:$D$65,MATCH($F47,商品档案!$A$6:$A$65,0)),""))</f>
        <v/>
      </c>
      <c r="I47" s="49"/>
      <c r="J47" s="43"/>
      <c r="K47" s="41"/>
      <c r="L47" s="39"/>
      <c r="M47" s="62"/>
      <c r="N47" s="41"/>
      <c r="O47" s="41"/>
      <c r="P47" s="25" t="str">
        <f aca="false">IF(AND($B47="",$E47=""),"",IF(NOT(ISNUMBER($B47)),"日期无效",IF(ISNA(MATCH($C47,参数设置!$A$10:$A$12,0)),"公司无效",IF($D47="","缺批次号",IF(ISNA(MATCH($E47,记账规则!$A$36:$A$38,0)),"业务类型无效",IF(AND($E47&lt;&gt;"加工费用",ISNA(MATCH($F47,商品档案!$A$6:$A$65,0))),"商品编码无效",IF(AND($E47&lt;&gt;"加工费用",IFERROR(INDEX(商品档案!$E$6:$E$65,MATCH($F47,商品档案!$A$6:$A$65,0)),"")&lt;&gt;$C47),"商品不属于该公司",IF(AND($E47&lt;&gt;"加工费用",N($I47)=0),"数量为 0",IF(AND($E47="加工费用",N($J47)=0),"加工费金额为 0",IF(AND($E47="加工费用",ISNA(MATCH($K47,会计科目表!$B$6:$B$85,0))),"对方科目不存在",IF(YEAR($B47)&lt;&gt;参数设置!$B$5,"不在本会计年度","OK")))))))))))</f>
        <v/>
      </c>
      <c r="Q47" s="58" t="str">
        <f aca="false">IF($F47="","",IFERROR(INDEX(商品档案!$G$6:$G$65,MATCH($F47,商品档案!$A$6:$A$65,0)),""))</f>
        <v/>
      </c>
      <c r="R47" s="59" t="str">
        <f aca="false">IF($F47="","",SUMIFS(进销存台账!$N$6:$N$65,进销存台账!$A$6:$A$65,$C47,进销存台账!$B$6:$B$65,$F47))</f>
        <v/>
      </c>
      <c r="S47" s="60" t="n">
        <f aca="false">IF($E47="领用投入",ROUND(N($I47)*N($R47),2),IF($E47="加工费用",ROUND(N($J47),2),0))</f>
        <v>0</v>
      </c>
      <c r="T47" s="60" t="n">
        <f aca="false">IF($E47&lt;&gt;"产成品入库",0,IF(SUMIFS($W$6:$W$305,$C$6:$C$305,$C47,$D$6:$D$305,$D47,$E$6:$E$305,"产成品入库")=0,0,ROUND(SUMIFS($S$6:$S$305,$C$6:$C$305,$C47,$D$6:$D$305,$D47)*N($X47)/SUMIFS($W$6:$W$305,$C$6:$C$305,$C47,$D$6:$D$305,$D47,$E$6:$E$305,"产成品入库"),2)-ROUND(SUMIFS($S$6:$S$305,$C$6:$C$305,$C47,$D$6:$D$305,$D47)*(N($X47)-N($W47))/SUMIFS($W$6:$W$305,$C$6:$C$305,$C47,$D$6:$D$305,$D47,$E$6:$E$305,"产成品入库"),2)))</f>
        <v>0</v>
      </c>
      <c r="U47" s="57" t="str">
        <f aca="false">IF($E47="","",ROUND($S47+$T47,2))</f>
        <v/>
      </c>
      <c r="V47" s="61" t="str">
        <f aca="false">IF($B47="","",YEAR($B47))</f>
        <v/>
      </c>
      <c r="W47" s="63" t="str">
        <f aca="false">IF($E47&lt;&gt;"产成品入库","",IF(N($M47)=0,1,N($M47)))</f>
        <v/>
      </c>
      <c r="X47" s="63" t="str">
        <f aca="false">IF($E47&lt;&gt;"产成品入库","",SUMIFS($W$6:$W47,$C$6:$C47,$C47,$D$6:$D47,$D47,$E$6:$E47,"产成品入库"))</f>
        <v/>
      </c>
    </row>
    <row r="48" customFormat="false" ht="15" hidden="false" customHeight="false" outlineLevel="0" collapsed="false">
      <c r="A48" s="53" t="str">
        <f aca="false">IF($B48="","",ROW()-5)</f>
        <v/>
      </c>
      <c r="B48" s="54"/>
      <c r="C48" s="33"/>
      <c r="D48" s="39"/>
      <c r="E48" s="33"/>
      <c r="F48" s="39"/>
      <c r="G48" s="48" t="str">
        <f aca="false">IF($F48="","",IFERROR(INDEX(商品档案!$B$6:$B$65,MATCH($F48,商品档案!$A$6:$A$65,0)),""))</f>
        <v/>
      </c>
      <c r="H48" s="55" t="str">
        <f aca="false">IF($F48="","",IFERROR(INDEX(商品档案!$D$6:$D$65,MATCH($F48,商品档案!$A$6:$A$65,0)),""))</f>
        <v/>
      </c>
      <c r="I48" s="49"/>
      <c r="J48" s="43"/>
      <c r="K48" s="41"/>
      <c r="L48" s="39"/>
      <c r="M48" s="62"/>
      <c r="N48" s="41"/>
      <c r="O48" s="41"/>
      <c r="P48" s="25" t="str">
        <f aca="false">IF(AND($B48="",$E48=""),"",IF(NOT(ISNUMBER($B48)),"日期无效",IF(ISNA(MATCH($C48,参数设置!$A$10:$A$12,0)),"公司无效",IF($D48="","缺批次号",IF(ISNA(MATCH($E48,记账规则!$A$36:$A$38,0)),"业务类型无效",IF(AND($E48&lt;&gt;"加工费用",ISNA(MATCH($F48,商品档案!$A$6:$A$65,0))),"商品编码无效",IF(AND($E48&lt;&gt;"加工费用",IFERROR(INDEX(商品档案!$E$6:$E$65,MATCH($F48,商品档案!$A$6:$A$65,0)),"")&lt;&gt;$C48),"商品不属于该公司",IF(AND($E48&lt;&gt;"加工费用",N($I48)=0),"数量为 0",IF(AND($E48="加工费用",N($J48)=0),"加工费金额为 0",IF(AND($E48="加工费用",ISNA(MATCH($K48,会计科目表!$B$6:$B$85,0))),"对方科目不存在",IF(YEAR($B48)&lt;&gt;参数设置!$B$5,"不在本会计年度","OK")))))))))))</f>
        <v/>
      </c>
      <c r="Q48" s="58" t="str">
        <f aca="false">IF($F48="","",IFERROR(INDEX(商品档案!$G$6:$G$65,MATCH($F48,商品档案!$A$6:$A$65,0)),""))</f>
        <v/>
      </c>
      <c r="R48" s="59" t="str">
        <f aca="false">IF($F48="","",SUMIFS(进销存台账!$N$6:$N$65,进销存台账!$A$6:$A$65,$C48,进销存台账!$B$6:$B$65,$F48))</f>
        <v/>
      </c>
      <c r="S48" s="60" t="n">
        <f aca="false">IF($E48="领用投入",ROUND(N($I48)*N($R48),2),IF($E48="加工费用",ROUND(N($J48),2),0))</f>
        <v>0</v>
      </c>
      <c r="T48" s="60" t="n">
        <f aca="false">IF($E48&lt;&gt;"产成品入库",0,IF(SUMIFS($W$6:$W$305,$C$6:$C$305,$C48,$D$6:$D$305,$D48,$E$6:$E$305,"产成品入库")=0,0,ROUND(SUMIFS($S$6:$S$305,$C$6:$C$305,$C48,$D$6:$D$305,$D48)*N($X48)/SUMIFS($W$6:$W$305,$C$6:$C$305,$C48,$D$6:$D$305,$D48,$E$6:$E$305,"产成品入库"),2)-ROUND(SUMIFS($S$6:$S$305,$C$6:$C$305,$C48,$D$6:$D$305,$D48)*(N($X48)-N($W48))/SUMIFS($W$6:$W$305,$C$6:$C$305,$C48,$D$6:$D$305,$D48,$E$6:$E$305,"产成品入库"),2)))</f>
        <v>0</v>
      </c>
      <c r="U48" s="57" t="str">
        <f aca="false">IF($E48="","",ROUND($S48+$T48,2))</f>
        <v/>
      </c>
      <c r="V48" s="61" t="str">
        <f aca="false">IF($B48="","",YEAR($B48))</f>
        <v/>
      </c>
      <c r="W48" s="63" t="str">
        <f aca="false">IF($E48&lt;&gt;"产成品入库","",IF(N($M48)=0,1,N($M48)))</f>
        <v/>
      </c>
      <c r="X48" s="63" t="str">
        <f aca="false">IF($E48&lt;&gt;"产成品入库","",SUMIFS($W$6:$W48,$C$6:$C48,$C48,$D$6:$D48,$D48,$E$6:$E48,"产成品入库"))</f>
        <v/>
      </c>
    </row>
    <row r="49" customFormat="false" ht="15" hidden="false" customHeight="false" outlineLevel="0" collapsed="false">
      <c r="A49" s="53" t="str">
        <f aca="false">IF($B49="","",ROW()-5)</f>
        <v/>
      </c>
      <c r="B49" s="54"/>
      <c r="C49" s="33"/>
      <c r="D49" s="39"/>
      <c r="E49" s="33"/>
      <c r="F49" s="39"/>
      <c r="G49" s="48" t="str">
        <f aca="false">IF($F49="","",IFERROR(INDEX(商品档案!$B$6:$B$65,MATCH($F49,商品档案!$A$6:$A$65,0)),""))</f>
        <v/>
      </c>
      <c r="H49" s="55" t="str">
        <f aca="false">IF($F49="","",IFERROR(INDEX(商品档案!$D$6:$D$65,MATCH($F49,商品档案!$A$6:$A$65,0)),""))</f>
        <v/>
      </c>
      <c r="I49" s="49"/>
      <c r="J49" s="43"/>
      <c r="K49" s="41"/>
      <c r="L49" s="39"/>
      <c r="M49" s="62"/>
      <c r="N49" s="41"/>
      <c r="O49" s="41"/>
      <c r="P49" s="25" t="str">
        <f aca="false">IF(AND($B49="",$E49=""),"",IF(NOT(ISNUMBER($B49)),"日期无效",IF(ISNA(MATCH($C49,参数设置!$A$10:$A$12,0)),"公司无效",IF($D49="","缺批次号",IF(ISNA(MATCH($E49,记账规则!$A$36:$A$38,0)),"业务类型无效",IF(AND($E49&lt;&gt;"加工费用",ISNA(MATCH($F49,商品档案!$A$6:$A$65,0))),"商品编码无效",IF(AND($E49&lt;&gt;"加工费用",IFERROR(INDEX(商品档案!$E$6:$E$65,MATCH($F49,商品档案!$A$6:$A$65,0)),"")&lt;&gt;$C49),"商品不属于该公司",IF(AND($E49&lt;&gt;"加工费用",N($I49)=0),"数量为 0",IF(AND($E49="加工费用",N($J49)=0),"加工费金额为 0",IF(AND($E49="加工费用",ISNA(MATCH($K49,会计科目表!$B$6:$B$85,0))),"对方科目不存在",IF(YEAR($B49)&lt;&gt;参数设置!$B$5,"不在本会计年度","OK")))))))))))</f>
        <v/>
      </c>
      <c r="Q49" s="58" t="str">
        <f aca="false">IF($F49="","",IFERROR(INDEX(商品档案!$G$6:$G$65,MATCH($F49,商品档案!$A$6:$A$65,0)),""))</f>
        <v/>
      </c>
      <c r="R49" s="59" t="str">
        <f aca="false">IF($F49="","",SUMIFS(进销存台账!$N$6:$N$65,进销存台账!$A$6:$A$65,$C49,进销存台账!$B$6:$B$65,$F49))</f>
        <v/>
      </c>
      <c r="S49" s="60" t="n">
        <f aca="false">IF($E49="领用投入",ROUND(N($I49)*N($R49),2),IF($E49="加工费用",ROUND(N($J49),2),0))</f>
        <v>0</v>
      </c>
      <c r="T49" s="60" t="n">
        <f aca="false">IF($E49&lt;&gt;"产成品入库",0,IF(SUMIFS($W$6:$W$305,$C$6:$C$305,$C49,$D$6:$D$305,$D49,$E$6:$E$305,"产成品入库")=0,0,ROUND(SUMIFS($S$6:$S$305,$C$6:$C$305,$C49,$D$6:$D$305,$D49)*N($X49)/SUMIFS($W$6:$W$305,$C$6:$C$305,$C49,$D$6:$D$305,$D49,$E$6:$E$305,"产成品入库"),2)-ROUND(SUMIFS($S$6:$S$305,$C$6:$C$305,$C49,$D$6:$D$305,$D49)*(N($X49)-N($W49))/SUMIFS($W$6:$W$305,$C$6:$C$305,$C49,$D$6:$D$305,$D49,$E$6:$E$305,"产成品入库"),2)))</f>
        <v>0</v>
      </c>
      <c r="U49" s="57" t="str">
        <f aca="false">IF($E49="","",ROUND($S49+$T49,2))</f>
        <v/>
      </c>
      <c r="V49" s="61" t="str">
        <f aca="false">IF($B49="","",YEAR($B49))</f>
        <v/>
      </c>
      <c r="W49" s="63" t="str">
        <f aca="false">IF($E49&lt;&gt;"产成品入库","",IF(N($M49)=0,1,N($M49)))</f>
        <v/>
      </c>
      <c r="X49" s="63" t="str">
        <f aca="false">IF($E49&lt;&gt;"产成品入库","",SUMIFS($W$6:$W49,$C$6:$C49,$C49,$D$6:$D49,$D49,$E$6:$E49,"产成品入库"))</f>
        <v/>
      </c>
    </row>
    <row r="50" customFormat="false" ht="15" hidden="false" customHeight="false" outlineLevel="0" collapsed="false">
      <c r="A50" s="53" t="str">
        <f aca="false">IF($B50="","",ROW()-5)</f>
        <v/>
      </c>
      <c r="B50" s="54"/>
      <c r="C50" s="33"/>
      <c r="D50" s="39"/>
      <c r="E50" s="33"/>
      <c r="F50" s="39"/>
      <c r="G50" s="48" t="str">
        <f aca="false">IF($F50="","",IFERROR(INDEX(商品档案!$B$6:$B$65,MATCH($F50,商品档案!$A$6:$A$65,0)),""))</f>
        <v/>
      </c>
      <c r="H50" s="55" t="str">
        <f aca="false">IF($F50="","",IFERROR(INDEX(商品档案!$D$6:$D$65,MATCH($F50,商品档案!$A$6:$A$65,0)),""))</f>
        <v/>
      </c>
      <c r="I50" s="49"/>
      <c r="J50" s="43"/>
      <c r="K50" s="41"/>
      <c r="L50" s="39"/>
      <c r="M50" s="62"/>
      <c r="N50" s="41"/>
      <c r="O50" s="41"/>
      <c r="P50" s="25" t="str">
        <f aca="false">IF(AND($B50="",$E50=""),"",IF(NOT(ISNUMBER($B50)),"日期无效",IF(ISNA(MATCH($C50,参数设置!$A$10:$A$12,0)),"公司无效",IF($D50="","缺批次号",IF(ISNA(MATCH($E50,记账规则!$A$36:$A$38,0)),"业务类型无效",IF(AND($E50&lt;&gt;"加工费用",ISNA(MATCH($F50,商品档案!$A$6:$A$65,0))),"商品编码无效",IF(AND($E50&lt;&gt;"加工费用",IFERROR(INDEX(商品档案!$E$6:$E$65,MATCH($F50,商品档案!$A$6:$A$65,0)),"")&lt;&gt;$C50),"商品不属于该公司",IF(AND($E50&lt;&gt;"加工费用",N($I50)=0),"数量为 0",IF(AND($E50="加工费用",N($J50)=0),"加工费金额为 0",IF(AND($E50="加工费用",ISNA(MATCH($K50,会计科目表!$B$6:$B$85,0))),"对方科目不存在",IF(YEAR($B50)&lt;&gt;参数设置!$B$5,"不在本会计年度","OK")))))))))))</f>
        <v/>
      </c>
      <c r="Q50" s="58" t="str">
        <f aca="false">IF($F50="","",IFERROR(INDEX(商品档案!$G$6:$G$65,MATCH($F50,商品档案!$A$6:$A$65,0)),""))</f>
        <v/>
      </c>
      <c r="R50" s="59" t="str">
        <f aca="false">IF($F50="","",SUMIFS(进销存台账!$N$6:$N$65,进销存台账!$A$6:$A$65,$C50,进销存台账!$B$6:$B$65,$F50))</f>
        <v/>
      </c>
      <c r="S50" s="60" t="n">
        <f aca="false">IF($E50="领用投入",ROUND(N($I50)*N($R50),2),IF($E50="加工费用",ROUND(N($J50),2),0))</f>
        <v>0</v>
      </c>
      <c r="T50" s="60" t="n">
        <f aca="false">IF($E50&lt;&gt;"产成品入库",0,IF(SUMIFS($W$6:$W$305,$C$6:$C$305,$C50,$D$6:$D$305,$D50,$E$6:$E$305,"产成品入库")=0,0,ROUND(SUMIFS($S$6:$S$305,$C$6:$C$305,$C50,$D$6:$D$305,$D50)*N($X50)/SUMIFS($W$6:$W$305,$C$6:$C$305,$C50,$D$6:$D$305,$D50,$E$6:$E$305,"产成品入库"),2)-ROUND(SUMIFS($S$6:$S$305,$C$6:$C$305,$C50,$D$6:$D$305,$D50)*(N($X50)-N($W50))/SUMIFS($W$6:$W$305,$C$6:$C$305,$C50,$D$6:$D$305,$D50,$E$6:$E$305,"产成品入库"),2)))</f>
        <v>0</v>
      </c>
      <c r="U50" s="57" t="str">
        <f aca="false">IF($E50="","",ROUND($S50+$T50,2))</f>
        <v/>
      </c>
      <c r="V50" s="61" t="str">
        <f aca="false">IF($B50="","",YEAR($B50))</f>
        <v/>
      </c>
      <c r="W50" s="63" t="str">
        <f aca="false">IF($E50&lt;&gt;"产成品入库","",IF(N($M50)=0,1,N($M50)))</f>
        <v/>
      </c>
      <c r="X50" s="63" t="str">
        <f aca="false">IF($E50&lt;&gt;"产成品入库","",SUMIFS($W$6:$W50,$C$6:$C50,$C50,$D$6:$D50,$D50,$E$6:$E50,"产成品入库"))</f>
        <v/>
      </c>
    </row>
    <row r="51" customFormat="false" ht="15" hidden="false" customHeight="false" outlineLevel="0" collapsed="false">
      <c r="A51" s="53" t="str">
        <f aca="false">IF($B51="","",ROW()-5)</f>
        <v/>
      </c>
      <c r="B51" s="54"/>
      <c r="C51" s="33"/>
      <c r="D51" s="39"/>
      <c r="E51" s="33"/>
      <c r="F51" s="39"/>
      <c r="G51" s="48" t="str">
        <f aca="false">IF($F51="","",IFERROR(INDEX(商品档案!$B$6:$B$65,MATCH($F51,商品档案!$A$6:$A$65,0)),""))</f>
        <v/>
      </c>
      <c r="H51" s="55" t="str">
        <f aca="false">IF($F51="","",IFERROR(INDEX(商品档案!$D$6:$D$65,MATCH($F51,商品档案!$A$6:$A$65,0)),""))</f>
        <v/>
      </c>
      <c r="I51" s="49"/>
      <c r="J51" s="43"/>
      <c r="K51" s="41"/>
      <c r="L51" s="39"/>
      <c r="M51" s="62"/>
      <c r="N51" s="41"/>
      <c r="O51" s="41"/>
      <c r="P51" s="25" t="str">
        <f aca="false">IF(AND($B51="",$E51=""),"",IF(NOT(ISNUMBER($B51)),"日期无效",IF(ISNA(MATCH($C51,参数设置!$A$10:$A$12,0)),"公司无效",IF($D51="","缺批次号",IF(ISNA(MATCH($E51,记账规则!$A$36:$A$38,0)),"业务类型无效",IF(AND($E51&lt;&gt;"加工费用",ISNA(MATCH($F51,商品档案!$A$6:$A$65,0))),"商品编码无效",IF(AND($E51&lt;&gt;"加工费用",IFERROR(INDEX(商品档案!$E$6:$E$65,MATCH($F51,商品档案!$A$6:$A$65,0)),"")&lt;&gt;$C51),"商品不属于该公司",IF(AND($E51&lt;&gt;"加工费用",N($I51)=0),"数量为 0",IF(AND($E51="加工费用",N($J51)=0),"加工费金额为 0",IF(AND($E51="加工费用",ISNA(MATCH($K51,会计科目表!$B$6:$B$85,0))),"对方科目不存在",IF(YEAR($B51)&lt;&gt;参数设置!$B$5,"不在本会计年度","OK")))))))))))</f>
        <v/>
      </c>
      <c r="Q51" s="58" t="str">
        <f aca="false">IF($F51="","",IFERROR(INDEX(商品档案!$G$6:$G$65,MATCH($F51,商品档案!$A$6:$A$65,0)),""))</f>
        <v/>
      </c>
      <c r="R51" s="59" t="str">
        <f aca="false">IF($F51="","",SUMIFS(进销存台账!$N$6:$N$65,进销存台账!$A$6:$A$65,$C51,进销存台账!$B$6:$B$65,$F51))</f>
        <v/>
      </c>
      <c r="S51" s="60" t="n">
        <f aca="false">IF($E51="领用投入",ROUND(N($I51)*N($R51),2),IF($E51="加工费用",ROUND(N($J51),2),0))</f>
        <v>0</v>
      </c>
      <c r="T51" s="60" t="n">
        <f aca="false">IF($E51&lt;&gt;"产成品入库",0,IF(SUMIFS($W$6:$W$305,$C$6:$C$305,$C51,$D$6:$D$305,$D51,$E$6:$E$305,"产成品入库")=0,0,ROUND(SUMIFS($S$6:$S$305,$C$6:$C$305,$C51,$D$6:$D$305,$D51)*N($X51)/SUMIFS($W$6:$W$305,$C$6:$C$305,$C51,$D$6:$D$305,$D51,$E$6:$E$305,"产成品入库"),2)-ROUND(SUMIFS($S$6:$S$305,$C$6:$C$305,$C51,$D$6:$D$305,$D51)*(N($X51)-N($W51))/SUMIFS($W$6:$W$305,$C$6:$C$305,$C51,$D$6:$D$305,$D51,$E$6:$E$305,"产成品入库"),2)))</f>
        <v>0</v>
      </c>
      <c r="U51" s="57" t="str">
        <f aca="false">IF($E51="","",ROUND($S51+$T51,2))</f>
        <v/>
      </c>
      <c r="V51" s="61" t="str">
        <f aca="false">IF($B51="","",YEAR($B51))</f>
        <v/>
      </c>
      <c r="W51" s="63" t="str">
        <f aca="false">IF($E51&lt;&gt;"产成品入库","",IF(N($M51)=0,1,N($M51)))</f>
        <v/>
      </c>
      <c r="X51" s="63" t="str">
        <f aca="false">IF($E51&lt;&gt;"产成品入库","",SUMIFS($W$6:$W51,$C$6:$C51,$C51,$D$6:$D51,$D51,$E$6:$E51,"产成品入库"))</f>
        <v/>
      </c>
    </row>
    <row r="52" customFormat="false" ht="15" hidden="false" customHeight="false" outlineLevel="0" collapsed="false">
      <c r="A52" s="53" t="str">
        <f aca="false">IF($B52="","",ROW()-5)</f>
        <v/>
      </c>
      <c r="B52" s="54"/>
      <c r="C52" s="33"/>
      <c r="D52" s="39"/>
      <c r="E52" s="33"/>
      <c r="F52" s="39"/>
      <c r="G52" s="48" t="str">
        <f aca="false">IF($F52="","",IFERROR(INDEX(商品档案!$B$6:$B$65,MATCH($F52,商品档案!$A$6:$A$65,0)),""))</f>
        <v/>
      </c>
      <c r="H52" s="55" t="str">
        <f aca="false">IF($F52="","",IFERROR(INDEX(商品档案!$D$6:$D$65,MATCH($F52,商品档案!$A$6:$A$65,0)),""))</f>
        <v/>
      </c>
      <c r="I52" s="49"/>
      <c r="J52" s="43"/>
      <c r="K52" s="41"/>
      <c r="L52" s="39"/>
      <c r="M52" s="62"/>
      <c r="N52" s="41"/>
      <c r="O52" s="41"/>
      <c r="P52" s="25" t="str">
        <f aca="false">IF(AND($B52="",$E52=""),"",IF(NOT(ISNUMBER($B52)),"日期无效",IF(ISNA(MATCH($C52,参数设置!$A$10:$A$12,0)),"公司无效",IF($D52="","缺批次号",IF(ISNA(MATCH($E52,记账规则!$A$36:$A$38,0)),"业务类型无效",IF(AND($E52&lt;&gt;"加工费用",ISNA(MATCH($F52,商品档案!$A$6:$A$65,0))),"商品编码无效",IF(AND($E52&lt;&gt;"加工费用",IFERROR(INDEX(商品档案!$E$6:$E$65,MATCH($F52,商品档案!$A$6:$A$65,0)),"")&lt;&gt;$C52),"商品不属于该公司",IF(AND($E52&lt;&gt;"加工费用",N($I52)=0),"数量为 0",IF(AND($E52="加工费用",N($J52)=0),"加工费金额为 0",IF(AND($E52="加工费用",ISNA(MATCH($K52,会计科目表!$B$6:$B$85,0))),"对方科目不存在",IF(YEAR($B52)&lt;&gt;参数设置!$B$5,"不在本会计年度","OK")))))))))))</f>
        <v/>
      </c>
      <c r="Q52" s="58" t="str">
        <f aca="false">IF($F52="","",IFERROR(INDEX(商品档案!$G$6:$G$65,MATCH($F52,商品档案!$A$6:$A$65,0)),""))</f>
        <v/>
      </c>
      <c r="R52" s="59" t="str">
        <f aca="false">IF($F52="","",SUMIFS(进销存台账!$N$6:$N$65,进销存台账!$A$6:$A$65,$C52,进销存台账!$B$6:$B$65,$F52))</f>
        <v/>
      </c>
      <c r="S52" s="60" t="n">
        <f aca="false">IF($E52="领用投入",ROUND(N($I52)*N($R52),2),IF($E52="加工费用",ROUND(N($J52),2),0))</f>
        <v>0</v>
      </c>
      <c r="T52" s="60" t="n">
        <f aca="false">IF($E52&lt;&gt;"产成品入库",0,IF(SUMIFS($W$6:$W$305,$C$6:$C$305,$C52,$D$6:$D$305,$D52,$E$6:$E$305,"产成品入库")=0,0,ROUND(SUMIFS($S$6:$S$305,$C$6:$C$305,$C52,$D$6:$D$305,$D52)*N($X52)/SUMIFS($W$6:$W$305,$C$6:$C$305,$C52,$D$6:$D$305,$D52,$E$6:$E$305,"产成品入库"),2)-ROUND(SUMIFS($S$6:$S$305,$C$6:$C$305,$C52,$D$6:$D$305,$D52)*(N($X52)-N($W52))/SUMIFS($W$6:$W$305,$C$6:$C$305,$C52,$D$6:$D$305,$D52,$E$6:$E$305,"产成品入库"),2)))</f>
        <v>0</v>
      </c>
      <c r="U52" s="57" t="str">
        <f aca="false">IF($E52="","",ROUND($S52+$T52,2))</f>
        <v/>
      </c>
      <c r="V52" s="61" t="str">
        <f aca="false">IF($B52="","",YEAR($B52))</f>
        <v/>
      </c>
      <c r="W52" s="63" t="str">
        <f aca="false">IF($E52&lt;&gt;"产成品入库","",IF(N($M52)=0,1,N($M52)))</f>
        <v/>
      </c>
      <c r="X52" s="63" t="str">
        <f aca="false">IF($E52&lt;&gt;"产成品入库","",SUMIFS($W$6:$W52,$C$6:$C52,$C52,$D$6:$D52,$D52,$E$6:$E52,"产成品入库"))</f>
        <v/>
      </c>
    </row>
    <row r="53" customFormat="false" ht="15" hidden="false" customHeight="false" outlineLevel="0" collapsed="false">
      <c r="A53" s="53" t="str">
        <f aca="false">IF($B53="","",ROW()-5)</f>
        <v/>
      </c>
      <c r="B53" s="54"/>
      <c r="C53" s="33"/>
      <c r="D53" s="39"/>
      <c r="E53" s="33"/>
      <c r="F53" s="39"/>
      <c r="G53" s="48" t="str">
        <f aca="false">IF($F53="","",IFERROR(INDEX(商品档案!$B$6:$B$65,MATCH($F53,商品档案!$A$6:$A$65,0)),""))</f>
        <v/>
      </c>
      <c r="H53" s="55" t="str">
        <f aca="false">IF($F53="","",IFERROR(INDEX(商品档案!$D$6:$D$65,MATCH($F53,商品档案!$A$6:$A$65,0)),""))</f>
        <v/>
      </c>
      <c r="I53" s="49"/>
      <c r="J53" s="43"/>
      <c r="K53" s="41"/>
      <c r="L53" s="39"/>
      <c r="M53" s="62"/>
      <c r="N53" s="41"/>
      <c r="O53" s="41"/>
      <c r="P53" s="25" t="str">
        <f aca="false">IF(AND($B53="",$E53=""),"",IF(NOT(ISNUMBER($B53)),"日期无效",IF(ISNA(MATCH($C53,参数设置!$A$10:$A$12,0)),"公司无效",IF($D53="","缺批次号",IF(ISNA(MATCH($E53,记账规则!$A$36:$A$38,0)),"业务类型无效",IF(AND($E53&lt;&gt;"加工费用",ISNA(MATCH($F53,商品档案!$A$6:$A$65,0))),"商品编码无效",IF(AND($E53&lt;&gt;"加工费用",IFERROR(INDEX(商品档案!$E$6:$E$65,MATCH($F53,商品档案!$A$6:$A$65,0)),"")&lt;&gt;$C53),"商品不属于该公司",IF(AND($E53&lt;&gt;"加工费用",N($I53)=0),"数量为 0",IF(AND($E53="加工费用",N($J53)=0),"加工费金额为 0",IF(AND($E53="加工费用",ISNA(MATCH($K53,会计科目表!$B$6:$B$85,0))),"对方科目不存在",IF(YEAR($B53)&lt;&gt;参数设置!$B$5,"不在本会计年度","OK")))))))))))</f>
        <v/>
      </c>
      <c r="Q53" s="58" t="str">
        <f aca="false">IF($F53="","",IFERROR(INDEX(商品档案!$G$6:$G$65,MATCH($F53,商品档案!$A$6:$A$65,0)),""))</f>
        <v/>
      </c>
      <c r="R53" s="59" t="str">
        <f aca="false">IF($F53="","",SUMIFS(进销存台账!$N$6:$N$65,进销存台账!$A$6:$A$65,$C53,进销存台账!$B$6:$B$65,$F53))</f>
        <v/>
      </c>
      <c r="S53" s="60" t="n">
        <f aca="false">IF($E53="领用投入",ROUND(N($I53)*N($R53),2),IF($E53="加工费用",ROUND(N($J53),2),0))</f>
        <v>0</v>
      </c>
      <c r="T53" s="60" t="n">
        <f aca="false">IF($E53&lt;&gt;"产成品入库",0,IF(SUMIFS($W$6:$W$305,$C$6:$C$305,$C53,$D$6:$D$305,$D53,$E$6:$E$305,"产成品入库")=0,0,ROUND(SUMIFS($S$6:$S$305,$C$6:$C$305,$C53,$D$6:$D$305,$D53)*N($X53)/SUMIFS($W$6:$W$305,$C$6:$C$305,$C53,$D$6:$D$305,$D53,$E$6:$E$305,"产成品入库"),2)-ROUND(SUMIFS($S$6:$S$305,$C$6:$C$305,$C53,$D$6:$D$305,$D53)*(N($X53)-N($W53))/SUMIFS($W$6:$W$305,$C$6:$C$305,$C53,$D$6:$D$305,$D53,$E$6:$E$305,"产成品入库"),2)))</f>
        <v>0</v>
      </c>
      <c r="U53" s="57" t="str">
        <f aca="false">IF($E53="","",ROUND($S53+$T53,2))</f>
        <v/>
      </c>
      <c r="V53" s="61" t="str">
        <f aca="false">IF($B53="","",YEAR($B53))</f>
        <v/>
      </c>
      <c r="W53" s="63" t="str">
        <f aca="false">IF($E53&lt;&gt;"产成品入库","",IF(N($M53)=0,1,N($M53)))</f>
        <v/>
      </c>
      <c r="X53" s="63" t="str">
        <f aca="false">IF($E53&lt;&gt;"产成品入库","",SUMIFS($W$6:$W53,$C$6:$C53,$C53,$D$6:$D53,$D53,$E$6:$E53,"产成品入库"))</f>
        <v/>
      </c>
    </row>
    <row r="54" customFormat="false" ht="15" hidden="false" customHeight="false" outlineLevel="0" collapsed="false">
      <c r="A54" s="53" t="str">
        <f aca="false">IF($B54="","",ROW()-5)</f>
        <v/>
      </c>
      <c r="B54" s="54"/>
      <c r="C54" s="33"/>
      <c r="D54" s="39"/>
      <c r="E54" s="33"/>
      <c r="F54" s="39"/>
      <c r="G54" s="48" t="str">
        <f aca="false">IF($F54="","",IFERROR(INDEX(商品档案!$B$6:$B$65,MATCH($F54,商品档案!$A$6:$A$65,0)),""))</f>
        <v/>
      </c>
      <c r="H54" s="55" t="str">
        <f aca="false">IF($F54="","",IFERROR(INDEX(商品档案!$D$6:$D$65,MATCH($F54,商品档案!$A$6:$A$65,0)),""))</f>
        <v/>
      </c>
      <c r="I54" s="49"/>
      <c r="J54" s="43"/>
      <c r="K54" s="41"/>
      <c r="L54" s="39"/>
      <c r="M54" s="62"/>
      <c r="N54" s="41"/>
      <c r="O54" s="41"/>
      <c r="P54" s="25" t="str">
        <f aca="false">IF(AND($B54="",$E54=""),"",IF(NOT(ISNUMBER($B54)),"日期无效",IF(ISNA(MATCH($C54,参数设置!$A$10:$A$12,0)),"公司无效",IF($D54="","缺批次号",IF(ISNA(MATCH($E54,记账规则!$A$36:$A$38,0)),"业务类型无效",IF(AND($E54&lt;&gt;"加工费用",ISNA(MATCH($F54,商品档案!$A$6:$A$65,0))),"商品编码无效",IF(AND($E54&lt;&gt;"加工费用",IFERROR(INDEX(商品档案!$E$6:$E$65,MATCH($F54,商品档案!$A$6:$A$65,0)),"")&lt;&gt;$C54),"商品不属于该公司",IF(AND($E54&lt;&gt;"加工费用",N($I54)=0),"数量为 0",IF(AND($E54="加工费用",N($J54)=0),"加工费金额为 0",IF(AND($E54="加工费用",ISNA(MATCH($K54,会计科目表!$B$6:$B$85,0))),"对方科目不存在",IF(YEAR($B54)&lt;&gt;参数设置!$B$5,"不在本会计年度","OK")))))))))))</f>
        <v/>
      </c>
      <c r="Q54" s="58" t="str">
        <f aca="false">IF($F54="","",IFERROR(INDEX(商品档案!$G$6:$G$65,MATCH($F54,商品档案!$A$6:$A$65,0)),""))</f>
        <v/>
      </c>
      <c r="R54" s="59" t="str">
        <f aca="false">IF($F54="","",SUMIFS(进销存台账!$N$6:$N$65,进销存台账!$A$6:$A$65,$C54,进销存台账!$B$6:$B$65,$F54))</f>
        <v/>
      </c>
      <c r="S54" s="60" t="n">
        <f aca="false">IF($E54="领用投入",ROUND(N($I54)*N($R54),2),IF($E54="加工费用",ROUND(N($J54),2),0))</f>
        <v>0</v>
      </c>
      <c r="T54" s="60" t="n">
        <f aca="false">IF($E54&lt;&gt;"产成品入库",0,IF(SUMIFS($W$6:$W$305,$C$6:$C$305,$C54,$D$6:$D$305,$D54,$E$6:$E$305,"产成品入库")=0,0,ROUND(SUMIFS($S$6:$S$305,$C$6:$C$305,$C54,$D$6:$D$305,$D54)*N($X54)/SUMIFS($W$6:$W$305,$C$6:$C$305,$C54,$D$6:$D$305,$D54,$E$6:$E$305,"产成品入库"),2)-ROUND(SUMIFS($S$6:$S$305,$C$6:$C$305,$C54,$D$6:$D$305,$D54)*(N($X54)-N($W54))/SUMIFS($W$6:$W$305,$C$6:$C$305,$C54,$D$6:$D$305,$D54,$E$6:$E$305,"产成品入库"),2)))</f>
        <v>0</v>
      </c>
      <c r="U54" s="57" t="str">
        <f aca="false">IF($E54="","",ROUND($S54+$T54,2))</f>
        <v/>
      </c>
      <c r="V54" s="61" t="str">
        <f aca="false">IF($B54="","",YEAR($B54))</f>
        <v/>
      </c>
      <c r="W54" s="63" t="str">
        <f aca="false">IF($E54&lt;&gt;"产成品入库","",IF(N($M54)=0,1,N($M54)))</f>
        <v/>
      </c>
      <c r="X54" s="63" t="str">
        <f aca="false">IF($E54&lt;&gt;"产成品入库","",SUMIFS($W$6:$W54,$C$6:$C54,$C54,$D$6:$D54,$D54,$E$6:$E54,"产成品入库"))</f>
        <v/>
      </c>
    </row>
    <row r="55" customFormat="false" ht="15" hidden="false" customHeight="false" outlineLevel="0" collapsed="false">
      <c r="A55" s="53" t="str">
        <f aca="false">IF($B55="","",ROW()-5)</f>
        <v/>
      </c>
      <c r="B55" s="54"/>
      <c r="C55" s="33"/>
      <c r="D55" s="39"/>
      <c r="E55" s="33"/>
      <c r="F55" s="39"/>
      <c r="G55" s="48" t="str">
        <f aca="false">IF($F55="","",IFERROR(INDEX(商品档案!$B$6:$B$65,MATCH($F55,商品档案!$A$6:$A$65,0)),""))</f>
        <v/>
      </c>
      <c r="H55" s="55" t="str">
        <f aca="false">IF($F55="","",IFERROR(INDEX(商品档案!$D$6:$D$65,MATCH($F55,商品档案!$A$6:$A$65,0)),""))</f>
        <v/>
      </c>
      <c r="I55" s="49"/>
      <c r="J55" s="43"/>
      <c r="K55" s="41"/>
      <c r="L55" s="39"/>
      <c r="M55" s="62"/>
      <c r="N55" s="41"/>
      <c r="O55" s="41"/>
      <c r="P55" s="25" t="str">
        <f aca="false">IF(AND($B55="",$E55=""),"",IF(NOT(ISNUMBER($B55)),"日期无效",IF(ISNA(MATCH($C55,参数设置!$A$10:$A$12,0)),"公司无效",IF($D55="","缺批次号",IF(ISNA(MATCH($E55,记账规则!$A$36:$A$38,0)),"业务类型无效",IF(AND($E55&lt;&gt;"加工费用",ISNA(MATCH($F55,商品档案!$A$6:$A$65,0))),"商品编码无效",IF(AND($E55&lt;&gt;"加工费用",IFERROR(INDEX(商品档案!$E$6:$E$65,MATCH($F55,商品档案!$A$6:$A$65,0)),"")&lt;&gt;$C55),"商品不属于该公司",IF(AND($E55&lt;&gt;"加工费用",N($I55)=0),"数量为 0",IF(AND($E55="加工费用",N($J55)=0),"加工费金额为 0",IF(AND($E55="加工费用",ISNA(MATCH($K55,会计科目表!$B$6:$B$85,0))),"对方科目不存在",IF(YEAR($B55)&lt;&gt;参数设置!$B$5,"不在本会计年度","OK")))))))))))</f>
        <v/>
      </c>
      <c r="Q55" s="58" t="str">
        <f aca="false">IF($F55="","",IFERROR(INDEX(商品档案!$G$6:$G$65,MATCH($F55,商品档案!$A$6:$A$65,0)),""))</f>
        <v/>
      </c>
      <c r="R55" s="59" t="str">
        <f aca="false">IF($F55="","",SUMIFS(进销存台账!$N$6:$N$65,进销存台账!$A$6:$A$65,$C55,进销存台账!$B$6:$B$65,$F55))</f>
        <v/>
      </c>
      <c r="S55" s="60" t="n">
        <f aca="false">IF($E55="领用投入",ROUND(N($I55)*N($R55),2),IF($E55="加工费用",ROUND(N($J55),2),0))</f>
        <v>0</v>
      </c>
      <c r="T55" s="60" t="n">
        <f aca="false">IF($E55&lt;&gt;"产成品入库",0,IF(SUMIFS($W$6:$W$305,$C$6:$C$305,$C55,$D$6:$D$305,$D55,$E$6:$E$305,"产成品入库")=0,0,ROUND(SUMIFS($S$6:$S$305,$C$6:$C$305,$C55,$D$6:$D$305,$D55)*N($X55)/SUMIFS($W$6:$W$305,$C$6:$C$305,$C55,$D$6:$D$305,$D55,$E$6:$E$305,"产成品入库"),2)-ROUND(SUMIFS($S$6:$S$305,$C$6:$C$305,$C55,$D$6:$D$305,$D55)*(N($X55)-N($W55))/SUMIFS($W$6:$W$305,$C$6:$C$305,$C55,$D$6:$D$305,$D55,$E$6:$E$305,"产成品入库"),2)))</f>
        <v>0</v>
      </c>
      <c r="U55" s="57" t="str">
        <f aca="false">IF($E55="","",ROUND($S55+$T55,2))</f>
        <v/>
      </c>
      <c r="V55" s="61" t="str">
        <f aca="false">IF($B55="","",YEAR($B55))</f>
        <v/>
      </c>
      <c r="W55" s="63" t="str">
        <f aca="false">IF($E55&lt;&gt;"产成品入库","",IF(N($M55)=0,1,N($M55)))</f>
        <v/>
      </c>
      <c r="X55" s="63" t="str">
        <f aca="false">IF($E55&lt;&gt;"产成品入库","",SUMIFS($W$6:$W55,$C$6:$C55,$C55,$D$6:$D55,$D55,$E$6:$E55,"产成品入库"))</f>
        <v/>
      </c>
    </row>
    <row r="56" customFormat="false" ht="15" hidden="false" customHeight="false" outlineLevel="0" collapsed="false">
      <c r="A56" s="53" t="str">
        <f aca="false">IF($B56="","",ROW()-5)</f>
        <v/>
      </c>
      <c r="B56" s="54"/>
      <c r="C56" s="33"/>
      <c r="D56" s="39"/>
      <c r="E56" s="33"/>
      <c r="F56" s="39"/>
      <c r="G56" s="48" t="str">
        <f aca="false">IF($F56="","",IFERROR(INDEX(商品档案!$B$6:$B$65,MATCH($F56,商品档案!$A$6:$A$65,0)),""))</f>
        <v/>
      </c>
      <c r="H56" s="55" t="str">
        <f aca="false">IF($F56="","",IFERROR(INDEX(商品档案!$D$6:$D$65,MATCH($F56,商品档案!$A$6:$A$65,0)),""))</f>
        <v/>
      </c>
      <c r="I56" s="49"/>
      <c r="J56" s="43"/>
      <c r="K56" s="41"/>
      <c r="L56" s="39"/>
      <c r="M56" s="62"/>
      <c r="N56" s="41"/>
      <c r="O56" s="41"/>
      <c r="P56" s="25" t="str">
        <f aca="false">IF(AND($B56="",$E56=""),"",IF(NOT(ISNUMBER($B56)),"日期无效",IF(ISNA(MATCH($C56,参数设置!$A$10:$A$12,0)),"公司无效",IF($D56="","缺批次号",IF(ISNA(MATCH($E56,记账规则!$A$36:$A$38,0)),"业务类型无效",IF(AND($E56&lt;&gt;"加工费用",ISNA(MATCH($F56,商品档案!$A$6:$A$65,0))),"商品编码无效",IF(AND($E56&lt;&gt;"加工费用",IFERROR(INDEX(商品档案!$E$6:$E$65,MATCH($F56,商品档案!$A$6:$A$65,0)),"")&lt;&gt;$C56),"商品不属于该公司",IF(AND($E56&lt;&gt;"加工费用",N($I56)=0),"数量为 0",IF(AND($E56="加工费用",N($J56)=0),"加工费金额为 0",IF(AND($E56="加工费用",ISNA(MATCH($K56,会计科目表!$B$6:$B$85,0))),"对方科目不存在",IF(YEAR($B56)&lt;&gt;参数设置!$B$5,"不在本会计年度","OK")))))))))))</f>
        <v/>
      </c>
      <c r="Q56" s="58" t="str">
        <f aca="false">IF($F56="","",IFERROR(INDEX(商品档案!$G$6:$G$65,MATCH($F56,商品档案!$A$6:$A$65,0)),""))</f>
        <v/>
      </c>
      <c r="R56" s="59" t="str">
        <f aca="false">IF($F56="","",SUMIFS(进销存台账!$N$6:$N$65,进销存台账!$A$6:$A$65,$C56,进销存台账!$B$6:$B$65,$F56))</f>
        <v/>
      </c>
      <c r="S56" s="60" t="n">
        <f aca="false">IF($E56="领用投入",ROUND(N($I56)*N($R56),2),IF($E56="加工费用",ROUND(N($J56),2),0))</f>
        <v>0</v>
      </c>
      <c r="T56" s="60" t="n">
        <f aca="false">IF($E56&lt;&gt;"产成品入库",0,IF(SUMIFS($W$6:$W$305,$C$6:$C$305,$C56,$D$6:$D$305,$D56,$E$6:$E$305,"产成品入库")=0,0,ROUND(SUMIFS($S$6:$S$305,$C$6:$C$305,$C56,$D$6:$D$305,$D56)*N($X56)/SUMIFS($W$6:$W$305,$C$6:$C$305,$C56,$D$6:$D$305,$D56,$E$6:$E$305,"产成品入库"),2)-ROUND(SUMIFS($S$6:$S$305,$C$6:$C$305,$C56,$D$6:$D$305,$D56)*(N($X56)-N($W56))/SUMIFS($W$6:$W$305,$C$6:$C$305,$C56,$D$6:$D$305,$D56,$E$6:$E$305,"产成品入库"),2)))</f>
        <v>0</v>
      </c>
      <c r="U56" s="57" t="str">
        <f aca="false">IF($E56="","",ROUND($S56+$T56,2))</f>
        <v/>
      </c>
      <c r="V56" s="61" t="str">
        <f aca="false">IF($B56="","",YEAR($B56))</f>
        <v/>
      </c>
      <c r="W56" s="63" t="str">
        <f aca="false">IF($E56&lt;&gt;"产成品入库","",IF(N($M56)=0,1,N($M56)))</f>
        <v/>
      </c>
      <c r="X56" s="63" t="str">
        <f aca="false">IF($E56&lt;&gt;"产成品入库","",SUMIFS($W$6:$W56,$C$6:$C56,$C56,$D$6:$D56,$D56,$E$6:$E56,"产成品入库"))</f>
        <v/>
      </c>
    </row>
    <row r="57" customFormat="false" ht="15" hidden="false" customHeight="false" outlineLevel="0" collapsed="false">
      <c r="A57" s="53" t="str">
        <f aca="false">IF($B57="","",ROW()-5)</f>
        <v/>
      </c>
      <c r="B57" s="54"/>
      <c r="C57" s="33"/>
      <c r="D57" s="39"/>
      <c r="E57" s="33"/>
      <c r="F57" s="39"/>
      <c r="G57" s="48" t="str">
        <f aca="false">IF($F57="","",IFERROR(INDEX(商品档案!$B$6:$B$65,MATCH($F57,商品档案!$A$6:$A$65,0)),""))</f>
        <v/>
      </c>
      <c r="H57" s="55" t="str">
        <f aca="false">IF($F57="","",IFERROR(INDEX(商品档案!$D$6:$D$65,MATCH($F57,商品档案!$A$6:$A$65,0)),""))</f>
        <v/>
      </c>
      <c r="I57" s="49"/>
      <c r="J57" s="43"/>
      <c r="K57" s="41"/>
      <c r="L57" s="39"/>
      <c r="M57" s="62"/>
      <c r="N57" s="41"/>
      <c r="O57" s="41"/>
      <c r="P57" s="25" t="str">
        <f aca="false">IF(AND($B57="",$E57=""),"",IF(NOT(ISNUMBER($B57)),"日期无效",IF(ISNA(MATCH($C57,参数设置!$A$10:$A$12,0)),"公司无效",IF($D57="","缺批次号",IF(ISNA(MATCH($E57,记账规则!$A$36:$A$38,0)),"业务类型无效",IF(AND($E57&lt;&gt;"加工费用",ISNA(MATCH($F57,商品档案!$A$6:$A$65,0))),"商品编码无效",IF(AND($E57&lt;&gt;"加工费用",IFERROR(INDEX(商品档案!$E$6:$E$65,MATCH($F57,商品档案!$A$6:$A$65,0)),"")&lt;&gt;$C57),"商品不属于该公司",IF(AND($E57&lt;&gt;"加工费用",N($I57)=0),"数量为 0",IF(AND($E57="加工费用",N($J57)=0),"加工费金额为 0",IF(AND($E57="加工费用",ISNA(MATCH($K57,会计科目表!$B$6:$B$85,0))),"对方科目不存在",IF(YEAR($B57)&lt;&gt;参数设置!$B$5,"不在本会计年度","OK")))))))))))</f>
        <v/>
      </c>
      <c r="Q57" s="58" t="str">
        <f aca="false">IF($F57="","",IFERROR(INDEX(商品档案!$G$6:$G$65,MATCH($F57,商品档案!$A$6:$A$65,0)),""))</f>
        <v/>
      </c>
      <c r="R57" s="59" t="str">
        <f aca="false">IF($F57="","",SUMIFS(进销存台账!$N$6:$N$65,进销存台账!$A$6:$A$65,$C57,进销存台账!$B$6:$B$65,$F57))</f>
        <v/>
      </c>
      <c r="S57" s="60" t="n">
        <f aca="false">IF($E57="领用投入",ROUND(N($I57)*N($R57),2),IF($E57="加工费用",ROUND(N($J57),2),0))</f>
        <v>0</v>
      </c>
      <c r="T57" s="60" t="n">
        <f aca="false">IF($E57&lt;&gt;"产成品入库",0,IF(SUMIFS($W$6:$W$305,$C$6:$C$305,$C57,$D$6:$D$305,$D57,$E$6:$E$305,"产成品入库")=0,0,ROUND(SUMIFS($S$6:$S$305,$C$6:$C$305,$C57,$D$6:$D$305,$D57)*N($X57)/SUMIFS($W$6:$W$305,$C$6:$C$305,$C57,$D$6:$D$305,$D57,$E$6:$E$305,"产成品入库"),2)-ROUND(SUMIFS($S$6:$S$305,$C$6:$C$305,$C57,$D$6:$D$305,$D57)*(N($X57)-N($W57))/SUMIFS($W$6:$W$305,$C$6:$C$305,$C57,$D$6:$D$305,$D57,$E$6:$E$305,"产成品入库"),2)))</f>
        <v>0</v>
      </c>
      <c r="U57" s="57" t="str">
        <f aca="false">IF($E57="","",ROUND($S57+$T57,2))</f>
        <v/>
      </c>
      <c r="V57" s="61" t="str">
        <f aca="false">IF($B57="","",YEAR($B57))</f>
        <v/>
      </c>
      <c r="W57" s="63" t="str">
        <f aca="false">IF($E57&lt;&gt;"产成品入库","",IF(N($M57)=0,1,N($M57)))</f>
        <v/>
      </c>
      <c r="X57" s="63" t="str">
        <f aca="false">IF($E57&lt;&gt;"产成品入库","",SUMIFS($W$6:$W57,$C$6:$C57,$C57,$D$6:$D57,$D57,$E$6:$E57,"产成品入库"))</f>
        <v/>
      </c>
    </row>
    <row r="58" customFormat="false" ht="15" hidden="false" customHeight="false" outlineLevel="0" collapsed="false">
      <c r="A58" s="53" t="str">
        <f aca="false">IF($B58="","",ROW()-5)</f>
        <v/>
      </c>
      <c r="B58" s="54"/>
      <c r="C58" s="33"/>
      <c r="D58" s="39"/>
      <c r="E58" s="33"/>
      <c r="F58" s="39"/>
      <c r="G58" s="48" t="str">
        <f aca="false">IF($F58="","",IFERROR(INDEX(商品档案!$B$6:$B$65,MATCH($F58,商品档案!$A$6:$A$65,0)),""))</f>
        <v/>
      </c>
      <c r="H58" s="55" t="str">
        <f aca="false">IF($F58="","",IFERROR(INDEX(商品档案!$D$6:$D$65,MATCH($F58,商品档案!$A$6:$A$65,0)),""))</f>
        <v/>
      </c>
      <c r="I58" s="49"/>
      <c r="J58" s="43"/>
      <c r="K58" s="41"/>
      <c r="L58" s="39"/>
      <c r="M58" s="62"/>
      <c r="N58" s="41"/>
      <c r="O58" s="41"/>
      <c r="P58" s="25" t="str">
        <f aca="false">IF(AND($B58="",$E58=""),"",IF(NOT(ISNUMBER($B58)),"日期无效",IF(ISNA(MATCH($C58,参数设置!$A$10:$A$12,0)),"公司无效",IF($D58="","缺批次号",IF(ISNA(MATCH($E58,记账规则!$A$36:$A$38,0)),"业务类型无效",IF(AND($E58&lt;&gt;"加工费用",ISNA(MATCH($F58,商品档案!$A$6:$A$65,0))),"商品编码无效",IF(AND($E58&lt;&gt;"加工费用",IFERROR(INDEX(商品档案!$E$6:$E$65,MATCH($F58,商品档案!$A$6:$A$65,0)),"")&lt;&gt;$C58),"商品不属于该公司",IF(AND($E58&lt;&gt;"加工费用",N($I58)=0),"数量为 0",IF(AND($E58="加工费用",N($J58)=0),"加工费金额为 0",IF(AND($E58="加工费用",ISNA(MATCH($K58,会计科目表!$B$6:$B$85,0))),"对方科目不存在",IF(YEAR($B58)&lt;&gt;参数设置!$B$5,"不在本会计年度","OK")))))))))))</f>
        <v/>
      </c>
      <c r="Q58" s="58" t="str">
        <f aca="false">IF($F58="","",IFERROR(INDEX(商品档案!$G$6:$G$65,MATCH($F58,商品档案!$A$6:$A$65,0)),""))</f>
        <v/>
      </c>
      <c r="R58" s="59" t="str">
        <f aca="false">IF($F58="","",SUMIFS(进销存台账!$N$6:$N$65,进销存台账!$A$6:$A$65,$C58,进销存台账!$B$6:$B$65,$F58))</f>
        <v/>
      </c>
      <c r="S58" s="60" t="n">
        <f aca="false">IF($E58="领用投入",ROUND(N($I58)*N($R58),2),IF($E58="加工费用",ROUND(N($J58),2),0))</f>
        <v>0</v>
      </c>
      <c r="T58" s="60" t="n">
        <f aca="false">IF($E58&lt;&gt;"产成品入库",0,IF(SUMIFS($W$6:$W$305,$C$6:$C$305,$C58,$D$6:$D$305,$D58,$E$6:$E$305,"产成品入库")=0,0,ROUND(SUMIFS($S$6:$S$305,$C$6:$C$305,$C58,$D$6:$D$305,$D58)*N($X58)/SUMIFS($W$6:$W$305,$C$6:$C$305,$C58,$D$6:$D$305,$D58,$E$6:$E$305,"产成品入库"),2)-ROUND(SUMIFS($S$6:$S$305,$C$6:$C$305,$C58,$D$6:$D$305,$D58)*(N($X58)-N($W58))/SUMIFS($W$6:$W$305,$C$6:$C$305,$C58,$D$6:$D$305,$D58,$E$6:$E$305,"产成品入库"),2)))</f>
        <v>0</v>
      </c>
      <c r="U58" s="57" t="str">
        <f aca="false">IF($E58="","",ROUND($S58+$T58,2))</f>
        <v/>
      </c>
      <c r="V58" s="61" t="str">
        <f aca="false">IF($B58="","",YEAR($B58))</f>
        <v/>
      </c>
      <c r="W58" s="63" t="str">
        <f aca="false">IF($E58&lt;&gt;"产成品入库","",IF(N($M58)=0,1,N($M58)))</f>
        <v/>
      </c>
      <c r="X58" s="63" t="str">
        <f aca="false">IF($E58&lt;&gt;"产成品入库","",SUMIFS($W$6:$W58,$C$6:$C58,$C58,$D$6:$D58,$D58,$E$6:$E58,"产成品入库"))</f>
        <v/>
      </c>
    </row>
    <row r="59" customFormat="false" ht="15" hidden="false" customHeight="false" outlineLevel="0" collapsed="false">
      <c r="A59" s="53" t="str">
        <f aca="false">IF($B59="","",ROW()-5)</f>
        <v/>
      </c>
      <c r="B59" s="54"/>
      <c r="C59" s="33"/>
      <c r="D59" s="39"/>
      <c r="E59" s="33"/>
      <c r="F59" s="39"/>
      <c r="G59" s="48" t="str">
        <f aca="false">IF($F59="","",IFERROR(INDEX(商品档案!$B$6:$B$65,MATCH($F59,商品档案!$A$6:$A$65,0)),""))</f>
        <v/>
      </c>
      <c r="H59" s="55" t="str">
        <f aca="false">IF($F59="","",IFERROR(INDEX(商品档案!$D$6:$D$65,MATCH($F59,商品档案!$A$6:$A$65,0)),""))</f>
        <v/>
      </c>
      <c r="I59" s="49"/>
      <c r="J59" s="43"/>
      <c r="K59" s="41"/>
      <c r="L59" s="39"/>
      <c r="M59" s="62"/>
      <c r="N59" s="41"/>
      <c r="O59" s="41"/>
      <c r="P59" s="25" t="str">
        <f aca="false">IF(AND($B59="",$E59=""),"",IF(NOT(ISNUMBER($B59)),"日期无效",IF(ISNA(MATCH($C59,参数设置!$A$10:$A$12,0)),"公司无效",IF($D59="","缺批次号",IF(ISNA(MATCH($E59,记账规则!$A$36:$A$38,0)),"业务类型无效",IF(AND($E59&lt;&gt;"加工费用",ISNA(MATCH($F59,商品档案!$A$6:$A$65,0))),"商品编码无效",IF(AND($E59&lt;&gt;"加工费用",IFERROR(INDEX(商品档案!$E$6:$E$65,MATCH($F59,商品档案!$A$6:$A$65,0)),"")&lt;&gt;$C59),"商品不属于该公司",IF(AND($E59&lt;&gt;"加工费用",N($I59)=0),"数量为 0",IF(AND($E59="加工费用",N($J59)=0),"加工费金额为 0",IF(AND($E59="加工费用",ISNA(MATCH($K59,会计科目表!$B$6:$B$85,0))),"对方科目不存在",IF(YEAR($B59)&lt;&gt;参数设置!$B$5,"不在本会计年度","OK")))))))))))</f>
        <v/>
      </c>
      <c r="Q59" s="58" t="str">
        <f aca="false">IF($F59="","",IFERROR(INDEX(商品档案!$G$6:$G$65,MATCH($F59,商品档案!$A$6:$A$65,0)),""))</f>
        <v/>
      </c>
      <c r="R59" s="59" t="str">
        <f aca="false">IF($F59="","",SUMIFS(进销存台账!$N$6:$N$65,进销存台账!$A$6:$A$65,$C59,进销存台账!$B$6:$B$65,$F59))</f>
        <v/>
      </c>
      <c r="S59" s="60" t="n">
        <f aca="false">IF($E59="领用投入",ROUND(N($I59)*N($R59),2),IF($E59="加工费用",ROUND(N($J59),2),0))</f>
        <v>0</v>
      </c>
      <c r="T59" s="60" t="n">
        <f aca="false">IF($E59&lt;&gt;"产成品入库",0,IF(SUMIFS($W$6:$W$305,$C$6:$C$305,$C59,$D$6:$D$305,$D59,$E$6:$E$305,"产成品入库")=0,0,ROUND(SUMIFS($S$6:$S$305,$C$6:$C$305,$C59,$D$6:$D$305,$D59)*N($X59)/SUMIFS($W$6:$W$305,$C$6:$C$305,$C59,$D$6:$D$305,$D59,$E$6:$E$305,"产成品入库"),2)-ROUND(SUMIFS($S$6:$S$305,$C$6:$C$305,$C59,$D$6:$D$305,$D59)*(N($X59)-N($W59))/SUMIFS($W$6:$W$305,$C$6:$C$305,$C59,$D$6:$D$305,$D59,$E$6:$E$305,"产成品入库"),2)))</f>
        <v>0</v>
      </c>
      <c r="U59" s="57" t="str">
        <f aca="false">IF($E59="","",ROUND($S59+$T59,2))</f>
        <v/>
      </c>
      <c r="V59" s="61" t="str">
        <f aca="false">IF($B59="","",YEAR($B59))</f>
        <v/>
      </c>
      <c r="W59" s="63" t="str">
        <f aca="false">IF($E59&lt;&gt;"产成品入库","",IF(N($M59)=0,1,N($M59)))</f>
        <v/>
      </c>
      <c r="X59" s="63" t="str">
        <f aca="false">IF($E59&lt;&gt;"产成品入库","",SUMIFS($W$6:$W59,$C$6:$C59,$C59,$D$6:$D59,$D59,$E$6:$E59,"产成品入库"))</f>
        <v/>
      </c>
    </row>
    <row r="60" customFormat="false" ht="15" hidden="false" customHeight="false" outlineLevel="0" collapsed="false">
      <c r="A60" s="53" t="str">
        <f aca="false">IF($B60="","",ROW()-5)</f>
        <v/>
      </c>
      <c r="B60" s="54"/>
      <c r="C60" s="33"/>
      <c r="D60" s="39"/>
      <c r="E60" s="33"/>
      <c r="F60" s="39"/>
      <c r="G60" s="48" t="str">
        <f aca="false">IF($F60="","",IFERROR(INDEX(商品档案!$B$6:$B$65,MATCH($F60,商品档案!$A$6:$A$65,0)),""))</f>
        <v/>
      </c>
      <c r="H60" s="55" t="str">
        <f aca="false">IF($F60="","",IFERROR(INDEX(商品档案!$D$6:$D$65,MATCH($F60,商品档案!$A$6:$A$65,0)),""))</f>
        <v/>
      </c>
      <c r="I60" s="49"/>
      <c r="J60" s="43"/>
      <c r="K60" s="41"/>
      <c r="L60" s="39"/>
      <c r="M60" s="62"/>
      <c r="N60" s="41"/>
      <c r="O60" s="41"/>
      <c r="P60" s="25" t="str">
        <f aca="false">IF(AND($B60="",$E60=""),"",IF(NOT(ISNUMBER($B60)),"日期无效",IF(ISNA(MATCH($C60,参数设置!$A$10:$A$12,0)),"公司无效",IF($D60="","缺批次号",IF(ISNA(MATCH($E60,记账规则!$A$36:$A$38,0)),"业务类型无效",IF(AND($E60&lt;&gt;"加工费用",ISNA(MATCH($F60,商品档案!$A$6:$A$65,0))),"商品编码无效",IF(AND($E60&lt;&gt;"加工费用",IFERROR(INDEX(商品档案!$E$6:$E$65,MATCH($F60,商品档案!$A$6:$A$65,0)),"")&lt;&gt;$C60),"商品不属于该公司",IF(AND($E60&lt;&gt;"加工费用",N($I60)=0),"数量为 0",IF(AND($E60="加工费用",N($J60)=0),"加工费金额为 0",IF(AND($E60="加工费用",ISNA(MATCH($K60,会计科目表!$B$6:$B$85,0))),"对方科目不存在",IF(YEAR($B60)&lt;&gt;参数设置!$B$5,"不在本会计年度","OK")))))))))))</f>
        <v/>
      </c>
      <c r="Q60" s="58" t="str">
        <f aca="false">IF($F60="","",IFERROR(INDEX(商品档案!$G$6:$G$65,MATCH($F60,商品档案!$A$6:$A$65,0)),""))</f>
        <v/>
      </c>
      <c r="R60" s="59" t="str">
        <f aca="false">IF($F60="","",SUMIFS(进销存台账!$N$6:$N$65,进销存台账!$A$6:$A$65,$C60,进销存台账!$B$6:$B$65,$F60))</f>
        <v/>
      </c>
      <c r="S60" s="60" t="n">
        <f aca="false">IF($E60="领用投入",ROUND(N($I60)*N($R60),2),IF($E60="加工费用",ROUND(N($J60),2),0))</f>
        <v>0</v>
      </c>
      <c r="T60" s="60" t="n">
        <f aca="false">IF($E60&lt;&gt;"产成品入库",0,IF(SUMIFS($W$6:$W$305,$C$6:$C$305,$C60,$D$6:$D$305,$D60,$E$6:$E$305,"产成品入库")=0,0,ROUND(SUMIFS($S$6:$S$305,$C$6:$C$305,$C60,$D$6:$D$305,$D60)*N($X60)/SUMIFS($W$6:$W$305,$C$6:$C$305,$C60,$D$6:$D$305,$D60,$E$6:$E$305,"产成品入库"),2)-ROUND(SUMIFS($S$6:$S$305,$C$6:$C$305,$C60,$D$6:$D$305,$D60)*(N($X60)-N($W60))/SUMIFS($W$6:$W$305,$C$6:$C$305,$C60,$D$6:$D$305,$D60,$E$6:$E$305,"产成品入库"),2)))</f>
        <v>0</v>
      </c>
      <c r="U60" s="57" t="str">
        <f aca="false">IF($E60="","",ROUND($S60+$T60,2))</f>
        <v/>
      </c>
      <c r="V60" s="61" t="str">
        <f aca="false">IF($B60="","",YEAR($B60))</f>
        <v/>
      </c>
      <c r="W60" s="63" t="str">
        <f aca="false">IF($E60&lt;&gt;"产成品入库","",IF(N($M60)=0,1,N($M60)))</f>
        <v/>
      </c>
      <c r="X60" s="63" t="str">
        <f aca="false">IF($E60&lt;&gt;"产成品入库","",SUMIFS($W$6:$W60,$C$6:$C60,$C60,$D$6:$D60,$D60,$E$6:$E60,"产成品入库"))</f>
        <v/>
      </c>
    </row>
    <row r="61" customFormat="false" ht="15" hidden="false" customHeight="false" outlineLevel="0" collapsed="false">
      <c r="A61" s="53" t="str">
        <f aca="false">IF($B61="","",ROW()-5)</f>
        <v/>
      </c>
      <c r="B61" s="54"/>
      <c r="C61" s="33"/>
      <c r="D61" s="39"/>
      <c r="E61" s="33"/>
      <c r="F61" s="39"/>
      <c r="G61" s="48" t="str">
        <f aca="false">IF($F61="","",IFERROR(INDEX(商品档案!$B$6:$B$65,MATCH($F61,商品档案!$A$6:$A$65,0)),""))</f>
        <v/>
      </c>
      <c r="H61" s="55" t="str">
        <f aca="false">IF($F61="","",IFERROR(INDEX(商品档案!$D$6:$D$65,MATCH($F61,商品档案!$A$6:$A$65,0)),""))</f>
        <v/>
      </c>
      <c r="I61" s="49"/>
      <c r="J61" s="43"/>
      <c r="K61" s="41"/>
      <c r="L61" s="39"/>
      <c r="M61" s="62"/>
      <c r="N61" s="41"/>
      <c r="O61" s="41"/>
      <c r="P61" s="25" t="str">
        <f aca="false">IF(AND($B61="",$E61=""),"",IF(NOT(ISNUMBER($B61)),"日期无效",IF(ISNA(MATCH($C61,参数设置!$A$10:$A$12,0)),"公司无效",IF($D61="","缺批次号",IF(ISNA(MATCH($E61,记账规则!$A$36:$A$38,0)),"业务类型无效",IF(AND($E61&lt;&gt;"加工费用",ISNA(MATCH($F61,商品档案!$A$6:$A$65,0))),"商品编码无效",IF(AND($E61&lt;&gt;"加工费用",IFERROR(INDEX(商品档案!$E$6:$E$65,MATCH($F61,商品档案!$A$6:$A$65,0)),"")&lt;&gt;$C61),"商品不属于该公司",IF(AND($E61&lt;&gt;"加工费用",N($I61)=0),"数量为 0",IF(AND($E61="加工费用",N($J61)=0),"加工费金额为 0",IF(AND($E61="加工费用",ISNA(MATCH($K61,会计科目表!$B$6:$B$85,0))),"对方科目不存在",IF(YEAR($B61)&lt;&gt;参数设置!$B$5,"不在本会计年度","OK")))))))))))</f>
        <v/>
      </c>
      <c r="Q61" s="58" t="str">
        <f aca="false">IF($F61="","",IFERROR(INDEX(商品档案!$G$6:$G$65,MATCH($F61,商品档案!$A$6:$A$65,0)),""))</f>
        <v/>
      </c>
      <c r="R61" s="59" t="str">
        <f aca="false">IF($F61="","",SUMIFS(进销存台账!$N$6:$N$65,进销存台账!$A$6:$A$65,$C61,进销存台账!$B$6:$B$65,$F61))</f>
        <v/>
      </c>
      <c r="S61" s="60" t="n">
        <f aca="false">IF($E61="领用投入",ROUND(N($I61)*N($R61),2),IF($E61="加工费用",ROUND(N($J61),2),0))</f>
        <v>0</v>
      </c>
      <c r="T61" s="60" t="n">
        <f aca="false">IF($E61&lt;&gt;"产成品入库",0,IF(SUMIFS($W$6:$W$305,$C$6:$C$305,$C61,$D$6:$D$305,$D61,$E$6:$E$305,"产成品入库")=0,0,ROUND(SUMIFS($S$6:$S$305,$C$6:$C$305,$C61,$D$6:$D$305,$D61)*N($X61)/SUMIFS($W$6:$W$305,$C$6:$C$305,$C61,$D$6:$D$305,$D61,$E$6:$E$305,"产成品入库"),2)-ROUND(SUMIFS($S$6:$S$305,$C$6:$C$305,$C61,$D$6:$D$305,$D61)*(N($X61)-N($W61))/SUMIFS($W$6:$W$305,$C$6:$C$305,$C61,$D$6:$D$305,$D61,$E$6:$E$305,"产成品入库"),2)))</f>
        <v>0</v>
      </c>
      <c r="U61" s="57" t="str">
        <f aca="false">IF($E61="","",ROUND($S61+$T61,2))</f>
        <v/>
      </c>
      <c r="V61" s="61" t="str">
        <f aca="false">IF($B61="","",YEAR($B61))</f>
        <v/>
      </c>
      <c r="W61" s="63" t="str">
        <f aca="false">IF($E61&lt;&gt;"产成品入库","",IF(N($M61)=0,1,N($M61)))</f>
        <v/>
      </c>
      <c r="X61" s="63" t="str">
        <f aca="false">IF($E61&lt;&gt;"产成品入库","",SUMIFS($W$6:$W61,$C$6:$C61,$C61,$D$6:$D61,$D61,$E$6:$E61,"产成品入库"))</f>
        <v/>
      </c>
    </row>
    <row r="62" customFormat="false" ht="15" hidden="false" customHeight="false" outlineLevel="0" collapsed="false">
      <c r="A62" s="53" t="str">
        <f aca="false">IF($B62="","",ROW()-5)</f>
        <v/>
      </c>
      <c r="B62" s="54"/>
      <c r="C62" s="33"/>
      <c r="D62" s="39"/>
      <c r="E62" s="33"/>
      <c r="F62" s="39"/>
      <c r="G62" s="48" t="str">
        <f aca="false">IF($F62="","",IFERROR(INDEX(商品档案!$B$6:$B$65,MATCH($F62,商品档案!$A$6:$A$65,0)),""))</f>
        <v/>
      </c>
      <c r="H62" s="55" t="str">
        <f aca="false">IF($F62="","",IFERROR(INDEX(商品档案!$D$6:$D$65,MATCH($F62,商品档案!$A$6:$A$65,0)),""))</f>
        <v/>
      </c>
      <c r="I62" s="49"/>
      <c r="J62" s="43"/>
      <c r="K62" s="41"/>
      <c r="L62" s="39"/>
      <c r="M62" s="62"/>
      <c r="N62" s="41"/>
      <c r="O62" s="41"/>
      <c r="P62" s="25" t="str">
        <f aca="false">IF(AND($B62="",$E62=""),"",IF(NOT(ISNUMBER($B62)),"日期无效",IF(ISNA(MATCH($C62,参数设置!$A$10:$A$12,0)),"公司无效",IF($D62="","缺批次号",IF(ISNA(MATCH($E62,记账规则!$A$36:$A$38,0)),"业务类型无效",IF(AND($E62&lt;&gt;"加工费用",ISNA(MATCH($F62,商品档案!$A$6:$A$65,0))),"商品编码无效",IF(AND($E62&lt;&gt;"加工费用",IFERROR(INDEX(商品档案!$E$6:$E$65,MATCH($F62,商品档案!$A$6:$A$65,0)),"")&lt;&gt;$C62),"商品不属于该公司",IF(AND($E62&lt;&gt;"加工费用",N($I62)=0),"数量为 0",IF(AND($E62="加工费用",N($J62)=0),"加工费金额为 0",IF(AND($E62="加工费用",ISNA(MATCH($K62,会计科目表!$B$6:$B$85,0))),"对方科目不存在",IF(YEAR($B62)&lt;&gt;参数设置!$B$5,"不在本会计年度","OK")))))))))))</f>
        <v/>
      </c>
      <c r="Q62" s="58" t="str">
        <f aca="false">IF($F62="","",IFERROR(INDEX(商品档案!$G$6:$G$65,MATCH($F62,商品档案!$A$6:$A$65,0)),""))</f>
        <v/>
      </c>
      <c r="R62" s="59" t="str">
        <f aca="false">IF($F62="","",SUMIFS(进销存台账!$N$6:$N$65,进销存台账!$A$6:$A$65,$C62,进销存台账!$B$6:$B$65,$F62))</f>
        <v/>
      </c>
      <c r="S62" s="60" t="n">
        <f aca="false">IF($E62="领用投入",ROUND(N($I62)*N($R62),2),IF($E62="加工费用",ROUND(N($J62),2),0))</f>
        <v>0</v>
      </c>
      <c r="T62" s="60" t="n">
        <f aca="false">IF($E62&lt;&gt;"产成品入库",0,IF(SUMIFS($W$6:$W$305,$C$6:$C$305,$C62,$D$6:$D$305,$D62,$E$6:$E$305,"产成品入库")=0,0,ROUND(SUMIFS($S$6:$S$305,$C$6:$C$305,$C62,$D$6:$D$305,$D62)*N($X62)/SUMIFS($W$6:$W$305,$C$6:$C$305,$C62,$D$6:$D$305,$D62,$E$6:$E$305,"产成品入库"),2)-ROUND(SUMIFS($S$6:$S$305,$C$6:$C$305,$C62,$D$6:$D$305,$D62)*(N($X62)-N($W62))/SUMIFS($W$6:$W$305,$C$6:$C$305,$C62,$D$6:$D$305,$D62,$E$6:$E$305,"产成品入库"),2)))</f>
        <v>0</v>
      </c>
      <c r="U62" s="57" t="str">
        <f aca="false">IF($E62="","",ROUND($S62+$T62,2))</f>
        <v/>
      </c>
      <c r="V62" s="61" t="str">
        <f aca="false">IF($B62="","",YEAR($B62))</f>
        <v/>
      </c>
      <c r="W62" s="63" t="str">
        <f aca="false">IF($E62&lt;&gt;"产成品入库","",IF(N($M62)=0,1,N($M62)))</f>
        <v/>
      </c>
      <c r="X62" s="63" t="str">
        <f aca="false">IF($E62&lt;&gt;"产成品入库","",SUMIFS($W$6:$W62,$C$6:$C62,$C62,$D$6:$D62,$D62,$E$6:$E62,"产成品入库"))</f>
        <v/>
      </c>
    </row>
    <row r="63" customFormat="false" ht="15" hidden="false" customHeight="false" outlineLevel="0" collapsed="false">
      <c r="A63" s="53" t="str">
        <f aca="false">IF($B63="","",ROW()-5)</f>
        <v/>
      </c>
      <c r="B63" s="54"/>
      <c r="C63" s="33"/>
      <c r="D63" s="39"/>
      <c r="E63" s="33"/>
      <c r="F63" s="39"/>
      <c r="G63" s="48" t="str">
        <f aca="false">IF($F63="","",IFERROR(INDEX(商品档案!$B$6:$B$65,MATCH($F63,商品档案!$A$6:$A$65,0)),""))</f>
        <v/>
      </c>
      <c r="H63" s="55" t="str">
        <f aca="false">IF($F63="","",IFERROR(INDEX(商品档案!$D$6:$D$65,MATCH($F63,商品档案!$A$6:$A$65,0)),""))</f>
        <v/>
      </c>
      <c r="I63" s="49"/>
      <c r="J63" s="43"/>
      <c r="K63" s="41"/>
      <c r="L63" s="39"/>
      <c r="M63" s="62"/>
      <c r="N63" s="41"/>
      <c r="O63" s="41"/>
      <c r="P63" s="25" t="str">
        <f aca="false">IF(AND($B63="",$E63=""),"",IF(NOT(ISNUMBER($B63)),"日期无效",IF(ISNA(MATCH($C63,参数设置!$A$10:$A$12,0)),"公司无效",IF($D63="","缺批次号",IF(ISNA(MATCH($E63,记账规则!$A$36:$A$38,0)),"业务类型无效",IF(AND($E63&lt;&gt;"加工费用",ISNA(MATCH($F63,商品档案!$A$6:$A$65,0))),"商品编码无效",IF(AND($E63&lt;&gt;"加工费用",IFERROR(INDEX(商品档案!$E$6:$E$65,MATCH($F63,商品档案!$A$6:$A$65,0)),"")&lt;&gt;$C63),"商品不属于该公司",IF(AND($E63&lt;&gt;"加工费用",N($I63)=0),"数量为 0",IF(AND($E63="加工费用",N($J63)=0),"加工费金额为 0",IF(AND($E63="加工费用",ISNA(MATCH($K63,会计科目表!$B$6:$B$85,0))),"对方科目不存在",IF(YEAR($B63)&lt;&gt;参数设置!$B$5,"不在本会计年度","OK")))))))))))</f>
        <v/>
      </c>
      <c r="Q63" s="58" t="str">
        <f aca="false">IF($F63="","",IFERROR(INDEX(商品档案!$G$6:$G$65,MATCH($F63,商品档案!$A$6:$A$65,0)),""))</f>
        <v/>
      </c>
      <c r="R63" s="59" t="str">
        <f aca="false">IF($F63="","",SUMIFS(进销存台账!$N$6:$N$65,进销存台账!$A$6:$A$65,$C63,进销存台账!$B$6:$B$65,$F63))</f>
        <v/>
      </c>
      <c r="S63" s="60" t="n">
        <f aca="false">IF($E63="领用投入",ROUND(N($I63)*N($R63),2),IF($E63="加工费用",ROUND(N($J63),2),0))</f>
        <v>0</v>
      </c>
      <c r="T63" s="60" t="n">
        <f aca="false">IF($E63&lt;&gt;"产成品入库",0,IF(SUMIFS($W$6:$W$305,$C$6:$C$305,$C63,$D$6:$D$305,$D63,$E$6:$E$305,"产成品入库")=0,0,ROUND(SUMIFS($S$6:$S$305,$C$6:$C$305,$C63,$D$6:$D$305,$D63)*N($X63)/SUMIFS($W$6:$W$305,$C$6:$C$305,$C63,$D$6:$D$305,$D63,$E$6:$E$305,"产成品入库"),2)-ROUND(SUMIFS($S$6:$S$305,$C$6:$C$305,$C63,$D$6:$D$305,$D63)*(N($X63)-N($W63))/SUMIFS($W$6:$W$305,$C$6:$C$305,$C63,$D$6:$D$305,$D63,$E$6:$E$305,"产成品入库"),2)))</f>
        <v>0</v>
      </c>
      <c r="U63" s="57" t="str">
        <f aca="false">IF($E63="","",ROUND($S63+$T63,2))</f>
        <v/>
      </c>
      <c r="V63" s="61" t="str">
        <f aca="false">IF($B63="","",YEAR($B63))</f>
        <v/>
      </c>
      <c r="W63" s="63" t="str">
        <f aca="false">IF($E63&lt;&gt;"产成品入库","",IF(N($M63)=0,1,N($M63)))</f>
        <v/>
      </c>
      <c r="X63" s="63" t="str">
        <f aca="false">IF($E63&lt;&gt;"产成品入库","",SUMIFS($W$6:$W63,$C$6:$C63,$C63,$D$6:$D63,$D63,$E$6:$E63,"产成品入库"))</f>
        <v/>
      </c>
    </row>
    <row r="64" customFormat="false" ht="15" hidden="false" customHeight="false" outlineLevel="0" collapsed="false">
      <c r="A64" s="53" t="str">
        <f aca="false">IF($B64="","",ROW()-5)</f>
        <v/>
      </c>
      <c r="B64" s="54"/>
      <c r="C64" s="33"/>
      <c r="D64" s="39"/>
      <c r="E64" s="33"/>
      <c r="F64" s="39"/>
      <c r="G64" s="48" t="str">
        <f aca="false">IF($F64="","",IFERROR(INDEX(商品档案!$B$6:$B$65,MATCH($F64,商品档案!$A$6:$A$65,0)),""))</f>
        <v/>
      </c>
      <c r="H64" s="55" t="str">
        <f aca="false">IF($F64="","",IFERROR(INDEX(商品档案!$D$6:$D$65,MATCH($F64,商品档案!$A$6:$A$65,0)),""))</f>
        <v/>
      </c>
      <c r="I64" s="49"/>
      <c r="J64" s="43"/>
      <c r="K64" s="41"/>
      <c r="L64" s="39"/>
      <c r="M64" s="62"/>
      <c r="N64" s="41"/>
      <c r="O64" s="41"/>
      <c r="P64" s="25" t="str">
        <f aca="false">IF(AND($B64="",$E64=""),"",IF(NOT(ISNUMBER($B64)),"日期无效",IF(ISNA(MATCH($C64,参数设置!$A$10:$A$12,0)),"公司无效",IF($D64="","缺批次号",IF(ISNA(MATCH($E64,记账规则!$A$36:$A$38,0)),"业务类型无效",IF(AND($E64&lt;&gt;"加工费用",ISNA(MATCH($F64,商品档案!$A$6:$A$65,0))),"商品编码无效",IF(AND($E64&lt;&gt;"加工费用",IFERROR(INDEX(商品档案!$E$6:$E$65,MATCH($F64,商品档案!$A$6:$A$65,0)),"")&lt;&gt;$C64),"商品不属于该公司",IF(AND($E64&lt;&gt;"加工费用",N($I64)=0),"数量为 0",IF(AND($E64="加工费用",N($J64)=0),"加工费金额为 0",IF(AND($E64="加工费用",ISNA(MATCH($K64,会计科目表!$B$6:$B$85,0))),"对方科目不存在",IF(YEAR($B64)&lt;&gt;参数设置!$B$5,"不在本会计年度","OK")))))))))))</f>
        <v/>
      </c>
      <c r="Q64" s="58" t="str">
        <f aca="false">IF($F64="","",IFERROR(INDEX(商品档案!$G$6:$G$65,MATCH($F64,商品档案!$A$6:$A$65,0)),""))</f>
        <v/>
      </c>
      <c r="R64" s="59" t="str">
        <f aca="false">IF($F64="","",SUMIFS(进销存台账!$N$6:$N$65,进销存台账!$A$6:$A$65,$C64,进销存台账!$B$6:$B$65,$F64))</f>
        <v/>
      </c>
      <c r="S64" s="60" t="n">
        <f aca="false">IF($E64="领用投入",ROUND(N($I64)*N($R64),2),IF($E64="加工费用",ROUND(N($J64),2),0))</f>
        <v>0</v>
      </c>
      <c r="T64" s="60" t="n">
        <f aca="false">IF($E64&lt;&gt;"产成品入库",0,IF(SUMIFS($W$6:$W$305,$C$6:$C$305,$C64,$D$6:$D$305,$D64,$E$6:$E$305,"产成品入库")=0,0,ROUND(SUMIFS($S$6:$S$305,$C$6:$C$305,$C64,$D$6:$D$305,$D64)*N($X64)/SUMIFS($W$6:$W$305,$C$6:$C$305,$C64,$D$6:$D$305,$D64,$E$6:$E$305,"产成品入库"),2)-ROUND(SUMIFS($S$6:$S$305,$C$6:$C$305,$C64,$D$6:$D$305,$D64)*(N($X64)-N($W64))/SUMIFS($W$6:$W$305,$C$6:$C$305,$C64,$D$6:$D$305,$D64,$E$6:$E$305,"产成品入库"),2)))</f>
        <v>0</v>
      </c>
      <c r="U64" s="57" t="str">
        <f aca="false">IF($E64="","",ROUND($S64+$T64,2))</f>
        <v/>
      </c>
      <c r="V64" s="61" t="str">
        <f aca="false">IF($B64="","",YEAR($B64))</f>
        <v/>
      </c>
      <c r="W64" s="63" t="str">
        <f aca="false">IF($E64&lt;&gt;"产成品入库","",IF(N($M64)=0,1,N($M64)))</f>
        <v/>
      </c>
      <c r="X64" s="63" t="str">
        <f aca="false">IF($E64&lt;&gt;"产成品入库","",SUMIFS($W$6:$W64,$C$6:$C64,$C64,$D$6:$D64,$D64,$E$6:$E64,"产成品入库"))</f>
        <v/>
      </c>
    </row>
    <row r="65" customFormat="false" ht="15" hidden="false" customHeight="false" outlineLevel="0" collapsed="false">
      <c r="A65" s="53" t="str">
        <f aca="false">IF($B65="","",ROW()-5)</f>
        <v/>
      </c>
      <c r="B65" s="54"/>
      <c r="C65" s="33"/>
      <c r="D65" s="39"/>
      <c r="E65" s="33"/>
      <c r="F65" s="39"/>
      <c r="G65" s="48" t="str">
        <f aca="false">IF($F65="","",IFERROR(INDEX(商品档案!$B$6:$B$65,MATCH($F65,商品档案!$A$6:$A$65,0)),""))</f>
        <v/>
      </c>
      <c r="H65" s="55" t="str">
        <f aca="false">IF($F65="","",IFERROR(INDEX(商品档案!$D$6:$D$65,MATCH($F65,商品档案!$A$6:$A$65,0)),""))</f>
        <v/>
      </c>
      <c r="I65" s="49"/>
      <c r="J65" s="43"/>
      <c r="K65" s="41"/>
      <c r="L65" s="39"/>
      <c r="M65" s="62"/>
      <c r="N65" s="41"/>
      <c r="O65" s="41"/>
      <c r="P65" s="25" t="str">
        <f aca="false">IF(AND($B65="",$E65=""),"",IF(NOT(ISNUMBER($B65)),"日期无效",IF(ISNA(MATCH($C65,参数设置!$A$10:$A$12,0)),"公司无效",IF($D65="","缺批次号",IF(ISNA(MATCH($E65,记账规则!$A$36:$A$38,0)),"业务类型无效",IF(AND($E65&lt;&gt;"加工费用",ISNA(MATCH($F65,商品档案!$A$6:$A$65,0))),"商品编码无效",IF(AND($E65&lt;&gt;"加工费用",IFERROR(INDEX(商品档案!$E$6:$E$65,MATCH($F65,商品档案!$A$6:$A$65,0)),"")&lt;&gt;$C65),"商品不属于该公司",IF(AND($E65&lt;&gt;"加工费用",N($I65)=0),"数量为 0",IF(AND($E65="加工费用",N($J65)=0),"加工费金额为 0",IF(AND($E65="加工费用",ISNA(MATCH($K65,会计科目表!$B$6:$B$85,0))),"对方科目不存在",IF(YEAR($B65)&lt;&gt;参数设置!$B$5,"不在本会计年度","OK")))))))))))</f>
        <v/>
      </c>
      <c r="Q65" s="58" t="str">
        <f aca="false">IF($F65="","",IFERROR(INDEX(商品档案!$G$6:$G$65,MATCH($F65,商品档案!$A$6:$A$65,0)),""))</f>
        <v/>
      </c>
      <c r="R65" s="59" t="str">
        <f aca="false">IF($F65="","",SUMIFS(进销存台账!$N$6:$N$65,进销存台账!$A$6:$A$65,$C65,进销存台账!$B$6:$B$65,$F65))</f>
        <v/>
      </c>
      <c r="S65" s="60" t="n">
        <f aca="false">IF($E65="领用投入",ROUND(N($I65)*N($R65),2),IF($E65="加工费用",ROUND(N($J65),2),0))</f>
        <v>0</v>
      </c>
      <c r="T65" s="60" t="n">
        <f aca="false">IF($E65&lt;&gt;"产成品入库",0,IF(SUMIFS($W$6:$W$305,$C$6:$C$305,$C65,$D$6:$D$305,$D65,$E$6:$E$305,"产成品入库")=0,0,ROUND(SUMIFS($S$6:$S$305,$C$6:$C$305,$C65,$D$6:$D$305,$D65)*N($X65)/SUMIFS($W$6:$W$305,$C$6:$C$305,$C65,$D$6:$D$305,$D65,$E$6:$E$305,"产成品入库"),2)-ROUND(SUMIFS($S$6:$S$305,$C$6:$C$305,$C65,$D$6:$D$305,$D65)*(N($X65)-N($W65))/SUMIFS($W$6:$W$305,$C$6:$C$305,$C65,$D$6:$D$305,$D65,$E$6:$E$305,"产成品入库"),2)))</f>
        <v>0</v>
      </c>
      <c r="U65" s="57" t="str">
        <f aca="false">IF($E65="","",ROUND($S65+$T65,2))</f>
        <v/>
      </c>
      <c r="V65" s="61" t="str">
        <f aca="false">IF($B65="","",YEAR($B65))</f>
        <v/>
      </c>
      <c r="W65" s="63" t="str">
        <f aca="false">IF($E65&lt;&gt;"产成品入库","",IF(N($M65)=0,1,N($M65)))</f>
        <v/>
      </c>
      <c r="X65" s="63" t="str">
        <f aca="false">IF($E65&lt;&gt;"产成品入库","",SUMIFS($W$6:$W65,$C$6:$C65,$C65,$D$6:$D65,$D65,$E$6:$E65,"产成品入库"))</f>
        <v/>
      </c>
    </row>
    <row r="66" customFormat="false" ht="15" hidden="false" customHeight="false" outlineLevel="0" collapsed="false">
      <c r="A66" s="53" t="str">
        <f aca="false">IF($B66="","",ROW()-5)</f>
        <v/>
      </c>
      <c r="B66" s="54"/>
      <c r="C66" s="33"/>
      <c r="D66" s="39"/>
      <c r="E66" s="33"/>
      <c r="F66" s="39"/>
      <c r="G66" s="48" t="str">
        <f aca="false">IF($F66="","",IFERROR(INDEX(商品档案!$B$6:$B$65,MATCH($F66,商品档案!$A$6:$A$65,0)),""))</f>
        <v/>
      </c>
      <c r="H66" s="55" t="str">
        <f aca="false">IF($F66="","",IFERROR(INDEX(商品档案!$D$6:$D$65,MATCH($F66,商品档案!$A$6:$A$65,0)),""))</f>
        <v/>
      </c>
      <c r="I66" s="49"/>
      <c r="J66" s="43"/>
      <c r="K66" s="41"/>
      <c r="L66" s="39"/>
      <c r="M66" s="62"/>
      <c r="N66" s="41"/>
      <c r="O66" s="41"/>
      <c r="P66" s="25" t="str">
        <f aca="false">IF(AND($B66="",$E66=""),"",IF(NOT(ISNUMBER($B66)),"日期无效",IF(ISNA(MATCH($C66,参数设置!$A$10:$A$12,0)),"公司无效",IF($D66="","缺批次号",IF(ISNA(MATCH($E66,记账规则!$A$36:$A$38,0)),"业务类型无效",IF(AND($E66&lt;&gt;"加工费用",ISNA(MATCH($F66,商品档案!$A$6:$A$65,0))),"商品编码无效",IF(AND($E66&lt;&gt;"加工费用",IFERROR(INDEX(商品档案!$E$6:$E$65,MATCH($F66,商品档案!$A$6:$A$65,0)),"")&lt;&gt;$C66),"商品不属于该公司",IF(AND($E66&lt;&gt;"加工费用",N($I66)=0),"数量为 0",IF(AND($E66="加工费用",N($J66)=0),"加工费金额为 0",IF(AND($E66="加工费用",ISNA(MATCH($K66,会计科目表!$B$6:$B$85,0))),"对方科目不存在",IF(YEAR($B66)&lt;&gt;参数设置!$B$5,"不在本会计年度","OK")))))))))))</f>
        <v/>
      </c>
      <c r="Q66" s="58" t="str">
        <f aca="false">IF($F66="","",IFERROR(INDEX(商品档案!$G$6:$G$65,MATCH($F66,商品档案!$A$6:$A$65,0)),""))</f>
        <v/>
      </c>
      <c r="R66" s="59" t="str">
        <f aca="false">IF($F66="","",SUMIFS(进销存台账!$N$6:$N$65,进销存台账!$A$6:$A$65,$C66,进销存台账!$B$6:$B$65,$F66))</f>
        <v/>
      </c>
      <c r="S66" s="60" t="n">
        <f aca="false">IF($E66="领用投入",ROUND(N($I66)*N($R66),2),IF($E66="加工费用",ROUND(N($J66),2),0))</f>
        <v>0</v>
      </c>
      <c r="T66" s="60" t="n">
        <f aca="false">IF($E66&lt;&gt;"产成品入库",0,IF(SUMIFS($W$6:$W$305,$C$6:$C$305,$C66,$D$6:$D$305,$D66,$E$6:$E$305,"产成品入库")=0,0,ROUND(SUMIFS($S$6:$S$305,$C$6:$C$305,$C66,$D$6:$D$305,$D66)*N($X66)/SUMIFS($W$6:$W$305,$C$6:$C$305,$C66,$D$6:$D$305,$D66,$E$6:$E$305,"产成品入库"),2)-ROUND(SUMIFS($S$6:$S$305,$C$6:$C$305,$C66,$D$6:$D$305,$D66)*(N($X66)-N($W66))/SUMIFS($W$6:$W$305,$C$6:$C$305,$C66,$D$6:$D$305,$D66,$E$6:$E$305,"产成品入库"),2)))</f>
        <v>0</v>
      </c>
      <c r="U66" s="57" t="str">
        <f aca="false">IF($E66="","",ROUND($S66+$T66,2))</f>
        <v/>
      </c>
      <c r="V66" s="61" t="str">
        <f aca="false">IF($B66="","",YEAR($B66))</f>
        <v/>
      </c>
      <c r="W66" s="63" t="str">
        <f aca="false">IF($E66&lt;&gt;"产成品入库","",IF(N($M66)=0,1,N($M66)))</f>
        <v/>
      </c>
      <c r="X66" s="63" t="str">
        <f aca="false">IF($E66&lt;&gt;"产成品入库","",SUMIFS($W$6:$W66,$C$6:$C66,$C66,$D$6:$D66,$D66,$E$6:$E66,"产成品入库"))</f>
        <v/>
      </c>
    </row>
    <row r="67" customFormat="false" ht="15" hidden="false" customHeight="false" outlineLevel="0" collapsed="false">
      <c r="A67" s="53" t="str">
        <f aca="false">IF($B67="","",ROW()-5)</f>
        <v/>
      </c>
      <c r="B67" s="54"/>
      <c r="C67" s="33"/>
      <c r="D67" s="39"/>
      <c r="E67" s="33"/>
      <c r="F67" s="39"/>
      <c r="G67" s="48" t="str">
        <f aca="false">IF($F67="","",IFERROR(INDEX(商品档案!$B$6:$B$65,MATCH($F67,商品档案!$A$6:$A$65,0)),""))</f>
        <v/>
      </c>
      <c r="H67" s="55" t="str">
        <f aca="false">IF($F67="","",IFERROR(INDEX(商品档案!$D$6:$D$65,MATCH($F67,商品档案!$A$6:$A$65,0)),""))</f>
        <v/>
      </c>
      <c r="I67" s="49"/>
      <c r="J67" s="43"/>
      <c r="K67" s="41"/>
      <c r="L67" s="39"/>
      <c r="M67" s="62"/>
      <c r="N67" s="41"/>
      <c r="O67" s="41"/>
      <c r="P67" s="25" t="str">
        <f aca="false">IF(AND($B67="",$E67=""),"",IF(NOT(ISNUMBER($B67)),"日期无效",IF(ISNA(MATCH($C67,参数设置!$A$10:$A$12,0)),"公司无效",IF($D67="","缺批次号",IF(ISNA(MATCH($E67,记账规则!$A$36:$A$38,0)),"业务类型无效",IF(AND($E67&lt;&gt;"加工费用",ISNA(MATCH($F67,商品档案!$A$6:$A$65,0))),"商品编码无效",IF(AND($E67&lt;&gt;"加工费用",IFERROR(INDEX(商品档案!$E$6:$E$65,MATCH($F67,商品档案!$A$6:$A$65,0)),"")&lt;&gt;$C67),"商品不属于该公司",IF(AND($E67&lt;&gt;"加工费用",N($I67)=0),"数量为 0",IF(AND($E67="加工费用",N($J67)=0),"加工费金额为 0",IF(AND($E67="加工费用",ISNA(MATCH($K67,会计科目表!$B$6:$B$85,0))),"对方科目不存在",IF(YEAR($B67)&lt;&gt;参数设置!$B$5,"不在本会计年度","OK")))))))))))</f>
        <v/>
      </c>
      <c r="Q67" s="58" t="str">
        <f aca="false">IF($F67="","",IFERROR(INDEX(商品档案!$G$6:$G$65,MATCH($F67,商品档案!$A$6:$A$65,0)),""))</f>
        <v/>
      </c>
      <c r="R67" s="59" t="str">
        <f aca="false">IF($F67="","",SUMIFS(进销存台账!$N$6:$N$65,进销存台账!$A$6:$A$65,$C67,进销存台账!$B$6:$B$65,$F67))</f>
        <v/>
      </c>
      <c r="S67" s="60" t="n">
        <f aca="false">IF($E67="领用投入",ROUND(N($I67)*N($R67),2),IF($E67="加工费用",ROUND(N($J67),2),0))</f>
        <v>0</v>
      </c>
      <c r="T67" s="60" t="n">
        <f aca="false">IF($E67&lt;&gt;"产成品入库",0,IF(SUMIFS($W$6:$W$305,$C$6:$C$305,$C67,$D$6:$D$305,$D67,$E$6:$E$305,"产成品入库")=0,0,ROUND(SUMIFS($S$6:$S$305,$C$6:$C$305,$C67,$D$6:$D$305,$D67)*N($X67)/SUMIFS($W$6:$W$305,$C$6:$C$305,$C67,$D$6:$D$305,$D67,$E$6:$E$305,"产成品入库"),2)-ROUND(SUMIFS($S$6:$S$305,$C$6:$C$305,$C67,$D$6:$D$305,$D67)*(N($X67)-N($W67))/SUMIFS($W$6:$W$305,$C$6:$C$305,$C67,$D$6:$D$305,$D67,$E$6:$E$305,"产成品入库"),2)))</f>
        <v>0</v>
      </c>
      <c r="U67" s="57" t="str">
        <f aca="false">IF($E67="","",ROUND($S67+$T67,2))</f>
        <v/>
      </c>
      <c r="V67" s="61" t="str">
        <f aca="false">IF($B67="","",YEAR($B67))</f>
        <v/>
      </c>
      <c r="W67" s="63" t="str">
        <f aca="false">IF($E67&lt;&gt;"产成品入库","",IF(N($M67)=0,1,N($M67)))</f>
        <v/>
      </c>
      <c r="X67" s="63" t="str">
        <f aca="false">IF($E67&lt;&gt;"产成品入库","",SUMIFS($W$6:$W67,$C$6:$C67,$C67,$D$6:$D67,$D67,$E$6:$E67,"产成品入库"))</f>
        <v/>
      </c>
    </row>
    <row r="68" customFormat="false" ht="15" hidden="false" customHeight="false" outlineLevel="0" collapsed="false">
      <c r="A68" s="53" t="str">
        <f aca="false">IF($B68="","",ROW()-5)</f>
        <v/>
      </c>
      <c r="B68" s="54"/>
      <c r="C68" s="33"/>
      <c r="D68" s="39"/>
      <c r="E68" s="33"/>
      <c r="F68" s="39"/>
      <c r="G68" s="48" t="str">
        <f aca="false">IF($F68="","",IFERROR(INDEX(商品档案!$B$6:$B$65,MATCH($F68,商品档案!$A$6:$A$65,0)),""))</f>
        <v/>
      </c>
      <c r="H68" s="55" t="str">
        <f aca="false">IF($F68="","",IFERROR(INDEX(商品档案!$D$6:$D$65,MATCH($F68,商品档案!$A$6:$A$65,0)),""))</f>
        <v/>
      </c>
      <c r="I68" s="49"/>
      <c r="J68" s="43"/>
      <c r="K68" s="41"/>
      <c r="L68" s="39"/>
      <c r="M68" s="62"/>
      <c r="N68" s="41"/>
      <c r="O68" s="41"/>
      <c r="P68" s="25" t="str">
        <f aca="false">IF(AND($B68="",$E68=""),"",IF(NOT(ISNUMBER($B68)),"日期无效",IF(ISNA(MATCH($C68,参数设置!$A$10:$A$12,0)),"公司无效",IF($D68="","缺批次号",IF(ISNA(MATCH($E68,记账规则!$A$36:$A$38,0)),"业务类型无效",IF(AND($E68&lt;&gt;"加工费用",ISNA(MATCH($F68,商品档案!$A$6:$A$65,0))),"商品编码无效",IF(AND($E68&lt;&gt;"加工费用",IFERROR(INDEX(商品档案!$E$6:$E$65,MATCH($F68,商品档案!$A$6:$A$65,0)),"")&lt;&gt;$C68),"商品不属于该公司",IF(AND($E68&lt;&gt;"加工费用",N($I68)=0),"数量为 0",IF(AND($E68="加工费用",N($J68)=0),"加工费金额为 0",IF(AND($E68="加工费用",ISNA(MATCH($K68,会计科目表!$B$6:$B$85,0))),"对方科目不存在",IF(YEAR($B68)&lt;&gt;参数设置!$B$5,"不在本会计年度","OK")))))))))))</f>
        <v/>
      </c>
      <c r="Q68" s="58" t="str">
        <f aca="false">IF($F68="","",IFERROR(INDEX(商品档案!$G$6:$G$65,MATCH($F68,商品档案!$A$6:$A$65,0)),""))</f>
        <v/>
      </c>
      <c r="R68" s="59" t="str">
        <f aca="false">IF($F68="","",SUMIFS(进销存台账!$N$6:$N$65,进销存台账!$A$6:$A$65,$C68,进销存台账!$B$6:$B$65,$F68))</f>
        <v/>
      </c>
      <c r="S68" s="60" t="n">
        <f aca="false">IF($E68="领用投入",ROUND(N($I68)*N($R68),2),IF($E68="加工费用",ROUND(N($J68),2),0))</f>
        <v>0</v>
      </c>
      <c r="T68" s="60" t="n">
        <f aca="false">IF($E68&lt;&gt;"产成品入库",0,IF(SUMIFS($W$6:$W$305,$C$6:$C$305,$C68,$D$6:$D$305,$D68,$E$6:$E$305,"产成品入库")=0,0,ROUND(SUMIFS($S$6:$S$305,$C$6:$C$305,$C68,$D$6:$D$305,$D68)*N($X68)/SUMIFS($W$6:$W$305,$C$6:$C$305,$C68,$D$6:$D$305,$D68,$E$6:$E$305,"产成品入库"),2)-ROUND(SUMIFS($S$6:$S$305,$C$6:$C$305,$C68,$D$6:$D$305,$D68)*(N($X68)-N($W68))/SUMIFS($W$6:$W$305,$C$6:$C$305,$C68,$D$6:$D$305,$D68,$E$6:$E$305,"产成品入库"),2)))</f>
        <v>0</v>
      </c>
      <c r="U68" s="57" t="str">
        <f aca="false">IF($E68="","",ROUND($S68+$T68,2))</f>
        <v/>
      </c>
      <c r="V68" s="61" t="str">
        <f aca="false">IF($B68="","",YEAR($B68))</f>
        <v/>
      </c>
      <c r="W68" s="63" t="str">
        <f aca="false">IF($E68&lt;&gt;"产成品入库","",IF(N($M68)=0,1,N($M68)))</f>
        <v/>
      </c>
      <c r="X68" s="63" t="str">
        <f aca="false">IF($E68&lt;&gt;"产成品入库","",SUMIFS($W$6:$W68,$C$6:$C68,$C68,$D$6:$D68,$D68,$E$6:$E68,"产成品入库"))</f>
        <v/>
      </c>
    </row>
    <row r="69" customFormat="false" ht="15" hidden="false" customHeight="false" outlineLevel="0" collapsed="false">
      <c r="A69" s="53" t="str">
        <f aca="false">IF($B69="","",ROW()-5)</f>
        <v/>
      </c>
      <c r="B69" s="54"/>
      <c r="C69" s="33"/>
      <c r="D69" s="39"/>
      <c r="E69" s="33"/>
      <c r="F69" s="39"/>
      <c r="G69" s="48" t="str">
        <f aca="false">IF($F69="","",IFERROR(INDEX(商品档案!$B$6:$B$65,MATCH($F69,商品档案!$A$6:$A$65,0)),""))</f>
        <v/>
      </c>
      <c r="H69" s="55" t="str">
        <f aca="false">IF($F69="","",IFERROR(INDEX(商品档案!$D$6:$D$65,MATCH($F69,商品档案!$A$6:$A$65,0)),""))</f>
        <v/>
      </c>
      <c r="I69" s="49"/>
      <c r="J69" s="43"/>
      <c r="K69" s="41"/>
      <c r="L69" s="39"/>
      <c r="M69" s="62"/>
      <c r="N69" s="41"/>
      <c r="O69" s="41"/>
      <c r="P69" s="25" t="str">
        <f aca="false">IF(AND($B69="",$E69=""),"",IF(NOT(ISNUMBER($B69)),"日期无效",IF(ISNA(MATCH($C69,参数设置!$A$10:$A$12,0)),"公司无效",IF($D69="","缺批次号",IF(ISNA(MATCH($E69,记账规则!$A$36:$A$38,0)),"业务类型无效",IF(AND($E69&lt;&gt;"加工费用",ISNA(MATCH($F69,商品档案!$A$6:$A$65,0))),"商品编码无效",IF(AND($E69&lt;&gt;"加工费用",IFERROR(INDEX(商品档案!$E$6:$E$65,MATCH($F69,商品档案!$A$6:$A$65,0)),"")&lt;&gt;$C69),"商品不属于该公司",IF(AND($E69&lt;&gt;"加工费用",N($I69)=0),"数量为 0",IF(AND($E69="加工费用",N($J69)=0),"加工费金额为 0",IF(AND($E69="加工费用",ISNA(MATCH($K69,会计科目表!$B$6:$B$85,0))),"对方科目不存在",IF(YEAR($B69)&lt;&gt;参数设置!$B$5,"不在本会计年度","OK")))))))))))</f>
        <v/>
      </c>
      <c r="Q69" s="58" t="str">
        <f aca="false">IF($F69="","",IFERROR(INDEX(商品档案!$G$6:$G$65,MATCH($F69,商品档案!$A$6:$A$65,0)),""))</f>
        <v/>
      </c>
      <c r="R69" s="59" t="str">
        <f aca="false">IF($F69="","",SUMIFS(进销存台账!$N$6:$N$65,进销存台账!$A$6:$A$65,$C69,进销存台账!$B$6:$B$65,$F69))</f>
        <v/>
      </c>
      <c r="S69" s="60" t="n">
        <f aca="false">IF($E69="领用投入",ROUND(N($I69)*N($R69),2),IF($E69="加工费用",ROUND(N($J69),2),0))</f>
        <v>0</v>
      </c>
      <c r="T69" s="60" t="n">
        <f aca="false">IF($E69&lt;&gt;"产成品入库",0,IF(SUMIFS($W$6:$W$305,$C$6:$C$305,$C69,$D$6:$D$305,$D69,$E$6:$E$305,"产成品入库")=0,0,ROUND(SUMIFS($S$6:$S$305,$C$6:$C$305,$C69,$D$6:$D$305,$D69)*N($X69)/SUMIFS($W$6:$W$305,$C$6:$C$305,$C69,$D$6:$D$305,$D69,$E$6:$E$305,"产成品入库"),2)-ROUND(SUMIFS($S$6:$S$305,$C$6:$C$305,$C69,$D$6:$D$305,$D69)*(N($X69)-N($W69))/SUMIFS($W$6:$W$305,$C$6:$C$305,$C69,$D$6:$D$305,$D69,$E$6:$E$305,"产成品入库"),2)))</f>
        <v>0</v>
      </c>
      <c r="U69" s="57" t="str">
        <f aca="false">IF($E69="","",ROUND($S69+$T69,2))</f>
        <v/>
      </c>
      <c r="V69" s="61" t="str">
        <f aca="false">IF($B69="","",YEAR($B69))</f>
        <v/>
      </c>
      <c r="W69" s="63" t="str">
        <f aca="false">IF($E69&lt;&gt;"产成品入库","",IF(N($M69)=0,1,N($M69)))</f>
        <v/>
      </c>
      <c r="X69" s="63" t="str">
        <f aca="false">IF($E69&lt;&gt;"产成品入库","",SUMIFS($W$6:$W69,$C$6:$C69,$C69,$D$6:$D69,$D69,$E$6:$E69,"产成品入库"))</f>
        <v/>
      </c>
    </row>
    <row r="70" customFormat="false" ht="15" hidden="false" customHeight="false" outlineLevel="0" collapsed="false">
      <c r="A70" s="53" t="str">
        <f aca="false">IF($B70="","",ROW()-5)</f>
        <v/>
      </c>
      <c r="B70" s="54"/>
      <c r="C70" s="33"/>
      <c r="D70" s="39"/>
      <c r="E70" s="33"/>
      <c r="F70" s="39"/>
      <c r="G70" s="48" t="str">
        <f aca="false">IF($F70="","",IFERROR(INDEX(商品档案!$B$6:$B$65,MATCH($F70,商品档案!$A$6:$A$65,0)),""))</f>
        <v/>
      </c>
      <c r="H70" s="55" t="str">
        <f aca="false">IF($F70="","",IFERROR(INDEX(商品档案!$D$6:$D$65,MATCH($F70,商品档案!$A$6:$A$65,0)),""))</f>
        <v/>
      </c>
      <c r="I70" s="49"/>
      <c r="J70" s="43"/>
      <c r="K70" s="41"/>
      <c r="L70" s="39"/>
      <c r="M70" s="62"/>
      <c r="N70" s="41"/>
      <c r="O70" s="41"/>
      <c r="P70" s="25" t="str">
        <f aca="false">IF(AND($B70="",$E70=""),"",IF(NOT(ISNUMBER($B70)),"日期无效",IF(ISNA(MATCH($C70,参数设置!$A$10:$A$12,0)),"公司无效",IF($D70="","缺批次号",IF(ISNA(MATCH($E70,记账规则!$A$36:$A$38,0)),"业务类型无效",IF(AND($E70&lt;&gt;"加工费用",ISNA(MATCH($F70,商品档案!$A$6:$A$65,0))),"商品编码无效",IF(AND($E70&lt;&gt;"加工费用",IFERROR(INDEX(商品档案!$E$6:$E$65,MATCH($F70,商品档案!$A$6:$A$65,0)),"")&lt;&gt;$C70),"商品不属于该公司",IF(AND($E70&lt;&gt;"加工费用",N($I70)=0),"数量为 0",IF(AND($E70="加工费用",N($J70)=0),"加工费金额为 0",IF(AND($E70="加工费用",ISNA(MATCH($K70,会计科目表!$B$6:$B$85,0))),"对方科目不存在",IF(YEAR($B70)&lt;&gt;参数设置!$B$5,"不在本会计年度","OK")))))))))))</f>
        <v/>
      </c>
      <c r="Q70" s="58" t="str">
        <f aca="false">IF($F70="","",IFERROR(INDEX(商品档案!$G$6:$G$65,MATCH($F70,商品档案!$A$6:$A$65,0)),""))</f>
        <v/>
      </c>
      <c r="R70" s="59" t="str">
        <f aca="false">IF($F70="","",SUMIFS(进销存台账!$N$6:$N$65,进销存台账!$A$6:$A$65,$C70,进销存台账!$B$6:$B$65,$F70))</f>
        <v/>
      </c>
      <c r="S70" s="60" t="n">
        <f aca="false">IF($E70="领用投入",ROUND(N($I70)*N($R70),2),IF($E70="加工费用",ROUND(N($J70),2),0))</f>
        <v>0</v>
      </c>
      <c r="T70" s="60" t="n">
        <f aca="false">IF($E70&lt;&gt;"产成品入库",0,IF(SUMIFS($W$6:$W$305,$C$6:$C$305,$C70,$D$6:$D$305,$D70,$E$6:$E$305,"产成品入库")=0,0,ROUND(SUMIFS($S$6:$S$305,$C$6:$C$305,$C70,$D$6:$D$305,$D70)*N($X70)/SUMIFS($W$6:$W$305,$C$6:$C$305,$C70,$D$6:$D$305,$D70,$E$6:$E$305,"产成品入库"),2)-ROUND(SUMIFS($S$6:$S$305,$C$6:$C$305,$C70,$D$6:$D$305,$D70)*(N($X70)-N($W70))/SUMIFS($W$6:$W$305,$C$6:$C$305,$C70,$D$6:$D$305,$D70,$E$6:$E$305,"产成品入库"),2)))</f>
        <v>0</v>
      </c>
      <c r="U70" s="57" t="str">
        <f aca="false">IF($E70="","",ROUND($S70+$T70,2))</f>
        <v/>
      </c>
      <c r="V70" s="61" t="str">
        <f aca="false">IF($B70="","",YEAR($B70))</f>
        <v/>
      </c>
      <c r="W70" s="63" t="str">
        <f aca="false">IF($E70&lt;&gt;"产成品入库","",IF(N($M70)=0,1,N($M70)))</f>
        <v/>
      </c>
      <c r="X70" s="63" t="str">
        <f aca="false">IF($E70&lt;&gt;"产成品入库","",SUMIFS($W$6:$W70,$C$6:$C70,$C70,$D$6:$D70,$D70,$E$6:$E70,"产成品入库"))</f>
        <v/>
      </c>
    </row>
    <row r="71" customFormat="false" ht="15" hidden="false" customHeight="false" outlineLevel="0" collapsed="false">
      <c r="A71" s="53" t="str">
        <f aca="false">IF($B71="","",ROW()-5)</f>
        <v/>
      </c>
      <c r="B71" s="54"/>
      <c r="C71" s="33"/>
      <c r="D71" s="39"/>
      <c r="E71" s="33"/>
      <c r="F71" s="39"/>
      <c r="G71" s="48" t="str">
        <f aca="false">IF($F71="","",IFERROR(INDEX(商品档案!$B$6:$B$65,MATCH($F71,商品档案!$A$6:$A$65,0)),""))</f>
        <v/>
      </c>
      <c r="H71" s="55" t="str">
        <f aca="false">IF($F71="","",IFERROR(INDEX(商品档案!$D$6:$D$65,MATCH($F71,商品档案!$A$6:$A$65,0)),""))</f>
        <v/>
      </c>
      <c r="I71" s="49"/>
      <c r="J71" s="43"/>
      <c r="K71" s="41"/>
      <c r="L71" s="39"/>
      <c r="M71" s="62"/>
      <c r="N71" s="41"/>
      <c r="O71" s="41"/>
      <c r="P71" s="25" t="str">
        <f aca="false">IF(AND($B71="",$E71=""),"",IF(NOT(ISNUMBER($B71)),"日期无效",IF(ISNA(MATCH($C71,参数设置!$A$10:$A$12,0)),"公司无效",IF($D71="","缺批次号",IF(ISNA(MATCH($E71,记账规则!$A$36:$A$38,0)),"业务类型无效",IF(AND($E71&lt;&gt;"加工费用",ISNA(MATCH($F71,商品档案!$A$6:$A$65,0))),"商品编码无效",IF(AND($E71&lt;&gt;"加工费用",IFERROR(INDEX(商品档案!$E$6:$E$65,MATCH($F71,商品档案!$A$6:$A$65,0)),"")&lt;&gt;$C71),"商品不属于该公司",IF(AND($E71&lt;&gt;"加工费用",N($I71)=0),"数量为 0",IF(AND($E71="加工费用",N($J71)=0),"加工费金额为 0",IF(AND($E71="加工费用",ISNA(MATCH($K71,会计科目表!$B$6:$B$85,0))),"对方科目不存在",IF(YEAR($B71)&lt;&gt;参数设置!$B$5,"不在本会计年度","OK")))))))))))</f>
        <v/>
      </c>
      <c r="Q71" s="58" t="str">
        <f aca="false">IF($F71="","",IFERROR(INDEX(商品档案!$G$6:$G$65,MATCH($F71,商品档案!$A$6:$A$65,0)),""))</f>
        <v/>
      </c>
      <c r="R71" s="59" t="str">
        <f aca="false">IF($F71="","",SUMIFS(进销存台账!$N$6:$N$65,进销存台账!$A$6:$A$65,$C71,进销存台账!$B$6:$B$65,$F71))</f>
        <v/>
      </c>
      <c r="S71" s="60" t="n">
        <f aca="false">IF($E71="领用投入",ROUND(N($I71)*N($R71),2),IF($E71="加工费用",ROUND(N($J71),2),0))</f>
        <v>0</v>
      </c>
      <c r="T71" s="60" t="n">
        <f aca="false">IF($E71&lt;&gt;"产成品入库",0,IF(SUMIFS($W$6:$W$305,$C$6:$C$305,$C71,$D$6:$D$305,$D71,$E$6:$E$305,"产成品入库")=0,0,ROUND(SUMIFS($S$6:$S$305,$C$6:$C$305,$C71,$D$6:$D$305,$D71)*N($X71)/SUMIFS($W$6:$W$305,$C$6:$C$305,$C71,$D$6:$D$305,$D71,$E$6:$E$305,"产成品入库"),2)-ROUND(SUMIFS($S$6:$S$305,$C$6:$C$305,$C71,$D$6:$D$305,$D71)*(N($X71)-N($W71))/SUMIFS($W$6:$W$305,$C$6:$C$305,$C71,$D$6:$D$305,$D71,$E$6:$E$305,"产成品入库"),2)))</f>
        <v>0</v>
      </c>
      <c r="U71" s="57" t="str">
        <f aca="false">IF($E71="","",ROUND($S71+$T71,2))</f>
        <v/>
      </c>
      <c r="V71" s="61" t="str">
        <f aca="false">IF($B71="","",YEAR($B71))</f>
        <v/>
      </c>
      <c r="W71" s="63" t="str">
        <f aca="false">IF($E71&lt;&gt;"产成品入库","",IF(N($M71)=0,1,N($M71)))</f>
        <v/>
      </c>
      <c r="X71" s="63" t="str">
        <f aca="false">IF($E71&lt;&gt;"产成品入库","",SUMIFS($W$6:$W71,$C$6:$C71,$C71,$D$6:$D71,$D71,$E$6:$E71,"产成品入库"))</f>
        <v/>
      </c>
    </row>
    <row r="72" customFormat="false" ht="15" hidden="false" customHeight="false" outlineLevel="0" collapsed="false">
      <c r="A72" s="53" t="str">
        <f aca="false">IF($B72="","",ROW()-5)</f>
        <v/>
      </c>
      <c r="B72" s="54"/>
      <c r="C72" s="33"/>
      <c r="D72" s="39"/>
      <c r="E72" s="33"/>
      <c r="F72" s="39"/>
      <c r="G72" s="48" t="str">
        <f aca="false">IF($F72="","",IFERROR(INDEX(商品档案!$B$6:$B$65,MATCH($F72,商品档案!$A$6:$A$65,0)),""))</f>
        <v/>
      </c>
      <c r="H72" s="55" t="str">
        <f aca="false">IF($F72="","",IFERROR(INDEX(商品档案!$D$6:$D$65,MATCH($F72,商品档案!$A$6:$A$65,0)),""))</f>
        <v/>
      </c>
      <c r="I72" s="49"/>
      <c r="J72" s="43"/>
      <c r="K72" s="41"/>
      <c r="L72" s="39"/>
      <c r="M72" s="62"/>
      <c r="N72" s="41"/>
      <c r="O72" s="41"/>
      <c r="P72" s="25" t="str">
        <f aca="false">IF(AND($B72="",$E72=""),"",IF(NOT(ISNUMBER($B72)),"日期无效",IF(ISNA(MATCH($C72,参数设置!$A$10:$A$12,0)),"公司无效",IF($D72="","缺批次号",IF(ISNA(MATCH($E72,记账规则!$A$36:$A$38,0)),"业务类型无效",IF(AND($E72&lt;&gt;"加工费用",ISNA(MATCH($F72,商品档案!$A$6:$A$65,0))),"商品编码无效",IF(AND($E72&lt;&gt;"加工费用",IFERROR(INDEX(商品档案!$E$6:$E$65,MATCH($F72,商品档案!$A$6:$A$65,0)),"")&lt;&gt;$C72),"商品不属于该公司",IF(AND($E72&lt;&gt;"加工费用",N($I72)=0),"数量为 0",IF(AND($E72="加工费用",N($J72)=0),"加工费金额为 0",IF(AND($E72="加工费用",ISNA(MATCH($K72,会计科目表!$B$6:$B$85,0))),"对方科目不存在",IF(YEAR($B72)&lt;&gt;参数设置!$B$5,"不在本会计年度","OK")))))))))))</f>
        <v/>
      </c>
      <c r="Q72" s="58" t="str">
        <f aca="false">IF($F72="","",IFERROR(INDEX(商品档案!$G$6:$G$65,MATCH($F72,商品档案!$A$6:$A$65,0)),""))</f>
        <v/>
      </c>
      <c r="R72" s="59" t="str">
        <f aca="false">IF($F72="","",SUMIFS(进销存台账!$N$6:$N$65,进销存台账!$A$6:$A$65,$C72,进销存台账!$B$6:$B$65,$F72))</f>
        <v/>
      </c>
      <c r="S72" s="60" t="n">
        <f aca="false">IF($E72="领用投入",ROUND(N($I72)*N($R72),2),IF($E72="加工费用",ROUND(N($J72),2),0))</f>
        <v>0</v>
      </c>
      <c r="T72" s="60" t="n">
        <f aca="false">IF($E72&lt;&gt;"产成品入库",0,IF(SUMIFS($W$6:$W$305,$C$6:$C$305,$C72,$D$6:$D$305,$D72,$E$6:$E$305,"产成品入库")=0,0,ROUND(SUMIFS($S$6:$S$305,$C$6:$C$305,$C72,$D$6:$D$305,$D72)*N($X72)/SUMIFS($W$6:$W$305,$C$6:$C$305,$C72,$D$6:$D$305,$D72,$E$6:$E$305,"产成品入库"),2)-ROUND(SUMIFS($S$6:$S$305,$C$6:$C$305,$C72,$D$6:$D$305,$D72)*(N($X72)-N($W72))/SUMIFS($W$6:$W$305,$C$6:$C$305,$C72,$D$6:$D$305,$D72,$E$6:$E$305,"产成品入库"),2)))</f>
        <v>0</v>
      </c>
      <c r="U72" s="57" t="str">
        <f aca="false">IF($E72="","",ROUND($S72+$T72,2))</f>
        <v/>
      </c>
      <c r="V72" s="61" t="str">
        <f aca="false">IF($B72="","",YEAR($B72))</f>
        <v/>
      </c>
      <c r="W72" s="63" t="str">
        <f aca="false">IF($E72&lt;&gt;"产成品入库","",IF(N($M72)=0,1,N($M72)))</f>
        <v/>
      </c>
      <c r="X72" s="63" t="str">
        <f aca="false">IF($E72&lt;&gt;"产成品入库","",SUMIFS($W$6:$W72,$C$6:$C72,$C72,$D$6:$D72,$D72,$E$6:$E72,"产成品入库"))</f>
        <v/>
      </c>
    </row>
    <row r="73" customFormat="false" ht="15" hidden="false" customHeight="false" outlineLevel="0" collapsed="false">
      <c r="A73" s="53" t="str">
        <f aca="false">IF($B73="","",ROW()-5)</f>
        <v/>
      </c>
      <c r="B73" s="54"/>
      <c r="C73" s="33"/>
      <c r="D73" s="39"/>
      <c r="E73" s="33"/>
      <c r="F73" s="39"/>
      <c r="G73" s="48" t="str">
        <f aca="false">IF($F73="","",IFERROR(INDEX(商品档案!$B$6:$B$65,MATCH($F73,商品档案!$A$6:$A$65,0)),""))</f>
        <v/>
      </c>
      <c r="H73" s="55" t="str">
        <f aca="false">IF($F73="","",IFERROR(INDEX(商品档案!$D$6:$D$65,MATCH($F73,商品档案!$A$6:$A$65,0)),""))</f>
        <v/>
      </c>
      <c r="I73" s="49"/>
      <c r="J73" s="43"/>
      <c r="K73" s="41"/>
      <c r="L73" s="39"/>
      <c r="M73" s="62"/>
      <c r="N73" s="41"/>
      <c r="O73" s="41"/>
      <c r="P73" s="25" t="str">
        <f aca="false">IF(AND($B73="",$E73=""),"",IF(NOT(ISNUMBER($B73)),"日期无效",IF(ISNA(MATCH($C73,参数设置!$A$10:$A$12,0)),"公司无效",IF($D73="","缺批次号",IF(ISNA(MATCH($E73,记账规则!$A$36:$A$38,0)),"业务类型无效",IF(AND($E73&lt;&gt;"加工费用",ISNA(MATCH($F73,商品档案!$A$6:$A$65,0))),"商品编码无效",IF(AND($E73&lt;&gt;"加工费用",IFERROR(INDEX(商品档案!$E$6:$E$65,MATCH($F73,商品档案!$A$6:$A$65,0)),"")&lt;&gt;$C73),"商品不属于该公司",IF(AND($E73&lt;&gt;"加工费用",N($I73)=0),"数量为 0",IF(AND($E73="加工费用",N($J73)=0),"加工费金额为 0",IF(AND($E73="加工费用",ISNA(MATCH($K73,会计科目表!$B$6:$B$85,0))),"对方科目不存在",IF(YEAR($B73)&lt;&gt;参数设置!$B$5,"不在本会计年度","OK")))))))))))</f>
        <v/>
      </c>
      <c r="Q73" s="58" t="str">
        <f aca="false">IF($F73="","",IFERROR(INDEX(商品档案!$G$6:$G$65,MATCH($F73,商品档案!$A$6:$A$65,0)),""))</f>
        <v/>
      </c>
      <c r="R73" s="59" t="str">
        <f aca="false">IF($F73="","",SUMIFS(进销存台账!$N$6:$N$65,进销存台账!$A$6:$A$65,$C73,进销存台账!$B$6:$B$65,$F73))</f>
        <v/>
      </c>
      <c r="S73" s="60" t="n">
        <f aca="false">IF($E73="领用投入",ROUND(N($I73)*N($R73),2),IF($E73="加工费用",ROUND(N($J73),2),0))</f>
        <v>0</v>
      </c>
      <c r="T73" s="60" t="n">
        <f aca="false">IF($E73&lt;&gt;"产成品入库",0,IF(SUMIFS($W$6:$W$305,$C$6:$C$305,$C73,$D$6:$D$305,$D73,$E$6:$E$305,"产成品入库")=0,0,ROUND(SUMIFS($S$6:$S$305,$C$6:$C$305,$C73,$D$6:$D$305,$D73)*N($X73)/SUMIFS($W$6:$W$305,$C$6:$C$305,$C73,$D$6:$D$305,$D73,$E$6:$E$305,"产成品入库"),2)-ROUND(SUMIFS($S$6:$S$305,$C$6:$C$305,$C73,$D$6:$D$305,$D73)*(N($X73)-N($W73))/SUMIFS($W$6:$W$305,$C$6:$C$305,$C73,$D$6:$D$305,$D73,$E$6:$E$305,"产成品入库"),2)))</f>
        <v>0</v>
      </c>
      <c r="U73" s="57" t="str">
        <f aca="false">IF($E73="","",ROUND($S73+$T73,2))</f>
        <v/>
      </c>
      <c r="V73" s="61" t="str">
        <f aca="false">IF($B73="","",YEAR($B73))</f>
        <v/>
      </c>
      <c r="W73" s="63" t="str">
        <f aca="false">IF($E73&lt;&gt;"产成品入库","",IF(N($M73)=0,1,N($M73)))</f>
        <v/>
      </c>
      <c r="X73" s="63" t="str">
        <f aca="false">IF($E73&lt;&gt;"产成品入库","",SUMIFS($W$6:$W73,$C$6:$C73,$C73,$D$6:$D73,$D73,$E$6:$E73,"产成品入库"))</f>
        <v/>
      </c>
    </row>
    <row r="74" customFormat="false" ht="15" hidden="false" customHeight="false" outlineLevel="0" collapsed="false">
      <c r="A74" s="53" t="str">
        <f aca="false">IF($B74="","",ROW()-5)</f>
        <v/>
      </c>
      <c r="B74" s="54"/>
      <c r="C74" s="33"/>
      <c r="D74" s="39"/>
      <c r="E74" s="33"/>
      <c r="F74" s="39"/>
      <c r="G74" s="48" t="str">
        <f aca="false">IF($F74="","",IFERROR(INDEX(商品档案!$B$6:$B$65,MATCH($F74,商品档案!$A$6:$A$65,0)),""))</f>
        <v/>
      </c>
      <c r="H74" s="55" t="str">
        <f aca="false">IF($F74="","",IFERROR(INDEX(商品档案!$D$6:$D$65,MATCH($F74,商品档案!$A$6:$A$65,0)),""))</f>
        <v/>
      </c>
      <c r="I74" s="49"/>
      <c r="J74" s="43"/>
      <c r="K74" s="41"/>
      <c r="L74" s="39"/>
      <c r="M74" s="62"/>
      <c r="N74" s="41"/>
      <c r="O74" s="41"/>
      <c r="P74" s="25" t="str">
        <f aca="false">IF(AND($B74="",$E74=""),"",IF(NOT(ISNUMBER($B74)),"日期无效",IF(ISNA(MATCH($C74,参数设置!$A$10:$A$12,0)),"公司无效",IF($D74="","缺批次号",IF(ISNA(MATCH($E74,记账规则!$A$36:$A$38,0)),"业务类型无效",IF(AND($E74&lt;&gt;"加工费用",ISNA(MATCH($F74,商品档案!$A$6:$A$65,0))),"商品编码无效",IF(AND($E74&lt;&gt;"加工费用",IFERROR(INDEX(商品档案!$E$6:$E$65,MATCH($F74,商品档案!$A$6:$A$65,0)),"")&lt;&gt;$C74),"商品不属于该公司",IF(AND($E74&lt;&gt;"加工费用",N($I74)=0),"数量为 0",IF(AND($E74="加工费用",N($J74)=0),"加工费金额为 0",IF(AND($E74="加工费用",ISNA(MATCH($K74,会计科目表!$B$6:$B$85,0))),"对方科目不存在",IF(YEAR($B74)&lt;&gt;参数设置!$B$5,"不在本会计年度","OK")))))))))))</f>
        <v/>
      </c>
      <c r="Q74" s="58" t="str">
        <f aca="false">IF($F74="","",IFERROR(INDEX(商品档案!$G$6:$G$65,MATCH($F74,商品档案!$A$6:$A$65,0)),""))</f>
        <v/>
      </c>
      <c r="R74" s="59" t="str">
        <f aca="false">IF($F74="","",SUMIFS(进销存台账!$N$6:$N$65,进销存台账!$A$6:$A$65,$C74,进销存台账!$B$6:$B$65,$F74))</f>
        <v/>
      </c>
      <c r="S74" s="60" t="n">
        <f aca="false">IF($E74="领用投入",ROUND(N($I74)*N($R74),2),IF($E74="加工费用",ROUND(N($J74),2),0))</f>
        <v>0</v>
      </c>
      <c r="T74" s="60" t="n">
        <f aca="false">IF($E74&lt;&gt;"产成品入库",0,IF(SUMIFS($W$6:$W$305,$C$6:$C$305,$C74,$D$6:$D$305,$D74,$E$6:$E$305,"产成品入库")=0,0,ROUND(SUMIFS($S$6:$S$305,$C$6:$C$305,$C74,$D$6:$D$305,$D74)*N($X74)/SUMIFS($W$6:$W$305,$C$6:$C$305,$C74,$D$6:$D$305,$D74,$E$6:$E$305,"产成品入库"),2)-ROUND(SUMIFS($S$6:$S$305,$C$6:$C$305,$C74,$D$6:$D$305,$D74)*(N($X74)-N($W74))/SUMIFS($W$6:$W$305,$C$6:$C$305,$C74,$D$6:$D$305,$D74,$E$6:$E$305,"产成品入库"),2)))</f>
        <v>0</v>
      </c>
      <c r="U74" s="57" t="str">
        <f aca="false">IF($E74="","",ROUND($S74+$T74,2))</f>
        <v/>
      </c>
      <c r="V74" s="61" t="str">
        <f aca="false">IF($B74="","",YEAR($B74))</f>
        <v/>
      </c>
      <c r="W74" s="63" t="str">
        <f aca="false">IF($E74&lt;&gt;"产成品入库","",IF(N($M74)=0,1,N($M74)))</f>
        <v/>
      </c>
      <c r="X74" s="63" t="str">
        <f aca="false">IF($E74&lt;&gt;"产成品入库","",SUMIFS($W$6:$W74,$C$6:$C74,$C74,$D$6:$D74,$D74,$E$6:$E74,"产成品入库"))</f>
        <v/>
      </c>
    </row>
    <row r="75" customFormat="false" ht="15" hidden="false" customHeight="false" outlineLevel="0" collapsed="false">
      <c r="A75" s="53" t="str">
        <f aca="false">IF($B75="","",ROW()-5)</f>
        <v/>
      </c>
      <c r="B75" s="54"/>
      <c r="C75" s="33"/>
      <c r="D75" s="39"/>
      <c r="E75" s="33"/>
      <c r="F75" s="39"/>
      <c r="G75" s="48" t="str">
        <f aca="false">IF($F75="","",IFERROR(INDEX(商品档案!$B$6:$B$65,MATCH($F75,商品档案!$A$6:$A$65,0)),""))</f>
        <v/>
      </c>
      <c r="H75" s="55" t="str">
        <f aca="false">IF($F75="","",IFERROR(INDEX(商品档案!$D$6:$D$65,MATCH($F75,商品档案!$A$6:$A$65,0)),""))</f>
        <v/>
      </c>
      <c r="I75" s="49"/>
      <c r="J75" s="43"/>
      <c r="K75" s="41"/>
      <c r="L75" s="39"/>
      <c r="M75" s="62"/>
      <c r="N75" s="41"/>
      <c r="O75" s="41"/>
      <c r="P75" s="25" t="str">
        <f aca="false">IF(AND($B75="",$E75=""),"",IF(NOT(ISNUMBER($B75)),"日期无效",IF(ISNA(MATCH($C75,参数设置!$A$10:$A$12,0)),"公司无效",IF($D75="","缺批次号",IF(ISNA(MATCH($E75,记账规则!$A$36:$A$38,0)),"业务类型无效",IF(AND($E75&lt;&gt;"加工费用",ISNA(MATCH($F75,商品档案!$A$6:$A$65,0))),"商品编码无效",IF(AND($E75&lt;&gt;"加工费用",IFERROR(INDEX(商品档案!$E$6:$E$65,MATCH($F75,商品档案!$A$6:$A$65,0)),"")&lt;&gt;$C75),"商品不属于该公司",IF(AND($E75&lt;&gt;"加工费用",N($I75)=0),"数量为 0",IF(AND($E75="加工费用",N($J75)=0),"加工费金额为 0",IF(AND($E75="加工费用",ISNA(MATCH($K75,会计科目表!$B$6:$B$85,0))),"对方科目不存在",IF(YEAR($B75)&lt;&gt;参数设置!$B$5,"不在本会计年度","OK")))))))))))</f>
        <v/>
      </c>
      <c r="Q75" s="58" t="str">
        <f aca="false">IF($F75="","",IFERROR(INDEX(商品档案!$G$6:$G$65,MATCH($F75,商品档案!$A$6:$A$65,0)),""))</f>
        <v/>
      </c>
      <c r="R75" s="59" t="str">
        <f aca="false">IF($F75="","",SUMIFS(进销存台账!$N$6:$N$65,进销存台账!$A$6:$A$65,$C75,进销存台账!$B$6:$B$65,$F75))</f>
        <v/>
      </c>
      <c r="S75" s="60" t="n">
        <f aca="false">IF($E75="领用投入",ROUND(N($I75)*N($R75),2),IF($E75="加工费用",ROUND(N($J75),2),0))</f>
        <v>0</v>
      </c>
      <c r="T75" s="60" t="n">
        <f aca="false">IF($E75&lt;&gt;"产成品入库",0,IF(SUMIFS($W$6:$W$305,$C$6:$C$305,$C75,$D$6:$D$305,$D75,$E$6:$E$305,"产成品入库")=0,0,ROUND(SUMIFS($S$6:$S$305,$C$6:$C$305,$C75,$D$6:$D$305,$D75)*N($X75)/SUMIFS($W$6:$W$305,$C$6:$C$305,$C75,$D$6:$D$305,$D75,$E$6:$E$305,"产成品入库"),2)-ROUND(SUMIFS($S$6:$S$305,$C$6:$C$305,$C75,$D$6:$D$305,$D75)*(N($X75)-N($W75))/SUMIFS($W$6:$W$305,$C$6:$C$305,$C75,$D$6:$D$305,$D75,$E$6:$E$305,"产成品入库"),2)))</f>
        <v>0</v>
      </c>
      <c r="U75" s="57" t="str">
        <f aca="false">IF($E75="","",ROUND($S75+$T75,2))</f>
        <v/>
      </c>
      <c r="V75" s="61" t="str">
        <f aca="false">IF($B75="","",YEAR($B75))</f>
        <v/>
      </c>
      <c r="W75" s="63" t="str">
        <f aca="false">IF($E75&lt;&gt;"产成品入库","",IF(N($M75)=0,1,N($M75)))</f>
        <v/>
      </c>
      <c r="X75" s="63" t="str">
        <f aca="false">IF($E75&lt;&gt;"产成品入库","",SUMIFS($W$6:$W75,$C$6:$C75,$C75,$D$6:$D75,$D75,$E$6:$E75,"产成品入库"))</f>
        <v/>
      </c>
    </row>
    <row r="76" customFormat="false" ht="15" hidden="false" customHeight="false" outlineLevel="0" collapsed="false">
      <c r="A76" s="53" t="str">
        <f aca="false">IF($B76="","",ROW()-5)</f>
        <v/>
      </c>
      <c r="B76" s="54"/>
      <c r="C76" s="33"/>
      <c r="D76" s="39"/>
      <c r="E76" s="33"/>
      <c r="F76" s="39"/>
      <c r="G76" s="48" t="str">
        <f aca="false">IF($F76="","",IFERROR(INDEX(商品档案!$B$6:$B$65,MATCH($F76,商品档案!$A$6:$A$65,0)),""))</f>
        <v/>
      </c>
      <c r="H76" s="55" t="str">
        <f aca="false">IF($F76="","",IFERROR(INDEX(商品档案!$D$6:$D$65,MATCH($F76,商品档案!$A$6:$A$65,0)),""))</f>
        <v/>
      </c>
      <c r="I76" s="49"/>
      <c r="J76" s="43"/>
      <c r="K76" s="41"/>
      <c r="L76" s="39"/>
      <c r="M76" s="62"/>
      <c r="N76" s="41"/>
      <c r="O76" s="41"/>
      <c r="P76" s="25" t="str">
        <f aca="false">IF(AND($B76="",$E76=""),"",IF(NOT(ISNUMBER($B76)),"日期无效",IF(ISNA(MATCH($C76,参数设置!$A$10:$A$12,0)),"公司无效",IF($D76="","缺批次号",IF(ISNA(MATCH($E76,记账规则!$A$36:$A$38,0)),"业务类型无效",IF(AND($E76&lt;&gt;"加工费用",ISNA(MATCH($F76,商品档案!$A$6:$A$65,0))),"商品编码无效",IF(AND($E76&lt;&gt;"加工费用",IFERROR(INDEX(商品档案!$E$6:$E$65,MATCH($F76,商品档案!$A$6:$A$65,0)),"")&lt;&gt;$C76),"商品不属于该公司",IF(AND($E76&lt;&gt;"加工费用",N($I76)=0),"数量为 0",IF(AND($E76="加工费用",N($J76)=0),"加工费金额为 0",IF(AND($E76="加工费用",ISNA(MATCH($K76,会计科目表!$B$6:$B$85,0))),"对方科目不存在",IF(YEAR($B76)&lt;&gt;参数设置!$B$5,"不在本会计年度","OK")))))))))))</f>
        <v/>
      </c>
      <c r="Q76" s="58" t="str">
        <f aca="false">IF($F76="","",IFERROR(INDEX(商品档案!$G$6:$G$65,MATCH($F76,商品档案!$A$6:$A$65,0)),""))</f>
        <v/>
      </c>
      <c r="R76" s="59" t="str">
        <f aca="false">IF($F76="","",SUMIFS(进销存台账!$N$6:$N$65,进销存台账!$A$6:$A$65,$C76,进销存台账!$B$6:$B$65,$F76))</f>
        <v/>
      </c>
      <c r="S76" s="60" t="n">
        <f aca="false">IF($E76="领用投入",ROUND(N($I76)*N($R76),2),IF($E76="加工费用",ROUND(N($J76),2),0))</f>
        <v>0</v>
      </c>
      <c r="T76" s="60" t="n">
        <f aca="false">IF($E76&lt;&gt;"产成品入库",0,IF(SUMIFS($W$6:$W$305,$C$6:$C$305,$C76,$D$6:$D$305,$D76,$E$6:$E$305,"产成品入库")=0,0,ROUND(SUMIFS($S$6:$S$305,$C$6:$C$305,$C76,$D$6:$D$305,$D76)*N($X76)/SUMIFS($W$6:$W$305,$C$6:$C$305,$C76,$D$6:$D$305,$D76,$E$6:$E$305,"产成品入库"),2)-ROUND(SUMIFS($S$6:$S$305,$C$6:$C$305,$C76,$D$6:$D$305,$D76)*(N($X76)-N($W76))/SUMIFS($W$6:$W$305,$C$6:$C$305,$C76,$D$6:$D$305,$D76,$E$6:$E$305,"产成品入库"),2)))</f>
        <v>0</v>
      </c>
      <c r="U76" s="57" t="str">
        <f aca="false">IF($E76="","",ROUND($S76+$T76,2))</f>
        <v/>
      </c>
      <c r="V76" s="61" t="str">
        <f aca="false">IF($B76="","",YEAR($B76))</f>
        <v/>
      </c>
      <c r="W76" s="63" t="str">
        <f aca="false">IF($E76&lt;&gt;"产成品入库","",IF(N($M76)=0,1,N($M76)))</f>
        <v/>
      </c>
      <c r="X76" s="63" t="str">
        <f aca="false">IF($E76&lt;&gt;"产成品入库","",SUMIFS($W$6:$W76,$C$6:$C76,$C76,$D$6:$D76,$D76,$E$6:$E76,"产成品入库"))</f>
        <v/>
      </c>
    </row>
    <row r="77" customFormat="false" ht="15" hidden="false" customHeight="false" outlineLevel="0" collapsed="false">
      <c r="A77" s="53" t="str">
        <f aca="false">IF($B77="","",ROW()-5)</f>
        <v/>
      </c>
      <c r="B77" s="54"/>
      <c r="C77" s="33"/>
      <c r="D77" s="39"/>
      <c r="E77" s="33"/>
      <c r="F77" s="39"/>
      <c r="G77" s="48" t="str">
        <f aca="false">IF($F77="","",IFERROR(INDEX(商品档案!$B$6:$B$65,MATCH($F77,商品档案!$A$6:$A$65,0)),""))</f>
        <v/>
      </c>
      <c r="H77" s="55" t="str">
        <f aca="false">IF($F77="","",IFERROR(INDEX(商品档案!$D$6:$D$65,MATCH($F77,商品档案!$A$6:$A$65,0)),""))</f>
        <v/>
      </c>
      <c r="I77" s="49"/>
      <c r="J77" s="43"/>
      <c r="K77" s="41"/>
      <c r="L77" s="39"/>
      <c r="M77" s="62"/>
      <c r="N77" s="41"/>
      <c r="O77" s="41"/>
      <c r="P77" s="25" t="str">
        <f aca="false">IF(AND($B77="",$E77=""),"",IF(NOT(ISNUMBER($B77)),"日期无效",IF(ISNA(MATCH($C77,参数设置!$A$10:$A$12,0)),"公司无效",IF($D77="","缺批次号",IF(ISNA(MATCH($E77,记账规则!$A$36:$A$38,0)),"业务类型无效",IF(AND($E77&lt;&gt;"加工费用",ISNA(MATCH($F77,商品档案!$A$6:$A$65,0))),"商品编码无效",IF(AND($E77&lt;&gt;"加工费用",IFERROR(INDEX(商品档案!$E$6:$E$65,MATCH($F77,商品档案!$A$6:$A$65,0)),"")&lt;&gt;$C77),"商品不属于该公司",IF(AND($E77&lt;&gt;"加工费用",N($I77)=0),"数量为 0",IF(AND($E77="加工费用",N($J77)=0),"加工费金额为 0",IF(AND($E77="加工费用",ISNA(MATCH($K77,会计科目表!$B$6:$B$85,0))),"对方科目不存在",IF(YEAR($B77)&lt;&gt;参数设置!$B$5,"不在本会计年度","OK")))))))))))</f>
        <v/>
      </c>
      <c r="Q77" s="58" t="str">
        <f aca="false">IF($F77="","",IFERROR(INDEX(商品档案!$G$6:$G$65,MATCH($F77,商品档案!$A$6:$A$65,0)),""))</f>
        <v/>
      </c>
      <c r="R77" s="59" t="str">
        <f aca="false">IF($F77="","",SUMIFS(进销存台账!$N$6:$N$65,进销存台账!$A$6:$A$65,$C77,进销存台账!$B$6:$B$65,$F77))</f>
        <v/>
      </c>
      <c r="S77" s="60" t="n">
        <f aca="false">IF($E77="领用投入",ROUND(N($I77)*N($R77),2),IF($E77="加工费用",ROUND(N($J77),2),0))</f>
        <v>0</v>
      </c>
      <c r="T77" s="60" t="n">
        <f aca="false">IF($E77&lt;&gt;"产成品入库",0,IF(SUMIFS($W$6:$W$305,$C$6:$C$305,$C77,$D$6:$D$305,$D77,$E$6:$E$305,"产成品入库")=0,0,ROUND(SUMIFS($S$6:$S$305,$C$6:$C$305,$C77,$D$6:$D$305,$D77)*N($X77)/SUMIFS($W$6:$W$305,$C$6:$C$305,$C77,$D$6:$D$305,$D77,$E$6:$E$305,"产成品入库"),2)-ROUND(SUMIFS($S$6:$S$305,$C$6:$C$305,$C77,$D$6:$D$305,$D77)*(N($X77)-N($W77))/SUMIFS($W$6:$W$305,$C$6:$C$305,$C77,$D$6:$D$305,$D77,$E$6:$E$305,"产成品入库"),2)))</f>
        <v>0</v>
      </c>
      <c r="U77" s="57" t="str">
        <f aca="false">IF($E77="","",ROUND($S77+$T77,2))</f>
        <v/>
      </c>
      <c r="V77" s="61" t="str">
        <f aca="false">IF($B77="","",YEAR($B77))</f>
        <v/>
      </c>
      <c r="W77" s="63" t="str">
        <f aca="false">IF($E77&lt;&gt;"产成品入库","",IF(N($M77)=0,1,N($M77)))</f>
        <v/>
      </c>
      <c r="X77" s="63" t="str">
        <f aca="false">IF($E77&lt;&gt;"产成品入库","",SUMIFS($W$6:$W77,$C$6:$C77,$C77,$D$6:$D77,$D77,$E$6:$E77,"产成品入库"))</f>
        <v/>
      </c>
    </row>
    <row r="78" customFormat="false" ht="15" hidden="false" customHeight="false" outlineLevel="0" collapsed="false">
      <c r="A78" s="53" t="str">
        <f aca="false">IF($B78="","",ROW()-5)</f>
        <v/>
      </c>
      <c r="B78" s="54"/>
      <c r="C78" s="33"/>
      <c r="D78" s="39"/>
      <c r="E78" s="33"/>
      <c r="F78" s="39"/>
      <c r="G78" s="48" t="str">
        <f aca="false">IF($F78="","",IFERROR(INDEX(商品档案!$B$6:$B$65,MATCH($F78,商品档案!$A$6:$A$65,0)),""))</f>
        <v/>
      </c>
      <c r="H78" s="55" t="str">
        <f aca="false">IF($F78="","",IFERROR(INDEX(商品档案!$D$6:$D$65,MATCH($F78,商品档案!$A$6:$A$65,0)),""))</f>
        <v/>
      </c>
      <c r="I78" s="49"/>
      <c r="J78" s="43"/>
      <c r="K78" s="41"/>
      <c r="L78" s="39"/>
      <c r="M78" s="62"/>
      <c r="N78" s="41"/>
      <c r="O78" s="41"/>
      <c r="P78" s="25" t="str">
        <f aca="false">IF(AND($B78="",$E78=""),"",IF(NOT(ISNUMBER($B78)),"日期无效",IF(ISNA(MATCH($C78,参数设置!$A$10:$A$12,0)),"公司无效",IF($D78="","缺批次号",IF(ISNA(MATCH($E78,记账规则!$A$36:$A$38,0)),"业务类型无效",IF(AND($E78&lt;&gt;"加工费用",ISNA(MATCH($F78,商品档案!$A$6:$A$65,0))),"商品编码无效",IF(AND($E78&lt;&gt;"加工费用",IFERROR(INDEX(商品档案!$E$6:$E$65,MATCH($F78,商品档案!$A$6:$A$65,0)),"")&lt;&gt;$C78),"商品不属于该公司",IF(AND($E78&lt;&gt;"加工费用",N($I78)=0),"数量为 0",IF(AND($E78="加工费用",N($J78)=0),"加工费金额为 0",IF(AND($E78="加工费用",ISNA(MATCH($K78,会计科目表!$B$6:$B$85,0))),"对方科目不存在",IF(YEAR($B78)&lt;&gt;参数设置!$B$5,"不在本会计年度","OK")))))))))))</f>
        <v/>
      </c>
      <c r="Q78" s="58" t="str">
        <f aca="false">IF($F78="","",IFERROR(INDEX(商品档案!$G$6:$G$65,MATCH($F78,商品档案!$A$6:$A$65,0)),""))</f>
        <v/>
      </c>
      <c r="R78" s="59" t="str">
        <f aca="false">IF($F78="","",SUMIFS(进销存台账!$N$6:$N$65,进销存台账!$A$6:$A$65,$C78,进销存台账!$B$6:$B$65,$F78))</f>
        <v/>
      </c>
      <c r="S78" s="60" t="n">
        <f aca="false">IF($E78="领用投入",ROUND(N($I78)*N($R78),2),IF($E78="加工费用",ROUND(N($J78),2),0))</f>
        <v>0</v>
      </c>
      <c r="T78" s="60" t="n">
        <f aca="false">IF($E78&lt;&gt;"产成品入库",0,IF(SUMIFS($W$6:$W$305,$C$6:$C$305,$C78,$D$6:$D$305,$D78,$E$6:$E$305,"产成品入库")=0,0,ROUND(SUMIFS($S$6:$S$305,$C$6:$C$305,$C78,$D$6:$D$305,$D78)*N($X78)/SUMIFS($W$6:$W$305,$C$6:$C$305,$C78,$D$6:$D$305,$D78,$E$6:$E$305,"产成品入库"),2)-ROUND(SUMIFS($S$6:$S$305,$C$6:$C$305,$C78,$D$6:$D$305,$D78)*(N($X78)-N($W78))/SUMIFS($W$6:$W$305,$C$6:$C$305,$C78,$D$6:$D$305,$D78,$E$6:$E$305,"产成品入库"),2)))</f>
        <v>0</v>
      </c>
      <c r="U78" s="57" t="str">
        <f aca="false">IF($E78="","",ROUND($S78+$T78,2))</f>
        <v/>
      </c>
      <c r="V78" s="61" t="str">
        <f aca="false">IF($B78="","",YEAR($B78))</f>
        <v/>
      </c>
      <c r="W78" s="63" t="str">
        <f aca="false">IF($E78&lt;&gt;"产成品入库","",IF(N($M78)=0,1,N($M78)))</f>
        <v/>
      </c>
      <c r="X78" s="63" t="str">
        <f aca="false">IF($E78&lt;&gt;"产成品入库","",SUMIFS($W$6:$W78,$C$6:$C78,$C78,$D$6:$D78,$D78,$E$6:$E78,"产成品入库"))</f>
        <v/>
      </c>
    </row>
    <row r="79" customFormat="false" ht="15" hidden="false" customHeight="false" outlineLevel="0" collapsed="false">
      <c r="A79" s="53" t="str">
        <f aca="false">IF($B79="","",ROW()-5)</f>
        <v/>
      </c>
      <c r="B79" s="54"/>
      <c r="C79" s="33"/>
      <c r="D79" s="39"/>
      <c r="E79" s="33"/>
      <c r="F79" s="39"/>
      <c r="G79" s="48" t="str">
        <f aca="false">IF($F79="","",IFERROR(INDEX(商品档案!$B$6:$B$65,MATCH($F79,商品档案!$A$6:$A$65,0)),""))</f>
        <v/>
      </c>
      <c r="H79" s="55" t="str">
        <f aca="false">IF($F79="","",IFERROR(INDEX(商品档案!$D$6:$D$65,MATCH($F79,商品档案!$A$6:$A$65,0)),""))</f>
        <v/>
      </c>
      <c r="I79" s="49"/>
      <c r="J79" s="43"/>
      <c r="K79" s="41"/>
      <c r="L79" s="39"/>
      <c r="M79" s="62"/>
      <c r="N79" s="41"/>
      <c r="O79" s="41"/>
      <c r="P79" s="25" t="str">
        <f aca="false">IF(AND($B79="",$E79=""),"",IF(NOT(ISNUMBER($B79)),"日期无效",IF(ISNA(MATCH($C79,参数设置!$A$10:$A$12,0)),"公司无效",IF($D79="","缺批次号",IF(ISNA(MATCH($E79,记账规则!$A$36:$A$38,0)),"业务类型无效",IF(AND($E79&lt;&gt;"加工费用",ISNA(MATCH($F79,商品档案!$A$6:$A$65,0))),"商品编码无效",IF(AND($E79&lt;&gt;"加工费用",IFERROR(INDEX(商品档案!$E$6:$E$65,MATCH($F79,商品档案!$A$6:$A$65,0)),"")&lt;&gt;$C79),"商品不属于该公司",IF(AND($E79&lt;&gt;"加工费用",N($I79)=0),"数量为 0",IF(AND($E79="加工费用",N($J79)=0),"加工费金额为 0",IF(AND($E79="加工费用",ISNA(MATCH($K79,会计科目表!$B$6:$B$85,0))),"对方科目不存在",IF(YEAR($B79)&lt;&gt;参数设置!$B$5,"不在本会计年度","OK")))))))))))</f>
        <v/>
      </c>
      <c r="Q79" s="58" t="str">
        <f aca="false">IF($F79="","",IFERROR(INDEX(商品档案!$G$6:$G$65,MATCH($F79,商品档案!$A$6:$A$65,0)),""))</f>
        <v/>
      </c>
      <c r="R79" s="59" t="str">
        <f aca="false">IF($F79="","",SUMIFS(进销存台账!$N$6:$N$65,进销存台账!$A$6:$A$65,$C79,进销存台账!$B$6:$B$65,$F79))</f>
        <v/>
      </c>
      <c r="S79" s="60" t="n">
        <f aca="false">IF($E79="领用投入",ROUND(N($I79)*N($R79),2),IF($E79="加工费用",ROUND(N($J79),2),0))</f>
        <v>0</v>
      </c>
      <c r="T79" s="60" t="n">
        <f aca="false">IF($E79&lt;&gt;"产成品入库",0,IF(SUMIFS($W$6:$W$305,$C$6:$C$305,$C79,$D$6:$D$305,$D79,$E$6:$E$305,"产成品入库")=0,0,ROUND(SUMIFS($S$6:$S$305,$C$6:$C$305,$C79,$D$6:$D$305,$D79)*N($X79)/SUMIFS($W$6:$W$305,$C$6:$C$305,$C79,$D$6:$D$305,$D79,$E$6:$E$305,"产成品入库"),2)-ROUND(SUMIFS($S$6:$S$305,$C$6:$C$305,$C79,$D$6:$D$305,$D79)*(N($X79)-N($W79))/SUMIFS($W$6:$W$305,$C$6:$C$305,$C79,$D$6:$D$305,$D79,$E$6:$E$305,"产成品入库"),2)))</f>
        <v>0</v>
      </c>
      <c r="U79" s="57" t="str">
        <f aca="false">IF($E79="","",ROUND($S79+$T79,2))</f>
        <v/>
      </c>
      <c r="V79" s="61" t="str">
        <f aca="false">IF($B79="","",YEAR($B79))</f>
        <v/>
      </c>
      <c r="W79" s="63" t="str">
        <f aca="false">IF($E79&lt;&gt;"产成品入库","",IF(N($M79)=0,1,N($M79)))</f>
        <v/>
      </c>
      <c r="X79" s="63" t="str">
        <f aca="false">IF($E79&lt;&gt;"产成品入库","",SUMIFS($W$6:$W79,$C$6:$C79,$C79,$D$6:$D79,$D79,$E$6:$E79,"产成品入库"))</f>
        <v/>
      </c>
    </row>
    <row r="80" customFormat="false" ht="15" hidden="false" customHeight="false" outlineLevel="0" collapsed="false">
      <c r="A80" s="53" t="str">
        <f aca="false">IF($B80="","",ROW()-5)</f>
        <v/>
      </c>
      <c r="B80" s="54"/>
      <c r="C80" s="33"/>
      <c r="D80" s="39"/>
      <c r="E80" s="33"/>
      <c r="F80" s="39"/>
      <c r="G80" s="48" t="str">
        <f aca="false">IF($F80="","",IFERROR(INDEX(商品档案!$B$6:$B$65,MATCH($F80,商品档案!$A$6:$A$65,0)),""))</f>
        <v/>
      </c>
      <c r="H80" s="55" t="str">
        <f aca="false">IF($F80="","",IFERROR(INDEX(商品档案!$D$6:$D$65,MATCH($F80,商品档案!$A$6:$A$65,0)),""))</f>
        <v/>
      </c>
      <c r="I80" s="49"/>
      <c r="J80" s="43"/>
      <c r="K80" s="41"/>
      <c r="L80" s="39"/>
      <c r="M80" s="62"/>
      <c r="N80" s="41"/>
      <c r="O80" s="41"/>
      <c r="P80" s="25" t="str">
        <f aca="false">IF(AND($B80="",$E80=""),"",IF(NOT(ISNUMBER($B80)),"日期无效",IF(ISNA(MATCH($C80,参数设置!$A$10:$A$12,0)),"公司无效",IF($D80="","缺批次号",IF(ISNA(MATCH($E80,记账规则!$A$36:$A$38,0)),"业务类型无效",IF(AND($E80&lt;&gt;"加工费用",ISNA(MATCH($F80,商品档案!$A$6:$A$65,0))),"商品编码无效",IF(AND($E80&lt;&gt;"加工费用",IFERROR(INDEX(商品档案!$E$6:$E$65,MATCH($F80,商品档案!$A$6:$A$65,0)),"")&lt;&gt;$C80),"商品不属于该公司",IF(AND($E80&lt;&gt;"加工费用",N($I80)=0),"数量为 0",IF(AND($E80="加工费用",N($J80)=0),"加工费金额为 0",IF(AND($E80="加工费用",ISNA(MATCH($K80,会计科目表!$B$6:$B$85,0))),"对方科目不存在",IF(YEAR($B80)&lt;&gt;参数设置!$B$5,"不在本会计年度","OK")))))))))))</f>
        <v/>
      </c>
      <c r="Q80" s="58" t="str">
        <f aca="false">IF($F80="","",IFERROR(INDEX(商品档案!$G$6:$G$65,MATCH($F80,商品档案!$A$6:$A$65,0)),""))</f>
        <v/>
      </c>
      <c r="R80" s="59" t="str">
        <f aca="false">IF($F80="","",SUMIFS(进销存台账!$N$6:$N$65,进销存台账!$A$6:$A$65,$C80,进销存台账!$B$6:$B$65,$F80))</f>
        <v/>
      </c>
      <c r="S80" s="60" t="n">
        <f aca="false">IF($E80="领用投入",ROUND(N($I80)*N($R80),2),IF($E80="加工费用",ROUND(N($J80),2),0))</f>
        <v>0</v>
      </c>
      <c r="T80" s="60" t="n">
        <f aca="false">IF($E80&lt;&gt;"产成品入库",0,IF(SUMIFS($W$6:$W$305,$C$6:$C$305,$C80,$D$6:$D$305,$D80,$E$6:$E$305,"产成品入库")=0,0,ROUND(SUMIFS($S$6:$S$305,$C$6:$C$305,$C80,$D$6:$D$305,$D80)*N($X80)/SUMIFS($W$6:$W$305,$C$6:$C$305,$C80,$D$6:$D$305,$D80,$E$6:$E$305,"产成品入库"),2)-ROUND(SUMIFS($S$6:$S$305,$C$6:$C$305,$C80,$D$6:$D$305,$D80)*(N($X80)-N($W80))/SUMIFS($W$6:$W$305,$C$6:$C$305,$C80,$D$6:$D$305,$D80,$E$6:$E$305,"产成品入库"),2)))</f>
        <v>0</v>
      </c>
      <c r="U80" s="57" t="str">
        <f aca="false">IF($E80="","",ROUND($S80+$T80,2))</f>
        <v/>
      </c>
      <c r="V80" s="61" t="str">
        <f aca="false">IF($B80="","",YEAR($B80))</f>
        <v/>
      </c>
      <c r="W80" s="63" t="str">
        <f aca="false">IF($E80&lt;&gt;"产成品入库","",IF(N($M80)=0,1,N($M80)))</f>
        <v/>
      </c>
      <c r="X80" s="63" t="str">
        <f aca="false">IF($E80&lt;&gt;"产成品入库","",SUMIFS($W$6:$W80,$C$6:$C80,$C80,$D$6:$D80,$D80,$E$6:$E80,"产成品入库"))</f>
        <v/>
      </c>
    </row>
    <row r="81" customFormat="false" ht="15" hidden="false" customHeight="false" outlineLevel="0" collapsed="false">
      <c r="A81" s="53" t="str">
        <f aca="false">IF($B81="","",ROW()-5)</f>
        <v/>
      </c>
      <c r="B81" s="54"/>
      <c r="C81" s="33"/>
      <c r="D81" s="39"/>
      <c r="E81" s="33"/>
      <c r="F81" s="39"/>
      <c r="G81" s="48" t="str">
        <f aca="false">IF($F81="","",IFERROR(INDEX(商品档案!$B$6:$B$65,MATCH($F81,商品档案!$A$6:$A$65,0)),""))</f>
        <v/>
      </c>
      <c r="H81" s="55" t="str">
        <f aca="false">IF($F81="","",IFERROR(INDEX(商品档案!$D$6:$D$65,MATCH($F81,商品档案!$A$6:$A$65,0)),""))</f>
        <v/>
      </c>
      <c r="I81" s="49"/>
      <c r="J81" s="43"/>
      <c r="K81" s="41"/>
      <c r="L81" s="39"/>
      <c r="M81" s="62"/>
      <c r="N81" s="41"/>
      <c r="O81" s="41"/>
      <c r="P81" s="25" t="str">
        <f aca="false">IF(AND($B81="",$E81=""),"",IF(NOT(ISNUMBER($B81)),"日期无效",IF(ISNA(MATCH($C81,参数设置!$A$10:$A$12,0)),"公司无效",IF($D81="","缺批次号",IF(ISNA(MATCH($E81,记账规则!$A$36:$A$38,0)),"业务类型无效",IF(AND($E81&lt;&gt;"加工费用",ISNA(MATCH($F81,商品档案!$A$6:$A$65,0))),"商品编码无效",IF(AND($E81&lt;&gt;"加工费用",IFERROR(INDEX(商品档案!$E$6:$E$65,MATCH($F81,商品档案!$A$6:$A$65,0)),"")&lt;&gt;$C81),"商品不属于该公司",IF(AND($E81&lt;&gt;"加工费用",N($I81)=0),"数量为 0",IF(AND($E81="加工费用",N($J81)=0),"加工费金额为 0",IF(AND($E81="加工费用",ISNA(MATCH($K81,会计科目表!$B$6:$B$85,0))),"对方科目不存在",IF(YEAR($B81)&lt;&gt;参数设置!$B$5,"不在本会计年度","OK")))))))))))</f>
        <v/>
      </c>
      <c r="Q81" s="58" t="str">
        <f aca="false">IF($F81="","",IFERROR(INDEX(商品档案!$G$6:$G$65,MATCH($F81,商品档案!$A$6:$A$65,0)),""))</f>
        <v/>
      </c>
      <c r="R81" s="59" t="str">
        <f aca="false">IF($F81="","",SUMIFS(进销存台账!$N$6:$N$65,进销存台账!$A$6:$A$65,$C81,进销存台账!$B$6:$B$65,$F81))</f>
        <v/>
      </c>
      <c r="S81" s="60" t="n">
        <f aca="false">IF($E81="领用投入",ROUND(N($I81)*N($R81),2),IF($E81="加工费用",ROUND(N($J81),2),0))</f>
        <v>0</v>
      </c>
      <c r="T81" s="60" t="n">
        <f aca="false">IF($E81&lt;&gt;"产成品入库",0,IF(SUMIFS($W$6:$W$305,$C$6:$C$305,$C81,$D$6:$D$305,$D81,$E$6:$E$305,"产成品入库")=0,0,ROUND(SUMIFS($S$6:$S$305,$C$6:$C$305,$C81,$D$6:$D$305,$D81)*N($X81)/SUMIFS($W$6:$W$305,$C$6:$C$305,$C81,$D$6:$D$305,$D81,$E$6:$E$305,"产成品入库"),2)-ROUND(SUMIFS($S$6:$S$305,$C$6:$C$305,$C81,$D$6:$D$305,$D81)*(N($X81)-N($W81))/SUMIFS($W$6:$W$305,$C$6:$C$305,$C81,$D$6:$D$305,$D81,$E$6:$E$305,"产成品入库"),2)))</f>
        <v>0</v>
      </c>
      <c r="U81" s="57" t="str">
        <f aca="false">IF($E81="","",ROUND($S81+$T81,2))</f>
        <v/>
      </c>
      <c r="V81" s="61" t="str">
        <f aca="false">IF($B81="","",YEAR($B81))</f>
        <v/>
      </c>
      <c r="W81" s="63" t="str">
        <f aca="false">IF($E81&lt;&gt;"产成品入库","",IF(N($M81)=0,1,N($M81)))</f>
        <v/>
      </c>
      <c r="X81" s="63" t="str">
        <f aca="false">IF($E81&lt;&gt;"产成品入库","",SUMIFS($W$6:$W81,$C$6:$C81,$C81,$D$6:$D81,$D81,$E$6:$E81,"产成品入库"))</f>
        <v/>
      </c>
    </row>
    <row r="82" customFormat="false" ht="15" hidden="false" customHeight="false" outlineLevel="0" collapsed="false">
      <c r="A82" s="53" t="str">
        <f aca="false">IF($B82="","",ROW()-5)</f>
        <v/>
      </c>
      <c r="B82" s="54"/>
      <c r="C82" s="33"/>
      <c r="D82" s="39"/>
      <c r="E82" s="33"/>
      <c r="F82" s="39"/>
      <c r="G82" s="48" t="str">
        <f aca="false">IF($F82="","",IFERROR(INDEX(商品档案!$B$6:$B$65,MATCH($F82,商品档案!$A$6:$A$65,0)),""))</f>
        <v/>
      </c>
      <c r="H82" s="55" t="str">
        <f aca="false">IF($F82="","",IFERROR(INDEX(商品档案!$D$6:$D$65,MATCH($F82,商品档案!$A$6:$A$65,0)),""))</f>
        <v/>
      </c>
      <c r="I82" s="49"/>
      <c r="J82" s="43"/>
      <c r="K82" s="41"/>
      <c r="L82" s="39"/>
      <c r="M82" s="62"/>
      <c r="N82" s="41"/>
      <c r="O82" s="41"/>
      <c r="P82" s="25" t="str">
        <f aca="false">IF(AND($B82="",$E82=""),"",IF(NOT(ISNUMBER($B82)),"日期无效",IF(ISNA(MATCH($C82,参数设置!$A$10:$A$12,0)),"公司无效",IF($D82="","缺批次号",IF(ISNA(MATCH($E82,记账规则!$A$36:$A$38,0)),"业务类型无效",IF(AND($E82&lt;&gt;"加工费用",ISNA(MATCH($F82,商品档案!$A$6:$A$65,0))),"商品编码无效",IF(AND($E82&lt;&gt;"加工费用",IFERROR(INDEX(商品档案!$E$6:$E$65,MATCH($F82,商品档案!$A$6:$A$65,0)),"")&lt;&gt;$C82),"商品不属于该公司",IF(AND($E82&lt;&gt;"加工费用",N($I82)=0),"数量为 0",IF(AND($E82="加工费用",N($J82)=0),"加工费金额为 0",IF(AND($E82="加工费用",ISNA(MATCH($K82,会计科目表!$B$6:$B$85,0))),"对方科目不存在",IF(YEAR($B82)&lt;&gt;参数设置!$B$5,"不在本会计年度","OK")))))))))))</f>
        <v/>
      </c>
      <c r="Q82" s="58" t="str">
        <f aca="false">IF($F82="","",IFERROR(INDEX(商品档案!$G$6:$G$65,MATCH($F82,商品档案!$A$6:$A$65,0)),""))</f>
        <v/>
      </c>
      <c r="R82" s="59" t="str">
        <f aca="false">IF($F82="","",SUMIFS(进销存台账!$N$6:$N$65,进销存台账!$A$6:$A$65,$C82,进销存台账!$B$6:$B$65,$F82))</f>
        <v/>
      </c>
      <c r="S82" s="60" t="n">
        <f aca="false">IF($E82="领用投入",ROUND(N($I82)*N($R82),2),IF($E82="加工费用",ROUND(N($J82),2),0))</f>
        <v>0</v>
      </c>
      <c r="T82" s="60" t="n">
        <f aca="false">IF($E82&lt;&gt;"产成品入库",0,IF(SUMIFS($W$6:$W$305,$C$6:$C$305,$C82,$D$6:$D$305,$D82,$E$6:$E$305,"产成品入库")=0,0,ROUND(SUMIFS($S$6:$S$305,$C$6:$C$305,$C82,$D$6:$D$305,$D82)*N($X82)/SUMIFS($W$6:$W$305,$C$6:$C$305,$C82,$D$6:$D$305,$D82,$E$6:$E$305,"产成品入库"),2)-ROUND(SUMIFS($S$6:$S$305,$C$6:$C$305,$C82,$D$6:$D$305,$D82)*(N($X82)-N($W82))/SUMIFS($W$6:$W$305,$C$6:$C$305,$C82,$D$6:$D$305,$D82,$E$6:$E$305,"产成品入库"),2)))</f>
        <v>0</v>
      </c>
      <c r="U82" s="57" t="str">
        <f aca="false">IF($E82="","",ROUND($S82+$T82,2))</f>
        <v/>
      </c>
      <c r="V82" s="61" t="str">
        <f aca="false">IF($B82="","",YEAR($B82))</f>
        <v/>
      </c>
      <c r="W82" s="63" t="str">
        <f aca="false">IF($E82&lt;&gt;"产成品入库","",IF(N($M82)=0,1,N($M82)))</f>
        <v/>
      </c>
      <c r="X82" s="63" t="str">
        <f aca="false">IF($E82&lt;&gt;"产成品入库","",SUMIFS($W$6:$W82,$C$6:$C82,$C82,$D$6:$D82,$D82,$E$6:$E82,"产成品入库"))</f>
        <v/>
      </c>
    </row>
    <row r="83" customFormat="false" ht="15" hidden="false" customHeight="false" outlineLevel="0" collapsed="false">
      <c r="A83" s="53" t="str">
        <f aca="false">IF($B83="","",ROW()-5)</f>
        <v/>
      </c>
      <c r="B83" s="54"/>
      <c r="C83" s="33"/>
      <c r="D83" s="39"/>
      <c r="E83" s="33"/>
      <c r="F83" s="39"/>
      <c r="G83" s="48" t="str">
        <f aca="false">IF($F83="","",IFERROR(INDEX(商品档案!$B$6:$B$65,MATCH($F83,商品档案!$A$6:$A$65,0)),""))</f>
        <v/>
      </c>
      <c r="H83" s="55" t="str">
        <f aca="false">IF($F83="","",IFERROR(INDEX(商品档案!$D$6:$D$65,MATCH($F83,商品档案!$A$6:$A$65,0)),""))</f>
        <v/>
      </c>
      <c r="I83" s="49"/>
      <c r="J83" s="43"/>
      <c r="K83" s="41"/>
      <c r="L83" s="39"/>
      <c r="M83" s="62"/>
      <c r="N83" s="41"/>
      <c r="O83" s="41"/>
      <c r="P83" s="25" t="str">
        <f aca="false">IF(AND($B83="",$E83=""),"",IF(NOT(ISNUMBER($B83)),"日期无效",IF(ISNA(MATCH($C83,参数设置!$A$10:$A$12,0)),"公司无效",IF($D83="","缺批次号",IF(ISNA(MATCH($E83,记账规则!$A$36:$A$38,0)),"业务类型无效",IF(AND($E83&lt;&gt;"加工费用",ISNA(MATCH($F83,商品档案!$A$6:$A$65,0))),"商品编码无效",IF(AND($E83&lt;&gt;"加工费用",IFERROR(INDEX(商品档案!$E$6:$E$65,MATCH($F83,商品档案!$A$6:$A$65,0)),"")&lt;&gt;$C83),"商品不属于该公司",IF(AND($E83&lt;&gt;"加工费用",N($I83)=0),"数量为 0",IF(AND($E83="加工费用",N($J83)=0),"加工费金额为 0",IF(AND($E83="加工费用",ISNA(MATCH($K83,会计科目表!$B$6:$B$85,0))),"对方科目不存在",IF(YEAR($B83)&lt;&gt;参数设置!$B$5,"不在本会计年度","OK")))))))))))</f>
        <v/>
      </c>
      <c r="Q83" s="58" t="str">
        <f aca="false">IF($F83="","",IFERROR(INDEX(商品档案!$G$6:$G$65,MATCH($F83,商品档案!$A$6:$A$65,0)),""))</f>
        <v/>
      </c>
      <c r="R83" s="59" t="str">
        <f aca="false">IF($F83="","",SUMIFS(进销存台账!$N$6:$N$65,进销存台账!$A$6:$A$65,$C83,进销存台账!$B$6:$B$65,$F83))</f>
        <v/>
      </c>
      <c r="S83" s="60" t="n">
        <f aca="false">IF($E83="领用投入",ROUND(N($I83)*N($R83),2),IF($E83="加工费用",ROUND(N($J83),2),0))</f>
        <v>0</v>
      </c>
      <c r="T83" s="60" t="n">
        <f aca="false">IF($E83&lt;&gt;"产成品入库",0,IF(SUMIFS($W$6:$W$305,$C$6:$C$305,$C83,$D$6:$D$305,$D83,$E$6:$E$305,"产成品入库")=0,0,ROUND(SUMIFS($S$6:$S$305,$C$6:$C$305,$C83,$D$6:$D$305,$D83)*N($X83)/SUMIFS($W$6:$W$305,$C$6:$C$305,$C83,$D$6:$D$305,$D83,$E$6:$E$305,"产成品入库"),2)-ROUND(SUMIFS($S$6:$S$305,$C$6:$C$305,$C83,$D$6:$D$305,$D83)*(N($X83)-N($W83))/SUMIFS($W$6:$W$305,$C$6:$C$305,$C83,$D$6:$D$305,$D83,$E$6:$E$305,"产成品入库"),2)))</f>
        <v>0</v>
      </c>
      <c r="U83" s="57" t="str">
        <f aca="false">IF($E83="","",ROUND($S83+$T83,2))</f>
        <v/>
      </c>
      <c r="V83" s="61" t="str">
        <f aca="false">IF($B83="","",YEAR($B83))</f>
        <v/>
      </c>
      <c r="W83" s="63" t="str">
        <f aca="false">IF($E83&lt;&gt;"产成品入库","",IF(N($M83)=0,1,N($M83)))</f>
        <v/>
      </c>
      <c r="X83" s="63" t="str">
        <f aca="false">IF($E83&lt;&gt;"产成品入库","",SUMIFS($W$6:$W83,$C$6:$C83,$C83,$D$6:$D83,$D83,$E$6:$E83,"产成品入库"))</f>
        <v/>
      </c>
    </row>
    <row r="84" customFormat="false" ht="15" hidden="false" customHeight="false" outlineLevel="0" collapsed="false">
      <c r="A84" s="53" t="str">
        <f aca="false">IF($B84="","",ROW()-5)</f>
        <v/>
      </c>
      <c r="B84" s="54"/>
      <c r="C84" s="33"/>
      <c r="D84" s="39"/>
      <c r="E84" s="33"/>
      <c r="F84" s="39"/>
      <c r="G84" s="48" t="str">
        <f aca="false">IF($F84="","",IFERROR(INDEX(商品档案!$B$6:$B$65,MATCH($F84,商品档案!$A$6:$A$65,0)),""))</f>
        <v/>
      </c>
      <c r="H84" s="55" t="str">
        <f aca="false">IF($F84="","",IFERROR(INDEX(商品档案!$D$6:$D$65,MATCH($F84,商品档案!$A$6:$A$65,0)),""))</f>
        <v/>
      </c>
      <c r="I84" s="49"/>
      <c r="J84" s="43"/>
      <c r="K84" s="41"/>
      <c r="L84" s="39"/>
      <c r="M84" s="62"/>
      <c r="N84" s="41"/>
      <c r="O84" s="41"/>
      <c r="P84" s="25" t="str">
        <f aca="false">IF(AND($B84="",$E84=""),"",IF(NOT(ISNUMBER($B84)),"日期无效",IF(ISNA(MATCH($C84,参数设置!$A$10:$A$12,0)),"公司无效",IF($D84="","缺批次号",IF(ISNA(MATCH($E84,记账规则!$A$36:$A$38,0)),"业务类型无效",IF(AND($E84&lt;&gt;"加工费用",ISNA(MATCH($F84,商品档案!$A$6:$A$65,0))),"商品编码无效",IF(AND($E84&lt;&gt;"加工费用",IFERROR(INDEX(商品档案!$E$6:$E$65,MATCH($F84,商品档案!$A$6:$A$65,0)),"")&lt;&gt;$C84),"商品不属于该公司",IF(AND($E84&lt;&gt;"加工费用",N($I84)=0),"数量为 0",IF(AND($E84="加工费用",N($J84)=0),"加工费金额为 0",IF(AND($E84="加工费用",ISNA(MATCH($K84,会计科目表!$B$6:$B$85,0))),"对方科目不存在",IF(YEAR($B84)&lt;&gt;参数设置!$B$5,"不在本会计年度","OK")))))))))))</f>
        <v/>
      </c>
      <c r="Q84" s="58" t="str">
        <f aca="false">IF($F84="","",IFERROR(INDEX(商品档案!$G$6:$G$65,MATCH($F84,商品档案!$A$6:$A$65,0)),""))</f>
        <v/>
      </c>
      <c r="R84" s="59" t="str">
        <f aca="false">IF($F84="","",SUMIFS(进销存台账!$N$6:$N$65,进销存台账!$A$6:$A$65,$C84,进销存台账!$B$6:$B$65,$F84))</f>
        <v/>
      </c>
      <c r="S84" s="60" t="n">
        <f aca="false">IF($E84="领用投入",ROUND(N($I84)*N($R84),2),IF($E84="加工费用",ROUND(N($J84),2),0))</f>
        <v>0</v>
      </c>
      <c r="T84" s="60" t="n">
        <f aca="false">IF($E84&lt;&gt;"产成品入库",0,IF(SUMIFS($W$6:$W$305,$C$6:$C$305,$C84,$D$6:$D$305,$D84,$E$6:$E$305,"产成品入库")=0,0,ROUND(SUMIFS($S$6:$S$305,$C$6:$C$305,$C84,$D$6:$D$305,$D84)*N($X84)/SUMIFS($W$6:$W$305,$C$6:$C$305,$C84,$D$6:$D$305,$D84,$E$6:$E$305,"产成品入库"),2)-ROUND(SUMIFS($S$6:$S$305,$C$6:$C$305,$C84,$D$6:$D$305,$D84)*(N($X84)-N($W84))/SUMIFS($W$6:$W$305,$C$6:$C$305,$C84,$D$6:$D$305,$D84,$E$6:$E$305,"产成品入库"),2)))</f>
        <v>0</v>
      </c>
      <c r="U84" s="57" t="str">
        <f aca="false">IF($E84="","",ROUND($S84+$T84,2))</f>
        <v/>
      </c>
      <c r="V84" s="61" t="str">
        <f aca="false">IF($B84="","",YEAR($B84))</f>
        <v/>
      </c>
      <c r="W84" s="63" t="str">
        <f aca="false">IF($E84&lt;&gt;"产成品入库","",IF(N($M84)=0,1,N($M84)))</f>
        <v/>
      </c>
      <c r="X84" s="63" t="str">
        <f aca="false">IF($E84&lt;&gt;"产成品入库","",SUMIFS($W$6:$W84,$C$6:$C84,$C84,$D$6:$D84,$D84,$E$6:$E84,"产成品入库"))</f>
        <v/>
      </c>
    </row>
    <row r="85" customFormat="false" ht="15" hidden="false" customHeight="false" outlineLevel="0" collapsed="false">
      <c r="A85" s="53" t="str">
        <f aca="false">IF($B85="","",ROW()-5)</f>
        <v/>
      </c>
      <c r="B85" s="54"/>
      <c r="C85" s="33"/>
      <c r="D85" s="39"/>
      <c r="E85" s="33"/>
      <c r="F85" s="39"/>
      <c r="G85" s="48" t="str">
        <f aca="false">IF($F85="","",IFERROR(INDEX(商品档案!$B$6:$B$65,MATCH($F85,商品档案!$A$6:$A$65,0)),""))</f>
        <v/>
      </c>
      <c r="H85" s="55" t="str">
        <f aca="false">IF($F85="","",IFERROR(INDEX(商品档案!$D$6:$D$65,MATCH($F85,商品档案!$A$6:$A$65,0)),""))</f>
        <v/>
      </c>
      <c r="I85" s="49"/>
      <c r="J85" s="43"/>
      <c r="K85" s="41"/>
      <c r="L85" s="39"/>
      <c r="M85" s="62"/>
      <c r="N85" s="41"/>
      <c r="O85" s="41"/>
      <c r="P85" s="25" t="str">
        <f aca="false">IF(AND($B85="",$E85=""),"",IF(NOT(ISNUMBER($B85)),"日期无效",IF(ISNA(MATCH($C85,参数设置!$A$10:$A$12,0)),"公司无效",IF($D85="","缺批次号",IF(ISNA(MATCH($E85,记账规则!$A$36:$A$38,0)),"业务类型无效",IF(AND($E85&lt;&gt;"加工费用",ISNA(MATCH($F85,商品档案!$A$6:$A$65,0))),"商品编码无效",IF(AND($E85&lt;&gt;"加工费用",IFERROR(INDEX(商品档案!$E$6:$E$65,MATCH($F85,商品档案!$A$6:$A$65,0)),"")&lt;&gt;$C85),"商品不属于该公司",IF(AND($E85&lt;&gt;"加工费用",N($I85)=0),"数量为 0",IF(AND($E85="加工费用",N($J85)=0),"加工费金额为 0",IF(AND($E85="加工费用",ISNA(MATCH($K85,会计科目表!$B$6:$B$85,0))),"对方科目不存在",IF(YEAR($B85)&lt;&gt;参数设置!$B$5,"不在本会计年度","OK")))))))))))</f>
        <v/>
      </c>
      <c r="Q85" s="58" t="str">
        <f aca="false">IF($F85="","",IFERROR(INDEX(商品档案!$G$6:$G$65,MATCH($F85,商品档案!$A$6:$A$65,0)),""))</f>
        <v/>
      </c>
      <c r="R85" s="59" t="str">
        <f aca="false">IF($F85="","",SUMIFS(进销存台账!$N$6:$N$65,进销存台账!$A$6:$A$65,$C85,进销存台账!$B$6:$B$65,$F85))</f>
        <v/>
      </c>
      <c r="S85" s="60" t="n">
        <f aca="false">IF($E85="领用投入",ROUND(N($I85)*N($R85),2),IF($E85="加工费用",ROUND(N($J85),2),0))</f>
        <v>0</v>
      </c>
      <c r="T85" s="60" t="n">
        <f aca="false">IF($E85&lt;&gt;"产成品入库",0,IF(SUMIFS($W$6:$W$305,$C$6:$C$305,$C85,$D$6:$D$305,$D85,$E$6:$E$305,"产成品入库")=0,0,ROUND(SUMIFS($S$6:$S$305,$C$6:$C$305,$C85,$D$6:$D$305,$D85)*N($X85)/SUMIFS($W$6:$W$305,$C$6:$C$305,$C85,$D$6:$D$305,$D85,$E$6:$E$305,"产成品入库"),2)-ROUND(SUMIFS($S$6:$S$305,$C$6:$C$305,$C85,$D$6:$D$305,$D85)*(N($X85)-N($W85))/SUMIFS($W$6:$W$305,$C$6:$C$305,$C85,$D$6:$D$305,$D85,$E$6:$E$305,"产成品入库"),2)))</f>
        <v>0</v>
      </c>
      <c r="U85" s="57" t="str">
        <f aca="false">IF($E85="","",ROUND($S85+$T85,2))</f>
        <v/>
      </c>
      <c r="V85" s="61" t="str">
        <f aca="false">IF($B85="","",YEAR($B85))</f>
        <v/>
      </c>
      <c r="W85" s="63" t="str">
        <f aca="false">IF($E85&lt;&gt;"产成品入库","",IF(N($M85)=0,1,N($M85)))</f>
        <v/>
      </c>
      <c r="X85" s="63" t="str">
        <f aca="false">IF($E85&lt;&gt;"产成品入库","",SUMIFS($W$6:$W85,$C$6:$C85,$C85,$D$6:$D85,$D85,$E$6:$E85,"产成品入库"))</f>
        <v/>
      </c>
    </row>
    <row r="86" customFormat="false" ht="15" hidden="false" customHeight="false" outlineLevel="0" collapsed="false">
      <c r="A86" s="53" t="str">
        <f aca="false">IF($B86="","",ROW()-5)</f>
        <v/>
      </c>
      <c r="B86" s="54"/>
      <c r="C86" s="33"/>
      <c r="D86" s="39"/>
      <c r="E86" s="33"/>
      <c r="F86" s="39"/>
      <c r="G86" s="48" t="str">
        <f aca="false">IF($F86="","",IFERROR(INDEX(商品档案!$B$6:$B$65,MATCH($F86,商品档案!$A$6:$A$65,0)),""))</f>
        <v/>
      </c>
      <c r="H86" s="55" t="str">
        <f aca="false">IF($F86="","",IFERROR(INDEX(商品档案!$D$6:$D$65,MATCH($F86,商品档案!$A$6:$A$65,0)),""))</f>
        <v/>
      </c>
      <c r="I86" s="49"/>
      <c r="J86" s="43"/>
      <c r="K86" s="41"/>
      <c r="L86" s="39"/>
      <c r="M86" s="62"/>
      <c r="N86" s="41"/>
      <c r="O86" s="41"/>
      <c r="P86" s="25" t="str">
        <f aca="false">IF(AND($B86="",$E86=""),"",IF(NOT(ISNUMBER($B86)),"日期无效",IF(ISNA(MATCH($C86,参数设置!$A$10:$A$12,0)),"公司无效",IF($D86="","缺批次号",IF(ISNA(MATCH($E86,记账规则!$A$36:$A$38,0)),"业务类型无效",IF(AND($E86&lt;&gt;"加工费用",ISNA(MATCH($F86,商品档案!$A$6:$A$65,0))),"商品编码无效",IF(AND($E86&lt;&gt;"加工费用",IFERROR(INDEX(商品档案!$E$6:$E$65,MATCH($F86,商品档案!$A$6:$A$65,0)),"")&lt;&gt;$C86),"商品不属于该公司",IF(AND($E86&lt;&gt;"加工费用",N($I86)=0),"数量为 0",IF(AND($E86="加工费用",N($J86)=0),"加工费金额为 0",IF(AND($E86="加工费用",ISNA(MATCH($K86,会计科目表!$B$6:$B$85,0))),"对方科目不存在",IF(YEAR($B86)&lt;&gt;参数设置!$B$5,"不在本会计年度","OK")))))))))))</f>
        <v/>
      </c>
      <c r="Q86" s="58" t="str">
        <f aca="false">IF($F86="","",IFERROR(INDEX(商品档案!$G$6:$G$65,MATCH($F86,商品档案!$A$6:$A$65,0)),""))</f>
        <v/>
      </c>
      <c r="R86" s="59" t="str">
        <f aca="false">IF($F86="","",SUMIFS(进销存台账!$N$6:$N$65,进销存台账!$A$6:$A$65,$C86,进销存台账!$B$6:$B$65,$F86))</f>
        <v/>
      </c>
      <c r="S86" s="60" t="n">
        <f aca="false">IF($E86="领用投入",ROUND(N($I86)*N($R86),2),IF($E86="加工费用",ROUND(N($J86),2),0))</f>
        <v>0</v>
      </c>
      <c r="T86" s="60" t="n">
        <f aca="false">IF($E86&lt;&gt;"产成品入库",0,IF(SUMIFS($W$6:$W$305,$C$6:$C$305,$C86,$D$6:$D$305,$D86,$E$6:$E$305,"产成品入库")=0,0,ROUND(SUMIFS($S$6:$S$305,$C$6:$C$305,$C86,$D$6:$D$305,$D86)*N($X86)/SUMIFS($W$6:$W$305,$C$6:$C$305,$C86,$D$6:$D$305,$D86,$E$6:$E$305,"产成品入库"),2)-ROUND(SUMIFS($S$6:$S$305,$C$6:$C$305,$C86,$D$6:$D$305,$D86)*(N($X86)-N($W86))/SUMIFS($W$6:$W$305,$C$6:$C$305,$C86,$D$6:$D$305,$D86,$E$6:$E$305,"产成品入库"),2)))</f>
        <v>0</v>
      </c>
      <c r="U86" s="57" t="str">
        <f aca="false">IF($E86="","",ROUND($S86+$T86,2))</f>
        <v/>
      </c>
      <c r="V86" s="61" t="str">
        <f aca="false">IF($B86="","",YEAR($B86))</f>
        <v/>
      </c>
      <c r="W86" s="63" t="str">
        <f aca="false">IF($E86&lt;&gt;"产成品入库","",IF(N($M86)=0,1,N($M86)))</f>
        <v/>
      </c>
      <c r="X86" s="63" t="str">
        <f aca="false">IF($E86&lt;&gt;"产成品入库","",SUMIFS($W$6:$W86,$C$6:$C86,$C86,$D$6:$D86,$D86,$E$6:$E86,"产成品入库"))</f>
        <v/>
      </c>
    </row>
    <row r="87" customFormat="false" ht="15" hidden="false" customHeight="false" outlineLevel="0" collapsed="false">
      <c r="A87" s="53" t="str">
        <f aca="false">IF($B87="","",ROW()-5)</f>
        <v/>
      </c>
      <c r="B87" s="54"/>
      <c r="C87" s="33"/>
      <c r="D87" s="39"/>
      <c r="E87" s="33"/>
      <c r="F87" s="39"/>
      <c r="G87" s="48" t="str">
        <f aca="false">IF($F87="","",IFERROR(INDEX(商品档案!$B$6:$B$65,MATCH($F87,商品档案!$A$6:$A$65,0)),""))</f>
        <v/>
      </c>
      <c r="H87" s="55" t="str">
        <f aca="false">IF($F87="","",IFERROR(INDEX(商品档案!$D$6:$D$65,MATCH($F87,商品档案!$A$6:$A$65,0)),""))</f>
        <v/>
      </c>
      <c r="I87" s="49"/>
      <c r="J87" s="43"/>
      <c r="K87" s="41"/>
      <c r="L87" s="39"/>
      <c r="M87" s="62"/>
      <c r="N87" s="41"/>
      <c r="O87" s="41"/>
      <c r="P87" s="25" t="str">
        <f aca="false">IF(AND($B87="",$E87=""),"",IF(NOT(ISNUMBER($B87)),"日期无效",IF(ISNA(MATCH($C87,参数设置!$A$10:$A$12,0)),"公司无效",IF($D87="","缺批次号",IF(ISNA(MATCH($E87,记账规则!$A$36:$A$38,0)),"业务类型无效",IF(AND($E87&lt;&gt;"加工费用",ISNA(MATCH($F87,商品档案!$A$6:$A$65,0))),"商品编码无效",IF(AND($E87&lt;&gt;"加工费用",IFERROR(INDEX(商品档案!$E$6:$E$65,MATCH($F87,商品档案!$A$6:$A$65,0)),"")&lt;&gt;$C87),"商品不属于该公司",IF(AND($E87&lt;&gt;"加工费用",N($I87)=0),"数量为 0",IF(AND($E87="加工费用",N($J87)=0),"加工费金额为 0",IF(AND($E87="加工费用",ISNA(MATCH($K87,会计科目表!$B$6:$B$85,0))),"对方科目不存在",IF(YEAR($B87)&lt;&gt;参数设置!$B$5,"不在本会计年度","OK")))))))))))</f>
        <v/>
      </c>
      <c r="Q87" s="58" t="str">
        <f aca="false">IF($F87="","",IFERROR(INDEX(商品档案!$G$6:$G$65,MATCH($F87,商品档案!$A$6:$A$65,0)),""))</f>
        <v/>
      </c>
      <c r="R87" s="59" t="str">
        <f aca="false">IF($F87="","",SUMIFS(进销存台账!$N$6:$N$65,进销存台账!$A$6:$A$65,$C87,进销存台账!$B$6:$B$65,$F87))</f>
        <v/>
      </c>
      <c r="S87" s="60" t="n">
        <f aca="false">IF($E87="领用投入",ROUND(N($I87)*N($R87),2),IF($E87="加工费用",ROUND(N($J87),2),0))</f>
        <v>0</v>
      </c>
      <c r="T87" s="60" t="n">
        <f aca="false">IF($E87&lt;&gt;"产成品入库",0,IF(SUMIFS($W$6:$W$305,$C$6:$C$305,$C87,$D$6:$D$305,$D87,$E$6:$E$305,"产成品入库")=0,0,ROUND(SUMIFS($S$6:$S$305,$C$6:$C$305,$C87,$D$6:$D$305,$D87)*N($X87)/SUMIFS($W$6:$W$305,$C$6:$C$305,$C87,$D$6:$D$305,$D87,$E$6:$E$305,"产成品入库"),2)-ROUND(SUMIFS($S$6:$S$305,$C$6:$C$305,$C87,$D$6:$D$305,$D87)*(N($X87)-N($W87))/SUMIFS($W$6:$W$305,$C$6:$C$305,$C87,$D$6:$D$305,$D87,$E$6:$E$305,"产成品入库"),2)))</f>
        <v>0</v>
      </c>
      <c r="U87" s="57" t="str">
        <f aca="false">IF($E87="","",ROUND($S87+$T87,2))</f>
        <v/>
      </c>
      <c r="V87" s="61" t="str">
        <f aca="false">IF($B87="","",YEAR($B87))</f>
        <v/>
      </c>
      <c r="W87" s="63" t="str">
        <f aca="false">IF($E87&lt;&gt;"产成品入库","",IF(N($M87)=0,1,N($M87)))</f>
        <v/>
      </c>
      <c r="X87" s="63" t="str">
        <f aca="false">IF($E87&lt;&gt;"产成品入库","",SUMIFS($W$6:$W87,$C$6:$C87,$C87,$D$6:$D87,$D87,$E$6:$E87,"产成品入库"))</f>
        <v/>
      </c>
    </row>
    <row r="88" customFormat="false" ht="15" hidden="false" customHeight="false" outlineLevel="0" collapsed="false">
      <c r="A88" s="53" t="str">
        <f aca="false">IF($B88="","",ROW()-5)</f>
        <v/>
      </c>
      <c r="B88" s="54"/>
      <c r="C88" s="33"/>
      <c r="D88" s="39"/>
      <c r="E88" s="33"/>
      <c r="F88" s="39"/>
      <c r="G88" s="48" t="str">
        <f aca="false">IF($F88="","",IFERROR(INDEX(商品档案!$B$6:$B$65,MATCH($F88,商品档案!$A$6:$A$65,0)),""))</f>
        <v/>
      </c>
      <c r="H88" s="55" t="str">
        <f aca="false">IF($F88="","",IFERROR(INDEX(商品档案!$D$6:$D$65,MATCH($F88,商品档案!$A$6:$A$65,0)),""))</f>
        <v/>
      </c>
      <c r="I88" s="49"/>
      <c r="J88" s="43"/>
      <c r="K88" s="41"/>
      <c r="L88" s="39"/>
      <c r="M88" s="62"/>
      <c r="N88" s="41"/>
      <c r="O88" s="41"/>
      <c r="P88" s="25" t="str">
        <f aca="false">IF(AND($B88="",$E88=""),"",IF(NOT(ISNUMBER($B88)),"日期无效",IF(ISNA(MATCH($C88,参数设置!$A$10:$A$12,0)),"公司无效",IF($D88="","缺批次号",IF(ISNA(MATCH($E88,记账规则!$A$36:$A$38,0)),"业务类型无效",IF(AND($E88&lt;&gt;"加工费用",ISNA(MATCH($F88,商品档案!$A$6:$A$65,0))),"商品编码无效",IF(AND($E88&lt;&gt;"加工费用",IFERROR(INDEX(商品档案!$E$6:$E$65,MATCH($F88,商品档案!$A$6:$A$65,0)),"")&lt;&gt;$C88),"商品不属于该公司",IF(AND($E88&lt;&gt;"加工费用",N($I88)=0),"数量为 0",IF(AND($E88="加工费用",N($J88)=0),"加工费金额为 0",IF(AND($E88="加工费用",ISNA(MATCH($K88,会计科目表!$B$6:$B$85,0))),"对方科目不存在",IF(YEAR($B88)&lt;&gt;参数设置!$B$5,"不在本会计年度","OK")))))))))))</f>
        <v/>
      </c>
      <c r="Q88" s="58" t="str">
        <f aca="false">IF($F88="","",IFERROR(INDEX(商品档案!$G$6:$G$65,MATCH($F88,商品档案!$A$6:$A$65,0)),""))</f>
        <v/>
      </c>
      <c r="R88" s="59" t="str">
        <f aca="false">IF($F88="","",SUMIFS(进销存台账!$N$6:$N$65,进销存台账!$A$6:$A$65,$C88,进销存台账!$B$6:$B$65,$F88))</f>
        <v/>
      </c>
      <c r="S88" s="60" t="n">
        <f aca="false">IF($E88="领用投入",ROUND(N($I88)*N($R88),2),IF($E88="加工费用",ROUND(N($J88),2),0))</f>
        <v>0</v>
      </c>
      <c r="T88" s="60" t="n">
        <f aca="false">IF($E88&lt;&gt;"产成品入库",0,IF(SUMIFS($W$6:$W$305,$C$6:$C$305,$C88,$D$6:$D$305,$D88,$E$6:$E$305,"产成品入库")=0,0,ROUND(SUMIFS($S$6:$S$305,$C$6:$C$305,$C88,$D$6:$D$305,$D88)*N($X88)/SUMIFS($W$6:$W$305,$C$6:$C$305,$C88,$D$6:$D$305,$D88,$E$6:$E$305,"产成品入库"),2)-ROUND(SUMIFS($S$6:$S$305,$C$6:$C$305,$C88,$D$6:$D$305,$D88)*(N($X88)-N($W88))/SUMIFS($W$6:$W$305,$C$6:$C$305,$C88,$D$6:$D$305,$D88,$E$6:$E$305,"产成品入库"),2)))</f>
        <v>0</v>
      </c>
      <c r="U88" s="57" t="str">
        <f aca="false">IF($E88="","",ROUND($S88+$T88,2))</f>
        <v/>
      </c>
      <c r="V88" s="61" t="str">
        <f aca="false">IF($B88="","",YEAR($B88))</f>
        <v/>
      </c>
      <c r="W88" s="63" t="str">
        <f aca="false">IF($E88&lt;&gt;"产成品入库","",IF(N($M88)=0,1,N($M88)))</f>
        <v/>
      </c>
      <c r="X88" s="63" t="str">
        <f aca="false">IF($E88&lt;&gt;"产成品入库","",SUMIFS($W$6:$W88,$C$6:$C88,$C88,$D$6:$D88,$D88,$E$6:$E88,"产成品入库"))</f>
        <v/>
      </c>
    </row>
    <row r="89" customFormat="false" ht="15" hidden="false" customHeight="false" outlineLevel="0" collapsed="false">
      <c r="A89" s="53" t="str">
        <f aca="false">IF($B89="","",ROW()-5)</f>
        <v/>
      </c>
      <c r="B89" s="54"/>
      <c r="C89" s="33"/>
      <c r="D89" s="39"/>
      <c r="E89" s="33"/>
      <c r="F89" s="39"/>
      <c r="G89" s="48" t="str">
        <f aca="false">IF($F89="","",IFERROR(INDEX(商品档案!$B$6:$B$65,MATCH($F89,商品档案!$A$6:$A$65,0)),""))</f>
        <v/>
      </c>
      <c r="H89" s="55" t="str">
        <f aca="false">IF($F89="","",IFERROR(INDEX(商品档案!$D$6:$D$65,MATCH($F89,商品档案!$A$6:$A$65,0)),""))</f>
        <v/>
      </c>
      <c r="I89" s="49"/>
      <c r="J89" s="43"/>
      <c r="K89" s="41"/>
      <c r="L89" s="39"/>
      <c r="M89" s="62"/>
      <c r="N89" s="41"/>
      <c r="O89" s="41"/>
      <c r="P89" s="25" t="str">
        <f aca="false">IF(AND($B89="",$E89=""),"",IF(NOT(ISNUMBER($B89)),"日期无效",IF(ISNA(MATCH($C89,参数设置!$A$10:$A$12,0)),"公司无效",IF($D89="","缺批次号",IF(ISNA(MATCH($E89,记账规则!$A$36:$A$38,0)),"业务类型无效",IF(AND($E89&lt;&gt;"加工费用",ISNA(MATCH($F89,商品档案!$A$6:$A$65,0))),"商品编码无效",IF(AND($E89&lt;&gt;"加工费用",IFERROR(INDEX(商品档案!$E$6:$E$65,MATCH($F89,商品档案!$A$6:$A$65,0)),"")&lt;&gt;$C89),"商品不属于该公司",IF(AND($E89&lt;&gt;"加工费用",N($I89)=0),"数量为 0",IF(AND($E89="加工费用",N($J89)=0),"加工费金额为 0",IF(AND($E89="加工费用",ISNA(MATCH($K89,会计科目表!$B$6:$B$85,0))),"对方科目不存在",IF(YEAR($B89)&lt;&gt;参数设置!$B$5,"不在本会计年度","OK")))))))))))</f>
        <v/>
      </c>
      <c r="Q89" s="58" t="str">
        <f aca="false">IF($F89="","",IFERROR(INDEX(商品档案!$G$6:$G$65,MATCH($F89,商品档案!$A$6:$A$65,0)),""))</f>
        <v/>
      </c>
      <c r="R89" s="59" t="str">
        <f aca="false">IF($F89="","",SUMIFS(进销存台账!$N$6:$N$65,进销存台账!$A$6:$A$65,$C89,进销存台账!$B$6:$B$65,$F89))</f>
        <v/>
      </c>
      <c r="S89" s="60" t="n">
        <f aca="false">IF($E89="领用投入",ROUND(N($I89)*N($R89),2),IF($E89="加工费用",ROUND(N($J89),2),0))</f>
        <v>0</v>
      </c>
      <c r="T89" s="60" t="n">
        <f aca="false">IF($E89&lt;&gt;"产成品入库",0,IF(SUMIFS($W$6:$W$305,$C$6:$C$305,$C89,$D$6:$D$305,$D89,$E$6:$E$305,"产成品入库")=0,0,ROUND(SUMIFS($S$6:$S$305,$C$6:$C$305,$C89,$D$6:$D$305,$D89)*N($X89)/SUMIFS($W$6:$W$305,$C$6:$C$305,$C89,$D$6:$D$305,$D89,$E$6:$E$305,"产成品入库"),2)-ROUND(SUMIFS($S$6:$S$305,$C$6:$C$305,$C89,$D$6:$D$305,$D89)*(N($X89)-N($W89))/SUMIFS($W$6:$W$305,$C$6:$C$305,$C89,$D$6:$D$305,$D89,$E$6:$E$305,"产成品入库"),2)))</f>
        <v>0</v>
      </c>
      <c r="U89" s="57" t="str">
        <f aca="false">IF($E89="","",ROUND($S89+$T89,2))</f>
        <v/>
      </c>
      <c r="V89" s="61" t="str">
        <f aca="false">IF($B89="","",YEAR($B89))</f>
        <v/>
      </c>
      <c r="W89" s="63" t="str">
        <f aca="false">IF($E89&lt;&gt;"产成品入库","",IF(N($M89)=0,1,N($M89)))</f>
        <v/>
      </c>
      <c r="X89" s="63" t="str">
        <f aca="false">IF($E89&lt;&gt;"产成品入库","",SUMIFS($W$6:$W89,$C$6:$C89,$C89,$D$6:$D89,$D89,$E$6:$E89,"产成品入库"))</f>
        <v/>
      </c>
    </row>
    <row r="90" customFormat="false" ht="15" hidden="false" customHeight="false" outlineLevel="0" collapsed="false">
      <c r="A90" s="53" t="str">
        <f aca="false">IF($B90="","",ROW()-5)</f>
        <v/>
      </c>
      <c r="B90" s="54"/>
      <c r="C90" s="33"/>
      <c r="D90" s="39"/>
      <c r="E90" s="33"/>
      <c r="F90" s="39"/>
      <c r="G90" s="48" t="str">
        <f aca="false">IF($F90="","",IFERROR(INDEX(商品档案!$B$6:$B$65,MATCH($F90,商品档案!$A$6:$A$65,0)),""))</f>
        <v/>
      </c>
      <c r="H90" s="55" t="str">
        <f aca="false">IF($F90="","",IFERROR(INDEX(商品档案!$D$6:$D$65,MATCH($F90,商品档案!$A$6:$A$65,0)),""))</f>
        <v/>
      </c>
      <c r="I90" s="49"/>
      <c r="J90" s="43"/>
      <c r="K90" s="41"/>
      <c r="L90" s="39"/>
      <c r="M90" s="62"/>
      <c r="N90" s="41"/>
      <c r="O90" s="41"/>
      <c r="P90" s="25" t="str">
        <f aca="false">IF(AND($B90="",$E90=""),"",IF(NOT(ISNUMBER($B90)),"日期无效",IF(ISNA(MATCH($C90,参数设置!$A$10:$A$12,0)),"公司无效",IF($D90="","缺批次号",IF(ISNA(MATCH($E90,记账规则!$A$36:$A$38,0)),"业务类型无效",IF(AND($E90&lt;&gt;"加工费用",ISNA(MATCH($F90,商品档案!$A$6:$A$65,0))),"商品编码无效",IF(AND($E90&lt;&gt;"加工费用",IFERROR(INDEX(商品档案!$E$6:$E$65,MATCH($F90,商品档案!$A$6:$A$65,0)),"")&lt;&gt;$C90),"商品不属于该公司",IF(AND($E90&lt;&gt;"加工费用",N($I90)=0),"数量为 0",IF(AND($E90="加工费用",N($J90)=0),"加工费金额为 0",IF(AND($E90="加工费用",ISNA(MATCH($K90,会计科目表!$B$6:$B$85,0))),"对方科目不存在",IF(YEAR($B90)&lt;&gt;参数设置!$B$5,"不在本会计年度","OK")))))))))))</f>
        <v/>
      </c>
      <c r="Q90" s="58" t="str">
        <f aca="false">IF($F90="","",IFERROR(INDEX(商品档案!$G$6:$G$65,MATCH($F90,商品档案!$A$6:$A$65,0)),""))</f>
        <v/>
      </c>
      <c r="R90" s="59" t="str">
        <f aca="false">IF($F90="","",SUMIFS(进销存台账!$N$6:$N$65,进销存台账!$A$6:$A$65,$C90,进销存台账!$B$6:$B$65,$F90))</f>
        <v/>
      </c>
      <c r="S90" s="60" t="n">
        <f aca="false">IF($E90="领用投入",ROUND(N($I90)*N($R90),2),IF($E90="加工费用",ROUND(N($J90),2),0))</f>
        <v>0</v>
      </c>
      <c r="T90" s="60" t="n">
        <f aca="false">IF($E90&lt;&gt;"产成品入库",0,IF(SUMIFS($W$6:$W$305,$C$6:$C$305,$C90,$D$6:$D$305,$D90,$E$6:$E$305,"产成品入库")=0,0,ROUND(SUMIFS($S$6:$S$305,$C$6:$C$305,$C90,$D$6:$D$305,$D90)*N($X90)/SUMIFS($W$6:$W$305,$C$6:$C$305,$C90,$D$6:$D$305,$D90,$E$6:$E$305,"产成品入库"),2)-ROUND(SUMIFS($S$6:$S$305,$C$6:$C$305,$C90,$D$6:$D$305,$D90)*(N($X90)-N($W90))/SUMIFS($W$6:$W$305,$C$6:$C$305,$C90,$D$6:$D$305,$D90,$E$6:$E$305,"产成品入库"),2)))</f>
        <v>0</v>
      </c>
      <c r="U90" s="57" t="str">
        <f aca="false">IF($E90="","",ROUND($S90+$T90,2))</f>
        <v/>
      </c>
      <c r="V90" s="61" t="str">
        <f aca="false">IF($B90="","",YEAR($B90))</f>
        <v/>
      </c>
      <c r="W90" s="63" t="str">
        <f aca="false">IF($E90&lt;&gt;"产成品入库","",IF(N($M90)=0,1,N($M90)))</f>
        <v/>
      </c>
      <c r="X90" s="63" t="str">
        <f aca="false">IF($E90&lt;&gt;"产成品入库","",SUMIFS($W$6:$W90,$C$6:$C90,$C90,$D$6:$D90,$D90,$E$6:$E90,"产成品入库"))</f>
        <v/>
      </c>
    </row>
    <row r="91" customFormat="false" ht="15" hidden="false" customHeight="false" outlineLevel="0" collapsed="false">
      <c r="A91" s="53" t="str">
        <f aca="false">IF($B91="","",ROW()-5)</f>
        <v/>
      </c>
      <c r="B91" s="54"/>
      <c r="C91" s="33"/>
      <c r="D91" s="39"/>
      <c r="E91" s="33"/>
      <c r="F91" s="39"/>
      <c r="G91" s="48" t="str">
        <f aca="false">IF($F91="","",IFERROR(INDEX(商品档案!$B$6:$B$65,MATCH($F91,商品档案!$A$6:$A$65,0)),""))</f>
        <v/>
      </c>
      <c r="H91" s="55" t="str">
        <f aca="false">IF($F91="","",IFERROR(INDEX(商品档案!$D$6:$D$65,MATCH($F91,商品档案!$A$6:$A$65,0)),""))</f>
        <v/>
      </c>
      <c r="I91" s="49"/>
      <c r="J91" s="43"/>
      <c r="K91" s="41"/>
      <c r="L91" s="39"/>
      <c r="M91" s="62"/>
      <c r="N91" s="41"/>
      <c r="O91" s="41"/>
      <c r="P91" s="25" t="str">
        <f aca="false">IF(AND($B91="",$E91=""),"",IF(NOT(ISNUMBER($B91)),"日期无效",IF(ISNA(MATCH($C91,参数设置!$A$10:$A$12,0)),"公司无效",IF($D91="","缺批次号",IF(ISNA(MATCH($E91,记账规则!$A$36:$A$38,0)),"业务类型无效",IF(AND($E91&lt;&gt;"加工费用",ISNA(MATCH($F91,商品档案!$A$6:$A$65,0))),"商品编码无效",IF(AND($E91&lt;&gt;"加工费用",IFERROR(INDEX(商品档案!$E$6:$E$65,MATCH($F91,商品档案!$A$6:$A$65,0)),"")&lt;&gt;$C91),"商品不属于该公司",IF(AND($E91&lt;&gt;"加工费用",N($I91)=0),"数量为 0",IF(AND($E91="加工费用",N($J91)=0),"加工费金额为 0",IF(AND($E91="加工费用",ISNA(MATCH($K91,会计科目表!$B$6:$B$85,0))),"对方科目不存在",IF(YEAR($B91)&lt;&gt;参数设置!$B$5,"不在本会计年度","OK")))))))))))</f>
        <v/>
      </c>
      <c r="Q91" s="58" t="str">
        <f aca="false">IF($F91="","",IFERROR(INDEX(商品档案!$G$6:$G$65,MATCH($F91,商品档案!$A$6:$A$65,0)),""))</f>
        <v/>
      </c>
      <c r="R91" s="59" t="str">
        <f aca="false">IF($F91="","",SUMIFS(进销存台账!$N$6:$N$65,进销存台账!$A$6:$A$65,$C91,进销存台账!$B$6:$B$65,$F91))</f>
        <v/>
      </c>
      <c r="S91" s="60" t="n">
        <f aca="false">IF($E91="领用投入",ROUND(N($I91)*N($R91),2),IF($E91="加工费用",ROUND(N($J91),2),0))</f>
        <v>0</v>
      </c>
      <c r="T91" s="60" t="n">
        <f aca="false">IF($E91&lt;&gt;"产成品入库",0,IF(SUMIFS($W$6:$W$305,$C$6:$C$305,$C91,$D$6:$D$305,$D91,$E$6:$E$305,"产成品入库")=0,0,ROUND(SUMIFS($S$6:$S$305,$C$6:$C$305,$C91,$D$6:$D$305,$D91)*N($X91)/SUMIFS($W$6:$W$305,$C$6:$C$305,$C91,$D$6:$D$305,$D91,$E$6:$E$305,"产成品入库"),2)-ROUND(SUMIFS($S$6:$S$305,$C$6:$C$305,$C91,$D$6:$D$305,$D91)*(N($X91)-N($W91))/SUMIFS($W$6:$W$305,$C$6:$C$305,$C91,$D$6:$D$305,$D91,$E$6:$E$305,"产成品入库"),2)))</f>
        <v>0</v>
      </c>
      <c r="U91" s="57" t="str">
        <f aca="false">IF($E91="","",ROUND($S91+$T91,2))</f>
        <v/>
      </c>
      <c r="V91" s="61" t="str">
        <f aca="false">IF($B91="","",YEAR($B91))</f>
        <v/>
      </c>
      <c r="W91" s="63" t="str">
        <f aca="false">IF($E91&lt;&gt;"产成品入库","",IF(N($M91)=0,1,N($M91)))</f>
        <v/>
      </c>
      <c r="X91" s="63" t="str">
        <f aca="false">IF($E91&lt;&gt;"产成品入库","",SUMIFS($W$6:$W91,$C$6:$C91,$C91,$D$6:$D91,$D91,$E$6:$E91,"产成品入库"))</f>
        <v/>
      </c>
    </row>
    <row r="92" customFormat="false" ht="15" hidden="false" customHeight="false" outlineLevel="0" collapsed="false">
      <c r="A92" s="53" t="str">
        <f aca="false">IF($B92="","",ROW()-5)</f>
        <v/>
      </c>
      <c r="B92" s="54"/>
      <c r="C92" s="33"/>
      <c r="D92" s="39"/>
      <c r="E92" s="33"/>
      <c r="F92" s="39"/>
      <c r="G92" s="48" t="str">
        <f aca="false">IF($F92="","",IFERROR(INDEX(商品档案!$B$6:$B$65,MATCH($F92,商品档案!$A$6:$A$65,0)),""))</f>
        <v/>
      </c>
      <c r="H92" s="55" t="str">
        <f aca="false">IF($F92="","",IFERROR(INDEX(商品档案!$D$6:$D$65,MATCH($F92,商品档案!$A$6:$A$65,0)),""))</f>
        <v/>
      </c>
      <c r="I92" s="49"/>
      <c r="J92" s="43"/>
      <c r="K92" s="41"/>
      <c r="L92" s="39"/>
      <c r="M92" s="62"/>
      <c r="N92" s="41"/>
      <c r="O92" s="41"/>
      <c r="P92" s="25" t="str">
        <f aca="false">IF(AND($B92="",$E92=""),"",IF(NOT(ISNUMBER($B92)),"日期无效",IF(ISNA(MATCH($C92,参数设置!$A$10:$A$12,0)),"公司无效",IF($D92="","缺批次号",IF(ISNA(MATCH($E92,记账规则!$A$36:$A$38,0)),"业务类型无效",IF(AND($E92&lt;&gt;"加工费用",ISNA(MATCH($F92,商品档案!$A$6:$A$65,0))),"商品编码无效",IF(AND($E92&lt;&gt;"加工费用",IFERROR(INDEX(商品档案!$E$6:$E$65,MATCH($F92,商品档案!$A$6:$A$65,0)),"")&lt;&gt;$C92),"商品不属于该公司",IF(AND($E92&lt;&gt;"加工费用",N($I92)=0),"数量为 0",IF(AND($E92="加工费用",N($J92)=0),"加工费金额为 0",IF(AND($E92="加工费用",ISNA(MATCH($K92,会计科目表!$B$6:$B$85,0))),"对方科目不存在",IF(YEAR($B92)&lt;&gt;参数设置!$B$5,"不在本会计年度","OK")))))))))))</f>
        <v/>
      </c>
      <c r="Q92" s="58" t="str">
        <f aca="false">IF($F92="","",IFERROR(INDEX(商品档案!$G$6:$G$65,MATCH($F92,商品档案!$A$6:$A$65,0)),""))</f>
        <v/>
      </c>
      <c r="R92" s="59" t="str">
        <f aca="false">IF($F92="","",SUMIFS(进销存台账!$N$6:$N$65,进销存台账!$A$6:$A$65,$C92,进销存台账!$B$6:$B$65,$F92))</f>
        <v/>
      </c>
      <c r="S92" s="60" t="n">
        <f aca="false">IF($E92="领用投入",ROUND(N($I92)*N($R92),2),IF($E92="加工费用",ROUND(N($J92),2),0))</f>
        <v>0</v>
      </c>
      <c r="T92" s="60" t="n">
        <f aca="false">IF($E92&lt;&gt;"产成品入库",0,IF(SUMIFS($W$6:$W$305,$C$6:$C$305,$C92,$D$6:$D$305,$D92,$E$6:$E$305,"产成品入库")=0,0,ROUND(SUMIFS($S$6:$S$305,$C$6:$C$305,$C92,$D$6:$D$305,$D92)*N($X92)/SUMIFS($W$6:$W$305,$C$6:$C$305,$C92,$D$6:$D$305,$D92,$E$6:$E$305,"产成品入库"),2)-ROUND(SUMIFS($S$6:$S$305,$C$6:$C$305,$C92,$D$6:$D$305,$D92)*(N($X92)-N($W92))/SUMIFS($W$6:$W$305,$C$6:$C$305,$C92,$D$6:$D$305,$D92,$E$6:$E$305,"产成品入库"),2)))</f>
        <v>0</v>
      </c>
      <c r="U92" s="57" t="str">
        <f aca="false">IF($E92="","",ROUND($S92+$T92,2))</f>
        <v/>
      </c>
      <c r="V92" s="61" t="str">
        <f aca="false">IF($B92="","",YEAR($B92))</f>
        <v/>
      </c>
      <c r="W92" s="63" t="str">
        <f aca="false">IF($E92&lt;&gt;"产成品入库","",IF(N($M92)=0,1,N($M92)))</f>
        <v/>
      </c>
      <c r="X92" s="63" t="str">
        <f aca="false">IF($E92&lt;&gt;"产成品入库","",SUMIFS($W$6:$W92,$C$6:$C92,$C92,$D$6:$D92,$D92,$E$6:$E92,"产成品入库"))</f>
        <v/>
      </c>
    </row>
    <row r="93" customFormat="false" ht="15" hidden="false" customHeight="false" outlineLevel="0" collapsed="false">
      <c r="A93" s="53" t="str">
        <f aca="false">IF($B93="","",ROW()-5)</f>
        <v/>
      </c>
      <c r="B93" s="54"/>
      <c r="C93" s="33"/>
      <c r="D93" s="39"/>
      <c r="E93" s="33"/>
      <c r="F93" s="39"/>
      <c r="G93" s="48" t="str">
        <f aca="false">IF($F93="","",IFERROR(INDEX(商品档案!$B$6:$B$65,MATCH($F93,商品档案!$A$6:$A$65,0)),""))</f>
        <v/>
      </c>
      <c r="H93" s="55" t="str">
        <f aca="false">IF($F93="","",IFERROR(INDEX(商品档案!$D$6:$D$65,MATCH($F93,商品档案!$A$6:$A$65,0)),""))</f>
        <v/>
      </c>
      <c r="I93" s="49"/>
      <c r="J93" s="43"/>
      <c r="K93" s="41"/>
      <c r="L93" s="39"/>
      <c r="M93" s="62"/>
      <c r="N93" s="41"/>
      <c r="O93" s="41"/>
      <c r="P93" s="25" t="str">
        <f aca="false">IF(AND($B93="",$E93=""),"",IF(NOT(ISNUMBER($B93)),"日期无效",IF(ISNA(MATCH($C93,参数设置!$A$10:$A$12,0)),"公司无效",IF($D93="","缺批次号",IF(ISNA(MATCH($E93,记账规则!$A$36:$A$38,0)),"业务类型无效",IF(AND($E93&lt;&gt;"加工费用",ISNA(MATCH($F93,商品档案!$A$6:$A$65,0))),"商品编码无效",IF(AND($E93&lt;&gt;"加工费用",IFERROR(INDEX(商品档案!$E$6:$E$65,MATCH($F93,商品档案!$A$6:$A$65,0)),"")&lt;&gt;$C93),"商品不属于该公司",IF(AND($E93&lt;&gt;"加工费用",N($I93)=0),"数量为 0",IF(AND($E93="加工费用",N($J93)=0),"加工费金额为 0",IF(AND($E93="加工费用",ISNA(MATCH($K93,会计科目表!$B$6:$B$85,0))),"对方科目不存在",IF(YEAR($B93)&lt;&gt;参数设置!$B$5,"不在本会计年度","OK")))))))))))</f>
        <v/>
      </c>
      <c r="Q93" s="58" t="str">
        <f aca="false">IF($F93="","",IFERROR(INDEX(商品档案!$G$6:$G$65,MATCH($F93,商品档案!$A$6:$A$65,0)),""))</f>
        <v/>
      </c>
      <c r="R93" s="59" t="str">
        <f aca="false">IF($F93="","",SUMIFS(进销存台账!$N$6:$N$65,进销存台账!$A$6:$A$65,$C93,进销存台账!$B$6:$B$65,$F93))</f>
        <v/>
      </c>
      <c r="S93" s="60" t="n">
        <f aca="false">IF($E93="领用投入",ROUND(N($I93)*N($R93),2),IF($E93="加工费用",ROUND(N($J93),2),0))</f>
        <v>0</v>
      </c>
      <c r="T93" s="60" t="n">
        <f aca="false">IF($E93&lt;&gt;"产成品入库",0,IF(SUMIFS($W$6:$W$305,$C$6:$C$305,$C93,$D$6:$D$305,$D93,$E$6:$E$305,"产成品入库")=0,0,ROUND(SUMIFS($S$6:$S$305,$C$6:$C$305,$C93,$D$6:$D$305,$D93)*N($X93)/SUMIFS($W$6:$W$305,$C$6:$C$305,$C93,$D$6:$D$305,$D93,$E$6:$E$305,"产成品入库"),2)-ROUND(SUMIFS($S$6:$S$305,$C$6:$C$305,$C93,$D$6:$D$305,$D93)*(N($X93)-N($W93))/SUMIFS($W$6:$W$305,$C$6:$C$305,$C93,$D$6:$D$305,$D93,$E$6:$E$305,"产成品入库"),2)))</f>
        <v>0</v>
      </c>
      <c r="U93" s="57" t="str">
        <f aca="false">IF($E93="","",ROUND($S93+$T93,2))</f>
        <v/>
      </c>
      <c r="V93" s="61" t="str">
        <f aca="false">IF($B93="","",YEAR($B93))</f>
        <v/>
      </c>
      <c r="W93" s="63" t="str">
        <f aca="false">IF($E93&lt;&gt;"产成品入库","",IF(N($M93)=0,1,N($M93)))</f>
        <v/>
      </c>
      <c r="X93" s="63" t="str">
        <f aca="false">IF($E93&lt;&gt;"产成品入库","",SUMIFS($W$6:$W93,$C$6:$C93,$C93,$D$6:$D93,$D93,$E$6:$E93,"产成品入库"))</f>
        <v/>
      </c>
    </row>
    <row r="94" customFormat="false" ht="15" hidden="false" customHeight="false" outlineLevel="0" collapsed="false">
      <c r="A94" s="53" t="str">
        <f aca="false">IF($B94="","",ROW()-5)</f>
        <v/>
      </c>
      <c r="B94" s="54"/>
      <c r="C94" s="33"/>
      <c r="D94" s="39"/>
      <c r="E94" s="33"/>
      <c r="F94" s="39"/>
      <c r="G94" s="48" t="str">
        <f aca="false">IF($F94="","",IFERROR(INDEX(商品档案!$B$6:$B$65,MATCH($F94,商品档案!$A$6:$A$65,0)),""))</f>
        <v/>
      </c>
      <c r="H94" s="55" t="str">
        <f aca="false">IF($F94="","",IFERROR(INDEX(商品档案!$D$6:$D$65,MATCH($F94,商品档案!$A$6:$A$65,0)),""))</f>
        <v/>
      </c>
      <c r="I94" s="49"/>
      <c r="J94" s="43"/>
      <c r="K94" s="41"/>
      <c r="L94" s="39"/>
      <c r="M94" s="62"/>
      <c r="N94" s="41"/>
      <c r="O94" s="41"/>
      <c r="P94" s="25" t="str">
        <f aca="false">IF(AND($B94="",$E94=""),"",IF(NOT(ISNUMBER($B94)),"日期无效",IF(ISNA(MATCH($C94,参数设置!$A$10:$A$12,0)),"公司无效",IF($D94="","缺批次号",IF(ISNA(MATCH($E94,记账规则!$A$36:$A$38,0)),"业务类型无效",IF(AND($E94&lt;&gt;"加工费用",ISNA(MATCH($F94,商品档案!$A$6:$A$65,0))),"商品编码无效",IF(AND($E94&lt;&gt;"加工费用",IFERROR(INDEX(商品档案!$E$6:$E$65,MATCH($F94,商品档案!$A$6:$A$65,0)),"")&lt;&gt;$C94),"商品不属于该公司",IF(AND($E94&lt;&gt;"加工费用",N($I94)=0),"数量为 0",IF(AND($E94="加工费用",N($J94)=0),"加工费金额为 0",IF(AND($E94="加工费用",ISNA(MATCH($K94,会计科目表!$B$6:$B$85,0))),"对方科目不存在",IF(YEAR($B94)&lt;&gt;参数设置!$B$5,"不在本会计年度","OK")))))))))))</f>
        <v/>
      </c>
      <c r="Q94" s="58" t="str">
        <f aca="false">IF($F94="","",IFERROR(INDEX(商品档案!$G$6:$G$65,MATCH($F94,商品档案!$A$6:$A$65,0)),""))</f>
        <v/>
      </c>
      <c r="R94" s="59" t="str">
        <f aca="false">IF($F94="","",SUMIFS(进销存台账!$N$6:$N$65,进销存台账!$A$6:$A$65,$C94,进销存台账!$B$6:$B$65,$F94))</f>
        <v/>
      </c>
      <c r="S94" s="60" t="n">
        <f aca="false">IF($E94="领用投入",ROUND(N($I94)*N($R94),2),IF($E94="加工费用",ROUND(N($J94),2),0))</f>
        <v>0</v>
      </c>
      <c r="T94" s="60" t="n">
        <f aca="false">IF($E94&lt;&gt;"产成品入库",0,IF(SUMIFS($W$6:$W$305,$C$6:$C$305,$C94,$D$6:$D$305,$D94,$E$6:$E$305,"产成品入库")=0,0,ROUND(SUMIFS($S$6:$S$305,$C$6:$C$305,$C94,$D$6:$D$305,$D94)*N($X94)/SUMIFS($W$6:$W$305,$C$6:$C$305,$C94,$D$6:$D$305,$D94,$E$6:$E$305,"产成品入库"),2)-ROUND(SUMIFS($S$6:$S$305,$C$6:$C$305,$C94,$D$6:$D$305,$D94)*(N($X94)-N($W94))/SUMIFS($W$6:$W$305,$C$6:$C$305,$C94,$D$6:$D$305,$D94,$E$6:$E$305,"产成品入库"),2)))</f>
        <v>0</v>
      </c>
      <c r="U94" s="57" t="str">
        <f aca="false">IF($E94="","",ROUND($S94+$T94,2))</f>
        <v/>
      </c>
      <c r="V94" s="61" t="str">
        <f aca="false">IF($B94="","",YEAR($B94))</f>
        <v/>
      </c>
      <c r="W94" s="63" t="str">
        <f aca="false">IF($E94&lt;&gt;"产成品入库","",IF(N($M94)=0,1,N($M94)))</f>
        <v/>
      </c>
      <c r="X94" s="63" t="str">
        <f aca="false">IF($E94&lt;&gt;"产成品入库","",SUMIFS($W$6:$W94,$C$6:$C94,$C94,$D$6:$D94,$D94,$E$6:$E94,"产成品入库"))</f>
        <v/>
      </c>
    </row>
    <row r="95" customFormat="false" ht="15" hidden="false" customHeight="false" outlineLevel="0" collapsed="false">
      <c r="A95" s="53" t="str">
        <f aca="false">IF($B95="","",ROW()-5)</f>
        <v/>
      </c>
      <c r="B95" s="54"/>
      <c r="C95" s="33"/>
      <c r="D95" s="39"/>
      <c r="E95" s="33"/>
      <c r="F95" s="39"/>
      <c r="G95" s="48" t="str">
        <f aca="false">IF($F95="","",IFERROR(INDEX(商品档案!$B$6:$B$65,MATCH($F95,商品档案!$A$6:$A$65,0)),""))</f>
        <v/>
      </c>
      <c r="H95" s="55" t="str">
        <f aca="false">IF($F95="","",IFERROR(INDEX(商品档案!$D$6:$D$65,MATCH($F95,商品档案!$A$6:$A$65,0)),""))</f>
        <v/>
      </c>
      <c r="I95" s="49"/>
      <c r="J95" s="43"/>
      <c r="K95" s="41"/>
      <c r="L95" s="39"/>
      <c r="M95" s="62"/>
      <c r="N95" s="41"/>
      <c r="O95" s="41"/>
      <c r="P95" s="25" t="str">
        <f aca="false">IF(AND($B95="",$E95=""),"",IF(NOT(ISNUMBER($B95)),"日期无效",IF(ISNA(MATCH($C95,参数设置!$A$10:$A$12,0)),"公司无效",IF($D95="","缺批次号",IF(ISNA(MATCH($E95,记账规则!$A$36:$A$38,0)),"业务类型无效",IF(AND($E95&lt;&gt;"加工费用",ISNA(MATCH($F95,商品档案!$A$6:$A$65,0))),"商品编码无效",IF(AND($E95&lt;&gt;"加工费用",IFERROR(INDEX(商品档案!$E$6:$E$65,MATCH($F95,商品档案!$A$6:$A$65,0)),"")&lt;&gt;$C95),"商品不属于该公司",IF(AND($E95&lt;&gt;"加工费用",N($I95)=0),"数量为 0",IF(AND($E95="加工费用",N($J95)=0),"加工费金额为 0",IF(AND($E95="加工费用",ISNA(MATCH($K95,会计科目表!$B$6:$B$85,0))),"对方科目不存在",IF(YEAR($B95)&lt;&gt;参数设置!$B$5,"不在本会计年度","OK")))))))))))</f>
        <v/>
      </c>
      <c r="Q95" s="58" t="str">
        <f aca="false">IF($F95="","",IFERROR(INDEX(商品档案!$G$6:$G$65,MATCH($F95,商品档案!$A$6:$A$65,0)),""))</f>
        <v/>
      </c>
      <c r="R95" s="59" t="str">
        <f aca="false">IF($F95="","",SUMIFS(进销存台账!$N$6:$N$65,进销存台账!$A$6:$A$65,$C95,进销存台账!$B$6:$B$65,$F95))</f>
        <v/>
      </c>
      <c r="S95" s="60" t="n">
        <f aca="false">IF($E95="领用投入",ROUND(N($I95)*N($R95),2),IF($E95="加工费用",ROUND(N($J95),2),0))</f>
        <v>0</v>
      </c>
      <c r="T95" s="60" t="n">
        <f aca="false">IF($E95&lt;&gt;"产成品入库",0,IF(SUMIFS($W$6:$W$305,$C$6:$C$305,$C95,$D$6:$D$305,$D95,$E$6:$E$305,"产成品入库")=0,0,ROUND(SUMIFS($S$6:$S$305,$C$6:$C$305,$C95,$D$6:$D$305,$D95)*N($X95)/SUMIFS($W$6:$W$305,$C$6:$C$305,$C95,$D$6:$D$305,$D95,$E$6:$E$305,"产成品入库"),2)-ROUND(SUMIFS($S$6:$S$305,$C$6:$C$305,$C95,$D$6:$D$305,$D95)*(N($X95)-N($W95))/SUMIFS($W$6:$W$305,$C$6:$C$305,$C95,$D$6:$D$305,$D95,$E$6:$E$305,"产成品入库"),2)))</f>
        <v>0</v>
      </c>
      <c r="U95" s="57" t="str">
        <f aca="false">IF($E95="","",ROUND($S95+$T95,2))</f>
        <v/>
      </c>
      <c r="V95" s="61" t="str">
        <f aca="false">IF($B95="","",YEAR($B95))</f>
        <v/>
      </c>
      <c r="W95" s="63" t="str">
        <f aca="false">IF($E95&lt;&gt;"产成品入库","",IF(N($M95)=0,1,N($M95)))</f>
        <v/>
      </c>
      <c r="X95" s="63" t="str">
        <f aca="false">IF($E95&lt;&gt;"产成品入库","",SUMIFS($W$6:$W95,$C$6:$C95,$C95,$D$6:$D95,$D95,$E$6:$E95,"产成品入库"))</f>
        <v/>
      </c>
    </row>
    <row r="96" customFormat="false" ht="15" hidden="false" customHeight="false" outlineLevel="0" collapsed="false">
      <c r="A96" s="53" t="str">
        <f aca="false">IF($B96="","",ROW()-5)</f>
        <v/>
      </c>
      <c r="B96" s="54"/>
      <c r="C96" s="33"/>
      <c r="D96" s="39"/>
      <c r="E96" s="33"/>
      <c r="F96" s="39"/>
      <c r="G96" s="48" t="str">
        <f aca="false">IF($F96="","",IFERROR(INDEX(商品档案!$B$6:$B$65,MATCH($F96,商品档案!$A$6:$A$65,0)),""))</f>
        <v/>
      </c>
      <c r="H96" s="55" t="str">
        <f aca="false">IF($F96="","",IFERROR(INDEX(商品档案!$D$6:$D$65,MATCH($F96,商品档案!$A$6:$A$65,0)),""))</f>
        <v/>
      </c>
      <c r="I96" s="49"/>
      <c r="J96" s="43"/>
      <c r="K96" s="41"/>
      <c r="L96" s="39"/>
      <c r="M96" s="62"/>
      <c r="N96" s="41"/>
      <c r="O96" s="41"/>
      <c r="P96" s="25" t="str">
        <f aca="false">IF(AND($B96="",$E96=""),"",IF(NOT(ISNUMBER($B96)),"日期无效",IF(ISNA(MATCH($C96,参数设置!$A$10:$A$12,0)),"公司无效",IF($D96="","缺批次号",IF(ISNA(MATCH($E96,记账规则!$A$36:$A$38,0)),"业务类型无效",IF(AND($E96&lt;&gt;"加工费用",ISNA(MATCH($F96,商品档案!$A$6:$A$65,0))),"商品编码无效",IF(AND($E96&lt;&gt;"加工费用",IFERROR(INDEX(商品档案!$E$6:$E$65,MATCH($F96,商品档案!$A$6:$A$65,0)),"")&lt;&gt;$C96),"商品不属于该公司",IF(AND($E96&lt;&gt;"加工费用",N($I96)=0),"数量为 0",IF(AND($E96="加工费用",N($J96)=0),"加工费金额为 0",IF(AND($E96="加工费用",ISNA(MATCH($K96,会计科目表!$B$6:$B$85,0))),"对方科目不存在",IF(YEAR($B96)&lt;&gt;参数设置!$B$5,"不在本会计年度","OK")))))))))))</f>
        <v/>
      </c>
      <c r="Q96" s="58" t="str">
        <f aca="false">IF($F96="","",IFERROR(INDEX(商品档案!$G$6:$G$65,MATCH($F96,商品档案!$A$6:$A$65,0)),""))</f>
        <v/>
      </c>
      <c r="R96" s="59" t="str">
        <f aca="false">IF($F96="","",SUMIFS(进销存台账!$N$6:$N$65,进销存台账!$A$6:$A$65,$C96,进销存台账!$B$6:$B$65,$F96))</f>
        <v/>
      </c>
      <c r="S96" s="60" t="n">
        <f aca="false">IF($E96="领用投入",ROUND(N($I96)*N($R96),2),IF($E96="加工费用",ROUND(N($J96),2),0))</f>
        <v>0</v>
      </c>
      <c r="T96" s="60" t="n">
        <f aca="false">IF($E96&lt;&gt;"产成品入库",0,IF(SUMIFS($W$6:$W$305,$C$6:$C$305,$C96,$D$6:$D$305,$D96,$E$6:$E$305,"产成品入库")=0,0,ROUND(SUMIFS($S$6:$S$305,$C$6:$C$305,$C96,$D$6:$D$305,$D96)*N($X96)/SUMIFS($W$6:$W$305,$C$6:$C$305,$C96,$D$6:$D$305,$D96,$E$6:$E$305,"产成品入库"),2)-ROUND(SUMIFS($S$6:$S$305,$C$6:$C$305,$C96,$D$6:$D$305,$D96)*(N($X96)-N($W96))/SUMIFS($W$6:$W$305,$C$6:$C$305,$C96,$D$6:$D$305,$D96,$E$6:$E$305,"产成品入库"),2)))</f>
        <v>0</v>
      </c>
      <c r="U96" s="57" t="str">
        <f aca="false">IF($E96="","",ROUND($S96+$T96,2))</f>
        <v/>
      </c>
      <c r="V96" s="61" t="str">
        <f aca="false">IF($B96="","",YEAR($B96))</f>
        <v/>
      </c>
      <c r="W96" s="63" t="str">
        <f aca="false">IF($E96&lt;&gt;"产成品入库","",IF(N($M96)=0,1,N($M96)))</f>
        <v/>
      </c>
      <c r="X96" s="63" t="str">
        <f aca="false">IF($E96&lt;&gt;"产成品入库","",SUMIFS($W$6:$W96,$C$6:$C96,$C96,$D$6:$D96,$D96,$E$6:$E96,"产成品入库"))</f>
        <v/>
      </c>
    </row>
    <row r="97" customFormat="false" ht="15" hidden="false" customHeight="false" outlineLevel="0" collapsed="false">
      <c r="A97" s="53" t="str">
        <f aca="false">IF($B97="","",ROW()-5)</f>
        <v/>
      </c>
      <c r="B97" s="54"/>
      <c r="C97" s="33"/>
      <c r="D97" s="39"/>
      <c r="E97" s="33"/>
      <c r="F97" s="39"/>
      <c r="G97" s="48" t="str">
        <f aca="false">IF($F97="","",IFERROR(INDEX(商品档案!$B$6:$B$65,MATCH($F97,商品档案!$A$6:$A$65,0)),""))</f>
        <v/>
      </c>
      <c r="H97" s="55" t="str">
        <f aca="false">IF($F97="","",IFERROR(INDEX(商品档案!$D$6:$D$65,MATCH($F97,商品档案!$A$6:$A$65,0)),""))</f>
        <v/>
      </c>
      <c r="I97" s="49"/>
      <c r="J97" s="43"/>
      <c r="K97" s="41"/>
      <c r="L97" s="39"/>
      <c r="M97" s="62"/>
      <c r="N97" s="41"/>
      <c r="O97" s="41"/>
      <c r="P97" s="25" t="str">
        <f aca="false">IF(AND($B97="",$E97=""),"",IF(NOT(ISNUMBER($B97)),"日期无效",IF(ISNA(MATCH($C97,参数设置!$A$10:$A$12,0)),"公司无效",IF($D97="","缺批次号",IF(ISNA(MATCH($E97,记账规则!$A$36:$A$38,0)),"业务类型无效",IF(AND($E97&lt;&gt;"加工费用",ISNA(MATCH($F97,商品档案!$A$6:$A$65,0))),"商品编码无效",IF(AND($E97&lt;&gt;"加工费用",IFERROR(INDEX(商品档案!$E$6:$E$65,MATCH($F97,商品档案!$A$6:$A$65,0)),"")&lt;&gt;$C97),"商品不属于该公司",IF(AND($E97&lt;&gt;"加工费用",N($I97)=0),"数量为 0",IF(AND($E97="加工费用",N($J97)=0),"加工费金额为 0",IF(AND($E97="加工费用",ISNA(MATCH($K97,会计科目表!$B$6:$B$85,0))),"对方科目不存在",IF(YEAR($B97)&lt;&gt;参数设置!$B$5,"不在本会计年度","OK")))))))))))</f>
        <v/>
      </c>
      <c r="Q97" s="58" t="str">
        <f aca="false">IF($F97="","",IFERROR(INDEX(商品档案!$G$6:$G$65,MATCH($F97,商品档案!$A$6:$A$65,0)),""))</f>
        <v/>
      </c>
      <c r="R97" s="59" t="str">
        <f aca="false">IF($F97="","",SUMIFS(进销存台账!$N$6:$N$65,进销存台账!$A$6:$A$65,$C97,进销存台账!$B$6:$B$65,$F97))</f>
        <v/>
      </c>
      <c r="S97" s="60" t="n">
        <f aca="false">IF($E97="领用投入",ROUND(N($I97)*N($R97),2),IF($E97="加工费用",ROUND(N($J97),2),0))</f>
        <v>0</v>
      </c>
      <c r="T97" s="60" t="n">
        <f aca="false">IF($E97&lt;&gt;"产成品入库",0,IF(SUMIFS($W$6:$W$305,$C$6:$C$305,$C97,$D$6:$D$305,$D97,$E$6:$E$305,"产成品入库")=0,0,ROUND(SUMIFS($S$6:$S$305,$C$6:$C$305,$C97,$D$6:$D$305,$D97)*N($X97)/SUMIFS($W$6:$W$305,$C$6:$C$305,$C97,$D$6:$D$305,$D97,$E$6:$E$305,"产成品入库"),2)-ROUND(SUMIFS($S$6:$S$305,$C$6:$C$305,$C97,$D$6:$D$305,$D97)*(N($X97)-N($W97))/SUMIFS($W$6:$W$305,$C$6:$C$305,$C97,$D$6:$D$305,$D97,$E$6:$E$305,"产成品入库"),2)))</f>
        <v>0</v>
      </c>
      <c r="U97" s="57" t="str">
        <f aca="false">IF($E97="","",ROUND($S97+$T97,2))</f>
        <v/>
      </c>
      <c r="V97" s="61" t="str">
        <f aca="false">IF($B97="","",YEAR($B97))</f>
        <v/>
      </c>
      <c r="W97" s="63" t="str">
        <f aca="false">IF($E97&lt;&gt;"产成品入库","",IF(N($M97)=0,1,N($M97)))</f>
        <v/>
      </c>
      <c r="X97" s="63" t="str">
        <f aca="false">IF($E97&lt;&gt;"产成品入库","",SUMIFS($W$6:$W97,$C$6:$C97,$C97,$D$6:$D97,$D97,$E$6:$E97,"产成品入库"))</f>
        <v/>
      </c>
    </row>
    <row r="98" customFormat="false" ht="15" hidden="false" customHeight="false" outlineLevel="0" collapsed="false">
      <c r="A98" s="53" t="str">
        <f aca="false">IF($B98="","",ROW()-5)</f>
        <v/>
      </c>
      <c r="B98" s="54"/>
      <c r="C98" s="33"/>
      <c r="D98" s="39"/>
      <c r="E98" s="33"/>
      <c r="F98" s="39"/>
      <c r="G98" s="48" t="str">
        <f aca="false">IF($F98="","",IFERROR(INDEX(商品档案!$B$6:$B$65,MATCH($F98,商品档案!$A$6:$A$65,0)),""))</f>
        <v/>
      </c>
      <c r="H98" s="55" t="str">
        <f aca="false">IF($F98="","",IFERROR(INDEX(商品档案!$D$6:$D$65,MATCH($F98,商品档案!$A$6:$A$65,0)),""))</f>
        <v/>
      </c>
      <c r="I98" s="49"/>
      <c r="J98" s="43"/>
      <c r="K98" s="41"/>
      <c r="L98" s="39"/>
      <c r="M98" s="62"/>
      <c r="N98" s="41"/>
      <c r="O98" s="41"/>
      <c r="P98" s="25" t="str">
        <f aca="false">IF(AND($B98="",$E98=""),"",IF(NOT(ISNUMBER($B98)),"日期无效",IF(ISNA(MATCH($C98,参数设置!$A$10:$A$12,0)),"公司无效",IF($D98="","缺批次号",IF(ISNA(MATCH($E98,记账规则!$A$36:$A$38,0)),"业务类型无效",IF(AND($E98&lt;&gt;"加工费用",ISNA(MATCH($F98,商品档案!$A$6:$A$65,0))),"商品编码无效",IF(AND($E98&lt;&gt;"加工费用",IFERROR(INDEX(商品档案!$E$6:$E$65,MATCH($F98,商品档案!$A$6:$A$65,0)),"")&lt;&gt;$C98),"商品不属于该公司",IF(AND($E98&lt;&gt;"加工费用",N($I98)=0),"数量为 0",IF(AND($E98="加工费用",N($J98)=0),"加工费金额为 0",IF(AND($E98="加工费用",ISNA(MATCH($K98,会计科目表!$B$6:$B$85,0))),"对方科目不存在",IF(YEAR($B98)&lt;&gt;参数设置!$B$5,"不在本会计年度","OK")))))))))))</f>
        <v/>
      </c>
      <c r="Q98" s="58" t="str">
        <f aca="false">IF($F98="","",IFERROR(INDEX(商品档案!$G$6:$G$65,MATCH($F98,商品档案!$A$6:$A$65,0)),""))</f>
        <v/>
      </c>
      <c r="R98" s="59" t="str">
        <f aca="false">IF($F98="","",SUMIFS(进销存台账!$N$6:$N$65,进销存台账!$A$6:$A$65,$C98,进销存台账!$B$6:$B$65,$F98))</f>
        <v/>
      </c>
      <c r="S98" s="60" t="n">
        <f aca="false">IF($E98="领用投入",ROUND(N($I98)*N($R98),2),IF($E98="加工费用",ROUND(N($J98),2),0))</f>
        <v>0</v>
      </c>
      <c r="T98" s="60" t="n">
        <f aca="false">IF($E98&lt;&gt;"产成品入库",0,IF(SUMIFS($W$6:$W$305,$C$6:$C$305,$C98,$D$6:$D$305,$D98,$E$6:$E$305,"产成品入库")=0,0,ROUND(SUMIFS($S$6:$S$305,$C$6:$C$305,$C98,$D$6:$D$305,$D98)*N($X98)/SUMIFS($W$6:$W$305,$C$6:$C$305,$C98,$D$6:$D$305,$D98,$E$6:$E$305,"产成品入库"),2)-ROUND(SUMIFS($S$6:$S$305,$C$6:$C$305,$C98,$D$6:$D$305,$D98)*(N($X98)-N($W98))/SUMIFS($W$6:$W$305,$C$6:$C$305,$C98,$D$6:$D$305,$D98,$E$6:$E$305,"产成品入库"),2)))</f>
        <v>0</v>
      </c>
      <c r="U98" s="57" t="str">
        <f aca="false">IF($E98="","",ROUND($S98+$T98,2))</f>
        <v/>
      </c>
      <c r="V98" s="61" t="str">
        <f aca="false">IF($B98="","",YEAR($B98))</f>
        <v/>
      </c>
      <c r="W98" s="63" t="str">
        <f aca="false">IF($E98&lt;&gt;"产成品入库","",IF(N($M98)=0,1,N($M98)))</f>
        <v/>
      </c>
      <c r="X98" s="63" t="str">
        <f aca="false">IF($E98&lt;&gt;"产成品入库","",SUMIFS($W$6:$W98,$C$6:$C98,$C98,$D$6:$D98,$D98,$E$6:$E98,"产成品入库"))</f>
        <v/>
      </c>
    </row>
    <row r="99" customFormat="false" ht="15" hidden="false" customHeight="false" outlineLevel="0" collapsed="false">
      <c r="A99" s="53" t="str">
        <f aca="false">IF($B99="","",ROW()-5)</f>
        <v/>
      </c>
      <c r="B99" s="54"/>
      <c r="C99" s="33"/>
      <c r="D99" s="39"/>
      <c r="E99" s="33"/>
      <c r="F99" s="39"/>
      <c r="G99" s="48" t="str">
        <f aca="false">IF($F99="","",IFERROR(INDEX(商品档案!$B$6:$B$65,MATCH($F99,商品档案!$A$6:$A$65,0)),""))</f>
        <v/>
      </c>
      <c r="H99" s="55" t="str">
        <f aca="false">IF($F99="","",IFERROR(INDEX(商品档案!$D$6:$D$65,MATCH($F99,商品档案!$A$6:$A$65,0)),""))</f>
        <v/>
      </c>
      <c r="I99" s="49"/>
      <c r="J99" s="43"/>
      <c r="K99" s="41"/>
      <c r="L99" s="39"/>
      <c r="M99" s="62"/>
      <c r="N99" s="41"/>
      <c r="O99" s="41"/>
      <c r="P99" s="25" t="str">
        <f aca="false">IF(AND($B99="",$E99=""),"",IF(NOT(ISNUMBER($B99)),"日期无效",IF(ISNA(MATCH($C99,参数设置!$A$10:$A$12,0)),"公司无效",IF($D99="","缺批次号",IF(ISNA(MATCH($E99,记账规则!$A$36:$A$38,0)),"业务类型无效",IF(AND($E99&lt;&gt;"加工费用",ISNA(MATCH($F99,商品档案!$A$6:$A$65,0))),"商品编码无效",IF(AND($E99&lt;&gt;"加工费用",IFERROR(INDEX(商品档案!$E$6:$E$65,MATCH($F99,商品档案!$A$6:$A$65,0)),"")&lt;&gt;$C99),"商品不属于该公司",IF(AND($E99&lt;&gt;"加工费用",N($I99)=0),"数量为 0",IF(AND($E99="加工费用",N($J99)=0),"加工费金额为 0",IF(AND($E99="加工费用",ISNA(MATCH($K99,会计科目表!$B$6:$B$85,0))),"对方科目不存在",IF(YEAR($B99)&lt;&gt;参数设置!$B$5,"不在本会计年度","OK")))))))))))</f>
        <v/>
      </c>
      <c r="Q99" s="58" t="str">
        <f aca="false">IF($F99="","",IFERROR(INDEX(商品档案!$G$6:$G$65,MATCH($F99,商品档案!$A$6:$A$65,0)),""))</f>
        <v/>
      </c>
      <c r="R99" s="59" t="str">
        <f aca="false">IF($F99="","",SUMIFS(进销存台账!$N$6:$N$65,进销存台账!$A$6:$A$65,$C99,进销存台账!$B$6:$B$65,$F99))</f>
        <v/>
      </c>
      <c r="S99" s="60" t="n">
        <f aca="false">IF($E99="领用投入",ROUND(N($I99)*N($R99),2),IF($E99="加工费用",ROUND(N($J99),2),0))</f>
        <v>0</v>
      </c>
      <c r="T99" s="60" t="n">
        <f aca="false">IF($E99&lt;&gt;"产成品入库",0,IF(SUMIFS($W$6:$W$305,$C$6:$C$305,$C99,$D$6:$D$305,$D99,$E$6:$E$305,"产成品入库")=0,0,ROUND(SUMIFS($S$6:$S$305,$C$6:$C$305,$C99,$D$6:$D$305,$D99)*N($X99)/SUMIFS($W$6:$W$305,$C$6:$C$305,$C99,$D$6:$D$305,$D99,$E$6:$E$305,"产成品入库"),2)-ROUND(SUMIFS($S$6:$S$305,$C$6:$C$305,$C99,$D$6:$D$305,$D99)*(N($X99)-N($W99))/SUMIFS($W$6:$W$305,$C$6:$C$305,$C99,$D$6:$D$305,$D99,$E$6:$E$305,"产成品入库"),2)))</f>
        <v>0</v>
      </c>
      <c r="U99" s="57" t="str">
        <f aca="false">IF($E99="","",ROUND($S99+$T99,2))</f>
        <v/>
      </c>
      <c r="V99" s="61" t="str">
        <f aca="false">IF($B99="","",YEAR($B99))</f>
        <v/>
      </c>
      <c r="W99" s="63" t="str">
        <f aca="false">IF($E99&lt;&gt;"产成品入库","",IF(N($M99)=0,1,N($M99)))</f>
        <v/>
      </c>
      <c r="X99" s="63" t="str">
        <f aca="false">IF($E99&lt;&gt;"产成品入库","",SUMIFS($W$6:$W99,$C$6:$C99,$C99,$D$6:$D99,$D99,$E$6:$E99,"产成品入库"))</f>
        <v/>
      </c>
    </row>
    <row r="100" customFormat="false" ht="15" hidden="false" customHeight="false" outlineLevel="0" collapsed="false">
      <c r="A100" s="53" t="str">
        <f aca="false">IF($B100="","",ROW()-5)</f>
        <v/>
      </c>
      <c r="B100" s="54"/>
      <c r="C100" s="33"/>
      <c r="D100" s="39"/>
      <c r="E100" s="33"/>
      <c r="F100" s="39"/>
      <c r="G100" s="48" t="str">
        <f aca="false">IF($F100="","",IFERROR(INDEX(商品档案!$B$6:$B$65,MATCH($F100,商品档案!$A$6:$A$65,0)),""))</f>
        <v/>
      </c>
      <c r="H100" s="55" t="str">
        <f aca="false">IF($F100="","",IFERROR(INDEX(商品档案!$D$6:$D$65,MATCH($F100,商品档案!$A$6:$A$65,0)),""))</f>
        <v/>
      </c>
      <c r="I100" s="49"/>
      <c r="J100" s="43"/>
      <c r="K100" s="41"/>
      <c r="L100" s="39"/>
      <c r="M100" s="62"/>
      <c r="N100" s="41"/>
      <c r="O100" s="41"/>
      <c r="P100" s="25" t="str">
        <f aca="false">IF(AND($B100="",$E100=""),"",IF(NOT(ISNUMBER($B100)),"日期无效",IF(ISNA(MATCH($C100,参数设置!$A$10:$A$12,0)),"公司无效",IF($D100="","缺批次号",IF(ISNA(MATCH($E100,记账规则!$A$36:$A$38,0)),"业务类型无效",IF(AND($E100&lt;&gt;"加工费用",ISNA(MATCH($F100,商品档案!$A$6:$A$65,0))),"商品编码无效",IF(AND($E100&lt;&gt;"加工费用",IFERROR(INDEX(商品档案!$E$6:$E$65,MATCH($F100,商品档案!$A$6:$A$65,0)),"")&lt;&gt;$C100),"商品不属于该公司",IF(AND($E100&lt;&gt;"加工费用",N($I100)=0),"数量为 0",IF(AND($E100="加工费用",N($J100)=0),"加工费金额为 0",IF(AND($E100="加工费用",ISNA(MATCH($K100,会计科目表!$B$6:$B$85,0))),"对方科目不存在",IF(YEAR($B100)&lt;&gt;参数设置!$B$5,"不在本会计年度","OK")))))))))))</f>
        <v/>
      </c>
      <c r="Q100" s="58" t="str">
        <f aca="false">IF($F100="","",IFERROR(INDEX(商品档案!$G$6:$G$65,MATCH($F100,商品档案!$A$6:$A$65,0)),""))</f>
        <v/>
      </c>
      <c r="R100" s="59" t="str">
        <f aca="false">IF($F100="","",SUMIFS(进销存台账!$N$6:$N$65,进销存台账!$A$6:$A$65,$C100,进销存台账!$B$6:$B$65,$F100))</f>
        <v/>
      </c>
      <c r="S100" s="60" t="n">
        <f aca="false">IF($E100="领用投入",ROUND(N($I100)*N($R100),2),IF($E100="加工费用",ROUND(N($J100),2),0))</f>
        <v>0</v>
      </c>
      <c r="T100" s="60" t="n">
        <f aca="false">IF($E100&lt;&gt;"产成品入库",0,IF(SUMIFS($W$6:$W$305,$C$6:$C$305,$C100,$D$6:$D$305,$D100,$E$6:$E$305,"产成品入库")=0,0,ROUND(SUMIFS($S$6:$S$305,$C$6:$C$305,$C100,$D$6:$D$305,$D100)*N($X100)/SUMIFS($W$6:$W$305,$C$6:$C$305,$C100,$D$6:$D$305,$D100,$E$6:$E$305,"产成品入库"),2)-ROUND(SUMIFS($S$6:$S$305,$C$6:$C$305,$C100,$D$6:$D$305,$D100)*(N($X100)-N($W100))/SUMIFS($W$6:$W$305,$C$6:$C$305,$C100,$D$6:$D$305,$D100,$E$6:$E$305,"产成品入库"),2)))</f>
        <v>0</v>
      </c>
      <c r="U100" s="57" t="str">
        <f aca="false">IF($E100="","",ROUND($S100+$T100,2))</f>
        <v/>
      </c>
      <c r="V100" s="61" t="str">
        <f aca="false">IF($B100="","",YEAR($B100))</f>
        <v/>
      </c>
      <c r="W100" s="63" t="str">
        <f aca="false">IF($E100&lt;&gt;"产成品入库","",IF(N($M100)=0,1,N($M100)))</f>
        <v/>
      </c>
      <c r="X100" s="63" t="str">
        <f aca="false">IF($E100&lt;&gt;"产成品入库","",SUMIFS($W$6:$W100,$C$6:$C100,$C100,$D$6:$D100,$D100,$E$6:$E100,"产成品入库"))</f>
        <v/>
      </c>
    </row>
    <row r="101" customFormat="false" ht="15" hidden="false" customHeight="false" outlineLevel="0" collapsed="false">
      <c r="A101" s="53" t="str">
        <f aca="false">IF($B101="","",ROW()-5)</f>
        <v/>
      </c>
      <c r="B101" s="54"/>
      <c r="C101" s="33"/>
      <c r="D101" s="39"/>
      <c r="E101" s="33"/>
      <c r="F101" s="39"/>
      <c r="G101" s="48" t="str">
        <f aca="false">IF($F101="","",IFERROR(INDEX(商品档案!$B$6:$B$65,MATCH($F101,商品档案!$A$6:$A$65,0)),""))</f>
        <v/>
      </c>
      <c r="H101" s="55" t="str">
        <f aca="false">IF($F101="","",IFERROR(INDEX(商品档案!$D$6:$D$65,MATCH($F101,商品档案!$A$6:$A$65,0)),""))</f>
        <v/>
      </c>
      <c r="I101" s="49"/>
      <c r="J101" s="43"/>
      <c r="K101" s="41"/>
      <c r="L101" s="39"/>
      <c r="M101" s="62"/>
      <c r="N101" s="41"/>
      <c r="O101" s="41"/>
      <c r="P101" s="25" t="str">
        <f aca="false">IF(AND($B101="",$E101=""),"",IF(NOT(ISNUMBER($B101)),"日期无效",IF(ISNA(MATCH($C101,参数设置!$A$10:$A$12,0)),"公司无效",IF($D101="","缺批次号",IF(ISNA(MATCH($E101,记账规则!$A$36:$A$38,0)),"业务类型无效",IF(AND($E101&lt;&gt;"加工费用",ISNA(MATCH($F101,商品档案!$A$6:$A$65,0))),"商品编码无效",IF(AND($E101&lt;&gt;"加工费用",IFERROR(INDEX(商品档案!$E$6:$E$65,MATCH($F101,商品档案!$A$6:$A$65,0)),"")&lt;&gt;$C101),"商品不属于该公司",IF(AND($E101&lt;&gt;"加工费用",N($I101)=0),"数量为 0",IF(AND($E101="加工费用",N($J101)=0),"加工费金额为 0",IF(AND($E101="加工费用",ISNA(MATCH($K101,会计科目表!$B$6:$B$85,0))),"对方科目不存在",IF(YEAR($B101)&lt;&gt;参数设置!$B$5,"不在本会计年度","OK")))))))))))</f>
        <v/>
      </c>
      <c r="Q101" s="58" t="str">
        <f aca="false">IF($F101="","",IFERROR(INDEX(商品档案!$G$6:$G$65,MATCH($F101,商品档案!$A$6:$A$65,0)),""))</f>
        <v/>
      </c>
      <c r="R101" s="59" t="str">
        <f aca="false">IF($F101="","",SUMIFS(进销存台账!$N$6:$N$65,进销存台账!$A$6:$A$65,$C101,进销存台账!$B$6:$B$65,$F101))</f>
        <v/>
      </c>
      <c r="S101" s="60" t="n">
        <f aca="false">IF($E101="领用投入",ROUND(N($I101)*N($R101),2),IF($E101="加工费用",ROUND(N($J101),2),0))</f>
        <v>0</v>
      </c>
      <c r="T101" s="60" t="n">
        <f aca="false">IF($E101&lt;&gt;"产成品入库",0,IF(SUMIFS($W$6:$W$305,$C$6:$C$305,$C101,$D$6:$D$305,$D101,$E$6:$E$305,"产成品入库")=0,0,ROUND(SUMIFS($S$6:$S$305,$C$6:$C$305,$C101,$D$6:$D$305,$D101)*N($X101)/SUMIFS($W$6:$W$305,$C$6:$C$305,$C101,$D$6:$D$305,$D101,$E$6:$E$305,"产成品入库"),2)-ROUND(SUMIFS($S$6:$S$305,$C$6:$C$305,$C101,$D$6:$D$305,$D101)*(N($X101)-N($W101))/SUMIFS($W$6:$W$305,$C$6:$C$305,$C101,$D$6:$D$305,$D101,$E$6:$E$305,"产成品入库"),2)))</f>
        <v>0</v>
      </c>
      <c r="U101" s="57" t="str">
        <f aca="false">IF($E101="","",ROUND($S101+$T101,2))</f>
        <v/>
      </c>
      <c r="V101" s="61" t="str">
        <f aca="false">IF($B101="","",YEAR($B101))</f>
        <v/>
      </c>
      <c r="W101" s="63" t="str">
        <f aca="false">IF($E101&lt;&gt;"产成品入库","",IF(N($M101)=0,1,N($M101)))</f>
        <v/>
      </c>
      <c r="X101" s="63" t="str">
        <f aca="false">IF($E101&lt;&gt;"产成品入库","",SUMIFS($W$6:$W101,$C$6:$C101,$C101,$D$6:$D101,$D101,$E$6:$E101,"产成品入库"))</f>
        <v/>
      </c>
    </row>
    <row r="102" customFormat="false" ht="15" hidden="false" customHeight="false" outlineLevel="0" collapsed="false">
      <c r="A102" s="53" t="str">
        <f aca="false">IF($B102="","",ROW()-5)</f>
        <v/>
      </c>
      <c r="B102" s="54"/>
      <c r="C102" s="33"/>
      <c r="D102" s="39"/>
      <c r="E102" s="33"/>
      <c r="F102" s="39"/>
      <c r="G102" s="48" t="str">
        <f aca="false">IF($F102="","",IFERROR(INDEX(商品档案!$B$6:$B$65,MATCH($F102,商品档案!$A$6:$A$65,0)),""))</f>
        <v/>
      </c>
      <c r="H102" s="55" t="str">
        <f aca="false">IF($F102="","",IFERROR(INDEX(商品档案!$D$6:$D$65,MATCH($F102,商品档案!$A$6:$A$65,0)),""))</f>
        <v/>
      </c>
      <c r="I102" s="49"/>
      <c r="J102" s="43"/>
      <c r="K102" s="41"/>
      <c r="L102" s="39"/>
      <c r="M102" s="62"/>
      <c r="N102" s="41"/>
      <c r="O102" s="41"/>
      <c r="P102" s="25" t="str">
        <f aca="false">IF(AND($B102="",$E102=""),"",IF(NOT(ISNUMBER($B102)),"日期无效",IF(ISNA(MATCH($C102,参数设置!$A$10:$A$12,0)),"公司无效",IF($D102="","缺批次号",IF(ISNA(MATCH($E102,记账规则!$A$36:$A$38,0)),"业务类型无效",IF(AND($E102&lt;&gt;"加工费用",ISNA(MATCH($F102,商品档案!$A$6:$A$65,0))),"商品编码无效",IF(AND($E102&lt;&gt;"加工费用",IFERROR(INDEX(商品档案!$E$6:$E$65,MATCH($F102,商品档案!$A$6:$A$65,0)),"")&lt;&gt;$C102),"商品不属于该公司",IF(AND($E102&lt;&gt;"加工费用",N($I102)=0),"数量为 0",IF(AND($E102="加工费用",N($J102)=0),"加工费金额为 0",IF(AND($E102="加工费用",ISNA(MATCH($K102,会计科目表!$B$6:$B$85,0))),"对方科目不存在",IF(YEAR($B102)&lt;&gt;参数设置!$B$5,"不在本会计年度","OK")))))))))))</f>
        <v/>
      </c>
      <c r="Q102" s="58" t="str">
        <f aca="false">IF($F102="","",IFERROR(INDEX(商品档案!$G$6:$G$65,MATCH($F102,商品档案!$A$6:$A$65,0)),""))</f>
        <v/>
      </c>
      <c r="R102" s="59" t="str">
        <f aca="false">IF($F102="","",SUMIFS(进销存台账!$N$6:$N$65,进销存台账!$A$6:$A$65,$C102,进销存台账!$B$6:$B$65,$F102))</f>
        <v/>
      </c>
      <c r="S102" s="60" t="n">
        <f aca="false">IF($E102="领用投入",ROUND(N($I102)*N($R102),2),IF($E102="加工费用",ROUND(N($J102),2),0))</f>
        <v>0</v>
      </c>
      <c r="T102" s="60" t="n">
        <f aca="false">IF($E102&lt;&gt;"产成品入库",0,IF(SUMIFS($W$6:$W$305,$C$6:$C$305,$C102,$D$6:$D$305,$D102,$E$6:$E$305,"产成品入库")=0,0,ROUND(SUMIFS($S$6:$S$305,$C$6:$C$305,$C102,$D$6:$D$305,$D102)*N($X102)/SUMIFS($W$6:$W$305,$C$6:$C$305,$C102,$D$6:$D$305,$D102,$E$6:$E$305,"产成品入库"),2)-ROUND(SUMIFS($S$6:$S$305,$C$6:$C$305,$C102,$D$6:$D$305,$D102)*(N($X102)-N($W102))/SUMIFS($W$6:$W$305,$C$6:$C$305,$C102,$D$6:$D$305,$D102,$E$6:$E$305,"产成品入库"),2)))</f>
        <v>0</v>
      </c>
      <c r="U102" s="57" t="str">
        <f aca="false">IF($E102="","",ROUND($S102+$T102,2))</f>
        <v/>
      </c>
      <c r="V102" s="61" t="str">
        <f aca="false">IF($B102="","",YEAR($B102))</f>
        <v/>
      </c>
      <c r="W102" s="63" t="str">
        <f aca="false">IF($E102&lt;&gt;"产成品入库","",IF(N($M102)=0,1,N($M102)))</f>
        <v/>
      </c>
      <c r="X102" s="63" t="str">
        <f aca="false">IF($E102&lt;&gt;"产成品入库","",SUMIFS($W$6:$W102,$C$6:$C102,$C102,$D$6:$D102,$D102,$E$6:$E102,"产成品入库"))</f>
        <v/>
      </c>
    </row>
    <row r="103" customFormat="false" ht="15" hidden="false" customHeight="false" outlineLevel="0" collapsed="false">
      <c r="A103" s="53" t="str">
        <f aca="false">IF($B103="","",ROW()-5)</f>
        <v/>
      </c>
      <c r="B103" s="54"/>
      <c r="C103" s="33"/>
      <c r="D103" s="39"/>
      <c r="E103" s="33"/>
      <c r="F103" s="39"/>
      <c r="G103" s="48" t="str">
        <f aca="false">IF($F103="","",IFERROR(INDEX(商品档案!$B$6:$B$65,MATCH($F103,商品档案!$A$6:$A$65,0)),""))</f>
        <v/>
      </c>
      <c r="H103" s="55" t="str">
        <f aca="false">IF($F103="","",IFERROR(INDEX(商品档案!$D$6:$D$65,MATCH($F103,商品档案!$A$6:$A$65,0)),""))</f>
        <v/>
      </c>
      <c r="I103" s="49"/>
      <c r="J103" s="43"/>
      <c r="K103" s="41"/>
      <c r="L103" s="39"/>
      <c r="M103" s="62"/>
      <c r="N103" s="41"/>
      <c r="O103" s="41"/>
      <c r="P103" s="25" t="str">
        <f aca="false">IF(AND($B103="",$E103=""),"",IF(NOT(ISNUMBER($B103)),"日期无效",IF(ISNA(MATCH($C103,参数设置!$A$10:$A$12,0)),"公司无效",IF($D103="","缺批次号",IF(ISNA(MATCH($E103,记账规则!$A$36:$A$38,0)),"业务类型无效",IF(AND($E103&lt;&gt;"加工费用",ISNA(MATCH($F103,商品档案!$A$6:$A$65,0))),"商品编码无效",IF(AND($E103&lt;&gt;"加工费用",IFERROR(INDEX(商品档案!$E$6:$E$65,MATCH($F103,商品档案!$A$6:$A$65,0)),"")&lt;&gt;$C103),"商品不属于该公司",IF(AND($E103&lt;&gt;"加工费用",N($I103)=0),"数量为 0",IF(AND($E103="加工费用",N($J103)=0),"加工费金额为 0",IF(AND($E103="加工费用",ISNA(MATCH($K103,会计科目表!$B$6:$B$85,0))),"对方科目不存在",IF(YEAR($B103)&lt;&gt;参数设置!$B$5,"不在本会计年度","OK")))))))))))</f>
        <v/>
      </c>
      <c r="Q103" s="58" t="str">
        <f aca="false">IF($F103="","",IFERROR(INDEX(商品档案!$G$6:$G$65,MATCH($F103,商品档案!$A$6:$A$65,0)),""))</f>
        <v/>
      </c>
      <c r="R103" s="59" t="str">
        <f aca="false">IF($F103="","",SUMIFS(进销存台账!$N$6:$N$65,进销存台账!$A$6:$A$65,$C103,进销存台账!$B$6:$B$65,$F103))</f>
        <v/>
      </c>
      <c r="S103" s="60" t="n">
        <f aca="false">IF($E103="领用投入",ROUND(N($I103)*N($R103),2),IF($E103="加工费用",ROUND(N($J103),2),0))</f>
        <v>0</v>
      </c>
      <c r="T103" s="60" t="n">
        <f aca="false">IF($E103&lt;&gt;"产成品入库",0,IF(SUMIFS($W$6:$W$305,$C$6:$C$305,$C103,$D$6:$D$305,$D103,$E$6:$E$305,"产成品入库")=0,0,ROUND(SUMIFS($S$6:$S$305,$C$6:$C$305,$C103,$D$6:$D$305,$D103)*N($X103)/SUMIFS($W$6:$W$305,$C$6:$C$305,$C103,$D$6:$D$305,$D103,$E$6:$E$305,"产成品入库"),2)-ROUND(SUMIFS($S$6:$S$305,$C$6:$C$305,$C103,$D$6:$D$305,$D103)*(N($X103)-N($W103))/SUMIFS($W$6:$W$305,$C$6:$C$305,$C103,$D$6:$D$305,$D103,$E$6:$E$305,"产成品入库"),2)))</f>
        <v>0</v>
      </c>
      <c r="U103" s="57" t="str">
        <f aca="false">IF($E103="","",ROUND($S103+$T103,2))</f>
        <v/>
      </c>
      <c r="V103" s="61" t="str">
        <f aca="false">IF($B103="","",YEAR($B103))</f>
        <v/>
      </c>
      <c r="W103" s="63" t="str">
        <f aca="false">IF($E103&lt;&gt;"产成品入库","",IF(N($M103)=0,1,N($M103)))</f>
        <v/>
      </c>
      <c r="X103" s="63" t="str">
        <f aca="false">IF($E103&lt;&gt;"产成品入库","",SUMIFS($W$6:$W103,$C$6:$C103,$C103,$D$6:$D103,$D103,$E$6:$E103,"产成品入库"))</f>
        <v/>
      </c>
    </row>
    <row r="104" customFormat="false" ht="15" hidden="false" customHeight="false" outlineLevel="0" collapsed="false">
      <c r="A104" s="53" t="str">
        <f aca="false">IF($B104="","",ROW()-5)</f>
        <v/>
      </c>
      <c r="B104" s="54"/>
      <c r="C104" s="33"/>
      <c r="D104" s="39"/>
      <c r="E104" s="33"/>
      <c r="F104" s="39"/>
      <c r="G104" s="48" t="str">
        <f aca="false">IF($F104="","",IFERROR(INDEX(商品档案!$B$6:$B$65,MATCH($F104,商品档案!$A$6:$A$65,0)),""))</f>
        <v/>
      </c>
      <c r="H104" s="55" t="str">
        <f aca="false">IF($F104="","",IFERROR(INDEX(商品档案!$D$6:$D$65,MATCH($F104,商品档案!$A$6:$A$65,0)),""))</f>
        <v/>
      </c>
      <c r="I104" s="49"/>
      <c r="J104" s="43"/>
      <c r="K104" s="41"/>
      <c r="L104" s="39"/>
      <c r="M104" s="62"/>
      <c r="N104" s="41"/>
      <c r="O104" s="41"/>
      <c r="P104" s="25" t="str">
        <f aca="false">IF(AND($B104="",$E104=""),"",IF(NOT(ISNUMBER($B104)),"日期无效",IF(ISNA(MATCH($C104,参数设置!$A$10:$A$12,0)),"公司无效",IF($D104="","缺批次号",IF(ISNA(MATCH($E104,记账规则!$A$36:$A$38,0)),"业务类型无效",IF(AND($E104&lt;&gt;"加工费用",ISNA(MATCH($F104,商品档案!$A$6:$A$65,0))),"商品编码无效",IF(AND($E104&lt;&gt;"加工费用",IFERROR(INDEX(商品档案!$E$6:$E$65,MATCH($F104,商品档案!$A$6:$A$65,0)),"")&lt;&gt;$C104),"商品不属于该公司",IF(AND($E104&lt;&gt;"加工费用",N($I104)=0),"数量为 0",IF(AND($E104="加工费用",N($J104)=0),"加工费金额为 0",IF(AND($E104="加工费用",ISNA(MATCH($K104,会计科目表!$B$6:$B$85,0))),"对方科目不存在",IF(YEAR($B104)&lt;&gt;参数设置!$B$5,"不在本会计年度","OK")))))))))))</f>
        <v/>
      </c>
      <c r="Q104" s="58" t="str">
        <f aca="false">IF($F104="","",IFERROR(INDEX(商品档案!$G$6:$G$65,MATCH($F104,商品档案!$A$6:$A$65,0)),""))</f>
        <v/>
      </c>
      <c r="R104" s="59" t="str">
        <f aca="false">IF($F104="","",SUMIFS(进销存台账!$N$6:$N$65,进销存台账!$A$6:$A$65,$C104,进销存台账!$B$6:$B$65,$F104))</f>
        <v/>
      </c>
      <c r="S104" s="60" t="n">
        <f aca="false">IF($E104="领用投入",ROUND(N($I104)*N($R104),2),IF($E104="加工费用",ROUND(N($J104),2),0))</f>
        <v>0</v>
      </c>
      <c r="T104" s="60" t="n">
        <f aca="false">IF($E104&lt;&gt;"产成品入库",0,IF(SUMIFS($W$6:$W$305,$C$6:$C$305,$C104,$D$6:$D$305,$D104,$E$6:$E$305,"产成品入库")=0,0,ROUND(SUMIFS($S$6:$S$305,$C$6:$C$305,$C104,$D$6:$D$305,$D104)*N($X104)/SUMIFS($W$6:$W$305,$C$6:$C$305,$C104,$D$6:$D$305,$D104,$E$6:$E$305,"产成品入库"),2)-ROUND(SUMIFS($S$6:$S$305,$C$6:$C$305,$C104,$D$6:$D$305,$D104)*(N($X104)-N($W104))/SUMIFS($W$6:$W$305,$C$6:$C$305,$C104,$D$6:$D$305,$D104,$E$6:$E$305,"产成品入库"),2)))</f>
        <v>0</v>
      </c>
      <c r="U104" s="57" t="str">
        <f aca="false">IF($E104="","",ROUND($S104+$T104,2))</f>
        <v/>
      </c>
      <c r="V104" s="61" t="str">
        <f aca="false">IF($B104="","",YEAR($B104))</f>
        <v/>
      </c>
      <c r="W104" s="63" t="str">
        <f aca="false">IF($E104&lt;&gt;"产成品入库","",IF(N($M104)=0,1,N($M104)))</f>
        <v/>
      </c>
      <c r="X104" s="63" t="str">
        <f aca="false">IF($E104&lt;&gt;"产成品入库","",SUMIFS($W$6:$W104,$C$6:$C104,$C104,$D$6:$D104,$D104,$E$6:$E104,"产成品入库"))</f>
        <v/>
      </c>
    </row>
    <row r="105" customFormat="false" ht="15" hidden="false" customHeight="false" outlineLevel="0" collapsed="false">
      <c r="A105" s="53" t="str">
        <f aca="false">IF($B105="","",ROW()-5)</f>
        <v/>
      </c>
      <c r="B105" s="54"/>
      <c r="C105" s="33"/>
      <c r="D105" s="39"/>
      <c r="E105" s="33"/>
      <c r="F105" s="39"/>
      <c r="G105" s="48" t="str">
        <f aca="false">IF($F105="","",IFERROR(INDEX(商品档案!$B$6:$B$65,MATCH($F105,商品档案!$A$6:$A$65,0)),""))</f>
        <v/>
      </c>
      <c r="H105" s="55" t="str">
        <f aca="false">IF($F105="","",IFERROR(INDEX(商品档案!$D$6:$D$65,MATCH($F105,商品档案!$A$6:$A$65,0)),""))</f>
        <v/>
      </c>
      <c r="I105" s="49"/>
      <c r="J105" s="43"/>
      <c r="K105" s="41"/>
      <c r="L105" s="39"/>
      <c r="M105" s="62"/>
      <c r="N105" s="41"/>
      <c r="O105" s="41"/>
      <c r="P105" s="25" t="str">
        <f aca="false">IF(AND($B105="",$E105=""),"",IF(NOT(ISNUMBER($B105)),"日期无效",IF(ISNA(MATCH($C105,参数设置!$A$10:$A$12,0)),"公司无效",IF($D105="","缺批次号",IF(ISNA(MATCH($E105,记账规则!$A$36:$A$38,0)),"业务类型无效",IF(AND($E105&lt;&gt;"加工费用",ISNA(MATCH($F105,商品档案!$A$6:$A$65,0))),"商品编码无效",IF(AND($E105&lt;&gt;"加工费用",IFERROR(INDEX(商品档案!$E$6:$E$65,MATCH($F105,商品档案!$A$6:$A$65,0)),"")&lt;&gt;$C105),"商品不属于该公司",IF(AND($E105&lt;&gt;"加工费用",N($I105)=0),"数量为 0",IF(AND($E105="加工费用",N($J105)=0),"加工费金额为 0",IF(AND($E105="加工费用",ISNA(MATCH($K105,会计科目表!$B$6:$B$85,0))),"对方科目不存在",IF(YEAR($B105)&lt;&gt;参数设置!$B$5,"不在本会计年度","OK")))))))))))</f>
        <v/>
      </c>
      <c r="Q105" s="58" t="str">
        <f aca="false">IF($F105="","",IFERROR(INDEX(商品档案!$G$6:$G$65,MATCH($F105,商品档案!$A$6:$A$65,0)),""))</f>
        <v/>
      </c>
      <c r="R105" s="59" t="str">
        <f aca="false">IF($F105="","",SUMIFS(进销存台账!$N$6:$N$65,进销存台账!$A$6:$A$65,$C105,进销存台账!$B$6:$B$65,$F105))</f>
        <v/>
      </c>
      <c r="S105" s="60" t="n">
        <f aca="false">IF($E105="领用投入",ROUND(N($I105)*N($R105),2),IF($E105="加工费用",ROUND(N($J105),2),0))</f>
        <v>0</v>
      </c>
      <c r="T105" s="60" t="n">
        <f aca="false">IF($E105&lt;&gt;"产成品入库",0,IF(SUMIFS($W$6:$W$305,$C$6:$C$305,$C105,$D$6:$D$305,$D105,$E$6:$E$305,"产成品入库")=0,0,ROUND(SUMIFS($S$6:$S$305,$C$6:$C$305,$C105,$D$6:$D$305,$D105)*N($X105)/SUMIFS($W$6:$W$305,$C$6:$C$305,$C105,$D$6:$D$305,$D105,$E$6:$E$305,"产成品入库"),2)-ROUND(SUMIFS($S$6:$S$305,$C$6:$C$305,$C105,$D$6:$D$305,$D105)*(N($X105)-N($W105))/SUMIFS($W$6:$W$305,$C$6:$C$305,$C105,$D$6:$D$305,$D105,$E$6:$E$305,"产成品入库"),2)))</f>
        <v>0</v>
      </c>
      <c r="U105" s="57" t="str">
        <f aca="false">IF($E105="","",ROUND($S105+$T105,2))</f>
        <v/>
      </c>
      <c r="V105" s="61" t="str">
        <f aca="false">IF($B105="","",YEAR($B105))</f>
        <v/>
      </c>
      <c r="W105" s="63" t="str">
        <f aca="false">IF($E105&lt;&gt;"产成品入库","",IF(N($M105)=0,1,N($M105)))</f>
        <v/>
      </c>
      <c r="X105" s="63" t="str">
        <f aca="false">IF($E105&lt;&gt;"产成品入库","",SUMIFS($W$6:$W105,$C$6:$C105,$C105,$D$6:$D105,$D105,$E$6:$E105,"产成品入库"))</f>
        <v/>
      </c>
    </row>
    <row r="106" customFormat="false" ht="15" hidden="false" customHeight="false" outlineLevel="0" collapsed="false">
      <c r="A106" s="53" t="str">
        <f aca="false">IF($B106="","",ROW()-5)</f>
        <v/>
      </c>
      <c r="B106" s="54"/>
      <c r="C106" s="33"/>
      <c r="D106" s="39"/>
      <c r="E106" s="33"/>
      <c r="F106" s="39"/>
      <c r="G106" s="48" t="str">
        <f aca="false">IF($F106="","",IFERROR(INDEX(商品档案!$B$6:$B$65,MATCH($F106,商品档案!$A$6:$A$65,0)),""))</f>
        <v/>
      </c>
      <c r="H106" s="55" t="str">
        <f aca="false">IF($F106="","",IFERROR(INDEX(商品档案!$D$6:$D$65,MATCH($F106,商品档案!$A$6:$A$65,0)),""))</f>
        <v/>
      </c>
      <c r="I106" s="49"/>
      <c r="J106" s="43"/>
      <c r="K106" s="41"/>
      <c r="L106" s="39"/>
      <c r="M106" s="62"/>
      <c r="N106" s="41"/>
      <c r="O106" s="41"/>
      <c r="P106" s="25" t="str">
        <f aca="false">IF(AND($B106="",$E106=""),"",IF(NOT(ISNUMBER($B106)),"日期无效",IF(ISNA(MATCH($C106,参数设置!$A$10:$A$12,0)),"公司无效",IF($D106="","缺批次号",IF(ISNA(MATCH($E106,记账规则!$A$36:$A$38,0)),"业务类型无效",IF(AND($E106&lt;&gt;"加工费用",ISNA(MATCH($F106,商品档案!$A$6:$A$65,0))),"商品编码无效",IF(AND($E106&lt;&gt;"加工费用",IFERROR(INDEX(商品档案!$E$6:$E$65,MATCH($F106,商品档案!$A$6:$A$65,0)),"")&lt;&gt;$C106),"商品不属于该公司",IF(AND($E106&lt;&gt;"加工费用",N($I106)=0),"数量为 0",IF(AND($E106="加工费用",N($J106)=0),"加工费金额为 0",IF(AND($E106="加工费用",ISNA(MATCH($K106,会计科目表!$B$6:$B$85,0))),"对方科目不存在",IF(YEAR($B106)&lt;&gt;参数设置!$B$5,"不在本会计年度","OK")))))))))))</f>
        <v/>
      </c>
      <c r="Q106" s="58" t="str">
        <f aca="false">IF($F106="","",IFERROR(INDEX(商品档案!$G$6:$G$65,MATCH($F106,商品档案!$A$6:$A$65,0)),""))</f>
        <v/>
      </c>
      <c r="R106" s="59" t="str">
        <f aca="false">IF($F106="","",SUMIFS(进销存台账!$N$6:$N$65,进销存台账!$A$6:$A$65,$C106,进销存台账!$B$6:$B$65,$F106))</f>
        <v/>
      </c>
      <c r="S106" s="60" t="n">
        <f aca="false">IF($E106="领用投入",ROUND(N($I106)*N($R106),2),IF($E106="加工费用",ROUND(N($J106),2),0))</f>
        <v>0</v>
      </c>
      <c r="T106" s="60" t="n">
        <f aca="false">IF($E106&lt;&gt;"产成品入库",0,IF(SUMIFS($W$6:$W$305,$C$6:$C$305,$C106,$D$6:$D$305,$D106,$E$6:$E$305,"产成品入库")=0,0,ROUND(SUMIFS($S$6:$S$305,$C$6:$C$305,$C106,$D$6:$D$305,$D106)*N($X106)/SUMIFS($W$6:$W$305,$C$6:$C$305,$C106,$D$6:$D$305,$D106,$E$6:$E$305,"产成品入库"),2)-ROUND(SUMIFS($S$6:$S$305,$C$6:$C$305,$C106,$D$6:$D$305,$D106)*(N($X106)-N($W106))/SUMIFS($W$6:$W$305,$C$6:$C$305,$C106,$D$6:$D$305,$D106,$E$6:$E$305,"产成品入库"),2)))</f>
        <v>0</v>
      </c>
      <c r="U106" s="57" t="str">
        <f aca="false">IF($E106="","",ROUND($S106+$T106,2))</f>
        <v/>
      </c>
      <c r="V106" s="61" t="str">
        <f aca="false">IF($B106="","",YEAR($B106))</f>
        <v/>
      </c>
      <c r="W106" s="63" t="str">
        <f aca="false">IF($E106&lt;&gt;"产成品入库","",IF(N($M106)=0,1,N($M106)))</f>
        <v/>
      </c>
      <c r="X106" s="63" t="str">
        <f aca="false">IF($E106&lt;&gt;"产成品入库","",SUMIFS($W$6:$W106,$C$6:$C106,$C106,$D$6:$D106,$D106,$E$6:$E106,"产成品入库"))</f>
        <v/>
      </c>
    </row>
    <row r="107" customFormat="false" ht="15" hidden="false" customHeight="false" outlineLevel="0" collapsed="false">
      <c r="A107" s="53" t="str">
        <f aca="false">IF($B107="","",ROW()-5)</f>
        <v/>
      </c>
      <c r="B107" s="54"/>
      <c r="C107" s="33"/>
      <c r="D107" s="39"/>
      <c r="E107" s="33"/>
      <c r="F107" s="39"/>
      <c r="G107" s="48" t="str">
        <f aca="false">IF($F107="","",IFERROR(INDEX(商品档案!$B$6:$B$65,MATCH($F107,商品档案!$A$6:$A$65,0)),""))</f>
        <v/>
      </c>
      <c r="H107" s="55" t="str">
        <f aca="false">IF($F107="","",IFERROR(INDEX(商品档案!$D$6:$D$65,MATCH($F107,商品档案!$A$6:$A$65,0)),""))</f>
        <v/>
      </c>
      <c r="I107" s="49"/>
      <c r="J107" s="43"/>
      <c r="K107" s="41"/>
      <c r="L107" s="39"/>
      <c r="M107" s="62"/>
      <c r="N107" s="41"/>
      <c r="O107" s="41"/>
      <c r="P107" s="25" t="str">
        <f aca="false">IF(AND($B107="",$E107=""),"",IF(NOT(ISNUMBER($B107)),"日期无效",IF(ISNA(MATCH($C107,参数设置!$A$10:$A$12,0)),"公司无效",IF($D107="","缺批次号",IF(ISNA(MATCH($E107,记账规则!$A$36:$A$38,0)),"业务类型无效",IF(AND($E107&lt;&gt;"加工费用",ISNA(MATCH($F107,商品档案!$A$6:$A$65,0))),"商品编码无效",IF(AND($E107&lt;&gt;"加工费用",IFERROR(INDEX(商品档案!$E$6:$E$65,MATCH($F107,商品档案!$A$6:$A$65,0)),"")&lt;&gt;$C107),"商品不属于该公司",IF(AND($E107&lt;&gt;"加工费用",N($I107)=0),"数量为 0",IF(AND($E107="加工费用",N($J107)=0),"加工费金额为 0",IF(AND($E107="加工费用",ISNA(MATCH($K107,会计科目表!$B$6:$B$85,0))),"对方科目不存在",IF(YEAR($B107)&lt;&gt;参数设置!$B$5,"不在本会计年度","OK")))))))))))</f>
        <v/>
      </c>
      <c r="Q107" s="58" t="str">
        <f aca="false">IF($F107="","",IFERROR(INDEX(商品档案!$G$6:$G$65,MATCH($F107,商品档案!$A$6:$A$65,0)),""))</f>
        <v/>
      </c>
      <c r="R107" s="59" t="str">
        <f aca="false">IF($F107="","",SUMIFS(进销存台账!$N$6:$N$65,进销存台账!$A$6:$A$65,$C107,进销存台账!$B$6:$B$65,$F107))</f>
        <v/>
      </c>
      <c r="S107" s="60" t="n">
        <f aca="false">IF($E107="领用投入",ROUND(N($I107)*N($R107),2),IF($E107="加工费用",ROUND(N($J107),2),0))</f>
        <v>0</v>
      </c>
      <c r="T107" s="60" t="n">
        <f aca="false">IF($E107&lt;&gt;"产成品入库",0,IF(SUMIFS($W$6:$W$305,$C$6:$C$305,$C107,$D$6:$D$305,$D107,$E$6:$E$305,"产成品入库")=0,0,ROUND(SUMIFS($S$6:$S$305,$C$6:$C$305,$C107,$D$6:$D$305,$D107)*N($X107)/SUMIFS($W$6:$W$305,$C$6:$C$305,$C107,$D$6:$D$305,$D107,$E$6:$E$305,"产成品入库"),2)-ROUND(SUMIFS($S$6:$S$305,$C$6:$C$305,$C107,$D$6:$D$305,$D107)*(N($X107)-N($W107))/SUMIFS($W$6:$W$305,$C$6:$C$305,$C107,$D$6:$D$305,$D107,$E$6:$E$305,"产成品入库"),2)))</f>
        <v>0</v>
      </c>
      <c r="U107" s="57" t="str">
        <f aca="false">IF($E107="","",ROUND($S107+$T107,2))</f>
        <v/>
      </c>
      <c r="V107" s="61" t="str">
        <f aca="false">IF($B107="","",YEAR($B107))</f>
        <v/>
      </c>
      <c r="W107" s="63" t="str">
        <f aca="false">IF($E107&lt;&gt;"产成品入库","",IF(N($M107)=0,1,N($M107)))</f>
        <v/>
      </c>
      <c r="X107" s="63" t="str">
        <f aca="false">IF($E107&lt;&gt;"产成品入库","",SUMIFS($W$6:$W107,$C$6:$C107,$C107,$D$6:$D107,$D107,$E$6:$E107,"产成品入库"))</f>
        <v/>
      </c>
    </row>
    <row r="108" customFormat="false" ht="15" hidden="false" customHeight="false" outlineLevel="0" collapsed="false">
      <c r="A108" s="53" t="str">
        <f aca="false">IF($B108="","",ROW()-5)</f>
        <v/>
      </c>
      <c r="B108" s="54"/>
      <c r="C108" s="33"/>
      <c r="D108" s="39"/>
      <c r="E108" s="33"/>
      <c r="F108" s="39"/>
      <c r="G108" s="48" t="str">
        <f aca="false">IF($F108="","",IFERROR(INDEX(商品档案!$B$6:$B$65,MATCH($F108,商品档案!$A$6:$A$65,0)),""))</f>
        <v/>
      </c>
      <c r="H108" s="55" t="str">
        <f aca="false">IF($F108="","",IFERROR(INDEX(商品档案!$D$6:$D$65,MATCH($F108,商品档案!$A$6:$A$65,0)),""))</f>
        <v/>
      </c>
      <c r="I108" s="49"/>
      <c r="J108" s="43"/>
      <c r="K108" s="41"/>
      <c r="L108" s="39"/>
      <c r="M108" s="62"/>
      <c r="N108" s="41"/>
      <c r="O108" s="41"/>
      <c r="P108" s="25" t="str">
        <f aca="false">IF(AND($B108="",$E108=""),"",IF(NOT(ISNUMBER($B108)),"日期无效",IF(ISNA(MATCH($C108,参数设置!$A$10:$A$12,0)),"公司无效",IF($D108="","缺批次号",IF(ISNA(MATCH($E108,记账规则!$A$36:$A$38,0)),"业务类型无效",IF(AND($E108&lt;&gt;"加工费用",ISNA(MATCH($F108,商品档案!$A$6:$A$65,0))),"商品编码无效",IF(AND($E108&lt;&gt;"加工费用",IFERROR(INDEX(商品档案!$E$6:$E$65,MATCH($F108,商品档案!$A$6:$A$65,0)),"")&lt;&gt;$C108),"商品不属于该公司",IF(AND($E108&lt;&gt;"加工费用",N($I108)=0),"数量为 0",IF(AND($E108="加工费用",N($J108)=0),"加工费金额为 0",IF(AND($E108="加工费用",ISNA(MATCH($K108,会计科目表!$B$6:$B$85,0))),"对方科目不存在",IF(YEAR($B108)&lt;&gt;参数设置!$B$5,"不在本会计年度","OK")))))))))))</f>
        <v/>
      </c>
      <c r="Q108" s="58" t="str">
        <f aca="false">IF($F108="","",IFERROR(INDEX(商品档案!$G$6:$G$65,MATCH($F108,商品档案!$A$6:$A$65,0)),""))</f>
        <v/>
      </c>
      <c r="R108" s="59" t="str">
        <f aca="false">IF($F108="","",SUMIFS(进销存台账!$N$6:$N$65,进销存台账!$A$6:$A$65,$C108,进销存台账!$B$6:$B$65,$F108))</f>
        <v/>
      </c>
      <c r="S108" s="60" t="n">
        <f aca="false">IF($E108="领用投入",ROUND(N($I108)*N($R108),2),IF($E108="加工费用",ROUND(N($J108),2),0))</f>
        <v>0</v>
      </c>
      <c r="T108" s="60" t="n">
        <f aca="false">IF($E108&lt;&gt;"产成品入库",0,IF(SUMIFS($W$6:$W$305,$C$6:$C$305,$C108,$D$6:$D$305,$D108,$E$6:$E$305,"产成品入库")=0,0,ROUND(SUMIFS($S$6:$S$305,$C$6:$C$305,$C108,$D$6:$D$305,$D108)*N($X108)/SUMIFS($W$6:$W$305,$C$6:$C$305,$C108,$D$6:$D$305,$D108,$E$6:$E$305,"产成品入库"),2)-ROUND(SUMIFS($S$6:$S$305,$C$6:$C$305,$C108,$D$6:$D$305,$D108)*(N($X108)-N($W108))/SUMIFS($W$6:$W$305,$C$6:$C$305,$C108,$D$6:$D$305,$D108,$E$6:$E$305,"产成品入库"),2)))</f>
        <v>0</v>
      </c>
      <c r="U108" s="57" t="str">
        <f aca="false">IF($E108="","",ROUND($S108+$T108,2))</f>
        <v/>
      </c>
      <c r="V108" s="61" t="str">
        <f aca="false">IF($B108="","",YEAR($B108))</f>
        <v/>
      </c>
      <c r="W108" s="63" t="str">
        <f aca="false">IF($E108&lt;&gt;"产成品入库","",IF(N($M108)=0,1,N($M108)))</f>
        <v/>
      </c>
      <c r="X108" s="63" t="str">
        <f aca="false">IF($E108&lt;&gt;"产成品入库","",SUMIFS($W$6:$W108,$C$6:$C108,$C108,$D$6:$D108,$D108,$E$6:$E108,"产成品入库"))</f>
        <v/>
      </c>
    </row>
    <row r="109" customFormat="false" ht="15" hidden="false" customHeight="false" outlineLevel="0" collapsed="false">
      <c r="A109" s="53" t="str">
        <f aca="false">IF($B109="","",ROW()-5)</f>
        <v/>
      </c>
      <c r="B109" s="54"/>
      <c r="C109" s="33"/>
      <c r="D109" s="39"/>
      <c r="E109" s="33"/>
      <c r="F109" s="39"/>
      <c r="G109" s="48" t="str">
        <f aca="false">IF($F109="","",IFERROR(INDEX(商品档案!$B$6:$B$65,MATCH($F109,商品档案!$A$6:$A$65,0)),""))</f>
        <v/>
      </c>
      <c r="H109" s="55" t="str">
        <f aca="false">IF($F109="","",IFERROR(INDEX(商品档案!$D$6:$D$65,MATCH($F109,商品档案!$A$6:$A$65,0)),""))</f>
        <v/>
      </c>
      <c r="I109" s="49"/>
      <c r="J109" s="43"/>
      <c r="K109" s="41"/>
      <c r="L109" s="39"/>
      <c r="M109" s="62"/>
      <c r="N109" s="41"/>
      <c r="O109" s="41"/>
      <c r="P109" s="25" t="str">
        <f aca="false">IF(AND($B109="",$E109=""),"",IF(NOT(ISNUMBER($B109)),"日期无效",IF(ISNA(MATCH($C109,参数设置!$A$10:$A$12,0)),"公司无效",IF($D109="","缺批次号",IF(ISNA(MATCH($E109,记账规则!$A$36:$A$38,0)),"业务类型无效",IF(AND($E109&lt;&gt;"加工费用",ISNA(MATCH($F109,商品档案!$A$6:$A$65,0))),"商品编码无效",IF(AND($E109&lt;&gt;"加工费用",IFERROR(INDEX(商品档案!$E$6:$E$65,MATCH($F109,商品档案!$A$6:$A$65,0)),"")&lt;&gt;$C109),"商品不属于该公司",IF(AND($E109&lt;&gt;"加工费用",N($I109)=0),"数量为 0",IF(AND($E109="加工费用",N($J109)=0),"加工费金额为 0",IF(AND($E109="加工费用",ISNA(MATCH($K109,会计科目表!$B$6:$B$85,0))),"对方科目不存在",IF(YEAR($B109)&lt;&gt;参数设置!$B$5,"不在本会计年度","OK")))))))))))</f>
        <v/>
      </c>
      <c r="Q109" s="58" t="str">
        <f aca="false">IF($F109="","",IFERROR(INDEX(商品档案!$G$6:$G$65,MATCH($F109,商品档案!$A$6:$A$65,0)),""))</f>
        <v/>
      </c>
      <c r="R109" s="59" t="str">
        <f aca="false">IF($F109="","",SUMIFS(进销存台账!$N$6:$N$65,进销存台账!$A$6:$A$65,$C109,进销存台账!$B$6:$B$65,$F109))</f>
        <v/>
      </c>
      <c r="S109" s="60" t="n">
        <f aca="false">IF($E109="领用投入",ROUND(N($I109)*N($R109),2),IF($E109="加工费用",ROUND(N($J109),2),0))</f>
        <v>0</v>
      </c>
      <c r="T109" s="60" t="n">
        <f aca="false">IF($E109&lt;&gt;"产成品入库",0,IF(SUMIFS($W$6:$W$305,$C$6:$C$305,$C109,$D$6:$D$305,$D109,$E$6:$E$305,"产成品入库")=0,0,ROUND(SUMIFS($S$6:$S$305,$C$6:$C$305,$C109,$D$6:$D$305,$D109)*N($X109)/SUMIFS($W$6:$W$305,$C$6:$C$305,$C109,$D$6:$D$305,$D109,$E$6:$E$305,"产成品入库"),2)-ROUND(SUMIFS($S$6:$S$305,$C$6:$C$305,$C109,$D$6:$D$305,$D109)*(N($X109)-N($W109))/SUMIFS($W$6:$W$305,$C$6:$C$305,$C109,$D$6:$D$305,$D109,$E$6:$E$305,"产成品入库"),2)))</f>
        <v>0</v>
      </c>
      <c r="U109" s="57" t="str">
        <f aca="false">IF($E109="","",ROUND($S109+$T109,2))</f>
        <v/>
      </c>
      <c r="V109" s="61" t="str">
        <f aca="false">IF($B109="","",YEAR($B109))</f>
        <v/>
      </c>
      <c r="W109" s="63" t="str">
        <f aca="false">IF($E109&lt;&gt;"产成品入库","",IF(N($M109)=0,1,N($M109)))</f>
        <v/>
      </c>
      <c r="X109" s="63" t="str">
        <f aca="false">IF($E109&lt;&gt;"产成品入库","",SUMIFS($W$6:$W109,$C$6:$C109,$C109,$D$6:$D109,$D109,$E$6:$E109,"产成品入库"))</f>
        <v/>
      </c>
    </row>
    <row r="110" customFormat="false" ht="15" hidden="false" customHeight="false" outlineLevel="0" collapsed="false">
      <c r="A110" s="53" t="str">
        <f aca="false">IF($B110="","",ROW()-5)</f>
        <v/>
      </c>
      <c r="B110" s="54"/>
      <c r="C110" s="33"/>
      <c r="D110" s="39"/>
      <c r="E110" s="33"/>
      <c r="F110" s="39"/>
      <c r="G110" s="48" t="str">
        <f aca="false">IF($F110="","",IFERROR(INDEX(商品档案!$B$6:$B$65,MATCH($F110,商品档案!$A$6:$A$65,0)),""))</f>
        <v/>
      </c>
      <c r="H110" s="55" t="str">
        <f aca="false">IF($F110="","",IFERROR(INDEX(商品档案!$D$6:$D$65,MATCH($F110,商品档案!$A$6:$A$65,0)),""))</f>
        <v/>
      </c>
      <c r="I110" s="49"/>
      <c r="J110" s="43"/>
      <c r="K110" s="41"/>
      <c r="L110" s="39"/>
      <c r="M110" s="62"/>
      <c r="N110" s="41"/>
      <c r="O110" s="41"/>
      <c r="P110" s="25" t="str">
        <f aca="false">IF(AND($B110="",$E110=""),"",IF(NOT(ISNUMBER($B110)),"日期无效",IF(ISNA(MATCH($C110,参数设置!$A$10:$A$12,0)),"公司无效",IF($D110="","缺批次号",IF(ISNA(MATCH($E110,记账规则!$A$36:$A$38,0)),"业务类型无效",IF(AND($E110&lt;&gt;"加工费用",ISNA(MATCH($F110,商品档案!$A$6:$A$65,0))),"商品编码无效",IF(AND($E110&lt;&gt;"加工费用",IFERROR(INDEX(商品档案!$E$6:$E$65,MATCH($F110,商品档案!$A$6:$A$65,0)),"")&lt;&gt;$C110),"商品不属于该公司",IF(AND($E110&lt;&gt;"加工费用",N($I110)=0),"数量为 0",IF(AND($E110="加工费用",N($J110)=0),"加工费金额为 0",IF(AND($E110="加工费用",ISNA(MATCH($K110,会计科目表!$B$6:$B$85,0))),"对方科目不存在",IF(YEAR($B110)&lt;&gt;参数设置!$B$5,"不在本会计年度","OK")))))))))))</f>
        <v/>
      </c>
      <c r="Q110" s="58" t="str">
        <f aca="false">IF($F110="","",IFERROR(INDEX(商品档案!$G$6:$G$65,MATCH($F110,商品档案!$A$6:$A$65,0)),""))</f>
        <v/>
      </c>
      <c r="R110" s="59" t="str">
        <f aca="false">IF($F110="","",SUMIFS(进销存台账!$N$6:$N$65,进销存台账!$A$6:$A$65,$C110,进销存台账!$B$6:$B$65,$F110))</f>
        <v/>
      </c>
      <c r="S110" s="60" t="n">
        <f aca="false">IF($E110="领用投入",ROUND(N($I110)*N($R110),2),IF($E110="加工费用",ROUND(N($J110),2),0))</f>
        <v>0</v>
      </c>
      <c r="T110" s="60" t="n">
        <f aca="false">IF($E110&lt;&gt;"产成品入库",0,IF(SUMIFS($W$6:$W$305,$C$6:$C$305,$C110,$D$6:$D$305,$D110,$E$6:$E$305,"产成品入库")=0,0,ROUND(SUMIFS($S$6:$S$305,$C$6:$C$305,$C110,$D$6:$D$305,$D110)*N($X110)/SUMIFS($W$6:$W$305,$C$6:$C$305,$C110,$D$6:$D$305,$D110,$E$6:$E$305,"产成品入库"),2)-ROUND(SUMIFS($S$6:$S$305,$C$6:$C$305,$C110,$D$6:$D$305,$D110)*(N($X110)-N($W110))/SUMIFS($W$6:$W$305,$C$6:$C$305,$C110,$D$6:$D$305,$D110,$E$6:$E$305,"产成品入库"),2)))</f>
        <v>0</v>
      </c>
      <c r="U110" s="57" t="str">
        <f aca="false">IF($E110="","",ROUND($S110+$T110,2))</f>
        <v/>
      </c>
      <c r="V110" s="61" t="str">
        <f aca="false">IF($B110="","",YEAR($B110))</f>
        <v/>
      </c>
      <c r="W110" s="63" t="str">
        <f aca="false">IF($E110&lt;&gt;"产成品入库","",IF(N($M110)=0,1,N($M110)))</f>
        <v/>
      </c>
      <c r="X110" s="63" t="str">
        <f aca="false">IF($E110&lt;&gt;"产成品入库","",SUMIFS($W$6:$W110,$C$6:$C110,$C110,$D$6:$D110,$D110,$E$6:$E110,"产成品入库"))</f>
        <v/>
      </c>
    </row>
    <row r="111" customFormat="false" ht="15" hidden="false" customHeight="false" outlineLevel="0" collapsed="false">
      <c r="A111" s="53" t="str">
        <f aca="false">IF($B111="","",ROW()-5)</f>
        <v/>
      </c>
      <c r="B111" s="54"/>
      <c r="C111" s="33"/>
      <c r="D111" s="39"/>
      <c r="E111" s="33"/>
      <c r="F111" s="39"/>
      <c r="G111" s="48" t="str">
        <f aca="false">IF($F111="","",IFERROR(INDEX(商品档案!$B$6:$B$65,MATCH($F111,商品档案!$A$6:$A$65,0)),""))</f>
        <v/>
      </c>
      <c r="H111" s="55" t="str">
        <f aca="false">IF($F111="","",IFERROR(INDEX(商品档案!$D$6:$D$65,MATCH($F111,商品档案!$A$6:$A$65,0)),""))</f>
        <v/>
      </c>
      <c r="I111" s="49"/>
      <c r="J111" s="43"/>
      <c r="K111" s="41"/>
      <c r="L111" s="39"/>
      <c r="M111" s="62"/>
      <c r="N111" s="41"/>
      <c r="O111" s="41"/>
      <c r="P111" s="25" t="str">
        <f aca="false">IF(AND($B111="",$E111=""),"",IF(NOT(ISNUMBER($B111)),"日期无效",IF(ISNA(MATCH($C111,参数设置!$A$10:$A$12,0)),"公司无效",IF($D111="","缺批次号",IF(ISNA(MATCH($E111,记账规则!$A$36:$A$38,0)),"业务类型无效",IF(AND($E111&lt;&gt;"加工费用",ISNA(MATCH($F111,商品档案!$A$6:$A$65,0))),"商品编码无效",IF(AND($E111&lt;&gt;"加工费用",IFERROR(INDEX(商品档案!$E$6:$E$65,MATCH($F111,商品档案!$A$6:$A$65,0)),"")&lt;&gt;$C111),"商品不属于该公司",IF(AND($E111&lt;&gt;"加工费用",N($I111)=0),"数量为 0",IF(AND($E111="加工费用",N($J111)=0),"加工费金额为 0",IF(AND($E111="加工费用",ISNA(MATCH($K111,会计科目表!$B$6:$B$85,0))),"对方科目不存在",IF(YEAR($B111)&lt;&gt;参数设置!$B$5,"不在本会计年度","OK")))))))))))</f>
        <v/>
      </c>
      <c r="Q111" s="58" t="str">
        <f aca="false">IF($F111="","",IFERROR(INDEX(商品档案!$G$6:$G$65,MATCH($F111,商品档案!$A$6:$A$65,0)),""))</f>
        <v/>
      </c>
      <c r="R111" s="59" t="str">
        <f aca="false">IF($F111="","",SUMIFS(进销存台账!$N$6:$N$65,进销存台账!$A$6:$A$65,$C111,进销存台账!$B$6:$B$65,$F111))</f>
        <v/>
      </c>
      <c r="S111" s="60" t="n">
        <f aca="false">IF($E111="领用投入",ROUND(N($I111)*N($R111),2),IF($E111="加工费用",ROUND(N($J111),2),0))</f>
        <v>0</v>
      </c>
      <c r="T111" s="60" t="n">
        <f aca="false">IF($E111&lt;&gt;"产成品入库",0,IF(SUMIFS($W$6:$W$305,$C$6:$C$305,$C111,$D$6:$D$305,$D111,$E$6:$E$305,"产成品入库")=0,0,ROUND(SUMIFS($S$6:$S$305,$C$6:$C$305,$C111,$D$6:$D$305,$D111)*N($X111)/SUMIFS($W$6:$W$305,$C$6:$C$305,$C111,$D$6:$D$305,$D111,$E$6:$E$305,"产成品入库"),2)-ROUND(SUMIFS($S$6:$S$305,$C$6:$C$305,$C111,$D$6:$D$305,$D111)*(N($X111)-N($W111))/SUMIFS($W$6:$W$305,$C$6:$C$305,$C111,$D$6:$D$305,$D111,$E$6:$E$305,"产成品入库"),2)))</f>
        <v>0</v>
      </c>
      <c r="U111" s="57" t="str">
        <f aca="false">IF($E111="","",ROUND($S111+$T111,2))</f>
        <v/>
      </c>
      <c r="V111" s="61" t="str">
        <f aca="false">IF($B111="","",YEAR($B111))</f>
        <v/>
      </c>
      <c r="W111" s="63" t="str">
        <f aca="false">IF($E111&lt;&gt;"产成品入库","",IF(N($M111)=0,1,N($M111)))</f>
        <v/>
      </c>
      <c r="X111" s="63" t="str">
        <f aca="false">IF($E111&lt;&gt;"产成品入库","",SUMIFS($W$6:$W111,$C$6:$C111,$C111,$D$6:$D111,$D111,$E$6:$E111,"产成品入库"))</f>
        <v/>
      </c>
    </row>
    <row r="112" customFormat="false" ht="15" hidden="false" customHeight="false" outlineLevel="0" collapsed="false">
      <c r="A112" s="53" t="str">
        <f aca="false">IF($B112="","",ROW()-5)</f>
        <v/>
      </c>
      <c r="B112" s="54"/>
      <c r="C112" s="33"/>
      <c r="D112" s="39"/>
      <c r="E112" s="33"/>
      <c r="F112" s="39"/>
      <c r="G112" s="48" t="str">
        <f aca="false">IF($F112="","",IFERROR(INDEX(商品档案!$B$6:$B$65,MATCH($F112,商品档案!$A$6:$A$65,0)),""))</f>
        <v/>
      </c>
      <c r="H112" s="55" t="str">
        <f aca="false">IF($F112="","",IFERROR(INDEX(商品档案!$D$6:$D$65,MATCH($F112,商品档案!$A$6:$A$65,0)),""))</f>
        <v/>
      </c>
      <c r="I112" s="49"/>
      <c r="J112" s="43"/>
      <c r="K112" s="41"/>
      <c r="L112" s="39"/>
      <c r="M112" s="62"/>
      <c r="N112" s="41"/>
      <c r="O112" s="41"/>
      <c r="P112" s="25" t="str">
        <f aca="false">IF(AND($B112="",$E112=""),"",IF(NOT(ISNUMBER($B112)),"日期无效",IF(ISNA(MATCH($C112,参数设置!$A$10:$A$12,0)),"公司无效",IF($D112="","缺批次号",IF(ISNA(MATCH($E112,记账规则!$A$36:$A$38,0)),"业务类型无效",IF(AND($E112&lt;&gt;"加工费用",ISNA(MATCH($F112,商品档案!$A$6:$A$65,0))),"商品编码无效",IF(AND($E112&lt;&gt;"加工费用",IFERROR(INDEX(商品档案!$E$6:$E$65,MATCH($F112,商品档案!$A$6:$A$65,0)),"")&lt;&gt;$C112),"商品不属于该公司",IF(AND($E112&lt;&gt;"加工费用",N($I112)=0),"数量为 0",IF(AND($E112="加工费用",N($J112)=0),"加工费金额为 0",IF(AND($E112="加工费用",ISNA(MATCH($K112,会计科目表!$B$6:$B$85,0))),"对方科目不存在",IF(YEAR($B112)&lt;&gt;参数设置!$B$5,"不在本会计年度","OK")))))))))))</f>
        <v/>
      </c>
      <c r="Q112" s="58" t="str">
        <f aca="false">IF($F112="","",IFERROR(INDEX(商品档案!$G$6:$G$65,MATCH($F112,商品档案!$A$6:$A$65,0)),""))</f>
        <v/>
      </c>
      <c r="R112" s="59" t="str">
        <f aca="false">IF($F112="","",SUMIFS(进销存台账!$N$6:$N$65,进销存台账!$A$6:$A$65,$C112,进销存台账!$B$6:$B$65,$F112))</f>
        <v/>
      </c>
      <c r="S112" s="60" t="n">
        <f aca="false">IF($E112="领用投入",ROUND(N($I112)*N($R112),2),IF($E112="加工费用",ROUND(N($J112),2),0))</f>
        <v>0</v>
      </c>
      <c r="T112" s="60" t="n">
        <f aca="false">IF($E112&lt;&gt;"产成品入库",0,IF(SUMIFS($W$6:$W$305,$C$6:$C$305,$C112,$D$6:$D$305,$D112,$E$6:$E$305,"产成品入库")=0,0,ROUND(SUMIFS($S$6:$S$305,$C$6:$C$305,$C112,$D$6:$D$305,$D112)*N($X112)/SUMIFS($W$6:$W$305,$C$6:$C$305,$C112,$D$6:$D$305,$D112,$E$6:$E$305,"产成品入库"),2)-ROUND(SUMIFS($S$6:$S$305,$C$6:$C$305,$C112,$D$6:$D$305,$D112)*(N($X112)-N($W112))/SUMIFS($W$6:$W$305,$C$6:$C$305,$C112,$D$6:$D$305,$D112,$E$6:$E$305,"产成品入库"),2)))</f>
        <v>0</v>
      </c>
      <c r="U112" s="57" t="str">
        <f aca="false">IF($E112="","",ROUND($S112+$T112,2))</f>
        <v/>
      </c>
      <c r="V112" s="61" t="str">
        <f aca="false">IF($B112="","",YEAR($B112))</f>
        <v/>
      </c>
      <c r="W112" s="63" t="str">
        <f aca="false">IF($E112&lt;&gt;"产成品入库","",IF(N($M112)=0,1,N($M112)))</f>
        <v/>
      </c>
      <c r="X112" s="63" t="str">
        <f aca="false">IF($E112&lt;&gt;"产成品入库","",SUMIFS($W$6:$W112,$C$6:$C112,$C112,$D$6:$D112,$D112,$E$6:$E112,"产成品入库"))</f>
        <v/>
      </c>
    </row>
    <row r="113" customFormat="false" ht="15" hidden="false" customHeight="false" outlineLevel="0" collapsed="false">
      <c r="A113" s="53" t="str">
        <f aca="false">IF($B113="","",ROW()-5)</f>
        <v/>
      </c>
      <c r="B113" s="54"/>
      <c r="C113" s="33"/>
      <c r="D113" s="39"/>
      <c r="E113" s="33"/>
      <c r="F113" s="39"/>
      <c r="G113" s="48" t="str">
        <f aca="false">IF($F113="","",IFERROR(INDEX(商品档案!$B$6:$B$65,MATCH($F113,商品档案!$A$6:$A$65,0)),""))</f>
        <v/>
      </c>
      <c r="H113" s="55" t="str">
        <f aca="false">IF($F113="","",IFERROR(INDEX(商品档案!$D$6:$D$65,MATCH($F113,商品档案!$A$6:$A$65,0)),""))</f>
        <v/>
      </c>
      <c r="I113" s="49"/>
      <c r="J113" s="43"/>
      <c r="K113" s="41"/>
      <c r="L113" s="39"/>
      <c r="M113" s="62"/>
      <c r="N113" s="41"/>
      <c r="O113" s="41"/>
      <c r="P113" s="25" t="str">
        <f aca="false">IF(AND($B113="",$E113=""),"",IF(NOT(ISNUMBER($B113)),"日期无效",IF(ISNA(MATCH($C113,参数设置!$A$10:$A$12,0)),"公司无效",IF($D113="","缺批次号",IF(ISNA(MATCH($E113,记账规则!$A$36:$A$38,0)),"业务类型无效",IF(AND($E113&lt;&gt;"加工费用",ISNA(MATCH($F113,商品档案!$A$6:$A$65,0))),"商品编码无效",IF(AND($E113&lt;&gt;"加工费用",IFERROR(INDEX(商品档案!$E$6:$E$65,MATCH($F113,商品档案!$A$6:$A$65,0)),"")&lt;&gt;$C113),"商品不属于该公司",IF(AND($E113&lt;&gt;"加工费用",N($I113)=0),"数量为 0",IF(AND($E113="加工费用",N($J113)=0),"加工费金额为 0",IF(AND($E113="加工费用",ISNA(MATCH($K113,会计科目表!$B$6:$B$85,0))),"对方科目不存在",IF(YEAR($B113)&lt;&gt;参数设置!$B$5,"不在本会计年度","OK")))))))))))</f>
        <v/>
      </c>
      <c r="Q113" s="58" t="str">
        <f aca="false">IF($F113="","",IFERROR(INDEX(商品档案!$G$6:$G$65,MATCH($F113,商品档案!$A$6:$A$65,0)),""))</f>
        <v/>
      </c>
      <c r="R113" s="59" t="str">
        <f aca="false">IF($F113="","",SUMIFS(进销存台账!$N$6:$N$65,进销存台账!$A$6:$A$65,$C113,进销存台账!$B$6:$B$65,$F113))</f>
        <v/>
      </c>
      <c r="S113" s="60" t="n">
        <f aca="false">IF($E113="领用投入",ROUND(N($I113)*N($R113),2),IF($E113="加工费用",ROUND(N($J113),2),0))</f>
        <v>0</v>
      </c>
      <c r="T113" s="60" t="n">
        <f aca="false">IF($E113&lt;&gt;"产成品入库",0,IF(SUMIFS($W$6:$W$305,$C$6:$C$305,$C113,$D$6:$D$305,$D113,$E$6:$E$305,"产成品入库")=0,0,ROUND(SUMIFS($S$6:$S$305,$C$6:$C$305,$C113,$D$6:$D$305,$D113)*N($X113)/SUMIFS($W$6:$W$305,$C$6:$C$305,$C113,$D$6:$D$305,$D113,$E$6:$E$305,"产成品入库"),2)-ROUND(SUMIFS($S$6:$S$305,$C$6:$C$305,$C113,$D$6:$D$305,$D113)*(N($X113)-N($W113))/SUMIFS($W$6:$W$305,$C$6:$C$305,$C113,$D$6:$D$305,$D113,$E$6:$E$305,"产成品入库"),2)))</f>
        <v>0</v>
      </c>
      <c r="U113" s="57" t="str">
        <f aca="false">IF($E113="","",ROUND($S113+$T113,2))</f>
        <v/>
      </c>
      <c r="V113" s="61" t="str">
        <f aca="false">IF($B113="","",YEAR($B113))</f>
        <v/>
      </c>
      <c r="W113" s="63" t="str">
        <f aca="false">IF($E113&lt;&gt;"产成品入库","",IF(N($M113)=0,1,N($M113)))</f>
        <v/>
      </c>
      <c r="X113" s="63" t="str">
        <f aca="false">IF($E113&lt;&gt;"产成品入库","",SUMIFS($W$6:$W113,$C$6:$C113,$C113,$D$6:$D113,$D113,$E$6:$E113,"产成品入库"))</f>
        <v/>
      </c>
    </row>
    <row r="114" customFormat="false" ht="15" hidden="false" customHeight="false" outlineLevel="0" collapsed="false">
      <c r="A114" s="53" t="str">
        <f aca="false">IF($B114="","",ROW()-5)</f>
        <v/>
      </c>
      <c r="B114" s="54"/>
      <c r="C114" s="33"/>
      <c r="D114" s="39"/>
      <c r="E114" s="33"/>
      <c r="F114" s="39"/>
      <c r="G114" s="48" t="str">
        <f aca="false">IF($F114="","",IFERROR(INDEX(商品档案!$B$6:$B$65,MATCH($F114,商品档案!$A$6:$A$65,0)),""))</f>
        <v/>
      </c>
      <c r="H114" s="55" t="str">
        <f aca="false">IF($F114="","",IFERROR(INDEX(商品档案!$D$6:$D$65,MATCH($F114,商品档案!$A$6:$A$65,0)),""))</f>
        <v/>
      </c>
      <c r="I114" s="49"/>
      <c r="J114" s="43"/>
      <c r="K114" s="41"/>
      <c r="L114" s="39"/>
      <c r="M114" s="62"/>
      <c r="N114" s="41"/>
      <c r="O114" s="41"/>
      <c r="P114" s="25" t="str">
        <f aca="false">IF(AND($B114="",$E114=""),"",IF(NOT(ISNUMBER($B114)),"日期无效",IF(ISNA(MATCH($C114,参数设置!$A$10:$A$12,0)),"公司无效",IF($D114="","缺批次号",IF(ISNA(MATCH($E114,记账规则!$A$36:$A$38,0)),"业务类型无效",IF(AND($E114&lt;&gt;"加工费用",ISNA(MATCH($F114,商品档案!$A$6:$A$65,0))),"商品编码无效",IF(AND($E114&lt;&gt;"加工费用",IFERROR(INDEX(商品档案!$E$6:$E$65,MATCH($F114,商品档案!$A$6:$A$65,0)),"")&lt;&gt;$C114),"商品不属于该公司",IF(AND($E114&lt;&gt;"加工费用",N($I114)=0),"数量为 0",IF(AND($E114="加工费用",N($J114)=0),"加工费金额为 0",IF(AND($E114="加工费用",ISNA(MATCH($K114,会计科目表!$B$6:$B$85,0))),"对方科目不存在",IF(YEAR($B114)&lt;&gt;参数设置!$B$5,"不在本会计年度","OK")))))))))))</f>
        <v/>
      </c>
      <c r="Q114" s="58" t="str">
        <f aca="false">IF($F114="","",IFERROR(INDEX(商品档案!$G$6:$G$65,MATCH($F114,商品档案!$A$6:$A$65,0)),""))</f>
        <v/>
      </c>
      <c r="R114" s="59" t="str">
        <f aca="false">IF($F114="","",SUMIFS(进销存台账!$N$6:$N$65,进销存台账!$A$6:$A$65,$C114,进销存台账!$B$6:$B$65,$F114))</f>
        <v/>
      </c>
      <c r="S114" s="60" t="n">
        <f aca="false">IF($E114="领用投入",ROUND(N($I114)*N($R114),2),IF($E114="加工费用",ROUND(N($J114),2),0))</f>
        <v>0</v>
      </c>
      <c r="T114" s="60" t="n">
        <f aca="false">IF($E114&lt;&gt;"产成品入库",0,IF(SUMIFS($W$6:$W$305,$C$6:$C$305,$C114,$D$6:$D$305,$D114,$E$6:$E$305,"产成品入库")=0,0,ROUND(SUMIFS($S$6:$S$305,$C$6:$C$305,$C114,$D$6:$D$305,$D114)*N($X114)/SUMIFS($W$6:$W$305,$C$6:$C$305,$C114,$D$6:$D$305,$D114,$E$6:$E$305,"产成品入库"),2)-ROUND(SUMIFS($S$6:$S$305,$C$6:$C$305,$C114,$D$6:$D$305,$D114)*(N($X114)-N($W114))/SUMIFS($W$6:$W$305,$C$6:$C$305,$C114,$D$6:$D$305,$D114,$E$6:$E$305,"产成品入库"),2)))</f>
        <v>0</v>
      </c>
      <c r="U114" s="57" t="str">
        <f aca="false">IF($E114="","",ROUND($S114+$T114,2))</f>
        <v/>
      </c>
      <c r="V114" s="61" t="str">
        <f aca="false">IF($B114="","",YEAR($B114))</f>
        <v/>
      </c>
      <c r="W114" s="63" t="str">
        <f aca="false">IF($E114&lt;&gt;"产成品入库","",IF(N($M114)=0,1,N($M114)))</f>
        <v/>
      </c>
      <c r="X114" s="63" t="str">
        <f aca="false">IF($E114&lt;&gt;"产成品入库","",SUMIFS($W$6:$W114,$C$6:$C114,$C114,$D$6:$D114,$D114,$E$6:$E114,"产成品入库"))</f>
        <v/>
      </c>
    </row>
    <row r="115" customFormat="false" ht="15" hidden="false" customHeight="false" outlineLevel="0" collapsed="false">
      <c r="A115" s="53" t="str">
        <f aca="false">IF($B115="","",ROW()-5)</f>
        <v/>
      </c>
      <c r="B115" s="54"/>
      <c r="C115" s="33"/>
      <c r="D115" s="39"/>
      <c r="E115" s="33"/>
      <c r="F115" s="39"/>
      <c r="G115" s="48" t="str">
        <f aca="false">IF($F115="","",IFERROR(INDEX(商品档案!$B$6:$B$65,MATCH($F115,商品档案!$A$6:$A$65,0)),""))</f>
        <v/>
      </c>
      <c r="H115" s="55" t="str">
        <f aca="false">IF($F115="","",IFERROR(INDEX(商品档案!$D$6:$D$65,MATCH($F115,商品档案!$A$6:$A$65,0)),""))</f>
        <v/>
      </c>
      <c r="I115" s="49"/>
      <c r="J115" s="43"/>
      <c r="K115" s="41"/>
      <c r="L115" s="39"/>
      <c r="M115" s="62"/>
      <c r="N115" s="41"/>
      <c r="O115" s="41"/>
      <c r="P115" s="25" t="str">
        <f aca="false">IF(AND($B115="",$E115=""),"",IF(NOT(ISNUMBER($B115)),"日期无效",IF(ISNA(MATCH($C115,参数设置!$A$10:$A$12,0)),"公司无效",IF($D115="","缺批次号",IF(ISNA(MATCH($E115,记账规则!$A$36:$A$38,0)),"业务类型无效",IF(AND($E115&lt;&gt;"加工费用",ISNA(MATCH($F115,商品档案!$A$6:$A$65,0))),"商品编码无效",IF(AND($E115&lt;&gt;"加工费用",IFERROR(INDEX(商品档案!$E$6:$E$65,MATCH($F115,商品档案!$A$6:$A$65,0)),"")&lt;&gt;$C115),"商品不属于该公司",IF(AND($E115&lt;&gt;"加工费用",N($I115)=0),"数量为 0",IF(AND($E115="加工费用",N($J115)=0),"加工费金额为 0",IF(AND($E115="加工费用",ISNA(MATCH($K115,会计科目表!$B$6:$B$85,0))),"对方科目不存在",IF(YEAR($B115)&lt;&gt;参数设置!$B$5,"不在本会计年度","OK")))))))))))</f>
        <v/>
      </c>
      <c r="Q115" s="58" t="str">
        <f aca="false">IF($F115="","",IFERROR(INDEX(商品档案!$G$6:$G$65,MATCH($F115,商品档案!$A$6:$A$65,0)),""))</f>
        <v/>
      </c>
      <c r="R115" s="59" t="str">
        <f aca="false">IF($F115="","",SUMIFS(进销存台账!$N$6:$N$65,进销存台账!$A$6:$A$65,$C115,进销存台账!$B$6:$B$65,$F115))</f>
        <v/>
      </c>
      <c r="S115" s="60" t="n">
        <f aca="false">IF($E115="领用投入",ROUND(N($I115)*N($R115),2),IF($E115="加工费用",ROUND(N($J115),2),0))</f>
        <v>0</v>
      </c>
      <c r="T115" s="60" t="n">
        <f aca="false">IF($E115&lt;&gt;"产成品入库",0,IF(SUMIFS($W$6:$W$305,$C$6:$C$305,$C115,$D$6:$D$305,$D115,$E$6:$E$305,"产成品入库")=0,0,ROUND(SUMIFS($S$6:$S$305,$C$6:$C$305,$C115,$D$6:$D$305,$D115)*N($X115)/SUMIFS($W$6:$W$305,$C$6:$C$305,$C115,$D$6:$D$305,$D115,$E$6:$E$305,"产成品入库"),2)-ROUND(SUMIFS($S$6:$S$305,$C$6:$C$305,$C115,$D$6:$D$305,$D115)*(N($X115)-N($W115))/SUMIFS($W$6:$W$305,$C$6:$C$305,$C115,$D$6:$D$305,$D115,$E$6:$E$305,"产成品入库"),2)))</f>
        <v>0</v>
      </c>
      <c r="U115" s="57" t="str">
        <f aca="false">IF($E115="","",ROUND($S115+$T115,2))</f>
        <v/>
      </c>
      <c r="V115" s="61" t="str">
        <f aca="false">IF($B115="","",YEAR($B115))</f>
        <v/>
      </c>
      <c r="W115" s="63" t="str">
        <f aca="false">IF($E115&lt;&gt;"产成品入库","",IF(N($M115)=0,1,N($M115)))</f>
        <v/>
      </c>
      <c r="X115" s="63" t="str">
        <f aca="false">IF($E115&lt;&gt;"产成品入库","",SUMIFS($W$6:$W115,$C$6:$C115,$C115,$D$6:$D115,$D115,$E$6:$E115,"产成品入库"))</f>
        <v/>
      </c>
    </row>
    <row r="116" customFormat="false" ht="15" hidden="false" customHeight="false" outlineLevel="0" collapsed="false">
      <c r="A116" s="53" t="str">
        <f aca="false">IF($B116="","",ROW()-5)</f>
        <v/>
      </c>
      <c r="B116" s="54"/>
      <c r="C116" s="33"/>
      <c r="D116" s="39"/>
      <c r="E116" s="33"/>
      <c r="F116" s="39"/>
      <c r="G116" s="48" t="str">
        <f aca="false">IF($F116="","",IFERROR(INDEX(商品档案!$B$6:$B$65,MATCH($F116,商品档案!$A$6:$A$65,0)),""))</f>
        <v/>
      </c>
      <c r="H116" s="55" t="str">
        <f aca="false">IF($F116="","",IFERROR(INDEX(商品档案!$D$6:$D$65,MATCH($F116,商品档案!$A$6:$A$65,0)),""))</f>
        <v/>
      </c>
      <c r="I116" s="49"/>
      <c r="J116" s="43"/>
      <c r="K116" s="41"/>
      <c r="L116" s="39"/>
      <c r="M116" s="62"/>
      <c r="N116" s="41"/>
      <c r="O116" s="41"/>
      <c r="P116" s="25" t="str">
        <f aca="false">IF(AND($B116="",$E116=""),"",IF(NOT(ISNUMBER($B116)),"日期无效",IF(ISNA(MATCH($C116,参数设置!$A$10:$A$12,0)),"公司无效",IF($D116="","缺批次号",IF(ISNA(MATCH($E116,记账规则!$A$36:$A$38,0)),"业务类型无效",IF(AND($E116&lt;&gt;"加工费用",ISNA(MATCH($F116,商品档案!$A$6:$A$65,0))),"商品编码无效",IF(AND($E116&lt;&gt;"加工费用",IFERROR(INDEX(商品档案!$E$6:$E$65,MATCH($F116,商品档案!$A$6:$A$65,0)),"")&lt;&gt;$C116),"商品不属于该公司",IF(AND($E116&lt;&gt;"加工费用",N($I116)=0),"数量为 0",IF(AND($E116="加工费用",N($J116)=0),"加工费金额为 0",IF(AND($E116="加工费用",ISNA(MATCH($K116,会计科目表!$B$6:$B$85,0))),"对方科目不存在",IF(YEAR($B116)&lt;&gt;参数设置!$B$5,"不在本会计年度","OK")))))))))))</f>
        <v/>
      </c>
      <c r="Q116" s="58" t="str">
        <f aca="false">IF($F116="","",IFERROR(INDEX(商品档案!$G$6:$G$65,MATCH($F116,商品档案!$A$6:$A$65,0)),""))</f>
        <v/>
      </c>
      <c r="R116" s="59" t="str">
        <f aca="false">IF($F116="","",SUMIFS(进销存台账!$N$6:$N$65,进销存台账!$A$6:$A$65,$C116,进销存台账!$B$6:$B$65,$F116))</f>
        <v/>
      </c>
      <c r="S116" s="60" t="n">
        <f aca="false">IF($E116="领用投入",ROUND(N($I116)*N($R116),2),IF($E116="加工费用",ROUND(N($J116),2),0))</f>
        <v>0</v>
      </c>
      <c r="T116" s="60" t="n">
        <f aca="false">IF($E116&lt;&gt;"产成品入库",0,IF(SUMIFS($W$6:$W$305,$C$6:$C$305,$C116,$D$6:$D$305,$D116,$E$6:$E$305,"产成品入库")=0,0,ROUND(SUMIFS($S$6:$S$305,$C$6:$C$305,$C116,$D$6:$D$305,$D116)*N($X116)/SUMIFS($W$6:$W$305,$C$6:$C$305,$C116,$D$6:$D$305,$D116,$E$6:$E$305,"产成品入库"),2)-ROUND(SUMIFS($S$6:$S$305,$C$6:$C$305,$C116,$D$6:$D$305,$D116)*(N($X116)-N($W116))/SUMIFS($W$6:$W$305,$C$6:$C$305,$C116,$D$6:$D$305,$D116,$E$6:$E$305,"产成品入库"),2)))</f>
        <v>0</v>
      </c>
      <c r="U116" s="57" t="str">
        <f aca="false">IF($E116="","",ROUND($S116+$T116,2))</f>
        <v/>
      </c>
      <c r="V116" s="61" t="str">
        <f aca="false">IF($B116="","",YEAR($B116))</f>
        <v/>
      </c>
      <c r="W116" s="63" t="str">
        <f aca="false">IF($E116&lt;&gt;"产成品入库","",IF(N($M116)=0,1,N($M116)))</f>
        <v/>
      </c>
      <c r="X116" s="63" t="str">
        <f aca="false">IF($E116&lt;&gt;"产成品入库","",SUMIFS($W$6:$W116,$C$6:$C116,$C116,$D$6:$D116,$D116,$E$6:$E116,"产成品入库"))</f>
        <v/>
      </c>
    </row>
    <row r="117" customFormat="false" ht="15" hidden="false" customHeight="false" outlineLevel="0" collapsed="false">
      <c r="A117" s="53" t="str">
        <f aca="false">IF($B117="","",ROW()-5)</f>
        <v/>
      </c>
      <c r="B117" s="54"/>
      <c r="C117" s="33"/>
      <c r="D117" s="39"/>
      <c r="E117" s="33"/>
      <c r="F117" s="39"/>
      <c r="G117" s="48" t="str">
        <f aca="false">IF($F117="","",IFERROR(INDEX(商品档案!$B$6:$B$65,MATCH($F117,商品档案!$A$6:$A$65,0)),""))</f>
        <v/>
      </c>
      <c r="H117" s="55" t="str">
        <f aca="false">IF($F117="","",IFERROR(INDEX(商品档案!$D$6:$D$65,MATCH($F117,商品档案!$A$6:$A$65,0)),""))</f>
        <v/>
      </c>
      <c r="I117" s="49"/>
      <c r="J117" s="43"/>
      <c r="K117" s="41"/>
      <c r="L117" s="39"/>
      <c r="M117" s="62"/>
      <c r="N117" s="41"/>
      <c r="O117" s="41"/>
      <c r="P117" s="25" t="str">
        <f aca="false">IF(AND($B117="",$E117=""),"",IF(NOT(ISNUMBER($B117)),"日期无效",IF(ISNA(MATCH($C117,参数设置!$A$10:$A$12,0)),"公司无效",IF($D117="","缺批次号",IF(ISNA(MATCH($E117,记账规则!$A$36:$A$38,0)),"业务类型无效",IF(AND($E117&lt;&gt;"加工费用",ISNA(MATCH($F117,商品档案!$A$6:$A$65,0))),"商品编码无效",IF(AND($E117&lt;&gt;"加工费用",IFERROR(INDEX(商品档案!$E$6:$E$65,MATCH($F117,商品档案!$A$6:$A$65,0)),"")&lt;&gt;$C117),"商品不属于该公司",IF(AND($E117&lt;&gt;"加工费用",N($I117)=0),"数量为 0",IF(AND($E117="加工费用",N($J117)=0),"加工费金额为 0",IF(AND($E117="加工费用",ISNA(MATCH($K117,会计科目表!$B$6:$B$85,0))),"对方科目不存在",IF(YEAR($B117)&lt;&gt;参数设置!$B$5,"不在本会计年度","OK")))))))))))</f>
        <v/>
      </c>
      <c r="Q117" s="58" t="str">
        <f aca="false">IF($F117="","",IFERROR(INDEX(商品档案!$G$6:$G$65,MATCH($F117,商品档案!$A$6:$A$65,0)),""))</f>
        <v/>
      </c>
      <c r="R117" s="59" t="str">
        <f aca="false">IF($F117="","",SUMIFS(进销存台账!$N$6:$N$65,进销存台账!$A$6:$A$65,$C117,进销存台账!$B$6:$B$65,$F117))</f>
        <v/>
      </c>
      <c r="S117" s="60" t="n">
        <f aca="false">IF($E117="领用投入",ROUND(N($I117)*N($R117),2),IF($E117="加工费用",ROUND(N($J117),2),0))</f>
        <v>0</v>
      </c>
      <c r="T117" s="60" t="n">
        <f aca="false">IF($E117&lt;&gt;"产成品入库",0,IF(SUMIFS($W$6:$W$305,$C$6:$C$305,$C117,$D$6:$D$305,$D117,$E$6:$E$305,"产成品入库")=0,0,ROUND(SUMIFS($S$6:$S$305,$C$6:$C$305,$C117,$D$6:$D$305,$D117)*N($X117)/SUMIFS($W$6:$W$305,$C$6:$C$305,$C117,$D$6:$D$305,$D117,$E$6:$E$305,"产成品入库"),2)-ROUND(SUMIFS($S$6:$S$305,$C$6:$C$305,$C117,$D$6:$D$305,$D117)*(N($X117)-N($W117))/SUMIFS($W$6:$W$305,$C$6:$C$305,$C117,$D$6:$D$305,$D117,$E$6:$E$305,"产成品入库"),2)))</f>
        <v>0</v>
      </c>
      <c r="U117" s="57" t="str">
        <f aca="false">IF($E117="","",ROUND($S117+$T117,2))</f>
        <v/>
      </c>
      <c r="V117" s="61" t="str">
        <f aca="false">IF($B117="","",YEAR($B117))</f>
        <v/>
      </c>
      <c r="W117" s="63" t="str">
        <f aca="false">IF($E117&lt;&gt;"产成品入库","",IF(N($M117)=0,1,N($M117)))</f>
        <v/>
      </c>
      <c r="X117" s="63" t="str">
        <f aca="false">IF($E117&lt;&gt;"产成品入库","",SUMIFS($W$6:$W117,$C$6:$C117,$C117,$D$6:$D117,$D117,$E$6:$E117,"产成品入库"))</f>
        <v/>
      </c>
    </row>
    <row r="118" customFormat="false" ht="15" hidden="false" customHeight="false" outlineLevel="0" collapsed="false">
      <c r="A118" s="53" t="str">
        <f aca="false">IF($B118="","",ROW()-5)</f>
        <v/>
      </c>
      <c r="B118" s="54"/>
      <c r="C118" s="33"/>
      <c r="D118" s="39"/>
      <c r="E118" s="33"/>
      <c r="F118" s="39"/>
      <c r="G118" s="48" t="str">
        <f aca="false">IF($F118="","",IFERROR(INDEX(商品档案!$B$6:$B$65,MATCH($F118,商品档案!$A$6:$A$65,0)),""))</f>
        <v/>
      </c>
      <c r="H118" s="55" t="str">
        <f aca="false">IF($F118="","",IFERROR(INDEX(商品档案!$D$6:$D$65,MATCH($F118,商品档案!$A$6:$A$65,0)),""))</f>
        <v/>
      </c>
      <c r="I118" s="49"/>
      <c r="J118" s="43"/>
      <c r="K118" s="41"/>
      <c r="L118" s="39"/>
      <c r="M118" s="62"/>
      <c r="N118" s="41"/>
      <c r="O118" s="41"/>
      <c r="P118" s="25" t="str">
        <f aca="false">IF(AND($B118="",$E118=""),"",IF(NOT(ISNUMBER($B118)),"日期无效",IF(ISNA(MATCH($C118,参数设置!$A$10:$A$12,0)),"公司无效",IF($D118="","缺批次号",IF(ISNA(MATCH($E118,记账规则!$A$36:$A$38,0)),"业务类型无效",IF(AND($E118&lt;&gt;"加工费用",ISNA(MATCH($F118,商品档案!$A$6:$A$65,0))),"商品编码无效",IF(AND($E118&lt;&gt;"加工费用",IFERROR(INDEX(商品档案!$E$6:$E$65,MATCH($F118,商品档案!$A$6:$A$65,0)),"")&lt;&gt;$C118),"商品不属于该公司",IF(AND($E118&lt;&gt;"加工费用",N($I118)=0),"数量为 0",IF(AND($E118="加工费用",N($J118)=0),"加工费金额为 0",IF(AND($E118="加工费用",ISNA(MATCH($K118,会计科目表!$B$6:$B$85,0))),"对方科目不存在",IF(YEAR($B118)&lt;&gt;参数设置!$B$5,"不在本会计年度","OK")))))))))))</f>
        <v/>
      </c>
      <c r="Q118" s="58" t="str">
        <f aca="false">IF($F118="","",IFERROR(INDEX(商品档案!$G$6:$G$65,MATCH($F118,商品档案!$A$6:$A$65,0)),""))</f>
        <v/>
      </c>
      <c r="R118" s="59" t="str">
        <f aca="false">IF($F118="","",SUMIFS(进销存台账!$N$6:$N$65,进销存台账!$A$6:$A$65,$C118,进销存台账!$B$6:$B$65,$F118))</f>
        <v/>
      </c>
      <c r="S118" s="60" t="n">
        <f aca="false">IF($E118="领用投入",ROUND(N($I118)*N($R118),2),IF($E118="加工费用",ROUND(N($J118),2),0))</f>
        <v>0</v>
      </c>
      <c r="T118" s="60" t="n">
        <f aca="false">IF($E118&lt;&gt;"产成品入库",0,IF(SUMIFS($W$6:$W$305,$C$6:$C$305,$C118,$D$6:$D$305,$D118,$E$6:$E$305,"产成品入库")=0,0,ROUND(SUMIFS($S$6:$S$305,$C$6:$C$305,$C118,$D$6:$D$305,$D118)*N($X118)/SUMIFS($W$6:$W$305,$C$6:$C$305,$C118,$D$6:$D$305,$D118,$E$6:$E$305,"产成品入库"),2)-ROUND(SUMIFS($S$6:$S$305,$C$6:$C$305,$C118,$D$6:$D$305,$D118)*(N($X118)-N($W118))/SUMIFS($W$6:$W$305,$C$6:$C$305,$C118,$D$6:$D$305,$D118,$E$6:$E$305,"产成品入库"),2)))</f>
        <v>0</v>
      </c>
      <c r="U118" s="57" t="str">
        <f aca="false">IF($E118="","",ROUND($S118+$T118,2))</f>
        <v/>
      </c>
      <c r="V118" s="61" t="str">
        <f aca="false">IF($B118="","",YEAR($B118))</f>
        <v/>
      </c>
      <c r="W118" s="63" t="str">
        <f aca="false">IF($E118&lt;&gt;"产成品入库","",IF(N($M118)=0,1,N($M118)))</f>
        <v/>
      </c>
      <c r="X118" s="63" t="str">
        <f aca="false">IF($E118&lt;&gt;"产成品入库","",SUMIFS($W$6:$W118,$C$6:$C118,$C118,$D$6:$D118,$D118,$E$6:$E118,"产成品入库"))</f>
        <v/>
      </c>
    </row>
    <row r="119" customFormat="false" ht="15" hidden="false" customHeight="false" outlineLevel="0" collapsed="false">
      <c r="A119" s="53" t="str">
        <f aca="false">IF($B119="","",ROW()-5)</f>
        <v/>
      </c>
      <c r="B119" s="54"/>
      <c r="C119" s="33"/>
      <c r="D119" s="39"/>
      <c r="E119" s="33"/>
      <c r="F119" s="39"/>
      <c r="G119" s="48" t="str">
        <f aca="false">IF($F119="","",IFERROR(INDEX(商品档案!$B$6:$B$65,MATCH($F119,商品档案!$A$6:$A$65,0)),""))</f>
        <v/>
      </c>
      <c r="H119" s="55" t="str">
        <f aca="false">IF($F119="","",IFERROR(INDEX(商品档案!$D$6:$D$65,MATCH($F119,商品档案!$A$6:$A$65,0)),""))</f>
        <v/>
      </c>
      <c r="I119" s="49"/>
      <c r="J119" s="43"/>
      <c r="K119" s="41"/>
      <c r="L119" s="39"/>
      <c r="M119" s="62"/>
      <c r="N119" s="41"/>
      <c r="O119" s="41"/>
      <c r="P119" s="25" t="str">
        <f aca="false">IF(AND($B119="",$E119=""),"",IF(NOT(ISNUMBER($B119)),"日期无效",IF(ISNA(MATCH($C119,参数设置!$A$10:$A$12,0)),"公司无效",IF($D119="","缺批次号",IF(ISNA(MATCH($E119,记账规则!$A$36:$A$38,0)),"业务类型无效",IF(AND($E119&lt;&gt;"加工费用",ISNA(MATCH($F119,商品档案!$A$6:$A$65,0))),"商品编码无效",IF(AND($E119&lt;&gt;"加工费用",IFERROR(INDEX(商品档案!$E$6:$E$65,MATCH($F119,商品档案!$A$6:$A$65,0)),"")&lt;&gt;$C119),"商品不属于该公司",IF(AND($E119&lt;&gt;"加工费用",N($I119)=0),"数量为 0",IF(AND($E119="加工费用",N($J119)=0),"加工费金额为 0",IF(AND($E119="加工费用",ISNA(MATCH($K119,会计科目表!$B$6:$B$85,0))),"对方科目不存在",IF(YEAR($B119)&lt;&gt;参数设置!$B$5,"不在本会计年度","OK")))))))))))</f>
        <v/>
      </c>
      <c r="Q119" s="58" t="str">
        <f aca="false">IF($F119="","",IFERROR(INDEX(商品档案!$G$6:$G$65,MATCH($F119,商品档案!$A$6:$A$65,0)),""))</f>
        <v/>
      </c>
      <c r="R119" s="59" t="str">
        <f aca="false">IF($F119="","",SUMIFS(进销存台账!$N$6:$N$65,进销存台账!$A$6:$A$65,$C119,进销存台账!$B$6:$B$65,$F119))</f>
        <v/>
      </c>
      <c r="S119" s="60" t="n">
        <f aca="false">IF($E119="领用投入",ROUND(N($I119)*N($R119),2),IF($E119="加工费用",ROUND(N($J119),2),0))</f>
        <v>0</v>
      </c>
      <c r="T119" s="60" t="n">
        <f aca="false">IF($E119&lt;&gt;"产成品入库",0,IF(SUMIFS($W$6:$W$305,$C$6:$C$305,$C119,$D$6:$D$305,$D119,$E$6:$E$305,"产成品入库")=0,0,ROUND(SUMIFS($S$6:$S$305,$C$6:$C$305,$C119,$D$6:$D$305,$D119)*N($X119)/SUMIFS($W$6:$W$305,$C$6:$C$305,$C119,$D$6:$D$305,$D119,$E$6:$E$305,"产成品入库"),2)-ROUND(SUMIFS($S$6:$S$305,$C$6:$C$305,$C119,$D$6:$D$305,$D119)*(N($X119)-N($W119))/SUMIFS($W$6:$W$305,$C$6:$C$305,$C119,$D$6:$D$305,$D119,$E$6:$E$305,"产成品入库"),2)))</f>
        <v>0</v>
      </c>
      <c r="U119" s="57" t="str">
        <f aca="false">IF($E119="","",ROUND($S119+$T119,2))</f>
        <v/>
      </c>
      <c r="V119" s="61" t="str">
        <f aca="false">IF($B119="","",YEAR($B119))</f>
        <v/>
      </c>
      <c r="W119" s="63" t="str">
        <f aca="false">IF($E119&lt;&gt;"产成品入库","",IF(N($M119)=0,1,N($M119)))</f>
        <v/>
      </c>
      <c r="X119" s="63" t="str">
        <f aca="false">IF($E119&lt;&gt;"产成品入库","",SUMIFS($W$6:$W119,$C$6:$C119,$C119,$D$6:$D119,$D119,$E$6:$E119,"产成品入库"))</f>
        <v/>
      </c>
    </row>
    <row r="120" customFormat="false" ht="15" hidden="false" customHeight="false" outlineLevel="0" collapsed="false">
      <c r="A120" s="53" t="str">
        <f aca="false">IF($B120="","",ROW()-5)</f>
        <v/>
      </c>
      <c r="B120" s="54"/>
      <c r="C120" s="33"/>
      <c r="D120" s="39"/>
      <c r="E120" s="33"/>
      <c r="F120" s="39"/>
      <c r="G120" s="48" t="str">
        <f aca="false">IF($F120="","",IFERROR(INDEX(商品档案!$B$6:$B$65,MATCH($F120,商品档案!$A$6:$A$65,0)),""))</f>
        <v/>
      </c>
      <c r="H120" s="55" t="str">
        <f aca="false">IF($F120="","",IFERROR(INDEX(商品档案!$D$6:$D$65,MATCH($F120,商品档案!$A$6:$A$65,0)),""))</f>
        <v/>
      </c>
      <c r="I120" s="49"/>
      <c r="J120" s="43"/>
      <c r="K120" s="41"/>
      <c r="L120" s="39"/>
      <c r="M120" s="62"/>
      <c r="N120" s="41"/>
      <c r="O120" s="41"/>
      <c r="P120" s="25" t="str">
        <f aca="false">IF(AND($B120="",$E120=""),"",IF(NOT(ISNUMBER($B120)),"日期无效",IF(ISNA(MATCH($C120,参数设置!$A$10:$A$12,0)),"公司无效",IF($D120="","缺批次号",IF(ISNA(MATCH($E120,记账规则!$A$36:$A$38,0)),"业务类型无效",IF(AND($E120&lt;&gt;"加工费用",ISNA(MATCH($F120,商品档案!$A$6:$A$65,0))),"商品编码无效",IF(AND($E120&lt;&gt;"加工费用",IFERROR(INDEX(商品档案!$E$6:$E$65,MATCH($F120,商品档案!$A$6:$A$65,0)),"")&lt;&gt;$C120),"商品不属于该公司",IF(AND($E120&lt;&gt;"加工费用",N($I120)=0),"数量为 0",IF(AND($E120="加工费用",N($J120)=0),"加工费金额为 0",IF(AND($E120="加工费用",ISNA(MATCH($K120,会计科目表!$B$6:$B$85,0))),"对方科目不存在",IF(YEAR($B120)&lt;&gt;参数设置!$B$5,"不在本会计年度","OK")))))))))))</f>
        <v/>
      </c>
      <c r="Q120" s="58" t="str">
        <f aca="false">IF($F120="","",IFERROR(INDEX(商品档案!$G$6:$G$65,MATCH($F120,商品档案!$A$6:$A$65,0)),""))</f>
        <v/>
      </c>
      <c r="R120" s="59" t="str">
        <f aca="false">IF($F120="","",SUMIFS(进销存台账!$N$6:$N$65,进销存台账!$A$6:$A$65,$C120,进销存台账!$B$6:$B$65,$F120))</f>
        <v/>
      </c>
      <c r="S120" s="60" t="n">
        <f aca="false">IF($E120="领用投入",ROUND(N($I120)*N($R120),2),IF($E120="加工费用",ROUND(N($J120),2),0))</f>
        <v>0</v>
      </c>
      <c r="T120" s="60" t="n">
        <f aca="false">IF($E120&lt;&gt;"产成品入库",0,IF(SUMIFS($W$6:$W$305,$C$6:$C$305,$C120,$D$6:$D$305,$D120,$E$6:$E$305,"产成品入库")=0,0,ROUND(SUMIFS($S$6:$S$305,$C$6:$C$305,$C120,$D$6:$D$305,$D120)*N($X120)/SUMIFS($W$6:$W$305,$C$6:$C$305,$C120,$D$6:$D$305,$D120,$E$6:$E$305,"产成品入库"),2)-ROUND(SUMIFS($S$6:$S$305,$C$6:$C$305,$C120,$D$6:$D$305,$D120)*(N($X120)-N($W120))/SUMIFS($W$6:$W$305,$C$6:$C$305,$C120,$D$6:$D$305,$D120,$E$6:$E$305,"产成品入库"),2)))</f>
        <v>0</v>
      </c>
      <c r="U120" s="57" t="str">
        <f aca="false">IF($E120="","",ROUND($S120+$T120,2))</f>
        <v/>
      </c>
      <c r="V120" s="61" t="str">
        <f aca="false">IF($B120="","",YEAR($B120))</f>
        <v/>
      </c>
      <c r="W120" s="63" t="str">
        <f aca="false">IF($E120&lt;&gt;"产成品入库","",IF(N($M120)=0,1,N($M120)))</f>
        <v/>
      </c>
      <c r="X120" s="63" t="str">
        <f aca="false">IF($E120&lt;&gt;"产成品入库","",SUMIFS($W$6:$W120,$C$6:$C120,$C120,$D$6:$D120,$D120,$E$6:$E120,"产成品入库"))</f>
        <v/>
      </c>
    </row>
    <row r="121" customFormat="false" ht="15" hidden="false" customHeight="false" outlineLevel="0" collapsed="false">
      <c r="A121" s="53" t="str">
        <f aca="false">IF($B121="","",ROW()-5)</f>
        <v/>
      </c>
      <c r="B121" s="54"/>
      <c r="C121" s="33"/>
      <c r="D121" s="39"/>
      <c r="E121" s="33"/>
      <c r="F121" s="39"/>
      <c r="G121" s="48" t="str">
        <f aca="false">IF($F121="","",IFERROR(INDEX(商品档案!$B$6:$B$65,MATCH($F121,商品档案!$A$6:$A$65,0)),""))</f>
        <v/>
      </c>
      <c r="H121" s="55" t="str">
        <f aca="false">IF($F121="","",IFERROR(INDEX(商品档案!$D$6:$D$65,MATCH($F121,商品档案!$A$6:$A$65,0)),""))</f>
        <v/>
      </c>
      <c r="I121" s="49"/>
      <c r="J121" s="43"/>
      <c r="K121" s="41"/>
      <c r="L121" s="39"/>
      <c r="M121" s="62"/>
      <c r="N121" s="41"/>
      <c r="O121" s="41"/>
      <c r="P121" s="25" t="str">
        <f aca="false">IF(AND($B121="",$E121=""),"",IF(NOT(ISNUMBER($B121)),"日期无效",IF(ISNA(MATCH($C121,参数设置!$A$10:$A$12,0)),"公司无效",IF($D121="","缺批次号",IF(ISNA(MATCH($E121,记账规则!$A$36:$A$38,0)),"业务类型无效",IF(AND($E121&lt;&gt;"加工费用",ISNA(MATCH($F121,商品档案!$A$6:$A$65,0))),"商品编码无效",IF(AND($E121&lt;&gt;"加工费用",IFERROR(INDEX(商品档案!$E$6:$E$65,MATCH($F121,商品档案!$A$6:$A$65,0)),"")&lt;&gt;$C121),"商品不属于该公司",IF(AND($E121&lt;&gt;"加工费用",N($I121)=0),"数量为 0",IF(AND($E121="加工费用",N($J121)=0),"加工费金额为 0",IF(AND($E121="加工费用",ISNA(MATCH($K121,会计科目表!$B$6:$B$85,0))),"对方科目不存在",IF(YEAR($B121)&lt;&gt;参数设置!$B$5,"不在本会计年度","OK")))))))))))</f>
        <v/>
      </c>
      <c r="Q121" s="58" t="str">
        <f aca="false">IF($F121="","",IFERROR(INDEX(商品档案!$G$6:$G$65,MATCH($F121,商品档案!$A$6:$A$65,0)),""))</f>
        <v/>
      </c>
      <c r="R121" s="59" t="str">
        <f aca="false">IF($F121="","",SUMIFS(进销存台账!$N$6:$N$65,进销存台账!$A$6:$A$65,$C121,进销存台账!$B$6:$B$65,$F121))</f>
        <v/>
      </c>
      <c r="S121" s="60" t="n">
        <f aca="false">IF($E121="领用投入",ROUND(N($I121)*N($R121),2),IF($E121="加工费用",ROUND(N($J121),2),0))</f>
        <v>0</v>
      </c>
      <c r="T121" s="60" t="n">
        <f aca="false">IF($E121&lt;&gt;"产成品入库",0,IF(SUMIFS($W$6:$W$305,$C$6:$C$305,$C121,$D$6:$D$305,$D121,$E$6:$E$305,"产成品入库")=0,0,ROUND(SUMIFS($S$6:$S$305,$C$6:$C$305,$C121,$D$6:$D$305,$D121)*N($X121)/SUMIFS($W$6:$W$305,$C$6:$C$305,$C121,$D$6:$D$305,$D121,$E$6:$E$305,"产成品入库"),2)-ROUND(SUMIFS($S$6:$S$305,$C$6:$C$305,$C121,$D$6:$D$305,$D121)*(N($X121)-N($W121))/SUMIFS($W$6:$W$305,$C$6:$C$305,$C121,$D$6:$D$305,$D121,$E$6:$E$305,"产成品入库"),2)))</f>
        <v>0</v>
      </c>
      <c r="U121" s="57" t="str">
        <f aca="false">IF($E121="","",ROUND($S121+$T121,2))</f>
        <v/>
      </c>
      <c r="V121" s="61" t="str">
        <f aca="false">IF($B121="","",YEAR($B121))</f>
        <v/>
      </c>
      <c r="W121" s="63" t="str">
        <f aca="false">IF($E121&lt;&gt;"产成品入库","",IF(N($M121)=0,1,N($M121)))</f>
        <v/>
      </c>
      <c r="X121" s="63" t="str">
        <f aca="false">IF($E121&lt;&gt;"产成品入库","",SUMIFS($W$6:$W121,$C$6:$C121,$C121,$D$6:$D121,$D121,$E$6:$E121,"产成品入库"))</f>
        <v/>
      </c>
    </row>
    <row r="122" customFormat="false" ht="15" hidden="false" customHeight="false" outlineLevel="0" collapsed="false">
      <c r="A122" s="53" t="str">
        <f aca="false">IF($B122="","",ROW()-5)</f>
        <v/>
      </c>
      <c r="B122" s="54"/>
      <c r="C122" s="33"/>
      <c r="D122" s="39"/>
      <c r="E122" s="33"/>
      <c r="F122" s="39"/>
      <c r="G122" s="48" t="str">
        <f aca="false">IF($F122="","",IFERROR(INDEX(商品档案!$B$6:$B$65,MATCH($F122,商品档案!$A$6:$A$65,0)),""))</f>
        <v/>
      </c>
      <c r="H122" s="55" t="str">
        <f aca="false">IF($F122="","",IFERROR(INDEX(商品档案!$D$6:$D$65,MATCH($F122,商品档案!$A$6:$A$65,0)),""))</f>
        <v/>
      </c>
      <c r="I122" s="49"/>
      <c r="J122" s="43"/>
      <c r="K122" s="41"/>
      <c r="L122" s="39"/>
      <c r="M122" s="62"/>
      <c r="N122" s="41"/>
      <c r="O122" s="41"/>
      <c r="P122" s="25" t="str">
        <f aca="false">IF(AND($B122="",$E122=""),"",IF(NOT(ISNUMBER($B122)),"日期无效",IF(ISNA(MATCH($C122,参数设置!$A$10:$A$12,0)),"公司无效",IF($D122="","缺批次号",IF(ISNA(MATCH($E122,记账规则!$A$36:$A$38,0)),"业务类型无效",IF(AND($E122&lt;&gt;"加工费用",ISNA(MATCH($F122,商品档案!$A$6:$A$65,0))),"商品编码无效",IF(AND($E122&lt;&gt;"加工费用",IFERROR(INDEX(商品档案!$E$6:$E$65,MATCH($F122,商品档案!$A$6:$A$65,0)),"")&lt;&gt;$C122),"商品不属于该公司",IF(AND($E122&lt;&gt;"加工费用",N($I122)=0),"数量为 0",IF(AND($E122="加工费用",N($J122)=0),"加工费金额为 0",IF(AND($E122="加工费用",ISNA(MATCH($K122,会计科目表!$B$6:$B$85,0))),"对方科目不存在",IF(YEAR($B122)&lt;&gt;参数设置!$B$5,"不在本会计年度","OK")))))))))))</f>
        <v/>
      </c>
      <c r="Q122" s="58" t="str">
        <f aca="false">IF($F122="","",IFERROR(INDEX(商品档案!$G$6:$G$65,MATCH($F122,商品档案!$A$6:$A$65,0)),""))</f>
        <v/>
      </c>
      <c r="R122" s="59" t="str">
        <f aca="false">IF($F122="","",SUMIFS(进销存台账!$N$6:$N$65,进销存台账!$A$6:$A$65,$C122,进销存台账!$B$6:$B$65,$F122))</f>
        <v/>
      </c>
      <c r="S122" s="60" t="n">
        <f aca="false">IF($E122="领用投入",ROUND(N($I122)*N($R122),2),IF($E122="加工费用",ROUND(N($J122),2),0))</f>
        <v>0</v>
      </c>
      <c r="T122" s="60" t="n">
        <f aca="false">IF($E122&lt;&gt;"产成品入库",0,IF(SUMIFS($W$6:$W$305,$C$6:$C$305,$C122,$D$6:$D$305,$D122,$E$6:$E$305,"产成品入库")=0,0,ROUND(SUMIFS($S$6:$S$305,$C$6:$C$305,$C122,$D$6:$D$305,$D122)*N($X122)/SUMIFS($W$6:$W$305,$C$6:$C$305,$C122,$D$6:$D$305,$D122,$E$6:$E$305,"产成品入库"),2)-ROUND(SUMIFS($S$6:$S$305,$C$6:$C$305,$C122,$D$6:$D$305,$D122)*(N($X122)-N($W122))/SUMIFS($W$6:$W$305,$C$6:$C$305,$C122,$D$6:$D$305,$D122,$E$6:$E$305,"产成品入库"),2)))</f>
        <v>0</v>
      </c>
      <c r="U122" s="57" t="str">
        <f aca="false">IF($E122="","",ROUND($S122+$T122,2))</f>
        <v/>
      </c>
      <c r="V122" s="61" t="str">
        <f aca="false">IF($B122="","",YEAR($B122))</f>
        <v/>
      </c>
      <c r="W122" s="63" t="str">
        <f aca="false">IF($E122&lt;&gt;"产成品入库","",IF(N($M122)=0,1,N($M122)))</f>
        <v/>
      </c>
      <c r="X122" s="63" t="str">
        <f aca="false">IF($E122&lt;&gt;"产成品入库","",SUMIFS($W$6:$W122,$C$6:$C122,$C122,$D$6:$D122,$D122,$E$6:$E122,"产成品入库"))</f>
        <v/>
      </c>
    </row>
    <row r="123" customFormat="false" ht="15" hidden="false" customHeight="false" outlineLevel="0" collapsed="false">
      <c r="A123" s="53" t="str">
        <f aca="false">IF($B123="","",ROW()-5)</f>
        <v/>
      </c>
      <c r="B123" s="54"/>
      <c r="C123" s="33"/>
      <c r="D123" s="39"/>
      <c r="E123" s="33"/>
      <c r="F123" s="39"/>
      <c r="G123" s="48" t="str">
        <f aca="false">IF($F123="","",IFERROR(INDEX(商品档案!$B$6:$B$65,MATCH($F123,商品档案!$A$6:$A$65,0)),""))</f>
        <v/>
      </c>
      <c r="H123" s="55" t="str">
        <f aca="false">IF($F123="","",IFERROR(INDEX(商品档案!$D$6:$D$65,MATCH($F123,商品档案!$A$6:$A$65,0)),""))</f>
        <v/>
      </c>
      <c r="I123" s="49"/>
      <c r="J123" s="43"/>
      <c r="K123" s="41"/>
      <c r="L123" s="39"/>
      <c r="M123" s="62"/>
      <c r="N123" s="41"/>
      <c r="O123" s="41"/>
      <c r="P123" s="25" t="str">
        <f aca="false">IF(AND($B123="",$E123=""),"",IF(NOT(ISNUMBER($B123)),"日期无效",IF(ISNA(MATCH($C123,参数设置!$A$10:$A$12,0)),"公司无效",IF($D123="","缺批次号",IF(ISNA(MATCH($E123,记账规则!$A$36:$A$38,0)),"业务类型无效",IF(AND($E123&lt;&gt;"加工费用",ISNA(MATCH($F123,商品档案!$A$6:$A$65,0))),"商品编码无效",IF(AND($E123&lt;&gt;"加工费用",IFERROR(INDEX(商品档案!$E$6:$E$65,MATCH($F123,商品档案!$A$6:$A$65,0)),"")&lt;&gt;$C123),"商品不属于该公司",IF(AND($E123&lt;&gt;"加工费用",N($I123)=0),"数量为 0",IF(AND($E123="加工费用",N($J123)=0),"加工费金额为 0",IF(AND($E123="加工费用",ISNA(MATCH($K123,会计科目表!$B$6:$B$85,0))),"对方科目不存在",IF(YEAR($B123)&lt;&gt;参数设置!$B$5,"不在本会计年度","OK")))))))))))</f>
        <v/>
      </c>
      <c r="Q123" s="58" t="str">
        <f aca="false">IF($F123="","",IFERROR(INDEX(商品档案!$G$6:$G$65,MATCH($F123,商品档案!$A$6:$A$65,0)),""))</f>
        <v/>
      </c>
      <c r="R123" s="59" t="str">
        <f aca="false">IF($F123="","",SUMIFS(进销存台账!$N$6:$N$65,进销存台账!$A$6:$A$65,$C123,进销存台账!$B$6:$B$65,$F123))</f>
        <v/>
      </c>
      <c r="S123" s="60" t="n">
        <f aca="false">IF($E123="领用投入",ROUND(N($I123)*N($R123),2),IF($E123="加工费用",ROUND(N($J123),2),0))</f>
        <v>0</v>
      </c>
      <c r="T123" s="60" t="n">
        <f aca="false">IF($E123&lt;&gt;"产成品入库",0,IF(SUMIFS($W$6:$W$305,$C$6:$C$305,$C123,$D$6:$D$305,$D123,$E$6:$E$305,"产成品入库")=0,0,ROUND(SUMIFS($S$6:$S$305,$C$6:$C$305,$C123,$D$6:$D$305,$D123)*N($X123)/SUMIFS($W$6:$W$305,$C$6:$C$305,$C123,$D$6:$D$305,$D123,$E$6:$E$305,"产成品入库"),2)-ROUND(SUMIFS($S$6:$S$305,$C$6:$C$305,$C123,$D$6:$D$305,$D123)*(N($X123)-N($W123))/SUMIFS($W$6:$W$305,$C$6:$C$305,$C123,$D$6:$D$305,$D123,$E$6:$E$305,"产成品入库"),2)))</f>
        <v>0</v>
      </c>
      <c r="U123" s="57" t="str">
        <f aca="false">IF($E123="","",ROUND($S123+$T123,2))</f>
        <v/>
      </c>
      <c r="V123" s="61" t="str">
        <f aca="false">IF($B123="","",YEAR($B123))</f>
        <v/>
      </c>
      <c r="W123" s="63" t="str">
        <f aca="false">IF($E123&lt;&gt;"产成品入库","",IF(N($M123)=0,1,N($M123)))</f>
        <v/>
      </c>
      <c r="X123" s="63" t="str">
        <f aca="false">IF($E123&lt;&gt;"产成品入库","",SUMIFS($W$6:$W123,$C$6:$C123,$C123,$D$6:$D123,$D123,$E$6:$E123,"产成品入库"))</f>
        <v/>
      </c>
    </row>
    <row r="124" customFormat="false" ht="15" hidden="false" customHeight="false" outlineLevel="0" collapsed="false">
      <c r="A124" s="53" t="str">
        <f aca="false">IF($B124="","",ROW()-5)</f>
        <v/>
      </c>
      <c r="B124" s="54"/>
      <c r="C124" s="33"/>
      <c r="D124" s="39"/>
      <c r="E124" s="33"/>
      <c r="F124" s="39"/>
      <c r="G124" s="48" t="str">
        <f aca="false">IF($F124="","",IFERROR(INDEX(商品档案!$B$6:$B$65,MATCH($F124,商品档案!$A$6:$A$65,0)),""))</f>
        <v/>
      </c>
      <c r="H124" s="55" t="str">
        <f aca="false">IF($F124="","",IFERROR(INDEX(商品档案!$D$6:$D$65,MATCH($F124,商品档案!$A$6:$A$65,0)),""))</f>
        <v/>
      </c>
      <c r="I124" s="49"/>
      <c r="J124" s="43"/>
      <c r="K124" s="41"/>
      <c r="L124" s="39"/>
      <c r="M124" s="62"/>
      <c r="N124" s="41"/>
      <c r="O124" s="41"/>
      <c r="P124" s="25" t="str">
        <f aca="false">IF(AND($B124="",$E124=""),"",IF(NOT(ISNUMBER($B124)),"日期无效",IF(ISNA(MATCH($C124,参数设置!$A$10:$A$12,0)),"公司无效",IF($D124="","缺批次号",IF(ISNA(MATCH($E124,记账规则!$A$36:$A$38,0)),"业务类型无效",IF(AND($E124&lt;&gt;"加工费用",ISNA(MATCH($F124,商品档案!$A$6:$A$65,0))),"商品编码无效",IF(AND($E124&lt;&gt;"加工费用",IFERROR(INDEX(商品档案!$E$6:$E$65,MATCH($F124,商品档案!$A$6:$A$65,0)),"")&lt;&gt;$C124),"商品不属于该公司",IF(AND($E124&lt;&gt;"加工费用",N($I124)=0),"数量为 0",IF(AND($E124="加工费用",N($J124)=0),"加工费金额为 0",IF(AND($E124="加工费用",ISNA(MATCH($K124,会计科目表!$B$6:$B$85,0))),"对方科目不存在",IF(YEAR($B124)&lt;&gt;参数设置!$B$5,"不在本会计年度","OK")))))))))))</f>
        <v/>
      </c>
      <c r="Q124" s="58" t="str">
        <f aca="false">IF($F124="","",IFERROR(INDEX(商品档案!$G$6:$G$65,MATCH($F124,商品档案!$A$6:$A$65,0)),""))</f>
        <v/>
      </c>
      <c r="R124" s="59" t="str">
        <f aca="false">IF($F124="","",SUMIFS(进销存台账!$N$6:$N$65,进销存台账!$A$6:$A$65,$C124,进销存台账!$B$6:$B$65,$F124))</f>
        <v/>
      </c>
      <c r="S124" s="60" t="n">
        <f aca="false">IF($E124="领用投入",ROUND(N($I124)*N($R124),2),IF($E124="加工费用",ROUND(N($J124),2),0))</f>
        <v>0</v>
      </c>
      <c r="T124" s="60" t="n">
        <f aca="false">IF($E124&lt;&gt;"产成品入库",0,IF(SUMIFS($W$6:$W$305,$C$6:$C$305,$C124,$D$6:$D$305,$D124,$E$6:$E$305,"产成品入库")=0,0,ROUND(SUMIFS($S$6:$S$305,$C$6:$C$305,$C124,$D$6:$D$305,$D124)*N($X124)/SUMIFS($W$6:$W$305,$C$6:$C$305,$C124,$D$6:$D$305,$D124,$E$6:$E$305,"产成品入库"),2)-ROUND(SUMIFS($S$6:$S$305,$C$6:$C$305,$C124,$D$6:$D$305,$D124)*(N($X124)-N($W124))/SUMIFS($W$6:$W$305,$C$6:$C$305,$C124,$D$6:$D$305,$D124,$E$6:$E$305,"产成品入库"),2)))</f>
        <v>0</v>
      </c>
      <c r="U124" s="57" t="str">
        <f aca="false">IF($E124="","",ROUND($S124+$T124,2))</f>
        <v/>
      </c>
      <c r="V124" s="61" t="str">
        <f aca="false">IF($B124="","",YEAR($B124))</f>
        <v/>
      </c>
      <c r="W124" s="63" t="str">
        <f aca="false">IF($E124&lt;&gt;"产成品入库","",IF(N($M124)=0,1,N($M124)))</f>
        <v/>
      </c>
      <c r="X124" s="63" t="str">
        <f aca="false">IF($E124&lt;&gt;"产成品入库","",SUMIFS($W$6:$W124,$C$6:$C124,$C124,$D$6:$D124,$D124,$E$6:$E124,"产成品入库"))</f>
        <v/>
      </c>
    </row>
    <row r="125" customFormat="false" ht="15" hidden="false" customHeight="false" outlineLevel="0" collapsed="false">
      <c r="A125" s="53" t="str">
        <f aca="false">IF($B125="","",ROW()-5)</f>
        <v/>
      </c>
      <c r="B125" s="54"/>
      <c r="C125" s="33"/>
      <c r="D125" s="39"/>
      <c r="E125" s="33"/>
      <c r="F125" s="39"/>
      <c r="G125" s="48" t="str">
        <f aca="false">IF($F125="","",IFERROR(INDEX(商品档案!$B$6:$B$65,MATCH($F125,商品档案!$A$6:$A$65,0)),""))</f>
        <v/>
      </c>
      <c r="H125" s="55" t="str">
        <f aca="false">IF($F125="","",IFERROR(INDEX(商品档案!$D$6:$D$65,MATCH($F125,商品档案!$A$6:$A$65,0)),""))</f>
        <v/>
      </c>
      <c r="I125" s="49"/>
      <c r="J125" s="43"/>
      <c r="K125" s="41"/>
      <c r="L125" s="39"/>
      <c r="M125" s="62"/>
      <c r="N125" s="41"/>
      <c r="O125" s="41"/>
      <c r="P125" s="25" t="str">
        <f aca="false">IF(AND($B125="",$E125=""),"",IF(NOT(ISNUMBER($B125)),"日期无效",IF(ISNA(MATCH($C125,参数设置!$A$10:$A$12,0)),"公司无效",IF($D125="","缺批次号",IF(ISNA(MATCH($E125,记账规则!$A$36:$A$38,0)),"业务类型无效",IF(AND($E125&lt;&gt;"加工费用",ISNA(MATCH($F125,商品档案!$A$6:$A$65,0))),"商品编码无效",IF(AND($E125&lt;&gt;"加工费用",IFERROR(INDEX(商品档案!$E$6:$E$65,MATCH($F125,商品档案!$A$6:$A$65,0)),"")&lt;&gt;$C125),"商品不属于该公司",IF(AND($E125&lt;&gt;"加工费用",N($I125)=0),"数量为 0",IF(AND($E125="加工费用",N($J125)=0),"加工费金额为 0",IF(AND($E125="加工费用",ISNA(MATCH($K125,会计科目表!$B$6:$B$85,0))),"对方科目不存在",IF(YEAR($B125)&lt;&gt;参数设置!$B$5,"不在本会计年度","OK")))))))))))</f>
        <v/>
      </c>
      <c r="Q125" s="58" t="str">
        <f aca="false">IF($F125="","",IFERROR(INDEX(商品档案!$G$6:$G$65,MATCH($F125,商品档案!$A$6:$A$65,0)),""))</f>
        <v/>
      </c>
      <c r="R125" s="59" t="str">
        <f aca="false">IF($F125="","",SUMIFS(进销存台账!$N$6:$N$65,进销存台账!$A$6:$A$65,$C125,进销存台账!$B$6:$B$65,$F125))</f>
        <v/>
      </c>
      <c r="S125" s="60" t="n">
        <f aca="false">IF($E125="领用投入",ROUND(N($I125)*N($R125),2),IF($E125="加工费用",ROUND(N($J125),2),0))</f>
        <v>0</v>
      </c>
      <c r="T125" s="60" t="n">
        <f aca="false">IF($E125&lt;&gt;"产成品入库",0,IF(SUMIFS($W$6:$W$305,$C$6:$C$305,$C125,$D$6:$D$305,$D125,$E$6:$E$305,"产成品入库")=0,0,ROUND(SUMIFS($S$6:$S$305,$C$6:$C$305,$C125,$D$6:$D$305,$D125)*N($X125)/SUMIFS($W$6:$W$305,$C$6:$C$305,$C125,$D$6:$D$305,$D125,$E$6:$E$305,"产成品入库"),2)-ROUND(SUMIFS($S$6:$S$305,$C$6:$C$305,$C125,$D$6:$D$305,$D125)*(N($X125)-N($W125))/SUMIFS($W$6:$W$305,$C$6:$C$305,$C125,$D$6:$D$305,$D125,$E$6:$E$305,"产成品入库"),2)))</f>
        <v>0</v>
      </c>
      <c r="U125" s="57" t="str">
        <f aca="false">IF($E125="","",ROUND($S125+$T125,2))</f>
        <v/>
      </c>
      <c r="V125" s="61" t="str">
        <f aca="false">IF($B125="","",YEAR($B125))</f>
        <v/>
      </c>
      <c r="W125" s="63" t="str">
        <f aca="false">IF($E125&lt;&gt;"产成品入库","",IF(N($M125)=0,1,N($M125)))</f>
        <v/>
      </c>
      <c r="X125" s="63" t="str">
        <f aca="false">IF($E125&lt;&gt;"产成品入库","",SUMIFS($W$6:$W125,$C$6:$C125,$C125,$D$6:$D125,$D125,$E$6:$E125,"产成品入库"))</f>
        <v/>
      </c>
    </row>
    <row r="126" customFormat="false" ht="15" hidden="false" customHeight="false" outlineLevel="0" collapsed="false">
      <c r="A126" s="53" t="str">
        <f aca="false">IF($B126="","",ROW()-5)</f>
        <v/>
      </c>
      <c r="B126" s="54"/>
      <c r="C126" s="33"/>
      <c r="D126" s="39"/>
      <c r="E126" s="33"/>
      <c r="F126" s="39"/>
      <c r="G126" s="48" t="str">
        <f aca="false">IF($F126="","",IFERROR(INDEX(商品档案!$B$6:$B$65,MATCH($F126,商品档案!$A$6:$A$65,0)),""))</f>
        <v/>
      </c>
      <c r="H126" s="55" t="str">
        <f aca="false">IF($F126="","",IFERROR(INDEX(商品档案!$D$6:$D$65,MATCH($F126,商品档案!$A$6:$A$65,0)),""))</f>
        <v/>
      </c>
      <c r="I126" s="49"/>
      <c r="J126" s="43"/>
      <c r="K126" s="41"/>
      <c r="L126" s="39"/>
      <c r="M126" s="62"/>
      <c r="N126" s="41"/>
      <c r="O126" s="41"/>
      <c r="P126" s="25" t="str">
        <f aca="false">IF(AND($B126="",$E126=""),"",IF(NOT(ISNUMBER($B126)),"日期无效",IF(ISNA(MATCH($C126,参数设置!$A$10:$A$12,0)),"公司无效",IF($D126="","缺批次号",IF(ISNA(MATCH($E126,记账规则!$A$36:$A$38,0)),"业务类型无效",IF(AND($E126&lt;&gt;"加工费用",ISNA(MATCH($F126,商品档案!$A$6:$A$65,0))),"商品编码无效",IF(AND($E126&lt;&gt;"加工费用",IFERROR(INDEX(商品档案!$E$6:$E$65,MATCH($F126,商品档案!$A$6:$A$65,0)),"")&lt;&gt;$C126),"商品不属于该公司",IF(AND($E126&lt;&gt;"加工费用",N($I126)=0),"数量为 0",IF(AND($E126="加工费用",N($J126)=0),"加工费金额为 0",IF(AND($E126="加工费用",ISNA(MATCH($K126,会计科目表!$B$6:$B$85,0))),"对方科目不存在",IF(YEAR($B126)&lt;&gt;参数设置!$B$5,"不在本会计年度","OK")))))))))))</f>
        <v/>
      </c>
      <c r="Q126" s="58" t="str">
        <f aca="false">IF($F126="","",IFERROR(INDEX(商品档案!$G$6:$G$65,MATCH($F126,商品档案!$A$6:$A$65,0)),""))</f>
        <v/>
      </c>
      <c r="R126" s="59" t="str">
        <f aca="false">IF($F126="","",SUMIFS(进销存台账!$N$6:$N$65,进销存台账!$A$6:$A$65,$C126,进销存台账!$B$6:$B$65,$F126))</f>
        <v/>
      </c>
      <c r="S126" s="60" t="n">
        <f aca="false">IF($E126="领用投入",ROUND(N($I126)*N($R126),2),IF($E126="加工费用",ROUND(N($J126),2),0))</f>
        <v>0</v>
      </c>
      <c r="T126" s="60" t="n">
        <f aca="false">IF($E126&lt;&gt;"产成品入库",0,IF(SUMIFS($W$6:$W$305,$C$6:$C$305,$C126,$D$6:$D$305,$D126,$E$6:$E$305,"产成品入库")=0,0,ROUND(SUMIFS($S$6:$S$305,$C$6:$C$305,$C126,$D$6:$D$305,$D126)*N($X126)/SUMIFS($W$6:$W$305,$C$6:$C$305,$C126,$D$6:$D$305,$D126,$E$6:$E$305,"产成品入库"),2)-ROUND(SUMIFS($S$6:$S$305,$C$6:$C$305,$C126,$D$6:$D$305,$D126)*(N($X126)-N($W126))/SUMIFS($W$6:$W$305,$C$6:$C$305,$C126,$D$6:$D$305,$D126,$E$6:$E$305,"产成品入库"),2)))</f>
        <v>0</v>
      </c>
      <c r="U126" s="57" t="str">
        <f aca="false">IF($E126="","",ROUND($S126+$T126,2))</f>
        <v/>
      </c>
      <c r="V126" s="61" t="str">
        <f aca="false">IF($B126="","",YEAR($B126))</f>
        <v/>
      </c>
      <c r="W126" s="63" t="str">
        <f aca="false">IF($E126&lt;&gt;"产成品入库","",IF(N($M126)=0,1,N($M126)))</f>
        <v/>
      </c>
      <c r="X126" s="63" t="str">
        <f aca="false">IF($E126&lt;&gt;"产成品入库","",SUMIFS($W$6:$W126,$C$6:$C126,$C126,$D$6:$D126,$D126,$E$6:$E126,"产成品入库"))</f>
        <v/>
      </c>
    </row>
    <row r="127" customFormat="false" ht="15" hidden="false" customHeight="false" outlineLevel="0" collapsed="false">
      <c r="A127" s="53" t="str">
        <f aca="false">IF($B127="","",ROW()-5)</f>
        <v/>
      </c>
      <c r="B127" s="54"/>
      <c r="C127" s="33"/>
      <c r="D127" s="39"/>
      <c r="E127" s="33"/>
      <c r="F127" s="39"/>
      <c r="G127" s="48" t="str">
        <f aca="false">IF($F127="","",IFERROR(INDEX(商品档案!$B$6:$B$65,MATCH($F127,商品档案!$A$6:$A$65,0)),""))</f>
        <v/>
      </c>
      <c r="H127" s="55" t="str">
        <f aca="false">IF($F127="","",IFERROR(INDEX(商品档案!$D$6:$D$65,MATCH($F127,商品档案!$A$6:$A$65,0)),""))</f>
        <v/>
      </c>
      <c r="I127" s="49"/>
      <c r="J127" s="43"/>
      <c r="K127" s="41"/>
      <c r="L127" s="39"/>
      <c r="M127" s="62"/>
      <c r="N127" s="41"/>
      <c r="O127" s="41"/>
      <c r="P127" s="25" t="str">
        <f aca="false">IF(AND($B127="",$E127=""),"",IF(NOT(ISNUMBER($B127)),"日期无效",IF(ISNA(MATCH($C127,参数设置!$A$10:$A$12,0)),"公司无效",IF($D127="","缺批次号",IF(ISNA(MATCH($E127,记账规则!$A$36:$A$38,0)),"业务类型无效",IF(AND($E127&lt;&gt;"加工费用",ISNA(MATCH($F127,商品档案!$A$6:$A$65,0))),"商品编码无效",IF(AND($E127&lt;&gt;"加工费用",IFERROR(INDEX(商品档案!$E$6:$E$65,MATCH($F127,商品档案!$A$6:$A$65,0)),"")&lt;&gt;$C127),"商品不属于该公司",IF(AND($E127&lt;&gt;"加工费用",N($I127)=0),"数量为 0",IF(AND($E127="加工费用",N($J127)=0),"加工费金额为 0",IF(AND($E127="加工费用",ISNA(MATCH($K127,会计科目表!$B$6:$B$85,0))),"对方科目不存在",IF(YEAR($B127)&lt;&gt;参数设置!$B$5,"不在本会计年度","OK")))))))))))</f>
        <v/>
      </c>
      <c r="Q127" s="58" t="str">
        <f aca="false">IF($F127="","",IFERROR(INDEX(商品档案!$G$6:$G$65,MATCH($F127,商品档案!$A$6:$A$65,0)),""))</f>
        <v/>
      </c>
      <c r="R127" s="59" t="str">
        <f aca="false">IF($F127="","",SUMIFS(进销存台账!$N$6:$N$65,进销存台账!$A$6:$A$65,$C127,进销存台账!$B$6:$B$65,$F127))</f>
        <v/>
      </c>
      <c r="S127" s="60" t="n">
        <f aca="false">IF($E127="领用投入",ROUND(N($I127)*N($R127),2),IF($E127="加工费用",ROUND(N($J127),2),0))</f>
        <v>0</v>
      </c>
      <c r="T127" s="60" t="n">
        <f aca="false">IF($E127&lt;&gt;"产成品入库",0,IF(SUMIFS($W$6:$W$305,$C$6:$C$305,$C127,$D$6:$D$305,$D127,$E$6:$E$305,"产成品入库")=0,0,ROUND(SUMIFS($S$6:$S$305,$C$6:$C$305,$C127,$D$6:$D$305,$D127)*N($X127)/SUMIFS($W$6:$W$305,$C$6:$C$305,$C127,$D$6:$D$305,$D127,$E$6:$E$305,"产成品入库"),2)-ROUND(SUMIFS($S$6:$S$305,$C$6:$C$305,$C127,$D$6:$D$305,$D127)*(N($X127)-N($W127))/SUMIFS($W$6:$W$305,$C$6:$C$305,$C127,$D$6:$D$305,$D127,$E$6:$E$305,"产成品入库"),2)))</f>
        <v>0</v>
      </c>
      <c r="U127" s="57" t="str">
        <f aca="false">IF($E127="","",ROUND($S127+$T127,2))</f>
        <v/>
      </c>
      <c r="V127" s="61" t="str">
        <f aca="false">IF($B127="","",YEAR($B127))</f>
        <v/>
      </c>
      <c r="W127" s="63" t="str">
        <f aca="false">IF($E127&lt;&gt;"产成品入库","",IF(N($M127)=0,1,N($M127)))</f>
        <v/>
      </c>
      <c r="X127" s="63" t="str">
        <f aca="false">IF($E127&lt;&gt;"产成品入库","",SUMIFS($W$6:$W127,$C$6:$C127,$C127,$D$6:$D127,$D127,$E$6:$E127,"产成品入库"))</f>
        <v/>
      </c>
    </row>
    <row r="128" customFormat="false" ht="15" hidden="false" customHeight="false" outlineLevel="0" collapsed="false">
      <c r="A128" s="53" t="str">
        <f aca="false">IF($B128="","",ROW()-5)</f>
        <v/>
      </c>
      <c r="B128" s="54"/>
      <c r="C128" s="33"/>
      <c r="D128" s="39"/>
      <c r="E128" s="33"/>
      <c r="F128" s="39"/>
      <c r="G128" s="48" t="str">
        <f aca="false">IF($F128="","",IFERROR(INDEX(商品档案!$B$6:$B$65,MATCH($F128,商品档案!$A$6:$A$65,0)),""))</f>
        <v/>
      </c>
      <c r="H128" s="55" t="str">
        <f aca="false">IF($F128="","",IFERROR(INDEX(商品档案!$D$6:$D$65,MATCH($F128,商品档案!$A$6:$A$65,0)),""))</f>
        <v/>
      </c>
      <c r="I128" s="49"/>
      <c r="J128" s="43"/>
      <c r="K128" s="41"/>
      <c r="L128" s="39"/>
      <c r="M128" s="62"/>
      <c r="N128" s="41"/>
      <c r="O128" s="41"/>
      <c r="P128" s="25" t="str">
        <f aca="false">IF(AND($B128="",$E128=""),"",IF(NOT(ISNUMBER($B128)),"日期无效",IF(ISNA(MATCH($C128,参数设置!$A$10:$A$12,0)),"公司无效",IF($D128="","缺批次号",IF(ISNA(MATCH($E128,记账规则!$A$36:$A$38,0)),"业务类型无效",IF(AND($E128&lt;&gt;"加工费用",ISNA(MATCH($F128,商品档案!$A$6:$A$65,0))),"商品编码无效",IF(AND($E128&lt;&gt;"加工费用",IFERROR(INDEX(商品档案!$E$6:$E$65,MATCH($F128,商品档案!$A$6:$A$65,0)),"")&lt;&gt;$C128),"商品不属于该公司",IF(AND($E128&lt;&gt;"加工费用",N($I128)=0),"数量为 0",IF(AND($E128="加工费用",N($J128)=0),"加工费金额为 0",IF(AND($E128="加工费用",ISNA(MATCH($K128,会计科目表!$B$6:$B$85,0))),"对方科目不存在",IF(YEAR($B128)&lt;&gt;参数设置!$B$5,"不在本会计年度","OK")))))))))))</f>
        <v/>
      </c>
      <c r="Q128" s="58" t="str">
        <f aca="false">IF($F128="","",IFERROR(INDEX(商品档案!$G$6:$G$65,MATCH($F128,商品档案!$A$6:$A$65,0)),""))</f>
        <v/>
      </c>
      <c r="R128" s="59" t="str">
        <f aca="false">IF($F128="","",SUMIFS(进销存台账!$N$6:$N$65,进销存台账!$A$6:$A$65,$C128,进销存台账!$B$6:$B$65,$F128))</f>
        <v/>
      </c>
      <c r="S128" s="60" t="n">
        <f aca="false">IF($E128="领用投入",ROUND(N($I128)*N($R128),2),IF($E128="加工费用",ROUND(N($J128),2),0))</f>
        <v>0</v>
      </c>
      <c r="T128" s="60" t="n">
        <f aca="false">IF($E128&lt;&gt;"产成品入库",0,IF(SUMIFS($W$6:$W$305,$C$6:$C$305,$C128,$D$6:$D$305,$D128,$E$6:$E$305,"产成品入库")=0,0,ROUND(SUMIFS($S$6:$S$305,$C$6:$C$305,$C128,$D$6:$D$305,$D128)*N($X128)/SUMIFS($W$6:$W$305,$C$6:$C$305,$C128,$D$6:$D$305,$D128,$E$6:$E$305,"产成品入库"),2)-ROUND(SUMIFS($S$6:$S$305,$C$6:$C$305,$C128,$D$6:$D$305,$D128)*(N($X128)-N($W128))/SUMIFS($W$6:$W$305,$C$6:$C$305,$C128,$D$6:$D$305,$D128,$E$6:$E$305,"产成品入库"),2)))</f>
        <v>0</v>
      </c>
      <c r="U128" s="57" t="str">
        <f aca="false">IF($E128="","",ROUND($S128+$T128,2))</f>
        <v/>
      </c>
      <c r="V128" s="61" t="str">
        <f aca="false">IF($B128="","",YEAR($B128))</f>
        <v/>
      </c>
      <c r="W128" s="63" t="str">
        <f aca="false">IF($E128&lt;&gt;"产成品入库","",IF(N($M128)=0,1,N($M128)))</f>
        <v/>
      </c>
      <c r="X128" s="63" t="str">
        <f aca="false">IF($E128&lt;&gt;"产成品入库","",SUMIFS($W$6:$W128,$C$6:$C128,$C128,$D$6:$D128,$D128,$E$6:$E128,"产成品入库"))</f>
        <v/>
      </c>
    </row>
    <row r="129" customFormat="false" ht="15" hidden="false" customHeight="false" outlineLevel="0" collapsed="false">
      <c r="A129" s="53" t="str">
        <f aca="false">IF($B129="","",ROW()-5)</f>
        <v/>
      </c>
      <c r="B129" s="54"/>
      <c r="C129" s="33"/>
      <c r="D129" s="39"/>
      <c r="E129" s="33"/>
      <c r="F129" s="39"/>
      <c r="G129" s="48" t="str">
        <f aca="false">IF($F129="","",IFERROR(INDEX(商品档案!$B$6:$B$65,MATCH($F129,商品档案!$A$6:$A$65,0)),""))</f>
        <v/>
      </c>
      <c r="H129" s="55" t="str">
        <f aca="false">IF($F129="","",IFERROR(INDEX(商品档案!$D$6:$D$65,MATCH($F129,商品档案!$A$6:$A$65,0)),""))</f>
        <v/>
      </c>
      <c r="I129" s="49"/>
      <c r="J129" s="43"/>
      <c r="K129" s="41"/>
      <c r="L129" s="39"/>
      <c r="M129" s="62"/>
      <c r="N129" s="41"/>
      <c r="O129" s="41"/>
      <c r="P129" s="25" t="str">
        <f aca="false">IF(AND($B129="",$E129=""),"",IF(NOT(ISNUMBER($B129)),"日期无效",IF(ISNA(MATCH($C129,参数设置!$A$10:$A$12,0)),"公司无效",IF($D129="","缺批次号",IF(ISNA(MATCH($E129,记账规则!$A$36:$A$38,0)),"业务类型无效",IF(AND($E129&lt;&gt;"加工费用",ISNA(MATCH($F129,商品档案!$A$6:$A$65,0))),"商品编码无效",IF(AND($E129&lt;&gt;"加工费用",IFERROR(INDEX(商品档案!$E$6:$E$65,MATCH($F129,商品档案!$A$6:$A$65,0)),"")&lt;&gt;$C129),"商品不属于该公司",IF(AND($E129&lt;&gt;"加工费用",N($I129)=0),"数量为 0",IF(AND($E129="加工费用",N($J129)=0),"加工费金额为 0",IF(AND($E129="加工费用",ISNA(MATCH($K129,会计科目表!$B$6:$B$85,0))),"对方科目不存在",IF(YEAR($B129)&lt;&gt;参数设置!$B$5,"不在本会计年度","OK")))))))))))</f>
        <v/>
      </c>
      <c r="Q129" s="58" t="str">
        <f aca="false">IF($F129="","",IFERROR(INDEX(商品档案!$G$6:$G$65,MATCH($F129,商品档案!$A$6:$A$65,0)),""))</f>
        <v/>
      </c>
      <c r="R129" s="59" t="str">
        <f aca="false">IF($F129="","",SUMIFS(进销存台账!$N$6:$N$65,进销存台账!$A$6:$A$65,$C129,进销存台账!$B$6:$B$65,$F129))</f>
        <v/>
      </c>
      <c r="S129" s="60" t="n">
        <f aca="false">IF($E129="领用投入",ROUND(N($I129)*N($R129),2),IF($E129="加工费用",ROUND(N($J129),2),0))</f>
        <v>0</v>
      </c>
      <c r="T129" s="60" t="n">
        <f aca="false">IF($E129&lt;&gt;"产成品入库",0,IF(SUMIFS($W$6:$W$305,$C$6:$C$305,$C129,$D$6:$D$305,$D129,$E$6:$E$305,"产成品入库")=0,0,ROUND(SUMIFS($S$6:$S$305,$C$6:$C$305,$C129,$D$6:$D$305,$D129)*N($X129)/SUMIFS($W$6:$W$305,$C$6:$C$305,$C129,$D$6:$D$305,$D129,$E$6:$E$305,"产成品入库"),2)-ROUND(SUMIFS($S$6:$S$305,$C$6:$C$305,$C129,$D$6:$D$305,$D129)*(N($X129)-N($W129))/SUMIFS($W$6:$W$305,$C$6:$C$305,$C129,$D$6:$D$305,$D129,$E$6:$E$305,"产成品入库"),2)))</f>
        <v>0</v>
      </c>
      <c r="U129" s="57" t="str">
        <f aca="false">IF($E129="","",ROUND($S129+$T129,2))</f>
        <v/>
      </c>
      <c r="V129" s="61" t="str">
        <f aca="false">IF($B129="","",YEAR($B129))</f>
        <v/>
      </c>
      <c r="W129" s="63" t="str">
        <f aca="false">IF($E129&lt;&gt;"产成品入库","",IF(N($M129)=0,1,N($M129)))</f>
        <v/>
      </c>
      <c r="X129" s="63" t="str">
        <f aca="false">IF($E129&lt;&gt;"产成品入库","",SUMIFS($W$6:$W129,$C$6:$C129,$C129,$D$6:$D129,$D129,$E$6:$E129,"产成品入库"))</f>
        <v/>
      </c>
    </row>
    <row r="130" customFormat="false" ht="15" hidden="false" customHeight="false" outlineLevel="0" collapsed="false">
      <c r="A130" s="53" t="str">
        <f aca="false">IF($B130="","",ROW()-5)</f>
        <v/>
      </c>
      <c r="B130" s="54"/>
      <c r="C130" s="33"/>
      <c r="D130" s="39"/>
      <c r="E130" s="33"/>
      <c r="F130" s="39"/>
      <c r="G130" s="48" t="str">
        <f aca="false">IF($F130="","",IFERROR(INDEX(商品档案!$B$6:$B$65,MATCH($F130,商品档案!$A$6:$A$65,0)),""))</f>
        <v/>
      </c>
      <c r="H130" s="55" t="str">
        <f aca="false">IF($F130="","",IFERROR(INDEX(商品档案!$D$6:$D$65,MATCH($F130,商品档案!$A$6:$A$65,0)),""))</f>
        <v/>
      </c>
      <c r="I130" s="49"/>
      <c r="J130" s="43"/>
      <c r="K130" s="41"/>
      <c r="L130" s="39"/>
      <c r="M130" s="62"/>
      <c r="N130" s="41"/>
      <c r="O130" s="41"/>
      <c r="P130" s="25" t="str">
        <f aca="false">IF(AND($B130="",$E130=""),"",IF(NOT(ISNUMBER($B130)),"日期无效",IF(ISNA(MATCH($C130,参数设置!$A$10:$A$12,0)),"公司无效",IF($D130="","缺批次号",IF(ISNA(MATCH($E130,记账规则!$A$36:$A$38,0)),"业务类型无效",IF(AND($E130&lt;&gt;"加工费用",ISNA(MATCH($F130,商品档案!$A$6:$A$65,0))),"商品编码无效",IF(AND($E130&lt;&gt;"加工费用",IFERROR(INDEX(商品档案!$E$6:$E$65,MATCH($F130,商品档案!$A$6:$A$65,0)),"")&lt;&gt;$C130),"商品不属于该公司",IF(AND($E130&lt;&gt;"加工费用",N($I130)=0),"数量为 0",IF(AND($E130="加工费用",N($J130)=0),"加工费金额为 0",IF(AND($E130="加工费用",ISNA(MATCH($K130,会计科目表!$B$6:$B$85,0))),"对方科目不存在",IF(YEAR($B130)&lt;&gt;参数设置!$B$5,"不在本会计年度","OK")))))))))))</f>
        <v/>
      </c>
      <c r="Q130" s="58" t="str">
        <f aca="false">IF($F130="","",IFERROR(INDEX(商品档案!$G$6:$G$65,MATCH($F130,商品档案!$A$6:$A$65,0)),""))</f>
        <v/>
      </c>
      <c r="R130" s="59" t="str">
        <f aca="false">IF($F130="","",SUMIFS(进销存台账!$N$6:$N$65,进销存台账!$A$6:$A$65,$C130,进销存台账!$B$6:$B$65,$F130))</f>
        <v/>
      </c>
      <c r="S130" s="60" t="n">
        <f aca="false">IF($E130="领用投入",ROUND(N($I130)*N($R130),2),IF($E130="加工费用",ROUND(N($J130),2),0))</f>
        <v>0</v>
      </c>
      <c r="T130" s="60" t="n">
        <f aca="false">IF($E130&lt;&gt;"产成品入库",0,IF(SUMIFS($W$6:$W$305,$C$6:$C$305,$C130,$D$6:$D$305,$D130,$E$6:$E$305,"产成品入库")=0,0,ROUND(SUMIFS($S$6:$S$305,$C$6:$C$305,$C130,$D$6:$D$305,$D130)*N($X130)/SUMIFS($W$6:$W$305,$C$6:$C$305,$C130,$D$6:$D$305,$D130,$E$6:$E$305,"产成品入库"),2)-ROUND(SUMIFS($S$6:$S$305,$C$6:$C$305,$C130,$D$6:$D$305,$D130)*(N($X130)-N($W130))/SUMIFS($W$6:$W$305,$C$6:$C$305,$C130,$D$6:$D$305,$D130,$E$6:$E$305,"产成品入库"),2)))</f>
        <v>0</v>
      </c>
      <c r="U130" s="57" t="str">
        <f aca="false">IF($E130="","",ROUND($S130+$T130,2))</f>
        <v/>
      </c>
      <c r="V130" s="61" t="str">
        <f aca="false">IF($B130="","",YEAR($B130))</f>
        <v/>
      </c>
      <c r="W130" s="63" t="str">
        <f aca="false">IF($E130&lt;&gt;"产成品入库","",IF(N($M130)=0,1,N($M130)))</f>
        <v/>
      </c>
      <c r="X130" s="63" t="str">
        <f aca="false">IF($E130&lt;&gt;"产成品入库","",SUMIFS($W$6:$W130,$C$6:$C130,$C130,$D$6:$D130,$D130,$E$6:$E130,"产成品入库"))</f>
        <v/>
      </c>
    </row>
    <row r="131" customFormat="false" ht="15" hidden="false" customHeight="false" outlineLevel="0" collapsed="false">
      <c r="A131" s="53" t="str">
        <f aca="false">IF($B131="","",ROW()-5)</f>
        <v/>
      </c>
      <c r="B131" s="54"/>
      <c r="C131" s="33"/>
      <c r="D131" s="39"/>
      <c r="E131" s="33"/>
      <c r="F131" s="39"/>
      <c r="G131" s="48" t="str">
        <f aca="false">IF($F131="","",IFERROR(INDEX(商品档案!$B$6:$B$65,MATCH($F131,商品档案!$A$6:$A$65,0)),""))</f>
        <v/>
      </c>
      <c r="H131" s="55" t="str">
        <f aca="false">IF($F131="","",IFERROR(INDEX(商品档案!$D$6:$D$65,MATCH($F131,商品档案!$A$6:$A$65,0)),""))</f>
        <v/>
      </c>
      <c r="I131" s="49"/>
      <c r="J131" s="43"/>
      <c r="K131" s="41"/>
      <c r="L131" s="39"/>
      <c r="M131" s="62"/>
      <c r="N131" s="41"/>
      <c r="O131" s="41"/>
      <c r="P131" s="25" t="str">
        <f aca="false">IF(AND($B131="",$E131=""),"",IF(NOT(ISNUMBER($B131)),"日期无效",IF(ISNA(MATCH($C131,参数设置!$A$10:$A$12,0)),"公司无效",IF($D131="","缺批次号",IF(ISNA(MATCH($E131,记账规则!$A$36:$A$38,0)),"业务类型无效",IF(AND($E131&lt;&gt;"加工费用",ISNA(MATCH($F131,商品档案!$A$6:$A$65,0))),"商品编码无效",IF(AND($E131&lt;&gt;"加工费用",IFERROR(INDEX(商品档案!$E$6:$E$65,MATCH($F131,商品档案!$A$6:$A$65,0)),"")&lt;&gt;$C131),"商品不属于该公司",IF(AND($E131&lt;&gt;"加工费用",N($I131)=0),"数量为 0",IF(AND($E131="加工费用",N($J131)=0),"加工费金额为 0",IF(AND($E131="加工费用",ISNA(MATCH($K131,会计科目表!$B$6:$B$85,0))),"对方科目不存在",IF(YEAR($B131)&lt;&gt;参数设置!$B$5,"不在本会计年度","OK")))))))))))</f>
        <v/>
      </c>
      <c r="Q131" s="58" t="str">
        <f aca="false">IF($F131="","",IFERROR(INDEX(商品档案!$G$6:$G$65,MATCH($F131,商品档案!$A$6:$A$65,0)),""))</f>
        <v/>
      </c>
      <c r="R131" s="59" t="str">
        <f aca="false">IF($F131="","",SUMIFS(进销存台账!$N$6:$N$65,进销存台账!$A$6:$A$65,$C131,进销存台账!$B$6:$B$65,$F131))</f>
        <v/>
      </c>
      <c r="S131" s="60" t="n">
        <f aca="false">IF($E131="领用投入",ROUND(N($I131)*N($R131),2),IF($E131="加工费用",ROUND(N($J131),2),0))</f>
        <v>0</v>
      </c>
      <c r="T131" s="60" t="n">
        <f aca="false">IF($E131&lt;&gt;"产成品入库",0,IF(SUMIFS($W$6:$W$305,$C$6:$C$305,$C131,$D$6:$D$305,$D131,$E$6:$E$305,"产成品入库")=0,0,ROUND(SUMIFS($S$6:$S$305,$C$6:$C$305,$C131,$D$6:$D$305,$D131)*N($X131)/SUMIFS($W$6:$W$305,$C$6:$C$305,$C131,$D$6:$D$305,$D131,$E$6:$E$305,"产成品入库"),2)-ROUND(SUMIFS($S$6:$S$305,$C$6:$C$305,$C131,$D$6:$D$305,$D131)*(N($X131)-N($W131))/SUMIFS($W$6:$W$305,$C$6:$C$305,$C131,$D$6:$D$305,$D131,$E$6:$E$305,"产成品入库"),2)))</f>
        <v>0</v>
      </c>
      <c r="U131" s="57" t="str">
        <f aca="false">IF($E131="","",ROUND($S131+$T131,2))</f>
        <v/>
      </c>
      <c r="V131" s="61" t="str">
        <f aca="false">IF($B131="","",YEAR($B131))</f>
        <v/>
      </c>
      <c r="W131" s="63" t="str">
        <f aca="false">IF($E131&lt;&gt;"产成品入库","",IF(N($M131)=0,1,N($M131)))</f>
        <v/>
      </c>
      <c r="X131" s="63" t="str">
        <f aca="false">IF($E131&lt;&gt;"产成品入库","",SUMIFS($W$6:$W131,$C$6:$C131,$C131,$D$6:$D131,$D131,$E$6:$E131,"产成品入库"))</f>
        <v/>
      </c>
    </row>
    <row r="132" customFormat="false" ht="15" hidden="false" customHeight="false" outlineLevel="0" collapsed="false">
      <c r="A132" s="53" t="str">
        <f aca="false">IF($B132="","",ROW()-5)</f>
        <v/>
      </c>
      <c r="B132" s="54"/>
      <c r="C132" s="33"/>
      <c r="D132" s="39"/>
      <c r="E132" s="33"/>
      <c r="F132" s="39"/>
      <c r="G132" s="48" t="str">
        <f aca="false">IF($F132="","",IFERROR(INDEX(商品档案!$B$6:$B$65,MATCH($F132,商品档案!$A$6:$A$65,0)),""))</f>
        <v/>
      </c>
      <c r="H132" s="55" t="str">
        <f aca="false">IF($F132="","",IFERROR(INDEX(商品档案!$D$6:$D$65,MATCH($F132,商品档案!$A$6:$A$65,0)),""))</f>
        <v/>
      </c>
      <c r="I132" s="49"/>
      <c r="J132" s="43"/>
      <c r="K132" s="41"/>
      <c r="L132" s="39"/>
      <c r="M132" s="62"/>
      <c r="N132" s="41"/>
      <c r="O132" s="41"/>
      <c r="P132" s="25" t="str">
        <f aca="false">IF(AND($B132="",$E132=""),"",IF(NOT(ISNUMBER($B132)),"日期无效",IF(ISNA(MATCH($C132,参数设置!$A$10:$A$12,0)),"公司无效",IF($D132="","缺批次号",IF(ISNA(MATCH($E132,记账规则!$A$36:$A$38,0)),"业务类型无效",IF(AND($E132&lt;&gt;"加工费用",ISNA(MATCH($F132,商品档案!$A$6:$A$65,0))),"商品编码无效",IF(AND($E132&lt;&gt;"加工费用",IFERROR(INDEX(商品档案!$E$6:$E$65,MATCH($F132,商品档案!$A$6:$A$65,0)),"")&lt;&gt;$C132),"商品不属于该公司",IF(AND($E132&lt;&gt;"加工费用",N($I132)=0),"数量为 0",IF(AND($E132="加工费用",N($J132)=0),"加工费金额为 0",IF(AND($E132="加工费用",ISNA(MATCH($K132,会计科目表!$B$6:$B$85,0))),"对方科目不存在",IF(YEAR($B132)&lt;&gt;参数设置!$B$5,"不在本会计年度","OK")))))))))))</f>
        <v/>
      </c>
      <c r="Q132" s="58" t="str">
        <f aca="false">IF($F132="","",IFERROR(INDEX(商品档案!$G$6:$G$65,MATCH($F132,商品档案!$A$6:$A$65,0)),""))</f>
        <v/>
      </c>
      <c r="R132" s="59" t="str">
        <f aca="false">IF($F132="","",SUMIFS(进销存台账!$N$6:$N$65,进销存台账!$A$6:$A$65,$C132,进销存台账!$B$6:$B$65,$F132))</f>
        <v/>
      </c>
      <c r="S132" s="60" t="n">
        <f aca="false">IF($E132="领用投入",ROUND(N($I132)*N($R132),2),IF($E132="加工费用",ROUND(N($J132),2),0))</f>
        <v>0</v>
      </c>
      <c r="T132" s="60" t="n">
        <f aca="false">IF($E132&lt;&gt;"产成品入库",0,IF(SUMIFS($W$6:$W$305,$C$6:$C$305,$C132,$D$6:$D$305,$D132,$E$6:$E$305,"产成品入库")=0,0,ROUND(SUMIFS($S$6:$S$305,$C$6:$C$305,$C132,$D$6:$D$305,$D132)*N($X132)/SUMIFS($W$6:$W$305,$C$6:$C$305,$C132,$D$6:$D$305,$D132,$E$6:$E$305,"产成品入库"),2)-ROUND(SUMIFS($S$6:$S$305,$C$6:$C$305,$C132,$D$6:$D$305,$D132)*(N($X132)-N($W132))/SUMIFS($W$6:$W$305,$C$6:$C$305,$C132,$D$6:$D$305,$D132,$E$6:$E$305,"产成品入库"),2)))</f>
        <v>0</v>
      </c>
      <c r="U132" s="57" t="str">
        <f aca="false">IF($E132="","",ROUND($S132+$T132,2))</f>
        <v/>
      </c>
      <c r="V132" s="61" t="str">
        <f aca="false">IF($B132="","",YEAR($B132))</f>
        <v/>
      </c>
      <c r="W132" s="63" t="str">
        <f aca="false">IF($E132&lt;&gt;"产成品入库","",IF(N($M132)=0,1,N($M132)))</f>
        <v/>
      </c>
      <c r="X132" s="63" t="str">
        <f aca="false">IF($E132&lt;&gt;"产成品入库","",SUMIFS($W$6:$W132,$C$6:$C132,$C132,$D$6:$D132,$D132,$E$6:$E132,"产成品入库"))</f>
        <v/>
      </c>
    </row>
    <row r="133" customFormat="false" ht="15" hidden="false" customHeight="false" outlineLevel="0" collapsed="false">
      <c r="A133" s="53" t="str">
        <f aca="false">IF($B133="","",ROW()-5)</f>
        <v/>
      </c>
      <c r="B133" s="54"/>
      <c r="C133" s="33"/>
      <c r="D133" s="39"/>
      <c r="E133" s="33"/>
      <c r="F133" s="39"/>
      <c r="G133" s="48" t="str">
        <f aca="false">IF($F133="","",IFERROR(INDEX(商品档案!$B$6:$B$65,MATCH($F133,商品档案!$A$6:$A$65,0)),""))</f>
        <v/>
      </c>
      <c r="H133" s="55" t="str">
        <f aca="false">IF($F133="","",IFERROR(INDEX(商品档案!$D$6:$D$65,MATCH($F133,商品档案!$A$6:$A$65,0)),""))</f>
        <v/>
      </c>
      <c r="I133" s="49"/>
      <c r="J133" s="43"/>
      <c r="K133" s="41"/>
      <c r="L133" s="39"/>
      <c r="M133" s="62"/>
      <c r="N133" s="41"/>
      <c r="O133" s="41"/>
      <c r="P133" s="25" t="str">
        <f aca="false">IF(AND($B133="",$E133=""),"",IF(NOT(ISNUMBER($B133)),"日期无效",IF(ISNA(MATCH($C133,参数设置!$A$10:$A$12,0)),"公司无效",IF($D133="","缺批次号",IF(ISNA(MATCH($E133,记账规则!$A$36:$A$38,0)),"业务类型无效",IF(AND($E133&lt;&gt;"加工费用",ISNA(MATCH($F133,商品档案!$A$6:$A$65,0))),"商品编码无效",IF(AND($E133&lt;&gt;"加工费用",IFERROR(INDEX(商品档案!$E$6:$E$65,MATCH($F133,商品档案!$A$6:$A$65,0)),"")&lt;&gt;$C133),"商品不属于该公司",IF(AND($E133&lt;&gt;"加工费用",N($I133)=0),"数量为 0",IF(AND($E133="加工费用",N($J133)=0),"加工费金额为 0",IF(AND($E133="加工费用",ISNA(MATCH($K133,会计科目表!$B$6:$B$85,0))),"对方科目不存在",IF(YEAR($B133)&lt;&gt;参数设置!$B$5,"不在本会计年度","OK")))))))))))</f>
        <v/>
      </c>
      <c r="Q133" s="58" t="str">
        <f aca="false">IF($F133="","",IFERROR(INDEX(商品档案!$G$6:$G$65,MATCH($F133,商品档案!$A$6:$A$65,0)),""))</f>
        <v/>
      </c>
      <c r="R133" s="59" t="str">
        <f aca="false">IF($F133="","",SUMIFS(进销存台账!$N$6:$N$65,进销存台账!$A$6:$A$65,$C133,进销存台账!$B$6:$B$65,$F133))</f>
        <v/>
      </c>
      <c r="S133" s="60" t="n">
        <f aca="false">IF($E133="领用投入",ROUND(N($I133)*N($R133),2),IF($E133="加工费用",ROUND(N($J133),2),0))</f>
        <v>0</v>
      </c>
      <c r="T133" s="60" t="n">
        <f aca="false">IF($E133&lt;&gt;"产成品入库",0,IF(SUMIFS($W$6:$W$305,$C$6:$C$305,$C133,$D$6:$D$305,$D133,$E$6:$E$305,"产成品入库")=0,0,ROUND(SUMIFS($S$6:$S$305,$C$6:$C$305,$C133,$D$6:$D$305,$D133)*N($X133)/SUMIFS($W$6:$W$305,$C$6:$C$305,$C133,$D$6:$D$305,$D133,$E$6:$E$305,"产成品入库"),2)-ROUND(SUMIFS($S$6:$S$305,$C$6:$C$305,$C133,$D$6:$D$305,$D133)*(N($X133)-N($W133))/SUMIFS($W$6:$W$305,$C$6:$C$305,$C133,$D$6:$D$305,$D133,$E$6:$E$305,"产成品入库"),2)))</f>
        <v>0</v>
      </c>
      <c r="U133" s="57" t="str">
        <f aca="false">IF($E133="","",ROUND($S133+$T133,2))</f>
        <v/>
      </c>
      <c r="V133" s="61" t="str">
        <f aca="false">IF($B133="","",YEAR($B133))</f>
        <v/>
      </c>
      <c r="W133" s="63" t="str">
        <f aca="false">IF($E133&lt;&gt;"产成品入库","",IF(N($M133)=0,1,N($M133)))</f>
        <v/>
      </c>
      <c r="X133" s="63" t="str">
        <f aca="false">IF($E133&lt;&gt;"产成品入库","",SUMIFS($W$6:$W133,$C$6:$C133,$C133,$D$6:$D133,$D133,$E$6:$E133,"产成品入库"))</f>
        <v/>
      </c>
    </row>
    <row r="134" customFormat="false" ht="15" hidden="false" customHeight="false" outlineLevel="0" collapsed="false">
      <c r="A134" s="53" t="str">
        <f aca="false">IF($B134="","",ROW()-5)</f>
        <v/>
      </c>
      <c r="B134" s="54"/>
      <c r="C134" s="33"/>
      <c r="D134" s="39"/>
      <c r="E134" s="33"/>
      <c r="F134" s="39"/>
      <c r="G134" s="48" t="str">
        <f aca="false">IF($F134="","",IFERROR(INDEX(商品档案!$B$6:$B$65,MATCH($F134,商品档案!$A$6:$A$65,0)),""))</f>
        <v/>
      </c>
      <c r="H134" s="55" t="str">
        <f aca="false">IF($F134="","",IFERROR(INDEX(商品档案!$D$6:$D$65,MATCH($F134,商品档案!$A$6:$A$65,0)),""))</f>
        <v/>
      </c>
      <c r="I134" s="49"/>
      <c r="J134" s="43"/>
      <c r="K134" s="41"/>
      <c r="L134" s="39"/>
      <c r="M134" s="62"/>
      <c r="N134" s="41"/>
      <c r="O134" s="41"/>
      <c r="P134" s="25" t="str">
        <f aca="false">IF(AND($B134="",$E134=""),"",IF(NOT(ISNUMBER($B134)),"日期无效",IF(ISNA(MATCH($C134,参数设置!$A$10:$A$12,0)),"公司无效",IF($D134="","缺批次号",IF(ISNA(MATCH($E134,记账规则!$A$36:$A$38,0)),"业务类型无效",IF(AND($E134&lt;&gt;"加工费用",ISNA(MATCH($F134,商品档案!$A$6:$A$65,0))),"商品编码无效",IF(AND($E134&lt;&gt;"加工费用",IFERROR(INDEX(商品档案!$E$6:$E$65,MATCH($F134,商品档案!$A$6:$A$65,0)),"")&lt;&gt;$C134),"商品不属于该公司",IF(AND($E134&lt;&gt;"加工费用",N($I134)=0),"数量为 0",IF(AND($E134="加工费用",N($J134)=0),"加工费金额为 0",IF(AND($E134="加工费用",ISNA(MATCH($K134,会计科目表!$B$6:$B$85,0))),"对方科目不存在",IF(YEAR($B134)&lt;&gt;参数设置!$B$5,"不在本会计年度","OK")))))))))))</f>
        <v/>
      </c>
      <c r="Q134" s="58" t="str">
        <f aca="false">IF($F134="","",IFERROR(INDEX(商品档案!$G$6:$G$65,MATCH($F134,商品档案!$A$6:$A$65,0)),""))</f>
        <v/>
      </c>
      <c r="R134" s="59" t="str">
        <f aca="false">IF($F134="","",SUMIFS(进销存台账!$N$6:$N$65,进销存台账!$A$6:$A$65,$C134,进销存台账!$B$6:$B$65,$F134))</f>
        <v/>
      </c>
      <c r="S134" s="60" t="n">
        <f aca="false">IF($E134="领用投入",ROUND(N($I134)*N($R134),2),IF($E134="加工费用",ROUND(N($J134),2),0))</f>
        <v>0</v>
      </c>
      <c r="T134" s="60" t="n">
        <f aca="false">IF($E134&lt;&gt;"产成品入库",0,IF(SUMIFS($W$6:$W$305,$C$6:$C$305,$C134,$D$6:$D$305,$D134,$E$6:$E$305,"产成品入库")=0,0,ROUND(SUMIFS($S$6:$S$305,$C$6:$C$305,$C134,$D$6:$D$305,$D134)*N($X134)/SUMIFS($W$6:$W$305,$C$6:$C$305,$C134,$D$6:$D$305,$D134,$E$6:$E$305,"产成品入库"),2)-ROUND(SUMIFS($S$6:$S$305,$C$6:$C$305,$C134,$D$6:$D$305,$D134)*(N($X134)-N($W134))/SUMIFS($W$6:$W$305,$C$6:$C$305,$C134,$D$6:$D$305,$D134,$E$6:$E$305,"产成品入库"),2)))</f>
        <v>0</v>
      </c>
      <c r="U134" s="57" t="str">
        <f aca="false">IF($E134="","",ROUND($S134+$T134,2))</f>
        <v/>
      </c>
      <c r="V134" s="61" t="str">
        <f aca="false">IF($B134="","",YEAR($B134))</f>
        <v/>
      </c>
      <c r="W134" s="63" t="str">
        <f aca="false">IF($E134&lt;&gt;"产成品入库","",IF(N($M134)=0,1,N($M134)))</f>
        <v/>
      </c>
      <c r="X134" s="63" t="str">
        <f aca="false">IF($E134&lt;&gt;"产成品入库","",SUMIFS($W$6:$W134,$C$6:$C134,$C134,$D$6:$D134,$D134,$E$6:$E134,"产成品入库"))</f>
        <v/>
      </c>
    </row>
    <row r="135" customFormat="false" ht="15" hidden="false" customHeight="false" outlineLevel="0" collapsed="false">
      <c r="A135" s="53" t="str">
        <f aca="false">IF($B135="","",ROW()-5)</f>
        <v/>
      </c>
      <c r="B135" s="54"/>
      <c r="C135" s="33"/>
      <c r="D135" s="39"/>
      <c r="E135" s="33"/>
      <c r="F135" s="39"/>
      <c r="G135" s="48" t="str">
        <f aca="false">IF($F135="","",IFERROR(INDEX(商品档案!$B$6:$B$65,MATCH($F135,商品档案!$A$6:$A$65,0)),""))</f>
        <v/>
      </c>
      <c r="H135" s="55" t="str">
        <f aca="false">IF($F135="","",IFERROR(INDEX(商品档案!$D$6:$D$65,MATCH($F135,商品档案!$A$6:$A$65,0)),""))</f>
        <v/>
      </c>
      <c r="I135" s="49"/>
      <c r="J135" s="43"/>
      <c r="K135" s="41"/>
      <c r="L135" s="39"/>
      <c r="M135" s="62"/>
      <c r="N135" s="41"/>
      <c r="O135" s="41"/>
      <c r="P135" s="25" t="str">
        <f aca="false">IF(AND($B135="",$E135=""),"",IF(NOT(ISNUMBER($B135)),"日期无效",IF(ISNA(MATCH($C135,参数设置!$A$10:$A$12,0)),"公司无效",IF($D135="","缺批次号",IF(ISNA(MATCH($E135,记账规则!$A$36:$A$38,0)),"业务类型无效",IF(AND($E135&lt;&gt;"加工费用",ISNA(MATCH($F135,商品档案!$A$6:$A$65,0))),"商品编码无效",IF(AND($E135&lt;&gt;"加工费用",IFERROR(INDEX(商品档案!$E$6:$E$65,MATCH($F135,商品档案!$A$6:$A$65,0)),"")&lt;&gt;$C135),"商品不属于该公司",IF(AND($E135&lt;&gt;"加工费用",N($I135)=0),"数量为 0",IF(AND($E135="加工费用",N($J135)=0),"加工费金额为 0",IF(AND($E135="加工费用",ISNA(MATCH($K135,会计科目表!$B$6:$B$85,0))),"对方科目不存在",IF(YEAR($B135)&lt;&gt;参数设置!$B$5,"不在本会计年度","OK")))))))))))</f>
        <v/>
      </c>
      <c r="Q135" s="58" t="str">
        <f aca="false">IF($F135="","",IFERROR(INDEX(商品档案!$G$6:$G$65,MATCH($F135,商品档案!$A$6:$A$65,0)),""))</f>
        <v/>
      </c>
      <c r="R135" s="59" t="str">
        <f aca="false">IF($F135="","",SUMIFS(进销存台账!$N$6:$N$65,进销存台账!$A$6:$A$65,$C135,进销存台账!$B$6:$B$65,$F135))</f>
        <v/>
      </c>
      <c r="S135" s="60" t="n">
        <f aca="false">IF($E135="领用投入",ROUND(N($I135)*N($R135),2),IF($E135="加工费用",ROUND(N($J135),2),0))</f>
        <v>0</v>
      </c>
      <c r="T135" s="60" t="n">
        <f aca="false">IF($E135&lt;&gt;"产成品入库",0,IF(SUMIFS($W$6:$W$305,$C$6:$C$305,$C135,$D$6:$D$305,$D135,$E$6:$E$305,"产成品入库")=0,0,ROUND(SUMIFS($S$6:$S$305,$C$6:$C$305,$C135,$D$6:$D$305,$D135)*N($X135)/SUMIFS($W$6:$W$305,$C$6:$C$305,$C135,$D$6:$D$305,$D135,$E$6:$E$305,"产成品入库"),2)-ROUND(SUMIFS($S$6:$S$305,$C$6:$C$305,$C135,$D$6:$D$305,$D135)*(N($X135)-N($W135))/SUMIFS($W$6:$W$305,$C$6:$C$305,$C135,$D$6:$D$305,$D135,$E$6:$E$305,"产成品入库"),2)))</f>
        <v>0</v>
      </c>
      <c r="U135" s="57" t="str">
        <f aca="false">IF($E135="","",ROUND($S135+$T135,2))</f>
        <v/>
      </c>
      <c r="V135" s="61" t="str">
        <f aca="false">IF($B135="","",YEAR($B135))</f>
        <v/>
      </c>
      <c r="W135" s="63" t="str">
        <f aca="false">IF($E135&lt;&gt;"产成品入库","",IF(N($M135)=0,1,N($M135)))</f>
        <v/>
      </c>
      <c r="X135" s="63" t="str">
        <f aca="false">IF($E135&lt;&gt;"产成品入库","",SUMIFS($W$6:$W135,$C$6:$C135,$C135,$D$6:$D135,$D135,$E$6:$E135,"产成品入库"))</f>
        <v/>
      </c>
    </row>
    <row r="136" customFormat="false" ht="15" hidden="false" customHeight="false" outlineLevel="0" collapsed="false">
      <c r="A136" s="53" t="str">
        <f aca="false">IF($B136="","",ROW()-5)</f>
        <v/>
      </c>
      <c r="B136" s="54"/>
      <c r="C136" s="33"/>
      <c r="D136" s="39"/>
      <c r="E136" s="33"/>
      <c r="F136" s="39"/>
      <c r="G136" s="48" t="str">
        <f aca="false">IF($F136="","",IFERROR(INDEX(商品档案!$B$6:$B$65,MATCH($F136,商品档案!$A$6:$A$65,0)),""))</f>
        <v/>
      </c>
      <c r="H136" s="55" t="str">
        <f aca="false">IF($F136="","",IFERROR(INDEX(商品档案!$D$6:$D$65,MATCH($F136,商品档案!$A$6:$A$65,0)),""))</f>
        <v/>
      </c>
      <c r="I136" s="49"/>
      <c r="J136" s="43"/>
      <c r="K136" s="41"/>
      <c r="L136" s="39"/>
      <c r="M136" s="62"/>
      <c r="N136" s="41"/>
      <c r="O136" s="41"/>
      <c r="P136" s="25" t="str">
        <f aca="false">IF(AND($B136="",$E136=""),"",IF(NOT(ISNUMBER($B136)),"日期无效",IF(ISNA(MATCH($C136,参数设置!$A$10:$A$12,0)),"公司无效",IF($D136="","缺批次号",IF(ISNA(MATCH($E136,记账规则!$A$36:$A$38,0)),"业务类型无效",IF(AND($E136&lt;&gt;"加工费用",ISNA(MATCH($F136,商品档案!$A$6:$A$65,0))),"商品编码无效",IF(AND($E136&lt;&gt;"加工费用",IFERROR(INDEX(商品档案!$E$6:$E$65,MATCH($F136,商品档案!$A$6:$A$65,0)),"")&lt;&gt;$C136),"商品不属于该公司",IF(AND($E136&lt;&gt;"加工费用",N($I136)=0),"数量为 0",IF(AND($E136="加工费用",N($J136)=0),"加工费金额为 0",IF(AND($E136="加工费用",ISNA(MATCH($K136,会计科目表!$B$6:$B$85,0))),"对方科目不存在",IF(YEAR($B136)&lt;&gt;参数设置!$B$5,"不在本会计年度","OK")))))))))))</f>
        <v/>
      </c>
      <c r="Q136" s="58" t="str">
        <f aca="false">IF($F136="","",IFERROR(INDEX(商品档案!$G$6:$G$65,MATCH($F136,商品档案!$A$6:$A$65,0)),""))</f>
        <v/>
      </c>
      <c r="R136" s="59" t="str">
        <f aca="false">IF($F136="","",SUMIFS(进销存台账!$N$6:$N$65,进销存台账!$A$6:$A$65,$C136,进销存台账!$B$6:$B$65,$F136))</f>
        <v/>
      </c>
      <c r="S136" s="60" t="n">
        <f aca="false">IF($E136="领用投入",ROUND(N($I136)*N($R136),2),IF($E136="加工费用",ROUND(N($J136),2),0))</f>
        <v>0</v>
      </c>
      <c r="T136" s="60" t="n">
        <f aca="false">IF($E136&lt;&gt;"产成品入库",0,IF(SUMIFS($W$6:$W$305,$C$6:$C$305,$C136,$D$6:$D$305,$D136,$E$6:$E$305,"产成品入库")=0,0,ROUND(SUMIFS($S$6:$S$305,$C$6:$C$305,$C136,$D$6:$D$305,$D136)*N($X136)/SUMIFS($W$6:$W$305,$C$6:$C$305,$C136,$D$6:$D$305,$D136,$E$6:$E$305,"产成品入库"),2)-ROUND(SUMIFS($S$6:$S$305,$C$6:$C$305,$C136,$D$6:$D$305,$D136)*(N($X136)-N($W136))/SUMIFS($W$6:$W$305,$C$6:$C$305,$C136,$D$6:$D$305,$D136,$E$6:$E$305,"产成品入库"),2)))</f>
        <v>0</v>
      </c>
      <c r="U136" s="57" t="str">
        <f aca="false">IF($E136="","",ROUND($S136+$T136,2))</f>
        <v/>
      </c>
      <c r="V136" s="61" t="str">
        <f aca="false">IF($B136="","",YEAR($B136))</f>
        <v/>
      </c>
      <c r="W136" s="63" t="str">
        <f aca="false">IF($E136&lt;&gt;"产成品入库","",IF(N($M136)=0,1,N($M136)))</f>
        <v/>
      </c>
      <c r="X136" s="63" t="str">
        <f aca="false">IF($E136&lt;&gt;"产成品入库","",SUMIFS($W$6:$W136,$C$6:$C136,$C136,$D$6:$D136,$D136,$E$6:$E136,"产成品入库"))</f>
        <v/>
      </c>
    </row>
    <row r="137" customFormat="false" ht="15" hidden="false" customHeight="false" outlineLevel="0" collapsed="false">
      <c r="A137" s="53" t="str">
        <f aca="false">IF($B137="","",ROW()-5)</f>
        <v/>
      </c>
      <c r="B137" s="54"/>
      <c r="C137" s="33"/>
      <c r="D137" s="39"/>
      <c r="E137" s="33"/>
      <c r="F137" s="39"/>
      <c r="G137" s="48" t="str">
        <f aca="false">IF($F137="","",IFERROR(INDEX(商品档案!$B$6:$B$65,MATCH($F137,商品档案!$A$6:$A$65,0)),""))</f>
        <v/>
      </c>
      <c r="H137" s="55" t="str">
        <f aca="false">IF($F137="","",IFERROR(INDEX(商品档案!$D$6:$D$65,MATCH($F137,商品档案!$A$6:$A$65,0)),""))</f>
        <v/>
      </c>
      <c r="I137" s="49"/>
      <c r="J137" s="43"/>
      <c r="K137" s="41"/>
      <c r="L137" s="39"/>
      <c r="M137" s="62"/>
      <c r="N137" s="41"/>
      <c r="O137" s="41"/>
      <c r="P137" s="25" t="str">
        <f aca="false">IF(AND($B137="",$E137=""),"",IF(NOT(ISNUMBER($B137)),"日期无效",IF(ISNA(MATCH($C137,参数设置!$A$10:$A$12,0)),"公司无效",IF($D137="","缺批次号",IF(ISNA(MATCH($E137,记账规则!$A$36:$A$38,0)),"业务类型无效",IF(AND($E137&lt;&gt;"加工费用",ISNA(MATCH($F137,商品档案!$A$6:$A$65,0))),"商品编码无效",IF(AND($E137&lt;&gt;"加工费用",IFERROR(INDEX(商品档案!$E$6:$E$65,MATCH($F137,商品档案!$A$6:$A$65,0)),"")&lt;&gt;$C137),"商品不属于该公司",IF(AND($E137&lt;&gt;"加工费用",N($I137)=0),"数量为 0",IF(AND($E137="加工费用",N($J137)=0),"加工费金额为 0",IF(AND($E137="加工费用",ISNA(MATCH($K137,会计科目表!$B$6:$B$85,0))),"对方科目不存在",IF(YEAR($B137)&lt;&gt;参数设置!$B$5,"不在本会计年度","OK")))))))))))</f>
        <v/>
      </c>
      <c r="Q137" s="58" t="str">
        <f aca="false">IF($F137="","",IFERROR(INDEX(商品档案!$G$6:$G$65,MATCH($F137,商品档案!$A$6:$A$65,0)),""))</f>
        <v/>
      </c>
      <c r="R137" s="59" t="str">
        <f aca="false">IF($F137="","",SUMIFS(进销存台账!$N$6:$N$65,进销存台账!$A$6:$A$65,$C137,进销存台账!$B$6:$B$65,$F137))</f>
        <v/>
      </c>
      <c r="S137" s="60" t="n">
        <f aca="false">IF($E137="领用投入",ROUND(N($I137)*N($R137),2),IF($E137="加工费用",ROUND(N($J137),2),0))</f>
        <v>0</v>
      </c>
      <c r="T137" s="60" t="n">
        <f aca="false">IF($E137&lt;&gt;"产成品入库",0,IF(SUMIFS($W$6:$W$305,$C$6:$C$305,$C137,$D$6:$D$305,$D137,$E$6:$E$305,"产成品入库")=0,0,ROUND(SUMIFS($S$6:$S$305,$C$6:$C$305,$C137,$D$6:$D$305,$D137)*N($X137)/SUMIFS($W$6:$W$305,$C$6:$C$305,$C137,$D$6:$D$305,$D137,$E$6:$E$305,"产成品入库"),2)-ROUND(SUMIFS($S$6:$S$305,$C$6:$C$305,$C137,$D$6:$D$305,$D137)*(N($X137)-N($W137))/SUMIFS($W$6:$W$305,$C$6:$C$305,$C137,$D$6:$D$305,$D137,$E$6:$E$305,"产成品入库"),2)))</f>
        <v>0</v>
      </c>
      <c r="U137" s="57" t="str">
        <f aca="false">IF($E137="","",ROUND($S137+$T137,2))</f>
        <v/>
      </c>
      <c r="V137" s="61" t="str">
        <f aca="false">IF($B137="","",YEAR($B137))</f>
        <v/>
      </c>
      <c r="W137" s="63" t="str">
        <f aca="false">IF($E137&lt;&gt;"产成品入库","",IF(N($M137)=0,1,N($M137)))</f>
        <v/>
      </c>
      <c r="X137" s="63" t="str">
        <f aca="false">IF($E137&lt;&gt;"产成品入库","",SUMIFS($W$6:$W137,$C$6:$C137,$C137,$D$6:$D137,$D137,$E$6:$E137,"产成品入库"))</f>
        <v/>
      </c>
    </row>
    <row r="138" customFormat="false" ht="15" hidden="false" customHeight="false" outlineLevel="0" collapsed="false">
      <c r="A138" s="53" t="str">
        <f aca="false">IF($B138="","",ROW()-5)</f>
        <v/>
      </c>
      <c r="B138" s="54"/>
      <c r="C138" s="33"/>
      <c r="D138" s="39"/>
      <c r="E138" s="33"/>
      <c r="F138" s="39"/>
      <c r="G138" s="48" t="str">
        <f aca="false">IF($F138="","",IFERROR(INDEX(商品档案!$B$6:$B$65,MATCH($F138,商品档案!$A$6:$A$65,0)),""))</f>
        <v/>
      </c>
      <c r="H138" s="55" t="str">
        <f aca="false">IF($F138="","",IFERROR(INDEX(商品档案!$D$6:$D$65,MATCH($F138,商品档案!$A$6:$A$65,0)),""))</f>
        <v/>
      </c>
      <c r="I138" s="49"/>
      <c r="J138" s="43"/>
      <c r="K138" s="41"/>
      <c r="L138" s="39"/>
      <c r="M138" s="62"/>
      <c r="N138" s="41"/>
      <c r="O138" s="41"/>
      <c r="P138" s="25" t="str">
        <f aca="false">IF(AND($B138="",$E138=""),"",IF(NOT(ISNUMBER($B138)),"日期无效",IF(ISNA(MATCH($C138,参数设置!$A$10:$A$12,0)),"公司无效",IF($D138="","缺批次号",IF(ISNA(MATCH($E138,记账规则!$A$36:$A$38,0)),"业务类型无效",IF(AND($E138&lt;&gt;"加工费用",ISNA(MATCH($F138,商品档案!$A$6:$A$65,0))),"商品编码无效",IF(AND($E138&lt;&gt;"加工费用",IFERROR(INDEX(商品档案!$E$6:$E$65,MATCH($F138,商品档案!$A$6:$A$65,0)),"")&lt;&gt;$C138),"商品不属于该公司",IF(AND($E138&lt;&gt;"加工费用",N($I138)=0),"数量为 0",IF(AND($E138="加工费用",N($J138)=0),"加工费金额为 0",IF(AND($E138="加工费用",ISNA(MATCH($K138,会计科目表!$B$6:$B$85,0))),"对方科目不存在",IF(YEAR($B138)&lt;&gt;参数设置!$B$5,"不在本会计年度","OK")))))))))))</f>
        <v/>
      </c>
      <c r="Q138" s="58" t="str">
        <f aca="false">IF($F138="","",IFERROR(INDEX(商品档案!$G$6:$G$65,MATCH($F138,商品档案!$A$6:$A$65,0)),""))</f>
        <v/>
      </c>
      <c r="R138" s="59" t="str">
        <f aca="false">IF($F138="","",SUMIFS(进销存台账!$N$6:$N$65,进销存台账!$A$6:$A$65,$C138,进销存台账!$B$6:$B$65,$F138))</f>
        <v/>
      </c>
      <c r="S138" s="60" t="n">
        <f aca="false">IF($E138="领用投入",ROUND(N($I138)*N($R138),2),IF($E138="加工费用",ROUND(N($J138),2),0))</f>
        <v>0</v>
      </c>
      <c r="T138" s="60" t="n">
        <f aca="false">IF($E138&lt;&gt;"产成品入库",0,IF(SUMIFS($W$6:$W$305,$C$6:$C$305,$C138,$D$6:$D$305,$D138,$E$6:$E$305,"产成品入库")=0,0,ROUND(SUMIFS($S$6:$S$305,$C$6:$C$305,$C138,$D$6:$D$305,$D138)*N($X138)/SUMIFS($W$6:$W$305,$C$6:$C$305,$C138,$D$6:$D$305,$D138,$E$6:$E$305,"产成品入库"),2)-ROUND(SUMIFS($S$6:$S$305,$C$6:$C$305,$C138,$D$6:$D$305,$D138)*(N($X138)-N($W138))/SUMIFS($W$6:$W$305,$C$6:$C$305,$C138,$D$6:$D$305,$D138,$E$6:$E$305,"产成品入库"),2)))</f>
        <v>0</v>
      </c>
      <c r="U138" s="57" t="str">
        <f aca="false">IF($E138="","",ROUND($S138+$T138,2))</f>
        <v/>
      </c>
      <c r="V138" s="61" t="str">
        <f aca="false">IF($B138="","",YEAR($B138))</f>
        <v/>
      </c>
      <c r="W138" s="63" t="str">
        <f aca="false">IF($E138&lt;&gt;"产成品入库","",IF(N($M138)=0,1,N($M138)))</f>
        <v/>
      </c>
      <c r="X138" s="63" t="str">
        <f aca="false">IF($E138&lt;&gt;"产成品入库","",SUMIFS($W$6:$W138,$C$6:$C138,$C138,$D$6:$D138,$D138,$E$6:$E138,"产成品入库"))</f>
        <v/>
      </c>
    </row>
    <row r="139" customFormat="false" ht="15" hidden="false" customHeight="false" outlineLevel="0" collapsed="false">
      <c r="A139" s="53" t="str">
        <f aca="false">IF($B139="","",ROW()-5)</f>
        <v/>
      </c>
      <c r="B139" s="54"/>
      <c r="C139" s="33"/>
      <c r="D139" s="39"/>
      <c r="E139" s="33"/>
      <c r="F139" s="39"/>
      <c r="G139" s="48" t="str">
        <f aca="false">IF($F139="","",IFERROR(INDEX(商品档案!$B$6:$B$65,MATCH($F139,商品档案!$A$6:$A$65,0)),""))</f>
        <v/>
      </c>
      <c r="H139" s="55" t="str">
        <f aca="false">IF($F139="","",IFERROR(INDEX(商品档案!$D$6:$D$65,MATCH($F139,商品档案!$A$6:$A$65,0)),""))</f>
        <v/>
      </c>
      <c r="I139" s="49"/>
      <c r="J139" s="43"/>
      <c r="K139" s="41"/>
      <c r="L139" s="39"/>
      <c r="M139" s="62"/>
      <c r="N139" s="41"/>
      <c r="O139" s="41"/>
      <c r="P139" s="25" t="str">
        <f aca="false">IF(AND($B139="",$E139=""),"",IF(NOT(ISNUMBER($B139)),"日期无效",IF(ISNA(MATCH($C139,参数设置!$A$10:$A$12,0)),"公司无效",IF($D139="","缺批次号",IF(ISNA(MATCH($E139,记账规则!$A$36:$A$38,0)),"业务类型无效",IF(AND($E139&lt;&gt;"加工费用",ISNA(MATCH($F139,商品档案!$A$6:$A$65,0))),"商品编码无效",IF(AND($E139&lt;&gt;"加工费用",IFERROR(INDEX(商品档案!$E$6:$E$65,MATCH($F139,商品档案!$A$6:$A$65,0)),"")&lt;&gt;$C139),"商品不属于该公司",IF(AND($E139&lt;&gt;"加工费用",N($I139)=0),"数量为 0",IF(AND($E139="加工费用",N($J139)=0),"加工费金额为 0",IF(AND($E139="加工费用",ISNA(MATCH($K139,会计科目表!$B$6:$B$85,0))),"对方科目不存在",IF(YEAR($B139)&lt;&gt;参数设置!$B$5,"不在本会计年度","OK")))))))))))</f>
        <v/>
      </c>
      <c r="Q139" s="58" t="str">
        <f aca="false">IF($F139="","",IFERROR(INDEX(商品档案!$G$6:$G$65,MATCH($F139,商品档案!$A$6:$A$65,0)),""))</f>
        <v/>
      </c>
      <c r="R139" s="59" t="str">
        <f aca="false">IF($F139="","",SUMIFS(进销存台账!$N$6:$N$65,进销存台账!$A$6:$A$65,$C139,进销存台账!$B$6:$B$65,$F139))</f>
        <v/>
      </c>
      <c r="S139" s="60" t="n">
        <f aca="false">IF($E139="领用投入",ROUND(N($I139)*N($R139),2),IF($E139="加工费用",ROUND(N($J139),2),0))</f>
        <v>0</v>
      </c>
      <c r="T139" s="60" t="n">
        <f aca="false">IF($E139&lt;&gt;"产成品入库",0,IF(SUMIFS($W$6:$W$305,$C$6:$C$305,$C139,$D$6:$D$305,$D139,$E$6:$E$305,"产成品入库")=0,0,ROUND(SUMIFS($S$6:$S$305,$C$6:$C$305,$C139,$D$6:$D$305,$D139)*N($X139)/SUMIFS($W$6:$W$305,$C$6:$C$305,$C139,$D$6:$D$305,$D139,$E$6:$E$305,"产成品入库"),2)-ROUND(SUMIFS($S$6:$S$305,$C$6:$C$305,$C139,$D$6:$D$305,$D139)*(N($X139)-N($W139))/SUMIFS($W$6:$W$305,$C$6:$C$305,$C139,$D$6:$D$305,$D139,$E$6:$E$305,"产成品入库"),2)))</f>
        <v>0</v>
      </c>
      <c r="U139" s="57" t="str">
        <f aca="false">IF($E139="","",ROUND($S139+$T139,2))</f>
        <v/>
      </c>
      <c r="V139" s="61" t="str">
        <f aca="false">IF($B139="","",YEAR($B139))</f>
        <v/>
      </c>
      <c r="W139" s="63" t="str">
        <f aca="false">IF($E139&lt;&gt;"产成品入库","",IF(N($M139)=0,1,N($M139)))</f>
        <v/>
      </c>
      <c r="X139" s="63" t="str">
        <f aca="false">IF($E139&lt;&gt;"产成品入库","",SUMIFS($W$6:$W139,$C$6:$C139,$C139,$D$6:$D139,$D139,$E$6:$E139,"产成品入库"))</f>
        <v/>
      </c>
    </row>
    <row r="140" customFormat="false" ht="15" hidden="false" customHeight="false" outlineLevel="0" collapsed="false">
      <c r="A140" s="53" t="str">
        <f aca="false">IF($B140="","",ROW()-5)</f>
        <v/>
      </c>
      <c r="B140" s="54"/>
      <c r="C140" s="33"/>
      <c r="D140" s="39"/>
      <c r="E140" s="33"/>
      <c r="F140" s="39"/>
      <c r="G140" s="48" t="str">
        <f aca="false">IF($F140="","",IFERROR(INDEX(商品档案!$B$6:$B$65,MATCH($F140,商品档案!$A$6:$A$65,0)),""))</f>
        <v/>
      </c>
      <c r="H140" s="55" t="str">
        <f aca="false">IF($F140="","",IFERROR(INDEX(商品档案!$D$6:$D$65,MATCH($F140,商品档案!$A$6:$A$65,0)),""))</f>
        <v/>
      </c>
      <c r="I140" s="49"/>
      <c r="J140" s="43"/>
      <c r="K140" s="41"/>
      <c r="L140" s="39"/>
      <c r="M140" s="62"/>
      <c r="N140" s="41"/>
      <c r="O140" s="41"/>
      <c r="P140" s="25" t="str">
        <f aca="false">IF(AND($B140="",$E140=""),"",IF(NOT(ISNUMBER($B140)),"日期无效",IF(ISNA(MATCH($C140,参数设置!$A$10:$A$12,0)),"公司无效",IF($D140="","缺批次号",IF(ISNA(MATCH($E140,记账规则!$A$36:$A$38,0)),"业务类型无效",IF(AND($E140&lt;&gt;"加工费用",ISNA(MATCH($F140,商品档案!$A$6:$A$65,0))),"商品编码无效",IF(AND($E140&lt;&gt;"加工费用",IFERROR(INDEX(商品档案!$E$6:$E$65,MATCH($F140,商品档案!$A$6:$A$65,0)),"")&lt;&gt;$C140),"商品不属于该公司",IF(AND($E140&lt;&gt;"加工费用",N($I140)=0),"数量为 0",IF(AND($E140="加工费用",N($J140)=0),"加工费金额为 0",IF(AND($E140="加工费用",ISNA(MATCH($K140,会计科目表!$B$6:$B$85,0))),"对方科目不存在",IF(YEAR($B140)&lt;&gt;参数设置!$B$5,"不在本会计年度","OK")))))))))))</f>
        <v/>
      </c>
      <c r="Q140" s="58" t="str">
        <f aca="false">IF($F140="","",IFERROR(INDEX(商品档案!$G$6:$G$65,MATCH($F140,商品档案!$A$6:$A$65,0)),""))</f>
        <v/>
      </c>
      <c r="R140" s="59" t="str">
        <f aca="false">IF($F140="","",SUMIFS(进销存台账!$N$6:$N$65,进销存台账!$A$6:$A$65,$C140,进销存台账!$B$6:$B$65,$F140))</f>
        <v/>
      </c>
      <c r="S140" s="60" t="n">
        <f aca="false">IF($E140="领用投入",ROUND(N($I140)*N($R140),2),IF($E140="加工费用",ROUND(N($J140),2),0))</f>
        <v>0</v>
      </c>
      <c r="T140" s="60" t="n">
        <f aca="false">IF($E140&lt;&gt;"产成品入库",0,IF(SUMIFS($W$6:$W$305,$C$6:$C$305,$C140,$D$6:$D$305,$D140,$E$6:$E$305,"产成品入库")=0,0,ROUND(SUMIFS($S$6:$S$305,$C$6:$C$305,$C140,$D$6:$D$305,$D140)*N($X140)/SUMIFS($W$6:$W$305,$C$6:$C$305,$C140,$D$6:$D$305,$D140,$E$6:$E$305,"产成品入库"),2)-ROUND(SUMIFS($S$6:$S$305,$C$6:$C$305,$C140,$D$6:$D$305,$D140)*(N($X140)-N($W140))/SUMIFS($W$6:$W$305,$C$6:$C$305,$C140,$D$6:$D$305,$D140,$E$6:$E$305,"产成品入库"),2)))</f>
        <v>0</v>
      </c>
      <c r="U140" s="57" t="str">
        <f aca="false">IF($E140="","",ROUND($S140+$T140,2))</f>
        <v/>
      </c>
      <c r="V140" s="61" t="str">
        <f aca="false">IF($B140="","",YEAR($B140))</f>
        <v/>
      </c>
      <c r="W140" s="63" t="str">
        <f aca="false">IF($E140&lt;&gt;"产成品入库","",IF(N($M140)=0,1,N($M140)))</f>
        <v/>
      </c>
      <c r="X140" s="63" t="str">
        <f aca="false">IF($E140&lt;&gt;"产成品入库","",SUMIFS($W$6:$W140,$C$6:$C140,$C140,$D$6:$D140,$D140,$E$6:$E140,"产成品入库"))</f>
        <v/>
      </c>
    </row>
    <row r="141" customFormat="false" ht="15" hidden="false" customHeight="false" outlineLevel="0" collapsed="false">
      <c r="A141" s="53" t="str">
        <f aca="false">IF($B141="","",ROW()-5)</f>
        <v/>
      </c>
      <c r="B141" s="54"/>
      <c r="C141" s="33"/>
      <c r="D141" s="39"/>
      <c r="E141" s="33"/>
      <c r="F141" s="39"/>
      <c r="G141" s="48" t="str">
        <f aca="false">IF($F141="","",IFERROR(INDEX(商品档案!$B$6:$B$65,MATCH($F141,商品档案!$A$6:$A$65,0)),""))</f>
        <v/>
      </c>
      <c r="H141" s="55" t="str">
        <f aca="false">IF($F141="","",IFERROR(INDEX(商品档案!$D$6:$D$65,MATCH($F141,商品档案!$A$6:$A$65,0)),""))</f>
        <v/>
      </c>
      <c r="I141" s="49"/>
      <c r="J141" s="43"/>
      <c r="K141" s="41"/>
      <c r="L141" s="39"/>
      <c r="M141" s="62"/>
      <c r="N141" s="41"/>
      <c r="O141" s="41"/>
      <c r="P141" s="25" t="str">
        <f aca="false">IF(AND($B141="",$E141=""),"",IF(NOT(ISNUMBER($B141)),"日期无效",IF(ISNA(MATCH($C141,参数设置!$A$10:$A$12,0)),"公司无效",IF($D141="","缺批次号",IF(ISNA(MATCH($E141,记账规则!$A$36:$A$38,0)),"业务类型无效",IF(AND($E141&lt;&gt;"加工费用",ISNA(MATCH($F141,商品档案!$A$6:$A$65,0))),"商品编码无效",IF(AND($E141&lt;&gt;"加工费用",IFERROR(INDEX(商品档案!$E$6:$E$65,MATCH($F141,商品档案!$A$6:$A$65,0)),"")&lt;&gt;$C141),"商品不属于该公司",IF(AND($E141&lt;&gt;"加工费用",N($I141)=0),"数量为 0",IF(AND($E141="加工费用",N($J141)=0),"加工费金额为 0",IF(AND($E141="加工费用",ISNA(MATCH($K141,会计科目表!$B$6:$B$85,0))),"对方科目不存在",IF(YEAR($B141)&lt;&gt;参数设置!$B$5,"不在本会计年度","OK")))))))))))</f>
        <v/>
      </c>
      <c r="Q141" s="58" t="str">
        <f aca="false">IF($F141="","",IFERROR(INDEX(商品档案!$G$6:$G$65,MATCH($F141,商品档案!$A$6:$A$65,0)),""))</f>
        <v/>
      </c>
      <c r="R141" s="59" t="str">
        <f aca="false">IF($F141="","",SUMIFS(进销存台账!$N$6:$N$65,进销存台账!$A$6:$A$65,$C141,进销存台账!$B$6:$B$65,$F141))</f>
        <v/>
      </c>
      <c r="S141" s="60" t="n">
        <f aca="false">IF($E141="领用投入",ROUND(N($I141)*N($R141),2),IF($E141="加工费用",ROUND(N($J141),2),0))</f>
        <v>0</v>
      </c>
      <c r="T141" s="60" t="n">
        <f aca="false">IF($E141&lt;&gt;"产成品入库",0,IF(SUMIFS($W$6:$W$305,$C$6:$C$305,$C141,$D$6:$D$305,$D141,$E$6:$E$305,"产成品入库")=0,0,ROUND(SUMIFS($S$6:$S$305,$C$6:$C$305,$C141,$D$6:$D$305,$D141)*N($X141)/SUMIFS($W$6:$W$305,$C$6:$C$305,$C141,$D$6:$D$305,$D141,$E$6:$E$305,"产成品入库"),2)-ROUND(SUMIFS($S$6:$S$305,$C$6:$C$305,$C141,$D$6:$D$305,$D141)*(N($X141)-N($W141))/SUMIFS($W$6:$W$305,$C$6:$C$305,$C141,$D$6:$D$305,$D141,$E$6:$E$305,"产成品入库"),2)))</f>
        <v>0</v>
      </c>
      <c r="U141" s="57" t="str">
        <f aca="false">IF($E141="","",ROUND($S141+$T141,2))</f>
        <v/>
      </c>
      <c r="V141" s="61" t="str">
        <f aca="false">IF($B141="","",YEAR($B141))</f>
        <v/>
      </c>
      <c r="W141" s="63" t="str">
        <f aca="false">IF($E141&lt;&gt;"产成品入库","",IF(N($M141)=0,1,N($M141)))</f>
        <v/>
      </c>
      <c r="X141" s="63" t="str">
        <f aca="false">IF($E141&lt;&gt;"产成品入库","",SUMIFS($W$6:$W141,$C$6:$C141,$C141,$D$6:$D141,$D141,$E$6:$E141,"产成品入库"))</f>
        <v/>
      </c>
    </row>
    <row r="142" customFormat="false" ht="15" hidden="false" customHeight="false" outlineLevel="0" collapsed="false">
      <c r="A142" s="53" t="str">
        <f aca="false">IF($B142="","",ROW()-5)</f>
        <v/>
      </c>
      <c r="B142" s="54"/>
      <c r="C142" s="33"/>
      <c r="D142" s="39"/>
      <c r="E142" s="33"/>
      <c r="F142" s="39"/>
      <c r="G142" s="48" t="str">
        <f aca="false">IF($F142="","",IFERROR(INDEX(商品档案!$B$6:$B$65,MATCH($F142,商品档案!$A$6:$A$65,0)),""))</f>
        <v/>
      </c>
      <c r="H142" s="55" t="str">
        <f aca="false">IF($F142="","",IFERROR(INDEX(商品档案!$D$6:$D$65,MATCH($F142,商品档案!$A$6:$A$65,0)),""))</f>
        <v/>
      </c>
      <c r="I142" s="49"/>
      <c r="J142" s="43"/>
      <c r="K142" s="41"/>
      <c r="L142" s="39"/>
      <c r="M142" s="62"/>
      <c r="N142" s="41"/>
      <c r="O142" s="41"/>
      <c r="P142" s="25" t="str">
        <f aca="false">IF(AND($B142="",$E142=""),"",IF(NOT(ISNUMBER($B142)),"日期无效",IF(ISNA(MATCH($C142,参数设置!$A$10:$A$12,0)),"公司无效",IF($D142="","缺批次号",IF(ISNA(MATCH($E142,记账规则!$A$36:$A$38,0)),"业务类型无效",IF(AND($E142&lt;&gt;"加工费用",ISNA(MATCH($F142,商品档案!$A$6:$A$65,0))),"商品编码无效",IF(AND($E142&lt;&gt;"加工费用",IFERROR(INDEX(商品档案!$E$6:$E$65,MATCH($F142,商品档案!$A$6:$A$65,0)),"")&lt;&gt;$C142),"商品不属于该公司",IF(AND($E142&lt;&gt;"加工费用",N($I142)=0),"数量为 0",IF(AND($E142="加工费用",N($J142)=0),"加工费金额为 0",IF(AND($E142="加工费用",ISNA(MATCH($K142,会计科目表!$B$6:$B$85,0))),"对方科目不存在",IF(YEAR($B142)&lt;&gt;参数设置!$B$5,"不在本会计年度","OK")))))))))))</f>
        <v/>
      </c>
      <c r="Q142" s="58" t="str">
        <f aca="false">IF($F142="","",IFERROR(INDEX(商品档案!$G$6:$G$65,MATCH($F142,商品档案!$A$6:$A$65,0)),""))</f>
        <v/>
      </c>
      <c r="R142" s="59" t="str">
        <f aca="false">IF($F142="","",SUMIFS(进销存台账!$N$6:$N$65,进销存台账!$A$6:$A$65,$C142,进销存台账!$B$6:$B$65,$F142))</f>
        <v/>
      </c>
      <c r="S142" s="60" t="n">
        <f aca="false">IF($E142="领用投入",ROUND(N($I142)*N($R142),2),IF($E142="加工费用",ROUND(N($J142),2),0))</f>
        <v>0</v>
      </c>
      <c r="T142" s="60" t="n">
        <f aca="false">IF($E142&lt;&gt;"产成品入库",0,IF(SUMIFS($W$6:$W$305,$C$6:$C$305,$C142,$D$6:$D$305,$D142,$E$6:$E$305,"产成品入库")=0,0,ROUND(SUMIFS($S$6:$S$305,$C$6:$C$305,$C142,$D$6:$D$305,$D142)*N($X142)/SUMIFS($W$6:$W$305,$C$6:$C$305,$C142,$D$6:$D$305,$D142,$E$6:$E$305,"产成品入库"),2)-ROUND(SUMIFS($S$6:$S$305,$C$6:$C$305,$C142,$D$6:$D$305,$D142)*(N($X142)-N($W142))/SUMIFS($W$6:$W$305,$C$6:$C$305,$C142,$D$6:$D$305,$D142,$E$6:$E$305,"产成品入库"),2)))</f>
        <v>0</v>
      </c>
      <c r="U142" s="57" t="str">
        <f aca="false">IF($E142="","",ROUND($S142+$T142,2))</f>
        <v/>
      </c>
      <c r="V142" s="61" t="str">
        <f aca="false">IF($B142="","",YEAR($B142))</f>
        <v/>
      </c>
      <c r="W142" s="63" t="str">
        <f aca="false">IF($E142&lt;&gt;"产成品入库","",IF(N($M142)=0,1,N($M142)))</f>
        <v/>
      </c>
      <c r="X142" s="63" t="str">
        <f aca="false">IF($E142&lt;&gt;"产成品入库","",SUMIFS($W$6:$W142,$C$6:$C142,$C142,$D$6:$D142,$D142,$E$6:$E142,"产成品入库"))</f>
        <v/>
      </c>
    </row>
    <row r="143" customFormat="false" ht="15" hidden="false" customHeight="false" outlineLevel="0" collapsed="false">
      <c r="A143" s="53" t="str">
        <f aca="false">IF($B143="","",ROW()-5)</f>
        <v/>
      </c>
      <c r="B143" s="54"/>
      <c r="C143" s="33"/>
      <c r="D143" s="39"/>
      <c r="E143" s="33"/>
      <c r="F143" s="39"/>
      <c r="G143" s="48" t="str">
        <f aca="false">IF($F143="","",IFERROR(INDEX(商品档案!$B$6:$B$65,MATCH($F143,商品档案!$A$6:$A$65,0)),""))</f>
        <v/>
      </c>
      <c r="H143" s="55" t="str">
        <f aca="false">IF($F143="","",IFERROR(INDEX(商品档案!$D$6:$D$65,MATCH($F143,商品档案!$A$6:$A$65,0)),""))</f>
        <v/>
      </c>
      <c r="I143" s="49"/>
      <c r="J143" s="43"/>
      <c r="K143" s="41"/>
      <c r="L143" s="39"/>
      <c r="M143" s="62"/>
      <c r="N143" s="41"/>
      <c r="O143" s="41"/>
      <c r="P143" s="25" t="str">
        <f aca="false">IF(AND($B143="",$E143=""),"",IF(NOT(ISNUMBER($B143)),"日期无效",IF(ISNA(MATCH($C143,参数设置!$A$10:$A$12,0)),"公司无效",IF($D143="","缺批次号",IF(ISNA(MATCH($E143,记账规则!$A$36:$A$38,0)),"业务类型无效",IF(AND($E143&lt;&gt;"加工费用",ISNA(MATCH($F143,商品档案!$A$6:$A$65,0))),"商品编码无效",IF(AND($E143&lt;&gt;"加工费用",IFERROR(INDEX(商品档案!$E$6:$E$65,MATCH($F143,商品档案!$A$6:$A$65,0)),"")&lt;&gt;$C143),"商品不属于该公司",IF(AND($E143&lt;&gt;"加工费用",N($I143)=0),"数量为 0",IF(AND($E143="加工费用",N($J143)=0),"加工费金额为 0",IF(AND($E143="加工费用",ISNA(MATCH($K143,会计科目表!$B$6:$B$85,0))),"对方科目不存在",IF(YEAR($B143)&lt;&gt;参数设置!$B$5,"不在本会计年度","OK")))))))))))</f>
        <v/>
      </c>
      <c r="Q143" s="58" t="str">
        <f aca="false">IF($F143="","",IFERROR(INDEX(商品档案!$G$6:$G$65,MATCH($F143,商品档案!$A$6:$A$65,0)),""))</f>
        <v/>
      </c>
      <c r="R143" s="59" t="str">
        <f aca="false">IF($F143="","",SUMIFS(进销存台账!$N$6:$N$65,进销存台账!$A$6:$A$65,$C143,进销存台账!$B$6:$B$65,$F143))</f>
        <v/>
      </c>
      <c r="S143" s="60" t="n">
        <f aca="false">IF($E143="领用投入",ROUND(N($I143)*N($R143),2),IF($E143="加工费用",ROUND(N($J143),2),0))</f>
        <v>0</v>
      </c>
      <c r="T143" s="60" t="n">
        <f aca="false">IF($E143&lt;&gt;"产成品入库",0,IF(SUMIFS($W$6:$W$305,$C$6:$C$305,$C143,$D$6:$D$305,$D143,$E$6:$E$305,"产成品入库")=0,0,ROUND(SUMIFS($S$6:$S$305,$C$6:$C$305,$C143,$D$6:$D$305,$D143)*N($X143)/SUMIFS($W$6:$W$305,$C$6:$C$305,$C143,$D$6:$D$305,$D143,$E$6:$E$305,"产成品入库"),2)-ROUND(SUMIFS($S$6:$S$305,$C$6:$C$305,$C143,$D$6:$D$305,$D143)*(N($X143)-N($W143))/SUMIFS($W$6:$W$305,$C$6:$C$305,$C143,$D$6:$D$305,$D143,$E$6:$E$305,"产成品入库"),2)))</f>
        <v>0</v>
      </c>
      <c r="U143" s="57" t="str">
        <f aca="false">IF($E143="","",ROUND($S143+$T143,2))</f>
        <v/>
      </c>
      <c r="V143" s="61" t="str">
        <f aca="false">IF($B143="","",YEAR($B143))</f>
        <v/>
      </c>
      <c r="W143" s="63" t="str">
        <f aca="false">IF($E143&lt;&gt;"产成品入库","",IF(N($M143)=0,1,N($M143)))</f>
        <v/>
      </c>
      <c r="X143" s="63" t="str">
        <f aca="false">IF($E143&lt;&gt;"产成品入库","",SUMIFS($W$6:$W143,$C$6:$C143,$C143,$D$6:$D143,$D143,$E$6:$E143,"产成品入库"))</f>
        <v/>
      </c>
    </row>
    <row r="144" customFormat="false" ht="15" hidden="false" customHeight="false" outlineLevel="0" collapsed="false">
      <c r="A144" s="53" t="str">
        <f aca="false">IF($B144="","",ROW()-5)</f>
        <v/>
      </c>
      <c r="B144" s="54"/>
      <c r="C144" s="33"/>
      <c r="D144" s="39"/>
      <c r="E144" s="33"/>
      <c r="F144" s="39"/>
      <c r="G144" s="48" t="str">
        <f aca="false">IF($F144="","",IFERROR(INDEX(商品档案!$B$6:$B$65,MATCH($F144,商品档案!$A$6:$A$65,0)),""))</f>
        <v/>
      </c>
      <c r="H144" s="55" t="str">
        <f aca="false">IF($F144="","",IFERROR(INDEX(商品档案!$D$6:$D$65,MATCH($F144,商品档案!$A$6:$A$65,0)),""))</f>
        <v/>
      </c>
      <c r="I144" s="49"/>
      <c r="J144" s="43"/>
      <c r="K144" s="41"/>
      <c r="L144" s="39"/>
      <c r="M144" s="62"/>
      <c r="N144" s="41"/>
      <c r="O144" s="41"/>
      <c r="P144" s="25" t="str">
        <f aca="false">IF(AND($B144="",$E144=""),"",IF(NOT(ISNUMBER($B144)),"日期无效",IF(ISNA(MATCH($C144,参数设置!$A$10:$A$12,0)),"公司无效",IF($D144="","缺批次号",IF(ISNA(MATCH($E144,记账规则!$A$36:$A$38,0)),"业务类型无效",IF(AND($E144&lt;&gt;"加工费用",ISNA(MATCH($F144,商品档案!$A$6:$A$65,0))),"商品编码无效",IF(AND($E144&lt;&gt;"加工费用",IFERROR(INDEX(商品档案!$E$6:$E$65,MATCH($F144,商品档案!$A$6:$A$65,0)),"")&lt;&gt;$C144),"商品不属于该公司",IF(AND($E144&lt;&gt;"加工费用",N($I144)=0),"数量为 0",IF(AND($E144="加工费用",N($J144)=0),"加工费金额为 0",IF(AND($E144="加工费用",ISNA(MATCH($K144,会计科目表!$B$6:$B$85,0))),"对方科目不存在",IF(YEAR($B144)&lt;&gt;参数设置!$B$5,"不在本会计年度","OK")))))))))))</f>
        <v/>
      </c>
      <c r="Q144" s="58" t="str">
        <f aca="false">IF($F144="","",IFERROR(INDEX(商品档案!$G$6:$G$65,MATCH($F144,商品档案!$A$6:$A$65,0)),""))</f>
        <v/>
      </c>
      <c r="R144" s="59" t="str">
        <f aca="false">IF($F144="","",SUMIFS(进销存台账!$N$6:$N$65,进销存台账!$A$6:$A$65,$C144,进销存台账!$B$6:$B$65,$F144))</f>
        <v/>
      </c>
      <c r="S144" s="60" t="n">
        <f aca="false">IF($E144="领用投入",ROUND(N($I144)*N($R144),2),IF($E144="加工费用",ROUND(N($J144),2),0))</f>
        <v>0</v>
      </c>
      <c r="T144" s="60" t="n">
        <f aca="false">IF($E144&lt;&gt;"产成品入库",0,IF(SUMIFS($W$6:$W$305,$C$6:$C$305,$C144,$D$6:$D$305,$D144,$E$6:$E$305,"产成品入库")=0,0,ROUND(SUMIFS($S$6:$S$305,$C$6:$C$305,$C144,$D$6:$D$305,$D144)*N($X144)/SUMIFS($W$6:$W$305,$C$6:$C$305,$C144,$D$6:$D$305,$D144,$E$6:$E$305,"产成品入库"),2)-ROUND(SUMIFS($S$6:$S$305,$C$6:$C$305,$C144,$D$6:$D$305,$D144)*(N($X144)-N($W144))/SUMIFS($W$6:$W$305,$C$6:$C$305,$C144,$D$6:$D$305,$D144,$E$6:$E$305,"产成品入库"),2)))</f>
        <v>0</v>
      </c>
      <c r="U144" s="57" t="str">
        <f aca="false">IF($E144="","",ROUND($S144+$T144,2))</f>
        <v/>
      </c>
      <c r="V144" s="61" t="str">
        <f aca="false">IF($B144="","",YEAR($B144))</f>
        <v/>
      </c>
      <c r="W144" s="63" t="str">
        <f aca="false">IF($E144&lt;&gt;"产成品入库","",IF(N($M144)=0,1,N($M144)))</f>
        <v/>
      </c>
      <c r="X144" s="63" t="str">
        <f aca="false">IF($E144&lt;&gt;"产成品入库","",SUMIFS($W$6:$W144,$C$6:$C144,$C144,$D$6:$D144,$D144,$E$6:$E144,"产成品入库"))</f>
        <v/>
      </c>
    </row>
    <row r="145" customFormat="false" ht="15" hidden="false" customHeight="false" outlineLevel="0" collapsed="false">
      <c r="A145" s="53" t="str">
        <f aca="false">IF($B145="","",ROW()-5)</f>
        <v/>
      </c>
      <c r="B145" s="54"/>
      <c r="C145" s="33"/>
      <c r="D145" s="39"/>
      <c r="E145" s="33"/>
      <c r="F145" s="39"/>
      <c r="G145" s="48" t="str">
        <f aca="false">IF($F145="","",IFERROR(INDEX(商品档案!$B$6:$B$65,MATCH($F145,商品档案!$A$6:$A$65,0)),""))</f>
        <v/>
      </c>
      <c r="H145" s="55" t="str">
        <f aca="false">IF($F145="","",IFERROR(INDEX(商品档案!$D$6:$D$65,MATCH($F145,商品档案!$A$6:$A$65,0)),""))</f>
        <v/>
      </c>
      <c r="I145" s="49"/>
      <c r="J145" s="43"/>
      <c r="K145" s="41"/>
      <c r="L145" s="39"/>
      <c r="M145" s="62"/>
      <c r="N145" s="41"/>
      <c r="O145" s="41"/>
      <c r="P145" s="25" t="str">
        <f aca="false">IF(AND($B145="",$E145=""),"",IF(NOT(ISNUMBER($B145)),"日期无效",IF(ISNA(MATCH($C145,参数设置!$A$10:$A$12,0)),"公司无效",IF($D145="","缺批次号",IF(ISNA(MATCH($E145,记账规则!$A$36:$A$38,0)),"业务类型无效",IF(AND($E145&lt;&gt;"加工费用",ISNA(MATCH($F145,商品档案!$A$6:$A$65,0))),"商品编码无效",IF(AND($E145&lt;&gt;"加工费用",IFERROR(INDEX(商品档案!$E$6:$E$65,MATCH($F145,商品档案!$A$6:$A$65,0)),"")&lt;&gt;$C145),"商品不属于该公司",IF(AND($E145&lt;&gt;"加工费用",N($I145)=0),"数量为 0",IF(AND($E145="加工费用",N($J145)=0),"加工费金额为 0",IF(AND($E145="加工费用",ISNA(MATCH($K145,会计科目表!$B$6:$B$85,0))),"对方科目不存在",IF(YEAR($B145)&lt;&gt;参数设置!$B$5,"不在本会计年度","OK")))))))))))</f>
        <v/>
      </c>
      <c r="Q145" s="58" t="str">
        <f aca="false">IF($F145="","",IFERROR(INDEX(商品档案!$G$6:$G$65,MATCH($F145,商品档案!$A$6:$A$65,0)),""))</f>
        <v/>
      </c>
      <c r="R145" s="59" t="str">
        <f aca="false">IF($F145="","",SUMIFS(进销存台账!$N$6:$N$65,进销存台账!$A$6:$A$65,$C145,进销存台账!$B$6:$B$65,$F145))</f>
        <v/>
      </c>
      <c r="S145" s="60" t="n">
        <f aca="false">IF($E145="领用投入",ROUND(N($I145)*N($R145),2),IF($E145="加工费用",ROUND(N($J145),2),0))</f>
        <v>0</v>
      </c>
      <c r="T145" s="60" t="n">
        <f aca="false">IF($E145&lt;&gt;"产成品入库",0,IF(SUMIFS($W$6:$W$305,$C$6:$C$305,$C145,$D$6:$D$305,$D145,$E$6:$E$305,"产成品入库")=0,0,ROUND(SUMIFS($S$6:$S$305,$C$6:$C$305,$C145,$D$6:$D$305,$D145)*N($X145)/SUMIFS($W$6:$W$305,$C$6:$C$305,$C145,$D$6:$D$305,$D145,$E$6:$E$305,"产成品入库"),2)-ROUND(SUMIFS($S$6:$S$305,$C$6:$C$305,$C145,$D$6:$D$305,$D145)*(N($X145)-N($W145))/SUMIFS($W$6:$W$305,$C$6:$C$305,$C145,$D$6:$D$305,$D145,$E$6:$E$305,"产成品入库"),2)))</f>
        <v>0</v>
      </c>
      <c r="U145" s="57" t="str">
        <f aca="false">IF($E145="","",ROUND($S145+$T145,2))</f>
        <v/>
      </c>
      <c r="V145" s="61" t="str">
        <f aca="false">IF($B145="","",YEAR($B145))</f>
        <v/>
      </c>
      <c r="W145" s="63" t="str">
        <f aca="false">IF($E145&lt;&gt;"产成品入库","",IF(N($M145)=0,1,N($M145)))</f>
        <v/>
      </c>
      <c r="X145" s="63" t="str">
        <f aca="false">IF($E145&lt;&gt;"产成品入库","",SUMIFS($W$6:$W145,$C$6:$C145,$C145,$D$6:$D145,$D145,$E$6:$E145,"产成品入库"))</f>
        <v/>
      </c>
    </row>
    <row r="146" customFormat="false" ht="15" hidden="false" customHeight="false" outlineLevel="0" collapsed="false">
      <c r="A146" s="53" t="str">
        <f aca="false">IF($B146="","",ROW()-5)</f>
        <v/>
      </c>
      <c r="B146" s="54"/>
      <c r="C146" s="33"/>
      <c r="D146" s="39"/>
      <c r="E146" s="33"/>
      <c r="F146" s="39"/>
      <c r="G146" s="48" t="str">
        <f aca="false">IF($F146="","",IFERROR(INDEX(商品档案!$B$6:$B$65,MATCH($F146,商品档案!$A$6:$A$65,0)),""))</f>
        <v/>
      </c>
      <c r="H146" s="55" t="str">
        <f aca="false">IF($F146="","",IFERROR(INDEX(商品档案!$D$6:$D$65,MATCH($F146,商品档案!$A$6:$A$65,0)),""))</f>
        <v/>
      </c>
      <c r="I146" s="49"/>
      <c r="J146" s="43"/>
      <c r="K146" s="41"/>
      <c r="L146" s="39"/>
      <c r="M146" s="62"/>
      <c r="N146" s="41"/>
      <c r="O146" s="41"/>
      <c r="P146" s="25" t="str">
        <f aca="false">IF(AND($B146="",$E146=""),"",IF(NOT(ISNUMBER($B146)),"日期无效",IF(ISNA(MATCH($C146,参数设置!$A$10:$A$12,0)),"公司无效",IF($D146="","缺批次号",IF(ISNA(MATCH($E146,记账规则!$A$36:$A$38,0)),"业务类型无效",IF(AND($E146&lt;&gt;"加工费用",ISNA(MATCH($F146,商品档案!$A$6:$A$65,0))),"商品编码无效",IF(AND($E146&lt;&gt;"加工费用",IFERROR(INDEX(商品档案!$E$6:$E$65,MATCH($F146,商品档案!$A$6:$A$65,0)),"")&lt;&gt;$C146),"商品不属于该公司",IF(AND($E146&lt;&gt;"加工费用",N($I146)=0),"数量为 0",IF(AND($E146="加工费用",N($J146)=0),"加工费金额为 0",IF(AND($E146="加工费用",ISNA(MATCH($K146,会计科目表!$B$6:$B$85,0))),"对方科目不存在",IF(YEAR($B146)&lt;&gt;参数设置!$B$5,"不在本会计年度","OK")))))))))))</f>
        <v/>
      </c>
      <c r="Q146" s="58" t="str">
        <f aca="false">IF($F146="","",IFERROR(INDEX(商品档案!$G$6:$G$65,MATCH($F146,商品档案!$A$6:$A$65,0)),""))</f>
        <v/>
      </c>
      <c r="R146" s="59" t="str">
        <f aca="false">IF($F146="","",SUMIFS(进销存台账!$N$6:$N$65,进销存台账!$A$6:$A$65,$C146,进销存台账!$B$6:$B$65,$F146))</f>
        <v/>
      </c>
      <c r="S146" s="60" t="n">
        <f aca="false">IF($E146="领用投入",ROUND(N($I146)*N($R146),2),IF($E146="加工费用",ROUND(N($J146),2),0))</f>
        <v>0</v>
      </c>
      <c r="T146" s="60" t="n">
        <f aca="false">IF($E146&lt;&gt;"产成品入库",0,IF(SUMIFS($W$6:$W$305,$C$6:$C$305,$C146,$D$6:$D$305,$D146,$E$6:$E$305,"产成品入库")=0,0,ROUND(SUMIFS($S$6:$S$305,$C$6:$C$305,$C146,$D$6:$D$305,$D146)*N($X146)/SUMIFS($W$6:$W$305,$C$6:$C$305,$C146,$D$6:$D$305,$D146,$E$6:$E$305,"产成品入库"),2)-ROUND(SUMIFS($S$6:$S$305,$C$6:$C$305,$C146,$D$6:$D$305,$D146)*(N($X146)-N($W146))/SUMIFS($W$6:$W$305,$C$6:$C$305,$C146,$D$6:$D$305,$D146,$E$6:$E$305,"产成品入库"),2)))</f>
        <v>0</v>
      </c>
      <c r="U146" s="57" t="str">
        <f aca="false">IF($E146="","",ROUND($S146+$T146,2))</f>
        <v/>
      </c>
      <c r="V146" s="61" t="str">
        <f aca="false">IF($B146="","",YEAR($B146))</f>
        <v/>
      </c>
      <c r="W146" s="63" t="str">
        <f aca="false">IF($E146&lt;&gt;"产成品入库","",IF(N($M146)=0,1,N($M146)))</f>
        <v/>
      </c>
      <c r="X146" s="63" t="str">
        <f aca="false">IF($E146&lt;&gt;"产成品入库","",SUMIFS($W$6:$W146,$C$6:$C146,$C146,$D$6:$D146,$D146,$E$6:$E146,"产成品入库"))</f>
        <v/>
      </c>
    </row>
    <row r="147" customFormat="false" ht="15" hidden="false" customHeight="false" outlineLevel="0" collapsed="false">
      <c r="A147" s="53" t="str">
        <f aca="false">IF($B147="","",ROW()-5)</f>
        <v/>
      </c>
      <c r="B147" s="54"/>
      <c r="C147" s="33"/>
      <c r="D147" s="39"/>
      <c r="E147" s="33"/>
      <c r="F147" s="39"/>
      <c r="G147" s="48" t="str">
        <f aca="false">IF($F147="","",IFERROR(INDEX(商品档案!$B$6:$B$65,MATCH($F147,商品档案!$A$6:$A$65,0)),""))</f>
        <v/>
      </c>
      <c r="H147" s="55" t="str">
        <f aca="false">IF($F147="","",IFERROR(INDEX(商品档案!$D$6:$D$65,MATCH($F147,商品档案!$A$6:$A$65,0)),""))</f>
        <v/>
      </c>
      <c r="I147" s="49"/>
      <c r="J147" s="43"/>
      <c r="K147" s="41"/>
      <c r="L147" s="39"/>
      <c r="M147" s="62"/>
      <c r="N147" s="41"/>
      <c r="O147" s="41"/>
      <c r="P147" s="25" t="str">
        <f aca="false">IF(AND($B147="",$E147=""),"",IF(NOT(ISNUMBER($B147)),"日期无效",IF(ISNA(MATCH($C147,参数设置!$A$10:$A$12,0)),"公司无效",IF($D147="","缺批次号",IF(ISNA(MATCH($E147,记账规则!$A$36:$A$38,0)),"业务类型无效",IF(AND($E147&lt;&gt;"加工费用",ISNA(MATCH($F147,商品档案!$A$6:$A$65,0))),"商品编码无效",IF(AND($E147&lt;&gt;"加工费用",IFERROR(INDEX(商品档案!$E$6:$E$65,MATCH($F147,商品档案!$A$6:$A$65,0)),"")&lt;&gt;$C147),"商品不属于该公司",IF(AND($E147&lt;&gt;"加工费用",N($I147)=0),"数量为 0",IF(AND($E147="加工费用",N($J147)=0),"加工费金额为 0",IF(AND($E147="加工费用",ISNA(MATCH($K147,会计科目表!$B$6:$B$85,0))),"对方科目不存在",IF(YEAR($B147)&lt;&gt;参数设置!$B$5,"不在本会计年度","OK")))))))))))</f>
        <v/>
      </c>
      <c r="Q147" s="58" t="str">
        <f aca="false">IF($F147="","",IFERROR(INDEX(商品档案!$G$6:$G$65,MATCH($F147,商品档案!$A$6:$A$65,0)),""))</f>
        <v/>
      </c>
      <c r="R147" s="59" t="str">
        <f aca="false">IF($F147="","",SUMIFS(进销存台账!$N$6:$N$65,进销存台账!$A$6:$A$65,$C147,进销存台账!$B$6:$B$65,$F147))</f>
        <v/>
      </c>
      <c r="S147" s="60" t="n">
        <f aca="false">IF($E147="领用投入",ROUND(N($I147)*N($R147),2),IF($E147="加工费用",ROUND(N($J147),2),0))</f>
        <v>0</v>
      </c>
      <c r="T147" s="60" t="n">
        <f aca="false">IF($E147&lt;&gt;"产成品入库",0,IF(SUMIFS($W$6:$W$305,$C$6:$C$305,$C147,$D$6:$D$305,$D147,$E$6:$E$305,"产成品入库")=0,0,ROUND(SUMIFS($S$6:$S$305,$C$6:$C$305,$C147,$D$6:$D$305,$D147)*N($X147)/SUMIFS($W$6:$W$305,$C$6:$C$305,$C147,$D$6:$D$305,$D147,$E$6:$E$305,"产成品入库"),2)-ROUND(SUMIFS($S$6:$S$305,$C$6:$C$305,$C147,$D$6:$D$305,$D147)*(N($X147)-N($W147))/SUMIFS($W$6:$W$305,$C$6:$C$305,$C147,$D$6:$D$305,$D147,$E$6:$E$305,"产成品入库"),2)))</f>
        <v>0</v>
      </c>
      <c r="U147" s="57" t="str">
        <f aca="false">IF($E147="","",ROUND($S147+$T147,2))</f>
        <v/>
      </c>
      <c r="V147" s="61" t="str">
        <f aca="false">IF($B147="","",YEAR($B147))</f>
        <v/>
      </c>
      <c r="W147" s="63" t="str">
        <f aca="false">IF($E147&lt;&gt;"产成品入库","",IF(N($M147)=0,1,N($M147)))</f>
        <v/>
      </c>
      <c r="X147" s="63" t="str">
        <f aca="false">IF($E147&lt;&gt;"产成品入库","",SUMIFS($W$6:$W147,$C$6:$C147,$C147,$D$6:$D147,$D147,$E$6:$E147,"产成品入库"))</f>
        <v/>
      </c>
    </row>
    <row r="148" customFormat="false" ht="15" hidden="false" customHeight="false" outlineLevel="0" collapsed="false">
      <c r="A148" s="53" t="str">
        <f aca="false">IF($B148="","",ROW()-5)</f>
        <v/>
      </c>
      <c r="B148" s="54"/>
      <c r="C148" s="33"/>
      <c r="D148" s="39"/>
      <c r="E148" s="33"/>
      <c r="F148" s="39"/>
      <c r="G148" s="48" t="str">
        <f aca="false">IF($F148="","",IFERROR(INDEX(商品档案!$B$6:$B$65,MATCH($F148,商品档案!$A$6:$A$65,0)),""))</f>
        <v/>
      </c>
      <c r="H148" s="55" t="str">
        <f aca="false">IF($F148="","",IFERROR(INDEX(商品档案!$D$6:$D$65,MATCH($F148,商品档案!$A$6:$A$65,0)),""))</f>
        <v/>
      </c>
      <c r="I148" s="49"/>
      <c r="J148" s="43"/>
      <c r="K148" s="41"/>
      <c r="L148" s="39"/>
      <c r="M148" s="62"/>
      <c r="N148" s="41"/>
      <c r="O148" s="41"/>
      <c r="P148" s="25" t="str">
        <f aca="false">IF(AND($B148="",$E148=""),"",IF(NOT(ISNUMBER($B148)),"日期无效",IF(ISNA(MATCH($C148,参数设置!$A$10:$A$12,0)),"公司无效",IF($D148="","缺批次号",IF(ISNA(MATCH($E148,记账规则!$A$36:$A$38,0)),"业务类型无效",IF(AND($E148&lt;&gt;"加工费用",ISNA(MATCH($F148,商品档案!$A$6:$A$65,0))),"商品编码无效",IF(AND($E148&lt;&gt;"加工费用",IFERROR(INDEX(商品档案!$E$6:$E$65,MATCH($F148,商品档案!$A$6:$A$65,0)),"")&lt;&gt;$C148),"商品不属于该公司",IF(AND($E148&lt;&gt;"加工费用",N($I148)=0),"数量为 0",IF(AND($E148="加工费用",N($J148)=0),"加工费金额为 0",IF(AND($E148="加工费用",ISNA(MATCH($K148,会计科目表!$B$6:$B$85,0))),"对方科目不存在",IF(YEAR($B148)&lt;&gt;参数设置!$B$5,"不在本会计年度","OK")))))))))))</f>
        <v/>
      </c>
      <c r="Q148" s="58" t="str">
        <f aca="false">IF($F148="","",IFERROR(INDEX(商品档案!$G$6:$G$65,MATCH($F148,商品档案!$A$6:$A$65,0)),""))</f>
        <v/>
      </c>
      <c r="R148" s="59" t="str">
        <f aca="false">IF($F148="","",SUMIFS(进销存台账!$N$6:$N$65,进销存台账!$A$6:$A$65,$C148,进销存台账!$B$6:$B$65,$F148))</f>
        <v/>
      </c>
      <c r="S148" s="60" t="n">
        <f aca="false">IF($E148="领用投入",ROUND(N($I148)*N($R148),2),IF($E148="加工费用",ROUND(N($J148),2),0))</f>
        <v>0</v>
      </c>
      <c r="T148" s="60" t="n">
        <f aca="false">IF($E148&lt;&gt;"产成品入库",0,IF(SUMIFS($W$6:$W$305,$C$6:$C$305,$C148,$D$6:$D$305,$D148,$E$6:$E$305,"产成品入库")=0,0,ROUND(SUMIFS($S$6:$S$305,$C$6:$C$305,$C148,$D$6:$D$305,$D148)*N($X148)/SUMIFS($W$6:$W$305,$C$6:$C$305,$C148,$D$6:$D$305,$D148,$E$6:$E$305,"产成品入库"),2)-ROUND(SUMIFS($S$6:$S$305,$C$6:$C$305,$C148,$D$6:$D$305,$D148)*(N($X148)-N($W148))/SUMIFS($W$6:$W$305,$C$6:$C$305,$C148,$D$6:$D$305,$D148,$E$6:$E$305,"产成品入库"),2)))</f>
        <v>0</v>
      </c>
      <c r="U148" s="57" t="str">
        <f aca="false">IF($E148="","",ROUND($S148+$T148,2))</f>
        <v/>
      </c>
      <c r="V148" s="61" t="str">
        <f aca="false">IF($B148="","",YEAR($B148))</f>
        <v/>
      </c>
      <c r="W148" s="63" t="str">
        <f aca="false">IF($E148&lt;&gt;"产成品入库","",IF(N($M148)=0,1,N($M148)))</f>
        <v/>
      </c>
      <c r="X148" s="63" t="str">
        <f aca="false">IF($E148&lt;&gt;"产成品入库","",SUMIFS($W$6:$W148,$C$6:$C148,$C148,$D$6:$D148,$D148,$E$6:$E148,"产成品入库"))</f>
        <v/>
      </c>
    </row>
    <row r="149" customFormat="false" ht="15" hidden="false" customHeight="false" outlineLevel="0" collapsed="false">
      <c r="A149" s="53" t="str">
        <f aca="false">IF($B149="","",ROW()-5)</f>
        <v/>
      </c>
      <c r="B149" s="54"/>
      <c r="C149" s="33"/>
      <c r="D149" s="39"/>
      <c r="E149" s="33"/>
      <c r="F149" s="39"/>
      <c r="G149" s="48" t="str">
        <f aca="false">IF($F149="","",IFERROR(INDEX(商品档案!$B$6:$B$65,MATCH($F149,商品档案!$A$6:$A$65,0)),""))</f>
        <v/>
      </c>
      <c r="H149" s="55" t="str">
        <f aca="false">IF($F149="","",IFERROR(INDEX(商品档案!$D$6:$D$65,MATCH($F149,商品档案!$A$6:$A$65,0)),""))</f>
        <v/>
      </c>
      <c r="I149" s="49"/>
      <c r="J149" s="43"/>
      <c r="K149" s="41"/>
      <c r="L149" s="39"/>
      <c r="M149" s="62"/>
      <c r="N149" s="41"/>
      <c r="O149" s="41"/>
      <c r="P149" s="25" t="str">
        <f aca="false">IF(AND($B149="",$E149=""),"",IF(NOT(ISNUMBER($B149)),"日期无效",IF(ISNA(MATCH($C149,参数设置!$A$10:$A$12,0)),"公司无效",IF($D149="","缺批次号",IF(ISNA(MATCH($E149,记账规则!$A$36:$A$38,0)),"业务类型无效",IF(AND($E149&lt;&gt;"加工费用",ISNA(MATCH($F149,商品档案!$A$6:$A$65,0))),"商品编码无效",IF(AND($E149&lt;&gt;"加工费用",IFERROR(INDEX(商品档案!$E$6:$E$65,MATCH($F149,商品档案!$A$6:$A$65,0)),"")&lt;&gt;$C149),"商品不属于该公司",IF(AND($E149&lt;&gt;"加工费用",N($I149)=0),"数量为 0",IF(AND($E149="加工费用",N($J149)=0),"加工费金额为 0",IF(AND($E149="加工费用",ISNA(MATCH($K149,会计科目表!$B$6:$B$85,0))),"对方科目不存在",IF(YEAR($B149)&lt;&gt;参数设置!$B$5,"不在本会计年度","OK")))))))))))</f>
        <v/>
      </c>
      <c r="Q149" s="58" t="str">
        <f aca="false">IF($F149="","",IFERROR(INDEX(商品档案!$G$6:$G$65,MATCH($F149,商品档案!$A$6:$A$65,0)),""))</f>
        <v/>
      </c>
      <c r="R149" s="59" t="str">
        <f aca="false">IF($F149="","",SUMIFS(进销存台账!$N$6:$N$65,进销存台账!$A$6:$A$65,$C149,进销存台账!$B$6:$B$65,$F149))</f>
        <v/>
      </c>
      <c r="S149" s="60" t="n">
        <f aca="false">IF($E149="领用投入",ROUND(N($I149)*N($R149),2),IF($E149="加工费用",ROUND(N($J149),2),0))</f>
        <v>0</v>
      </c>
      <c r="T149" s="60" t="n">
        <f aca="false">IF($E149&lt;&gt;"产成品入库",0,IF(SUMIFS($W$6:$W$305,$C$6:$C$305,$C149,$D$6:$D$305,$D149,$E$6:$E$305,"产成品入库")=0,0,ROUND(SUMIFS($S$6:$S$305,$C$6:$C$305,$C149,$D$6:$D$305,$D149)*N($X149)/SUMIFS($W$6:$W$305,$C$6:$C$305,$C149,$D$6:$D$305,$D149,$E$6:$E$305,"产成品入库"),2)-ROUND(SUMIFS($S$6:$S$305,$C$6:$C$305,$C149,$D$6:$D$305,$D149)*(N($X149)-N($W149))/SUMIFS($W$6:$W$305,$C$6:$C$305,$C149,$D$6:$D$305,$D149,$E$6:$E$305,"产成品入库"),2)))</f>
        <v>0</v>
      </c>
      <c r="U149" s="57" t="str">
        <f aca="false">IF($E149="","",ROUND($S149+$T149,2))</f>
        <v/>
      </c>
      <c r="V149" s="61" t="str">
        <f aca="false">IF($B149="","",YEAR($B149))</f>
        <v/>
      </c>
      <c r="W149" s="63" t="str">
        <f aca="false">IF($E149&lt;&gt;"产成品入库","",IF(N($M149)=0,1,N($M149)))</f>
        <v/>
      </c>
      <c r="X149" s="63" t="str">
        <f aca="false">IF($E149&lt;&gt;"产成品入库","",SUMIFS($W$6:$W149,$C$6:$C149,$C149,$D$6:$D149,$D149,$E$6:$E149,"产成品入库"))</f>
        <v/>
      </c>
    </row>
    <row r="150" customFormat="false" ht="15" hidden="false" customHeight="false" outlineLevel="0" collapsed="false">
      <c r="A150" s="53" t="str">
        <f aca="false">IF($B150="","",ROW()-5)</f>
        <v/>
      </c>
      <c r="B150" s="54"/>
      <c r="C150" s="33"/>
      <c r="D150" s="39"/>
      <c r="E150" s="33"/>
      <c r="F150" s="39"/>
      <c r="G150" s="48" t="str">
        <f aca="false">IF($F150="","",IFERROR(INDEX(商品档案!$B$6:$B$65,MATCH($F150,商品档案!$A$6:$A$65,0)),""))</f>
        <v/>
      </c>
      <c r="H150" s="55" t="str">
        <f aca="false">IF($F150="","",IFERROR(INDEX(商品档案!$D$6:$D$65,MATCH($F150,商品档案!$A$6:$A$65,0)),""))</f>
        <v/>
      </c>
      <c r="I150" s="49"/>
      <c r="J150" s="43"/>
      <c r="K150" s="41"/>
      <c r="L150" s="39"/>
      <c r="M150" s="62"/>
      <c r="N150" s="41"/>
      <c r="O150" s="41"/>
      <c r="P150" s="25" t="str">
        <f aca="false">IF(AND($B150="",$E150=""),"",IF(NOT(ISNUMBER($B150)),"日期无效",IF(ISNA(MATCH($C150,参数设置!$A$10:$A$12,0)),"公司无效",IF($D150="","缺批次号",IF(ISNA(MATCH($E150,记账规则!$A$36:$A$38,0)),"业务类型无效",IF(AND($E150&lt;&gt;"加工费用",ISNA(MATCH($F150,商品档案!$A$6:$A$65,0))),"商品编码无效",IF(AND($E150&lt;&gt;"加工费用",IFERROR(INDEX(商品档案!$E$6:$E$65,MATCH($F150,商品档案!$A$6:$A$65,0)),"")&lt;&gt;$C150),"商品不属于该公司",IF(AND($E150&lt;&gt;"加工费用",N($I150)=0),"数量为 0",IF(AND($E150="加工费用",N($J150)=0),"加工费金额为 0",IF(AND($E150="加工费用",ISNA(MATCH($K150,会计科目表!$B$6:$B$85,0))),"对方科目不存在",IF(YEAR($B150)&lt;&gt;参数设置!$B$5,"不在本会计年度","OK")))))))))))</f>
        <v/>
      </c>
      <c r="Q150" s="58" t="str">
        <f aca="false">IF($F150="","",IFERROR(INDEX(商品档案!$G$6:$G$65,MATCH($F150,商品档案!$A$6:$A$65,0)),""))</f>
        <v/>
      </c>
      <c r="R150" s="59" t="str">
        <f aca="false">IF($F150="","",SUMIFS(进销存台账!$N$6:$N$65,进销存台账!$A$6:$A$65,$C150,进销存台账!$B$6:$B$65,$F150))</f>
        <v/>
      </c>
      <c r="S150" s="60" t="n">
        <f aca="false">IF($E150="领用投入",ROUND(N($I150)*N($R150),2),IF($E150="加工费用",ROUND(N($J150),2),0))</f>
        <v>0</v>
      </c>
      <c r="T150" s="60" t="n">
        <f aca="false">IF($E150&lt;&gt;"产成品入库",0,IF(SUMIFS($W$6:$W$305,$C$6:$C$305,$C150,$D$6:$D$305,$D150,$E$6:$E$305,"产成品入库")=0,0,ROUND(SUMIFS($S$6:$S$305,$C$6:$C$305,$C150,$D$6:$D$305,$D150)*N($X150)/SUMIFS($W$6:$W$305,$C$6:$C$305,$C150,$D$6:$D$305,$D150,$E$6:$E$305,"产成品入库"),2)-ROUND(SUMIFS($S$6:$S$305,$C$6:$C$305,$C150,$D$6:$D$305,$D150)*(N($X150)-N($W150))/SUMIFS($W$6:$W$305,$C$6:$C$305,$C150,$D$6:$D$305,$D150,$E$6:$E$305,"产成品入库"),2)))</f>
        <v>0</v>
      </c>
      <c r="U150" s="57" t="str">
        <f aca="false">IF($E150="","",ROUND($S150+$T150,2))</f>
        <v/>
      </c>
      <c r="V150" s="61" t="str">
        <f aca="false">IF($B150="","",YEAR($B150))</f>
        <v/>
      </c>
      <c r="W150" s="63" t="str">
        <f aca="false">IF($E150&lt;&gt;"产成品入库","",IF(N($M150)=0,1,N($M150)))</f>
        <v/>
      </c>
      <c r="X150" s="63" t="str">
        <f aca="false">IF($E150&lt;&gt;"产成品入库","",SUMIFS($W$6:$W150,$C$6:$C150,$C150,$D$6:$D150,$D150,$E$6:$E150,"产成品入库"))</f>
        <v/>
      </c>
    </row>
    <row r="151" customFormat="false" ht="15" hidden="false" customHeight="false" outlineLevel="0" collapsed="false">
      <c r="A151" s="53" t="str">
        <f aca="false">IF($B151="","",ROW()-5)</f>
        <v/>
      </c>
      <c r="B151" s="54"/>
      <c r="C151" s="33"/>
      <c r="D151" s="39"/>
      <c r="E151" s="33"/>
      <c r="F151" s="39"/>
      <c r="G151" s="48" t="str">
        <f aca="false">IF($F151="","",IFERROR(INDEX(商品档案!$B$6:$B$65,MATCH($F151,商品档案!$A$6:$A$65,0)),""))</f>
        <v/>
      </c>
      <c r="H151" s="55" t="str">
        <f aca="false">IF($F151="","",IFERROR(INDEX(商品档案!$D$6:$D$65,MATCH($F151,商品档案!$A$6:$A$65,0)),""))</f>
        <v/>
      </c>
      <c r="I151" s="49"/>
      <c r="J151" s="43"/>
      <c r="K151" s="41"/>
      <c r="L151" s="39"/>
      <c r="M151" s="62"/>
      <c r="N151" s="41"/>
      <c r="O151" s="41"/>
      <c r="P151" s="25" t="str">
        <f aca="false">IF(AND($B151="",$E151=""),"",IF(NOT(ISNUMBER($B151)),"日期无效",IF(ISNA(MATCH($C151,参数设置!$A$10:$A$12,0)),"公司无效",IF($D151="","缺批次号",IF(ISNA(MATCH($E151,记账规则!$A$36:$A$38,0)),"业务类型无效",IF(AND($E151&lt;&gt;"加工费用",ISNA(MATCH($F151,商品档案!$A$6:$A$65,0))),"商品编码无效",IF(AND($E151&lt;&gt;"加工费用",IFERROR(INDEX(商品档案!$E$6:$E$65,MATCH($F151,商品档案!$A$6:$A$65,0)),"")&lt;&gt;$C151),"商品不属于该公司",IF(AND($E151&lt;&gt;"加工费用",N($I151)=0),"数量为 0",IF(AND($E151="加工费用",N($J151)=0),"加工费金额为 0",IF(AND($E151="加工费用",ISNA(MATCH($K151,会计科目表!$B$6:$B$85,0))),"对方科目不存在",IF(YEAR($B151)&lt;&gt;参数设置!$B$5,"不在本会计年度","OK")))))))))))</f>
        <v/>
      </c>
      <c r="Q151" s="58" t="str">
        <f aca="false">IF($F151="","",IFERROR(INDEX(商品档案!$G$6:$G$65,MATCH($F151,商品档案!$A$6:$A$65,0)),""))</f>
        <v/>
      </c>
      <c r="R151" s="59" t="str">
        <f aca="false">IF($F151="","",SUMIFS(进销存台账!$N$6:$N$65,进销存台账!$A$6:$A$65,$C151,进销存台账!$B$6:$B$65,$F151))</f>
        <v/>
      </c>
      <c r="S151" s="60" t="n">
        <f aca="false">IF($E151="领用投入",ROUND(N($I151)*N($R151),2),IF($E151="加工费用",ROUND(N($J151),2),0))</f>
        <v>0</v>
      </c>
      <c r="T151" s="60" t="n">
        <f aca="false">IF($E151&lt;&gt;"产成品入库",0,IF(SUMIFS($W$6:$W$305,$C$6:$C$305,$C151,$D$6:$D$305,$D151,$E$6:$E$305,"产成品入库")=0,0,ROUND(SUMIFS($S$6:$S$305,$C$6:$C$305,$C151,$D$6:$D$305,$D151)*N($X151)/SUMIFS($W$6:$W$305,$C$6:$C$305,$C151,$D$6:$D$305,$D151,$E$6:$E$305,"产成品入库"),2)-ROUND(SUMIFS($S$6:$S$305,$C$6:$C$305,$C151,$D$6:$D$305,$D151)*(N($X151)-N($W151))/SUMIFS($W$6:$W$305,$C$6:$C$305,$C151,$D$6:$D$305,$D151,$E$6:$E$305,"产成品入库"),2)))</f>
        <v>0</v>
      </c>
      <c r="U151" s="57" t="str">
        <f aca="false">IF($E151="","",ROUND($S151+$T151,2))</f>
        <v/>
      </c>
      <c r="V151" s="61" t="str">
        <f aca="false">IF($B151="","",YEAR($B151))</f>
        <v/>
      </c>
      <c r="W151" s="63" t="str">
        <f aca="false">IF($E151&lt;&gt;"产成品入库","",IF(N($M151)=0,1,N($M151)))</f>
        <v/>
      </c>
      <c r="X151" s="63" t="str">
        <f aca="false">IF($E151&lt;&gt;"产成品入库","",SUMIFS($W$6:$W151,$C$6:$C151,$C151,$D$6:$D151,$D151,$E$6:$E151,"产成品入库"))</f>
        <v/>
      </c>
    </row>
    <row r="152" customFormat="false" ht="15" hidden="false" customHeight="false" outlineLevel="0" collapsed="false">
      <c r="A152" s="53" t="str">
        <f aca="false">IF($B152="","",ROW()-5)</f>
        <v/>
      </c>
      <c r="B152" s="54"/>
      <c r="C152" s="33"/>
      <c r="D152" s="39"/>
      <c r="E152" s="33"/>
      <c r="F152" s="39"/>
      <c r="G152" s="48" t="str">
        <f aca="false">IF($F152="","",IFERROR(INDEX(商品档案!$B$6:$B$65,MATCH($F152,商品档案!$A$6:$A$65,0)),""))</f>
        <v/>
      </c>
      <c r="H152" s="55" t="str">
        <f aca="false">IF($F152="","",IFERROR(INDEX(商品档案!$D$6:$D$65,MATCH($F152,商品档案!$A$6:$A$65,0)),""))</f>
        <v/>
      </c>
      <c r="I152" s="49"/>
      <c r="J152" s="43"/>
      <c r="K152" s="41"/>
      <c r="L152" s="39"/>
      <c r="M152" s="62"/>
      <c r="N152" s="41"/>
      <c r="O152" s="41"/>
      <c r="P152" s="25" t="str">
        <f aca="false">IF(AND($B152="",$E152=""),"",IF(NOT(ISNUMBER($B152)),"日期无效",IF(ISNA(MATCH($C152,参数设置!$A$10:$A$12,0)),"公司无效",IF($D152="","缺批次号",IF(ISNA(MATCH($E152,记账规则!$A$36:$A$38,0)),"业务类型无效",IF(AND($E152&lt;&gt;"加工费用",ISNA(MATCH($F152,商品档案!$A$6:$A$65,0))),"商品编码无效",IF(AND($E152&lt;&gt;"加工费用",IFERROR(INDEX(商品档案!$E$6:$E$65,MATCH($F152,商品档案!$A$6:$A$65,0)),"")&lt;&gt;$C152),"商品不属于该公司",IF(AND($E152&lt;&gt;"加工费用",N($I152)=0),"数量为 0",IF(AND($E152="加工费用",N($J152)=0),"加工费金额为 0",IF(AND($E152="加工费用",ISNA(MATCH($K152,会计科目表!$B$6:$B$85,0))),"对方科目不存在",IF(YEAR($B152)&lt;&gt;参数设置!$B$5,"不在本会计年度","OK")))))))))))</f>
        <v/>
      </c>
      <c r="Q152" s="58" t="str">
        <f aca="false">IF($F152="","",IFERROR(INDEX(商品档案!$G$6:$G$65,MATCH($F152,商品档案!$A$6:$A$65,0)),""))</f>
        <v/>
      </c>
      <c r="R152" s="59" t="str">
        <f aca="false">IF($F152="","",SUMIFS(进销存台账!$N$6:$N$65,进销存台账!$A$6:$A$65,$C152,进销存台账!$B$6:$B$65,$F152))</f>
        <v/>
      </c>
      <c r="S152" s="60" t="n">
        <f aca="false">IF($E152="领用投入",ROUND(N($I152)*N($R152),2),IF($E152="加工费用",ROUND(N($J152),2),0))</f>
        <v>0</v>
      </c>
      <c r="T152" s="60" t="n">
        <f aca="false">IF($E152&lt;&gt;"产成品入库",0,IF(SUMIFS($W$6:$W$305,$C$6:$C$305,$C152,$D$6:$D$305,$D152,$E$6:$E$305,"产成品入库")=0,0,ROUND(SUMIFS($S$6:$S$305,$C$6:$C$305,$C152,$D$6:$D$305,$D152)*N($X152)/SUMIFS($W$6:$W$305,$C$6:$C$305,$C152,$D$6:$D$305,$D152,$E$6:$E$305,"产成品入库"),2)-ROUND(SUMIFS($S$6:$S$305,$C$6:$C$305,$C152,$D$6:$D$305,$D152)*(N($X152)-N($W152))/SUMIFS($W$6:$W$305,$C$6:$C$305,$C152,$D$6:$D$305,$D152,$E$6:$E$305,"产成品入库"),2)))</f>
        <v>0</v>
      </c>
      <c r="U152" s="57" t="str">
        <f aca="false">IF($E152="","",ROUND($S152+$T152,2))</f>
        <v/>
      </c>
      <c r="V152" s="61" t="str">
        <f aca="false">IF($B152="","",YEAR($B152))</f>
        <v/>
      </c>
      <c r="W152" s="63" t="str">
        <f aca="false">IF($E152&lt;&gt;"产成品入库","",IF(N($M152)=0,1,N($M152)))</f>
        <v/>
      </c>
      <c r="X152" s="63" t="str">
        <f aca="false">IF($E152&lt;&gt;"产成品入库","",SUMIFS($W$6:$W152,$C$6:$C152,$C152,$D$6:$D152,$D152,$E$6:$E152,"产成品入库"))</f>
        <v/>
      </c>
    </row>
    <row r="153" customFormat="false" ht="15" hidden="false" customHeight="false" outlineLevel="0" collapsed="false">
      <c r="A153" s="53" t="str">
        <f aca="false">IF($B153="","",ROW()-5)</f>
        <v/>
      </c>
      <c r="B153" s="54"/>
      <c r="C153" s="33"/>
      <c r="D153" s="39"/>
      <c r="E153" s="33"/>
      <c r="F153" s="39"/>
      <c r="G153" s="48" t="str">
        <f aca="false">IF($F153="","",IFERROR(INDEX(商品档案!$B$6:$B$65,MATCH($F153,商品档案!$A$6:$A$65,0)),""))</f>
        <v/>
      </c>
      <c r="H153" s="55" t="str">
        <f aca="false">IF($F153="","",IFERROR(INDEX(商品档案!$D$6:$D$65,MATCH($F153,商品档案!$A$6:$A$65,0)),""))</f>
        <v/>
      </c>
      <c r="I153" s="49"/>
      <c r="J153" s="43"/>
      <c r="K153" s="41"/>
      <c r="L153" s="39"/>
      <c r="M153" s="62"/>
      <c r="N153" s="41"/>
      <c r="O153" s="41"/>
      <c r="P153" s="25" t="str">
        <f aca="false">IF(AND($B153="",$E153=""),"",IF(NOT(ISNUMBER($B153)),"日期无效",IF(ISNA(MATCH($C153,参数设置!$A$10:$A$12,0)),"公司无效",IF($D153="","缺批次号",IF(ISNA(MATCH($E153,记账规则!$A$36:$A$38,0)),"业务类型无效",IF(AND($E153&lt;&gt;"加工费用",ISNA(MATCH($F153,商品档案!$A$6:$A$65,0))),"商品编码无效",IF(AND($E153&lt;&gt;"加工费用",IFERROR(INDEX(商品档案!$E$6:$E$65,MATCH($F153,商品档案!$A$6:$A$65,0)),"")&lt;&gt;$C153),"商品不属于该公司",IF(AND($E153&lt;&gt;"加工费用",N($I153)=0),"数量为 0",IF(AND($E153="加工费用",N($J153)=0),"加工费金额为 0",IF(AND($E153="加工费用",ISNA(MATCH($K153,会计科目表!$B$6:$B$85,0))),"对方科目不存在",IF(YEAR($B153)&lt;&gt;参数设置!$B$5,"不在本会计年度","OK")))))))))))</f>
        <v/>
      </c>
      <c r="Q153" s="58" t="str">
        <f aca="false">IF($F153="","",IFERROR(INDEX(商品档案!$G$6:$G$65,MATCH($F153,商品档案!$A$6:$A$65,0)),""))</f>
        <v/>
      </c>
      <c r="R153" s="59" t="str">
        <f aca="false">IF($F153="","",SUMIFS(进销存台账!$N$6:$N$65,进销存台账!$A$6:$A$65,$C153,进销存台账!$B$6:$B$65,$F153))</f>
        <v/>
      </c>
      <c r="S153" s="60" t="n">
        <f aca="false">IF($E153="领用投入",ROUND(N($I153)*N($R153),2),IF($E153="加工费用",ROUND(N($J153),2),0))</f>
        <v>0</v>
      </c>
      <c r="T153" s="60" t="n">
        <f aca="false">IF($E153&lt;&gt;"产成品入库",0,IF(SUMIFS($W$6:$W$305,$C$6:$C$305,$C153,$D$6:$D$305,$D153,$E$6:$E$305,"产成品入库")=0,0,ROUND(SUMIFS($S$6:$S$305,$C$6:$C$305,$C153,$D$6:$D$305,$D153)*N($X153)/SUMIFS($W$6:$W$305,$C$6:$C$305,$C153,$D$6:$D$305,$D153,$E$6:$E$305,"产成品入库"),2)-ROUND(SUMIFS($S$6:$S$305,$C$6:$C$305,$C153,$D$6:$D$305,$D153)*(N($X153)-N($W153))/SUMIFS($W$6:$W$305,$C$6:$C$305,$C153,$D$6:$D$305,$D153,$E$6:$E$305,"产成品入库"),2)))</f>
        <v>0</v>
      </c>
      <c r="U153" s="57" t="str">
        <f aca="false">IF($E153="","",ROUND($S153+$T153,2))</f>
        <v/>
      </c>
      <c r="V153" s="61" t="str">
        <f aca="false">IF($B153="","",YEAR($B153))</f>
        <v/>
      </c>
      <c r="W153" s="63" t="str">
        <f aca="false">IF($E153&lt;&gt;"产成品入库","",IF(N($M153)=0,1,N($M153)))</f>
        <v/>
      </c>
      <c r="X153" s="63" t="str">
        <f aca="false">IF($E153&lt;&gt;"产成品入库","",SUMIFS($W$6:$W153,$C$6:$C153,$C153,$D$6:$D153,$D153,$E$6:$E153,"产成品入库"))</f>
        <v/>
      </c>
    </row>
    <row r="154" customFormat="false" ht="15" hidden="false" customHeight="false" outlineLevel="0" collapsed="false">
      <c r="A154" s="53" t="str">
        <f aca="false">IF($B154="","",ROW()-5)</f>
        <v/>
      </c>
      <c r="B154" s="54"/>
      <c r="C154" s="33"/>
      <c r="D154" s="39"/>
      <c r="E154" s="33"/>
      <c r="F154" s="39"/>
      <c r="G154" s="48" t="str">
        <f aca="false">IF($F154="","",IFERROR(INDEX(商品档案!$B$6:$B$65,MATCH($F154,商品档案!$A$6:$A$65,0)),""))</f>
        <v/>
      </c>
      <c r="H154" s="55" t="str">
        <f aca="false">IF($F154="","",IFERROR(INDEX(商品档案!$D$6:$D$65,MATCH($F154,商品档案!$A$6:$A$65,0)),""))</f>
        <v/>
      </c>
      <c r="I154" s="49"/>
      <c r="J154" s="43"/>
      <c r="K154" s="41"/>
      <c r="L154" s="39"/>
      <c r="M154" s="62"/>
      <c r="N154" s="41"/>
      <c r="O154" s="41"/>
      <c r="P154" s="25" t="str">
        <f aca="false">IF(AND($B154="",$E154=""),"",IF(NOT(ISNUMBER($B154)),"日期无效",IF(ISNA(MATCH($C154,参数设置!$A$10:$A$12,0)),"公司无效",IF($D154="","缺批次号",IF(ISNA(MATCH($E154,记账规则!$A$36:$A$38,0)),"业务类型无效",IF(AND($E154&lt;&gt;"加工费用",ISNA(MATCH($F154,商品档案!$A$6:$A$65,0))),"商品编码无效",IF(AND($E154&lt;&gt;"加工费用",IFERROR(INDEX(商品档案!$E$6:$E$65,MATCH($F154,商品档案!$A$6:$A$65,0)),"")&lt;&gt;$C154),"商品不属于该公司",IF(AND($E154&lt;&gt;"加工费用",N($I154)=0),"数量为 0",IF(AND($E154="加工费用",N($J154)=0),"加工费金额为 0",IF(AND($E154="加工费用",ISNA(MATCH($K154,会计科目表!$B$6:$B$85,0))),"对方科目不存在",IF(YEAR($B154)&lt;&gt;参数设置!$B$5,"不在本会计年度","OK")))))))))))</f>
        <v/>
      </c>
      <c r="Q154" s="58" t="str">
        <f aca="false">IF($F154="","",IFERROR(INDEX(商品档案!$G$6:$G$65,MATCH($F154,商品档案!$A$6:$A$65,0)),""))</f>
        <v/>
      </c>
      <c r="R154" s="59" t="str">
        <f aca="false">IF($F154="","",SUMIFS(进销存台账!$N$6:$N$65,进销存台账!$A$6:$A$65,$C154,进销存台账!$B$6:$B$65,$F154))</f>
        <v/>
      </c>
      <c r="S154" s="60" t="n">
        <f aca="false">IF($E154="领用投入",ROUND(N($I154)*N($R154),2),IF($E154="加工费用",ROUND(N($J154),2),0))</f>
        <v>0</v>
      </c>
      <c r="T154" s="60" t="n">
        <f aca="false">IF($E154&lt;&gt;"产成品入库",0,IF(SUMIFS($W$6:$W$305,$C$6:$C$305,$C154,$D$6:$D$305,$D154,$E$6:$E$305,"产成品入库")=0,0,ROUND(SUMIFS($S$6:$S$305,$C$6:$C$305,$C154,$D$6:$D$305,$D154)*N($X154)/SUMIFS($W$6:$W$305,$C$6:$C$305,$C154,$D$6:$D$305,$D154,$E$6:$E$305,"产成品入库"),2)-ROUND(SUMIFS($S$6:$S$305,$C$6:$C$305,$C154,$D$6:$D$305,$D154)*(N($X154)-N($W154))/SUMIFS($W$6:$W$305,$C$6:$C$305,$C154,$D$6:$D$305,$D154,$E$6:$E$305,"产成品入库"),2)))</f>
        <v>0</v>
      </c>
      <c r="U154" s="57" t="str">
        <f aca="false">IF($E154="","",ROUND($S154+$T154,2))</f>
        <v/>
      </c>
      <c r="V154" s="61" t="str">
        <f aca="false">IF($B154="","",YEAR($B154))</f>
        <v/>
      </c>
      <c r="W154" s="63" t="str">
        <f aca="false">IF($E154&lt;&gt;"产成品入库","",IF(N($M154)=0,1,N($M154)))</f>
        <v/>
      </c>
      <c r="X154" s="63" t="str">
        <f aca="false">IF($E154&lt;&gt;"产成品入库","",SUMIFS($W$6:$W154,$C$6:$C154,$C154,$D$6:$D154,$D154,$E$6:$E154,"产成品入库"))</f>
        <v/>
      </c>
    </row>
    <row r="155" customFormat="false" ht="15" hidden="false" customHeight="false" outlineLevel="0" collapsed="false">
      <c r="A155" s="53" t="str">
        <f aca="false">IF($B155="","",ROW()-5)</f>
        <v/>
      </c>
      <c r="B155" s="54"/>
      <c r="C155" s="33"/>
      <c r="D155" s="39"/>
      <c r="E155" s="33"/>
      <c r="F155" s="39"/>
      <c r="G155" s="48" t="str">
        <f aca="false">IF($F155="","",IFERROR(INDEX(商品档案!$B$6:$B$65,MATCH($F155,商品档案!$A$6:$A$65,0)),""))</f>
        <v/>
      </c>
      <c r="H155" s="55" t="str">
        <f aca="false">IF($F155="","",IFERROR(INDEX(商品档案!$D$6:$D$65,MATCH($F155,商品档案!$A$6:$A$65,0)),""))</f>
        <v/>
      </c>
      <c r="I155" s="49"/>
      <c r="J155" s="43"/>
      <c r="K155" s="41"/>
      <c r="L155" s="39"/>
      <c r="M155" s="62"/>
      <c r="N155" s="41"/>
      <c r="O155" s="41"/>
      <c r="P155" s="25" t="str">
        <f aca="false">IF(AND($B155="",$E155=""),"",IF(NOT(ISNUMBER($B155)),"日期无效",IF(ISNA(MATCH($C155,参数设置!$A$10:$A$12,0)),"公司无效",IF($D155="","缺批次号",IF(ISNA(MATCH($E155,记账规则!$A$36:$A$38,0)),"业务类型无效",IF(AND($E155&lt;&gt;"加工费用",ISNA(MATCH($F155,商品档案!$A$6:$A$65,0))),"商品编码无效",IF(AND($E155&lt;&gt;"加工费用",IFERROR(INDEX(商品档案!$E$6:$E$65,MATCH($F155,商品档案!$A$6:$A$65,0)),"")&lt;&gt;$C155),"商品不属于该公司",IF(AND($E155&lt;&gt;"加工费用",N($I155)=0),"数量为 0",IF(AND($E155="加工费用",N($J155)=0),"加工费金额为 0",IF(AND($E155="加工费用",ISNA(MATCH($K155,会计科目表!$B$6:$B$85,0))),"对方科目不存在",IF(YEAR($B155)&lt;&gt;参数设置!$B$5,"不在本会计年度","OK")))))))))))</f>
        <v/>
      </c>
      <c r="Q155" s="58" t="str">
        <f aca="false">IF($F155="","",IFERROR(INDEX(商品档案!$G$6:$G$65,MATCH($F155,商品档案!$A$6:$A$65,0)),""))</f>
        <v/>
      </c>
      <c r="R155" s="59" t="str">
        <f aca="false">IF($F155="","",SUMIFS(进销存台账!$N$6:$N$65,进销存台账!$A$6:$A$65,$C155,进销存台账!$B$6:$B$65,$F155))</f>
        <v/>
      </c>
      <c r="S155" s="60" t="n">
        <f aca="false">IF($E155="领用投入",ROUND(N($I155)*N($R155),2),IF($E155="加工费用",ROUND(N($J155),2),0))</f>
        <v>0</v>
      </c>
      <c r="T155" s="60" t="n">
        <f aca="false">IF($E155&lt;&gt;"产成品入库",0,IF(SUMIFS($W$6:$W$305,$C$6:$C$305,$C155,$D$6:$D$305,$D155,$E$6:$E$305,"产成品入库")=0,0,ROUND(SUMIFS($S$6:$S$305,$C$6:$C$305,$C155,$D$6:$D$305,$D155)*N($X155)/SUMIFS($W$6:$W$305,$C$6:$C$305,$C155,$D$6:$D$305,$D155,$E$6:$E$305,"产成品入库"),2)-ROUND(SUMIFS($S$6:$S$305,$C$6:$C$305,$C155,$D$6:$D$305,$D155)*(N($X155)-N($W155))/SUMIFS($W$6:$W$305,$C$6:$C$305,$C155,$D$6:$D$305,$D155,$E$6:$E$305,"产成品入库"),2)))</f>
        <v>0</v>
      </c>
      <c r="U155" s="57" t="str">
        <f aca="false">IF($E155="","",ROUND($S155+$T155,2))</f>
        <v/>
      </c>
      <c r="V155" s="61" t="str">
        <f aca="false">IF($B155="","",YEAR($B155))</f>
        <v/>
      </c>
      <c r="W155" s="63" t="str">
        <f aca="false">IF($E155&lt;&gt;"产成品入库","",IF(N($M155)=0,1,N($M155)))</f>
        <v/>
      </c>
      <c r="X155" s="63" t="str">
        <f aca="false">IF($E155&lt;&gt;"产成品入库","",SUMIFS($W$6:$W155,$C$6:$C155,$C155,$D$6:$D155,$D155,$E$6:$E155,"产成品入库"))</f>
        <v/>
      </c>
    </row>
    <row r="156" customFormat="false" ht="15" hidden="false" customHeight="false" outlineLevel="0" collapsed="false">
      <c r="A156" s="53" t="str">
        <f aca="false">IF($B156="","",ROW()-5)</f>
        <v/>
      </c>
      <c r="B156" s="54"/>
      <c r="C156" s="33"/>
      <c r="D156" s="39"/>
      <c r="E156" s="33"/>
      <c r="F156" s="39"/>
      <c r="G156" s="48" t="str">
        <f aca="false">IF($F156="","",IFERROR(INDEX(商品档案!$B$6:$B$65,MATCH($F156,商品档案!$A$6:$A$65,0)),""))</f>
        <v/>
      </c>
      <c r="H156" s="55" t="str">
        <f aca="false">IF($F156="","",IFERROR(INDEX(商品档案!$D$6:$D$65,MATCH($F156,商品档案!$A$6:$A$65,0)),""))</f>
        <v/>
      </c>
      <c r="I156" s="49"/>
      <c r="J156" s="43"/>
      <c r="K156" s="41"/>
      <c r="L156" s="39"/>
      <c r="M156" s="62"/>
      <c r="N156" s="41"/>
      <c r="O156" s="41"/>
      <c r="P156" s="25" t="str">
        <f aca="false">IF(AND($B156="",$E156=""),"",IF(NOT(ISNUMBER($B156)),"日期无效",IF(ISNA(MATCH($C156,参数设置!$A$10:$A$12,0)),"公司无效",IF($D156="","缺批次号",IF(ISNA(MATCH($E156,记账规则!$A$36:$A$38,0)),"业务类型无效",IF(AND($E156&lt;&gt;"加工费用",ISNA(MATCH($F156,商品档案!$A$6:$A$65,0))),"商品编码无效",IF(AND($E156&lt;&gt;"加工费用",IFERROR(INDEX(商品档案!$E$6:$E$65,MATCH($F156,商品档案!$A$6:$A$65,0)),"")&lt;&gt;$C156),"商品不属于该公司",IF(AND($E156&lt;&gt;"加工费用",N($I156)=0),"数量为 0",IF(AND($E156="加工费用",N($J156)=0),"加工费金额为 0",IF(AND($E156="加工费用",ISNA(MATCH($K156,会计科目表!$B$6:$B$85,0))),"对方科目不存在",IF(YEAR($B156)&lt;&gt;参数设置!$B$5,"不在本会计年度","OK")))))))))))</f>
        <v/>
      </c>
      <c r="Q156" s="58" t="str">
        <f aca="false">IF($F156="","",IFERROR(INDEX(商品档案!$G$6:$G$65,MATCH($F156,商品档案!$A$6:$A$65,0)),""))</f>
        <v/>
      </c>
      <c r="R156" s="59" t="str">
        <f aca="false">IF($F156="","",SUMIFS(进销存台账!$N$6:$N$65,进销存台账!$A$6:$A$65,$C156,进销存台账!$B$6:$B$65,$F156))</f>
        <v/>
      </c>
      <c r="S156" s="60" t="n">
        <f aca="false">IF($E156="领用投入",ROUND(N($I156)*N($R156),2),IF($E156="加工费用",ROUND(N($J156),2),0))</f>
        <v>0</v>
      </c>
      <c r="T156" s="60" t="n">
        <f aca="false">IF($E156&lt;&gt;"产成品入库",0,IF(SUMIFS($W$6:$W$305,$C$6:$C$305,$C156,$D$6:$D$305,$D156,$E$6:$E$305,"产成品入库")=0,0,ROUND(SUMIFS($S$6:$S$305,$C$6:$C$305,$C156,$D$6:$D$305,$D156)*N($X156)/SUMIFS($W$6:$W$305,$C$6:$C$305,$C156,$D$6:$D$305,$D156,$E$6:$E$305,"产成品入库"),2)-ROUND(SUMIFS($S$6:$S$305,$C$6:$C$305,$C156,$D$6:$D$305,$D156)*(N($X156)-N($W156))/SUMIFS($W$6:$W$305,$C$6:$C$305,$C156,$D$6:$D$305,$D156,$E$6:$E$305,"产成品入库"),2)))</f>
        <v>0</v>
      </c>
      <c r="U156" s="57" t="str">
        <f aca="false">IF($E156="","",ROUND($S156+$T156,2))</f>
        <v/>
      </c>
      <c r="V156" s="61" t="str">
        <f aca="false">IF($B156="","",YEAR($B156))</f>
        <v/>
      </c>
      <c r="W156" s="63" t="str">
        <f aca="false">IF($E156&lt;&gt;"产成品入库","",IF(N($M156)=0,1,N($M156)))</f>
        <v/>
      </c>
      <c r="X156" s="63" t="str">
        <f aca="false">IF($E156&lt;&gt;"产成品入库","",SUMIFS($W$6:$W156,$C$6:$C156,$C156,$D$6:$D156,$D156,$E$6:$E156,"产成品入库"))</f>
        <v/>
      </c>
    </row>
    <row r="157" customFormat="false" ht="15" hidden="false" customHeight="false" outlineLevel="0" collapsed="false">
      <c r="A157" s="53" t="str">
        <f aca="false">IF($B157="","",ROW()-5)</f>
        <v/>
      </c>
      <c r="B157" s="54"/>
      <c r="C157" s="33"/>
      <c r="D157" s="39"/>
      <c r="E157" s="33"/>
      <c r="F157" s="39"/>
      <c r="G157" s="48" t="str">
        <f aca="false">IF($F157="","",IFERROR(INDEX(商品档案!$B$6:$B$65,MATCH($F157,商品档案!$A$6:$A$65,0)),""))</f>
        <v/>
      </c>
      <c r="H157" s="55" t="str">
        <f aca="false">IF($F157="","",IFERROR(INDEX(商品档案!$D$6:$D$65,MATCH($F157,商品档案!$A$6:$A$65,0)),""))</f>
        <v/>
      </c>
      <c r="I157" s="49"/>
      <c r="J157" s="43"/>
      <c r="K157" s="41"/>
      <c r="L157" s="39"/>
      <c r="M157" s="62"/>
      <c r="N157" s="41"/>
      <c r="O157" s="41"/>
      <c r="P157" s="25" t="str">
        <f aca="false">IF(AND($B157="",$E157=""),"",IF(NOT(ISNUMBER($B157)),"日期无效",IF(ISNA(MATCH($C157,参数设置!$A$10:$A$12,0)),"公司无效",IF($D157="","缺批次号",IF(ISNA(MATCH($E157,记账规则!$A$36:$A$38,0)),"业务类型无效",IF(AND($E157&lt;&gt;"加工费用",ISNA(MATCH($F157,商品档案!$A$6:$A$65,0))),"商品编码无效",IF(AND($E157&lt;&gt;"加工费用",IFERROR(INDEX(商品档案!$E$6:$E$65,MATCH($F157,商品档案!$A$6:$A$65,0)),"")&lt;&gt;$C157),"商品不属于该公司",IF(AND($E157&lt;&gt;"加工费用",N($I157)=0),"数量为 0",IF(AND($E157="加工费用",N($J157)=0),"加工费金额为 0",IF(AND($E157="加工费用",ISNA(MATCH($K157,会计科目表!$B$6:$B$85,0))),"对方科目不存在",IF(YEAR($B157)&lt;&gt;参数设置!$B$5,"不在本会计年度","OK")))))))))))</f>
        <v/>
      </c>
      <c r="Q157" s="58" t="str">
        <f aca="false">IF($F157="","",IFERROR(INDEX(商品档案!$G$6:$G$65,MATCH($F157,商品档案!$A$6:$A$65,0)),""))</f>
        <v/>
      </c>
      <c r="R157" s="59" t="str">
        <f aca="false">IF($F157="","",SUMIFS(进销存台账!$N$6:$N$65,进销存台账!$A$6:$A$65,$C157,进销存台账!$B$6:$B$65,$F157))</f>
        <v/>
      </c>
      <c r="S157" s="60" t="n">
        <f aca="false">IF($E157="领用投入",ROUND(N($I157)*N($R157),2),IF($E157="加工费用",ROUND(N($J157),2),0))</f>
        <v>0</v>
      </c>
      <c r="T157" s="60" t="n">
        <f aca="false">IF($E157&lt;&gt;"产成品入库",0,IF(SUMIFS($W$6:$W$305,$C$6:$C$305,$C157,$D$6:$D$305,$D157,$E$6:$E$305,"产成品入库")=0,0,ROUND(SUMIFS($S$6:$S$305,$C$6:$C$305,$C157,$D$6:$D$305,$D157)*N($X157)/SUMIFS($W$6:$W$305,$C$6:$C$305,$C157,$D$6:$D$305,$D157,$E$6:$E$305,"产成品入库"),2)-ROUND(SUMIFS($S$6:$S$305,$C$6:$C$305,$C157,$D$6:$D$305,$D157)*(N($X157)-N($W157))/SUMIFS($W$6:$W$305,$C$6:$C$305,$C157,$D$6:$D$305,$D157,$E$6:$E$305,"产成品入库"),2)))</f>
        <v>0</v>
      </c>
      <c r="U157" s="57" t="str">
        <f aca="false">IF($E157="","",ROUND($S157+$T157,2))</f>
        <v/>
      </c>
      <c r="V157" s="61" t="str">
        <f aca="false">IF($B157="","",YEAR($B157))</f>
        <v/>
      </c>
      <c r="W157" s="63" t="str">
        <f aca="false">IF($E157&lt;&gt;"产成品入库","",IF(N($M157)=0,1,N($M157)))</f>
        <v/>
      </c>
      <c r="X157" s="63" t="str">
        <f aca="false">IF($E157&lt;&gt;"产成品入库","",SUMIFS($W$6:$W157,$C$6:$C157,$C157,$D$6:$D157,$D157,$E$6:$E157,"产成品入库"))</f>
        <v/>
      </c>
    </row>
    <row r="158" customFormat="false" ht="15" hidden="false" customHeight="false" outlineLevel="0" collapsed="false">
      <c r="A158" s="53" t="str">
        <f aca="false">IF($B158="","",ROW()-5)</f>
        <v/>
      </c>
      <c r="B158" s="54"/>
      <c r="C158" s="33"/>
      <c r="D158" s="39"/>
      <c r="E158" s="33"/>
      <c r="F158" s="39"/>
      <c r="G158" s="48" t="str">
        <f aca="false">IF($F158="","",IFERROR(INDEX(商品档案!$B$6:$B$65,MATCH($F158,商品档案!$A$6:$A$65,0)),""))</f>
        <v/>
      </c>
      <c r="H158" s="55" t="str">
        <f aca="false">IF($F158="","",IFERROR(INDEX(商品档案!$D$6:$D$65,MATCH($F158,商品档案!$A$6:$A$65,0)),""))</f>
        <v/>
      </c>
      <c r="I158" s="49"/>
      <c r="J158" s="43"/>
      <c r="K158" s="41"/>
      <c r="L158" s="39"/>
      <c r="M158" s="62"/>
      <c r="N158" s="41"/>
      <c r="O158" s="41"/>
      <c r="P158" s="25" t="str">
        <f aca="false">IF(AND($B158="",$E158=""),"",IF(NOT(ISNUMBER($B158)),"日期无效",IF(ISNA(MATCH($C158,参数设置!$A$10:$A$12,0)),"公司无效",IF($D158="","缺批次号",IF(ISNA(MATCH($E158,记账规则!$A$36:$A$38,0)),"业务类型无效",IF(AND($E158&lt;&gt;"加工费用",ISNA(MATCH($F158,商品档案!$A$6:$A$65,0))),"商品编码无效",IF(AND($E158&lt;&gt;"加工费用",IFERROR(INDEX(商品档案!$E$6:$E$65,MATCH($F158,商品档案!$A$6:$A$65,0)),"")&lt;&gt;$C158),"商品不属于该公司",IF(AND($E158&lt;&gt;"加工费用",N($I158)=0),"数量为 0",IF(AND($E158="加工费用",N($J158)=0),"加工费金额为 0",IF(AND($E158="加工费用",ISNA(MATCH($K158,会计科目表!$B$6:$B$85,0))),"对方科目不存在",IF(YEAR($B158)&lt;&gt;参数设置!$B$5,"不在本会计年度","OK")))))))))))</f>
        <v/>
      </c>
      <c r="Q158" s="58" t="str">
        <f aca="false">IF($F158="","",IFERROR(INDEX(商品档案!$G$6:$G$65,MATCH($F158,商品档案!$A$6:$A$65,0)),""))</f>
        <v/>
      </c>
      <c r="R158" s="59" t="str">
        <f aca="false">IF($F158="","",SUMIFS(进销存台账!$N$6:$N$65,进销存台账!$A$6:$A$65,$C158,进销存台账!$B$6:$B$65,$F158))</f>
        <v/>
      </c>
      <c r="S158" s="60" t="n">
        <f aca="false">IF($E158="领用投入",ROUND(N($I158)*N($R158),2),IF($E158="加工费用",ROUND(N($J158),2),0))</f>
        <v>0</v>
      </c>
      <c r="T158" s="60" t="n">
        <f aca="false">IF($E158&lt;&gt;"产成品入库",0,IF(SUMIFS($W$6:$W$305,$C$6:$C$305,$C158,$D$6:$D$305,$D158,$E$6:$E$305,"产成品入库")=0,0,ROUND(SUMIFS($S$6:$S$305,$C$6:$C$305,$C158,$D$6:$D$305,$D158)*N($X158)/SUMIFS($W$6:$W$305,$C$6:$C$305,$C158,$D$6:$D$305,$D158,$E$6:$E$305,"产成品入库"),2)-ROUND(SUMIFS($S$6:$S$305,$C$6:$C$305,$C158,$D$6:$D$305,$D158)*(N($X158)-N($W158))/SUMIFS($W$6:$W$305,$C$6:$C$305,$C158,$D$6:$D$305,$D158,$E$6:$E$305,"产成品入库"),2)))</f>
        <v>0</v>
      </c>
      <c r="U158" s="57" t="str">
        <f aca="false">IF($E158="","",ROUND($S158+$T158,2))</f>
        <v/>
      </c>
      <c r="V158" s="61" t="str">
        <f aca="false">IF($B158="","",YEAR($B158))</f>
        <v/>
      </c>
      <c r="W158" s="63" t="str">
        <f aca="false">IF($E158&lt;&gt;"产成品入库","",IF(N($M158)=0,1,N($M158)))</f>
        <v/>
      </c>
      <c r="X158" s="63" t="str">
        <f aca="false">IF($E158&lt;&gt;"产成品入库","",SUMIFS($W$6:$W158,$C$6:$C158,$C158,$D$6:$D158,$D158,$E$6:$E158,"产成品入库"))</f>
        <v/>
      </c>
    </row>
    <row r="159" customFormat="false" ht="15" hidden="false" customHeight="false" outlineLevel="0" collapsed="false">
      <c r="A159" s="53" t="str">
        <f aca="false">IF($B159="","",ROW()-5)</f>
        <v/>
      </c>
      <c r="B159" s="54"/>
      <c r="C159" s="33"/>
      <c r="D159" s="39"/>
      <c r="E159" s="33"/>
      <c r="F159" s="39"/>
      <c r="G159" s="48" t="str">
        <f aca="false">IF($F159="","",IFERROR(INDEX(商品档案!$B$6:$B$65,MATCH($F159,商品档案!$A$6:$A$65,0)),""))</f>
        <v/>
      </c>
      <c r="H159" s="55" t="str">
        <f aca="false">IF($F159="","",IFERROR(INDEX(商品档案!$D$6:$D$65,MATCH($F159,商品档案!$A$6:$A$65,0)),""))</f>
        <v/>
      </c>
      <c r="I159" s="49"/>
      <c r="J159" s="43"/>
      <c r="K159" s="41"/>
      <c r="L159" s="39"/>
      <c r="M159" s="62"/>
      <c r="N159" s="41"/>
      <c r="O159" s="41"/>
      <c r="P159" s="25" t="str">
        <f aca="false">IF(AND($B159="",$E159=""),"",IF(NOT(ISNUMBER($B159)),"日期无效",IF(ISNA(MATCH($C159,参数设置!$A$10:$A$12,0)),"公司无效",IF($D159="","缺批次号",IF(ISNA(MATCH($E159,记账规则!$A$36:$A$38,0)),"业务类型无效",IF(AND($E159&lt;&gt;"加工费用",ISNA(MATCH($F159,商品档案!$A$6:$A$65,0))),"商品编码无效",IF(AND($E159&lt;&gt;"加工费用",IFERROR(INDEX(商品档案!$E$6:$E$65,MATCH($F159,商品档案!$A$6:$A$65,0)),"")&lt;&gt;$C159),"商品不属于该公司",IF(AND($E159&lt;&gt;"加工费用",N($I159)=0),"数量为 0",IF(AND($E159="加工费用",N($J159)=0),"加工费金额为 0",IF(AND($E159="加工费用",ISNA(MATCH($K159,会计科目表!$B$6:$B$85,0))),"对方科目不存在",IF(YEAR($B159)&lt;&gt;参数设置!$B$5,"不在本会计年度","OK")))))))))))</f>
        <v/>
      </c>
      <c r="Q159" s="58" t="str">
        <f aca="false">IF($F159="","",IFERROR(INDEX(商品档案!$G$6:$G$65,MATCH($F159,商品档案!$A$6:$A$65,0)),""))</f>
        <v/>
      </c>
      <c r="R159" s="59" t="str">
        <f aca="false">IF($F159="","",SUMIFS(进销存台账!$N$6:$N$65,进销存台账!$A$6:$A$65,$C159,进销存台账!$B$6:$B$65,$F159))</f>
        <v/>
      </c>
      <c r="S159" s="60" t="n">
        <f aca="false">IF($E159="领用投入",ROUND(N($I159)*N($R159),2),IF($E159="加工费用",ROUND(N($J159),2),0))</f>
        <v>0</v>
      </c>
      <c r="T159" s="60" t="n">
        <f aca="false">IF($E159&lt;&gt;"产成品入库",0,IF(SUMIFS($W$6:$W$305,$C$6:$C$305,$C159,$D$6:$D$305,$D159,$E$6:$E$305,"产成品入库")=0,0,ROUND(SUMIFS($S$6:$S$305,$C$6:$C$305,$C159,$D$6:$D$305,$D159)*N($X159)/SUMIFS($W$6:$W$305,$C$6:$C$305,$C159,$D$6:$D$305,$D159,$E$6:$E$305,"产成品入库"),2)-ROUND(SUMIFS($S$6:$S$305,$C$6:$C$305,$C159,$D$6:$D$305,$D159)*(N($X159)-N($W159))/SUMIFS($W$6:$W$305,$C$6:$C$305,$C159,$D$6:$D$305,$D159,$E$6:$E$305,"产成品入库"),2)))</f>
        <v>0</v>
      </c>
      <c r="U159" s="57" t="str">
        <f aca="false">IF($E159="","",ROUND($S159+$T159,2))</f>
        <v/>
      </c>
      <c r="V159" s="61" t="str">
        <f aca="false">IF($B159="","",YEAR($B159))</f>
        <v/>
      </c>
      <c r="W159" s="63" t="str">
        <f aca="false">IF($E159&lt;&gt;"产成品入库","",IF(N($M159)=0,1,N($M159)))</f>
        <v/>
      </c>
      <c r="X159" s="63" t="str">
        <f aca="false">IF($E159&lt;&gt;"产成品入库","",SUMIFS($W$6:$W159,$C$6:$C159,$C159,$D$6:$D159,$D159,$E$6:$E159,"产成品入库"))</f>
        <v/>
      </c>
    </row>
    <row r="160" customFormat="false" ht="15" hidden="false" customHeight="false" outlineLevel="0" collapsed="false">
      <c r="A160" s="53" t="str">
        <f aca="false">IF($B160="","",ROW()-5)</f>
        <v/>
      </c>
      <c r="B160" s="54"/>
      <c r="C160" s="33"/>
      <c r="D160" s="39"/>
      <c r="E160" s="33"/>
      <c r="F160" s="39"/>
      <c r="G160" s="48" t="str">
        <f aca="false">IF($F160="","",IFERROR(INDEX(商品档案!$B$6:$B$65,MATCH($F160,商品档案!$A$6:$A$65,0)),""))</f>
        <v/>
      </c>
      <c r="H160" s="55" t="str">
        <f aca="false">IF($F160="","",IFERROR(INDEX(商品档案!$D$6:$D$65,MATCH($F160,商品档案!$A$6:$A$65,0)),""))</f>
        <v/>
      </c>
      <c r="I160" s="49"/>
      <c r="J160" s="43"/>
      <c r="K160" s="41"/>
      <c r="L160" s="39"/>
      <c r="M160" s="62"/>
      <c r="N160" s="41"/>
      <c r="O160" s="41"/>
      <c r="P160" s="25" t="str">
        <f aca="false">IF(AND($B160="",$E160=""),"",IF(NOT(ISNUMBER($B160)),"日期无效",IF(ISNA(MATCH($C160,参数设置!$A$10:$A$12,0)),"公司无效",IF($D160="","缺批次号",IF(ISNA(MATCH($E160,记账规则!$A$36:$A$38,0)),"业务类型无效",IF(AND($E160&lt;&gt;"加工费用",ISNA(MATCH($F160,商品档案!$A$6:$A$65,0))),"商品编码无效",IF(AND($E160&lt;&gt;"加工费用",IFERROR(INDEX(商品档案!$E$6:$E$65,MATCH($F160,商品档案!$A$6:$A$65,0)),"")&lt;&gt;$C160),"商品不属于该公司",IF(AND($E160&lt;&gt;"加工费用",N($I160)=0),"数量为 0",IF(AND($E160="加工费用",N($J160)=0),"加工费金额为 0",IF(AND($E160="加工费用",ISNA(MATCH($K160,会计科目表!$B$6:$B$85,0))),"对方科目不存在",IF(YEAR($B160)&lt;&gt;参数设置!$B$5,"不在本会计年度","OK")))))))))))</f>
        <v/>
      </c>
      <c r="Q160" s="58" t="str">
        <f aca="false">IF($F160="","",IFERROR(INDEX(商品档案!$G$6:$G$65,MATCH($F160,商品档案!$A$6:$A$65,0)),""))</f>
        <v/>
      </c>
      <c r="R160" s="59" t="str">
        <f aca="false">IF($F160="","",SUMIFS(进销存台账!$N$6:$N$65,进销存台账!$A$6:$A$65,$C160,进销存台账!$B$6:$B$65,$F160))</f>
        <v/>
      </c>
      <c r="S160" s="60" t="n">
        <f aca="false">IF($E160="领用投入",ROUND(N($I160)*N($R160),2),IF($E160="加工费用",ROUND(N($J160),2),0))</f>
        <v>0</v>
      </c>
      <c r="T160" s="60" t="n">
        <f aca="false">IF($E160&lt;&gt;"产成品入库",0,IF(SUMIFS($W$6:$W$305,$C$6:$C$305,$C160,$D$6:$D$305,$D160,$E$6:$E$305,"产成品入库")=0,0,ROUND(SUMIFS($S$6:$S$305,$C$6:$C$305,$C160,$D$6:$D$305,$D160)*N($X160)/SUMIFS($W$6:$W$305,$C$6:$C$305,$C160,$D$6:$D$305,$D160,$E$6:$E$305,"产成品入库"),2)-ROUND(SUMIFS($S$6:$S$305,$C$6:$C$305,$C160,$D$6:$D$305,$D160)*(N($X160)-N($W160))/SUMIFS($W$6:$W$305,$C$6:$C$305,$C160,$D$6:$D$305,$D160,$E$6:$E$305,"产成品入库"),2)))</f>
        <v>0</v>
      </c>
      <c r="U160" s="57" t="str">
        <f aca="false">IF($E160="","",ROUND($S160+$T160,2))</f>
        <v/>
      </c>
      <c r="V160" s="61" t="str">
        <f aca="false">IF($B160="","",YEAR($B160))</f>
        <v/>
      </c>
      <c r="W160" s="63" t="str">
        <f aca="false">IF($E160&lt;&gt;"产成品入库","",IF(N($M160)=0,1,N($M160)))</f>
        <v/>
      </c>
      <c r="X160" s="63" t="str">
        <f aca="false">IF($E160&lt;&gt;"产成品入库","",SUMIFS($W$6:$W160,$C$6:$C160,$C160,$D$6:$D160,$D160,$E$6:$E160,"产成品入库"))</f>
        <v/>
      </c>
    </row>
    <row r="161" customFormat="false" ht="15" hidden="false" customHeight="false" outlineLevel="0" collapsed="false">
      <c r="A161" s="53" t="str">
        <f aca="false">IF($B161="","",ROW()-5)</f>
        <v/>
      </c>
      <c r="B161" s="54"/>
      <c r="C161" s="33"/>
      <c r="D161" s="39"/>
      <c r="E161" s="33"/>
      <c r="F161" s="39"/>
      <c r="G161" s="48" t="str">
        <f aca="false">IF($F161="","",IFERROR(INDEX(商品档案!$B$6:$B$65,MATCH($F161,商品档案!$A$6:$A$65,0)),""))</f>
        <v/>
      </c>
      <c r="H161" s="55" t="str">
        <f aca="false">IF($F161="","",IFERROR(INDEX(商品档案!$D$6:$D$65,MATCH($F161,商品档案!$A$6:$A$65,0)),""))</f>
        <v/>
      </c>
      <c r="I161" s="49"/>
      <c r="J161" s="43"/>
      <c r="K161" s="41"/>
      <c r="L161" s="39"/>
      <c r="M161" s="62"/>
      <c r="N161" s="41"/>
      <c r="O161" s="41"/>
      <c r="P161" s="25" t="str">
        <f aca="false">IF(AND($B161="",$E161=""),"",IF(NOT(ISNUMBER($B161)),"日期无效",IF(ISNA(MATCH($C161,参数设置!$A$10:$A$12,0)),"公司无效",IF($D161="","缺批次号",IF(ISNA(MATCH($E161,记账规则!$A$36:$A$38,0)),"业务类型无效",IF(AND($E161&lt;&gt;"加工费用",ISNA(MATCH($F161,商品档案!$A$6:$A$65,0))),"商品编码无效",IF(AND($E161&lt;&gt;"加工费用",IFERROR(INDEX(商品档案!$E$6:$E$65,MATCH($F161,商品档案!$A$6:$A$65,0)),"")&lt;&gt;$C161),"商品不属于该公司",IF(AND($E161&lt;&gt;"加工费用",N($I161)=0),"数量为 0",IF(AND($E161="加工费用",N($J161)=0),"加工费金额为 0",IF(AND($E161="加工费用",ISNA(MATCH($K161,会计科目表!$B$6:$B$85,0))),"对方科目不存在",IF(YEAR($B161)&lt;&gt;参数设置!$B$5,"不在本会计年度","OK")))))))))))</f>
        <v/>
      </c>
      <c r="Q161" s="58" t="str">
        <f aca="false">IF($F161="","",IFERROR(INDEX(商品档案!$G$6:$G$65,MATCH($F161,商品档案!$A$6:$A$65,0)),""))</f>
        <v/>
      </c>
      <c r="R161" s="59" t="str">
        <f aca="false">IF($F161="","",SUMIFS(进销存台账!$N$6:$N$65,进销存台账!$A$6:$A$65,$C161,进销存台账!$B$6:$B$65,$F161))</f>
        <v/>
      </c>
      <c r="S161" s="60" t="n">
        <f aca="false">IF($E161="领用投入",ROUND(N($I161)*N($R161),2),IF($E161="加工费用",ROUND(N($J161),2),0))</f>
        <v>0</v>
      </c>
      <c r="T161" s="60" t="n">
        <f aca="false">IF($E161&lt;&gt;"产成品入库",0,IF(SUMIFS($W$6:$W$305,$C$6:$C$305,$C161,$D$6:$D$305,$D161,$E$6:$E$305,"产成品入库")=0,0,ROUND(SUMIFS($S$6:$S$305,$C$6:$C$305,$C161,$D$6:$D$305,$D161)*N($X161)/SUMIFS($W$6:$W$305,$C$6:$C$305,$C161,$D$6:$D$305,$D161,$E$6:$E$305,"产成品入库"),2)-ROUND(SUMIFS($S$6:$S$305,$C$6:$C$305,$C161,$D$6:$D$305,$D161)*(N($X161)-N($W161))/SUMIFS($W$6:$W$305,$C$6:$C$305,$C161,$D$6:$D$305,$D161,$E$6:$E$305,"产成品入库"),2)))</f>
        <v>0</v>
      </c>
      <c r="U161" s="57" t="str">
        <f aca="false">IF($E161="","",ROUND($S161+$T161,2))</f>
        <v/>
      </c>
      <c r="V161" s="61" t="str">
        <f aca="false">IF($B161="","",YEAR($B161))</f>
        <v/>
      </c>
      <c r="W161" s="63" t="str">
        <f aca="false">IF($E161&lt;&gt;"产成品入库","",IF(N($M161)=0,1,N($M161)))</f>
        <v/>
      </c>
      <c r="X161" s="63" t="str">
        <f aca="false">IF($E161&lt;&gt;"产成品入库","",SUMIFS($W$6:$W161,$C$6:$C161,$C161,$D$6:$D161,$D161,$E$6:$E161,"产成品入库"))</f>
        <v/>
      </c>
    </row>
    <row r="162" customFormat="false" ht="15" hidden="false" customHeight="false" outlineLevel="0" collapsed="false">
      <c r="A162" s="53" t="str">
        <f aca="false">IF($B162="","",ROW()-5)</f>
        <v/>
      </c>
      <c r="B162" s="54"/>
      <c r="C162" s="33"/>
      <c r="D162" s="39"/>
      <c r="E162" s="33"/>
      <c r="F162" s="39"/>
      <c r="G162" s="48" t="str">
        <f aca="false">IF($F162="","",IFERROR(INDEX(商品档案!$B$6:$B$65,MATCH($F162,商品档案!$A$6:$A$65,0)),""))</f>
        <v/>
      </c>
      <c r="H162" s="55" t="str">
        <f aca="false">IF($F162="","",IFERROR(INDEX(商品档案!$D$6:$D$65,MATCH($F162,商品档案!$A$6:$A$65,0)),""))</f>
        <v/>
      </c>
      <c r="I162" s="49"/>
      <c r="J162" s="43"/>
      <c r="K162" s="41"/>
      <c r="L162" s="39"/>
      <c r="M162" s="62"/>
      <c r="N162" s="41"/>
      <c r="O162" s="41"/>
      <c r="P162" s="25" t="str">
        <f aca="false">IF(AND($B162="",$E162=""),"",IF(NOT(ISNUMBER($B162)),"日期无效",IF(ISNA(MATCH($C162,参数设置!$A$10:$A$12,0)),"公司无效",IF($D162="","缺批次号",IF(ISNA(MATCH($E162,记账规则!$A$36:$A$38,0)),"业务类型无效",IF(AND($E162&lt;&gt;"加工费用",ISNA(MATCH($F162,商品档案!$A$6:$A$65,0))),"商品编码无效",IF(AND($E162&lt;&gt;"加工费用",IFERROR(INDEX(商品档案!$E$6:$E$65,MATCH($F162,商品档案!$A$6:$A$65,0)),"")&lt;&gt;$C162),"商品不属于该公司",IF(AND($E162&lt;&gt;"加工费用",N($I162)=0),"数量为 0",IF(AND($E162="加工费用",N($J162)=0),"加工费金额为 0",IF(AND($E162="加工费用",ISNA(MATCH($K162,会计科目表!$B$6:$B$85,0))),"对方科目不存在",IF(YEAR($B162)&lt;&gt;参数设置!$B$5,"不在本会计年度","OK")))))))))))</f>
        <v/>
      </c>
      <c r="Q162" s="58" t="str">
        <f aca="false">IF($F162="","",IFERROR(INDEX(商品档案!$G$6:$G$65,MATCH($F162,商品档案!$A$6:$A$65,0)),""))</f>
        <v/>
      </c>
      <c r="R162" s="59" t="str">
        <f aca="false">IF($F162="","",SUMIFS(进销存台账!$N$6:$N$65,进销存台账!$A$6:$A$65,$C162,进销存台账!$B$6:$B$65,$F162))</f>
        <v/>
      </c>
      <c r="S162" s="60" t="n">
        <f aca="false">IF($E162="领用投入",ROUND(N($I162)*N($R162),2),IF($E162="加工费用",ROUND(N($J162),2),0))</f>
        <v>0</v>
      </c>
      <c r="T162" s="60" t="n">
        <f aca="false">IF($E162&lt;&gt;"产成品入库",0,IF(SUMIFS($W$6:$W$305,$C$6:$C$305,$C162,$D$6:$D$305,$D162,$E$6:$E$305,"产成品入库")=0,0,ROUND(SUMIFS($S$6:$S$305,$C$6:$C$305,$C162,$D$6:$D$305,$D162)*N($X162)/SUMIFS($W$6:$W$305,$C$6:$C$305,$C162,$D$6:$D$305,$D162,$E$6:$E$305,"产成品入库"),2)-ROUND(SUMIFS($S$6:$S$305,$C$6:$C$305,$C162,$D$6:$D$305,$D162)*(N($X162)-N($W162))/SUMIFS($W$6:$W$305,$C$6:$C$305,$C162,$D$6:$D$305,$D162,$E$6:$E$305,"产成品入库"),2)))</f>
        <v>0</v>
      </c>
      <c r="U162" s="57" t="str">
        <f aca="false">IF($E162="","",ROUND($S162+$T162,2))</f>
        <v/>
      </c>
      <c r="V162" s="61" t="str">
        <f aca="false">IF($B162="","",YEAR($B162))</f>
        <v/>
      </c>
      <c r="W162" s="63" t="str">
        <f aca="false">IF($E162&lt;&gt;"产成品入库","",IF(N($M162)=0,1,N($M162)))</f>
        <v/>
      </c>
      <c r="X162" s="63" t="str">
        <f aca="false">IF($E162&lt;&gt;"产成品入库","",SUMIFS($W$6:$W162,$C$6:$C162,$C162,$D$6:$D162,$D162,$E$6:$E162,"产成品入库"))</f>
        <v/>
      </c>
    </row>
    <row r="163" customFormat="false" ht="15" hidden="false" customHeight="false" outlineLevel="0" collapsed="false">
      <c r="A163" s="53" t="str">
        <f aca="false">IF($B163="","",ROW()-5)</f>
        <v/>
      </c>
      <c r="B163" s="54"/>
      <c r="C163" s="33"/>
      <c r="D163" s="39"/>
      <c r="E163" s="33"/>
      <c r="F163" s="39"/>
      <c r="G163" s="48" t="str">
        <f aca="false">IF($F163="","",IFERROR(INDEX(商品档案!$B$6:$B$65,MATCH($F163,商品档案!$A$6:$A$65,0)),""))</f>
        <v/>
      </c>
      <c r="H163" s="55" t="str">
        <f aca="false">IF($F163="","",IFERROR(INDEX(商品档案!$D$6:$D$65,MATCH($F163,商品档案!$A$6:$A$65,0)),""))</f>
        <v/>
      </c>
      <c r="I163" s="49"/>
      <c r="J163" s="43"/>
      <c r="K163" s="41"/>
      <c r="L163" s="39"/>
      <c r="M163" s="62"/>
      <c r="N163" s="41"/>
      <c r="O163" s="41"/>
      <c r="P163" s="25" t="str">
        <f aca="false">IF(AND($B163="",$E163=""),"",IF(NOT(ISNUMBER($B163)),"日期无效",IF(ISNA(MATCH($C163,参数设置!$A$10:$A$12,0)),"公司无效",IF($D163="","缺批次号",IF(ISNA(MATCH($E163,记账规则!$A$36:$A$38,0)),"业务类型无效",IF(AND($E163&lt;&gt;"加工费用",ISNA(MATCH($F163,商品档案!$A$6:$A$65,0))),"商品编码无效",IF(AND($E163&lt;&gt;"加工费用",IFERROR(INDEX(商品档案!$E$6:$E$65,MATCH($F163,商品档案!$A$6:$A$65,0)),"")&lt;&gt;$C163),"商品不属于该公司",IF(AND($E163&lt;&gt;"加工费用",N($I163)=0),"数量为 0",IF(AND($E163="加工费用",N($J163)=0),"加工费金额为 0",IF(AND($E163="加工费用",ISNA(MATCH($K163,会计科目表!$B$6:$B$85,0))),"对方科目不存在",IF(YEAR($B163)&lt;&gt;参数设置!$B$5,"不在本会计年度","OK")))))))))))</f>
        <v/>
      </c>
      <c r="Q163" s="58" t="str">
        <f aca="false">IF($F163="","",IFERROR(INDEX(商品档案!$G$6:$G$65,MATCH($F163,商品档案!$A$6:$A$65,0)),""))</f>
        <v/>
      </c>
      <c r="R163" s="59" t="str">
        <f aca="false">IF($F163="","",SUMIFS(进销存台账!$N$6:$N$65,进销存台账!$A$6:$A$65,$C163,进销存台账!$B$6:$B$65,$F163))</f>
        <v/>
      </c>
      <c r="S163" s="60" t="n">
        <f aca="false">IF($E163="领用投入",ROUND(N($I163)*N($R163),2),IF($E163="加工费用",ROUND(N($J163),2),0))</f>
        <v>0</v>
      </c>
      <c r="T163" s="60" t="n">
        <f aca="false">IF($E163&lt;&gt;"产成品入库",0,IF(SUMIFS($W$6:$W$305,$C$6:$C$305,$C163,$D$6:$D$305,$D163,$E$6:$E$305,"产成品入库")=0,0,ROUND(SUMIFS($S$6:$S$305,$C$6:$C$305,$C163,$D$6:$D$305,$D163)*N($X163)/SUMIFS($W$6:$W$305,$C$6:$C$305,$C163,$D$6:$D$305,$D163,$E$6:$E$305,"产成品入库"),2)-ROUND(SUMIFS($S$6:$S$305,$C$6:$C$305,$C163,$D$6:$D$305,$D163)*(N($X163)-N($W163))/SUMIFS($W$6:$W$305,$C$6:$C$305,$C163,$D$6:$D$305,$D163,$E$6:$E$305,"产成品入库"),2)))</f>
        <v>0</v>
      </c>
      <c r="U163" s="57" t="str">
        <f aca="false">IF($E163="","",ROUND($S163+$T163,2))</f>
        <v/>
      </c>
      <c r="V163" s="61" t="str">
        <f aca="false">IF($B163="","",YEAR($B163))</f>
        <v/>
      </c>
      <c r="W163" s="63" t="str">
        <f aca="false">IF($E163&lt;&gt;"产成品入库","",IF(N($M163)=0,1,N($M163)))</f>
        <v/>
      </c>
      <c r="X163" s="63" t="str">
        <f aca="false">IF($E163&lt;&gt;"产成品入库","",SUMIFS($W$6:$W163,$C$6:$C163,$C163,$D$6:$D163,$D163,$E$6:$E163,"产成品入库"))</f>
        <v/>
      </c>
    </row>
    <row r="164" customFormat="false" ht="15" hidden="false" customHeight="false" outlineLevel="0" collapsed="false">
      <c r="A164" s="53" t="str">
        <f aca="false">IF($B164="","",ROW()-5)</f>
        <v/>
      </c>
      <c r="B164" s="54"/>
      <c r="C164" s="33"/>
      <c r="D164" s="39"/>
      <c r="E164" s="33"/>
      <c r="F164" s="39"/>
      <c r="G164" s="48" t="str">
        <f aca="false">IF($F164="","",IFERROR(INDEX(商品档案!$B$6:$B$65,MATCH($F164,商品档案!$A$6:$A$65,0)),""))</f>
        <v/>
      </c>
      <c r="H164" s="55" t="str">
        <f aca="false">IF($F164="","",IFERROR(INDEX(商品档案!$D$6:$D$65,MATCH($F164,商品档案!$A$6:$A$65,0)),""))</f>
        <v/>
      </c>
      <c r="I164" s="49"/>
      <c r="J164" s="43"/>
      <c r="K164" s="41"/>
      <c r="L164" s="39"/>
      <c r="M164" s="62"/>
      <c r="N164" s="41"/>
      <c r="O164" s="41"/>
      <c r="P164" s="25" t="str">
        <f aca="false">IF(AND($B164="",$E164=""),"",IF(NOT(ISNUMBER($B164)),"日期无效",IF(ISNA(MATCH($C164,参数设置!$A$10:$A$12,0)),"公司无效",IF($D164="","缺批次号",IF(ISNA(MATCH($E164,记账规则!$A$36:$A$38,0)),"业务类型无效",IF(AND($E164&lt;&gt;"加工费用",ISNA(MATCH($F164,商品档案!$A$6:$A$65,0))),"商品编码无效",IF(AND($E164&lt;&gt;"加工费用",IFERROR(INDEX(商品档案!$E$6:$E$65,MATCH($F164,商品档案!$A$6:$A$65,0)),"")&lt;&gt;$C164),"商品不属于该公司",IF(AND($E164&lt;&gt;"加工费用",N($I164)=0),"数量为 0",IF(AND($E164="加工费用",N($J164)=0),"加工费金额为 0",IF(AND($E164="加工费用",ISNA(MATCH($K164,会计科目表!$B$6:$B$85,0))),"对方科目不存在",IF(YEAR($B164)&lt;&gt;参数设置!$B$5,"不在本会计年度","OK")))))))))))</f>
        <v/>
      </c>
      <c r="Q164" s="58" t="str">
        <f aca="false">IF($F164="","",IFERROR(INDEX(商品档案!$G$6:$G$65,MATCH($F164,商品档案!$A$6:$A$65,0)),""))</f>
        <v/>
      </c>
      <c r="R164" s="59" t="str">
        <f aca="false">IF($F164="","",SUMIFS(进销存台账!$N$6:$N$65,进销存台账!$A$6:$A$65,$C164,进销存台账!$B$6:$B$65,$F164))</f>
        <v/>
      </c>
      <c r="S164" s="60" t="n">
        <f aca="false">IF($E164="领用投入",ROUND(N($I164)*N($R164),2),IF($E164="加工费用",ROUND(N($J164),2),0))</f>
        <v>0</v>
      </c>
      <c r="T164" s="60" t="n">
        <f aca="false">IF($E164&lt;&gt;"产成品入库",0,IF(SUMIFS($W$6:$W$305,$C$6:$C$305,$C164,$D$6:$D$305,$D164,$E$6:$E$305,"产成品入库")=0,0,ROUND(SUMIFS($S$6:$S$305,$C$6:$C$305,$C164,$D$6:$D$305,$D164)*N($X164)/SUMIFS($W$6:$W$305,$C$6:$C$305,$C164,$D$6:$D$305,$D164,$E$6:$E$305,"产成品入库"),2)-ROUND(SUMIFS($S$6:$S$305,$C$6:$C$305,$C164,$D$6:$D$305,$D164)*(N($X164)-N($W164))/SUMIFS($W$6:$W$305,$C$6:$C$305,$C164,$D$6:$D$305,$D164,$E$6:$E$305,"产成品入库"),2)))</f>
        <v>0</v>
      </c>
      <c r="U164" s="57" t="str">
        <f aca="false">IF($E164="","",ROUND($S164+$T164,2))</f>
        <v/>
      </c>
      <c r="V164" s="61" t="str">
        <f aca="false">IF($B164="","",YEAR($B164))</f>
        <v/>
      </c>
      <c r="W164" s="63" t="str">
        <f aca="false">IF($E164&lt;&gt;"产成品入库","",IF(N($M164)=0,1,N($M164)))</f>
        <v/>
      </c>
      <c r="X164" s="63" t="str">
        <f aca="false">IF($E164&lt;&gt;"产成品入库","",SUMIFS($W$6:$W164,$C$6:$C164,$C164,$D$6:$D164,$D164,$E$6:$E164,"产成品入库"))</f>
        <v/>
      </c>
    </row>
    <row r="165" customFormat="false" ht="15" hidden="false" customHeight="false" outlineLevel="0" collapsed="false">
      <c r="A165" s="53" t="str">
        <f aca="false">IF($B165="","",ROW()-5)</f>
        <v/>
      </c>
      <c r="B165" s="54"/>
      <c r="C165" s="33"/>
      <c r="D165" s="39"/>
      <c r="E165" s="33"/>
      <c r="F165" s="39"/>
      <c r="G165" s="48" t="str">
        <f aca="false">IF($F165="","",IFERROR(INDEX(商品档案!$B$6:$B$65,MATCH($F165,商品档案!$A$6:$A$65,0)),""))</f>
        <v/>
      </c>
      <c r="H165" s="55" t="str">
        <f aca="false">IF($F165="","",IFERROR(INDEX(商品档案!$D$6:$D$65,MATCH($F165,商品档案!$A$6:$A$65,0)),""))</f>
        <v/>
      </c>
      <c r="I165" s="49"/>
      <c r="J165" s="43"/>
      <c r="K165" s="41"/>
      <c r="L165" s="39"/>
      <c r="M165" s="62"/>
      <c r="N165" s="41"/>
      <c r="O165" s="41"/>
      <c r="P165" s="25" t="str">
        <f aca="false">IF(AND($B165="",$E165=""),"",IF(NOT(ISNUMBER($B165)),"日期无效",IF(ISNA(MATCH($C165,参数设置!$A$10:$A$12,0)),"公司无效",IF($D165="","缺批次号",IF(ISNA(MATCH($E165,记账规则!$A$36:$A$38,0)),"业务类型无效",IF(AND($E165&lt;&gt;"加工费用",ISNA(MATCH($F165,商品档案!$A$6:$A$65,0))),"商品编码无效",IF(AND($E165&lt;&gt;"加工费用",IFERROR(INDEX(商品档案!$E$6:$E$65,MATCH($F165,商品档案!$A$6:$A$65,0)),"")&lt;&gt;$C165),"商品不属于该公司",IF(AND($E165&lt;&gt;"加工费用",N($I165)=0),"数量为 0",IF(AND($E165="加工费用",N($J165)=0),"加工费金额为 0",IF(AND($E165="加工费用",ISNA(MATCH($K165,会计科目表!$B$6:$B$85,0))),"对方科目不存在",IF(YEAR($B165)&lt;&gt;参数设置!$B$5,"不在本会计年度","OK")))))))))))</f>
        <v/>
      </c>
      <c r="Q165" s="58" t="str">
        <f aca="false">IF($F165="","",IFERROR(INDEX(商品档案!$G$6:$G$65,MATCH($F165,商品档案!$A$6:$A$65,0)),""))</f>
        <v/>
      </c>
      <c r="R165" s="59" t="str">
        <f aca="false">IF($F165="","",SUMIFS(进销存台账!$N$6:$N$65,进销存台账!$A$6:$A$65,$C165,进销存台账!$B$6:$B$65,$F165))</f>
        <v/>
      </c>
      <c r="S165" s="60" t="n">
        <f aca="false">IF($E165="领用投入",ROUND(N($I165)*N($R165),2),IF($E165="加工费用",ROUND(N($J165),2),0))</f>
        <v>0</v>
      </c>
      <c r="T165" s="60" t="n">
        <f aca="false">IF($E165&lt;&gt;"产成品入库",0,IF(SUMIFS($W$6:$W$305,$C$6:$C$305,$C165,$D$6:$D$305,$D165,$E$6:$E$305,"产成品入库")=0,0,ROUND(SUMIFS($S$6:$S$305,$C$6:$C$305,$C165,$D$6:$D$305,$D165)*N($X165)/SUMIFS($W$6:$W$305,$C$6:$C$305,$C165,$D$6:$D$305,$D165,$E$6:$E$305,"产成品入库"),2)-ROUND(SUMIFS($S$6:$S$305,$C$6:$C$305,$C165,$D$6:$D$305,$D165)*(N($X165)-N($W165))/SUMIFS($W$6:$W$305,$C$6:$C$305,$C165,$D$6:$D$305,$D165,$E$6:$E$305,"产成品入库"),2)))</f>
        <v>0</v>
      </c>
      <c r="U165" s="57" t="str">
        <f aca="false">IF($E165="","",ROUND($S165+$T165,2))</f>
        <v/>
      </c>
      <c r="V165" s="61" t="str">
        <f aca="false">IF($B165="","",YEAR($B165))</f>
        <v/>
      </c>
      <c r="W165" s="63" t="str">
        <f aca="false">IF($E165&lt;&gt;"产成品入库","",IF(N($M165)=0,1,N($M165)))</f>
        <v/>
      </c>
      <c r="X165" s="63" t="str">
        <f aca="false">IF($E165&lt;&gt;"产成品入库","",SUMIFS($W$6:$W165,$C$6:$C165,$C165,$D$6:$D165,$D165,$E$6:$E165,"产成品入库"))</f>
        <v/>
      </c>
    </row>
    <row r="166" customFormat="false" ht="15" hidden="false" customHeight="false" outlineLevel="0" collapsed="false">
      <c r="A166" s="53" t="str">
        <f aca="false">IF($B166="","",ROW()-5)</f>
        <v/>
      </c>
      <c r="B166" s="54"/>
      <c r="C166" s="33"/>
      <c r="D166" s="39"/>
      <c r="E166" s="33"/>
      <c r="F166" s="39"/>
      <c r="G166" s="48" t="str">
        <f aca="false">IF($F166="","",IFERROR(INDEX(商品档案!$B$6:$B$65,MATCH($F166,商品档案!$A$6:$A$65,0)),""))</f>
        <v/>
      </c>
      <c r="H166" s="55" t="str">
        <f aca="false">IF($F166="","",IFERROR(INDEX(商品档案!$D$6:$D$65,MATCH($F166,商品档案!$A$6:$A$65,0)),""))</f>
        <v/>
      </c>
      <c r="I166" s="49"/>
      <c r="J166" s="43"/>
      <c r="K166" s="41"/>
      <c r="L166" s="39"/>
      <c r="M166" s="62"/>
      <c r="N166" s="41"/>
      <c r="O166" s="41"/>
      <c r="P166" s="25" t="str">
        <f aca="false">IF(AND($B166="",$E166=""),"",IF(NOT(ISNUMBER($B166)),"日期无效",IF(ISNA(MATCH($C166,参数设置!$A$10:$A$12,0)),"公司无效",IF($D166="","缺批次号",IF(ISNA(MATCH($E166,记账规则!$A$36:$A$38,0)),"业务类型无效",IF(AND($E166&lt;&gt;"加工费用",ISNA(MATCH($F166,商品档案!$A$6:$A$65,0))),"商品编码无效",IF(AND($E166&lt;&gt;"加工费用",IFERROR(INDEX(商品档案!$E$6:$E$65,MATCH($F166,商品档案!$A$6:$A$65,0)),"")&lt;&gt;$C166),"商品不属于该公司",IF(AND($E166&lt;&gt;"加工费用",N($I166)=0),"数量为 0",IF(AND($E166="加工费用",N($J166)=0),"加工费金额为 0",IF(AND($E166="加工费用",ISNA(MATCH($K166,会计科目表!$B$6:$B$85,0))),"对方科目不存在",IF(YEAR($B166)&lt;&gt;参数设置!$B$5,"不在本会计年度","OK")))))))))))</f>
        <v/>
      </c>
      <c r="Q166" s="58" t="str">
        <f aca="false">IF($F166="","",IFERROR(INDEX(商品档案!$G$6:$G$65,MATCH($F166,商品档案!$A$6:$A$65,0)),""))</f>
        <v/>
      </c>
      <c r="R166" s="59" t="str">
        <f aca="false">IF($F166="","",SUMIFS(进销存台账!$N$6:$N$65,进销存台账!$A$6:$A$65,$C166,进销存台账!$B$6:$B$65,$F166))</f>
        <v/>
      </c>
      <c r="S166" s="60" t="n">
        <f aca="false">IF($E166="领用投入",ROUND(N($I166)*N($R166),2),IF($E166="加工费用",ROUND(N($J166),2),0))</f>
        <v>0</v>
      </c>
      <c r="T166" s="60" t="n">
        <f aca="false">IF($E166&lt;&gt;"产成品入库",0,IF(SUMIFS($W$6:$W$305,$C$6:$C$305,$C166,$D$6:$D$305,$D166,$E$6:$E$305,"产成品入库")=0,0,ROUND(SUMIFS($S$6:$S$305,$C$6:$C$305,$C166,$D$6:$D$305,$D166)*N($X166)/SUMIFS($W$6:$W$305,$C$6:$C$305,$C166,$D$6:$D$305,$D166,$E$6:$E$305,"产成品入库"),2)-ROUND(SUMIFS($S$6:$S$305,$C$6:$C$305,$C166,$D$6:$D$305,$D166)*(N($X166)-N($W166))/SUMIFS($W$6:$W$305,$C$6:$C$305,$C166,$D$6:$D$305,$D166,$E$6:$E$305,"产成品入库"),2)))</f>
        <v>0</v>
      </c>
      <c r="U166" s="57" t="str">
        <f aca="false">IF($E166="","",ROUND($S166+$T166,2))</f>
        <v/>
      </c>
      <c r="V166" s="61" t="str">
        <f aca="false">IF($B166="","",YEAR($B166))</f>
        <v/>
      </c>
      <c r="W166" s="63" t="str">
        <f aca="false">IF($E166&lt;&gt;"产成品入库","",IF(N($M166)=0,1,N($M166)))</f>
        <v/>
      </c>
      <c r="X166" s="63" t="str">
        <f aca="false">IF($E166&lt;&gt;"产成品入库","",SUMIFS($W$6:$W166,$C$6:$C166,$C166,$D$6:$D166,$D166,$E$6:$E166,"产成品入库"))</f>
        <v/>
      </c>
    </row>
    <row r="167" customFormat="false" ht="15" hidden="false" customHeight="false" outlineLevel="0" collapsed="false">
      <c r="A167" s="53" t="str">
        <f aca="false">IF($B167="","",ROW()-5)</f>
        <v/>
      </c>
      <c r="B167" s="54"/>
      <c r="C167" s="33"/>
      <c r="D167" s="39"/>
      <c r="E167" s="33"/>
      <c r="F167" s="39"/>
      <c r="G167" s="48" t="str">
        <f aca="false">IF($F167="","",IFERROR(INDEX(商品档案!$B$6:$B$65,MATCH($F167,商品档案!$A$6:$A$65,0)),""))</f>
        <v/>
      </c>
      <c r="H167" s="55" t="str">
        <f aca="false">IF($F167="","",IFERROR(INDEX(商品档案!$D$6:$D$65,MATCH($F167,商品档案!$A$6:$A$65,0)),""))</f>
        <v/>
      </c>
      <c r="I167" s="49"/>
      <c r="J167" s="43"/>
      <c r="K167" s="41"/>
      <c r="L167" s="39"/>
      <c r="M167" s="62"/>
      <c r="N167" s="41"/>
      <c r="O167" s="41"/>
      <c r="P167" s="25" t="str">
        <f aca="false">IF(AND($B167="",$E167=""),"",IF(NOT(ISNUMBER($B167)),"日期无效",IF(ISNA(MATCH($C167,参数设置!$A$10:$A$12,0)),"公司无效",IF($D167="","缺批次号",IF(ISNA(MATCH($E167,记账规则!$A$36:$A$38,0)),"业务类型无效",IF(AND($E167&lt;&gt;"加工费用",ISNA(MATCH($F167,商品档案!$A$6:$A$65,0))),"商品编码无效",IF(AND($E167&lt;&gt;"加工费用",IFERROR(INDEX(商品档案!$E$6:$E$65,MATCH($F167,商品档案!$A$6:$A$65,0)),"")&lt;&gt;$C167),"商品不属于该公司",IF(AND($E167&lt;&gt;"加工费用",N($I167)=0),"数量为 0",IF(AND($E167="加工费用",N($J167)=0),"加工费金额为 0",IF(AND($E167="加工费用",ISNA(MATCH($K167,会计科目表!$B$6:$B$85,0))),"对方科目不存在",IF(YEAR($B167)&lt;&gt;参数设置!$B$5,"不在本会计年度","OK")))))))))))</f>
        <v/>
      </c>
      <c r="Q167" s="58" t="str">
        <f aca="false">IF($F167="","",IFERROR(INDEX(商品档案!$G$6:$G$65,MATCH($F167,商品档案!$A$6:$A$65,0)),""))</f>
        <v/>
      </c>
      <c r="R167" s="59" t="str">
        <f aca="false">IF($F167="","",SUMIFS(进销存台账!$N$6:$N$65,进销存台账!$A$6:$A$65,$C167,进销存台账!$B$6:$B$65,$F167))</f>
        <v/>
      </c>
      <c r="S167" s="60" t="n">
        <f aca="false">IF($E167="领用投入",ROUND(N($I167)*N($R167),2),IF($E167="加工费用",ROUND(N($J167),2),0))</f>
        <v>0</v>
      </c>
      <c r="T167" s="60" t="n">
        <f aca="false">IF($E167&lt;&gt;"产成品入库",0,IF(SUMIFS($W$6:$W$305,$C$6:$C$305,$C167,$D$6:$D$305,$D167,$E$6:$E$305,"产成品入库")=0,0,ROUND(SUMIFS($S$6:$S$305,$C$6:$C$305,$C167,$D$6:$D$305,$D167)*N($X167)/SUMIFS($W$6:$W$305,$C$6:$C$305,$C167,$D$6:$D$305,$D167,$E$6:$E$305,"产成品入库"),2)-ROUND(SUMIFS($S$6:$S$305,$C$6:$C$305,$C167,$D$6:$D$305,$D167)*(N($X167)-N($W167))/SUMIFS($W$6:$W$305,$C$6:$C$305,$C167,$D$6:$D$305,$D167,$E$6:$E$305,"产成品入库"),2)))</f>
        <v>0</v>
      </c>
      <c r="U167" s="57" t="str">
        <f aca="false">IF($E167="","",ROUND($S167+$T167,2))</f>
        <v/>
      </c>
      <c r="V167" s="61" t="str">
        <f aca="false">IF($B167="","",YEAR($B167))</f>
        <v/>
      </c>
      <c r="W167" s="63" t="str">
        <f aca="false">IF($E167&lt;&gt;"产成品入库","",IF(N($M167)=0,1,N($M167)))</f>
        <v/>
      </c>
      <c r="X167" s="63" t="str">
        <f aca="false">IF($E167&lt;&gt;"产成品入库","",SUMIFS($W$6:$W167,$C$6:$C167,$C167,$D$6:$D167,$D167,$E$6:$E167,"产成品入库"))</f>
        <v/>
      </c>
    </row>
    <row r="168" customFormat="false" ht="15" hidden="false" customHeight="false" outlineLevel="0" collapsed="false">
      <c r="A168" s="53" t="str">
        <f aca="false">IF($B168="","",ROW()-5)</f>
        <v/>
      </c>
      <c r="B168" s="54"/>
      <c r="C168" s="33"/>
      <c r="D168" s="39"/>
      <c r="E168" s="33"/>
      <c r="F168" s="39"/>
      <c r="G168" s="48" t="str">
        <f aca="false">IF($F168="","",IFERROR(INDEX(商品档案!$B$6:$B$65,MATCH($F168,商品档案!$A$6:$A$65,0)),""))</f>
        <v/>
      </c>
      <c r="H168" s="55" t="str">
        <f aca="false">IF($F168="","",IFERROR(INDEX(商品档案!$D$6:$D$65,MATCH($F168,商品档案!$A$6:$A$65,0)),""))</f>
        <v/>
      </c>
      <c r="I168" s="49"/>
      <c r="J168" s="43"/>
      <c r="K168" s="41"/>
      <c r="L168" s="39"/>
      <c r="M168" s="62"/>
      <c r="N168" s="41"/>
      <c r="O168" s="41"/>
      <c r="P168" s="25" t="str">
        <f aca="false">IF(AND($B168="",$E168=""),"",IF(NOT(ISNUMBER($B168)),"日期无效",IF(ISNA(MATCH($C168,参数设置!$A$10:$A$12,0)),"公司无效",IF($D168="","缺批次号",IF(ISNA(MATCH($E168,记账规则!$A$36:$A$38,0)),"业务类型无效",IF(AND($E168&lt;&gt;"加工费用",ISNA(MATCH($F168,商品档案!$A$6:$A$65,0))),"商品编码无效",IF(AND($E168&lt;&gt;"加工费用",IFERROR(INDEX(商品档案!$E$6:$E$65,MATCH($F168,商品档案!$A$6:$A$65,0)),"")&lt;&gt;$C168),"商品不属于该公司",IF(AND($E168&lt;&gt;"加工费用",N($I168)=0),"数量为 0",IF(AND($E168="加工费用",N($J168)=0),"加工费金额为 0",IF(AND($E168="加工费用",ISNA(MATCH($K168,会计科目表!$B$6:$B$85,0))),"对方科目不存在",IF(YEAR($B168)&lt;&gt;参数设置!$B$5,"不在本会计年度","OK")))))))))))</f>
        <v/>
      </c>
      <c r="Q168" s="58" t="str">
        <f aca="false">IF($F168="","",IFERROR(INDEX(商品档案!$G$6:$G$65,MATCH($F168,商品档案!$A$6:$A$65,0)),""))</f>
        <v/>
      </c>
      <c r="R168" s="59" t="str">
        <f aca="false">IF($F168="","",SUMIFS(进销存台账!$N$6:$N$65,进销存台账!$A$6:$A$65,$C168,进销存台账!$B$6:$B$65,$F168))</f>
        <v/>
      </c>
      <c r="S168" s="60" t="n">
        <f aca="false">IF($E168="领用投入",ROUND(N($I168)*N($R168),2),IF($E168="加工费用",ROUND(N($J168),2),0))</f>
        <v>0</v>
      </c>
      <c r="T168" s="60" t="n">
        <f aca="false">IF($E168&lt;&gt;"产成品入库",0,IF(SUMIFS($W$6:$W$305,$C$6:$C$305,$C168,$D$6:$D$305,$D168,$E$6:$E$305,"产成品入库")=0,0,ROUND(SUMIFS($S$6:$S$305,$C$6:$C$305,$C168,$D$6:$D$305,$D168)*N($X168)/SUMIFS($W$6:$W$305,$C$6:$C$305,$C168,$D$6:$D$305,$D168,$E$6:$E$305,"产成品入库"),2)-ROUND(SUMIFS($S$6:$S$305,$C$6:$C$305,$C168,$D$6:$D$305,$D168)*(N($X168)-N($W168))/SUMIFS($W$6:$W$305,$C$6:$C$305,$C168,$D$6:$D$305,$D168,$E$6:$E$305,"产成品入库"),2)))</f>
        <v>0</v>
      </c>
      <c r="U168" s="57" t="str">
        <f aca="false">IF($E168="","",ROUND($S168+$T168,2))</f>
        <v/>
      </c>
      <c r="V168" s="61" t="str">
        <f aca="false">IF($B168="","",YEAR($B168))</f>
        <v/>
      </c>
      <c r="W168" s="63" t="str">
        <f aca="false">IF($E168&lt;&gt;"产成品入库","",IF(N($M168)=0,1,N($M168)))</f>
        <v/>
      </c>
      <c r="X168" s="63" t="str">
        <f aca="false">IF($E168&lt;&gt;"产成品入库","",SUMIFS($W$6:$W168,$C$6:$C168,$C168,$D$6:$D168,$D168,$E$6:$E168,"产成品入库"))</f>
        <v/>
      </c>
    </row>
    <row r="169" customFormat="false" ht="15" hidden="false" customHeight="false" outlineLevel="0" collapsed="false">
      <c r="A169" s="53" t="str">
        <f aca="false">IF($B169="","",ROW()-5)</f>
        <v/>
      </c>
      <c r="B169" s="54"/>
      <c r="C169" s="33"/>
      <c r="D169" s="39"/>
      <c r="E169" s="33"/>
      <c r="F169" s="39"/>
      <c r="G169" s="48" t="str">
        <f aca="false">IF($F169="","",IFERROR(INDEX(商品档案!$B$6:$B$65,MATCH($F169,商品档案!$A$6:$A$65,0)),""))</f>
        <v/>
      </c>
      <c r="H169" s="55" t="str">
        <f aca="false">IF($F169="","",IFERROR(INDEX(商品档案!$D$6:$D$65,MATCH($F169,商品档案!$A$6:$A$65,0)),""))</f>
        <v/>
      </c>
      <c r="I169" s="49"/>
      <c r="J169" s="43"/>
      <c r="K169" s="41"/>
      <c r="L169" s="39"/>
      <c r="M169" s="62"/>
      <c r="N169" s="41"/>
      <c r="O169" s="41"/>
      <c r="P169" s="25" t="str">
        <f aca="false">IF(AND($B169="",$E169=""),"",IF(NOT(ISNUMBER($B169)),"日期无效",IF(ISNA(MATCH($C169,参数设置!$A$10:$A$12,0)),"公司无效",IF($D169="","缺批次号",IF(ISNA(MATCH($E169,记账规则!$A$36:$A$38,0)),"业务类型无效",IF(AND($E169&lt;&gt;"加工费用",ISNA(MATCH($F169,商品档案!$A$6:$A$65,0))),"商品编码无效",IF(AND($E169&lt;&gt;"加工费用",IFERROR(INDEX(商品档案!$E$6:$E$65,MATCH($F169,商品档案!$A$6:$A$65,0)),"")&lt;&gt;$C169),"商品不属于该公司",IF(AND($E169&lt;&gt;"加工费用",N($I169)=0),"数量为 0",IF(AND($E169="加工费用",N($J169)=0),"加工费金额为 0",IF(AND($E169="加工费用",ISNA(MATCH($K169,会计科目表!$B$6:$B$85,0))),"对方科目不存在",IF(YEAR($B169)&lt;&gt;参数设置!$B$5,"不在本会计年度","OK")))))))))))</f>
        <v/>
      </c>
      <c r="Q169" s="58" t="str">
        <f aca="false">IF($F169="","",IFERROR(INDEX(商品档案!$G$6:$G$65,MATCH($F169,商品档案!$A$6:$A$65,0)),""))</f>
        <v/>
      </c>
      <c r="R169" s="59" t="str">
        <f aca="false">IF($F169="","",SUMIFS(进销存台账!$N$6:$N$65,进销存台账!$A$6:$A$65,$C169,进销存台账!$B$6:$B$65,$F169))</f>
        <v/>
      </c>
      <c r="S169" s="60" t="n">
        <f aca="false">IF($E169="领用投入",ROUND(N($I169)*N($R169),2),IF($E169="加工费用",ROUND(N($J169),2),0))</f>
        <v>0</v>
      </c>
      <c r="T169" s="60" t="n">
        <f aca="false">IF($E169&lt;&gt;"产成品入库",0,IF(SUMIFS($W$6:$W$305,$C$6:$C$305,$C169,$D$6:$D$305,$D169,$E$6:$E$305,"产成品入库")=0,0,ROUND(SUMIFS($S$6:$S$305,$C$6:$C$305,$C169,$D$6:$D$305,$D169)*N($X169)/SUMIFS($W$6:$W$305,$C$6:$C$305,$C169,$D$6:$D$305,$D169,$E$6:$E$305,"产成品入库"),2)-ROUND(SUMIFS($S$6:$S$305,$C$6:$C$305,$C169,$D$6:$D$305,$D169)*(N($X169)-N($W169))/SUMIFS($W$6:$W$305,$C$6:$C$305,$C169,$D$6:$D$305,$D169,$E$6:$E$305,"产成品入库"),2)))</f>
        <v>0</v>
      </c>
      <c r="U169" s="57" t="str">
        <f aca="false">IF($E169="","",ROUND($S169+$T169,2))</f>
        <v/>
      </c>
      <c r="V169" s="61" t="str">
        <f aca="false">IF($B169="","",YEAR($B169))</f>
        <v/>
      </c>
      <c r="W169" s="63" t="str">
        <f aca="false">IF($E169&lt;&gt;"产成品入库","",IF(N($M169)=0,1,N($M169)))</f>
        <v/>
      </c>
      <c r="X169" s="63" t="str">
        <f aca="false">IF($E169&lt;&gt;"产成品入库","",SUMIFS($W$6:$W169,$C$6:$C169,$C169,$D$6:$D169,$D169,$E$6:$E169,"产成品入库"))</f>
        <v/>
      </c>
    </row>
    <row r="170" customFormat="false" ht="15" hidden="false" customHeight="false" outlineLevel="0" collapsed="false">
      <c r="A170" s="53" t="str">
        <f aca="false">IF($B170="","",ROW()-5)</f>
        <v/>
      </c>
      <c r="B170" s="54"/>
      <c r="C170" s="33"/>
      <c r="D170" s="39"/>
      <c r="E170" s="33"/>
      <c r="F170" s="39"/>
      <c r="G170" s="48" t="str">
        <f aca="false">IF($F170="","",IFERROR(INDEX(商品档案!$B$6:$B$65,MATCH($F170,商品档案!$A$6:$A$65,0)),""))</f>
        <v/>
      </c>
      <c r="H170" s="55" t="str">
        <f aca="false">IF($F170="","",IFERROR(INDEX(商品档案!$D$6:$D$65,MATCH($F170,商品档案!$A$6:$A$65,0)),""))</f>
        <v/>
      </c>
      <c r="I170" s="49"/>
      <c r="J170" s="43"/>
      <c r="K170" s="41"/>
      <c r="L170" s="39"/>
      <c r="M170" s="62"/>
      <c r="N170" s="41"/>
      <c r="O170" s="41"/>
      <c r="P170" s="25" t="str">
        <f aca="false">IF(AND($B170="",$E170=""),"",IF(NOT(ISNUMBER($B170)),"日期无效",IF(ISNA(MATCH($C170,参数设置!$A$10:$A$12,0)),"公司无效",IF($D170="","缺批次号",IF(ISNA(MATCH($E170,记账规则!$A$36:$A$38,0)),"业务类型无效",IF(AND($E170&lt;&gt;"加工费用",ISNA(MATCH($F170,商品档案!$A$6:$A$65,0))),"商品编码无效",IF(AND($E170&lt;&gt;"加工费用",IFERROR(INDEX(商品档案!$E$6:$E$65,MATCH($F170,商品档案!$A$6:$A$65,0)),"")&lt;&gt;$C170),"商品不属于该公司",IF(AND($E170&lt;&gt;"加工费用",N($I170)=0),"数量为 0",IF(AND($E170="加工费用",N($J170)=0),"加工费金额为 0",IF(AND($E170="加工费用",ISNA(MATCH($K170,会计科目表!$B$6:$B$85,0))),"对方科目不存在",IF(YEAR($B170)&lt;&gt;参数设置!$B$5,"不在本会计年度","OK")))))))))))</f>
        <v/>
      </c>
      <c r="Q170" s="58" t="str">
        <f aca="false">IF($F170="","",IFERROR(INDEX(商品档案!$G$6:$G$65,MATCH($F170,商品档案!$A$6:$A$65,0)),""))</f>
        <v/>
      </c>
      <c r="R170" s="59" t="str">
        <f aca="false">IF($F170="","",SUMIFS(进销存台账!$N$6:$N$65,进销存台账!$A$6:$A$65,$C170,进销存台账!$B$6:$B$65,$F170))</f>
        <v/>
      </c>
      <c r="S170" s="60" t="n">
        <f aca="false">IF($E170="领用投入",ROUND(N($I170)*N($R170),2),IF($E170="加工费用",ROUND(N($J170),2),0))</f>
        <v>0</v>
      </c>
      <c r="T170" s="60" t="n">
        <f aca="false">IF($E170&lt;&gt;"产成品入库",0,IF(SUMIFS($W$6:$W$305,$C$6:$C$305,$C170,$D$6:$D$305,$D170,$E$6:$E$305,"产成品入库")=0,0,ROUND(SUMIFS($S$6:$S$305,$C$6:$C$305,$C170,$D$6:$D$305,$D170)*N($X170)/SUMIFS($W$6:$W$305,$C$6:$C$305,$C170,$D$6:$D$305,$D170,$E$6:$E$305,"产成品入库"),2)-ROUND(SUMIFS($S$6:$S$305,$C$6:$C$305,$C170,$D$6:$D$305,$D170)*(N($X170)-N($W170))/SUMIFS($W$6:$W$305,$C$6:$C$305,$C170,$D$6:$D$305,$D170,$E$6:$E$305,"产成品入库"),2)))</f>
        <v>0</v>
      </c>
      <c r="U170" s="57" t="str">
        <f aca="false">IF($E170="","",ROUND($S170+$T170,2))</f>
        <v/>
      </c>
      <c r="V170" s="61" t="str">
        <f aca="false">IF($B170="","",YEAR($B170))</f>
        <v/>
      </c>
      <c r="W170" s="63" t="str">
        <f aca="false">IF($E170&lt;&gt;"产成品入库","",IF(N($M170)=0,1,N($M170)))</f>
        <v/>
      </c>
      <c r="X170" s="63" t="str">
        <f aca="false">IF($E170&lt;&gt;"产成品入库","",SUMIFS($W$6:$W170,$C$6:$C170,$C170,$D$6:$D170,$D170,$E$6:$E170,"产成品入库"))</f>
        <v/>
      </c>
    </row>
    <row r="171" customFormat="false" ht="15" hidden="false" customHeight="false" outlineLevel="0" collapsed="false">
      <c r="A171" s="53" t="str">
        <f aca="false">IF($B171="","",ROW()-5)</f>
        <v/>
      </c>
      <c r="B171" s="54"/>
      <c r="C171" s="33"/>
      <c r="D171" s="39"/>
      <c r="E171" s="33"/>
      <c r="F171" s="39"/>
      <c r="G171" s="48" t="str">
        <f aca="false">IF($F171="","",IFERROR(INDEX(商品档案!$B$6:$B$65,MATCH($F171,商品档案!$A$6:$A$65,0)),""))</f>
        <v/>
      </c>
      <c r="H171" s="55" t="str">
        <f aca="false">IF($F171="","",IFERROR(INDEX(商品档案!$D$6:$D$65,MATCH($F171,商品档案!$A$6:$A$65,0)),""))</f>
        <v/>
      </c>
      <c r="I171" s="49"/>
      <c r="J171" s="43"/>
      <c r="K171" s="41"/>
      <c r="L171" s="39"/>
      <c r="M171" s="62"/>
      <c r="N171" s="41"/>
      <c r="O171" s="41"/>
      <c r="P171" s="25" t="str">
        <f aca="false">IF(AND($B171="",$E171=""),"",IF(NOT(ISNUMBER($B171)),"日期无效",IF(ISNA(MATCH($C171,参数设置!$A$10:$A$12,0)),"公司无效",IF($D171="","缺批次号",IF(ISNA(MATCH($E171,记账规则!$A$36:$A$38,0)),"业务类型无效",IF(AND($E171&lt;&gt;"加工费用",ISNA(MATCH($F171,商品档案!$A$6:$A$65,0))),"商品编码无效",IF(AND($E171&lt;&gt;"加工费用",IFERROR(INDEX(商品档案!$E$6:$E$65,MATCH($F171,商品档案!$A$6:$A$65,0)),"")&lt;&gt;$C171),"商品不属于该公司",IF(AND($E171&lt;&gt;"加工费用",N($I171)=0),"数量为 0",IF(AND($E171="加工费用",N($J171)=0),"加工费金额为 0",IF(AND($E171="加工费用",ISNA(MATCH($K171,会计科目表!$B$6:$B$85,0))),"对方科目不存在",IF(YEAR($B171)&lt;&gt;参数设置!$B$5,"不在本会计年度","OK")))))))))))</f>
        <v/>
      </c>
      <c r="Q171" s="58" t="str">
        <f aca="false">IF($F171="","",IFERROR(INDEX(商品档案!$G$6:$G$65,MATCH($F171,商品档案!$A$6:$A$65,0)),""))</f>
        <v/>
      </c>
      <c r="R171" s="59" t="str">
        <f aca="false">IF($F171="","",SUMIFS(进销存台账!$N$6:$N$65,进销存台账!$A$6:$A$65,$C171,进销存台账!$B$6:$B$65,$F171))</f>
        <v/>
      </c>
      <c r="S171" s="60" t="n">
        <f aca="false">IF($E171="领用投入",ROUND(N($I171)*N($R171),2),IF($E171="加工费用",ROUND(N($J171),2),0))</f>
        <v>0</v>
      </c>
      <c r="T171" s="60" t="n">
        <f aca="false">IF($E171&lt;&gt;"产成品入库",0,IF(SUMIFS($W$6:$W$305,$C$6:$C$305,$C171,$D$6:$D$305,$D171,$E$6:$E$305,"产成品入库")=0,0,ROUND(SUMIFS($S$6:$S$305,$C$6:$C$305,$C171,$D$6:$D$305,$D171)*N($X171)/SUMIFS($W$6:$W$305,$C$6:$C$305,$C171,$D$6:$D$305,$D171,$E$6:$E$305,"产成品入库"),2)-ROUND(SUMIFS($S$6:$S$305,$C$6:$C$305,$C171,$D$6:$D$305,$D171)*(N($X171)-N($W171))/SUMIFS($W$6:$W$305,$C$6:$C$305,$C171,$D$6:$D$305,$D171,$E$6:$E$305,"产成品入库"),2)))</f>
        <v>0</v>
      </c>
      <c r="U171" s="57" t="str">
        <f aca="false">IF($E171="","",ROUND($S171+$T171,2))</f>
        <v/>
      </c>
      <c r="V171" s="61" t="str">
        <f aca="false">IF($B171="","",YEAR($B171))</f>
        <v/>
      </c>
      <c r="W171" s="63" t="str">
        <f aca="false">IF($E171&lt;&gt;"产成品入库","",IF(N($M171)=0,1,N($M171)))</f>
        <v/>
      </c>
      <c r="X171" s="63" t="str">
        <f aca="false">IF($E171&lt;&gt;"产成品入库","",SUMIFS($W$6:$W171,$C$6:$C171,$C171,$D$6:$D171,$D171,$E$6:$E171,"产成品入库"))</f>
        <v/>
      </c>
    </row>
    <row r="172" customFormat="false" ht="15" hidden="false" customHeight="false" outlineLevel="0" collapsed="false">
      <c r="A172" s="53" t="str">
        <f aca="false">IF($B172="","",ROW()-5)</f>
        <v/>
      </c>
      <c r="B172" s="54"/>
      <c r="C172" s="33"/>
      <c r="D172" s="39"/>
      <c r="E172" s="33"/>
      <c r="F172" s="39"/>
      <c r="G172" s="48" t="str">
        <f aca="false">IF($F172="","",IFERROR(INDEX(商品档案!$B$6:$B$65,MATCH($F172,商品档案!$A$6:$A$65,0)),""))</f>
        <v/>
      </c>
      <c r="H172" s="55" t="str">
        <f aca="false">IF($F172="","",IFERROR(INDEX(商品档案!$D$6:$D$65,MATCH($F172,商品档案!$A$6:$A$65,0)),""))</f>
        <v/>
      </c>
      <c r="I172" s="49"/>
      <c r="J172" s="43"/>
      <c r="K172" s="41"/>
      <c r="L172" s="39"/>
      <c r="M172" s="62"/>
      <c r="N172" s="41"/>
      <c r="O172" s="41"/>
      <c r="P172" s="25" t="str">
        <f aca="false">IF(AND($B172="",$E172=""),"",IF(NOT(ISNUMBER($B172)),"日期无效",IF(ISNA(MATCH($C172,参数设置!$A$10:$A$12,0)),"公司无效",IF($D172="","缺批次号",IF(ISNA(MATCH($E172,记账规则!$A$36:$A$38,0)),"业务类型无效",IF(AND($E172&lt;&gt;"加工费用",ISNA(MATCH($F172,商品档案!$A$6:$A$65,0))),"商品编码无效",IF(AND($E172&lt;&gt;"加工费用",IFERROR(INDEX(商品档案!$E$6:$E$65,MATCH($F172,商品档案!$A$6:$A$65,0)),"")&lt;&gt;$C172),"商品不属于该公司",IF(AND($E172&lt;&gt;"加工费用",N($I172)=0),"数量为 0",IF(AND($E172="加工费用",N($J172)=0),"加工费金额为 0",IF(AND($E172="加工费用",ISNA(MATCH($K172,会计科目表!$B$6:$B$85,0))),"对方科目不存在",IF(YEAR($B172)&lt;&gt;参数设置!$B$5,"不在本会计年度","OK")))))))))))</f>
        <v/>
      </c>
      <c r="Q172" s="58" t="str">
        <f aca="false">IF($F172="","",IFERROR(INDEX(商品档案!$G$6:$G$65,MATCH($F172,商品档案!$A$6:$A$65,0)),""))</f>
        <v/>
      </c>
      <c r="R172" s="59" t="str">
        <f aca="false">IF($F172="","",SUMIFS(进销存台账!$N$6:$N$65,进销存台账!$A$6:$A$65,$C172,进销存台账!$B$6:$B$65,$F172))</f>
        <v/>
      </c>
      <c r="S172" s="60" t="n">
        <f aca="false">IF($E172="领用投入",ROUND(N($I172)*N($R172),2),IF($E172="加工费用",ROUND(N($J172),2),0))</f>
        <v>0</v>
      </c>
      <c r="T172" s="60" t="n">
        <f aca="false">IF($E172&lt;&gt;"产成品入库",0,IF(SUMIFS($W$6:$W$305,$C$6:$C$305,$C172,$D$6:$D$305,$D172,$E$6:$E$305,"产成品入库")=0,0,ROUND(SUMIFS($S$6:$S$305,$C$6:$C$305,$C172,$D$6:$D$305,$D172)*N($X172)/SUMIFS($W$6:$W$305,$C$6:$C$305,$C172,$D$6:$D$305,$D172,$E$6:$E$305,"产成品入库"),2)-ROUND(SUMIFS($S$6:$S$305,$C$6:$C$305,$C172,$D$6:$D$305,$D172)*(N($X172)-N($W172))/SUMIFS($W$6:$W$305,$C$6:$C$305,$C172,$D$6:$D$305,$D172,$E$6:$E$305,"产成品入库"),2)))</f>
        <v>0</v>
      </c>
      <c r="U172" s="57" t="str">
        <f aca="false">IF($E172="","",ROUND($S172+$T172,2))</f>
        <v/>
      </c>
      <c r="V172" s="61" t="str">
        <f aca="false">IF($B172="","",YEAR($B172))</f>
        <v/>
      </c>
      <c r="W172" s="63" t="str">
        <f aca="false">IF($E172&lt;&gt;"产成品入库","",IF(N($M172)=0,1,N($M172)))</f>
        <v/>
      </c>
      <c r="X172" s="63" t="str">
        <f aca="false">IF($E172&lt;&gt;"产成品入库","",SUMIFS($W$6:$W172,$C$6:$C172,$C172,$D$6:$D172,$D172,$E$6:$E172,"产成品入库"))</f>
        <v/>
      </c>
    </row>
    <row r="173" customFormat="false" ht="15" hidden="false" customHeight="false" outlineLevel="0" collapsed="false">
      <c r="A173" s="53" t="str">
        <f aca="false">IF($B173="","",ROW()-5)</f>
        <v/>
      </c>
      <c r="B173" s="54"/>
      <c r="C173" s="33"/>
      <c r="D173" s="39"/>
      <c r="E173" s="33"/>
      <c r="F173" s="39"/>
      <c r="G173" s="48" t="str">
        <f aca="false">IF($F173="","",IFERROR(INDEX(商品档案!$B$6:$B$65,MATCH($F173,商品档案!$A$6:$A$65,0)),""))</f>
        <v/>
      </c>
      <c r="H173" s="55" t="str">
        <f aca="false">IF($F173="","",IFERROR(INDEX(商品档案!$D$6:$D$65,MATCH($F173,商品档案!$A$6:$A$65,0)),""))</f>
        <v/>
      </c>
      <c r="I173" s="49"/>
      <c r="J173" s="43"/>
      <c r="K173" s="41"/>
      <c r="L173" s="39"/>
      <c r="M173" s="62"/>
      <c r="N173" s="41"/>
      <c r="O173" s="41"/>
      <c r="P173" s="25" t="str">
        <f aca="false">IF(AND($B173="",$E173=""),"",IF(NOT(ISNUMBER($B173)),"日期无效",IF(ISNA(MATCH($C173,参数设置!$A$10:$A$12,0)),"公司无效",IF($D173="","缺批次号",IF(ISNA(MATCH($E173,记账规则!$A$36:$A$38,0)),"业务类型无效",IF(AND($E173&lt;&gt;"加工费用",ISNA(MATCH($F173,商品档案!$A$6:$A$65,0))),"商品编码无效",IF(AND($E173&lt;&gt;"加工费用",IFERROR(INDEX(商品档案!$E$6:$E$65,MATCH($F173,商品档案!$A$6:$A$65,0)),"")&lt;&gt;$C173),"商品不属于该公司",IF(AND($E173&lt;&gt;"加工费用",N($I173)=0),"数量为 0",IF(AND($E173="加工费用",N($J173)=0),"加工费金额为 0",IF(AND($E173="加工费用",ISNA(MATCH($K173,会计科目表!$B$6:$B$85,0))),"对方科目不存在",IF(YEAR($B173)&lt;&gt;参数设置!$B$5,"不在本会计年度","OK")))))))))))</f>
        <v/>
      </c>
      <c r="Q173" s="58" t="str">
        <f aca="false">IF($F173="","",IFERROR(INDEX(商品档案!$G$6:$G$65,MATCH($F173,商品档案!$A$6:$A$65,0)),""))</f>
        <v/>
      </c>
      <c r="R173" s="59" t="str">
        <f aca="false">IF($F173="","",SUMIFS(进销存台账!$N$6:$N$65,进销存台账!$A$6:$A$65,$C173,进销存台账!$B$6:$B$65,$F173))</f>
        <v/>
      </c>
      <c r="S173" s="60" t="n">
        <f aca="false">IF($E173="领用投入",ROUND(N($I173)*N($R173),2),IF($E173="加工费用",ROUND(N($J173),2),0))</f>
        <v>0</v>
      </c>
      <c r="T173" s="60" t="n">
        <f aca="false">IF($E173&lt;&gt;"产成品入库",0,IF(SUMIFS($W$6:$W$305,$C$6:$C$305,$C173,$D$6:$D$305,$D173,$E$6:$E$305,"产成品入库")=0,0,ROUND(SUMIFS($S$6:$S$305,$C$6:$C$305,$C173,$D$6:$D$305,$D173)*N($X173)/SUMIFS($W$6:$W$305,$C$6:$C$305,$C173,$D$6:$D$305,$D173,$E$6:$E$305,"产成品入库"),2)-ROUND(SUMIFS($S$6:$S$305,$C$6:$C$305,$C173,$D$6:$D$305,$D173)*(N($X173)-N($W173))/SUMIFS($W$6:$W$305,$C$6:$C$305,$C173,$D$6:$D$305,$D173,$E$6:$E$305,"产成品入库"),2)))</f>
        <v>0</v>
      </c>
      <c r="U173" s="57" t="str">
        <f aca="false">IF($E173="","",ROUND($S173+$T173,2))</f>
        <v/>
      </c>
      <c r="V173" s="61" t="str">
        <f aca="false">IF($B173="","",YEAR($B173))</f>
        <v/>
      </c>
      <c r="W173" s="63" t="str">
        <f aca="false">IF($E173&lt;&gt;"产成品入库","",IF(N($M173)=0,1,N($M173)))</f>
        <v/>
      </c>
      <c r="X173" s="63" t="str">
        <f aca="false">IF($E173&lt;&gt;"产成品入库","",SUMIFS($W$6:$W173,$C$6:$C173,$C173,$D$6:$D173,$D173,$E$6:$E173,"产成品入库"))</f>
        <v/>
      </c>
    </row>
    <row r="174" customFormat="false" ht="15" hidden="false" customHeight="false" outlineLevel="0" collapsed="false">
      <c r="A174" s="53" t="str">
        <f aca="false">IF($B174="","",ROW()-5)</f>
        <v/>
      </c>
      <c r="B174" s="54"/>
      <c r="C174" s="33"/>
      <c r="D174" s="39"/>
      <c r="E174" s="33"/>
      <c r="F174" s="39"/>
      <c r="G174" s="48" t="str">
        <f aca="false">IF($F174="","",IFERROR(INDEX(商品档案!$B$6:$B$65,MATCH($F174,商品档案!$A$6:$A$65,0)),""))</f>
        <v/>
      </c>
      <c r="H174" s="55" t="str">
        <f aca="false">IF($F174="","",IFERROR(INDEX(商品档案!$D$6:$D$65,MATCH($F174,商品档案!$A$6:$A$65,0)),""))</f>
        <v/>
      </c>
      <c r="I174" s="49"/>
      <c r="J174" s="43"/>
      <c r="K174" s="41"/>
      <c r="L174" s="39"/>
      <c r="M174" s="62"/>
      <c r="N174" s="41"/>
      <c r="O174" s="41"/>
      <c r="P174" s="25" t="str">
        <f aca="false">IF(AND($B174="",$E174=""),"",IF(NOT(ISNUMBER($B174)),"日期无效",IF(ISNA(MATCH($C174,参数设置!$A$10:$A$12,0)),"公司无效",IF($D174="","缺批次号",IF(ISNA(MATCH($E174,记账规则!$A$36:$A$38,0)),"业务类型无效",IF(AND($E174&lt;&gt;"加工费用",ISNA(MATCH($F174,商品档案!$A$6:$A$65,0))),"商品编码无效",IF(AND($E174&lt;&gt;"加工费用",IFERROR(INDEX(商品档案!$E$6:$E$65,MATCH($F174,商品档案!$A$6:$A$65,0)),"")&lt;&gt;$C174),"商品不属于该公司",IF(AND($E174&lt;&gt;"加工费用",N($I174)=0),"数量为 0",IF(AND($E174="加工费用",N($J174)=0),"加工费金额为 0",IF(AND($E174="加工费用",ISNA(MATCH($K174,会计科目表!$B$6:$B$85,0))),"对方科目不存在",IF(YEAR($B174)&lt;&gt;参数设置!$B$5,"不在本会计年度","OK")))))))))))</f>
        <v/>
      </c>
      <c r="Q174" s="58" t="str">
        <f aca="false">IF($F174="","",IFERROR(INDEX(商品档案!$G$6:$G$65,MATCH($F174,商品档案!$A$6:$A$65,0)),""))</f>
        <v/>
      </c>
      <c r="R174" s="59" t="str">
        <f aca="false">IF($F174="","",SUMIFS(进销存台账!$N$6:$N$65,进销存台账!$A$6:$A$65,$C174,进销存台账!$B$6:$B$65,$F174))</f>
        <v/>
      </c>
      <c r="S174" s="60" t="n">
        <f aca="false">IF($E174="领用投入",ROUND(N($I174)*N($R174),2),IF($E174="加工费用",ROUND(N($J174),2),0))</f>
        <v>0</v>
      </c>
      <c r="T174" s="60" t="n">
        <f aca="false">IF($E174&lt;&gt;"产成品入库",0,IF(SUMIFS($W$6:$W$305,$C$6:$C$305,$C174,$D$6:$D$305,$D174,$E$6:$E$305,"产成品入库")=0,0,ROUND(SUMIFS($S$6:$S$305,$C$6:$C$305,$C174,$D$6:$D$305,$D174)*N($X174)/SUMIFS($W$6:$W$305,$C$6:$C$305,$C174,$D$6:$D$305,$D174,$E$6:$E$305,"产成品入库"),2)-ROUND(SUMIFS($S$6:$S$305,$C$6:$C$305,$C174,$D$6:$D$305,$D174)*(N($X174)-N($W174))/SUMIFS($W$6:$W$305,$C$6:$C$305,$C174,$D$6:$D$305,$D174,$E$6:$E$305,"产成品入库"),2)))</f>
        <v>0</v>
      </c>
      <c r="U174" s="57" t="str">
        <f aca="false">IF($E174="","",ROUND($S174+$T174,2))</f>
        <v/>
      </c>
      <c r="V174" s="61" t="str">
        <f aca="false">IF($B174="","",YEAR($B174))</f>
        <v/>
      </c>
      <c r="W174" s="63" t="str">
        <f aca="false">IF($E174&lt;&gt;"产成品入库","",IF(N($M174)=0,1,N($M174)))</f>
        <v/>
      </c>
      <c r="X174" s="63" t="str">
        <f aca="false">IF($E174&lt;&gt;"产成品入库","",SUMIFS($W$6:$W174,$C$6:$C174,$C174,$D$6:$D174,$D174,$E$6:$E174,"产成品入库"))</f>
        <v/>
      </c>
    </row>
    <row r="175" customFormat="false" ht="15" hidden="false" customHeight="false" outlineLevel="0" collapsed="false">
      <c r="A175" s="53" t="str">
        <f aca="false">IF($B175="","",ROW()-5)</f>
        <v/>
      </c>
      <c r="B175" s="54"/>
      <c r="C175" s="33"/>
      <c r="D175" s="39"/>
      <c r="E175" s="33"/>
      <c r="F175" s="39"/>
      <c r="G175" s="48" t="str">
        <f aca="false">IF($F175="","",IFERROR(INDEX(商品档案!$B$6:$B$65,MATCH($F175,商品档案!$A$6:$A$65,0)),""))</f>
        <v/>
      </c>
      <c r="H175" s="55" t="str">
        <f aca="false">IF($F175="","",IFERROR(INDEX(商品档案!$D$6:$D$65,MATCH($F175,商品档案!$A$6:$A$65,0)),""))</f>
        <v/>
      </c>
      <c r="I175" s="49"/>
      <c r="J175" s="43"/>
      <c r="K175" s="41"/>
      <c r="L175" s="39"/>
      <c r="M175" s="62"/>
      <c r="N175" s="41"/>
      <c r="O175" s="41"/>
      <c r="P175" s="25" t="str">
        <f aca="false">IF(AND($B175="",$E175=""),"",IF(NOT(ISNUMBER($B175)),"日期无效",IF(ISNA(MATCH($C175,参数设置!$A$10:$A$12,0)),"公司无效",IF($D175="","缺批次号",IF(ISNA(MATCH($E175,记账规则!$A$36:$A$38,0)),"业务类型无效",IF(AND($E175&lt;&gt;"加工费用",ISNA(MATCH($F175,商品档案!$A$6:$A$65,0))),"商品编码无效",IF(AND($E175&lt;&gt;"加工费用",IFERROR(INDEX(商品档案!$E$6:$E$65,MATCH($F175,商品档案!$A$6:$A$65,0)),"")&lt;&gt;$C175),"商品不属于该公司",IF(AND($E175&lt;&gt;"加工费用",N($I175)=0),"数量为 0",IF(AND($E175="加工费用",N($J175)=0),"加工费金额为 0",IF(AND($E175="加工费用",ISNA(MATCH($K175,会计科目表!$B$6:$B$85,0))),"对方科目不存在",IF(YEAR($B175)&lt;&gt;参数设置!$B$5,"不在本会计年度","OK")))))))))))</f>
        <v/>
      </c>
      <c r="Q175" s="58" t="str">
        <f aca="false">IF($F175="","",IFERROR(INDEX(商品档案!$G$6:$G$65,MATCH($F175,商品档案!$A$6:$A$65,0)),""))</f>
        <v/>
      </c>
      <c r="R175" s="59" t="str">
        <f aca="false">IF($F175="","",SUMIFS(进销存台账!$N$6:$N$65,进销存台账!$A$6:$A$65,$C175,进销存台账!$B$6:$B$65,$F175))</f>
        <v/>
      </c>
      <c r="S175" s="60" t="n">
        <f aca="false">IF($E175="领用投入",ROUND(N($I175)*N($R175),2),IF($E175="加工费用",ROUND(N($J175),2),0))</f>
        <v>0</v>
      </c>
      <c r="T175" s="60" t="n">
        <f aca="false">IF($E175&lt;&gt;"产成品入库",0,IF(SUMIFS($W$6:$W$305,$C$6:$C$305,$C175,$D$6:$D$305,$D175,$E$6:$E$305,"产成品入库")=0,0,ROUND(SUMIFS($S$6:$S$305,$C$6:$C$305,$C175,$D$6:$D$305,$D175)*N($X175)/SUMIFS($W$6:$W$305,$C$6:$C$305,$C175,$D$6:$D$305,$D175,$E$6:$E$305,"产成品入库"),2)-ROUND(SUMIFS($S$6:$S$305,$C$6:$C$305,$C175,$D$6:$D$305,$D175)*(N($X175)-N($W175))/SUMIFS($W$6:$W$305,$C$6:$C$305,$C175,$D$6:$D$305,$D175,$E$6:$E$305,"产成品入库"),2)))</f>
        <v>0</v>
      </c>
      <c r="U175" s="57" t="str">
        <f aca="false">IF($E175="","",ROUND($S175+$T175,2))</f>
        <v/>
      </c>
      <c r="V175" s="61" t="str">
        <f aca="false">IF($B175="","",YEAR($B175))</f>
        <v/>
      </c>
      <c r="W175" s="63" t="str">
        <f aca="false">IF($E175&lt;&gt;"产成品入库","",IF(N($M175)=0,1,N($M175)))</f>
        <v/>
      </c>
      <c r="X175" s="63" t="str">
        <f aca="false">IF($E175&lt;&gt;"产成品入库","",SUMIFS($W$6:$W175,$C$6:$C175,$C175,$D$6:$D175,$D175,$E$6:$E175,"产成品入库"))</f>
        <v/>
      </c>
    </row>
    <row r="176" customFormat="false" ht="15" hidden="false" customHeight="false" outlineLevel="0" collapsed="false">
      <c r="A176" s="53" t="str">
        <f aca="false">IF($B176="","",ROW()-5)</f>
        <v/>
      </c>
      <c r="B176" s="54"/>
      <c r="C176" s="33"/>
      <c r="D176" s="39"/>
      <c r="E176" s="33"/>
      <c r="F176" s="39"/>
      <c r="G176" s="48" t="str">
        <f aca="false">IF($F176="","",IFERROR(INDEX(商品档案!$B$6:$B$65,MATCH($F176,商品档案!$A$6:$A$65,0)),""))</f>
        <v/>
      </c>
      <c r="H176" s="55" t="str">
        <f aca="false">IF($F176="","",IFERROR(INDEX(商品档案!$D$6:$D$65,MATCH($F176,商品档案!$A$6:$A$65,0)),""))</f>
        <v/>
      </c>
      <c r="I176" s="49"/>
      <c r="J176" s="43"/>
      <c r="K176" s="41"/>
      <c r="L176" s="39"/>
      <c r="M176" s="62"/>
      <c r="N176" s="41"/>
      <c r="O176" s="41"/>
      <c r="P176" s="25" t="str">
        <f aca="false">IF(AND($B176="",$E176=""),"",IF(NOT(ISNUMBER($B176)),"日期无效",IF(ISNA(MATCH($C176,参数设置!$A$10:$A$12,0)),"公司无效",IF($D176="","缺批次号",IF(ISNA(MATCH($E176,记账规则!$A$36:$A$38,0)),"业务类型无效",IF(AND($E176&lt;&gt;"加工费用",ISNA(MATCH($F176,商品档案!$A$6:$A$65,0))),"商品编码无效",IF(AND($E176&lt;&gt;"加工费用",IFERROR(INDEX(商品档案!$E$6:$E$65,MATCH($F176,商品档案!$A$6:$A$65,0)),"")&lt;&gt;$C176),"商品不属于该公司",IF(AND($E176&lt;&gt;"加工费用",N($I176)=0),"数量为 0",IF(AND($E176="加工费用",N($J176)=0),"加工费金额为 0",IF(AND($E176="加工费用",ISNA(MATCH($K176,会计科目表!$B$6:$B$85,0))),"对方科目不存在",IF(YEAR($B176)&lt;&gt;参数设置!$B$5,"不在本会计年度","OK")))))))))))</f>
        <v/>
      </c>
      <c r="Q176" s="58" t="str">
        <f aca="false">IF($F176="","",IFERROR(INDEX(商品档案!$G$6:$G$65,MATCH($F176,商品档案!$A$6:$A$65,0)),""))</f>
        <v/>
      </c>
      <c r="R176" s="59" t="str">
        <f aca="false">IF($F176="","",SUMIFS(进销存台账!$N$6:$N$65,进销存台账!$A$6:$A$65,$C176,进销存台账!$B$6:$B$65,$F176))</f>
        <v/>
      </c>
      <c r="S176" s="60" t="n">
        <f aca="false">IF($E176="领用投入",ROUND(N($I176)*N($R176),2),IF($E176="加工费用",ROUND(N($J176),2),0))</f>
        <v>0</v>
      </c>
      <c r="T176" s="60" t="n">
        <f aca="false">IF($E176&lt;&gt;"产成品入库",0,IF(SUMIFS($W$6:$W$305,$C$6:$C$305,$C176,$D$6:$D$305,$D176,$E$6:$E$305,"产成品入库")=0,0,ROUND(SUMIFS($S$6:$S$305,$C$6:$C$305,$C176,$D$6:$D$305,$D176)*N($X176)/SUMIFS($W$6:$W$305,$C$6:$C$305,$C176,$D$6:$D$305,$D176,$E$6:$E$305,"产成品入库"),2)-ROUND(SUMIFS($S$6:$S$305,$C$6:$C$305,$C176,$D$6:$D$305,$D176)*(N($X176)-N($W176))/SUMIFS($W$6:$W$305,$C$6:$C$305,$C176,$D$6:$D$305,$D176,$E$6:$E$305,"产成品入库"),2)))</f>
        <v>0</v>
      </c>
      <c r="U176" s="57" t="str">
        <f aca="false">IF($E176="","",ROUND($S176+$T176,2))</f>
        <v/>
      </c>
      <c r="V176" s="61" t="str">
        <f aca="false">IF($B176="","",YEAR($B176))</f>
        <v/>
      </c>
      <c r="W176" s="63" t="str">
        <f aca="false">IF($E176&lt;&gt;"产成品入库","",IF(N($M176)=0,1,N($M176)))</f>
        <v/>
      </c>
      <c r="X176" s="63" t="str">
        <f aca="false">IF($E176&lt;&gt;"产成品入库","",SUMIFS($W$6:$W176,$C$6:$C176,$C176,$D$6:$D176,$D176,$E$6:$E176,"产成品入库"))</f>
        <v/>
      </c>
    </row>
    <row r="177" customFormat="false" ht="15" hidden="false" customHeight="false" outlineLevel="0" collapsed="false">
      <c r="A177" s="53" t="str">
        <f aca="false">IF($B177="","",ROW()-5)</f>
        <v/>
      </c>
      <c r="B177" s="54"/>
      <c r="C177" s="33"/>
      <c r="D177" s="39"/>
      <c r="E177" s="33"/>
      <c r="F177" s="39"/>
      <c r="G177" s="48" t="str">
        <f aca="false">IF($F177="","",IFERROR(INDEX(商品档案!$B$6:$B$65,MATCH($F177,商品档案!$A$6:$A$65,0)),""))</f>
        <v/>
      </c>
      <c r="H177" s="55" t="str">
        <f aca="false">IF($F177="","",IFERROR(INDEX(商品档案!$D$6:$D$65,MATCH($F177,商品档案!$A$6:$A$65,0)),""))</f>
        <v/>
      </c>
      <c r="I177" s="49"/>
      <c r="J177" s="43"/>
      <c r="K177" s="41"/>
      <c r="L177" s="39"/>
      <c r="M177" s="62"/>
      <c r="N177" s="41"/>
      <c r="O177" s="41"/>
      <c r="P177" s="25" t="str">
        <f aca="false">IF(AND($B177="",$E177=""),"",IF(NOT(ISNUMBER($B177)),"日期无效",IF(ISNA(MATCH($C177,参数设置!$A$10:$A$12,0)),"公司无效",IF($D177="","缺批次号",IF(ISNA(MATCH($E177,记账规则!$A$36:$A$38,0)),"业务类型无效",IF(AND($E177&lt;&gt;"加工费用",ISNA(MATCH($F177,商品档案!$A$6:$A$65,0))),"商品编码无效",IF(AND($E177&lt;&gt;"加工费用",IFERROR(INDEX(商品档案!$E$6:$E$65,MATCH($F177,商品档案!$A$6:$A$65,0)),"")&lt;&gt;$C177),"商品不属于该公司",IF(AND($E177&lt;&gt;"加工费用",N($I177)=0),"数量为 0",IF(AND($E177="加工费用",N($J177)=0),"加工费金额为 0",IF(AND($E177="加工费用",ISNA(MATCH($K177,会计科目表!$B$6:$B$85,0))),"对方科目不存在",IF(YEAR($B177)&lt;&gt;参数设置!$B$5,"不在本会计年度","OK")))))))))))</f>
        <v/>
      </c>
      <c r="Q177" s="58" t="str">
        <f aca="false">IF($F177="","",IFERROR(INDEX(商品档案!$G$6:$G$65,MATCH($F177,商品档案!$A$6:$A$65,0)),""))</f>
        <v/>
      </c>
      <c r="R177" s="59" t="str">
        <f aca="false">IF($F177="","",SUMIFS(进销存台账!$N$6:$N$65,进销存台账!$A$6:$A$65,$C177,进销存台账!$B$6:$B$65,$F177))</f>
        <v/>
      </c>
      <c r="S177" s="60" t="n">
        <f aca="false">IF($E177="领用投入",ROUND(N($I177)*N($R177),2),IF($E177="加工费用",ROUND(N($J177),2),0))</f>
        <v>0</v>
      </c>
      <c r="T177" s="60" t="n">
        <f aca="false">IF($E177&lt;&gt;"产成品入库",0,IF(SUMIFS($W$6:$W$305,$C$6:$C$305,$C177,$D$6:$D$305,$D177,$E$6:$E$305,"产成品入库")=0,0,ROUND(SUMIFS($S$6:$S$305,$C$6:$C$305,$C177,$D$6:$D$305,$D177)*N($X177)/SUMIFS($W$6:$W$305,$C$6:$C$305,$C177,$D$6:$D$305,$D177,$E$6:$E$305,"产成品入库"),2)-ROUND(SUMIFS($S$6:$S$305,$C$6:$C$305,$C177,$D$6:$D$305,$D177)*(N($X177)-N($W177))/SUMIFS($W$6:$W$305,$C$6:$C$305,$C177,$D$6:$D$305,$D177,$E$6:$E$305,"产成品入库"),2)))</f>
        <v>0</v>
      </c>
      <c r="U177" s="57" t="str">
        <f aca="false">IF($E177="","",ROUND($S177+$T177,2))</f>
        <v/>
      </c>
      <c r="V177" s="61" t="str">
        <f aca="false">IF($B177="","",YEAR($B177))</f>
        <v/>
      </c>
      <c r="W177" s="63" t="str">
        <f aca="false">IF($E177&lt;&gt;"产成品入库","",IF(N($M177)=0,1,N($M177)))</f>
        <v/>
      </c>
      <c r="X177" s="63" t="str">
        <f aca="false">IF($E177&lt;&gt;"产成品入库","",SUMIFS($W$6:$W177,$C$6:$C177,$C177,$D$6:$D177,$D177,$E$6:$E177,"产成品入库"))</f>
        <v/>
      </c>
    </row>
    <row r="178" customFormat="false" ht="15" hidden="false" customHeight="false" outlineLevel="0" collapsed="false">
      <c r="A178" s="53" t="str">
        <f aca="false">IF($B178="","",ROW()-5)</f>
        <v/>
      </c>
      <c r="B178" s="54"/>
      <c r="C178" s="33"/>
      <c r="D178" s="39"/>
      <c r="E178" s="33"/>
      <c r="F178" s="39"/>
      <c r="G178" s="48" t="str">
        <f aca="false">IF($F178="","",IFERROR(INDEX(商品档案!$B$6:$B$65,MATCH($F178,商品档案!$A$6:$A$65,0)),""))</f>
        <v/>
      </c>
      <c r="H178" s="55" t="str">
        <f aca="false">IF($F178="","",IFERROR(INDEX(商品档案!$D$6:$D$65,MATCH($F178,商品档案!$A$6:$A$65,0)),""))</f>
        <v/>
      </c>
      <c r="I178" s="49"/>
      <c r="J178" s="43"/>
      <c r="K178" s="41"/>
      <c r="L178" s="39"/>
      <c r="M178" s="62"/>
      <c r="N178" s="41"/>
      <c r="O178" s="41"/>
      <c r="P178" s="25" t="str">
        <f aca="false">IF(AND($B178="",$E178=""),"",IF(NOT(ISNUMBER($B178)),"日期无效",IF(ISNA(MATCH($C178,参数设置!$A$10:$A$12,0)),"公司无效",IF($D178="","缺批次号",IF(ISNA(MATCH($E178,记账规则!$A$36:$A$38,0)),"业务类型无效",IF(AND($E178&lt;&gt;"加工费用",ISNA(MATCH($F178,商品档案!$A$6:$A$65,0))),"商品编码无效",IF(AND($E178&lt;&gt;"加工费用",IFERROR(INDEX(商品档案!$E$6:$E$65,MATCH($F178,商品档案!$A$6:$A$65,0)),"")&lt;&gt;$C178),"商品不属于该公司",IF(AND($E178&lt;&gt;"加工费用",N($I178)=0),"数量为 0",IF(AND($E178="加工费用",N($J178)=0),"加工费金额为 0",IF(AND($E178="加工费用",ISNA(MATCH($K178,会计科目表!$B$6:$B$85,0))),"对方科目不存在",IF(YEAR($B178)&lt;&gt;参数设置!$B$5,"不在本会计年度","OK")))))))))))</f>
        <v/>
      </c>
      <c r="Q178" s="58" t="str">
        <f aca="false">IF($F178="","",IFERROR(INDEX(商品档案!$G$6:$G$65,MATCH($F178,商品档案!$A$6:$A$65,0)),""))</f>
        <v/>
      </c>
      <c r="R178" s="59" t="str">
        <f aca="false">IF($F178="","",SUMIFS(进销存台账!$N$6:$N$65,进销存台账!$A$6:$A$65,$C178,进销存台账!$B$6:$B$65,$F178))</f>
        <v/>
      </c>
      <c r="S178" s="60" t="n">
        <f aca="false">IF($E178="领用投入",ROUND(N($I178)*N($R178),2),IF($E178="加工费用",ROUND(N($J178),2),0))</f>
        <v>0</v>
      </c>
      <c r="T178" s="60" t="n">
        <f aca="false">IF($E178&lt;&gt;"产成品入库",0,IF(SUMIFS($W$6:$W$305,$C$6:$C$305,$C178,$D$6:$D$305,$D178,$E$6:$E$305,"产成品入库")=0,0,ROUND(SUMIFS($S$6:$S$305,$C$6:$C$305,$C178,$D$6:$D$305,$D178)*N($X178)/SUMIFS($W$6:$W$305,$C$6:$C$305,$C178,$D$6:$D$305,$D178,$E$6:$E$305,"产成品入库"),2)-ROUND(SUMIFS($S$6:$S$305,$C$6:$C$305,$C178,$D$6:$D$305,$D178)*(N($X178)-N($W178))/SUMIFS($W$6:$W$305,$C$6:$C$305,$C178,$D$6:$D$305,$D178,$E$6:$E$305,"产成品入库"),2)))</f>
        <v>0</v>
      </c>
      <c r="U178" s="57" t="str">
        <f aca="false">IF($E178="","",ROUND($S178+$T178,2))</f>
        <v/>
      </c>
      <c r="V178" s="61" t="str">
        <f aca="false">IF($B178="","",YEAR($B178))</f>
        <v/>
      </c>
      <c r="W178" s="63" t="str">
        <f aca="false">IF($E178&lt;&gt;"产成品入库","",IF(N($M178)=0,1,N($M178)))</f>
        <v/>
      </c>
      <c r="X178" s="63" t="str">
        <f aca="false">IF($E178&lt;&gt;"产成品入库","",SUMIFS($W$6:$W178,$C$6:$C178,$C178,$D$6:$D178,$D178,$E$6:$E178,"产成品入库"))</f>
        <v/>
      </c>
    </row>
    <row r="179" customFormat="false" ht="15" hidden="false" customHeight="false" outlineLevel="0" collapsed="false">
      <c r="A179" s="53" t="str">
        <f aca="false">IF($B179="","",ROW()-5)</f>
        <v/>
      </c>
      <c r="B179" s="54"/>
      <c r="C179" s="33"/>
      <c r="D179" s="39"/>
      <c r="E179" s="33"/>
      <c r="F179" s="39"/>
      <c r="G179" s="48" t="str">
        <f aca="false">IF($F179="","",IFERROR(INDEX(商品档案!$B$6:$B$65,MATCH($F179,商品档案!$A$6:$A$65,0)),""))</f>
        <v/>
      </c>
      <c r="H179" s="55" t="str">
        <f aca="false">IF($F179="","",IFERROR(INDEX(商品档案!$D$6:$D$65,MATCH($F179,商品档案!$A$6:$A$65,0)),""))</f>
        <v/>
      </c>
      <c r="I179" s="49"/>
      <c r="J179" s="43"/>
      <c r="K179" s="41"/>
      <c r="L179" s="39"/>
      <c r="M179" s="62"/>
      <c r="N179" s="41"/>
      <c r="O179" s="41"/>
      <c r="P179" s="25" t="str">
        <f aca="false">IF(AND($B179="",$E179=""),"",IF(NOT(ISNUMBER($B179)),"日期无效",IF(ISNA(MATCH($C179,参数设置!$A$10:$A$12,0)),"公司无效",IF($D179="","缺批次号",IF(ISNA(MATCH($E179,记账规则!$A$36:$A$38,0)),"业务类型无效",IF(AND($E179&lt;&gt;"加工费用",ISNA(MATCH($F179,商品档案!$A$6:$A$65,0))),"商品编码无效",IF(AND($E179&lt;&gt;"加工费用",IFERROR(INDEX(商品档案!$E$6:$E$65,MATCH($F179,商品档案!$A$6:$A$65,0)),"")&lt;&gt;$C179),"商品不属于该公司",IF(AND($E179&lt;&gt;"加工费用",N($I179)=0),"数量为 0",IF(AND($E179="加工费用",N($J179)=0),"加工费金额为 0",IF(AND($E179="加工费用",ISNA(MATCH($K179,会计科目表!$B$6:$B$85,0))),"对方科目不存在",IF(YEAR($B179)&lt;&gt;参数设置!$B$5,"不在本会计年度","OK")))))))))))</f>
        <v/>
      </c>
      <c r="Q179" s="58" t="str">
        <f aca="false">IF($F179="","",IFERROR(INDEX(商品档案!$G$6:$G$65,MATCH($F179,商品档案!$A$6:$A$65,0)),""))</f>
        <v/>
      </c>
      <c r="R179" s="59" t="str">
        <f aca="false">IF($F179="","",SUMIFS(进销存台账!$N$6:$N$65,进销存台账!$A$6:$A$65,$C179,进销存台账!$B$6:$B$65,$F179))</f>
        <v/>
      </c>
      <c r="S179" s="60" t="n">
        <f aca="false">IF($E179="领用投入",ROUND(N($I179)*N($R179),2),IF($E179="加工费用",ROUND(N($J179),2),0))</f>
        <v>0</v>
      </c>
      <c r="T179" s="60" t="n">
        <f aca="false">IF($E179&lt;&gt;"产成品入库",0,IF(SUMIFS($W$6:$W$305,$C$6:$C$305,$C179,$D$6:$D$305,$D179,$E$6:$E$305,"产成品入库")=0,0,ROUND(SUMIFS($S$6:$S$305,$C$6:$C$305,$C179,$D$6:$D$305,$D179)*N($X179)/SUMIFS($W$6:$W$305,$C$6:$C$305,$C179,$D$6:$D$305,$D179,$E$6:$E$305,"产成品入库"),2)-ROUND(SUMIFS($S$6:$S$305,$C$6:$C$305,$C179,$D$6:$D$305,$D179)*(N($X179)-N($W179))/SUMIFS($W$6:$W$305,$C$6:$C$305,$C179,$D$6:$D$305,$D179,$E$6:$E$305,"产成品入库"),2)))</f>
        <v>0</v>
      </c>
      <c r="U179" s="57" t="str">
        <f aca="false">IF($E179="","",ROUND($S179+$T179,2))</f>
        <v/>
      </c>
      <c r="V179" s="61" t="str">
        <f aca="false">IF($B179="","",YEAR($B179))</f>
        <v/>
      </c>
      <c r="W179" s="63" t="str">
        <f aca="false">IF($E179&lt;&gt;"产成品入库","",IF(N($M179)=0,1,N($M179)))</f>
        <v/>
      </c>
      <c r="X179" s="63" t="str">
        <f aca="false">IF($E179&lt;&gt;"产成品入库","",SUMIFS($W$6:$W179,$C$6:$C179,$C179,$D$6:$D179,$D179,$E$6:$E179,"产成品入库"))</f>
        <v/>
      </c>
    </row>
    <row r="180" customFormat="false" ht="15" hidden="false" customHeight="false" outlineLevel="0" collapsed="false">
      <c r="A180" s="53" t="str">
        <f aca="false">IF($B180="","",ROW()-5)</f>
        <v/>
      </c>
      <c r="B180" s="54"/>
      <c r="C180" s="33"/>
      <c r="D180" s="39"/>
      <c r="E180" s="33"/>
      <c r="F180" s="39"/>
      <c r="G180" s="48" t="str">
        <f aca="false">IF($F180="","",IFERROR(INDEX(商品档案!$B$6:$B$65,MATCH($F180,商品档案!$A$6:$A$65,0)),""))</f>
        <v/>
      </c>
      <c r="H180" s="55" t="str">
        <f aca="false">IF($F180="","",IFERROR(INDEX(商品档案!$D$6:$D$65,MATCH($F180,商品档案!$A$6:$A$65,0)),""))</f>
        <v/>
      </c>
      <c r="I180" s="49"/>
      <c r="J180" s="43"/>
      <c r="K180" s="41"/>
      <c r="L180" s="39"/>
      <c r="M180" s="62"/>
      <c r="N180" s="41"/>
      <c r="O180" s="41"/>
      <c r="P180" s="25" t="str">
        <f aca="false">IF(AND($B180="",$E180=""),"",IF(NOT(ISNUMBER($B180)),"日期无效",IF(ISNA(MATCH($C180,参数设置!$A$10:$A$12,0)),"公司无效",IF($D180="","缺批次号",IF(ISNA(MATCH($E180,记账规则!$A$36:$A$38,0)),"业务类型无效",IF(AND($E180&lt;&gt;"加工费用",ISNA(MATCH($F180,商品档案!$A$6:$A$65,0))),"商品编码无效",IF(AND($E180&lt;&gt;"加工费用",IFERROR(INDEX(商品档案!$E$6:$E$65,MATCH($F180,商品档案!$A$6:$A$65,0)),"")&lt;&gt;$C180),"商品不属于该公司",IF(AND($E180&lt;&gt;"加工费用",N($I180)=0),"数量为 0",IF(AND($E180="加工费用",N($J180)=0),"加工费金额为 0",IF(AND($E180="加工费用",ISNA(MATCH($K180,会计科目表!$B$6:$B$85,0))),"对方科目不存在",IF(YEAR($B180)&lt;&gt;参数设置!$B$5,"不在本会计年度","OK")))))))))))</f>
        <v/>
      </c>
      <c r="Q180" s="58" t="str">
        <f aca="false">IF($F180="","",IFERROR(INDEX(商品档案!$G$6:$G$65,MATCH($F180,商品档案!$A$6:$A$65,0)),""))</f>
        <v/>
      </c>
      <c r="R180" s="59" t="str">
        <f aca="false">IF($F180="","",SUMIFS(进销存台账!$N$6:$N$65,进销存台账!$A$6:$A$65,$C180,进销存台账!$B$6:$B$65,$F180))</f>
        <v/>
      </c>
      <c r="S180" s="60" t="n">
        <f aca="false">IF($E180="领用投入",ROUND(N($I180)*N($R180),2),IF($E180="加工费用",ROUND(N($J180),2),0))</f>
        <v>0</v>
      </c>
      <c r="T180" s="60" t="n">
        <f aca="false">IF($E180&lt;&gt;"产成品入库",0,IF(SUMIFS($W$6:$W$305,$C$6:$C$305,$C180,$D$6:$D$305,$D180,$E$6:$E$305,"产成品入库")=0,0,ROUND(SUMIFS($S$6:$S$305,$C$6:$C$305,$C180,$D$6:$D$305,$D180)*N($X180)/SUMIFS($W$6:$W$305,$C$6:$C$305,$C180,$D$6:$D$305,$D180,$E$6:$E$305,"产成品入库"),2)-ROUND(SUMIFS($S$6:$S$305,$C$6:$C$305,$C180,$D$6:$D$305,$D180)*(N($X180)-N($W180))/SUMIFS($W$6:$W$305,$C$6:$C$305,$C180,$D$6:$D$305,$D180,$E$6:$E$305,"产成品入库"),2)))</f>
        <v>0</v>
      </c>
      <c r="U180" s="57" t="str">
        <f aca="false">IF($E180="","",ROUND($S180+$T180,2))</f>
        <v/>
      </c>
      <c r="V180" s="61" t="str">
        <f aca="false">IF($B180="","",YEAR($B180))</f>
        <v/>
      </c>
      <c r="W180" s="63" t="str">
        <f aca="false">IF($E180&lt;&gt;"产成品入库","",IF(N($M180)=0,1,N($M180)))</f>
        <v/>
      </c>
      <c r="X180" s="63" t="str">
        <f aca="false">IF($E180&lt;&gt;"产成品入库","",SUMIFS($W$6:$W180,$C$6:$C180,$C180,$D$6:$D180,$D180,$E$6:$E180,"产成品入库"))</f>
        <v/>
      </c>
    </row>
    <row r="181" customFormat="false" ht="15" hidden="false" customHeight="false" outlineLevel="0" collapsed="false">
      <c r="A181" s="53" t="str">
        <f aca="false">IF($B181="","",ROW()-5)</f>
        <v/>
      </c>
      <c r="B181" s="54"/>
      <c r="C181" s="33"/>
      <c r="D181" s="39"/>
      <c r="E181" s="33"/>
      <c r="F181" s="39"/>
      <c r="G181" s="48" t="str">
        <f aca="false">IF($F181="","",IFERROR(INDEX(商品档案!$B$6:$B$65,MATCH($F181,商品档案!$A$6:$A$65,0)),""))</f>
        <v/>
      </c>
      <c r="H181" s="55" t="str">
        <f aca="false">IF($F181="","",IFERROR(INDEX(商品档案!$D$6:$D$65,MATCH($F181,商品档案!$A$6:$A$65,0)),""))</f>
        <v/>
      </c>
      <c r="I181" s="49"/>
      <c r="J181" s="43"/>
      <c r="K181" s="41"/>
      <c r="L181" s="39"/>
      <c r="M181" s="62"/>
      <c r="N181" s="41"/>
      <c r="O181" s="41"/>
      <c r="P181" s="25" t="str">
        <f aca="false">IF(AND($B181="",$E181=""),"",IF(NOT(ISNUMBER($B181)),"日期无效",IF(ISNA(MATCH($C181,参数设置!$A$10:$A$12,0)),"公司无效",IF($D181="","缺批次号",IF(ISNA(MATCH($E181,记账规则!$A$36:$A$38,0)),"业务类型无效",IF(AND($E181&lt;&gt;"加工费用",ISNA(MATCH($F181,商品档案!$A$6:$A$65,0))),"商品编码无效",IF(AND($E181&lt;&gt;"加工费用",IFERROR(INDEX(商品档案!$E$6:$E$65,MATCH($F181,商品档案!$A$6:$A$65,0)),"")&lt;&gt;$C181),"商品不属于该公司",IF(AND($E181&lt;&gt;"加工费用",N($I181)=0),"数量为 0",IF(AND($E181="加工费用",N($J181)=0),"加工费金额为 0",IF(AND($E181="加工费用",ISNA(MATCH($K181,会计科目表!$B$6:$B$85,0))),"对方科目不存在",IF(YEAR($B181)&lt;&gt;参数设置!$B$5,"不在本会计年度","OK")))))))))))</f>
        <v/>
      </c>
      <c r="Q181" s="58" t="str">
        <f aca="false">IF($F181="","",IFERROR(INDEX(商品档案!$G$6:$G$65,MATCH($F181,商品档案!$A$6:$A$65,0)),""))</f>
        <v/>
      </c>
      <c r="R181" s="59" t="str">
        <f aca="false">IF($F181="","",SUMIFS(进销存台账!$N$6:$N$65,进销存台账!$A$6:$A$65,$C181,进销存台账!$B$6:$B$65,$F181))</f>
        <v/>
      </c>
      <c r="S181" s="60" t="n">
        <f aca="false">IF($E181="领用投入",ROUND(N($I181)*N($R181),2),IF($E181="加工费用",ROUND(N($J181),2),0))</f>
        <v>0</v>
      </c>
      <c r="T181" s="60" t="n">
        <f aca="false">IF($E181&lt;&gt;"产成品入库",0,IF(SUMIFS($W$6:$W$305,$C$6:$C$305,$C181,$D$6:$D$305,$D181,$E$6:$E$305,"产成品入库")=0,0,ROUND(SUMIFS($S$6:$S$305,$C$6:$C$305,$C181,$D$6:$D$305,$D181)*N($X181)/SUMIFS($W$6:$W$305,$C$6:$C$305,$C181,$D$6:$D$305,$D181,$E$6:$E$305,"产成品入库"),2)-ROUND(SUMIFS($S$6:$S$305,$C$6:$C$305,$C181,$D$6:$D$305,$D181)*(N($X181)-N($W181))/SUMIFS($W$6:$W$305,$C$6:$C$305,$C181,$D$6:$D$305,$D181,$E$6:$E$305,"产成品入库"),2)))</f>
        <v>0</v>
      </c>
      <c r="U181" s="57" t="str">
        <f aca="false">IF($E181="","",ROUND($S181+$T181,2))</f>
        <v/>
      </c>
      <c r="V181" s="61" t="str">
        <f aca="false">IF($B181="","",YEAR($B181))</f>
        <v/>
      </c>
      <c r="W181" s="63" t="str">
        <f aca="false">IF($E181&lt;&gt;"产成品入库","",IF(N($M181)=0,1,N($M181)))</f>
        <v/>
      </c>
      <c r="X181" s="63" t="str">
        <f aca="false">IF($E181&lt;&gt;"产成品入库","",SUMIFS($W$6:$W181,$C$6:$C181,$C181,$D$6:$D181,$D181,$E$6:$E181,"产成品入库"))</f>
        <v/>
      </c>
    </row>
    <row r="182" customFormat="false" ht="15" hidden="false" customHeight="false" outlineLevel="0" collapsed="false">
      <c r="A182" s="53" t="str">
        <f aca="false">IF($B182="","",ROW()-5)</f>
        <v/>
      </c>
      <c r="B182" s="54"/>
      <c r="C182" s="33"/>
      <c r="D182" s="39"/>
      <c r="E182" s="33"/>
      <c r="F182" s="39"/>
      <c r="G182" s="48" t="str">
        <f aca="false">IF($F182="","",IFERROR(INDEX(商品档案!$B$6:$B$65,MATCH($F182,商品档案!$A$6:$A$65,0)),""))</f>
        <v/>
      </c>
      <c r="H182" s="55" t="str">
        <f aca="false">IF($F182="","",IFERROR(INDEX(商品档案!$D$6:$D$65,MATCH($F182,商品档案!$A$6:$A$65,0)),""))</f>
        <v/>
      </c>
      <c r="I182" s="49"/>
      <c r="J182" s="43"/>
      <c r="K182" s="41"/>
      <c r="L182" s="39"/>
      <c r="M182" s="62"/>
      <c r="N182" s="41"/>
      <c r="O182" s="41"/>
      <c r="P182" s="25" t="str">
        <f aca="false">IF(AND($B182="",$E182=""),"",IF(NOT(ISNUMBER($B182)),"日期无效",IF(ISNA(MATCH($C182,参数设置!$A$10:$A$12,0)),"公司无效",IF($D182="","缺批次号",IF(ISNA(MATCH($E182,记账规则!$A$36:$A$38,0)),"业务类型无效",IF(AND($E182&lt;&gt;"加工费用",ISNA(MATCH($F182,商品档案!$A$6:$A$65,0))),"商品编码无效",IF(AND($E182&lt;&gt;"加工费用",IFERROR(INDEX(商品档案!$E$6:$E$65,MATCH($F182,商品档案!$A$6:$A$65,0)),"")&lt;&gt;$C182),"商品不属于该公司",IF(AND($E182&lt;&gt;"加工费用",N($I182)=0),"数量为 0",IF(AND($E182="加工费用",N($J182)=0),"加工费金额为 0",IF(AND($E182="加工费用",ISNA(MATCH($K182,会计科目表!$B$6:$B$85,0))),"对方科目不存在",IF(YEAR($B182)&lt;&gt;参数设置!$B$5,"不在本会计年度","OK")))))))))))</f>
        <v/>
      </c>
      <c r="Q182" s="58" t="str">
        <f aca="false">IF($F182="","",IFERROR(INDEX(商品档案!$G$6:$G$65,MATCH($F182,商品档案!$A$6:$A$65,0)),""))</f>
        <v/>
      </c>
      <c r="R182" s="59" t="str">
        <f aca="false">IF($F182="","",SUMIFS(进销存台账!$N$6:$N$65,进销存台账!$A$6:$A$65,$C182,进销存台账!$B$6:$B$65,$F182))</f>
        <v/>
      </c>
      <c r="S182" s="60" t="n">
        <f aca="false">IF($E182="领用投入",ROUND(N($I182)*N($R182),2),IF($E182="加工费用",ROUND(N($J182),2),0))</f>
        <v>0</v>
      </c>
      <c r="T182" s="60" t="n">
        <f aca="false">IF($E182&lt;&gt;"产成品入库",0,IF(SUMIFS($W$6:$W$305,$C$6:$C$305,$C182,$D$6:$D$305,$D182,$E$6:$E$305,"产成品入库")=0,0,ROUND(SUMIFS($S$6:$S$305,$C$6:$C$305,$C182,$D$6:$D$305,$D182)*N($X182)/SUMIFS($W$6:$W$305,$C$6:$C$305,$C182,$D$6:$D$305,$D182,$E$6:$E$305,"产成品入库"),2)-ROUND(SUMIFS($S$6:$S$305,$C$6:$C$305,$C182,$D$6:$D$305,$D182)*(N($X182)-N($W182))/SUMIFS($W$6:$W$305,$C$6:$C$305,$C182,$D$6:$D$305,$D182,$E$6:$E$305,"产成品入库"),2)))</f>
        <v>0</v>
      </c>
      <c r="U182" s="57" t="str">
        <f aca="false">IF($E182="","",ROUND($S182+$T182,2))</f>
        <v/>
      </c>
      <c r="V182" s="61" t="str">
        <f aca="false">IF($B182="","",YEAR($B182))</f>
        <v/>
      </c>
      <c r="W182" s="63" t="str">
        <f aca="false">IF($E182&lt;&gt;"产成品入库","",IF(N($M182)=0,1,N($M182)))</f>
        <v/>
      </c>
      <c r="X182" s="63" t="str">
        <f aca="false">IF($E182&lt;&gt;"产成品入库","",SUMIFS($W$6:$W182,$C$6:$C182,$C182,$D$6:$D182,$D182,$E$6:$E182,"产成品入库"))</f>
        <v/>
      </c>
    </row>
    <row r="183" customFormat="false" ht="15" hidden="false" customHeight="false" outlineLevel="0" collapsed="false">
      <c r="A183" s="53" t="str">
        <f aca="false">IF($B183="","",ROW()-5)</f>
        <v/>
      </c>
      <c r="B183" s="54"/>
      <c r="C183" s="33"/>
      <c r="D183" s="39"/>
      <c r="E183" s="33"/>
      <c r="F183" s="39"/>
      <c r="G183" s="48" t="str">
        <f aca="false">IF($F183="","",IFERROR(INDEX(商品档案!$B$6:$B$65,MATCH($F183,商品档案!$A$6:$A$65,0)),""))</f>
        <v/>
      </c>
      <c r="H183" s="55" t="str">
        <f aca="false">IF($F183="","",IFERROR(INDEX(商品档案!$D$6:$D$65,MATCH($F183,商品档案!$A$6:$A$65,0)),""))</f>
        <v/>
      </c>
      <c r="I183" s="49"/>
      <c r="J183" s="43"/>
      <c r="K183" s="41"/>
      <c r="L183" s="39"/>
      <c r="M183" s="62"/>
      <c r="N183" s="41"/>
      <c r="O183" s="41"/>
      <c r="P183" s="25" t="str">
        <f aca="false">IF(AND($B183="",$E183=""),"",IF(NOT(ISNUMBER($B183)),"日期无效",IF(ISNA(MATCH($C183,参数设置!$A$10:$A$12,0)),"公司无效",IF($D183="","缺批次号",IF(ISNA(MATCH($E183,记账规则!$A$36:$A$38,0)),"业务类型无效",IF(AND($E183&lt;&gt;"加工费用",ISNA(MATCH($F183,商品档案!$A$6:$A$65,0))),"商品编码无效",IF(AND($E183&lt;&gt;"加工费用",IFERROR(INDEX(商品档案!$E$6:$E$65,MATCH($F183,商品档案!$A$6:$A$65,0)),"")&lt;&gt;$C183),"商品不属于该公司",IF(AND($E183&lt;&gt;"加工费用",N($I183)=0),"数量为 0",IF(AND($E183="加工费用",N($J183)=0),"加工费金额为 0",IF(AND($E183="加工费用",ISNA(MATCH($K183,会计科目表!$B$6:$B$85,0))),"对方科目不存在",IF(YEAR($B183)&lt;&gt;参数设置!$B$5,"不在本会计年度","OK")))))))))))</f>
        <v/>
      </c>
      <c r="Q183" s="58" t="str">
        <f aca="false">IF($F183="","",IFERROR(INDEX(商品档案!$G$6:$G$65,MATCH($F183,商品档案!$A$6:$A$65,0)),""))</f>
        <v/>
      </c>
      <c r="R183" s="59" t="str">
        <f aca="false">IF($F183="","",SUMIFS(进销存台账!$N$6:$N$65,进销存台账!$A$6:$A$65,$C183,进销存台账!$B$6:$B$65,$F183))</f>
        <v/>
      </c>
      <c r="S183" s="60" t="n">
        <f aca="false">IF($E183="领用投入",ROUND(N($I183)*N($R183),2),IF($E183="加工费用",ROUND(N($J183),2),0))</f>
        <v>0</v>
      </c>
      <c r="T183" s="60" t="n">
        <f aca="false">IF($E183&lt;&gt;"产成品入库",0,IF(SUMIFS($W$6:$W$305,$C$6:$C$305,$C183,$D$6:$D$305,$D183,$E$6:$E$305,"产成品入库")=0,0,ROUND(SUMIFS($S$6:$S$305,$C$6:$C$305,$C183,$D$6:$D$305,$D183)*N($X183)/SUMIFS($W$6:$W$305,$C$6:$C$305,$C183,$D$6:$D$305,$D183,$E$6:$E$305,"产成品入库"),2)-ROUND(SUMIFS($S$6:$S$305,$C$6:$C$305,$C183,$D$6:$D$305,$D183)*(N($X183)-N($W183))/SUMIFS($W$6:$W$305,$C$6:$C$305,$C183,$D$6:$D$305,$D183,$E$6:$E$305,"产成品入库"),2)))</f>
        <v>0</v>
      </c>
      <c r="U183" s="57" t="str">
        <f aca="false">IF($E183="","",ROUND($S183+$T183,2))</f>
        <v/>
      </c>
      <c r="V183" s="61" t="str">
        <f aca="false">IF($B183="","",YEAR($B183))</f>
        <v/>
      </c>
      <c r="W183" s="63" t="str">
        <f aca="false">IF($E183&lt;&gt;"产成品入库","",IF(N($M183)=0,1,N($M183)))</f>
        <v/>
      </c>
      <c r="X183" s="63" t="str">
        <f aca="false">IF($E183&lt;&gt;"产成品入库","",SUMIFS($W$6:$W183,$C$6:$C183,$C183,$D$6:$D183,$D183,$E$6:$E183,"产成品入库"))</f>
        <v/>
      </c>
    </row>
    <row r="184" customFormat="false" ht="15" hidden="false" customHeight="false" outlineLevel="0" collapsed="false">
      <c r="A184" s="53" t="str">
        <f aca="false">IF($B184="","",ROW()-5)</f>
        <v/>
      </c>
      <c r="B184" s="54"/>
      <c r="C184" s="33"/>
      <c r="D184" s="39"/>
      <c r="E184" s="33"/>
      <c r="F184" s="39"/>
      <c r="G184" s="48" t="str">
        <f aca="false">IF($F184="","",IFERROR(INDEX(商品档案!$B$6:$B$65,MATCH($F184,商品档案!$A$6:$A$65,0)),""))</f>
        <v/>
      </c>
      <c r="H184" s="55" t="str">
        <f aca="false">IF($F184="","",IFERROR(INDEX(商品档案!$D$6:$D$65,MATCH($F184,商品档案!$A$6:$A$65,0)),""))</f>
        <v/>
      </c>
      <c r="I184" s="49"/>
      <c r="J184" s="43"/>
      <c r="K184" s="41"/>
      <c r="L184" s="39"/>
      <c r="M184" s="62"/>
      <c r="N184" s="41"/>
      <c r="O184" s="41"/>
      <c r="P184" s="25" t="str">
        <f aca="false">IF(AND($B184="",$E184=""),"",IF(NOT(ISNUMBER($B184)),"日期无效",IF(ISNA(MATCH($C184,参数设置!$A$10:$A$12,0)),"公司无效",IF($D184="","缺批次号",IF(ISNA(MATCH($E184,记账规则!$A$36:$A$38,0)),"业务类型无效",IF(AND($E184&lt;&gt;"加工费用",ISNA(MATCH($F184,商品档案!$A$6:$A$65,0))),"商品编码无效",IF(AND($E184&lt;&gt;"加工费用",IFERROR(INDEX(商品档案!$E$6:$E$65,MATCH($F184,商品档案!$A$6:$A$65,0)),"")&lt;&gt;$C184),"商品不属于该公司",IF(AND($E184&lt;&gt;"加工费用",N($I184)=0),"数量为 0",IF(AND($E184="加工费用",N($J184)=0),"加工费金额为 0",IF(AND($E184="加工费用",ISNA(MATCH($K184,会计科目表!$B$6:$B$85,0))),"对方科目不存在",IF(YEAR($B184)&lt;&gt;参数设置!$B$5,"不在本会计年度","OK")))))))))))</f>
        <v/>
      </c>
      <c r="Q184" s="58" t="str">
        <f aca="false">IF($F184="","",IFERROR(INDEX(商品档案!$G$6:$G$65,MATCH($F184,商品档案!$A$6:$A$65,0)),""))</f>
        <v/>
      </c>
      <c r="R184" s="59" t="str">
        <f aca="false">IF($F184="","",SUMIFS(进销存台账!$N$6:$N$65,进销存台账!$A$6:$A$65,$C184,进销存台账!$B$6:$B$65,$F184))</f>
        <v/>
      </c>
      <c r="S184" s="60" t="n">
        <f aca="false">IF($E184="领用投入",ROUND(N($I184)*N($R184),2),IF($E184="加工费用",ROUND(N($J184),2),0))</f>
        <v>0</v>
      </c>
      <c r="T184" s="60" t="n">
        <f aca="false">IF($E184&lt;&gt;"产成品入库",0,IF(SUMIFS($W$6:$W$305,$C$6:$C$305,$C184,$D$6:$D$305,$D184,$E$6:$E$305,"产成品入库")=0,0,ROUND(SUMIFS($S$6:$S$305,$C$6:$C$305,$C184,$D$6:$D$305,$D184)*N($X184)/SUMIFS($W$6:$W$305,$C$6:$C$305,$C184,$D$6:$D$305,$D184,$E$6:$E$305,"产成品入库"),2)-ROUND(SUMIFS($S$6:$S$305,$C$6:$C$305,$C184,$D$6:$D$305,$D184)*(N($X184)-N($W184))/SUMIFS($W$6:$W$305,$C$6:$C$305,$C184,$D$6:$D$305,$D184,$E$6:$E$305,"产成品入库"),2)))</f>
        <v>0</v>
      </c>
      <c r="U184" s="57" t="str">
        <f aca="false">IF($E184="","",ROUND($S184+$T184,2))</f>
        <v/>
      </c>
      <c r="V184" s="61" t="str">
        <f aca="false">IF($B184="","",YEAR($B184))</f>
        <v/>
      </c>
      <c r="W184" s="63" t="str">
        <f aca="false">IF($E184&lt;&gt;"产成品入库","",IF(N($M184)=0,1,N($M184)))</f>
        <v/>
      </c>
      <c r="X184" s="63" t="str">
        <f aca="false">IF($E184&lt;&gt;"产成品入库","",SUMIFS($W$6:$W184,$C$6:$C184,$C184,$D$6:$D184,$D184,$E$6:$E184,"产成品入库"))</f>
        <v/>
      </c>
    </row>
    <row r="185" customFormat="false" ht="15" hidden="false" customHeight="false" outlineLevel="0" collapsed="false">
      <c r="A185" s="53" t="str">
        <f aca="false">IF($B185="","",ROW()-5)</f>
        <v/>
      </c>
      <c r="B185" s="54"/>
      <c r="C185" s="33"/>
      <c r="D185" s="39"/>
      <c r="E185" s="33"/>
      <c r="F185" s="39"/>
      <c r="G185" s="48" t="str">
        <f aca="false">IF($F185="","",IFERROR(INDEX(商品档案!$B$6:$B$65,MATCH($F185,商品档案!$A$6:$A$65,0)),""))</f>
        <v/>
      </c>
      <c r="H185" s="55" t="str">
        <f aca="false">IF($F185="","",IFERROR(INDEX(商品档案!$D$6:$D$65,MATCH($F185,商品档案!$A$6:$A$65,0)),""))</f>
        <v/>
      </c>
      <c r="I185" s="49"/>
      <c r="J185" s="43"/>
      <c r="K185" s="41"/>
      <c r="L185" s="39"/>
      <c r="M185" s="62"/>
      <c r="N185" s="41"/>
      <c r="O185" s="41"/>
      <c r="P185" s="25" t="str">
        <f aca="false">IF(AND($B185="",$E185=""),"",IF(NOT(ISNUMBER($B185)),"日期无效",IF(ISNA(MATCH($C185,参数设置!$A$10:$A$12,0)),"公司无效",IF($D185="","缺批次号",IF(ISNA(MATCH($E185,记账规则!$A$36:$A$38,0)),"业务类型无效",IF(AND($E185&lt;&gt;"加工费用",ISNA(MATCH($F185,商品档案!$A$6:$A$65,0))),"商品编码无效",IF(AND($E185&lt;&gt;"加工费用",IFERROR(INDEX(商品档案!$E$6:$E$65,MATCH($F185,商品档案!$A$6:$A$65,0)),"")&lt;&gt;$C185),"商品不属于该公司",IF(AND($E185&lt;&gt;"加工费用",N($I185)=0),"数量为 0",IF(AND($E185="加工费用",N($J185)=0),"加工费金额为 0",IF(AND($E185="加工费用",ISNA(MATCH($K185,会计科目表!$B$6:$B$85,0))),"对方科目不存在",IF(YEAR($B185)&lt;&gt;参数设置!$B$5,"不在本会计年度","OK")))))))))))</f>
        <v/>
      </c>
      <c r="Q185" s="58" t="str">
        <f aca="false">IF($F185="","",IFERROR(INDEX(商品档案!$G$6:$G$65,MATCH($F185,商品档案!$A$6:$A$65,0)),""))</f>
        <v/>
      </c>
      <c r="R185" s="59" t="str">
        <f aca="false">IF($F185="","",SUMIFS(进销存台账!$N$6:$N$65,进销存台账!$A$6:$A$65,$C185,进销存台账!$B$6:$B$65,$F185))</f>
        <v/>
      </c>
      <c r="S185" s="60" t="n">
        <f aca="false">IF($E185="领用投入",ROUND(N($I185)*N($R185),2),IF($E185="加工费用",ROUND(N($J185),2),0))</f>
        <v>0</v>
      </c>
      <c r="T185" s="60" t="n">
        <f aca="false">IF($E185&lt;&gt;"产成品入库",0,IF(SUMIFS($W$6:$W$305,$C$6:$C$305,$C185,$D$6:$D$305,$D185,$E$6:$E$305,"产成品入库")=0,0,ROUND(SUMIFS($S$6:$S$305,$C$6:$C$305,$C185,$D$6:$D$305,$D185)*N($X185)/SUMIFS($W$6:$W$305,$C$6:$C$305,$C185,$D$6:$D$305,$D185,$E$6:$E$305,"产成品入库"),2)-ROUND(SUMIFS($S$6:$S$305,$C$6:$C$305,$C185,$D$6:$D$305,$D185)*(N($X185)-N($W185))/SUMIFS($W$6:$W$305,$C$6:$C$305,$C185,$D$6:$D$305,$D185,$E$6:$E$305,"产成品入库"),2)))</f>
        <v>0</v>
      </c>
      <c r="U185" s="57" t="str">
        <f aca="false">IF($E185="","",ROUND($S185+$T185,2))</f>
        <v/>
      </c>
      <c r="V185" s="61" t="str">
        <f aca="false">IF($B185="","",YEAR($B185))</f>
        <v/>
      </c>
      <c r="W185" s="63" t="str">
        <f aca="false">IF($E185&lt;&gt;"产成品入库","",IF(N($M185)=0,1,N($M185)))</f>
        <v/>
      </c>
      <c r="X185" s="63" t="str">
        <f aca="false">IF($E185&lt;&gt;"产成品入库","",SUMIFS($W$6:$W185,$C$6:$C185,$C185,$D$6:$D185,$D185,$E$6:$E185,"产成品入库"))</f>
        <v/>
      </c>
    </row>
    <row r="186" customFormat="false" ht="15" hidden="false" customHeight="false" outlineLevel="0" collapsed="false">
      <c r="A186" s="53" t="str">
        <f aca="false">IF($B186="","",ROW()-5)</f>
        <v/>
      </c>
      <c r="B186" s="54"/>
      <c r="C186" s="33"/>
      <c r="D186" s="39"/>
      <c r="E186" s="33"/>
      <c r="F186" s="39"/>
      <c r="G186" s="48" t="str">
        <f aca="false">IF($F186="","",IFERROR(INDEX(商品档案!$B$6:$B$65,MATCH($F186,商品档案!$A$6:$A$65,0)),""))</f>
        <v/>
      </c>
      <c r="H186" s="55" t="str">
        <f aca="false">IF($F186="","",IFERROR(INDEX(商品档案!$D$6:$D$65,MATCH($F186,商品档案!$A$6:$A$65,0)),""))</f>
        <v/>
      </c>
      <c r="I186" s="49"/>
      <c r="J186" s="43"/>
      <c r="K186" s="41"/>
      <c r="L186" s="39"/>
      <c r="M186" s="62"/>
      <c r="N186" s="41"/>
      <c r="O186" s="41"/>
      <c r="P186" s="25" t="str">
        <f aca="false">IF(AND($B186="",$E186=""),"",IF(NOT(ISNUMBER($B186)),"日期无效",IF(ISNA(MATCH($C186,参数设置!$A$10:$A$12,0)),"公司无效",IF($D186="","缺批次号",IF(ISNA(MATCH($E186,记账规则!$A$36:$A$38,0)),"业务类型无效",IF(AND($E186&lt;&gt;"加工费用",ISNA(MATCH($F186,商品档案!$A$6:$A$65,0))),"商品编码无效",IF(AND($E186&lt;&gt;"加工费用",IFERROR(INDEX(商品档案!$E$6:$E$65,MATCH($F186,商品档案!$A$6:$A$65,0)),"")&lt;&gt;$C186),"商品不属于该公司",IF(AND($E186&lt;&gt;"加工费用",N($I186)=0),"数量为 0",IF(AND($E186="加工费用",N($J186)=0),"加工费金额为 0",IF(AND($E186="加工费用",ISNA(MATCH($K186,会计科目表!$B$6:$B$85,0))),"对方科目不存在",IF(YEAR($B186)&lt;&gt;参数设置!$B$5,"不在本会计年度","OK")))))))))))</f>
        <v/>
      </c>
      <c r="Q186" s="58" t="str">
        <f aca="false">IF($F186="","",IFERROR(INDEX(商品档案!$G$6:$G$65,MATCH($F186,商品档案!$A$6:$A$65,0)),""))</f>
        <v/>
      </c>
      <c r="R186" s="59" t="str">
        <f aca="false">IF($F186="","",SUMIFS(进销存台账!$N$6:$N$65,进销存台账!$A$6:$A$65,$C186,进销存台账!$B$6:$B$65,$F186))</f>
        <v/>
      </c>
      <c r="S186" s="60" t="n">
        <f aca="false">IF($E186="领用投入",ROUND(N($I186)*N($R186),2),IF($E186="加工费用",ROUND(N($J186),2),0))</f>
        <v>0</v>
      </c>
      <c r="T186" s="60" t="n">
        <f aca="false">IF($E186&lt;&gt;"产成品入库",0,IF(SUMIFS($W$6:$W$305,$C$6:$C$305,$C186,$D$6:$D$305,$D186,$E$6:$E$305,"产成品入库")=0,0,ROUND(SUMIFS($S$6:$S$305,$C$6:$C$305,$C186,$D$6:$D$305,$D186)*N($X186)/SUMIFS($W$6:$W$305,$C$6:$C$305,$C186,$D$6:$D$305,$D186,$E$6:$E$305,"产成品入库"),2)-ROUND(SUMIFS($S$6:$S$305,$C$6:$C$305,$C186,$D$6:$D$305,$D186)*(N($X186)-N($W186))/SUMIFS($W$6:$W$305,$C$6:$C$305,$C186,$D$6:$D$305,$D186,$E$6:$E$305,"产成品入库"),2)))</f>
        <v>0</v>
      </c>
      <c r="U186" s="57" t="str">
        <f aca="false">IF($E186="","",ROUND($S186+$T186,2))</f>
        <v/>
      </c>
      <c r="V186" s="61" t="str">
        <f aca="false">IF($B186="","",YEAR($B186))</f>
        <v/>
      </c>
      <c r="W186" s="63" t="str">
        <f aca="false">IF($E186&lt;&gt;"产成品入库","",IF(N($M186)=0,1,N($M186)))</f>
        <v/>
      </c>
      <c r="X186" s="63" t="str">
        <f aca="false">IF($E186&lt;&gt;"产成品入库","",SUMIFS($W$6:$W186,$C$6:$C186,$C186,$D$6:$D186,$D186,$E$6:$E186,"产成品入库"))</f>
        <v/>
      </c>
    </row>
    <row r="187" customFormat="false" ht="15" hidden="false" customHeight="false" outlineLevel="0" collapsed="false">
      <c r="A187" s="53" t="str">
        <f aca="false">IF($B187="","",ROW()-5)</f>
        <v/>
      </c>
      <c r="B187" s="54"/>
      <c r="C187" s="33"/>
      <c r="D187" s="39"/>
      <c r="E187" s="33"/>
      <c r="F187" s="39"/>
      <c r="G187" s="48" t="str">
        <f aca="false">IF($F187="","",IFERROR(INDEX(商品档案!$B$6:$B$65,MATCH($F187,商品档案!$A$6:$A$65,0)),""))</f>
        <v/>
      </c>
      <c r="H187" s="55" t="str">
        <f aca="false">IF($F187="","",IFERROR(INDEX(商品档案!$D$6:$D$65,MATCH($F187,商品档案!$A$6:$A$65,0)),""))</f>
        <v/>
      </c>
      <c r="I187" s="49"/>
      <c r="J187" s="43"/>
      <c r="K187" s="41"/>
      <c r="L187" s="39"/>
      <c r="M187" s="62"/>
      <c r="N187" s="41"/>
      <c r="O187" s="41"/>
      <c r="P187" s="25" t="str">
        <f aca="false">IF(AND($B187="",$E187=""),"",IF(NOT(ISNUMBER($B187)),"日期无效",IF(ISNA(MATCH($C187,参数设置!$A$10:$A$12,0)),"公司无效",IF($D187="","缺批次号",IF(ISNA(MATCH($E187,记账规则!$A$36:$A$38,0)),"业务类型无效",IF(AND($E187&lt;&gt;"加工费用",ISNA(MATCH($F187,商品档案!$A$6:$A$65,0))),"商品编码无效",IF(AND($E187&lt;&gt;"加工费用",IFERROR(INDEX(商品档案!$E$6:$E$65,MATCH($F187,商品档案!$A$6:$A$65,0)),"")&lt;&gt;$C187),"商品不属于该公司",IF(AND($E187&lt;&gt;"加工费用",N($I187)=0),"数量为 0",IF(AND($E187="加工费用",N($J187)=0),"加工费金额为 0",IF(AND($E187="加工费用",ISNA(MATCH($K187,会计科目表!$B$6:$B$85,0))),"对方科目不存在",IF(YEAR($B187)&lt;&gt;参数设置!$B$5,"不在本会计年度","OK")))))))))))</f>
        <v/>
      </c>
      <c r="Q187" s="58" t="str">
        <f aca="false">IF($F187="","",IFERROR(INDEX(商品档案!$G$6:$G$65,MATCH($F187,商品档案!$A$6:$A$65,0)),""))</f>
        <v/>
      </c>
      <c r="R187" s="59" t="str">
        <f aca="false">IF($F187="","",SUMIFS(进销存台账!$N$6:$N$65,进销存台账!$A$6:$A$65,$C187,进销存台账!$B$6:$B$65,$F187))</f>
        <v/>
      </c>
      <c r="S187" s="60" t="n">
        <f aca="false">IF($E187="领用投入",ROUND(N($I187)*N($R187),2),IF($E187="加工费用",ROUND(N($J187),2),0))</f>
        <v>0</v>
      </c>
      <c r="T187" s="60" t="n">
        <f aca="false">IF($E187&lt;&gt;"产成品入库",0,IF(SUMIFS($W$6:$W$305,$C$6:$C$305,$C187,$D$6:$D$305,$D187,$E$6:$E$305,"产成品入库")=0,0,ROUND(SUMIFS($S$6:$S$305,$C$6:$C$305,$C187,$D$6:$D$305,$D187)*N($X187)/SUMIFS($W$6:$W$305,$C$6:$C$305,$C187,$D$6:$D$305,$D187,$E$6:$E$305,"产成品入库"),2)-ROUND(SUMIFS($S$6:$S$305,$C$6:$C$305,$C187,$D$6:$D$305,$D187)*(N($X187)-N($W187))/SUMIFS($W$6:$W$305,$C$6:$C$305,$C187,$D$6:$D$305,$D187,$E$6:$E$305,"产成品入库"),2)))</f>
        <v>0</v>
      </c>
      <c r="U187" s="57" t="str">
        <f aca="false">IF($E187="","",ROUND($S187+$T187,2))</f>
        <v/>
      </c>
      <c r="V187" s="61" t="str">
        <f aca="false">IF($B187="","",YEAR($B187))</f>
        <v/>
      </c>
      <c r="W187" s="63" t="str">
        <f aca="false">IF($E187&lt;&gt;"产成品入库","",IF(N($M187)=0,1,N($M187)))</f>
        <v/>
      </c>
      <c r="X187" s="63" t="str">
        <f aca="false">IF($E187&lt;&gt;"产成品入库","",SUMIFS($W$6:$W187,$C$6:$C187,$C187,$D$6:$D187,$D187,$E$6:$E187,"产成品入库"))</f>
        <v/>
      </c>
    </row>
    <row r="188" customFormat="false" ht="15" hidden="false" customHeight="false" outlineLevel="0" collapsed="false">
      <c r="A188" s="53" t="str">
        <f aca="false">IF($B188="","",ROW()-5)</f>
        <v/>
      </c>
      <c r="B188" s="54"/>
      <c r="C188" s="33"/>
      <c r="D188" s="39"/>
      <c r="E188" s="33"/>
      <c r="F188" s="39"/>
      <c r="G188" s="48" t="str">
        <f aca="false">IF($F188="","",IFERROR(INDEX(商品档案!$B$6:$B$65,MATCH($F188,商品档案!$A$6:$A$65,0)),""))</f>
        <v/>
      </c>
      <c r="H188" s="55" t="str">
        <f aca="false">IF($F188="","",IFERROR(INDEX(商品档案!$D$6:$D$65,MATCH($F188,商品档案!$A$6:$A$65,0)),""))</f>
        <v/>
      </c>
      <c r="I188" s="49"/>
      <c r="J188" s="43"/>
      <c r="K188" s="41"/>
      <c r="L188" s="39"/>
      <c r="M188" s="62"/>
      <c r="N188" s="41"/>
      <c r="O188" s="41"/>
      <c r="P188" s="25" t="str">
        <f aca="false">IF(AND($B188="",$E188=""),"",IF(NOT(ISNUMBER($B188)),"日期无效",IF(ISNA(MATCH($C188,参数设置!$A$10:$A$12,0)),"公司无效",IF($D188="","缺批次号",IF(ISNA(MATCH($E188,记账规则!$A$36:$A$38,0)),"业务类型无效",IF(AND($E188&lt;&gt;"加工费用",ISNA(MATCH($F188,商品档案!$A$6:$A$65,0))),"商品编码无效",IF(AND($E188&lt;&gt;"加工费用",IFERROR(INDEX(商品档案!$E$6:$E$65,MATCH($F188,商品档案!$A$6:$A$65,0)),"")&lt;&gt;$C188),"商品不属于该公司",IF(AND($E188&lt;&gt;"加工费用",N($I188)=0),"数量为 0",IF(AND($E188="加工费用",N($J188)=0),"加工费金额为 0",IF(AND($E188="加工费用",ISNA(MATCH($K188,会计科目表!$B$6:$B$85,0))),"对方科目不存在",IF(YEAR($B188)&lt;&gt;参数设置!$B$5,"不在本会计年度","OK")))))))))))</f>
        <v/>
      </c>
      <c r="Q188" s="58" t="str">
        <f aca="false">IF($F188="","",IFERROR(INDEX(商品档案!$G$6:$G$65,MATCH($F188,商品档案!$A$6:$A$65,0)),""))</f>
        <v/>
      </c>
      <c r="R188" s="59" t="str">
        <f aca="false">IF($F188="","",SUMIFS(进销存台账!$N$6:$N$65,进销存台账!$A$6:$A$65,$C188,进销存台账!$B$6:$B$65,$F188))</f>
        <v/>
      </c>
      <c r="S188" s="60" t="n">
        <f aca="false">IF($E188="领用投入",ROUND(N($I188)*N($R188),2),IF($E188="加工费用",ROUND(N($J188),2),0))</f>
        <v>0</v>
      </c>
      <c r="T188" s="60" t="n">
        <f aca="false">IF($E188&lt;&gt;"产成品入库",0,IF(SUMIFS($W$6:$W$305,$C$6:$C$305,$C188,$D$6:$D$305,$D188,$E$6:$E$305,"产成品入库")=0,0,ROUND(SUMIFS($S$6:$S$305,$C$6:$C$305,$C188,$D$6:$D$305,$D188)*N($X188)/SUMIFS($W$6:$W$305,$C$6:$C$305,$C188,$D$6:$D$305,$D188,$E$6:$E$305,"产成品入库"),2)-ROUND(SUMIFS($S$6:$S$305,$C$6:$C$305,$C188,$D$6:$D$305,$D188)*(N($X188)-N($W188))/SUMIFS($W$6:$W$305,$C$6:$C$305,$C188,$D$6:$D$305,$D188,$E$6:$E$305,"产成品入库"),2)))</f>
        <v>0</v>
      </c>
      <c r="U188" s="57" t="str">
        <f aca="false">IF($E188="","",ROUND($S188+$T188,2))</f>
        <v/>
      </c>
      <c r="V188" s="61" t="str">
        <f aca="false">IF($B188="","",YEAR($B188))</f>
        <v/>
      </c>
      <c r="W188" s="63" t="str">
        <f aca="false">IF($E188&lt;&gt;"产成品入库","",IF(N($M188)=0,1,N($M188)))</f>
        <v/>
      </c>
      <c r="X188" s="63" t="str">
        <f aca="false">IF($E188&lt;&gt;"产成品入库","",SUMIFS($W$6:$W188,$C$6:$C188,$C188,$D$6:$D188,$D188,$E$6:$E188,"产成品入库"))</f>
        <v/>
      </c>
    </row>
    <row r="189" customFormat="false" ht="15" hidden="false" customHeight="false" outlineLevel="0" collapsed="false">
      <c r="A189" s="53" t="str">
        <f aca="false">IF($B189="","",ROW()-5)</f>
        <v/>
      </c>
      <c r="B189" s="54"/>
      <c r="C189" s="33"/>
      <c r="D189" s="39"/>
      <c r="E189" s="33"/>
      <c r="F189" s="39"/>
      <c r="G189" s="48" t="str">
        <f aca="false">IF($F189="","",IFERROR(INDEX(商品档案!$B$6:$B$65,MATCH($F189,商品档案!$A$6:$A$65,0)),""))</f>
        <v/>
      </c>
      <c r="H189" s="55" t="str">
        <f aca="false">IF($F189="","",IFERROR(INDEX(商品档案!$D$6:$D$65,MATCH($F189,商品档案!$A$6:$A$65,0)),""))</f>
        <v/>
      </c>
      <c r="I189" s="49"/>
      <c r="J189" s="43"/>
      <c r="K189" s="41"/>
      <c r="L189" s="39"/>
      <c r="M189" s="62"/>
      <c r="N189" s="41"/>
      <c r="O189" s="41"/>
      <c r="P189" s="25" t="str">
        <f aca="false">IF(AND($B189="",$E189=""),"",IF(NOT(ISNUMBER($B189)),"日期无效",IF(ISNA(MATCH($C189,参数设置!$A$10:$A$12,0)),"公司无效",IF($D189="","缺批次号",IF(ISNA(MATCH($E189,记账规则!$A$36:$A$38,0)),"业务类型无效",IF(AND($E189&lt;&gt;"加工费用",ISNA(MATCH($F189,商品档案!$A$6:$A$65,0))),"商品编码无效",IF(AND($E189&lt;&gt;"加工费用",IFERROR(INDEX(商品档案!$E$6:$E$65,MATCH($F189,商品档案!$A$6:$A$65,0)),"")&lt;&gt;$C189),"商品不属于该公司",IF(AND($E189&lt;&gt;"加工费用",N($I189)=0),"数量为 0",IF(AND($E189="加工费用",N($J189)=0),"加工费金额为 0",IF(AND($E189="加工费用",ISNA(MATCH($K189,会计科目表!$B$6:$B$85,0))),"对方科目不存在",IF(YEAR($B189)&lt;&gt;参数设置!$B$5,"不在本会计年度","OK")))))))))))</f>
        <v/>
      </c>
      <c r="Q189" s="58" t="str">
        <f aca="false">IF($F189="","",IFERROR(INDEX(商品档案!$G$6:$G$65,MATCH($F189,商品档案!$A$6:$A$65,0)),""))</f>
        <v/>
      </c>
      <c r="R189" s="59" t="str">
        <f aca="false">IF($F189="","",SUMIFS(进销存台账!$N$6:$N$65,进销存台账!$A$6:$A$65,$C189,进销存台账!$B$6:$B$65,$F189))</f>
        <v/>
      </c>
      <c r="S189" s="60" t="n">
        <f aca="false">IF($E189="领用投入",ROUND(N($I189)*N($R189),2),IF($E189="加工费用",ROUND(N($J189),2),0))</f>
        <v>0</v>
      </c>
      <c r="T189" s="60" t="n">
        <f aca="false">IF($E189&lt;&gt;"产成品入库",0,IF(SUMIFS($W$6:$W$305,$C$6:$C$305,$C189,$D$6:$D$305,$D189,$E$6:$E$305,"产成品入库")=0,0,ROUND(SUMIFS($S$6:$S$305,$C$6:$C$305,$C189,$D$6:$D$305,$D189)*N($X189)/SUMIFS($W$6:$W$305,$C$6:$C$305,$C189,$D$6:$D$305,$D189,$E$6:$E$305,"产成品入库"),2)-ROUND(SUMIFS($S$6:$S$305,$C$6:$C$305,$C189,$D$6:$D$305,$D189)*(N($X189)-N($W189))/SUMIFS($W$6:$W$305,$C$6:$C$305,$C189,$D$6:$D$305,$D189,$E$6:$E$305,"产成品入库"),2)))</f>
        <v>0</v>
      </c>
      <c r="U189" s="57" t="str">
        <f aca="false">IF($E189="","",ROUND($S189+$T189,2))</f>
        <v/>
      </c>
      <c r="V189" s="61" t="str">
        <f aca="false">IF($B189="","",YEAR($B189))</f>
        <v/>
      </c>
      <c r="W189" s="63" t="str">
        <f aca="false">IF($E189&lt;&gt;"产成品入库","",IF(N($M189)=0,1,N($M189)))</f>
        <v/>
      </c>
      <c r="X189" s="63" t="str">
        <f aca="false">IF($E189&lt;&gt;"产成品入库","",SUMIFS($W$6:$W189,$C$6:$C189,$C189,$D$6:$D189,$D189,$E$6:$E189,"产成品入库"))</f>
        <v/>
      </c>
    </row>
    <row r="190" customFormat="false" ht="15" hidden="false" customHeight="false" outlineLevel="0" collapsed="false">
      <c r="A190" s="53" t="str">
        <f aca="false">IF($B190="","",ROW()-5)</f>
        <v/>
      </c>
      <c r="B190" s="54"/>
      <c r="C190" s="33"/>
      <c r="D190" s="39"/>
      <c r="E190" s="33"/>
      <c r="F190" s="39"/>
      <c r="G190" s="48" t="str">
        <f aca="false">IF($F190="","",IFERROR(INDEX(商品档案!$B$6:$B$65,MATCH($F190,商品档案!$A$6:$A$65,0)),""))</f>
        <v/>
      </c>
      <c r="H190" s="55" t="str">
        <f aca="false">IF($F190="","",IFERROR(INDEX(商品档案!$D$6:$D$65,MATCH($F190,商品档案!$A$6:$A$65,0)),""))</f>
        <v/>
      </c>
      <c r="I190" s="49"/>
      <c r="J190" s="43"/>
      <c r="K190" s="41"/>
      <c r="L190" s="39"/>
      <c r="M190" s="62"/>
      <c r="N190" s="41"/>
      <c r="O190" s="41"/>
      <c r="P190" s="25" t="str">
        <f aca="false">IF(AND($B190="",$E190=""),"",IF(NOT(ISNUMBER($B190)),"日期无效",IF(ISNA(MATCH($C190,参数设置!$A$10:$A$12,0)),"公司无效",IF($D190="","缺批次号",IF(ISNA(MATCH($E190,记账规则!$A$36:$A$38,0)),"业务类型无效",IF(AND($E190&lt;&gt;"加工费用",ISNA(MATCH($F190,商品档案!$A$6:$A$65,0))),"商品编码无效",IF(AND($E190&lt;&gt;"加工费用",IFERROR(INDEX(商品档案!$E$6:$E$65,MATCH($F190,商品档案!$A$6:$A$65,0)),"")&lt;&gt;$C190),"商品不属于该公司",IF(AND($E190&lt;&gt;"加工费用",N($I190)=0),"数量为 0",IF(AND($E190="加工费用",N($J190)=0),"加工费金额为 0",IF(AND($E190="加工费用",ISNA(MATCH($K190,会计科目表!$B$6:$B$85,0))),"对方科目不存在",IF(YEAR($B190)&lt;&gt;参数设置!$B$5,"不在本会计年度","OK")))))))))))</f>
        <v/>
      </c>
      <c r="Q190" s="58" t="str">
        <f aca="false">IF($F190="","",IFERROR(INDEX(商品档案!$G$6:$G$65,MATCH($F190,商品档案!$A$6:$A$65,0)),""))</f>
        <v/>
      </c>
      <c r="R190" s="59" t="str">
        <f aca="false">IF($F190="","",SUMIFS(进销存台账!$N$6:$N$65,进销存台账!$A$6:$A$65,$C190,进销存台账!$B$6:$B$65,$F190))</f>
        <v/>
      </c>
      <c r="S190" s="60" t="n">
        <f aca="false">IF($E190="领用投入",ROUND(N($I190)*N($R190),2),IF($E190="加工费用",ROUND(N($J190),2),0))</f>
        <v>0</v>
      </c>
      <c r="T190" s="60" t="n">
        <f aca="false">IF($E190&lt;&gt;"产成品入库",0,IF(SUMIFS($W$6:$W$305,$C$6:$C$305,$C190,$D$6:$D$305,$D190,$E$6:$E$305,"产成品入库")=0,0,ROUND(SUMIFS($S$6:$S$305,$C$6:$C$305,$C190,$D$6:$D$305,$D190)*N($X190)/SUMIFS($W$6:$W$305,$C$6:$C$305,$C190,$D$6:$D$305,$D190,$E$6:$E$305,"产成品入库"),2)-ROUND(SUMIFS($S$6:$S$305,$C$6:$C$305,$C190,$D$6:$D$305,$D190)*(N($X190)-N($W190))/SUMIFS($W$6:$W$305,$C$6:$C$305,$C190,$D$6:$D$305,$D190,$E$6:$E$305,"产成品入库"),2)))</f>
        <v>0</v>
      </c>
      <c r="U190" s="57" t="str">
        <f aca="false">IF($E190="","",ROUND($S190+$T190,2))</f>
        <v/>
      </c>
      <c r="V190" s="61" t="str">
        <f aca="false">IF($B190="","",YEAR($B190))</f>
        <v/>
      </c>
      <c r="W190" s="63" t="str">
        <f aca="false">IF($E190&lt;&gt;"产成品入库","",IF(N($M190)=0,1,N($M190)))</f>
        <v/>
      </c>
      <c r="X190" s="63" t="str">
        <f aca="false">IF($E190&lt;&gt;"产成品入库","",SUMIFS($W$6:$W190,$C$6:$C190,$C190,$D$6:$D190,$D190,$E$6:$E190,"产成品入库"))</f>
        <v/>
      </c>
    </row>
    <row r="191" customFormat="false" ht="15" hidden="false" customHeight="false" outlineLevel="0" collapsed="false">
      <c r="A191" s="53" t="str">
        <f aca="false">IF($B191="","",ROW()-5)</f>
        <v/>
      </c>
      <c r="B191" s="54"/>
      <c r="C191" s="33"/>
      <c r="D191" s="39"/>
      <c r="E191" s="33"/>
      <c r="F191" s="39"/>
      <c r="G191" s="48" t="str">
        <f aca="false">IF($F191="","",IFERROR(INDEX(商品档案!$B$6:$B$65,MATCH($F191,商品档案!$A$6:$A$65,0)),""))</f>
        <v/>
      </c>
      <c r="H191" s="55" t="str">
        <f aca="false">IF($F191="","",IFERROR(INDEX(商品档案!$D$6:$D$65,MATCH($F191,商品档案!$A$6:$A$65,0)),""))</f>
        <v/>
      </c>
      <c r="I191" s="49"/>
      <c r="J191" s="43"/>
      <c r="K191" s="41"/>
      <c r="L191" s="39"/>
      <c r="M191" s="62"/>
      <c r="N191" s="41"/>
      <c r="O191" s="41"/>
      <c r="P191" s="25" t="str">
        <f aca="false">IF(AND($B191="",$E191=""),"",IF(NOT(ISNUMBER($B191)),"日期无效",IF(ISNA(MATCH($C191,参数设置!$A$10:$A$12,0)),"公司无效",IF($D191="","缺批次号",IF(ISNA(MATCH($E191,记账规则!$A$36:$A$38,0)),"业务类型无效",IF(AND($E191&lt;&gt;"加工费用",ISNA(MATCH($F191,商品档案!$A$6:$A$65,0))),"商品编码无效",IF(AND($E191&lt;&gt;"加工费用",IFERROR(INDEX(商品档案!$E$6:$E$65,MATCH($F191,商品档案!$A$6:$A$65,0)),"")&lt;&gt;$C191),"商品不属于该公司",IF(AND($E191&lt;&gt;"加工费用",N($I191)=0),"数量为 0",IF(AND($E191="加工费用",N($J191)=0),"加工费金额为 0",IF(AND($E191="加工费用",ISNA(MATCH($K191,会计科目表!$B$6:$B$85,0))),"对方科目不存在",IF(YEAR($B191)&lt;&gt;参数设置!$B$5,"不在本会计年度","OK")))))))))))</f>
        <v/>
      </c>
      <c r="Q191" s="58" t="str">
        <f aca="false">IF($F191="","",IFERROR(INDEX(商品档案!$G$6:$G$65,MATCH($F191,商品档案!$A$6:$A$65,0)),""))</f>
        <v/>
      </c>
      <c r="R191" s="59" t="str">
        <f aca="false">IF($F191="","",SUMIFS(进销存台账!$N$6:$N$65,进销存台账!$A$6:$A$65,$C191,进销存台账!$B$6:$B$65,$F191))</f>
        <v/>
      </c>
      <c r="S191" s="60" t="n">
        <f aca="false">IF($E191="领用投入",ROUND(N($I191)*N($R191),2),IF($E191="加工费用",ROUND(N($J191),2),0))</f>
        <v>0</v>
      </c>
      <c r="T191" s="60" t="n">
        <f aca="false">IF($E191&lt;&gt;"产成品入库",0,IF(SUMIFS($W$6:$W$305,$C$6:$C$305,$C191,$D$6:$D$305,$D191,$E$6:$E$305,"产成品入库")=0,0,ROUND(SUMIFS($S$6:$S$305,$C$6:$C$305,$C191,$D$6:$D$305,$D191)*N($X191)/SUMIFS($W$6:$W$305,$C$6:$C$305,$C191,$D$6:$D$305,$D191,$E$6:$E$305,"产成品入库"),2)-ROUND(SUMIFS($S$6:$S$305,$C$6:$C$305,$C191,$D$6:$D$305,$D191)*(N($X191)-N($W191))/SUMIFS($W$6:$W$305,$C$6:$C$305,$C191,$D$6:$D$305,$D191,$E$6:$E$305,"产成品入库"),2)))</f>
        <v>0</v>
      </c>
      <c r="U191" s="57" t="str">
        <f aca="false">IF($E191="","",ROUND($S191+$T191,2))</f>
        <v/>
      </c>
      <c r="V191" s="61" t="str">
        <f aca="false">IF($B191="","",YEAR($B191))</f>
        <v/>
      </c>
      <c r="W191" s="63" t="str">
        <f aca="false">IF($E191&lt;&gt;"产成品入库","",IF(N($M191)=0,1,N($M191)))</f>
        <v/>
      </c>
      <c r="X191" s="63" t="str">
        <f aca="false">IF($E191&lt;&gt;"产成品入库","",SUMIFS($W$6:$W191,$C$6:$C191,$C191,$D$6:$D191,$D191,$E$6:$E191,"产成品入库"))</f>
        <v/>
      </c>
    </row>
    <row r="192" customFormat="false" ht="15" hidden="false" customHeight="false" outlineLevel="0" collapsed="false">
      <c r="A192" s="53" t="str">
        <f aca="false">IF($B192="","",ROW()-5)</f>
        <v/>
      </c>
      <c r="B192" s="54"/>
      <c r="C192" s="33"/>
      <c r="D192" s="39"/>
      <c r="E192" s="33"/>
      <c r="F192" s="39"/>
      <c r="G192" s="48" t="str">
        <f aca="false">IF($F192="","",IFERROR(INDEX(商品档案!$B$6:$B$65,MATCH($F192,商品档案!$A$6:$A$65,0)),""))</f>
        <v/>
      </c>
      <c r="H192" s="55" t="str">
        <f aca="false">IF($F192="","",IFERROR(INDEX(商品档案!$D$6:$D$65,MATCH($F192,商品档案!$A$6:$A$65,0)),""))</f>
        <v/>
      </c>
      <c r="I192" s="49"/>
      <c r="J192" s="43"/>
      <c r="K192" s="41"/>
      <c r="L192" s="39"/>
      <c r="M192" s="62"/>
      <c r="N192" s="41"/>
      <c r="O192" s="41"/>
      <c r="P192" s="25" t="str">
        <f aca="false">IF(AND($B192="",$E192=""),"",IF(NOT(ISNUMBER($B192)),"日期无效",IF(ISNA(MATCH($C192,参数设置!$A$10:$A$12,0)),"公司无效",IF($D192="","缺批次号",IF(ISNA(MATCH($E192,记账规则!$A$36:$A$38,0)),"业务类型无效",IF(AND($E192&lt;&gt;"加工费用",ISNA(MATCH($F192,商品档案!$A$6:$A$65,0))),"商品编码无效",IF(AND($E192&lt;&gt;"加工费用",IFERROR(INDEX(商品档案!$E$6:$E$65,MATCH($F192,商品档案!$A$6:$A$65,0)),"")&lt;&gt;$C192),"商品不属于该公司",IF(AND($E192&lt;&gt;"加工费用",N($I192)=0),"数量为 0",IF(AND($E192="加工费用",N($J192)=0),"加工费金额为 0",IF(AND($E192="加工费用",ISNA(MATCH($K192,会计科目表!$B$6:$B$85,0))),"对方科目不存在",IF(YEAR($B192)&lt;&gt;参数设置!$B$5,"不在本会计年度","OK")))))))))))</f>
        <v/>
      </c>
      <c r="Q192" s="58" t="str">
        <f aca="false">IF($F192="","",IFERROR(INDEX(商品档案!$G$6:$G$65,MATCH($F192,商品档案!$A$6:$A$65,0)),""))</f>
        <v/>
      </c>
      <c r="R192" s="59" t="str">
        <f aca="false">IF($F192="","",SUMIFS(进销存台账!$N$6:$N$65,进销存台账!$A$6:$A$65,$C192,进销存台账!$B$6:$B$65,$F192))</f>
        <v/>
      </c>
      <c r="S192" s="60" t="n">
        <f aca="false">IF($E192="领用投入",ROUND(N($I192)*N($R192),2),IF($E192="加工费用",ROUND(N($J192),2),0))</f>
        <v>0</v>
      </c>
      <c r="T192" s="60" t="n">
        <f aca="false">IF($E192&lt;&gt;"产成品入库",0,IF(SUMIFS($W$6:$W$305,$C$6:$C$305,$C192,$D$6:$D$305,$D192,$E$6:$E$305,"产成品入库")=0,0,ROUND(SUMIFS($S$6:$S$305,$C$6:$C$305,$C192,$D$6:$D$305,$D192)*N($X192)/SUMIFS($W$6:$W$305,$C$6:$C$305,$C192,$D$6:$D$305,$D192,$E$6:$E$305,"产成品入库"),2)-ROUND(SUMIFS($S$6:$S$305,$C$6:$C$305,$C192,$D$6:$D$305,$D192)*(N($X192)-N($W192))/SUMIFS($W$6:$W$305,$C$6:$C$305,$C192,$D$6:$D$305,$D192,$E$6:$E$305,"产成品入库"),2)))</f>
        <v>0</v>
      </c>
      <c r="U192" s="57" t="str">
        <f aca="false">IF($E192="","",ROUND($S192+$T192,2))</f>
        <v/>
      </c>
      <c r="V192" s="61" t="str">
        <f aca="false">IF($B192="","",YEAR($B192))</f>
        <v/>
      </c>
      <c r="W192" s="63" t="str">
        <f aca="false">IF($E192&lt;&gt;"产成品入库","",IF(N($M192)=0,1,N($M192)))</f>
        <v/>
      </c>
      <c r="X192" s="63" t="str">
        <f aca="false">IF($E192&lt;&gt;"产成品入库","",SUMIFS($W$6:$W192,$C$6:$C192,$C192,$D$6:$D192,$D192,$E$6:$E192,"产成品入库"))</f>
        <v/>
      </c>
    </row>
    <row r="193" customFormat="false" ht="15" hidden="false" customHeight="false" outlineLevel="0" collapsed="false">
      <c r="A193" s="53" t="str">
        <f aca="false">IF($B193="","",ROW()-5)</f>
        <v/>
      </c>
      <c r="B193" s="54"/>
      <c r="C193" s="33"/>
      <c r="D193" s="39"/>
      <c r="E193" s="33"/>
      <c r="F193" s="39"/>
      <c r="G193" s="48" t="str">
        <f aca="false">IF($F193="","",IFERROR(INDEX(商品档案!$B$6:$B$65,MATCH($F193,商品档案!$A$6:$A$65,0)),""))</f>
        <v/>
      </c>
      <c r="H193" s="55" t="str">
        <f aca="false">IF($F193="","",IFERROR(INDEX(商品档案!$D$6:$D$65,MATCH($F193,商品档案!$A$6:$A$65,0)),""))</f>
        <v/>
      </c>
      <c r="I193" s="49"/>
      <c r="J193" s="43"/>
      <c r="K193" s="41"/>
      <c r="L193" s="39"/>
      <c r="M193" s="62"/>
      <c r="N193" s="41"/>
      <c r="O193" s="41"/>
      <c r="P193" s="25" t="str">
        <f aca="false">IF(AND($B193="",$E193=""),"",IF(NOT(ISNUMBER($B193)),"日期无效",IF(ISNA(MATCH($C193,参数设置!$A$10:$A$12,0)),"公司无效",IF($D193="","缺批次号",IF(ISNA(MATCH($E193,记账规则!$A$36:$A$38,0)),"业务类型无效",IF(AND($E193&lt;&gt;"加工费用",ISNA(MATCH($F193,商品档案!$A$6:$A$65,0))),"商品编码无效",IF(AND($E193&lt;&gt;"加工费用",IFERROR(INDEX(商品档案!$E$6:$E$65,MATCH($F193,商品档案!$A$6:$A$65,0)),"")&lt;&gt;$C193),"商品不属于该公司",IF(AND($E193&lt;&gt;"加工费用",N($I193)=0),"数量为 0",IF(AND($E193="加工费用",N($J193)=0),"加工费金额为 0",IF(AND($E193="加工费用",ISNA(MATCH($K193,会计科目表!$B$6:$B$85,0))),"对方科目不存在",IF(YEAR($B193)&lt;&gt;参数设置!$B$5,"不在本会计年度","OK")))))))))))</f>
        <v/>
      </c>
      <c r="Q193" s="58" t="str">
        <f aca="false">IF($F193="","",IFERROR(INDEX(商品档案!$G$6:$G$65,MATCH($F193,商品档案!$A$6:$A$65,0)),""))</f>
        <v/>
      </c>
      <c r="R193" s="59" t="str">
        <f aca="false">IF($F193="","",SUMIFS(进销存台账!$N$6:$N$65,进销存台账!$A$6:$A$65,$C193,进销存台账!$B$6:$B$65,$F193))</f>
        <v/>
      </c>
      <c r="S193" s="60" t="n">
        <f aca="false">IF($E193="领用投入",ROUND(N($I193)*N($R193),2),IF($E193="加工费用",ROUND(N($J193),2),0))</f>
        <v>0</v>
      </c>
      <c r="T193" s="60" t="n">
        <f aca="false">IF($E193&lt;&gt;"产成品入库",0,IF(SUMIFS($W$6:$W$305,$C$6:$C$305,$C193,$D$6:$D$305,$D193,$E$6:$E$305,"产成品入库")=0,0,ROUND(SUMIFS($S$6:$S$305,$C$6:$C$305,$C193,$D$6:$D$305,$D193)*N($X193)/SUMIFS($W$6:$W$305,$C$6:$C$305,$C193,$D$6:$D$305,$D193,$E$6:$E$305,"产成品入库"),2)-ROUND(SUMIFS($S$6:$S$305,$C$6:$C$305,$C193,$D$6:$D$305,$D193)*(N($X193)-N($W193))/SUMIFS($W$6:$W$305,$C$6:$C$305,$C193,$D$6:$D$305,$D193,$E$6:$E$305,"产成品入库"),2)))</f>
        <v>0</v>
      </c>
      <c r="U193" s="57" t="str">
        <f aca="false">IF($E193="","",ROUND($S193+$T193,2))</f>
        <v/>
      </c>
      <c r="V193" s="61" t="str">
        <f aca="false">IF($B193="","",YEAR($B193))</f>
        <v/>
      </c>
      <c r="W193" s="63" t="str">
        <f aca="false">IF($E193&lt;&gt;"产成品入库","",IF(N($M193)=0,1,N($M193)))</f>
        <v/>
      </c>
      <c r="X193" s="63" t="str">
        <f aca="false">IF($E193&lt;&gt;"产成品入库","",SUMIFS($W$6:$W193,$C$6:$C193,$C193,$D$6:$D193,$D193,$E$6:$E193,"产成品入库"))</f>
        <v/>
      </c>
    </row>
    <row r="194" customFormat="false" ht="15" hidden="false" customHeight="false" outlineLevel="0" collapsed="false">
      <c r="A194" s="53" t="str">
        <f aca="false">IF($B194="","",ROW()-5)</f>
        <v/>
      </c>
      <c r="B194" s="54"/>
      <c r="C194" s="33"/>
      <c r="D194" s="39"/>
      <c r="E194" s="33"/>
      <c r="F194" s="39"/>
      <c r="G194" s="48" t="str">
        <f aca="false">IF($F194="","",IFERROR(INDEX(商品档案!$B$6:$B$65,MATCH($F194,商品档案!$A$6:$A$65,0)),""))</f>
        <v/>
      </c>
      <c r="H194" s="55" t="str">
        <f aca="false">IF($F194="","",IFERROR(INDEX(商品档案!$D$6:$D$65,MATCH($F194,商品档案!$A$6:$A$65,0)),""))</f>
        <v/>
      </c>
      <c r="I194" s="49"/>
      <c r="J194" s="43"/>
      <c r="K194" s="41"/>
      <c r="L194" s="39"/>
      <c r="M194" s="62"/>
      <c r="N194" s="41"/>
      <c r="O194" s="41"/>
      <c r="P194" s="25" t="str">
        <f aca="false">IF(AND($B194="",$E194=""),"",IF(NOT(ISNUMBER($B194)),"日期无效",IF(ISNA(MATCH($C194,参数设置!$A$10:$A$12,0)),"公司无效",IF($D194="","缺批次号",IF(ISNA(MATCH($E194,记账规则!$A$36:$A$38,0)),"业务类型无效",IF(AND($E194&lt;&gt;"加工费用",ISNA(MATCH($F194,商品档案!$A$6:$A$65,0))),"商品编码无效",IF(AND($E194&lt;&gt;"加工费用",IFERROR(INDEX(商品档案!$E$6:$E$65,MATCH($F194,商品档案!$A$6:$A$65,0)),"")&lt;&gt;$C194),"商品不属于该公司",IF(AND($E194&lt;&gt;"加工费用",N($I194)=0),"数量为 0",IF(AND($E194="加工费用",N($J194)=0),"加工费金额为 0",IF(AND($E194="加工费用",ISNA(MATCH($K194,会计科目表!$B$6:$B$85,0))),"对方科目不存在",IF(YEAR($B194)&lt;&gt;参数设置!$B$5,"不在本会计年度","OK")))))))))))</f>
        <v/>
      </c>
      <c r="Q194" s="58" t="str">
        <f aca="false">IF($F194="","",IFERROR(INDEX(商品档案!$G$6:$G$65,MATCH($F194,商品档案!$A$6:$A$65,0)),""))</f>
        <v/>
      </c>
      <c r="R194" s="59" t="str">
        <f aca="false">IF($F194="","",SUMIFS(进销存台账!$N$6:$N$65,进销存台账!$A$6:$A$65,$C194,进销存台账!$B$6:$B$65,$F194))</f>
        <v/>
      </c>
      <c r="S194" s="60" t="n">
        <f aca="false">IF($E194="领用投入",ROUND(N($I194)*N($R194),2),IF($E194="加工费用",ROUND(N($J194),2),0))</f>
        <v>0</v>
      </c>
      <c r="T194" s="60" t="n">
        <f aca="false">IF($E194&lt;&gt;"产成品入库",0,IF(SUMIFS($W$6:$W$305,$C$6:$C$305,$C194,$D$6:$D$305,$D194,$E$6:$E$305,"产成品入库")=0,0,ROUND(SUMIFS($S$6:$S$305,$C$6:$C$305,$C194,$D$6:$D$305,$D194)*N($X194)/SUMIFS($W$6:$W$305,$C$6:$C$305,$C194,$D$6:$D$305,$D194,$E$6:$E$305,"产成品入库"),2)-ROUND(SUMIFS($S$6:$S$305,$C$6:$C$305,$C194,$D$6:$D$305,$D194)*(N($X194)-N($W194))/SUMIFS($W$6:$W$305,$C$6:$C$305,$C194,$D$6:$D$305,$D194,$E$6:$E$305,"产成品入库"),2)))</f>
        <v>0</v>
      </c>
      <c r="U194" s="57" t="str">
        <f aca="false">IF($E194="","",ROUND($S194+$T194,2))</f>
        <v/>
      </c>
      <c r="V194" s="61" t="str">
        <f aca="false">IF($B194="","",YEAR($B194))</f>
        <v/>
      </c>
      <c r="W194" s="63" t="str">
        <f aca="false">IF($E194&lt;&gt;"产成品入库","",IF(N($M194)=0,1,N($M194)))</f>
        <v/>
      </c>
      <c r="X194" s="63" t="str">
        <f aca="false">IF($E194&lt;&gt;"产成品入库","",SUMIFS($W$6:$W194,$C$6:$C194,$C194,$D$6:$D194,$D194,$E$6:$E194,"产成品入库"))</f>
        <v/>
      </c>
    </row>
    <row r="195" customFormat="false" ht="15" hidden="false" customHeight="false" outlineLevel="0" collapsed="false">
      <c r="A195" s="53" t="str">
        <f aca="false">IF($B195="","",ROW()-5)</f>
        <v/>
      </c>
      <c r="B195" s="54"/>
      <c r="C195" s="33"/>
      <c r="D195" s="39"/>
      <c r="E195" s="33"/>
      <c r="F195" s="39"/>
      <c r="G195" s="48" t="str">
        <f aca="false">IF($F195="","",IFERROR(INDEX(商品档案!$B$6:$B$65,MATCH($F195,商品档案!$A$6:$A$65,0)),""))</f>
        <v/>
      </c>
      <c r="H195" s="55" t="str">
        <f aca="false">IF($F195="","",IFERROR(INDEX(商品档案!$D$6:$D$65,MATCH($F195,商品档案!$A$6:$A$65,0)),""))</f>
        <v/>
      </c>
      <c r="I195" s="49"/>
      <c r="J195" s="43"/>
      <c r="K195" s="41"/>
      <c r="L195" s="39"/>
      <c r="M195" s="62"/>
      <c r="N195" s="41"/>
      <c r="O195" s="41"/>
      <c r="P195" s="25" t="str">
        <f aca="false">IF(AND($B195="",$E195=""),"",IF(NOT(ISNUMBER($B195)),"日期无效",IF(ISNA(MATCH($C195,参数设置!$A$10:$A$12,0)),"公司无效",IF($D195="","缺批次号",IF(ISNA(MATCH($E195,记账规则!$A$36:$A$38,0)),"业务类型无效",IF(AND($E195&lt;&gt;"加工费用",ISNA(MATCH($F195,商品档案!$A$6:$A$65,0))),"商品编码无效",IF(AND($E195&lt;&gt;"加工费用",IFERROR(INDEX(商品档案!$E$6:$E$65,MATCH($F195,商品档案!$A$6:$A$65,0)),"")&lt;&gt;$C195),"商品不属于该公司",IF(AND($E195&lt;&gt;"加工费用",N($I195)=0),"数量为 0",IF(AND($E195="加工费用",N($J195)=0),"加工费金额为 0",IF(AND($E195="加工费用",ISNA(MATCH($K195,会计科目表!$B$6:$B$85,0))),"对方科目不存在",IF(YEAR($B195)&lt;&gt;参数设置!$B$5,"不在本会计年度","OK")))))))))))</f>
        <v/>
      </c>
      <c r="Q195" s="58" t="str">
        <f aca="false">IF($F195="","",IFERROR(INDEX(商品档案!$G$6:$G$65,MATCH($F195,商品档案!$A$6:$A$65,0)),""))</f>
        <v/>
      </c>
      <c r="R195" s="59" t="str">
        <f aca="false">IF($F195="","",SUMIFS(进销存台账!$N$6:$N$65,进销存台账!$A$6:$A$65,$C195,进销存台账!$B$6:$B$65,$F195))</f>
        <v/>
      </c>
      <c r="S195" s="60" t="n">
        <f aca="false">IF($E195="领用投入",ROUND(N($I195)*N($R195),2),IF($E195="加工费用",ROUND(N($J195),2),0))</f>
        <v>0</v>
      </c>
      <c r="T195" s="60" t="n">
        <f aca="false">IF($E195&lt;&gt;"产成品入库",0,IF(SUMIFS($W$6:$W$305,$C$6:$C$305,$C195,$D$6:$D$305,$D195,$E$6:$E$305,"产成品入库")=0,0,ROUND(SUMIFS($S$6:$S$305,$C$6:$C$305,$C195,$D$6:$D$305,$D195)*N($X195)/SUMIFS($W$6:$W$305,$C$6:$C$305,$C195,$D$6:$D$305,$D195,$E$6:$E$305,"产成品入库"),2)-ROUND(SUMIFS($S$6:$S$305,$C$6:$C$305,$C195,$D$6:$D$305,$D195)*(N($X195)-N($W195))/SUMIFS($W$6:$W$305,$C$6:$C$305,$C195,$D$6:$D$305,$D195,$E$6:$E$305,"产成品入库"),2)))</f>
        <v>0</v>
      </c>
      <c r="U195" s="57" t="str">
        <f aca="false">IF($E195="","",ROUND($S195+$T195,2))</f>
        <v/>
      </c>
      <c r="V195" s="61" t="str">
        <f aca="false">IF($B195="","",YEAR($B195))</f>
        <v/>
      </c>
      <c r="W195" s="63" t="str">
        <f aca="false">IF($E195&lt;&gt;"产成品入库","",IF(N($M195)=0,1,N($M195)))</f>
        <v/>
      </c>
      <c r="X195" s="63" t="str">
        <f aca="false">IF($E195&lt;&gt;"产成品入库","",SUMIFS($W$6:$W195,$C$6:$C195,$C195,$D$6:$D195,$D195,$E$6:$E195,"产成品入库"))</f>
        <v/>
      </c>
    </row>
    <row r="196" customFormat="false" ht="15" hidden="false" customHeight="false" outlineLevel="0" collapsed="false">
      <c r="A196" s="53" t="str">
        <f aca="false">IF($B196="","",ROW()-5)</f>
        <v/>
      </c>
      <c r="B196" s="54"/>
      <c r="C196" s="33"/>
      <c r="D196" s="39"/>
      <c r="E196" s="33"/>
      <c r="F196" s="39"/>
      <c r="G196" s="48" t="str">
        <f aca="false">IF($F196="","",IFERROR(INDEX(商品档案!$B$6:$B$65,MATCH($F196,商品档案!$A$6:$A$65,0)),""))</f>
        <v/>
      </c>
      <c r="H196" s="55" t="str">
        <f aca="false">IF($F196="","",IFERROR(INDEX(商品档案!$D$6:$D$65,MATCH($F196,商品档案!$A$6:$A$65,0)),""))</f>
        <v/>
      </c>
      <c r="I196" s="49"/>
      <c r="J196" s="43"/>
      <c r="K196" s="41"/>
      <c r="L196" s="39"/>
      <c r="M196" s="62"/>
      <c r="N196" s="41"/>
      <c r="O196" s="41"/>
      <c r="P196" s="25" t="str">
        <f aca="false">IF(AND($B196="",$E196=""),"",IF(NOT(ISNUMBER($B196)),"日期无效",IF(ISNA(MATCH($C196,参数设置!$A$10:$A$12,0)),"公司无效",IF($D196="","缺批次号",IF(ISNA(MATCH($E196,记账规则!$A$36:$A$38,0)),"业务类型无效",IF(AND($E196&lt;&gt;"加工费用",ISNA(MATCH($F196,商品档案!$A$6:$A$65,0))),"商品编码无效",IF(AND($E196&lt;&gt;"加工费用",IFERROR(INDEX(商品档案!$E$6:$E$65,MATCH($F196,商品档案!$A$6:$A$65,0)),"")&lt;&gt;$C196),"商品不属于该公司",IF(AND($E196&lt;&gt;"加工费用",N($I196)=0),"数量为 0",IF(AND($E196="加工费用",N($J196)=0),"加工费金额为 0",IF(AND($E196="加工费用",ISNA(MATCH($K196,会计科目表!$B$6:$B$85,0))),"对方科目不存在",IF(YEAR($B196)&lt;&gt;参数设置!$B$5,"不在本会计年度","OK")))))))))))</f>
        <v/>
      </c>
      <c r="Q196" s="58" t="str">
        <f aca="false">IF($F196="","",IFERROR(INDEX(商品档案!$G$6:$G$65,MATCH($F196,商品档案!$A$6:$A$65,0)),""))</f>
        <v/>
      </c>
      <c r="R196" s="59" t="str">
        <f aca="false">IF($F196="","",SUMIFS(进销存台账!$N$6:$N$65,进销存台账!$A$6:$A$65,$C196,进销存台账!$B$6:$B$65,$F196))</f>
        <v/>
      </c>
      <c r="S196" s="60" t="n">
        <f aca="false">IF($E196="领用投入",ROUND(N($I196)*N($R196),2),IF($E196="加工费用",ROUND(N($J196),2),0))</f>
        <v>0</v>
      </c>
      <c r="T196" s="60" t="n">
        <f aca="false">IF($E196&lt;&gt;"产成品入库",0,IF(SUMIFS($W$6:$W$305,$C$6:$C$305,$C196,$D$6:$D$305,$D196,$E$6:$E$305,"产成品入库")=0,0,ROUND(SUMIFS($S$6:$S$305,$C$6:$C$305,$C196,$D$6:$D$305,$D196)*N($X196)/SUMIFS($W$6:$W$305,$C$6:$C$305,$C196,$D$6:$D$305,$D196,$E$6:$E$305,"产成品入库"),2)-ROUND(SUMIFS($S$6:$S$305,$C$6:$C$305,$C196,$D$6:$D$305,$D196)*(N($X196)-N($W196))/SUMIFS($W$6:$W$305,$C$6:$C$305,$C196,$D$6:$D$305,$D196,$E$6:$E$305,"产成品入库"),2)))</f>
        <v>0</v>
      </c>
      <c r="U196" s="57" t="str">
        <f aca="false">IF($E196="","",ROUND($S196+$T196,2))</f>
        <v/>
      </c>
      <c r="V196" s="61" t="str">
        <f aca="false">IF($B196="","",YEAR($B196))</f>
        <v/>
      </c>
      <c r="W196" s="63" t="str">
        <f aca="false">IF($E196&lt;&gt;"产成品入库","",IF(N($M196)=0,1,N($M196)))</f>
        <v/>
      </c>
      <c r="X196" s="63" t="str">
        <f aca="false">IF($E196&lt;&gt;"产成品入库","",SUMIFS($W$6:$W196,$C$6:$C196,$C196,$D$6:$D196,$D196,$E$6:$E196,"产成品入库"))</f>
        <v/>
      </c>
    </row>
    <row r="197" customFormat="false" ht="15" hidden="false" customHeight="false" outlineLevel="0" collapsed="false">
      <c r="A197" s="53" t="str">
        <f aca="false">IF($B197="","",ROW()-5)</f>
        <v/>
      </c>
      <c r="B197" s="54"/>
      <c r="C197" s="33"/>
      <c r="D197" s="39"/>
      <c r="E197" s="33"/>
      <c r="F197" s="39"/>
      <c r="G197" s="48" t="str">
        <f aca="false">IF($F197="","",IFERROR(INDEX(商品档案!$B$6:$B$65,MATCH($F197,商品档案!$A$6:$A$65,0)),""))</f>
        <v/>
      </c>
      <c r="H197" s="55" t="str">
        <f aca="false">IF($F197="","",IFERROR(INDEX(商品档案!$D$6:$D$65,MATCH($F197,商品档案!$A$6:$A$65,0)),""))</f>
        <v/>
      </c>
      <c r="I197" s="49"/>
      <c r="J197" s="43"/>
      <c r="K197" s="41"/>
      <c r="L197" s="39"/>
      <c r="M197" s="62"/>
      <c r="N197" s="41"/>
      <c r="O197" s="41"/>
      <c r="P197" s="25" t="str">
        <f aca="false">IF(AND($B197="",$E197=""),"",IF(NOT(ISNUMBER($B197)),"日期无效",IF(ISNA(MATCH($C197,参数设置!$A$10:$A$12,0)),"公司无效",IF($D197="","缺批次号",IF(ISNA(MATCH($E197,记账规则!$A$36:$A$38,0)),"业务类型无效",IF(AND($E197&lt;&gt;"加工费用",ISNA(MATCH($F197,商品档案!$A$6:$A$65,0))),"商品编码无效",IF(AND($E197&lt;&gt;"加工费用",IFERROR(INDEX(商品档案!$E$6:$E$65,MATCH($F197,商品档案!$A$6:$A$65,0)),"")&lt;&gt;$C197),"商品不属于该公司",IF(AND($E197&lt;&gt;"加工费用",N($I197)=0),"数量为 0",IF(AND($E197="加工费用",N($J197)=0),"加工费金额为 0",IF(AND($E197="加工费用",ISNA(MATCH($K197,会计科目表!$B$6:$B$85,0))),"对方科目不存在",IF(YEAR($B197)&lt;&gt;参数设置!$B$5,"不在本会计年度","OK")))))))))))</f>
        <v/>
      </c>
      <c r="Q197" s="58" t="str">
        <f aca="false">IF($F197="","",IFERROR(INDEX(商品档案!$G$6:$G$65,MATCH($F197,商品档案!$A$6:$A$65,0)),""))</f>
        <v/>
      </c>
      <c r="R197" s="59" t="str">
        <f aca="false">IF($F197="","",SUMIFS(进销存台账!$N$6:$N$65,进销存台账!$A$6:$A$65,$C197,进销存台账!$B$6:$B$65,$F197))</f>
        <v/>
      </c>
      <c r="S197" s="60" t="n">
        <f aca="false">IF($E197="领用投入",ROUND(N($I197)*N($R197),2),IF($E197="加工费用",ROUND(N($J197),2),0))</f>
        <v>0</v>
      </c>
      <c r="T197" s="60" t="n">
        <f aca="false">IF($E197&lt;&gt;"产成品入库",0,IF(SUMIFS($W$6:$W$305,$C$6:$C$305,$C197,$D$6:$D$305,$D197,$E$6:$E$305,"产成品入库")=0,0,ROUND(SUMIFS($S$6:$S$305,$C$6:$C$305,$C197,$D$6:$D$305,$D197)*N($X197)/SUMIFS($W$6:$W$305,$C$6:$C$305,$C197,$D$6:$D$305,$D197,$E$6:$E$305,"产成品入库"),2)-ROUND(SUMIFS($S$6:$S$305,$C$6:$C$305,$C197,$D$6:$D$305,$D197)*(N($X197)-N($W197))/SUMIFS($W$6:$W$305,$C$6:$C$305,$C197,$D$6:$D$305,$D197,$E$6:$E$305,"产成品入库"),2)))</f>
        <v>0</v>
      </c>
      <c r="U197" s="57" t="str">
        <f aca="false">IF($E197="","",ROUND($S197+$T197,2))</f>
        <v/>
      </c>
      <c r="V197" s="61" t="str">
        <f aca="false">IF($B197="","",YEAR($B197))</f>
        <v/>
      </c>
      <c r="W197" s="63" t="str">
        <f aca="false">IF($E197&lt;&gt;"产成品入库","",IF(N($M197)=0,1,N($M197)))</f>
        <v/>
      </c>
      <c r="X197" s="63" t="str">
        <f aca="false">IF($E197&lt;&gt;"产成品入库","",SUMIFS($W$6:$W197,$C$6:$C197,$C197,$D$6:$D197,$D197,$E$6:$E197,"产成品入库"))</f>
        <v/>
      </c>
    </row>
    <row r="198" customFormat="false" ht="15" hidden="false" customHeight="false" outlineLevel="0" collapsed="false">
      <c r="A198" s="53" t="str">
        <f aca="false">IF($B198="","",ROW()-5)</f>
        <v/>
      </c>
      <c r="B198" s="54"/>
      <c r="C198" s="33"/>
      <c r="D198" s="39"/>
      <c r="E198" s="33"/>
      <c r="F198" s="39"/>
      <c r="G198" s="48" t="str">
        <f aca="false">IF($F198="","",IFERROR(INDEX(商品档案!$B$6:$B$65,MATCH($F198,商品档案!$A$6:$A$65,0)),""))</f>
        <v/>
      </c>
      <c r="H198" s="55" t="str">
        <f aca="false">IF($F198="","",IFERROR(INDEX(商品档案!$D$6:$D$65,MATCH($F198,商品档案!$A$6:$A$65,0)),""))</f>
        <v/>
      </c>
      <c r="I198" s="49"/>
      <c r="J198" s="43"/>
      <c r="K198" s="41"/>
      <c r="L198" s="39"/>
      <c r="M198" s="62"/>
      <c r="N198" s="41"/>
      <c r="O198" s="41"/>
      <c r="P198" s="25" t="str">
        <f aca="false">IF(AND($B198="",$E198=""),"",IF(NOT(ISNUMBER($B198)),"日期无效",IF(ISNA(MATCH($C198,参数设置!$A$10:$A$12,0)),"公司无效",IF($D198="","缺批次号",IF(ISNA(MATCH($E198,记账规则!$A$36:$A$38,0)),"业务类型无效",IF(AND($E198&lt;&gt;"加工费用",ISNA(MATCH($F198,商品档案!$A$6:$A$65,0))),"商品编码无效",IF(AND($E198&lt;&gt;"加工费用",IFERROR(INDEX(商品档案!$E$6:$E$65,MATCH($F198,商品档案!$A$6:$A$65,0)),"")&lt;&gt;$C198),"商品不属于该公司",IF(AND($E198&lt;&gt;"加工费用",N($I198)=0),"数量为 0",IF(AND($E198="加工费用",N($J198)=0),"加工费金额为 0",IF(AND($E198="加工费用",ISNA(MATCH($K198,会计科目表!$B$6:$B$85,0))),"对方科目不存在",IF(YEAR($B198)&lt;&gt;参数设置!$B$5,"不在本会计年度","OK")))))))))))</f>
        <v/>
      </c>
      <c r="Q198" s="58" t="str">
        <f aca="false">IF($F198="","",IFERROR(INDEX(商品档案!$G$6:$G$65,MATCH($F198,商品档案!$A$6:$A$65,0)),""))</f>
        <v/>
      </c>
      <c r="R198" s="59" t="str">
        <f aca="false">IF($F198="","",SUMIFS(进销存台账!$N$6:$N$65,进销存台账!$A$6:$A$65,$C198,进销存台账!$B$6:$B$65,$F198))</f>
        <v/>
      </c>
      <c r="S198" s="60" t="n">
        <f aca="false">IF($E198="领用投入",ROUND(N($I198)*N($R198),2),IF($E198="加工费用",ROUND(N($J198),2),0))</f>
        <v>0</v>
      </c>
      <c r="T198" s="60" t="n">
        <f aca="false">IF($E198&lt;&gt;"产成品入库",0,IF(SUMIFS($W$6:$W$305,$C$6:$C$305,$C198,$D$6:$D$305,$D198,$E$6:$E$305,"产成品入库")=0,0,ROUND(SUMIFS($S$6:$S$305,$C$6:$C$305,$C198,$D$6:$D$305,$D198)*N($X198)/SUMIFS($W$6:$W$305,$C$6:$C$305,$C198,$D$6:$D$305,$D198,$E$6:$E$305,"产成品入库"),2)-ROUND(SUMIFS($S$6:$S$305,$C$6:$C$305,$C198,$D$6:$D$305,$D198)*(N($X198)-N($W198))/SUMIFS($W$6:$W$305,$C$6:$C$305,$C198,$D$6:$D$305,$D198,$E$6:$E$305,"产成品入库"),2)))</f>
        <v>0</v>
      </c>
      <c r="U198" s="57" t="str">
        <f aca="false">IF($E198="","",ROUND($S198+$T198,2))</f>
        <v/>
      </c>
      <c r="V198" s="61" t="str">
        <f aca="false">IF($B198="","",YEAR($B198))</f>
        <v/>
      </c>
      <c r="W198" s="63" t="str">
        <f aca="false">IF($E198&lt;&gt;"产成品入库","",IF(N($M198)=0,1,N($M198)))</f>
        <v/>
      </c>
      <c r="X198" s="63" t="str">
        <f aca="false">IF($E198&lt;&gt;"产成品入库","",SUMIFS($W$6:$W198,$C$6:$C198,$C198,$D$6:$D198,$D198,$E$6:$E198,"产成品入库"))</f>
        <v/>
      </c>
    </row>
    <row r="199" customFormat="false" ht="15" hidden="false" customHeight="false" outlineLevel="0" collapsed="false">
      <c r="A199" s="53" t="str">
        <f aca="false">IF($B199="","",ROW()-5)</f>
        <v/>
      </c>
      <c r="B199" s="54"/>
      <c r="C199" s="33"/>
      <c r="D199" s="39"/>
      <c r="E199" s="33"/>
      <c r="F199" s="39"/>
      <c r="G199" s="48" t="str">
        <f aca="false">IF($F199="","",IFERROR(INDEX(商品档案!$B$6:$B$65,MATCH($F199,商品档案!$A$6:$A$65,0)),""))</f>
        <v/>
      </c>
      <c r="H199" s="55" t="str">
        <f aca="false">IF($F199="","",IFERROR(INDEX(商品档案!$D$6:$D$65,MATCH($F199,商品档案!$A$6:$A$65,0)),""))</f>
        <v/>
      </c>
      <c r="I199" s="49"/>
      <c r="J199" s="43"/>
      <c r="K199" s="41"/>
      <c r="L199" s="39"/>
      <c r="M199" s="62"/>
      <c r="N199" s="41"/>
      <c r="O199" s="41"/>
      <c r="P199" s="25" t="str">
        <f aca="false">IF(AND($B199="",$E199=""),"",IF(NOT(ISNUMBER($B199)),"日期无效",IF(ISNA(MATCH($C199,参数设置!$A$10:$A$12,0)),"公司无效",IF($D199="","缺批次号",IF(ISNA(MATCH($E199,记账规则!$A$36:$A$38,0)),"业务类型无效",IF(AND($E199&lt;&gt;"加工费用",ISNA(MATCH($F199,商品档案!$A$6:$A$65,0))),"商品编码无效",IF(AND($E199&lt;&gt;"加工费用",IFERROR(INDEX(商品档案!$E$6:$E$65,MATCH($F199,商品档案!$A$6:$A$65,0)),"")&lt;&gt;$C199),"商品不属于该公司",IF(AND($E199&lt;&gt;"加工费用",N($I199)=0),"数量为 0",IF(AND($E199="加工费用",N($J199)=0),"加工费金额为 0",IF(AND($E199="加工费用",ISNA(MATCH($K199,会计科目表!$B$6:$B$85,0))),"对方科目不存在",IF(YEAR($B199)&lt;&gt;参数设置!$B$5,"不在本会计年度","OK")))))))))))</f>
        <v/>
      </c>
      <c r="Q199" s="58" t="str">
        <f aca="false">IF($F199="","",IFERROR(INDEX(商品档案!$G$6:$G$65,MATCH($F199,商品档案!$A$6:$A$65,0)),""))</f>
        <v/>
      </c>
      <c r="R199" s="59" t="str">
        <f aca="false">IF($F199="","",SUMIFS(进销存台账!$N$6:$N$65,进销存台账!$A$6:$A$65,$C199,进销存台账!$B$6:$B$65,$F199))</f>
        <v/>
      </c>
      <c r="S199" s="60" t="n">
        <f aca="false">IF($E199="领用投入",ROUND(N($I199)*N($R199),2),IF($E199="加工费用",ROUND(N($J199),2),0))</f>
        <v>0</v>
      </c>
      <c r="T199" s="60" t="n">
        <f aca="false">IF($E199&lt;&gt;"产成品入库",0,IF(SUMIFS($W$6:$W$305,$C$6:$C$305,$C199,$D$6:$D$305,$D199,$E$6:$E$305,"产成品入库")=0,0,ROUND(SUMIFS($S$6:$S$305,$C$6:$C$305,$C199,$D$6:$D$305,$D199)*N($X199)/SUMIFS($W$6:$W$305,$C$6:$C$305,$C199,$D$6:$D$305,$D199,$E$6:$E$305,"产成品入库"),2)-ROUND(SUMIFS($S$6:$S$305,$C$6:$C$305,$C199,$D$6:$D$305,$D199)*(N($X199)-N($W199))/SUMIFS($W$6:$W$305,$C$6:$C$305,$C199,$D$6:$D$305,$D199,$E$6:$E$305,"产成品入库"),2)))</f>
        <v>0</v>
      </c>
      <c r="U199" s="57" t="str">
        <f aca="false">IF($E199="","",ROUND($S199+$T199,2))</f>
        <v/>
      </c>
      <c r="V199" s="61" t="str">
        <f aca="false">IF($B199="","",YEAR($B199))</f>
        <v/>
      </c>
      <c r="W199" s="63" t="str">
        <f aca="false">IF($E199&lt;&gt;"产成品入库","",IF(N($M199)=0,1,N($M199)))</f>
        <v/>
      </c>
      <c r="X199" s="63" t="str">
        <f aca="false">IF($E199&lt;&gt;"产成品入库","",SUMIFS($W$6:$W199,$C$6:$C199,$C199,$D$6:$D199,$D199,$E$6:$E199,"产成品入库"))</f>
        <v/>
      </c>
    </row>
    <row r="200" customFormat="false" ht="15" hidden="false" customHeight="false" outlineLevel="0" collapsed="false">
      <c r="A200" s="53" t="str">
        <f aca="false">IF($B200="","",ROW()-5)</f>
        <v/>
      </c>
      <c r="B200" s="54"/>
      <c r="C200" s="33"/>
      <c r="D200" s="39"/>
      <c r="E200" s="33"/>
      <c r="F200" s="39"/>
      <c r="G200" s="48" t="str">
        <f aca="false">IF($F200="","",IFERROR(INDEX(商品档案!$B$6:$B$65,MATCH($F200,商品档案!$A$6:$A$65,0)),""))</f>
        <v/>
      </c>
      <c r="H200" s="55" t="str">
        <f aca="false">IF($F200="","",IFERROR(INDEX(商品档案!$D$6:$D$65,MATCH($F200,商品档案!$A$6:$A$65,0)),""))</f>
        <v/>
      </c>
      <c r="I200" s="49"/>
      <c r="J200" s="43"/>
      <c r="K200" s="41"/>
      <c r="L200" s="39"/>
      <c r="M200" s="62"/>
      <c r="N200" s="41"/>
      <c r="O200" s="41"/>
      <c r="P200" s="25" t="str">
        <f aca="false">IF(AND($B200="",$E200=""),"",IF(NOT(ISNUMBER($B200)),"日期无效",IF(ISNA(MATCH($C200,参数设置!$A$10:$A$12,0)),"公司无效",IF($D200="","缺批次号",IF(ISNA(MATCH($E200,记账规则!$A$36:$A$38,0)),"业务类型无效",IF(AND($E200&lt;&gt;"加工费用",ISNA(MATCH($F200,商品档案!$A$6:$A$65,0))),"商品编码无效",IF(AND($E200&lt;&gt;"加工费用",IFERROR(INDEX(商品档案!$E$6:$E$65,MATCH($F200,商品档案!$A$6:$A$65,0)),"")&lt;&gt;$C200),"商品不属于该公司",IF(AND($E200&lt;&gt;"加工费用",N($I200)=0),"数量为 0",IF(AND($E200="加工费用",N($J200)=0),"加工费金额为 0",IF(AND($E200="加工费用",ISNA(MATCH($K200,会计科目表!$B$6:$B$85,0))),"对方科目不存在",IF(YEAR($B200)&lt;&gt;参数设置!$B$5,"不在本会计年度","OK")))))))))))</f>
        <v/>
      </c>
      <c r="Q200" s="58" t="str">
        <f aca="false">IF($F200="","",IFERROR(INDEX(商品档案!$G$6:$G$65,MATCH($F200,商品档案!$A$6:$A$65,0)),""))</f>
        <v/>
      </c>
      <c r="R200" s="59" t="str">
        <f aca="false">IF($F200="","",SUMIFS(进销存台账!$N$6:$N$65,进销存台账!$A$6:$A$65,$C200,进销存台账!$B$6:$B$65,$F200))</f>
        <v/>
      </c>
      <c r="S200" s="60" t="n">
        <f aca="false">IF($E200="领用投入",ROUND(N($I200)*N($R200),2),IF($E200="加工费用",ROUND(N($J200),2),0))</f>
        <v>0</v>
      </c>
      <c r="T200" s="60" t="n">
        <f aca="false">IF($E200&lt;&gt;"产成品入库",0,IF(SUMIFS($W$6:$W$305,$C$6:$C$305,$C200,$D$6:$D$305,$D200,$E$6:$E$305,"产成品入库")=0,0,ROUND(SUMIFS($S$6:$S$305,$C$6:$C$305,$C200,$D$6:$D$305,$D200)*N($X200)/SUMIFS($W$6:$W$305,$C$6:$C$305,$C200,$D$6:$D$305,$D200,$E$6:$E$305,"产成品入库"),2)-ROUND(SUMIFS($S$6:$S$305,$C$6:$C$305,$C200,$D$6:$D$305,$D200)*(N($X200)-N($W200))/SUMIFS($W$6:$W$305,$C$6:$C$305,$C200,$D$6:$D$305,$D200,$E$6:$E$305,"产成品入库"),2)))</f>
        <v>0</v>
      </c>
      <c r="U200" s="57" t="str">
        <f aca="false">IF($E200="","",ROUND($S200+$T200,2))</f>
        <v/>
      </c>
      <c r="V200" s="61" t="str">
        <f aca="false">IF($B200="","",YEAR($B200))</f>
        <v/>
      </c>
      <c r="W200" s="63" t="str">
        <f aca="false">IF($E200&lt;&gt;"产成品入库","",IF(N($M200)=0,1,N($M200)))</f>
        <v/>
      </c>
      <c r="X200" s="63" t="str">
        <f aca="false">IF($E200&lt;&gt;"产成品入库","",SUMIFS($W$6:$W200,$C$6:$C200,$C200,$D$6:$D200,$D200,$E$6:$E200,"产成品入库"))</f>
        <v/>
      </c>
    </row>
    <row r="201" customFormat="false" ht="15" hidden="false" customHeight="false" outlineLevel="0" collapsed="false">
      <c r="A201" s="53" t="str">
        <f aca="false">IF($B201="","",ROW()-5)</f>
        <v/>
      </c>
      <c r="B201" s="54"/>
      <c r="C201" s="33"/>
      <c r="D201" s="39"/>
      <c r="E201" s="33"/>
      <c r="F201" s="39"/>
      <c r="G201" s="48" t="str">
        <f aca="false">IF($F201="","",IFERROR(INDEX(商品档案!$B$6:$B$65,MATCH($F201,商品档案!$A$6:$A$65,0)),""))</f>
        <v/>
      </c>
      <c r="H201" s="55" t="str">
        <f aca="false">IF($F201="","",IFERROR(INDEX(商品档案!$D$6:$D$65,MATCH($F201,商品档案!$A$6:$A$65,0)),""))</f>
        <v/>
      </c>
      <c r="I201" s="49"/>
      <c r="J201" s="43"/>
      <c r="K201" s="41"/>
      <c r="L201" s="39"/>
      <c r="M201" s="62"/>
      <c r="N201" s="41"/>
      <c r="O201" s="41"/>
      <c r="P201" s="25" t="str">
        <f aca="false">IF(AND($B201="",$E201=""),"",IF(NOT(ISNUMBER($B201)),"日期无效",IF(ISNA(MATCH($C201,参数设置!$A$10:$A$12,0)),"公司无效",IF($D201="","缺批次号",IF(ISNA(MATCH($E201,记账规则!$A$36:$A$38,0)),"业务类型无效",IF(AND($E201&lt;&gt;"加工费用",ISNA(MATCH($F201,商品档案!$A$6:$A$65,0))),"商品编码无效",IF(AND($E201&lt;&gt;"加工费用",IFERROR(INDEX(商品档案!$E$6:$E$65,MATCH($F201,商品档案!$A$6:$A$65,0)),"")&lt;&gt;$C201),"商品不属于该公司",IF(AND($E201&lt;&gt;"加工费用",N($I201)=0),"数量为 0",IF(AND($E201="加工费用",N($J201)=0),"加工费金额为 0",IF(AND($E201="加工费用",ISNA(MATCH($K201,会计科目表!$B$6:$B$85,0))),"对方科目不存在",IF(YEAR($B201)&lt;&gt;参数设置!$B$5,"不在本会计年度","OK")))))))))))</f>
        <v/>
      </c>
      <c r="Q201" s="58" t="str">
        <f aca="false">IF($F201="","",IFERROR(INDEX(商品档案!$G$6:$G$65,MATCH($F201,商品档案!$A$6:$A$65,0)),""))</f>
        <v/>
      </c>
      <c r="R201" s="59" t="str">
        <f aca="false">IF($F201="","",SUMIFS(进销存台账!$N$6:$N$65,进销存台账!$A$6:$A$65,$C201,进销存台账!$B$6:$B$65,$F201))</f>
        <v/>
      </c>
      <c r="S201" s="60" t="n">
        <f aca="false">IF($E201="领用投入",ROUND(N($I201)*N($R201),2),IF($E201="加工费用",ROUND(N($J201),2),0))</f>
        <v>0</v>
      </c>
      <c r="T201" s="60" t="n">
        <f aca="false">IF($E201&lt;&gt;"产成品入库",0,IF(SUMIFS($W$6:$W$305,$C$6:$C$305,$C201,$D$6:$D$305,$D201,$E$6:$E$305,"产成品入库")=0,0,ROUND(SUMIFS($S$6:$S$305,$C$6:$C$305,$C201,$D$6:$D$305,$D201)*N($X201)/SUMIFS($W$6:$W$305,$C$6:$C$305,$C201,$D$6:$D$305,$D201,$E$6:$E$305,"产成品入库"),2)-ROUND(SUMIFS($S$6:$S$305,$C$6:$C$305,$C201,$D$6:$D$305,$D201)*(N($X201)-N($W201))/SUMIFS($W$6:$W$305,$C$6:$C$305,$C201,$D$6:$D$305,$D201,$E$6:$E$305,"产成品入库"),2)))</f>
        <v>0</v>
      </c>
      <c r="U201" s="57" t="str">
        <f aca="false">IF($E201="","",ROUND($S201+$T201,2))</f>
        <v/>
      </c>
      <c r="V201" s="61" t="str">
        <f aca="false">IF($B201="","",YEAR($B201))</f>
        <v/>
      </c>
      <c r="W201" s="63" t="str">
        <f aca="false">IF($E201&lt;&gt;"产成品入库","",IF(N($M201)=0,1,N($M201)))</f>
        <v/>
      </c>
      <c r="X201" s="63" t="str">
        <f aca="false">IF($E201&lt;&gt;"产成品入库","",SUMIFS($W$6:$W201,$C$6:$C201,$C201,$D$6:$D201,$D201,$E$6:$E201,"产成品入库"))</f>
        <v/>
      </c>
    </row>
    <row r="202" customFormat="false" ht="15" hidden="false" customHeight="false" outlineLevel="0" collapsed="false">
      <c r="A202" s="53" t="str">
        <f aca="false">IF($B202="","",ROW()-5)</f>
        <v/>
      </c>
      <c r="B202" s="54"/>
      <c r="C202" s="33"/>
      <c r="D202" s="39"/>
      <c r="E202" s="33"/>
      <c r="F202" s="39"/>
      <c r="G202" s="48" t="str">
        <f aca="false">IF($F202="","",IFERROR(INDEX(商品档案!$B$6:$B$65,MATCH($F202,商品档案!$A$6:$A$65,0)),""))</f>
        <v/>
      </c>
      <c r="H202" s="55" t="str">
        <f aca="false">IF($F202="","",IFERROR(INDEX(商品档案!$D$6:$D$65,MATCH($F202,商品档案!$A$6:$A$65,0)),""))</f>
        <v/>
      </c>
      <c r="I202" s="49"/>
      <c r="J202" s="43"/>
      <c r="K202" s="41"/>
      <c r="L202" s="39"/>
      <c r="M202" s="62"/>
      <c r="N202" s="41"/>
      <c r="O202" s="41"/>
      <c r="P202" s="25" t="str">
        <f aca="false">IF(AND($B202="",$E202=""),"",IF(NOT(ISNUMBER($B202)),"日期无效",IF(ISNA(MATCH($C202,参数设置!$A$10:$A$12,0)),"公司无效",IF($D202="","缺批次号",IF(ISNA(MATCH($E202,记账规则!$A$36:$A$38,0)),"业务类型无效",IF(AND($E202&lt;&gt;"加工费用",ISNA(MATCH($F202,商品档案!$A$6:$A$65,0))),"商品编码无效",IF(AND($E202&lt;&gt;"加工费用",IFERROR(INDEX(商品档案!$E$6:$E$65,MATCH($F202,商品档案!$A$6:$A$65,0)),"")&lt;&gt;$C202),"商品不属于该公司",IF(AND($E202&lt;&gt;"加工费用",N($I202)=0),"数量为 0",IF(AND($E202="加工费用",N($J202)=0),"加工费金额为 0",IF(AND($E202="加工费用",ISNA(MATCH($K202,会计科目表!$B$6:$B$85,0))),"对方科目不存在",IF(YEAR($B202)&lt;&gt;参数设置!$B$5,"不在本会计年度","OK")))))))))))</f>
        <v/>
      </c>
      <c r="Q202" s="58" t="str">
        <f aca="false">IF($F202="","",IFERROR(INDEX(商品档案!$G$6:$G$65,MATCH($F202,商品档案!$A$6:$A$65,0)),""))</f>
        <v/>
      </c>
      <c r="R202" s="59" t="str">
        <f aca="false">IF($F202="","",SUMIFS(进销存台账!$N$6:$N$65,进销存台账!$A$6:$A$65,$C202,进销存台账!$B$6:$B$65,$F202))</f>
        <v/>
      </c>
      <c r="S202" s="60" t="n">
        <f aca="false">IF($E202="领用投入",ROUND(N($I202)*N($R202),2),IF($E202="加工费用",ROUND(N($J202),2),0))</f>
        <v>0</v>
      </c>
      <c r="T202" s="60" t="n">
        <f aca="false">IF($E202&lt;&gt;"产成品入库",0,IF(SUMIFS($W$6:$W$305,$C$6:$C$305,$C202,$D$6:$D$305,$D202,$E$6:$E$305,"产成品入库")=0,0,ROUND(SUMIFS($S$6:$S$305,$C$6:$C$305,$C202,$D$6:$D$305,$D202)*N($X202)/SUMIFS($W$6:$W$305,$C$6:$C$305,$C202,$D$6:$D$305,$D202,$E$6:$E$305,"产成品入库"),2)-ROUND(SUMIFS($S$6:$S$305,$C$6:$C$305,$C202,$D$6:$D$305,$D202)*(N($X202)-N($W202))/SUMIFS($W$6:$W$305,$C$6:$C$305,$C202,$D$6:$D$305,$D202,$E$6:$E$305,"产成品入库"),2)))</f>
        <v>0</v>
      </c>
      <c r="U202" s="57" t="str">
        <f aca="false">IF($E202="","",ROUND($S202+$T202,2))</f>
        <v/>
      </c>
      <c r="V202" s="61" t="str">
        <f aca="false">IF($B202="","",YEAR($B202))</f>
        <v/>
      </c>
      <c r="W202" s="63" t="str">
        <f aca="false">IF($E202&lt;&gt;"产成品入库","",IF(N($M202)=0,1,N($M202)))</f>
        <v/>
      </c>
      <c r="X202" s="63" t="str">
        <f aca="false">IF($E202&lt;&gt;"产成品入库","",SUMIFS($W$6:$W202,$C$6:$C202,$C202,$D$6:$D202,$D202,$E$6:$E202,"产成品入库"))</f>
        <v/>
      </c>
    </row>
    <row r="203" customFormat="false" ht="15" hidden="false" customHeight="false" outlineLevel="0" collapsed="false">
      <c r="A203" s="53" t="str">
        <f aca="false">IF($B203="","",ROW()-5)</f>
        <v/>
      </c>
      <c r="B203" s="54"/>
      <c r="C203" s="33"/>
      <c r="D203" s="39"/>
      <c r="E203" s="33"/>
      <c r="F203" s="39"/>
      <c r="G203" s="48" t="str">
        <f aca="false">IF($F203="","",IFERROR(INDEX(商品档案!$B$6:$B$65,MATCH($F203,商品档案!$A$6:$A$65,0)),""))</f>
        <v/>
      </c>
      <c r="H203" s="55" t="str">
        <f aca="false">IF($F203="","",IFERROR(INDEX(商品档案!$D$6:$D$65,MATCH($F203,商品档案!$A$6:$A$65,0)),""))</f>
        <v/>
      </c>
      <c r="I203" s="49"/>
      <c r="J203" s="43"/>
      <c r="K203" s="41"/>
      <c r="L203" s="39"/>
      <c r="M203" s="62"/>
      <c r="N203" s="41"/>
      <c r="O203" s="41"/>
      <c r="P203" s="25" t="str">
        <f aca="false">IF(AND($B203="",$E203=""),"",IF(NOT(ISNUMBER($B203)),"日期无效",IF(ISNA(MATCH($C203,参数设置!$A$10:$A$12,0)),"公司无效",IF($D203="","缺批次号",IF(ISNA(MATCH($E203,记账规则!$A$36:$A$38,0)),"业务类型无效",IF(AND($E203&lt;&gt;"加工费用",ISNA(MATCH($F203,商品档案!$A$6:$A$65,0))),"商品编码无效",IF(AND($E203&lt;&gt;"加工费用",IFERROR(INDEX(商品档案!$E$6:$E$65,MATCH($F203,商品档案!$A$6:$A$65,0)),"")&lt;&gt;$C203),"商品不属于该公司",IF(AND($E203&lt;&gt;"加工费用",N($I203)=0),"数量为 0",IF(AND($E203="加工费用",N($J203)=0),"加工费金额为 0",IF(AND($E203="加工费用",ISNA(MATCH($K203,会计科目表!$B$6:$B$85,0))),"对方科目不存在",IF(YEAR($B203)&lt;&gt;参数设置!$B$5,"不在本会计年度","OK")))))))))))</f>
        <v/>
      </c>
      <c r="Q203" s="58" t="str">
        <f aca="false">IF($F203="","",IFERROR(INDEX(商品档案!$G$6:$G$65,MATCH($F203,商品档案!$A$6:$A$65,0)),""))</f>
        <v/>
      </c>
      <c r="R203" s="59" t="str">
        <f aca="false">IF($F203="","",SUMIFS(进销存台账!$N$6:$N$65,进销存台账!$A$6:$A$65,$C203,进销存台账!$B$6:$B$65,$F203))</f>
        <v/>
      </c>
      <c r="S203" s="60" t="n">
        <f aca="false">IF($E203="领用投入",ROUND(N($I203)*N($R203),2),IF($E203="加工费用",ROUND(N($J203),2),0))</f>
        <v>0</v>
      </c>
      <c r="T203" s="60" t="n">
        <f aca="false">IF($E203&lt;&gt;"产成品入库",0,IF(SUMIFS($W$6:$W$305,$C$6:$C$305,$C203,$D$6:$D$305,$D203,$E$6:$E$305,"产成品入库")=0,0,ROUND(SUMIFS($S$6:$S$305,$C$6:$C$305,$C203,$D$6:$D$305,$D203)*N($X203)/SUMIFS($W$6:$W$305,$C$6:$C$305,$C203,$D$6:$D$305,$D203,$E$6:$E$305,"产成品入库"),2)-ROUND(SUMIFS($S$6:$S$305,$C$6:$C$305,$C203,$D$6:$D$305,$D203)*(N($X203)-N($W203))/SUMIFS($W$6:$W$305,$C$6:$C$305,$C203,$D$6:$D$305,$D203,$E$6:$E$305,"产成品入库"),2)))</f>
        <v>0</v>
      </c>
      <c r="U203" s="57" t="str">
        <f aca="false">IF($E203="","",ROUND($S203+$T203,2))</f>
        <v/>
      </c>
      <c r="V203" s="61" t="str">
        <f aca="false">IF($B203="","",YEAR($B203))</f>
        <v/>
      </c>
      <c r="W203" s="63" t="str">
        <f aca="false">IF($E203&lt;&gt;"产成品入库","",IF(N($M203)=0,1,N($M203)))</f>
        <v/>
      </c>
      <c r="X203" s="63" t="str">
        <f aca="false">IF($E203&lt;&gt;"产成品入库","",SUMIFS($W$6:$W203,$C$6:$C203,$C203,$D$6:$D203,$D203,$E$6:$E203,"产成品入库"))</f>
        <v/>
      </c>
    </row>
    <row r="204" customFormat="false" ht="15" hidden="false" customHeight="false" outlineLevel="0" collapsed="false">
      <c r="A204" s="53" t="str">
        <f aca="false">IF($B204="","",ROW()-5)</f>
        <v/>
      </c>
      <c r="B204" s="54"/>
      <c r="C204" s="33"/>
      <c r="D204" s="39"/>
      <c r="E204" s="33"/>
      <c r="F204" s="39"/>
      <c r="G204" s="48" t="str">
        <f aca="false">IF($F204="","",IFERROR(INDEX(商品档案!$B$6:$B$65,MATCH($F204,商品档案!$A$6:$A$65,0)),""))</f>
        <v/>
      </c>
      <c r="H204" s="55" t="str">
        <f aca="false">IF($F204="","",IFERROR(INDEX(商品档案!$D$6:$D$65,MATCH($F204,商品档案!$A$6:$A$65,0)),""))</f>
        <v/>
      </c>
      <c r="I204" s="49"/>
      <c r="J204" s="43"/>
      <c r="K204" s="41"/>
      <c r="L204" s="39"/>
      <c r="M204" s="62"/>
      <c r="N204" s="41"/>
      <c r="O204" s="41"/>
      <c r="P204" s="25" t="str">
        <f aca="false">IF(AND($B204="",$E204=""),"",IF(NOT(ISNUMBER($B204)),"日期无效",IF(ISNA(MATCH($C204,参数设置!$A$10:$A$12,0)),"公司无效",IF($D204="","缺批次号",IF(ISNA(MATCH($E204,记账规则!$A$36:$A$38,0)),"业务类型无效",IF(AND($E204&lt;&gt;"加工费用",ISNA(MATCH($F204,商品档案!$A$6:$A$65,0))),"商品编码无效",IF(AND($E204&lt;&gt;"加工费用",IFERROR(INDEX(商品档案!$E$6:$E$65,MATCH($F204,商品档案!$A$6:$A$65,0)),"")&lt;&gt;$C204),"商品不属于该公司",IF(AND($E204&lt;&gt;"加工费用",N($I204)=0),"数量为 0",IF(AND($E204="加工费用",N($J204)=0),"加工费金额为 0",IF(AND($E204="加工费用",ISNA(MATCH($K204,会计科目表!$B$6:$B$85,0))),"对方科目不存在",IF(YEAR($B204)&lt;&gt;参数设置!$B$5,"不在本会计年度","OK")))))))))))</f>
        <v/>
      </c>
      <c r="Q204" s="58" t="str">
        <f aca="false">IF($F204="","",IFERROR(INDEX(商品档案!$G$6:$G$65,MATCH($F204,商品档案!$A$6:$A$65,0)),""))</f>
        <v/>
      </c>
      <c r="R204" s="59" t="str">
        <f aca="false">IF($F204="","",SUMIFS(进销存台账!$N$6:$N$65,进销存台账!$A$6:$A$65,$C204,进销存台账!$B$6:$B$65,$F204))</f>
        <v/>
      </c>
      <c r="S204" s="60" t="n">
        <f aca="false">IF($E204="领用投入",ROUND(N($I204)*N($R204),2),IF($E204="加工费用",ROUND(N($J204),2),0))</f>
        <v>0</v>
      </c>
      <c r="T204" s="60" t="n">
        <f aca="false">IF($E204&lt;&gt;"产成品入库",0,IF(SUMIFS($W$6:$W$305,$C$6:$C$305,$C204,$D$6:$D$305,$D204,$E$6:$E$305,"产成品入库")=0,0,ROUND(SUMIFS($S$6:$S$305,$C$6:$C$305,$C204,$D$6:$D$305,$D204)*N($X204)/SUMIFS($W$6:$W$305,$C$6:$C$305,$C204,$D$6:$D$305,$D204,$E$6:$E$305,"产成品入库"),2)-ROUND(SUMIFS($S$6:$S$305,$C$6:$C$305,$C204,$D$6:$D$305,$D204)*(N($X204)-N($W204))/SUMIFS($W$6:$W$305,$C$6:$C$305,$C204,$D$6:$D$305,$D204,$E$6:$E$305,"产成品入库"),2)))</f>
        <v>0</v>
      </c>
      <c r="U204" s="57" t="str">
        <f aca="false">IF($E204="","",ROUND($S204+$T204,2))</f>
        <v/>
      </c>
      <c r="V204" s="61" t="str">
        <f aca="false">IF($B204="","",YEAR($B204))</f>
        <v/>
      </c>
      <c r="W204" s="63" t="str">
        <f aca="false">IF($E204&lt;&gt;"产成品入库","",IF(N($M204)=0,1,N($M204)))</f>
        <v/>
      </c>
      <c r="X204" s="63" t="str">
        <f aca="false">IF($E204&lt;&gt;"产成品入库","",SUMIFS($W$6:$W204,$C$6:$C204,$C204,$D$6:$D204,$D204,$E$6:$E204,"产成品入库"))</f>
        <v/>
      </c>
    </row>
    <row r="205" customFormat="false" ht="15" hidden="false" customHeight="false" outlineLevel="0" collapsed="false">
      <c r="A205" s="53" t="str">
        <f aca="false">IF($B205="","",ROW()-5)</f>
        <v/>
      </c>
      <c r="B205" s="54"/>
      <c r="C205" s="33"/>
      <c r="D205" s="39"/>
      <c r="E205" s="33"/>
      <c r="F205" s="39"/>
      <c r="G205" s="48" t="str">
        <f aca="false">IF($F205="","",IFERROR(INDEX(商品档案!$B$6:$B$65,MATCH($F205,商品档案!$A$6:$A$65,0)),""))</f>
        <v/>
      </c>
      <c r="H205" s="55" t="str">
        <f aca="false">IF($F205="","",IFERROR(INDEX(商品档案!$D$6:$D$65,MATCH($F205,商品档案!$A$6:$A$65,0)),""))</f>
        <v/>
      </c>
      <c r="I205" s="49"/>
      <c r="J205" s="43"/>
      <c r="K205" s="41"/>
      <c r="L205" s="39"/>
      <c r="M205" s="62"/>
      <c r="N205" s="41"/>
      <c r="O205" s="41"/>
      <c r="P205" s="25" t="str">
        <f aca="false">IF(AND($B205="",$E205=""),"",IF(NOT(ISNUMBER($B205)),"日期无效",IF(ISNA(MATCH($C205,参数设置!$A$10:$A$12,0)),"公司无效",IF($D205="","缺批次号",IF(ISNA(MATCH($E205,记账规则!$A$36:$A$38,0)),"业务类型无效",IF(AND($E205&lt;&gt;"加工费用",ISNA(MATCH($F205,商品档案!$A$6:$A$65,0))),"商品编码无效",IF(AND($E205&lt;&gt;"加工费用",IFERROR(INDEX(商品档案!$E$6:$E$65,MATCH($F205,商品档案!$A$6:$A$65,0)),"")&lt;&gt;$C205),"商品不属于该公司",IF(AND($E205&lt;&gt;"加工费用",N($I205)=0),"数量为 0",IF(AND($E205="加工费用",N($J205)=0),"加工费金额为 0",IF(AND($E205="加工费用",ISNA(MATCH($K205,会计科目表!$B$6:$B$85,0))),"对方科目不存在",IF(YEAR($B205)&lt;&gt;参数设置!$B$5,"不在本会计年度","OK")))))))))))</f>
        <v/>
      </c>
      <c r="Q205" s="58" t="str">
        <f aca="false">IF($F205="","",IFERROR(INDEX(商品档案!$G$6:$G$65,MATCH($F205,商品档案!$A$6:$A$65,0)),""))</f>
        <v/>
      </c>
      <c r="R205" s="59" t="str">
        <f aca="false">IF($F205="","",SUMIFS(进销存台账!$N$6:$N$65,进销存台账!$A$6:$A$65,$C205,进销存台账!$B$6:$B$65,$F205))</f>
        <v/>
      </c>
      <c r="S205" s="60" t="n">
        <f aca="false">IF($E205="领用投入",ROUND(N($I205)*N($R205),2),IF($E205="加工费用",ROUND(N($J205),2),0))</f>
        <v>0</v>
      </c>
      <c r="T205" s="60" t="n">
        <f aca="false">IF($E205&lt;&gt;"产成品入库",0,IF(SUMIFS($W$6:$W$305,$C$6:$C$305,$C205,$D$6:$D$305,$D205,$E$6:$E$305,"产成品入库")=0,0,ROUND(SUMIFS($S$6:$S$305,$C$6:$C$305,$C205,$D$6:$D$305,$D205)*N($X205)/SUMIFS($W$6:$W$305,$C$6:$C$305,$C205,$D$6:$D$305,$D205,$E$6:$E$305,"产成品入库"),2)-ROUND(SUMIFS($S$6:$S$305,$C$6:$C$305,$C205,$D$6:$D$305,$D205)*(N($X205)-N($W205))/SUMIFS($W$6:$W$305,$C$6:$C$305,$C205,$D$6:$D$305,$D205,$E$6:$E$305,"产成品入库"),2)))</f>
        <v>0</v>
      </c>
      <c r="U205" s="57" t="str">
        <f aca="false">IF($E205="","",ROUND($S205+$T205,2))</f>
        <v/>
      </c>
      <c r="V205" s="61" t="str">
        <f aca="false">IF($B205="","",YEAR($B205))</f>
        <v/>
      </c>
      <c r="W205" s="63" t="str">
        <f aca="false">IF($E205&lt;&gt;"产成品入库","",IF(N($M205)=0,1,N($M205)))</f>
        <v/>
      </c>
      <c r="X205" s="63" t="str">
        <f aca="false">IF($E205&lt;&gt;"产成品入库","",SUMIFS($W$6:$W205,$C$6:$C205,$C205,$D$6:$D205,$D205,$E$6:$E205,"产成品入库"))</f>
        <v/>
      </c>
    </row>
    <row r="206" customFormat="false" ht="15" hidden="false" customHeight="false" outlineLevel="0" collapsed="false">
      <c r="A206" s="53" t="str">
        <f aca="false">IF($B206="","",ROW()-5)</f>
        <v/>
      </c>
      <c r="B206" s="54"/>
      <c r="C206" s="33"/>
      <c r="D206" s="39"/>
      <c r="E206" s="33"/>
      <c r="F206" s="39"/>
      <c r="G206" s="48" t="str">
        <f aca="false">IF($F206="","",IFERROR(INDEX(商品档案!$B$6:$B$65,MATCH($F206,商品档案!$A$6:$A$65,0)),""))</f>
        <v/>
      </c>
      <c r="H206" s="55" t="str">
        <f aca="false">IF($F206="","",IFERROR(INDEX(商品档案!$D$6:$D$65,MATCH($F206,商品档案!$A$6:$A$65,0)),""))</f>
        <v/>
      </c>
      <c r="I206" s="49"/>
      <c r="J206" s="43"/>
      <c r="K206" s="41"/>
      <c r="L206" s="39"/>
      <c r="M206" s="62"/>
      <c r="N206" s="41"/>
      <c r="O206" s="41"/>
      <c r="P206" s="25" t="str">
        <f aca="false">IF(AND($B206="",$E206=""),"",IF(NOT(ISNUMBER($B206)),"日期无效",IF(ISNA(MATCH($C206,参数设置!$A$10:$A$12,0)),"公司无效",IF($D206="","缺批次号",IF(ISNA(MATCH($E206,记账规则!$A$36:$A$38,0)),"业务类型无效",IF(AND($E206&lt;&gt;"加工费用",ISNA(MATCH($F206,商品档案!$A$6:$A$65,0))),"商品编码无效",IF(AND($E206&lt;&gt;"加工费用",IFERROR(INDEX(商品档案!$E$6:$E$65,MATCH($F206,商品档案!$A$6:$A$65,0)),"")&lt;&gt;$C206),"商品不属于该公司",IF(AND($E206&lt;&gt;"加工费用",N($I206)=0),"数量为 0",IF(AND($E206="加工费用",N($J206)=0),"加工费金额为 0",IF(AND($E206="加工费用",ISNA(MATCH($K206,会计科目表!$B$6:$B$85,0))),"对方科目不存在",IF(YEAR($B206)&lt;&gt;参数设置!$B$5,"不在本会计年度","OK")))))))))))</f>
        <v/>
      </c>
      <c r="Q206" s="58" t="str">
        <f aca="false">IF($F206="","",IFERROR(INDEX(商品档案!$G$6:$G$65,MATCH($F206,商品档案!$A$6:$A$65,0)),""))</f>
        <v/>
      </c>
      <c r="R206" s="59" t="str">
        <f aca="false">IF($F206="","",SUMIFS(进销存台账!$N$6:$N$65,进销存台账!$A$6:$A$65,$C206,进销存台账!$B$6:$B$65,$F206))</f>
        <v/>
      </c>
      <c r="S206" s="60" t="n">
        <f aca="false">IF($E206="领用投入",ROUND(N($I206)*N($R206),2),IF($E206="加工费用",ROUND(N($J206),2),0))</f>
        <v>0</v>
      </c>
      <c r="T206" s="60" t="n">
        <f aca="false">IF($E206&lt;&gt;"产成品入库",0,IF(SUMIFS($W$6:$W$305,$C$6:$C$305,$C206,$D$6:$D$305,$D206,$E$6:$E$305,"产成品入库")=0,0,ROUND(SUMIFS($S$6:$S$305,$C$6:$C$305,$C206,$D$6:$D$305,$D206)*N($X206)/SUMIFS($W$6:$W$305,$C$6:$C$305,$C206,$D$6:$D$305,$D206,$E$6:$E$305,"产成品入库"),2)-ROUND(SUMIFS($S$6:$S$305,$C$6:$C$305,$C206,$D$6:$D$305,$D206)*(N($X206)-N($W206))/SUMIFS($W$6:$W$305,$C$6:$C$305,$C206,$D$6:$D$305,$D206,$E$6:$E$305,"产成品入库"),2)))</f>
        <v>0</v>
      </c>
      <c r="U206" s="57" t="str">
        <f aca="false">IF($E206="","",ROUND($S206+$T206,2))</f>
        <v/>
      </c>
      <c r="V206" s="61" t="str">
        <f aca="false">IF($B206="","",YEAR($B206))</f>
        <v/>
      </c>
      <c r="W206" s="63" t="str">
        <f aca="false">IF($E206&lt;&gt;"产成品入库","",IF(N($M206)=0,1,N($M206)))</f>
        <v/>
      </c>
      <c r="X206" s="63" t="str">
        <f aca="false">IF($E206&lt;&gt;"产成品入库","",SUMIFS($W$6:$W206,$C$6:$C206,$C206,$D$6:$D206,$D206,$E$6:$E206,"产成品入库"))</f>
        <v/>
      </c>
    </row>
    <row r="207" customFormat="false" ht="15" hidden="false" customHeight="false" outlineLevel="0" collapsed="false">
      <c r="A207" s="53" t="str">
        <f aca="false">IF($B207="","",ROW()-5)</f>
        <v/>
      </c>
      <c r="B207" s="54"/>
      <c r="C207" s="33"/>
      <c r="D207" s="39"/>
      <c r="E207" s="33"/>
      <c r="F207" s="39"/>
      <c r="G207" s="48" t="str">
        <f aca="false">IF($F207="","",IFERROR(INDEX(商品档案!$B$6:$B$65,MATCH($F207,商品档案!$A$6:$A$65,0)),""))</f>
        <v/>
      </c>
      <c r="H207" s="55" t="str">
        <f aca="false">IF($F207="","",IFERROR(INDEX(商品档案!$D$6:$D$65,MATCH($F207,商品档案!$A$6:$A$65,0)),""))</f>
        <v/>
      </c>
      <c r="I207" s="49"/>
      <c r="J207" s="43"/>
      <c r="K207" s="41"/>
      <c r="L207" s="39"/>
      <c r="M207" s="62"/>
      <c r="N207" s="41"/>
      <c r="O207" s="41"/>
      <c r="P207" s="25" t="str">
        <f aca="false">IF(AND($B207="",$E207=""),"",IF(NOT(ISNUMBER($B207)),"日期无效",IF(ISNA(MATCH($C207,参数设置!$A$10:$A$12,0)),"公司无效",IF($D207="","缺批次号",IF(ISNA(MATCH($E207,记账规则!$A$36:$A$38,0)),"业务类型无效",IF(AND($E207&lt;&gt;"加工费用",ISNA(MATCH($F207,商品档案!$A$6:$A$65,0))),"商品编码无效",IF(AND($E207&lt;&gt;"加工费用",IFERROR(INDEX(商品档案!$E$6:$E$65,MATCH($F207,商品档案!$A$6:$A$65,0)),"")&lt;&gt;$C207),"商品不属于该公司",IF(AND($E207&lt;&gt;"加工费用",N($I207)=0),"数量为 0",IF(AND($E207="加工费用",N($J207)=0),"加工费金额为 0",IF(AND($E207="加工费用",ISNA(MATCH($K207,会计科目表!$B$6:$B$85,0))),"对方科目不存在",IF(YEAR($B207)&lt;&gt;参数设置!$B$5,"不在本会计年度","OK")))))))))))</f>
        <v/>
      </c>
      <c r="Q207" s="58" t="str">
        <f aca="false">IF($F207="","",IFERROR(INDEX(商品档案!$G$6:$G$65,MATCH($F207,商品档案!$A$6:$A$65,0)),""))</f>
        <v/>
      </c>
      <c r="R207" s="59" t="str">
        <f aca="false">IF($F207="","",SUMIFS(进销存台账!$N$6:$N$65,进销存台账!$A$6:$A$65,$C207,进销存台账!$B$6:$B$65,$F207))</f>
        <v/>
      </c>
      <c r="S207" s="60" t="n">
        <f aca="false">IF($E207="领用投入",ROUND(N($I207)*N($R207),2),IF($E207="加工费用",ROUND(N($J207),2),0))</f>
        <v>0</v>
      </c>
      <c r="T207" s="60" t="n">
        <f aca="false">IF($E207&lt;&gt;"产成品入库",0,IF(SUMIFS($W$6:$W$305,$C$6:$C$305,$C207,$D$6:$D$305,$D207,$E$6:$E$305,"产成品入库")=0,0,ROUND(SUMIFS($S$6:$S$305,$C$6:$C$305,$C207,$D$6:$D$305,$D207)*N($X207)/SUMIFS($W$6:$W$305,$C$6:$C$305,$C207,$D$6:$D$305,$D207,$E$6:$E$305,"产成品入库"),2)-ROUND(SUMIFS($S$6:$S$305,$C$6:$C$305,$C207,$D$6:$D$305,$D207)*(N($X207)-N($W207))/SUMIFS($W$6:$W$305,$C$6:$C$305,$C207,$D$6:$D$305,$D207,$E$6:$E$305,"产成品入库"),2)))</f>
        <v>0</v>
      </c>
      <c r="U207" s="57" t="str">
        <f aca="false">IF($E207="","",ROUND($S207+$T207,2))</f>
        <v/>
      </c>
      <c r="V207" s="61" t="str">
        <f aca="false">IF($B207="","",YEAR($B207))</f>
        <v/>
      </c>
      <c r="W207" s="63" t="str">
        <f aca="false">IF($E207&lt;&gt;"产成品入库","",IF(N($M207)=0,1,N($M207)))</f>
        <v/>
      </c>
      <c r="X207" s="63" t="str">
        <f aca="false">IF($E207&lt;&gt;"产成品入库","",SUMIFS($W$6:$W207,$C$6:$C207,$C207,$D$6:$D207,$D207,$E$6:$E207,"产成品入库"))</f>
        <v/>
      </c>
    </row>
    <row r="208" customFormat="false" ht="15" hidden="false" customHeight="false" outlineLevel="0" collapsed="false">
      <c r="A208" s="53" t="str">
        <f aca="false">IF($B208="","",ROW()-5)</f>
        <v/>
      </c>
      <c r="B208" s="54"/>
      <c r="C208" s="33"/>
      <c r="D208" s="39"/>
      <c r="E208" s="33"/>
      <c r="F208" s="39"/>
      <c r="G208" s="48" t="str">
        <f aca="false">IF($F208="","",IFERROR(INDEX(商品档案!$B$6:$B$65,MATCH($F208,商品档案!$A$6:$A$65,0)),""))</f>
        <v/>
      </c>
      <c r="H208" s="55" t="str">
        <f aca="false">IF($F208="","",IFERROR(INDEX(商品档案!$D$6:$D$65,MATCH($F208,商品档案!$A$6:$A$65,0)),""))</f>
        <v/>
      </c>
      <c r="I208" s="49"/>
      <c r="J208" s="43"/>
      <c r="K208" s="41"/>
      <c r="L208" s="39"/>
      <c r="M208" s="62"/>
      <c r="N208" s="41"/>
      <c r="O208" s="41"/>
      <c r="P208" s="25" t="str">
        <f aca="false">IF(AND($B208="",$E208=""),"",IF(NOT(ISNUMBER($B208)),"日期无效",IF(ISNA(MATCH($C208,参数设置!$A$10:$A$12,0)),"公司无效",IF($D208="","缺批次号",IF(ISNA(MATCH($E208,记账规则!$A$36:$A$38,0)),"业务类型无效",IF(AND($E208&lt;&gt;"加工费用",ISNA(MATCH($F208,商品档案!$A$6:$A$65,0))),"商品编码无效",IF(AND($E208&lt;&gt;"加工费用",IFERROR(INDEX(商品档案!$E$6:$E$65,MATCH($F208,商品档案!$A$6:$A$65,0)),"")&lt;&gt;$C208),"商品不属于该公司",IF(AND($E208&lt;&gt;"加工费用",N($I208)=0),"数量为 0",IF(AND($E208="加工费用",N($J208)=0),"加工费金额为 0",IF(AND($E208="加工费用",ISNA(MATCH($K208,会计科目表!$B$6:$B$85,0))),"对方科目不存在",IF(YEAR($B208)&lt;&gt;参数设置!$B$5,"不在本会计年度","OK")))))))))))</f>
        <v/>
      </c>
      <c r="Q208" s="58" t="str">
        <f aca="false">IF($F208="","",IFERROR(INDEX(商品档案!$G$6:$G$65,MATCH($F208,商品档案!$A$6:$A$65,0)),""))</f>
        <v/>
      </c>
      <c r="R208" s="59" t="str">
        <f aca="false">IF($F208="","",SUMIFS(进销存台账!$N$6:$N$65,进销存台账!$A$6:$A$65,$C208,进销存台账!$B$6:$B$65,$F208))</f>
        <v/>
      </c>
      <c r="S208" s="60" t="n">
        <f aca="false">IF($E208="领用投入",ROUND(N($I208)*N($R208),2),IF($E208="加工费用",ROUND(N($J208),2),0))</f>
        <v>0</v>
      </c>
      <c r="T208" s="60" t="n">
        <f aca="false">IF($E208&lt;&gt;"产成品入库",0,IF(SUMIFS($W$6:$W$305,$C$6:$C$305,$C208,$D$6:$D$305,$D208,$E$6:$E$305,"产成品入库")=0,0,ROUND(SUMIFS($S$6:$S$305,$C$6:$C$305,$C208,$D$6:$D$305,$D208)*N($X208)/SUMIFS($W$6:$W$305,$C$6:$C$305,$C208,$D$6:$D$305,$D208,$E$6:$E$305,"产成品入库"),2)-ROUND(SUMIFS($S$6:$S$305,$C$6:$C$305,$C208,$D$6:$D$305,$D208)*(N($X208)-N($W208))/SUMIFS($W$6:$W$305,$C$6:$C$305,$C208,$D$6:$D$305,$D208,$E$6:$E$305,"产成品入库"),2)))</f>
        <v>0</v>
      </c>
      <c r="U208" s="57" t="str">
        <f aca="false">IF($E208="","",ROUND($S208+$T208,2))</f>
        <v/>
      </c>
      <c r="V208" s="61" t="str">
        <f aca="false">IF($B208="","",YEAR($B208))</f>
        <v/>
      </c>
      <c r="W208" s="63" t="str">
        <f aca="false">IF($E208&lt;&gt;"产成品入库","",IF(N($M208)=0,1,N($M208)))</f>
        <v/>
      </c>
      <c r="X208" s="63" t="str">
        <f aca="false">IF($E208&lt;&gt;"产成品入库","",SUMIFS($W$6:$W208,$C$6:$C208,$C208,$D$6:$D208,$D208,$E$6:$E208,"产成品入库"))</f>
        <v/>
      </c>
    </row>
    <row r="209" customFormat="false" ht="15" hidden="false" customHeight="false" outlineLevel="0" collapsed="false">
      <c r="A209" s="53" t="str">
        <f aca="false">IF($B209="","",ROW()-5)</f>
        <v/>
      </c>
      <c r="B209" s="54"/>
      <c r="C209" s="33"/>
      <c r="D209" s="39"/>
      <c r="E209" s="33"/>
      <c r="F209" s="39"/>
      <c r="G209" s="48" t="str">
        <f aca="false">IF($F209="","",IFERROR(INDEX(商品档案!$B$6:$B$65,MATCH($F209,商品档案!$A$6:$A$65,0)),""))</f>
        <v/>
      </c>
      <c r="H209" s="55" t="str">
        <f aca="false">IF($F209="","",IFERROR(INDEX(商品档案!$D$6:$D$65,MATCH($F209,商品档案!$A$6:$A$65,0)),""))</f>
        <v/>
      </c>
      <c r="I209" s="49"/>
      <c r="J209" s="43"/>
      <c r="K209" s="41"/>
      <c r="L209" s="39"/>
      <c r="M209" s="62"/>
      <c r="N209" s="41"/>
      <c r="O209" s="41"/>
      <c r="P209" s="25" t="str">
        <f aca="false">IF(AND($B209="",$E209=""),"",IF(NOT(ISNUMBER($B209)),"日期无效",IF(ISNA(MATCH($C209,参数设置!$A$10:$A$12,0)),"公司无效",IF($D209="","缺批次号",IF(ISNA(MATCH($E209,记账规则!$A$36:$A$38,0)),"业务类型无效",IF(AND($E209&lt;&gt;"加工费用",ISNA(MATCH($F209,商品档案!$A$6:$A$65,0))),"商品编码无效",IF(AND($E209&lt;&gt;"加工费用",IFERROR(INDEX(商品档案!$E$6:$E$65,MATCH($F209,商品档案!$A$6:$A$65,0)),"")&lt;&gt;$C209),"商品不属于该公司",IF(AND($E209&lt;&gt;"加工费用",N($I209)=0),"数量为 0",IF(AND($E209="加工费用",N($J209)=0),"加工费金额为 0",IF(AND($E209="加工费用",ISNA(MATCH($K209,会计科目表!$B$6:$B$85,0))),"对方科目不存在",IF(YEAR($B209)&lt;&gt;参数设置!$B$5,"不在本会计年度","OK")))))))))))</f>
        <v/>
      </c>
      <c r="Q209" s="58" t="str">
        <f aca="false">IF($F209="","",IFERROR(INDEX(商品档案!$G$6:$G$65,MATCH($F209,商品档案!$A$6:$A$65,0)),""))</f>
        <v/>
      </c>
      <c r="R209" s="59" t="str">
        <f aca="false">IF($F209="","",SUMIFS(进销存台账!$N$6:$N$65,进销存台账!$A$6:$A$65,$C209,进销存台账!$B$6:$B$65,$F209))</f>
        <v/>
      </c>
      <c r="S209" s="60" t="n">
        <f aca="false">IF($E209="领用投入",ROUND(N($I209)*N($R209),2),IF($E209="加工费用",ROUND(N($J209),2),0))</f>
        <v>0</v>
      </c>
      <c r="T209" s="60" t="n">
        <f aca="false">IF($E209&lt;&gt;"产成品入库",0,IF(SUMIFS($W$6:$W$305,$C$6:$C$305,$C209,$D$6:$D$305,$D209,$E$6:$E$305,"产成品入库")=0,0,ROUND(SUMIFS($S$6:$S$305,$C$6:$C$305,$C209,$D$6:$D$305,$D209)*N($X209)/SUMIFS($W$6:$W$305,$C$6:$C$305,$C209,$D$6:$D$305,$D209,$E$6:$E$305,"产成品入库"),2)-ROUND(SUMIFS($S$6:$S$305,$C$6:$C$305,$C209,$D$6:$D$305,$D209)*(N($X209)-N($W209))/SUMIFS($W$6:$W$305,$C$6:$C$305,$C209,$D$6:$D$305,$D209,$E$6:$E$305,"产成品入库"),2)))</f>
        <v>0</v>
      </c>
      <c r="U209" s="57" t="str">
        <f aca="false">IF($E209="","",ROUND($S209+$T209,2))</f>
        <v/>
      </c>
      <c r="V209" s="61" t="str">
        <f aca="false">IF($B209="","",YEAR($B209))</f>
        <v/>
      </c>
      <c r="W209" s="63" t="str">
        <f aca="false">IF($E209&lt;&gt;"产成品入库","",IF(N($M209)=0,1,N($M209)))</f>
        <v/>
      </c>
      <c r="X209" s="63" t="str">
        <f aca="false">IF($E209&lt;&gt;"产成品入库","",SUMIFS($W$6:$W209,$C$6:$C209,$C209,$D$6:$D209,$D209,$E$6:$E209,"产成品入库"))</f>
        <v/>
      </c>
    </row>
    <row r="210" customFormat="false" ht="15" hidden="false" customHeight="false" outlineLevel="0" collapsed="false">
      <c r="A210" s="53" t="str">
        <f aca="false">IF($B210="","",ROW()-5)</f>
        <v/>
      </c>
      <c r="B210" s="54"/>
      <c r="C210" s="33"/>
      <c r="D210" s="39"/>
      <c r="E210" s="33"/>
      <c r="F210" s="39"/>
      <c r="G210" s="48" t="str">
        <f aca="false">IF($F210="","",IFERROR(INDEX(商品档案!$B$6:$B$65,MATCH($F210,商品档案!$A$6:$A$65,0)),""))</f>
        <v/>
      </c>
      <c r="H210" s="55" t="str">
        <f aca="false">IF($F210="","",IFERROR(INDEX(商品档案!$D$6:$D$65,MATCH($F210,商品档案!$A$6:$A$65,0)),""))</f>
        <v/>
      </c>
      <c r="I210" s="49"/>
      <c r="J210" s="43"/>
      <c r="K210" s="41"/>
      <c r="L210" s="39"/>
      <c r="M210" s="62"/>
      <c r="N210" s="41"/>
      <c r="O210" s="41"/>
      <c r="P210" s="25" t="str">
        <f aca="false">IF(AND($B210="",$E210=""),"",IF(NOT(ISNUMBER($B210)),"日期无效",IF(ISNA(MATCH($C210,参数设置!$A$10:$A$12,0)),"公司无效",IF($D210="","缺批次号",IF(ISNA(MATCH($E210,记账规则!$A$36:$A$38,0)),"业务类型无效",IF(AND($E210&lt;&gt;"加工费用",ISNA(MATCH($F210,商品档案!$A$6:$A$65,0))),"商品编码无效",IF(AND($E210&lt;&gt;"加工费用",IFERROR(INDEX(商品档案!$E$6:$E$65,MATCH($F210,商品档案!$A$6:$A$65,0)),"")&lt;&gt;$C210),"商品不属于该公司",IF(AND($E210&lt;&gt;"加工费用",N($I210)=0),"数量为 0",IF(AND($E210="加工费用",N($J210)=0),"加工费金额为 0",IF(AND($E210="加工费用",ISNA(MATCH($K210,会计科目表!$B$6:$B$85,0))),"对方科目不存在",IF(YEAR($B210)&lt;&gt;参数设置!$B$5,"不在本会计年度","OK")))))))))))</f>
        <v/>
      </c>
      <c r="Q210" s="58" t="str">
        <f aca="false">IF($F210="","",IFERROR(INDEX(商品档案!$G$6:$G$65,MATCH($F210,商品档案!$A$6:$A$65,0)),""))</f>
        <v/>
      </c>
      <c r="R210" s="59" t="str">
        <f aca="false">IF($F210="","",SUMIFS(进销存台账!$N$6:$N$65,进销存台账!$A$6:$A$65,$C210,进销存台账!$B$6:$B$65,$F210))</f>
        <v/>
      </c>
      <c r="S210" s="60" t="n">
        <f aca="false">IF($E210="领用投入",ROUND(N($I210)*N($R210),2),IF($E210="加工费用",ROUND(N($J210),2),0))</f>
        <v>0</v>
      </c>
      <c r="T210" s="60" t="n">
        <f aca="false">IF($E210&lt;&gt;"产成品入库",0,IF(SUMIFS($W$6:$W$305,$C$6:$C$305,$C210,$D$6:$D$305,$D210,$E$6:$E$305,"产成品入库")=0,0,ROUND(SUMIFS($S$6:$S$305,$C$6:$C$305,$C210,$D$6:$D$305,$D210)*N($X210)/SUMIFS($W$6:$W$305,$C$6:$C$305,$C210,$D$6:$D$305,$D210,$E$6:$E$305,"产成品入库"),2)-ROUND(SUMIFS($S$6:$S$305,$C$6:$C$305,$C210,$D$6:$D$305,$D210)*(N($X210)-N($W210))/SUMIFS($W$6:$W$305,$C$6:$C$305,$C210,$D$6:$D$305,$D210,$E$6:$E$305,"产成品入库"),2)))</f>
        <v>0</v>
      </c>
      <c r="U210" s="57" t="str">
        <f aca="false">IF($E210="","",ROUND($S210+$T210,2))</f>
        <v/>
      </c>
      <c r="V210" s="61" t="str">
        <f aca="false">IF($B210="","",YEAR($B210))</f>
        <v/>
      </c>
      <c r="W210" s="63" t="str">
        <f aca="false">IF($E210&lt;&gt;"产成品入库","",IF(N($M210)=0,1,N($M210)))</f>
        <v/>
      </c>
      <c r="X210" s="63" t="str">
        <f aca="false">IF($E210&lt;&gt;"产成品入库","",SUMIFS($W$6:$W210,$C$6:$C210,$C210,$D$6:$D210,$D210,$E$6:$E210,"产成品入库"))</f>
        <v/>
      </c>
    </row>
    <row r="211" customFormat="false" ht="15" hidden="false" customHeight="false" outlineLevel="0" collapsed="false">
      <c r="A211" s="53" t="str">
        <f aca="false">IF($B211="","",ROW()-5)</f>
        <v/>
      </c>
      <c r="B211" s="54"/>
      <c r="C211" s="33"/>
      <c r="D211" s="39"/>
      <c r="E211" s="33"/>
      <c r="F211" s="39"/>
      <c r="G211" s="48" t="str">
        <f aca="false">IF($F211="","",IFERROR(INDEX(商品档案!$B$6:$B$65,MATCH($F211,商品档案!$A$6:$A$65,0)),""))</f>
        <v/>
      </c>
      <c r="H211" s="55" t="str">
        <f aca="false">IF($F211="","",IFERROR(INDEX(商品档案!$D$6:$D$65,MATCH($F211,商品档案!$A$6:$A$65,0)),""))</f>
        <v/>
      </c>
      <c r="I211" s="49"/>
      <c r="J211" s="43"/>
      <c r="K211" s="41"/>
      <c r="L211" s="39"/>
      <c r="M211" s="62"/>
      <c r="N211" s="41"/>
      <c r="O211" s="41"/>
      <c r="P211" s="25" t="str">
        <f aca="false">IF(AND($B211="",$E211=""),"",IF(NOT(ISNUMBER($B211)),"日期无效",IF(ISNA(MATCH($C211,参数设置!$A$10:$A$12,0)),"公司无效",IF($D211="","缺批次号",IF(ISNA(MATCH($E211,记账规则!$A$36:$A$38,0)),"业务类型无效",IF(AND($E211&lt;&gt;"加工费用",ISNA(MATCH($F211,商品档案!$A$6:$A$65,0))),"商品编码无效",IF(AND($E211&lt;&gt;"加工费用",IFERROR(INDEX(商品档案!$E$6:$E$65,MATCH($F211,商品档案!$A$6:$A$65,0)),"")&lt;&gt;$C211),"商品不属于该公司",IF(AND($E211&lt;&gt;"加工费用",N($I211)=0),"数量为 0",IF(AND($E211="加工费用",N($J211)=0),"加工费金额为 0",IF(AND($E211="加工费用",ISNA(MATCH($K211,会计科目表!$B$6:$B$85,0))),"对方科目不存在",IF(YEAR($B211)&lt;&gt;参数设置!$B$5,"不在本会计年度","OK")))))))))))</f>
        <v/>
      </c>
      <c r="Q211" s="58" t="str">
        <f aca="false">IF($F211="","",IFERROR(INDEX(商品档案!$G$6:$G$65,MATCH($F211,商品档案!$A$6:$A$65,0)),""))</f>
        <v/>
      </c>
      <c r="R211" s="59" t="str">
        <f aca="false">IF($F211="","",SUMIFS(进销存台账!$N$6:$N$65,进销存台账!$A$6:$A$65,$C211,进销存台账!$B$6:$B$65,$F211))</f>
        <v/>
      </c>
      <c r="S211" s="60" t="n">
        <f aca="false">IF($E211="领用投入",ROUND(N($I211)*N($R211),2),IF($E211="加工费用",ROUND(N($J211),2),0))</f>
        <v>0</v>
      </c>
      <c r="T211" s="60" t="n">
        <f aca="false">IF($E211&lt;&gt;"产成品入库",0,IF(SUMIFS($W$6:$W$305,$C$6:$C$305,$C211,$D$6:$D$305,$D211,$E$6:$E$305,"产成品入库")=0,0,ROUND(SUMIFS($S$6:$S$305,$C$6:$C$305,$C211,$D$6:$D$305,$D211)*N($X211)/SUMIFS($W$6:$W$305,$C$6:$C$305,$C211,$D$6:$D$305,$D211,$E$6:$E$305,"产成品入库"),2)-ROUND(SUMIFS($S$6:$S$305,$C$6:$C$305,$C211,$D$6:$D$305,$D211)*(N($X211)-N($W211))/SUMIFS($W$6:$W$305,$C$6:$C$305,$C211,$D$6:$D$305,$D211,$E$6:$E$305,"产成品入库"),2)))</f>
        <v>0</v>
      </c>
      <c r="U211" s="57" t="str">
        <f aca="false">IF($E211="","",ROUND($S211+$T211,2))</f>
        <v/>
      </c>
      <c r="V211" s="61" t="str">
        <f aca="false">IF($B211="","",YEAR($B211))</f>
        <v/>
      </c>
      <c r="W211" s="63" t="str">
        <f aca="false">IF($E211&lt;&gt;"产成品入库","",IF(N($M211)=0,1,N($M211)))</f>
        <v/>
      </c>
      <c r="X211" s="63" t="str">
        <f aca="false">IF($E211&lt;&gt;"产成品入库","",SUMIFS($W$6:$W211,$C$6:$C211,$C211,$D$6:$D211,$D211,$E$6:$E211,"产成品入库"))</f>
        <v/>
      </c>
    </row>
    <row r="212" customFormat="false" ht="15" hidden="false" customHeight="false" outlineLevel="0" collapsed="false">
      <c r="A212" s="53" t="str">
        <f aca="false">IF($B212="","",ROW()-5)</f>
        <v/>
      </c>
      <c r="B212" s="54"/>
      <c r="C212" s="33"/>
      <c r="D212" s="39"/>
      <c r="E212" s="33"/>
      <c r="F212" s="39"/>
      <c r="G212" s="48" t="str">
        <f aca="false">IF($F212="","",IFERROR(INDEX(商品档案!$B$6:$B$65,MATCH($F212,商品档案!$A$6:$A$65,0)),""))</f>
        <v/>
      </c>
      <c r="H212" s="55" t="str">
        <f aca="false">IF($F212="","",IFERROR(INDEX(商品档案!$D$6:$D$65,MATCH($F212,商品档案!$A$6:$A$65,0)),""))</f>
        <v/>
      </c>
      <c r="I212" s="49"/>
      <c r="J212" s="43"/>
      <c r="K212" s="41"/>
      <c r="L212" s="39"/>
      <c r="M212" s="62"/>
      <c r="N212" s="41"/>
      <c r="O212" s="41"/>
      <c r="P212" s="25" t="str">
        <f aca="false">IF(AND($B212="",$E212=""),"",IF(NOT(ISNUMBER($B212)),"日期无效",IF(ISNA(MATCH($C212,参数设置!$A$10:$A$12,0)),"公司无效",IF($D212="","缺批次号",IF(ISNA(MATCH($E212,记账规则!$A$36:$A$38,0)),"业务类型无效",IF(AND($E212&lt;&gt;"加工费用",ISNA(MATCH($F212,商品档案!$A$6:$A$65,0))),"商品编码无效",IF(AND($E212&lt;&gt;"加工费用",IFERROR(INDEX(商品档案!$E$6:$E$65,MATCH($F212,商品档案!$A$6:$A$65,0)),"")&lt;&gt;$C212),"商品不属于该公司",IF(AND($E212&lt;&gt;"加工费用",N($I212)=0),"数量为 0",IF(AND($E212="加工费用",N($J212)=0),"加工费金额为 0",IF(AND($E212="加工费用",ISNA(MATCH($K212,会计科目表!$B$6:$B$85,0))),"对方科目不存在",IF(YEAR($B212)&lt;&gt;参数设置!$B$5,"不在本会计年度","OK")))))))))))</f>
        <v/>
      </c>
      <c r="Q212" s="58" t="str">
        <f aca="false">IF($F212="","",IFERROR(INDEX(商品档案!$G$6:$G$65,MATCH($F212,商品档案!$A$6:$A$65,0)),""))</f>
        <v/>
      </c>
      <c r="R212" s="59" t="str">
        <f aca="false">IF($F212="","",SUMIFS(进销存台账!$N$6:$N$65,进销存台账!$A$6:$A$65,$C212,进销存台账!$B$6:$B$65,$F212))</f>
        <v/>
      </c>
      <c r="S212" s="60" t="n">
        <f aca="false">IF($E212="领用投入",ROUND(N($I212)*N($R212),2),IF($E212="加工费用",ROUND(N($J212),2),0))</f>
        <v>0</v>
      </c>
      <c r="T212" s="60" t="n">
        <f aca="false">IF($E212&lt;&gt;"产成品入库",0,IF(SUMIFS($W$6:$W$305,$C$6:$C$305,$C212,$D$6:$D$305,$D212,$E$6:$E$305,"产成品入库")=0,0,ROUND(SUMIFS($S$6:$S$305,$C$6:$C$305,$C212,$D$6:$D$305,$D212)*N($X212)/SUMIFS($W$6:$W$305,$C$6:$C$305,$C212,$D$6:$D$305,$D212,$E$6:$E$305,"产成品入库"),2)-ROUND(SUMIFS($S$6:$S$305,$C$6:$C$305,$C212,$D$6:$D$305,$D212)*(N($X212)-N($W212))/SUMIFS($W$6:$W$305,$C$6:$C$305,$C212,$D$6:$D$305,$D212,$E$6:$E$305,"产成品入库"),2)))</f>
        <v>0</v>
      </c>
      <c r="U212" s="57" t="str">
        <f aca="false">IF($E212="","",ROUND($S212+$T212,2))</f>
        <v/>
      </c>
      <c r="V212" s="61" t="str">
        <f aca="false">IF($B212="","",YEAR($B212))</f>
        <v/>
      </c>
      <c r="W212" s="63" t="str">
        <f aca="false">IF($E212&lt;&gt;"产成品入库","",IF(N($M212)=0,1,N($M212)))</f>
        <v/>
      </c>
      <c r="X212" s="63" t="str">
        <f aca="false">IF($E212&lt;&gt;"产成品入库","",SUMIFS($W$6:$W212,$C$6:$C212,$C212,$D$6:$D212,$D212,$E$6:$E212,"产成品入库"))</f>
        <v/>
      </c>
    </row>
    <row r="213" customFormat="false" ht="15" hidden="false" customHeight="false" outlineLevel="0" collapsed="false">
      <c r="A213" s="53" t="str">
        <f aca="false">IF($B213="","",ROW()-5)</f>
        <v/>
      </c>
      <c r="B213" s="54"/>
      <c r="C213" s="33"/>
      <c r="D213" s="39"/>
      <c r="E213" s="33"/>
      <c r="F213" s="39"/>
      <c r="G213" s="48" t="str">
        <f aca="false">IF($F213="","",IFERROR(INDEX(商品档案!$B$6:$B$65,MATCH($F213,商品档案!$A$6:$A$65,0)),""))</f>
        <v/>
      </c>
      <c r="H213" s="55" t="str">
        <f aca="false">IF($F213="","",IFERROR(INDEX(商品档案!$D$6:$D$65,MATCH($F213,商品档案!$A$6:$A$65,0)),""))</f>
        <v/>
      </c>
      <c r="I213" s="49"/>
      <c r="J213" s="43"/>
      <c r="K213" s="41"/>
      <c r="L213" s="39"/>
      <c r="M213" s="62"/>
      <c r="N213" s="41"/>
      <c r="O213" s="41"/>
      <c r="P213" s="25" t="str">
        <f aca="false">IF(AND($B213="",$E213=""),"",IF(NOT(ISNUMBER($B213)),"日期无效",IF(ISNA(MATCH($C213,参数设置!$A$10:$A$12,0)),"公司无效",IF($D213="","缺批次号",IF(ISNA(MATCH($E213,记账规则!$A$36:$A$38,0)),"业务类型无效",IF(AND($E213&lt;&gt;"加工费用",ISNA(MATCH($F213,商品档案!$A$6:$A$65,0))),"商品编码无效",IF(AND($E213&lt;&gt;"加工费用",IFERROR(INDEX(商品档案!$E$6:$E$65,MATCH($F213,商品档案!$A$6:$A$65,0)),"")&lt;&gt;$C213),"商品不属于该公司",IF(AND($E213&lt;&gt;"加工费用",N($I213)=0),"数量为 0",IF(AND($E213="加工费用",N($J213)=0),"加工费金额为 0",IF(AND($E213="加工费用",ISNA(MATCH($K213,会计科目表!$B$6:$B$85,0))),"对方科目不存在",IF(YEAR($B213)&lt;&gt;参数设置!$B$5,"不在本会计年度","OK")))))))))))</f>
        <v/>
      </c>
      <c r="Q213" s="58" t="str">
        <f aca="false">IF($F213="","",IFERROR(INDEX(商品档案!$G$6:$G$65,MATCH($F213,商品档案!$A$6:$A$65,0)),""))</f>
        <v/>
      </c>
      <c r="R213" s="59" t="str">
        <f aca="false">IF($F213="","",SUMIFS(进销存台账!$N$6:$N$65,进销存台账!$A$6:$A$65,$C213,进销存台账!$B$6:$B$65,$F213))</f>
        <v/>
      </c>
      <c r="S213" s="60" t="n">
        <f aca="false">IF($E213="领用投入",ROUND(N($I213)*N($R213),2),IF($E213="加工费用",ROUND(N($J213),2),0))</f>
        <v>0</v>
      </c>
      <c r="T213" s="60" t="n">
        <f aca="false">IF($E213&lt;&gt;"产成品入库",0,IF(SUMIFS($W$6:$W$305,$C$6:$C$305,$C213,$D$6:$D$305,$D213,$E$6:$E$305,"产成品入库")=0,0,ROUND(SUMIFS($S$6:$S$305,$C$6:$C$305,$C213,$D$6:$D$305,$D213)*N($X213)/SUMIFS($W$6:$W$305,$C$6:$C$305,$C213,$D$6:$D$305,$D213,$E$6:$E$305,"产成品入库"),2)-ROUND(SUMIFS($S$6:$S$305,$C$6:$C$305,$C213,$D$6:$D$305,$D213)*(N($X213)-N($W213))/SUMIFS($W$6:$W$305,$C$6:$C$305,$C213,$D$6:$D$305,$D213,$E$6:$E$305,"产成品入库"),2)))</f>
        <v>0</v>
      </c>
      <c r="U213" s="57" t="str">
        <f aca="false">IF($E213="","",ROUND($S213+$T213,2))</f>
        <v/>
      </c>
      <c r="V213" s="61" t="str">
        <f aca="false">IF($B213="","",YEAR($B213))</f>
        <v/>
      </c>
      <c r="W213" s="63" t="str">
        <f aca="false">IF($E213&lt;&gt;"产成品入库","",IF(N($M213)=0,1,N($M213)))</f>
        <v/>
      </c>
      <c r="X213" s="63" t="str">
        <f aca="false">IF($E213&lt;&gt;"产成品入库","",SUMIFS($W$6:$W213,$C$6:$C213,$C213,$D$6:$D213,$D213,$E$6:$E213,"产成品入库"))</f>
        <v/>
      </c>
    </row>
    <row r="214" customFormat="false" ht="15" hidden="false" customHeight="false" outlineLevel="0" collapsed="false">
      <c r="A214" s="53" t="str">
        <f aca="false">IF($B214="","",ROW()-5)</f>
        <v/>
      </c>
      <c r="B214" s="54"/>
      <c r="C214" s="33"/>
      <c r="D214" s="39"/>
      <c r="E214" s="33"/>
      <c r="F214" s="39"/>
      <c r="G214" s="48" t="str">
        <f aca="false">IF($F214="","",IFERROR(INDEX(商品档案!$B$6:$B$65,MATCH($F214,商品档案!$A$6:$A$65,0)),""))</f>
        <v/>
      </c>
      <c r="H214" s="55" t="str">
        <f aca="false">IF($F214="","",IFERROR(INDEX(商品档案!$D$6:$D$65,MATCH($F214,商品档案!$A$6:$A$65,0)),""))</f>
        <v/>
      </c>
      <c r="I214" s="49"/>
      <c r="J214" s="43"/>
      <c r="K214" s="41"/>
      <c r="L214" s="39"/>
      <c r="M214" s="62"/>
      <c r="N214" s="41"/>
      <c r="O214" s="41"/>
      <c r="P214" s="25" t="str">
        <f aca="false">IF(AND($B214="",$E214=""),"",IF(NOT(ISNUMBER($B214)),"日期无效",IF(ISNA(MATCH($C214,参数设置!$A$10:$A$12,0)),"公司无效",IF($D214="","缺批次号",IF(ISNA(MATCH($E214,记账规则!$A$36:$A$38,0)),"业务类型无效",IF(AND($E214&lt;&gt;"加工费用",ISNA(MATCH($F214,商品档案!$A$6:$A$65,0))),"商品编码无效",IF(AND($E214&lt;&gt;"加工费用",IFERROR(INDEX(商品档案!$E$6:$E$65,MATCH($F214,商品档案!$A$6:$A$65,0)),"")&lt;&gt;$C214),"商品不属于该公司",IF(AND($E214&lt;&gt;"加工费用",N($I214)=0),"数量为 0",IF(AND($E214="加工费用",N($J214)=0),"加工费金额为 0",IF(AND($E214="加工费用",ISNA(MATCH($K214,会计科目表!$B$6:$B$85,0))),"对方科目不存在",IF(YEAR($B214)&lt;&gt;参数设置!$B$5,"不在本会计年度","OK")))))))))))</f>
        <v/>
      </c>
      <c r="Q214" s="58" t="str">
        <f aca="false">IF($F214="","",IFERROR(INDEX(商品档案!$G$6:$G$65,MATCH($F214,商品档案!$A$6:$A$65,0)),""))</f>
        <v/>
      </c>
      <c r="R214" s="59" t="str">
        <f aca="false">IF($F214="","",SUMIFS(进销存台账!$N$6:$N$65,进销存台账!$A$6:$A$65,$C214,进销存台账!$B$6:$B$65,$F214))</f>
        <v/>
      </c>
      <c r="S214" s="60" t="n">
        <f aca="false">IF($E214="领用投入",ROUND(N($I214)*N($R214),2),IF($E214="加工费用",ROUND(N($J214),2),0))</f>
        <v>0</v>
      </c>
      <c r="T214" s="60" t="n">
        <f aca="false">IF($E214&lt;&gt;"产成品入库",0,IF(SUMIFS($W$6:$W$305,$C$6:$C$305,$C214,$D$6:$D$305,$D214,$E$6:$E$305,"产成品入库")=0,0,ROUND(SUMIFS($S$6:$S$305,$C$6:$C$305,$C214,$D$6:$D$305,$D214)*N($X214)/SUMIFS($W$6:$W$305,$C$6:$C$305,$C214,$D$6:$D$305,$D214,$E$6:$E$305,"产成品入库"),2)-ROUND(SUMIFS($S$6:$S$305,$C$6:$C$305,$C214,$D$6:$D$305,$D214)*(N($X214)-N($W214))/SUMIFS($W$6:$W$305,$C$6:$C$305,$C214,$D$6:$D$305,$D214,$E$6:$E$305,"产成品入库"),2)))</f>
        <v>0</v>
      </c>
      <c r="U214" s="57" t="str">
        <f aca="false">IF($E214="","",ROUND($S214+$T214,2))</f>
        <v/>
      </c>
      <c r="V214" s="61" t="str">
        <f aca="false">IF($B214="","",YEAR($B214))</f>
        <v/>
      </c>
      <c r="W214" s="63" t="str">
        <f aca="false">IF($E214&lt;&gt;"产成品入库","",IF(N($M214)=0,1,N($M214)))</f>
        <v/>
      </c>
      <c r="X214" s="63" t="str">
        <f aca="false">IF($E214&lt;&gt;"产成品入库","",SUMIFS($W$6:$W214,$C$6:$C214,$C214,$D$6:$D214,$D214,$E$6:$E214,"产成品入库"))</f>
        <v/>
      </c>
    </row>
    <row r="215" customFormat="false" ht="15" hidden="false" customHeight="false" outlineLevel="0" collapsed="false">
      <c r="A215" s="53" t="str">
        <f aca="false">IF($B215="","",ROW()-5)</f>
        <v/>
      </c>
      <c r="B215" s="54"/>
      <c r="C215" s="33"/>
      <c r="D215" s="39"/>
      <c r="E215" s="33"/>
      <c r="F215" s="39"/>
      <c r="G215" s="48" t="str">
        <f aca="false">IF($F215="","",IFERROR(INDEX(商品档案!$B$6:$B$65,MATCH($F215,商品档案!$A$6:$A$65,0)),""))</f>
        <v/>
      </c>
      <c r="H215" s="55" t="str">
        <f aca="false">IF($F215="","",IFERROR(INDEX(商品档案!$D$6:$D$65,MATCH($F215,商品档案!$A$6:$A$65,0)),""))</f>
        <v/>
      </c>
      <c r="I215" s="49"/>
      <c r="J215" s="43"/>
      <c r="K215" s="41"/>
      <c r="L215" s="39"/>
      <c r="M215" s="62"/>
      <c r="N215" s="41"/>
      <c r="O215" s="41"/>
      <c r="P215" s="25" t="str">
        <f aca="false">IF(AND($B215="",$E215=""),"",IF(NOT(ISNUMBER($B215)),"日期无效",IF(ISNA(MATCH($C215,参数设置!$A$10:$A$12,0)),"公司无效",IF($D215="","缺批次号",IF(ISNA(MATCH($E215,记账规则!$A$36:$A$38,0)),"业务类型无效",IF(AND($E215&lt;&gt;"加工费用",ISNA(MATCH($F215,商品档案!$A$6:$A$65,0))),"商品编码无效",IF(AND($E215&lt;&gt;"加工费用",IFERROR(INDEX(商品档案!$E$6:$E$65,MATCH($F215,商品档案!$A$6:$A$65,0)),"")&lt;&gt;$C215),"商品不属于该公司",IF(AND($E215&lt;&gt;"加工费用",N($I215)=0),"数量为 0",IF(AND($E215="加工费用",N($J215)=0),"加工费金额为 0",IF(AND($E215="加工费用",ISNA(MATCH($K215,会计科目表!$B$6:$B$85,0))),"对方科目不存在",IF(YEAR($B215)&lt;&gt;参数设置!$B$5,"不在本会计年度","OK")))))))))))</f>
        <v/>
      </c>
      <c r="Q215" s="58" t="str">
        <f aca="false">IF($F215="","",IFERROR(INDEX(商品档案!$G$6:$G$65,MATCH($F215,商品档案!$A$6:$A$65,0)),""))</f>
        <v/>
      </c>
      <c r="R215" s="59" t="str">
        <f aca="false">IF($F215="","",SUMIFS(进销存台账!$N$6:$N$65,进销存台账!$A$6:$A$65,$C215,进销存台账!$B$6:$B$65,$F215))</f>
        <v/>
      </c>
      <c r="S215" s="60" t="n">
        <f aca="false">IF($E215="领用投入",ROUND(N($I215)*N($R215),2),IF($E215="加工费用",ROUND(N($J215),2),0))</f>
        <v>0</v>
      </c>
      <c r="T215" s="60" t="n">
        <f aca="false">IF($E215&lt;&gt;"产成品入库",0,IF(SUMIFS($W$6:$W$305,$C$6:$C$305,$C215,$D$6:$D$305,$D215,$E$6:$E$305,"产成品入库")=0,0,ROUND(SUMIFS($S$6:$S$305,$C$6:$C$305,$C215,$D$6:$D$305,$D215)*N($X215)/SUMIFS($W$6:$W$305,$C$6:$C$305,$C215,$D$6:$D$305,$D215,$E$6:$E$305,"产成品入库"),2)-ROUND(SUMIFS($S$6:$S$305,$C$6:$C$305,$C215,$D$6:$D$305,$D215)*(N($X215)-N($W215))/SUMIFS($W$6:$W$305,$C$6:$C$305,$C215,$D$6:$D$305,$D215,$E$6:$E$305,"产成品入库"),2)))</f>
        <v>0</v>
      </c>
      <c r="U215" s="57" t="str">
        <f aca="false">IF($E215="","",ROUND($S215+$T215,2))</f>
        <v/>
      </c>
      <c r="V215" s="61" t="str">
        <f aca="false">IF($B215="","",YEAR($B215))</f>
        <v/>
      </c>
      <c r="W215" s="63" t="str">
        <f aca="false">IF($E215&lt;&gt;"产成品入库","",IF(N($M215)=0,1,N($M215)))</f>
        <v/>
      </c>
      <c r="X215" s="63" t="str">
        <f aca="false">IF($E215&lt;&gt;"产成品入库","",SUMIFS($W$6:$W215,$C$6:$C215,$C215,$D$6:$D215,$D215,$E$6:$E215,"产成品入库"))</f>
        <v/>
      </c>
    </row>
    <row r="216" customFormat="false" ht="15" hidden="false" customHeight="false" outlineLevel="0" collapsed="false">
      <c r="A216" s="53" t="str">
        <f aca="false">IF($B216="","",ROW()-5)</f>
        <v/>
      </c>
      <c r="B216" s="54"/>
      <c r="C216" s="33"/>
      <c r="D216" s="39"/>
      <c r="E216" s="33"/>
      <c r="F216" s="39"/>
      <c r="G216" s="48" t="str">
        <f aca="false">IF($F216="","",IFERROR(INDEX(商品档案!$B$6:$B$65,MATCH($F216,商品档案!$A$6:$A$65,0)),""))</f>
        <v/>
      </c>
      <c r="H216" s="55" t="str">
        <f aca="false">IF($F216="","",IFERROR(INDEX(商品档案!$D$6:$D$65,MATCH($F216,商品档案!$A$6:$A$65,0)),""))</f>
        <v/>
      </c>
      <c r="I216" s="49"/>
      <c r="J216" s="43"/>
      <c r="K216" s="41"/>
      <c r="L216" s="39"/>
      <c r="M216" s="62"/>
      <c r="N216" s="41"/>
      <c r="O216" s="41"/>
      <c r="P216" s="25" t="str">
        <f aca="false">IF(AND($B216="",$E216=""),"",IF(NOT(ISNUMBER($B216)),"日期无效",IF(ISNA(MATCH($C216,参数设置!$A$10:$A$12,0)),"公司无效",IF($D216="","缺批次号",IF(ISNA(MATCH($E216,记账规则!$A$36:$A$38,0)),"业务类型无效",IF(AND($E216&lt;&gt;"加工费用",ISNA(MATCH($F216,商品档案!$A$6:$A$65,0))),"商品编码无效",IF(AND($E216&lt;&gt;"加工费用",IFERROR(INDEX(商品档案!$E$6:$E$65,MATCH($F216,商品档案!$A$6:$A$65,0)),"")&lt;&gt;$C216),"商品不属于该公司",IF(AND($E216&lt;&gt;"加工费用",N($I216)=0),"数量为 0",IF(AND($E216="加工费用",N($J216)=0),"加工费金额为 0",IF(AND($E216="加工费用",ISNA(MATCH($K216,会计科目表!$B$6:$B$85,0))),"对方科目不存在",IF(YEAR($B216)&lt;&gt;参数设置!$B$5,"不在本会计年度","OK")))))))))))</f>
        <v/>
      </c>
      <c r="Q216" s="58" t="str">
        <f aca="false">IF($F216="","",IFERROR(INDEX(商品档案!$G$6:$G$65,MATCH($F216,商品档案!$A$6:$A$65,0)),""))</f>
        <v/>
      </c>
      <c r="R216" s="59" t="str">
        <f aca="false">IF($F216="","",SUMIFS(进销存台账!$N$6:$N$65,进销存台账!$A$6:$A$65,$C216,进销存台账!$B$6:$B$65,$F216))</f>
        <v/>
      </c>
      <c r="S216" s="60" t="n">
        <f aca="false">IF($E216="领用投入",ROUND(N($I216)*N($R216),2),IF($E216="加工费用",ROUND(N($J216),2),0))</f>
        <v>0</v>
      </c>
      <c r="T216" s="60" t="n">
        <f aca="false">IF($E216&lt;&gt;"产成品入库",0,IF(SUMIFS($W$6:$W$305,$C$6:$C$305,$C216,$D$6:$D$305,$D216,$E$6:$E$305,"产成品入库")=0,0,ROUND(SUMIFS($S$6:$S$305,$C$6:$C$305,$C216,$D$6:$D$305,$D216)*N($X216)/SUMIFS($W$6:$W$305,$C$6:$C$305,$C216,$D$6:$D$305,$D216,$E$6:$E$305,"产成品入库"),2)-ROUND(SUMIFS($S$6:$S$305,$C$6:$C$305,$C216,$D$6:$D$305,$D216)*(N($X216)-N($W216))/SUMIFS($W$6:$W$305,$C$6:$C$305,$C216,$D$6:$D$305,$D216,$E$6:$E$305,"产成品入库"),2)))</f>
        <v>0</v>
      </c>
      <c r="U216" s="57" t="str">
        <f aca="false">IF($E216="","",ROUND($S216+$T216,2))</f>
        <v/>
      </c>
      <c r="V216" s="61" t="str">
        <f aca="false">IF($B216="","",YEAR($B216))</f>
        <v/>
      </c>
      <c r="W216" s="63" t="str">
        <f aca="false">IF($E216&lt;&gt;"产成品入库","",IF(N($M216)=0,1,N($M216)))</f>
        <v/>
      </c>
      <c r="X216" s="63" t="str">
        <f aca="false">IF($E216&lt;&gt;"产成品入库","",SUMIFS($W$6:$W216,$C$6:$C216,$C216,$D$6:$D216,$D216,$E$6:$E216,"产成品入库"))</f>
        <v/>
      </c>
    </row>
    <row r="217" customFormat="false" ht="15" hidden="false" customHeight="false" outlineLevel="0" collapsed="false">
      <c r="A217" s="53" t="str">
        <f aca="false">IF($B217="","",ROW()-5)</f>
        <v/>
      </c>
      <c r="B217" s="54"/>
      <c r="C217" s="33"/>
      <c r="D217" s="39"/>
      <c r="E217" s="33"/>
      <c r="F217" s="39"/>
      <c r="G217" s="48" t="str">
        <f aca="false">IF($F217="","",IFERROR(INDEX(商品档案!$B$6:$B$65,MATCH($F217,商品档案!$A$6:$A$65,0)),""))</f>
        <v/>
      </c>
      <c r="H217" s="55" t="str">
        <f aca="false">IF($F217="","",IFERROR(INDEX(商品档案!$D$6:$D$65,MATCH($F217,商品档案!$A$6:$A$65,0)),""))</f>
        <v/>
      </c>
      <c r="I217" s="49"/>
      <c r="J217" s="43"/>
      <c r="K217" s="41"/>
      <c r="L217" s="39"/>
      <c r="M217" s="62"/>
      <c r="N217" s="41"/>
      <c r="O217" s="41"/>
      <c r="P217" s="25" t="str">
        <f aca="false">IF(AND($B217="",$E217=""),"",IF(NOT(ISNUMBER($B217)),"日期无效",IF(ISNA(MATCH($C217,参数设置!$A$10:$A$12,0)),"公司无效",IF($D217="","缺批次号",IF(ISNA(MATCH($E217,记账规则!$A$36:$A$38,0)),"业务类型无效",IF(AND($E217&lt;&gt;"加工费用",ISNA(MATCH($F217,商品档案!$A$6:$A$65,0))),"商品编码无效",IF(AND($E217&lt;&gt;"加工费用",IFERROR(INDEX(商品档案!$E$6:$E$65,MATCH($F217,商品档案!$A$6:$A$65,0)),"")&lt;&gt;$C217),"商品不属于该公司",IF(AND($E217&lt;&gt;"加工费用",N($I217)=0),"数量为 0",IF(AND($E217="加工费用",N($J217)=0),"加工费金额为 0",IF(AND($E217="加工费用",ISNA(MATCH($K217,会计科目表!$B$6:$B$85,0))),"对方科目不存在",IF(YEAR($B217)&lt;&gt;参数设置!$B$5,"不在本会计年度","OK")))))))))))</f>
        <v/>
      </c>
      <c r="Q217" s="58" t="str">
        <f aca="false">IF($F217="","",IFERROR(INDEX(商品档案!$G$6:$G$65,MATCH($F217,商品档案!$A$6:$A$65,0)),""))</f>
        <v/>
      </c>
      <c r="R217" s="59" t="str">
        <f aca="false">IF($F217="","",SUMIFS(进销存台账!$N$6:$N$65,进销存台账!$A$6:$A$65,$C217,进销存台账!$B$6:$B$65,$F217))</f>
        <v/>
      </c>
      <c r="S217" s="60" t="n">
        <f aca="false">IF($E217="领用投入",ROUND(N($I217)*N($R217),2),IF($E217="加工费用",ROUND(N($J217),2),0))</f>
        <v>0</v>
      </c>
      <c r="T217" s="60" t="n">
        <f aca="false">IF($E217&lt;&gt;"产成品入库",0,IF(SUMIFS($W$6:$W$305,$C$6:$C$305,$C217,$D$6:$D$305,$D217,$E$6:$E$305,"产成品入库")=0,0,ROUND(SUMIFS($S$6:$S$305,$C$6:$C$305,$C217,$D$6:$D$305,$D217)*N($X217)/SUMIFS($W$6:$W$305,$C$6:$C$305,$C217,$D$6:$D$305,$D217,$E$6:$E$305,"产成品入库"),2)-ROUND(SUMIFS($S$6:$S$305,$C$6:$C$305,$C217,$D$6:$D$305,$D217)*(N($X217)-N($W217))/SUMIFS($W$6:$W$305,$C$6:$C$305,$C217,$D$6:$D$305,$D217,$E$6:$E$305,"产成品入库"),2)))</f>
        <v>0</v>
      </c>
      <c r="U217" s="57" t="str">
        <f aca="false">IF($E217="","",ROUND($S217+$T217,2))</f>
        <v/>
      </c>
      <c r="V217" s="61" t="str">
        <f aca="false">IF($B217="","",YEAR($B217))</f>
        <v/>
      </c>
      <c r="W217" s="63" t="str">
        <f aca="false">IF($E217&lt;&gt;"产成品入库","",IF(N($M217)=0,1,N($M217)))</f>
        <v/>
      </c>
      <c r="X217" s="63" t="str">
        <f aca="false">IF($E217&lt;&gt;"产成品入库","",SUMIFS($W$6:$W217,$C$6:$C217,$C217,$D$6:$D217,$D217,$E$6:$E217,"产成品入库"))</f>
        <v/>
      </c>
    </row>
    <row r="218" customFormat="false" ht="15" hidden="false" customHeight="false" outlineLevel="0" collapsed="false">
      <c r="A218" s="53" t="str">
        <f aca="false">IF($B218="","",ROW()-5)</f>
        <v/>
      </c>
      <c r="B218" s="54"/>
      <c r="C218" s="33"/>
      <c r="D218" s="39"/>
      <c r="E218" s="33"/>
      <c r="F218" s="39"/>
      <c r="G218" s="48" t="str">
        <f aca="false">IF($F218="","",IFERROR(INDEX(商品档案!$B$6:$B$65,MATCH($F218,商品档案!$A$6:$A$65,0)),""))</f>
        <v/>
      </c>
      <c r="H218" s="55" t="str">
        <f aca="false">IF($F218="","",IFERROR(INDEX(商品档案!$D$6:$D$65,MATCH($F218,商品档案!$A$6:$A$65,0)),""))</f>
        <v/>
      </c>
      <c r="I218" s="49"/>
      <c r="J218" s="43"/>
      <c r="K218" s="41"/>
      <c r="L218" s="39"/>
      <c r="M218" s="62"/>
      <c r="N218" s="41"/>
      <c r="O218" s="41"/>
      <c r="P218" s="25" t="str">
        <f aca="false">IF(AND($B218="",$E218=""),"",IF(NOT(ISNUMBER($B218)),"日期无效",IF(ISNA(MATCH($C218,参数设置!$A$10:$A$12,0)),"公司无效",IF($D218="","缺批次号",IF(ISNA(MATCH($E218,记账规则!$A$36:$A$38,0)),"业务类型无效",IF(AND($E218&lt;&gt;"加工费用",ISNA(MATCH($F218,商品档案!$A$6:$A$65,0))),"商品编码无效",IF(AND($E218&lt;&gt;"加工费用",IFERROR(INDEX(商品档案!$E$6:$E$65,MATCH($F218,商品档案!$A$6:$A$65,0)),"")&lt;&gt;$C218),"商品不属于该公司",IF(AND($E218&lt;&gt;"加工费用",N($I218)=0),"数量为 0",IF(AND($E218="加工费用",N($J218)=0),"加工费金额为 0",IF(AND($E218="加工费用",ISNA(MATCH($K218,会计科目表!$B$6:$B$85,0))),"对方科目不存在",IF(YEAR($B218)&lt;&gt;参数设置!$B$5,"不在本会计年度","OK")))))))))))</f>
        <v/>
      </c>
      <c r="Q218" s="58" t="str">
        <f aca="false">IF($F218="","",IFERROR(INDEX(商品档案!$G$6:$G$65,MATCH($F218,商品档案!$A$6:$A$65,0)),""))</f>
        <v/>
      </c>
      <c r="R218" s="59" t="str">
        <f aca="false">IF($F218="","",SUMIFS(进销存台账!$N$6:$N$65,进销存台账!$A$6:$A$65,$C218,进销存台账!$B$6:$B$65,$F218))</f>
        <v/>
      </c>
      <c r="S218" s="60" t="n">
        <f aca="false">IF($E218="领用投入",ROUND(N($I218)*N($R218),2),IF($E218="加工费用",ROUND(N($J218),2),0))</f>
        <v>0</v>
      </c>
      <c r="T218" s="60" t="n">
        <f aca="false">IF($E218&lt;&gt;"产成品入库",0,IF(SUMIFS($W$6:$W$305,$C$6:$C$305,$C218,$D$6:$D$305,$D218,$E$6:$E$305,"产成品入库")=0,0,ROUND(SUMIFS($S$6:$S$305,$C$6:$C$305,$C218,$D$6:$D$305,$D218)*N($X218)/SUMIFS($W$6:$W$305,$C$6:$C$305,$C218,$D$6:$D$305,$D218,$E$6:$E$305,"产成品入库"),2)-ROUND(SUMIFS($S$6:$S$305,$C$6:$C$305,$C218,$D$6:$D$305,$D218)*(N($X218)-N($W218))/SUMIFS($W$6:$W$305,$C$6:$C$305,$C218,$D$6:$D$305,$D218,$E$6:$E$305,"产成品入库"),2)))</f>
        <v>0</v>
      </c>
      <c r="U218" s="57" t="str">
        <f aca="false">IF($E218="","",ROUND($S218+$T218,2))</f>
        <v/>
      </c>
      <c r="V218" s="61" t="str">
        <f aca="false">IF($B218="","",YEAR($B218))</f>
        <v/>
      </c>
      <c r="W218" s="63" t="str">
        <f aca="false">IF($E218&lt;&gt;"产成品入库","",IF(N($M218)=0,1,N($M218)))</f>
        <v/>
      </c>
      <c r="X218" s="63" t="str">
        <f aca="false">IF($E218&lt;&gt;"产成品入库","",SUMIFS($W$6:$W218,$C$6:$C218,$C218,$D$6:$D218,$D218,$E$6:$E218,"产成品入库"))</f>
        <v/>
      </c>
    </row>
    <row r="219" customFormat="false" ht="15" hidden="false" customHeight="false" outlineLevel="0" collapsed="false">
      <c r="A219" s="53" t="str">
        <f aca="false">IF($B219="","",ROW()-5)</f>
        <v/>
      </c>
      <c r="B219" s="54"/>
      <c r="C219" s="33"/>
      <c r="D219" s="39"/>
      <c r="E219" s="33"/>
      <c r="F219" s="39"/>
      <c r="G219" s="48" t="str">
        <f aca="false">IF($F219="","",IFERROR(INDEX(商品档案!$B$6:$B$65,MATCH($F219,商品档案!$A$6:$A$65,0)),""))</f>
        <v/>
      </c>
      <c r="H219" s="55" t="str">
        <f aca="false">IF($F219="","",IFERROR(INDEX(商品档案!$D$6:$D$65,MATCH($F219,商品档案!$A$6:$A$65,0)),""))</f>
        <v/>
      </c>
      <c r="I219" s="49"/>
      <c r="J219" s="43"/>
      <c r="K219" s="41"/>
      <c r="L219" s="39"/>
      <c r="M219" s="62"/>
      <c r="N219" s="41"/>
      <c r="O219" s="41"/>
      <c r="P219" s="25" t="str">
        <f aca="false">IF(AND($B219="",$E219=""),"",IF(NOT(ISNUMBER($B219)),"日期无效",IF(ISNA(MATCH($C219,参数设置!$A$10:$A$12,0)),"公司无效",IF($D219="","缺批次号",IF(ISNA(MATCH($E219,记账规则!$A$36:$A$38,0)),"业务类型无效",IF(AND($E219&lt;&gt;"加工费用",ISNA(MATCH($F219,商品档案!$A$6:$A$65,0))),"商品编码无效",IF(AND($E219&lt;&gt;"加工费用",IFERROR(INDEX(商品档案!$E$6:$E$65,MATCH($F219,商品档案!$A$6:$A$65,0)),"")&lt;&gt;$C219),"商品不属于该公司",IF(AND($E219&lt;&gt;"加工费用",N($I219)=0),"数量为 0",IF(AND($E219="加工费用",N($J219)=0),"加工费金额为 0",IF(AND($E219="加工费用",ISNA(MATCH($K219,会计科目表!$B$6:$B$85,0))),"对方科目不存在",IF(YEAR($B219)&lt;&gt;参数设置!$B$5,"不在本会计年度","OK")))))))))))</f>
        <v/>
      </c>
      <c r="Q219" s="58" t="str">
        <f aca="false">IF($F219="","",IFERROR(INDEX(商品档案!$G$6:$G$65,MATCH($F219,商品档案!$A$6:$A$65,0)),""))</f>
        <v/>
      </c>
      <c r="R219" s="59" t="str">
        <f aca="false">IF($F219="","",SUMIFS(进销存台账!$N$6:$N$65,进销存台账!$A$6:$A$65,$C219,进销存台账!$B$6:$B$65,$F219))</f>
        <v/>
      </c>
      <c r="S219" s="60" t="n">
        <f aca="false">IF($E219="领用投入",ROUND(N($I219)*N($R219),2),IF($E219="加工费用",ROUND(N($J219),2),0))</f>
        <v>0</v>
      </c>
      <c r="T219" s="60" t="n">
        <f aca="false">IF($E219&lt;&gt;"产成品入库",0,IF(SUMIFS($W$6:$W$305,$C$6:$C$305,$C219,$D$6:$D$305,$D219,$E$6:$E$305,"产成品入库")=0,0,ROUND(SUMIFS($S$6:$S$305,$C$6:$C$305,$C219,$D$6:$D$305,$D219)*N($X219)/SUMIFS($W$6:$W$305,$C$6:$C$305,$C219,$D$6:$D$305,$D219,$E$6:$E$305,"产成品入库"),2)-ROUND(SUMIFS($S$6:$S$305,$C$6:$C$305,$C219,$D$6:$D$305,$D219)*(N($X219)-N($W219))/SUMIFS($W$6:$W$305,$C$6:$C$305,$C219,$D$6:$D$305,$D219,$E$6:$E$305,"产成品入库"),2)))</f>
        <v>0</v>
      </c>
      <c r="U219" s="57" t="str">
        <f aca="false">IF($E219="","",ROUND($S219+$T219,2))</f>
        <v/>
      </c>
      <c r="V219" s="61" t="str">
        <f aca="false">IF($B219="","",YEAR($B219))</f>
        <v/>
      </c>
      <c r="W219" s="63" t="str">
        <f aca="false">IF($E219&lt;&gt;"产成品入库","",IF(N($M219)=0,1,N($M219)))</f>
        <v/>
      </c>
      <c r="X219" s="63" t="str">
        <f aca="false">IF($E219&lt;&gt;"产成品入库","",SUMIFS($W$6:$W219,$C$6:$C219,$C219,$D$6:$D219,$D219,$E$6:$E219,"产成品入库"))</f>
        <v/>
      </c>
    </row>
    <row r="220" customFormat="false" ht="15" hidden="false" customHeight="false" outlineLevel="0" collapsed="false">
      <c r="A220" s="53" t="str">
        <f aca="false">IF($B220="","",ROW()-5)</f>
        <v/>
      </c>
      <c r="B220" s="54"/>
      <c r="C220" s="33"/>
      <c r="D220" s="39"/>
      <c r="E220" s="33"/>
      <c r="F220" s="39"/>
      <c r="G220" s="48" t="str">
        <f aca="false">IF($F220="","",IFERROR(INDEX(商品档案!$B$6:$B$65,MATCH($F220,商品档案!$A$6:$A$65,0)),""))</f>
        <v/>
      </c>
      <c r="H220" s="55" t="str">
        <f aca="false">IF($F220="","",IFERROR(INDEX(商品档案!$D$6:$D$65,MATCH($F220,商品档案!$A$6:$A$65,0)),""))</f>
        <v/>
      </c>
      <c r="I220" s="49"/>
      <c r="J220" s="43"/>
      <c r="K220" s="41"/>
      <c r="L220" s="39"/>
      <c r="M220" s="62"/>
      <c r="N220" s="41"/>
      <c r="O220" s="41"/>
      <c r="P220" s="25" t="str">
        <f aca="false">IF(AND($B220="",$E220=""),"",IF(NOT(ISNUMBER($B220)),"日期无效",IF(ISNA(MATCH($C220,参数设置!$A$10:$A$12,0)),"公司无效",IF($D220="","缺批次号",IF(ISNA(MATCH($E220,记账规则!$A$36:$A$38,0)),"业务类型无效",IF(AND($E220&lt;&gt;"加工费用",ISNA(MATCH($F220,商品档案!$A$6:$A$65,0))),"商品编码无效",IF(AND($E220&lt;&gt;"加工费用",IFERROR(INDEX(商品档案!$E$6:$E$65,MATCH($F220,商品档案!$A$6:$A$65,0)),"")&lt;&gt;$C220),"商品不属于该公司",IF(AND($E220&lt;&gt;"加工费用",N($I220)=0),"数量为 0",IF(AND($E220="加工费用",N($J220)=0),"加工费金额为 0",IF(AND($E220="加工费用",ISNA(MATCH($K220,会计科目表!$B$6:$B$85,0))),"对方科目不存在",IF(YEAR($B220)&lt;&gt;参数设置!$B$5,"不在本会计年度","OK")))))))))))</f>
        <v/>
      </c>
      <c r="Q220" s="58" t="str">
        <f aca="false">IF($F220="","",IFERROR(INDEX(商品档案!$G$6:$G$65,MATCH($F220,商品档案!$A$6:$A$65,0)),""))</f>
        <v/>
      </c>
      <c r="R220" s="59" t="str">
        <f aca="false">IF($F220="","",SUMIFS(进销存台账!$N$6:$N$65,进销存台账!$A$6:$A$65,$C220,进销存台账!$B$6:$B$65,$F220))</f>
        <v/>
      </c>
      <c r="S220" s="60" t="n">
        <f aca="false">IF($E220="领用投入",ROUND(N($I220)*N($R220),2),IF($E220="加工费用",ROUND(N($J220),2),0))</f>
        <v>0</v>
      </c>
      <c r="T220" s="60" t="n">
        <f aca="false">IF($E220&lt;&gt;"产成品入库",0,IF(SUMIFS($W$6:$W$305,$C$6:$C$305,$C220,$D$6:$D$305,$D220,$E$6:$E$305,"产成品入库")=0,0,ROUND(SUMIFS($S$6:$S$305,$C$6:$C$305,$C220,$D$6:$D$305,$D220)*N($X220)/SUMIFS($W$6:$W$305,$C$6:$C$305,$C220,$D$6:$D$305,$D220,$E$6:$E$305,"产成品入库"),2)-ROUND(SUMIFS($S$6:$S$305,$C$6:$C$305,$C220,$D$6:$D$305,$D220)*(N($X220)-N($W220))/SUMIFS($W$6:$W$305,$C$6:$C$305,$C220,$D$6:$D$305,$D220,$E$6:$E$305,"产成品入库"),2)))</f>
        <v>0</v>
      </c>
      <c r="U220" s="57" t="str">
        <f aca="false">IF($E220="","",ROUND($S220+$T220,2))</f>
        <v/>
      </c>
      <c r="V220" s="61" t="str">
        <f aca="false">IF($B220="","",YEAR($B220))</f>
        <v/>
      </c>
      <c r="W220" s="63" t="str">
        <f aca="false">IF($E220&lt;&gt;"产成品入库","",IF(N($M220)=0,1,N($M220)))</f>
        <v/>
      </c>
      <c r="X220" s="63" t="str">
        <f aca="false">IF($E220&lt;&gt;"产成品入库","",SUMIFS($W$6:$W220,$C$6:$C220,$C220,$D$6:$D220,$D220,$E$6:$E220,"产成品入库"))</f>
        <v/>
      </c>
    </row>
    <row r="221" customFormat="false" ht="15" hidden="false" customHeight="false" outlineLevel="0" collapsed="false">
      <c r="A221" s="53" t="str">
        <f aca="false">IF($B221="","",ROW()-5)</f>
        <v/>
      </c>
      <c r="B221" s="54"/>
      <c r="C221" s="33"/>
      <c r="D221" s="39"/>
      <c r="E221" s="33"/>
      <c r="F221" s="39"/>
      <c r="G221" s="48" t="str">
        <f aca="false">IF($F221="","",IFERROR(INDEX(商品档案!$B$6:$B$65,MATCH($F221,商品档案!$A$6:$A$65,0)),""))</f>
        <v/>
      </c>
      <c r="H221" s="55" t="str">
        <f aca="false">IF($F221="","",IFERROR(INDEX(商品档案!$D$6:$D$65,MATCH($F221,商品档案!$A$6:$A$65,0)),""))</f>
        <v/>
      </c>
      <c r="I221" s="49"/>
      <c r="J221" s="43"/>
      <c r="K221" s="41"/>
      <c r="L221" s="39"/>
      <c r="M221" s="62"/>
      <c r="N221" s="41"/>
      <c r="O221" s="41"/>
      <c r="P221" s="25" t="str">
        <f aca="false">IF(AND($B221="",$E221=""),"",IF(NOT(ISNUMBER($B221)),"日期无效",IF(ISNA(MATCH($C221,参数设置!$A$10:$A$12,0)),"公司无效",IF($D221="","缺批次号",IF(ISNA(MATCH($E221,记账规则!$A$36:$A$38,0)),"业务类型无效",IF(AND($E221&lt;&gt;"加工费用",ISNA(MATCH($F221,商品档案!$A$6:$A$65,0))),"商品编码无效",IF(AND($E221&lt;&gt;"加工费用",IFERROR(INDEX(商品档案!$E$6:$E$65,MATCH($F221,商品档案!$A$6:$A$65,0)),"")&lt;&gt;$C221),"商品不属于该公司",IF(AND($E221&lt;&gt;"加工费用",N($I221)=0),"数量为 0",IF(AND($E221="加工费用",N($J221)=0),"加工费金额为 0",IF(AND($E221="加工费用",ISNA(MATCH($K221,会计科目表!$B$6:$B$85,0))),"对方科目不存在",IF(YEAR($B221)&lt;&gt;参数设置!$B$5,"不在本会计年度","OK")))))))))))</f>
        <v/>
      </c>
      <c r="Q221" s="58" t="str">
        <f aca="false">IF($F221="","",IFERROR(INDEX(商品档案!$G$6:$G$65,MATCH($F221,商品档案!$A$6:$A$65,0)),""))</f>
        <v/>
      </c>
      <c r="R221" s="59" t="str">
        <f aca="false">IF($F221="","",SUMIFS(进销存台账!$N$6:$N$65,进销存台账!$A$6:$A$65,$C221,进销存台账!$B$6:$B$65,$F221))</f>
        <v/>
      </c>
      <c r="S221" s="60" t="n">
        <f aca="false">IF($E221="领用投入",ROUND(N($I221)*N($R221),2),IF($E221="加工费用",ROUND(N($J221),2),0))</f>
        <v>0</v>
      </c>
      <c r="T221" s="60" t="n">
        <f aca="false">IF($E221&lt;&gt;"产成品入库",0,IF(SUMIFS($W$6:$W$305,$C$6:$C$305,$C221,$D$6:$D$305,$D221,$E$6:$E$305,"产成品入库")=0,0,ROUND(SUMIFS($S$6:$S$305,$C$6:$C$305,$C221,$D$6:$D$305,$D221)*N($X221)/SUMIFS($W$6:$W$305,$C$6:$C$305,$C221,$D$6:$D$305,$D221,$E$6:$E$305,"产成品入库"),2)-ROUND(SUMIFS($S$6:$S$305,$C$6:$C$305,$C221,$D$6:$D$305,$D221)*(N($X221)-N($W221))/SUMIFS($W$6:$W$305,$C$6:$C$305,$C221,$D$6:$D$305,$D221,$E$6:$E$305,"产成品入库"),2)))</f>
        <v>0</v>
      </c>
      <c r="U221" s="57" t="str">
        <f aca="false">IF($E221="","",ROUND($S221+$T221,2))</f>
        <v/>
      </c>
      <c r="V221" s="61" t="str">
        <f aca="false">IF($B221="","",YEAR($B221))</f>
        <v/>
      </c>
      <c r="W221" s="63" t="str">
        <f aca="false">IF($E221&lt;&gt;"产成品入库","",IF(N($M221)=0,1,N($M221)))</f>
        <v/>
      </c>
      <c r="X221" s="63" t="str">
        <f aca="false">IF($E221&lt;&gt;"产成品入库","",SUMIFS($W$6:$W221,$C$6:$C221,$C221,$D$6:$D221,$D221,$E$6:$E221,"产成品入库"))</f>
        <v/>
      </c>
    </row>
    <row r="222" customFormat="false" ht="15" hidden="false" customHeight="false" outlineLevel="0" collapsed="false">
      <c r="A222" s="53" t="str">
        <f aca="false">IF($B222="","",ROW()-5)</f>
        <v/>
      </c>
      <c r="B222" s="54"/>
      <c r="C222" s="33"/>
      <c r="D222" s="39"/>
      <c r="E222" s="33"/>
      <c r="F222" s="39"/>
      <c r="G222" s="48" t="str">
        <f aca="false">IF($F222="","",IFERROR(INDEX(商品档案!$B$6:$B$65,MATCH($F222,商品档案!$A$6:$A$65,0)),""))</f>
        <v/>
      </c>
      <c r="H222" s="55" t="str">
        <f aca="false">IF($F222="","",IFERROR(INDEX(商品档案!$D$6:$D$65,MATCH($F222,商品档案!$A$6:$A$65,0)),""))</f>
        <v/>
      </c>
      <c r="I222" s="49"/>
      <c r="J222" s="43"/>
      <c r="K222" s="41"/>
      <c r="L222" s="39"/>
      <c r="M222" s="62"/>
      <c r="N222" s="41"/>
      <c r="O222" s="41"/>
      <c r="P222" s="25" t="str">
        <f aca="false">IF(AND($B222="",$E222=""),"",IF(NOT(ISNUMBER($B222)),"日期无效",IF(ISNA(MATCH($C222,参数设置!$A$10:$A$12,0)),"公司无效",IF($D222="","缺批次号",IF(ISNA(MATCH($E222,记账规则!$A$36:$A$38,0)),"业务类型无效",IF(AND($E222&lt;&gt;"加工费用",ISNA(MATCH($F222,商品档案!$A$6:$A$65,0))),"商品编码无效",IF(AND($E222&lt;&gt;"加工费用",IFERROR(INDEX(商品档案!$E$6:$E$65,MATCH($F222,商品档案!$A$6:$A$65,0)),"")&lt;&gt;$C222),"商品不属于该公司",IF(AND($E222&lt;&gt;"加工费用",N($I222)=0),"数量为 0",IF(AND($E222="加工费用",N($J222)=0),"加工费金额为 0",IF(AND($E222="加工费用",ISNA(MATCH($K222,会计科目表!$B$6:$B$85,0))),"对方科目不存在",IF(YEAR($B222)&lt;&gt;参数设置!$B$5,"不在本会计年度","OK")))))))))))</f>
        <v/>
      </c>
      <c r="Q222" s="58" t="str">
        <f aca="false">IF($F222="","",IFERROR(INDEX(商品档案!$G$6:$G$65,MATCH($F222,商品档案!$A$6:$A$65,0)),""))</f>
        <v/>
      </c>
      <c r="R222" s="59" t="str">
        <f aca="false">IF($F222="","",SUMIFS(进销存台账!$N$6:$N$65,进销存台账!$A$6:$A$65,$C222,进销存台账!$B$6:$B$65,$F222))</f>
        <v/>
      </c>
      <c r="S222" s="60" t="n">
        <f aca="false">IF($E222="领用投入",ROUND(N($I222)*N($R222),2),IF($E222="加工费用",ROUND(N($J222),2),0))</f>
        <v>0</v>
      </c>
      <c r="T222" s="60" t="n">
        <f aca="false">IF($E222&lt;&gt;"产成品入库",0,IF(SUMIFS($W$6:$W$305,$C$6:$C$305,$C222,$D$6:$D$305,$D222,$E$6:$E$305,"产成品入库")=0,0,ROUND(SUMIFS($S$6:$S$305,$C$6:$C$305,$C222,$D$6:$D$305,$D222)*N($X222)/SUMIFS($W$6:$W$305,$C$6:$C$305,$C222,$D$6:$D$305,$D222,$E$6:$E$305,"产成品入库"),2)-ROUND(SUMIFS($S$6:$S$305,$C$6:$C$305,$C222,$D$6:$D$305,$D222)*(N($X222)-N($W222))/SUMIFS($W$6:$W$305,$C$6:$C$305,$C222,$D$6:$D$305,$D222,$E$6:$E$305,"产成品入库"),2)))</f>
        <v>0</v>
      </c>
      <c r="U222" s="57" t="str">
        <f aca="false">IF($E222="","",ROUND($S222+$T222,2))</f>
        <v/>
      </c>
      <c r="V222" s="61" t="str">
        <f aca="false">IF($B222="","",YEAR($B222))</f>
        <v/>
      </c>
      <c r="W222" s="63" t="str">
        <f aca="false">IF($E222&lt;&gt;"产成品入库","",IF(N($M222)=0,1,N($M222)))</f>
        <v/>
      </c>
      <c r="X222" s="63" t="str">
        <f aca="false">IF($E222&lt;&gt;"产成品入库","",SUMIFS($W$6:$W222,$C$6:$C222,$C222,$D$6:$D222,$D222,$E$6:$E222,"产成品入库"))</f>
        <v/>
      </c>
    </row>
    <row r="223" customFormat="false" ht="15" hidden="false" customHeight="false" outlineLevel="0" collapsed="false">
      <c r="A223" s="53" t="str">
        <f aca="false">IF($B223="","",ROW()-5)</f>
        <v/>
      </c>
      <c r="B223" s="54"/>
      <c r="C223" s="33"/>
      <c r="D223" s="39"/>
      <c r="E223" s="33"/>
      <c r="F223" s="39"/>
      <c r="G223" s="48" t="str">
        <f aca="false">IF($F223="","",IFERROR(INDEX(商品档案!$B$6:$B$65,MATCH($F223,商品档案!$A$6:$A$65,0)),""))</f>
        <v/>
      </c>
      <c r="H223" s="55" t="str">
        <f aca="false">IF($F223="","",IFERROR(INDEX(商品档案!$D$6:$D$65,MATCH($F223,商品档案!$A$6:$A$65,0)),""))</f>
        <v/>
      </c>
      <c r="I223" s="49"/>
      <c r="J223" s="43"/>
      <c r="K223" s="41"/>
      <c r="L223" s="39"/>
      <c r="M223" s="62"/>
      <c r="N223" s="41"/>
      <c r="O223" s="41"/>
      <c r="P223" s="25" t="str">
        <f aca="false">IF(AND($B223="",$E223=""),"",IF(NOT(ISNUMBER($B223)),"日期无效",IF(ISNA(MATCH($C223,参数设置!$A$10:$A$12,0)),"公司无效",IF($D223="","缺批次号",IF(ISNA(MATCH($E223,记账规则!$A$36:$A$38,0)),"业务类型无效",IF(AND($E223&lt;&gt;"加工费用",ISNA(MATCH($F223,商品档案!$A$6:$A$65,0))),"商品编码无效",IF(AND($E223&lt;&gt;"加工费用",IFERROR(INDEX(商品档案!$E$6:$E$65,MATCH($F223,商品档案!$A$6:$A$65,0)),"")&lt;&gt;$C223),"商品不属于该公司",IF(AND($E223&lt;&gt;"加工费用",N($I223)=0),"数量为 0",IF(AND($E223="加工费用",N($J223)=0),"加工费金额为 0",IF(AND($E223="加工费用",ISNA(MATCH($K223,会计科目表!$B$6:$B$85,0))),"对方科目不存在",IF(YEAR($B223)&lt;&gt;参数设置!$B$5,"不在本会计年度","OK")))))))))))</f>
        <v/>
      </c>
      <c r="Q223" s="58" t="str">
        <f aca="false">IF($F223="","",IFERROR(INDEX(商品档案!$G$6:$G$65,MATCH($F223,商品档案!$A$6:$A$65,0)),""))</f>
        <v/>
      </c>
      <c r="R223" s="59" t="str">
        <f aca="false">IF($F223="","",SUMIFS(进销存台账!$N$6:$N$65,进销存台账!$A$6:$A$65,$C223,进销存台账!$B$6:$B$65,$F223))</f>
        <v/>
      </c>
      <c r="S223" s="60" t="n">
        <f aca="false">IF($E223="领用投入",ROUND(N($I223)*N($R223),2),IF($E223="加工费用",ROUND(N($J223),2),0))</f>
        <v>0</v>
      </c>
      <c r="T223" s="60" t="n">
        <f aca="false">IF($E223&lt;&gt;"产成品入库",0,IF(SUMIFS($W$6:$W$305,$C$6:$C$305,$C223,$D$6:$D$305,$D223,$E$6:$E$305,"产成品入库")=0,0,ROUND(SUMIFS($S$6:$S$305,$C$6:$C$305,$C223,$D$6:$D$305,$D223)*N($X223)/SUMIFS($W$6:$W$305,$C$6:$C$305,$C223,$D$6:$D$305,$D223,$E$6:$E$305,"产成品入库"),2)-ROUND(SUMIFS($S$6:$S$305,$C$6:$C$305,$C223,$D$6:$D$305,$D223)*(N($X223)-N($W223))/SUMIFS($W$6:$W$305,$C$6:$C$305,$C223,$D$6:$D$305,$D223,$E$6:$E$305,"产成品入库"),2)))</f>
        <v>0</v>
      </c>
      <c r="U223" s="57" t="str">
        <f aca="false">IF($E223="","",ROUND($S223+$T223,2))</f>
        <v/>
      </c>
      <c r="V223" s="61" t="str">
        <f aca="false">IF($B223="","",YEAR($B223))</f>
        <v/>
      </c>
      <c r="W223" s="63" t="str">
        <f aca="false">IF($E223&lt;&gt;"产成品入库","",IF(N($M223)=0,1,N($M223)))</f>
        <v/>
      </c>
      <c r="X223" s="63" t="str">
        <f aca="false">IF($E223&lt;&gt;"产成品入库","",SUMIFS($W$6:$W223,$C$6:$C223,$C223,$D$6:$D223,$D223,$E$6:$E223,"产成品入库"))</f>
        <v/>
      </c>
    </row>
    <row r="224" customFormat="false" ht="15" hidden="false" customHeight="false" outlineLevel="0" collapsed="false">
      <c r="A224" s="53" t="str">
        <f aca="false">IF($B224="","",ROW()-5)</f>
        <v/>
      </c>
      <c r="B224" s="54"/>
      <c r="C224" s="33"/>
      <c r="D224" s="39"/>
      <c r="E224" s="33"/>
      <c r="F224" s="39"/>
      <c r="G224" s="48" t="str">
        <f aca="false">IF($F224="","",IFERROR(INDEX(商品档案!$B$6:$B$65,MATCH($F224,商品档案!$A$6:$A$65,0)),""))</f>
        <v/>
      </c>
      <c r="H224" s="55" t="str">
        <f aca="false">IF($F224="","",IFERROR(INDEX(商品档案!$D$6:$D$65,MATCH($F224,商品档案!$A$6:$A$65,0)),""))</f>
        <v/>
      </c>
      <c r="I224" s="49"/>
      <c r="J224" s="43"/>
      <c r="K224" s="41"/>
      <c r="L224" s="39"/>
      <c r="M224" s="62"/>
      <c r="N224" s="41"/>
      <c r="O224" s="41"/>
      <c r="P224" s="25" t="str">
        <f aca="false">IF(AND($B224="",$E224=""),"",IF(NOT(ISNUMBER($B224)),"日期无效",IF(ISNA(MATCH($C224,参数设置!$A$10:$A$12,0)),"公司无效",IF($D224="","缺批次号",IF(ISNA(MATCH($E224,记账规则!$A$36:$A$38,0)),"业务类型无效",IF(AND($E224&lt;&gt;"加工费用",ISNA(MATCH($F224,商品档案!$A$6:$A$65,0))),"商品编码无效",IF(AND($E224&lt;&gt;"加工费用",IFERROR(INDEX(商品档案!$E$6:$E$65,MATCH($F224,商品档案!$A$6:$A$65,0)),"")&lt;&gt;$C224),"商品不属于该公司",IF(AND($E224&lt;&gt;"加工费用",N($I224)=0),"数量为 0",IF(AND($E224="加工费用",N($J224)=0),"加工费金额为 0",IF(AND($E224="加工费用",ISNA(MATCH($K224,会计科目表!$B$6:$B$85,0))),"对方科目不存在",IF(YEAR($B224)&lt;&gt;参数设置!$B$5,"不在本会计年度","OK")))))))))))</f>
        <v/>
      </c>
      <c r="Q224" s="58" t="str">
        <f aca="false">IF($F224="","",IFERROR(INDEX(商品档案!$G$6:$G$65,MATCH($F224,商品档案!$A$6:$A$65,0)),""))</f>
        <v/>
      </c>
      <c r="R224" s="59" t="str">
        <f aca="false">IF($F224="","",SUMIFS(进销存台账!$N$6:$N$65,进销存台账!$A$6:$A$65,$C224,进销存台账!$B$6:$B$65,$F224))</f>
        <v/>
      </c>
      <c r="S224" s="60" t="n">
        <f aca="false">IF($E224="领用投入",ROUND(N($I224)*N($R224),2),IF($E224="加工费用",ROUND(N($J224),2),0))</f>
        <v>0</v>
      </c>
      <c r="T224" s="60" t="n">
        <f aca="false">IF($E224&lt;&gt;"产成品入库",0,IF(SUMIFS($W$6:$W$305,$C$6:$C$305,$C224,$D$6:$D$305,$D224,$E$6:$E$305,"产成品入库")=0,0,ROUND(SUMIFS($S$6:$S$305,$C$6:$C$305,$C224,$D$6:$D$305,$D224)*N($X224)/SUMIFS($W$6:$W$305,$C$6:$C$305,$C224,$D$6:$D$305,$D224,$E$6:$E$305,"产成品入库"),2)-ROUND(SUMIFS($S$6:$S$305,$C$6:$C$305,$C224,$D$6:$D$305,$D224)*(N($X224)-N($W224))/SUMIFS($W$6:$W$305,$C$6:$C$305,$C224,$D$6:$D$305,$D224,$E$6:$E$305,"产成品入库"),2)))</f>
        <v>0</v>
      </c>
      <c r="U224" s="57" t="str">
        <f aca="false">IF($E224="","",ROUND($S224+$T224,2))</f>
        <v/>
      </c>
      <c r="V224" s="61" t="str">
        <f aca="false">IF($B224="","",YEAR($B224))</f>
        <v/>
      </c>
      <c r="W224" s="63" t="str">
        <f aca="false">IF($E224&lt;&gt;"产成品入库","",IF(N($M224)=0,1,N($M224)))</f>
        <v/>
      </c>
      <c r="X224" s="63" t="str">
        <f aca="false">IF($E224&lt;&gt;"产成品入库","",SUMIFS($W$6:$W224,$C$6:$C224,$C224,$D$6:$D224,$D224,$E$6:$E224,"产成品入库"))</f>
        <v/>
      </c>
    </row>
    <row r="225" customFormat="false" ht="15" hidden="false" customHeight="false" outlineLevel="0" collapsed="false">
      <c r="A225" s="53" t="str">
        <f aca="false">IF($B225="","",ROW()-5)</f>
        <v/>
      </c>
      <c r="B225" s="54"/>
      <c r="C225" s="33"/>
      <c r="D225" s="39"/>
      <c r="E225" s="33"/>
      <c r="F225" s="39"/>
      <c r="G225" s="48" t="str">
        <f aca="false">IF($F225="","",IFERROR(INDEX(商品档案!$B$6:$B$65,MATCH($F225,商品档案!$A$6:$A$65,0)),""))</f>
        <v/>
      </c>
      <c r="H225" s="55" t="str">
        <f aca="false">IF($F225="","",IFERROR(INDEX(商品档案!$D$6:$D$65,MATCH($F225,商品档案!$A$6:$A$65,0)),""))</f>
        <v/>
      </c>
      <c r="I225" s="49"/>
      <c r="J225" s="43"/>
      <c r="K225" s="41"/>
      <c r="L225" s="39"/>
      <c r="M225" s="62"/>
      <c r="N225" s="41"/>
      <c r="O225" s="41"/>
      <c r="P225" s="25" t="str">
        <f aca="false">IF(AND($B225="",$E225=""),"",IF(NOT(ISNUMBER($B225)),"日期无效",IF(ISNA(MATCH($C225,参数设置!$A$10:$A$12,0)),"公司无效",IF($D225="","缺批次号",IF(ISNA(MATCH($E225,记账规则!$A$36:$A$38,0)),"业务类型无效",IF(AND($E225&lt;&gt;"加工费用",ISNA(MATCH($F225,商品档案!$A$6:$A$65,0))),"商品编码无效",IF(AND($E225&lt;&gt;"加工费用",IFERROR(INDEX(商品档案!$E$6:$E$65,MATCH($F225,商品档案!$A$6:$A$65,0)),"")&lt;&gt;$C225),"商品不属于该公司",IF(AND($E225&lt;&gt;"加工费用",N($I225)=0),"数量为 0",IF(AND($E225="加工费用",N($J225)=0),"加工费金额为 0",IF(AND($E225="加工费用",ISNA(MATCH($K225,会计科目表!$B$6:$B$85,0))),"对方科目不存在",IF(YEAR($B225)&lt;&gt;参数设置!$B$5,"不在本会计年度","OK")))))))))))</f>
        <v/>
      </c>
      <c r="Q225" s="58" t="str">
        <f aca="false">IF($F225="","",IFERROR(INDEX(商品档案!$G$6:$G$65,MATCH($F225,商品档案!$A$6:$A$65,0)),""))</f>
        <v/>
      </c>
      <c r="R225" s="59" t="str">
        <f aca="false">IF($F225="","",SUMIFS(进销存台账!$N$6:$N$65,进销存台账!$A$6:$A$65,$C225,进销存台账!$B$6:$B$65,$F225))</f>
        <v/>
      </c>
      <c r="S225" s="60" t="n">
        <f aca="false">IF($E225="领用投入",ROUND(N($I225)*N($R225),2),IF($E225="加工费用",ROUND(N($J225),2),0))</f>
        <v>0</v>
      </c>
      <c r="T225" s="60" t="n">
        <f aca="false">IF($E225&lt;&gt;"产成品入库",0,IF(SUMIFS($W$6:$W$305,$C$6:$C$305,$C225,$D$6:$D$305,$D225,$E$6:$E$305,"产成品入库")=0,0,ROUND(SUMIFS($S$6:$S$305,$C$6:$C$305,$C225,$D$6:$D$305,$D225)*N($X225)/SUMIFS($W$6:$W$305,$C$6:$C$305,$C225,$D$6:$D$305,$D225,$E$6:$E$305,"产成品入库"),2)-ROUND(SUMIFS($S$6:$S$305,$C$6:$C$305,$C225,$D$6:$D$305,$D225)*(N($X225)-N($W225))/SUMIFS($W$6:$W$305,$C$6:$C$305,$C225,$D$6:$D$305,$D225,$E$6:$E$305,"产成品入库"),2)))</f>
        <v>0</v>
      </c>
      <c r="U225" s="57" t="str">
        <f aca="false">IF($E225="","",ROUND($S225+$T225,2))</f>
        <v/>
      </c>
      <c r="V225" s="61" t="str">
        <f aca="false">IF($B225="","",YEAR($B225))</f>
        <v/>
      </c>
      <c r="W225" s="63" t="str">
        <f aca="false">IF($E225&lt;&gt;"产成品入库","",IF(N($M225)=0,1,N($M225)))</f>
        <v/>
      </c>
      <c r="X225" s="63" t="str">
        <f aca="false">IF($E225&lt;&gt;"产成品入库","",SUMIFS($W$6:$W225,$C$6:$C225,$C225,$D$6:$D225,$D225,$E$6:$E225,"产成品入库"))</f>
        <v/>
      </c>
    </row>
    <row r="226" customFormat="false" ht="15" hidden="false" customHeight="false" outlineLevel="0" collapsed="false">
      <c r="A226" s="53" t="str">
        <f aca="false">IF($B226="","",ROW()-5)</f>
        <v/>
      </c>
      <c r="B226" s="54"/>
      <c r="C226" s="33"/>
      <c r="D226" s="39"/>
      <c r="E226" s="33"/>
      <c r="F226" s="39"/>
      <c r="G226" s="48" t="str">
        <f aca="false">IF($F226="","",IFERROR(INDEX(商品档案!$B$6:$B$65,MATCH($F226,商品档案!$A$6:$A$65,0)),""))</f>
        <v/>
      </c>
      <c r="H226" s="55" t="str">
        <f aca="false">IF($F226="","",IFERROR(INDEX(商品档案!$D$6:$D$65,MATCH($F226,商品档案!$A$6:$A$65,0)),""))</f>
        <v/>
      </c>
      <c r="I226" s="49"/>
      <c r="J226" s="43"/>
      <c r="K226" s="41"/>
      <c r="L226" s="39"/>
      <c r="M226" s="62"/>
      <c r="N226" s="41"/>
      <c r="O226" s="41"/>
      <c r="P226" s="25" t="str">
        <f aca="false">IF(AND($B226="",$E226=""),"",IF(NOT(ISNUMBER($B226)),"日期无效",IF(ISNA(MATCH($C226,参数设置!$A$10:$A$12,0)),"公司无效",IF($D226="","缺批次号",IF(ISNA(MATCH($E226,记账规则!$A$36:$A$38,0)),"业务类型无效",IF(AND($E226&lt;&gt;"加工费用",ISNA(MATCH($F226,商品档案!$A$6:$A$65,0))),"商品编码无效",IF(AND($E226&lt;&gt;"加工费用",IFERROR(INDEX(商品档案!$E$6:$E$65,MATCH($F226,商品档案!$A$6:$A$65,0)),"")&lt;&gt;$C226),"商品不属于该公司",IF(AND($E226&lt;&gt;"加工费用",N($I226)=0),"数量为 0",IF(AND($E226="加工费用",N($J226)=0),"加工费金额为 0",IF(AND($E226="加工费用",ISNA(MATCH($K226,会计科目表!$B$6:$B$85,0))),"对方科目不存在",IF(YEAR($B226)&lt;&gt;参数设置!$B$5,"不在本会计年度","OK")))))))))))</f>
        <v/>
      </c>
      <c r="Q226" s="58" t="str">
        <f aca="false">IF($F226="","",IFERROR(INDEX(商品档案!$G$6:$G$65,MATCH($F226,商品档案!$A$6:$A$65,0)),""))</f>
        <v/>
      </c>
      <c r="R226" s="59" t="str">
        <f aca="false">IF($F226="","",SUMIFS(进销存台账!$N$6:$N$65,进销存台账!$A$6:$A$65,$C226,进销存台账!$B$6:$B$65,$F226))</f>
        <v/>
      </c>
      <c r="S226" s="60" t="n">
        <f aca="false">IF($E226="领用投入",ROUND(N($I226)*N($R226),2),IF($E226="加工费用",ROUND(N($J226),2),0))</f>
        <v>0</v>
      </c>
      <c r="T226" s="60" t="n">
        <f aca="false">IF($E226&lt;&gt;"产成品入库",0,IF(SUMIFS($W$6:$W$305,$C$6:$C$305,$C226,$D$6:$D$305,$D226,$E$6:$E$305,"产成品入库")=0,0,ROUND(SUMIFS($S$6:$S$305,$C$6:$C$305,$C226,$D$6:$D$305,$D226)*N($X226)/SUMIFS($W$6:$W$305,$C$6:$C$305,$C226,$D$6:$D$305,$D226,$E$6:$E$305,"产成品入库"),2)-ROUND(SUMIFS($S$6:$S$305,$C$6:$C$305,$C226,$D$6:$D$305,$D226)*(N($X226)-N($W226))/SUMIFS($W$6:$W$305,$C$6:$C$305,$C226,$D$6:$D$305,$D226,$E$6:$E$305,"产成品入库"),2)))</f>
        <v>0</v>
      </c>
      <c r="U226" s="57" t="str">
        <f aca="false">IF($E226="","",ROUND($S226+$T226,2))</f>
        <v/>
      </c>
      <c r="V226" s="61" t="str">
        <f aca="false">IF($B226="","",YEAR($B226))</f>
        <v/>
      </c>
      <c r="W226" s="63" t="str">
        <f aca="false">IF($E226&lt;&gt;"产成品入库","",IF(N($M226)=0,1,N($M226)))</f>
        <v/>
      </c>
      <c r="X226" s="63" t="str">
        <f aca="false">IF($E226&lt;&gt;"产成品入库","",SUMIFS($W$6:$W226,$C$6:$C226,$C226,$D$6:$D226,$D226,$E$6:$E226,"产成品入库"))</f>
        <v/>
      </c>
    </row>
    <row r="227" customFormat="false" ht="15" hidden="false" customHeight="false" outlineLevel="0" collapsed="false">
      <c r="A227" s="53" t="str">
        <f aca="false">IF($B227="","",ROW()-5)</f>
        <v/>
      </c>
      <c r="B227" s="54"/>
      <c r="C227" s="33"/>
      <c r="D227" s="39"/>
      <c r="E227" s="33"/>
      <c r="F227" s="39"/>
      <c r="G227" s="48" t="str">
        <f aca="false">IF($F227="","",IFERROR(INDEX(商品档案!$B$6:$B$65,MATCH($F227,商品档案!$A$6:$A$65,0)),""))</f>
        <v/>
      </c>
      <c r="H227" s="55" t="str">
        <f aca="false">IF($F227="","",IFERROR(INDEX(商品档案!$D$6:$D$65,MATCH($F227,商品档案!$A$6:$A$65,0)),""))</f>
        <v/>
      </c>
      <c r="I227" s="49"/>
      <c r="J227" s="43"/>
      <c r="K227" s="41"/>
      <c r="L227" s="39"/>
      <c r="M227" s="62"/>
      <c r="N227" s="41"/>
      <c r="O227" s="41"/>
      <c r="P227" s="25" t="str">
        <f aca="false">IF(AND($B227="",$E227=""),"",IF(NOT(ISNUMBER($B227)),"日期无效",IF(ISNA(MATCH($C227,参数设置!$A$10:$A$12,0)),"公司无效",IF($D227="","缺批次号",IF(ISNA(MATCH($E227,记账规则!$A$36:$A$38,0)),"业务类型无效",IF(AND($E227&lt;&gt;"加工费用",ISNA(MATCH($F227,商品档案!$A$6:$A$65,0))),"商品编码无效",IF(AND($E227&lt;&gt;"加工费用",IFERROR(INDEX(商品档案!$E$6:$E$65,MATCH($F227,商品档案!$A$6:$A$65,0)),"")&lt;&gt;$C227),"商品不属于该公司",IF(AND($E227&lt;&gt;"加工费用",N($I227)=0),"数量为 0",IF(AND($E227="加工费用",N($J227)=0),"加工费金额为 0",IF(AND($E227="加工费用",ISNA(MATCH($K227,会计科目表!$B$6:$B$85,0))),"对方科目不存在",IF(YEAR($B227)&lt;&gt;参数设置!$B$5,"不在本会计年度","OK")))))))))))</f>
        <v/>
      </c>
      <c r="Q227" s="58" t="str">
        <f aca="false">IF($F227="","",IFERROR(INDEX(商品档案!$G$6:$G$65,MATCH($F227,商品档案!$A$6:$A$65,0)),""))</f>
        <v/>
      </c>
      <c r="R227" s="59" t="str">
        <f aca="false">IF($F227="","",SUMIFS(进销存台账!$N$6:$N$65,进销存台账!$A$6:$A$65,$C227,进销存台账!$B$6:$B$65,$F227))</f>
        <v/>
      </c>
      <c r="S227" s="60" t="n">
        <f aca="false">IF($E227="领用投入",ROUND(N($I227)*N($R227),2),IF($E227="加工费用",ROUND(N($J227),2),0))</f>
        <v>0</v>
      </c>
      <c r="T227" s="60" t="n">
        <f aca="false">IF($E227&lt;&gt;"产成品入库",0,IF(SUMIFS($W$6:$W$305,$C$6:$C$305,$C227,$D$6:$D$305,$D227,$E$6:$E$305,"产成品入库")=0,0,ROUND(SUMIFS($S$6:$S$305,$C$6:$C$305,$C227,$D$6:$D$305,$D227)*N($X227)/SUMIFS($W$6:$W$305,$C$6:$C$305,$C227,$D$6:$D$305,$D227,$E$6:$E$305,"产成品入库"),2)-ROUND(SUMIFS($S$6:$S$305,$C$6:$C$305,$C227,$D$6:$D$305,$D227)*(N($X227)-N($W227))/SUMIFS($W$6:$W$305,$C$6:$C$305,$C227,$D$6:$D$305,$D227,$E$6:$E$305,"产成品入库"),2)))</f>
        <v>0</v>
      </c>
      <c r="U227" s="57" t="str">
        <f aca="false">IF($E227="","",ROUND($S227+$T227,2))</f>
        <v/>
      </c>
      <c r="V227" s="61" t="str">
        <f aca="false">IF($B227="","",YEAR($B227))</f>
        <v/>
      </c>
      <c r="W227" s="63" t="str">
        <f aca="false">IF($E227&lt;&gt;"产成品入库","",IF(N($M227)=0,1,N($M227)))</f>
        <v/>
      </c>
      <c r="X227" s="63" t="str">
        <f aca="false">IF($E227&lt;&gt;"产成品入库","",SUMIFS($W$6:$W227,$C$6:$C227,$C227,$D$6:$D227,$D227,$E$6:$E227,"产成品入库"))</f>
        <v/>
      </c>
    </row>
    <row r="228" customFormat="false" ht="15" hidden="false" customHeight="false" outlineLevel="0" collapsed="false">
      <c r="A228" s="53" t="str">
        <f aca="false">IF($B228="","",ROW()-5)</f>
        <v/>
      </c>
      <c r="B228" s="54"/>
      <c r="C228" s="33"/>
      <c r="D228" s="39"/>
      <c r="E228" s="33"/>
      <c r="F228" s="39"/>
      <c r="G228" s="48" t="str">
        <f aca="false">IF($F228="","",IFERROR(INDEX(商品档案!$B$6:$B$65,MATCH($F228,商品档案!$A$6:$A$65,0)),""))</f>
        <v/>
      </c>
      <c r="H228" s="55" t="str">
        <f aca="false">IF($F228="","",IFERROR(INDEX(商品档案!$D$6:$D$65,MATCH($F228,商品档案!$A$6:$A$65,0)),""))</f>
        <v/>
      </c>
      <c r="I228" s="49"/>
      <c r="J228" s="43"/>
      <c r="K228" s="41"/>
      <c r="L228" s="39"/>
      <c r="M228" s="62"/>
      <c r="N228" s="41"/>
      <c r="O228" s="41"/>
      <c r="P228" s="25" t="str">
        <f aca="false">IF(AND($B228="",$E228=""),"",IF(NOT(ISNUMBER($B228)),"日期无效",IF(ISNA(MATCH($C228,参数设置!$A$10:$A$12,0)),"公司无效",IF($D228="","缺批次号",IF(ISNA(MATCH($E228,记账规则!$A$36:$A$38,0)),"业务类型无效",IF(AND($E228&lt;&gt;"加工费用",ISNA(MATCH($F228,商品档案!$A$6:$A$65,0))),"商品编码无效",IF(AND($E228&lt;&gt;"加工费用",IFERROR(INDEX(商品档案!$E$6:$E$65,MATCH($F228,商品档案!$A$6:$A$65,0)),"")&lt;&gt;$C228),"商品不属于该公司",IF(AND($E228&lt;&gt;"加工费用",N($I228)=0),"数量为 0",IF(AND($E228="加工费用",N($J228)=0),"加工费金额为 0",IF(AND($E228="加工费用",ISNA(MATCH($K228,会计科目表!$B$6:$B$85,0))),"对方科目不存在",IF(YEAR($B228)&lt;&gt;参数设置!$B$5,"不在本会计年度","OK")))))))))))</f>
        <v/>
      </c>
      <c r="Q228" s="58" t="str">
        <f aca="false">IF($F228="","",IFERROR(INDEX(商品档案!$G$6:$G$65,MATCH($F228,商品档案!$A$6:$A$65,0)),""))</f>
        <v/>
      </c>
      <c r="R228" s="59" t="str">
        <f aca="false">IF($F228="","",SUMIFS(进销存台账!$N$6:$N$65,进销存台账!$A$6:$A$65,$C228,进销存台账!$B$6:$B$65,$F228))</f>
        <v/>
      </c>
      <c r="S228" s="60" t="n">
        <f aca="false">IF($E228="领用投入",ROUND(N($I228)*N($R228),2),IF($E228="加工费用",ROUND(N($J228),2),0))</f>
        <v>0</v>
      </c>
      <c r="T228" s="60" t="n">
        <f aca="false">IF($E228&lt;&gt;"产成品入库",0,IF(SUMIFS($W$6:$W$305,$C$6:$C$305,$C228,$D$6:$D$305,$D228,$E$6:$E$305,"产成品入库")=0,0,ROUND(SUMIFS($S$6:$S$305,$C$6:$C$305,$C228,$D$6:$D$305,$D228)*N($X228)/SUMIFS($W$6:$W$305,$C$6:$C$305,$C228,$D$6:$D$305,$D228,$E$6:$E$305,"产成品入库"),2)-ROUND(SUMIFS($S$6:$S$305,$C$6:$C$305,$C228,$D$6:$D$305,$D228)*(N($X228)-N($W228))/SUMIFS($W$6:$W$305,$C$6:$C$305,$C228,$D$6:$D$305,$D228,$E$6:$E$305,"产成品入库"),2)))</f>
        <v>0</v>
      </c>
      <c r="U228" s="57" t="str">
        <f aca="false">IF($E228="","",ROUND($S228+$T228,2))</f>
        <v/>
      </c>
      <c r="V228" s="61" t="str">
        <f aca="false">IF($B228="","",YEAR($B228))</f>
        <v/>
      </c>
      <c r="W228" s="63" t="str">
        <f aca="false">IF($E228&lt;&gt;"产成品入库","",IF(N($M228)=0,1,N($M228)))</f>
        <v/>
      </c>
      <c r="X228" s="63" t="str">
        <f aca="false">IF($E228&lt;&gt;"产成品入库","",SUMIFS($W$6:$W228,$C$6:$C228,$C228,$D$6:$D228,$D228,$E$6:$E228,"产成品入库"))</f>
        <v/>
      </c>
    </row>
    <row r="229" customFormat="false" ht="15" hidden="false" customHeight="false" outlineLevel="0" collapsed="false">
      <c r="A229" s="53" t="str">
        <f aca="false">IF($B229="","",ROW()-5)</f>
        <v/>
      </c>
      <c r="B229" s="54"/>
      <c r="C229" s="33"/>
      <c r="D229" s="39"/>
      <c r="E229" s="33"/>
      <c r="F229" s="39"/>
      <c r="G229" s="48" t="str">
        <f aca="false">IF($F229="","",IFERROR(INDEX(商品档案!$B$6:$B$65,MATCH($F229,商品档案!$A$6:$A$65,0)),""))</f>
        <v/>
      </c>
      <c r="H229" s="55" t="str">
        <f aca="false">IF($F229="","",IFERROR(INDEX(商品档案!$D$6:$D$65,MATCH($F229,商品档案!$A$6:$A$65,0)),""))</f>
        <v/>
      </c>
      <c r="I229" s="49"/>
      <c r="J229" s="43"/>
      <c r="K229" s="41"/>
      <c r="L229" s="39"/>
      <c r="M229" s="62"/>
      <c r="N229" s="41"/>
      <c r="O229" s="41"/>
      <c r="P229" s="25" t="str">
        <f aca="false">IF(AND($B229="",$E229=""),"",IF(NOT(ISNUMBER($B229)),"日期无效",IF(ISNA(MATCH($C229,参数设置!$A$10:$A$12,0)),"公司无效",IF($D229="","缺批次号",IF(ISNA(MATCH($E229,记账规则!$A$36:$A$38,0)),"业务类型无效",IF(AND($E229&lt;&gt;"加工费用",ISNA(MATCH($F229,商品档案!$A$6:$A$65,0))),"商品编码无效",IF(AND($E229&lt;&gt;"加工费用",IFERROR(INDEX(商品档案!$E$6:$E$65,MATCH($F229,商品档案!$A$6:$A$65,0)),"")&lt;&gt;$C229),"商品不属于该公司",IF(AND($E229&lt;&gt;"加工费用",N($I229)=0),"数量为 0",IF(AND($E229="加工费用",N($J229)=0),"加工费金额为 0",IF(AND($E229="加工费用",ISNA(MATCH($K229,会计科目表!$B$6:$B$85,0))),"对方科目不存在",IF(YEAR($B229)&lt;&gt;参数设置!$B$5,"不在本会计年度","OK")))))))))))</f>
        <v/>
      </c>
      <c r="Q229" s="58" t="str">
        <f aca="false">IF($F229="","",IFERROR(INDEX(商品档案!$G$6:$G$65,MATCH($F229,商品档案!$A$6:$A$65,0)),""))</f>
        <v/>
      </c>
      <c r="R229" s="59" t="str">
        <f aca="false">IF($F229="","",SUMIFS(进销存台账!$N$6:$N$65,进销存台账!$A$6:$A$65,$C229,进销存台账!$B$6:$B$65,$F229))</f>
        <v/>
      </c>
      <c r="S229" s="60" t="n">
        <f aca="false">IF($E229="领用投入",ROUND(N($I229)*N($R229),2),IF($E229="加工费用",ROUND(N($J229),2),0))</f>
        <v>0</v>
      </c>
      <c r="T229" s="60" t="n">
        <f aca="false">IF($E229&lt;&gt;"产成品入库",0,IF(SUMIFS($W$6:$W$305,$C$6:$C$305,$C229,$D$6:$D$305,$D229,$E$6:$E$305,"产成品入库")=0,0,ROUND(SUMIFS($S$6:$S$305,$C$6:$C$305,$C229,$D$6:$D$305,$D229)*N($X229)/SUMIFS($W$6:$W$305,$C$6:$C$305,$C229,$D$6:$D$305,$D229,$E$6:$E$305,"产成品入库"),2)-ROUND(SUMIFS($S$6:$S$305,$C$6:$C$305,$C229,$D$6:$D$305,$D229)*(N($X229)-N($W229))/SUMIFS($W$6:$W$305,$C$6:$C$305,$C229,$D$6:$D$305,$D229,$E$6:$E$305,"产成品入库"),2)))</f>
        <v>0</v>
      </c>
      <c r="U229" s="57" t="str">
        <f aca="false">IF($E229="","",ROUND($S229+$T229,2))</f>
        <v/>
      </c>
      <c r="V229" s="61" t="str">
        <f aca="false">IF($B229="","",YEAR($B229))</f>
        <v/>
      </c>
      <c r="W229" s="63" t="str">
        <f aca="false">IF($E229&lt;&gt;"产成品入库","",IF(N($M229)=0,1,N($M229)))</f>
        <v/>
      </c>
      <c r="X229" s="63" t="str">
        <f aca="false">IF($E229&lt;&gt;"产成品入库","",SUMIFS($W$6:$W229,$C$6:$C229,$C229,$D$6:$D229,$D229,$E$6:$E229,"产成品入库"))</f>
        <v/>
      </c>
    </row>
    <row r="230" customFormat="false" ht="15" hidden="false" customHeight="false" outlineLevel="0" collapsed="false">
      <c r="A230" s="53" t="str">
        <f aca="false">IF($B230="","",ROW()-5)</f>
        <v/>
      </c>
      <c r="B230" s="54"/>
      <c r="C230" s="33"/>
      <c r="D230" s="39"/>
      <c r="E230" s="33"/>
      <c r="F230" s="39"/>
      <c r="G230" s="48" t="str">
        <f aca="false">IF($F230="","",IFERROR(INDEX(商品档案!$B$6:$B$65,MATCH($F230,商品档案!$A$6:$A$65,0)),""))</f>
        <v/>
      </c>
      <c r="H230" s="55" t="str">
        <f aca="false">IF($F230="","",IFERROR(INDEX(商品档案!$D$6:$D$65,MATCH($F230,商品档案!$A$6:$A$65,0)),""))</f>
        <v/>
      </c>
      <c r="I230" s="49"/>
      <c r="J230" s="43"/>
      <c r="K230" s="41"/>
      <c r="L230" s="39"/>
      <c r="M230" s="62"/>
      <c r="N230" s="41"/>
      <c r="O230" s="41"/>
      <c r="P230" s="25" t="str">
        <f aca="false">IF(AND($B230="",$E230=""),"",IF(NOT(ISNUMBER($B230)),"日期无效",IF(ISNA(MATCH($C230,参数设置!$A$10:$A$12,0)),"公司无效",IF($D230="","缺批次号",IF(ISNA(MATCH($E230,记账规则!$A$36:$A$38,0)),"业务类型无效",IF(AND($E230&lt;&gt;"加工费用",ISNA(MATCH($F230,商品档案!$A$6:$A$65,0))),"商品编码无效",IF(AND($E230&lt;&gt;"加工费用",IFERROR(INDEX(商品档案!$E$6:$E$65,MATCH($F230,商品档案!$A$6:$A$65,0)),"")&lt;&gt;$C230),"商品不属于该公司",IF(AND($E230&lt;&gt;"加工费用",N($I230)=0),"数量为 0",IF(AND($E230="加工费用",N($J230)=0),"加工费金额为 0",IF(AND($E230="加工费用",ISNA(MATCH($K230,会计科目表!$B$6:$B$85,0))),"对方科目不存在",IF(YEAR($B230)&lt;&gt;参数设置!$B$5,"不在本会计年度","OK")))))))))))</f>
        <v/>
      </c>
      <c r="Q230" s="58" t="str">
        <f aca="false">IF($F230="","",IFERROR(INDEX(商品档案!$G$6:$G$65,MATCH($F230,商品档案!$A$6:$A$65,0)),""))</f>
        <v/>
      </c>
      <c r="R230" s="59" t="str">
        <f aca="false">IF($F230="","",SUMIFS(进销存台账!$N$6:$N$65,进销存台账!$A$6:$A$65,$C230,进销存台账!$B$6:$B$65,$F230))</f>
        <v/>
      </c>
      <c r="S230" s="60" t="n">
        <f aca="false">IF($E230="领用投入",ROUND(N($I230)*N($R230),2),IF($E230="加工费用",ROUND(N($J230),2),0))</f>
        <v>0</v>
      </c>
      <c r="T230" s="60" t="n">
        <f aca="false">IF($E230&lt;&gt;"产成品入库",0,IF(SUMIFS($W$6:$W$305,$C$6:$C$305,$C230,$D$6:$D$305,$D230,$E$6:$E$305,"产成品入库")=0,0,ROUND(SUMIFS($S$6:$S$305,$C$6:$C$305,$C230,$D$6:$D$305,$D230)*N($X230)/SUMIFS($W$6:$W$305,$C$6:$C$305,$C230,$D$6:$D$305,$D230,$E$6:$E$305,"产成品入库"),2)-ROUND(SUMIFS($S$6:$S$305,$C$6:$C$305,$C230,$D$6:$D$305,$D230)*(N($X230)-N($W230))/SUMIFS($W$6:$W$305,$C$6:$C$305,$C230,$D$6:$D$305,$D230,$E$6:$E$305,"产成品入库"),2)))</f>
        <v>0</v>
      </c>
      <c r="U230" s="57" t="str">
        <f aca="false">IF($E230="","",ROUND($S230+$T230,2))</f>
        <v/>
      </c>
      <c r="V230" s="61" t="str">
        <f aca="false">IF($B230="","",YEAR($B230))</f>
        <v/>
      </c>
      <c r="W230" s="63" t="str">
        <f aca="false">IF($E230&lt;&gt;"产成品入库","",IF(N($M230)=0,1,N($M230)))</f>
        <v/>
      </c>
      <c r="X230" s="63" t="str">
        <f aca="false">IF($E230&lt;&gt;"产成品入库","",SUMIFS($W$6:$W230,$C$6:$C230,$C230,$D$6:$D230,$D230,$E$6:$E230,"产成品入库"))</f>
        <v/>
      </c>
    </row>
    <row r="231" customFormat="false" ht="15" hidden="false" customHeight="false" outlineLevel="0" collapsed="false">
      <c r="A231" s="53" t="str">
        <f aca="false">IF($B231="","",ROW()-5)</f>
        <v/>
      </c>
      <c r="B231" s="54"/>
      <c r="C231" s="33"/>
      <c r="D231" s="39"/>
      <c r="E231" s="33"/>
      <c r="F231" s="39"/>
      <c r="G231" s="48" t="str">
        <f aca="false">IF($F231="","",IFERROR(INDEX(商品档案!$B$6:$B$65,MATCH($F231,商品档案!$A$6:$A$65,0)),""))</f>
        <v/>
      </c>
      <c r="H231" s="55" t="str">
        <f aca="false">IF($F231="","",IFERROR(INDEX(商品档案!$D$6:$D$65,MATCH($F231,商品档案!$A$6:$A$65,0)),""))</f>
        <v/>
      </c>
      <c r="I231" s="49"/>
      <c r="J231" s="43"/>
      <c r="K231" s="41"/>
      <c r="L231" s="39"/>
      <c r="M231" s="62"/>
      <c r="N231" s="41"/>
      <c r="O231" s="41"/>
      <c r="P231" s="25" t="str">
        <f aca="false">IF(AND($B231="",$E231=""),"",IF(NOT(ISNUMBER($B231)),"日期无效",IF(ISNA(MATCH($C231,参数设置!$A$10:$A$12,0)),"公司无效",IF($D231="","缺批次号",IF(ISNA(MATCH($E231,记账规则!$A$36:$A$38,0)),"业务类型无效",IF(AND($E231&lt;&gt;"加工费用",ISNA(MATCH($F231,商品档案!$A$6:$A$65,0))),"商品编码无效",IF(AND($E231&lt;&gt;"加工费用",IFERROR(INDEX(商品档案!$E$6:$E$65,MATCH($F231,商品档案!$A$6:$A$65,0)),"")&lt;&gt;$C231),"商品不属于该公司",IF(AND($E231&lt;&gt;"加工费用",N($I231)=0),"数量为 0",IF(AND($E231="加工费用",N($J231)=0),"加工费金额为 0",IF(AND($E231="加工费用",ISNA(MATCH($K231,会计科目表!$B$6:$B$85,0))),"对方科目不存在",IF(YEAR($B231)&lt;&gt;参数设置!$B$5,"不在本会计年度","OK")))))))))))</f>
        <v/>
      </c>
      <c r="Q231" s="58" t="str">
        <f aca="false">IF($F231="","",IFERROR(INDEX(商品档案!$G$6:$G$65,MATCH($F231,商品档案!$A$6:$A$65,0)),""))</f>
        <v/>
      </c>
      <c r="R231" s="59" t="str">
        <f aca="false">IF($F231="","",SUMIFS(进销存台账!$N$6:$N$65,进销存台账!$A$6:$A$65,$C231,进销存台账!$B$6:$B$65,$F231))</f>
        <v/>
      </c>
      <c r="S231" s="60" t="n">
        <f aca="false">IF($E231="领用投入",ROUND(N($I231)*N($R231),2),IF($E231="加工费用",ROUND(N($J231),2),0))</f>
        <v>0</v>
      </c>
      <c r="T231" s="60" t="n">
        <f aca="false">IF($E231&lt;&gt;"产成品入库",0,IF(SUMIFS($W$6:$W$305,$C$6:$C$305,$C231,$D$6:$D$305,$D231,$E$6:$E$305,"产成品入库")=0,0,ROUND(SUMIFS($S$6:$S$305,$C$6:$C$305,$C231,$D$6:$D$305,$D231)*N($X231)/SUMIFS($W$6:$W$305,$C$6:$C$305,$C231,$D$6:$D$305,$D231,$E$6:$E$305,"产成品入库"),2)-ROUND(SUMIFS($S$6:$S$305,$C$6:$C$305,$C231,$D$6:$D$305,$D231)*(N($X231)-N($W231))/SUMIFS($W$6:$W$305,$C$6:$C$305,$C231,$D$6:$D$305,$D231,$E$6:$E$305,"产成品入库"),2)))</f>
        <v>0</v>
      </c>
      <c r="U231" s="57" t="str">
        <f aca="false">IF($E231="","",ROUND($S231+$T231,2))</f>
        <v/>
      </c>
      <c r="V231" s="61" t="str">
        <f aca="false">IF($B231="","",YEAR($B231))</f>
        <v/>
      </c>
      <c r="W231" s="63" t="str">
        <f aca="false">IF($E231&lt;&gt;"产成品入库","",IF(N($M231)=0,1,N($M231)))</f>
        <v/>
      </c>
      <c r="X231" s="63" t="str">
        <f aca="false">IF($E231&lt;&gt;"产成品入库","",SUMIFS($W$6:$W231,$C$6:$C231,$C231,$D$6:$D231,$D231,$E$6:$E231,"产成品入库"))</f>
        <v/>
      </c>
    </row>
    <row r="232" customFormat="false" ht="15" hidden="false" customHeight="false" outlineLevel="0" collapsed="false">
      <c r="A232" s="53" t="str">
        <f aca="false">IF($B232="","",ROW()-5)</f>
        <v/>
      </c>
      <c r="B232" s="54"/>
      <c r="C232" s="33"/>
      <c r="D232" s="39"/>
      <c r="E232" s="33"/>
      <c r="F232" s="39"/>
      <c r="G232" s="48" t="str">
        <f aca="false">IF($F232="","",IFERROR(INDEX(商品档案!$B$6:$B$65,MATCH($F232,商品档案!$A$6:$A$65,0)),""))</f>
        <v/>
      </c>
      <c r="H232" s="55" t="str">
        <f aca="false">IF($F232="","",IFERROR(INDEX(商品档案!$D$6:$D$65,MATCH($F232,商品档案!$A$6:$A$65,0)),""))</f>
        <v/>
      </c>
      <c r="I232" s="49"/>
      <c r="J232" s="43"/>
      <c r="K232" s="41"/>
      <c r="L232" s="39"/>
      <c r="M232" s="62"/>
      <c r="N232" s="41"/>
      <c r="O232" s="41"/>
      <c r="P232" s="25" t="str">
        <f aca="false">IF(AND($B232="",$E232=""),"",IF(NOT(ISNUMBER($B232)),"日期无效",IF(ISNA(MATCH($C232,参数设置!$A$10:$A$12,0)),"公司无效",IF($D232="","缺批次号",IF(ISNA(MATCH($E232,记账规则!$A$36:$A$38,0)),"业务类型无效",IF(AND($E232&lt;&gt;"加工费用",ISNA(MATCH($F232,商品档案!$A$6:$A$65,0))),"商品编码无效",IF(AND($E232&lt;&gt;"加工费用",IFERROR(INDEX(商品档案!$E$6:$E$65,MATCH($F232,商品档案!$A$6:$A$65,0)),"")&lt;&gt;$C232),"商品不属于该公司",IF(AND($E232&lt;&gt;"加工费用",N($I232)=0),"数量为 0",IF(AND($E232="加工费用",N($J232)=0),"加工费金额为 0",IF(AND($E232="加工费用",ISNA(MATCH($K232,会计科目表!$B$6:$B$85,0))),"对方科目不存在",IF(YEAR($B232)&lt;&gt;参数设置!$B$5,"不在本会计年度","OK")))))))))))</f>
        <v/>
      </c>
      <c r="Q232" s="58" t="str">
        <f aca="false">IF($F232="","",IFERROR(INDEX(商品档案!$G$6:$G$65,MATCH($F232,商品档案!$A$6:$A$65,0)),""))</f>
        <v/>
      </c>
      <c r="R232" s="59" t="str">
        <f aca="false">IF($F232="","",SUMIFS(进销存台账!$N$6:$N$65,进销存台账!$A$6:$A$65,$C232,进销存台账!$B$6:$B$65,$F232))</f>
        <v/>
      </c>
      <c r="S232" s="60" t="n">
        <f aca="false">IF($E232="领用投入",ROUND(N($I232)*N($R232),2),IF($E232="加工费用",ROUND(N($J232),2),0))</f>
        <v>0</v>
      </c>
      <c r="T232" s="60" t="n">
        <f aca="false">IF($E232&lt;&gt;"产成品入库",0,IF(SUMIFS($W$6:$W$305,$C$6:$C$305,$C232,$D$6:$D$305,$D232,$E$6:$E$305,"产成品入库")=0,0,ROUND(SUMIFS($S$6:$S$305,$C$6:$C$305,$C232,$D$6:$D$305,$D232)*N($X232)/SUMIFS($W$6:$W$305,$C$6:$C$305,$C232,$D$6:$D$305,$D232,$E$6:$E$305,"产成品入库"),2)-ROUND(SUMIFS($S$6:$S$305,$C$6:$C$305,$C232,$D$6:$D$305,$D232)*(N($X232)-N($W232))/SUMIFS($W$6:$W$305,$C$6:$C$305,$C232,$D$6:$D$305,$D232,$E$6:$E$305,"产成品入库"),2)))</f>
        <v>0</v>
      </c>
      <c r="U232" s="57" t="str">
        <f aca="false">IF($E232="","",ROUND($S232+$T232,2))</f>
        <v/>
      </c>
      <c r="V232" s="61" t="str">
        <f aca="false">IF($B232="","",YEAR($B232))</f>
        <v/>
      </c>
      <c r="W232" s="63" t="str">
        <f aca="false">IF($E232&lt;&gt;"产成品入库","",IF(N($M232)=0,1,N($M232)))</f>
        <v/>
      </c>
      <c r="X232" s="63" t="str">
        <f aca="false">IF($E232&lt;&gt;"产成品入库","",SUMIFS($W$6:$W232,$C$6:$C232,$C232,$D$6:$D232,$D232,$E$6:$E232,"产成品入库"))</f>
        <v/>
      </c>
    </row>
    <row r="233" customFormat="false" ht="15" hidden="false" customHeight="false" outlineLevel="0" collapsed="false">
      <c r="A233" s="53" t="str">
        <f aca="false">IF($B233="","",ROW()-5)</f>
        <v/>
      </c>
      <c r="B233" s="54"/>
      <c r="C233" s="33"/>
      <c r="D233" s="39"/>
      <c r="E233" s="33"/>
      <c r="F233" s="39"/>
      <c r="G233" s="48" t="str">
        <f aca="false">IF($F233="","",IFERROR(INDEX(商品档案!$B$6:$B$65,MATCH($F233,商品档案!$A$6:$A$65,0)),""))</f>
        <v/>
      </c>
      <c r="H233" s="55" t="str">
        <f aca="false">IF($F233="","",IFERROR(INDEX(商品档案!$D$6:$D$65,MATCH($F233,商品档案!$A$6:$A$65,0)),""))</f>
        <v/>
      </c>
      <c r="I233" s="49"/>
      <c r="J233" s="43"/>
      <c r="K233" s="41"/>
      <c r="L233" s="39"/>
      <c r="M233" s="62"/>
      <c r="N233" s="41"/>
      <c r="O233" s="41"/>
      <c r="P233" s="25" t="str">
        <f aca="false">IF(AND($B233="",$E233=""),"",IF(NOT(ISNUMBER($B233)),"日期无效",IF(ISNA(MATCH($C233,参数设置!$A$10:$A$12,0)),"公司无效",IF($D233="","缺批次号",IF(ISNA(MATCH($E233,记账规则!$A$36:$A$38,0)),"业务类型无效",IF(AND($E233&lt;&gt;"加工费用",ISNA(MATCH($F233,商品档案!$A$6:$A$65,0))),"商品编码无效",IF(AND($E233&lt;&gt;"加工费用",IFERROR(INDEX(商品档案!$E$6:$E$65,MATCH($F233,商品档案!$A$6:$A$65,0)),"")&lt;&gt;$C233),"商品不属于该公司",IF(AND($E233&lt;&gt;"加工费用",N($I233)=0),"数量为 0",IF(AND($E233="加工费用",N($J233)=0),"加工费金额为 0",IF(AND($E233="加工费用",ISNA(MATCH($K233,会计科目表!$B$6:$B$85,0))),"对方科目不存在",IF(YEAR($B233)&lt;&gt;参数设置!$B$5,"不在本会计年度","OK")))))))))))</f>
        <v/>
      </c>
      <c r="Q233" s="58" t="str">
        <f aca="false">IF($F233="","",IFERROR(INDEX(商品档案!$G$6:$G$65,MATCH($F233,商品档案!$A$6:$A$65,0)),""))</f>
        <v/>
      </c>
      <c r="R233" s="59" t="str">
        <f aca="false">IF($F233="","",SUMIFS(进销存台账!$N$6:$N$65,进销存台账!$A$6:$A$65,$C233,进销存台账!$B$6:$B$65,$F233))</f>
        <v/>
      </c>
      <c r="S233" s="60" t="n">
        <f aca="false">IF($E233="领用投入",ROUND(N($I233)*N($R233),2),IF($E233="加工费用",ROUND(N($J233),2),0))</f>
        <v>0</v>
      </c>
      <c r="T233" s="60" t="n">
        <f aca="false">IF($E233&lt;&gt;"产成品入库",0,IF(SUMIFS($W$6:$W$305,$C$6:$C$305,$C233,$D$6:$D$305,$D233,$E$6:$E$305,"产成品入库")=0,0,ROUND(SUMIFS($S$6:$S$305,$C$6:$C$305,$C233,$D$6:$D$305,$D233)*N($X233)/SUMIFS($W$6:$W$305,$C$6:$C$305,$C233,$D$6:$D$305,$D233,$E$6:$E$305,"产成品入库"),2)-ROUND(SUMIFS($S$6:$S$305,$C$6:$C$305,$C233,$D$6:$D$305,$D233)*(N($X233)-N($W233))/SUMIFS($W$6:$W$305,$C$6:$C$305,$C233,$D$6:$D$305,$D233,$E$6:$E$305,"产成品入库"),2)))</f>
        <v>0</v>
      </c>
      <c r="U233" s="57" t="str">
        <f aca="false">IF($E233="","",ROUND($S233+$T233,2))</f>
        <v/>
      </c>
      <c r="V233" s="61" t="str">
        <f aca="false">IF($B233="","",YEAR($B233))</f>
        <v/>
      </c>
      <c r="W233" s="63" t="str">
        <f aca="false">IF($E233&lt;&gt;"产成品入库","",IF(N($M233)=0,1,N($M233)))</f>
        <v/>
      </c>
      <c r="X233" s="63" t="str">
        <f aca="false">IF($E233&lt;&gt;"产成品入库","",SUMIFS($W$6:$W233,$C$6:$C233,$C233,$D$6:$D233,$D233,$E$6:$E233,"产成品入库"))</f>
        <v/>
      </c>
    </row>
    <row r="234" customFormat="false" ht="15" hidden="false" customHeight="false" outlineLevel="0" collapsed="false">
      <c r="A234" s="53" t="str">
        <f aca="false">IF($B234="","",ROW()-5)</f>
        <v/>
      </c>
      <c r="B234" s="54"/>
      <c r="C234" s="33"/>
      <c r="D234" s="39"/>
      <c r="E234" s="33"/>
      <c r="F234" s="39"/>
      <c r="G234" s="48" t="str">
        <f aca="false">IF($F234="","",IFERROR(INDEX(商品档案!$B$6:$B$65,MATCH($F234,商品档案!$A$6:$A$65,0)),""))</f>
        <v/>
      </c>
      <c r="H234" s="55" t="str">
        <f aca="false">IF($F234="","",IFERROR(INDEX(商品档案!$D$6:$D$65,MATCH($F234,商品档案!$A$6:$A$65,0)),""))</f>
        <v/>
      </c>
      <c r="I234" s="49"/>
      <c r="J234" s="43"/>
      <c r="K234" s="41"/>
      <c r="L234" s="39"/>
      <c r="M234" s="62"/>
      <c r="N234" s="41"/>
      <c r="O234" s="41"/>
      <c r="P234" s="25" t="str">
        <f aca="false">IF(AND($B234="",$E234=""),"",IF(NOT(ISNUMBER($B234)),"日期无效",IF(ISNA(MATCH($C234,参数设置!$A$10:$A$12,0)),"公司无效",IF($D234="","缺批次号",IF(ISNA(MATCH($E234,记账规则!$A$36:$A$38,0)),"业务类型无效",IF(AND($E234&lt;&gt;"加工费用",ISNA(MATCH($F234,商品档案!$A$6:$A$65,0))),"商品编码无效",IF(AND($E234&lt;&gt;"加工费用",IFERROR(INDEX(商品档案!$E$6:$E$65,MATCH($F234,商品档案!$A$6:$A$65,0)),"")&lt;&gt;$C234),"商品不属于该公司",IF(AND($E234&lt;&gt;"加工费用",N($I234)=0),"数量为 0",IF(AND($E234="加工费用",N($J234)=0),"加工费金额为 0",IF(AND($E234="加工费用",ISNA(MATCH($K234,会计科目表!$B$6:$B$85,0))),"对方科目不存在",IF(YEAR($B234)&lt;&gt;参数设置!$B$5,"不在本会计年度","OK")))))))))))</f>
        <v/>
      </c>
      <c r="Q234" s="58" t="str">
        <f aca="false">IF($F234="","",IFERROR(INDEX(商品档案!$G$6:$G$65,MATCH($F234,商品档案!$A$6:$A$65,0)),""))</f>
        <v/>
      </c>
      <c r="R234" s="59" t="str">
        <f aca="false">IF($F234="","",SUMIFS(进销存台账!$N$6:$N$65,进销存台账!$A$6:$A$65,$C234,进销存台账!$B$6:$B$65,$F234))</f>
        <v/>
      </c>
      <c r="S234" s="60" t="n">
        <f aca="false">IF($E234="领用投入",ROUND(N($I234)*N($R234),2),IF($E234="加工费用",ROUND(N($J234),2),0))</f>
        <v>0</v>
      </c>
      <c r="T234" s="60" t="n">
        <f aca="false">IF($E234&lt;&gt;"产成品入库",0,IF(SUMIFS($W$6:$W$305,$C$6:$C$305,$C234,$D$6:$D$305,$D234,$E$6:$E$305,"产成品入库")=0,0,ROUND(SUMIFS($S$6:$S$305,$C$6:$C$305,$C234,$D$6:$D$305,$D234)*N($X234)/SUMIFS($W$6:$W$305,$C$6:$C$305,$C234,$D$6:$D$305,$D234,$E$6:$E$305,"产成品入库"),2)-ROUND(SUMIFS($S$6:$S$305,$C$6:$C$305,$C234,$D$6:$D$305,$D234)*(N($X234)-N($W234))/SUMIFS($W$6:$W$305,$C$6:$C$305,$C234,$D$6:$D$305,$D234,$E$6:$E$305,"产成品入库"),2)))</f>
        <v>0</v>
      </c>
      <c r="U234" s="57" t="str">
        <f aca="false">IF($E234="","",ROUND($S234+$T234,2))</f>
        <v/>
      </c>
      <c r="V234" s="61" t="str">
        <f aca="false">IF($B234="","",YEAR($B234))</f>
        <v/>
      </c>
      <c r="W234" s="63" t="str">
        <f aca="false">IF($E234&lt;&gt;"产成品入库","",IF(N($M234)=0,1,N($M234)))</f>
        <v/>
      </c>
      <c r="X234" s="63" t="str">
        <f aca="false">IF($E234&lt;&gt;"产成品入库","",SUMIFS($W$6:$W234,$C$6:$C234,$C234,$D$6:$D234,$D234,$E$6:$E234,"产成品入库"))</f>
        <v/>
      </c>
    </row>
    <row r="235" customFormat="false" ht="15" hidden="false" customHeight="false" outlineLevel="0" collapsed="false">
      <c r="A235" s="53" t="str">
        <f aca="false">IF($B235="","",ROW()-5)</f>
        <v/>
      </c>
      <c r="B235" s="54"/>
      <c r="C235" s="33"/>
      <c r="D235" s="39"/>
      <c r="E235" s="33"/>
      <c r="F235" s="39"/>
      <c r="G235" s="48" t="str">
        <f aca="false">IF($F235="","",IFERROR(INDEX(商品档案!$B$6:$B$65,MATCH($F235,商品档案!$A$6:$A$65,0)),""))</f>
        <v/>
      </c>
      <c r="H235" s="55" t="str">
        <f aca="false">IF($F235="","",IFERROR(INDEX(商品档案!$D$6:$D$65,MATCH($F235,商品档案!$A$6:$A$65,0)),""))</f>
        <v/>
      </c>
      <c r="I235" s="49"/>
      <c r="J235" s="43"/>
      <c r="K235" s="41"/>
      <c r="L235" s="39"/>
      <c r="M235" s="62"/>
      <c r="N235" s="41"/>
      <c r="O235" s="41"/>
      <c r="P235" s="25" t="str">
        <f aca="false">IF(AND($B235="",$E235=""),"",IF(NOT(ISNUMBER($B235)),"日期无效",IF(ISNA(MATCH($C235,参数设置!$A$10:$A$12,0)),"公司无效",IF($D235="","缺批次号",IF(ISNA(MATCH($E235,记账规则!$A$36:$A$38,0)),"业务类型无效",IF(AND($E235&lt;&gt;"加工费用",ISNA(MATCH($F235,商品档案!$A$6:$A$65,0))),"商品编码无效",IF(AND($E235&lt;&gt;"加工费用",IFERROR(INDEX(商品档案!$E$6:$E$65,MATCH($F235,商品档案!$A$6:$A$65,0)),"")&lt;&gt;$C235),"商品不属于该公司",IF(AND($E235&lt;&gt;"加工费用",N($I235)=0),"数量为 0",IF(AND($E235="加工费用",N($J235)=0),"加工费金额为 0",IF(AND($E235="加工费用",ISNA(MATCH($K235,会计科目表!$B$6:$B$85,0))),"对方科目不存在",IF(YEAR($B235)&lt;&gt;参数设置!$B$5,"不在本会计年度","OK")))))))))))</f>
        <v/>
      </c>
      <c r="Q235" s="58" t="str">
        <f aca="false">IF($F235="","",IFERROR(INDEX(商品档案!$G$6:$G$65,MATCH($F235,商品档案!$A$6:$A$65,0)),""))</f>
        <v/>
      </c>
      <c r="R235" s="59" t="str">
        <f aca="false">IF($F235="","",SUMIFS(进销存台账!$N$6:$N$65,进销存台账!$A$6:$A$65,$C235,进销存台账!$B$6:$B$65,$F235))</f>
        <v/>
      </c>
      <c r="S235" s="60" t="n">
        <f aca="false">IF($E235="领用投入",ROUND(N($I235)*N($R235),2),IF($E235="加工费用",ROUND(N($J235),2),0))</f>
        <v>0</v>
      </c>
      <c r="T235" s="60" t="n">
        <f aca="false">IF($E235&lt;&gt;"产成品入库",0,IF(SUMIFS($W$6:$W$305,$C$6:$C$305,$C235,$D$6:$D$305,$D235,$E$6:$E$305,"产成品入库")=0,0,ROUND(SUMIFS($S$6:$S$305,$C$6:$C$305,$C235,$D$6:$D$305,$D235)*N($X235)/SUMIFS($W$6:$W$305,$C$6:$C$305,$C235,$D$6:$D$305,$D235,$E$6:$E$305,"产成品入库"),2)-ROUND(SUMIFS($S$6:$S$305,$C$6:$C$305,$C235,$D$6:$D$305,$D235)*(N($X235)-N($W235))/SUMIFS($W$6:$W$305,$C$6:$C$305,$C235,$D$6:$D$305,$D235,$E$6:$E$305,"产成品入库"),2)))</f>
        <v>0</v>
      </c>
      <c r="U235" s="57" t="str">
        <f aca="false">IF($E235="","",ROUND($S235+$T235,2))</f>
        <v/>
      </c>
      <c r="V235" s="61" t="str">
        <f aca="false">IF($B235="","",YEAR($B235))</f>
        <v/>
      </c>
      <c r="W235" s="63" t="str">
        <f aca="false">IF($E235&lt;&gt;"产成品入库","",IF(N($M235)=0,1,N($M235)))</f>
        <v/>
      </c>
      <c r="X235" s="63" t="str">
        <f aca="false">IF($E235&lt;&gt;"产成品入库","",SUMIFS($W$6:$W235,$C$6:$C235,$C235,$D$6:$D235,$D235,$E$6:$E235,"产成品入库"))</f>
        <v/>
      </c>
    </row>
    <row r="236" customFormat="false" ht="15" hidden="false" customHeight="false" outlineLevel="0" collapsed="false">
      <c r="A236" s="53" t="str">
        <f aca="false">IF($B236="","",ROW()-5)</f>
        <v/>
      </c>
      <c r="B236" s="54"/>
      <c r="C236" s="33"/>
      <c r="D236" s="39"/>
      <c r="E236" s="33"/>
      <c r="F236" s="39"/>
      <c r="G236" s="48" t="str">
        <f aca="false">IF($F236="","",IFERROR(INDEX(商品档案!$B$6:$B$65,MATCH($F236,商品档案!$A$6:$A$65,0)),""))</f>
        <v/>
      </c>
      <c r="H236" s="55" t="str">
        <f aca="false">IF($F236="","",IFERROR(INDEX(商品档案!$D$6:$D$65,MATCH($F236,商品档案!$A$6:$A$65,0)),""))</f>
        <v/>
      </c>
      <c r="I236" s="49"/>
      <c r="J236" s="43"/>
      <c r="K236" s="41"/>
      <c r="L236" s="39"/>
      <c r="M236" s="62"/>
      <c r="N236" s="41"/>
      <c r="O236" s="41"/>
      <c r="P236" s="25" t="str">
        <f aca="false">IF(AND($B236="",$E236=""),"",IF(NOT(ISNUMBER($B236)),"日期无效",IF(ISNA(MATCH($C236,参数设置!$A$10:$A$12,0)),"公司无效",IF($D236="","缺批次号",IF(ISNA(MATCH($E236,记账规则!$A$36:$A$38,0)),"业务类型无效",IF(AND($E236&lt;&gt;"加工费用",ISNA(MATCH($F236,商品档案!$A$6:$A$65,0))),"商品编码无效",IF(AND($E236&lt;&gt;"加工费用",IFERROR(INDEX(商品档案!$E$6:$E$65,MATCH($F236,商品档案!$A$6:$A$65,0)),"")&lt;&gt;$C236),"商品不属于该公司",IF(AND($E236&lt;&gt;"加工费用",N($I236)=0),"数量为 0",IF(AND($E236="加工费用",N($J236)=0),"加工费金额为 0",IF(AND($E236="加工费用",ISNA(MATCH($K236,会计科目表!$B$6:$B$85,0))),"对方科目不存在",IF(YEAR($B236)&lt;&gt;参数设置!$B$5,"不在本会计年度","OK")))))))))))</f>
        <v/>
      </c>
      <c r="Q236" s="58" t="str">
        <f aca="false">IF($F236="","",IFERROR(INDEX(商品档案!$G$6:$G$65,MATCH($F236,商品档案!$A$6:$A$65,0)),""))</f>
        <v/>
      </c>
      <c r="R236" s="59" t="str">
        <f aca="false">IF($F236="","",SUMIFS(进销存台账!$N$6:$N$65,进销存台账!$A$6:$A$65,$C236,进销存台账!$B$6:$B$65,$F236))</f>
        <v/>
      </c>
      <c r="S236" s="60" t="n">
        <f aca="false">IF($E236="领用投入",ROUND(N($I236)*N($R236),2),IF($E236="加工费用",ROUND(N($J236),2),0))</f>
        <v>0</v>
      </c>
      <c r="T236" s="60" t="n">
        <f aca="false">IF($E236&lt;&gt;"产成品入库",0,IF(SUMIFS($W$6:$W$305,$C$6:$C$305,$C236,$D$6:$D$305,$D236,$E$6:$E$305,"产成品入库")=0,0,ROUND(SUMIFS($S$6:$S$305,$C$6:$C$305,$C236,$D$6:$D$305,$D236)*N($X236)/SUMIFS($W$6:$W$305,$C$6:$C$305,$C236,$D$6:$D$305,$D236,$E$6:$E$305,"产成品入库"),2)-ROUND(SUMIFS($S$6:$S$305,$C$6:$C$305,$C236,$D$6:$D$305,$D236)*(N($X236)-N($W236))/SUMIFS($W$6:$W$305,$C$6:$C$305,$C236,$D$6:$D$305,$D236,$E$6:$E$305,"产成品入库"),2)))</f>
        <v>0</v>
      </c>
      <c r="U236" s="57" t="str">
        <f aca="false">IF($E236="","",ROUND($S236+$T236,2))</f>
        <v/>
      </c>
      <c r="V236" s="61" t="str">
        <f aca="false">IF($B236="","",YEAR($B236))</f>
        <v/>
      </c>
      <c r="W236" s="63" t="str">
        <f aca="false">IF($E236&lt;&gt;"产成品入库","",IF(N($M236)=0,1,N($M236)))</f>
        <v/>
      </c>
      <c r="X236" s="63" t="str">
        <f aca="false">IF($E236&lt;&gt;"产成品入库","",SUMIFS($W$6:$W236,$C$6:$C236,$C236,$D$6:$D236,$D236,$E$6:$E236,"产成品入库"))</f>
        <v/>
      </c>
    </row>
    <row r="237" customFormat="false" ht="15" hidden="false" customHeight="false" outlineLevel="0" collapsed="false">
      <c r="A237" s="53" t="str">
        <f aca="false">IF($B237="","",ROW()-5)</f>
        <v/>
      </c>
      <c r="B237" s="54"/>
      <c r="C237" s="33"/>
      <c r="D237" s="39"/>
      <c r="E237" s="33"/>
      <c r="F237" s="39"/>
      <c r="G237" s="48" t="str">
        <f aca="false">IF($F237="","",IFERROR(INDEX(商品档案!$B$6:$B$65,MATCH($F237,商品档案!$A$6:$A$65,0)),""))</f>
        <v/>
      </c>
      <c r="H237" s="55" t="str">
        <f aca="false">IF($F237="","",IFERROR(INDEX(商品档案!$D$6:$D$65,MATCH($F237,商品档案!$A$6:$A$65,0)),""))</f>
        <v/>
      </c>
      <c r="I237" s="49"/>
      <c r="J237" s="43"/>
      <c r="K237" s="41"/>
      <c r="L237" s="39"/>
      <c r="M237" s="62"/>
      <c r="N237" s="41"/>
      <c r="O237" s="41"/>
      <c r="P237" s="25" t="str">
        <f aca="false">IF(AND($B237="",$E237=""),"",IF(NOT(ISNUMBER($B237)),"日期无效",IF(ISNA(MATCH($C237,参数设置!$A$10:$A$12,0)),"公司无效",IF($D237="","缺批次号",IF(ISNA(MATCH($E237,记账规则!$A$36:$A$38,0)),"业务类型无效",IF(AND($E237&lt;&gt;"加工费用",ISNA(MATCH($F237,商品档案!$A$6:$A$65,0))),"商品编码无效",IF(AND($E237&lt;&gt;"加工费用",IFERROR(INDEX(商品档案!$E$6:$E$65,MATCH($F237,商品档案!$A$6:$A$65,0)),"")&lt;&gt;$C237),"商品不属于该公司",IF(AND($E237&lt;&gt;"加工费用",N($I237)=0),"数量为 0",IF(AND($E237="加工费用",N($J237)=0),"加工费金额为 0",IF(AND($E237="加工费用",ISNA(MATCH($K237,会计科目表!$B$6:$B$85,0))),"对方科目不存在",IF(YEAR($B237)&lt;&gt;参数设置!$B$5,"不在本会计年度","OK")))))))))))</f>
        <v/>
      </c>
      <c r="Q237" s="58" t="str">
        <f aca="false">IF($F237="","",IFERROR(INDEX(商品档案!$G$6:$G$65,MATCH($F237,商品档案!$A$6:$A$65,0)),""))</f>
        <v/>
      </c>
      <c r="R237" s="59" t="str">
        <f aca="false">IF($F237="","",SUMIFS(进销存台账!$N$6:$N$65,进销存台账!$A$6:$A$65,$C237,进销存台账!$B$6:$B$65,$F237))</f>
        <v/>
      </c>
      <c r="S237" s="60" t="n">
        <f aca="false">IF($E237="领用投入",ROUND(N($I237)*N($R237),2),IF($E237="加工费用",ROUND(N($J237),2),0))</f>
        <v>0</v>
      </c>
      <c r="T237" s="60" t="n">
        <f aca="false">IF($E237&lt;&gt;"产成品入库",0,IF(SUMIFS($W$6:$W$305,$C$6:$C$305,$C237,$D$6:$D$305,$D237,$E$6:$E$305,"产成品入库")=0,0,ROUND(SUMIFS($S$6:$S$305,$C$6:$C$305,$C237,$D$6:$D$305,$D237)*N($X237)/SUMIFS($W$6:$W$305,$C$6:$C$305,$C237,$D$6:$D$305,$D237,$E$6:$E$305,"产成品入库"),2)-ROUND(SUMIFS($S$6:$S$305,$C$6:$C$305,$C237,$D$6:$D$305,$D237)*(N($X237)-N($W237))/SUMIFS($W$6:$W$305,$C$6:$C$305,$C237,$D$6:$D$305,$D237,$E$6:$E$305,"产成品入库"),2)))</f>
        <v>0</v>
      </c>
      <c r="U237" s="57" t="str">
        <f aca="false">IF($E237="","",ROUND($S237+$T237,2))</f>
        <v/>
      </c>
      <c r="V237" s="61" t="str">
        <f aca="false">IF($B237="","",YEAR($B237))</f>
        <v/>
      </c>
      <c r="W237" s="63" t="str">
        <f aca="false">IF($E237&lt;&gt;"产成品入库","",IF(N($M237)=0,1,N($M237)))</f>
        <v/>
      </c>
      <c r="X237" s="63" t="str">
        <f aca="false">IF($E237&lt;&gt;"产成品入库","",SUMIFS($W$6:$W237,$C$6:$C237,$C237,$D$6:$D237,$D237,$E$6:$E237,"产成品入库"))</f>
        <v/>
      </c>
    </row>
    <row r="238" customFormat="false" ht="15" hidden="false" customHeight="false" outlineLevel="0" collapsed="false">
      <c r="A238" s="53" t="str">
        <f aca="false">IF($B238="","",ROW()-5)</f>
        <v/>
      </c>
      <c r="B238" s="54"/>
      <c r="C238" s="33"/>
      <c r="D238" s="39"/>
      <c r="E238" s="33"/>
      <c r="F238" s="39"/>
      <c r="G238" s="48" t="str">
        <f aca="false">IF($F238="","",IFERROR(INDEX(商品档案!$B$6:$B$65,MATCH($F238,商品档案!$A$6:$A$65,0)),""))</f>
        <v/>
      </c>
      <c r="H238" s="55" t="str">
        <f aca="false">IF($F238="","",IFERROR(INDEX(商品档案!$D$6:$D$65,MATCH($F238,商品档案!$A$6:$A$65,0)),""))</f>
        <v/>
      </c>
      <c r="I238" s="49"/>
      <c r="J238" s="43"/>
      <c r="K238" s="41"/>
      <c r="L238" s="39"/>
      <c r="M238" s="62"/>
      <c r="N238" s="41"/>
      <c r="O238" s="41"/>
      <c r="P238" s="25" t="str">
        <f aca="false">IF(AND($B238="",$E238=""),"",IF(NOT(ISNUMBER($B238)),"日期无效",IF(ISNA(MATCH($C238,参数设置!$A$10:$A$12,0)),"公司无效",IF($D238="","缺批次号",IF(ISNA(MATCH($E238,记账规则!$A$36:$A$38,0)),"业务类型无效",IF(AND($E238&lt;&gt;"加工费用",ISNA(MATCH($F238,商品档案!$A$6:$A$65,0))),"商品编码无效",IF(AND($E238&lt;&gt;"加工费用",IFERROR(INDEX(商品档案!$E$6:$E$65,MATCH($F238,商品档案!$A$6:$A$65,0)),"")&lt;&gt;$C238),"商品不属于该公司",IF(AND($E238&lt;&gt;"加工费用",N($I238)=0),"数量为 0",IF(AND($E238="加工费用",N($J238)=0),"加工费金额为 0",IF(AND($E238="加工费用",ISNA(MATCH($K238,会计科目表!$B$6:$B$85,0))),"对方科目不存在",IF(YEAR($B238)&lt;&gt;参数设置!$B$5,"不在本会计年度","OK")))))))))))</f>
        <v/>
      </c>
      <c r="Q238" s="58" t="str">
        <f aca="false">IF($F238="","",IFERROR(INDEX(商品档案!$G$6:$G$65,MATCH($F238,商品档案!$A$6:$A$65,0)),""))</f>
        <v/>
      </c>
      <c r="R238" s="59" t="str">
        <f aca="false">IF($F238="","",SUMIFS(进销存台账!$N$6:$N$65,进销存台账!$A$6:$A$65,$C238,进销存台账!$B$6:$B$65,$F238))</f>
        <v/>
      </c>
      <c r="S238" s="60" t="n">
        <f aca="false">IF($E238="领用投入",ROUND(N($I238)*N($R238),2),IF($E238="加工费用",ROUND(N($J238),2),0))</f>
        <v>0</v>
      </c>
      <c r="T238" s="60" t="n">
        <f aca="false">IF($E238&lt;&gt;"产成品入库",0,IF(SUMIFS($W$6:$W$305,$C$6:$C$305,$C238,$D$6:$D$305,$D238,$E$6:$E$305,"产成品入库")=0,0,ROUND(SUMIFS($S$6:$S$305,$C$6:$C$305,$C238,$D$6:$D$305,$D238)*N($X238)/SUMIFS($W$6:$W$305,$C$6:$C$305,$C238,$D$6:$D$305,$D238,$E$6:$E$305,"产成品入库"),2)-ROUND(SUMIFS($S$6:$S$305,$C$6:$C$305,$C238,$D$6:$D$305,$D238)*(N($X238)-N($W238))/SUMIFS($W$6:$W$305,$C$6:$C$305,$C238,$D$6:$D$305,$D238,$E$6:$E$305,"产成品入库"),2)))</f>
        <v>0</v>
      </c>
      <c r="U238" s="57" t="str">
        <f aca="false">IF($E238="","",ROUND($S238+$T238,2))</f>
        <v/>
      </c>
      <c r="V238" s="61" t="str">
        <f aca="false">IF($B238="","",YEAR($B238))</f>
        <v/>
      </c>
      <c r="W238" s="63" t="str">
        <f aca="false">IF($E238&lt;&gt;"产成品入库","",IF(N($M238)=0,1,N($M238)))</f>
        <v/>
      </c>
      <c r="X238" s="63" t="str">
        <f aca="false">IF($E238&lt;&gt;"产成品入库","",SUMIFS($W$6:$W238,$C$6:$C238,$C238,$D$6:$D238,$D238,$E$6:$E238,"产成品入库"))</f>
        <v/>
      </c>
    </row>
    <row r="239" customFormat="false" ht="15" hidden="false" customHeight="false" outlineLevel="0" collapsed="false">
      <c r="A239" s="53" t="str">
        <f aca="false">IF($B239="","",ROW()-5)</f>
        <v/>
      </c>
      <c r="B239" s="54"/>
      <c r="C239" s="33"/>
      <c r="D239" s="39"/>
      <c r="E239" s="33"/>
      <c r="F239" s="39"/>
      <c r="G239" s="48" t="str">
        <f aca="false">IF($F239="","",IFERROR(INDEX(商品档案!$B$6:$B$65,MATCH($F239,商品档案!$A$6:$A$65,0)),""))</f>
        <v/>
      </c>
      <c r="H239" s="55" t="str">
        <f aca="false">IF($F239="","",IFERROR(INDEX(商品档案!$D$6:$D$65,MATCH($F239,商品档案!$A$6:$A$65,0)),""))</f>
        <v/>
      </c>
      <c r="I239" s="49"/>
      <c r="J239" s="43"/>
      <c r="K239" s="41"/>
      <c r="L239" s="39"/>
      <c r="M239" s="62"/>
      <c r="N239" s="41"/>
      <c r="O239" s="41"/>
      <c r="P239" s="25" t="str">
        <f aca="false">IF(AND($B239="",$E239=""),"",IF(NOT(ISNUMBER($B239)),"日期无效",IF(ISNA(MATCH($C239,参数设置!$A$10:$A$12,0)),"公司无效",IF($D239="","缺批次号",IF(ISNA(MATCH($E239,记账规则!$A$36:$A$38,0)),"业务类型无效",IF(AND($E239&lt;&gt;"加工费用",ISNA(MATCH($F239,商品档案!$A$6:$A$65,0))),"商品编码无效",IF(AND($E239&lt;&gt;"加工费用",IFERROR(INDEX(商品档案!$E$6:$E$65,MATCH($F239,商品档案!$A$6:$A$65,0)),"")&lt;&gt;$C239),"商品不属于该公司",IF(AND($E239&lt;&gt;"加工费用",N($I239)=0),"数量为 0",IF(AND($E239="加工费用",N($J239)=0),"加工费金额为 0",IF(AND($E239="加工费用",ISNA(MATCH($K239,会计科目表!$B$6:$B$85,0))),"对方科目不存在",IF(YEAR($B239)&lt;&gt;参数设置!$B$5,"不在本会计年度","OK")))))))))))</f>
        <v/>
      </c>
      <c r="Q239" s="58" t="str">
        <f aca="false">IF($F239="","",IFERROR(INDEX(商品档案!$G$6:$G$65,MATCH($F239,商品档案!$A$6:$A$65,0)),""))</f>
        <v/>
      </c>
      <c r="R239" s="59" t="str">
        <f aca="false">IF($F239="","",SUMIFS(进销存台账!$N$6:$N$65,进销存台账!$A$6:$A$65,$C239,进销存台账!$B$6:$B$65,$F239))</f>
        <v/>
      </c>
      <c r="S239" s="60" t="n">
        <f aca="false">IF($E239="领用投入",ROUND(N($I239)*N($R239),2),IF($E239="加工费用",ROUND(N($J239),2),0))</f>
        <v>0</v>
      </c>
      <c r="T239" s="60" t="n">
        <f aca="false">IF($E239&lt;&gt;"产成品入库",0,IF(SUMIFS($W$6:$W$305,$C$6:$C$305,$C239,$D$6:$D$305,$D239,$E$6:$E$305,"产成品入库")=0,0,ROUND(SUMIFS($S$6:$S$305,$C$6:$C$305,$C239,$D$6:$D$305,$D239)*N($X239)/SUMIFS($W$6:$W$305,$C$6:$C$305,$C239,$D$6:$D$305,$D239,$E$6:$E$305,"产成品入库"),2)-ROUND(SUMIFS($S$6:$S$305,$C$6:$C$305,$C239,$D$6:$D$305,$D239)*(N($X239)-N($W239))/SUMIFS($W$6:$W$305,$C$6:$C$305,$C239,$D$6:$D$305,$D239,$E$6:$E$305,"产成品入库"),2)))</f>
        <v>0</v>
      </c>
      <c r="U239" s="57" t="str">
        <f aca="false">IF($E239="","",ROUND($S239+$T239,2))</f>
        <v/>
      </c>
      <c r="V239" s="61" t="str">
        <f aca="false">IF($B239="","",YEAR($B239))</f>
        <v/>
      </c>
      <c r="W239" s="63" t="str">
        <f aca="false">IF($E239&lt;&gt;"产成品入库","",IF(N($M239)=0,1,N($M239)))</f>
        <v/>
      </c>
      <c r="X239" s="63" t="str">
        <f aca="false">IF($E239&lt;&gt;"产成品入库","",SUMIFS($W$6:$W239,$C$6:$C239,$C239,$D$6:$D239,$D239,$E$6:$E239,"产成品入库"))</f>
        <v/>
      </c>
    </row>
    <row r="240" customFormat="false" ht="15" hidden="false" customHeight="false" outlineLevel="0" collapsed="false">
      <c r="A240" s="53" t="str">
        <f aca="false">IF($B240="","",ROW()-5)</f>
        <v/>
      </c>
      <c r="B240" s="54"/>
      <c r="C240" s="33"/>
      <c r="D240" s="39"/>
      <c r="E240" s="33"/>
      <c r="F240" s="39"/>
      <c r="G240" s="48" t="str">
        <f aca="false">IF($F240="","",IFERROR(INDEX(商品档案!$B$6:$B$65,MATCH($F240,商品档案!$A$6:$A$65,0)),""))</f>
        <v/>
      </c>
      <c r="H240" s="55" t="str">
        <f aca="false">IF($F240="","",IFERROR(INDEX(商品档案!$D$6:$D$65,MATCH($F240,商品档案!$A$6:$A$65,0)),""))</f>
        <v/>
      </c>
      <c r="I240" s="49"/>
      <c r="J240" s="43"/>
      <c r="K240" s="41"/>
      <c r="L240" s="39"/>
      <c r="M240" s="62"/>
      <c r="N240" s="41"/>
      <c r="O240" s="41"/>
      <c r="P240" s="25" t="str">
        <f aca="false">IF(AND($B240="",$E240=""),"",IF(NOT(ISNUMBER($B240)),"日期无效",IF(ISNA(MATCH($C240,参数设置!$A$10:$A$12,0)),"公司无效",IF($D240="","缺批次号",IF(ISNA(MATCH($E240,记账规则!$A$36:$A$38,0)),"业务类型无效",IF(AND($E240&lt;&gt;"加工费用",ISNA(MATCH($F240,商品档案!$A$6:$A$65,0))),"商品编码无效",IF(AND($E240&lt;&gt;"加工费用",IFERROR(INDEX(商品档案!$E$6:$E$65,MATCH($F240,商品档案!$A$6:$A$65,0)),"")&lt;&gt;$C240),"商品不属于该公司",IF(AND($E240&lt;&gt;"加工费用",N($I240)=0),"数量为 0",IF(AND($E240="加工费用",N($J240)=0),"加工费金额为 0",IF(AND($E240="加工费用",ISNA(MATCH($K240,会计科目表!$B$6:$B$85,0))),"对方科目不存在",IF(YEAR($B240)&lt;&gt;参数设置!$B$5,"不在本会计年度","OK")))))))))))</f>
        <v/>
      </c>
      <c r="Q240" s="58" t="str">
        <f aca="false">IF($F240="","",IFERROR(INDEX(商品档案!$G$6:$G$65,MATCH($F240,商品档案!$A$6:$A$65,0)),""))</f>
        <v/>
      </c>
      <c r="R240" s="59" t="str">
        <f aca="false">IF($F240="","",SUMIFS(进销存台账!$N$6:$N$65,进销存台账!$A$6:$A$65,$C240,进销存台账!$B$6:$B$65,$F240))</f>
        <v/>
      </c>
      <c r="S240" s="60" t="n">
        <f aca="false">IF($E240="领用投入",ROUND(N($I240)*N($R240),2),IF($E240="加工费用",ROUND(N($J240),2),0))</f>
        <v>0</v>
      </c>
      <c r="T240" s="60" t="n">
        <f aca="false">IF($E240&lt;&gt;"产成品入库",0,IF(SUMIFS($W$6:$W$305,$C$6:$C$305,$C240,$D$6:$D$305,$D240,$E$6:$E$305,"产成品入库")=0,0,ROUND(SUMIFS($S$6:$S$305,$C$6:$C$305,$C240,$D$6:$D$305,$D240)*N($X240)/SUMIFS($W$6:$W$305,$C$6:$C$305,$C240,$D$6:$D$305,$D240,$E$6:$E$305,"产成品入库"),2)-ROUND(SUMIFS($S$6:$S$305,$C$6:$C$305,$C240,$D$6:$D$305,$D240)*(N($X240)-N($W240))/SUMIFS($W$6:$W$305,$C$6:$C$305,$C240,$D$6:$D$305,$D240,$E$6:$E$305,"产成品入库"),2)))</f>
        <v>0</v>
      </c>
      <c r="U240" s="57" t="str">
        <f aca="false">IF($E240="","",ROUND($S240+$T240,2))</f>
        <v/>
      </c>
      <c r="V240" s="61" t="str">
        <f aca="false">IF($B240="","",YEAR($B240))</f>
        <v/>
      </c>
      <c r="W240" s="63" t="str">
        <f aca="false">IF($E240&lt;&gt;"产成品入库","",IF(N($M240)=0,1,N($M240)))</f>
        <v/>
      </c>
      <c r="X240" s="63" t="str">
        <f aca="false">IF($E240&lt;&gt;"产成品入库","",SUMIFS($W$6:$W240,$C$6:$C240,$C240,$D$6:$D240,$D240,$E$6:$E240,"产成品入库"))</f>
        <v/>
      </c>
    </row>
    <row r="241" customFormat="false" ht="15" hidden="false" customHeight="false" outlineLevel="0" collapsed="false">
      <c r="A241" s="53" t="str">
        <f aca="false">IF($B241="","",ROW()-5)</f>
        <v/>
      </c>
      <c r="B241" s="54"/>
      <c r="C241" s="33"/>
      <c r="D241" s="39"/>
      <c r="E241" s="33"/>
      <c r="F241" s="39"/>
      <c r="G241" s="48" t="str">
        <f aca="false">IF($F241="","",IFERROR(INDEX(商品档案!$B$6:$B$65,MATCH($F241,商品档案!$A$6:$A$65,0)),""))</f>
        <v/>
      </c>
      <c r="H241" s="55" t="str">
        <f aca="false">IF($F241="","",IFERROR(INDEX(商品档案!$D$6:$D$65,MATCH($F241,商品档案!$A$6:$A$65,0)),""))</f>
        <v/>
      </c>
      <c r="I241" s="49"/>
      <c r="J241" s="43"/>
      <c r="K241" s="41"/>
      <c r="L241" s="39"/>
      <c r="M241" s="62"/>
      <c r="N241" s="41"/>
      <c r="O241" s="41"/>
      <c r="P241" s="25" t="str">
        <f aca="false">IF(AND($B241="",$E241=""),"",IF(NOT(ISNUMBER($B241)),"日期无效",IF(ISNA(MATCH($C241,参数设置!$A$10:$A$12,0)),"公司无效",IF($D241="","缺批次号",IF(ISNA(MATCH($E241,记账规则!$A$36:$A$38,0)),"业务类型无效",IF(AND($E241&lt;&gt;"加工费用",ISNA(MATCH($F241,商品档案!$A$6:$A$65,0))),"商品编码无效",IF(AND($E241&lt;&gt;"加工费用",IFERROR(INDEX(商品档案!$E$6:$E$65,MATCH($F241,商品档案!$A$6:$A$65,0)),"")&lt;&gt;$C241),"商品不属于该公司",IF(AND($E241&lt;&gt;"加工费用",N($I241)=0),"数量为 0",IF(AND($E241="加工费用",N($J241)=0),"加工费金额为 0",IF(AND($E241="加工费用",ISNA(MATCH($K241,会计科目表!$B$6:$B$85,0))),"对方科目不存在",IF(YEAR($B241)&lt;&gt;参数设置!$B$5,"不在本会计年度","OK")))))))))))</f>
        <v/>
      </c>
      <c r="Q241" s="58" t="str">
        <f aca="false">IF($F241="","",IFERROR(INDEX(商品档案!$G$6:$G$65,MATCH($F241,商品档案!$A$6:$A$65,0)),""))</f>
        <v/>
      </c>
      <c r="R241" s="59" t="str">
        <f aca="false">IF($F241="","",SUMIFS(进销存台账!$N$6:$N$65,进销存台账!$A$6:$A$65,$C241,进销存台账!$B$6:$B$65,$F241))</f>
        <v/>
      </c>
      <c r="S241" s="60" t="n">
        <f aca="false">IF($E241="领用投入",ROUND(N($I241)*N($R241),2),IF($E241="加工费用",ROUND(N($J241),2),0))</f>
        <v>0</v>
      </c>
      <c r="T241" s="60" t="n">
        <f aca="false">IF($E241&lt;&gt;"产成品入库",0,IF(SUMIFS($W$6:$W$305,$C$6:$C$305,$C241,$D$6:$D$305,$D241,$E$6:$E$305,"产成品入库")=0,0,ROUND(SUMIFS($S$6:$S$305,$C$6:$C$305,$C241,$D$6:$D$305,$D241)*N($X241)/SUMIFS($W$6:$W$305,$C$6:$C$305,$C241,$D$6:$D$305,$D241,$E$6:$E$305,"产成品入库"),2)-ROUND(SUMIFS($S$6:$S$305,$C$6:$C$305,$C241,$D$6:$D$305,$D241)*(N($X241)-N($W241))/SUMIFS($W$6:$W$305,$C$6:$C$305,$C241,$D$6:$D$305,$D241,$E$6:$E$305,"产成品入库"),2)))</f>
        <v>0</v>
      </c>
      <c r="U241" s="57" t="str">
        <f aca="false">IF($E241="","",ROUND($S241+$T241,2))</f>
        <v/>
      </c>
      <c r="V241" s="61" t="str">
        <f aca="false">IF($B241="","",YEAR($B241))</f>
        <v/>
      </c>
      <c r="W241" s="63" t="str">
        <f aca="false">IF($E241&lt;&gt;"产成品入库","",IF(N($M241)=0,1,N($M241)))</f>
        <v/>
      </c>
      <c r="X241" s="63" t="str">
        <f aca="false">IF($E241&lt;&gt;"产成品入库","",SUMIFS($W$6:$W241,$C$6:$C241,$C241,$D$6:$D241,$D241,$E$6:$E241,"产成品入库"))</f>
        <v/>
      </c>
    </row>
    <row r="242" customFormat="false" ht="15" hidden="false" customHeight="false" outlineLevel="0" collapsed="false">
      <c r="A242" s="53" t="str">
        <f aca="false">IF($B242="","",ROW()-5)</f>
        <v/>
      </c>
      <c r="B242" s="54"/>
      <c r="C242" s="33"/>
      <c r="D242" s="39"/>
      <c r="E242" s="33"/>
      <c r="F242" s="39"/>
      <c r="G242" s="48" t="str">
        <f aca="false">IF($F242="","",IFERROR(INDEX(商品档案!$B$6:$B$65,MATCH($F242,商品档案!$A$6:$A$65,0)),""))</f>
        <v/>
      </c>
      <c r="H242" s="55" t="str">
        <f aca="false">IF($F242="","",IFERROR(INDEX(商品档案!$D$6:$D$65,MATCH($F242,商品档案!$A$6:$A$65,0)),""))</f>
        <v/>
      </c>
      <c r="I242" s="49"/>
      <c r="J242" s="43"/>
      <c r="K242" s="41"/>
      <c r="L242" s="39"/>
      <c r="M242" s="62"/>
      <c r="N242" s="41"/>
      <c r="O242" s="41"/>
      <c r="P242" s="25" t="str">
        <f aca="false">IF(AND($B242="",$E242=""),"",IF(NOT(ISNUMBER($B242)),"日期无效",IF(ISNA(MATCH($C242,参数设置!$A$10:$A$12,0)),"公司无效",IF($D242="","缺批次号",IF(ISNA(MATCH($E242,记账规则!$A$36:$A$38,0)),"业务类型无效",IF(AND($E242&lt;&gt;"加工费用",ISNA(MATCH($F242,商品档案!$A$6:$A$65,0))),"商品编码无效",IF(AND($E242&lt;&gt;"加工费用",IFERROR(INDEX(商品档案!$E$6:$E$65,MATCH($F242,商品档案!$A$6:$A$65,0)),"")&lt;&gt;$C242),"商品不属于该公司",IF(AND($E242&lt;&gt;"加工费用",N($I242)=0),"数量为 0",IF(AND($E242="加工费用",N($J242)=0),"加工费金额为 0",IF(AND($E242="加工费用",ISNA(MATCH($K242,会计科目表!$B$6:$B$85,0))),"对方科目不存在",IF(YEAR($B242)&lt;&gt;参数设置!$B$5,"不在本会计年度","OK")))))))))))</f>
        <v/>
      </c>
      <c r="Q242" s="58" t="str">
        <f aca="false">IF($F242="","",IFERROR(INDEX(商品档案!$G$6:$G$65,MATCH($F242,商品档案!$A$6:$A$65,0)),""))</f>
        <v/>
      </c>
      <c r="R242" s="59" t="str">
        <f aca="false">IF($F242="","",SUMIFS(进销存台账!$N$6:$N$65,进销存台账!$A$6:$A$65,$C242,进销存台账!$B$6:$B$65,$F242))</f>
        <v/>
      </c>
      <c r="S242" s="60" t="n">
        <f aca="false">IF($E242="领用投入",ROUND(N($I242)*N($R242),2),IF($E242="加工费用",ROUND(N($J242),2),0))</f>
        <v>0</v>
      </c>
      <c r="T242" s="60" t="n">
        <f aca="false">IF($E242&lt;&gt;"产成品入库",0,IF(SUMIFS($W$6:$W$305,$C$6:$C$305,$C242,$D$6:$D$305,$D242,$E$6:$E$305,"产成品入库")=0,0,ROUND(SUMIFS($S$6:$S$305,$C$6:$C$305,$C242,$D$6:$D$305,$D242)*N($X242)/SUMIFS($W$6:$W$305,$C$6:$C$305,$C242,$D$6:$D$305,$D242,$E$6:$E$305,"产成品入库"),2)-ROUND(SUMIFS($S$6:$S$305,$C$6:$C$305,$C242,$D$6:$D$305,$D242)*(N($X242)-N($W242))/SUMIFS($W$6:$W$305,$C$6:$C$305,$C242,$D$6:$D$305,$D242,$E$6:$E$305,"产成品入库"),2)))</f>
        <v>0</v>
      </c>
      <c r="U242" s="57" t="str">
        <f aca="false">IF($E242="","",ROUND($S242+$T242,2))</f>
        <v/>
      </c>
      <c r="V242" s="61" t="str">
        <f aca="false">IF($B242="","",YEAR($B242))</f>
        <v/>
      </c>
      <c r="W242" s="63" t="str">
        <f aca="false">IF($E242&lt;&gt;"产成品入库","",IF(N($M242)=0,1,N($M242)))</f>
        <v/>
      </c>
      <c r="X242" s="63" t="str">
        <f aca="false">IF($E242&lt;&gt;"产成品入库","",SUMIFS($W$6:$W242,$C$6:$C242,$C242,$D$6:$D242,$D242,$E$6:$E242,"产成品入库"))</f>
        <v/>
      </c>
    </row>
    <row r="243" customFormat="false" ht="15" hidden="false" customHeight="false" outlineLevel="0" collapsed="false">
      <c r="A243" s="53" t="str">
        <f aca="false">IF($B243="","",ROW()-5)</f>
        <v/>
      </c>
      <c r="B243" s="54"/>
      <c r="C243" s="33"/>
      <c r="D243" s="39"/>
      <c r="E243" s="33"/>
      <c r="F243" s="39"/>
      <c r="G243" s="48" t="str">
        <f aca="false">IF($F243="","",IFERROR(INDEX(商品档案!$B$6:$B$65,MATCH($F243,商品档案!$A$6:$A$65,0)),""))</f>
        <v/>
      </c>
      <c r="H243" s="55" t="str">
        <f aca="false">IF($F243="","",IFERROR(INDEX(商品档案!$D$6:$D$65,MATCH($F243,商品档案!$A$6:$A$65,0)),""))</f>
        <v/>
      </c>
      <c r="I243" s="49"/>
      <c r="J243" s="43"/>
      <c r="K243" s="41"/>
      <c r="L243" s="39"/>
      <c r="M243" s="62"/>
      <c r="N243" s="41"/>
      <c r="O243" s="41"/>
      <c r="P243" s="25" t="str">
        <f aca="false">IF(AND($B243="",$E243=""),"",IF(NOT(ISNUMBER($B243)),"日期无效",IF(ISNA(MATCH($C243,参数设置!$A$10:$A$12,0)),"公司无效",IF($D243="","缺批次号",IF(ISNA(MATCH($E243,记账规则!$A$36:$A$38,0)),"业务类型无效",IF(AND($E243&lt;&gt;"加工费用",ISNA(MATCH($F243,商品档案!$A$6:$A$65,0))),"商品编码无效",IF(AND($E243&lt;&gt;"加工费用",IFERROR(INDEX(商品档案!$E$6:$E$65,MATCH($F243,商品档案!$A$6:$A$65,0)),"")&lt;&gt;$C243),"商品不属于该公司",IF(AND($E243&lt;&gt;"加工费用",N($I243)=0),"数量为 0",IF(AND($E243="加工费用",N($J243)=0),"加工费金额为 0",IF(AND($E243="加工费用",ISNA(MATCH($K243,会计科目表!$B$6:$B$85,0))),"对方科目不存在",IF(YEAR($B243)&lt;&gt;参数设置!$B$5,"不在本会计年度","OK")))))))))))</f>
        <v/>
      </c>
      <c r="Q243" s="58" t="str">
        <f aca="false">IF($F243="","",IFERROR(INDEX(商品档案!$G$6:$G$65,MATCH($F243,商品档案!$A$6:$A$65,0)),""))</f>
        <v/>
      </c>
      <c r="R243" s="59" t="str">
        <f aca="false">IF($F243="","",SUMIFS(进销存台账!$N$6:$N$65,进销存台账!$A$6:$A$65,$C243,进销存台账!$B$6:$B$65,$F243))</f>
        <v/>
      </c>
      <c r="S243" s="60" t="n">
        <f aca="false">IF($E243="领用投入",ROUND(N($I243)*N($R243),2),IF($E243="加工费用",ROUND(N($J243),2),0))</f>
        <v>0</v>
      </c>
      <c r="T243" s="60" t="n">
        <f aca="false">IF($E243&lt;&gt;"产成品入库",0,IF(SUMIFS($W$6:$W$305,$C$6:$C$305,$C243,$D$6:$D$305,$D243,$E$6:$E$305,"产成品入库")=0,0,ROUND(SUMIFS($S$6:$S$305,$C$6:$C$305,$C243,$D$6:$D$305,$D243)*N($X243)/SUMIFS($W$6:$W$305,$C$6:$C$305,$C243,$D$6:$D$305,$D243,$E$6:$E$305,"产成品入库"),2)-ROUND(SUMIFS($S$6:$S$305,$C$6:$C$305,$C243,$D$6:$D$305,$D243)*(N($X243)-N($W243))/SUMIFS($W$6:$W$305,$C$6:$C$305,$C243,$D$6:$D$305,$D243,$E$6:$E$305,"产成品入库"),2)))</f>
        <v>0</v>
      </c>
      <c r="U243" s="57" t="str">
        <f aca="false">IF($E243="","",ROUND($S243+$T243,2))</f>
        <v/>
      </c>
      <c r="V243" s="61" t="str">
        <f aca="false">IF($B243="","",YEAR($B243))</f>
        <v/>
      </c>
      <c r="W243" s="63" t="str">
        <f aca="false">IF($E243&lt;&gt;"产成品入库","",IF(N($M243)=0,1,N($M243)))</f>
        <v/>
      </c>
      <c r="X243" s="63" t="str">
        <f aca="false">IF($E243&lt;&gt;"产成品入库","",SUMIFS($W$6:$W243,$C$6:$C243,$C243,$D$6:$D243,$D243,$E$6:$E243,"产成品入库"))</f>
        <v/>
      </c>
    </row>
    <row r="244" customFormat="false" ht="15" hidden="false" customHeight="false" outlineLevel="0" collapsed="false">
      <c r="A244" s="53" t="str">
        <f aca="false">IF($B244="","",ROW()-5)</f>
        <v/>
      </c>
      <c r="B244" s="54"/>
      <c r="C244" s="33"/>
      <c r="D244" s="39"/>
      <c r="E244" s="33"/>
      <c r="F244" s="39"/>
      <c r="G244" s="48" t="str">
        <f aca="false">IF($F244="","",IFERROR(INDEX(商品档案!$B$6:$B$65,MATCH($F244,商品档案!$A$6:$A$65,0)),""))</f>
        <v/>
      </c>
      <c r="H244" s="55" t="str">
        <f aca="false">IF($F244="","",IFERROR(INDEX(商品档案!$D$6:$D$65,MATCH($F244,商品档案!$A$6:$A$65,0)),""))</f>
        <v/>
      </c>
      <c r="I244" s="49"/>
      <c r="J244" s="43"/>
      <c r="K244" s="41"/>
      <c r="L244" s="39"/>
      <c r="M244" s="62"/>
      <c r="N244" s="41"/>
      <c r="O244" s="41"/>
      <c r="P244" s="25" t="str">
        <f aca="false">IF(AND($B244="",$E244=""),"",IF(NOT(ISNUMBER($B244)),"日期无效",IF(ISNA(MATCH($C244,参数设置!$A$10:$A$12,0)),"公司无效",IF($D244="","缺批次号",IF(ISNA(MATCH($E244,记账规则!$A$36:$A$38,0)),"业务类型无效",IF(AND($E244&lt;&gt;"加工费用",ISNA(MATCH($F244,商品档案!$A$6:$A$65,0))),"商品编码无效",IF(AND($E244&lt;&gt;"加工费用",IFERROR(INDEX(商品档案!$E$6:$E$65,MATCH($F244,商品档案!$A$6:$A$65,0)),"")&lt;&gt;$C244),"商品不属于该公司",IF(AND($E244&lt;&gt;"加工费用",N($I244)=0),"数量为 0",IF(AND($E244="加工费用",N($J244)=0),"加工费金额为 0",IF(AND($E244="加工费用",ISNA(MATCH($K244,会计科目表!$B$6:$B$85,0))),"对方科目不存在",IF(YEAR($B244)&lt;&gt;参数设置!$B$5,"不在本会计年度","OK")))))))))))</f>
        <v/>
      </c>
      <c r="Q244" s="58" t="str">
        <f aca="false">IF($F244="","",IFERROR(INDEX(商品档案!$G$6:$G$65,MATCH($F244,商品档案!$A$6:$A$65,0)),""))</f>
        <v/>
      </c>
      <c r="R244" s="59" t="str">
        <f aca="false">IF($F244="","",SUMIFS(进销存台账!$N$6:$N$65,进销存台账!$A$6:$A$65,$C244,进销存台账!$B$6:$B$65,$F244))</f>
        <v/>
      </c>
      <c r="S244" s="60" t="n">
        <f aca="false">IF($E244="领用投入",ROUND(N($I244)*N($R244),2),IF($E244="加工费用",ROUND(N($J244),2),0))</f>
        <v>0</v>
      </c>
      <c r="T244" s="60" t="n">
        <f aca="false">IF($E244&lt;&gt;"产成品入库",0,IF(SUMIFS($W$6:$W$305,$C$6:$C$305,$C244,$D$6:$D$305,$D244,$E$6:$E$305,"产成品入库")=0,0,ROUND(SUMIFS($S$6:$S$305,$C$6:$C$305,$C244,$D$6:$D$305,$D244)*N($X244)/SUMIFS($W$6:$W$305,$C$6:$C$305,$C244,$D$6:$D$305,$D244,$E$6:$E$305,"产成品入库"),2)-ROUND(SUMIFS($S$6:$S$305,$C$6:$C$305,$C244,$D$6:$D$305,$D244)*(N($X244)-N($W244))/SUMIFS($W$6:$W$305,$C$6:$C$305,$C244,$D$6:$D$305,$D244,$E$6:$E$305,"产成品入库"),2)))</f>
        <v>0</v>
      </c>
      <c r="U244" s="57" t="str">
        <f aca="false">IF($E244="","",ROUND($S244+$T244,2))</f>
        <v/>
      </c>
      <c r="V244" s="61" t="str">
        <f aca="false">IF($B244="","",YEAR($B244))</f>
        <v/>
      </c>
      <c r="W244" s="63" t="str">
        <f aca="false">IF($E244&lt;&gt;"产成品入库","",IF(N($M244)=0,1,N($M244)))</f>
        <v/>
      </c>
      <c r="X244" s="63" t="str">
        <f aca="false">IF($E244&lt;&gt;"产成品入库","",SUMIFS($W$6:$W244,$C$6:$C244,$C244,$D$6:$D244,$D244,$E$6:$E244,"产成品入库"))</f>
        <v/>
      </c>
    </row>
    <row r="245" customFormat="false" ht="15" hidden="false" customHeight="false" outlineLevel="0" collapsed="false">
      <c r="A245" s="53" t="str">
        <f aca="false">IF($B245="","",ROW()-5)</f>
        <v/>
      </c>
      <c r="B245" s="54"/>
      <c r="C245" s="33"/>
      <c r="D245" s="39"/>
      <c r="E245" s="33"/>
      <c r="F245" s="39"/>
      <c r="G245" s="48" t="str">
        <f aca="false">IF($F245="","",IFERROR(INDEX(商品档案!$B$6:$B$65,MATCH($F245,商品档案!$A$6:$A$65,0)),""))</f>
        <v/>
      </c>
      <c r="H245" s="55" t="str">
        <f aca="false">IF($F245="","",IFERROR(INDEX(商品档案!$D$6:$D$65,MATCH($F245,商品档案!$A$6:$A$65,0)),""))</f>
        <v/>
      </c>
      <c r="I245" s="49"/>
      <c r="J245" s="43"/>
      <c r="K245" s="41"/>
      <c r="L245" s="39"/>
      <c r="M245" s="62"/>
      <c r="N245" s="41"/>
      <c r="O245" s="41"/>
      <c r="P245" s="25" t="str">
        <f aca="false">IF(AND($B245="",$E245=""),"",IF(NOT(ISNUMBER($B245)),"日期无效",IF(ISNA(MATCH($C245,参数设置!$A$10:$A$12,0)),"公司无效",IF($D245="","缺批次号",IF(ISNA(MATCH($E245,记账规则!$A$36:$A$38,0)),"业务类型无效",IF(AND($E245&lt;&gt;"加工费用",ISNA(MATCH($F245,商品档案!$A$6:$A$65,0))),"商品编码无效",IF(AND($E245&lt;&gt;"加工费用",IFERROR(INDEX(商品档案!$E$6:$E$65,MATCH($F245,商品档案!$A$6:$A$65,0)),"")&lt;&gt;$C245),"商品不属于该公司",IF(AND($E245&lt;&gt;"加工费用",N($I245)=0),"数量为 0",IF(AND($E245="加工费用",N($J245)=0),"加工费金额为 0",IF(AND($E245="加工费用",ISNA(MATCH($K245,会计科目表!$B$6:$B$85,0))),"对方科目不存在",IF(YEAR($B245)&lt;&gt;参数设置!$B$5,"不在本会计年度","OK")))))))))))</f>
        <v/>
      </c>
      <c r="Q245" s="58" t="str">
        <f aca="false">IF($F245="","",IFERROR(INDEX(商品档案!$G$6:$G$65,MATCH($F245,商品档案!$A$6:$A$65,0)),""))</f>
        <v/>
      </c>
      <c r="R245" s="59" t="str">
        <f aca="false">IF($F245="","",SUMIFS(进销存台账!$N$6:$N$65,进销存台账!$A$6:$A$65,$C245,进销存台账!$B$6:$B$65,$F245))</f>
        <v/>
      </c>
      <c r="S245" s="60" t="n">
        <f aca="false">IF($E245="领用投入",ROUND(N($I245)*N($R245),2),IF($E245="加工费用",ROUND(N($J245),2),0))</f>
        <v>0</v>
      </c>
      <c r="T245" s="60" t="n">
        <f aca="false">IF($E245&lt;&gt;"产成品入库",0,IF(SUMIFS($W$6:$W$305,$C$6:$C$305,$C245,$D$6:$D$305,$D245,$E$6:$E$305,"产成品入库")=0,0,ROUND(SUMIFS($S$6:$S$305,$C$6:$C$305,$C245,$D$6:$D$305,$D245)*N($X245)/SUMIFS($W$6:$W$305,$C$6:$C$305,$C245,$D$6:$D$305,$D245,$E$6:$E$305,"产成品入库"),2)-ROUND(SUMIFS($S$6:$S$305,$C$6:$C$305,$C245,$D$6:$D$305,$D245)*(N($X245)-N($W245))/SUMIFS($W$6:$W$305,$C$6:$C$305,$C245,$D$6:$D$305,$D245,$E$6:$E$305,"产成品入库"),2)))</f>
        <v>0</v>
      </c>
      <c r="U245" s="57" t="str">
        <f aca="false">IF($E245="","",ROUND($S245+$T245,2))</f>
        <v/>
      </c>
      <c r="V245" s="61" t="str">
        <f aca="false">IF($B245="","",YEAR($B245))</f>
        <v/>
      </c>
      <c r="W245" s="63" t="str">
        <f aca="false">IF($E245&lt;&gt;"产成品入库","",IF(N($M245)=0,1,N($M245)))</f>
        <v/>
      </c>
      <c r="X245" s="63" t="str">
        <f aca="false">IF($E245&lt;&gt;"产成品入库","",SUMIFS($W$6:$W245,$C$6:$C245,$C245,$D$6:$D245,$D245,$E$6:$E245,"产成品入库"))</f>
        <v/>
      </c>
    </row>
    <row r="246" customFormat="false" ht="15" hidden="false" customHeight="false" outlineLevel="0" collapsed="false">
      <c r="A246" s="53" t="str">
        <f aca="false">IF($B246="","",ROW()-5)</f>
        <v/>
      </c>
      <c r="B246" s="54"/>
      <c r="C246" s="33"/>
      <c r="D246" s="39"/>
      <c r="E246" s="33"/>
      <c r="F246" s="39"/>
      <c r="G246" s="48" t="str">
        <f aca="false">IF($F246="","",IFERROR(INDEX(商品档案!$B$6:$B$65,MATCH($F246,商品档案!$A$6:$A$65,0)),""))</f>
        <v/>
      </c>
      <c r="H246" s="55" t="str">
        <f aca="false">IF($F246="","",IFERROR(INDEX(商品档案!$D$6:$D$65,MATCH($F246,商品档案!$A$6:$A$65,0)),""))</f>
        <v/>
      </c>
      <c r="I246" s="49"/>
      <c r="J246" s="43"/>
      <c r="K246" s="41"/>
      <c r="L246" s="39"/>
      <c r="M246" s="62"/>
      <c r="N246" s="41"/>
      <c r="O246" s="41"/>
      <c r="P246" s="25" t="str">
        <f aca="false">IF(AND($B246="",$E246=""),"",IF(NOT(ISNUMBER($B246)),"日期无效",IF(ISNA(MATCH($C246,参数设置!$A$10:$A$12,0)),"公司无效",IF($D246="","缺批次号",IF(ISNA(MATCH($E246,记账规则!$A$36:$A$38,0)),"业务类型无效",IF(AND($E246&lt;&gt;"加工费用",ISNA(MATCH($F246,商品档案!$A$6:$A$65,0))),"商品编码无效",IF(AND($E246&lt;&gt;"加工费用",IFERROR(INDEX(商品档案!$E$6:$E$65,MATCH($F246,商品档案!$A$6:$A$65,0)),"")&lt;&gt;$C246),"商品不属于该公司",IF(AND($E246&lt;&gt;"加工费用",N($I246)=0),"数量为 0",IF(AND($E246="加工费用",N($J246)=0),"加工费金额为 0",IF(AND($E246="加工费用",ISNA(MATCH($K246,会计科目表!$B$6:$B$85,0))),"对方科目不存在",IF(YEAR($B246)&lt;&gt;参数设置!$B$5,"不在本会计年度","OK")))))))))))</f>
        <v/>
      </c>
      <c r="Q246" s="58" t="str">
        <f aca="false">IF($F246="","",IFERROR(INDEX(商品档案!$G$6:$G$65,MATCH($F246,商品档案!$A$6:$A$65,0)),""))</f>
        <v/>
      </c>
      <c r="R246" s="59" t="str">
        <f aca="false">IF($F246="","",SUMIFS(进销存台账!$N$6:$N$65,进销存台账!$A$6:$A$65,$C246,进销存台账!$B$6:$B$65,$F246))</f>
        <v/>
      </c>
      <c r="S246" s="60" t="n">
        <f aca="false">IF($E246="领用投入",ROUND(N($I246)*N($R246),2),IF($E246="加工费用",ROUND(N($J246),2),0))</f>
        <v>0</v>
      </c>
      <c r="T246" s="60" t="n">
        <f aca="false">IF($E246&lt;&gt;"产成品入库",0,IF(SUMIFS($W$6:$W$305,$C$6:$C$305,$C246,$D$6:$D$305,$D246,$E$6:$E$305,"产成品入库")=0,0,ROUND(SUMIFS($S$6:$S$305,$C$6:$C$305,$C246,$D$6:$D$305,$D246)*N($X246)/SUMIFS($W$6:$W$305,$C$6:$C$305,$C246,$D$6:$D$305,$D246,$E$6:$E$305,"产成品入库"),2)-ROUND(SUMIFS($S$6:$S$305,$C$6:$C$305,$C246,$D$6:$D$305,$D246)*(N($X246)-N($W246))/SUMIFS($W$6:$W$305,$C$6:$C$305,$C246,$D$6:$D$305,$D246,$E$6:$E$305,"产成品入库"),2)))</f>
        <v>0</v>
      </c>
      <c r="U246" s="57" t="str">
        <f aca="false">IF($E246="","",ROUND($S246+$T246,2))</f>
        <v/>
      </c>
      <c r="V246" s="61" t="str">
        <f aca="false">IF($B246="","",YEAR($B246))</f>
        <v/>
      </c>
      <c r="W246" s="63" t="str">
        <f aca="false">IF($E246&lt;&gt;"产成品入库","",IF(N($M246)=0,1,N($M246)))</f>
        <v/>
      </c>
      <c r="X246" s="63" t="str">
        <f aca="false">IF($E246&lt;&gt;"产成品入库","",SUMIFS($W$6:$W246,$C$6:$C246,$C246,$D$6:$D246,$D246,$E$6:$E246,"产成品入库"))</f>
        <v/>
      </c>
    </row>
    <row r="247" customFormat="false" ht="15" hidden="false" customHeight="false" outlineLevel="0" collapsed="false">
      <c r="A247" s="53" t="str">
        <f aca="false">IF($B247="","",ROW()-5)</f>
        <v/>
      </c>
      <c r="B247" s="54"/>
      <c r="C247" s="33"/>
      <c r="D247" s="39"/>
      <c r="E247" s="33"/>
      <c r="F247" s="39"/>
      <c r="G247" s="48" t="str">
        <f aca="false">IF($F247="","",IFERROR(INDEX(商品档案!$B$6:$B$65,MATCH($F247,商品档案!$A$6:$A$65,0)),""))</f>
        <v/>
      </c>
      <c r="H247" s="55" t="str">
        <f aca="false">IF($F247="","",IFERROR(INDEX(商品档案!$D$6:$D$65,MATCH($F247,商品档案!$A$6:$A$65,0)),""))</f>
        <v/>
      </c>
      <c r="I247" s="49"/>
      <c r="J247" s="43"/>
      <c r="K247" s="41"/>
      <c r="L247" s="39"/>
      <c r="M247" s="62"/>
      <c r="N247" s="41"/>
      <c r="O247" s="41"/>
      <c r="P247" s="25" t="str">
        <f aca="false">IF(AND($B247="",$E247=""),"",IF(NOT(ISNUMBER($B247)),"日期无效",IF(ISNA(MATCH($C247,参数设置!$A$10:$A$12,0)),"公司无效",IF($D247="","缺批次号",IF(ISNA(MATCH($E247,记账规则!$A$36:$A$38,0)),"业务类型无效",IF(AND($E247&lt;&gt;"加工费用",ISNA(MATCH($F247,商品档案!$A$6:$A$65,0))),"商品编码无效",IF(AND($E247&lt;&gt;"加工费用",IFERROR(INDEX(商品档案!$E$6:$E$65,MATCH($F247,商品档案!$A$6:$A$65,0)),"")&lt;&gt;$C247),"商品不属于该公司",IF(AND($E247&lt;&gt;"加工费用",N($I247)=0),"数量为 0",IF(AND($E247="加工费用",N($J247)=0),"加工费金额为 0",IF(AND($E247="加工费用",ISNA(MATCH($K247,会计科目表!$B$6:$B$85,0))),"对方科目不存在",IF(YEAR($B247)&lt;&gt;参数设置!$B$5,"不在本会计年度","OK")))))))))))</f>
        <v/>
      </c>
      <c r="Q247" s="58" t="str">
        <f aca="false">IF($F247="","",IFERROR(INDEX(商品档案!$G$6:$G$65,MATCH($F247,商品档案!$A$6:$A$65,0)),""))</f>
        <v/>
      </c>
      <c r="R247" s="59" t="str">
        <f aca="false">IF($F247="","",SUMIFS(进销存台账!$N$6:$N$65,进销存台账!$A$6:$A$65,$C247,进销存台账!$B$6:$B$65,$F247))</f>
        <v/>
      </c>
      <c r="S247" s="60" t="n">
        <f aca="false">IF($E247="领用投入",ROUND(N($I247)*N($R247),2),IF($E247="加工费用",ROUND(N($J247),2),0))</f>
        <v>0</v>
      </c>
      <c r="T247" s="60" t="n">
        <f aca="false">IF($E247&lt;&gt;"产成品入库",0,IF(SUMIFS($W$6:$W$305,$C$6:$C$305,$C247,$D$6:$D$305,$D247,$E$6:$E$305,"产成品入库")=0,0,ROUND(SUMIFS($S$6:$S$305,$C$6:$C$305,$C247,$D$6:$D$305,$D247)*N($X247)/SUMIFS($W$6:$W$305,$C$6:$C$305,$C247,$D$6:$D$305,$D247,$E$6:$E$305,"产成品入库"),2)-ROUND(SUMIFS($S$6:$S$305,$C$6:$C$305,$C247,$D$6:$D$305,$D247)*(N($X247)-N($W247))/SUMIFS($W$6:$W$305,$C$6:$C$305,$C247,$D$6:$D$305,$D247,$E$6:$E$305,"产成品入库"),2)))</f>
        <v>0</v>
      </c>
      <c r="U247" s="57" t="str">
        <f aca="false">IF($E247="","",ROUND($S247+$T247,2))</f>
        <v/>
      </c>
      <c r="V247" s="61" t="str">
        <f aca="false">IF($B247="","",YEAR($B247))</f>
        <v/>
      </c>
      <c r="W247" s="63" t="str">
        <f aca="false">IF($E247&lt;&gt;"产成品入库","",IF(N($M247)=0,1,N($M247)))</f>
        <v/>
      </c>
      <c r="X247" s="63" t="str">
        <f aca="false">IF($E247&lt;&gt;"产成品入库","",SUMIFS($W$6:$W247,$C$6:$C247,$C247,$D$6:$D247,$D247,$E$6:$E247,"产成品入库"))</f>
        <v/>
      </c>
    </row>
    <row r="248" customFormat="false" ht="15" hidden="false" customHeight="false" outlineLevel="0" collapsed="false">
      <c r="A248" s="53" t="str">
        <f aca="false">IF($B248="","",ROW()-5)</f>
        <v/>
      </c>
      <c r="B248" s="54"/>
      <c r="C248" s="33"/>
      <c r="D248" s="39"/>
      <c r="E248" s="33"/>
      <c r="F248" s="39"/>
      <c r="G248" s="48" t="str">
        <f aca="false">IF($F248="","",IFERROR(INDEX(商品档案!$B$6:$B$65,MATCH($F248,商品档案!$A$6:$A$65,0)),""))</f>
        <v/>
      </c>
      <c r="H248" s="55" t="str">
        <f aca="false">IF($F248="","",IFERROR(INDEX(商品档案!$D$6:$D$65,MATCH($F248,商品档案!$A$6:$A$65,0)),""))</f>
        <v/>
      </c>
      <c r="I248" s="49"/>
      <c r="J248" s="43"/>
      <c r="K248" s="41"/>
      <c r="L248" s="39"/>
      <c r="M248" s="62"/>
      <c r="N248" s="41"/>
      <c r="O248" s="41"/>
      <c r="P248" s="25" t="str">
        <f aca="false">IF(AND($B248="",$E248=""),"",IF(NOT(ISNUMBER($B248)),"日期无效",IF(ISNA(MATCH($C248,参数设置!$A$10:$A$12,0)),"公司无效",IF($D248="","缺批次号",IF(ISNA(MATCH($E248,记账规则!$A$36:$A$38,0)),"业务类型无效",IF(AND($E248&lt;&gt;"加工费用",ISNA(MATCH($F248,商品档案!$A$6:$A$65,0))),"商品编码无效",IF(AND($E248&lt;&gt;"加工费用",IFERROR(INDEX(商品档案!$E$6:$E$65,MATCH($F248,商品档案!$A$6:$A$65,0)),"")&lt;&gt;$C248),"商品不属于该公司",IF(AND($E248&lt;&gt;"加工费用",N($I248)=0),"数量为 0",IF(AND($E248="加工费用",N($J248)=0),"加工费金额为 0",IF(AND($E248="加工费用",ISNA(MATCH($K248,会计科目表!$B$6:$B$85,0))),"对方科目不存在",IF(YEAR($B248)&lt;&gt;参数设置!$B$5,"不在本会计年度","OK")))))))))))</f>
        <v/>
      </c>
      <c r="Q248" s="58" t="str">
        <f aca="false">IF($F248="","",IFERROR(INDEX(商品档案!$G$6:$G$65,MATCH($F248,商品档案!$A$6:$A$65,0)),""))</f>
        <v/>
      </c>
      <c r="R248" s="59" t="str">
        <f aca="false">IF($F248="","",SUMIFS(进销存台账!$N$6:$N$65,进销存台账!$A$6:$A$65,$C248,进销存台账!$B$6:$B$65,$F248))</f>
        <v/>
      </c>
      <c r="S248" s="60" t="n">
        <f aca="false">IF($E248="领用投入",ROUND(N($I248)*N($R248),2),IF($E248="加工费用",ROUND(N($J248),2),0))</f>
        <v>0</v>
      </c>
      <c r="T248" s="60" t="n">
        <f aca="false">IF($E248&lt;&gt;"产成品入库",0,IF(SUMIFS($W$6:$W$305,$C$6:$C$305,$C248,$D$6:$D$305,$D248,$E$6:$E$305,"产成品入库")=0,0,ROUND(SUMIFS($S$6:$S$305,$C$6:$C$305,$C248,$D$6:$D$305,$D248)*N($X248)/SUMIFS($W$6:$W$305,$C$6:$C$305,$C248,$D$6:$D$305,$D248,$E$6:$E$305,"产成品入库"),2)-ROUND(SUMIFS($S$6:$S$305,$C$6:$C$305,$C248,$D$6:$D$305,$D248)*(N($X248)-N($W248))/SUMIFS($W$6:$W$305,$C$6:$C$305,$C248,$D$6:$D$305,$D248,$E$6:$E$305,"产成品入库"),2)))</f>
        <v>0</v>
      </c>
      <c r="U248" s="57" t="str">
        <f aca="false">IF($E248="","",ROUND($S248+$T248,2))</f>
        <v/>
      </c>
      <c r="V248" s="61" t="str">
        <f aca="false">IF($B248="","",YEAR($B248))</f>
        <v/>
      </c>
      <c r="W248" s="63" t="str">
        <f aca="false">IF($E248&lt;&gt;"产成品入库","",IF(N($M248)=0,1,N($M248)))</f>
        <v/>
      </c>
      <c r="X248" s="63" t="str">
        <f aca="false">IF($E248&lt;&gt;"产成品入库","",SUMIFS($W$6:$W248,$C$6:$C248,$C248,$D$6:$D248,$D248,$E$6:$E248,"产成品入库"))</f>
        <v/>
      </c>
    </row>
    <row r="249" customFormat="false" ht="15" hidden="false" customHeight="false" outlineLevel="0" collapsed="false">
      <c r="A249" s="53" t="str">
        <f aca="false">IF($B249="","",ROW()-5)</f>
        <v/>
      </c>
      <c r="B249" s="54"/>
      <c r="C249" s="33"/>
      <c r="D249" s="39"/>
      <c r="E249" s="33"/>
      <c r="F249" s="39"/>
      <c r="G249" s="48" t="str">
        <f aca="false">IF($F249="","",IFERROR(INDEX(商品档案!$B$6:$B$65,MATCH($F249,商品档案!$A$6:$A$65,0)),""))</f>
        <v/>
      </c>
      <c r="H249" s="55" t="str">
        <f aca="false">IF($F249="","",IFERROR(INDEX(商品档案!$D$6:$D$65,MATCH($F249,商品档案!$A$6:$A$65,0)),""))</f>
        <v/>
      </c>
      <c r="I249" s="49"/>
      <c r="J249" s="43"/>
      <c r="K249" s="41"/>
      <c r="L249" s="39"/>
      <c r="M249" s="62"/>
      <c r="N249" s="41"/>
      <c r="O249" s="41"/>
      <c r="P249" s="25" t="str">
        <f aca="false">IF(AND($B249="",$E249=""),"",IF(NOT(ISNUMBER($B249)),"日期无效",IF(ISNA(MATCH($C249,参数设置!$A$10:$A$12,0)),"公司无效",IF($D249="","缺批次号",IF(ISNA(MATCH($E249,记账规则!$A$36:$A$38,0)),"业务类型无效",IF(AND($E249&lt;&gt;"加工费用",ISNA(MATCH($F249,商品档案!$A$6:$A$65,0))),"商品编码无效",IF(AND($E249&lt;&gt;"加工费用",IFERROR(INDEX(商品档案!$E$6:$E$65,MATCH($F249,商品档案!$A$6:$A$65,0)),"")&lt;&gt;$C249),"商品不属于该公司",IF(AND($E249&lt;&gt;"加工费用",N($I249)=0),"数量为 0",IF(AND($E249="加工费用",N($J249)=0),"加工费金额为 0",IF(AND($E249="加工费用",ISNA(MATCH($K249,会计科目表!$B$6:$B$85,0))),"对方科目不存在",IF(YEAR($B249)&lt;&gt;参数设置!$B$5,"不在本会计年度","OK")))))))))))</f>
        <v/>
      </c>
      <c r="Q249" s="58" t="str">
        <f aca="false">IF($F249="","",IFERROR(INDEX(商品档案!$G$6:$G$65,MATCH($F249,商品档案!$A$6:$A$65,0)),""))</f>
        <v/>
      </c>
      <c r="R249" s="59" t="str">
        <f aca="false">IF($F249="","",SUMIFS(进销存台账!$N$6:$N$65,进销存台账!$A$6:$A$65,$C249,进销存台账!$B$6:$B$65,$F249))</f>
        <v/>
      </c>
      <c r="S249" s="60" t="n">
        <f aca="false">IF($E249="领用投入",ROUND(N($I249)*N($R249),2),IF($E249="加工费用",ROUND(N($J249),2),0))</f>
        <v>0</v>
      </c>
      <c r="T249" s="60" t="n">
        <f aca="false">IF($E249&lt;&gt;"产成品入库",0,IF(SUMIFS($W$6:$W$305,$C$6:$C$305,$C249,$D$6:$D$305,$D249,$E$6:$E$305,"产成品入库")=0,0,ROUND(SUMIFS($S$6:$S$305,$C$6:$C$305,$C249,$D$6:$D$305,$D249)*N($X249)/SUMIFS($W$6:$W$305,$C$6:$C$305,$C249,$D$6:$D$305,$D249,$E$6:$E$305,"产成品入库"),2)-ROUND(SUMIFS($S$6:$S$305,$C$6:$C$305,$C249,$D$6:$D$305,$D249)*(N($X249)-N($W249))/SUMIFS($W$6:$W$305,$C$6:$C$305,$C249,$D$6:$D$305,$D249,$E$6:$E$305,"产成品入库"),2)))</f>
        <v>0</v>
      </c>
      <c r="U249" s="57" t="str">
        <f aca="false">IF($E249="","",ROUND($S249+$T249,2))</f>
        <v/>
      </c>
      <c r="V249" s="61" t="str">
        <f aca="false">IF($B249="","",YEAR($B249))</f>
        <v/>
      </c>
      <c r="W249" s="63" t="str">
        <f aca="false">IF($E249&lt;&gt;"产成品入库","",IF(N($M249)=0,1,N($M249)))</f>
        <v/>
      </c>
      <c r="X249" s="63" t="str">
        <f aca="false">IF($E249&lt;&gt;"产成品入库","",SUMIFS($W$6:$W249,$C$6:$C249,$C249,$D$6:$D249,$D249,$E$6:$E249,"产成品入库"))</f>
        <v/>
      </c>
    </row>
    <row r="250" customFormat="false" ht="15" hidden="false" customHeight="false" outlineLevel="0" collapsed="false">
      <c r="A250" s="53" t="str">
        <f aca="false">IF($B250="","",ROW()-5)</f>
        <v/>
      </c>
      <c r="B250" s="54"/>
      <c r="C250" s="33"/>
      <c r="D250" s="39"/>
      <c r="E250" s="33"/>
      <c r="F250" s="39"/>
      <c r="G250" s="48" t="str">
        <f aca="false">IF($F250="","",IFERROR(INDEX(商品档案!$B$6:$B$65,MATCH($F250,商品档案!$A$6:$A$65,0)),""))</f>
        <v/>
      </c>
      <c r="H250" s="55" t="str">
        <f aca="false">IF($F250="","",IFERROR(INDEX(商品档案!$D$6:$D$65,MATCH($F250,商品档案!$A$6:$A$65,0)),""))</f>
        <v/>
      </c>
      <c r="I250" s="49"/>
      <c r="J250" s="43"/>
      <c r="K250" s="41"/>
      <c r="L250" s="39"/>
      <c r="M250" s="62"/>
      <c r="N250" s="41"/>
      <c r="O250" s="41"/>
      <c r="P250" s="25" t="str">
        <f aca="false">IF(AND($B250="",$E250=""),"",IF(NOT(ISNUMBER($B250)),"日期无效",IF(ISNA(MATCH($C250,参数设置!$A$10:$A$12,0)),"公司无效",IF($D250="","缺批次号",IF(ISNA(MATCH($E250,记账规则!$A$36:$A$38,0)),"业务类型无效",IF(AND($E250&lt;&gt;"加工费用",ISNA(MATCH($F250,商品档案!$A$6:$A$65,0))),"商品编码无效",IF(AND($E250&lt;&gt;"加工费用",IFERROR(INDEX(商品档案!$E$6:$E$65,MATCH($F250,商品档案!$A$6:$A$65,0)),"")&lt;&gt;$C250),"商品不属于该公司",IF(AND($E250&lt;&gt;"加工费用",N($I250)=0),"数量为 0",IF(AND($E250="加工费用",N($J250)=0),"加工费金额为 0",IF(AND($E250="加工费用",ISNA(MATCH($K250,会计科目表!$B$6:$B$85,0))),"对方科目不存在",IF(YEAR($B250)&lt;&gt;参数设置!$B$5,"不在本会计年度","OK")))))))))))</f>
        <v/>
      </c>
      <c r="Q250" s="58" t="str">
        <f aca="false">IF($F250="","",IFERROR(INDEX(商品档案!$G$6:$G$65,MATCH($F250,商品档案!$A$6:$A$65,0)),""))</f>
        <v/>
      </c>
      <c r="R250" s="59" t="str">
        <f aca="false">IF($F250="","",SUMIFS(进销存台账!$N$6:$N$65,进销存台账!$A$6:$A$65,$C250,进销存台账!$B$6:$B$65,$F250))</f>
        <v/>
      </c>
      <c r="S250" s="60" t="n">
        <f aca="false">IF($E250="领用投入",ROUND(N($I250)*N($R250),2),IF($E250="加工费用",ROUND(N($J250),2),0))</f>
        <v>0</v>
      </c>
      <c r="T250" s="60" t="n">
        <f aca="false">IF($E250&lt;&gt;"产成品入库",0,IF(SUMIFS($W$6:$W$305,$C$6:$C$305,$C250,$D$6:$D$305,$D250,$E$6:$E$305,"产成品入库")=0,0,ROUND(SUMIFS($S$6:$S$305,$C$6:$C$305,$C250,$D$6:$D$305,$D250)*N($X250)/SUMIFS($W$6:$W$305,$C$6:$C$305,$C250,$D$6:$D$305,$D250,$E$6:$E$305,"产成品入库"),2)-ROUND(SUMIFS($S$6:$S$305,$C$6:$C$305,$C250,$D$6:$D$305,$D250)*(N($X250)-N($W250))/SUMIFS($W$6:$W$305,$C$6:$C$305,$C250,$D$6:$D$305,$D250,$E$6:$E$305,"产成品入库"),2)))</f>
        <v>0</v>
      </c>
      <c r="U250" s="57" t="str">
        <f aca="false">IF($E250="","",ROUND($S250+$T250,2))</f>
        <v/>
      </c>
      <c r="V250" s="61" t="str">
        <f aca="false">IF($B250="","",YEAR($B250))</f>
        <v/>
      </c>
      <c r="W250" s="63" t="str">
        <f aca="false">IF($E250&lt;&gt;"产成品入库","",IF(N($M250)=0,1,N($M250)))</f>
        <v/>
      </c>
      <c r="X250" s="63" t="str">
        <f aca="false">IF($E250&lt;&gt;"产成品入库","",SUMIFS($W$6:$W250,$C$6:$C250,$C250,$D$6:$D250,$D250,$E$6:$E250,"产成品入库"))</f>
        <v/>
      </c>
    </row>
    <row r="251" customFormat="false" ht="15" hidden="false" customHeight="false" outlineLevel="0" collapsed="false">
      <c r="A251" s="53" t="str">
        <f aca="false">IF($B251="","",ROW()-5)</f>
        <v/>
      </c>
      <c r="B251" s="54"/>
      <c r="C251" s="33"/>
      <c r="D251" s="39"/>
      <c r="E251" s="33"/>
      <c r="F251" s="39"/>
      <c r="G251" s="48" t="str">
        <f aca="false">IF($F251="","",IFERROR(INDEX(商品档案!$B$6:$B$65,MATCH($F251,商品档案!$A$6:$A$65,0)),""))</f>
        <v/>
      </c>
      <c r="H251" s="55" t="str">
        <f aca="false">IF($F251="","",IFERROR(INDEX(商品档案!$D$6:$D$65,MATCH($F251,商品档案!$A$6:$A$65,0)),""))</f>
        <v/>
      </c>
      <c r="I251" s="49"/>
      <c r="J251" s="43"/>
      <c r="K251" s="41"/>
      <c r="L251" s="39"/>
      <c r="M251" s="62"/>
      <c r="N251" s="41"/>
      <c r="O251" s="41"/>
      <c r="P251" s="25" t="str">
        <f aca="false">IF(AND($B251="",$E251=""),"",IF(NOT(ISNUMBER($B251)),"日期无效",IF(ISNA(MATCH($C251,参数设置!$A$10:$A$12,0)),"公司无效",IF($D251="","缺批次号",IF(ISNA(MATCH($E251,记账规则!$A$36:$A$38,0)),"业务类型无效",IF(AND($E251&lt;&gt;"加工费用",ISNA(MATCH($F251,商品档案!$A$6:$A$65,0))),"商品编码无效",IF(AND($E251&lt;&gt;"加工费用",IFERROR(INDEX(商品档案!$E$6:$E$65,MATCH($F251,商品档案!$A$6:$A$65,0)),"")&lt;&gt;$C251),"商品不属于该公司",IF(AND($E251&lt;&gt;"加工费用",N($I251)=0),"数量为 0",IF(AND($E251="加工费用",N($J251)=0),"加工费金额为 0",IF(AND($E251="加工费用",ISNA(MATCH($K251,会计科目表!$B$6:$B$85,0))),"对方科目不存在",IF(YEAR($B251)&lt;&gt;参数设置!$B$5,"不在本会计年度","OK")))))))))))</f>
        <v/>
      </c>
      <c r="Q251" s="58" t="str">
        <f aca="false">IF($F251="","",IFERROR(INDEX(商品档案!$G$6:$G$65,MATCH($F251,商品档案!$A$6:$A$65,0)),""))</f>
        <v/>
      </c>
      <c r="R251" s="59" t="str">
        <f aca="false">IF($F251="","",SUMIFS(进销存台账!$N$6:$N$65,进销存台账!$A$6:$A$65,$C251,进销存台账!$B$6:$B$65,$F251))</f>
        <v/>
      </c>
      <c r="S251" s="60" t="n">
        <f aca="false">IF($E251="领用投入",ROUND(N($I251)*N($R251),2),IF($E251="加工费用",ROUND(N($J251),2),0))</f>
        <v>0</v>
      </c>
      <c r="T251" s="60" t="n">
        <f aca="false">IF($E251&lt;&gt;"产成品入库",0,IF(SUMIFS($W$6:$W$305,$C$6:$C$305,$C251,$D$6:$D$305,$D251,$E$6:$E$305,"产成品入库")=0,0,ROUND(SUMIFS($S$6:$S$305,$C$6:$C$305,$C251,$D$6:$D$305,$D251)*N($X251)/SUMIFS($W$6:$W$305,$C$6:$C$305,$C251,$D$6:$D$305,$D251,$E$6:$E$305,"产成品入库"),2)-ROUND(SUMIFS($S$6:$S$305,$C$6:$C$305,$C251,$D$6:$D$305,$D251)*(N($X251)-N($W251))/SUMIFS($W$6:$W$305,$C$6:$C$305,$C251,$D$6:$D$305,$D251,$E$6:$E$305,"产成品入库"),2)))</f>
        <v>0</v>
      </c>
      <c r="U251" s="57" t="str">
        <f aca="false">IF($E251="","",ROUND($S251+$T251,2))</f>
        <v/>
      </c>
      <c r="V251" s="61" t="str">
        <f aca="false">IF($B251="","",YEAR($B251))</f>
        <v/>
      </c>
      <c r="W251" s="63" t="str">
        <f aca="false">IF($E251&lt;&gt;"产成品入库","",IF(N($M251)=0,1,N($M251)))</f>
        <v/>
      </c>
      <c r="X251" s="63" t="str">
        <f aca="false">IF($E251&lt;&gt;"产成品入库","",SUMIFS($W$6:$W251,$C$6:$C251,$C251,$D$6:$D251,$D251,$E$6:$E251,"产成品入库"))</f>
        <v/>
      </c>
    </row>
    <row r="252" customFormat="false" ht="15" hidden="false" customHeight="false" outlineLevel="0" collapsed="false">
      <c r="A252" s="53" t="str">
        <f aca="false">IF($B252="","",ROW()-5)</f>
        <v/>
      </c>
      <c r="B252" s="54"/>
      <c r="C252" s="33"/>
      <c r="D252" s="39"/>
      <c r="E252" s="33"/>
      <c r="F252" s="39"/>
      <c r="G252" s="48" t="str">
        <f aca="false">IF($F252="","",IFERROR(INDEX(商品档案!$B$6:$B$65,MATCH($F252,商品档案!$A$6:$A$65,0)),""))</f>
        <v/>
      </c>
      <c r="H252" s="55" t="str">
        <f aca="false">IF($F252="","",IFERROR(INDEX(商品档案!$D$6:$D$65,MATCH($F252,商品档案!$A$6:$A$65,0)),""))</f>
        <v/>
      </c>
      <c r="I252" s="49"/>
      <c r="J252" s="43"/>
      <c r="K252" s="41"/>
      <c r="L252" s="39"/>
      <c r="M252" s="62"/>
      <c r="N252" s="41"/>
      <c r="O252" s="41"/>
      <c r="P252" s="25" t="str">
        <f aca="false">IF(AND($B252="",$E252=""),"",IF(NOT(ISNUMBER($B252)),"日期无效",IF(ISNA(MATCH($C252,参数设置!$A$10:$A$12,0)),"公司无效",IF($D252="","缺批次号",IF(ISNA(MATCH($E252,记账规则!$A$36:$A$38,0)),"业务类型无效",IF(AND($E252&lt;&gt;"加工费用",ISNA(MATCH($F252,商品档案!$A$6:$A$65,0))),"商品编码无效",IF(AND($E252&lt;&gt;"加工费用",IFERROR(INDEX(商品档案!$E$6:$E$65,MATCH($F252,商品档案!$A$6:$A$65,0)),"")&lt;&gt;$C252),"商品不属于该公司",IF(AND($E252&lt;&gt;"加工费用",N($I252)=0),"数量为 0",IF(AND($E252="加工费用",N($J252)=0),"加工费金额为 0",IF(AND($E252="加工费用",ISNA(MATCH($K252,会计科目表!$B$6:$B$85,0))),"对方科目不存在",IF(YEAR($B252)&lt;&gt;参数设置!$B$5,"不在本会计年度","OK")))))))))))</f>
        <v/>
      </c>
      <c r="Q252" s="58" t="str">
        <f aca="false">IF($F252="","",IFERROR(INDEX(商品档案!$G$6:$G$65,MATCH($F252,商品档案!$A$6:$A$65,0)),""))</f>
        <v/>
      </c>
      <c r="R252" s="59" t="str">
        <f aca="false">IF($F252="","",SUMIFS(进销存台账!$N$6:$N$65,进销存台账!$A$6:$A$65,$C252,进销存台账!$B$6:$B$65,$F252))</f>
        <v/>
      </c>
      <c r="S252" s="60" t="n">
        <f aca="false">IF($E252="领用投入",ROUND(N($I252)*N($R252),2),IF($E252="加工费用",ROUND(N($J252),2),0))</f>
        <v>0</v>
      </c>
      <c r="T252" s="60" t="n">
        <f aca="false">IF($E252&lt;&gt;"产成品入库",0,IF(SUMIFS($W$6:$W$305,$C$6:$C$305,$C252,$D$6:$D$305,$D252,$E$6:$E$305,"产成品入库")=0,0,ROUND(SUMIFS($S$6:$S$305,$C$6:$C$305,$C252,$D$6:$D$305,$D252)*N($X252)/SUMIFS($W$6:$W$305,$C$6:$C$305,$C252,$D$6:$D$305,$D252,$E$6:$E$305,"产成品入库"),2)-ROUND(SUMIFS($S$6:$S$305,$C$6:$C$305,$C252,$D$6:$D$305,$D252)*(N($X252)-N($W252))/SUMIFS($W$6:$W$305,$C$6:$C$305,$C252,$D$6:$D$305,$D252,$E$6:$E$305,"产成品入库"),2)))</f>
        <v>0</v>
      </c>
      <c r="U252" s="57" t="str">
        <f aca="false">IF($E252="","",ROUND($S252+$T252,2))</f>
        <v/>
      </c>
      <c r="V252" s="61" t="str">
        <f aca="false">IF($B252="","",YEAR($B252))</f>
        <v/>
      </c>
      <c r="W252" s="63" t="str">
        <f aca="false">IF($E252&lt;&gt;"产成品入库","",IF(N($M252)=0,1,N($M252)))</f>
        <v/>
      </c>
      <c r="X252" s="63" t="str">
        <f aca="false">IF($E252&lt;&gt;"产成品入库","",SUMIFS($W$6:$W252,$C$6:$C252,$C252,$D$6:$D252,$D252,$E$6:$E252,"产成品入库"))</f>
        <v/>
      </c>
    </row>
    <row r="253" customFormat="false" ht="15" hidden="false" customHeight="false" outlineLevel="0" collapsed="false">
      <c r="A253" s="53" t="str">
        <f aca="false">IF($B253="","",ROW()-5)</f>
        <v/>
      </c>
      <c r="B253" s="54"/>
      <c r="C253" s="33"/>
      <c r="D253" s="39"/>
      <c r="E253" s="33"/>
      <c r="F253" s="39"/>
      <c r="G253" s="48" t="str">
        <f aca="false">IF($F253="","",IFERROR(INDEX(商品档案!$B$6:$B$65,MATCH($F253,商品档案!$A$6:$A$65,0)),""))</f>
        <v/>
      </c>
      <c r="H253" s="55" t="str">
        <f aca="false">IF($F253="","",IFERROR(INDEX(商品档案!$D$6:$D$65,MATCH($F253,商品档案!$A$6:$A$65,0)),""))</f>
        <v/>
      </c>
      <c r="I253" s="49"/>
      <c r="J253" s="43"/>
      <c r="K253" s="41"/>
      <c r="L253" s="39"/>
      <c r="M253" s="62"/>
      <c r="N253" s="41"/>
      <c r="O253" s="41"/>
      <c r="P253" s="25" t="str">
        <f aca="false">IF(AND($B253="",$E253=""),"",IF(NOT(ISNUMBER($B253)),"日期无效",IF(ISNA(MATCH($C253,参数设置!$A$10:$A$12,0)),"公司无效",IF($D253="","缺批次号",IF(ISNA(MATCH($E253,记账规则!$A$36:$A$38,0)),"业务类型无效",IF(AND($E253&lt;&gt;"加工费用",ISNA(MATCH($F253,商品档案!$A$6:$A$65,0))),"商品编码无效",IF(AND($E253&lt;&gt;"加工费用",IFERROR(INDEX(商品档案!$E$6:$E$65,MATCH($F253,商品档案!$A$6:$A$65,0)),"")&lt;&gt;$C253),"商品不属于该公司",IF(AND($E253&lt;&gt;"加工费用",N($I253)=0),"数量为 0",IF(AND($E253="加工费用",N($J253)=0),"加工费金额为 0",IF(AND($E253="加工费用",ISNA(MATCH($K253,会计科目表!$B$6:$B$85,0))),"对方科目不存在",IF(YEAR($B253)&lt;&gt;参数设置!$B$5,"不在本会计年度","OK")))))))))))</f>
        <v/>
      </c>
      <c r="Q253" s="58" t="str">
        <f aca="false">IF($F253="","",IFERROR(INDEX(商品档案!$G$6:$G$65,MATCH($F253,商品档案!$A$6:$A$65,0)),""))</f>
        <v/>
      </c>
      <c r="R253" s="59" t="str">
        <f aca="false">IF($F253="","",SUMIFS(进销存台账!$N$6:$N$65,进销存台账!$A$6:$A$65,$C253,进销存台账!$B$6:$B$65,$F253))</f>
        <v/>
      </c>
      <c r="S253" s="60" t="n">
        <f aca="false">IF($E253="领用投入",ROUND(N($I253)*N($R253),2),IF($E253="加工费用",ROUND(N($J253),2),0))</f>
        <v>0</v>
      </c>
      <c r="T253" s="60" t="n">
        <f aca="false">IF($E253&lt;&gt;"产成品入库",0,IF(SUMIFS($W$6:$W$305,$C$6:$C$305,$C253,$D$6:$D$305,$D253,$E$6:$E$305,"产成品入库")=0,0,ROUND(SUMIFS($S$6:$S$305,$C$6:$C$305,$C253,$D$6:$D$305,$D253)*N($X253)/SUMIFS($W$6:$W$305,$C$6:$C$305,$C253,$D$6:$D$305,$D253,$E$6:$E$305,"产成品入库"),2)-ROUND(SUMIFS($S$6:$S$305,$C$6:$C$305,$C253,$D$6:$D$305,$D253)*(N($X253)-N($W253))/SUMIFS($W$6:$W$305,$C$6:$C$305,$C253,$D$6:$D$305,$D253,$E$6:$E$305,"产成品入库"),2)))</f>
        <v>0</v>
      </c>
      <c r="U253" s="57" t="str">
        <f aca="false">IF($E253="","",ROUND($S253+$T253,2))</f>
        <v/>
      </c>
      <c r="V253" s="61" t="str">
        <f aca="false">IF($B253="","",YEAR($B253))</f>
        <v/>
      </c>
      <c r="W253" s="63" t="str">
        <f aca="false">IF($E253&lt;&gt;"产成品入库","",IF(N($M253)=0,1,N($M253)))</f>
        <v/>
      </c>
      <c r="X253" s="63" t="str">
        <f aca="false">IF($E253&lt;&gt;"产成品入库","",SUMIFS($W$6:$W253,$C$6:$C253,$C253,$D$6:$D253,$D253,$E$6:$E253,"产成品入库"))</f>
        <v/>
      </c>
    </row>
    <row r="254" customFormat="false" ht="15" hidden="false" customHeight="false" outlineLevel="0" collapsed="false">
      <c r="A254" s="53" t="str">
        <f aca="false">IF($B254="","",ROW()-5)</f>
        <v/>
      </c>
      <c r="B254" s="54"/>
      <c r="C254" s="33"/>
      <c r="D254" s="39"/>
      <c r="E254" s="33"/>
      <c r="F254" s="39"/>
      <c r="G254" s="48" t="str">
        <f aca="false">IF($F254="","",IFERROR(INDEX(商品档案!$B$6:$B$65,MATCH($F254,商品档案!$A$6:$A$65,0)),""))</f>
        <v/>
      </c>
      <c r="H254" s="55" t="str">
        <f aca="false">IF($F254="","",IFERROR(INDEX(商品档案!$D$6:$D$65,MATCH($F254,商品档案!$A$6:$A$65,0)),""))</f>
        <v/>
      </c>
      <c r="I254" s="49"/>
      <c r="J254" s="43"/>
      <c r="K254" s="41"/>
      <c r="L254" s="39"/>
      <c r="M254" s="62"/>
      <c r="N254" s="41"/>
      <c r="O254" s="41"/>
      <c r="P254" s="25" t="str">
        <f aca="false">IF(AND($B254="",$E254=""),"",IF(NOT(ISNUMBER($B254)),"日期无效",IF(ISNA(MATCH($C254,参数设置!$A$10:$A$12,0)),"公司无效",IF($D254="","缺批次号",IF(ISNA(MATCH($E254,记账规则!$A$36:$A$38,0)),"业务类型无效",IF(AND($E254&lt;&gt;"加工费用",ISNA(MATCH($F254,商品档案!$A$6:$A$65,0))),"商品编码无效",IF(AND($E254&lt;&gt;"加工费用",IFERROR(INDEX(商品档案!$E$6:$E$65,MATCH($F254,商品档案!$A$6:$A$65,0)),"")&lt;&gt;$C254),"商品不属于该公司",IF(AND($E254&lt;&gt;"加工费用",N($I254)=0),"数量为 0",IF(AND($E254="加工费用",N($J254)=0),"加工费金额为 0",IF(AND($E254="加工费用",ISNA(MATCH($K254,会计科目表!$B$6:$B$85,0))),"对方科目不存在",IF(YEAR($B254)&lt;&gt;参数设置!$B$5,"不在本会计年度","OK")))))))))))</f>
        <v/>
      </c>
      <c r="Q254" s="58" t="str">
        <f aca="false">IF($F254="","",IFERROR(INDEX(商品档案!$G$6:$G$65,MATCH($F254,商品档案!$A$6:$A$65,0)),""))</f>
        <v/>
      </c>
      <c r="R254" s="59" t="str">
        <f aca="false">IF($F254="","",SUMIFS(进销存台账!$N$6:$N$65,进销存台账!$A$6:$A$65,$C254,进销存台账!$B$6:$B$65,$F254))</f>
        <v/>
      </c>
      <c r="S254" s="60" t="n">
        <f aca="false">IF($E254="领用投入",ROUND(N($I254)*N($R254),2),IF($E254="加工费用",ROUND(N($J254),2),0))</f>
        <v>0</v>
      </c>
      <c r="T254" s="60" t="n">
        <f aca="false">IF($E254&lt;&gt;"产成品入库",0,IF(SUMIFS($W$6:$W$305,$C$6:$C$305,$C254,$D$6:$D$305,$D254,$E$6:$E$305,"产成品入库")=0,0,ROUND(SUMIFS($S$6:$S$305,$C$6:$C$305,$C254,$D$6:$D$305,$D254)*N($X254)/SUMIFS($W$6:$W$305,$C$6:$C$305,$C254,$D$6:$D$305,$D254,$E$6:$E$305,"产成品入库"),2)-ROUND(SUMIFS($S$6:$S$305,$C$6:$C$305,$C254,$D$6:$D$305,$D254)*(N($X254)-N($W254))/SUMIFS($W$6:$W$305,$C$6:$C$305,$C254,$D$6:$D$305,$D254,$E$6:$E$305,"产成品入库"),2)))</f>
        <v>0</v>
      </c>
      <c r="U254" s="57" t="str">
        <f aca="false">IF($E254="","",ROUND($S254+$T254,2))</f>
        <v/>
      </c>
      <c r="V254" s="61" t="str">
        <f aca="false">IF($B254="","",YEAR($B254))</f>
        <v/>
      </c>
      <c r="W254" s="63" t="str">
        <f aca="false">IF($E254&lt;&gt;"产成品入库","",IF(N($M254)=0,1,N($M254)))</f>
        <v/>
      </c>
      <c r="X254" s="63" t="str">
        <f aca="false">IF($E254&lt;&gt;"产成品入库","",SUMIFS($W$6:$W254,$C$6:$C254,$C254,$D$6:$D254,$D254,$E$6:$E254,"产成品入库"))</f>
        <v/>
      </c>
    </row>
    <row r="255" customFormat="false" ht="15" hidden="false" customHeight="false" outlineLevel="0" collapsed="false">
      <c r="A255" s="53" t="str">
        <f aca="false">IF($B255="","",ROW()-5)</f>
        <v/>
      </c>
      <c r="B255" s="54"/>
      <c r="C255" s="33"/>
      <c r="D255" s="39"/>
      <c r="E255" s="33"/>
      <c r="F255" s="39"/>
      <c r="G255" s="48" t="str">
        <f aca="false">IF($F255="","",IFERROR(INDEX(商品档案!$B$6:$B$65,MATCH($F255,商品档案!$A$6:$A$65,0)),""))</f>
        <v/>
      </c>
      <c r="H255" s="55" t="str">
        <f aca="false">IF($F255="","",IFERROR(INDEX(商品档案!$D$6:$D$65,MATCH($F255,商品档案!$A$6:$A$65,0)),""))</f>
        <v/>
      </c>
      <c r="I255" s="49"/>
      <c r="J255" s="43"/>
      <c r="K255" s="41"/>
      <c r="L255" s="39"/>
      <c r="M255" s="62"/>
      <c r="N255" s="41"/>
      <c r="O255" s="41"/>
      <c r="P255" s="25" t="str">
        <f aca="false">IF(AND($B255="",$E255=""),"",IF(NOT(ISNUMBER($B255)),"日期无效",IF(ISNA(MATCH($C255,参数设置!$A$10:$A$12,0)),"公司无效",IF($D255="","缺批次号",IF(ISNA(MATCH($E255,记账规则!$A$36:$A$38,0)),"业务类型无效",IF(AND($E255&lt;&gt;"加工费用",ISNA(MATCH($F255,商品档案!$A$6:$A$65,0))),"商品编码无效",IF(AND($E255&lt;&gt;"加工费用",IFERROR(INDEX(商品档案!$E$6:$E$65,MATCH($F255,商品档案!$A$6:$A$65,0)),"")&lt;&gt;$C255),"商品不属于该公司",IF(AND($E255&lt;&gt;"加工费用",N($I255)=0),"数量为 0",IF(AND($E255="加工费用",N($J255)=0),"加工费金额为 0",IF(AND($E255="加工费用",ISNA(MATCH($K255,会计科目表!$B$6:$B$85,0))),"对方科目不存在",IF(YEAR($B255)&lt;&gt;参数设置!$B$5,"不在本会计年度","OK")))))))))))</f>
        <v/>
      </c>
      <c r="Q255" s="58" t="str">
        <f aca="false">IF($F255="","",IFERROR(INDEX(商品档案!$G$6:$G$65,MATCH($F255,商品档案!$A$6:$A$65,0)),""))</f>
        <v/>
      </c>
      <c r="R255" s="59" t="str">
        <f aca="false">IF($F255="","",SUMIFS(进销存台账!$N$6:$N$65,进销存台账!$A$6:$A$65,$C255,进销存台账!$B$6:$B$65,$F255))</f>
        <v/>
      </c>
      <c r="S255" s="60" t="n">
        <f aca="false">IF($E255="领用投入",ROUND(N($I255)*N($R255),2),IF($E255="加工费用",ROUND(N($J255),2),0))</f>
        <v>0</v>
      </c>
      <c r="T255" s="60" t="n">
        <f aca="false">IF($E255&lt;&gt;"产成品入库",0,IF(SUMIFS($W$6:$W$305,$C$6:$C$305,$C255,$D$6:$D$305,$D255,$E$6:$E$305,"产成品入库")=0,0,ROUND(SUMIFS($S$6:$S$305,$C$6:$C$305,$C255,$D$6:$D$305,$D255)*N($X255)/SUMIFS($W$6:$W$305,$C$6:$C$305,$C255,$D$6:$D$305,$D255,$E$6:$E$305,"产成品入库"),2)-ROUND(SUMIFS($S$6:$S$305,$C$6:$C$305,$C255,$D$6:$D$305,$D255)*(N($X255)-N($W255))/SUMIFS($W$6:$W$305,$C$6:$C$305,$C255,$D$6:$D$305,$D255,$E$6:$E$305,"产成品入库"),2)))</f>
        <v>0</v>
      </c>
      <c r="U255" s="57" t="str">
        <f aca="false">IF($E255="","",ROUND($S255+$T255,2))</f>
        <v/>
      </c>
      <c r="V255" s="61" t="str">
        <f aca="false">IF($B255="","",YEAR($B255))</f>
        <v/>
      </c>
      <c r="W255" s="63" t="str">
        <f aca="false">IF($E255&lt;&gt;"产成品入库","",IF(N($M255)=0,1,N($M255)))</f>
        <v/>
      </c>
      <c r="X255" s="63" t="str">
        <f aca="false">IF($E255&lt;&gt;"产成品入库","",SUMIFS($W$6:$W255,$C$6:$C255,$C255,$D$6:$D255,$D255,$E$6:$E255,"产成品入库"))</f>
        <v/>
      </c>
    </row>
    <row r="256" customFormat="false" ht="15" hidden="false" customHeight="false" outlineLevel="0" collapsed="false">
      <c r="A256" s="53" t="str">
        <f aca="false">IF($B256="","",ROW()-5)</f>
        <v/>
      </c>
      <c r="B256" s="54"/>
      <c r="C256" s="33"/>
      <c r="D256" s="39"/>
      <c r="E256" s="33"/>
      <c r="F256" s="39"/>
      <c r="G256" s="48" t="str">
        <f aca="false">IF($F256="","",IFERROR(INDEX(商品档案!$B$6:$B$65,MATCH($F256,商品档案!$A$6:$A$65,0)),""))</f>
        <v/>
      </c>
      <c r="H256" s="55" t="str">
        <f aca="false">IF($F256="","",IFERROR(INDEX(商品档案!$D$6:$D$65,MATCH($F256,商品档案!$A$6:$A$65,0)),""))</f>
        <v/>
      </c>
      <c r="I256" s="49"/>
      <c r="J256" s="43"/>
      <c r="K256" s="41"/>
      <c r="L256" s="39"/>
      <c r="M256" s="62"/>
      <c r="N256" s="41"/>
      <c r="O256" s="41"/>
      <c r="P256" s="25" t="str">
        <f aca="false">IF(AND($B256="",$E256=""),"",IF(NOT(ISNUMBER($B256)),"日期无效",IF(ISNA(MATCH($C256,参数设置!$A$10:$A$12,0)),"公司无效",IF($D256="","缺批次号",IF(ISNA(MATCH($E256,记账规则!$A$36:$A$38,0)),"业务类型无效",IF(AND($E256&lt;&gt;"加工费用",ISNA(MATCH($F256,商品档案!$A$6:$A$65,0))),"商品编码无效",IF(AND($E256&lt;&gt;"加工费用",IFERROR(INDEX(商品档案!$E$6:$E$65,MATCH($F256,商品档案!$A$6:$A$65,0)),"")&lt;&gt;$C256),"商品不属于该公司",IF(AND($E256&lt;&gt;"加工费用",N($I256)=0),"数量为 0",IF(AND($E256="加工费用",N($J256)=0),"加工费金额为 0",IF(AND($E256="加工费用",ISNA(MATCH($K256,会计科目表!$B$6:$B$85,0))),"对方科目不存在",IF(YEAR($B256)&lt;&gt;参数设置!$B$5,"不在本会计年度","OK")))))))))))</f>
        <v/>
      </c>
      <c r="Q256" s="58" t="str">
        <f aca="false">IF($F256="","",IFERROR(INDEX(商品档案!$G$6:$G$65,MATCH($F256,商品档案!$A$6:$A$65,0)),""))</f>
        <v/>
      </c>
      <c r="R256" s="59" t="str">
        <f aca="false">IF($F256="","",SUMIFS(进销存台账!$N$6:$N$65,进销存台账!$A$6:$A$65,$C256,进销存台账!$B$6:$B$65,$F256))</f>
        <v/>
      </c>
      <c r="S256" s="60" t="n">
        <f aca="false">IF($E256="领用投入",ROUND(N($I256)*N($R256),2),IF($E256="加工费用",ROUND(N($J256),2),0))</f>
        <v>0</v>
      </c>
      <c r="T256" s="60" t="n">
        <f aca="false">IF($E256&lt;&gt;"产成品入库",0,IF(SUMIFS($W$6:$W$305,$C$6:$C$305,$C256,$D$6:$D$305,$D256,$E$6:$E$305,"产成品入库")=0,0,ROUND(SUMIFS($S$6:$S$305,$C$6:$C$305,$C256,$D$6:$D$305,$D256)*N($X256)/SUMIFS($W$6:$W$305,$C$6:$C$305,$C256,$D$6:$D$305,$D256,$E$6:$E$305,"产成品入库"),2)-ROUND(SUMIFS($S$6:$S$305,$C$6:$C$305,$C256,$D$6:$D$305,$D256)*(N($X256)-N($W256))/SUMIFS($W$6:$W$305,$C$6:$C$305,$C256,$D$6:$D$305,$D256,$E$6:$E$305,"产成品入库"),2)))</f>
        <v>0</v>
      </c>
      <c r="U256" s="57" t="str">
        <f aca="false">IF($E256="","",ROUND($S256+$T256,2))</f>
        <v/>
      </c>
      <c r="V256" s="61" t="str">
        <f aca="false">IF($B256="","",YEAR($B256))</f>
        <v/>
      </c>
      <c r="W256" s="63" t="str">
        <f aca="false">IF($E256&lt;&gt;"产成品入库","",IF(N($M256)=0,1,N($M256)))</f>
        <v/>
      </c>
      <c r="X256" s="63" t="str">
        <f aca="false">IF($E256&lt;&gt;"产成品入库","",SUMIFS($W$6:$W256,$C$6:$C256,$C256,$D$6:$D256,$D256,$E$6:$E256,"产成品入库"))</f>
        <v/>
      </c>
    </row>
    <row r="257" customFormat="false" ht="15" hidden="false" customHeight="false" outlineLevel="0" collapsed="false">
      <c r="A257" s="53" t="str">
        <f aca="false">IF($B257="","",ROW()-5)</f>
        <v/>
      </c>
      <c r="B257" s="54"/>
      <c r="C257" s="33"/>
      <c r="D257" s="39"/>
      <c r="E257" s="33"/>
      <c r="F257" s="39"/>
      <c r="G257" s="48" t="str">
        <f aca="false">IF($F257="","",IFERROR(INDEX(商品档案!$B$6:$B$65,MATCH($F257,商品档案!$A$6:$A$65,0)),""))</f>
        <v/>
      </c>
      <c r="H257" s="55" t="str">
        <f aca="false">IF($F257="","",IFERROR(INDEX(商品档案!$D$6:$D$65,MATCH($F257,商品档案!$A$6:$A$65,0)),""))</f>
        <v/>
      </c>
      <c r="I257" s="49"/>
      <c r="J257" s="43"/>
      <c r="K257" s="41"/>
      <c r="L257" s="39"/>
      <c r="M257" s="62"/>
      <c r="N257" s="41"/>
      <c r="O257" s="41"/>
      <c r="P257" s="25" t="str">
        <f aca="false">IF(AND($B257="",$E257=""),"",IF(NOT(ISNUMBER($B257)),"日期无效",IF(ISNA(MATCH($C257,参数设置!$A$10:$A$12,0)),"公司无效",IF($D257="","缺批次号",IF(ISNA(MATCH($E257,记账规则!$A$36:$A$38,0)),"业务类型无效",IF(AND($E257&lt;&gt;"加工费用",ISNA(MATCH($F257,商品档案!$A$6:$A$65,0))),"商品编码无效",IF(AND($E257&lt;&gt;"加工费用",IFERROR(INDEX(商品档案!$E$6:$E$65,MATCH($F257,商品档案!$A$6:$A$65,0)),"")&lt;&gt;$C257),"商品不属于该公司",IF(AND($E257&lt;&gt;"加工费用",N($I257)=0),"数量为 0",IF(AND($E257="加工费用",N($J257)=0),"加工费金额为 0",IF(AND($E257="加工费用",ISNA(MATCH($K257,会计科目表!$B$6:$B$85,0))),"对方科目不存在",IF(YEAR($B257)&lt;&gt;参数设置!$B$5,"不在本会计年度","OK")))))))))))</f>
        <v/>
      </c>
      <c r="Q257" s="58" t="str">
        <f aca="false">IF($F257="","",IFERROR(INDEX(商品档案!$G$6:$G$65,MATCH($F257,商品档案!$A$6:$A$65,0)),""))</f>
        <v/>
      </c>
      <c r="R257" s="59" t="str">
        <f aca="false">IF($F257="","",SUMIFS(进销存台账!$N$6:$N$65,进销存台账!$A$6:$A$65,$C257,进销存台账!$B$6:$B$65,$F257))</f>
        <v/>
      </c>
      <c r="S257" s="60" t="n">
        <f aca="false">IF($E257="领用投入",ROUND(N($I257)*N($R257),2),IF($E257="加工费用",ROUND(N($J257),2),0))</f>
        <v>0</v>
      </c>
      <c r="T257" s="60" t="n">
        <f aca="false">IF($E257&lt;&gt;"产成品入库",0,IF(SUMIFS($W$6:$W$305,$C$6:$C$305,$C257,$D$6:$D$305,$D257,$E$6:$E$305,"产成品入库")=0,0,ROUND(SUMIFS($S$6:$S$305,$C$6:$C$305,$C257,$D$6:$D$305,$D257)*N($X257)/SUMIFS($W$6:$W$305,$C$6:$C$305,$C257,$D$6:$D$305,$D257,$E$6:$E$305,"产成品入库"),2)-ROUND(SUMIFS($S$6:$S$305,$C$6:$C$305,$C257,$D$6:$D$305,$D257)*(N($X257)-N($W257))/SUMIFS($W$6:$W$305,$C$6:$C$305,$C257,$D$6:$D$305,$D257,$E$6:$E$305,"产成品入库"),2)))</f>
        <v>0</v>
      </c>
      <c r="U257" s="57" t="str">
        <f aca="false">IF($E257="","",ROUND($S257+$T257,2))</f>
        <v/>
      </c>
      <c r="V257" s="61" t="str">
        <f aca="false">IF($B257="","",YEAR($B257))</f>
        <v/>
      </c>
      <c r="W257" s="63" t="str">
        <f aca="false">IF($E257&lt;&gt;"产成品入库","",IF(N($M257)=0,1,N($M257)))</f>
        <v/>
      </c>
      <c r="X257" s="63" t="str">
        <f aca="false">IF($E257&lt;&gt;"产成品入库","",SUMIFS($W$6:$W257,$C$6:$C257,$C257,$D$6:$D257,$D257,$E$6:$E257,"产成品入库"))</f>
        <v/>
      </c>
    </row>
    <row r="258" customFormat="false" ht="15" hidden="false" customHeight="false" outlineLevel="0" collapsed="false">
      <c r="A258" s="53" t="str">
        <f aca="false">IF($B258="","",ROW()-5)</f>
        <v/>
      </c>
      <c r="B258" s="54"/>
      <c r="C258" s="33"/>
      <c r="D258" s="39"/>
      <c r="E258" s="33"/>
      <c r="F258" s="39"/>
      <c r="G258" s="48" t="str">
        <f aca="false">IF($F258="","",IFERROR(INDEX(商品档案!$B$6:$B$65,MATCH($F258,商品档案!$A$6:$A$65,0)),""))</f>
        <v/>
      </c>
      <c r="H258" s="55" t="str">
        <f aca="false">IF($F258="","",IFERROR(INDEX(商品档案!$D$6:$D$65,MATCH($F258,商品档案!$A$6:$A$65,0)),""))</f>
        <v/>
      </c>
      <c r="I258" s="49"/>
      <c r="J258" s="43"/>
      <c r="K258" s="41"/>
      <c r="L258" s="39"/>
      <c r="M258" s="62"/>
      <c r="N258" s="41"/>
      <c r="O258" s="41"/>
      <c r="P258" s="25" t="str">
        <f aca="false">IF(AND($B258="",$E258=""),"",IF(NOT(ISNUMBER($B258)),"日期无效",IF(ISNA(MATCH($C258,参数设置!$A$10:$A$12,0)),"公司无效",IF($D258="","缺批次号",IF(ISNA(MATCH($E258,记账规则!$A$36:$A$38,0)),"业务类型无效",IF(AND($E258&lt;&gt;"加工费用",ISNA(MATCH($F258,商品档案!$A$6:$A$65,0))),"商品编码无效",IF(AND($E258&lt;&gt;"加工费用",IFERROR(INDEX(商品档案!$E$6:$E$65,MATCH($F258,商品档案!$A$6:$A$65,0)),"")&lt;&gt;$C258),"商品不属于该公司",IF(AND($E258&lt;&gt;"加工费用",N($I258)=0),"数量为 0",IF(AND($E258="加工费用",N($J258)=0),"加工费金额为 0",IF(AND($E258="加工费用",ISNA(MATCH($K258,会计科目表!$B$6:$B$85,0))),"对方科目不存在",IF(YEAR($B258)&lt;&gt;参数设置!$B$5,"不在本会计年度","OK")))))))))))</f>
        <v/>
      </c>
      <c r="Q258" s="58" t="str">
        <f aca="false">IF($F258="","",IFERROR(INDEX(商品档案!$G$6:$G$65,MATCH($F258,商品档案!$A$6:$A$65,0)),""))</f>
        <v/>
      </c>
      <c r="R258" s="59" t="str">
        <f aca="false">IF($F258="","",SUMIFS(进销存台账!$N$6:$N$65,进销存台账!$A$6:$A$65,$C258,进销存台账!$B$6:$B$65,$F258))</f>
        <v/>
      </c>
      <c r="S258" s="60" t="n">
        <f aca="false">IF($E258="领用投入",ROUND(N($I258)*N($R258),2),IF($E258="加工费用",ROUND(N($J258),2),0))</f>
        <v>0</v>
      </c>
      <c r="T258" s="60" t="n">
        <f aca="false">IF($E258&lt;&gt;"产成品入库",0,IF(SUMIFS($W$6:$W$305,$C$6:$C$305,$C258,$D$6:$D$305,$D258,$E$6:$E$305,"产成品入库")=0,0,ROUND(SUMIFS($S$6:$S$305,$C$6:$C$305,$C258,$D$6:$D$305,$D258)*N($X258)/SUMIFS($W$6:$W$305,$C$6:$C$305,$C258,$D$6:$D$305,$D258,$E$6:$E$305,"产成品入库"),2)-ROUND(SUMIFS($S$6:$S$305,$C$6:$C$305,$C258,$D$6:$D$305,$D258)*(N($X258)-N($W258))/SUMIFS($W$6:$W$305,$C$6:$C$305,$C258,$D$6:$D$305,$D258,$E$6:$E$305,"产成品入库"),2)))</f>
        <v>0</v>
      </c>
      <c r="U258" s="57" t="str">
        <f aca="false">IF($E258="","",ROUND($S258+$T258,2))</f>
        <v/>
      </c>
      <c r="V258" s="61" t="str">
        <f aca="false">IF($B258="","",YEAR($B258))</f>
        <v/>
      </c>
      <c r="W258" s="63" t="str">
        <f aca="false">IF($E258&lt;&gt;"产成品入库","",IF(N($M258)=0,1,N($M258)))</f>
        <v/>
      </c>
      <c r="X258" s="63" t="str">
        <f aca="false">IF($E258&lt;&gt;"产成品入库","",SUMIFS($W$6:$W258,$C$6:$C258,$C258,$D$6:$D258,$D258,$E$6:$E258,"产成品入库"))</f>
        <v/>
      </c>
    </row>
    <row r="259" customFormat="false" ht="15" hidden="false" customHeight="false" outlineLevel="0" collapsed="false">
      <c r="A259" s="53" t="str">
        <f aca="false">IF($B259="","",ROW()-5)</f>
        <v/>
      </c>
      <c r="B259" s="54"/>
      <c r="C259" s="33"/>
      <c r="D259" s="39"/>
      <c r="E259" s="33"/>
      <c r="F259" s="39"/>
      <c r="G259" s="48" t="str">
        <f aca="false">IF($F259="","",IFERROR(INDEX(商品档案!$B$6:$B$65,MATCH($F259,商品档案!$A$6:$A$65,0)),""))</f>
        <v/>
      </c>
      <c r="H259" s="55" t="str">
        <f aca="false">IF($F259="","",IFERROR(INDEX(商品档案!$D$6:$D$65,MATCH($F259,商品档案!$A$6:$A$65,0)),""))</f>
        <v/>
      </c>
      <c r="I259" s="49"/>
      <c r="J259" s="43"/>
      <c r="K259" s="41"/>
      <c r="L259" s="39"/>
      <c r="M259" s="62"/>
      <c r="N259" s="41"/>
      <c r="O259" s="41"/>
      <c r="P259" s="25" t="str">
        <f aca="false">IF(AND($B259="",$E259=""),"",IF(NOT(ISNUMBER($B259)),"日期无效",IF(ISNA(MATCH($C259,参数设置!$A$10:$A$12,0)),"公司无效",IF($D259="","缺批次号",IF(ISNA(MATCH($E259,记账规则!$A$36:$A$38,0)),"业务类型无效",IF(AND($E259&lt;&gt;"加工费用",ISNA(MATCH($F259,商品档案!$A$6:$A$65,0))),"商品编码无效",IF(AND($E259&lt;&gt;"加工费用",IFERROR(INDEX(商品档案!$E$6:$E$65,MATCH($F259,商品档案!$A$6:$A$65,0)),"")&lt;&gt;$C259),"商品不属于该公司",IF(AND($E259&lt;&gt;"加工费用",N($I259)=0),"数量为 0",IF(AND($E259="加工费用",N($J259)=0),"加工费金额为 0",IF(AND($E259="加工费用",ISNA(MATCH($K259,会计科目表!$B$6:$B$85,0))),"对方科目不存在",IF(YEAR($B259)&lt;&gt;参数设置!$B$5,"不在本会计年度","OK")))))))))))</f>
        <v/>
      </c>
      <c r="Q259" s="58" t="str">
        <f aca="false">IF($F259="","",IFERROR(INDEX(商品档案!$G$6:$G$65,MATCH($F259,商品档案!$A$6:$A$65,0)),""))</f>
        <v/>
      </c>
      <c r="R259" s="59" t="str">
        <f aca="false">IF($F259="","",SUMIFS(进销存台账!$N$6:$N$65,进销存台账!$A$6:$A$65,$C259,进销存台账!$B$6:$B$65,$F259))</f>
        <v/>
      </c>
      <c r="S259" s="60" t="n">
        <f aca="false">IF($E259="领用投入",ROUND(N($I259)*N($R259),2),IF($E259="加工费用",ROUND(N($J259),2),0))</f>
        <v>0</v>
      </c>
      <c r="T259" s="60" t="n">
        <f aca="false">IF($E259&lt;&gt;"产成品入库",0,IF(SUMIFS($W$6:$W$305,$C$6:$C$305,$C259,$D$6:$D$305,$D259,$E$6:$E$305,"产成品入库")=0,0,ROUND(SUMIFS($S$6:$S$305,$C$6:$C$305,$C259,$D$6:$D$305,$D259)*N($X259)/SUMIFS($W$6:$W$305,$C$6:$C$305,$C259,$D$6:$D$305,$D259,$E$6:$E$305,"产成品入库"),2)-ROUND(SUMIFS($S$6:$S$305,$C$6:$C$305,$C259,$D$6:$D$305,$D259)*(N($X259)-N($W259))/SUMIFS($W$6:$W$305,$C$6:$C$305,$C259,$D$6:$D$305,$D259,$E$6:$E$305,"产成品入库"),2)))</f>
        <v>0</v>
      </c>
      <c r="U259" s="57" t="str">
        <f aca="false">IF($E259="","",ROUND($S259+$T259,2))</f>
        <v/>
      </c>
      <c r="V259" s="61" t="str">
        <f aca="false">IF($B259="","",YEAR($B259))</f>
        <v/>
      </c>
      <c r="W259" s="63" t="str">
        <f aca="false">IF($E259&lt;&gt;"产成品入库","",IF(N($M259)=0,1,N($M259)))</f>
        <v/>
      </c>
      <c r="X259" s="63" t="str">
        <f aca="false">IF($E259&lt;&gt;"产成品入库","",SUMIFS($W$6:$W259,$C$6:$C259,$C259,$D$6:$D259,$D259,$E$6:$E259,"产成品入库"))</f>
        <v/>
      </c>
    </row>
    <row r="260" customFormat="false" ht="15" hidden="false" customHeight="false" outlineLevel="0" collapsed="false">
      <c r="A260" s="53" t="str">
        <f aca="false">IF($B260="","",ROW()-5)</f>
        <v/>
      </c>
      <c r="B260" s="54"/>
      <c r="C260" s="33"/>
      <c r="D260" s="39"/>
      <c r="E260" s="33"/>
      <c r="F260" s="39"/>
      <c r="G260" s="48" t="str">
        <f aca="false">IF($F260="","",IFERROR(INDEX(商品档案!$B$6:$B$65,MATCH($F260,商品档案!$A$6:$A$65,0)),""))</f>
        <v/>
      </c>
      <c r="H260" s="55" t="str">
        <f aca="false">IF($F260="","",IFERROR(INDEX(商品档案!$D$6:$D$65,MATCH($F260,商品档案!$A$6:$A$65,0)),""))</f>
        <v/>
      </c>
      <c r="I260" s="49"/>
      <c r="J260" s="43"/>
      <c r="K260" s="41"/>
      <c r="L260" s="39"/>
      <c r="M260" s="62"/>
      <c r="N260" s="41"/>
      <c r="O260" s="41"/>
      <c r="P260" s="25" t="str">
        <f aca="false">IF(AND($B260="",$E260=""),"",IF(NOT(ISNUMBER($B260)),"日期无效",IF(ISNA(MATCH($C260,参数设置!$A$10:$A$12,0)),"公司无效",IF($D260="","缺批次号",IF(ISNA(MATCH($E260,记账规则!$A$36:$A$38,0)),"业务类型无效",IF(AND($E260&lt;&gt;"加工费用",ISNA(MATCH($F260,商品档案!$A$6:$A$65,0))),"商品编码无效",IF(AND($E260&lt;&gt;"加工费用",IFERROR(INDEX(商品档案!$E$6:$E$65,MATCH($F260,商品档案!$A$6:$A$65,0)),"")&lt;&gt;$C260),"商品不属于该公司",IF(AND($E260&lt;&gt;"加工费用",N($I260)=0),"数量为 0",IF(AND($E260="加工费用",N($J260)=0),"加工费金额为 0",IF(AND($E260="加工费用",ISNA(MATCH($K260,会计科目表!$B$6:$B$85,0))),"对方科目不存在",IF(YEAR($B260)&lt;&gt;参数设置!$B$5,"不在本会计年度","OK")))))))))))</f>
        <v/>
      </c>
      <c r="Q260" s="58" t="str">
        <f aca="false">IF($F260="","",IFERROR(INDEX(商品档案!$G$6:$G$65,MATCH($F260,商品档案!$A$6:$A$65,0)),""))</f>
        <v/>
      </c>
      <c r="R260" s="59" t="str">
        <f aca="false">IF($F260="","",SUMIFS(进销存台账!$N$6:$N$65,进销存台账!$A$6:$A$65,$C260,进销存台账!$B$6:$B$65,$F260))</f>
        <v/>
      </c>
      <c r="S260" s="60" t="n">
        <f aca="false">IF($E260="领用投入",ROUND(N($I260)*N($R260),2),IF($E260="加工费用",ROUND(N($J260),2),0))</f>
        <v>0</v>
      </c>
      <c r="T260" s="60" t="n">
        <f aca="false">IF($E260&lt;&gt;"产成品入库",0,IF(SUMIFS($W$6:$W$305,$C$6:$C$305,$C260,$D$6:$D$305,$D260,$E$6:$E$305,"产成品入库")=0,0,ROUND(SUMIFS($S$6:$S$305,$C$6:$C$305,$C260,$D$6:$D$305,$D260)*N($X260)/SUMIFS($W$6:$W$305,$C$6:$C$305,$C260,$D$6:$D$305,$D260,$E$6:$E$305,"产成品入库"),2)-ROUND(SUMIFS($S$6:$S$305,$C$6:$C$305,$C260,$D$6:$D$305,$D260)*(N($X260)-N($W260))/SUMIFS($W$6:$W$305,$C$6:$C$305,$C260,$D$6:$D$305,$D260,$E$6:$E$305,"产成品入库"),2)))</f>
        <v>0</v>
      </c>
      <c r="U260" s="57" t="str">
        <f aca="false">IF($E260="","",ROUND($S260+$T260,2))</f>
        <v/>
      </c>
      <c r="V260" s="61" t="str">
        <f aca="false">IF($B260="","",YEAR($B260))</f>
        <v/>
      </c>
      <c r="W260" s="63" t="str">
        <f aca="false">IF($E260&lt;&gt;"产成品入库","",IF(N($M260)=0,1,N($M260)))</f>
        <v/>
      </c>
      <c r="X260" s="63" t="str">
        <f aca="false">IF($E260&lt;&gt;"产成品入库","",SUMIFS($W$6:$W260,$C$6:$C260,$C260,$D$6:$D260,$D260,$E$6:$E260,"产成品入库"))</f>
        <v/>
      </c>
    </row>
    <row r="261" customFormat="false" ht="15" hidden="false" customHeight="false" outlineLevel="0" collapsed="false">
      <c r="A261" s="53" t="str">
        <f aca="false">IF($B261="","",ROW()-5)</f>
        <v/>
      </c>
      <c r="B261" s="54"/>
      <c r="C261" s="33"/>
      <c r="D261" s="39"/>
      <c r="E261" s="33"/>
      <c r="F261" s="39"/>
      <c r="G261" s="48" t="str">
        <f aca="false">IF($F261="","",IFERROR(INDEX(商品档案!$B$6:$B$65,MATCH($F261,商品档案!$A$6:$A$65,0)),""))</f>
        <v/>
      </c>
      <c r="H261" s="55" t="str">
        <f aca="false">IF($F261="","",IFERROR(INDEX(商品档案!$D$6:$D$65,MATCH($F261,商品档案!$A$6:$A$65,0)),""))</f>
        <v/>
      </c>
      <c r="I261" s="49"/>
      <c r="J261" s="43"/>
      <c r="K261" s="41"/>
      <c r="L261" s="39"/>
      <c r="M261" s="62"/>
      <c r="N261" s="41"/>
      <c r="O261" s="41"/>
      <c r="P261" s="25" t="str">
        <f aca="false">IF(AND($B261="",$E261=""),"",IF(NOT(ISNUMBER($B261)),"日期无效",IF(ISNA(MATCH($C261,参数设置!$A$10:$A$12,0)),"公司无效",IF($D261="","缺批次号",IF(ISNA(MATCH($E261,记账规则!$A$36:$A$38,0)),"业务类型无效",IF(AND($E261&lt;&gt;"加工费用",ISNA(MATCH($F261,商品档案!$A$6:$A$65,0))),"商品编码无效",IF(AND($E261&lt;&gt;"加工费用",IFERROR(INDEX(商品档案!$E$6:$E$65,MATCH($F261,商品档案!$A$6:$A$65,0)),"")&lt;&gt;$C261),"商品不属于该公司",IF(AND($E261&lt;&gt;"加工费用",N($I261)=0),"数量为 0",IF(AND($E261="加工费用",N($J261)=0),"加工费金额为 0",IF(AND($E261="加工费用",ISNA(MATCH($K261,会计科目表!$B$6:$B$85,0))),"对方科目不存在",IF(YEAR($B261)&lt;&gt;参数设置!$B$5,"不在本会计年度","OK")))))))))))</f>
        <v/>
      </c>
      <c r="Q261" s="58" t="str">
        <f aca="false">IF($F261="","",IFERROR(INDEX(商品档案!$G$6:$G$65,MATCH($F261,商品档案!$A$6:$A$65,0)),""))</f>
        <v/>
      </c>
      <c r="R261" s="59" t="str">
        <f aca="false">IF($F261="","",SUMIFS(进销存台账!$N$6:$N$65,进销存台账!$A$6:$A$65,$C261,进销存台账!$B$6:$B$65,$F261))</f>
        <v/>
      </c>
      <c r="S261" s="60" t="n">
        <f aca="false">IF($E261="领用投入",ROUND(N($I261)*N($R261),2),IF($E261="加工费用",ROUND(N($J261),2),0))</f>
        <v>0</v>
      </c>
      <c r="T261" s="60" t="n">
        <f aca="false">IF($E261&lt;&gt;"产成品入库",0,IF(SUMIFS($W$6:$W$305,$C$6:$C$305,$C261,$D$6:$D$305,$D261,$E$6:$E$305,"产成品入库")=0,0,ROUND(SUMIFS($S$6:$S$305,$C$6:$C$305,$C261,$D$6:$D$305,$D261)*N($X261)/SUMIFS($W$6:$W$305,$C$6:$C$305,$C261,$D$6:$D$305,$D261,$E$6:$E$305,"产成品入库"),2)-ROUND(SUMIFS($S$6:$S$305,$C$6:$C$305,$C261,$D$6:$D$305,$D261)*(N($X261)-N($W261))/SUMIFS($W$6:$W$305,$C$6:$C$305,$C261,$D$6:$D$305,$D261,$E$6:$E$305,"产成品入库"),2)))</f>
        <v>0</v>
      </c>
      <c r="U261" s="57" t="str">
        <f aca="false">IF($E261="","",ROUND($S261+$T261,2))</f>
        <v/>
      </c>
      <c r="V261" s="61" t="str">
        <f aca="false">IF($B261="","",YEAR($B261))</f>
        <v/>
      </c>
      <c r="W261" s="63" t="str">
        <f aca="false">IF($E261&lt;&gt;"产成品入库","",IF(N($M261)=0,1,N($M261)))</f>
        <v/>
      </c>
      <c r="X261" s="63" t="str">
        <f aca="false">IF($E261&lt;&gt;"产成品入库","",SUMIFS($W$6:$W261,$C$6:$C261,$C261,$D$6:$D261,$D261,$E$6:$E261,"产成品入库"))</f>
        <v/>
      </c>
    </row>
    <row r="262" customFormat="false" ht="15" hidden="false" customHeight="false" outlineLevel="0" collapsed="false">
      <c r="A262" s="53" t="str">
        <f aca="false">IF($B262="","",ROW()-5)</f>
        <v/>
      </c>
      <c r="B262" s="54"/>
      <c r="C262" s="33"/>
      <c r="D262" s="39"/>
      <c r="E262" s="33"/>
      <c r="F262" s="39"/>
      <c r="G262" s="48" t="str">
        <f aca="false">IF($F262="","",IFERROR(INDEX(商品档案!$B$6:$B$65,MATCH($F262,商品档案!$A$6:$A$65,0)),""))</f>
        <v/>
      </c>
      <c r="H262" s="55" t="str">
        <f aca="false">IF($F262="","",IFERROR(INDEX(商品档案!$D$6:$D$65,MATCH($F262,商品档案!$A$6:$A$65,0)),""))</f>
        <v/>
      </c>
      <c r="I262" s="49"/>
      <c r="J262" s="43"/>
      <c r="K262" s="41"/>
      <c r="L262" s="39"/>
      <c r="M262" s="62"/>
      <c r="N262" s="41"/>
      <c r="O262" s="41"/>
      <c r="P262" s="25" t="str">
        <f aca="false">IF(AND($B262="",$E262=""),"",IF(NOT(ISNUMBER($B262)),"日期无效",IF(ISNA(MATCH($C262,参数设置!$A$10:$A$12,0)),"公司无效",IF($D262="","缺批次号",IF(ISNA(MATCH($E262,记账规则!$A$36:$A$38,0)),"业务类型无效",IF(AND($E262&lt;&gt;"加工费用",ISNA(MATCH($F262,商品档案!$A$6:$A$65,0))),"商品编码无效",IF(AND($E262&lt;&gt;"加工费用",IFERROR(INDEX(商品档案!$E$6:$E$65,MATCH($F262,商品档案!$A$6:$A$65,0)),"")&lt;&gt;$C262),"商品不属于该公司",IF(AND($E262&lt;&gt;"加工费用",N($I262)=0),"数量为 0",IF(AND($E262="加工费用",N($J262)=0),"加工费金额为 0",IF(AND($E262="加工费用",ISNA(MATCH($K262,会计科目表!$B$6:$B$85,0))),"对方科目不存在",IF(YEAR($B262)&lt;&gt;参数设置!$B$5,"不在本会计年度","OK")))))))))))</f>
        <v/>
      </c>
      <c r="Q262" s="58" t="str">
        <f aca="false">IF($F262="","",IFERROR(INDEX(商品档案!$G$6:$G$65,MATCH($F262,商品档案!$A$6:$A$65,0)),""))</f>
        <v/>
      </c>
      <c r="R262" s="59" t="str">
        <f aca="false">IF($F262="","",SUMIFS(进销存台账!$N$6:$N$65,进销存台账!$A$6:$A$65,$C262,进销存台账!$B$6:$B$65,$F262))</f>
        <v/>
      </c>
      <c r="S262" s="60" t="n">
        <f aca="false">IF($E262="领用投入",ROUND(N($I262)*N($R262),2),IF($E262="加工费用",ROUND(N($J262),2),0))</f>
        <v>0</v>
      </c>
      <c r="T262" s="60" t="n">
        <f aca="false">IF($E262&lt;&gt;"产成品入库",0,IF(SUMIFS($W$6:$W$305,$C$6:$C$305,$C262,$D$6:$D$305,$D262,$E$6:$E$305,"产成品入库")=0,0,ROUND(SUMIFS($S$6:$S$305,$C$6:$C$305,$C262,$D$6:$D$305,$D262)*N($X262)/SUMIFS($W$6:$W$305,$C$6:$C$305,$C262,$D$6:$D$305,$D262,$E$6:$E$305,"产成品入库"),2)-ROUND(SUMIFS($S$6:$S$305,$C$6:$C$305,$C262,$D$6:$D$305,$D262)*(N($X262)-N($W262))/SUMIFS($W$6:$W$305,$C$6:$C$305,$C262,$D$6:$D$305,$D262,$E$6:$E$305,"产成品入库"),2)))</f>
        <v>0</v>
      </c>
      <c r="U262" s="57" t="str">
        <f aca="false">IF($E262="","",ROUND($S262+$T262,2))</f>
        <v/>
      </c>
      <c r="V262" s="61" t="str">
        <f aca="false">IF($B262="","",YEAR($B262))</f>
        <v/>
      </c>
      <c r="W262" s="63" t="str">
        <f aca="false">IF($E262&lt;&gt;"产成品入库","",IF(N($M262)=0,1,N($M262)))</f>
        <v/>
      </c>
      <c r="X262" s="63" t="str">
        <f aca="false">IF($E262&lt;&gt;"产成品入库","",SUMIFS($W$6:$W262,$C$6:$C262,$C262,$D$6:$D262,$D262,$E$6:$E262,"产成品入库"))</f>
        <v/>
      </c>
    </row>
    <row r="263" customFormat="false" ht="15" hidden="false" customHeight="false" outlineLevel="0" collapsed="false">
      <c r="A263" s="53" t="str">
        <f aca="false">IF($B263="","",ROW()-5)</f>
        <v/>
      </c>
      <c r="B263" s="54"/>
      <c r="C263" s="33"/>
      <c r="D263" s="39"/>
      <c r="E263" s="33"/>
      <c r="F263" s="39"/>
      <c r="G263" s="48" t="str">
        <f aca="false">IF($F263="","",IFERROR(INDEX(商品档案!$B$6:$B$65,MATCH($F263,商品档案!$A$6:$A$65,0)),""))</f>
        <v/>
      </c>
      <c r="H263" s="55" t="str">
        <f aca="false">IF($F263="","",IFERROR(INDEX(商品档案!$D$6:$D$65,MATCH($F263,商品档案!$A$6:$A$65,0)),""))</f>
        <v/>
      </c>
      <c r="I263" s="49"/>
      <c r="J263" s="43"/>
      <c r="K263" s="41"/>
      <c r="L263" s="39"/>
      <c r="M263" s="62"/>
      <c r="N263" s="41"/>
      <c r="O263" s="41"/>
      <c r="P263" s="25" t="str">
        <f aca="false">IF(AND($B263="",$E263=""),"",IF(NOT(ISNUMBER($B263)),"日期无效",IF(ISNA(MATCH($C263,参数设置!$A$10:$A$12,0)),"公司无效",IF($D263="","缺批次号",IF(ISNA(MATCH($E263,记账规则!$A$36:$A$38,0)),"业务类型无效",IF(AND($E263&lt;&gt;"加工费用",ISNA(MATCH($F263,商品档案!$A$6:$A$65,0))),"商品编码无效",IF(AND($E263&lt;&gt;"加工费用",IFERROR(INDEX(商品档案!$E$6:$E$65,MATCH($F263,商品档案!$A$6:$A$65,0)),"")&lt;&gt;$C263),"商品不属于该公司",IF(AND($E263&lt;&gt;"加工费用",N($I263)=0),"数量为 0",IF(AND($E263="加工费用",N($J263)=0),"加工费金额为 0",IF(AND($E263="加工费用",ISNA(MATCH($K263,会计科目表!$B$6:$B$85,0))),"对方科目不存在",IF(YEAR($B263)&lt;&gt;参数设置!$B$5,"不在本会计年度","OK")))))))))))</f>
        <v/>
      </c>
      <c r="Q263" s="58" t="str">
        <f aca="false">IF($F263="","",IFERROR(INDEX(商品档案!$G$6:$G$65,MATCH($F263,商品档案!$A$6:$A$65,0)),""))</f>
        <v/>
      </c>
      <c r="R263" s="59" t="str">
        <f aca="false">IF($F263="","",SUMIFS(进销存台账!$N$6:$N$65,进销存台账!$A$6:$A$65,$C263,进销存台账!$B$6:$B$65,$F263))</f>
        <v/>
      </c>
      <c r="S263" s="60" t="n">
        <f aca="false">IF($E263="领用投入",ROUND(N($I263)*N($R263),2),IF($E263="加工费用",ROUND(N($J263),2),0))</f>
        <v>0</v>
      </c>
      <c r="T263" s="60" t="n">
        <f aca="false">IF($E263&lt;&gt;"产成品入库",0,IF(SUMIFS($W$6:$W$305,$C$6:$C$305,$C263,$D$6:$D$305,$D263,$E$6:$E$305,"产成品入库")=0,0,ROUND(SUMIFS($S$6:$S$305,$C$6:$C$305,$C263,$D$6:$D$305,$D263)*N($X263)/SUMIFS($W$6:$W$305,$C$6:$C$305,$C263,$D$6:$D$305,$D263,$E$6:$E$305,"产成品入库"),2)-ROUND(SUMIFS($S$6:$S$305,$C$6:$C$305,$C263,$D$6:$D$305,$D263)*(N($X263)-N($W263))/SUMIFS($W$6:$W$305,$C$6:$C$305,$C263,$D$6:$D$305,$D263,$E$6:$E$305,"产成品入库"),2)))</f>
        <v>0</v>
      </c>
      <c r="U263" s="57" t="str">
        <f aca="false">IF($E263="","",ROUND($S263+$T263,2))</f>
        <v/>
      </c>
      <c r="V263" s="61" t="str">
        <f aca="false">IF($B263="","",YEAR($B263))</f>
        <v/>
      </c>
      <c r="W263" s="63" t="str">
        <f aca="false">IF($E263&lt;&gt;"产成品入库","",IF(N($M263)=0,1,N($M263)))</f>
        <v/>
      </c>
      <c r="X263" s="63" t="str">
        <f aca="false">IF($E263&lt;&gt;"产成品入库","",SUMIFS($W$6:$W263,$C$6:$C263,$C263,$D$6:$D263,$D263,$E$6:$E263,"产成品入库"))</f>
        <v/>
      </c>
    </row>
    <row r="264" customFormat="false" ht="15" hidden="false" customHeight="false" outlineLevel="0" collapsed="false">
      <c r="A264" s="53" t="str">
        <f aca="false">IF($B264="","",ROW()-5)</f>
        <v/>
      </c>
      <c r="B264" s="54"/>
      <c r="C264" s="33"/>
      <c r="D264" s="39"/>
      <c r="E264" s="33"/>
      <c r="F264" s="39"/>
      <c r="G264" s="48" t="str">
        <f aca="false">IF($F264="","",IFERROR(INDEX(商品档案!$B$6:$B$65,MATCH($F264,商品档案!$A$6:$A$65,0)),""))</f>
        <v/>
      </c>
      <c r="H264" s="55" t="str">
        <f aca="false">IF($F264="","",IFERROR(INDEX(商品档案!$D$6:$D$65,MATCH($F264,商品档案!$A$6:$A$65,0)),""))</f>
        <v/>
      </c>
      <c r="I264" s="49"/>
      <c r="J264" s="43"/>
      <c r="K264" s="41"/>
      <c r="L264" s="39"/>
      <c r="M264" s="62"/>
      <c r="N264" s="41"/>
      <c r="O264" s="41"/>
      <c r="P264" s="25" t="str">
        <f aca="false">IF(AND($B264="",$E264=""),"",IF(NOT(ISNUMBER($B264)),"日期无效",IF(ISNA(MATCH($C264,参数设置!$A$10:$A$12,0)),"公司无效",IF($D264="","缺批次号",IF(ISNA(MATCH($E264,记账规则!$A$36:$A$38,0)),"业务类型无效",IF(AND($E264&lt;&gt;"加工费用",ISNA(MATCH($F264,商品档案!$A$6:$A$65,0))),"商品编码无效",IF(AND($E264&lt;&gt;"加工费用",IFERROR(INDEX(商品档案!$E$6:$E$65,MATCH($F264,商品档案!$A$6:$A$65,0)),"")&lt;&gt;$C264),"商品不属于该公司",IF(AND($E264&lt;&gt;"加工费用",N($I264)=0),"数量为 0",IF(AND($E264="加工费用",N($J264)=0),"加工费金额为 0",IF(AND($E264="加工费用",ISNA(MATCH($K264,会计科目表!$B$6:$B$85,0))),"对方科目不存在",IF(YEAR($B264)&lt;&gt;参数设置!$B$5,"不在本会计年度","OK")))))))))))</f>
        <v/>
      </c>
      <c r="Q264" s="58" t="str">
        <f aca="false">IF($F264="","",IFERROR(INDEX(商品档案!$G$6:$G$65,MATCH($F264,商品档案!$A$6:$A$65,0)),""))</f>
        <v/>
      </c>
      <c r="R264" s="59" t="str">
        <f aca="false">IF($F264="","",SUMIFS(进销存台账!$N$6:$N$65,进销存台账!$A$6:$A$65,$C264,进销存台账!$B$6:$B$65,$F264))</f>
        <v/>
      </c>
      <c r="S264" s="60" t="n">
        <f aca="false">IF($E264="领用投入",ROUND(N($I264)*N($R264),2),IF($E264="加工费用",ROUND(N($J264),2),0))</f>
        <v>0</v>
      </c>
      <c r="T264" s="60" t="n">
        <f aca="false">IF($E264&lt;&gt;"产成品入库",0,IF(SUMIFS($W$6:$W$305,$C$6:$C$305,$C264,$D$6:$D$305,$D264,$E$6:$E$305,"产成品入库")=0,0,ROUND(SUMIFS($S$6:$S$305,$C$6:$C$305,$C264,$D$6:$D$305,$D264)*N($X264)/SUMIFS($W$6:$W$305,$C$6:$C$305,$C264,$D$6:$D$305,$D264,$E$6:$E$305,"产成品入库"),2)-ROUND(SUMIFS($S$6:$S$305,$C$6:$C$305,$C264,$D$6:$D$305,$D264)*(N($X264)-N($W264))/SUMIFS($W$6:$W$305,$C$6:$C$305,$C264,$D$6:$D$305,$D264,$E$6:$E$305,"产成品入库"),2)))</f>
        <v>0</v>
      </c>
      <c r="U264" s="57" t="str">
        <f aca="false">IF($E264="","",ROUND($S264+$T264,2))</f>
        <v/>
      </c>
      <c r="V264" s="61" t="str">
        <f aca="false">IF($B264="","",YEAR($B264))</f>
        <v/>
      </c>
      <c r="W264" s="63" t="str">
        <f aca="false">IF($E264&lt;&gt;"产成品入库","",IF(N($M264)=0,1,N($M264)))</f>
        <v/>
      </c>
      <c r="X264" s="63" t="str">
        <f aca="false">IF($E264&lt;&gt;"产成品入库","",SUMIFS($W$6:$W264,$C$6:$C264,$C264,$D$6:$D264,$D264,$E$6:$E264,"产成品入库"))</f>
        <v/>
      </c>
    </row>
    <row r="265" customFormat="false" ht="15" hidden="false" customHeight="false" outlineLevel="0" collapsed="false">
      <c r="A265" s="53" t="str">
        <f aca="false">IF($B265="","",ROW()-5)</f>
        <v/>
      </c>
      <c r="B265" s="54"/>
      <c r="C265" s="33"/>
      <c r="D265" s="39"/>
      <c r="E265" s="33"/>
      <c r="F265" s="39"/>
      <c r="G265" s="48" t="str">
        <f aca="false">IF($F265="","",IFERROR(INDEX(商品档案!$B$6:$B$65,MATCH($F265,商品档案!$A$6:$A$65,0)),""))</f>
        <v/>
      </c>
      <c r="H265" s="55" t="str">
        <f aca="false">IF($F265="","",IFERROR(INDEX(商品档案!$D$6:$D$65,MATCH($F265,商品档案!$A$6:$A$65,0)),""))</f>
        <v/>
      </c>
      <c r="I265" s="49"/>
      <c r="J265" s="43"/>
      <c r="K265" s="41"/>
      <c r="L265" s="39"/>
      <c r="M265" s="62"/>
      <c r="N265" s="41"/>
      <c r="O265" s="41"/>
      <c r="P265" s="25" t="str">
        <f aca="false">IF(AND($B265="",$E265=""),"",IF(NOT(ISNUMBER($B265)),"日期无效",IF(ISNA(MATCH($C265,参数设置!$A$10:$A$12,0)),"公司无效",IF($D265="","缺批次号",IF(ISNA(MATCH($E265,记账规则!$A$36:$A$38,0)),"业务类型无效",IF(AND($E265&lt;&gt;"加工费用",ISNA(MATCH($F265,商品档案!$A$6:$A$65,0))),"商品编码无效",IF(AND($E265&lt;&gt;"加工费用",IFERROR(INDEX(商品档案!$E$6:$E$65,MATCH($F265,商品档案!$A$6:$A$65,0)),"")&lt;&gt;$C265),"商品不属于该公司",IF(AND($E265&lt;&gt;"加工费用",N($I265)=0),"数量为 0",IF(AND($E265="加工费用",N($J265)=0),"加工费金额为 0",IF(AND($E265="加工费用",ISNA(MATCH($K265,会计科目表!$B$6:$B$85,0))),"对方科目不存在",IF(YEAR($B265)&lt;&gt;参数设置!$B$5,"不在本会计年度","OK")))))))))))</f>
        <v/>
      </c>
      <c r="Q265" s="58" t="str">
        <f aca="false">IF($F265="","",IFERROR(INDEX(商品档案!$G$6:$G$65,MATCH($F265,商品档案!$A$6:$A$65,0)),""))</f>
        <v/>
      </c>
      <c r="R265" s="59" t="str">
        <f aca="false">IF($F265="","",SUMIFS(进销存台账!$N$6:$N$65,进销存台账!$A$6:$A$65,$C265,进销存台账!$B$6:$B$65,$F265))</f>
        <v/>
      </c>
      <c r="S265" s="60" t="n">
        <f aca="false">IF($E265="领用投入",ROUND(N($I265)*N($R265),2),IF($E265="加工费用",ROUND(N($J265),2),0))</f>
        <v>0</v>
      </c>
      <c r="T265" s="60" t="n">
        <f aca="false">IF($E265&lt;&gt;"产成品入库",0,IF(SUMIFS($W$6:$W$305,$C$6:$C$305,$C265,$D$6:$D$305,$D265,$E$6:$E$305,"产成品入库")=0,0,ROUND(SUMIFS($S$6:$S$305,$C$6:$C$305,$C265,$D$6:$D$305,$D265)*N($X265)/SUMIFS($W$6:$W$305,$C$6:$C$305,$C265,$D$6:$D$305,$D265,$E$6:$E$305,"产成品入库"),2)-ROUND(SUMIFS($S$6:$S$305,$C$6:$C$305,$C265,$D$6:$D$305,$D265)*(N($X265)-N($W265))/SUMIFS($W$6:$W$305,$C$6:$C$305,$C265,$D$6:$D$305,$D265,$E$6:$E$305,"产成品入库"),2)))</f>
        <v>0</v>
      </c>
      <c r="U265" s="57" t="str">
        <f aca="false">IF($E265="","",ROUND($S265+$T265,2))</f>
        <v/>
      </c>
      <c r="V265" s="61" t="str">
        <f aca="false">IF($B265="","",YEAR($B265))</f>
        <v/>
      </c>
      <c r="W265" s="63" t="str">
        <f aca="false">IF($E265&lt;&gt;"产成品入库","",IF(N($M265)=0,1,N($M265)))</f>
        <v/>
      </c>
      <c r="X265" s="63" t="str">
        <f aca="false">IF($E265&lt;&gt;"产成品入库","",SUMIFS($W$6:$W265,$C$6:$C265,$C265,$D$6:$D265,$D265,$E$6:$E265,"产成品入库"))</f>
        <v/>
      </c>
    </row>
    <row r="266" customFormat="false" ht="15" hidden="false" customHeight="false" outlineLevel="0" collapsed="false">
      <c r="A266" s="53" t="str">
        <f aca="false">IF($B266="","",ROW()-5)</f>
        <v/>
      </c>
      <c r="B266" s="54"/>
      <c r="C266" s="33"/>
      <c r="D266" s="39"/>
      <c r="E266" s="33"/>
      <c r="F266" s="39"/>
      <c r="G266" s="48" t="str">
        <f aca="false">IF($F266="","",IFERROR(INDEX(商品档案!$B$6:$B$65,MATCH($F266,商品档案!$A$6:$A$65,0)),""))</f>
        <v/>
      </c>
      <c r="H266" s="55" t="str">
        <f aca="false">IF($F266="","",IFERROR(INDEX(商品档案!$D$6:$D$65,MATCH($F266,商品档案!$A$6:$A$65,0)),""))</f>
        <v/>
      </c>
      <c r="I266" s="49"/>
      <c r="J266" s="43"/>
      <c r="K266" s="41"/>
      <c r="L266" s="39"/>
      <c r="M266" s="62"/>
      <c r="N266" s="41"/>
      <c r="O266" s="41"/>
      <c r="P266" s="25" t="str">
        <f aca="false">IF(AND($B266="",$E266=""),"",IF(NOT(ISNUMBER($B266)),"日期无效",IF(ISNA(MATCH($C266,参数设置!$A$10:$A$12,0)),"公司无效",IF($D266="","缺批次号",IF(ISNA(MATCH($E266,记账规则!$A$36:$A$38,0)),"业务类型无效",IF(AND($E266&lt;&gt;"加工费用",ISNA(MATCH($F266,商品档案!$A$6:$A$65,0))),"商品编码无效",IF(AND($E266&lt;&gt;"加工费用",IFERROR(INDEX(商品档案!$E$6:$E$65,MATCH($F266,商品档案!$A$6:$A$65,0)),"")&lt;&gt;$C266),"商品不属于该公司",IF(AND($E266&lt;&gt;"加工费用",N($I266)=0),"数量为 0",IF(AND($E266="加工费用",N($J266)=0),"加工费金额为 0",IF(AND($E266="加工费用",ISNA(MATCH($K266,会计科目表!$B$6:$B$85,0))),"对方科目不存在",IF(YEAR($B266)&lt;&gt;参数设置!$B$5,"不在本会计年度","OK")))))))))))</f>
        <v/>
      </c>
      <c r="Q266" s="58" t="str">
        <f aca="false">IF($F266="","",IFERROR(INDEX(商品档案!$G$6:$G$65,MATCH($F266,商品档案!$A$6:$A$65,0)),""))</f>
        <v/>
      </c>
      <c r="R266" s="59" t="str">
        <f aca="false">IF($F266="","",SUMIFS(进销存台账!$N$6:$N$65,进销存台账!$A$6:$A$65,$C266,进销存台账!$B$6:$B$65,$F266))</f>
        <v/>
      </c>
      <c r="S266" s="60" t="n">
        <f aca="false">IF($E266="领用投入",ROUND(N($I266)*N($R266),2),IF($E266="加工费用",ROUND(N($J266),2),0))</f>
        <v>0</v>
      </c>
      <c r="T266" s="60" t="n">
        <f aca="false">IF($E266&lt;&gt;"产成品入库",0,IF(SUMIFS($W$6:$W$305,$C$6:$C$305,$C266,$D$6:$D$305,$D266,$E$6:$E$305,"产成品入库")=0,0,ROUND(SUMIFS($S$6:$S$305,$C$6:$C$305,$C266,$D$6:$D$305,$D266)*N($X266)/SUMIFS($W$6:$W$305,$C$6:$C$305,$C266,$D$6:$D$305,$D266,$E$6:$E$305,"产成品入库"),2)-ROUND(SUMIFS($S$6:$S$305,$C$6:$C$305,$C266,$D$6:$D$305,$D266)*(N($X266)-N($W266))/SUMIFS($W$6:$W$305,$C$6:$C$305,$C266,$D$6:$D$305,$D266,$E$6:$E$305,"产成品入库"),2)))</f>
        <v>0</v>
      </c>
      <c r="U266" s="57" t="str">
        <f aca="false">IF($E266="","",ROUND($S266+$T266,2))</f>
        <v/>
      </c>
      <c r="V266" s="61" t="str">
        <f aca="false">IF($B266="","",YEAR($B266))</f>
        <v/>
      </c>
      <c r="W266" s="63" t="str">
        <f aca="false">IF($E266&lt;&gt;"产成品入库","",IF(N($M266)=0,1,N($M266)))</f>
        <v/>
      </c>
      <c r="X266" s="63" t="str">
        <f aca="false">IF($E266&lt;&gt;"产成品入库","",SUMIFS($W$6:$W266,$C$6:$C266,$C266,$D$6:$D266,$D266,$E$6:$E266,"产成品入库"))</f>
        <v/>
      </c>
    </row>
    <row r="267" customFormat="false" ht="15" hidden="false" customHeight="false" outlineLevel="0" collapsed="false">
      <c r="A267" s="53" t="str">
        <f aca="false">IF($B267="","",ROW()-5)</f>
        <v/>
      </c>
      <c r="B267" s="54"/>
      <c r="C267" s="33"/>
      <c r="D267" s="39"/>
      <c r="E267" s="33"/>
      <c r="F267" s="39"/>
      <c r="G267" s="48" t="str">
        <f aca="false">IF($F267="","",IFERROR(INDEX(商品档案!$B$6:$B$65,MATCH($F267,商品档案!$A$6:$A$65,0)),""))</f>
        <v/>
      </c>
      <c r="H267" s="55" t="str">
        <f aca="false">IF($F267="","",IFERROR(INDEX(商品档案!$D$6:$D$65,MATCH($F267,商品档案!$A$6:$A$65,0)),""))</f>
        <v/>
      </c>
      <c r="I267" s="49"/>
      <c r="J267" s="43"/>
      <c r="K267" s="41"/>
      <c r="L267" s="39"/>
      <c r="M267" s="62"/>
      <c r="N267" s="41"/>
      <c r="O267" s="41"/>
      <c r="P267" s="25" t="str">
        <f aca="false">IF(AND($B267="",$E267=""),"",IF(NOT(ISNUMBER($B267)),"日期无效",IF(ISNA(MATCH($C267,参数设置!$A$10:$A$12,0)),"公司无效",IF($D267="","缺批次号",IF(ISNA(MATCH($E267,记账规则!$A$36:$A$38,0)),"业务类型无效",IF(AND($E267&lt;&gt;"加工费用",ISNA(MATCH($F267,商品档案!$A$6:$A$65,0))),"商品编码无效",IF(AND($E267&lt;&gt;"加工费用",IFERROR(INDEX(商品档案!$E$6:$E$65,MATCH($F267,商品档案!$A$6:$A$65,0)),"")&lt;&gt;$C267),"商品不属于该公司",IF(AND($E267&lt;&gt;"加工费用",N($I267)=0),"数量为 0",IF(AND($E267="加工费用",N($J267)=0),"加工费金额为 0",IF(AND($E267="加工费用",ISNA(MATCH($K267,会计科目表!$B$6:$B$85,0))),"对方科目不存在",IF(YEAR($B267)&lt;&gt;参数设置!$B$5,"不在本会计年度","OK")))))))))))</f>
        <v/>
      </c>
      <c r="Q267" s="58" t="str">
        <f aca="false">IF($F267="","",IFERROR(INDEX(商品档案!$G$6:$G$65,MATCH($F267,商品档案!$A$6:$A$65,0)),""))</f>
        <v/>
      </c>
      <c r="R267" s="59" t="str">
        <f aca="false">IF($F267="","",SUMIFS(进销存台账!$N$6:$N$65,进销存台账!$A$6:$A$65,$C267,进销存台账!$B$6:$B$65,$F267))</f>
        <v/>
      </c>
      <c r="S267" s="60" t="n">
        <f aca="false">IF($E267="领用投入",ROUND(N($I267)*N($R267),2),IF($E267="加工费用",ROUND(N($J267),2),0))</f>
        <v>0</v>
      </c>
      <c r="T267" s="60" t="n">
        <f aca="false">IF($E267&lt;&gt;"产成品入库",0,IF(SUMIFS($W$6:$W$305,$C$6:$C$305,$C267,$D$6:$D$305,$D267,$E$6:$E$305,"产成品入库")=0,0,ROUND(SUMIFS($S$6:$S$305,$C$6:$C$305,$C267,$D$6:$D$305,$D267)*N($X267)/SUMIFS($W$6:$W$305,$C$6:$C$305,$C267,$D$6:$D$305,$D267,$E$6:$E$305,"产成品入库"),2)-ROUND(SUMIFS($S$6:$S$305,$C$6:$C$305,$C267,$D$6:$D$305,$D267)*(N($X267)-N($W267))/SUMIFS($W$6:$W$305,$C$6:$C$305,$C267,$D$6:$D$305,$D267,$E$6:$E$305,"产成品入库"),2)))</f>
        <v>0</v>
      </c>
      <c r="U267" s="57" t="str">
        <f aca="false">IF($E267="","",ROUND($S267+$T267,2))</f>
        <v/>
      </c>
      <c r="V267" s="61" t="str">
        <f aca="false">IF($B267="","",YEAR($B267))</f>
        <v/>
      </c>
      <c r="W267" s="63" t="str">
        <f aca="false">IF($E267&lt;&gt;"产成品入库","",IF(N($M267)=0,1,N($M267)))</f>
        <v/>
      </c>
      <c r="X267" s="63" t="str">
        <f aca="false">IF($E267&lt;&gt;"产成品入库","",SUMIFS($W$6:$W267,$C$6:$C267,$C267,$D$6:$D267,$D267,$E$6:$E267,"产成品入库"))</f>
        <v/>
      </c>
    </row>
    <row r="268" customFormat="false" ht="15" hidden="false" customHeight="false" outlineLevel="0" collapsed="false">
      <c r="A268" s="53" t="str">
        <f aca="false">IF($B268="","",ROW()-5)</f>
        <v/>
      </c>
      <c r="B268" s="54"/>
      <c r="C268" s="33"/>
      <c r="D268" s="39"/>
      <c r="E268" s="33"/>
      <c r="F268" s="39"/>
      <c r="G268" s="48" t="str">
        <f aca="false">IF($F268="","",IFERROR(INDEX(商品档案!$B$6:$B$65,MATCH($F268,商品档案!$A$6:$A$65,0)),""))</f>
        <v/>
      </c>
      <c r="H268" s="55" t="str">
        <f aca="false">IF($F268="","",IFERROR(INDEX(商品档案!$D$6:$D$65,MATCH($F268,商品档案!$A$6:$A$65,0)),""))</f>
        <v/>
      </c>
      <c r="I268" s="49"/>
      <c r="J268" s="43"/>
      <c r="K268" s="41"/>
      <c r="L268" s="39"/>
      <c r="M268" s="62"/>
      <c r="N268" s="41"/>
      <c r="O268" s="41"/>
      <c r="P268" s="25" t="str">
        <f aca="false">IF(AND($B268="",$E268=""),"",IF(NOT(ISNUMBER($B268)),"日期无效",IF(ISNA(MATCH($C268,参数设置!$A$10:$A$12,0)),"公司无效",IF($D268="","缺批次号",IF(ISNA(MATCH($E268,记账规则!$A$36:$A$38,0)),"业务类型无效",IF(AND($E268&lt;&gt;"加工费用",ISNA(MATCH($F268,商品档案!$A$6:$A$65,0))),"商品编码无效",IF(AND($E268&lt;&gt;"加工费用",IFERROR(INDEX(商品档案!$E$6:$E$65,MATCH($F268,商品档案!$A$6:$A$65,0)),"")&lt;&gt;$C268),"商品不属于该公司",IF(AND($E268&lt;&gt;"加工费用",N($I268)=0),"数量为 0",IF(AND($E268="加工费用",N($J268)=0),"加工费金额为 0",IF(AND($E268="加工费用",ISNA(MATCH($K268,会计科目表!$B$6:$B$85,0))),"对方科目不存在",IF(YEAR($B268)&lt;&gt;参数设置!$B$5,"不在本会计年度","OK")))))))))))</f>
        <v/>
      </c>
      <c r="Q268" s="58" t="str">
        <f aca="false">IF($F268="","",IFERROR(INDEX(商品档案!$G$6:$G$65,MATCH($F268,商品档案!$A$6:$A$65,0)),""))</f>
        <v/>
      </c>
      <c r="R268" s="59" t="str">
        <f aca="false">IF($F268="","",SUMIFS(进销存台账!$N$6:$N$65,进销存台账!$A$6:$A$65,$C268,进销存台账!$B$6:$B$65,$F268))</f>
        <v/>
      </c>
      <c r="S268" s="60" t="n">
        <f aca="false">IF($E268="领用投入",ROUND(N($I268)*N($R268),2),IF($E268="加工费用",ROUND(N($J268),2),0))</f>
        <v>0</v>
      </c>
      <c r="T268" s="60" t="n">
        <f aca="false">IF($E268&lt;&gt;"产成品入库",0,IF(SUMIFS($W$6:$W$305,$C$6:$C$305,$C268,$D$6:$D$305,$D268,$E$6:$E$305,"产成品入库")=0,0,ROUND(SUMIFS($S$6:$S$305,$C$6:$C$305,$C268,$D$6:$D$305,$D268)*N($X268)/SUMIFS($W$6:$W$305,$C$6:$C$305,$C268,$D$6:$D$305,$D268,$E$6:$E$305,"产成品入库"),2)-ROUND(SUMIFS($S$6:$S$305,$C$6:$C$305,$C268,$D$6:$D$305,$D268)*(N($X268)-N($W268))/SUMIFS($W$6:$W$305,$C$6:$C$305,$C268,$D$6:$D$305,$D268,$E$6:$E$305,"产成品入库"),2)))</f>
        <v>0</v>
      </c>
      <c r="U268" s="57" t="str">
        <f aca="false">IF($E268="","",ROUND($S268+$T268,2))</f>
        <v/>
      </c>
      <c r="V268" s="61" t="str">
        <f aca="false">IF($B268="","",YEAR($B268))</f>
        <v/>
      </c>
      <c r="W268" s="63" t="str">
        <f aca="false">IF($E268&lt;&gt;"产成品入库","",IF(N($M268)=0,1,N($M268)))</f>
        <v/>
      </c>
      <c r="X268" s="63" t="str">
        <f aca="false">IF($E268&lt;&gt;"产成品入库","",SUMIFS($W$6:$W268,$C$6:$C268,$C268,$D$6:$D268,$D268,$E$6:$E268,"产成品入库"))</f>
        <v/>
      </c>
    </row>
    <row r="269" customFormat="false" ht="15" hidden="false" customHeight="false" outlineLevel="0" collapsed="false">
      <c r="A269" s="53" t="str">
        <f aca="false">IF($B269="","",ROW()-5)</f>
        <v/>
      </c>
      <c r="B269" s="54"/>
      <c r="C269" s="33"/>
      <c r="D269" s="39"/>
      <c r="E269" s="33"/>
      <c r="F269" s="39"/>
      <c r="G269" s="48" t="str">
        <f aca="false">IF($F269="","",IFERROR(INDEX(商品档案!$B$6:$B$65,MATCH($F269,商品档案!$A$6:$A$65,0)),""))</f>
        <v/>
      </c>
      <c r="H269" s="55" t="str">
        <f aca="false">IF($F269="","",IFERROR(INDEX(商品档案!$D$6:$D$65,MATCH($F269,商品档案!$A$6:$A$65,0)),""))</f>
        <v/>
      </c>
      <c r="I269" s="49"/>
      <c r="J269" s="43"/>
      <c r="K269" s="41"/>
      <c r="L269" s="39"/>
      <c r="M269" s="62"/>
      <c r="N269" s="41"/>
      <c r="O269" s="41"/>
      <c r="P269" s="25" t="str">
        <f aca="false">IF(AND($B269="",$E269=""),"",IF(NOT(ISNUMBER($B269)),"日期无效",IF(ISNA(MATCH($C269,参数设置!$A$10:$A$12,0)),"公司无效",IF($D269="","缺批次号",IF(ISNA(MATCH($E269,记账规则!$A$36:$A$38,0)),"业务类型无效",IF(AND($E269&lt;&gt;"加工费用",ISNA(MATCH($F269,商品档案!$A$6:$A$65,0))),"商品编码无效",IF(AND($E269&lt;&gt;"加工费用",IFERROR(INDEX(商品档案!$E$6:$E$65,MATCH($F269,商品档案!$A$6:$A$65,0)),"")&lt;&gt;$C269),"商品不属于该公司",IF(AND($E269&lt;&gt;"加工费用",N($I269)=0),"数量为 0",IF(AND($E269="加工费用",N($J269)=0),"加工费金额为 0",IF(AND($E269="加工费用",ISNA(MATCH($K269,会计科目表!$B$6:$B$85,0))),"对方科目不存在",IF(YEAR($B269)&lt;&gt;参数设置!$B$5,"不在本会计年度","OK")))))))))))</f>
        <v/>
      </c>
      <c r="Q269" s="58" t="str">
        <f aca="false">IF($F269="","",IFERROR(INDEX(商品档案!$G$6:$G$65,MATCH($F269,商品档案!$A$6:$A$65,0)),""))</f>
        <v/>
      </c>
      <c r="R269" s="59" t="str">
        <f aca="false">IF($F269="","",SUMIFS(进销存台账!$N$6:$N$65,进销存台账!$A$6:$A$65,$C269,进销存台账!$B$6:$B$65,$F269))</f>
        <v/>
      </c>
      <c r="S269" s="60" t="n">
        <f aca="false">IF($E269="领用投入",ROUND(N($I269)*N($R269),2),IF($E269="加工费用",ROUND(N($J269),2),0))</f>
        <v>0</v>
      </c>
      <c r="T269" s="60" t="n">
        <f aca="false">IF($E269&lt;&gt;"产成品入库",0,IF(SUMIFS($W$6:$W$305,$C$6:$C$305,$C269,$D$6:$D$305,$D269,$E$6:$E$305,"产成品入库")=0,0,ROUND(SUMIFS($S$6:$S$305,$C$6:$C$305,$C269,$D$6:$D$305,$D269)*N($X269)/SUMIFS($W$6:$W$305,$C$6:$C$305,$C269,$D$6:$D$305,$D269,$E$6:$E$305,"产成品入库"),2)-ROUND(SUMIFS($S$6:$S$305,$C$6:$C$305,$C269,$D$6:$D$305,$D269)*(N($X269)-N($W269))/SUMIFS($W$6:$W$305,$C$6:$C$305,$C269,$D$6:$D$305,$D269,$E$6:$E$305,"产成品入库"),2)))</f>
        <v>0</v>
      </c>
      <c r="U269" s="57" t="str">
        <f aca="false">IF($E269="","",ROUND($S269+$T269,2))</f>
        <v/>
      </c>
      <c r="V269" s="61" t="str">
        <f aca="false">IF($B269="","",YEAR($B269))</f>
        <v/>
      </c>
      <c r="W269" s="63" t="str">
        <f aca="false">IF($E269&lt;&gt;"产成品入库","",IF(N($M269)=0,1,N($M269)))</f>
        <v/>
      </c>
      <c r="X269" s="63" t="str">
        <f aca="false">IF($E269&lt;&gt;"产成品入库","",SUMIFS($W$6:$W269,$C$6:$C269,$C269,$D$6:$D269,$D269,$E$6:$E269,"产成品入库"))</f>
        <v/>
      </c>
    </row>
    <row r="270" customFormat="false" ht="15" hidden="false" customHeight="false" outlineLevel="0" collapsed="false">
      <c r="A270" s="53" t="str">
        <f aca="false">IF($B270="","",ROW()-5)</f>
        <v/>
      </c>
      <c r="B270" s="54"/>
      <c r="C270" s="33"/>
      <c r="D270" s="39"/>
      <c r="E270" s="33"/>
      <c r="F270" s="39"/>
      <c r="G270" s="48" t="str">
        <f aca="false">IF($F270="","",IFERROR(INDEX(商品档案!$B$6:$B$65,MATCH($F270,商品档案!$A$6:$A$65,0)),""))</f>
        <v/>
      </c>
      <c r="H270" s="55" t="str">
        <f aca="false">IF($F270="","",IFERROR(INDEX(商品档案!$D$6:$D$65,MATCH($F270,商品档案!$A$6:$A$65,0)),""))</f>
        <v/>
      </c>
      <c r="I270" s="49"/>
      <c r="J270" s="43"/>
      <c r="K270" s="41"/>
      <c r="L270" s="39"/>
      <c r="M270" s="62"/>
      <c r="N270" s="41"/>
      <c r="O270" s="41"/>
      <c r="P270" s="25" t="str">
        <f aca="false">IF(AND($B270="",$E270=""),"",IF(NOT(ISNUMBER($B270)),"日期无效",IF(ISNA(MATCH($C270,参数设置!$A$10:$A$12,0)),"公司无效",IF($D270="","缺批次号",IF(ISNA(MATCH($E270,记账规则!$A$36:$A$38,0)),"业务类型无效",IF(AND($E270&lt;&gt;"加工费用",ISNA(MATCH($F270,商品档案!$A$6:$A$65,0))),"商品编码无效",IF(AND($E270&lt;&gt;"加工费用",IFERROR(INDEX(商品档案!$E$6:$E$65,MATCH($F270,商品档案!$A$6:$A$65,0)),"")&lt;&gt;$C270),"商品不属于该公司",IF(AND($E270&lt;&gt;"加工费用",N($I270)=0),"数量为 0",IF(AND($E270="加工费用",N($J270)=0),"加工费金额为 0",IF(AND($E270="加工费用",ISNA(MATCH($K270,会计科目表!$B$6:$B$85,0))),"对方科目不存在",IF(YEAR($B270)&lt;&gt;参数设置!$B$5,"不在本会计年度","OK")))))))))))</f>
        <v/>
      </c>
      <c r="Q270" s="58" t="str">
        <f aca="false">IF($F270="","",IFERROR(INDEX(商品档案!$G$6:$G$65,MATCH($F270,商品档案!$A$6:$A$65,0)),""))</f>
        <v/>
      </c>
      <c r="R270" s="59" t="str">
        <f aca="false">IF($F270="","",SUMIFS(进销存台账!$N$6:$N$65,进销存台账!$A$6:$A$65,$C270,进销存台账!$B$6:$B$65,$F270))</f>
        <v/>
      </c>
      <c r="S270" s="60" t="n">
        <f aca="false">IF($E270="领用投入",ROUND(N($I270)*N($R270),2),IF($E270="加工费用",ROUND(N($J270),2),0))</f>
        <v>0</v>
      </c>
      <c r="T270" s="60" t="n">
        <f aca="false">IF($E270&lt;&gt;"产成品入库",0,IF(SUMIFS($W$6:$W$305,$C$6:$C$305,$C270,$D$6:$D$305,$D270,$E$6:$E$305,"产成品入库")=0,0,ROUND(SUMIFS($S$6:$S$305,$C$6:$C$305,$C270,$D$6:$D$305,$D270)*N($X270)/SUMIFS($W$6:$W$305,$C$6:$C$305,$C270,$D$6:$D$305,$D270,$E$6:$E$305,"产成品入库"),2)-ROUND(SUMIFS($S$6:$S$305,$C$6:$C$305,$C270,$D$6:$D$305,$D270)*(N($X270)-N($W270))/SUMIFS($W$6:$W$305,$C$6:$C$305,$C270,$D$6:$D$305,$D270,$E$6:$E$305,"产成品入库"),2)))</f>
        <v>0</v>
      </c>
      <c r="U270" s="57" t="str">
        <f aca="false">IF($E270="","",ROUND($S270+$T270,2))</f>
        <v/>
      </c>
      <c r="V270" s="61" t="str">
        <f aca="false">IF($B270="","",YEAR($B270))</f>
        <v/>
      </c>
      <c r="W270" s="63" t="str">
        <f aca="false">IF($E270&lt;&gt;"产成品入库","",IF(N($M270)=0,1,N($M270)))</f>
        <v/>
      </c>
      <c r="X270" s="63" t="str">
        <f aca="false">IF($E270&lt;&gt;"产成品入库","",SUMIFS($W$6:$W270,$C$6:$C270,$C270,$D$6:$D270,$D270,$E$6:$E270,"产成品入库"))</f>
        <v/>
      </c>
    </row>
    <row r="271" customFormat="false" ht="15" hidden="false" customHeight="false" outlineLevel="0" collapsed="false">
      <c r="A271" s="53" t="str">
        <f aca="false">IF($B271="","",ROW()-5)</f>
        <v/>
      </c>
      <c r="B271" s="54"/>
      <c r="C271" s="33"/>
      <c r="D271" s="39"/>
      <c r="E271" s="33"/>
      <c r="F271" s="39"/>
      <c r="G271" s="48" t="str">
        <f aca="false">IF($F271="","",IFERROR(INDEX(商品档案!$B$6:$B$65,MATCH($F271,商品档案!$A$6:$A$65,0)),""))</f>
        <v/>
      </c>
      <c r="H271" s="55" t="str">
        <f aca="false">IF($F271="","",IFERROR(INDEX(商品档案!$D$6:$D$65,MATCH($F271,商品档案!$A$6:$A$65,0)),""))</f>
        <v/>
      </c>
      <c r="I271" s="49"/>
      <c r="J271" s="43"/>
      <c r="K271" s="41"/>
      <c r="L271" s="39"/>
      <c r="M271" s="62"/>
      <c r="N271" s="41"/>
      <c r="O271" s="41"/>
      <c r="P271" s="25" t="str">
        <f aca="false">IF(AND($B271="",$E271=""),"",IF(NOT(ISNUMBER($B271)),"日期无效",IF(ISNA(MATCH($C271,参数设置!$A$10:$A$12,0)),"公司无效",IF($D271="","缺批次号",IF(ISNA(MATCH($E271,记账规则!$A$36:$A$38,0)),"业务类型无效",IF(AND($E271&lt;&gt;"加工费用",ISNA(MATCH($F271,商品档案!$A$6:$A$65,0))),"商品编码无效",IF(AND($E271&lt;&gt;"加工费用",IFERROR(INDEX(商品档案!$E$6:$E$65,MATCH($F271,商品档案!$A$6:$A$65,0)),"")&lt;&gt;$C271),"商品不属于该公司",IF(AND($E271&lt;&gt;"加工费用",N($I271)=0),"数量为 0",IF(AND($E271="加工费用",N($J271)=0),"加工费金额为 0",IF(AND($E271="加工费用",ISNA(MATCH($K271,会计科目表!$B$6:$B$85,0))),"对方科目不存在",IF(YEAR($B271)&lt;&gt;参数设置!$B$5,"不在本会计年度","OK")))))))))))</f>
        <v/>
      </c>
      <c r="Q271" s="58" t="str">
        <f aca="false">IF($F271="","",IFERROR(INDEX(商品档案!$G$6:$G$65,MATCH($F271,商品档案!$A$6:$A$65,0)),""))</f>
        <v/>
      </c>
      <c r="R271" s="59" t="str">
        <f aca="false">IF($F271="","",SUMIFS(进销存台账!$N$6:$N$65,进销存台账!$A$6:$A$65,$C271,进销存台账!$B$6:$B$65,$F271))</f>
        <v/>
      </c>
      <c r="S271" s="60" t="n">
        <f aca="false">IF($E271="领用投入",ROUND(N($I271)*N($R271),2),IF($E271="加工费用",ROUND(N($J271),2),0))</f>
        <v>0</v>
      </c>
      <c r="T271" s="60" t="n">
        <f aca="false">IF($E271&lt;&gt;"产成品入库",0,IF(SUMIFS($W$6:$W$305,$C$6:$C$305,$C271,$D$6:$D$305,$D271,$E$6:$E$305,"产成品入库")=0,0,ROUND(SUMIFS($S$6:$S$305,$C$6:$C$305,$C271,$D$6:$D$305,$D271)*N($X271)/SUMIFS($W$6:$W$305,$C$6:$C$305,$C271,$D$6:$D$305,$D271,$E$6:$E$305,"产成品入库"),2)-ROUND(SUMIFS($S$6:$S$305,$C$6:$C$305,$C271,$D$6:$D$305,$D271)*(N($X271)-N($W271))/SUMIFS($W$6:$W$305,$C$6:$C$305,$C271,$D$6:$D$305,$D271,$E$6:$E$305,"产成品入库"),2)))</f>
        <v>0</v>
      </c>
      <c r="U271" s="57" t="str">
        <f aca="false">IF($E271="","",ROUND($S271+$T271,2))</f>
        <v/>
      </c>
      <c r="V271" s="61" t="str">
        <f aca="false">IF($B271="","",YEAR($B271))</f>
        <v/>
      </c>
      <c r="W271" s="63" t="str">
        <f aca="false">IF($E271&lt;&gt;"产成品入库","",IF(N($M271)=0,1,N($M271)))</f>
        <v/>
      </c>
      <c r="X271" s="63" t="str">
        <f aca="false">IF($E271&lt;&gt;"产成品入库","",SUMIFS($W$6:$W271,$C$6:$C271,$C271,$D$6:$D271,$D271,$E$6:$E271,"产成品入库"))</f>
        <v/>
      </c>
    </row>
    <row r="272" customFormat="false" ht="15" hidden="false" customHeight="false" outlineLevel="0" collapsed="false">
      <c r="A272" s="53" t="str">
        <f aca="false">IF($B272="","",ROW()-5)</f>
        <v/>
      </c>
      <c r="B272" s="54"/>
      <c r="C272" s="33"/>
      <c r="D272" s="39"/>
      <c r="E272" s="33"/>
      <c r="F272" s="39"/>
      <c r="G272" s="48" t="str">
        <f aca="false">IF($F272="","",IFERROR(INDEX(商品档案!$B$6:$B$65,MATCH($F272,商品档案!$A$6:$A$65,0)),""))</f>
        <v/>
      </c>
      <c r="H272" s="55" t="str">
        <f aca="false">IF($F272="","",IFERROR(INDEX(商品档案!$D$6:$D$65,MATCH($F272,商品档案!$A$6:$A$65,0)),""))</f>
        <v/>
      </c>
      <c r="I272" s="49"/>
      <c r="J272" s="43"/>
      <c r="K272" s="41"/>
      <c r="L272" s="39"/>
      <c r="M272" s="62"/>
      <c r="N272" s="41"/>
      <c r="O272" s="41"/>
      <c r="P272" s="25" t="str">
        <f aca="false">IF(AND($B272="",$E272=""),"",IF(NOT(ISNUMBER($B272)),"日期无效",IF(ISNA(MATCH($C272,参数设置!$A$10:$A$12,0)),"公司无效",IF($D272="","缺批次号",IF(ISNA(MATCH($E272,记账规则!$A$36:$A$38,0)),"业务类型无效",IF(AND($E272&lt;&gt;"加工费用",ISNA(MATCH($F272,商品档案!$A$6:$A$65,0))),"商品编码无效",IF(AND($E272&lt;&gt;"加工费用",IFERROR(INDEX(商品档案!$E$6:$E$65,MATCH($F272,商品档案!$A$6:$A$65,0)),"")&lt;&gt;$C272),"商品不属于该公司",IF(AND($E272&lt;&gt;"加工费用",N($I272)=0),"数量为 0",IF(AND($E272="加工费用",N($J272)=0),"加工费金额为 0",IF(AND($E272="加工费用",ISNA(MATCH($K272,会计科目表!$B$6:$B$85,0))),"对方科目不存在",IF(YEAR($B272)&lt;&gt;参数设置!$B$5,"不在本会计年度","OK")))))))))))</f>
        <v/>
      </c>
      <c r="Q272" s="58" t="str">
        <f aca="false">IF($F272="","",IFERROR(INDEX(商品档案!$G$6:$G$65,MATCH($F272,商品档案!$A$6:$A$65,0)),""))</f>
        <v/>
      </c>
      <c r="R272" s="59" t="str">
        <f aca="false">IF($F272="","",SUMIFS(进销存台账!$N$6:$N$65,进销存台账!$A$6:$A$65,$C272,进销存台账!$B$6:$B$65,$F272))</f>
        <v/>
      </c>
      <c r="S272" s="60" t="n">
        <f aca="false">IF($E272="领用投入",ROUND(N($I272)*N($R272),2),IF($E272="加工费用",ROUND(N($J272),2),0))</f>
        <v>0</v>
      </c>
      <c r="T272" s="60" t="n">
        <f aca="false">IF($E272&lt;&gt;"产成品入库",0,IF(SUMIFS($W$6:$W$305,$C$6:$C$305,$C272,$D$6:$D$305,$D272,$E$6:$E$305,"产成品入库")=0,0,ROUND(SUMIFS($S$6:$S$305,$C$6:$C$305,$C272,$D$6:$D$305,$D272)*N($X272)/SUMIFS($W$6:$W$305,$C$6:$C$305,$C272,$D$6:$D$305,$D272,$E$6:$E$305,"产成品入库"),2)-ROUND(SUMIFS($S$6:$S$305,$C$6:$C$305,$C272,$D$6:$D$305,$D272)*(N($X272)-N($W272))/SUMIFS($W$6:$W$305,$C$6:$C$305,$C272,$D$6:$D$305,$D272,$E$6:$E$305,"产成品入库"),2)))</f>
        <v>0</v>
      </c>
      <c r="U272" s="57" t="str">
        <f aca="false">IF($E272="","",ROUND($S272+$T272,2))</f>
        <v/>
      </c>
      <c r="V272" s="61" t="str">
        <f aca="false">IF($B272="","",YEAR($B272))</f>
        <v/>
      </c>
      <c r="W272" s="63" t="str">
        <f aca="false">IF($E272&lt;&gt;"产成品入库","",IF(N($M272)=0,1,N($M272)))</f>
        <v/>
      </c>
      <c r="X272" s="63" t="str">
        <f aca="false">IF($E272&lt;&gt;"产成品入库","",SUMIFS($W$6:$W272,$C$6:$C272,$C272,$D$6:$D272,$D272,$E$6:$E272,"产成品入库"))</f>
        <v/>
      </c>
    </row>
    <row r="273" customFormat="false" ht="15" hidden="false" customHeight="false" outlineLevel="0" collapsed="false">
      <c r="A273" s="53" t="str">
        <f aca="false">IF($B273="","",ROW()-5)</f>
        <v/>
      </c>
      <c r="B273" s="54"/>
      <c r="C273" s="33"/>
      <c r="D273" s="39"/>
      <c r="E273" s="33"/>
      <c r="F273" s="39"/>
      <c r="G273" s="48" t="str">
        <f aca="false">IF($F273="","",IFERROR(INDEX(商品档案!$B$6:$B$65,MATCH($F273,商品档案!$A$6:$A$65,0)),""))</f>
        <v/>
      </c>
      <c r="H273" s="55" t="str">
        <f aca="false">IF($F273="","",IFERROR(INDEX(商品档案!$D$6:$D$65,MATCH($F273,商品档案!$A$6:$A$65,0)),""))</f>
        <v/>
      </c>
      <c r="I273" s="49"/>
      <c r="J273" s="43"/>
      <c r="K273" s="41"/>
      <c r="L273" s="39"/>
      <c r="M273" s="62"/>
      <c r="N273" s="41"/>
      <c r="O273" s="41"/>
      <c r="P273" s="25" t="str">
        <f aca="false">IF(AND($B273="",$E273=""),"",IF(NOT(ISNUMBER($B273)),"日期无效",IF(ISNA(MATCH($C273,参数设置!$A$10:$A$12,0)),"公司无效",IF($D273="","缺批次号",IF(ISNA(MATCH($E273,记账规则!$A$36:$A$38,0)),"业务类型无效",IF(AND($E273&lt;&gt;"加工费用",ISNA(MATCH($F273,商品档案!$A$6:$A$65,0))),"商品编码无效",IF(AND($E273&lt;&gt;"加工费用",IFERROR(INDEX(商品档案!$E$6:$E$65,MATCH($F273,商品档案!$A$6:$A$65,0)),"")&lt;&gt;$C273),"商品不属于该公司",IF(AND($E273&lt;&gt;"加工费用",N($I273)=0),"数量为 0",IF(AND($E273="加工费用",N($J273)=0),"加工费金额为 0",IF(AND($E273="加工费用",ISNA(MATCH($K273,会计科目表!$B$6:$B$85,0))),"对方科目不存在",IF(YEAR($B273)&lt;&gt;参数设置!$B$5,"不在本会计年度","OK")))))))))))</f>
        <v/>
      </c>
      <c r="Q273" s="58" t="str">
        <f aca="false">IF($F273="","",IFERROR(INDEX(商品档案!$G$6:$G$65,MATCH($F273,商品档案!$A$6:$A$65,0)),""))</f>
        <v/>
      </c>
      <c r="R273" s="59" t="str">
        <f aca="false">IF($F273="","",SUMIFS(进销存台账!$N$6:$N$65,进销存台账!$A$6:$A$65,$C273,进销存台账!$B$6:$B$65,$F273))</f>
        <v/>
      </c>
      <c r="S273" s="60" t="n">
        <f aca="false">IF($E273="领用投入",ROUND(N($I273)*N($R273),2),IF($E273="加工费用",ROUND(N($J273),2),0))</f>
        <v>0</v>
      </c>
      <c r="T273" s="60" t="n">
        <f aca="false">IF($E273&lt;&gt;"产成品入库",0,IF(SUMIFS($W$6:$W$305,$C$6:$C$305,$C273,$D$6:$D$305,$D273,$E$6:$E$305,"产成品入库")=0,0,ROUND(SUMIFS($S$6:$S$305,$C$6:$C$305,$C273,$D$6:$D$305,$D273)*N($X273)/SUMIFS($W$6:$W$305,$C$6:$C$305,$C273,$D$6:$D$305,$D273,$E$6:$E$305,"产成品入库"),2)-ROUND(SUMIFS($S$6:$S$305,$C$6:$C$305,$C273,$D$6:$D$305,$D273)*(N($X273)-N($W273))/SUMIFS($W$6:$W$305,$C$6:$C$305,$C273,$D$6:$D$305,$D273,$E$6:$E$305,"产成品入库"),2)))</f>
        <v>0</v>
      </c>
      <c r="U273" s="57" t="str">
        <f aca="false">IF($E273="","",ROUND($S273+$T273,2))</f>
        <v/>
      </c>
      <c r="V273" s="61" t="str">
        <f aca="false">IF($B273="","",YEAR($B273))</f>
        <v/>
      </c>
      <c r="W273" s="63" t="str">
        <f aca="false">IF($E273&lt;&gt;"产成品入库","",IF(N($M273)=0,1,N($M273)))</f>
        <v/>
      </c>
      <c r="X273" s="63" t="str">
        <f aca="false">IF($E273&lt;&gt;"产成品入库","",SUMIFS($W$6:$W273,$C$6:$C273,$C273,$D$6:$D273,$D273,$E$6:$E273,"产成品入库"))</f>
        <v/>
      </c>
    </row>
    <row r="274" customFormat="false" ht="15" hidden="false" customHeight="false" outlineLevel="0" collapsed="false">
      <c r="A274" s="53" t="str">
        <f aca="false">IF($B274="","",ROW()-5)</f>
        <v/>
      </c>
      <c r="B274" s="54"/>
      <c r="C274" s="33"/>
      <c r="D274" s="39"/>
      <c r="E274" s="33"/>
      <c r="F274" s="39"/>
      <c r="G274" s="48" t="str">
        <f aca="false">IF($F274="","",IFERROR(INDEX(商品档案!$B$6:$B$65,MATCH($F274,商品档案!$A$6:$A$65,0)),""))</f>
        <v/>
      </c>
      <c r="H274" s="55" t="str">
        <f aca="false">IF($F274="","",IFERROR(INDEX(商品档案!$D$6:$D$65,MATCH($F274,商品档案!$A$6:$A$65,0)),""))</f>
        <v/>
      </c>
      <c r="I274" s="49"/>
      <c r="J274" s="43"/>
      <c r="K274" s="41"/>
      <c r="L274" s="39"/>
      <c r="M274" s="62"/>
      <c r="N274" s="41"/>
      <c r="O274" s="41"/>
      <c r="P274" s="25" t="str">
        <f aca="false">IF(AND($B274="",$E274=""),"",IF(NOT(ISNUMBER($B274)),"日期无效",IF(ISNA(MATCH($C274,参数设置!$A$10:$A$12,0)),"公司无效",IF($D274="","缺批次号",IF(ISNA(MATCH($E274,记账规则!$A$36:$A$38,0)),"业务类型无效",IF(AND($E274&lt;&gt;"加工费用",ISNA(MATCH($F274,商品档案!$A$6:$A$65,0))),"商品编码无效",IF(AND($E274&lt;&gt;"加工费用",IFERROR(INDEX(商品档案!$E$6:$E$65,MATCH($F274,商品档案!$A$6:$A$65,0)),"")&lt;&gt;$C274),"商品不属于该公司",IF(AND($E274&lt;&gt;"加工费用",N($I274)=0),"数量为 0",IF(AND($E274="加工费用",N($J274)=0),"加工费金额为 0",IF(AND($E274="加工费用",ISNA(MATCH($K274,会计科目表!$B$6:$B$85,0))),"对方科目不存在",IF(YEAR($B274)&lt;&gt;参数设置!$B$5,"不在本会计年度","OK")))))))))))</f>
        <v/>
      </c>
      <c r="Q274" s="58" t="str">
        <f aca="false">IF($F274="","",IFERROR(INDEX(商品档案!$G$6:$G$65,MATCH($F274,商品档案!$A$6:$A$65,0)),""))</f>
        <v/>
      </c>
      <c r="R274" s="59" t="str">
        <f aca="false">IF($F274="","",SUMIFS(进销存台账!$N$6:$N$65,进销存台账!$A$6:$A$65,$C274,进销存台账!$B$6:$B$65,$F274))</f>
        <v/>
      </c>
      <c r="S274" s="60" t="n">
        <f aca="false">IF($E274="领用投入",ROUND(N($I274)*N($R274),2),IF($E274="加工费用",ROUND(N($J274),2),0))</f>
        <v>0</v>
      </c>
      <c r="T274" s="60" t="n">
        <f aca="false">IF($E274&lt;&gt;"产成品入库",0,IF(SUMIFS($W$6:$W$305,$C$6:$C$305,$C274,$D$6:$D$305,$D274,$E$6:$E$305,"产成品入库")=0,0,ROUND(SUMIFS($S$6:$S$305,$C$6:$C$305,$C274,$D$6:$D$305,$D274)*N($X274)/SUMIFS($W$6:$W$305,$C$6:$C$305,$C274,$D$6:$D$305,$D274,$E$6:$E$305,"产成品入库"),2)-ROUND(SUMIFS($S$6:$S$305,$C$6:$C$305,$C274,$D$6:$D$305,$D274)*(N($X274)-N($W274))/SUMIFS($W$6:$W$305,$C$6:$C$305,$C274,$D$6:$D$305,$D274,$E$6:$E$305,"产成品入库"),2)))</f>
        <v>0</v>
      </c>
      <c r="U274" s="57" t="str">
        <f aca="false">IF($E274="","",ROUND($S274+$T274,2))</f>
        <v/>
      </c>
      <c r="V274" s="61" t="str">
        <f aca="false">IF($B274="","",YEAR($B274))</f>
        <v/>
      </c>
      <c r="W274" s="63" t="str">
        <f aca="false">IF($E274&lt;&gt;"产成品入库","",IF(N($M274)=0,1,N($M274)))</f>
        <v/>
      </c>
      <c r="X274" s="63" t="str">
        <f aca="false">IF($E274&lt;&gt;"产成品入库","",SUMIFS($W$6:$W274,$C$6:$C274,$C274,$D$6:$D274,$D274,$E$6:$E274,"产成品入库"))</f>
        <v/>
      </c>
    </row>
    <row r="275" customFormat="false" ht="15" hidden="false" customHeight="false" outlineLevel="0" collapsed="false">
      <c r="A275" s="53" t="str">
        <f aca="false">IF($B275="","",ROW()-5)</f>
        <v/>
      </c>
      <c r="B275" s="54"/>
      <c r="C275" s="33"/>
      <c r="D275" s="39"/>
      <c r="E275" s="33"/>
      <c r="F275" s="39"/>
      <c r="G275" s="48" t="str">
        <f aca="false">IF($F275="","",IFERROR(INDEX(商品档案!$B$6:$B$65,MATCH($F275,商品档案!$A$6:$A$65,0)),""))</f>
        <v/>
      </c>
      <c r="H275" s="55" t="str">
        <f aca="false">IF($F275="","",IFERROR(INDEX(商品档案!$D$6:$D$65,MATCH($F275,商品档案!$A$6:$A$65,0)),""))</f>
        <v/>
      </c>
      <c r="I275" s="49"/>
      <c r="J275" s="43"/>
      <c r="K275" s="41"/>
      <c r="L275" s="39"/>
      <c r="M275" s="62"/>
      <c r="N275" s="41"/>
      <c r="O275" s="41"/>
      <c r="P275" s="25" t="str">
        <f aca="false">IF(AND($B275="",$E275=""),"",IF(NOT(ISNUMBER($B275)),"日期无效",IF(ISNA(MATCH($C275,参数设置!$A$10:$A$12,0)),"公司无效",IF($D275="","缺批次号",IF(ISNA(MATCH($E275,记账规则!$A$36:$A$38,0)),"业务类型无效",IF(AND($E275&lt;&gt;"加工费用",ISNA(MATCH($F275,商品档案!$A$6:$A$65,0))),"商品编码无效",IF(AND($E275&lt;&gt;"加工费用",IFERROR(INDEX(商品档案!$E$6:$E$65,MATCH($F275,商品档案!$A$6:$A$65,0)),"")&lt;&gt;$C275),"商品不属于该公司",IF(AND($E275&lt;&gt;"加工费用",N($I275)=0),"数量为 0",IF(AND($E275="加工费用",N($J275)=0),"加工费金额为 0",IF(AND($E275="加工费用",ISNA(MATCH($K275,会计科目表!$B$6:$B$85,0))),"对方科目不存在",IF(YEAR($B275)&lt;&gt;参数设置!$B$5,"不在本会计年度","OK")))))))))))</f>
        <v/>
      </c>
      <c r="Q275" s="58" t="str">
        <f aca="false">IF($F275="","",IFERROR(INDEX(商品档案!$G$6:$G$65,MATCH($F275,商品档案!$A$6:$A$65,0)),""))</f>
        <v/>
      </c>
      <c r="R275" s="59" t="str">
        <f aca="false">IF($F275="","",SUMIFS(进销存台账!$N$6:$N$65,进销存台账!$A$6:$A$65,$C275,进销存台账!$B$6:$B$65,$F275))</f>
        <v/>
      </c>
      <c r="S275" s="60" t="n">
        <f aca="false">IF($E275="领用投入",ROUND(N($I275)*N($R275),2),IF($E275="加工费用",ROUND(N($J275),2),0))</f>
        <v>0</v>
      </c>
      <c r="T275" s="60" t="n">
        <f aca="false">IF($E275&lt;&gt;"产成品入库",0,IF(SUMIFS($W$6:$W$305,$C$6:$C$305,$C275,$D$6:$D$305,$D275,$E$6:$E$305,"产成品入库")=0,0,ROUND(SUMIFS($S$6:$S$305,$C$6:$C$305,$C275,$D$6:$D$305,$D275)*N($X275)/SUMIFS($W$6:$W$305,$C$6:$C$305,$C275,$D$6:$D$305,$D275,$E$6:$E$305,"产成品入库"),2)-ROUND(SUMIFS($S$6:$S$305,$C$6:$C$305,$C275,$D$6:$D$305,$D275)*(N($X275)-N($W275))/SUMIFS($W$6:$W$305,$C$6:$C$305,$C275,$D$6:$D$305,$D275,$E$6:$E$305,"产成品入库"),2)))</f>
        <v>0</v>
      </c>
      <c r="U275" s="57" t="str">
        <f aca="false">IF($E275="","",ROUND($S275+$T275,2))</f>
        <v/>
      </c>
      <c r="V275" s="61" t="str">
        <f aca="false">IF($B275="","",YEAR($B275))</f>
        <v/>
      </c>
      <c r="W275" s="63" t="str">
        <f aca="false">IF($E275&lt;&gt;"产成品入库","",IF(N($M275)=0,1,N($M275)))</f>
        <v/>
      </c>
      <c r="X275" s="63" t="str">
        <f aca="false">IF($E275&lt;&gt;"产成品入库","",SUMIFS($W$6:$W275,$C$6:$C275,$C275,$D$6:$D275,$D275,$E$6:$E275,"产成品入库"))</f>
        <v/>
      </c>
    </row>
    <row r="276" customFormat="false" ht="15" hidden="false" customHeight="false" outlineLevel="0" collapsed="false">
      <c r="A276" s="53" t="str">
        <f aca="false">IF($B276="","",ROW()-5)</f>
        <v/>
      </c>
      <c r="B276" s="54"/>
      <c r="C276" s="33"/>
      <c r="D276" s="39"/>
      <c r="E276" s="33"/>
      <c r="F276" s="39"/>
      <c r="G276" s="48" t="str">
        <f aca="false">IF($F276="","",IFERROR(INDEX(商品档案!$B$6:$B$65,MATCH($F276,商品档案!$A$6:$A$65,0)),""))</f>
        <v/>
      </c>
      <c r="H276" s="55" t="str">
        <f aca="false">IF($F276="","",IFERROR(INDEX(商品档案!$D$6:$D$65,MATCH($F276,商品档案!$A$6:$A$65,0)),""))</f>
        <v/>
      </c>
      <c r="I276" s="49"/>
      <c r="J276" s="43"/>
      <c r="K276" s="41"/>
      <c r="L276" s="39"/>
      <c r="M276" s="62"/>
      <c r="N276" s="41"/>
      <c r="O276" s="41"/>
      <c r="P276" s="25" t="str">
        <f aca="false">IF(AND($B276="",$E276=""),"",IF(NOT(ISNUMBER($B276)),"日期无效",IF(ISNA(MATCH($C276,参数设置!$A$10:$A$12,0)),"公司无效",IF($D276="","缺批次号",IF(ISNA(MATCH($E276,记账规则!$A$36:$A$38,0)),"业务类型无效",IF(AND($E276&lt;&gt;"加工费用",ISNA(MATCH($F276,商品档案!$A$6:$A$65,0))),"商品编码无效",IF(AND($E276&lt;&gt;"加工费用",IFERROR(INDEX(商品档案!$E$6:$E$65,MATCH($F276,商品档案!$A$6:$A$65,0)),"")&lt;&gt;$C276),"商品不属于该公司",IF(AND($E276&lt;&gt;"加工费用",N($I276)=0),"数量为 0",IF(AND($E276="加工费用",N($J276)=0),"加工费金额为 0",IF(AND($E276="加工费用",ISNA(MATCH($K276,会计科目表!$B$6:$B$85,0))),"对方科目不存在",IF(YEAR($B276)&lt;&gt;参数设置!$B$5,"不在本会计年度","OK")))))))))))</f>
        <v/>
      </c>
      <c r="Q276" s="58" t="str">
        <f aca="false">IF($F276="","",IFERROR(INDEX(商品档案!$G$6:$G$65,MATCH($F276,商品档案!$A$6:$A$65,0)),""))</f>
        <v/>
      </c>
      <c r="R276" s="59" t="str">
        <f aca="false">IF($F276="","",SUMIFS(进销存台账!$N$6:$N$65,进销存台账!$A$6:$A$65,$C276,进销存台账!$B$6:$B$65,$F276))</f>
        <v/>
      </c>
      <c r="S276" s="60" t="n">
        <f aca="false">IF($E276="领用投入",ROUND(N($I276)*N($R276),2),IF($E276="加工费用",ROUND(N($J276),2),0))</f>
        <v>0</v>
      </c>
      <c r="T276" s="60" t="n">
        <f aca="false">IF($E276&lt;&gt;"产成品入库",0,IF(SUMIFS($W$6:$W$305,$C$6:$C$305,$C276,$D$6:$D$305,$D276,$E$6:$E$305,"产成品入库")=0,0,ROUND(SUMIFS($S$6:$S$305,$C$6:$C$305,$C276,$D$6:$D$305,$D276)*N($X276)/SUMIFS($W$6:$W$305,$C$6:$C$305,$C276,$D$6:$D$305,$D276,$E$6:$E$305,"产成品入库"),2)-ROUND(SUMIFS($S$6:$S$305,$C$6:$C$305,$C276,$D$6:$D$305,$D276)*(N($X276)-N($W276))/SUMIFS($W$6:$W$305,$C$6:$C$305,$C276,$D$6:$D$305,$D276,$E$6:$E$305,"产成品入库"),2)))</f>
        <v>0</v>
      </c>
      <c r="U276" s="57" t="str">
        <f aca="false">IF($E276="","",ROUND($S276+$T276,2))</f>
        <v/>
      </c>
      <c r="V276" s="61" t="str">
        <f aca="false">IF($B276="","",YEAR($B276))</f>
        <v/>
      </c>
      <c r="W276" s="63" t="str">
        <f aca="false">IF($E276&lt;&gt;"产成品入库","",IF(N($M276)=0,1,N($M276)))</f>
        <v/>
      </c>
      <c r="X276" s="63" t="str">
        <f aca="false">IF($E276&lt;&gt;"产成品入库","",SUMIFS($W$6:$W276,$C$6:$C276,$C276,$D$6:$D276,$D276,$E$6:$E276,"产成品入库"))</f>
        <v/>
      </c>
    </row>
    <row r="277" customFormat="false" ht="15" hidden="false" customHeight="false" outlineLevel="0" collapsed="false">
      <c r="A277" s="53" t="str">
        <f aca="false">IF($B277="","",ROW()-5)</f>
        <v/>
      </c>
      <c r="B277" s="54"/>
      <c r="C277" s="33"/>
      <c r="D277" s="39"/>
      <c r="E277" s="33"/>
      <c r="F277" s="39"/>
      <c r="G277" s="48" t="str">
        <f aca="false">IF($F277="","",IFERROR(INDEX(商品档案!$B$6:$B$65,MATCH($F277,商品档案!$A$6:$A$65,0)),""))</f>
        <v/>
      </c>
      <c r="H277" s="55" t="str">
        <f aca="false">IF($F277="","",IFERROR(INDEX(商品档案!$D$6:$D$65,MATCH($F277,商品档案!$A$6:$A$65,0)),""))</f>
        <v/>
      </c>
      <c r="I277" s="49"/>
      <c r="J277" s="43"/>
      <c r="K277" s="41"/>
      <c r="L277" s="39"/>
      <c r="M277" s="62"/>
      <c r="N277" s="41"/>
      <c r="O277" s="41"/>
      <c r="P277" s="25" t="str">
        <f aca="false">IF(AND($B277="",$E277=""),"",IF(NOT(ISNUMBER($B277)),"日期无效",IF(ISNA(MATCH($C277,参数设置!$A$10:$A$12,0)),"公司无效",IF($D277="","缺批次号",IF(ISNA(MATCH($E277,记账规则!$A$36:$A$38,0)),"业务类型无效",IF(AND($E277&lt;&gt;"加工费用",ISNA(MATCH($F277,商品档案!$A$6:$A$65,0))),"商品编码无效",IF(AND($E277&lt;&gt;"加工费用",IFERROR(INDEX(商品档案!$E$6:$E$65,MATCH($F277,商品档案!$A$6:$A$65,0)),"")&lt;&gt;$C277),"商品不属于该公司",IF(AND($E277&lt;&gt;"加工费用",N($I277)=0),"数量为 0",IF(AND($E277="加工费用",N($J277)=0),"加工费金额为 0",IF(AND($E277="加工费用",ISNA(MATCH($K277,会计科目表!$B$6:$B$85,0))),"对方科目不存在",IF(YEAR($B277)&lt;&gt;参数设置!$B$5,"不在本会计年度","OK")))))))))))</f>
        <v/>
      </c>
      <c r="Q277" s="58" t="str">
        <f aca="false">IF($F277="","",IFERROR(INDEX(商品档案!$G$6:$G$65,MATCH($F277,商品档案!$A$6:$A$65,0)),""))</f>
        <v/>
      </c>
      <c r="R277" s="59" t="str">
        <f aca="false">IF($F277="","",SUMIFS(进销存台账!$N$6:$N$65,进销存台账!$A$6:$A$65,$C277,进销存台账!$B$6:$B$65,$F277))</f>
        <v/>
      </c>
      <c r="S277" s="60" t="n">
        <f aca="false">IF($E277="领用投入",ROUND(N($I277)*N($R277),2),IF($E277="加工费用",ROUND(N($J277),2),0))</f>
        <v>0</v>
      </c>
      <c r="T277" s="60" t="n">
        <f aca="false">IF($E277&lt;&gt;"产成品入库",0,IF(SUMIFS($W$6:$W$305,$C$6:$C$305,$C277,$D$6:$D$305,$D277,$E$6:$E$305,"产成品入库")=0,0,ROUND(SUMIFS($S$6:$S$305,$C$6:$C$305,$C277,$D$6:$D$305,$D277)*N($X277)/SUMIFS($W$6:$W$305,$C$6:$C$305,$C277,$D$6:$D$305,$D277,$E$6:$E$305,"产成品入库"),2)-ROUND(SUMIFS($S$6:$S$305,$C$6:$C$305,$C277,$D$6:$D$305,$D277)*(N($X277)-N($W277))/SUMIFS($W$6:$W$305,$C$6:$C$305,$C277,$D$6:$D$305,$D277,$E$6:$E$305,"产成品入库"),2)))</f>
        <v>0</v>
      </c>
      <c r="U277" s="57" t="str">
        <f aca="false">IF($E277="","",ROUND($S277+$T277,2))</f>
        <v/>
      </c>
      <c r="V277" s="61" t="str">
        <f aca="false">IF($B277="","",YEAR($B277))</f>
        <v/>
      </c>
      <c r="W277" s="63" t="str">
        <f aca="false">IF($E277&lt;&gt;"产成品入库","",IF(N($M277)=0,1,N($M277)))</f>
        <v/>
      </c>
      <c r="X277" s="63" t="str">
        <f aca="false">IF($E277&lt;&gt;"产成品入库","",SUMIFS($W$6:$W277,$C$6:$C277,$C277,$D$6:$D277,$D277,$E$6:$E277,"产成品入库"))</f>
        <v/>
      </c>
    </row>
    <row r="278" customFormat="false" ht="15" hidden="false" customHeight="false" outlineLevel="0" collapsed="false">
      <c r="A278" s="53" t="str">
        <f aca="false">IF($B278="","",ROW()-5)</f>
        <v/>
      </c>
      <c r="B278" s="54"/>
      <c r="C278" s="33"/>
      <c r="D278" s="39"/>
      <c r="E278" s="33"/>
      <c r="F278" s="39"/>
      <c r="G278" s="48" t="str">
        <f aca="false">IF($F278="","",IFERROR(INDEX(商品档案!$B$6:$B$65,MATCH($F278,商品档案!$A$6:$A$65,0)),""))</f>
        <v/>
      </c>
      <c r="H278" s="55" t="str">
        <f aca="false">IF($F278="","",IFERROR(INDEX(商品档案!$D$6:$D$65,MATCH($F278,商品档案!$A$6:$A$65,0)),""))</f>
        <v/>
      </c>
      <c r="I278" s="49"/>
      <c r="J278" s="43"/>
      <c r="K278" s="41"/>
      <c r="L278" s="39"/>
      <c r="M278" s="62"/>
      <c r="N278" s="41"/>
      <c r="O278" s="41"/>
      <c r="P278" s="25" t="str">
        <f aca="false">IF(AND($B278="",$E278=""),"",IF(NOT(ISNUMBER($B278)),"日期无效",IF(ISNA(MATCH($C278,参数设置!$A$10:$A$12,0)),"公司无效",IF($D278="","缺批次号",IF(ISNA(MATCH($E278,记账规则!$A$36:$A$38,0)),"业务类型无效",IF(AND($E278&lt;&gt;"加工费用",ISNA(MATCH($F278,商品档案!$A$6:$A$65,0))),"商品编码无效",IF(AND($E278&lt;&gt;"加工费用",IFERROR(INDEX(商品档案!$E$6:$E$65,MATCH($F278,商品档案!$A$6:$A$65,0)),"")&lt;&gt;$C278),"商品不属于该公司",IF(AND($E278&lt;&gt;"加工费用",N($I278)=0),"数量为 0",IF(AND($E278="加工费用",N($J278)=0),"加工费金额为 0",IF(AND($E278="加工费用",ISNA(MATCH($K278,会计科目表!$B$6:$B$85,0))),"对方科目不存在",IF(YEAR($B278)&lt;&gt;参数设置!$B$5,"不在本会计年度","OK")))))))))))</f>
        <v/>
      </c>
      <c r="Q278" s="58" t="str">
        <f aca="false">IF($F278="","",IFERROR(INDEX(商品档案!$G$6:$G$65,MATCH($F278,商品档案!$A$6:$A$65,0)),""))</f>
        <v/>
      </c>
      <c r="R278" s="59" t="str">
        <f aca="false">IF($F278="","",SUMIFS(进销存台账!$N$6:$N$65,进销存台账!$A$6:$A$65,$C278,进销存台账!$B$6:$B$65,$F278))</f>
        <v/>
      </c>
      <c r="S278" s="60" t="n">
        <f aca="false">IF($E278="领用投入",ROUND(N($I278)*N($R278),2),IF($E278="加工费用",ROUND(N($J278),2),0))</f>
        <v>0</v>
      </c>
      <c r="T278" s="60" t="n">
        <f aca="false">IF($E278&lt;&gt;"产成品入库",0,IF(SUMIFS($W$6:$W$305,$C$6:$C$305,$C278,$D$6:$D$305,$D278,$E$6:$E$305,"产成品入库")=0,0,ROUND(SUMIFS($S$6:$S$305,$C$6:$C$305,$C278,$D$6:$D$305,$D278)*N($X278)/SUMIFS($W$6:$W$305,$C$6:$C$305,$C278,$D$6:$D$305,$D278,$E$6:$E$305,"产成品入库"),2)-ROUND(SUMIFS($S$6:$S$305,$C$6:$C$305,$C278,$D$6:$D$305,$D278)*(N($X278)-N($W278))/SUMIFS($W$6:$W$305,$C$6:$C$305,$C278,$D$6:$D$305,$D278,$E$6:$E$305,"产成品入库"),2)))</f>
        <v>0</v>
      </c>
      <c r="U278" s="57" t="str">
        <f aca="false">IF($E278="","",ROUND($S278+$T278,2))</f>
        <v/>
      </c>
      <c r="V278" s="61" t="str">
        <f aca="false">IF($B278="","",YEAR($B278))</f>
        <v/>
      </c>
      <c r="W278" s="63" t="str">
        <f aca="false">IF($E278&lt;&gt;"产成品入库","",IF(N($M278)=0,1,N($M278)))</f>
        <v/>
      </c>
      <c r="X278" s="63" t="str">
        <f aca="false">IF($E278&lt;&gt;"产成品入库","",SUMIFS($W$6:$W278,$C$6:$C278,$C278,$D$6:$D278,$D278,$E$6:$E278,"产成品入库"))</f>
        <v/>
      </c>
    </row>
    <row r="279" customFormat="false" ht="15" hidden="false" customHeight="false" outlineLevel="0" collapsed="false">
      <c r="A279" s="53" t="str">
        <f aca="false">IF($B279="","",ROW()-5)</f>
        <v/>
      </c>
      <c r="B279" s="54"/>
      <c r="C279" s="33"/>
      <c r="D279" s="39"/>
      <c r="E279" s="33"/>
      <c r="F279" s="39"/>
      <c r="G279" s="48" t="str">
        <f aca="false">IF($F279="","",IFERROR(INDEX(商品档案!$B$6:$B$65,MATCH($F279,商品档案!$A$6:$A$65,0)),""))</f>
        <v/>
      </c>
      <c r="H279" s="55" t="str">
        <f aca="false">IF($F279="","",IFERROR(INDEX(商品档案!$D$6:$D$65,MATCH($F279,商品档案!$A$6:$A$65,0)),""))</f>
        <v/>
      </c>
      <c r="I279" s="49"/>
      <c r="J279" s="43"/>
      <c r="K279" s="41"/>
      <c r="L279" s="39"/>
      <c r="M279" s="62"/>
      <c r="N279" s="41"/>
      <c r="O279" s="41"/>
      <c r="P279" s="25" t="str">
        <f aca="false">IF(AND($B279="",$E279=""),"",IF(NOT(ISNUMBER($B279)),"日期无效",IF(ISNA(MATCH($C279,参数设置!$A$10:$A$12,0)),"公司无效",IF($D279="","缺批次号",IF(ISNA(MATCH($E279,记账规则!$A$36:$A$38,0)),"业务类型无效",IF(AND($E279&lt;&gt;"加工费用",ISNA(MATCH($F279,商品档案!$A$6:$A$65,0))),"商品编码无效",IF(AND($E279&lt;&gt;"加工费用",IFERROR(INDEX(商品档案!$E$6:$E$65,MATCH($F279,商品档案!$A$6:$A$65,0)),"")&lt;&gt;$C279),"商品不属于该公司",IF(AND($E279&lt;&gt;"加工费用",N($I279)=0),"数量为 0",IF(AND($E279="加工费用",N($J279)=0),"加工费金额为 0",IF(AND($E279="加工费用",ISNA(MATCH($K279,会计科目表!$B$6:$B$85,0))),"对方科目不存在",IF(YEAR($B279)&lt;&gt;参数设置!$B$5,"不在本会计年度","OK")))))))))))</f>
        <v/>
      </c>
      <c r="Q279" s="58" t="str">
        <f aca="false">IF($F279="","",IFERROR(INDEX(商品档案!$G$6:$G$65,MATCH($F279,商品档案!$A$6:$A$65,0)),""))</f>
        <v/>
      </c>
      <c r="R279" s="59" t="str">
        <f aca="false">IF($F279="","",SUMIFS(进销存台账!$N$6:$N$65,进销存台账!$A$6:$A$65,$C279,进销存台账!$B$6:$B$65,$F279))</f>
        <v/>
      </c>
      <c r="S279" s="60" t="n">
        <f aca="false">IF($E279="领用投入",ROUND(N($I279)*N($R279),2),IF($E279="加工费用",ROUND(N($J279),2),0))</f>
        <v>0</v>
      </c>
      <c r="T279" s="60" t="n">
        <f aca="false">IF($E279&lt;&gt;"产成品入库",0,IF(SUMIFS($W$6:$W$305,$C$6:$C$305,$C279,$D$6:$D$305,$D279,$E$6:$E$305,"产成品入库")=0,0,ROUND(SUMIFS($S$6:$S$305,$C$6:$C$305,$C279,$D$6:$D$305,$D279)*N($X279)/SUMIFS($W$6:$W$305,$C$6:$C$305,$C279,$D$6:$D$305,$D279,$E$6:$E$305,"产成品入库"),2)-ROUND(SUMIFS($S$6:$S$305,$C$6:$C$305,$C279,$D$6:$D$305,$D279)*(N($X279)-N($W279))/SUMIFS($W$6:$W$305,$C$6:$C$305,$C279,$D$6:$D$305,$D279,$E$6:$E$305,"产成品入库"),2)))</f>
        <v>0</v>
      </c>
      <c r="U279" s="57" t="str">
        <f aca="false">IF($E279="","",ROUND($S279+$T279,2))</f>
        <v/>
      </c>
      <c r="V279" s="61" t="str">
        <f aca="false">IF($B279="","",YEAR($B279))</f>
        <v/>
      </c>
      <c r="W279" s="63" t="str">
        <f aca="false">IF($E279&lt;&gt;"产成品入库","",IF(N($M279)=0,1,N($M279)))</f>
        <v/>
      </c>
      <c r="X279" s="63" t="str">
        <f aca="false">IF($E279&lt;&gt;"产成品入库","",SUMIFS($W$6:$W279,$C$6:$C279,$C279,$D$6:$D279,$D279,$E$6:$E279,"产成品入库"))</f>
        <v/>
      </c>
    </row>
    <row r="280" customFormat="false" ht="15" hidden="false" customHeight="false" outlineLevel="0" collapsed="false">
      <c r="A280" s="53" t="str">
        <f aca="false">IF($B280="","",ROW()-5)</f>
        <v/>
      </c>
      <c r="B280" s="54"/>
      <c r="C280" s="33"/>
      <c r="D280" s="39"/>
      <c r="E280" s="33"/>
      <c r="F280" s="39"/>
      <c r="G280" s="48" t="str">
        <f aca="false">IF($F280="","",IFERROR(INDEX(商品档案!$B$6:$B$65,MATCH($F280,商品档案!$A$6:$A$65,0)),""))</f>
        <v/>
      </c>
      <c r="H280" s="55" t="str">
        <f aca="false">IF($F280="","",IFERROR(INDEX(商品档案!$D$6:$D$65,MATCH($F280,商品档案!$A$6:$A$65,0)),""))</f>
        <v/>
      </c>
      <c r="I280" s="49"/>
      <c r="J280" s="43"/>
      <c r="K280" s="41"/>
      <c r="L280" s="39"/>
      <c r="M280" s="62"/>
      <c r="N280" s="41"/>
      <c r="O280" s="41"/>
      <c r="P280" s="25" t="str">
        <f aca="false">IF(AND($B280="",$E280=""),"",IF(NOT(ISNUMBER($B280)),"日期无效",IF(ISNA(MATCH($C280,参数设置!$A$10:$A$12,0)),"公司无效",IF($D280="","缺批次号",IF(ISNA(MATCH($E280,记账规则!$A$36:$A$38,0)),"业务类型无效",IF(AND($E280&lt;&gt;"加工费用",ISNA(MATCH($F280,商品档案!$A$6:$A$65,0))),"商品编码无效",IF(AND($E280&lt;&gt;"加工费用",IFERROR(INDEX(商品档案!$E$6:$E$65,MATCH($F280,商品档案!$A$6:$A$65,0)),"")&lt;&gt;$C280),"商品不属于该公司",IF(AND($E280&lt;&gt;"加工费用",N($I280)=0),"数量为 0",IF(AND($E280="加工费用",N($J280)=0),"加工费金额为 0",IF(AND($E280="加工费用",ISNA(MATCH($K280,会计科目表!$B$6:$B$85,0))),"对方科目不存在",IF(YEAR($B280)&lt;&gt;参数设置!$B$5,"不在本会计年度","OK")))))))))))</f>
        <v/>
      </c>
      <c r="Q280" s="58" t="str">
        <f aca="false">IF($F280="","",IFERROR(INDEX(商品档案!$G$6:$G$65,MATCH($F280,商品档案!$A$6:$A$65,0)),""))</f>
        <v/>
      </c>
      <c r="R280" s="59" t="str">
        <f aca="false">IF($F280="","",SUMIFS(进销存台账!$N$6:$N$65,进销存台账!$A$6:$A$65,$C280,进销存台账!$B$6:$B$65,$F280))</f>
        <v/>
      </c>
      <c r="S280" s="60" t="n">
        <f aca="false">IF($E280="领用投入",ROUND(N($I280)*N($R280),2),IF($E280="加工费用",ROUND(N($J280),2),0))</f>
        <v>0</v>
      </c>
      <c r="T280" s="60" t="n">
        <f aca="false">IF($E280&lt;&gt;"产成品入库",0,IF(SUMIFS($W$6:$W$305,$C$6:$C$305,$C280,$D$6:$D$305,$D280,$E$6:$E$305,"产成品入库")=0,0,ROUND(SUMIFS($S$6:$S$305,$C$6:$C$305,$C280,$D$6:$D$305,$D280)*N($X280)/SUMIFS($W$6:$W$305,$C$6:$C$305,$C280,$D$6:$D$305,$D280,$E$6:$E$305,"产成品入库"),2)-ROUND(SUMIFS($S$6:$S$305,$C$6:$C$305,$C280,$D$6:$D$305,$D280)*(N($X280)-N($W280))/SUMIFS($W$6:$W$305,$C$6:$C$305,$C280,$D$6:$D$305,$D280,$E$6:$E$305,"产成品入库"),2)))</f>
        <v>0</v>
      </c>
      <c r="U280" s="57" t="str">
        <f aca="false">IF($E280="","",ROUND($S280+$T280,2))</f>
        <v/>
      </c>
      <c r="V280" s="61" t="str">
        <f aca="false">IF($B280="","",YEAR($B280))</f>
        <v/>
      </c>
      <c r="W280" s="63" t="str">
        <f aca="false">IF($E280&lt;&gt;"产成品入库","",IF(N($M280)=0,1,N($M280)))</f>
        <v/>
      </c>
      <c r="X280" s="63" t="str">
        <f aca="false">IF($E280&lt;&gt;"产成品入库","",SUMIFS($W$6:$W280,$C$6:$C280,$C280,$D$6:$D280,$D280,$E$6:$E280,"产成品入库"))</f>
        <v/>
      </c>
    </row>
    <row r="281" customFormat="false" ht="15" hidden="false" customHeight="false" outlineLevel="0" collapsed="false">
      <c r="A281" s="53" t="str">
        <f aca="false">IF($B281="","",ROW()-5)</f>
        <v/>
      </c>
      <c r="B281" s="54"/>
      <c r="C281" s="33"/>
      <c r="D281" s="39"/>
      <c r="E281" s="33"/>
      <c r="F281" s="39"/>
      <c r="G281" s="48" t="str">
        <f aca="false">IF($F281="","",IFERROR(INDEX(商品档案!$B$6:$B$65,MATCH($F281,商品档案!$A$6:$A$65,0)),""))</f>
        <v/>
      </c>
      <c r="H281" s="55" t="str">
        <f aca="false">IF($F281="","",IFERROR(INDEX(商品档案!$D$6:$D$65,MATCH($F281,商品档案!$A$6:$A$65,0)),""))</f>
        <v/>
      </c>
      <c r="I281" s="49"/>
      <c r="J281" s="43"/>
      <c r="K281" s="41"/>
      <c r="L281" s="39"/>
      <c r="M281" s="62"/>
      <c r="N281" s="41"/>
      <c r="O281" s="41"/>
      <c r="P281" s="25" t="str">
        <f aca="false">IF(AND($B281="",$E281=""),"",IF(NOT(ISNUMBER($B281)),"日期无效",IF(ISNA(MATCH($C281,参数设置!$A$10:$A$12,0)),"公司无效",IF($D281="","缺批次号",IF(ISNA(MATCH($E281,记账规则!$A$36:$A$38,0)),"业务类型无效",IF(AND($E281&lt;&gt;"加工费用",ISNA(MATCH($F281,商品档案!$A$6:$A$65,0))),"商品编码无效",IF(AND($E281&lt;&gt;"加工费用",IFERROR(INDEX(商品档案!$E$6:$E$65,MATCH($F281,商品档案!$A$6:$A$65,0)),"")&lt;&gt;$C281),"商品不属于该公司",IF(AND($E281&lt;&gt;"加工费用",N($I281)=0),"数量为 0",IF(AND($E281="加工费用",N($J281)=0),"加工费金额为 0",IF(AND($E281="加工费用",ISNA(MATCH($K281,会计科目表!$B$6:$B$85,0))),"对方科目不存在",IF(YEAR($B281)&lt;&gt;参数设置!$B$5,"不在本会计年度","OK")))))))))))</f>
        <v/>
      </c>
      <c r="Q281" s="58" t="str">
        <f aca="false">IF($F281="","",IFERROR(INDEX(商品档案!$G$6:$G$65,MATCH($F281,商品档案!$A$6:$A$65,0)),""))</f>
        <v/>
      </c>
      <c r="R281" s="59" t="str">
        <f aca="false">IF($F281="","",SUMIFS(进销存台账!$N$6:$N$65,进销存台账!$A$6:$A$65,$C281,进销存台账!$B$6:$B$65,$F281))</f>
        <v/>
      </c>
      <c r="S281" s="60" t="n">
        <f aca="false">IF($E281="领用投入",ROUND(N($I281)*N($R281),2),IF($E281="加工费用",ROUND(N($J281),2),0))</f>
        <v>0</v>
      </c>
      <c r="T281" s="60" t="n">
        <f aca="false">IF($E281&lt;&gt;"产成品入库",0,IF(SUMIFS($W$6:$W$305,$C$6:$C$305,$C281,$D$6:$D$305,$D281,$E$6:$E$305,"产成品入库")=0,0,ROUND(SUMIFS($S$6:$S$305,$C$6:$C$305,$C281,$D$6:$D$305,$D281)*N($X281)/SUMIFS($W$6:$W$305,$C$6:$C$305,$C281,$D$6:$D$305,$D281,$E$6:$E$305,"产成品入库"),2)-ROUND(SUMIFS($S$6:$S$305,$C$6:$C$305,$C281,$D$6:$D$305,$D281)*(N($X281)-N($W281))/SUMIFS($W$6:$W$305,$C$6:$C$305,$C281,$D$6:$D$305,$D281,$E$6:$E$305,"产成品入库"),2)))</f>
        <v>0</v>
      </c>
      <c r="U281" s="57" t="str">
        <f aca="false">IF($E281="","",ROUND($S281+$T281,2))</f>
        <v/>
      </c>
      <c r="V281" s="61" t="str">
        <f aca="false">IF($B281="","",YEAR($B281))</f>
        <v/>
      </c>
      <c r="W281" s="63" t="str">
        <f aca="false">IF($E281&lt;&gt;"产成品入库","",IF(N($M281)=0,1,N($M281)))</f>
        <v/>
      </c>
      <c r="X281" s="63" t="str">
        <f aca="false">IF($E281&lt;&gt;"产成品入库","",SUMIFS($W$6:$W281,$C$6:$C281,$C281,$D$6:$D281,$D281,$E$6:$E281,"产成品入库"))</f>
        <v/>
      </c>
    </row>
    <row r="282" customFormat="false" ht="15" hidden="false" customHeight="false" outlineLevel="0" collapsed="false">
      <c r="A282" s="53" t="str">
        <f aca="false">IF($B282="","",ROW()-5)</f>
        <v/>
      </c>
      <c r="B282" s="54"/>
      <c r="C282" s="33"/>
      <c r="D282" s="39"/>
      <c r="E282" s="33"/>
      <c r="F282" s="39"/>
      <c r="G282" s="48" t="str">
        <f aca="false">IF($F282="","",IFERROR(INDEX(商品档案!$B$6:$B$65,MATCH($F282,商品档案!$A$6:$A$65,0)),""))</f>
        <v/>
      </c>
      <c r="H282" s="55" t="str">
        <f aca="false">IF($F282="","",IFERROR(INDEX(商品档案!$D$6:$D$65,MATCH($F282,商品档案!$A$6:$A$65,0)),""))</f>
        <v/>
      </c>
      <c r="I282" s="49"/>
      <c r="J282" s="43"/>
      <c r="K282" s="41"/>
      <c r="L282" s="39"/>
      <c r="M282" s="62"/>
      <c r="N282" s="41"/>
      <c r="O282" s="41"/>
      <c r="P282" s="25" t="str">
        <f aca="false">IF(AND($B282="",$E282=""),"",IF(NOT(ISNUMBER($B282)),"日期无效",IF(ISNA(MATCH($C282,参数设置!$A$10:$A$12,0)),"公司无效",IF($D282="","缺批次号",IF(ISNA(MATCH($E282,记账规则!$A$36:$A$38,0)),"业务类型无效",IF(AND($E282&lt;&gt;"加工费用",ISNA(MATCH($F282,商品档案!$A$6:$A$65,0))),"商品编码无效",IF(AND($E282&lt;&gt;"加工费用",IFERROR(INDEX(商品档案!$E$6:$E$65,MATCH($F282,商品档案!$A$6:$A$65,0)),"")&lt;&gt;$C282),"商品不属于该公司",IF(AND($E282&lt;&gt;"加工费用",N($I282)=0),"数量为 0",IF(AND($E282="加工费用",N($J282)=0),"加工费金额为 0",IF(AND($E282="加工费用",ISNA(MATCH($K282,会计科目表!$B$6:$B$85,0))),"对方科目不存在",IF(YEAR($B282)&lt;&gt;参数设置!$B$5,"不在本会计年度","OK")))))))))))</f>
        <v/>
      </c>
      <c r="Q282" s="58" t="str">
        <f aca="false">IF($F282="","",IFERROR(INDEX(商品档案!$G$6:$G$65,MATCH($F282,商品档案!$A$6:$A$65,0)),""))</f>
        <v/>
      </c>
      <c r="R282" s="59" t="str">
        <f aca="false">IF($F282="","",SUMIFS(进销存台账!$N$6:$N$65,进销存台账!$A$6:$A$65,$C282,进销存台账!$B$6:$B$65,$F282))</f>
        <v/>
      </c>
      <c r="S282" s="60" t="n">
        <f aca="false">IF($E282="领用投入",ROUND(N($I282)*N($R282),2),IF($E282="加工费用",ROUND(N($J282),2),0))</f>
        <v>0</v>
      </c>
      <c r="T282" s="60" t="n">
        <f aca="false">IF($E282&lt;&gt;"产成品入库",0,IF(SUMIFS($W$6:$W$305,$C$6:$C$305,$C282,$D$6:$D$305,$D282,$E$6:$E$305,"产成品入库")=0,0,ROUND(SUMIFS($S$6:$S$305,$C$6:$C$305,$C282,$D$6:$D$305,$D282)*N($X282)/SUMIFS($W$6:$W$305,$C$6:$C$305,$C282,$D$6:$D$305,$D282,$E$6:$E$305,"产成品入库"),2)-ROUND(SUMIFS($S$6:$S$305,$C$6:$C$305,$C282,$D$6:$D$305,$D282)*(N($X282)-N($W282))/SUMIFS($W$6:$W$305,$C$6:$C$305,$C282,$D$6:$D$305,$D282,$E$6:$E$305,"产成品入库"),2)))</f>
        <v>0</v>
      </c>
      <c r="U282" s="57" t="str">
        <f aca="false">IF($E282="","",ROUND($S282+$T282,2))</f>
        <v/>
      </c>
      <c r="V282" s="61" t="str">
        <f aca="false">IF($B282="","",YEAR($B282))</f>
        <v/>
      </c>
      <c r="W282" s="63" t="str">
        <f aca="false">IF($E282&lt;&gt;"产成品入库","",IF(N($M282)=0,1,N($M282)))</f>
        <v/>
      </c>
      <c r="X282" s="63" t="str">
        <f aca="false">IF($E282&lt;&gt;"产成品入库","",SUMIFS($W$6:$W282,$C$6:$C282,$C282,$D$6:$D282,$D282,$E$6:$E282,"产成品入库"))</f>
        <v/>
      </c>
    </row>
    <row r="283" customFormat="false" ht="15" hidden="false" customHeight="false" outlineLevel="0" collapsed="false">
      <c r="A283" s="53" t="str">
        <f aca="false">IF($B283="","",ROW()-5)</f>
        <v/>
      </c>
      <c r="B283" s="54"/>
      <c r="C283" s="33"/>
      <c r="D283" s="39"/>
      <c r="E283" s="33"/>
      <c r="F283" s="39"/>
      <c r="G283" s="48" t="str">
        <f aca="false">IF($F283="","",IFERROR(INDEX(商品档案!$B$6:$B$65,MATCH($F283,商品档案!$A$6:$A$65,0)),""))</f>
        <v/>
      </c>
      <c r="H283" s="55" t="str">
        <f aca="false">IF($F283="","",IFERROR(INDEX(商品档案!$D$6:$D$65,MATCH($F283,商品档案!$A$6:$A$65,0)),""))</f>
        <v/>
      </c>
      <c r="I283" s="49"/>
      <c r="J283" s="43"/>
      <c r="K283" s="41"/>
      <c r="L283" s="39"/>
      <c r="M283" s="62"/>
      <c r="N283" s="41"/>
      <c r="O283" s="41"/>
      <c r="P283" s="25" t="str">
        <f aca="false">IF(AND($B283="",$E283=""),"",IF(NOT(ISNUMBER($B283)),"日期无效",IF(ISNA(MATCH($C283,参数设置!$A$10:$A$12,0)),"公司无效",IF($D283="","缺批次号",IF(ISNA(MATCH($E283,记账规则!$A$36:$A$38,0)),"业务类型无效",IF(AND($E283&lt;&gt;"加工费用",ISNA(MATCH($F283,商品档案!$A$6:$A$65,0))),"商品编码无效",IF(AND($E283&lt;&gt;"加工费用",IFERROR(INDEX(商品档案!$E$6:$E$65,MATCH($F283,商品档案!$A$6:$A$65,0)),"")&lt;&gt;$C283),"商品不属于该公司",IF(AND($E283&lt;&gt;"加工费用",N($I283)=0),"数量为 0",IF(AND($E283="加工费用",N($J283)=0),"加工费金额为 0",IF(AND($E283="加工费用",ISNA(MATCH($K283,会计科目表!$B$6:$B$85,0))),"对方科目不存在",IF(YEAR($B283)&lt;&gt;参数设置!$B$5,"不在本会计年度","OK")))))))))))</f>
        <v/>
      </c>
      <c r="Q283" s="58" t="str">
        <f aca="false">IF($F283="","",IFERROR(INDEX(商品档案!$G$6:$G$65,MATCH($F283,商品档案!$A$6:$A$65,0)),""))</f>
        <v/>
      </c>
      <c r="R283" s="59" t="str">
        <f aca="false">IF($F283="","",SUMIFS(进销存台账!$N$6:$N$65,进销存台账!$A$6:$A$65,$C283,进销存台账!$B$6:$B$65,$F283))</f>
        <v/>
      </c>
      <c r="S283" s="60" t="n">
        <f aca="false">IF($E283="领用投入",ROUND(N($I283)*N($R283),2),IF($E283="加工费用",ROUND(N($J283),2),0))</f>
        <v>0</v>
      </c>
      <c r="T283" s="60" t="n">
        <f aca="false">IF($E283&lt;&gt;"产成品入库",0,IF(SUMIFS($W$6:$W$305,$C$6:$C$305,$C283,$D$6:$D$305,$D283,$E$6:$E$305,"产成品入库")=0,0,ROUND(SUMIFS($S$6:$S$305,$C$6:$C$305,$C283,$D$6:$D$305,$D283)*N($X283)/SUMIFS($W$6:$W$305,$C$6:$C$305,$C283,$D$6:$D$305,$D283,$E$6:$E$305,"产成品入库"),2)-ROUND(SUMIFS($S$6:$S$305,$C$6:$C$305,$C283,$D$6:$D$305,$D283)*(N($X283)-N($W283))/SUMIFS($W$6:$W$305,$C$6:$C$305,$C283,$D$6:$D$305,$D283,$E$6:$E$305,"产成品入库"),2)))</f>
        <v>0</v>
      </c>
      <c r="U283" s="57" t="str">
        <f aca="false">IF($E283="","",ROUND($S283+$T283,2))</f>
        <v/>
      </c>
      <c r="V283" s="61" t="str">
        <f aca="false">IF($B283="","",YEAR($B283))</f>
        <v/>
      </c>
      <c r="W283" s="63" t="str">
        <f aca="false">IF($E283&lt;&gt;"产成品入库","",IF(N($M283)=0,1,N($M283)))</f>
        <v/>
      </c>
      <c r="X283" s="63" t="str">
        <f aca="false">IF($E283&lt;&gt;"产成品入库","",SUMIFS($W$6:$W283,$C$6:$C283,$C283,$D$6:$D283,$D283,$E$6:$E283,"产成品入库"))</f>
        <v/>
      </c>
    </row>
    <row r="284" customFormat="false" ht="15" hidden="false" customHeight="false" outlineLevel="0" collapsed="false">
      <c r="A284" s="53" t="str">
        <f aca="false">IF($B284="","",ROW()-5)</f>
        <v/>
      </c>
      <c r="B284" s="54"/>
      <c r="C284" s="33"/>
      <c r="D284" s="39"/>
      <c r="E284" s="33"/>
      <c r="F284" s="39"/>
      <c r="G284" s="48" t="str">
        <f aca="false">IF($F284="","",IFERROR(INDEX(商品档案!$B$6:$B$65,MATCH($F284,商品档案!$A$6:$A$65,0)),""))</f>
        <v/>
      </c>
      <c r="H284" s="55" t="str">
        <f aca="false">IF($F284="","",IFERROR(INDEX(商品档案!$D$6:$D$65,MATCH($F284,商品档案!$A$6:$A$65,0)),""))</f>
        <v/>
      </c>
      <c r="I284" s="49"/>
      <c r="J284" s="43"/>
      <c r="K284" s="41"/>
      <c r="L284" s="39"/>
      <c r="M284" s="62"/>
      <c r="N284" s="41"/>
      <c r="O284" s="41"/>
      <c r="P284" s="25" t="str">
        <f aca="false">IF(AND($B284="",$E284=""),"",IF(NOT(ISNUMBER($B284)),"日期无效",IF(ISNA(MATCH($C284,参数设置!$A$10:$A$12,0)),"公司无效",IF($D284="","缺批次号",IF(ISNA(MATCH($E284,记账规则!$A$36:$A$38,0)),"业务类型无效",IF(AND($E284&lt;&gt;"加工费用",ISNA(MATCH($F284,商品档案!$A$6:$A$65,0))),"商品编码无效",IF(AND($E284&lt;&gt;"加工费用",IFERROR(INDEX(商品档案!$E$6:$E$65,MATCH($F284,商品档案!$A$6:$A$65,0)),"")&lt;&gt;$C284),"商品不属于该公司",IF(AND($E284&lt;&gt;"加工费用",N($I284)=0),"数量为 0",IF(AND($E284="加工费用",N($J284)=0),"加工费金额为 0",IF(AND($E284="加工费用",ISNA(MATCH($K284,会计科目表!$B$6:$B$85,0))),"对方科目不存在",IF(YEAR($B284)&lt;&gt;参数设置!$B$5,"不在本会计年度","OK")))))))))))</f>
        <v/>
      </c>
      <c r="Q284" s="58" t="str">
        <f aca="false">IF($F284="","",IFERROR(INDEX(商品档案!$G$6:$G$65,MATCH($F284,商品档案!$A$6:$A$65,0)),""))</f>
        <v/>
      </c>
      <c r="R284" s="59" t="str">
        <f aca="false">IF($F284="","",SUMIFS(进销存台账!$N$6:$N$65,进销存台账!$A$6:$A$65,$C284,进销存台账!$B$6:$B$65,$F284))</f>
        <v/>
      </c>
      <c r="S284" s="60" t="n">
        <f aca="false">IF($E284="领用投入",ROUND(N($I284)*N($R284),2),IF($E284="加工费用",ROUND(N($J284),2),0))</f>
        <v>0</v>
      </c>
      <c r="T284" s="60" t="n">
        <f aca="false">IF($E284&lt;&gt;"产成品入库",0,IF(SUMIFS($W$6:$W$305,$C$6:$C$305,$C284,$D$6:$D$305,$D284,$E$6:$E$305,"产成品入库")=0,0,ROUND(SUMIFS($S$6:$S$305,$C$6:$C$305,$C284,$D$6:$D$305,$D284)*N($X284)/SUMIFS($W$6:$W$305,$C$6:$C$305,$C284,$D$6:$D$305,$D284,$E$6:$E$305,"产成品入库"),2)-ROUND(SUMIFS($S$6:$S$305,$C$6:$C$305,$C284,$D$6:$D$305,$D284)*(N($X284)-N($W284))/SUMIFS($W$6:$W$305,$C$6:$C$305,$C284,$D$6:$D$305,$D284,$E$6:$E$305,"产成品入库"),2)))</f>
        <v>0</v>
      </c>
      <c r="U284" s="57" t="str">
        <f aca="false">IF($E284="","",ROUND($S284+$T284,2))</f>
        <v/>
      </c>
      <c r="V284" s="61" t="str">
        <f aca="false">IF($B284="","",YEAR($B284))</f>
        <v/>
      </c>
      <c r="W284" s="63" t="str">
        <f aca="false">IF($E284&lt;&gt;"产成品入库","",IF(N($M284)=0,1,N($M284)))</f>
        <v/>
      </c>
      <c r="X284" s="63" t="str">
        <f aca="false">IF($E284&lt;&gt;"产成品入库","",SUMIFS($W$6:$W284,$C$6:$C284,$C284,$D$6:$D284,$D284,$E$6:$E284,"产成品入库"))</f>
        <v/>
      </c>
    </row>
    <row r="285" customFormat="false" ht="15" hidden="false" customHeight="false" outlineLevel="0" collapsed="false">
      <c r="A285" s="53" t="str">
        <f aca="false">IF($B285="","",ROW()-5)</f>
        <v/>
      </c>
      <c r="B285" s="54"/>
      <c r="C285" s="33"/>
      <c r="D285" s="39"/>
      <c r="E285" s="33"/>
      <c r="F285" s="39"/>
      <c r="G285" s="48" t="str">
        <f aca="false">IF($F285="","",IFERROR(INDEX(商品档案!$B$6:$B$65,MATCH($F285,商品档案!$A$6:$A$65,0)),""))</f>
        <v/>
      </c>
      <c r="H285" s="55" t="str">
        <f aca="false">IF($F285="","",IFERROR(INDEX(商品档案!$D$6:$D$65,MATCH($F285,商品档案!$A$6:$A$65,0)),""))</f>
        <v/>
      </c>
      <c r="I285" s="49"/>
      <c r="J285" s="43"/>
      <c r="K285" s="41"/>
      <c r="L285" s="39"/>
      <c r="M285" s="62"/>
      <c r="N285" s="41"/>
      <c r="O285" s="41"/>
      <c r="P285" s="25" t="str">
        <f aca="false">IF(AND($B285="",$E285=""),"",IF(NOT(ISNUMBER($B285)),"日期无效",IF(ISNA(MATCH($C285,参数设置!$A$10:$A$12,0)),"公司无效",IF($D285="","缺批次号",IF(ISNA(MATCH($E285,记账规则!$A$36:$A$38,0)),"业务类型无效",IF(AND($E285&lt;&gt;"加工费用",ISNA(MATCH($F285,商品档案!$A$6:$A$65,0))),"商品编码无效",IF(AND($E285&lt;&gt;"加工费用",IFERROR(INDEX(商品档案!$E$6:$E$65,MATCH($F285,商品档案!$A$6:$A$65,0)),"")&lt;&gt;$C285),"商品不属于该公司",IF(AND($E285&lt;&gt;"加工费用",N($I285)=0),"数量为 0",IF(AND($E285="加工费用",N($J285)=0),"加工费金额为 0",IF(AND($E285="加工费用",ISNA(MATCH($K285,会计科目表!$B$6:$B$85,0))),"对方科目不存在",IF(YEAR($B285)&lt;&gt;参数设置!$B$5,"不在本会计年度","OK")))))))))))</f>
        <v/>
      </c>
      <c r="Q285" s="58" t="str">
        <f aca="false">IF($F285="","",IFERROR(INDEX(商品档案!$G$6:$G$65,MATCH($F285,商品档案!$A$6:$A$65,0)),""))</f>
        <v/>
      </c>
      <c r="R285" s="59" t="str">
        <f aca="false">IF($F285="","",SUMIFS(进销存台账!$N$6:$N$65,进销存台账!$A$6:$A$65,$C285,进销存台账!$B$6:$B$65,$F285))</f>
        <v/>
      </c>
      <c r="S285" s="60" t="n">
        <f aca="false">IF($E285="领用投入",ROUND(N($I285)*N($R285),2),IF($E285="加工费用",ROUND(N($J285),2),0))</f>
        <v>0</v>
      </c>
      <c r="T285" s="60" t="n">
        <f aca="false">IF($E285&lt;&gt;"产成品入库",0,IF(SUMIFS($W$6:$W$305,$C$6:$C$305,$C285,$D$6:$D$305,$D285,$E$6:$E$305,"产成品入库")=0,0,ROUND(SUMIFS($S$6:$S$305,$C$6:$C$305,$C285,$D$6:$D$305,$D285)*N($X285)/SUMIFS($W$6:$W$305,$C$6:$C$305,$C285,$D$6:$D$305,$D285,$E$6:$E$305,"产成品入库"),2)-ROUND(SUMIFS($S$6:$S$305,$C$6:$C$305,$C285,$D$6:$D$305,$D285)*(N($X285)-N($W285))/SUMIFS($W$6:$W$305,$C$6:$C$305,$C285,$D$6:$D$305,$D285,$E$6:$E$305,"产成品入库"),2)))</f>
        <v>0</v>
      </c>
      <c r="U285" s="57" t="str">
        <f aca="false">IF($E285="","",ROUND($S285+$T285,2))</f>
        <v/>
      </c>
      <c r="V285" s="61" t="str">
        <f aca="false">IF($B285="","",YEAR($B285))</f>
        <v/>
      </c>
      <c r="W285" s="63" t="str">
        <f aca="false">IF($E285&lt;&gt;"产成品入库","",IF(N($M285)=0,1,N($M285)))</f>
        <v/>
      </c>
      <c r="X285" s="63" t="str">
        <f aca="false">IF($E285&lt;&gt;"产成品入库","",SUMIFS($W$6:$W285,$C$6:$C285,$C285,$D$6:$D285,$D285,$E$6:$E285,"产成品入库"))</f>
        <v/>
      </c>
    </row>
    <row r="286" customFormat="false" ht="15" hidden="false" customHeight="false" outlineLevel="0" collapsed="false">
      <c r="A286" s="53" t="str">
        <f aca="false">IF($B286="","",ROW()-5)</f>
        <v/>
      </c>
      <c r="B286" s="54"/>
      <c r="C286" s="33"/>
      <c r="D286" s="39"/>
      <c r="E286" s="33"/>
      <c r="F286" s="39"/>
      <c r="G286" s="48" t="str">
        <f aca="false">IF($F286="","",IFERROR(INDEX(商品档案!$B$6:$B$65,MATCH($F286,商品档案!$A$6:$A$65,0)),""))</f>
        <v/>
      </c>
      <c r="H286" s="55" t="str">
        <f aca="false">IF($F286="","",IFERROR(INDEX(商品档案!$D$6:$D$65,MATCH($F286,商品档案!$A$6:$A$65,0)),""))</f>
        <v/>
      </c>
      <c r="I286" s="49"/>
      <c r="J286" s="43"/>
      <c r="K286" s="41"/>
      <c r="L286" s="39"/>
      <c r="M286" s="62"/>
      <c r="N286" s="41"/>
      <c r="O286" s="41"/>
      <c r="P286" s="25" t="str">
        <f aca="false">IF(AND($B286="",$E286=""),"",IF(NOT(ISNUMBER($B286)),"日期无效",IF(ISNA(MATCH($C286,参数设置!$A$10:$A$12,0)),"公司无效",IF($D286="","缺批次号",IF(ISNA(MATCH($E286,记账规则!$A$36:$A$38,0)),"业务类型无效",IF(AND($E286&lt;&gt;"加工费用",ISNA(MATCH($F286,商品档案!$A$6:$A$65,0))),"商品编码无效",IF(AND($E286&lt;&gt;"加工费用",IFERROR(INDEX(商品档案!$E$6:$E$65,MATCH($F286,商品档案!$A$6:$A$65,0)),"")&lt;&gt;$C286),"商品不属于该公司",IF(AND($E286&lt;&gt;"加工费用",N($I286)=0),"数量为 0",IF(AND($E286="加工费用",N($J286)=0),"加工费金额为 0",IF(AND($E286="加工费用",ISNA(MATCH($K286,会计科目表!$B$6:$B$85,0))),"对方科目不存在",IF(YEAR($B286)&lt;&gt;参数设置!$B$5,"不在本会计年度","OK")))))))))))</f>
        <v/>
      </c>
      <c r="Q286" s="58" t="str">
        <f aca="false">IF($F286="","",IFERROR(INDEX(商品档案!$G$6:$G$65,MATCH($F286,商品档案!$A$6:$A$65,0)),""))</f>
        <v/>
      </c>
      <c r="R286" s="59" t="str">
        <f aca="false">IF($F286="","",SUMIFS(进销存台账!$N$6:$N$65,进销存台账!$A$6:$A$65,$C286,进销存台账!$B$6:$B$65,$F286))</f>
        <v/>
      </c>
      <c r="S286" s="60" t="n">
        <f aca="false">IF($E286="领用投入",ROUND(N($I286)*N($R286),2),IF($E286="加工费用",ROUND(N($J286),2),0))</f>
        <v>0</v>
      </c>
      <c r="T286" s="60" t="n">
        <f aca="false">IF($E286&lt;&gt;"产成品入库",0,IF(SUMIFS($W$6:$W$305,$C$6:$C$305,$C286,$D$6:$D$305,$D286,$E$6:$E$305,"产成品入库")=0,0,ROUND(SUMIFS($S$6:$S$305,$C$6:$C$305,$C286,$D$6:$D$305,$D286)*N($X286)/SUMIFS($W$6:$W$305,$C$6:$C$305,$C286,$D$6:$D$305,$D286,$E$6:$E$305,"产成品入库"),2)-ROUND(SUMIFS($S$6:$S$305,$C$6:$C$305,$C286,$D$6:$D$305,$D286)*(N($X286)-N($W286))/SUMIFS($W$6:$W$305,$C$6:$C$305,$C286,$D$6:$D$305,$D286,$E$6:$E$305,"产成品入库"),2)))</f>
        <v>0</v>
      </c>
      <c r="U286" s="57" t="str">
        <f aca="false">IF($E286="","",ROUND($S286+$T286,2))</f>
        <v/>
      </c>
      <c r="V286" s="61" t="str">
        <f aca="false">IF($B286="","",YEAR($B286))</f>
        <v/>
      </c>
      <c r="W286" s="63" t="str">
        <f aca="false">IF($E286&lt;&gt;"产成品入库","",IF(N($M286)=0,1,N($M286)))</f>
        <v/>
      </c>
      <c r="X286" s="63" t="str">
        <f aca="false">IF($E286&lt;&gt;"产成品入库","",SUMIFS($W$6:$W286,$C$6:$C286,$C286,$D$6:$D286,$D286,$E$6:$E286,"产成品入库"))</f>
        <v/>
      </c>
    </row>
    <row r="287" customFormat="false" ht="15" hidden="false" customHeight="false" outlineLevel="0" collapsed="false">
      <c r="A287" s="53" t="str">
        <f aca="false">IF($B287="","",ROW()-5)</f>
        <v/>
      </c>
      <c r="B287" s="54"/>
      <c r="C287" s="33"/>
      <c r="D287" s="39"/>
      <c r="E287" s="33"/>
      <c r="F287" s="39"/>
      <c r="G287" s="48" t="str">
        <f aca="false">IF($F287="","",IFERROR(INDEX(商品档案!$B$6:$B$65,MATCH($F287,商品档案!$A$6:$A$65,0)),""))</f>
        <v/>
      </c>
      <c r="H287" s="55" t="str">
        <f aca="false">IF($F287="","",IFERROR(INDEX(商品档案!$D$6:$D$65,MATCH($F287,商品档案!$A$6:$A$65,0)),""))</f>
        <v/>
      </c>
      <c r="I287" s="49"/>
      <c r="J287" s="43"/>
      <c r="K287" s="41"/>
      <c r="L287" s="39"/>
      <c r="M287" s="62"/>
      <c r="N287" s="41"/>
      <c r="O287" s="41"/>
      <c r="P287" s="25" t="str">
        <f aca="false">IF(AND($B287="",$E287=""),"",IF(NOT(ISNUMBER($B287)),"日期无效",IF(ISNA(MATCH($C287,参数设置!$A$10:$A$12,0)),"公司无效",IF($D287="","缺批次号",IF(ISNA(MATCH($E287,记账规则!$A$36:$A$38,0)),"业务类型无效",IF(AND($E287&lt;&gt;"加工费用",ISNA(MATCH($F287,商品档案!$A$6:$A$65,0))),"商品编码无效",IF(AND($E287&lt;&gt;"加工费用",IFERROR(INDEX(商品档案!$E$6:$E$65,MATCH($F287,商品档案!$A$6:$A$65,0)),"")&lt;&gt;$C287),"商品不属于该公司",IF(AND($E287&lt;&gt;"加工费用",N($I287)=0),"数量为 0",IF(AND($E287="加工费用",N($J287)=0),"加工费金额为 0",IF(AND($E287="加工费用",ISNA(MATCH($K287,会计科目表!$B$6:$B$85,0))),"对方科目不存在",IF(YEAR($B287)&lt;&gt;参数设置!$B$5,"不在本会计年度","OK")))))))))))</f>
        <v/>
      </c>
      <c r="Q287" s="58" t="str">
        <f aca="false">IF($F287="","",IFERROR(INDEX(商品档案!$G$6:$G$65,MATCH($F287,商品档案!$A$6:$A$65,0)),""))</f>
        <v/>
      </c>
      <c r="R287" s="59" t="str">
        <f aca="false">IF($F287="","",SUMIFS(进销存台账!$N$6:$N$65,进销存台账!$A$6:$A$65,$C287,进销存台账!$B$6:$B$65,$F287))</f>
        <v/>
      </c>
      <c r="S287" s="60" t="n">
        <f aca="false">IF($E287="领用投入",ROUND(N($I287)*N($R287),2),IF($E287="加工费用",ROUND(N($J287),2),0))</f>
        <v>0</v>
      </c>
      <c r="T287" s="60" t="n">
        <f aca="false">IF($E287&lt;&gt;"产成品入库",0,IF(SUMIFS($W$6:$W$305,$C$6:$C$305,$C287,$D$6:$D$305,$D287,$E$6:$E$305,"产成品入库")=0,0,ROUND(SUMIFS($S$6:$S$305,$C$6:$C$305,$C287,$D$6:$D$305,$D287)*N($X287)/SUMIFS($W$6:$W$305,$C$6:$C$305,$C287,$D$6:$D$305,$D287,$E$6:$E$305,"产成品入库"),2)-ROUND(SUMIFS($S$6:$S$305,$C$6:$C$305,$C287,$D$6:$D$305,$D287)*(N($X287)-N($W287))/SUMIFS($W$6:$W$305,$C$6:$C$305,$C287,$D$6:$D$305,$D287,$E$6:$E$305,"产成品入库"),2)))</f>
        <v>0</v>
      </c>
      <c r="U287" s="57" t="str">
        <f aca="false">IF($E287="","",ROUND($S287+$T287,2))</f>
        <v/>
      </c>
      <c r="V287" s="61" t="str">
        <f aca="false">IF($B287="","",YEAR($B287))</f>
        <v/>
      </c>
      <c r="W287" s="63" t="str">
        <f aca="false">IF($E287&lt;&gt;"产成品入库","",IF(N($M287)=0,1,N($M287)))</f>
        <v/>
      </c>
      <c r="X287" s="63" t="str">
        <f aca="false">IF($E287&lt;&gt;"产成品入库","",SUMIFS($W$6:$W287,$C$6:$C287,$C287,$D$6:$D287,$D287,$E$6:$E287,"产成品入库"))</f>
        <v/>
      </c>
    </row>
    <row r="288" customFormat="false" ht="15" hidden="false" customHeight="false" outlineLevel="0" collapsed="false">
      <c r="A288" s="53" t="str">
        <f aca="false">IF($B288="","",ROW()-5)</f>
        <v/>
      </c>
      <c r="B288" s="54"/>
      <c r="C288" s="33"/>
      <c r="D288" s="39"/>
      <c r="E288" s="33"/>
      <c r="F288" s="39"/>
      <c r="G288" s="48" t="str">
        <f aca="false">IF($F288="","",IFERROR(INDEX(商品档案!$B$6:$B$65,MATCH($F288,商品档案!$A$6:$A$65,0)),""))</f>
        <v/>
      </c>
      <c r="H288" s="55" t="str">
        <f aca="false">IF($F288="","",IFERROR(INDEX(商品档案!$D$6:$D$65,MATCH($F288,商品档案!$A$6:$A$65,0)),""))</f>
        <v/>
      </c>
      <c r="I288" s="49"/>
      <c r="J288" s="43"/>
      <c r="K288" s="41"/>
      <c r="L288" s="39"/>
      <c r="M288" s="62"/>
      <c r="N288" s="41"/>
      <c r="O288" s="41"/>
      <c r="P288" s="25" t="str">
        <f aca="false">IF(AND($B288="",$E288=""),"",IF(NOT(ISNUMBER($B288)),"日期无效",IF(ISNA(MATCH($C288,参数设置!$A$10:$A$12,0)),"公司无效",IF($D288="","缺批次号",IF(ISNA(MATCH($E288,记账规则!$A$36:$A$38,0)),"业务类型无效",IF(AND($E288&lt;&gt;"加工费用",ISNA(MATCH($F288,商品档案!$A$6:$A$65,0))),"商品编码无效",IF(AND($E288&lt;&gt;"加工费用",IFERROR(INDEX(商品档案!$E$6:$E$65,MATCH($F288,商品档案!$A$6:$A$65,0)),"")&lt;&gt;$C288),"商品不属于该公司",IF(AND($E288&lt;&gt;"加工费用",N($I288)=0),"数量为 0",IF(AND($E288="加工费用",N($J288)=0),"加工费金额为 0",IF(AND($E288="加工费用",ISNA(MATCH($K288,会计科目表!$B$6:$B$85,0))),"对方科目不存在",IF(YEAR($B288)&lt;&gt;参数设置!$B$5,"不在本会计年度","OK")))))))))))</f>
        <v/>
      </c>
      <c r="Q288" s="58" t="str">
        <f aca="false">IF($F288="","",IFERROR(INDEX(商品档案!$G$6:$G$65,MATCH($F288,商品档案!$A$6:$A$65,0)),""))</f>
        <v/>
      </c>
      <c r="R288" s="59" t="str">
        <f aca="false">IF($F288="","",SUMIFS(进销存台账!$N$6:$N$65,进销存台账!$A$6:$A$65,$C288,进销存台账!$B$6:$B$65,$F288))</f>
        <v/>
      </c>
      <c r="S288" s="60" t="n">
        <f aca="false">IF($E288="领用投入",ROUND(N($I288)*N($R288),2),IF($E288="加工费用",ROUND(N($J288),2),0))</f>
        <v>0</v>
      </c>
      <c r="T288" s="60" t="n">
        <f aca="false">IF($E288&lt;&gt;"产成品入库",0,IF(SUMIFS($W$6:$W$305,$C$6:$C$305,$C288,$D$6:$D$305,$D288,$E$6:$E$305,"产成品入库")=0,0,ROUND(SUMIFS($S$6:$S$305,$C$6:$C$305,$C288,$D$6:$D$305,$D288)*N($X288)/SUMIFS($W$6:$W$305,$C$6:$C$305,$C288,$D$6:$D$305,$D288,$E$6:$E$305,"产成品入库"),2)-ROUND(SUMIFS($S$6:$S$305,$C$6:$C$305,$C288,$D$6:$D$305,$D288)*(N($X288)-N($W288))/SUMIFS($W$6:$W$305,$C$6:$C$305,$C288,$D$6:$D$305,$D288,$E$6:$E$305,"产成品入库"),2)))</f>
        <v>0</v>
      </c>
      <c r="U288" s="57" t="str">
        <f aca="false">IF($E288="","",ROUND($S288+$T288,2))</f>
        <v/>
      </c>
      <c r="V288" s="61" t="str">
        <f aca="false">IF($B288="","",YEAR($B288))</f>
        <v/>
      </c>
      <c r="W288" s="63" t="str">
        <f aca="false">IF($E288&lt;&gt;"产成品入库","",IF(N($M288)=0,1,N($M288)))</f>
        <v/>
      </c>
      <c r="X288" s="63" t="str">
        <f aca="false">IF($E288&lt;&gt;"产成品入库","",SUMIFS($W$6:$W288,$C$6:$C288,$C288,$D$6:$D288,$D288,$E$6:$E288,"产成品入库"))</f>
        <v/>
      </c>
    </row>
    <row r="289" customFormat="false" ht="15" hidden="false" customHeight="false" outlineLevel="0" collapsed="false">
      <c r="A289" s="53" t="str">
        <f aca="false">IF($B289="","",ROW()-5)</f>
        <v/>
      </c>
      <c r="B289" s="54"/>
      <c r="C289" s="33"/>
      <c r="D289" s="39"/>
      <c r="E289" s="33"/>
      <c r="F289" s="39"/>
      <c r="G289" s="48" t="str">
        <f aca="false">IF($F289="","",IFERROR(INDEX(商品档案!$B$6:$B$65,MATCH($F289,商品档案!$A$6:$A$65,0)),""))</f>
        <v/>
      </c>
      <c r="H289" s="55" t="str">
        <f aca="false">IF($F289="","",IFERROR(INDEX(商品档案!$D$6:$D$65,MATCH($F289,商品档案!$A$6:$A$65,0)),""))</f>
        <v/>
      </c>
      <c r="I289" s="49"/>
      <c r="J289" s="43"/>
      <c r="K289" s="41"/>
      <c r="L289" s="39"/>
      <c r="M289" s="62"/>
      <c r="N289" s="41"/>
      <c r="O289" s="41"/>
      <c r="P289" s="25" t="str">
        <f aca="false">IF(AND($B289="",$E289=""),"",IF(NOT(ISNUMBER($B289)),"日期无效",IF(ISNA(MATCH($C289,参数设置!$A$10:$A$12,0)),"公司无效",IF($D289="","缺批次号",IF(ISNA(MATCH($E289,记账规则!$A$36:$A$38,0)),"业务类型无效",IF(AND($E289&lt;&gt;"加工费用",ISNA(MATCH($F289,商品档案!$A$6:$A$65,0))),"商品编码无效",IF(AND($E289&lt;&gt;"加工费用",IFERROR(INDEX(商品档案!$E$6:$E$65,MATCH($F289,商品档案!$A$6:$A$65,0)),"")&lt;&gt;$C289),"商品不属于该公司",IF(AND($E289&lt;&gt;"加工费用",N($I289)=0),"数量为 0",IF(AND($E289="加工费用",N($J289)=0),"加工费金额为 0",IF(AND($E289="加工费用",ISNA(MATCH($K289,会计科目表!$B$6:$B$85,0))),"对方科目不存在",IF(YEAR($B289)&lt;&gt;参数设置!$B$5,"不在本会计年度","OK")))))))))))</f>
        <v/>
      </c>
      <c r="Q289" s="58" t="str">
        <f aca="false">IF($F289="","",IFERROR(INDEX(商品档案!$G$6:$G$65,MATCH($F289,商品档案!$A$6:$A$65,0)),""))</f>
        <v/>
      </c>
      <c r="R289" s="59" t="str">
        <f aca="false">IF($F289="","",SUMIFS(进销存台账!$N$6:$N$65,进销存台账!$A$6:$A$65,$C289,进销存台账!$B$6:$B$65,$F289))</f>
        <v/>
      </c>
      <c r="S289" s="60" t="n">
        <f aca="false">IF($E289="领用投入",ROUND(N($I289)*N($R289),2),IF($E289="加工费用",ROUND(N($J289),2),0))</f>
        <v>0</v>
      </c>
      <c r="T289" s="60" t="n">
        <f aca="false">IF($E289&lt;&gt;"产成品入库",0,IF(SUMIFS($W$6:$W$305,$C$6:$C$305,$C289,$D$6:$D$305,$D289,$E$6:$E$305,"产成品入库")=0,0,ROUND(SUMIFS($S$6:$S$305,$C$6:$C$305,$C289,$D$6:$D$305,$D289)*N($X289)/SUMIFS($W$6:$W$305,$C$6:$C$305,$C289,$D$6:$D$305,$D289,$E$6:$E$305,"产成品入库"),2)-ROUND(SUMIFS($S$6:$S$305,$C$6:$C$305,$C289,$D$6:$D$305,$D289)*(N($X289)-N($W289))/SUMIFS($W$6:$W$305,$C$6:$C$305,$C289,$D$6:$D$305,$D289,$E$6:$E$305,"产成品入库"),2)))</f>
        <v>0</v>
      </c>
      <c r="U289" s="57" t="str">
        <f aca="false">IF($E289="","",ROUND($S289+$T289,2))</f>
        <v/>
      </c>
      <c r="V289" s="61" t="str">
        <f aca="false">IF($B289="","",YEAR($B289))</f>
        <v/>
      </c>
      <c r="W289" s="63" t="str">
        <f aca="false">IF($E289&lt;&gt;"产成品入库","",IF(N($M289)=0,1,N($M289)))</f>
        <v/>
      </c>
      <c r="X289" s="63" t="str">
        <f aca="false">IF($E289&lt;&gt;"产成品入库","",SUMIFS($W$6:$W289,$C$6:$C289,$C289,$D$6:$D289,$D289,$E$6:$E289,"产成品入库"))</f>
        <v/>
      </c>
    </row>
    <row r="290" customFormat="false" ht="15" hidden="false" customHeight="false" outlineLevel="0" collapsed="false">
      <c r="A290" s="53" t="str">
        <f aca="false">IF($B290="","",ROW()-5)</f>
        <v/>
      </c>
      <c r="B290" s="54"/>
      <c r="C290" s="33"/>
      <c r="D290" s="39"/>
      <c r="E290" s="33"/>
      <c r="F290" s="39"/>
      <c r="G290" s="48" t="str">
        <f aca="false">IF($F290="","",IFERROR(INDEX(商品档案!$B$6:$B$65,MATCH($F290,商品档案!$A$6:$A$65,0)),""))</f>
        <v/>
      </c>
      <c r="H290" s="55" t="str">
        <f aca="false">IF($F290="","",IFERROR(INDEX(商品档案!$D$6:$D$65,MATCH($F290,商品档案!$A$6:$A$65,0)),""))</f>
        <v/>
      </c>
      <c r="I290" s="49"/>
      <c r="J290" s="43"/>
      <c r="K290" s="41"/>
      <c r="L290" s="39"/>
      <c r="M290" s="62"/>
      <c r="N290" s="41"/>
      <c r="O290" s="41"/>
      <c r="P290" s="25" t="str">
        <f aca="false">IF(AND($B290="",$E290=""),"",IF(NOT(ISNUMBER($B290)),"日期无效",IF(ISNA(MATCH($C290,参数设置!$A$10:$A$12,0)),"公司无效",IF($D290="","缺批次号",IF(ISNA(MATCH($E290,记账规则!$A$36:$A$38,0)),"业务类型无效",IF(AND($E290&lt;&gt;"加工费用",ISNA(MATCH($F290,商品档案!$A$6:$A$65,0))),"商品编码无效",IF(AND($E290&lt;&gt;"加工费用",IFERROR(INDEX(商品档案!$E$6:$E$65,MATCH($F290,商品档案!$A$6:$A$65,0)),"")&lt;&gt;$C290),"商品不属于该公司",IF(AND($E290&lt;&gt;"加工费用",N($I290)=0),"数量为 0",IF(AND($E290="加工费用",N($J290)=0),"加工费金额为 0",IF(AND($E290="加工费用",ISNA(MATCH($K290,会计科目表!$B$6:$B$85,0))),"对方科目不存在",IF(YEAR($B290)&lt;&gt;参数设置!$B$5,"不在本会计年度","OK")))))))))))</f>
        <v/>
      </c>
      <c r="Q290" s="58" t="str">
        <f aca="false">IF($F290="","",IFERROR(INDEX(商品档案!$G$6:$G$65,MATCH($F290,商品档案!$A$6:$A$65,0)),""))</f>
        <v/>
      </c>
      <c r="R290" s="59" t="str">
        <f aca="false">IF($F290="","",SUMIFS(进销存台账!$N$6:$N$65,进销存台账!$A$6:$A$65,$C290,进销存台账!$B$6:$B$65,$F290))</f>
        <v/>
      </c>
      <c r="S290" s="60" t="n">
        <f aca="false">IF($E290="领用投入",ROUND(N($I290)*N($R290),2),IF($E290="加工费用",ROUND(N($J290),2),0))</f>
        <v>0</v>
      </c>
      <c r="T290" s="60" t="n">
        <f aca="false">IF($E290&lt;&gt;"产成品入库",0,IF(SUMIFS($W$6:$W$305,$C$6:$C$305,$C290,$D$6:$D$305,$D290,$E$6:$E$305,"产成品入库")=0,0,ROUND(SUMIFS($S$6:$S$305,$C$6:$C$305,$C290,$D$6:$D$305,$D290)*N($X290)/SUMIFS($W$6:$W$305,$C$6:$C$305,$C290,$D$6:$D$305,$D290,$E$6:$E$305,"产成品入库"),2)-ROUND(SUMIFS($S$6:$S$305,$C$6:$C$305,$C290,$D$6:$D$305,$D290)*(N($X290)-N($W290))/SUMIFS($W$6:$W$305,$C$6:$C$305,$C290,$D$6:$D$305,$D290,$E$6:$E$305,"产成品入库"),2)))</f>
        <v>0</v>
      </c>
      <c r="U290" s="57" t="str">
        <f aca="false">IF($E290="","",ROUND($S290+$T290,2))</f>
        <v/>
      </c>
      <c r="V290" s="61" t="str">
        <f aca="false">IF($B290="","",YEAR($B290))</f>
        <v/>
      </c>
      <c r="W290" s="63" t="str">
        <f aca="false">IF($E290&lt;&gt;"产成品入库","",IF(N($M290)=0,1,N($M290)))</f>
        <v/>
      </c>
      <c r="X290" s="63" t="str">
        <f aca="false">IF($E290&lt;&gt;"产成品入库","",SUMIFS($W$6:$W290,$C$6:$C290,$C290,$D$6:$D290,$D290,$E$6:$E290,"产成品入库"))</f>
        <v/>
      </c>
    </row>
    <row r="291" customFormat="false" ht="15" hidden="false" customHeight="false" outlineLevel="0" collapsed="false">
      <c r="A291" s="53" t="str">
        <f aca="false">IF($B291="","",ROW()-5)</f>
        <v/>
      </c>
      <c r="B291" s="54"/>
      <c r="C291" s="33"/>
      <c r="D291" s="39"/>
      <c r="E291" s="33"/>
      <c r="F291" s="39"/>
      <c r="G291" s="48" t="str">
        <f aca="false">IF($F291="","",IFERROR(INDEX(商品档案!$B$6:$B$65,MATCH($F291,商品档案!$A$6:$A$65,0)),""))</f>
        <v/>
      </c>
      <c r="H291" s="55" t="str">
        <f aca="false">IF($F291="","",IFERROR(INDEX(商品档案!$D$6:$D$65,MATCH($F291,商品档案!$A$6:$A$65,0)),""))</f>
        <v/>
      </c>
      <c r="I291" s="49"/>
      <c r="J291" s="43"/>
      <c r="K291" s="41"/>
      <c r="L291" s="39"/>
      <c r="M291" s="62"/>
      <c r="N291" s="41"/>
      <c r="O291" s="41"/>
      <c r="P291" s="25" t="str">
        <f aca="false">IF(AND($B291="",$E291=""),"",IF(NOT(ISNUMBER($B291)),"日期无效",IF(ISNA(MATCH($C291,参数设置!$A$10:$A$12,0)),"公司无效",IF($D291="","缺批次号",IF(ISNA(MATCH($E291,记账规则!$A$36:$A$38,0)),"业务类型无效",IF(AND($E291&lt;&gt;"加工费用",ISNA(MATCH($F291,商品档案!$A$6:$A$65,0))),"商品编码无效",IF(AND($E291&lt;&gt;"加工费用",IFERROR(INDEX(商品档案!$E$6:$E$65,MATCH($F291,商品档案!$A$6:$A$65,0)),"")&lt;&gt;$C291),"商品不属于该公司",IF(AND($E291&lt;&gt;"加工费用",N($I291)=0),"数量为 0",IF(AND($E291="加工费用",N($J291)=0),"加工费金额为 0",IF(AND($E291="加工费用",ISNA(MATCH($K291,会计科目表!$B$6:$B$85,0))),"对方科目不存在",IF(YEAR($B291)&lt;&gt;参数设置!$B$5,"不在本会计年度","OK")))))))))))</f>
        <v/>
      </c>
      <c r="Q291" s="58" t="str">
        <f aca="false">IF($F291="","",IFERROR(INDEX(商品档案!$G$6:$G$65,MATCH($F291,商品档案!$A$6:$A$65,0)),""))</f>
        <v/>
      </c>
      <c r="R291" s="59" t="str">
        <f aca="false">IF($F291="","",SUMIFS(进销存台账!$N$6:$N$65,进销存台账!$A$6:$A$65,$C291,进销存台账!$B$6:$B$65,$F291))</f>
        <v/>
      </c>
      <c r="S291" s="60" t="n">
        <f aca="false">IF($E291="领用投入",ROUND(N($I291)*N($R291),2),IF($E291="加工费用",ROUND(N($J291),2),0))</f>
        <v>0</v>
      </c>
      <c r="T291" s="60" t="n">
        <f aca="false">IF($E291&lt;&gt;"产成品入库",0,IF(SUMIFS($W$6:$W$305,$C$6:$C$305,$C291,$D$6:$D$305,$D291,$E$6:$E$305,"产成品入库")=0,0,ROUND(SUMIFS($S$6:$S$305,$C$6:$C$305,$C291,$D$6:$D$305,$D291)*N($X291)/SUMIFS($W$6:$W$305,$C$6:$C$305,$C291,$D$6:$D$305,$D291,$E$6:$E$305,"产成品入库"),2)-ROUND(SUMIFS($S$6:$S$305,$C$6:$C$305,$C291,$D$6:$D$305,$D291)*(N($X291)-N($W291))/SUMIFS($W$6:$W$305,$C$6:$C$305,$C291,$D$6:$D$305,$D291,$E$6:$E$305,"产成品入库"),2)))</f>
        <v>0</v>
      </c>
      <c r="U291" s="57" t="str">
        <f aca="false">IF($E291="","",ROUND($S291+$T291,2))</f>
        <v/>
      </c>
      <c r="V291" s="61" t="str">
        <f aca="false">IF($B291="","",YEAR($B291))</f>
        <v/>
      </c>
      <c r="W291" s="63" t="str">
        <f aca="false">IF($E291&lt;&gt;"产成品入库","",IF(N($M291)=0,1,N($M291)))</f>
        <v/>
      </c>
      <c r="X291" s="63" t="str">
        <f aca="false">IF($E291&lt;&gt;"产成品入库","",SUMIFS($W$6:$W291,$C$6:$C291,$C291,$D$6:$D291,$D291,$E$6:$E291,"产成品入库"))</f>
        <v/>
      </c>
    </row>
    <row r="292" customFormat="false" ht="15" hidden="false" customHeight="false" outlineLevel="0" collapsed="false">
      <c r="A292" s="53" t="str">
        <f aca="false">IF($B292="","",ROW()-5)</f>
        <v/>
      </c>
      <c r="B292" s="54"/>
      <c r="C292" s="33"/>
      <c r="D292" s="39"/>
      <c r="E292" s="33"/>
      <c r="F292" s="39"/>
      <c r="G292" s="48" t="str">
        <f aca="false">IF($F292="","",IFERROR(INDEX(商品档案!$B$6:$B$65,MATCH($F292,商品档案!$A$6:$A$65,0)),""))</f>
        <v/>
      </c>
      <c r="H292" s="55" t="str">
        <f aca="false">IF($F292="","",IFERROR(INDEX(商品档案!$D$6:$D$65,MATCH($F292,商品档案!$A$6:$A$65,0)),""))</f>
        <v/>
      </c>
      <c r="I292" s="49"/>
      <c r="J292" s="43"/>
      <c r="K292" s="41"/>
      <c r="L292" s="39"/>
      <c r="M292" s="62"/>
      <c r="N292" s="41"/>
      <c r="O292" s="41"/>
      <c r="P292" s="25" t="str">
        <f aca="false">IF(AND($B292="",$E292=""),"",IF(NOT(ISNUMBER($B292)),"日期无效",IF(ISNA(MATCH($C292,参数设置!$A$10:$A$12,0)),"公司无效",IF($D292="","缺批次号",IF(ISNA(MATCH($E292,记账规则!$A$36:$A$38,0)),"业务类型无效",IF(AND($E292&lt;&gt;"加工费用",ISNA(MATCH($F292,商品档案!$A$6:$A$65,0))),"商品编码无效",IF(AND($E292&lt;&gt;"加工费用",IFERROR(INDEX(商品档案!$E$6:$E$65,MATCH($F292,商品档案!$A$6:$A$65,0)),"")&lt;&gt;$C292),"商品不属于该公司",IF(AND($E292&lt;&gt;"加工费用",N($I292)=0),"数量为 0",IF(AND($E292="加工费用",N($J292)=0),"加工费金额为 0",IF(AND($E292="加工费用",ISNA(MATCH($K292,会计科目表!$B$6:$B$85,0))),"对方科目不存在",IF(YEAR($B292)&lt;&gt;参数设置!$B$5,"不在本会计年度","OK")))))))))))</f>
        <v/>
      </c>
      <c r="Q292" s="58" t="str">
        <f aca="false">IF($F292="","",IFERROR(INDEX(商品档案!$G$6:$G$65,MATCH($F292,商品档案!$A$6:$A$65,0)),""))</f>
        <v/>
      </c>
      <c r="R292" s="59" t="str">
        <f aca="false">IF($F292="","",SUMIFS(进销存台账!$N$6:$N$65,进销存台账!$A$6:$A$65,$C292,进销存台账!$B$6:$B$65,$F292))</f>
        <v/>
      </c>
      <c r="S292" s="60" t="n">
        <f aca="false">IF($E292="领用投入",ROUND(N($I292)*N($R292),2),IF($E292="加工费用",ROUND(N($J292),2),0))</f>
        <v>0</v>
      </c>
      <c r="T292" s="60" t="n">
        <f aca="false">IF($E292&lt;&gt;"产成品入库",0,IF(SUMIFS($W$6:$W$305,$C$6:$C$305,$C292,$D$6:$D$305,$D292,$E$6:$E$305,"产成品入库")=0,0,ROUND(SUMIFS($S$6:$S$305,$C$6:$C$305,$C292,$D$6:$D$305,$D292)*N($X292)/SUMIFS($W$6:$W$305,$C$6:$C$305,$C292,$D$6:$D$305,$D292,$E$6:$E$305,"产成品入库"),2)-ROUND(SUMIFS($S$6:$S$305,$C$6:$C$305,$C292,$D$6:$D$305,$D292)*(N($X292)-N($W292))/SUMIFS($W$6:$W$305,$C$6:$C$305,$C292,$D$6:$D$305,$D292,$E$6:$E$305,"产成品入库"),2)))</f>
        <v>0</v>
      </c>
      <c r="U292" s="57" t="str">
        <f aca="false">IF($E292="","",ROUND($S292+$T292,2))</f>
        <v/>
      </c>
      <c r="V292" s="61" t="str">
        <f aca="false">IF($B292="","",YEAR($B292))</f>
        <v/>
      </c>
      <c r="W292" s="63" t="str">
        <f aca="false">IF($E292&lt;&gt;"产成品入库","",IF(N($M292)=0,1,N($M292)))</f>
        <v/>
      </c>
      <c r="X292" s="63" t="str">
        <f aca="false">IF($E292&lt;&gt;"产成品入库","",SUMIFS($W$6:$W292,$C$6:$C292,$C292,$D$6:$D292,$D292,$E$6:$E292,"产成品入库"))</f>
        <v/>
      </c>
    </row>
    <row r="293" customFormat="false" ht="15" hidden="false" customHeight="false" outlineLevel="0" collapsed="false">
      <c r="A293" s="53" t="str">
        <f aca="false">IF($B293="","",ROW()-5)</f>
        <v/>
      </c>
      <c r="B293" s="54"/>
      <c r="C293" s="33"/>
      <c r="D293" s="39"/>
      <c r="E293" s="33"/>
      <c r="F293" s="39"/>
      <c r="G293" s="48" t="str">
        <f aca="false">IF($F293="","",IFERROR(INDEX(商品档案!$B$6:$B$65,MATCH($F293,商品档案!$A$6:$A$65,0)),""))</f>
        <v/>
      </c>
      <c r="H293" s="55" t="str">
        <f aca="false">IF($F293="","",IFERROR(INDEX(商品档案!$D$6:$D$65,MATCH($F293,商品档案!$A$6:$A$65,0)),""))</f>
        <v/>
      </c>
      <c r="I293" s="49"/>
      <c r="J293" s="43"/>
      <c r="K293" s="41"/>
      <c r="L293" s="39"/>
      <c r="M293" s="62"/>
      <c r="N293" s="41"/>
      <c r="O293" s="41"/>
      <c r="P293" s="25" t="str">
        <f aca="false">IF(AND($B293="",$E293=""),"",IF(NOT(ISNUMBER($B293)),"日期无效",IF(ISNA(MATCH($C293,参数设置!$A$10:$A$12,0)),"公司无效",IF($D293="","缺批次号",IF(ISNA(MATCH($E293,记账规则!$A$36:$A$38,0)),"业务类型无效",IF(AND($E293&lt;&gt;"加工费用",ISNA(MATCH($F293,商品档案!$A$6:$A$65,0))),"商品编码无效",IF(AND($E293&lt;&gt;"加工费用",IFERROR(INDEX(商品档案!$E$6:$E$65,MATCH($F293,商品档案!$A$6:$A$65,0)),"")&lt;&gt;$C293),"商品不属于该公司",IF(AND($E293&lt;&gt;"加工费用",N($I293)=0),"数量为 0",IF(AND($E293="加工费用",N($J293)=0),"加工费金额为 0",IF(AND($E293="加工费用",ISNA(MATCH($K293,会计科目表!$B$6:$B$85,0))),"对方科目不存在",IF(YEAR($B293)&lt;&gt;参数设置!$B$5,"不在本会计年度","OK")))))))))))</f>
        <v/>
      </c>
      <c r="Q293" s="58" t="str">
        <f aca="false">IF($F293="","",IFERROR(INDEX(商品档案!$G$6:$G$65,MATCH($F293,商品档案!$A$6:$A$65,0)),""))</f>
        <v/>
      </c>
      <c r="R293" s="59" t="str">
        <f aca="false">IF($F293="","",SUMIFS(进销存台账!$N$6:$N$65,进销存台账!$A$6:$A$65,$C293,进销存台账!$B$6:$B$65,$F293))</f>
        <v/>
      </c>
      <c r="S293" s="60" t="n">
        <f aca="false">IF($E293="领用投入",ROUND(N($I293)*N($R293),2),IF($E293="加工费用",ROUND(N($J293),2),0))</f>
        <v>0</v>
      </c>
      <c r="T293" s="60" t="n">
        <f aca="false">IF($E293&lt;&gt;"产成品入库",0,IF(SUMIFS($W$6:$W$305,$C$6:$C$305,$C293,$D$6:$D$305,$D293,$E$6:$E$305,"产成品入库")=0,0,ROUND(SUMIFS($S$6:$S$305,$C$6:$C$305,$C293,$D$6:$D$305,$D293)*N($X293)/SUMIFS($W$6:$W$305,$C$6:$C$305,$C293,$D$6:$D$305,$D293,$E$6:$E$305,"产成品入库"),2)-ROUND(SUMIFS($S$6:$S$305,$C$6:$C$305,$C293,$D$6:$D$305,$D293)*(N($X293)-N($W293))/SUMIFS($W$6:$W$305,$C$6:$C$305,$C293,$D$6:$D$305,$D293,$E$6:$E$305,"产成品入库"),2)))</f>
        <v>0</v>
      </c>
      <c r="U293" s="57" t="str">
        <f aca="false">IF($E293="","",ROUND($S293+$T293,2))</f>
        <v/>
      </c>
      <c r="V293" s="61" t="str">
        <f aca="false">IF($B293="","",YEAR($B293))</f>
        <v/>
      </c>
      <c r="W293" s="63" t="str">
        <f aca="false">IF($E293&lt;&gt;"产成品入库","",IF(N($M293)=0,1,N($M293)))</f>
        <v/>
      </c>
      <c r="X293" s="63" t="str">
        <f aca="false">IF($E293&lt;&gt;"产成品入库","",SUMIFS($W$6:$W293,$C$6:$C293,$C293,$D$6:$D293,$D293,$E$6:$E293,"产成品入库"))</f>
        <v/>
      </c>
    </row>
    <row r="294" customFormat="false" ht="15" hidden="false" customHeight="false" outlineLevel="0" collapsed="false">
      <c r="A294" s="53" t="str">
        <f aca="false">IF($B294="","",ROW()-5)</f>
        <v/>
      </c>
      <c r="B294" s="54"/>
      <c r="C294" s="33"/>
      <c r="D294" s="39"/>
      <c r="E294" s="33"/>
      <c r="F294" s="39"/>
      <c r="G294" s="48" t="str">
        <f aca="false">IF($F294="","",IFERROR(INDEX(商品档案!$B$6:$B$65,MATCH($F294,商品档案!$A$6:$A$65,0)),""))</f>
        <v/>
      </c>
      <c r="H294" s="55" t="str">
        <f aca="false">IF($F294="","",IFERROR(INDEX(商品档案!$D$6:$D$65,MATCH($F294,商品档案!$A$6:$A$65,0)),""))</f>
        <v/>
      </c>
      <c r="I294" s="49"/>
      <c r="J294" s="43"/>
      <c r="K294" s="41"/>
      <c r="L294" s="39"/>
      <c r="M294" s="62"/>
      <c r="N294" s="41"/>
      <c r="O294" s="41"/>
      <c r="P294" s="25" t="str">
        <f aca="false">IF(AND($B294="",$E294=""),"",IF(NOT(ISNUMBER($B294)),"日期无效",IF(ISNA(MATCH($C294,参数设置!$A$10:$A$12,0)),"公司无效",IF($D294="","缺批次号",IF(ISNA(MATCH($E294,记账规则!$A$36:$A$38,0)),"业务类型无效",IF(AND($E294&lt;&gt;"加工费用",ISNA(MATCH($F294,商品档案!$A$6:$A$65,0))),"商品编码无效",IF(AND($E294&lt;&gt;"加工费用",IFERROR(INDEX(商品档案!$E$6:$E$65,MATCH($F294,商品档案!$A$6:$A$65,0)),"")&lt;&gt;$C294),"商品不属于该公司",IF(AND($E294&lt;&gt;"加工费用",N($I294)=0),"数量为 0",IF(AND($E294="加工费用",N($J294)=0),"加工费金额为 0",IF(AND($E294="加工费用",ISNA(MATCH($K294,会计科目表!$B$6:$B$85,0))),"对方科目不存在",IF(YEAR($B294)&lt;&gt;参数设置!$B$5,"不在本会计年度","OK")))))))))))</f>
        <v/>
      </c>
      <c r="Q294" s="58" t="str">
        <f aca="false">IF($F294="","",IFERROR(INDEX(商品档案!$G$6:$G$65,MATCH($F294,商品档案!$A$6:$A$65,0)),""))</f>
        <v/>
      </c>
      <c r="R294" s="59" t="str">
        <f aca="false">IF($F294="","",SUMIFS(进销存台账!$N$6:$N$65,进销存台账!$A$6:$A$65,$C294,进销存台账!$B$6:$B$65,$F294))</f>
        <v/>
      </c>
      <c r="S294" s="60" t="n">
        <f aca="false">IF($E294="领用投入",ROUND(N($I294)*N($R294),2),IF($E294="加工费用",ROUND(N($J294),2),0))</f>
        <v>0</v>
      </c>
      <c r="T294" s="60" t="n">
        <f aca="false">IF($E294&lt;&gt;"产成品入库",0,IF(SUMIFS($W$6:$W$305,$C$6:$C$305,$C294,$D$6:$D$305,$D294,$E$6:$E$305,"产成品入库")=0,0,ROUND(SUMIFS($S$6:$S$305,$C$6:$C$305,$C294,$D$6:$D$305,$D294)*N($X294)/SUMIFS($W$6:$W$305,$C$6:$C$305,$C294,$D$6:$D$305,$D294,$E$6:$E$305,"产成品入库"),2)-ROUND(SUMIFS($S$6:$S$305,$C$6:$C$305,$C294,$D$6:$D$305,$D294)*(N($X294)-N($W294))/SUMIFS($W$6:$W$305,$C$6:$C$305,$C294,$D$6:$D$305,$D294,$E$6:$E$305,"产成品入库"),2)))</f>
        <v>0</v>
      </c>
      <c r="U294" s="57" t="str">
        <f aca="false">IF($E294="","",ROUND($S294+$T294,2))</f>
        <v/>
      </c>
      <c r="V294" s="61" t="str">
        <f aca="false">IF($B294="","",YEAR($B294))</f>
        <v/>
      </c>
      <c r="W294" s="63" t="str">
        <f aca="false">IF($E294&lt;&gt;"产成品入库","",IF(N($M294)=0,1,N($M294)))</f>
        <v/>
      </c>
      <c r="X294" s="63" t="str">
        <f aca="false">IF($E294&lt;&gt;"产成品入库","",SUMIFS($W$6:$W294,$C$6:$C294,$C294,$D$6:$D294,$D294,$E$6:$E294,"产成品入库"))</f>
        <v/>
      </c>
    </row>
    <row r="295" customFormat="false" ht="15" hidden="false" customHeight="false" outlineLevel="0" collapsed="false">
      <c r="A295" s="53" t="str">
        <f aca="false">IF($B295="","",ROW()-5)</f>
        <v/>
      </c>
      <c r="B295" s="54"/>
      <c r="C295" s="33"/>
      <c r="D295" s="39"/>
      <c r="E295" s="33"/>
      <c r="F295" s="39"/>
      <c r="G295" s="48" t="str">
        <f aca="false">IF($F295="","",IFERROR(INDEX(商品档案!$B$6:$B$65,MATCH($F295,商品档案!$A$6:$A$65,0)),""))</f>
        <v/>
      </c>
      <c r="H295" s="55" t="str">
        <f aca="false">IF($F295="","",IFERROR(INDEX(商品档案!$D$6:$D$65,MATCH($F295,商品档案!$A$6:$A$65,0)),""))</f>
        <v/>
      </c>
      <c r="I295" s="49"/>
      <c r="J295" s="43"/>
      <c r="K295" s="41"/>
      <c r="L295" s="39"/>
      <c r="M295" s="62"/>
      <c r="N295" s="41"/>
      <c r="O295" s="41"/>
      <c r="P295" s="25" t="str">
        <f aca="false">IF(AND($B295="",$E295=""),"",IF(NOT(ISNUMBER($B295)),"日期无效",IF(ISNA(MATCH($C295,参数设置!$A$10:$A$12,0)),"公司无效",IF($D295="","缺批次号",IF(ISNA(MATCH($E295,记账规则!$A$36:$A$38,0)),"业务类型无效",IF(AND($E295&lt;&gt;"加工费用",ISNA(MATCH($F295,商品档案!$A$6:$A$65,0))),"商品编码无效",IF(AND($E295&lt;&gt;"加工费用",IFERROR(INDEX(商品档案!$E$6:$E$65,MATCH($F295,商品档案!$A$6:$A$65,0)),"")&lt;&gt;$C295),"商品不属于该公司",IF(AND($E295&lt;&gt;"加工费用",N($I295)=0),"数量为 0",IF(AND($E295="加工费用",N($J295)=0),"加工费金额为 0",IF(AND($E295="加工费用",ISNA(MATCH($K295,会计科目表!$B$6:$B$85,0))),"对方科目不存在",IF(YEAR($B295)&lt;&gt;参数设置!$B$5,"不在本会计年度","OK")))))))))))</f>
        <v/>
      </c>
      <c r="Q295" s="58" t="str">
        <f aca="false">IF($F295="","",IFERROR(INDEX(商品档案!$G$6:$G$65,MATCH($F295,商品档案!$A$6:$A$65,0)),""))</f>
        <v/>
      </c>
      <c r="R295" s="59" t="str">
        <f aca="false">IF($F295="","",SUMIFS(进销存台账!$N$6:$N$65,进销存台账!$A$6:$A$65,$C295,进销存台账!$B$6:$B$65,$F295))</f>
        <v/>
      </c>
      <c r="S295" s="60" t="n">
        <f aca="false">IF($E295="领用投入",ROUND(N($I295)*N($R295),2),IF($E295="加工费用",ROUND(N($J295),2),0))</f>
        <v>0</v>
      </c>
      <c r="T295" s="60" t="n">
        <f aca="false">IF($E295&lt;&gt;"产成品入库",0,IF(SUMIFS($W$6:$W$305,$C$6:$C$305,$C295,$D$6:$D$305,$D295,$E$6:$E$305,"产成品入库")=0,0,ROUND(SUMIFS($S$6:$S$305,$C$6:$C$305,$C295,$D$6:$D$305,$D295)*N($X295)/SUMIFS($W$6:$W$305,$C$6:$C$305,$C295,$D$6:$D$305,$D295,$E$6:$E$305,"产成品入库"),2)-ROUND(SUMIFS($S$6:$S$305,$C$6:$C$305,$C295,$D$6:$D$305,$D295)*(N($X295)-N($W295))/SUMIFS($W$6:$W$305,$C$6:$C$305,$C295,$D$6:$D$305,$D295,$E$6:$E$305,"产成品入库"),2)))</f>
        <v>0</v>
      </c>
      <c r="U295" s="57" t="str">
        <f aca="false">IF($E295="","",ROUND($S295+$T295,2))</f>
        <v/>
      </c>
      <c r="V295" s="61" t="str">
        <f aca="false">IF($B295="","",YEAR($B295))</f>
        <v/>
      </c>
      <c r="W295" s="63" t="str">
        <f aca="false">IF($E295&lt;&gt;"产成品入库","",IF(N($M295)=0,1,N($M295)))</f>
        <v/>
      </c>
      <c r="X295" s="63" t="str">
        <f aca="false">IF($E295&lt;&gt;"产成品入库","",SUMIFS($W$6:$W295,$C$6:$C295,$C295,$D$6:$D295,$D295,$E$6:$E295,"产成品入库"))</f>
        <v/>
      </c>
    </row>
    <row r="296" customFormat="false" ht="15" hidden="false" customHeight="false" outlineLevel="0" collapsed="false">
      <c r="A296" s="53" t="str">
        <f aca="false">IF($B296="","",ROW()-5)</f>
        <v/>
      </c>
      <c r="B296" s="54"/>
      <c r="C296" s="33"/>
      <c r="D296" s="39"/>
      <c r="E296" s="33"/>
      <c r="F296" s="39"/>
      <c r="G296" s="48" t="str">
        <f aca="false">IF($F296="","",IFERROR(INDEX(商品档案!$B$6:$B$65,MATCH($F296,商品档案!$A$6:$A$65,0)),""))</f>
        <v/>
      </c>
      <c r="H296" s="55" t="str">
        <f aca="false">IF($F296="","",IFERROR(INDEX(商品档案!$D$6:$D$65,MATCH($F296,商品档案!$A$6:$A$65,0)),""))</f>
        <v/>
      </c>
      <c r="I296" s="49"/>
      <c r="J296" s="43"/>
      <c r="K296" s="41"/>
      <c r="L296" s="39"/>
      <c r="M296" s="62"/>
      <c r="N296" s="41"/>
      <c r="O296" s="41"/>
      <c r="P296" s="25" t="str">
        <f aca="false">IF(AND($B296="",$E296=""),"",IF(NOT(ISNUMBER($B296)),"日期无效",IF(ISNA(MATCH($C296,参数设置!$A$10:$A$12,0)),"公司无效",IF($D296="","缺批次号",IF(ISNA(MATCH($E296,记账规则!$A$36:$A$38,0)),"业务类型无效",IF(AND($E296&lt;&gt;"加工费用",ISNA(MATCH($F296,商品档案!$A$6:$A$65,0))),"商品编码无效",IF(AND($E296&lt;&gt;"加工费用",IFERROR(INDEX(商品档案!$E$6:$E$65,MATCH($F296,商品档案!$A$6:$A$65,0)),"")&lt;&gt;$C296),"商品不属于该公司",IF(AND($E296&lt;&gt;"加工费用",N($I296)=0),"数量为 0",IF(AND($E296="加工费用",N($J296)=0),"加工费金额为 0",IF(AND($E296="加工费用",ISNA(MATCH($K296,会计科目表!$B$6:$B$85,0))),"对方科目不存在",IF(YEAR($B296)&lt;&gt;参数设置!$B$5,"不在本会计年度","OK")))))))))))</f>
        <v/>
      </c>
      <c r="Q296" s="58" t="str">
        <f aca="false">IF($F296="","",IFERROR(INDEX(商品档案!$G$6:$G$65,MATCH($F296,商品档案!$A$6:$A$65,0)),""))</f>
        <v/>
      </c>
      <c r="R296" s="59" t="str">
        <f aca="false">IF($F296="","",SUMIFS(进销存台账!$N$6:$N$65,进销存台账!$A$6:$A$65,$C296,进销存台账!$B$6:$B$65,$F296))</f>
        <v/>
      </c>
      <c r="S296" s="60" t="n">
        <f aca="false">IF($E296="领用投入",ROUND(N($I296)*N($R296),2),IF($E296="加工费用",ROUND(N($J296),2),0))</f>
        <v>0</v>
      </c>
      <c r="T296" s="60" t="n">
        <f aca="false">IF($E296&lt;&gt;"产成品入库",0,IF(SUMIFS($W$6:$W$305,$C$6:$C$305,$C296,$D$6:$D$305,$D296,$E$6:$E$305,"产成品入库")=0,0,ROUND(SUMIFS($S$6:$S$305,$C$6:$C$305,$C296,$D$6:$D$305,$D296)*N($X296)/SUMIFS($W$6:$W$305,$C$6:$C$305,$C296,$D$6:$D$305,$D296,$E$6:$E$305,"产成品入库"),2)-ROUND(SUMIFS($S$6:$S$305,$C$6:$C$305,$C296,$D$6:$D$305,$D296)*(N($X296)-N($W296))/SUMIFS($W$6:$W$305,$C$6:$C$305,$C296,$D$6:$D$305,$D296,$E$6:$E$305,"产成品入库"),2)))</f>
        <v>0</v>
      </c>
      <c r="U296" s="57" t="str">
        <f aca="false">IF($E296="","",ROUND($S296+$T296,2))</f>
        <v/>
      </c>
      <c r="V296" s="61" t="str">
        <f aca="false">IF($B296="","",YEAR($B296))</f>
        <v/>
      </c>
      <c r="W296" s="63" t="str">
        <f aca="false">IF($E296&lt;&gt;"产成品入库","",IF(N($M296)=0,1,N($M296)))</f>
        <v/>
      </c>
      <c r="X296" s="63" t="str">
        <f aca="false">IF($E296&lt;&gt;"产成品入库","",SUMIFS($W$6:$W296,$C$6:$C296,$C296,$D$6:$D296,$D296,$E$6:$E296,"产成品入库"))</f>
        <v/>
      </c>
    </row>
    <row r="297" customFormat="false" ht="15" hidden="false" customHeight="false" outlineLevel="0" collapsed="false">
      <c r="A297" s="53" t="str">
        <f aca="false">IF($B297="","",ROW()-5)</f>
        <v/>
      </c>
      <c r="B297" s="54"/>
      <c r="C297" s="33"/>
      <c r="D297" s="39"/>
      <c r="E297" s="33"/>
      <c r="F297" s="39"/>
      <c r="G297" s="48" t="str">
        <f aca="false">IF($F297="","",IFERROR(INDEX(商品档案!$B$6:$B$65,MATCH($F297,商品档案!$A$6:$A$65,0)),""))</f>
        <v/>
      </c>
      <c r="H297" s="55" t="str">
        <f aca="false">IF($F297="","",IFERROR(INDEX(商品档案!$D$6:$D$65,MATCH($F297,商品档案!$A$6:$A$65,0)),""))</f>
        <v/>
      </c>
      <c r="I297" s="49"/>
      <c r="J297" s="43"/>
      <c r="K297" s="41"/>
      <c r="L297" s="39"/>
      <c r="M297" s="62"/>
      <c r="N297" s="41"/>
      <c r="O297" s="41"/>
      <c r="P297" s="25" t="str">
        <f aca="false">IF(AND($B297="",$E297=""),"",IF(NOT(ISNUMBER($B297)),"日期无效",IF(ISNA(MATCH($C297,参数设置!$A$10:$A$12,0)),"公司无效",IF($D297="","缺批次号",IF(ISNA(MATCH($E297,记账规则!$A$36:$A$38,0)),"业务类型无效",IF(AND($E297&lt;&gt;"加工费用",ISNA(MATCH($F297,商品档案!$A$6:$A$65,0))),"商品编码无效",IF(AND($E297&lt;&gt;"加工费用",IFERROR(INDEX(商品档案!$E$6:$E$65,MATCH($F297,商品档案!$A$6:$A$65,0)),"")&lt;&gt;$C297),"商品不属于该公司",IF(AND($E297&lt;&gt;"加工费用",N($I297)=0),"数量为 0",IF(AND($E297="加工费用",N($J297)=0),"加工费金额为 0",IF(AND($E297="加工费用",ISNA(MATCH($K297,会计科目表!$B$6:$B$85,0))),"对方科目不存在",IF(YEAR($B297)&lt;&gt;参数设置!$B$5,"不在本会计年度","OK")))))))))))</f>
        <v/>
      </c>
      <c r="Q297" s="58" t="str">
        <f aca="false">IF($F297="","",IFERROR(INDEX(商品档案!$G$6:$G$65,MATCH($F297,商品档案!$A$6:$A$65,0)),""))</f>
        <v/>
      </c>
      <c r="R297" s="59" t="str">
        <f aca="false">IF($F297="","",SUMIFS(进销存台账!$N$6:$N$65,进销存台账!$A$6:$A$65,$C297,进销存台账!$B$6:$B$65,$F297))</f>
        <v/>
      </c>
      <c r="S297" s="60" t="n">
        <f aca="false">IF($E297="领用投入",ROUND(N($I297)*N($R297),2),IF($E297="加工费用",ROUND(N($J297),2),0))</f>
        <v>0</v>
      </c>
      <c r="T297" s="60" t="n">
        <f aca="false">IF($E297&lt;&gt;"产成品入库",0,IF(SUMIFS($W$6:$W$305,$C$6:$C$305,$C297,$D$6:$D$305,$D297,$E$6:$E$305,"产成品入库")=0,0,ROUND(SUMIFS($S$6:$S$305,$C$6:$C$305,$C297,$D$6:$D$305,$D297)*N($X297)/SUMIFS($W$6:$W$305,$C$6:$C$305,$C297,$D$6:$D$305,$D297,$E$6:$E$305,"产成品入库"),2)-ROUND(SUMIFS($S$6:$S$305,$C$6:$C$305,$C297,$D$6:$D$305,$D297)*(N($X297)-N($W297))/SUMIFS($W$6:$W$305,$C$6:$C$305,$C297,$D$6:$D$305,$D297,$E$6:$E$305,"产成品入库"),2)))</f>
        <v>0</v>
      </c>
      <c r="U297" s="57" t="str">
        <f aca="false">IF($E297="","",ROUND($S297+$T297,2))</f>
        <v/>
      </c>
      <c r="V297" s="61" t="str">
        <f aca="false">IF($B297="","",YEAR($B297))</f>
        <v/>
      </c>
      <c r="W297" s="63" t="str">
        <f aca="false">IF($E297&lt;&gt;"产成品入库","",IF(N($M297)=0,1,N($M297)))</f>
        <v/>
      </c>
      <c r="X297" s="63" t="str">
        <f aca="false">IF($E297&lt;&gt;"产成品入库","",SUMIFS($W$6:$W297,$C$6:$C297,$C297,$D$6:$D297,$D297,$E$6:$E297,"产成品入库"))</f>
        <v/>
      </c>
    </row>
    <row r="298" customFormat="false" ht="15" hidden="false" customHeight="false" outlineLevel="0" collapsed="false">
      <c r="A298" s="53" t="str">
        <f aca="false">IF($B298="","",ROW()-5)</f>
        <v/>
      </c>
      <c r="B298" s="54"/>
      <c r="C298" s="33"/>
      <c r="D298" s="39"/>
      <c r="E298" s="33"/>
      <c r="F298" s="39"/>
      <c r="G298" s="48" t="str">
        <f aca="false">IF($F298="","",IFERROR(INDEX(商品档案!$B$6:$B$65,MATCH($F298,商品档案!$A$6:$A$65,0)),""))</f>
        <v/>
      </c>
      <c r="H298" s="55" t="str">
        <f aca="false">IF($F298="","",IFERROR(INDEX(商品档案!$D$6:$D$65,MATCH($F298,商品档案!$A$6:$A$65,0)),""))</f>
        <v/>
      </c>
      <c r="I298" s="49"/>
      <c r="J298" s="43"/>
      <c r="K298" s="41"/>
      <c r="L298" s="39"/>
      <c r="M298" s="62"/>
      <c r="N298" s="41"/>
      <c r="O298" s="41"/>
      <c r="P298" s="25" t="str">
        <f aca="false">IF(AND($B298="",$E298=""),"",IF(NOT(ISNUMBER($B298)),"日期无效",IF(ISNA(MATCH($C298,参数设置!$A$10:$A$12,0)),"公司无效",IF($D298="","缺批次号",IF(ISNA(MATCH($E298,记账规则!$A$36:$A$38,0)),"业务类型无效",IF(AND($E298&lt;&gt;"加工费用",ISNA(MATCH($F298,商品档案!$A$6:$A$65,0))),"商品编码无效",IF(AND($E298&lt;&gt;"加工费用",IFERROR(INDEX(商品档案!$E$6:$E$65,MATCH($F298,商品档案!$A$6:$A$65,0)),"")&lt;&gt;$C298),"商品不属于该公司",IF(AND($E298&lt;&gt;"加工费用",N($I298)=0),"数量为 0",IF(AND($E298="加工费用",N($J298)=0),"加工费金额为 0",IF(AND($E298="加工费用",ISNA(MATCH($K298,会计科目表!$B$6:$B$85,0))),"对方科目不存在",IF(YEAR($B298)&lt;&gt;参数设置!$B$5,"不在本会计年度","OK")))))))))))</f>
        <v/>
      </c>
      <c r="Q298" s="58" t="str">
        <f aca="false">IF($F298="","",IFERROR(INDEX(商品档案!$G$6:$G$65,MATCH($F298,商品档案!$A$6:$A$65,0)),""))</f>
        <v/>
      </c>
      <c r="R298" s="59" t="str">
        <f aca="false">IF($F298="","",SUMIFS(进销存台账!$N$6:$N$65,进销存台账!$A$6:$A$65,$C298,进销存台账!$B$6:$B$65,$F298))</f>
        <v/>
      </c>
      <c r="S298" s="60" t="n">
        <f aca="false">IF($E298="领用投入",ROUND(N($I298)*N($R298),2),IF($E298="加工费用",ROUND(N($J298),2),0))</f>
        <v>0</v>
      </c>
      <c r="T298" s="60" t="n">
        <f aca="false">IF($E298&lt;&gt;"产成品入库",0,IF(SUMIFS($W$6:$W$305,$C$6:$C$305,$C298,$D$6:$D$305,$D298,$E$6:$E$305,"产成品入库")=0,0,ROUND(SUMIFS($S$6:$S$305,$C$6:$C$305,$C298,$D$6:$D$305,$D298)*N($X298)/SUMIFS($W$6:$W$305,$C$6:$C$305,$C298,$D$6:$D$305,$D298,$E$6:$E$305,"产成品入库"),2)-ROUND(SUMIFS($S$6:$S$305,$C$6:$C$305,$C298,$D$6:$D$305,$D298)*(N($X298)-N($W298))/SUMIFS($W$6:$W$305,$C$6:$C$305,$C298,$D$6:$D$305,$D298,$E$6:$E$305,"产成品入库"),2)))</f>
        <v>0</v>
      </c>
      <c r="U298" s="57" t="str">
        <f aca="false">IF($E298="","",ROUND($S298+$T298,2))</f>
        <v/>
      </c>
      <c r="V298" s="61" t="str">
        <f aca="false">IF($B298="","",YEAR($B298))</f>
        <v/>
      </c>
      <c r="W298" s="63" t="str">
        <f aca="false">IF($E298&lt;&gt;"产成品入库","",IF(N($M298)=0,1,N($M298)))</f>
        <v/>
      </c>
      <c r="X298" s="63" t="str">
        <f aca="false">IF($E298&lt;&gt;"产成品入库","",SUMIFS($W$6:$W298,$C$6:$C298,$C298,$D$6:$D298,$D298,$E$6:$E298,"产成品入库"))</f>
        <v/>
      </c>
    </row>
    <row r="299" customFormat="false" ht="15" hidden="false" customHeight="false" outlineLevel="0" collapsed="false">
      <c r="A299" s="53" t="str">
        <f aca="false">IF($B299="","",ROW()-5)</f>
        <v/>
      </c>
      <c r="B299" s="54"/>
      <c r="C299" s="33"/>
      <c r="D299" s="39"/>
      <c r="E299" s="33"/>
      <c r="F299" s="39"/>
      <c r="G299" s="48" t="str">
        <f aca="false">IF($F299="","",IFERROR(INDEX(商品档案!$B$6:$B$65,MATCH($F299,商品档案!$A$6:$A$65,0)),""))</f>
        <v/>
      </c>
      <c r="H299" s="55" t="str">
        <f aca="false">IF($F299="","",IFERROR(INDEX(商品档案!$D$6:$D$65,MATCH($F299,商品档案!$A$6:$A$65,0)),""))</f>
        <v/>
      </c>
      <c r="I299" s="49"/>
      <c r="J299" s="43"/>
      <c r="K299" s="41"/>
      <c r="L299" s="39"/>
      <c r="M299" s="62"/>
      <c r="N299" s="41"/>
      <c r="O299" s="41"/>
      <c r="P299" s="25" t="str">
        <f aca="false">IF(AND($B299="",$E299=""),"",IF(NOT(ISNUMBER($B299)),"日期无效",IF(ISNA(MATCH($C299,参数设置!$A$10:$A$12,0)),"公司无效",IF($D299="","缺批次号",IF(ISNA(MATCH($E299,记账规则!$A$36:$A$38,0)),"业务类型无效",IF(AND($E299&lt;&gt;"加工费用",ISNA(MATCH($F299,商品档案!$A$6:$A$65,0))),"商品编码无效",IF(AND($E299&lt;&gt;"加工费用",IFERROR(INDEX(商品档案!$E$6:$E$65,MATCH($F299,商品档案!$A$6:$A$65,0)),"")&lt;&gt;$C299),"商品不属于该公司",IF(AND($E299&lt;&gt;"加工费用",N($I299)=0),"数量为 0",IF(AND($E299="加工费用",N($J299)=0),"加工费金额为 0",IF(AND($E299="加工费用",ISNA(MATCH($K299,会计科目表!$B$6:$B$85,0))),"对方科目不存在",IF(YEAR($B299)&lt;&gt;参数设置!$B$5,"不在本会计年度","OK")))))))))))</f>
        <v/>
      </c>
      <c r="Q299" s="58" t="str">
        <f aca="false">IF($F299="","",IFERROR(INDEX(商品档案!$G$6:$G$65,MATCH($F299,商品档案!$A$6:$A$65,0)),""))</f>
        <v/>
      </c>
      <c r="R299" s="59" t="str">
        <f aca="false">IF($F299="","",SUMIFS(进销存台账!$N$6:$N$65,进销存台账!$A$6:$A$65,$C299,进销存台账!$B$6:$B$65,$F299))</f>
        <v/>
      </c>
      <c r="S299" s="60" t="n">
        <f aca="false">IF($E299="领用投入",ROUND(N($I299)*N($R299),2),IF($E299="加工费用",ROUND(N($J299),2),0))</f>
        <v>0</v>
      </c>
      <c r="T299" s="60" t="n">
        <f aca="false">IF($E299&lt;&gt;"产成品入库",0,IF(SUMIFS($W$6:$W$305,$C$6:$C$305,$C299,$D$6:$D$305,$D299,$E$6:$E$305,"产成品入库")=0,0,ROUND(SUMIFS($S$6:$S$305,$C$6:$C$305,$C299,$D$6:$D$305,$D299)*N($X299)/SUMIFS($W$6:$W$305,$C$6:$C$305,$C299,$D$6:$D$305,$D299,$E$6:$E$305,"产成品入库"),2)-ROUND(SUMIFS($S$6:$S$305,$C$6:$C$305,$C299,$D$6:$D$305,$D299)*(N($X299)-N($W299))/SUMIFS($W$6:$W$305,$C$6:$C$305,$C299,$D$6:$D$305,$D299,$E$6:$E$305,"产成品入库"),2)))</f>
        <v>0</v>
      </c>
      <c r="U299" s="57" t="str">
        <f aca="false">IF($E299="","",ROUND($S299+$T299,2))</f>
        <v/>
      </c>
      <c r="V299" s="61" t="str">
        <f aca="false">IF($B299="","",YEAR($B299))</f>
        <v/>
      </c>
      <c r="W299" s="63" t="str">
        <f aca="false">IF($E299&lt;&gt;"产成品入库","",IF(N($M299)=0,1,N($M299)))</f>
        <v/>
      </c>
      <c r="X299" s="63" t="str">
        <f aca="false">IF($E299&lt;&gt;"产成品入库","",SUMIFS($W$6:$W299,$C$6:$C299,$C299,$D$6:$D299,$D299,$E$6:$E299,"产成品入库"))</f>
        <v/>
      </c>
    </row>
    <row r="300" customFormat="false" ht="15" hidden="false" customHeight="false" outlineLevel="0" collapsed="false">
      <c r="A300" s="53" t="str">
        <f aca="false">IF($B300="","",ROW()-5)</f>
        <v/>
      </c>
      <c r="B300" s="54"/>
      <c r="C300" s="33"/>
      <c r="D300" s="39"/>
      <c r="E300" s="33"/>
      <c r="F300" s="39"/>
      <c r="G300" s="48" t="str">
        <f aca="false">IF($F300="","",IFERROR(INDEX(商品档案!$B$6:$B$65,MATCH($F300,商品档案!$A$6:$A$65,0)),""))</f>
        <v/>
      </c>
      <c r="H300" s="55" t="str">
        <f aca="false">IF($F300="","",IFERROR(INDEX(商品档案!$D$6:$D$65,MATCH($F300,商品档案!$A$6:$A$65,0)),""))</f>
        <v/>
      </c>
      <c r="I300" s="49"/>
      <c r="J300" s="43"/>
      <c r="K300" s="41"/>
      <c r="L300" s="39"/>
      <c r="M300" s="62"/>
      <c r="N300" s="41"/>
      <c r="O300" s="41"/>
      <c r="P300" s="25" t="str">
        <f aca="false">IF(AND($B300="",$E300=""),"",IF(NOT(ISNUMBER($B300)),"日期无效",IF(ISNA(MATCH($C300,参数设置!$A$10:$A$12,0)),"公司无效",IF($D300="","缺批次号",IF(ISNA(MATCH($E300,记账规则!$A$36:$A$38,0)),"业务类型无效",IF(AND($E300&lt;&gt;"加工费用",ISNA(MATCH($F300,商品档案!$A$6:$A$65,0))),"商品编码无效",IF(AND($E300&lt;&gt;"加工费用",IFERROR(INDEX(商品档案!$E$6:$E$65,MATCH($F300,商品档案!$A$6:$A$65,0)),"")&lt;&gt;$C300),"商品不属于该公司",IF(AND($E300&lt;&gt;"加工费用",N($I300)=0),"数量为 0",IF(AND($E300="加工费用",N($J300)=0),"加工费金额为 0",IF(AND($E300="加工费用",ISNA(MATCH($K300,会计科目表!$B$6:$B$85,0))),"对方科目不存在",IF(YEAR($B300)&lt;&gt;参数设置!$B$5,"不在本会计年度","OK")))))))))))</f>
        <v/>
      </c>
      <c r="Q300" s="58" t="str">
        <f aca="false">IF($F300="","",IFERROR(INDEX(商品档案!$G$6:$G$65,MATCH($F300,商品档案!$A$6:$A$65,0)),""))</f>
        <v/>
      </c>
      <c r="R300" s="59" t="str">
        <f aca="false">IF($F300="","",SUMIFS(进销存台账!$N$6:$N$65,进销存台账!$A$6:$A$65,$C300,进销存台账!$B$6:$B$65,$F300))</f>
        <v/>
      </c>
      <c r="S300" s="60" t="n">
        <f aca="false">IF($E300="领用投入",ROUND(N($I300)*N($R300),2),IF($E300="加工费用",ROUND(N($J300),2),0))</f>
        <v>0</v>
      </c>
      <c r="T300" s="60" t="n">
        <f aca="false">IF($E300&lt;&gt;"产成品入库",0,IF(SUMIFS($W$6:$W$305,$C$6:$C$305,$C300,$D$6:$D$305,$D300,$E$6:$E$305,"产成品入库")=0,0,ROUND(SUMIFS($S$6:$S$305,$C$6:$C$305,$C300,$D$6:$D$305,$D300)*N($X300)/SUMIFS($W$6:$W$305,$C$6:$C$305,$C300,$D$6:$D$305,$D300,$E$6:$E$305,"产成品入库"),2)-ROUND(SUMIFS($S$6:$S$305,$C$6:$C$305,$C300,$D$6:$D$305,$D300)*(N($X300)-N($W300))/SUMIFS($W$6:$W$305,$C$6:$C$305,$C300,$D$6:$D$305,$D300,$E$6:$E$305,"产成品入库"),2)))</f>
        <v>0</v>
      </c>
      <c r="U300" s="57" t="str">
        <f aca="false">IF($E300="","",ROUND($S300+$T300,2))</f>
        <v/>
      </c>
      <c r="V300" s="61" t="str">
        <f aca="false">IF($B300="","",YEAR($B300))</f>
        <v/>
      </c>
      <c r="W300" s="63" t="str">
        <f aca="false">IF($E300&lt;&gt;"产成品入库","",IF(N($M300)=0,1,N($M300)))</f>
        <v/>
      </c>
      <c r="X300" s="63" t="str">
        <f aca="false">IF($E300&lt;&gt;"产成品入库","",SUMIFS($W$6:$W300,$C$6:$C300,$C300,$D$6:$D300,$D300,$E$6:$E300,"产成品入库"))</f>
        <v/>
      </c>
    </row>
    <row r="301" customFormat="false" ht="15" hidden="false" customHeight="false" outlineLevel="0" collapsed="false">
      <c r="A301" s="53" t="str">
        <f aca="false">IF($B301="","",ROW()-5)</f>
        <v/>
      </c>
      <c r="B301" s="54"/>
      <c r="C301" s="33"/>
      <c r="D301" s="39"/>
      <c r="E301" s="33"/>
      <c r="F301" s="39"/>
      <c r="G301" s="48" t="str">
        <f aca="false">IF($F301="","",IFERROR(INDEX(商品档案!$B$6:$B$65,MATCH($F301,商品档案!$A$6:$A$65,0)),""))</f>
        <v/>
      </c>
      <c r="H301" s="55" t="str">
        <f aca="false">IF($F301="","",IFERROR(INDEX(商品档案!$D$6:$D$65,MATCH($F301,商品档案!$A$6:$A$65,0)),""))</f>
        <v/>
      </c>
      <c r="I301" s="49"/>
      <c r="J301" s="43"/>
      <c r="K301" s="41"/>
      <c r="L301" s="39"/>
      <c r="M301" s="62"/>
      <c r="N301" s="41"/>
      <c r="O301" s="41"/>
      <c r="P301" s="25" t="str">
        <f aca="false">IF(AND($B301="",$E301=""),"",IF(NOT(ISNUMBER($B301)),"日期无效",IF(ISNA(MATCH($C301,参数设置!$A$10:$A$12,0)),"公司无效",IF($D301="","缺批次号",IF(ISNA(MATCH($E301,记账规则!$A$36:$A$38,0)),"业务类型无效",IF(AND($E301&lt;&gt;"加工费用",ISNA(MATCH($F301,商品档案!$A$6:$A$65,0))),"商品编码无效",IF(AND($E301&lt;&gt;"加工费用",IFERROR(INDEX(商品档案!$E$6:$E$65,MATCH($F301,商品档案!$A$6:$A$65,0)),"")&lt;&gt;$C301),"商品不属于该公司",IF(AND($E301&lt;&gt;"加工费用",N($I301)=0),"数量为 0",IF(AND($E301="加工费用",N($J301)=0),"加工费金额为 0",IF(AND($E301="加工费用",ISNA(MATCH($K301,会计科目表!$B$6:$B$85,0))),"对方科目不存在",IF(YEAR($B301)&lt;&gt;参数设置!$B$5,"不在本会计年度","OK")))))))))))</f>
        <v/>
      </c>
      <c r="Q301" s="58" t="str">
        <f aca="false">IF($F301="","",IFERROR(INDEX(商品档案!$G$6:$G$65,MATCH($F301,商品档案!$A$6:$A$65,0)),""))</f>
        <v/>
      </c>
      <c r="R301" s="59" t="str">
        <f aca="false">IF($F301="","",SUMIFS(进销存台账!$N$6:$N$65,进销存台账!$A$6:$A$65,$C301,进销存台账!$B$6:$B$65,$F301))</f>
        <v/>
      </c>
      <c r="S301" s="60" t="n">
        <f aca="false">IF($E301="领用投入",ROUND(N($I301)*N($R301),2),IF($E301="加工费用",ROUND(N($J301),2),0))</f>
        <v>0</v>
      </c>
      <c r="T301" s="60" t="n">
        <f aca="false">IF($E301&lt;&gt;"产成品入库",0,IF(SUMIFS($W$6:$W$305,$C$6:$C$305,$C301,$D$6:$D$305,$D301,$E$6:$E$305,"产成品入库")=0,0,ROUND(SUMIFS($S$6:$S$305,$C$6:$C$305,$C301,$D$6:$D$305,$D301)*N($X301)/SUMIFS($W$6:$W$305,$C$6:$C$305,$C301,$D$6:$D$305,$D301,$E$6:$E$305,"产成品入库"),2)-ROUND(SUMIFS($S$6:$S$305,$C$6:$C$305,$C301,$D$6:$D$305,$D301)*(N($X301)-N($W301))/SUMIFS($W$6:$W$305,$C$6:$C$305,$C301,$D$6:$D$305,$D301,$E$6:$E$305,"产成品入库"),2)))</f>
        <v>0</v>
      </c>
      <c r="U301" s="57" t="str">
        <f aca="false">IF($E301="","",ROUND($S301+$T301,2))</f>
        <v/>
      </c>
      <c r="V301" s="61" t="str">
        <f aca="false">IF($B301="","",YEAR($B301))</f>
        <v/>
      </c>
      <c r="W301" s="63" t="str">
        <f aca="false">IF($E301&lt;&gt;"产成品入库","",IF(N($M301)=0,1,N($M301)))</f>
        <v/>
      </c>
      <c r="X301" s="63" t="str">
        <f aca="false">IF($E301&lt;&gt;"产成品入库","",SUMIFS($W$6:$W301,$C$6:$C301,$C301,$D$6:$D301,$D301,$E$6:$E301,"产成品入库"))</f>
        <v/>
      </c>
    </row>
    <row r="302" customFormat="false" ht="15" hidden="false" customHeight="false" outlineLevel="0" collapsed="false">
      <c r="A302" s="53" t="str">
        <f aca="false">IF($B302="","",ROW()-5)</f>
        <v/>
      </c>
      <c r="B302" s="54"/>
      <c r="C302" s="33"/>
      <c r="D302" s="39"/>
      <c r="E302" s="33"/>
      <c r="F302" s="39"/>
      <c r="G302" s="48" t="str">
        <f aca="false">IF($F302="","",IFERROR(INDEX(商品档案!$B$6:$B$65,MATCH($F302,商品档案!$A$6:$A$65,0)),""))</f>
        <v/>
      </c>
      <c r="H302" s="55" t="str">
        <f aca="false">IF($F302="","",IFERROR(INDEX(商品档案!$D$6:$D$65,MATCH($F302,商品档案!$A$6:$A$65,0)),""))</f>
        <v/>
      </c>
      <c r="I302" s="49"/>
      <c r="J302" s="43"/>
      <c r="K302" s="41"/>
      <c r="L302" s="39"/>
      <c r="M302" s="62"/>
      <c r="N302" s="41"/>
      <c r="O302" s="41"/>
      <c r="P302" s="25" t="str">
        <f aca="false">IF(AND($B302="",$E302=""),"",IF(NOT(ISNUMBER($B302)),"日期无效",IF(ISNA(MATCH($C302,参数设置!$A$10:$A$12,0)),"公司无效",IF($D302="","缺批次号",IF(ISNA(MATCH($E302,记账规则!$A$36:$A$38,0)),"业务类型无效",IF(AND($E302&lt;&gt;"加工费用",ISNA(MATCH($F302,商品档案!$A$6:$A$65,0))),"商品编码无效",IF(AND($E302&lt;&gt;"加工费用",IFERROR(INDEX(商品档案!$E$6:$E$65,MATCH($F302,商品档案!$A$6:$A$65,0)),"")&lt;&gt;$C302),"商品不属于该公司",IF(AND($E302&lt;&gt;"加工费用",N($I302)=0),"数量为 0",IF(AND($E302="加工费用",N($J302)=0),"加工费金额为 0",IF(AND($E302="加工费用",ISNA(MATCH($K302,会计科目表!$B$6:$B$85,0))),"对方科目不存在",IF(YEAR($B302)&lt;&gt;参数设置!$B$5,"不在本会计年度","OK")))))))))))</f>
        <v/>
      </c>
      <c r="Q302" s="58" t="str">
        <f aca="false">IF($F302="","",IFERROR(INDEX(商品档案!$G$6:$G$65,MATCH($F302,商品档案!$A$6:$A$65,0)),""))</f>
        <v/>
      </c>
      <c r="R302" s="59" t="str">
        <f aca="false">IF($F302="","",SUMIFS(进销存台账!$N$6:$N$65,进销存台账!$A$6:$A$65,$C302,进销存台账!$B$6:$B$65,$F302))</f>
        <v/>
      </c>
      <c r="S302" s="60" t="n">
        <f aca="false">IF($E302="领用投入",ROUND(N($I302)*N($R302),2),IF($E302="加工费用",ROUND(N($J302),2),0))</f>
        <v>0</v>
      </c>
      <c r="T302" s="60" t="n">
        <f aca="false">IF($E302&lt;&gt;"产成品入库",0,IF(SUMIFS($W$6:$W$305,$C$6:$C$305,$C302,$D$6:$D$305,$D302,$E$6:$E$305,"产成品入库")=0,0,ROUND(SUMIFS($S$6:$S$305,$C$6:$C$305,$C302,$D$6:$D$305,$D302)*N($X302)/SUMIFS($W$6:$W$305,$C$6:$C$305,$C302,$D$6:$D$305,$D302,$E$6:$E$305,"产成品入库"),2)-ROUND(SUMIFS($S$6:$S$305,$C$6:$C$305,$C302,$D$6:$D$305,$D302)*(N($X302)-N($W302))/SUMIFS($W$6:$W$305,$C$6:$C$305,$C302,$D$6:$D$305,$D302,$E$6:$E$305,"产成品入库"),2)))</f>
        <v>0</v>
      </c>
      <c r="U302" s="57" t="str">
        <f aca="false">IF($E302="","",ROUND($S302+$T302,2))</f>
        <v/>
      </c>
      <c r="V302" s="61" t="str">
        <f aca="false">IF($B302="","",YEAR($B302))</f>
        <v/>
      </c>
      <c r="W302" s="63" t="str">
        <f aca="false">IF($E302&lt;&gt;"产成品入库","",IF(N($M302)=0,1,N($M302)))</f>
        <v/>
      </c>
      <c r="X302" s="63" t="str">
        <f aca="false">IF($E302&lt;&gt;"产成品入库","",SUMIFS($W$6:$W302,$C$6:$C302,$C302,$D$6:$D302,$D302,$E$6:$E302,"产成品入库"))</f>
        <v/>
      </c>
    </row>
    <row r="303" customFormat="false" ht="15" hidden="false" customHeight="false" outlineLevel="0" collapsed="false">
      <c r="A303" s="53" t="str">
        <f aca="false">IF($B303="","",ROW()-5)</f>
        <v/>
      </c>
      <c r="B303" s="54"/>
      <c r="C303" s="33"/>
      <c r="D303" s="39"/>
      <c r="E303" s="33"/>
      <c r="F303" s="39"/>
      <c r="G303" s="48" t="str">
        <f aca="false">IF($F303="","",IFERROR(INDEX(商品档案!$B$6:$B$65,MATCH($F303,商品档案!$A$6:$A$65,0)),""))</f>
        <v/>
      </c>
      <c r="H303" s="55" t="str">
        <f aca="false">IF($F303="","",IFERROR(INDEX(商品档案!$D$6:$D$65,MATCH($F303,商品档案!$A$6:$A$65,0)),""))</f>
        <v/>
      </c>
      <c r="I303" s="49"/>
      <c r="J303" s="43"/>
      <c r="K303" s="41"/>
      <c r="L303" s="39"/>
      <c r="M303" s="62"/>
      <c r="N303" s="41"/>
      <c r="O303" s="41"/>
      <c r="P303" s="25" t="str">
        <f aca="false">IF(AND($B303="",$E303=""),"",IF(NOT(ISNUMBER($B303)),"日期无效",IF(ISNA(MATCH($C303,参数设置!$A$10:$A$12,0)),"公司无效",IF($D303="","缺批次号",IF(ISNA(MATCH($E303,记账规则!$A$36:$A$38,0)),"业务类型无效",IF(AND($E303&lt;&gt;"加工费用",ISNA(MATCH($F303,商品档案!$A$6:$A$65,0))),"商品编码无效",IF(AND($E303&lt;&gt;"加工费用",IFERROR(INDEX(商品档案!$E$6:$E$65,MATCH($F303,商品档案!$A$6:$A$65,0)),"")&lt;&gt;$C303),"商品不属于该公司",IF(AND($E303&lt;&gt;"加工费用",N($I303)=0),"数量为 0",IF(AND($E303="加工费用",N($J303)=0),"加工费金额为 0",IF(AND($E303="加工费用",ISNA(MATCH($K303,会计科目表!$B$6:$B$85,0))),"对方科目不存在",IF(YEAR($B303)&lt;&gt;参数设置!$B$5,"不在本会计年度","OK")))))))))))</f>
        <v/>
      </c>
      <c r="Q303" s="58" t="str">
        <f aca="false">IF($F303="","",IFERROR(INDEX(商品档案!$G$6:$G$65,MATCH($F303,商品档案!$A$6:$A$65,0)),""))</f>
        <v/>
      </c>
      <c r="R303" s="59" t="str">
        <f aca="false">IF($F303="","",SUMIFS(进销存台账!$N$6:$N$65,进销存台账!$A$6:$A$65,$C303,进销存台账!$B$6:$B$65,$F303))</f>
        <v/>
      </c>
      <c r="S303" s="60" t="n">
        <f aca="false">IF($E303="领用投入",ROUND(N($I303)*N($R303),2),IF($E303="加工费用",ROUND(N($J303),2),0))</f>
        <v>0</v>
      </c>
      <c r="T303" s="60" t="n">
        <f aca="false">IF($E303&lt;&gt;"产成品入库",0,IF(SUMIFS($W$6:$W$305,$C$6:$C$305,$C303,$D$6:$D$305,$D303,$E$6:$E$305,"产成品入库")=0,0,ROUND(SUMIFS($S$6:$S$305,$C$6:$C$305,$C303,$D$6:$D$305,$D303)*N($X303)/SUMIFS($W$6:$W$305,$C$6:$C$305,$C303,$D$6:$D$305,$D303,$E$6:$E$305,"产成品入库"),2)-ROUND(SUMIFS($S$6:$S$305,$C$6:$C$305,$C303,$D$6:$D$305,$D303)*(N($X303)-N($W303))/SUMIFS($W$6:$W$305,$C$6:$C$305,$C303,$D$6:$D$305,$D303,$E$6:$E$305,"产成品入库"),2)))</f>
        <v>0</v>
      </c>
      <c r="U303" s="57" t="str">
        <f aca="false">IF($E303="","",ROUND($S303+$T303,2))</f>
        <v/>
      </c>
      <c r="V303" s="61" t="str">
        <f aca="false">IF($B303="","",YEAR($B303))</f>
        <v/>
      </c>
      <c r="W303" s="63" t="str">
        <f aca="false">IF($E303&lt;&gt;"产成品入库","",IF(N($M303)=0,1,N($M303)))</f>
        <v/>
      </c>
      <c r="X303" s="63" t="str">
        <f aca="false">IF($E303&lt;&gt;"产成品入库","",SUMIFS($W$6:$W303,$C$6:$C303,$C303,$D$6:$D303,$D303,$E$6:$E303,"产成品入库"))</f>
        <v/>
      </c>
    </row>
    <row r="304" customFormat="false" ht="15" hidden="false" customHeight="false" outlineLevel="0" collapsed="false">
      <c r="A304" s="53" t="str">
        <f aca="false">IF($B304="","",ROW()-5)</f>
        <v/>
      </c>
      <c r="B304" s="54"/>
      <c r="C304" s="33"/>
      <c r="D304" s="39"/>
      <c r="E304" s="33"/>
      <c r="F304" s="39"/>
      <c r="G304" s="48" t="str">
        <f aca="false">IF($F304="","",IFERROR(INDEX(商品档案!$B$6:$B$65,MATCH($F304,商品档案!$A$6:$A$65,0)),""))</f>
        <v/>
      </c>
      <c r="H304" s="55" t="str">
        <f aca="false">IF($F304="","",IFERROR(INDEX(商品档案!$D$6:$D$65,MATCH($F304,商品档案!$A$6:$A$65,0)),""))</f>
        <v/>
      </c>
      <c r="I304" s="49"/>
      <c r="J304" s="43"/>
      <c r="K304" s="41"/>
      <c r="L304" s="39"/>
      <c r="M304" s="62"/>
      <c r="N304" s="41"/>
      <c r="O304" s="41"/>
      <c r="P304" s="25" t="str">
        <f aca="false">IF(AND($B304="",$E304=""),"",IF(NOT(ISNUMBER($B304)),"日期无效",IF(ISNA(MATCH($C304,参数设置!$A$10:$A$12,0)),"公司无效",IF($D304="","缺批次号",IF(ISNA(MATCH($E304,记账规则!$A$36:$A$38,0)),"业务类型无效",IF(AND($E304&lt;&gt;"加工费用",ISNA(MATCH($F304,商品档案!$A$6:$A$65,0))),"商品编码无效",IF(AND($E304&lt;&gt;"加工费用",IFERROR(INDEX(商品档案!$E$6:$E$65,MATCH($F304,商品档案!$A$6:$A$65,0)),"")&lt;&gt;$C304),"商品不属于该公司",IF(AND($E304&lt;&gt;"加工费用",N($I304)=0),"数量为 0",IF(AND($E304="加工费用",N($J304)=0),"加工费金额为 0",IF(AND($E304="加工费用",ISNA(MATCH($K304,会计科目表!$B$6:$B$85,0))),"对方科目不存在",IF(YEAR($B304)&lt;&gt;参数设置!$B$5,"不在本会计年度","OK")))))))))))</f>
        <v/>
      </c>
      <c r="Q304" s="58" t="str">
        <f aca="false">IF($F304="","",IFERROR(INDEX(商品档案!$G$6:$G$65,MATCH($F304,商品档案!$A$6:$A$65,0)),""))</f>
        <v/>
      </c>
      <c r="R304" s="59" t="str">
        <f aca="false">IF($F304="","",SUMIFS(进销存台账!$N$6:$N$65,进销存台账!$A$6:$A$65,$C304,进销存台账!$B$6:$B$65,$F304))</f>
        <v/>
      </c>
      <c r="S304" s="60" t="n">
        <f aca="false">IF($E304="领用投入",ROUND(N($I304)*N($R304),2),IF($E304="加工费用",ROUND(N($J304),2),0))</f>
        <v>0</v>
      </c>
      <c r="T304" s="60" t="n">
        <f aca="false">IF($E304&lt;&gt;"产成品入库",0,IF(SUMIFS($W$6:$W$305,$C$6:$C$305,$C304,$D$6:$D$305,$D304,$E$6:$E$305,"产成品入库")=0,0,ROUND(SUMIFS($S$6:$S$305,$C$6:$C$305,$C304,$D$6:$D$305,$D304)*N($X304)/SUMIFS($W$6:$W$305,$C$6:$C$305,$C304,$D$6:$D$305,$D304,$E$6:$E$305,"产成品入库"),2)-ROUND(SUMIFS($S$6:$S$305,$C$6:$C$305,$C304,$D$6:$D$305,$D304)*(N($X304)-N($W304))/SUMIFS($W$6:$W$305,$C$6:$C$305,$C304,$D$6:$D$305,$D304,$E$6:$E$305,"产成品入库"),2)))</f>
        <v>0</v>
      </c>
      <c r="U304" s="57" t="str">
        <f aca="false">IF($E304="","",ROUND($S304+$T304,2))</f>
        <v/>
      </c>
      <c r="V304" s="61" t="str">
        <f aca="false">IF($B304="","",YEAR($B304))</f>
        <v/>
      </c>
      <c r="W304" s="63" t="str">
        <f aca="false">IF($E304&lt;&gt;"产成品入库","",IF(N($M304)=0,1,N($M304)))</f>
        <v/>
      </c>
      <c r="X304" s="63" t="str">
        <f aca="false">IF($E304&lt;&gt;"产成品入库","",SUMIFS($W$6:$W304,$C$6:$C304,$C304,$D$6:$D304,$D304,$E$6:$E304,"产成品入库"))</f>
        <v/>
      </c>
    </row>
    <row r="305" customFormat="false" ht="15" hidden="false" customHeight="false" outlineLevel="0" collapsed="false">
      <c r="A305" s="53" t="str">
        <f aca="false">IF($B305="","",ROW()-5)</f>
        <v/>
      </c>
      <c r="B305" s="54"/>
      <c r="C305" s="33"/>
      <c r="D305" s="39"/>
      <c r="E305" s="33"/>
      <c r="F305" s="39"/>
      <c r="G305" s="48" t="str">
        <f aca="false">IF($F305="","",IFERROR(INDEX(商品档案!$B$6:$B$65,MATCH($F305,商品档案!$A$6:$A$65,0)),""))</f>
        <v/>
      </c>
      <c r="H305" s="55" t="str">
        <f aca="false">IF($F305="","",IFERROR(INDEX(商品档案!$D$6:$D$65,MATCH($F305,商品档案!$A$6:$A$65,0)),""))</f>
        <v/>
      </c>
      <c r="I305" s="49"/>
      <c r="J305" s="43"/>
      <c r="K305" s="41"/>
      <c r="L305" s="39"/>
      <c r="M305" s="62"/>
      <c r="N305" s="41"/>
      <c r="O305" s="41"/>
      <c r="P305" s="25" t="str">
        <f aca="false">IF(AND($B305="",$E305=""),"",IF(NOT(ISNUMBER($B305)),"日期无效",IF(ISNA(MATCH($C305,参数设置!$A$10:$A$12,0)),"公司无效",IF($D305="","缺批次号",IF(ISNA(MATCH($E305,记账规则!$A$36:$A$38,0)),"业务类型无效",IF(AND($E305&lt;&gt;"加工费用",ISNA(MATCH($F305,商品档案!$A$6:$A$65,0))),"商品编码无效",IF(AND($E305&lt;&gt;"加工费用",IFERROR(INDEX(商品档案!$E$6:$E$65,MATCH($F305,商品档案!$A$6:$A$65,0)),"")&lt;&gt;$C305),"商品不属于该公司",IF(AND($E305&lt;&gt;"加工费用",N($I305)=0),"数量为 0",IF(AND($E305="加工费用",N($J305)=0),"加工费金额为 0",IF(AND($E305="加工费用",ISNA(MATCH($K305,会计科目表!$B$6:$B$85,0))),"对方科目不存在",IF(YEAR($B305)&lt;&gt;参数设置!$B$5,"不在本会计年度","OK")))))))))))</f>
        <v/>
      </c>
      <c r="Q305" s="58" t="str">
        <f aca="false">IF($F305="","",IFERROR(INDEX(商品档案!$G$6:$G$65,MATCH($F305,商品档案!$A$6:$A$65,0)),""))</f>
        <v/>
      </c>
      <c r="R305" s="59" t="str">
        <f aca="false">IF($F305="","",SUMIFS(进销存台账!$N$6:$N$65,进销存台账!$A$6:$A$65,$C305,进销存台账!$B$6:$B$65,$F305))</f>
        <v/>
      </c>
      <c r="S305" s="60" t="n">
        <f aca="false">IF($E305="领用投入",ROUND(N($I305)*N($R305),2),IF($E305="加工费用",ROUND(N($J305),2),0))</f>
        <v>0</v>
      </c>
      <c r="T305" s="60" t="n">
        <f aca="false">IF($E305&lt;&gt;"产成品入库",0,IF(SUMIFS($W$6:$W$305,$C$6:$C$305,$C305,$D$6:$D$305,$D305,$E$6:$E$305,"产成品入库")=0,0,ROUND(SUMIFS($S$6:$S$305,$C$6:$C$305,$C305,$D$6:$D$305,$D305)*N($X305)/SUMIFS($W$6:$W$305,$C$6:$C$305,$C305,$D$6:$D$305,$D305,$E$6:$E$305,"产成品入库"),2)-ROUND(SUMIFS($S$6:$S$305,$C$6:$C$305,$C305,$D$6:$D$305,$D305)*(N($X305)-N($W305))/SUMIFS($W$6:$W$305,$C$6:$C$305,$C305,$D$6:$D$305,$D305,$E$6:$E$305,"产成品入库"),2)))</f>
        <v>0</v>
      </c>
      <c r="U305" s="57" t="str">
        <f aca="false">IF($E305="","",ROUND($S305+$T305,2))</f>
        <v/>
      </c>
      <c r="V305" s="61" t="str">
        <f aca="false">IF($B305="","",YEAR($B305))</f>
        <v/>
      </c>
      <c r="W305" s="63" t="str">
        <f aca="false">IF($E305&lt;&gt;"产成品入库","",IF(N($M305)=0,1,N($M305)))</f>
        <v/>
      </c>
      <c r="X305" s="63" t="str">
        <f aca="false">IF($E305&lt;&gt;"产成品入库","",SUMIFS($W$6:$W305,$C$6:$C305,$C305,$D$6:$D305,$D305,$E$6:$E305,"产成品入库"))</f>
        <v/>
      </c>
    </row>
  </sheetData>
  <mergeCells count="2">
    <mergeCell ref="A1:W1"/>
    <mergeCell ref="A2:W2"/>
  </mergeCells>
  <conditionalFormatting sqref="P6:P305">
    <cfRule type="expression" priority="2" aboveAverage="0" equalAverage="0" bottom="0" percent="0" rank="0" text="" dxfId="0">
      <formula>AND($P6&lt;&gt;"",$P6&lt;&gt;"OK")</formula>
    </cfRule>
  </conditionalFormatting>
  <dataValidations count="5">
    <dataValidation allowBlank="true" error="必须选择下拉中已维护的值，手工输入会导致取数错位" errorStyle="stop" errorTitle="请从下拉中选择" operator="between" showDropDown="false" showErrorMessage="true" showInputMessage="false" sqref="C6:C30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305" type="list">
      <formula1>"领用投入,加工费用,产成品入库"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305" type="list">
      <formula1>商品档案!$A$6:$A$65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K6:K30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L6:L305" type="list">
      <formula1>参数设置!$A$16:$A$75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L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6" min="5" style="0" width="2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7"/>
  </cols>
  <sheetData>
    <row r="1" customFormat="false" ht="25.5" hidden="false" customHeight="true" outlineLevel="0" collapsed="false">
      <c r="A1" s="1" t="s">
        <v>708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709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0" hidden="false" customHeight="true" outlineLevel="0" collapsed="false">
      <c r="A5" s="8" t="s">
        <v>560</v>
      </c>
      <c r="B5" s="8" t="s">
        <v>561</v>
      </c>
      <c r="C5" s="8" t="s">
        <v>544</v>
      </c>
      <c r="D5" s="8" t="s">
        <v>566</v>
      </c>
      <c r="E5" s="8" t="s">
        <v>710</v>
      </c>
      <c r="F5" s="8" t="s">
        <v>711</v>
      </c>
      <c r="G5" s="8" t="s">
        <v>285</v>
      </c>
      <c r="H5" s="8" t="s">
        <v>41</v>
      </c>
      <c r="I5" s="8" t="s">
        <v>115</v>
      </c>
      <c r="J5" s="8" t="s">
        <v>178</v>
      </c>
      <c r="K5" s="8" t="s">
        <v>361</v>
      </c>
      <c r="L5" s="52" t="s">
        <v>571</v>
      </c>
    </row>
    <row r="6" customFormat="false" ht="15" hidden="false" customHeight="false" outlineLevel="0" collapsed="false">
      <c r="A6" s="53" t="n">
        <f aca="false">IF($B6="","",ROW()-5)</f>
        <v>1</v>
      </c>
      <c r="B6" s="54" t="n">
        <v>46387</v>
      </c>
      <c r="C6" s="33" t="s">
        <v>107</v>
      </c>
      <c r="D6" s="32" t="s">
        <v>712</v>
      </c>
      <c r="E6" s="32" t="s">
        <v>119</v>
      </c>
      <c r="F6" s="32" t="s">
        <v>213</v>
      </c>
      <c r="G6" s="43" t="n">
        <v>20000</v>
      </c>
      <c r="H6" s="41"/>
      <c r="I6" s="33" t="s">
        <v>140</v>
      </c>
      <c r="J6" s="41"/>
      <c r="K6" s="25" t="str">
        <f aca="false">IF(AND($B6="",$E6="",$G6=""),"",IF(NOT(ISNUMBER($B6)),"日期无效",IF(ISNA(MATCH($C6,参数设置!$A$10:$A$12,0)),"公司无效",IF(ISNA(MATCH($E6,会计科目表!$B$6:$B$85,0)),"借方科目不存在",IF(ISNA(MATCH($F6,会计科目表!$B$6:$B$85,0)),"贷方科目不存在",IF($E6=$F6,"借贷科目相同",IF(N($G6)=0,"金额为 0",IF(YEAR($B6)&lt;&gt;参数设置!$B$5,"不在本会计年度","OK"))))))))</f>
        <v>OK</v>
      </c>
      <c r="L6" s="61" t="n">
        <f aca="false">IF($B6="","",YEAR($B6))</f>
        <v>2026</v>
      </c>
    </row>
    <row r="7" customFormat="false" ht="15" hidden="false" customHeight="false" outlineLevel="0" collapsed="false">
      <c r="A7" s="53" t="n">
        <f aca="false">IF($B7="","",ROW()-5)</f>
        <v>2</v>
      </c>
      <c r="B7" s="54" t="n">
        <v>46387</v>
      </c>
      <c r="C7" s="33" t="s">
        <v>107</v>
      </c>
      <c r="D7" s="32" t="s">
        <v>713</v>
      </c>
      <c r="E7" s="32" t="s">
        <v>119</v>
      </c>
      <c r="F7" s="32" t="s">
        <v>218</v>
      </c>
      <c r="G7" s="43" t="n">
        <v>24000</v>
      </c>
      <c r="H7" s="41"/>
      <c r="I7" s="33" t="s">
        <v>141</v>
      </c>
      <c r="J7" s="41"/>
      <c r="K7" s="25" t="str">
        <f aca="false">IF(AND($B7="",$E7="",$G7=""),"",IF(NOT(ISNUMBER($B7)),"日期无效",IF(ISNA(MATCH($C7,参数设置!$A$10:$A$12,0)),"公司无效",IF(ISNA(MATCH($E7,会计科目表!$B$6:$B$85,0)),"借方科目不存在",IF(ISNA(MATCH($F7,会计科目表!$B$6:$B$85,0)),"贷方科目不存在",IF($E7=$F7,"借贷科目相同",IF(N($G7)=0,"金额为 0",IF(YEAR($B7)&lt;&gt;参数设置!$B$5,"不在本会计年度","OK"))))))))</f>
        <v>OK</v>
      </c>
      <c r="L7" s="61" t="n">
        <f aca="false">IF($B7="","",YEAR($B7))</f>
        <v>2026</v>
      </c>
    </row>
    <row r="8" customFormat="false" ht="15" hidden="false" customHeight="false" outlineLevel="0" collapsed="false">
      <c r="A8" s="53" t="n">
        <f aca="false">IF($B8="","",ROW()-5)</f>
        <v>3</v>
      </c>
      <c r="B8" s="54" t="n">
        <v>46387</v>
      </c>
      <c r="C8" s="33" t="s">
        <v>107</v>
      </c>
      <c r="D8" s="32" t="s">
        <v>714</v>
      </c>
      <c r="E8" s="32" t="s">
        <v>119</v>
      </c>
      <c r="F8" s="32" t="s">
        <v>207</v>
      </c>
      <c r="G8" s="43" t="n">
        <v>26000</v>
      </c>
      <c r="H8" s="41"/>
      <c r="I8" s="33" t="s">
        <v>140</v>
      </c>
      <c r="J8" s="41"/>
      <c r="K8" s="25" t="str">
        <f aca="false">IF(AND($B8="",$E8="",$G8=""),"",IF(NOT(ISNUMBER($B8)),"日期无效",IF(ISNA(MATCH($C8,参数设置!$A$10:$A$12,0)),"公司无效",IF(ISNA(MATCH($E8,会计科目表!$B$6:$B$85,0)),"借方科目不存在",IF(ISNA(MATCH($F8,会计科目表!$B$6:$B$85,0)),"贷方科目不存在",IF($E8=$F8,"借贷科目相同",IF(N($G8)=0,"金额为 0",IF(YEAR($B8)&lt;&gt;参数设置!$B$5,"不在本会计年度","OK"))))))))</f>
        <v>OK</v>
      </c>
      <c r="L8" s="61" t="n">
        <f aca="false">IF($B8="","",YEAR($B8))</f>
        <v>2026</v>
      </c>
    </row>
    <row r="9" customFormat="false" ht="15" hidden="false" customHeight="false" outlineLevel="0" collapsed="false">
      <c r="A9" s="53" t="n">
        <f aca="false">IF($B9="","",ROW()-5)</f>
        <v>4</v>
      </c>
      <c r="B9" s="54" t="n">
        <v>46387</v>
      </c>
      <c r="C9" s="33" t="s">
        <v>107</v>
      </c>
      <c r="D9" s="32" t="s">
        <v>715</v>
      </c>
      <c r="E9" s="32" t="s">
        <v>119</v>
      </c>
      <c r="F9" s="32" t="s">
        <v>138</v>
      </c>
      <c r="G9" s="43" t="n">
        <v>36000</v>
      </c>
      <c r="H9" s="41"/>
      <c r="I9" s="33" t="s">
        <v>137</v>
      </c>
      <c r="J9" s="41"/>
      <c r="K9" s="25" t="str">
        <f aca="false">IF(AND($B9="",$E9="",$G9=""),"",IF(NOT(ISNUMBER($B9)),"日期无效",IF(ISNA(MATCH($C9,参数设置!$A$10:$A$12,0)),"公司无效",IF(ISNA(MATCH($E9,会计科目表!$B$6:$B$85,0)),"借方科目不存在",IF(ISNA(MATCH($F9,会计科目表!$B$6:$B$85,0)),"贷方科目不存在",IF($E9=$F9,"借贷科目相同",IF(N($G9)=0,"金额为 0",IF(YEAR($B9)&lt;&gt;参数设置!$B$5,"不在本会计年度","OK"))))))))</f>
        <v>OK</v>
      </c>
      <c r="L9" s="61" t="n">
        <f aca="false">IF($B9="","",YEAR($B9))</f>
        <v>2026</v>
      </c>
    </row>
    <row r="10" customFormat="false" ht="15" hidden="false" customHeight="false" outlineLevel="0" collapsed="false">
      <c r="A10" s="53" t="n">
        <f aca="false">IF($B10="","",ROW()-5)</f>
        <v>5</v>
      </c>
      <c r="B10" s="54" t="n">
        <v>46387</v>
      </c>
      <c r="C10" s="33" t="s">
        <v>107</v>
      </c>
      <c r="D10" s="32" t="s">
        <v>716</v>
      </c>
      <c r="E10" s="32" t="s">
        <v>119</v>
      </c>
      <c r="F10" s="32" t="s">
        <v>232</v>
      </c>
      <c r="G10" s="43" t="n">
        <v>12000</v>
      </c>
      <c r="H10" s="41"/>
      <c r="I10" s="33" t="s">
        <v>139</v>
      </c>
      <c r="J10" s="41"/>
      <c r="K10" s="25" t="str">
        <f aca="false">IF(AND($B10="",$E10="",$G10=""),"",IF(NOT(ISNUMBER($B10)),"日期无效",IF(ISNA(MATCH($C10,参数设置!$A$10:$A$12,0)),"公司无效",IF(ISNA(MATCH($E10,会计科目表!$B$6:$B$85,0)),"借方科目不存在",IF(ISNA(MATCH($F10,会计科目表!$B$6:$B$85,0)),"贷方科目不存在",IF($E10=$F10,"借贷科目相同",IF(N($G10)=0,"金额为 0",IF(YEAR($B10)&lt;&gt;参数设置!$B$5,"不在本会计年度","OK"))))))))</f>
        <v>OK</v>
      </c>
      <c r="L10" s="61" t="n">
        <f aca="false">IF($B10="","",YEAR($B10))</f>
        <v>2026</v>
      </c>
    </row>
    <row r="11" customFormat="false" ht="15" hidden="false" customHeight="false" outlineLevel="0" collapsed="false">
      <c r="A11" s="53" t="n">
        <f aca="false">IF($B11="","",ROW()-5)</f>
        <v>6</v>
      </c>
      <c r="B11" s="54" t="n">
        <v>46387</v>
      </c>
      <c r="C11" s="33" t="s">
        <v>110</v>
      </c>
      <c r="D11" s="32" t="s">
        <v>717</v>
      </c>
      <c r="E11" s="32" t="s">
        <v>119</v>
      </c>
      <c r="F11" s="32" t="s">
        <v>207</v>
      </c>
      <c r="G11" s="43" t="n">
        <v>80000</v>
      </c>
      <c r="H11" s="41"/>
      <c r="I11" s="33" t="s">
        <v>140</v>
      </c>
      <c r="J11" s="41"/>
      <c r="K11" s="25" t="str">
        <f aca="false">IF(AND($B11="",$E11="",$G11=""),"",IF(NOT(ISNUMBER($B11)),"日期无效",IF(ISNA(MATCH($C11,参数设置!$A$10:$A$12,0)),"公司无效",IF(ISNA(MATCH($E11,会计科目表!$B$6:$B$85,0)),"借方科目不存在",IF(ISNA(MATCH($F11,会计科目表!$B$6:$B$85,0)),"贷方科目不存在",IF($E11=$F11,"借贷科目相同",IF(N($G11)=0,"金额为 0",IF(YEAR($B11)&lt;&gt;参数设置!$B$5,"不在本会计年度","OK"))))))))</f>
        <v>OK</v>
      </c>
      <c r="L11" s="61" t="n">
        <f aca="false">IF($B11="","",YEAR($B11))</f>
        <v>2026</v>
      </c>
    </row>
    <row r="12" customFormat="false" ht="15" hidden="false" customHeight="false" outlineLevel="0" collapsed="false">
      <c r="A12" s="53" t="n">
        <f aca="false">IF($B12="","",ROW()-5)</f>
        <v>7</v>
      </c>
      <c r="B12" s="54" t="n">
        <v>46387</v>
      </c>
      <c r="C12" s="33" t="s">
        <v>110</v>
      </c>
      <c r="D12" s="32" t="s">
        <v>718</v>
      </c>
      <c r="E12" s="32" t="s">
        <v>119</v>
      </c>
      <c r="F12" s="32" t="s">
        <v>232</v>
      </c>
      <c r="G12" s="43" t="n">
        <v>24000</v>
      </c>
      <c r="H12" s="41"/>
      <c r="I12" s="33" t="s">
        <v>134</v>
      </c>
      <c r="J12" s="41"/>
      <c r="K12" s="25" t="str">
        <f aca="false">IF(AND($B12="",$E12="",$G12=""),"",IF(NOT(ISNUMBER($B12)),"日期无效",IF(ISNA(MATCH($C12,参数设置!$A$10:$A$12,0)),"公司无效",IF(ISNA(MATCH($E12,会计科目表!$B$6:$B$85,0)),"借方科目不存在",IF(ISNA(MATCH($F12,会计科目表!$B$6:$B$85,0)),"贷方科目不存在",IF($E12=$F12,"借贷科目相同",IF(N($G12)=0,"金额为 0",IF(YEAR($B12)&lt;&gt;参数设置!$B$5,"不在本会计年度","OK"))))))))</f>
        <v>OK</v>
      </c>
      <c r="L12" s="61" t="n">
        <f aca="false">IF($B12="","",YEAR($B12))</f>
        <v>2026</v>
      </c>
    </row>
    <row r="13" customFormat="false" ht="15" hidden="false" customHeight="false" outlineLevel="0" collapsed="false">
      <c r="A13" s="53" t="n">
        <f aca="false">IF($B13="","",ROW()-5)</f>
        <v>8</v>
      </c>
      <c r="B13" s="54" t="n">
        <v>46387</v>
      </c>
      <c r="C13" s="33" t="s">
        <v>112</v>
      </c>
      <c r="D13" s="32" t="s">
        <v>714</v>
      </c>
      <c r="E13" s="32" t="s">
        <v>119</v>
      </c>
      <c r="F13" s="32" t="s">
        <v>207</v>
      </c>
      <c r="G13" s="43" t="n">
        <v>52000</v>
      </c>
      <c r="H13" s="41"/>
      <c r="I13" s="33" t="s">
        <v>140</v>
      </c>
      <c r="J13" s="41"/>
      <c r="K13" s="25" t="str">
        <f aca="false">IF(AND($B13="",$E13="",$G13=""),"",IF(NOT(ISNUMBER($B13)),"日期无效",IF(ISNA(MATCH($C13,参数设置!$A$10:$A$12,0)),"公司无效",IF(ISNA(MATCH($E13,会计科目表!$B$6:$B$85,0)),"借方科目不存在",IF(ISNA(MATCH($F13,会计科目表!$B$6:$B$85,0)),"贷方科目不存在",IF($E13=$F13,"借贷科目相同",IF(N($G13)=0,"金额为 0",IF(YEAR($B13)&lt;&gt;参数设置!$B$5,"不在本会计年度","OK"))))))))</f>
        <v>OK</v>
      </c>
      <c r="L13" s="61" t="n">
        <f aca="false">IF($B13="","",YEAR($B13))</f>
        <v>2026</v>
      </c>
    </row>
    <row r="14" customFormat="false" ht="15" hidden="false" customHeight="false" outlineLevel="0" collapsed="false">
      <c r="A14" s="53" t="n">
        <f aca="false">IF($B14="","",ROW()-5)</f>
        <v>9</v>
      </c>
      <c r="B14" s="54" t="n">
        <v>46387</v>
      </c>
      <c r="C14" s="33" t="s">
        <v>112</v>
      </c>
      <c r="D14" s="32" t="s">
        <v>719</v>
      </c>
      <c r="E14" s="32" t="s">
        <v>119</v>
      </c>
      <c r="F14" s="32" t="s">
        <v>218</v>
      </c>
      <c r="G14" s="43" t="n">
        <v>6000</v>
      </c>
      <c r="H14" s="41"/>
      <c r="I14" s="33" t="s">
        <v>141</v>
      </c>
      <c r="J14" s="41"/>
      <c r="K14" s="25" t="str">
        <f aca="false">IF(AND($B14="",$E14="",$G14=""),"",IF(NOT(ISNUMBER($B14)),"日期无效",IF(ISNA(MATCH($C14,参数设置!$A$10:$A$12,0)),"公司无效",IF(ISNA(MATCH($E14,会计科目表!$B$6:$B$85,0)),"借方科目不存在",IF(ISNA(MATCH($F14,会计科目表!$B$6:$B$85,0)),"贷方科目不存在",IF($E14=$F14,"借贷科目相同",IF(N($G14)=0,"金额为 0",IF(YEAR($B14)&lt;&gt;参数设置!$B$5,"不在本会计年度","OK"))))))))</f>
        <v>OK</v>
      </c>
      <c r="L14" s="61" t="n">
        <f aca="false">IF($B14="","",YEAR($B14))</f>
        <v>2026</v>
      </c>
    </row>
    <row r="15" customFormat="false" ht="15" hidden="false" customHeight="false" outlineLevel="0" collapsed="false">
      <c r="A15" s="53" t="n">
        <f aca="false">IF($B15="","",ROW()-5)</f>
        <v>10</v>
      </c>
      <c r="B15" s="54" t="n">
        <v>46387</v>
      </c>
      <c r="C15" s="33" t="s">
        <v>112</v>
      </c>
      <c r="D15" s="32" t="s">
        <v>720</v>
      </c>
      <c r="E15" s="32" t="s">
        <v>145</v>
      </c>
      <c r="F15" s="32" t="s">
        <v>232</v>
      </c>
      <c r="G15" s="43" t="n">
        <v>9600</v>
      </c>
      <c r="H15" s="41"/>
      <c r="I15" s="33" t="s">
        <v>147</v>
      </c>
      <c r="J15" s="41"/>
      <c r="K15" s="25" t="str">
        <f aca="false">IF(AND($B15="",$E15="",$G15=""),"",IF(NOT(ISNUMBER($B15)),"日期无效",IF(ISNA(MATCH($C15,参数设置!$A$10:$A$12,0)),"公司无效",IF(ISNA(MATCH($E15,会计科目表!$B$6:$B$85,0)),"借方科目不存在",IF(ISNA(MATCH($F15,会计科目表!$B$6:$B$85,0)),"贷方科目不存在",IF($E15=$F15,"借贷科目相同",IF(N($G15)=0,"金额为 0",IF(YEAR($B15)&lt;&gt;参数设置!$B$5,"不在本会计年度","OK"))))))))</f>
        <v>OK</v>
      </c>
      <c r="L15" s="61" t="n">
        <f aca="false">IF($B15="","",YEAR($B15))</f>
        <v>2026</v>
      </c>
    </row>
    <row r="16" customFormat="false" ht="15" hidden="false" customHeight="false" outlineLevel="0" collapsed="false">
      <c r="A16" s="53" t="str">
        <f aca="false">IF($B16="","",ROW()-5)</f>
        <v/>
      </c>
      <c r="B16" s="54"/>
      <c r="C16" s="33"/>
      <c r="D16" s="41"/>
      <c r="E16" s="32"/>
      <c r="F16" s="32"/>
      <c r="G16" s="43"/>
      <c r="H16" s="41"/>
      <c r="I16" s="33"/>
      <c r="J16" s="41"/>
      <c r="K16" s="25" t="str">
        <f aca="false">IF(AND($B16="",$E16="",$G16=""),"",IF(NOT(ISNUMBER($B16)),"日期无效",IF(ISNA(MATCH($C16,参数设置!$A$10:$A$12,0)),"公司无效",IF(ISNA(MATCH($E16,会计科目表!$B$6:$B$85,0)),"借方科目不存在",IF(ISNA(MATCH($F16,会计科目表!$B$6:$B$85,0)),"贷方科目不存在",IF($E16=$F16,"借贷科目相同",IF(N($G16)=0,"金额为 0",IF(YEAR($B16)&lt;&gt;参数设置!$B$5,"不在本会计年度","OK"))))))))</f>
        <v/>
      </c>
      <c r="L16" s="61" t="str">
        <f aca="false">IF($B16="","",YEAR($B16))</f>
        <v/>
      </c>
    </row>
    <row r="17" customFormat="false" ht="15" hidden="false" customHeight="false" outlineLevel="0" collapsed="false">
      <c r="A17" s="53" t="str">
        <f aca="false">IF($B17="","",ROW()-5)</f>
        <v/>
      </c>
      <c r="B17" s="54"/>
      <c r="C17" s="33"/>
      <c r="D17" s="41"/>
      <c r="E17" s="32"/>
      <c r="F17" s="32"/>
      <c r="G17" s="43"/>
      <c r="H17" s="41"/>
      <c r="I17" s="33"/>
      <c r="J17" s="41"/>
      <c r="K17" s="25" t="str">
        <f aca="false">IF(AND($B17="",$E17="",$G17=""),"",IF(NOT(ISNUMBER($B17)),"日期无效",IF(ISNA(MATCH($C17,参数设置!$A$10:$A$12,0)),"公司无效",IF(ISNA(MATCH($E17,会计科目表!$B$6:$B$85,0)),"借方科目不存在",IF(ISNA(MATCH($F17,会计科目表!$B$6:$B$85,0)),"贷方科目不存在",IF($E17=$F17,"借贷科目相同",IF(N($G17)=0,"金额为 0",IF(YEAR($B17)&lt;&gt;参数设置!$B$5,"不在本会计年度","OK"))))))))</f>
        <v/>
      </c>
      <c r="L17" s="61" t="str">
        <f aca="false">IF($B17="","",YEAR($B17))</f>
        <v/>
      </c>
    </row>
    <row r="18" customFormat="false" ht="15" hidden="false" customHeight="false" outlineLevel="0" collapsed="false">
      <c r="A18" s="53" t="str">
        <f aca="false">IF($B18="","",ROW()-5)</f>
        <v/>
      </c>
      <c r="B18" s="54"/>
      <c r="C18" s="33"/>
      <c r="D18" s="41"/>
      <c r="E18" s="32"/>
      <c r="F18" s="32"/>
      <c r="G18" s="43"/>
      <c r="H18" s="41"/>
      <c r="I18" s="33"/>
      <c r="J18" s="41"/>
      <c r="K18" s="25" t="str">
        <f aca="false">IF(AND($B18="",$E18="",$G18=""),"",IF(NOT(ISNUMBER($B18)),"日期无效",IF(ISNA(MATCH($C18,参数设置!$A$10:$A$12,0)),"公司无效",IF(ISNA(MATCH($E18,会计科目表!$B$6:$B$85,0)),"借方科目不存在",IF(ISNA(MATCH($F18,会计科目表!$B$6:$B$85,0)),"贷方科目不存在",IF($E18=$F18,"借贷科目相同",IF(N($G18)=0,"金额为 0",IF(YEAR($B18)&lt;&gt;参数设置!$B$5,"不在本会计年度","OK"))))))))</f>
        <v/>
      </c>
      <c r="L18" s="61" t="str">
        <f aca="false">IF($B18="","",YEAR($B18))</f>
        <v/>
      </c>
    </row>
    <row r="19" customFormat="false" ht="15" hidden="false" customHeight="false" outlineLevel="0" collapsed="false">
      <c r="A19" s="53" t="str">
        <f aca="false">IF($B19="","",ROW()-5)</f>
        <v/>
      </c>
      <c r="B19" s="54"/>
      <c r="C19" s="33"/>
      <c r="D19" s="41"/>
      <c r="E19" s="32"/>
      <c r="F19" s="32"/>
      <c r="G19" s="43"/>
      <c r="H19" s="41"/>
      <c r="I19" s="33"/>
      <c r="J19" s="41"/>
      <c r="K19" s="25" t="str">
        <f aca="false">IF(AND($B19="",$E19="",$G19=""),"",IF(NOT(ISNUMBER($B19)),"日期无效",IF(ISNA(MATCH($C19,参数设置!$A$10:$A$12,0)),"公司无效",IF(ISNA(MATCH($E19,会计科目表!$B$6:$B$85,0)),"借方科目不存在",IF(ISNA(MATCH($F19,会计科目表!$B$6:$B$85,0)),"贷方科目不存在",IF($E19=$F19,"借贷科目相同",IF(N($G19)=0,"金额为 0",IF(YEAR($B19)&lt;&gt;参数设置!$B$5,"不在本会计年度","OK"))))))))</f>
        <v/>
      </c>
      <c r="L19" s="61" t="str">
        <f aca="false">IF($B19="","",YEAR($B19))</f>
        <v/>
      </c>
    </row>
    <row r="20" customFormat="false" ht="15" hidden="false" customHeight="false" outlineLevel="0" collapsed="false">
      <c r="A20" s="53" t="str">
        <f aca="false">IF($B20="","",ROW()-5)</f>
        <v/>
      </c>
      <c r="B20" s="54"/>
      <c r="C20" s="33"/>
      <c r="D20" s="41"/>
      <c r="E20" s="32"/>
      <c r="F20" s="32"/>
      <c r="G20" s="43"/>
      <c r="H20" s="41"/>
      <c r="I20" s="33"/>
      <c r="J20" s="41"/>
      <c r="K20" s="25" t="str">
        <f aca="false">IF(AND($B20="",$E20="",$G20=""),"",IF(NOT(ISNUMBER($B20)),"日期无效",IF(ISNA(MATCH($C20,参数设置!$A$10:$A$12,0)),"公司无效",IF(ISNA(MATCH($E20,会计科目表!$B$6:$B$85,0)),"借方科目不存在",IF(ISNA(MATCH($F20,会计科目表!$B$6:$B$85,0)),"贷方科目不存在",IF($E20=$F20,"借贷科目相同",IF(N($G20)=0,"金额为 0",IF(YEAR($B20)&lt;&gt;参数设置!$B$5,"不在本会计年度","OK"))))))))</f>
        <v/>
      </c>
      <c r="L20" s="61" t="str">
        <f aca="false">IF($B20="","",YEAR($B20))</f>
        <v/>
      </c>
    </row>
    <row r="21" customFormat="false" ht="15" hidden="false" customHeight="false" outlineLevel="0" collapsed="false">
      <c r="A21" s="53" t="str">
        <f aca="false">IF($B21="","",ROW()-5)</f>
        <v/>
      </c>
      <c r="B21" s="54"/>
      <c r="C21" s="33"/>
      <c r="D21" s="41"/>
      <c r="E21" s="32"/>
      <c r="F21" s="32"/>
      <c r="G21" s="43"/>
      <c r="H21" s="41"/>
      <c r="I21" s="33"/>
      <c r="J21" s="41"/>
      <c r="K21" s="25" t="str">
        <f aca="false">IF(AND($B21="",$E21="",$G21=""),"",IF(NOT(ISNUMBER($B21)),"日期无效",IF(ISNA(MATCH($C21,参数设置!$A$10:$A$12,0)),"公司无效",IF(ISNA(MATCH($E21,会计科目表!$B$6:$B$85,0)),"借方科目不存在",IF(ISNA(MATCH($F21,会计科目表!$B$6:$B$85,0)),"贷方科目不存在",IF($E21=$F21,"借贷科目相同",IF(N($G21)=0,"金额为 0",IF(YEAR($B21)&lt;&gt;参数设置!$B$5,"不在本会计年度","OK"))))))))</f>
        <v/>
      </c>
      <c r="L21" s="61" t="str">
        <f aca="false">IF($B21="","",YEAR($B21))</f>
        <v/>
      </c>
    </row>
    <row r="22" customFormat="false" ht="15" hidden="false" customHeight="false" outlineLevel="0" collapsed="false">
      <c r="A22" s="53" t="str">
        <f aca="false">IF($B22="","",ROW()-5)</f>
        <v/>
      </c>
      <c r="B22" s="54"/>
      <c r="C22" s="33"/>
      <c r="D22" s="41"/>
      <c r="E22" s="32"/>
      <c r="F22" s="32"/>
      <c r="G22" s="43"/>
      <c r="H22" s="41"/>
      <c r="I22" s="33"/>
      <c r="J22" s="41"/>
      <c r="K22" s="25" t="str">
        <f aca="false">IF(AND($B22="",$E22="",$G22=""),"",IF(NOT(ISNUMBER($B22)),"日期无效",IF(ISNA(MATCH($C22,参数设置!$A$10:$A$12,0)),"公司无效",IF(ISNA(MATCH($E22,会计科目表!$B$6:$B$85,0)),"借方科目不存在",IF(ISNA(MATCH($F22,会计科目表!$B$6:$B$85,0)),"贷方科目不存在",IF($E22=$F22,"借贷科目相同",IF(N($G22)=0,"金额为 0",IF(YEAR($B22)&lt;&gt;参数设置!$B$5,"不在本会计年度","OK"))))))))</f>
        <v/>
      </c>
      <c r="L22" s="61" t="str">
        <f aca="false">IF($B22="","",YEAR($B22))</f>
        <v/>
      </c>
    </row>
    <row r="23" customFormat="false" ht="15" hidden="false" customHeight="false" outlineLevel="0" collapsed="false">
      <c r="A23" s="53" t="str">
        <f aca="false">IF($B23="","",ROW()-5)</f>
        <v/>
      </c>
      <c r="B23" s="54"/>
      <c r="C23" s="33"/>
      <c r="D23" s="41"/>
      <c r="E23" s="32"/>
      <c r="F23" s="32"/>
      <c r="G23" s="43"/>
      <c r="H23" s="41"/>
      <c r="I23" s="33"/>
      <c r="J23" s="41"/>
      <c r="K23" s="25" t="str">
        <f aca="false">IF(AND($B23="",$E23="",$G23=""),"",IF(NOT(ISNUMBER($B23)),"日期无效",IF(ISNA(MATCH($C23,参数设置!$A$10:$A$12,0)),"公司无效",IF(ISNA(MATCH($E23,会计科目表!$B$6:$B$85,0)),"借方科目不存在",IF(ISNA(MATCH($F23,会计科目表!$B$6:$B$85,0)),"贷方科目不存在",IF($E23=$F23,"借贷科目相同",IF(N($G23)=0,"金额为 0",IF(YEAR($B23)&lt;&gt;参数设置!$B$5,"不在本会计年度","OK"))))))))</f>
        <v/>
      </c>
      <c r="L23" s="61" t="str">
        <f aca="false">IF($B23="","",YEAR($B23))</f>
        <v/>
      </c>
    </row>
    <row r="24" customFormat="false" ht="15" hidden="false" customHeight="false" outlineLevel="0" collapsed="false">
      <c r="A24" s="53" t="str">
        <f aca="false">IF($B24="","",ROW()-5)</f>
        <v/>
      </c>
      <c r="B24" s="54"/>
      <c r="C24" s="33"/>
      <c r="D24" s="41"/>
      <c r="E24" s="32"/>
      <c r="F24" s="32"/>
      <c r="G24" s="43"/>
      <c r="H24" s="41"/>
      <c r="I24" s="33"/>
      <c r="J24" s="41"/>
      <c r="K24" s="25" t="str">
        <f aca="false">IF(AND($B24="",$E24="",$G24=""),"",IF(NOT(ISNUMBER($B24)),"日期无效",IF(ISNA(MATCH($C24,参数设置!$A$10:$A$12,0)),"公司无效",IF(ISNA(MATCH($E24,会计科目表!$B$6:$B$85,0)),"借方科目不存在",IF(ISNA(MATCH($F24,会计科目表!$B$6:$B$85,0)),"贷方科目不存在",IF($E24=$F24,"借贷科目相同",IF(N($G24)=0,"金额为 0",IF(YEAR($B24)&lt;&gt;参数设置!$B$5,"不在本会计年度","OK"))))))))</f>
        <v/>
      </c>
      <c r="L24" s="61" t="str">
        <f aca="false">IF($B24="","",YEAR($B24))</f>
        <v/>
      </c>
    </row>
    <row r="25" customFormat="false" ht="15" hidden="false" customHeight="false" outlineLevel="0" collapsed="false">
      <c r="A25" s="53" t="str">
        <f aca="false">IF($B25="","",ROW()-5)</f>
        <v/>
      </c>
      <c r="B25" s="54"/>
      <c r="C25" s="33"/>
      <c r="D25" s="41"/>
      <c r="E25" s="32"/>
      <c r="F25" s="32"/>
      <c r="G25" s="43"/>
      <c r="H25" s="41"/>
      <c r="I25" s="33"/>
      <c r="J25" s="41"/>
      <c r="K25" s="25" t="str">
        <f aca="false">IF(AND($B25="",$E25="",$G25=""),"",IF(NOT(ISNUMBER($B25)),"日期无效",IF(ISNA(MATCH($C25,参数设置!$A$10:$A$12,0)),"公司无效",IF(ISNA(MATCH($E25,会计科目表!$B$6:$B$85,0)),"借方科目不存在",IF(ISNA(MATCH($F25,会计科目表!$B$6:$B$85,0)),"贷方科目不存在",IF($E25=$F25,"借贷科目相同",IF(N($G25)=0,"金额为 0",IF(YEAR($B25)&lt;&gt;参数设置!$B$5,"不在本会计年度","OK"))))))))</f>
        <v/>
      </c>
      <c r="L25" s="61" t="str">
        <f aca="false">IF($B25="","",YEAR($B25))</f>
        <v/>
      </c>
    </row>
    <row r="26" customFormat="false" ht="15" hidden="false" customHeight="false" outlineLevel="0" collapsed="false">
      <c r="A26" s="53" t="str">
        <f aca="false">IF($B26="","",ROW()-5)</f>
        <v/>
      </c>
      <c r="B26" s="54"/>
      <c r="C26" s="33"/>
      <c r="D26" s="41"/>
      <c r="E26" s="32"/>
      <c r="F26" s="32"/>
      <c r="G26" s="43"/>
      <c r="H26" s="41"/>
      <c r="I26" s="33"/>
      <c r="J26" s="41"/>
      <c r="K26" s="25" t="str">
        <f aca="false">IF(AND($B26="",$E26="",$G26=""),"",IF(NOT(ISNUMBER($B26)),"日期无效",IF(ISNA(MATCH($C26,参数设置!$A$10:$A$12,0)),"公司无效",IF(ISNA(MATCH($E26,会计科目表!$B$6:$B$85,0)),"借方科目不存在",IF(ISNA(MATCH($F26,会计科目表!$B$6:$B$85,0)),"贷方科目不存在",IF($E26=$F26,"借贷科目相同",IF(N($G26)=0,"金额为 0",IF(YEAR($B26)&lt;&gt;参数设置!$B$5,"不在本会计年度","OK"))))))))</f>
        <v/>
      </c>
      <c r="L26" s="61" t="str">
        <f aca="false">IF($B26="","",YEAR($B26))</f>
        <v/>
      </c>
    </row>
    <row r="27" customFormat="false" ht="15" hidden="false" customHeight="false" outlineLevel="0" collapsed="false">
      <c r="A27" s="53" t="str">
        <f aca="false">IF($B27="","",ROW()-5)</f>
        <v/>
      </c>
      <c r="B27" s="54"/>
      <c r="C27" s="33"/>
      <c r="D27" s="41"/>
      <c r="E27" s="32"/>
      <c r="F27" s="32"/>
      <c r="G27" s="43"/>
      <c r="H27" s="41"/>
      <c r="I27" s="33"/>
      <c r="J27" s="41"/>
      <c r="K27" s="25" t="str">
        <f aca="false">IF(AND($B27="",$E27="",$G27=""),"",IF(NOT(ISNUMBER($B27)),"日期无效",IF(ISNA(MATCH($C27,参数设置!$A$10:$A$12,0)),"公司无效",IF(ISNA(MATCH($E27,会计科目表!$B$6:$B$85,0)),"借方科目不存在",IF(ISNA(MATCH($F27,会计科目表!$B$6:$B$85,0)),"贷方科目不存在",IF($E27=$F27,"借贷科目相同",IF(N($G27)=0,"金额为 0",IF(YEAR($B27)&lt;&gt;参数设置!$B$5,"不在本会计年度","OK"))))))))</f>
        <v/>
      </c>
      <c r="L27" s="61" t="str">
        <f aca="false">IF($B27="","",YEAR($B27))</f>
        <v/>
      </c>
    </row>
    <row r="28" customFormat="false" ht="15" hidden="false" customHeight="false" outlineLevel="0" collapsed="false">
      <c r="A28" s="53" t="str">
        <f aca="false">IF($B28="","",ROW()-5)</f>
        <v/>
      </c>
      <c r="B28" s="54"/>
      <c r="C28" s="33"/>
      <c r="D28" s="41"/>
      <c r="E28" s="32"/>
      <c r="F28" s="32"/>
      <c r="G28" s="43"/>
      <c r="H28" s="41"/>
      <c r="I28" s="33"/>
      <c r="J28" s="41"/>
      <c r="K28" s="25" t="str">
        <f aca="false">IF(AND($B28="",$E28="",$G28=""),"",IF(NOT(ISNUMBER($B28)),"日期无效",IF(ISNA(MATCH($C28,参数设置!$A$10:$A$12,0)),"公司无效",IF(ISNA(MATCH($E28,会计科目表!$B$6:$B$85,0)),"借方科目不存在",IF(ISNA(MATCH($F28,会计科目表!$B$6:$B$85,0)),"贷方科目不存在",IF($E28=$F28,"借贷科目相同",IF(N($G28)=0,"金额为 0",IF(YEAR($B28)&lt;&gt;参数设置!$B$5,"不在本会计年度","OK"))))))))</f>
        <v/>
      </c>
      <c r="L28" s="61" t="str">
        <f aca="false">IF($B28="","",YEAR($B28))</f>
        <v/>
      </c>
    </row>
    <row r="29" customFormat="false" ht="15" hidden="false" customHeight="false" outlineLevel="0" collapsed="false">
      <c r="A29" s="53" t="str">
        <f aca="false">IF($B29="","",ROW()-5)</f>
        <v/>
      </c>
      <c r="B29" s="54"/>
      <c r="C29" s="33"/>
      <c r="D29" s="41"/>
      <c r="E29" s="32"/>
      <c r="F29" s="32"/>
      <c r="G29" s="43"/>
      <c r="H29" s="41"/>
      <c r="I29" s="33"/>
      <c r="J29" s="41"/>
      <c r="K29" s="25" t="str">
        <f aca="false">IF(AND($B29="",$E29="",$G29=""),"",IF(NOT(ISNUMBER($B29)),"日期无效",IF(ISNA(MATCH($C29,参数设置!$A$10:$A$12,0)),"公司无效",IF(ISNA(MATCH($E29,会计科目表!$B$6:$B$85,0)),"借方科目不存在",IF(ISNA(MATCH($F29,会计科目表!$B$6:$B$85,0)),"贷方科目不存在",IF($E29=$F29,"借贷科目相同",IF(N($G29)=0,"金额为 0",IF(YEAR($B29)&lt;&gt;参数设置!$B$5,"不在本会计年度","OK"))))))))</f>
        <v/>
      </c>
      <c r="L29" s="61" t="str">
        <f aca="false">IF($B29="","",YEAR($B29))</f>
        <v/>
      </c>
    </row>
    <row r="30" customFormat="false" ht="15" hidden="false" customHeight="false" outlineLevel="0" collapsed="false">
      <c r="A30" s="53" t="str">
        <f aca="false">IF($B30="","",ROW()-5)</f>
        <v/>
      </c>
      <c r="B30" s="54"/>
      <c r="C30" s="33"/>
      <c r="D30" s="41"/>
      <c r="E30" s="32"/>
      <c r="F30" s="32"/>
      <c r="G30" s="43"/>
      <c r="H30" s="41"/>
      <c r="I30" s="33"/>
      <c r="J30" s="41"/>
      <c r="K30" s="25" t="str">
        <f aca="false">IF(AND($B30="",$E30="",$G30=""),"",IF(NOT(ISNUMBER($B30)),"日期无效",IF(ISNA(MATCH($C30,参数设置!$A$10:$A$12,0)),"公司无效",IF(ISNA(MATCH($E30,会计科目表!$B$6:$B$85,0)),"借方科目不存在",IF(ISNA(MATCH($F30,会计科目表!$B$6:$B$85,0)),"贷方科目不存在",IF($E30=$F30,"借贷科目相同",IF(N($G30)=0,"金额为 0",IF(YEAR($B30)&lt;&gt;参数设置!$B$5,"不在本会计年度","OK"))))))))</f>
        <v/>
      </c>
      <c r="L30" s="61" t="str">
        <f aca="false">IF($B30="","",YEAR($B30))</f>
        <v/>
      </c>
    </row>
    <row r="31" customFormat="false" ht="15" hidden="false" customHeight="false" outlineLevel="0" collapsed="false">
      <c r="A31" s="53" t="str">
        <f aca="false">IF($B31="","",ROW()-5)</f>
        <v/>
      </c>
      <c r="B31" s="54"/>
      <c r="C31" s="33"/>
      <c r="D31" s="41"/>
      <c r="E31" s="32"/>
      <c r="F31" s="32"/>
      <c r="G31" s="43"/>
      <c r="H31" s="41"/>
      <c r="I31" s="33"/>
      <c r="J31" s="41"/>
      <c r="K31" s="25" t="str">
        <f aca="false">IF(AND($B31="",$E31="",$G31=""),"",IF(NOT(ISNUMBER($B31)),"日期无效",IF(ISNA(MATCH($C31,参数设置!$A$10:$A$12,0)),"公司无效",IF(ISNA(MATCH($E31,会计科目表!$B$6:$B$85,0)),"借方科目不存在",IF(ISNA(MATCH($F31,会计科目表!$B$6:$B$85,0)),"贷方科目不存在",IF($E31=$F31,"借贷科目相同",IF(N($G31)=0,"金额为 0",IF(YEAR($B31)&lt;&gt;参数设置!$B$5,"不在本会计年度","OK"))))))))</f>
        <v/>
      </c>
      <c r="L31" s="61" t="str">
        <f aca="false">IF($B31="","",YEAR($B31))</f>
        <v/>
      </c>
    </row>
    <row r="32" customFormat="false" ht="15" hidden="false" customHeight="false" outlineLevel="0" collapsed="false">
      <c r="A32" s="53" t="str">
        <f aca="false">IF($B32="","",ROW()-5)</f>
        <v/>
      </c>
      <c r="B32" s="54"/>
      <c r="C32" s="33"/>
      <c r="D32" s="41"/>
      <c r="E32" s="32"/>
      <c r="F32" s="32"/>
      <c r="G32" s="43"/>
      <c r="H32" s="41"/>
      <c r="I32" s="33"/>
      <c r="J32" s="41"/>
      <c r="K32" s="25" t="str">
        <f aca="false">IF(AND($B32="",$E32="",$G32=""),"",IF(NOT(ISNUMBER($B32)),"日期无效",IF(ISNA(MATCH($C32,参数设置!$A$10:$A$12,0)),"公司无效",IF(ISNA(MATCH($E32,会计科目表!$B$6:$B$85,0)),"借方科目不存在",IF(ISNA(MATCH($F32,会计科目表!$B$6:$B$85,0)),"贷方科目不存在",IF($E32=$F32,"借贷科目相同",IF(N($G32)=0,"金额为 0",IF(YEAR($B32)&lt;&gt;参数设置!$B$5,"不在本会计年度","OK"))))))))</f>
        <v/>
      </c>
      <c r="L32" s="61" t="str">
        <f aca="false">IF($B32="","",YEAR($B32))</f>
        <v/>
      </c>
    </row>
    <row r="33" customFormat="false" ht="15" hidden="false" customHeight="false" outlineLevel="0" collapsed="false">
      <c r="A33" s="53" t="str">
        <f aca="false">IF($B33="","",ROW()-5)</f>
        <v/>
      </c>
      <c r="B33" s="54"/>
      <c r="C33" s="33"/>
      <c r="D33" s="41"/>
      <c r="E33" s="32"/>
      <c r="F33" s="32"/>
      <c r="G33" s="43"/>
      <c r="H33" s="41"/>
      <c r="I33" s="33"/>
      <c r="J33" s="41"/>
      <c r="K33" s="25" t="str">
        <f aca="false">IF(AND($B33="",$E33="",$G33=""),"",IF(NOT(ISNUMBER($B33)),"日期无效",IF(ISNA(MATCH($C33,参数设置!$A$10:$A$12,0)),"公司无效",IF(ISNA(MATCH($E33,会计科目表!$B$6:$B$85,0)),"借方科目不存在",IF(ISNA(MATCH($F33,会计科目表!$B$6:$B$85,0)),"贷方科目不存在",IF($E33=$F33,"借贷科目相同",IF(N($G33)=0,"金额为 0",IF(YEAR($B33)&lt;&gt;参数设置!$B$5,"不在本会计年度","OK"))))))))</f>
        <v/>
      </c>
      <c r="L33" s="61" t="str">
        <f aca="false">IF($B33="","",YEAR($B33))</f>
        <v/>
      </c>
    </row>
    <row r="34" customFormat="false" ht="15" hidden="false" customHeight="false" outlineLevel="0" collapsed="false">
      <c r="A34" s="53" t="str">
        <f aca="false">IF($B34="","",ROW()-5)</f>
        <v/>
      </c>
      <c r="B34" s="54"/>
      <c r="C34" s="33"/>
      <c r="D34" s="41"/>
      <c r="E34" s="32"/>
      <c r="F34" s="32"/>
      <c r="G34" s="43"/>
      <c r="H34" s="41"/>
      <c r="I34" s="33"/>
      <c r="J34" s="41"/>
      <c r="K34" s="25" t="str">
        <f aca="false">IF(AND($B34="",$E34="",$G34=""),"",IF(NOT(ISNUMBER($B34)),"日期无效",IF(ISNA(MATCH($C34,参数设置!$A$10:$A$12,0)),"公司无效",IF(ISNA(MATCH($E34,会计科目表!$B$6:$B$85,0)),"借方科目不存在",IF(ISNA(MATCH($F34,会计科目表!$B$6:$B$85,0)),"贷方科目不存在",IF($E34=$F34,"借贷科目相同",IF(N($G34)=0,"金额为 0",IF(YEAR($B34)&lt;&gt;参数设置!$B$5,"不在本会计年度","OK"))))))))</f>
        <v/>
      </c>
      <c r="L34" s="61" t="str">
        <f aca="false">IF($B34="","",YEAR($B34))</f>
        <v/>
      </c>
    </row>
    <row r="35" customFormat="false" ht="15" hidden="false" customHeight="false" outlineLevel="0" collapsed="false">
      <c r="A35" s="53" t="str">
        <f aca="false">IF($B35="","",ROW()-5)</f>
        <v/>
      </c>
      <c r="B35" s="54"/>
      <c r="C35" s="33"/>
      <c r="D35" s="41"/>
      <c r="E35" s="32"/>
      <c r="F35" s="32"/>
      <c r="G35" s="43"/>
      <c r="H35" s="41"/>
      <c r="I35" s="33"/>
      <c r="J35" s="41"/>
      <c r="K35" s="25" t="str">
        <f aca="false">IF(AND($B35="",$E35="",$G35=""),"",IF(NOT(ISNUMBER($B35)),"日期无效",IF(ISNA(MATCH($C35,参数设置!$A$10:$A$12,0)),"公司无效",IF(ISNA(MATCH($E35,会计科目表!$B$6:$B$85,0)),"借方科目不存在",IF(ISNA(MATCH($F35,会计科目表!$B$6:$B$85,0)),"贷方科目不存在",IF($E35=$F35,"借贷科目相同",IF(N($G35)=0,"金额为 0",IF(YEAR($B35)&lt;&gt;参数设置!$B$5,"不在本会计年度","OK"))))))))</f>
        <v/>
      </c>
      <c r="L35" s="61" t="str">
        <f aca="false">IF($B35="","",YEAR($B35))</f>
        <v/>
      </c>
    </row>
    <row r="36" customFormat="false" ht="15" hidden="false" customHeight="false" outlineLevel="0" collapsed="false">
      <c r="A36" s="53" t="str">
        <f aca="false">IF($B36="","",ROW()-5)</f>
        <v/>
      </c>
      <c r="B36" s="54"/>
      <c r="C36" s="33"/>
      <c r="D36" s="41"/>
      <c r="E36" s="32"/>
      <c r="F36" s="32"/>
      <c r="G36" s="43"/>
      <c r="H36" s="41"/>
      <c r="I36" s="33"/>
      <c r="J36" s="41"/>
      <c r="K36" s="25" t="str">
        <f aca="false">IF(AND($B36="",$E36="",$G36=""),"",IF(NOT(ISNUMBER($B36)),"日期无效",IF(ISNA(MATCH($C36,参数设置!$A$10:$A$12,0)),"公司无效",IF(ISNA(MATCH($E36,会计科目表!$B$6:$B$85,0)),"借方科目不存在",IF(ISNA(MATCH($F36,会计科目表!$B$6:$B$85,0)),"贷方科目不存在",IF($E36=$F36,"借贷科目相同",IF(N($G36)=0,"金额为 0",IF(YEAR($B36)&lt;&gt;参数设置!$B$5,"不在本会计年度","OK"))))))))</f>
        <v/>
      </c>
      <c r="L36" s="61" t="str">
        <f aca="false">IF($B36="","",YEAR($B36))</f>
        <v/>
      </c>
    </row>
    <row r="37" customFormat="false" ht="15" hidden="false" customHeight="false" outlineLevel="0" collapsed="false">
      <c r="A37" s="53" t="str">
        <f aca="false">IF($B37="","",ROW()-5)</f>
        <v/>
      </c>
      <c r="B37" s="54"/>
      <c r="C37" s="33"/>
      <c r="D37" s="41"/>
      <c r="E37" s="32"/>
      <c r="F37" s="32"/>
      <c r="G37" s="43"/>
      <c r="H37" s="41"/>
      <c r="I37" s="33"/>
      <c r="J37" s="41"/>
      <c r="K37" s="25" t="str">
        <f aca="false">IF(AND($B37="",$E37="",$G37=""),"",IF(NOT(ISNUMBER($B37)),"日期无效",IF(ISNA(MATCH($C37,参数设置!$A$10:$A$12,0)),"公司无效",IF(ISNA(MATCH($E37,会计科目表!$B$6:$B$85,0)),"借方科目不存在",IF(ISNA(MATCH($F37,会计科目表!$B$6:$B$85,0)),"贷方科目不存在",IF($E37=$F37,"借贷科目相同",IF(N($G37)=0,"金额为 0",IF(YEAR($B37)&lt;&gt;参数设置!$B$5,"不在本会计年度","OK"))))))))</f>
        <v/>
      </c>
      <c r="L37" s="61" t="str">
        <f aca="false">IF($B37="","",YEAR($B37))</f>
        <v/>
      </c>
    </row>
    <row r="38" customFormat="false" ht="15" hidden="false" customHeight="false" outlineLevel="0" collapsed="false">
      <c r="A38" s="53" t="str">
        <f aca="false">IF($B38="","",ROW()-5)</f>
        <v/>
      </c>
      <c r="B38" s="54"/>
      <c r="C38" s="33"/>
      <c r="D38" s="41"/>
      <c r="E38" s="32"/>
      <c r="F38" s="32"/>
      <c r="G38" s="43"/>
      <c r="H38" s="41"/>
      <c r="I38" s="33"/>
      <c r="J38" s="41"/>
      <c r="K38" s="25" t="str">
        <f aca="false">IF(AND($B38="",$E38="",$G38=""),"",IF(NOT(ISNUMBER($B38)),"日期无效",IF(ISNA(MATCH($C38,参数设置!$A$10:$A$12,0)),"公司无效",IF(ISNA(MATCH($E38,会计科目表!$B$6:$B$85,0)),"借方科目不存在",IF(ISNA(MATCH($F38,会计科目表!$B$6:$B$85,0)),"贷方科目不存在",IF($E38=$F38,"借贷科目相同",IF(N($G38)=0,"金额为 0",IF(YEAR($B38)&lt;&gt;参数设置!$B$5,"不在本会计年度","OK"))))))))</f>
        <v/>
      </c>
      <c r="L38" s="61" t="str">
        <f aca="false">IF($B38="","",YEAR($B38))</f>
        <v/>
      </c>
    </row>
    <row r="39" customFormat="false" ht="15" hidden="false" customHeight="false" outlineLevel="0" collapsed="false">
      <c r="A39" s="53" t="str">
        <f aca="false">IF($B39="","",ROW()-5)</f>
        <v/>
      </c>
      <c r="B39" s="54"/>
      <c r="C39" s="33"/>
      <c r="D39" s="41"/>
      <c r="E39" s="32"/>
      <c r="F39" s="32"/>
      <c r="G39" s="43"/>
      <c r="H39" s="41"/>
      <c r="I39" s="33"/>
      <c r="J39" s="41"/>
      <c r="K39" s="25" t="str">
        <f aca="false">IF(AND($B39="",$E39="",$G39=""),"",IF(NOT(ISNUMBER($B39)),"日期无效",IF(ISNA(MATCH($C39,参数设置!$A$10:$A$12,0)),"公司无效",IF(ISNA(MATCH($E39,会计科目表!$B$6:$B$85,0)),"借方科目不存在",IF(ISNA(MATCH($F39,会计科目表!$B$6:$B$85,0)),"贷方科目不存在",IF($E39=$F39,"借贷科目相同",IF(N($G39)=0,"金额为 0",IF(YEAR($B39)&lt;&gt;参数设置!$B$5,"不在本会计年度","OK"))))))))</f>
        <v/>
      </c>
      <c r="L39" s="61" t="str">
        <f aca="false">IF($B39="","",YEAR($B39))</f>
        <v/>
      </c>
    </row>
    <row r="40" customFormat="false" ht="15" hidden="false" customHeight="false" outlineLevel="0" collapsed="false">
      <c r="A40" s="53" t="str">
        <f aca="false">IF($B40="","",ROW()-5)</f>
        <v/>
      </c>
      <c r="B40" s="54"/>
      <c r="C40" s="33"/>
      <c r="D40" s="41"/>
      <c r="E40" s="32"/>
      <c r="F40" s="32"/>
      <c r="G40" s="43"/>
      <c r="H40" s="41"/>
      <c r="I40" s="33"/>
      <c r="J40" s="41"/>
      <c r="K40" s="25" t="str">
        <f aca="false">IF(AND($B40="",$E40="",$G40=""),"",IF(NOT(ISNUMBER($B40)),"日期无效",IF(ISNA(MATCH($C40,参数设置!$A$10:$A$12,0)),"公司无效",IF(ISNA(MATCH($E40,会计科目表!$B$6:$B$85,0)),"借方科目不存在",IF(ISNA(MATCH($F40,会计科目表!$B$6:$B$85,0)),"贷方科目不存在",IF($E40=$F40,"借贷科目相同",IF(N($G40)=0,"金额为 0",IF(YEAR($B40)&lt;&gt;参数设置!$B$5,"不在本会计年度","OK"))))))))</f>
        <v/>
      </c>
      <c r="L40" s="61" t="str">
        <f aca="false">IF($B40="","",YEAR($B40))</f>
        <v/>
      </c>
    </row>
    <row r="41" customFormat="false" ht="15" hidden="false" customHeight="false" outlineLevel="0" collapsed="false">
      <c r="A41" s="53" t="str">
        <f aca="false">IF($B41="","",ROW()-5)</f>
        <v/>
      </c>
      <c r="B41" s="54"/>
      <c r="C41" s="33"/>
      <c r="D41" s="41"/>
      <c r="E41" s="32"/>
      <c r="F41" s="32"/>
      <c r="G41" s="43"/>
      <c r="H41" s="41"/>
      <c r="I41" s="33"/>
      <c r="J41" s="41"/>
      <c r="K41" s="25" t="str">
        <f aca="false">IF(AND($B41="",$E41="",$G41=""),"",IF(NOT(ISNUMBER($B41)),"日期无效",IF(ISNA(MATCH($C41,参数设置!$A$10:$A$12,0)),"公司无效",IF(ISNA(MATCH($E41,会计科目表!$B$6:$B$85,0)),"借方科目不存在",IF(ISNA(MATCH($F41,会计科目表!$B$6:$B$85,0)),"贷方科目不存在",IF($E41=$F41,"借贷科目相同",IF(N($G41)=0,"金额为 0",IF(YEAR($B41)&lt;&gt;参数设置!$B$5,"不在本会计年度","OK"))))))))</f>
        <v/>
      </c>
      <c r="L41" s="61" t="str">
        <f aca="false">IF($B41="","",YEAR($B41))</f>
        <v/>
      </c>
    </row>
    <row r="42" customFormat="false" ht="15" hidden="false" customHeight="false" outlineLevel="0" collapsed="false">
      <c r="A42" s="53" t="str">
        <f aca="false">IF($B42="","",ROW()-5)</f>
        <v/>
      </c>
      <c r="B42" s="54"/>
      <c r="C42" s="33"/>
      <c r="D42" s="41"/>
      <c r="E42" s="32"/>
      <c r="F42" s="32"/>
      <c r="G42" s="43"/>
      <c r="H42" s="41"/>
      <c r="I42" s="33"/>
      <c r="J42" s="41"/>
      <c r="K42" s="25" t="str">
        <f aca="false">IF(AND($B42="",$E42="",$G42=""),"",IF(NOT(ISNUMBER($B42)),"日期无效",IF(ISNA(MATCH($C42,参数设置!$A$10:$A$12,0)),"公司无效",IF(ISNA(MATCH($E42,会计科目表!$B$6:$B$85,0)),"借方科目不存在",IF(ISNA(MATCH($F42,会计科目表!$B$6:$B$85,0)),"贷方科目不存在",IF($E42=$F42,"借贷科目相同",IF(N($G42)=0,"金额为 0",IF(YEAR($B42)&lt;&gt;参数设置!$B$5,"不在本会计年度","OK"))))))))</f>
        <v/>
      </c>
      <c r="L42" s="61" t="str">
        <f aca="false">IF($B42="","",YEAR($B42))</f>
        <v/>
      </c>
    </row>
    <row r="43" customFormat="false" ht="15" hidden="false" customHeight="false" outlineLevel="0" collapsed="false">
      <c r="A43" s="53" t="str">
        <f aca="false">IF($B43="","",ROW()-5)</f>
        <v/>
      </c>
      <c r="B43" s="54"/>
      <c r="C43" s="33"/>
      <c r="D43" s="41"/>
      <c r="E43" s="32"/>
      <c r="F43" s="32"/>
      <c r="G43" s="43"/>
      <c r="H43" s="41"/>
      <c r="I43" s="33"/>
      <c r="J43" s="41"/>
      <c r="K43" s="25" t="str">
        <f aca="false">IF(AND($B43="",$E43="",$G43=""),"",IF(NOT(ISNUMBER($B43)),"日期无效",IF(ISNA(MATCH($C43,参数设置!$A$10:$A$12,0)),"公司无效",IF(ISNA(MATCH($E43,会计科目表!$B$6:$B$85,0)),"借方科目不存在",IF(ISNA(MATCH($F43,会计科目表!$B$6:$B$85,0)),"贷方科目不存在",IF($E43=$F43,"借贷科目相同",IF(N($G43)=0,"金额为 0",IF(YEAR($B43)&lt;&gt;参数设置!$B$5,"不在本会计年度","OK"))))))))</f>
        <v/>
      </c>
      <c r="L43" s="61" t="str">
        <f aca="false">IF($B43="","",YEAR($B43))</f>
        <v/>
      </c>
    </row>
    <row r="44" customFormat="false" ht="15" hidden="false" customHeight="false" outlineLevel="0" collapsed="false">
      <c r="A44" s="53" t="str">
        <f aca="false">IF($B44="","",ROW()-5)</f>
        <v/>
      </c>
      <c r="B44" s="54"/>
      <c r="C44" s="33"/>
      <c r="D44" s="41"/>
      <c r="E44" s="32"/>
      <c r="F44" s="32"/>
      <c r="G44" s="43"/>
      <c r="H44" s="41"/>
      <c r="I44" s="33"/>
      <c r="J44" s="41"/>
      <c r="K44" s="25" t="str">
        <f aca="false">IF(AND($B44="",$E44="",$G44=""),"",IF(NOT(ISNUMBER($B44)),"日期无效",IF(ISNA(MATCH($C44,参数设置!$A$10:$A$12,0)),"公司无效",IF(ISNA(MATCH($E44,会计科目表!$B$6:$B$85,0)),"借方科目不存在",IF(ISNA(MATCH($F44,会计科目表!$B$6:$B$85,0)),"贷方科目不存在",IF($E44=$F44,"借贷科目相同",IF(N($G44)=0,"金额为 0",IF(YEAR($B44)&lt;&gt;参数设置!$B$5,"不在本会计年度","OK"))))))))</f>
        <v/>
      </c>
      <c r="L44" s="61" t="str">
        <f aca="false">IF($B44="","",YEAR($B44))</f>
        <v/>
      </c>
    </row>
    <row r="45" customFormat="false" ht="15" hidden="false" customHeight="false" outlineLevel="0" collapsed="false">
      <c r="A45" s="53" t="str">
        <f aca="false">IF($B45="","",ROW()-5)</f>
        <v/>
      </c>
      <c r="B45" s="54"/>
      <c r="C45" s="33"/>
      <c r="D45" s="41"/>
      <c r="E45" s="32"/>
      <c r="F45" s="32"/>
      <c r="G45" s="43"/>
      <c r="H45" s="41"/>
      <c r="I45" s="33"/>
      <c r="J45" s="41"/>
      <c r="K45" s="25" t="str">
        <f aca="false">IF(AND($B45="",$E45="",$G45=""),"",IF(NOT(ISNUMBER($B45)),"日期无效",IF(ISNA(MATCH($C45,参数设置!$A$10:$A$12,0)),"公司无效",IF(ISNA(MATCH($E45,会计科目表!$B$6:$B$85,0)),"借方科目不存在",IF(ISNA(MATCH($F45,会计科目表!$B$6:$B$85,0)),"贷方科目不存在",IF($E45=$F45,"借贷科目相同",IF(N($G45)=0,"金额为 0",IF(YEAR($B45)&lt;&gt;参数设置!$B$5,"不在本会计年度","OK"))))))))</f>
        <v/>
      </c>
      <c r="L45" s="61" t="str">
        <f aca="false">IF($B45="","",YEAR($B45))</f>
        <v/>
      </c>
    </row>
    <row r="46" customFormat="false" ht="15" hidden="false" customHeight="false" outlineLevel="0" collapsed="false">
      <c r="A46" s="53" t="str">
        <f aca="false">IF($B46="","",ROW()-5)</f>
        <v/>
      </c>
      <c r="B46" s="54"/>
      <c r="C46" s="33"/>
      <c r="D46" s="41"/>
      <c r="E46" s="32"/>
      <c r="F46" s="32"/>
      <c r="G46" s="43"/>
      <c r="H46" s="41"/>
      <c r="I46" s="33"/>
      <c r="J46" s="41"/>
      <c r="K46" s="25" t="str">
        <f aca="false">IF(AND($B46="",$E46="",$G46=""),"",IF(NOT(ISNUMBER($B46)),"日期无效",IF(ISNA(MATCH($C46,参数设置!$A$10:$A$12,0)),"公司无效",IF(ISNA(MATCH($E46,会计科目表!$B$6:$B$85,0)),"借方科目不存在",IF(ISNA(MATCH($F46,会计科目表!$B$6:$B$85,0)),"贷方科目不存在",IF($E46=$F46,"借贷科目相同",IF(N($G46)=0,"金额为 0",IF(YEAR($B46)&lt;&gt;参数设置!$B$5,"不在本会计年度","OK"))))))))</f>
        <v/>
      </c>
      <c r="L46" s="61" t="str">
        <f aca="false">IF($B46="","",YEAR($B46))</f>
        <v/>
      </c>
    </row>
    <row r="47" customFormat="false" ht="15" hidden="false" customHeight="false" outlineLevel="0" collapsed="false">
      <c r="A47" s="53" t="str">
        <f aca="false">IF($B47="","",ROW()-5)</f>
        <v/>
      </c>
      <c r="B47" s="54"/>
      <c r="C47" s="33"/>
      <c r="D47" s="41"/>
      <c r="E47" s="32"/>
      <c r="F47" s="32"/>
      <c r="G47" s="43"/>
      <c r="H47" s="41"/>
      <c r="I47" s="33"/>
      <c r="J47" s="41"/>
      <c r="K47" s="25" t="str">
        <f aca="false">IF(AND($B47="",$E47="",$G47=""),"",IF(NOT(ISNUMBER($B47)),"日期无效",IF(ISNA(MATCH($C47,参数设置!$A$10:$A$12,0)),"公司无效",IF(ISNA(MATCH($E47,会计科目表!$B$6:$B$85,0)),"借方科目不存在",IF(ISNA(MATCH($F47,会计科目表!$B$6:$B$85,0)),"贷方科目不存在",IF($E47=$F47,"借贷科目相同",IF(N($G47)=0,"金额为 0",IF(YEAR($B47)&lt;&gt;参数设置!$B$5,"不在本会计年度","OK"))))))))</f>
        <v/>
      </c>
      <c r="L47" s="61" t="str">
        <f aca="false">IF($B47="","",YEAR($B47))</f>
        <v/>
      </c>
    </row>
    <row r="48" customFormat="false" ht="15" hidden="false" customHeight="false" outlineLevel="0" collapsed="false">
      <c r="A48" s="53" t="str">
        <f aca="false">IF($B48="","",ROW()-5)</f>
        <v/>
      </c>
      <c r="B48" s="54"/>
      <c r="C48" s="33"/>
      <c r="D48" s="41"/>
      <c r="E48" s="32"/>
      <c r="F48" s="32"/>
      <c r="G48" s="43"/>
      <c r="H48" s="41"/>
      <c r="I48" s="33"/>
      <c r="J48" s="41"/>
      <c r="K48" s="25" t="str">
        <f aca="false">IF(AND($B48="",$E48="",$G48=""),"",IF(NOT(ISNUMBER($B48)),"日期无效",IF(ISNA(MATCH($C48,参数设置!$A$10:$A$12,0)),"公司无效",IF(ISNA(MATCH($E48,会计科目表!$B$6:$B$85,0)),"借方科目不存在",IF(ISNA(MATCH($F48,会计科目表!$B$6:$B$85,0)),"贷方科目不存在",IF($E48=$F48,"借贷科目相同",IF(N($G48)=0,"金额为 0",IF(YEAR($B48)&lt;&gt;参数设置!$B$5,"不在本会计年度","OK"))))))))</f>
        <v/>
      </c>
      <c r="L48" s="61" t="str">
        <f aca="false">IF($B48="","",YEAR($B48))</f>
        <v/>
      </c>
    </row>
    <row r="49" customFormat="false" ht="15" hidden="false" customHeight="false" outlineLevel="0" collapsed="false">
      <c r="A49" s="53" t="str">
        <f aca="false">IF($B49="","",ROW()-5)</f>
        <v/>
      </c>
      <c r="B49" s="54"/>
      <c r="C49" s="33"/>
      <c r="D49" s="41"/>
      <c r="E49" s="32"/>
      <c r="F49" s="32"/>
      <c r="G49" s="43"/>
      <c r="H49" s="41"/>
      <c r="I49" s="33"/>
      <c r="J49" s="41"/>
      <c r="K49" s="25" t="str">
        <f aca="false">IF(AND($B49="",$E49="",$G49=""),"",IF(NOT(ISNUMBER($B49)),"日期无效",IF(ISNA(MATCH($C49,参数设置!$A$10:$A$12,0)),"公司无效",IF(ISNA(MATCH($E49,会计科目表!$B$6:$B$85,0)),"借方科目不存在",IF(ISNA(MATCH($F49,会计科目表!$B$6:$B$85,0)),"贷方科目不存在",IF($E49=$F49,"借贷科目相同",IF(N($G49)=0,"金额为 0",IF(YEAR($B49)&lt;&gt;参数设置!$B$5,"不在本会计年度","OK"))))))))</f>
        <v/>
      </c>
      <c r="L49" s="61" t="str">
        <f aca="false">IF($B49="","",YEAR($B49))</f>
        <v/>
      </c>
    </row>
    <row r="50" customFormat="false" ht="15" hidden="false" customHeight="false" outlineLevel="0" collapsed="false">
      <c r="A50" s="53" t="str">
        <f aca="false">IF($B50="","",ROW()-5)</f>
        <v/>
      </c>
      <c r="B50" s="54"/>
      <c r="C50" s="33"/>
      <c r="D50" s="41"/>
      <c r="E50" s="32"/>
      <c r="F50" s="32"/>
      <c r="G50" s="43"/>
      <c r="H50" s="41"/>
      <c r="I50" s="33"/>
      <c r="J50" s="41"/>
      <c r="K50" s="25" t="str">
        <f aca="false">IF(AND($B50="",$E50="",$G50=""),"",IF(NOT(ISNUMBER($B50)),"日期无效",IF(ISNA(MATCH($C50,参数设置!$A$10:$A$12,0)),"公司无效",IF(ISNA(MATCH($E50,会计科目表!$B$6:$B$85,0)),"借方科目不存在",IF(ISNA(MATCH($F50,会计科目表!$B$6:$B$85,0)),"贷方科目不存在",IF($E50=$F50,"借贷科目相同",IF(N($G50)=0,"金额为 0",IF(YEAR($B50)&lt;&gt;参数设置!$B$5,"不在本会计年度","OK"))))))))</f>
        <v/>
      </c>
      <c r="L50" s="61" t="str">
        <f aca="false">IF($B50="","",YEAR($B50))</f>
        <v/>
      </c>
    </row>
    <row r="51" customFormat="false" ht="15" hidden="false" customHeight="false" outlineLevel="0" collapsed="false">
      <c r="A51" s="53" t="str">
        <f aca="false">IF($B51="","",ROW()-5)</f>
        <v/>
      </c>
      <c r="B51" s="54"/>
      <c r="C51" s="33"/>
      <c r="D51" s="41"/>
      <c r="E51" s="32"/>
      <c r="F51" s="32"/>
      <c r="G51" s="43"/>
      <c r="H51" s="41"/>
      <c r="I51" s="33"/>
      <c r="J51" s="41"/>
      <c r="K51" s="25" t="str">
        <f aca="false">IF(AND($B51="",$E51="",$G51=""),"",IF(NOT(ISNUMBER($B51)),"日期无效",IF(ISNA(MATCH($C51,参数设置!$A$10:$A$12,0)),"公司无效",IF(ISNA(MATCH($E51,会计科目表!$B$6:$B$85,0)),"借方科目不存在",IF(ISNA(MATCH($F51,会计科目表!$B$6:$B$85,0)),"贷方科目不存在",IF($E51=$F51,"借贷科目相同",IF(N($G51)=0,"金额为 0",IF(YEAR($B51)&lt;&gt;参数设置!$B$5,"不在本会计年度","OK"))))))))</f>
        <v/>
      </c>
      <c r="L51" s="61" t="str">
        <f aca="false">IF($B51="","",YEAR($B51))</f>
        <v/>
      </c>
    </row>
    <row r="52" customFormat="false" ht="15" hidden="false" customHeight="false" outlineLevel="0" collapsed="false">
      <c r="A52" s="53" t="str">
        <f aca="false">IF($B52="","",ROW()-5)</f>
        <v/>
      </c>
      <c r="B52" s="54"/>
      <c r="C52" s="33"/>
      <c r="D52" s="41"/>
      <c r="E52" s="32"/>
      <c r="F52" s="32"/>
      <c r="G52" s="43"/>
      <c r="H52" s="41"/>
      <c r="I52" s="33"/>
      <c r="J52" s="41"/>
      <c r="K52" s="25" t="str">
        <f aca="false">IF(AND($B52="",$E52="",$G52=""),"",IF(NOT(ISNUMBER($B52)),"日期无效",IF(ISNA(MATCH($C52,参数设置!$A$10:$A$12,0)),"公司无效",IF(ISNA(MATCH($E52,会计科目表!$B$6:$B$85,0)),"借方科目不存在",IF(ISNA(MATCH($F52,会计科目表!$B$6:$B$85,0)),"贷方科目不存在",IF($E52=$F52,"借贷科目相同",IF(N($G52)=0,"金额为 0",IF(YEAR($B52)&lt;&gt;参数设置!$B$5,"不在本会计年度","OK"))))))))</f>
        <v/>
      </c>
      <c r="L52" s="61" t="str">
        <f aca="false">IF($B52="","",YEAR($B52))</f>
        <v/>
      </c>
    </row>
    <row r="53" customFormat="false" ht="15" hidden="false" customHeight="false" outlineLevel="0" collapsed="false">
      <c r="A53" s="53" t="str">
        <f aca="false">IF($B53="","",ROW()-5)</f>
        <v/>
      </c>
      <c r="B53" s="54"/>
      <c r="C53" s="33"/>
      <c r="D53" s="41"/>
      <c r="E53" s="32"/>
      <c r="F53" s="32"/>
      <c r="G53" s="43"/>
      <c r="H53" s="41"/>
      <c r="I53" s="33"/>
      <c r="J53" s="41"/>
      <c r="K53" s="25" t="str">
        <f aca="false">IF(AND($B53="",$E53="",$G53=""),"",IF(NOT(ISNUMBER($B53)),"日期无效",IF(ISNA(MATCH($C53,参数设置!$A$10:$A$12,0)),"公司无效",IF(ISNA(MATCH($E53,会计科目表!$B$6:$B$85,0)),"借方科目不存在",IF(ISNA(MATCH($F53,会计科目表!$B$6:$B$85,0)),"贷方科目不存在",IF($E53=$F53,"借贷科目相同",IF(N($G53)=0,"金额为 0",IF(YEAR($B53)&lt;&gt;参数设置!$B$5,"不在本会计年度","OK"))))))))</f>
        <v/>
      </c>
      <c r="L53" s="61" t="str">
        <f aca="false">IF($B53="","",YEAR($B53))</f>
        <v/>
      </c>
    </row>
    <row r="54" customFormat="false" ht="15" hidden="false" customHeight="false" outlineLevel="0" collapsed="false">
      <c r="A54" s="53" t="str">
        <f aca="false">IF($B54="","",ROW()-5)</f>
        <v/>
      </c>
      <c r="B54" s="54"/>
      <c r="C54" s="33"/>
      <c r="D54" s="41"/>
      <c r="E54" s="32"/>
      <c r="F54" s="32"/>
      <c r="G54" s="43"/>
      <c r="H54" s="41"/>
      <c r="I54" s="33"/>
      <c r="J54" s="41"/>
      <c r="K54" s="25" t="str">
        <f aca="false">IF(AND($B54="",$E54="",$G54=""),"",IF(NOT(ISNUMBER($B54)),"日期无效",IF(ISNA(MATCH($C54,参数设置!$A$10:$A$12,0)),"公司无效",IF(ISNA(MATCH($E54,会计科目表!$B$6:$B$85,0)),"借方科目不存在",IF(ISNA(MATCH($F54,会计科目表!$B$6:$B$85,0)),"贷方科目不存在",IF($E54=$F54,"借贷科目相同",IF(N($G54)=0,"金额为 0",IF(YEAR($B54)&lt;&gt;参数设置!$B$5,"不在本会计年度","OK"))))))))</f>
        <v/>
      </c>
      <c r="L54" s="61" t="str">
        <f aca="false">IF($B54="","",YEAR($B54))</f>
        <v/>
      </c>
    </row>
    <row r="55" customFormat="false" ht="15" hidden="false" customHeight="false" outlineLevel="0" collapsed="false">
      <c r="A55" s="53" t="str">
        <f aca="false">IF($B55="","",ROW()-5)</f>
        <v/>
      </c>
      <c r="B55" s="54"/>
      <c r="C55" s="33"/>
      <c r="D55" s="41"/>
      <c r="E55" s="32"/>
      <c r="F55" s="32"/>
      <c r="G55" s="43"/>
      <c r="H55" s="41"/>
      <c r="I55" s="33"/>
      <c r="J55" s="41"/>
      <c r="K55" s="25" t="str">
        <f aca="false">IF(AND($B55="",$E55="",$G55=""),"",IF(NOT(ISNUMBER($B55)),"日期无效",IF(ISNA(MATCH($C55,参数设置!$A$10:$A$12,0)),"公司无效",IF(ISNA(MATCH($E55,会计科目表!$B$6:$B$85,0)),"借方科目不存在",IF(ISNA(MATCH($F55,会计科目表!$B$6:$B$85,0)),"贷方科目不存在",IF($E55=$F55,"借贷科目相同",IF(N($G55)=0,"金额为 0",IF(YEAR($B55)&lt;&gt;参数设置!$B$5,"不在本会计年度","OK"))))))))</f>
        <v/>
      </c>
      <c r="L55" s="61" t="str">
        <f aca="false">IF($B55="","",YEAR($B55))</f>
        <v/>
      </c>
    </row>
    <row r="56" customFormat="false" ht="15" hidden="false" customHeight="false" outlineLevel="0" collapsed="false">
      <c r="A56" s="53" t="str">
        <f aca="false">IF($B56="","",ROW()-5)</f>
        <v/>
      </c>
      <c r="B56" s="54"/>
      <c r="C56" s="33"/>
      <c r="D56" s="41"/>
      <c r="E56" s="32"/>
      <c r="F56" s="32"/>
      <c r="G56" s="43"/>
      <c r="H56" s="41"/>
      <c r="I56" s="33"/>
      <c r="J56" s="41"/>
      <c r="K56" s="25" t="str">
        <f aca="false">IF(AND($B56="",$E56="",$G56=""),"",IF(NOT(ISNUMBER($B56)),"日期无效",IF(ISNA(MATCH($C56,参数设置!$A$10:$A$12,0)),"公司无效",IF(ISNA(MATCH($E56,会计科目表!$B$6:$B$85,0)),"借方科目不存在",IF(ISNA(MATCH($F56,会计科目表!$B$6:$B$85,0)),"贷方科目不存在",IF($E56=$F56,"借贷科目相同",IF(N($G56)=0,"金额为 0",IF(YEAR($B56)&lt;&gt;参数设置!$B$5,"不在本会计年度","OK"))))))))</f>
        <v/>
      </c>
      <c r="L56" s="61" t="str">
        <f aca="false">IF($B56="","",YEAR($B56))</f>
        <v/>
      </c>
    </row>
    <row r="57" customFormat="false" ht="15" hidden="false" customHeight="false" outlineLevel="0" collapsed="false">
      <c r="A57" s="53" t="str">
        <f aca="false">IF($B57="","",ROW()-5)</f>
        <v/>
      </c>
      <c r="B57" s="54"/>
      <c r="C57" s="33"/>
      <c r="D57" s="41"/>
      <c r="E57" s="32"/>
      <c r="F57" s="32"/>
      <c r="G57" s="43"/>
      <c r="H57" s="41"/>
      <c r="I57" s="33"/>
      <c r="J57" s="41"/>
      <c r="K57" s="25" t="str">
        <f aca="false">IF(AND($B57="",$E57="",$G57=""),"",IF(NOT(ISNUMBER($B57)),"日期无效",IF(ISNA(MATCH($C57,参数设置!$A$10:$A$12,0)),"公司无效",IF(ISNA(MATCH($E57,会计科目表!$B$6:$B$85,0)),"借方科目不存在",IF(ISNA(MATCH($F57,会计科目表!$B$6:$B$85,0)),"贷方科目不存在",IF($E57=$F57,"借贷科目相同",IF(N($G57)=0,"金额为 0",IF(YEAR($B57)&lt;&gt;参数设置!$B$5,"不在本会计年度","OK"))))))))</f>
        <v/>
      </c>
      <c r="L57" s="61" t="str">
        <f aca="false">IF($B57="","",YEAR($B57))</f>
        <v/>
      </c>
    </row>
    <row r="58" customFormat="false" ht="15" hidden="false" customHeight="false" outlineLevel="0" collapsed="false">
      <c r="A58" s="53" t="str">
        <f aca="false">IF($B58="","",ROW()-5)</f>
        <v/>
      </c>
      <c r="B58" s="54"/>
      <c r="C58" s="33"/>
      <c r="D58" s="41"/>
      <c r="E58" s="32"/>
      <c r="F58" s="32"/>
      <c r="G58" s="43"/>
      <c r="H58" s="41"/>
      <c r="I58" s="33"/>
      <c r="J58" s="41"/>
      <c r="K58" s="25" t="str">
        <f aca="false">IF(AND($B58="",$E58="",$G58=""),"",IF(NOT(ISNUMBER($B58)),"日期无效",IF(ISNA(MATCH($C58,参数设置!$A$10:$A$12,0)),"公司无效",IF(ISNA(MATCH($E58,会计科目表!$B$6:$B$85,0)),"借方科目不存在",IF(ISNA(MATCH($F58,会计科目表!$B$6:$B$85,0)),"贷方科目不存在",IF($E58=$F58,"借贷科目相同",IF(N($G58)=0,"金额为 0",IF(YEAR($B58)&lt;&gt;参数设置!$B$5,"不在本会计年度","OK"))))))))</f>
        <v/>
      </c>
      <c r="L58" s="61" t="str">
        <f aca="false">IF($B58="","",YEAR($B58))</f>
        <v/>
      </c>
    </row>
    <row r="59" customFormat="false" ht="15" hidden="false" customHeight="false" outlineLevel="0" collapsed="false">
      <c r="A59" s="53" t="str">
        <f aca="false">IF($B59="","",ROW()-5)</f>
        <v/>
      </c>
      <c r="B59" s="54"/>
      <c r="C59" s="33"/>
      <c r="D59" s="41"/>
      <c r="E59" s="32"/>
      <c r="F59" s="32"/>
      <c r="G59" s="43"/>
      <c r="H59" s="41"/>
      <c r="I59" s="33"/>
      <c r="J59" s="41"/>
      <c r="K59" s="25" t="str">
        <f aca="false">IF(AND($B59="",$E59="",$G59=""),"",IF(NOT(ISNUMBER($B59)),"日期无效",IF(ISNA(MATCH($C59,参数设置!$A$10:$A$12,0)),"公司无效",IF(ISNA(MATCH($E59,会计科目表!$B$6:$B$85,0)),"借方科目不存在",IF(ISNA(MATCH($F59,会计科目表!$B$6:$B$85,0)),"贷方科目不存在",IF($E59=$F59,"借贷科目相同",IF(N($G59)=0,"金额为 0",IF(YEAR($B59)&lt;&gt;参数设置!$B$5,"不在本会计年度","OK"))))))))</f>
        <v/>
      </c>
      <c r="L59" s="61" t="str">
        <f aca="false">IF($B59="","",YEAR($B59))</f>
        <v/>
      </c>
    </row>
    <row r="60" customFormat="false" ht="15" hidden="false" customHeight="false" outlineLevel="0" collapsed="false">
      <c r="A60" s="53" t="str">
        <f aca="false">IF($B60="","",ROW()-5)</f>
        <v/>
      </c>
      <c r="B60" s="54"/>
      <c r="C60" s="33"/>
      <c r="D60" s="41"/>
      <c r="E60" s="32"/>
      <c r="F60" s="32"/>
      <c r="G60" s="43"/>
      <c r="H60" s="41"/>
      <c r="I60" s="33"/>
      <c r="J60" s="41"/>
      <c r="K60" s="25" t="str">
        <f aca="false">IF(AND($B60="",$E60="",$G60=""),"",IF(NOT(ISNUMBER($B60)),"日期无效",IF(ISNA(MATCH($C60,参数设置!$A$10:$A$12,0)),"公司无效",IF(ISNA(MATCH($E60,会计科目表!$B$6:$B$85,0)),"借方科目不存在",IF(ISNA(MATCH($F60,会计科目表!$B$6:$B$85,0)),"贷方科目不存在",IF($E60=$F60,"借贷科目相同",IF(N($G60)=0,"金额为 0",IF(YEAR($B60)&lt;&gt;参数设置!$B$5,"不在本会计年度","OK"))))))))</f>
        <v/>
      </c>
      <c r="L60" s="61" t="str">
        <f aca="false">IF($B60="","",YEAR($B60))</f>
        <v/>
      </c>
    </row>
    <row r="61" customFormat="false" ht="15" hidden="false" customHeight="false" outlineLevel="0" collapsed="false">
      <c r="A61" s="53" t="str">
        <f aca="false">IF($B61="","",ROW()-5)</f>
        <v/>
      </c>
      <c r="B61" s="54"/>
      <c r="C61" s="33"/>
      <c r="D61" s="41"/>
      <c r="E61" s="32"/>
      <c r="F61" s="32"/>
      <c r="G61" s="43"/>
      <c r="H61" s="41"/>
      <c r="I61" s="33"/>
      <c r="J61" s="41"/>
      <c r="K61" s="25" t="str">
        <f aca="false">IF(AND($B61="",$E61="",$G61=""),"",IF(NOT(ISNUMBER($B61)),"日期无效",IF(ISNA(MATCH($C61,参数设置!$A$10:$A$12,0)),"公司无效",IF(ISNA(MATCH($E61,会计科目表!$B$6:$B$85,0)),"借方科目不存在",IF(ISNA(MATCH($F61,会计科目表!$B$6:$B$85,0)),"贷方科目不存在",IF($E61=$F61,"借贷科目相同",IF(N($G61)=0,"金额为 0",IF(YEAR($B61)&lt;&gt;参数设置!$B$5,"不在本会计年度","OK"))))))))</f>
        <v/>
      </c>
      <c r="L61" s="61" t="str">
        <f aca="false">IF($B61="","",YEAR($B61))</f>
        <v/>
      </c>
    </row>
    <row r="62" customFormat="false" ht="15" hidden="false" customHeight="false" outlineLevel="0" collapsed="false">
      <c r="A62" s="53" t="str">
        <f aca="false">IF($B62="","",ROW()-5)</f>
        <v/>
      </c>
      <c r="B62" s="54"/>
      <c r="C62" s="33"/>
      <c r="D62" s="41"/>
      <c r="E62" s="32"/>
      <c r="F62" s="32"/>
      <c r="G62" s="43"/>
      <c r="H62" s="41"/>
      <c r="I62" s="33"/>
      <c r="J62" s="41"/>
      <c r="K62" s="25" t="str">
        <f aca="false">IF(AND($B62="",$E62="",$G62=""),"",IF(NOT(ISNUMBER($B62)),"日期无效",IF(ISNA(MATCH($C62,参数设置!$A$10:$A$12,0)),"公司无效",IF(ISNA(MATCH($E62,会计科目表!$B$6:$B$85,0)),"借方科目不存在",IF(ISNA(MATCH($F62,会计科目表!$B$6:$B$85,0)),"贷方科目不存在",IF($E62=$F62,"借贷科目相同",IF(N($G62)=0,"金额为 0",IF(YEAR($B62)&lt;&gt;参数设置!$B$5,"不在本会计年度","OK"))))))))</f>
        <v/>
      </c>
      <c r="L62" s="61" t="str">
        <f aca="false">IF($B62="","",YEAR($B62))</f>
        <v/>
      </c>
    </row>
    <row r="63" customFormat="false" ht="15" hidden="false" customHeight="false" outlineLevel="0" collapsed="false">
      <c r="A63" s="53" t="str">
        <f aca="false">IF($B63="","",ROW()-5)</f>
        <v/>
      </c>
      <c r="B63" s="54"/>
      <c r="C63" s="33"/>
      <c r="D63" s="41"/>
      <c r="E63" s="32"/>
      <c r="F63" s="32"/>
      <c r="G63" s="43"/>
      <c r="H63" s="41"/>
      <c r="I63" s="33"/>
      <c r="J63" s="41"/>
      <c r="K63" s="25" t="str">
        <f aca="false">IF(AND($B63="",$E63="",$G63=""),"",IF(NOT(ISNUMBER($B63)),"日期无效",IF(ISNA(MATCH($C63,参数设置!$A$10:$A$12,0)),"公司无效",IF(ISNA(MATCH($E63,会计科目表!$B$6:$B$85,0)),"借方科目不存在",IF(ISNA(MATCH($F63,会计科目表!$B$6:$B$85,0)),"贷方科目不存在",IF($E63=$F63,"借贷科目相同",IF(N($G63)=0,"金额为 0",IF(YEAR($B63)&lt;&gt;参数设置!$B$5,"不在本会计年度","OK"))))))))</f>
        <v/>
      </c>
      <c r="L63" s="61" t="str">
        <f aca="false">IF($B63="","",YEAR($B63))</f>
        <v/>
      </c>
    </row>
    <row r="64" customFormat="false" ht="15" hidden="false" customHeight="false" outlineLevel="0" collapsed="false">
      <c r="A64" s="53" t="str">
        <f aca="false">IF($B64="","",ROW()-5)</f>
        <v/>
      </c>
      <c r="B64" s="54"/>
      <c r="C64" s="33"/>
      <c r="D64" s="41"/>
      <c r="E64" s="32"/>
      <c r="F64" s="32"/>
      <c r="G64" s="43"/>
      <c r="H64" s="41"/>
      <c r="I64" s="33"/>
      <c r="J64" s="41"/>
      <c r="K64" s="25" t="str">
        <f aca="false">IF(AND($B64="",$E64="",$G64=""),"",IF(NOT(ISNUMBER($B64)),"日期无效",IF(ISNA(MATCH($C64,参数设置!$A$10:$A$12,0)),"公司无效",IF(ISNA(MATCH($E64,会计科目表!$B$6:$B$85,0)),"借方科目不存在",IF(ISNA(MATCH($F64,会计科目表!$B$6:$B$85,0)),"贷方科目不存在",IF($E64=$F64,"借贷科目相同",IF(N($G64)=0,"金额为 0",IF(YEAR($B64)&lt;&gt;参数设置!$B$5,"不在本会计年度","OK"))))))))</f>
        <v/>
      </c>
      <c r="L64" s="61" t="str">
        <f aca="false">IF($B64="","",YEAR($B64))</f>
        <v/>
      </c>
    </row>
    <row r="65" customFormat="false" ht="15" hidden="false" customHeight="false" outlineLevel="0" collapsed="false">
      <c r="A65" s="53" t="str">
        <f aca="false">IF($B65="","",ROW()-5)</f>
        <v/>
      </c>
      <c r="B65" s="54"/>
      <c r="C65" s="33"/>
      <c r="D65" s="41"/>
      <c r="E65" s="32"/>
      <c r="F65" s="32"/>
      <c r="G65" s="43"/>
      <c r="H65" s="41"/>
      <c r="I65" s="33"/>
      <c r="J65" s="41"/>
      <c r="K65" s="25" t="str">
        <f aca="false">IF(AND($B65="",$E65="",$G65=""),"",IF(NOT(ISNUMBER($B65)),"日期无效",IF(ISNA(MATCH($C65,参数设置!$A$10:$A$12,0)),"公司无效",IF(ISNA(MATCH($E65,会计科目表!$B$6:$B$85,0)),"借方科目不存在",IF(ISNA(MATCH($F65,会计科目表!$B$6:$B$85,0)),"贷方科目不存在",IF($E65=$F65,"借贷科目相同",IF(N($G65)=0,"金额为 0",IF(YEAR($B65)&lt;&gt;参数设置!$B$5,"不在本会计年度","OK"))))))))</f>
        <v/>
      </c>
      <c r="L65" s="61" t="str">
        <f aca="false">IF($B65="","",YEAR($B65))</f>
        <v/>
      </c>
    </row>
    <row r="66" customFormat="false" ht="15" hidden="false" customHeight="false" outlineLevel="0" collapsed="false">
      <c r="A66" s="53" t="str">
        <f aca="false">IF($B66="","",ROW()-5)</f>
        <v/>
      </c>
      <c r="B66" s="54"/>
      <c r="C66" s="33"/>
      <c r="D66" s="41"/>
      <c r="E66" s="32"/>
      <c r="F66" s="32"/>
      <c r="G66" s="43"/>
      <c r="H66" s="41"/>
      <c r="I66" s="33"/>
      <c r="J66" s="41"/>
      <c r="K66" s="25" t="str">
        <f aca="false">IF(AND($B66="",$E66="",$G66=""),"",IF(NOT(ISNUMBER($B66)),"日期无效",IF(ISNA(MATCH($C66,参数设置!$A$10:$A$12,0)),"公司无效",IF(ISNA(MATCH($E66,会计科目表!$B$6:$B$85,0)),"借方科目不存在",IF(ISNA(MATCH($F66,会计科目表!$B$6:$B$85,0)),"贷方科目不存在",IF($E66=$F66,"借贷科目相同",IF(N($G66)=0,"金额为 0",IF(YEAR($B66)&lt;&gt;参数设置!$B$5,"不在本会计年度","OK"))))))))</f>
        <v/>
      </c>
      <c r="L66" s="61" t="str">
        <f aca="false">IF($B66="","",YEAR($B66))</f>
        <v/>
      </c>
    </row>
    <row r="67" customFormat="false" ht="15" hidden="false" customHeight="false" outlineLevel="0" collapsed="false">
      <c r="A67" s="53" t="str">
        <f aca="false">IF($B67="","",ROW()-5)</f>
        <v/>
      </c>
      <c r="B67" s="54"/>
      <c r="C67" s="33"/>
      <c r="D67" s="41"/>
      <c r="E67" s="32"/>
      <c r="F67" s="32"/>
      <c r="G67" s="43"/>
      <c r="H67" s="41"/>
      <c r="I67" s="33"/>
      <c r="J67" s="41"/>
      <c r="K67" s="25" t="str">
        <f aca="false">IF(AND($B67="",$E67="",$G67=""),"",IF(NOT(ISNUMBER($B67)),"日期无效",IF(ISNA(MATCH($C67,参数设置!$A$10:$A$12,0)),"公司无效",IF(ISNA(MATCH($E67,会计科目表!$B$6:$B$85,0)),"借方科目不存在",IF(ISNA(MATCH($F67,会计科目表!$B$6:$B$85,0)),"贷方科目不存在",IF($E67=$F67,"借贷科目相同",IF(N($G67)=0,"金额为 0",IF(YEAR($B67)&lt;&gt;参数设置!$B$5,"不在本会计年度","OK"))))))))</f>
        <v/>
      </c>
      <c r="L67" s="61" t="str">
        <f aca="false">IF($B67="","",YEAR($B67))</f>
        <v/>
      </c>
    </row>
    <row r="68" customFormat="false" ht="15" hidden="false" customHeight="false" outlineLevel="0" collapsed="false">
      <c r="A68" s="53" t="str">
        <f aca="false">IF($B68="","",ROW()-5)</f>
        <v/>
      </c>
      <c r="B68" s="54"/>
      <c r="C68" s="33"/>
      <c r="D68" s="41"/>
      <c r="E68" s="32"/>
      <c r="F68" s="32"/>
      <c r="G68" s="43"/>
      <c r="H68" s="41"/>
      <c r="I68" s="33"/>
      <c r="J68" s="41"/>
      <c r="K68" s="25" t="str">
        <f aca="false">IF(AND($B68="",$E68="",$G68=""),"",IF(NOT(ISNUMBER($B68)),"日期无效",IF(ISNA(MATCH($C68,参数设置!$A$10:$A$12,0)),"公司无效",IF(ISNA(MATCH($E68,会计科目表!$B$6:$B$85,0)),"借方科目不存在",IF(ISNA(MATCH($F68,会计科目表!$B$6:$B$85,0)),"贷方科目不存在",IF($E68=$F68,"借贷科目相同",IF(N($G68)=0,"金额为 0",IF(YEAR($B68)&lt;&gt;参数设置!$B$5,"不在本会计年度","OK"))))))))</f>
        <v/>
      </c>
      <c r="L68" s="61" t="str">
        <f aca="false">IF($B68="","",YEAR($B68))</f>
        <v/>
      </c>
    </row>
    <row r="69" customFormat="false" ht="15" hidden="false" customHeight="false" outlineLevel="0" collapsed="false">
      <c r="A69" s="53" t="str">
        <f aca="false">IF($B69="","",ROW()-5)</f>
        <v/>
      </c>
      <c r="B69" s="54"/>
      <c r="C69" s="33"/>
      <c r="D69" s="41"/>
      <c r="E69" s="32"/>
      <c r="F69" s="32"/>
      <c r="G69" s="43"/>
      <c r="H69" s="41"/>
      <c r="I69" s="33"/>
      <c r="J69" s="41"/>
      <c r="K69" s="25" t="str">
        <f aca="false">IF(AND($B69="",$E69="",$G69=""),"",IF(NOT(ISNUMBER($B69)),"日期无效",IF(ISNA(MATCH($C69,参数设置!$A$10:$A$12,0)),"公司无效",IF(ISNA(MATCH($E69,会计科目表!$B$6:$B$85,0)),"借方科目不存在",IF(ISNA(MATCH($F69,会计科目表!$B$6:$B$85,0)),"贷方科目不存在",IF($E69=$F69,"借贷科目相同",IF(N($G69)=0,"金额为 0",IF(YEAR($B69)&lt;&gt;参数设置!$B$5,"不在本会计年度","OK"))))))))</f>
        <v/>
      </c>
      <c r="L69" s="61" t="str">
        <f aca="false">IF($B69="","",YEAR($B69))</f>
        <v/>
      </c>
    </row>
    <row r="70" customFormat="false" ht="15" hidden="false" customHeight="false" outlineLevel="0" collapsed="false">
      <c r="A70" s="53" t="str">
        <f aca="false">IF($B70="","",ROW()-5)</f>
        <v/>
      </c>
      <c r="B70" s="54"/>
      <c r="C70" s="33"/>
      <c r="D70" s="41"/>
      <c r="E70" s="32"/>
      <c r="F70" s="32"/>
      <c r="G70" s="43"/>
      <c r="H70" s="41"/>
      <c r="I70" s="33"/>
      <c r="J70" s="41"/>
      <c r="K70" s="25" t="str">
        <f aca="false">IF(AND($B70="",$E70="",$G70=""),"",IF(NOT(ISNUMBER($B70)),"日期无效",IF(ISNA(MATCH($C70,参数设置!$A$10:$A$12,0)),"公司无效",IF(ISNA(MATCH($E70,会计科目表!$B$6:$B$85,0)),"借方科目不存在",IF(ISNA(MATCH($F70,会计科目表!$B$6:$B$85,0)),"贷方科目不存在",IF($E70=$F70,"借贷科目相同",IF(N($G70)=0,"金额为 0",IF(YEAR($B70)&lt;&gt;参数设置!$B$5,"不在本会计年度","OK"))))))))</f>
        <v/>
      </c>
      <c r="L70" s="61" t="str">
        <f aca="false">IF($B70="","",YEAR($B70))</f>
        <v/>
      </c>
    </row>
    <row r="71" customFormat="false" ht="15" hidden="false" customHeight="false" outlineLevel="0" collapsed="false">
      <c r="A71" s="53" t="str">
        <f aca="false">IF($B71="","",ROW()-5)</f>
        <v/>
      </c>
      <c r="B71" s="54"/>
      <c r="C71" s="33"/>
      <c r="D71" s="41"/>
      <c r="E71" s="32"/>
      <c r="F71" s="32"/>
      <c r="G71" s="43"/>
      <c r="H71" s="41"/>
      <c r="I71" s="33"/>
      <c r="J71" s="41"/>
      <c r="K71" s="25" t="str">
        <f aca="false">IF(AND($B71="",$E71="",$G71=""),"",IF(NOT(ISNUMBER($B71)),"日期无效",IF(ISNA(MATCH($C71,参数设置!$A$10:$A$12,0)),"公司无效",IF(ISNA(MATCH($E71,会计科目表!$B$6:$B$85,0)),"借方科目不存在",IF(ISNA(MATCH($F71,会计科目表!$B$6:$B$85,0)),"贷方科目不存在",IF($E71=$F71,"借贷科目相同",IF(N($G71)=0,"金额为 0",IF(YEAR($B71)&lt;&gt;参数设置!$B$5,"不在本会计年度","OK"))))))))</f>
        <v/>
      </c>
      <c r="L71" s="61" t="str">
        <f aca="false">IF($B71="","",YEAR($B71))</f>
        <v/>
      </c>
    </row>
    <row r="72" customFormat="false" ht="15" hidden="false" customHeight="false" outlineLevel="0" collapsed="false">
      <c r="A72" s="53" t="str">
        <f aca="false">IF($B72="","",ROW()-5)</f>
        <v/>
      </c>
      <c r="B72" s="54"/>
      <c r="C72" s="33"/>
      <c r="D72" s="41"/>
      <c r="E72" s="32"/>
      <c r="F72" s="32"/>
      <c r="G72" s="43"/>
      <c r="H72" s="41"/>
      <c r="I72" s="33"/>
      <c r="J72" s="41"/>
      <c r="K72" s="25" t="str">
        <f aca="false">IF(AND($B72="",$E72="",$G72=""),"",IF(NOT(ISNUMBER($B72)),"日期无效",IF(ISNA(MATCH($C72,参数设置!$A$10:$A$12,0)),"公司无效",IF(ISNA(MATCH($E72,会计科目表!$B$6:$B$85,0)),"借方科目不存在",IF(ISNA(MATCH($F72,会计科目表!$B$6:$B$85,0)),"贷方科目不存在",IF($E72=$F72,"借贷科目相同",IF(N($G72)=0,"金额为 0",IF(YEAR($B72)&lt;&gt;参数设置!$B$5,"不在本会计年度","OK"))))))))</f>
        <v/>
      </c>
      <c r="L72" s="61" t="str">
        <f aca="false">IF($B72="","",YEAR($B72))</f>
        <v/>
      </c>
    </row>
    <row r="73" customFormat="false" ht="15" hidden="false" customHeight="false" outlineLevel="0" collapsed="false">
      <c r="A73" s="53" t="str">
        <f aca="false">IF($B73="","",ROW()-5)</f>
        <v/>
      </c>
      <c r="B73" s="54"/>
      <c r="C73" s="33"/>
      <c r="D73" s="41"/>
      <c r="E73" s="32"/>
      <c r="F73" s="32"/>
      <c r="G73" s="43"/>
      <c r="H73" s="41"/>
      <c r="I73" s="33"/>
      <c r="J73" s="41"/>
      <c r="K73" s="25" t="str">
        <f aca="false">IF(AND($B73="",$E73="",$G73=""),"",IF(NOT(ISNUMBER($B73)),"日期无效",IF(ISNA(MATCH($C73,参数设置!$A$10:$A$12,0)),"公司无效",IF(ISNA(MATCH($E73,会计科目表!$B$6:$B$85,0)),"借方科目不存在",IF(ISNA(MATCH($F73,会计科目表!$B$6:$B$85,0)),"贷方科目不存在",IF($E73=$F73,"借贷科目相同",IF(N($G73)=0,"金额为 0",IF(YEAR($B73)&lt;&gt;参数设置!$B$5,"不在本会计年度","OK"))))))))</f>
        <v/>
      </c>
      <c r="L73" s="61" t="str">
        <f aca="false">IF($B73="","",YEAR($B73))</f>
        <v/>
      </c>
    </row>
    <row r="74" customFormat="false" ht="15" hidden="false" customHeight="false" outlineLevel="0" collapsed="false">
      <c r="A74" s="53" t="str">
        <f aca="false">IF($B74="","",ROW()-5)</f>
        <v/>
      </c>
      <c r="B74" s="54"/>
      <c r="C74" s="33"/>
      <c r="D74" s="41"/>
      <c r="E74" s="32"/>
      <c r="F74" s="32"/>
      <c r="G74" s="43"/>
      <c r="H74" s="41"/>
      <c r="I74" s="33"/>
      <c r="J74" s="41"/>
      <c r="K74" s="25" t="str">
        <f aca="false">IF(AND($B74="",$E74="",$G74=""),"",IF(NOT(ISNUMBER($B74)),"日期无效",IF(ISNA(MATCH($C74,参数设置!$A$10:$A$12,0)),"公司无效",IF(ISNA(MATCH($E74,会计科目表!$B$6:$B$85,0)),"借方科目不存在",IF(ISNA(MATCH($F74,会计科目表!$B$6:$B$85,0)),"贷方科目不存在",IF($E74=$F74,"借贷科目相同",IF(N($G74)=0,"金额为 0",IF(YEAR($B74)&lt;&gt;参数设置!$B$5,"不在本会计年度","OK"))))))))</f>
        <v/>
      </c>
      <c r="L74" s="61" t="str">
        <f aca="false">IF($B74="","",YEAR($B74))</f>
        <v/>
      </c>
    </row>
    <row r="75" customFormat="false" ht="15" hidden="false" customHeight="false" outlineLevel="0" collapsed="false">
      <c r="A75" s="53" t="str">
        <f aca="false">IF($B75="","",ROW()-5)</f>
        <v/>
      </c>
      <c r="B75" s="54"/>
      <c r="C75" s="33"/>
      <c r="D75" s="41"/>
      <c r="E75" s="32"/>
      <c r="F75" s="32"/>
      <c r="G75" s="43"/>
      <c r="H75" s="41"/>
      <c r="I75" s="33"/>
      <c r="J75" s="41"/>
      <c r="K75" s="25" t="str">
        <f aca="false">IF(AND($B75="",$E75="",$G75=""),"",IF(NOT(ISNUMBER($B75)),"日期无效",IF(ISNA(MATCH($C75,参数设置!$A$10:$A$12,0)),"公司无效",IF(ISNA(MATCH($E75,会计科目表!$B$6:$B$85,0)),"借方科目不存在",IF(ISNA(MATCH($F75,会计科目表!$B$6:$B$85,0)),"贷方科目不存在",IF($E75=$F75,"借贷科目相同",IF(N($G75)=0,"金额为 0",IF(YEAR($B75)&lt;&gt;参数设置!$B$5,"不在本会计年度","OK"))))))))</f>
        <v/>
      </c>
      <c r="L75" s="61" t="str">
        <f aca="false">IF($B75="","",YEAR($B75))</f>
        <v/>
      </c>
    </row>
    <row r="76" customFormat="false" ht="15" hidden="false" customHeight="false" outlineLevel="0" collapsed="false">
      <c r="A76" s="53" t="str">
        <f aca="false">IF($B76="","",ROW()-5)</f>
        <v/>
      </c>
      <c r="B76" s="54"/>
      <c r="C76" s="33"/>
      <c r="D76" s="41"/>
      <c r="E76" s="32"/>
      <c r="F76" s="32"/>
      <c r="G76" s="43"/>
      <c r="H76" s="41"/>
      <c r="I76" s="33"/>
      <c r="J76" s="41"/>
      <c r="K76" s="25" t="str">
        <f aca="false">IF(AND($B76="",$E76="",$G76=""),"",IF(NOT(ISNUMBER($B76)),"日期无效",IF(ISNA(MATCH($C76,参数设置!$A$10:$A$12,0)),"公司无效",IF(ISNA(MATCH($E76,会计科目表!$B$6:$B$85,0)),"借方科目不存在",IF(ISNA(MATCH($F76,会计科目表!$B$6:$B$85,0)),"贷方科目不存在",IF($E76=$F76,"借贷科目相同",IF(N($G76)=0,"金额为 0",IF(YEAR($B76)&lt;&gt;参数设置!$B$5,"不在本会计年度","OK"))))))))</f>
        <v/>
      </c>
      <c r="L76" s="61" t="str">
        <f aca="false">IF($B76="","",YEAR($B76))</f>
        <v/>
      </c>
    </row>
    <row r="77" customFormat="false" ht="15" hidden="false" customHeight="false" outlineLevel="0" collapsed="false">
      <c r="A77" s="53" t="str">
        <f aca="false">IF($B77="","",ROW()-5)</f>
        <v/>
      </c>
      <c r="B77" s="54"/>
      <c r="C77" s="33"/>
      <c r="D77" s="41"/>
      <c r="E77" s="32"/>
      <c r="F77" s="32"/>
      <c r="G77" s="43"/>
      <c r="H77" s="41"/>
      <c r="I77" s="33"/>
      <c r="J77" s="41"/>
      <c r="K77" s="25" t="str">
        <f aca="false">IF(AND($B77="",$E77="",$G77=""),"",IF(NOT(ISNUMBER($B77)),"日期无效",IF(ISNA(MATCH($C77,参数设置!$A$10:$A$12,0)),"公司无效",IF(ISNA(MATCH($E77,会计科目表!$B$6:$B$85,0)),"借方科目不存在",IF(ISNA(MATCH($F77,会计科目表!$B$6:$B$85,0)),"贷方科目不存在",IF($E77=$F77,"借贷科目相同",IF(N($G77)=0,"金额为 0",IF(YEAR($B77)&lt;&gt;参数设置!$B$5,"不在本会计年度","OK"))))))))</f>
        <v/>
      </c>
      <c r="L77" s="61" t="str">
        <f aca="false">IF($B77="","",YEAR($B77))</f>
        <v/>
      </c>
    </row>
    <row r="78" customFormat="false" ht="15" hidden="false" customHeight="false" outlineLevel="0" collapsed="false">
      <c r="A78" s="53" t="str">
        <f aca="false">IF($B78="","",ROW()-5)</f>
        <v/>
      </c>
      <c r="B78" s="54"/>
      <c r="C78" s="33"/>
      <c r="D78" s="41"/>
      <c r="E78" s="32"/>
      <c r="F78" s="32"/>
      <c r="G78" s="43"/>
      <c r="H78" s="41"/>
      <c r="I78" s="33"/>
      <c r="J78" s="41"/>
      <c r="K78" s="25" t="str">
        <f aca="false">IF(AND($B78="",$E78="",$G78=""),"",IF(NOT(ISNUMBER($B78)),"日期无效",IF(ISNA(MATCH($C78,参数设置!$A$10:$A$12,0)),"公司无效",IF(ISNA(MATCH($E78,会计科目表!$B$6:$B$85,0)),"借方科目不存在",IF(ISNA(MATCH($F78,会计科目表!$B$6:$B$85,0)),"贷方科目不存在",IF($E78=$F78,"借贷科目相同",IF(N($G78)=0,"金额为 0",IF(YEAR($B78)&lt;&gt;参数设置!$B$5,"不在本会计年度","OK"))))))))</f>
        <v/>
      </c>
      <c r="L78" s="61" t="str">
        <f aca="false">IF($B78="","",YEAR($B78))</f>
        <v/>
      </c>
    </row>
    <row r="79" customFormat="false" ht="15" hidden="false" customHeight="false" outlineLevel="0" collapsed="false">
      <c r="A79" s="53" t="str">
        <f aca="false">IF($B79="","",ROW()-5)</f>
        <v/>
      </c>
      <c r="B79" s="54"/>
      <c r="C79" s="33"/>
      <c r="D79" s="41"/>
      <c r="E79" s="32"/>
      <c r="F79" s="32"/>
      <c r="G79" s="43"/>
      <c r="H79" s="41"/>
      <c r="I79" s="33"/>
      <c r="J79" s="41"/>
      <c r="K79" s="25" t="str">
        <f aca="false">IF(AND($B79="",$E79="",$G79=""),"",IF(NOT(ISNUMBER($B79)),"日期无效",IF(ISNA(MATCH($C79,参数设置!$A$10:$A$12,0)),"公司无效",IF(ISNA(MATCH($E79,会计科目表!$B$6:$B$85,0)),"借方科目不存在",IF(ISNA(MATCH($F79,会计科目表!$B$6:$B$85,0)),"贷方科目不存在",IF($E79=$F79,"借贷科目相同",IF(N($G79)=0,"金额为 0",IF(YEAR($B79)&lt;&gt;参数设置!$B$5,"不在本会计年度","OK"))))))))</f>
        <v/>
      </c>
      <c r="L79" s="61" t="str">
        <f aca="false">IF($B79="","",YEAR($B79))</f>
        <v/>
      </c>
    </row>
    <row r="80" customFormat="false" ht="15" hidden="false" customHeight="false" outlineLevel="0" collapsed="false">
      <c r="A80" s="53" t="str">
        <f aca="false">IF($B80="","",ROW()-5)</f>
        <v/>
      </c>
      <c r="B80" s="54"/>
      <c r="C80" s="33"/>
      <c r="D80" s="41"/>
      <c r="E80" s="32"/>
      <c r="F80" s="32"/>
      <c r="G80" s="43"/>
      <c r="H80" s="41"/>
      <c r="I80" s="33"/>
      <c r="J80" s="41"/>
      <c r="K80" s="25" t="str">
        <f aca="false">IF(AND($B80="",$E80="",$G80=""),"",IF(NOT(ISNUMBER($B80)),"日期无效",IF(ISNA(MATCH($C80,参数设置!$A$10:$A$12,0)),"公司无效",IF(ISNA(MATCH($E80,会计科目表!$B$6:$B$85,0)),"借方科目不存在",IF(ISNA(MATCH($F80,会计科目表!$B$6:$B$85,0)),"贷方科目不存在",IF($E80=$F80,"借贷科目相同",IF(N($G80)=0,"金额为 0",IF(YEAR($B80)&lt;&gt;参数设置!$B$5,"不在本会计年度","OK"))))))))</f>
        <v/>
      </c>
      <c r="L80" s="61" t="str">
        <f aca="false">IF($B80="","",YEAR($B80))</f>
        <v/>
      </c>
    </row>
    <row r="81" customFormat="false" ht="15" hidden="false" customHeight="false" outlineLevel="0" collapsed="false">
      <c r="A81" s="53" t="str">
        <f aca="false">IF($B81="","",ROW()-5)</f>
        <v/>
      </c>
      <c r="B81" s="54"/>
      <c r="C81" s="33"/>
      <c r="D81" s="41"/>
      <c r="E81" s="32"/>
      <c r="F81" s="32"/>
      <c r="G81" s="43"/>
      <c r="H81" s="41"/>
      <c r="I81" s="33"/>
      <c r="J81" s="41"/>
      <c r="K81" s="25" t="str">
        <f aca="false">IF(AND($B81="",$E81="",$G81=""),"",IF(NOT(ISNUMBER($B81)),"日期无效",IF(ISNA(MATCH($C81,参数设置!$A$10:$A$12,0)),"公司无效",IF(ISNA(MATCH($E81,会计科目表!$B$6:$B$85,0)),"借方科目不存在",IF(ISNA(MATCH($F81,会计科目表!$B$6:$B$85,0)),"贷方科目不存在",IF($E81=$F81,"借贷科目相同",IF(N($G81)=0,"金额为 0",IF(YEAR($B81)&lt;&gt;参数设置!$B$5,"不在本会计年度","OK"))))))))</f>
        <v/>
      </c>
      <c r="L81" s="61" t="str">
        <f aca="false">IF($B81="","",YEAR($B81))</f>
        <v/>
      </c>
    </row>
    <row r="82" customFormat="false" ht="15" hidden="false" customHeight="false" outlineLevel="0" collapsed="false">
      <c r="A82" s="53" t="str">
        <f aca="false">IF($B82="","",ROW()-5)</f>
        <v/>
      </c>
      <c r="B82" s="54"/>
      <c r="C82" s="33"/>
      <c r="D82" s="41"/>
      <c r="E82" s="32"/>
      <c r="F82" s="32"/>
      <c r="G82" s="43"/>
      <c r="H82" s="41"/>
      <c r="I82" s="33"/>
      <c r="J82" s="41"/>
      <c r="K82" s="25" t="str">
        <f aca="false">IF(AND($B82="",$E82="",$G82=""),"",IF(NOT(ISNUMBER($B82)),"日期无效",IF(ISNA(MATCH($C82,参数设置!$A$10:$A$12,0)),"公司无效",IF(ISNA(MATCH($E82,会计科目表!$B$6:$B$85,0)),"借方科目不存在",IF(ISNA(MATCH($F82,会计科目表!$B$6:$B$85,0)),"贷方科目不存在",IF($E82=$F82,"借贷科目相同",IF(N($G82)=0,"金额为 0",IF(YEAR($B82)&lt;&gt;参数设置!$B$5,"不在本会计年度","OK"))))))))</f>
        <v/>
      </c>
      <c r="L82" s="61" t="str">
        <f aca="false">IF($B82="","",YEAR($B82))</f>
        <v/>
      </c>
    </row>
    <row r="83" customFormat="false" ht="15" hidden="false" customHeight="false" outlineLevel="0" collapsed="false">
      <c r="A83" s="53" t="str">
        <f aca="false">IF($B83="","",ROW()-5)</f>
        <v/>
      </c>
      <c r="B83" s="54"/>
      <c r="C83" s="33"/>
      <c r="D83" s="41"/>
      <c r="E83" s="32"/>
      <c r="F83" s="32"/>
      <c r="G83" s="43"/>
      <c r="H83" s="41"/>
      <c r="I83" s="33"/>
      <c r="J83" s="41"/>
      <c r="K83" s="25" t="str">
        <f aca="false">IF(AND($B83="",$E83="",$G83=""),"",IF(NOT(ISNUMBER($B83)),"日期无效",IF(ISNA(MATCH($C83,参数设置!$A$10:$A$12,0)),"公司无效",IF(ISNA(MATCH($E83,会计科目表!$B$6:$B$85,0)),"借方科目不存在",IF(ISNA(MATCH($F83,会计科目表!$B$6:$B$85,0)),"贷方科目不存在",IF($E83=$F83,"借贷科目相同",IF(N($G83)=0,"金额为 0",IF(YEAR($B83)&lt;&gt;参数设置!$B$5,"不在本会计年度","OK"))))))))</f>
        <v/>
      </c>
      <c r="L83" s="61" t="str">
        <f aca="false">IF($B83="","",YEAR($B83))</f>
        <v/>
      </c>
    </row>
    <row r="84" customFormat="false" ht="15" hidden="false" customHeight="false" outlineLevel="0" collapsed="false">
      <c r="A84" s="53" t="str">
        <f aca="false">IF($B84="","",ROW()-5)</f>
        <v/>
      </c>
      <c r="B84" s="54"/>
      <c r="C84" s="33"/>
      <c r="D84" s="41"/>
      <c r="E84" s="32"/>
      <c r="F84" s="32"/>
      <c r="G84" s="43"/>
      <c r="H84" s="41"/>
      <c r="I84" s="33"/>
      <c r="J84" s="41"/>
      <c r="K84" s="25" t="str">
        <f aca="false">IF(AND($B84="",$E84="",$G84=""),"",IF(NOT(ISNUMBER($B84)),"日期无效",IF(ISNA(MATCH($C84,参数设置!$A$10:$A$12,0)),"公司无效",IF(ISNA(MATCH($E84,会计科目表!$B$6:$B$85,0)),"借方科目不存在",IF(ISNA(MATCH($F84,会计科目表!$B$6:$B$85,0)),"贷方科目不存在",IF($E84=$F84,"借贷科目相同",IF(N($G84)=0,"金额为 0",IF(YEAR($B84)&lt;&gt;参数设置!$B$5,"不在本会计年度","OK"))))))))</f>
        <v/>
      </c>
      <c r="L84" s="61" t="str">
        <f aca="false">IF($B84="","",YEAR($B84))</f>
        <v/>
      </c>
    </row>
    <row r="85" customFormat="false" ht="15" hidden="false" customHeight="false" outlineLevel="0" collapsed="false">
      <c r="A85" s="53" t="str">
        <f aca="false">IF($B85="","",ROW()-5)</f>
        <v/>
      </c>
      <c r="B85" s="54"/>
      <c r="C85" s="33"/>
      <c r="D85" s="41"/>
      <c r="E85" s="32"/>
      <c r="F85" s="32"/>
      <c r="G85" s="43"/>
      <c r="H85" s="41"/>
      <c r="I85" s="33"/>
      <c r="J85" s="41"/>
      <c r="K85" s="25" t="str">
        <f aca="false">IF(AND($B85="",$E85="",$G85=""),"",IF(NOT(ISNUMBER($B85)),"日期无效",IF(ISNA(MATCH($C85,参数设置!$A$10:$A$12,0)),"公司无效",IF(ISNA(MATCH($E85,会计科目表!$B$6:$B$85,0)),"借方科目不存在",IF(ISNA(MATCH($F85,会计科目表!$B$6:$B$85,0)),"贷方科目不存在",IF($E85=$F85,"借贷科目相同",IF(N($G85)=0,"金额为 0",IF(YEAR($B85)&lt;&gt;参数设置!$B$5,"不在本会计年度","OK"))))))))</f>
        <v/>
      </c>
      <c r="L85" s="61" t="str">
        <f aca="false">IF($B85="","",YEAR($B85))</f>
        <v/>
      </c>
    </row>
    <row r="86" customFormat="false" ht="15" hidden="false" customHeight="false" outlineLevel="0" collapsed="false">
      <c r="A86" s="53" t="str">
        <f aca="false">IF($B86="","",ROW()-5)</f>
        <v/>
      </c>
      <c r="B86" s="54"/>
      <c r="C86" s="33"/>
      <c r="D86" s="41"/>
      <c r="E86" s="32"/>
      <c r="F86" s="32"/>
      <c r="G86" s="43"/>
      <c r="H86" s="41"/>
      <c r="I86" s="33"/>
      <c r="J86" s="41"/>
      <c r="K86" s="25" t="str">
        <f aca="false">IF(AND($B86="",$E86="",$G86=""),"",IF(NOT(ISNUMBER($B86)),"日期无效",IF(ISNA(MATCH($C86,参数设置!$A$10:$A$12,0)),"公司无效",IF(ISNA(MATCH($E86,会计科目表!$B$6:$B$85,0)),"借方科目不存在",IF(ISNA(MATCH($F86,会计科目表!$B$6:$B$85,0)),"贷方科目不存在",IF($E86=$F86,"借贷科目相同",IF(N($G86)=0,"金额为 0",IF(YEAR($B86)&lt;&gt;参数设置!$B$5,"不在本会计年度","OK"))))))))</f>
        <v/>
      </c>
      <c r="L86" s="61" t="str">
        <f aca="false">IF($B86="","",YEAR($B86))</f>
        <v/>
      </c>
    </row>
    <row r="87" customFormat="false" ht="15" hidden="false" customHeight="false" outlineLevel="0" collapsed="false">
      <c r="A87" s="53" t="str">
        <f aca="false">IF($B87="","",ROW()-5)</f>
        <v/>
      </c>
      <c r="B87" s="54"/>
      <c r="C87" s="33"/>
      <c r="D87" s="41"/>
      <c r="E87" s="32"/>
      <c r="F87" s="32"/>
      <c r="G87" s="43"/>
      <c r="H87" s="41"/>
      <c r="I87" s="33"/>
      <c r="J87" s="41"/>
      <c r="K87" s="25" t="str">
        <f aca="false">IF(AND($B87="",$E87="",$G87=""),"",IF(NOT(ISNUMBER($B87)),"日期无效",IF(ISNA(MATCH($C87,参数设置!$A$10:$A$12,0)),"公司无效",IF(ISNA(MATCH($E87,会计科目表!$B$6:$B$85,0)),"借方科目不存在",IF(ISNA(MATCH($F87,会计科目表!$B$6:$B$85,0)),"贷方科目不存在",IF($E87=$F87,"借贷科目相同",IF(N($G87)=0,"金额为 0",IF(YEAR($B87)&lt;&gt;参数设置!$B$5,"不在本会计年度","OK"))))))))</f>
        <v/>
      </c>
      <c r="L87" s="61" t="str">
        <f aca="false">IF($B87="","",YEAR($B87))</f>
        <v/>
      </c>
    </row>
    <row r="88" customFormat="false" ht="15" hidden="false" customHeight="false" outlineLevel="0" collapsed="false">
      <c r="A88" s="53" t="str">
        <f aca="false">IF($B88="","",ROW()-5)</f>
        <v/>
      </c>
      <c r="B88" s="54"/>
      <c r="C88" s="33"/>
      <c r="D88" s="41"/>
      <c r="E88" s="32"/>
      <c r="F88" s="32"/>
      <c r="G88" s="43"/>
      <c r="H88" s="41"/>
      <c r="I88" s="33"/>
      <c r="J88" s="41"/>
      <c r="K88" s="25" t="str">
        <f aca="false">IF(AND($B88="",$E88="",$G88=""),"",IF(NOT(ISNUMBER($B88)),"日期无效",IF(ISNA(MATCH($C88,参数设置!$A$10:$A$12,0)),"公司无效",IF(ISNA(MATCH($E88,会计科目表!$B$6:$B$85,0)),"借方科目不存在",IF(ISNA(MATCH($F88,会计科目表!$B$6:$B$85,0)),"贷方科目不存在",IF($E88=$F88,"借贷科目相同",IF(N($G88)=0,"金额为 0",IF(YEAR($B88)&lt;&gt;参数设置!$B$5,"不在本会计年度","OK"))))))))</f>
        <v/>
      </c>
      <c r="L88" s="61" t="str">
        <f aca="false">IF($B88="","",YEAR($B88))</f>
        <v/>
      </c>
    </row>
    <row r="89" customFormat="false" ht="15" hidden="false" customHeight="false" outlineLevel="0" collapsed="false">
      <c r="A89" s="53" t="str">
        <f aca="false">IF($B89="","",ROW()-5)</f>
        <v/>
      </c>
      <c r="B89" s="54"/>
      <c r="C89" s="33"/>
      <c r="D89" s="41"/>
      <c r="E89" s="32"/>
      <c r="F89" s="32"/>
      <c r="G89" s="43"/>
      <c r="H89" s="41"/>
      <c r="I89" s="33"/>
      <c r="J89" s="41"/>
      <c r="K89" s="25" t="str">
        <f aca="false">IF(AND($B89="",$E89="",$G89=""),"",IF(NOT(ISNUMBER($B89)),"日期无效",IF(ISNA(MATCH($C89,参数设置!$A$10:$A$12,0)),"公司无效",IF(ISNA(MATCH($E89,会计科目表!$B$6:$B$85,0)),"借方科目不存在",IF(ISNA(MATCH($F89,会计科目表!$B$6:$B$85,0)),"贷方科目不存在",IF($E89=$F89,"借贷科目相同",IF(N($G89)=0,"金额为 0",IF(YEAR($B89)&lt;&gt;参数设置!$B$5,"不在本会计年度","OK"))))))))</f>
        <v/>
      </c>
      <c r="L89" s="61" t="str">
        <f aca="false">IF($B89="","",YEAR($B89))</f>
        <v/>
      </c>
    </row>
    <row r="90" customFormat="false" ht="15" hidden="false" customHeight="false" outlineLevel="0" collapsed="false">
      <c r="A90" s="53" t="str">
        <f aca="false">IF($B90="","",ROW()-5)</f>
        <v/>
      </c>
      <c r="B90" s="54"/>
      <c r="C90" s="33"/>
      <c r="D90" s="41"/>
      <c r="E90" s="32"/>
      <c r="F90" s="32"/>
      <c r="G90" s="43"/>
      <c r="H90" s="41"/>
      <c r="I90" s="33"/>
      <c r="J90" s="41"/>
      <c r="K90" s="25" t="str">
        <f aca="false">IF(AND($B90="",$E90="",$G90=""),"",IF(NOT(ISNUMBER($B90)),"日期无效",IF(ISNA(MATCH($C90,参数设置!$A$10:$A$12,0)),"公司无效",IF(ISNA(MATCH($E90,会计科目表!$B$6:$B$85,0)),"借方科目不存在",IF(ISNA(MATCH($F90,会计科目表!$B$6:$B$85,0)),"贷方科目不存在",IF($E90=$F90,"借贷科目相同",IF(N($G90)=0,"金额为 0",IF(YEAR($B90)&lt;&gt;参数设置!$B$5,"不在本会计年度","OK"))))))))</f>
        <v/>
      </c>
      <c r="L90" s="61" t="str">
        <f aca="false">IF($B90="","",YEAR($B90))</f>
        <v/>
      </c>
    </row>
    <row r="91" customFormat="false" ht="15" hidden="false" customHeight="false" outlineLevel="0" collapsed="false">
      <c r="A91" s="53" t="str">
        <f aca="false">IF($B91="","",ROW()-5)</f>
        <v/>
      </c>
      <c r="B91" s="54"/>
      <c r="C91" s="33"/>
      <c r="D91" s="41"/>
      <c r="E91" s="32"/>
      <c r="F91" s="32"/>
      <c r="G91" s="43"/>
      <c r="H91" s="41"/>
      <c r="I91" s="33"/>
      <c r="J91" s="41"/>
      <c r="K91" s="25" t="str">
        <f aca="false">IF(AND($B91="",$E91="",$G91=""),"",IF(NOT(ISNUMBER($B91)),"日期无效",IF(ISNA(MATCH($C91,参数设置!$A$10:$A$12,0)),"公司无效",IF(ISNA(MATCH($E91,会计科目表!$B$6:$B$85,0)),"借方科目不存在",IF(ISNA(MATCH($F91,会计科目表!$B$6:$B$85,0)),"贷方科目不存在",IF($E91=$F91,"借贷科目相同",IF(N($G91)=0,"金额为 0",IF(YEAR($B91)&lt;&gt;参数设置!$B$5,"不在本会计年度","OK"))))))))</f>
        <v/>
      </c>
      <c r="L91" s="61" t="str">
        <f aca="false">IF($B91="","",YEAR($B91))</f>
        <v/>
      </c>
    </row>
    <row r="92" customFormat="false" ht="15" hidden="false" customHeight="false" outlineLevel="0" collapsed="false">
      <c r="A92" s="53" t="str">
        <f aca="false">IF($B92="","",ROW()-5)</f>
        <v/>
      </c>
      <c r="B92" s="54"/>
      <c r="C92" s="33"/>
      <c r="D92" s="41"/>
      <c r="E92" s="32"/>
      <c r="F92" s="32"/>
      <c r="G92" s="43"/>
      <c r="H92" s="41"/>
      <c r="I92" s="33"/>
      <c r="J92" s="41"/>
      <c r="K92" s="25" t="str">
        <f aca="false">IF(AND($B92="",$E92="",$G92=""),"",IF(NOT(ISNUMBER($B92)),"日期无效",IF(ISNA(MATCH($C92,参数设置!$A$10:$A$12,0)),"公司无效",IF(ISNA(MATCH($E92,会计科目表!$B$6:$B$85,0)),"借方科目不存在",IF(ISNA(MATCH($F92,会计科目表!$B$6:$B$85,0)),"贷方科目不存在",IF($E92=$F92,"借贷科目相同",IF(N($G92)=0,"金额为 0",IF(YEAR($B92)&lt;&gt;参数设置!$B$5,"不在本会计年度","OK"))))))))</f>
        <v/>
      </c>
      <c r="L92" s="61" t="str">
        <f aca="false">IF($B92="","",YEAR($B92))</f>
        <v/>
      </c>
    </row>
    <row r="93" customFormat="false" ht="15" hidden="false" customHeight="false" outlineLevel="0" collapsed="false">
      <c r="A93" s="53" t="str">
        <f aca="false">IF($B93="","",ROW()-5)</f>
        <v/>
      </c>
      <c r="B93" s="54"/>
      <c r="C93" s="33"/>
      <c r="D93" s="41"/>
      <c r="E93" s="32"/>
      <c r="F93" s="32"/>
      <c r="G93" s="43"/>
      <c r="H93" s="41"/>
      <c r="I93" s="33"/>
      <c r="J93" s="41"/>
      <c r="K93" s="25" t="str">
        <f aca="false">IF(AND($B93="",$E93="",$G93=""),"",IF(NOT(ISNUMBER($B93)),"日期无效",IF(ISNA(MATCH($C93,参数设置!$A$10:$A$12,0)),"公司无效",IF(ISNA(MATCH($E93,会计科目表!$B$6:$B$85,0)),"借方科目不存在",IF(ISNA(MATCH($F93,会计科目表!$B$6:$B$85,0)),"贷方科目不存在",IF($E93=$F93,"借贷科目相同",IF(N($G93)=0,"金额为 0",IF(YEAR($B93)&lt;&gt;参数设置!$B$5,"不在本会计年度","OK"))))))))</f>
        <v/>
      </c>
      <c r="L93" s="61" t="str">
        <f aca="false">IF($B93="","",YEAR($B93))</f>
        <v/>
      </c>
    </row>
    <row r="94" customFormat="false" ht="15" hidden="false" customHeight="false" outlineLevel="0" collapsed="false">
      <c r="A94" s="53" t="str">
        <f aca="false">IF($B94="","",ROW()-5)</f>
        <v/>
      </c>
      <c r="B94" s="54"/>
      <c r="C94" s="33"/>
      <c r="D94" s="41"/>
      <c r="E94" s="32"/>
      <c r="F94" s="32"/>
      <c r="G94" s="43"/>
      <c r="H94" s="41"/>
      <c r="I94" s="33"/>
      <c r="J94" s="41"/>
      <c r="K94" s="25" t="str">
        <f aca="false">IF(AND($B94="",$E94="",$G94=""),"",IF(NOT(ISNUMBER($B94)),"日期无效",IF(ISNA(MATCH($C94,参数设置!$A$10:$A$12,0)),"公司无效",IF(ISNA(MATCH($E94,会计科目表!$B$6:$B$85,0)),"借方科目不存在",IF(ISNA(MATCH($F94,会计科目表!$B$6:$B$85,0)),"贷方科目不存在",IF($E94=$F94,"借贷科目相同",IF(N($G94)=0,"金额为 0",IF(YEAR($B94)&lt;&gt;参数设置!$B$5,"不在本会计年度","OK"))))))))</f>
        <v/>
      </c>
      <c r="L94" s="61" t="str">
        <f aca="false">IF($B94="","",YEAR($B94))</f>
        <v/>
      </c>
    </row>
    <row r="95" customFormat="false" ht="15" hidden="false" customHeight="false" outlineLevel="0" collapsed="false">
      <c r="A95" s="53" t="str">
        <f aca="false">IF($B95="","",ROW()-5)</f>
        <v/>
      </c>
      <c r="B95" s="54"/>
      <c r="C95" s="33"/>
      <c r="D95" s="41"/>
      <c r="E95" s="32"/>
      <c r="F95" s="32"/>
      <c r="G95" s="43"/>
      <c r="H95" s="41"/>
      <c r="I95" s="33"/>
      <c r="J95" s="41"/>
      <c r="K95" s="25" t="str">
        <f aca="false">IF(AND($B95="",$E95="",$G95=""),"",IF(NOT(ISNUMBER($B95)),"日期无效",IF(ISNA(MATCH($C95,参数设置!$A$10:$A$12,0)),"公司无效",IF(ISNA(MATCH($E95,会计科目表!$B$6:$B$85,0)),"借方科目不存在",IF(ISNA(MATCH($F95,会计科目表!$B$6:$B$85,0)),"贷方科目不存在",IF($E95=$F95,"借贷科目相同",IF(N($G95)=0,"金额为 0",IF(YEAR($B95)&lt;&gt;参数设置!$B$5,"不在本会计年度","OK"))))))))</f>
        <v/>
      </c>
      <c r="L95" s="61" t="str">
        <f aca="false">IF($B95="","",YEAR($B95))</f>
        <v/>
      </c>
    </row>
    <row r="96" customFormat="false" ht="15" hidden="false" customHeight="false" outlineLevel="0" collapsed="false">
      <c r="A96" s="53" t="str">
        <f aca="false">IF($B96="","",ROW()-5)</f>
        <v/>
      </c>
      <c r="B96" s="54"/>
      <c r="C96" s="33"/>
      <c r="D96" s="41"/>
      <c r="E96" s="32"/>
      <c r="F96" s="32"/>
      <c r="G96" s="43"/>
      <c r="H96" s="41"/>
      <c r="I96" s="33"/>
      <c r="J96" s="41"/>
      <c r="K96" s="25" t="str">
        <f aca="false">IF(AND($B96="",$E96="",$G96=""),"",IF(NOT(ISNUMBER($B96)),"日期无效",IF(ISNA(MATCH($C96,参数设置!$A$10:$A$12,0)),"公司无效",IF(ISNA(MATCH($E96,会计科目表!$B$6:$B$85,0)),"借方科目不存在",IF(ISNA(MATCH($F96,会计科目表!$B$6:$B$85,0)),"贷方科目不存在",IF($E96=$F96,"借贷科目相同",IF(N($G96)=0,"金额为 0",IF(YEAR($B96)&lt;&gt;参数设置!$B$5,"不在本会计年度","OK"))))))))</f>
        <v/>
      </c>
      <c r="L96" s="61" t="str">
        <f aca="false">IF($B96="","",YEAR($B96))</f>
        <v/>
      </c>
    </row>
    <row r="97" customFormat="false" ht="15" hidden="false" customHeight="false" outlineLevel="0" collapsed="false">
      <c r="A97" s="53" t="str">
        <f aca="false">IF($B97="","",ROW()-5)</f>
        <v/>
      </c>
      <c r="B97" s="54"/>
      <c r="C97" s="33"/>
      <c r="D97" s="41"/>
      <c r="E97" s="32"/>
      <c r="F97" s="32"/>
      <c r="G97" s="43"/>
      <c r="H97" s="41"/>
      <c r="I97" s="33"/>
      <c r="J97" s="41"/>
      <c r="K97" s="25" t="str">
        <f aca="false">IF(AND($B97="",$E97="",$G97=""),"",IF(NOT(ISNUMBER($B97)),"日期无效",IF(ISNA(MATCH($C97,参数设置!$A$10:$A$12,0)),"公司无效",IF(ISNA(MATCH($E97,会计科目表!$B$6:$B$85,0)),"借方科目不存在",IF(ISNA(MATCH($F97,会计科目表!$B$6:$B$85,0)),"贷方科目不存在",IF($E97=$F97,"借贷科目相同",IF(N($G97)=0,"金额为 0",IF(YEAR($B97)&lt;&gt;参数设置!$B$5,"不在本会计年度","OK"))))))))</f>
        <v/>
      </c>
      <c r="L97" s="61" t="str">
        <f aca="false">IF($B97="","",YEAR($B97))</f>
        <v/>
      </c>
    </row>
    <row r="98" customFormat="false" ht="15" hidden="false" customHeight="false" outlineLevel="0" collapsed="false">
      <c r="A98" s="53" t="str">
        <f aca="false">IF($B98="","",ROW()-5)</f>
        <v/>
      </c>
      <c r="B98" s="54"/>
      <c r="C98" s="33"/>
      <c r="D98" s="41"/>
      <c r="E98" s="32"/>
      <c r="F98" s="32"/>
      <c r="G98" s="43"/>
      <c r="H98" s="41"/>
      <c r="I98" s="33"/>
      <c r="J98" s="41"/>
      <c r="K98" s="25" t="str">
        <f aca="false">IF(AND($B98="",$E98="",$G98=""),"",IF(NOT(ISNUMBER($B98)),"日期无效",IF(ISNA(MATCH($C98,参数设置!$A$10:$A$12,0)),"公司无效",IF(ISNA(MATCH($E98,会计科目表!$B$6:$B$85,0)),"借方科目不存在",IF(ISNA(MATCH($F98,会计科目表!$B$6:$B$85,0)),"贷方科目不存在",IF($E98=$F98,"借贷科目相同",IF(N($G98)=0,"金额为 0",IF(YEAR($B98)&lt;&gt;参数设置!$B$5,"不在本会计年度","OK"))))))))</f>
        <v/>
      </c>
      <c r="L98" s="61" t="str">
        <f aca="false">IF($B98="","",YEAR($B98))</f>
        <v/>
      </c>
    </row>
    <row r="99" customFormat="false" ht="15" hidden="false" customHeight="false" outlineLevel="0" collapsed="false">
      <c r="A99" s="53" t="str">
        <f aca="false">IF($B99="","",ROW()-5)</f>
        <v/>
      </c>
      <c r="B99" s="54"/>
      <c r="C99" s="33"/>
      <c r="D99" s="41"/>
      <c r="E99" s="32"/>
      <c r="F99" s="32"/>
      <c r="G99" s="43"/>
      <c r="H99" s="41"/>
      <c r="I99" s="33"/>
      <c r="J99" s="41"/>
      <c r="K99" s="25" t="str">
        <f aca="false">IF(AND($B99="",$E99="",$G99=""),"",IF(NOT(ISNUMBER($B99)),"日期无效",IF(ISNA(MATCH($C99,参数设置!$A$10:$A$12,0)),"公司无效",IF(ISNA(MATCH($E99,会计科目表!$B$6:$B$85,0)),"借方科目不存在",IF(ISNA(MATCH($F99,会计科目表!$B$6:$B$85,0)),"贷方科目不存在",IF($E99=$F99,"借贷科目相同",IF(N($G99)=0,"金额为 0",IF(YEAR($B99)&lt;&gt;参数设置!$B$5,"不在本会计年度","OK"))))))))</f>
        <v/>
      </c>
      <c r="L99" s="61" t="str">
        <f aca="false">IF($B99="","",YEAR($B99))</f>
        <v/>
      </c>
    </row>
    <row r="100" customFormat="false" ht="15" hidden="false" customHeight="false" outlineLevel="0" collapsed="false">
      <c r="A100" s="53" t="str">
        <f aca="false">IF($B100="","",ROW()-5)</f>
        <v/>
      </c>
      <c r="B100" s="54"/>
      <c r="C100" s="33"/>
      <c r="D100" s="41"/>
      <c r="E100" s="32"/>
      <c r="F100" s="32"/>
      <c r="G100" s="43"/>
      <c r="H100" s="41"/>
      <c r="I100" s="33"/>
      <c r="J100" s="41"/>
      <c r="K100" s="25" t="str">
        <f aca="false">IF(AND($B100="",$E100="",$G100=""),"",IF(NOT(ISNUMBER($B100)),"日期无效",IF(ISNA(MATCH($C100,参数设置!$A$10:$A$12,0)),"公司无效",IF(ISNA(MATCH($E100,会计科目表!$B$6:$B$85,0)),"借方科目不存在",IF(ISNA(MATCH($F100,会计科目表!$B$6:$B$85,0)),"贷方科目不存在",IF($E100=$F100,"借贷科目相同",IF(N($G100)=0,"金额为 0",IF(YEAR($B100)&lt;&gt;参数设置!$B$5,"不在本会计年度","OK"))))))))</f>
        <v/>
      </c>
      <c r="L100" s="61" t="str">
        <f aca="false">IF($B100="","",YEAR($B100))</f>
        <v/>
      </c>
    </row>
    <row r="101" customFormat="false" ht="15" hidden="false" customHeight="false" outlineLevel="0" collapsed="false">
      <c r="A101" s="53" t="str">
        <f aca="false">IF($B101="","",ROW()-5)</f>
        <v/>
      </c>
      <c r="B101" s="54"/>
      <c r="C101" s="33"/>
      <c r="D101" s="41"/>
      <c r="E101" s="32"/>
      <c r="F101" s="32"/>
      <c r="G101" s="43"/>
      <c r="H101" s="41"/>
      <c r="I101" s="33"/>
      <c r="J101" s="41"/>
      <c r="K101" s="25" t="str">
        <f aca="false">IF(AND($B101="",$E101="",$G101=""),"",IF(NOT(ISNUMBER($B101)),"日期无效",IF(ISNA(MATCH($C101,参数设置!$A$10:$A$12,0)),"公司无效",IF(ISNA(MATCH($E101,会计科目表!$B$6:$B$85,0)),"借方科目不存在",IF(ISNA(MATCH($F101,会计科目表!$B$6:$B$85,0)),"贷方科目不存在",IF($E101=$F101,"借贷科目相同",IF(N($G101)=0,"金额为 0",IF(YEAR($B101)&lt;&gt;参数设置!$B$5,"不在本会计年度","OK"))))))))</f>
        <v/>
      </c>
      <c r="L101" s="61" t="str">
        <f aca="false">IF($B101="","",YEAR($B101))</f>
        <v/>
      </c>
    </row>
    <row r="102" customFormat="false" ht="15" hidden="false" customHeight="false" outlineLevel="0" collapsed="false">
      <c r="A102" s="53" t="str">
        <f aca="false">IF($B102="","",ROW()-5)</f>
        <v/>
      </c>
      <c r="B102" s="54"/>
      <c r="C102" s="33"/>
      <c r="D102" s="41"/>
      <c r="E102" s="32"/>
      <c r="F102" s="32"/>
      <c r="G102" s="43"/>
      <c r="H102" s="41"/>
      <c r="I102" s="33"/>
      <c r="J102" s="41"/>
      <c r="K102" s="25" t="str">
        <f aca="false">IF(AND($B102="",$E102="",$G102=""),"",IF(NOT(ISNUMBER($B102)),"日期无效",IF(ISNA(MATCH($C102,参数设置!$A$10:$A$12,0)),"公司无效",IF(ISNA(MATCH($E102,会计科目表!$B$6:$B$85,0)),"借方科目不存在",IF(ISNA(MATCH($F102,会计科目表!$B$6:$B$85,0)),"贷方科目不存在",IF($E102=$F102,"借贷科目相同",IF(N($G102)=0,"金额为 0",IF(YEAR($B102)&lt;&gt;参数设置!$B$5,"不在本会计年度","OK"))))))))</f>
        <v/>
      </c>
      <c r="L102" s="61" t="str">
        <f aca="false">IF($B102="","",YEAR($B102))</f>
        <v/>
      </c>
    </row>
    <row r="103" customFormat="false" ht="15" hidden="false" customHeight="false" outlineLevel="0" collapsed="false">
      <c r="A103" s="53" t="str">
        <f aca="false">IF($B103="","",ROW()-5)</f>
        <v/>
      </c>
      <c r="B103" s="54"/>
      <c r="C103" s="33"/>
      <c r="D103" s="41"/>
      <c r="E103" s="32"/>
      <c r="F103" s="32"/>
      <c r="G103" s="43"/>
      <c r="H103" s="41"/>
      <c r="I103" s="33"/>
      <c r="J103" s="41"/>
      <c r="K103" s="25" t="str">
        <f aca="false">IF(AND($B103="",$E103="",$G103=""),"",IF(NOT(ISNUMBER($B103)),"日期无效",IF(ISNA(MATCH($C103,参数设置!$A$10:$A$12,0)),"公司无效",IF(ISNA(MATCH($E103,会计科目表!$B$6:$B$85,0)),"借方科目不存在",IF(ISNA(MATCH($F103,会计科目表!$B$6:$B$85,0)),"贷方科目不存在",IF($E103=$F103,"借贷科目相同",IF(N($G103)=0,"金额为 0",IF(YEAR($B103)&lt;&gt;参数设置!$B$5,"不在本会计年度","OK"))))))))</f>
        <v/>
      </c>
      <c r="L103" s="61" t="str">
        <f aca="false">IF($B103="","",YEAR($B103))</f>
        <v/>
      </c>
    </row>
    <row r="104" customFormat="false" ht="15" hidden="false" customHeight="false" outlineLevel="0" collapsed="false">
      <c r="A104" s="53" t="str">
        <f aca="false">IF($B104="","",ROW()-5)</f>
        <v/>
      </c>
      <c r="B104" s="54"/>
      <c r="C104" s="33"/>
      <c r="D104" s="41"/>
      <c r="E104" s="32"/>
      <c r="F104" s="32"/>
      <c r="G104" s="43"/>
      <c r="H104" s="41"/>
      <c r="I104" s="33"/>
      <c r="J104" s="41"/>
      <c r="K104" s="25" t="str">
        <f aca="false">IF(AND($B104="",$E104="",$G104=""),"",IF(NOT(ISNUMBER($B104)),"日期无效",IF(ISNA(MATCH($C104,参数设置!$A$10:$A$12,0)),"公司无效",IF(ISNA(MATCH($E104,会计科目表!$B$6:$B$85,0)),"借方科目不存在",IF(ISNA(MATCH($F104,会计科目表!$B$6:$B$85,0)),"贷方科目不存在",IF($E104=$F104,"借贷科目相同",IF(N($G104)=0,"金额为 0",IF(YEAR($B104)&lt;&gt;参数设置!$B$5,"不在本会计年度","OK"))))))))</f>
        <v/>
      </c>
      <c r="L104" s="61" t="str">
        <f aca="false">IF($B104="","",YEAR($B104))</f>
        <v/>
      </c>
    </row>
    <row r="105" customFormat="false" ht="15" hidden="false" customHeight="false" outlineLevel="0" collapsed="false">
      <c r="A105" s="53" t="str">
        <f aca="false">IF($B105="","",ROW()-5)</f>
        <v/>
      </c>
      <c r="B105" s="54"/>
      <c r="C105" s="33"/>
      <c r="D105" s="41"/>
      <c r="E105" s="32"/>
      <c r="F105" s="32"/>
      <c r="G105" s="43"/>
      <c r="H105" s="41"/>
      <c r="I105" s="33"/>
      <c r="J105" s="41"/>
      <c r="K105" s="25" t="str">
        <f aca="false">IF(AND($B105="",$E105="",$G105=""),"",IF(NOT(ISNUMBER($B105)),"日期无效",IF(ISNA(MATCH($C105,参数设置!$A$10:$A$12,0)),"公司无效",IF(ISNA(MATCH($E105,会计科目表!$B$6:$B$85,0)),"借方科目不存在",IF(ISNA(MATCH($F105,会计科目表!$B$6:$B$85,0)),"贷方科目不存在",IF($E105=$F105,"借贷科目相同",IF(N($G105)=0,"金额为 0",IF(YEAR($B105)&lt;&gt;参数设置!$B$5,"不在本会计年度","OK"))))))))</f>
        <v/>
      </c>
      <c r="L105" s="61" t="str">
        <f aca="false">IF($B105="","",YEAR($B105))</f>
        <v/>
      </c>
    </row>
    <row r="106" customFormat="false" ht="15" hidden="false" customHeight="false" outlineLevel="0" collapsed="false">
      <c r="A106" s="53" t="str">
        <f aca="false">IF($B106="","",ROW()-5)</f>
        <v/>
      </c>
      <c r="B106" s="54"/>
      <c r="C106" s="33"/>
      <c r="D106" s="41"/>
      <c r="E106" s="32"/>
      <c r="F106" s="32"/>
      <c r="G106" s="43"/>
      <c r="H106" s="41"/>
      <c r="I106" s="33"/>
      <c r="J106" s="41"/>
      <c r="K106" s="25" t="str">
        <f aca="false">IF(AND($B106="",$E106="",$G106=""),"",IF(NOT(ISNUMBER($B106)),"日期无效",IF(ISNA(MATCH($C106,参数设置!$A$10:$A$12,0)),"公司无效",IF(ISNA(MATCH($E106,会计科目表!$B$6:$B$85,0)),"借方科目不存在",IF(ISNA(MATCH($F106,会计科目表!$B$6:$B$85,0)),"贷方科目不存在",IF($E106=$F106,"借贷科目相同",IF(N($G106)=0,"金额为 0",IF(YEAR($B106)&lt;&gt;参数设置!$B$5,"不在本会计年度","OK"))))))))</f>
        <v/>
      </c>
      <c r="L106" s="61" t="str">
        <f aca="false">IF($B106="","",YEAR($B106))</f>
        <v/>
      </c>
    </row>
    <row r="107" customFormat="false" ht="15" hidden="false" customHeight="false" outlineLevel="0" collapsed="false">
      <c r="A107" s="53" t="str">
        <f aca="false">IF($B107="","",ROW()-5)</f>
        <v/>
      </c>
      <c r="B107" s="54"/>
      <c r="C107" s="33"/>
      <c r="D107" s="41"/>
      <c r="E107" s="32"/>
      <c r="F107" s="32"/>
      <c r="G107" s="43"/>
      <c r="H107" s="41"/>
      <c r="I107" s="33"/>
      <c r="J107" s="41"/>
      <c r="K107" s="25" t="str">
        <f aca="false">IF(AND($B107="",$E107="",$G107=""),"",IF(NOT(ISNUMBER($B107)),"日期无效",IF(ISNA(MATCH($C107,参数设置!$A$10:$A$12,0)),"公司无效",IF(ISNA(MATCH($E107,会计科目表!$B$6:$B$85,0)),"借方科目不存在",IF(ISNA(MATCH($F107,会计科目表!$B$6:$B$85,0)),"贷方科目不存在",IF($E107=$F107,"借贷科目相同",IF(N($G107)=0,"金额为 0",IF(YEAR($B107)&lt;&gt;参数设置!$B$5,"不在本会计年度","OK"))))))))</f>
        <v/>
      </c>
      <c r="L107" s="61" t="str">
        <f aca="false">IF($B107="","",YEAR($B107))</f>
        <v/>
      </c>
    </row>
    <row r="108" customFormat="false" ht="15" hidden="false" customHeight="false" outlineLevel="0" collapsed="false">
      <c r="A108" s="53" t="str">
        <f aca="false">IF($B108="","",ROW()-5)</f>
        <v/>
      </c>
      <c r="B108" s="54"/>
      <c r="C108" s="33"/>
      <c r="D108" s="41"/>
      <c r="E108" s="32"/>
      <c r="F108" s="32"/>
      <c r="G108" s="43"/>
      <c r="H108" s="41"/>
      <c r="I108" s="33"/>
      <c r="J108" s="41"/>
      <c r="K108" s="25" t="str">
        <f aca="false">IF(AND($B108="",$E108="",$G108=""),"",IF(NOT(ISNUMBER($B108)),"日期无效",IF(ISNA(MATCH($C108,参数设置!$A$10:$A$12,0)),"公司无效",IF(ISNA(MATCH($E108,会计科目表!$B$6:$B$85,0)),"借方科目不存在",IF(ISNA(MATCH($F108,会计科目表!$B$6:$B$85,0)),"贷方科目不存在",IF($E108=$F108,"借贷科目相同",IF(N($G108)=0,"金额为 0",IF(YEAR($B108)&lt;&gt;参数设置!$B$5,"不在本会计年度","OK"))))))))</f>
        <v/>
      </c>
      <c r="L108" s="61" t="str">
        <f aca="false">IF($B108="","",YEAR($B108))</f>
        <v/>
      </c>
    </row>
    <row r="109" customFormat="false" ht="15" hidden="false" customHeight="false" outlineLevel="0" collapsed="false">
      <c r="A109" s="53" t="str">
        <f aca="false">IF($B109="","",ROW()-5)</f>
        <v/>
      </c>
      <c r="B109" s="54"/>
      <c r="C109" s="33"/>
      <c r="D109" s="41"/>
      <c r="E109" s="32"/>
      <c r="F109" s="32"/>
      <c r="G109" s="43"/>
      <c r="H109" s="41"/>
      <c r="I109" s="33"/>
      <c r="J109" s="41"/>
      <c r="K109" s="25" t="str">
        <f aca="false">IF(AND($B109="",$E109="",$G109=""),"",IF(NOT(ISNUMBER($B109)),"日期无效",IF(ISNA(MATCH($C109,参数设置!$A$10:$A$12,0)),"公司无效",IF(ISNA(MATCH($E109,会计科目表!$B$6:$B$85,0)),"借方科目不存在",IF(ISNA(MATCH($F109,会计科目表!$B$6:$B$85,0)),"贷方科目不存在",IF($E109=$F109,"借贷科目相同",IF(N($G109)=0,"金额为 0",IF(YEAR($B109)&lt;&gt;参数设置!$B$5,"不在本会计年度","OK"))))))))</f>
        <v/>
      </c>
      <c r="L109" s="61" t="str">
        <f aca="false">IF($B109="","",YEAR($B109))</f>
        <v/>
      </c>
    </row>
    <row r="110" customFormat="false" ht="15" hidden="false" customHeight="false" outlineLevel="0" collapsed="false">
      <c r="A110" s="53" t="str">
        <f aca="false">IF($B110="","",ROW()-5)</f>
        <v/>
      </c>
      <c r="B110" s="54"/>
      <c r="C110" s="33"/>
      <c r="D110" s="41"/>
      <c r="E110" s="32"/>
      <c r="F110" s="32"/>
      <c r="G110" s="43"/>
      <c r="H110" s="41"/>
      <c r="I110" s="33"/>
      <c r="J110" s="41"/>
      <c r="K110" s="25" t="str">
        <f aca="false">IF(AND($B110="",$E110="",$G110=""),"",IF(NOT(ISNUMBER($B110)),"日期无效",IF(ISNA(MATCH($C110,参数设置!$A$10:$A$12,0)),"公司无效",IF(ISNA(MATCH($E110,会计科目表!$B$6:$B$85,0)),"借方科目不存在",IF(ISNA(MATCH($F110,会计科目表!$B$6:$B$85,0)),"贷方科目不存在",IF($E110=$F110,"借贷科目相同",IF(N($G110)=0,"金额为 0",IF(YEAR($B110)&lt;&gt;参数设置!$B$5,"不在本会计年度","OK"))))))))</f>
        <v/>
      </c>
      <c r="L110" s="61" t="str">
        <f aca="false">IF($B110="","",YEAR($B110))</f>
        <v/>
      </c>
    </row>
    <row r="111" customFormat="false" ht="15" hidden="false" customHeight="false" outlineLevel="0" collapsed="false">
      <c r="A111" s="53" t="str">
        <f aca="false">IF($B111="","",ROW()-5)</f>
        <v/>
      </c>
      <c r="B111" s="54"/>
      <c r="C111" s="33"/>
      <c r="D111" s="41"/>
      <c r="E111" s="32"/>
      <c r="F111" s="32"/>
      <c r="G111" s="43"/>
      <c r="H111" s="41"/>
      <c r="I111" s="33"/>
      <c r="J111" s="41"/>
      <c r="K111" s="25" t="str">
        <f aca="false">IF(AND($B111="",$E111="",$G111=""),"",IF(NOT(ISNUMBER($B111)),"日期无效",IF(ISNA(MATCH($C111,参数设置!$A$10:$A$12,0)),"公司无效",IF(ISNA(MATCH($E111,会计科目表!$B$6:$B$85,0)),"借方科目不存在",IF(ISNA(MATCH($F111,会计科目表!$B$6:$B$85,0)),"贷方科目不存在",IF($E111=$F111,"借贷科目相同",IF(N($G111)=0,"金额为 0",IF(YEAR($B111)&lt;&gt;参数设置!$B$5,"不在本会计年度","OK"))))))))</f>
        <v/>
      </c>
      <c r="L111" s="61" t="str">
        <f aca="false">IF($B111="","",YEAR($B111))</f>
        <v/>
      </c>
    </row>
    <row r="112" customFormat="false" ht="15" hidden="false" customHeight="false" outlineLevel="0" collapsed="false">
      <c r="A112" s="53" t="str">
        <f aca="false">IF($B112="","",ROW()-5)</f>
        <v/>
      </c>
      <c r="B112" s="54"/>
      <c r="C112" s="33"/>
      <c r="D112" s="41"/>
      <c r="E112" s="32"/>
      <c r="F112" s="32"/>
      <c r="G112" s="43"/>
      <c r="H112" s="41"/>
      <c r="I112" s="33"/>
      <c r="J112" s="41"/>
      <c r="K112" s="25" t="str">
        <f aca="false">IF(AND($B112="",$E112="",$G112=""),"",IF(NOT(ISNUMBER($B112)),"日期无效",IF(ISNA(MATCH($C112,参数设置!$A$10:$A$12,0)),"公司无效",IF(ISNA(MATCH($E112,会计科目表!$B$6:$B$85,0)),"借方科目不存在",IF(ISNA(MATCH($F112,会计科目表!$B$6:$B$85,0)),"贷方科目不存在",IF($E112=$F112,"借贷科目相同",IF(N($G112)=0,"金额为 0",IF(YEAR($B112)&lt;&gt;参数设置!$B$5,"不在本会计年度","OK"))))))))</f>
        <v/>
      </c>
      <c r="L112" s="61" t="str">
        <f aca="false">IF($B112="","",YEAR($B112))</f>
        <v/>
      </c>
    </row>
    <row r="113" customFormat="false" ht="15" hidden="false" customHeight="false" outlineLevel="0" collapsed="false">
      <c r="A113" s="53" t="str">
        <f aca="false">IF($B113="","",ROW()-5)</f>
        <v/>
      </c>
      <c r="B113" s="54"/>
      <c r="C113" s="33"/>
      <c r="D113" s="41"/>
      <c r="E113" s="32"/>
      <c r="F113" s="32"/>
      <c r="G113" s="43"/>
      <c r="H113" s="41"/>
      <c r="I113" s="33"/>
      <c r="J113" s="41"/>
      <c r="K113" s="25" t="str">
        <f aca="false">IF(AND($B113="",$E113="",$G113=""),"",IF(NOT(ISNUMBER($B113)),"日期无效",IF(ISNA(MATCH($C113,参数设置!$A$10:$A$12,0)),"公司无效",IF(ISNA(MATCH($E113,会计科目表!$B$6:$B$85,0)),"借方科目不存在",IF(ISNA(MATCH($F113,会计科目表!$B$6:$B$85,0)),"贷方科目不存在",IF($E113=$F113,"借贷科目相同",IF(N($G113)=0,"金额为 0",IF(YEAR($B113)&lt;&gt;参数设置!$B$5,"不在本会计年度","OK"))))))))</f>
        <v/>
      </c>
      <c r="L113" s="61" t="str">
        <f aca="false">IF($B113="","",YEAR($B113))</f>
        <v/>
      </c>
    </row>
    <row r="114" customFormat="false" ht="15" hidden="false" customHeight="false" outlineLevel="0" collapsed="false">
      <c r="A114" s="53" t="str">
        <f aca="false">IF($B114="","",ROW()-5)</f>
        <v/>
      </c>
      <c r="B114" s="54"/>
      <c r="C114" s="33"/>
      <c r="D114" s="41"/>
      <c r="E114" s="32"/>
      <c r="F114" s="32"/>
      <c r="G114" s="43"/>
      <c r="H114" s="41"/>
      <c r="I114" s="33"/>
      <c r="J114" s="41"/>
      <c r="K114" s="25" t="str">
        <f aca="false">IF(AND($B114="",$E114="",$G114=""),"",IF(NOT(ISNUMBER($B114)),"日期无效",IF(ISNA(MATCH($C114,参数设置!$A$10:$A$12,0)),"公司无效",IF(ISNA(MATCH($E114,会计科目表!$B$6:$B$85,0)),"借方科目不存在",IF(ISNA(MATCH($F114,会计科目表!$B$6:$B$85,0)),"贷方科目不存在",IF($E114=$F114,"借贷科目相同",IF(N($G114)=0,"金额为 0",IF(YEAR($B114)&lt;&gt;参数设置!$B$5,"不在本会计年度","OK"))))))))</f>
        <v/>
      </c>
      <c r="L114" s="61" t="str">
        <f aca="false">IF($B114="","",YEAR($B114))</f>
        <v/>
      </c>
    </row>
    <row r="115" customFormat="false" ht="15" hidden="false" customHeight="false" outlineLevel="0" collapsed="false">
      <c r="A115" s="53" t="str">
        <f aca="false">IF($B115="","",ROW()-5)</f>
        <v/>
      </c>
      <c r="B115" s="54"/>
      <c r="C115" s="33"/>
      <c r="D115" s="41"/>
      <c r="E115" s="32"/>
      <c r="F115" s="32"/>
      <c r="G115" s="43"/>
      <c r="H115" s="41"/>
      <c r="I115" s="33"/>
      <c r="J115" s="41"/>
      <c r="K115" s="25" t="str">
        <f aca="false">IF(AND($B115="",$E115="",$G115=""),"",IF(NOT(ISNUMBER($B115)),"日期无效",IF(ISNA(MATCH($C115,参数设置!$A$10:$A$12,0)),"公司无效",IF(ISNA(MATCH($E115,会计科目表!$B$6:$B$85,0)),"借方科目不存在",IF(ISNA(MATCH($F115,会计科目表!$B$6:$B$85,0)),"贷方科目不存在",IF($E115=$F115,"借贷科目相同",IF(N($G115)=0,"金额为 0",IF(YEAR($B115)&lt;&gt;参数设置!$B$5,"不在本会计年度","OK"))))))))</f>
        <v/>
      </c>
      <c r="L115" s="61" t="str">
        <f aca="false">IF($B115="","",YEAR($B115))</f>
        <v/>
      </c>
    </row>
    <row r="116" customFormat="false" ht="15" hidden="false" customHeight="false" outlineLevel="0" collapsed="false">
      <c r="A116" s="53" t="str">
        <f aca="false">IF($B116="","",ROW()-5)</f>
        <v/>
      </c>
      <c r="B116" s="54"/>
      <c r="C116" s="33"/>
      <c r="D116" s="41"/>
      <c r="E116" s="32"/>
      <c r="F116" s="32"/>
      <c r="G116" s="43"/>
      <c r="H116" s="41"/>
      <c r="I116" s="33"/>
      <c r="J116" s="41"/>
      <c r="K116" s="25" t="str">
        <f aca="false">IF(AND($B116="",$E116="",$G116=""),"",IF(NOT(ISNUMBER($B116)),"日期无效",IF(ISNA(MATCH($C116,参数设置!$A$10:$A$12,0)),"公司无效",IF(ISNA(MATCH($E116,会计科目表!$B$6:$B$85,0)),"借方科目不存在",IF(ISNA(MATCH($F116,会计科目表!$B$6:$B$85,0)),"贷方科目不存在",IF($E116=$F116,"借贷科目相同",IF(N($G116)=0,"金额为 0",IF(YEAR($B116)&lt;&gt;参数设置!$B$5,"不在本会计年度","OK"))))))))</f>
        <v/>
      </c>
      <c r="L116" s="61" t="str">
        <f aca="false">IF($B116="","",YEAR($B116))</f>
        <v/>
      </c>
    </row>
    <row r="117" customFormat="false" ht="15" hidden="false" customHeight="false" outlineLevel="0" collapsed="false">
      <c r="A117" s="53" t="str">
        <f aca="false">IF($B117="","",ROW()-5)</f>
        <v/>
      </c>
      <c r="B117" s="54"/>
      <c r="C117" s="33"/>
      <c r="D117" s="41"/>
      <c r="E117" s="32"/>
      <c r="F117" s="32"/>
      <c r="G117" s="43"/>
      <c r="H117" s="41"/>
      <c r="I117" s="33"/>
      <c r="J117" s="41"/>
      <c r="K117" s="25" t="str">
        <f aca="false">IF(AND($B117="",$E117="",$G117=""),"",IF(NOT(ISNUMBER($B117)),"日期无效",IF(ISNA(MATCH($C117,参数设置!$A$10:$A$12,0)),"公司无效",IF(ISNA(MATCH($E117,会计科目表!$B$6:$B$85,0)),"借方科目不存在",IF(ISNA(MATCH($F117,会计科目表!$B$6:$B$85,0)),"贷方科目不存在",IF($E117=$F117,"借贷科目相同",IF(N($G117)=0,"金额为 0",IF(YEAR($B117)&lt;&gt;参数设置!$B$5,"不在本会计年度","OK"))))))))</f>
        <v/>
      </c>
      <c r="L117" s="61" t="str">
        <f aca="false">IF($B117="","",YEAR($B117))</f>
        <v/>
      </c>
    </row>
    <row r="118" customFormat="false" ht="15" hidden="false" customHeight="false" outlineLevel="0" collapsed="false">
      <c r="A118" s="53" t="str">
        <f aca="false">IF($B118="","",ROW()-5)</f>
        <v/>
      </c>
      <c r="B118" s="54"/>
      <c r="C118" s="33"/>
      <c r="D118" s="41"/>
      <c r="E118" s="32"/>
      <c r="F118" s="32"/>
      <c r="G118" s="43"/>
      <c r="H118" s="41"/>
      <c r="I118" s="33"/>
      <c r="J118" s="41"/>
      <c r="K118" s="25" t="str">
        <f aca="false">IF(AND($B118="",$E118="",$G118=""),"",IF(NOT(ISNUMBER($B118)),"日期无效",IF(ISNA(MATCH($C118,参数设置!$A$10:$A$12,0)),"公司无效",IF(ISNA(MATCH($E118,会计科目表!$B$6:$B$85,0)),"借方科目不存在",IF(ISNA(MATCH($F118,会计科目表!$B$6:$B$85,0)),"贷方科目不存在",IF($E118=$F118,"借贷科目相同",IF(N($G118)=0,"金额为 0",IF(YEAR($B118)&lt;&gt;参数设置!$B$5,"不在本会计年度","OK"))))))))</f>
        <v/>
      </c>
      <c r="L118" s="61" t="str">
        <f aca="false">IF($B118="","",YEAR($B118))</f>
        <v/>
      </c>
    </row>
    <row r="119" customFormat="false" ht="15" hidden="false" customHeight="false" outlineLevel="0" collapsed="false">
      <c r="A119" s="53" t="str">
        <f aca="false">IF($B119="","",ROW()-5)</f>
        <v/>
      </c>
      <c r="B119" s="54"/>
      <c r="C119" s="33"/>
      <c r="D119" s="41"/>
      <c r="E119" s="32"/>
      <c r="F119" s="32"/>
      <c r="G119" s="43"/>
      <c r="H119" s="41"/>
      <c r="I119" s="33"/>
      <c r="J119" s="41"/>
      <c r="K119" s="25" t="str">
        <f aca="false">IF(AND($B119="",$E119="",$G119=""),"",IF(NOT(ISNUMBER($B119)),"日期无效",IF(ISNA(MATCH($C119,参数设置!$A$10:$A$12,0)),"公司无效",IF(ISNA(MATCH($E119,会计科目表!$B$6:$B$85,0)),"借方科目不存在",IF(ISNA(MATCH($F119,会计科目表!$B$6:$B$85,0)),"贷方科目不存在",IF($E119=$F119,"借贷科目相同",IF(N($G119)=0,"金额为 0",IF(YEAR($B119)&lt;&gt;参数设置!$B$5,"不在本会计年度","OK"))))))))</f>
        <v/>
      </c>
      <c r="L119" s="61" t="str">
        <f aca="false">IF($B119="","",YEAR($B119))</f>
        <v/>
      </c>
    </row>
    <row r="120" customFormat="false" ht="15" hidden="false" customHeight="false" outlineLevel="0" collapsed="false">
      <c r="A120" s="53" t="str">
        <f aca="false">IF($B120="","",ROW()-5)</f>
        <v/>
      </c>
      <c r="B120" s="54"/>
      <c r="C120" s="33"/>
      <c r="D120" s="41"/>
      <c r="E120" s="32"/>
      <c r="F120" s="32"/>
      <c r="G120" s="43"/>
      <c r="H120" s="41"/>
      <c r="I120" s="33"/>
      <c r="J120" s="41"/>
      <c r="K120" s="25" t="str">
        <f aca="false">IF(AND($B120="",$E120="",$G120=""),"",IF(NOT(ISNUMBER($B120)),"日期无效",IF(ISNA(MATCH($C120,参数设置!$A$10:$A$12,0)),"公司无效",IF(ISNA(MATCH($E120,会计科目表!$B$6:$B$85,0)),"借方科目不存在",IF(ISNA(MATCH($F120,会计科目表!$B$6:$B$85,0)),"贷方科目不存在",IF($E120=$F120,"借贷科目相同",IF(N($G120)=0,"金额为 0",IF(YEAR($B120)&lt;&gt;参数设置!$B$5,"不在本会计年度","OK"))))))))</f>
        <v/>
      </c>
      <c r="L120" s="61" t="str">
        <f aca="false">IF($B120="","",YEAR($B120))</f>
        <v/>
      </c>
    </row>
    <row r="121" customFormat="false" ht="15" hidden="false" customHeight="false" outlineLevel="0" collapsed="false">
      <c r="A121" s="53" t="str">
        <f aca="false">IF($B121="","",ROW()-5)</f>
        <v/>
      </c>
      <c r="B121" s="54"/>
      <c r="C121" s="33"/>
      <c r="D121" s="41"/>
      <c r="E121" s="32"/>
      <c r="F121" s="32"/>
      <c r="G121" s="43"/>
      <c r="H121" s="41"/>
      <c r="I121" s="33"/>
      <c r="J121" s="41"/>
      <c r="K121" s="25" t="str">
        <f aca="false">IF(AND($B121="",$E121="",$G121=""),"",IF(NOT(ISNUMBER($B121)),"日期无效",IF(ISNA(MATCH($C121,参数设置!$A$10:$A$12,0)),"公司无效",IF(ISNA(MATCH($E121,会计科目表!$B$6:$B$85,0)),"借方科目不存在",IF(ISNA(MATCH($F121,会计科目表!$B$6:$B$85,0)),"贷方科目不存在",IF($E121=$F121,"借贷科目相同",IF(N($G121)=0,"金额为 0",IF(YEAR($B121)&lt;&gt;参数设置!$B$5,"不在本会计年度","OK"))))))))</f>
        <v/>
      </c>
      <c r="L121" s="61" t="str">
        <f aca="false">IF($B121="","",YEAR($B121))</f>
        <v/>
      </c>
    </row>
    <row r="122" customFormat="false" ht="15" hidden="false" customHeight="false" outlineLevel="0" collapsed="false">
      <c r="A122" s="53" t="str">
        <f aca="false">IF($B122="","",ROW()-5)</f>
        <v/>
      </c>
      <c r="B122" s="54"/>
      <c r="C122" s="33"/>
      <c r="D122" s="41"/>
      <c r="E122" s="32"/>
      <c r="F122" s="32"/>
      <c r="G122" s="43"/>
      <c r="H122" s="41"/>
      <c r="I122" s="33"/>
      <c r="J122" s="41"/>
      <c r="K122" s="25" t="str">
        <f aca="false">IF(AND($B122="",$E122="",$G122=""),"",IF(NOT(ISNUMBER($B122)),"日期无效",IF(ISNA(MATCH($C122,参数设置!$A$10:$A$12,0)),"公司无效",IF(ISNA(MATCH($E122,会计科目表!$B$6:$B$85,0)),"借方科目不存在",IF(ISNA(MATCH($F122,会计科目表!$B$6:$B$85,0)),"贷方科目不存在",IF($E122=$F122,"借贷科目相同",IF(N($G122)=0,"金额为 0",IF(YEAR($B122)&lt;&gt;参数设置!$B$5,"不在本会计年度","OK"))))))))</f>
        <v/>
      </c>
      <c r="L122" s="61" t="str">
        <f aca="false">IF($B122="","",YEAR($B122))</f>
        <v/>
      </c>
    </row>
    <row r="123" customFormat="false" ht="15" hidden="false" customHeight="false" outlineLevel="0" collapsed="false">
      <c r="A123" s="53" t="str">
        <f aca="false">IF($B123="","",ROW()-5)</f>
        <v/>
      </c>
      <c r="B123" s="54"/>
      <c r="C123" s="33"/>
      <c r="D123" s="41"/>
      <c r="E123" s="32"/>
      <c r="F123" s="32"/>
      <c r="G123" s="43"/>
      <c r="H123" s="41"/>
      <c r="I123" s="33"/>
      <c r="J123" s="41"/>
      <c r="K123" s="25" t="str">
        <f aca="false">IF(AND($B123="",$E123="",$G123=""),"",IF(NOT(ISNUMBER($B123)),"日期无效",IF(ISNA(MATCH($C123,参数设置!$A$10:$A$12,0)),"公司无效",IF(ISNA(MATCH($E123,会计科目表!$B$6:$B$85,0)),"借方科目不存在",IF(ISNA(MATCH($F123,会计科目表!$B$6:$B$85,0)),"贷方科目不存在",IF($E123=$F123,"借贷科目相同",IF(N($G123)=0,"金额为 0",IF(YEAR($B123)&lt;&gt;参数设置!$B$5,"不在本会计年度","OK"))))))))</f>
        <v/>
      </c>
      <c r="L123" s="61" t="str">
        <f aca="false">IF($B123="","",YEAR($B123))</f>
        <v/>
      </c>
    </row>
    <row r="124" customFormat="false" ht="15" hidden="false" customHeight="false" outlineLevel="0" collapsed="false">
      <c r="A124" s="53" t="str">
        <f aca="false">IF($B124="","",ROW()-5)</f>
        <v/>
      </c>
      <c r="B124" s="54"/>
      <c r="C124" s="33"/>
      <c r="D124" s="41"/>
      <c r="E124" s="32"/>
      <c r="F124" s="32"/>
      <c r="G124" s="43"/>
      <c r="H124" s="41"/>
      <c r="I124" s="33"/>
      <c r="J124" s="41"/>
      <c r="K124" s="25" t="str">
        <f aca="false">IF(AND($B124="",$E124="",$G124=""),"",IF(NOT(ISNUMBER($B124)),"日期无效",IF(ISNA(MATCH($C124,参数设置!$A$10:$A$12,0)),"公司无效",IF(ISNA(MATCH($E124,会计科目表!$B$6:$B$85,0)),"借方科目不存在",IF(ISNA(MATCH($F124,会计科目表!$B$6:$B$85,0)),"贷方科目不存在",IF($E124=$F124,"借贷科目相同",IF(N($G124)=0,"金额为 0",IF(YEAR($B124)&lt;&gt;参数设置!$B$5,"不在本会计年度","OK"))))))))</f>
        <v/>
      </c>
      <c r="L124" s="61" t="str">
        <f aca="false">IF($B124="","",YEAR($B124))</f>
        <v/>
      </c>
    </row>
    <row r="125" customFormat="false" ht="15" hidden="false" customHeight="false" outlineLevel="0" collapsed="false">
      <c r="A125" s="53" t="str">
        <f aca="false">IF($B125="","",ROW()-5)</f>
        <v/>
      </c>
      <c r="B125" s="54"/>
      <c r="C125" s="33"/>
      <c r="D125" s="41"/>
      <c r="E125" s="32"/>
      <c r="F125" s="32"/>
      <c r="G125" s="43"/>
      <c r="H125" s="41"/>
      <c r="I125" s="33"/>
      <c r="J125" s="41"/>
      <c r="K125" s="25" t="str">
        <f aca="false">IF(AND($B125="",$E125="",$G125=""),"",IF(NOT(ISNUMBER($B125)),"日期无效",IF(ISNA(MATCH($C125,参数设置!$A$10:$A$12,0)),"公司无效",IF(ISNA(MATCH($E125,会计科目表!$B$6:$B$85,0)),"借方科目不存在",IF(ISNA(MATCH($F125,会计科目表!$B$6:$B$85,0)),"贷方科目不存在",IF($E125=$F125,"借贷科目相同",IF(N($G125)=0,"金额为 0",IF(YEAR($B125)&lt;&gt;参数设置!$B$5,"不在本会计年度","OK"))))))))</f>
        <v/>
      </c>
      <c r="L125" s="61" t="str">
        <f aca="false">IF($B125="","",YEAR($B125))</f>
        <v/>
      </c>
    </row>
    <row r="126" customFormat="false" ht="15" hidden="false" customHeight="false" outlineLevel="0" collapsed="false">
      <c r="A126" s="53" t="str">
        <f aca="false">IF($B126="","",ROW()-5)</f>
        <v/>
      </c>
      <c r="B126" s="54"/>
      <c r="C126" s="33"/>
      <c r="D126" s="41"/>
      <c r="E126" s="32"/>
      <c r="F126" s="32"/>
      <c r="G126" s="43"/>
      <c r="H126" s="41"/>
      <c r="I126" s="33"/>
      <c r="J126" s="41"/>
      <c r="K126" s="25" t="str">
        <f aca="false">IF(AND($B126="",$E126="",$G126=""),"",IF(NOT(ISNUMBER($B126)),"日期无效",IF(ISNA(MATCH($C126,参数设置!$A$10:$A$12,0)),"公司无效",IF(ISNA(MATCH($E126,会计科目表!$B$6:$B$85,0)),"借方科目不存在",IF(ISNA(MATCH($F126,会计科目表!$B$6:$B$85,0)),"贷方科目不存在",IF($E126=$F126,"借贷科目相同",IF(N($G126)=0,"金额为 0",IF(YEAR($B126)&lt;&gt;参数设置!$B$5,"不在本会计年度","OK"))))))))</f>
        <v/>
      </c>
      <c r="L126" s="61" t="str">
        <f aca="false">IF($B126="","",YEAR($B126))</f>
        <v/>
      </c>
    </row>
    <row r="127" customFormat="false" ht="15" hidden="false" customHeight="false" outlineLevel="0" collapsed="false">
      <c r="A127" s="53" t="str">
        <f aca="false">IF($B127="","",ROW()-5)</f>
        <v/>
      </c>
      <c r="B127" s="54"/>
      <c r="C127" s="33"/>
      <c r="D127" s="41"/>
      <c r="E127" s="32"/>
      <c r="F127" s="32"/>
      <c r="G127" s="43"/>
      <c r="H127" s="41"/>
      <c r="I127" s="33"/>
      <c r="J127" s="41"/>
      <c r="K127" s="25" t="str">
        <f aca="false">IF(AND($B127="",$E127="",$G127=""),"",IF(NOT(ISNUMBER($B127)),"日期无效",IF(ISNA(MATCH($C127,参数设置!$A$10:$A$12,0)),"公司无效",IF(ISNA(MATCH($E127,会计科目表!$B$6:$B$85,0)),"借方科目不存在",IF(ISNA(MATCH($F127,会计科目表!$B$6:$B$85,0)),"贷方科目不存在",IF($E127=$F127,"借贷科目相同",IF(N($G127)=0,"金额为 0",IF(YEAR($B127)&lt;&gt;参数设置!$B$5,"不在本会计年度","OK"))))))))</f>
        <v/>
      </c>
      <c r="L127" s="61" t="str">
        <f aca="false">IF($B127="","",YEAR($B127))</f>
        <v/>
      </c>
    </row>
    <row r="128" customFormat="false" ht="15" hidden="false" customHeight="false" outlineLevel="0" collapsed="false">
      <c r="A128" s="53" t="str">
        <f aca="false">IF($B128="","",ROW()-5)</f>
        <v/>
      </c>
      <c r="B128" s="54"/>
      <c r="C128" s="33"/>
      <c r="D128" s="41"/>
      <c r="E128" s="32"/>
      <c r="F128" s="32"/>
      <c r="G128" s="43"/>
      <c r="H128" s="41"/>
      <c r="I128" s="33"/>
      <c r="J128" s="41"/>
      <c r="K128" s="25" t="str">
        <f aca="false">IF(AND($B128="",$E128="",$G128=""),"",IF(NOT(ISNUMBER($B128)),"日期无效",IF(ISNA(MATCH($C128,参数设置!$A$10:$A$12,0)),"公司无效",IF(ISNA(MATCH($E128,会计科目表!$B$6:$B$85,0)),"借方科目不存在",IF(ISNA(MATCH($F128,会计科目表!$B$6:$B$85,0)),"贷方科目不存在",IF($E128=$F128,"借贷科目相同",IF(N($G128)=0,"金额为 0",IF(YEAR($B128)&lt;&gt;参数设置!$B$5,"不在本会计年度","OK"))))))))</f>
        <v/>
      </c>
      <c r="L128" s="61" t="str">
        <f aca="false">IF($B128="","",YEAR($B128))</f>
        <v/>
      </c>
    </row>
    <row r="129" customFormat="false" ht="15" hidden="false" customHeight="false" outlineLevel="0" collapsed="false">
      <c r="A129" s="53" t="str">
        <f aca="false">IF($B129="","",ROW()-5)</f>
        <v/>
      </c>
      <c r="B129" s="54"/>
      <c r="C129" s="33"/>
      <c r="D129" s="41"/>
      <c r="E129" s="32"/>
      <c r="F129" s="32"/>
      <c r="G129" s="43"/>
      <c r="H129" s="41"/>
      <c r="I129" s="33"/>
      <c r="J129" s="41"/>
      <c r="K129" s="25" t="str">
        <f aca="false">IF(AND($B129="",$E129="",$G129=""),"",IF(NOT(ISNUMBER($B129)),"日期无效",IF(ISNA(MATCH($C129,参数设置!$A$10:$A$12,0)),"公司无效",IF(ISNA(MATCH($E129,会计科目表!$B$6:$B$85,0)),"借方科目不存在",IF(ISNA(MATCH($F129,会计科目表!$B$6:$B$85,0)),"贷方科目不存在",IF($E129=$F129,"借贷科目相同",IF(N($G129)=0,"金额为 0",IF(YEAR($B129)&lt;&gt;参数设置!$B$5,"不在本会计年度","OK"))))))))</f>
        <v/>
      </c>
      <c r="L129" s="61" t="str">
        <f aca="false">IF($B129="","",YEAR($B129))</f>
        <v/>
      </c>
    </row>
    <row r="130" customFormat="false" ht="15" hidden="false" customHeight="false" outlineLevel="0" collapsed="false">
      <c r="A130" s="53" t="str">
        <f aca="false">IF($B130="","",ROW()-5)</f>
        <v/>
      </c>
      <c r="B130" s="54"/>
      <c r="C130" s="33"/>
      <c r="D130" s="41"/>
      <c r="E130" s="32"/>
      <c r="F130" s="32"/>
      <c r="G130" s="43"/>
      <c r="H130" s="41"/>
      <c r="I130" s="33"/>
      <c r="J130" s="41"/>
      <c r="K130" s="25" t="str">
        <f aca="false">IF(AND($B130="",$E130="",$G130=""),"",IF(NOT(ISNUMBER($B130)),"日期无效",IF(ISNA(MATCH($C130,参数设置!$A$10:$A$12,0)),"公司无效",IF(ISNA(MATCH($E130,会计科目表!$B$6:$B$85,0)),"借方科目不存在",IF(ISNA(MATCH($F130,会计科目表!$B$6:$B$85,0)),"贷方科目不存在",IF($E130=$F130,"借贷科目相同",IF(N($G130)=0,"金额为 0",IF(YEAR($B130)&lt;&gt;参数设置!$B$5,"不在本会计年度","OK"))))))))</f>
        <v/>
      </c>
      <c r="L130" s="61" t="str">
        <f aca="false">IF($B130="","",YEAR($B130))</f>
        <v/>
      </c>
    </row>
    <row r="131" customFormat="false" ht="15" hidden="false" customHeight="false" outlineLevel="0" collapsed="false">
      <c r="A131" s="53" t="str">
        <f aca="false">IF($B131="","",ROW()-5)</f>
        <v/>
      </c>
      <c r="B131" s="54"/>
      <c r="C131" s="33"/>
      <c r="D131" s="41"/>
      <c r="E131" s="32"/>
      <c r="F131" s="32"/>
      <c r="G131" s="43"/>
      <c r="H131" s="41"/>
      <c r="I131" s="33"/>
      <c r="J131" s="41"/>
      <c r="K131" s="25" t="str">
        <f aca="false">IF(AND($B131="",$E131="",$G131=""),"",IF(NOT(ISNUMBER($B131)),"日期无效",IF(ISNA(MATCH($C131,参数设置!$A$10:$A$12,0)),"公司无效",IF(ISNA(MATCH($E131,会计科目表!$B$6:$B$85,0)),"借方科目不存在",IF(ISNA(MATCH($F131,会计科目表!$B$6:$B$85,0)),"贷方科目不存在",IF($E131=$F131,"借贷科目相同",IF(N($G131)=0,"金额为 0",IF(YEAR($B131)&lt;&gt;参数设置!$B$5,"不在本会计年度","OK"))))))))</f>
        <v/>
      </c>
      <c r="L131" s="61" t="str">
        <f aca="false">IF($B131="","",YEAR($B131))</f>
        <v/>
      </c>
    </row>
    <row r="132" customFormat="false" ht="15" hidden="false" customHeight="false" outlineLevel="0" collapsed="false">
      <c r="A132" s="53" t="str">
        <f aca="false">IF($B132="","",ROW()-5)</f>
        <v/>
      </c>
      <c r="B132" s="54"/>
      <c r="C132" s="33"/>
      <c r="D132" s="41"/>
      <c r="E132" s="32"/>
      <c r="F132" s="32"/>
      <c r="G132" s="43"/>
      <c r="H132" s="41"/>
      <c r="I132" s="33"/>
      <c r="J132" s="41"/>
      <c r="K132" s="25" t="str">
        <f aca="false">IF(AND($B132="",$E132="",$G132=""),"",IF(NOT(ISNUMBER($B132)),"日期无效",IF(ISNA(MATCH($C132,参数设置!$A$10:$A$12,0)),"公司无效",IF(ISNA(MATCH($E132,会计科目表!$B$6:$B$85,0)),"借方科目不存在",IF(ISNA(MATCH($F132,会计科目表!$B$6:$B$85,0)),"贷方科目不存在",IF($E132=$F132,"借贷科目相同",IF(N($G132)=0,"金额为 0",IF(YEAR($B132)&lt;&gt;参数设置!$B$5,"不在本会计年度","OK"))))))))</f>
        <v/>
      </c>
      <c r="L132" s="61" t="str">
        <f aca="false">IF($B132="","",YEAR($B132))</f>
        <v/>
      </c>
    </row>
    <row r="133" customFormat="false" ht="15" hidden="false" customHeight="false" outlineLevel="0" collapsed="false">
      <c r="A133" s="53" t="str">
        <f aca="false">IF($B133="","",ROW()-5)</f>
        <v/>
      </c>
      <c r="B133" s="54"/>
      <c r="C133" s="33"/>
      <c r="D133" s="41"/>
      <c r="E133" s="32"/>
      <c r="F133" s="32"/>
      <c r="G133" s="43"/>
      <c r="H133" s="41"/>
      <c r="I133" s="33"/>
      <c r="J133" s="41"/>
      <c r="K133" s="25" t="str">
        <f aca="false">IF(AND($B133="",$E133="",$G133=""),"",IF(NOT(ISNUMBER($B133)),"日期无效",IF(ISNA(MATCH($C133,参数设置!$A$10:$A$12,0)),"公司无效",IF(ISNA(MATCH($E133,会计科目表!$B$6:$B$85,0)),"借方科目不存在",IF(ISNA(MATCH($F133,会计科目表!$B$6:$B$85,0)),"贷方科目不存在",IF($E133=$F133,"借贷科目相同",IF(N($G133)=0,"金额为 0",IF(YEAR($B133)&lt;&gt;参数设置!$B$5,"不在本会计年度","OK"))))))))</f>
        <v/>
      </c>
      <c r="L133" s="61" t="str">
        <f aca="false">IF($B133="","",YEAR($B133))</f>
        <v/>
      </c>
    </row>
    <row r="134" customFormat="false" ht="15" hidden="false" customHeight="false" outlineLevel="0" collapsed="false">
      <c r="A134" s="53" t="str">
        <f aca="false">IF($B134="","",ROW()-5)</f>
        <v/>
      </c>
      <c r="B134" s="54"/>
      <c r="C134" s="33"/>
      <c r="D134" s="41"/>
      <c r="E134" s="32"/>
      <c r="F134" s="32"/>
      <c r="G134" s="43"/>
      <c r="H134" s="41"/>
      <c r="I134" s="33"/>
      <c r="J134" s="41"/>
      <c r="K134" s="25" t="str">
        <f aca="false">IF(AND($B134="",$E134="",$G134=""),"",IF(NOT(ISNUMBER($B134)),"日期无效",IF(ISNA(MATCH($C134,参数设置!$A$10:$A$12,0)),"公司无效",IF(ISNA(MATCH($E134,会计科目表!$B$6:$B$85,0)),"借方科目不存在",IF(ISNA(MATCH($F134,会计科目表!$B$6:$B$85,0)),"贷方科目不存在",IF($E134=$F134,"借贷科目相同",IF(N($G134)=0,"金额为 0",IF(YEAR($B134)&lt;&gt;参数设置!$B$5,"不在本会计年度","OK"))))))))</f>
        <v/>
      </c>
      <c r="L134" s="61" t="str">
        <f aca="false">IF($B134="","",YEAR($B134))</f>
        <v/>
      </c>
    </row>
    <row r="135" customFormat="false" ht="15" hidden="false" customHeight="false" outlineLevel="0" collapsed="false">
      <c r="A135" s="53" t="str">
        <f aca="false">IF($B135="","",ROW()-5)</f>
        <v/>
      </c>
      <c r="B135" s="54"/>
      <c r="C135" s="33"/>
      <c r="D135" s="41"/>
      <c r="E135" s="32"/>
      <c r="F135" s="32"/>
      <c r="G135" s="43"/>
      <c r="H135" s="41"/>
      <c r="I135" s="33"/>
      <c r="J135" s="41"/>
      <c r="K135" s="25" t="str">
        <f aca="false">IF(AND($B135="",$E135="",$G135=""),"",IF(NOT(ISNUMBER($B135)),"日期无效",IF(ISNA(MATCH($C135,参数设置!$A$10:$A$12,0)),"公司无效",IF(ISNA(MATCH($E135,会计科目表!$B$6:$B$85,0)),"借方科目不存在",IF(ISNA(MATCH($F135,会计科目表!$B$6:$B$85,0)),"贷方科目不存在",IF($E135=$F135,"借贷科目相同",IF(N($G135)=0,"金额为 0",IF(YEAR($B135)&lt;&gt;参数设置!$B$5,"不在本会计年度","OK"))))))))</f>
        <v/>
      </c>
      <c r="L135" s="61" t="str">
        <f aca="false">IF($B135="","",YEAR($B135))</f>
        <v/>
      </c>
    </row>
    <row r="136" customFormat="false" ht="15" hidden="false" customHeight="false" outlineLevel="0" collapsed="false">
      <c r="A136" s="53" t="str">
        <f aca="false">IF($B136="","",ROW()-5)</f>
        <v/>
      </c>
      <c r="B136" s="54"/>
      <c r="C136" s="33"/>
      <c r="D136" s="41"/>
      <c r="E136" s="32"/>
      <c r="F136" s="32"/>
      <c r="G136" s="43"/>
      <c r="H136" s="41"/>
      <c r="I136" s="33"/>
      <c r="J136" s="41"/>
      <c r="K136" s="25" t="str">
        <f aca="false">IF(AND($B136="",$E136="",$G136=""),"",IF(NOT(ISNUMBER($B136)),"日期无效",IF(ISNA(MATCH($C136,参数设置!$A$10:$A$12,0)),"公司无效",IF(ISNA(MATCH($E136,会计科目表!$B$6:$B$85,0)),"借方科目不存在",IF(ISNA(MATCH($F136,会计科目表!$B$6:$B$85,0)),"贷方科目不存在",IF($E136=$F136,"借贷科目相同",IF(N($G136)=0,"金额为 0",IF(YEAR($B136)&lt;&gt;参数设置!$B$5,"不在本会计年度","OK"))))))))</f>
        <v/>
      </c>
      <c r="L136" s="61" t="str">
        <f aca="false">IF($B136="","",YEAR($B136))</f>
        <v/>
      </c>
    </row>
    <row r="137" customFormat="false" ht="15" hidden="false" customHeight="false" outlineLevel="0" collapsed="false">
      <c r="A137" s="53" t="str">
        <f aca="false">IF($B137="","",ROW()-5)</f>
        <v/>
      </c>
      <c r="B137" s="54"/>
      <c r="C137" s="33"/>
      <c r="D137" s="41"/>
      <c r="E137" s="32"/>
      <c r="F137" s="32"/>
      <c r="G137" s="43"/>
      <c r="H137" s="41"/>
      <c r="I137" s="33"/>
      <c r="J137" s="41"/>
      <c r="K137" s="25" t="str">
        <f aca="false">IF(AND($B137="",$E137="",$G137=""),"",IF(NOT(ISNUMBER($B137)),"日期无效",IF(ISNA(MATCH($C137,参数设置!$A$10:$A$12,0)),"公司无效",IF(ISNA(MATCH($E137,会计科目表!$B$6:$B$85,0)),"借方科目不存在",IF(ISNA(MATCH($F137,会计科目表!$B$6:$B$85,0)),"贷方科目不存在",IF($E137=$F137,"借贷科目相同",IF(N($G137)=0,"金额为 0",IF(YEAR($B137)&lt;&gt;参数设置!$B$5,"不在本会计年度","OK"))))))))</f>
        <v/>
      </c>
      <c r="L137" s="61" t="str">
        <f aca="false">IF($B137="","",YEAR($B137))</f>
        <v/>
      </c>
    </row>
    <row r="138" customFormat="false" ht="15" hidden="false" customHeight="false" outlineLevel="0" collapsed="false">
      <c r="A138" s="53" t="str">
        <f aca="false">IF($B138="","",ROW()-5)</f>
        <v/>
      </c>
      <c r="B138" s="54"/>
      <c r="C138" s="33"/>
      <c r="D138" s="41"/>
      <c r="E138" s="32"/>
      <c r="F138" s="32"/>
      <c r="G138" s="43"/>
      <c r="H138" s="41"/>
      <c r="I138" s="33"/>
      <c r="J138" s="41"/>
      <c r="K138" s="25" t="str">
        <f aca="false">IF(AND($B138="",$E138="",$G138=""),"",IF(NOT(ISNUMBER($B138)),"日期无效",IF(ISNA(MATCH($C138,参数设置!$A$10:$A$12,0)),"公司无效",IF(ISNA(MATCH($E138,会计科目表!$B$6:$B$85,0)),"借方科目不存在",IF(ISNA(MATCH($F138,会计科目表!$B$6:$B$85,0)),"贷方科目不存在",IF($E138=$F138,"借贷科目相同",IF(N($G138)=0,"金额为 0",IF(YEAR($B138)&lt;&gt;参数设置!$B$5,"不在本会计年度","OK"))))))))</f>
        <v/>
      </c>
      <c r="L138" s="61" t="str">
        <f aca="false">IF($B138="","",YEAR($B138))</f>
        <v/>
      </c>
    </row>
    <row r="139" customFormat="false" ht="15" hidden="false" customHeight="false" outlineLevel="0" collapsed="false">
      <c r="A139" s="53" t="str">
        <f aca="false">IF($B139="","",ROW()-5)</f>
        <v/>
      </c>
      <c r="B139" s="54"/>
      <c r="C139" s="33"/>
      <c r="D139" s="41"/>
      <c r="E139" s="32"/>
      <c r="F139" s="32"/>
      <c r="G139" s="43"/>
      <c r="H139" s="41"/>
      <c r="I139" s="33"/>
      <c r="J139" s="41"/>
      <c r="K139" s="25" t="str">
        <f aca="false">IF(AND($B139="",$E139="",$G139=""),"",IF(NOT(ISNUMBER($B139)),"日期无效",IF(ISNA(MATCH($C139,参数设置!$A$10:$A$12,0)),"公司无效",IF(ISNA(MATCH($E139,会计科目表!$B$6:$B$85,0)),"借方科目不存在",IF(ISNA(MATCH($F139,会计科目表!$B$6:$B$85,0)),"贷方科目不存在",IF($E139=$F139,"借贷科目相同",IF(N($G139)=0,"金额为 0",IF(YEAR($B139)&lt;&gt;参数设置!$B$5,"不在本会计年度","OK"))))))))</f>
        <v/>
      </c>
      <c r="L139" s="61" t="str">
        <f aca="false">IF($B139="","",YEAR($B139))</f>
        <v/>
      </c>
    </row>
    <row r="140" customFormat="false" ht="15" hidden="false" customHeight="false" outlineLevel="0" collapsed="false">
      <c r="A140" s="53" t="str">
        <f aca="false">IF($B140="","",ROW()-5)</f>
        <v/>
      </c>
      <c r="B140" s="54"/>
      <c r="C140" s="33"/>
      <c r="D140" s="41"/>
      <c r="E140" s="32"/>
      <c r="F140" s="32"/>
      <c r="G140" s="43"/>
      <c r="H140" s="41"/>
      <c r="I140" s="33"/>
      <c r="J140" s="41"/>
      <c r="K140" s="25" t="str">
        <f aca="false">IF(AND($B140="",$E140="",$G140=""),"",IF(NOT(ISNUMBER($B140)),"日期无效",IF(ISNA(MATCH($C140,参数设置!$A$10:$A$12,0)),"公司无效",IF(ISNA(MATCH($E140,会计科目表!$B$6:$B$85,0)),"借方科目不存在",IF(ISNA(MATCH($F140,会计科目表!$B$6:$B$85,0)),"贷方科目不存在",IF($E140=$F140,"借贷科目相同",IF(N($G140)=0,"金额为 0",IF(YEAR($B140)&lt;&gt;参数设置!$B$5,"不在本会计年度","OK"))))))))</f>
        <v/>
      </c>
      <c r="L140" s="61" t="str">
        <f aca="false">IF($B140="","",YEAR($B140))</f>
        <v/>
      </c>
    </row>
    <row r="141" customFormat="false" ht="15" hidden="false" customHeight="false" outlineLevel="0" collapsed="false">
      <c r="A141" s="53" t="str">
        <f aca="false">IF($B141="","",ROW()-5)</f>
        <v/>
      </c>
      <c r="B141" s="54"/>
      <c r="C141" s="33"/>
      <c r="D141" s="41"/>
      <c r="E141" s="32"/>
      <c r="F141" s="32"/>
      <c r="G141" s="43"/>
      <c r="H141" s="41"/>
      <c r="I141" s="33"/>
      <c r="J141" s="41"/>
      <c r="K141" s="25" t="str">
        <f aca="false">IF(AND($B141="",$E141="",$G141=""),"",IF(NOT(ISNUMBER($B141)),"日期无效",IF(ISNA(MATCH($C141,参数设置!$A$10:$A$12,0)),"公司无效",IF(ISNA(MATCH($E141,会计科目表!$B$6:$B$85,0)),"借方科目不存在",IF(ISNA(MATCH($F141,会计科目表!$B$6:$B$85,0)),"贷方科目不存在",IF($E141=$F141,"借贷科目相同",IF(N($G141)=0,"金额为 0",IF(YEAR($B141)&lt;&gt;参数设置!$B$5,"不在本会计年度","OK"))))))))</f>
        <v/>
      </c>
      <c r="L141" s="61" t="str">
        <f aca="false">IF($B141="","",YEAR($B141))</f>
        <v/>
      </c>
    </row>
    <row r="142" customFormat="false" ht="15" hidden="false" customHeight="false" outlineLevel="0" collapsed="false">
      <c r="A142" s="53" t="str">
        <f aca="false">IF($B142="","",ROW()-5)</f>
        <v/>
      </c>
      <c r="B142" s="54"/>
      <c r="C142" s="33"/>
      <c r="D142" s="41"/>
      <c r="E142" s="32"/>
      <c r="F142" s="32"/>
      <c r="G142" s="43"/>
      <c r="H142" s="41"/>
      <c r="I142" s="33"/>
      <c r="J142" s="41"/>
      <c r="K142" s="25" t="str">
        <f aca="false">IF(AND($B142="",$E142="",$G142=""),"",IF(NOT(ISNUMBER($B142)),"日期无效",IF(ISNA(MATCH($C142,参数设置!$A$10:$A$12,0)),"公司无效",IF(ISNA(MATCH($E142,会计科目表!$B$6:$B$85,0)),"借方科目不存在",IF(ISNA(MATCH($F142,会计科目表!$B$6:$B$85,0)),"贷方科目不存在",IF($E142=$F142,"借贷科目相同",IF(N($G142)=0,"金额为 0",IF(YEAR($B142)&lt;&gt;参数设置!$B$5,"不在本会计年度","OK"))))))))</f>
        <v/>
      </c>
      <c r="L142" s="61" t="str">
        <f aca="false">IF($B142="","",YEAR($B142))</f>
        <v/>
      </c>
    </row>
    <row r="143" customFormat="false" ht="15" hidden="false" customHeight="false" outlineLevel="0" collapsed="false">
      <c r="A143" s="53" t="str">
        <f aca="false">IF($B143="","",ROW()-5)</f>
        <v/>
      </c>
      <c r="B143" s="54"/>
      <c r="C143" s="33"/>
      <c r="D143" s="41"/>
      <c r="E143" s="32"/>
      <c r="F143" s="32"/>
      <c r="G143" s="43"/>
      <c r="H143" s="41"/>
      <c r="I143" s="33"/>
      <c r="J143" s="41"/>
      <c r="K143" s="25" t="str">
        <f aca="false">IF(AND($B143="",$E143="",$G143=""),"",IF(NOT(ISNUMBER($B143)),"日期无效",IF(ISNA(MATCH($C143,参数设置!$A$10:$A$12,0)),"公司无效",IF(ISNA(MATCH($E143,会计科目表!$B$6:$B$85,0)),"借方科目不存在",IF(ISNA(MATCH($F143,会计科目表!$B$6:$B$85,0)),"贷方科目不存在",IF($E143=$F143,"借贷科目相同",IF(N($G143)=0,"金额为 0",IF(YEAR($B143)&lt;&gt;参数设置!$B$5,"不在本会计年度","OK"))))))))</f>
        <v/>
      </c>
      <c r="L143" s="61" t="str">
        <f aca="false">IF($B143="","",YEAR($B143))</f>
        <v/>
      </c>
    </row>
    <row r="144" customFormat="false" ht="15" hidden="false" customHeight="false" outlineLevel="0" collapsed="false">
      <c r="A144" s="53" t="str">
        <f aca="false">IF($B144="","",ROW()-5)</f>
        <v/>
      </c>
      <c r="B144" s="54"/>
      <c r="C144" s="33"/>
      <c r="D144" s="41"/>
      <c r="E144" s="32"/>
      <c r="F144" s="32"/>
      <c r="G144" s="43"/>
      <c r="H144" s="41"/>
      <c r="I144" s="33"/>
      <c r="J144" s="41"/>
      <c r="K144" s="25" t="str">
        <f aca="false">IF(AND($B144="",$E144="",$G144=""),"",IF(NOT(ISNUMBER($B144)),"日期无效",IF(ISNA(MATCH($C144,参数设置!$A$10:$A$12,0)),"公司无效",IF(ISNA(MATCH($E144,会计科目表!$B$6:$B$85,0)),"借方科目不存在",IF(ISNA(MATCH($F144,会计科目表!$B$6:$B$85,0)),"贷方科目不存在",IF($E144=$F144,"借贷科目相同",IF(N($G144)=0,"金额为 0",IF(YEAR($B144)&lt;&gt;参数设置!$B$5,"不在本会计年度","OK"))))))))</f>
        <v/>
      </c>
      <c r="L144" s="61" t="str">
        <f aca="false">IF($B144="","",YEAR($B144))</f>
        <v/>
      </c>
    </row>
    <row r="145" customFormat="false" ht="15" hidden="false" customHeight="false" outlineLevel="0" collapsed="false">
      <c r="A145" s="53" t="str">
        <f aca="false">IF($B145="","",ROW()-5)</f>
        <v/>
      </c>
      <c r="B145" s="54"/>
      <c r="C145" s="33"/>
      <c r="D145" s="41"/>
      <c r="E145" s="32"/>
      <c r="F145" s="32"/>
      <c r="G145" s="43"/>
      <c r="H145" s="41"/>
      <c r="I145" s="33"/>
      <c r="J145" s="41"/>
      <c r="K145" s="25" t="str">
        <f aca="false">IF(AND($B145="",$E145="",$G145=""),"",IF(NOT(ISNUMBER($B145)),"日期无效",IF(ISNA(MATCH($C145,参数设置!$A$10:$A$12,0)),"公司无效",IF(ISNA(MATCH($E145,会计科目表!$B$6:$B$85,0)),"借方科目不存在",IF(ISNA(MATCH($F145,会计科目表!$B$6:$B$85,0)),"贷方科目不存在",IF($E145=$F145,"借贷科目相同",IF(N($G145)=0,"金额为 0",IF(YEAR($B145)&lt;&gt;参数设置!$B$5,"不在本会计年度","OK"))))))))</f>
        <v/>
      </c>
      <c r="L145" s="61" t="str">
        <f aca="false">IF($B145="","",YEAR($B145))</f>
        <v/>
      </c>
    </row>
    <row r="146" customFormat="false" ht="15" hidden="false" customHeight="false" outlineLevel="0" collapsed="false">
      <c r="A146" s="53" t="str">
        <f aca="false">IF($B146="","",ROW()-5)</f>
        <v/>
      </c>
      <c r="B146" s="54"/>
      <c r="C146" s="33"/>
      <c r="D146" s="41"/>
      <c r="E146" s="32"/>
      <c r="F146" s="32"/>
      <c r="G146" s="43"/>
      <c r="H146" s="41"/>
      <c r="I146" s="33"/>
      <c r="J146" s="41"/>
      <c r="K146" s="25" t="str">
        <f aca="false">IF(AND($B146="",$E146="",$G146=""),"",IF(NOT(ISNUMBER($B146)),"日期无效",IF(ISNA(MATCH($C146,参数设置!$A$10:$A$12,0)),"公司无效",IF(ISNA(MATCH($E146,会计科目表!$B$6:$B$85,0)),"借方科目不存在",IF(ISNA(MATCH($F146,会计科目表!$B$6:$B$85,0)),"贷方科目不存在",IF($E146=$F146,"借贷科目相同",IF(N($G146)=0,"金额为 0",IF(YEAR($B146)&lt;&gt;参数设置!$B$5,"不在本会计年度","OK"))))))))</f>
        <v/>
      </c>
      <c r="L146" s="61" t="str">
        <f aca="false">IF($B146="","",YEAR($B146))</f>
        <v/>
      </c>
    </row>
    <row r="147" customFormat="false" ht="15" hidden="false" customHeight="false" outlineLevel="0" collapsed="false">
      <c r="A147" s="53" t="str">
        <f aca="false">IF($B147="","",ROW()-5)</f>
        <v/>
      </c>
      <c r="B147" s="54"/>
      <c r="C147" s="33"/>
      <c r="D147" s="41"/>
      <c r="E147" s="32"/>
      <c r="F147" s="32"/>
      <c r="G147" s="43"/>
      <c r="H147" s="41"/>
      <c r="I147" s="33"/>
      <c r="J147" s="41"/>
      <c r="K147" s="25" t="str">
        <f aca="false">IF(AND($B147="",$E147="",$G147=""),"",IF(NOT(ISNUMBER($B147)),"日期无效",IF(ISNA(MATCH($C147,参数设置!$A$10:$A$12,0)),"公司无效",IF(ISNA(MATCH($E147,会计科目表!$B$6:$B$85,0)),"借方科目不存在",IF(ISNA(MATCH($F147,会计科目表!$B$6:$B$85,0)),"贷方科目不存在",IF($E147=$F147,"借贷科目相同",IF(N($G147)=0,"金额为 0",IF(YEAR($B147)&lt;&gt;参数设置!$B$5,"不在本会计年度","OK"))))))))</f>
        <v/>
      </c>
      <c r="L147" s="61" t="str">
        <f aca="false">IF($B147="","",YEAR($B147))</f>
        <v/>
      </c>
    </row>
    <row r="148" customFormat="false" ht="15" hidden="false" customHeight="false" outlineLevel="0" collapsed="false">
      <c r="A148" s="53" t="str">
        <f aca="false">IF($B148="","",ROW()-5)</f>
        <v/>
      </c>
      <c r="B148" s="54"/>
      <c r="C148" s="33"/>
      <c r="D148" s="41"/>
      <c r="E148" s="32"/>
      <c r="F148" s="32"/>
      <c r="G148" s="43"/>
      <c r="H148" s="41"/>
      <c r="I148" s="33"/>
      <c r="J148" s="41"/>
      <c r="K148" s="25" t="str">
        <f aca="false">IF(AND($B148="",$E148="",$G148=""),"",IF(NOT(ISNUMBER($B148)),"日期无效",IF(ISNA(MATCH($C148,参数设置!$A$10:$A$12,0)),"公司无效",IF(ISNA(MATCH($E148,会计科目表!$B$6:$B$85,0)),"借方科目不存在",IF(ISNA(MATCH($F148,会计科目表!$B$6:$B$85,0)),"贷方科目不存在",IF($E148=$F148,"借贷科目相同",IF(N($G148)=0,"金额为 0",IF(YEAR($B148)&lt;&gt;参数设置!$B$5,"不在本会计年度","OK"))))))))</f>
        <v/>
      </c>
      <c r="L148" s="61" t="str">
        <f aca="false">IF($B148="","",YEAR($B148))</f>
        <v/>
      </c>
    </row>
    <row r="149" customFormat="false" ht="15" hidden="false" customHeight="false" outlineLevel="0" collapsed="false">
      <c r="A149" s="53" t="str">
        <f aca="false">IF($B149="","",ROW()-5)</f>
        <v/>
      </c>
      <c r="B149" s="54"/>
      <c r="C149" s="33"/>
      <c r="D149" s="41"/>
      <c r="E149" s="32"/>
      <c r="F149" s="32"/>
      <c r="G149" s="43"/>
      <c r="H149" s="41"/>
      <c r="I149" s="33"/>
      <c r="J149" s="41"/>
      <c r="K149" s="25" t="str">
        <f aca="false">IF(AND($B149="",$E149="",$G149=""),"",IF(NOT(ISNUMBER($B149)),"日期无效",IF(ISNA(MATCH($C149,参数设置!$A$10:$A$12,0)),"公司无效",IF(ISNA(MATCH($E149,会计科目表!$B$6:$B$85,0)),"借方科目不存在",IF(ISNA(MATCH($F149,会计科目表!$B$6:$B$85,0)),"贷方科目不存在",IF($E149=$F149,"借贷科目相同",IF(N($G149)=0,"金额为 0",IF(YEAR($B149)&lt;&gt;参数设置!$B$5,"不在本会计年度","OK"))))))))</f>
        <v/>
      </c>
      <c r="L149" s="61" t="str">
        <f aca="false">IF($B149="","",YEAR($B149))</f>
        <v/>
      </c>
    </row>
    <row r="150" customFormat="false" ht="15" hidden="false" customHeight="false" outlineLevel="0" collapsed="false">
      <c r="A150" s="53" t="str">
        <f aca="false">IF($B150="","",ROW()-5)</f>
        <v/>
      </c>
      <c r="B150" s="54"/>
      <c r="C150" s="33"/>
      <c r="D150" s="41"/>
      <c r="E150" s="32"/>
      <c r="F150" s="32"/>
      <c r="G150" s="43"/>
      <c r="H150" s="41"/>
      <c r="I150" s="33"/>
      <c r="J150" s="41"/>
      <c r="K150" s="25" t="str">
        <f aca="false">IF(AND($B150="",$E150="",$G150=""),"",IF(NOT(ISNUMBER($B150)),"日期无效",IF(ISNA(MATCH($C150,参数设置!$A$10:$A$12,0)),"公司无效",IF(ISNA(MATCH($E150,会计科目表!$B$6:$B$85,0)),"借方科目不存在",IF(ISNA(MATCH($F150,会计科目表!$B$6:$B$85,0)),"贷方科目不存在",IF($E150=$F150,"借贷科目相同",IF(N($G150)=0,"金额为 0",IF(YEAR($B150)&lt;&gt;参数设置!$B$5,"不在本会计年度","OK"))))))))</f>
        <v/>
      </c>
      <c r="L150" s="61" t="str">
        <f aca="false">IF($B150="","",YEAR($B150))</f>
        <v/>
      </c>
    </row>
    <row r="151" customFormat="false" ht="15" hidden="false" customHeight="false" outlineLevel="0" collapsed="false">
      <c r="A151" s="53" t="str">
        <f aca="false">IF($B151="","",ROW()-5)</f>
        <v/>
      </c>
      <c r="B151" s="54"/>
      <c r="C151" s="33"/>
      <c r="D151" s="41"/>
      <c r="E151" s="32"/>
      <c r="F151" s="32"/>
      <c r="G151" s="43"/>
      <c r="H151" s="41"/>
      <c r="I151" s="33"/>
      <c r="J151" s="41"/>
      <c r="K151" s="25" t="str">
        <f aca="false">IF(AND($B151="",$E151="",$G151=""),"",IF(NOT(ISNUMBER($B151)),"日期无效",IF(ISNA(MATCH($C151,参数设置!$A$10:$A$12,0)),"公司无效",IF(ISNA(MATCH($E151,会计科目表!$B$6:$B$85,0)),"借方科目不存在",IF(ISNA(MATCH($F151,会计科目表!$B$6:$B$85,0)),"贷方科目不存在",IF($E151=$F151,"借贷科目相同",IF(N($G151)=0,"金额为 0",IF(YEAR($B151)&lt;&gt;参数设置!$B$5,"不在本会计年度","OK"))))))))</f>
        <v/>
      </c>
      <c r="L151" s="61" t="str">
        <f aca="false">IF($B151="","",YEAR($B151))</f>
        <v/>
      </c>
    </row>
    <row r="152" customFormat="false" ht="15" hidden="false" customHeight="false" outlineLevel="0" collapsed="false">
      <c r="A152" s="53" t="str">
        <f aca="false">IF($B152="","",ROW()-5)</f>
        <v/>
      </c>
      <c r="B152" s="54"/>
      <c r="C152" s="33"/>
      <c r="D152" s="41"/>
      <c r="E152" s="32"/>
      <c r="F152" s="32"/>
      <c r="G152" s="43"/>
      <c r="H152" s="41"/>
      <c r="I152" s="33"/>
      <c r="J152" s="41"/>
      <c r="K152" s="25" t="str">
        <f aca="false">IF(AND($B152="",$E152="",$G152=""),"",IF(NOT(ISNUMBER($B152)),"日期无效",IF(ISNA(MATCH($C152,参数设置!$A$10:$A$12,0)),"公司无效",IF(ISNA(MATCH($E152,会计科目表!$B$6:$B$85,0)),"借方科目不存在",IF(ISNA(MATCH($F152,会计科目表!$B$6:$B$85,0)),"贷方科目不存在",IF($E152=$F152,"借贷科目相同",IF(N($G152)=0,"金额为 0",IF(YEAR($B152)&lt;&gt;参数设置!$B$5,"不在本会计年度","OK"))))))))</f>
        <v/>
      </c>
      <c r="L152" s="61" t="str">
        <f aca="false">IF($B152="","",YEAR($B152))</f>
        <v/>
      </c>
    </row>
    <row r="153" customFormat="false" ht="15" hidden="false" customHeight="false" outlineLevel="0" collapsed="false">
      <c r="A153" s="53" t="str">
        <f aca="false">IF($B153="","",ROW()-5)</f>
        <v/>
      </c>
      <c r="B153" s="54"/>
      <c r="C153" s="33"/>
      <c r="D153" s="41"/>
      <c r="E153" s="32"/>
      <c r="F153" s="32"/>
      <c r="G153" s="43"/>
      <c r="H153" s="41"/>
      <c r="I153" s="33"/>
      <c r="J153" s="41"/>
      <c r="K153" s="25" t="str">
        <f aca="false">IF(AND($B153="",$E153="",$G153=""),"",IF(NOT(ISNUMBER($B153)),"日期无效",IF(ISNA(MATCH($C153,参数设置!$A$10:$A$12,0)),"公司无效",IF(ISNA(MATCH($E153,会计科目表!$B$6:$B$85,0)),"借方科目不存在",IF(ISNA(MATCH($F153,会计科目表!$B$6:$B$85,0)),"贷方科目不存在",IF($E153=$F153,"借贷科目相同",IF(N($G153)=0,"金额为 0",IF(YEAR($B153)&lt;&gt;参数设置!$B$5,"不在本会计年度","OK"))))))))</f>
        <v/>
      </c>
      <c r="L153" s="61" t="str">
        <f aca="false">IF($B153="","",YEAR($B153))</f>
        <v/>
      </c>
    </row>
    <row r="154" customFormat="false" ht="15" hidden="false" customHeight="false" outlineLevel="0" collapsed="false">
      <c r="A154" s="53" t="str">
        <f aca="false">IF($B154="","",ROW()-5)</f>
        <v/>
      </c>
      <c r="B154" s="54"/>
      <c r="C154" s="33"/>
      <c r="D154" s="41"/>
      <c r="E154" s="32"/>
      <c r="F154" s="32"/>
      <c r="G154" s="43"/>
      <c r="H154" s="41"/>
      <c r="I154" s="33"/>
      <c r="J154" s="41"/>
      <c r="K154" s="25" t="str">
        <f aca="false">IF(AND($B154="",$E154="",$G154=""),"",IF(NOT(ISNUMBER($B154)),"日期无效",IF(ISNA(MATCH($C154,参数设置!$A$10:$A$12,0)),"公司无效",IF(ISNA(MATCH($E154,会计科目表!$B$6:$B$85,0)),"借方科目不存在",IF(ISNA(MATCH($F154,会计科目表!$B$6:$B$85,0)),"贷方科目不存在",IF($E154=$F154,"借贷科目相同",IF(N($G154)=0,"金额为 0",IF(YEAR($B154)&lt;&gt;参数设置!$B$5,"不在本会计年度","OK"))))))))</f>
        <v/>
      </c>
      <c r="L154" s="61" t="str">
        <f aca="false">IF($B154="","",YEAR($B154))</f>
        <v/>
      </c>
    </row>
    <row r="155" customFormat="false" ht="15" hidden="false" customHeight="false" outlineLevel="0" collapsed="false">
      <c r="A155" s="53" t="str">
        <f aca="false">IF($B155="","",ROW()-5)</f>
        <v/>
      </c>
      <c r="B155" s="54"/>
      <c r="C155" s="33"/>
      <c r="D155" s="41"/>
      <c r="E155" s="32"/>
      <c r="F155" s="32"/>
      <c r="G155" s="43"/>
      <c r="H155" s="41"/>
      <c r="I155" s="33"/>
      <c r="J155" s="41"/>
      <c r="K155" s="25" t="str">
        <f aca="false">IF(AND($B155="",$E155="",$G155=""),"",IF(NOT(ISNUMBER($B155)),"日期无效",IF(ISNA(MATCH($C155,参数设置!$A$10:$A$12,0)),"公司无效",IF(ISNA(MATCH($E155,会计科目表!$B$6:$B$85,0)),"借方科目不存在",IF(ISNA(MATCH($F155,会计科目表!$B$6:$B$85,0)),"贷方科目不存在",IF($E155=$F155,"借贷科目相同",IF(N($G155)=0,"金额为 0",IF(YEAR($B155)&lt;&gt;参数设置!$B$5,"不在本会计年度","OK"))))))))</f>
        <v/>
      </c>
      <c r="L155" s="61" t="str">
        <f aca="false">IF($B155="","",YEAR($B155))</f>
        <v/>
      </c>
    </row>
    <row r="156" customFormat="false" ht="15" hidden="false" customHeight="false" outlineLevel="0" collapsed="false">
      <c r="A156" s="53" t="str">
        <f aca="false">IF($B156="","",ROW()-5)</f>
        <v/>
      </c>
      <c r="B156" s="54"/>
      <c r="C156" s="33"/>
      <c r="D156" s="41"/>
      <c r="E156" s="32"/>
      <c r="F156" s="32"/>
      <c r="G156" s="43"/>
      <c r="H156" s="41"/>
      <c r="I156" s="33"/>
      <c r="J156" s="41"/>
      <c r="K156" s="25" t="str">
        <f aca="false">IF(AND($B156="",$E156="",$G156=""),"",IF(NOT(ISNUMBER($B156)),"日期无效",IF(ISNA(MATCH($C156,参数设置!$A$10:$A$12,0)),"公司无效",IF(ISNA(MATCH($E156,会计科目表!$B$6:$B$85,0)),"借方科目不存在",IF(ISNA(MATCH($F156,会计科目表!$B$6:$B$85,0)),"贷方科目不存在",IF($E156=$F156,"借贷科目相同",IF(N($G156)=0,"金额为 0",IF(YEAR($B156)&lt;&gt;参数设置!$B$5,"不在本会计年度","OK"))))))))</f>
        <v/>
      </c>
      <c r="L156" s="61" t="str">
        <f aca="false">IF($B156="","",YEAR($B156))</f>
        <v/>
      </c>
    </row>
    <row r="157" customFormat="false" ht="15" hidden="false" customHeight="false" outlineLevel="0" collapsed="false">
      <c r="A157" s="53" t="str">
        <f aca="false">IF($B157="","",ROW()-5)</f>
        <v/>
      </c>
      <c r="B157" s="54"/>
      <c r="C157" s="33"/>
      <c r="D157" s="41"/>
      <c r="E157" s="32"/>
      <c r="F157" s="32"/>
      <c r="G157" s="43"/>
      <c r="H157" s="41"/>
      <c r="I157" s="33"/>
      <c r="J157" s="41"/>
      <c r="K157" s="25" t="str">
        <f aca="false">IF(AND($B157="",$E157="",$G157=""),"",IF(NOT(ISNUMBER($B157)),"日期无效",IF(ISNA(MATCH($C157,参数设置!$A$10:$A$12,0)),"公司无效",IF(ISNA(MATCH($E157,会计科目表!$B$6:$B$85,0)),"借方科目不存在",IF(ISNA(MATCH($F157,会计科目表!$B$6:$B$85,0)),"贷方科目不存在",IF($E157=$F157,"借贷科目相同",IF(N($G157)=0,"金额为 0",IF(YEAR($B157)&lt;&gt;参数设置!$B$5,"不在本会计年度","OK"))))))))</f>
        <v/>
      </c>
      <c r="L157" s="61" t="str">
        <f aca="false">IF($B157="","",YEAR($B157))</f>
        <v/>
      </c>
    </row>
    <row r="158" customFormat="false" ht="15" hidden="false" customHeight="false" outlineLevel="0" collapsed="false">
      <c r="A158" s="53" t="str">
        <f aca="false">IF($B158="","",ROW()-5)</f>
        <v/>
      </c>
      <c r="B158" s="54"/>
      <c r="C158" s="33"/>
      <c r="D158" s="41"/>
      <c r="E158" s="32"/>
      <c r="F158" s="32"/>
      <c r="G158" s="43"/>
      <c r="H158" s="41"/>
      <c r="I158" s="33"/>
      <c r="J158" s="41"/>
      <c r="K158" s="25" t="str">
        <f aca="false">IF(AND($B158="",$E158="",$G158=""),"",IF(NOT(ISNUMBER($B158)),"日期无效",IF(ISNA(MATCH($C158,参数设置!$A$10:$A$12,0)),"公司无效",IF(ISNA(MATCH($E158,会计科目表!$B$6:$B$85,0)),"借方科目不存在",IF(ISNA(MATCH($F158,会计科目表!$B$6:$B$85,0)),"贷方科目不存在",IF($E158=$F158,"借贷科目相同",IF(N($G158)=0,"金额为 0",IF(YEAR($B158)&lt;&gt;参数设置!$B$5,"不在本会计年度","OK"))))))))</f>
        <v/>
      </c>
      <c r="L158" s="61" t="str">
        <f aca="false">IF($B158="","",YEAR($B158))</f>
        <v/>
      </c>
    </row>
    <row r="159" customFormat="false" ht="15" hidden="false" customHeight="false" outlineLevel="0" collapsed="false">
      <c r="A159" s="53" t="str">
        <f aca="false">IF($B159="","",ROW()-5)</f>
        <v/>
      </c>
      <c r="B159" s="54"/>
      <c r="C159" s="33"/>
      <c r="D159" s="41"/>
      <c r="E159" s="32"/>
      <c r="F159" s="32"/>
      <c r="G159" s="43"/>
      <c r="H159" s="41"/>
      <c r="I159" s="33"/>
      <c r="J159" s="41"/>
      <c r="K159" s="25" t="str">
        <f aca="false">IF(AND($B159="",$E159="",$G159=""),"",IF(NOT(ISNUMBER($B159)),"日期无效",IF(ISNA(MATCH($C159,参数设置!$A$10:$A$12,0)),"公司无效",IF(ISNA(MATCH($E159,会计科目表!$B$6:$B$85,0)),"借方科目不存在",IF(ISNA(MATCH($F159,会计科目表!$B$6:$B$85,0)),"贷方科目不存在",IF($E159=$F159,"借贷科目相同",IF(N($G159)=0,"金额为 0",IF(YEAR($B159)&lt;&gt;参数设置!$B$5,"不在本会计年度","OK"))))))))</f>
        <v/>
      </c>
      <c r="L159" s="61" t="str">
        <f aca="false">IF($B159="","",YEAR($B159))</f>
        <v/>
      </c>
    </row>
    <row r="160" customFormat="false" ht="15" hidden="false" customHeight="false" outlineLevel="0" collapsed="false">
      <c r="A160" s="53" t="str">
        <f aca="false">IF($B160="","",ROW()-5)</f>
        <v/>
      </c>
      <c r="B160" s="54"/>
      <c r="C160" s="33"/>
      <c r="D160" s="41"/>
      <c r="E160" s="32"/>
      <c r="F160" s="32"/>
      <c r="G160" s="43"/>
      <c r="H160" s="41"/>
      <c r="I160" s="33"/>
      <c r="J160" s="41"/>
      <c r="K160" s="25" t="str">
        <f aca="false">IF(AND($B160="",$E160="",$G160=""),"",IF(NOT(ISNUMBER($B160)),"日期无效",IF(ISNA(MATCH($C160,参数设置!$A$10:$A$12,0)),"公司无效",IF(ISNA(MATCH($E160,会计科目表!$B$6:$B$85,0)),"借方科目不存在",IF(ISNA(MATCH($F160,会计科目表!$B$6:$B$85,0)),"贷方科目不存在",IF($E160=$F160,"借贷科目相同",IF(N($G160)=0,"金额为 0",IF(YEAR($B160)&lt;&gt;参数设置!$B$5,"不在本会计年度","OK"))))))))</f>
        <v/>
      </c>
      <c r="L160" s="61" t="str">
        <f aca="false">IF($B160="","",YEAR($B160))</f>
        <v/>
      </c>
    </row>
    <row r="161" customFormat="false" ht="15" hidden="false" customHeight="false" outlineLevel="0" collapsed="false">
      <c r="A161" s="53" t="str">
        <f aca="false">IF($B161="","",ROW()-5)</f>
        <v/>
      </c>
      <c r="B161" s="54"/>
      <c r="C161" s="33"/>
      <c r="D161" s="41"/>
      <c r="E161" s="32"/>
      <c r="F161" s="32"/>
      <c r="G161" s="43"/>
      <c r="H161" s="41"/>
      <c r="I161" s="33"/>
      <c r="J161" s="41"/>
      <c r="K161" s="25" t="str">
        <f aca="false">IF(AND($B161="",$E161="",$G161=""),"",IF(NOT(ISNUMBER($B161)),"日期无效",IF(ISNA(MATCH($C161,参数设置!$A$10:$A$12,0)),"公司无效",IF(ISNA(MATCH($E161,会计科目表!$B$6:$B$85,0)),"借方科目不存在",IF(ISNA(MATCH($F161,会计科目表!$B$6:$B$85,0)),"贷方科目不存在",IF($E161=$F161,"借贷科目相同",IF(N($G161)=0,"金额为 0",IF(YEAR($B161)&lt;&gt;参数设置!$B$5,"不在本会计年度","OK"))))))))</f>
        <v/>
      </c>
      <c r="L161" s="61" t="str">
        <f aca="false">IF($B161="","",YEAR($B161))</f>
        <v/>
      </c>
    </row>
    <row r="162" customFormat="false" ht="15" hidden="false" customHeight="false" outlineLevel="0" collapsed="false">
      <c r="A162" s="53" t="str">
        <f aca="false">IF($B162="","",ROW()-5)</f>
        <v/>
      </c>
      <c r="B162" s="54"/>
      <c r="C162" s="33"/>
      <c r="D162" s="41"/>
      <c r="E162" s="32"/>
      <c r="F162" s="32"/>
      <c r="G162" s="43"/>
      <c r="H162" s="41"/>
      <c r="I162" s="33"/>
      <c r="J162" s="41"/>
      <c r="K162" s="25" t="str">
        <f aca="false">IF(AND($B162="",$E162="",$G162=""),"",IF(NOT(ISNUMBER($B162)),"日期无效",IF(ISNA(MATCH($C162,参数设置!$A$10:$A$12,0)),"公司无效",IF(ISNA(MATCH($E162,会计科目表!$B$6:$B$85,0)),"借方科目不存在",IF(ISNA(MATCH($F162,会计科目表!$B$6:$B$85,0)),"贷方科目不存在",IF($E162=$F162,"借贷科目相同",IF(N($G162)=0,"金额为 0",IF(YEAR($B162)&lt;&gt;参数设置!$B$5,"不在本会计年度","OK"))))))))</f>
        <v/>
      </c>
      <c r="L162" s="61" t="str">
        <f aca="false">IF($B162="","",YEAR($B162))</f>
        <v/>
      </c>
    </row>
    <row r="163" customFormat="false" ht="15" hidden="false" customHeight="false" outlineLevel="0" collapsed="false">
      <c r="A163" s="53" t="str">
        <f aca="false">IF($B163="","",ROW()-5)</f>
        <v/>
      </c>
      <c r="B163" s="54"/>
      <c r="C163" s="33"/>
      <c r="D163" s="41"/>
      <c r="E163" s="32"/>
      <c r="F163" s="32"/>
      <c r="G163" s="43"/>
      <c r="H163" s="41"/>
      <c r="I163" s="33"/>
      <c r="J163" s="41"/>
      <c r="K163" s="25" t="str">
        <f aca="false">IF(AND($B163="",$E163="",$G163=""),"",IF(NOT(ISNUMBER($B163)),"日期无效",IF(ISNA(MATCH($C163,参数设置!$A$10:$A$12,0)),"公司无效",IF(ISNA(MATCH($E163,会计科目表!$B$6:$B$85,0)),"借方科目不存在",IF(ISNA(MATCH($F163,会计科目表!$B$6:$B$85,0)),"贷方科目不存在",IF($E163=$F163,"借贷科目相同",IF(N($G163)=0,"金额为 0",IF(YEAR($B163)&lt;&gt;参数设置!$B$5,"不在本会计年度","OK"))))))))</f>
        <v/>
      </c>
      <c r="L163" s="61" t="str">
        <f aca="false">IF($B163="","",YEAR($B163))</f>
        <v/>
      </c>
    </row>
    <row r="164" customFormat="false" ht="15" hidden="false" customHeight="false" outlineLevel="0" collapsed="false">
      <c r="A164" s="53" t="str">
        <f aca="false">IF($B164="","",ROW()-5)</f>
        <v/>
      </c>
      <c r="B164" s="54"/>
      <c r="C164" s="33"/>
      <c r="D164" s="41"/>
      <c r="E164" s="32"/>
      <c r="F164" s="32"/>
      <c r="G164" s="43"/>
      <c r="H164" s="41"/>
      <c r="I164" s="33"/>
      <c r="J164" s="41"/>
      <c r="K164" s="25" t="str">
        <f aca="false">IF(AND($B164="",$E164="",$G164=""),"",IF(NOT(ISNUMBER($B164)),"日期无效",IF(ISNA(MATCH($C164,参数设置!$A$10:$A$12,0)),"公司无效",IF(ISNA(MATCH($E164,会计科目表!$B$6:$B$85,0)),"借方科目不存在",IF(ISNA(MATCH($F164,会计科目表!$B$6:$B$85,0)),"贷方科目不存在",IF($E164=$F164,"借贷科目相同",IF(N($G164)=0,"金额为 0",IF(YEAR($B164)&lt;&gt;参数设置!$B$5,"不在本会计年度","OK"))))))))</f>
        <v/>
      </c>
      <c r="L164" s="61" t="str">
        <f aca="false">IF($B164="","",YEAR($B164))</f>
        <v/>
      </c>
    </row>
    <row r="165" customFormat="false" ht="15" hidden="false" customHeight="false" outlineLevel="0" collapsed="false">
      <c r="A165" s="53" t="str">
        <f aca="false">IF($B165="","",ROW()-5)</f>
        <v/>
      </c>
      <c r="B165" s="54"/>
      <c r="C165" s="33"/>
      <c r="D165" s="41"/>
      <c r="E165" s="32"/>
      <c r="F165" s="32"/>
      <c r="G165" s="43"/>
      <c r="H165" s="41"/>
      <c r="I165" s="33"/>
      <c r="J165" s="41"/>
      <c r="K165" s="25" t="str">
        <f aca="false">IF(AND($B165="",$E165="",$G165=""),"",IF(NOT(ISNUMBER($B165)),"日期无效",IF(ISNA(MATCH($C165,参数设置!$A$10:$A$12,0)),"公司无效",IF(ISNA(MATCH($E165,会计科目表!$B$6:$B$85,0)),"借方科目不存在",IF(ISNA(MATCH($F165,会计科目表!$B$6:$B$85,0)),"贷方科目不存在",IF($E165=$F165,"借贷科目相同",IF(N($G165)=0,"金额为 0",IF(YEAR($B165)&lt;&gt;参数设置!$B$5,"不在本会计年度","OK"))))))))</f>
        <v/>
      </c>
      <c r="L165" s="61" t="str">
        <f aca="false">IF($B165="","",YEAR($B165))</f>
        <v/>
      </c>
    </row>
    <row r="166" customFormat="false" ht="15" hidden="false" customHeight="false" outlineLevel="0" collapsed="false">
      <c r="A166" s="53" t="str">
        <f aca="false">IF($B166="","",ROW()-5)</f>
        <v/>
      </c>
      <c r="B166" s="54"/>
      <c r="C166" s="33"/>
      <c r="D166" s="41"/>
      <c r="E166" s="32"/>
      <c r="F166" s="32"/>
      <c r="G166" s="43"/>
      <c r="H166" s="41"/>
      <c r="I166" s="33"/>
      <c r="J166" s="41"/>
      <c r="K166" s="25" t="str">
        <f aca="false">IF(AND($B166="",$E166="",$G166=""),"",IF(NOT(ISNUMBER($B166)),"日期无效",IF(ISNA(MATCH($C166,参数设置!$A$10:$A$12,0)),"公司无效",IF(ISNA(MATCH($E166,会计科目表!$B$6:$B$85,0)),"借方科目不存在",IF(ISNA(MATCH($F166,会计科目表!$B$6:$B$85,0)),"贷方科目不存在",IF($E166=$F166,"借贷科目相同",IF(N($G166)=0,"金额为 0",IF(YEAR($B166)&lt;&gt;参数设置!$B$5,"不在本会计年度","OK"))))))))</f>
        <v/>
      </c>
      <c r="L166" s="61" t="str">
        <f aca="false">IF($B166="","",YEAR($B166))</f>
        <v/>
      </c>
    </row>
    <row r="167" customFormat="false" ht="15" hidden="false" customHeight="false" outlineLevel="0" collapsed="false">
      <c r="A167" s="53" t="str">
        <f aca="false">IF($B167="","",ROW()-5)</f>
        <v/>
      </c>
      <c r="B167" s="54"/>
      <c r="C167" s="33"/>
      <c r="D167" s="41"/>
      <c r="E167" s="32"/>
      <c r="F167" s="32"/>
      <c r="G167" s="43"/>
      <c r="H167" s="41"/>
      <c r="I167" s="33"/>
      <c r="J167" s="41"/>
      <c r="K167" s="25" t="str">
        <f aca="false">IF(AND($B167="",$E167="",$G167=""),"",IF(NOT(ISNUMBER($B167)),"日期无效",IF(ISNA(MATCH($C167,参数设置!$A$10:$A$12,0)),"公司无效",IF(ISNA(MATCH($E167,会计科目表!$B$6:$B$85,0)),"借方科目不存在",IF(ISNA(MATCH($F167,会计科目表!$B$6:$B$85,0)),"贷方科目不存在",IF($E167=$F167,"借贷科目相同",IF(N($G167)=0,"金额为 0",IF(YEAR($B167)&lt;&gt;参数设置!$B$5,"不在本会计年度","OK"))))))))</f>
        <v/>
      </c>
      <c r="L167" s="61" t="str">
        <f aca="false">IF($B167="","",YEAR($B167))</f>
        <v/>
      </c>
    </row>
    <row r="168" customFormat="false" ht="15" hidden="false" customHeight="false" outlineLevel="0" collapsed="false">
      <c r="A168" s="53" t="str">
        <f aca="false">IF($B168="","",ROW()-5)</f>
        <v/>
      </c>
      <c r="B168" s="54"/>
      <c r="C168" s="33"/>
      <c r="D168" s="41"/>
      <c r="E168" s="32"/>
      <c r="F168" s="32"/>
      <c r="G168" s="43"/>
      <c r="H168" s="41"/>
      <c r="I168" s="33"/>
      <c r="J168" s="41"/>
      <c r="K168" s="25" t="str">
        <f aca="false">IF(AND($B168="",$E168="",$G168=""),"",IF(NOT(ISNUMBER($B168)),"日期无效",IF(ISNA(MATCH($C168,参数设置!$A$10:$A$12,0)),"公司无效",IF(ISNA(MATCH($E168,会计科目表!$B$6:$B$85,0)),"借方科目不存在",IF(ISNA(MATCH($F168,会计科目表!$B$6:$B$85,0)),"贷方科目不存在",IF($E168=$F168,"借贷科目相同",IF(N($G168)=0,"金额为 0",IF(YEAR($B168)&lt;&gt;参数设置!$B$5,"不在本会计年度","OK"))))))))</f>
        <v/>
      </c>
      <c r="L168" s="61" t="str">
        <f aca="false">IF($B168="","",YEAR($B168))</f>
        <v/>
      </c>
    </row>
    <row r="169" customFormat="false" ht="15" hidden="false" customHeight="false" outlineLevel="0" collapsed="false">
      <c r="A169" s="53" t="str">
        <f aca="false">IF($B169="","",ROW()-5)</f>
        <v/>
      </c>
      <c r="B169" s="54"/>
      <c r="C169" s="33"/>
      <c r="D169" s="41"/>
      <c r="E169" s="32"/>
      <c r="F169" s="32"/>
      <c r="G169" s="43"/>
      <c r="H169" s="41"/>
      <c r="I169" s="33"/>
      <c r="J169" s="41"/>
      <c r="K169" s="25" t="str">
        <f aca="false">IF(AND($B169="",$E169="",$G169=""),"",IF(NOT(ISNUMBER($B169)),"日期无效",IF(ISNA(MATCH($C169,参数设置!$A$10:$A$12,0)),"公司无效",IF(ISNA(MATCH($E169,会计科目表!$B$6:$B$85,0)),"借方科目不存在",IF(ISNA(MATCH($F169,会计科目表!$B$6:$B$85,0)),"贷方科目不存在",IF($E169=$F169,"借贷科目相同",IF(N($G169)=0,"金额为 0",IF(YEAR($B169)&lt;&gt;参数设置!$B$5,"不在本会计年度","OK"))))))))</f>
        <v/>
      </c>
      <c r="L169" s="61" t="str">
        <f aca="false">IF($B169="","",YEAR($B169))</f>
        <v/>
      </c>
    </row>
    <row r="170" customFormat="false" ht="15" hidden="false" customHeight="false" outlineLevel="0" collapsed="false">
      <c r="A170" s="53" t="str">
        <f aca="false">IF($B170="","",ROW()-5)</f>
        <v/>
      </c>
      <c r="B170" s="54"/>
      <c r="C170" s="33"/>
      <c r="D170" s="41"/>
      <c r="E170" s="32"/>
      <c r="F170" s="32"/>
      <c r="G170" s="43"/>
      <c r="H170" s="41"/>
      <c r="I170" s="33"/>
      <c r="J170" s="41"/>
      <c r="K170" s="25" t="str">
        <f aca="false">IF(AND($B170="",$E170="",$G170=""),"",IF(NOT(ISNUMBER($B170)),"日期无效",IF(ISNA(MATCH($C170,参数设置!$A$10:$A$12,0)),"公司无效",IF(ISNA(MATCH($E170,会计科目表!$B$6:$B$85,0)),"借方科目不存在",IF(ISNA(MATCH($F170,会计科目表!$B$6:$B$85,0)),"贷方科目不存在",IF($E170=$F170,"借贷科目相同",IF(N($G170)=0,"金额为 0",IF(YEAR($B170)&lt;&gt;参数设置!$B$5,"不在本会计年度","OK"))))))))</f>
        <v/>
      </c>
      <c r="L170" s="61" t="str">
        <f aca="false">IF($B170="","",YEAR($B170))</f>
        <v/>
      </c>
    </row>
    <row r="171" customFormat="false" ht="15" hidden="false" customHeight="false" outlineLevel="0" collapsed="false">
      <c r="A171" s="53" t="str">
        <f aca="false">IF($B171="","",ROW()-5)</f>
        <v/>
      </c>
      <c r="B171" s="54"/>
      <c r="C171" s="33"/>
      <c r="D171" s="41"/>
      <c r="E171" s="32"/>
      <c r="F171" s="32"/>
      <c r="G171" s="43"/>
      <c r="H171" s="41"/>
      <c r="I171" s="33"/>
      <c r="J171" s="41"/>
      <c r="K171" s="25" t="str">
        <f aca="false">IF(AND($B171="",$E171="",$G171=""),"",IF(NOT(ISNUMBER($B171)),"日期无效",IF(ISNA(MATCH($C171,参数设置!$A$10:$A$12,0)),"公司无效",IF(ISNA(MATCH($E171,会计科目表!$B$6:$B$85,0)),"借方科目不存在",IF(ISNA(MATCH($F171,会计科目表!$B$6:$B$85,0)),"贷方科目不存在",IF($E171=$F171,"借贷科目相同",IF(N($G171)=0,"金额为 0",IF(YEAR($B171)&lt;&gt;参数设置!$B$5,"不在本会计年度","OK"))))))))</f>
        <v/>
      </c>
      <c r="L171" s="61" t="str">
        <f aca="false">IF($B171="","",YEAR($B171))</f>
        <v/>
      </c>
    </row>
    <row r="172" customFormat="false" ht="15" hidden="false" customHeight="false" outlineLevel="0" collapsed="false">
      <c r="A172" s="53" t="str">
        <f aca="false">IF($B172="","",ROW()-5)</f>
        <v/>
      </c>
      <c r="B172" s="54"/>
      <c r="C172" s="33"/>
      <c r="D172" s="41"/>
      <c r="E172" s="32"/>
      <c r="F172" s="32"/>
      <c r="G172" s="43"/>
      <c r="H172" s="41"/>
      <c r="I172" s="33"/>
      <c r="J172" s="41"/>
      <c r="K172" s="25" t="str">
        <f aca="false">IF(AND($B172="",$E172="",$G172=""),"",IF(NOT(ISNUMBER($B172)),"日期无效",IF(ISNA(MATCH($C172,参数设置!$A$10:$A$12,0)),"公司无效",IF(ISNA(MATCH($E172,会计科目表!$B$6:$B$85,0)),"借方科目不存在",IF(ISNA(MATCH($F172,会计科目表!$B$6:$B$85,0)),"贷方科目不存在",IF($E172=$F172,"借贷科目相同",IF(N($G172)=0,"金额为 0",IF(YEAR($B172)&lt;&gt;参数设置!$B$5,"不在本会计年度","OK"))))))))</f>
        <v/>
      </c>
      <c r="L172" s="61" t="str">
        <f aca="false">IF($B172="","",YEAR($B172))</f>
        <v/>
      </c>
    </row>
    <row r="173" customFormat="false" ht="15" hidden="false" customHeight="false" outlineLevel="0" collapsed="false">
      <c r="A173" s="53" t="str">
        <f aca="false">IF($B173="","",ROW()-5)</f>
        <v/>
      </c>
      <c r="B173" s="54"/>
      <c r="C173" s="33"/>
      <c r="D173" s="41"/>
      <c r="E173" s="32"/>
      <c r="F173" s="32"/>
      <c r="G173" s="43"/>
      <c r="H173" s="41"/>
      <c r="I173" s="33"/>
      <c r="J173" s="41"/>
      <c r="K173" s="25" t="str">
        <f aca="false">IF(AND($B173="",$E173="",$G173=""),"",IF(NOT(ISNUMBER($B173)),"日期无效",IF(ISNA(MATCH($C173,参数设置!$A$10:$A$12,0)),"公司无效",IF(ISNA(MATCH($E173,会计科目表!$B$6:$B$85,0)),"借方科目不存在",IF(ISNA(MATCH($F173,会计科目表!$B$6:$B$85,0)),"贷方科目不存在",IF($E173=$F173,"借贷科目相同",IF(N($G173)=0,"金额为 0",IF(YEAR($B173)&lt;&gt;参数设置!$B$5,"不在本会计年度","OK"))))))))</f>
        <v/>
      </c>
      <c r="L173" s="61" t="str">
        <f aca="false">IF($B173="","",YEAR($B173))</f>
        <v/>
      </c>
    </row>
    <row r="174" customFormat="false" ht="15" hidden="false" customHeight="false" outlineLevel="0" collapsed="false">
      <c r="A174" s="53" t="str">
        <f aca="false">IF($B174="","",ROW()-5)</f>
        <v/>
      </c>
      <c r="B174" s="54"/>
      <c r="C174" s="33"/>
      <c r="D174" s="41"/>
      <c r="E174" s="32"/>
      <c r="F174" s="32"/>
      <c r="G174" s="43"/>
      <c r="H174" s="41"/>
      <c r="I174" s="33"/>
      <c r="J174" s="41"/>
      <c r="K174" s="25" t="str">
        <f aca="false">IF(AND($B174="",$E174="",$G174=""),"",IF(NOT(ISNUMBER($B174)),"日期无效",IF(ISNA(MATCH($C174,参数设置!$A$10:$A$12,0)),"公司无效",IF(ISNA(MATCH($E174,会计科目表!$B$6:$B$85,0)),"借方科目不存在",IF(ISNA(MATCH($F174,会计科目表!$B$6:$B$85,0)),"贷方科目不存在",IF($E174=$F174,"借贷科目相同",IF(N($G174)=0,"金额为 0",IF(YEAR($B174)&lt;&gt;参数设置!$B$5,"不在本会计年度","OK"))))))))</f>
        <v/>
      </c>
      <c r="L174" s="61" t="str">
        <f aca="false">IF($B174="","",YEAR($B174))</f>
        <v/>
      </c>
    </row>
    <row r="175" customFormat="false" ht="15" hidden="false" customHeight="false" outlineLevel="0" collapsed="false">
      <c r="A175" s="53" t="str">
        <f aca="false">IF($B175="","",ROW()-5)</f>
        <v/>
      </c>
      <c r="B175" s="54"/>
      <c r="C175" s="33"/>
      <c r="D175" s="41"/>
      <c r="E175" s="32"/>
      <c r="F175" s="32"/>
      <c r="G175" s="43"/>
      <c r="H175" s="41"/>
      <c r="I175" s="33"/>
      <c r="J175" s="41"/>
      <c r="K175" s="25" t="str">
        <f aca="false">IF(AND($B175="",$E175="",$G175=""),"",IF(NOT(ISNUMBER($B175)),"日期无效",IF(ISNA(MATCH($C175,参数设置!$A$10:$A$12,0)),"公司无效",IF(ISNA(MATCH($E175,会计科目表!$B$6:$B$85,0)),"借方科目不存在",IF(ISNA(MATCH($F175,会计科目表!$B$6:$B$85,0)),"贷方科目不存在",IF($E175=$F175,"借贷科目相同",IF(N($G175)=0,"金额为 0",IF(YEAR($B175)&lt;&gt;参数设置!$B$5,"不在本会计年度","OK"))))))))</f>
        <v/>
      </c>
      <c r="L175" s="61" t="str">
        <f aca="false">IF($B175="","",YEAR($B175))</f>
        <v/>
      </c>
    </row>
    <row r="176" customFormat="false" ht="15" hidden="false" customHeight="false" outlineLevel="0" collapsed="false">
      <c r="A176" s="53" t="str">
        <f aca="false">IF($B176="","",ROW()-5)</f>
        <v/>
      </c>
      <c r="B176" s="54"/>
      <c r="C176" s="33"/>
      <c r="D176" s="41"/>
      <c r="E176" s="32"/>
      <c r="F176" s="32"/>
      <c r="G176" s="43"/>
      <c r="H176" s="41"/>
      <c r="I176" s="33"/>
      <c r="J176" s="41"/>
      <c r="K176" s="25" t="str">
        <f aca="false">IF(AND($B176="",$E176="",$G176=""),"",IF(NOT(ISNUMBER($B176)),"日期无效",IF(ISNA(MATCH($C176,参数设置!$A$10:$A$12,0)),"公司无效",IF(ISNA(MATCH($E176,会计科目表!$B$6:$B$85,0)),"借方科目不存在",IF(ISNA(MATCH($F176,会计科目表!$B$6:$B$85,0)),"贷方科目不存在",IF($E176=$F176,"借贷科目相同",IF(N($G176)=0,"金额为 0",IF(YEAR($B176)&lt;&gt;参数设置!$B$5,"不在本会计年度","OK"))))))))</f>
        <v/>
      </c>
      <c r="L176" s="61" t="str">
        <f aca="false">IF($B176="","",YEAR($B176))</f>
        <v/>
      </c>
    </row>
    <row r="177" customFormat="false" ht="15" hidden="false" customHeight="false" outlineLevel="0" collapsed="false">
      <c r="A177" s="53" t="str">
        <f aca="false">IF($B177="","",ROW()-5)</f>
        <v/>
      </c>
      <c r="B177" s="54"/>
      <c r="C177" s="33"/>
      <c r="D177" s="41"/>
      <c r="E177" s="32"/>
      <c r="F177" s="32"/>
      <c r="G177" s="43"/>
      <c r="H177" s="41"/>
      <c r="I177" s="33"/>
      <c r="J177" s="41"/>
      <c r="K177" s="25" t="str">
        <f aca="false">IF(AND($B177="",$E177="",$G177=""),"",IF(NOT(ISNUMBER($B177)),"日期无效",IF(ISNA(MATCH($C177,参数设置!$A$10:$A$12,0)),"公司无效",IF(ISNA(MATCH($E177,会计科目表!$B$6:$B$85,0)),"借方科目不存在",IF(ISNA(MATCH($F177,会计科目表!$B$6:$B$85,0)),"贷方科目不存在",IF($E177=$F177,"借贷科目相同",IF(N($G177)=0,"金额为 0",IF(YEAR($B177)&lt;&gt;参数设置!$B$5,"不在本会计年度","OK"))))))))</f>
        <v/>
      </c>
      <c r="L177" s="61" t="str">
        <f aca="false">IF($B177="","",YEAR($B177))</f>
        <v/>
      </c>
    </row>
    <row r="178" customFormat="false" ht="15" hidden="false" customHeight="false" outlineLevel="0" collapsed="false">
      <c r="A178" s="53" t="str">
        <f aca="false">IF($B178="","",ROW()-5)</f>
        <v/>
      </c>
      <c r="B178" s="54"/>
      <c r="C178" s="33"/>
      <c r="D178" s="41"/>
      <c r="E178" s="32"/>
      <c r="F178" s="32"/>
      <c r="G178" s="43"/>
      <c r="H178" s="41"/>
      <c r="I178" s="33"/>
      <c r="J178" s="41"/>
      <c r="K178" s="25" t="str">
        <f aca="false">IF(AND($B178="",$E178="",$G178=""),"",IF(NOT(ISNUMBER($B178)),"日期无效",IF(ISNA(MATCH($C178,参数设置!$A$10:$A$12,0)),"公司无效",IF(ISNA(MATCH($E178,会计科目表!$B$6:$B$85,0)),"借方科目不存在",IF(ISNA(MATCH($F178,会计科目表!$B$6:$B$85,0)),"贷方科目不存在",IF($E178=$F178,"借贷科目相同",IF(N($G178)=0,"金额为 0",IF(YEAR($B178)&lt;&gt;参数设置!$B$5,"不在本会计年度","OK"))))))))</f>
        <v/>
      </c>
      <c r="L178" s="61" t="str">
        <f aca="false">IF($B178="","",YEAR($B178))</f>
        <v/>
      </c>
    </row>
    <row r="179" customFormat="false" ht="15" hidden="false" customHeight="false" outlineLevel="0" collapsed="false">
      <c r="A179" s="53" t="str">
        <f aca="false">IF($B179="","",ROW()-5)</f>
        <v/>
      </c>
      <c r="B179" s="54"/>
      <c r="C179" s="33"/>
      <c r="D179" s="41"/>
      <c r="E179" s="32"/>
      <c r="F179" s="32"/>
      <c r="G179" s="43"/>
      <c r="H179" s="41"/>
      <c r="I179" s="33"/>
      <c r="J179" s="41"/>
      <c r="K179" s="25" t="str">
        <f aca="false">IF(AND($B179="",$E179="",$G179=""),"",IF(NOT(ISNUMBER($B179)),"日期无效",IF(ISNA(MATCH($C179,参数设置!$A$10:$A$12,0)),"公司无效",IF(ISNA(MATCH($E179,会计科目表!$B$6:$B$85,0)),"借方科目不存在",IF(ISNA(MATCH($F179,会计科目表!$B$6:$B$85,0)),"贷方科目不存在",IF($E179=$F179,"借贷科目相同",IF(N($G179)=0,"金额为 0",IF(YEAR($B179)&lt;&gt;参数设置!$B$5,"不在本会计年度","OK"))))))))</f>
        <v/>
      </c>
      <c r="L179" s="61" t="str">
        <f aca="false">IF($B179="","",YEAR($B179))</f>
        <v/>
      </c>
    </row>
    <row r="180" customFormat="false" ht="15" hidden="false" customHeight="false" outlineLevel="0" collapsed="false">
      <c r="A180" s="53" t="str">
        <f aca="false">IF($B180="","",ROW()-5)</f>
        <v/>
      </c>
      <c r="B180" s="54"/>
      <c r="C180" s="33"/>
      <c r="D180" s="41"/>
      <c r="E180" s="32"/>
      <c r="F180" s="32"/>
      <c r="G180" s="43"/>
      <c r="H180" s="41"/>
      <c r="I180" s="33"/>
      <c r="J180" s="41"/>
      <c r="K180" s="25" t="str">
        <f aca="false">IF(AND($B180="",$E180="",$G180=""),"",IF(NOT(ISNUMBER($B180)),"日期无效",IF(ISNA(MATCH($C180,参数设置!$A$10:$A$12,0)),"公司无效",IF(ISNA(MATCH($E180,会计科目表!$B$6:$B$85,0)),"借方科目不存在",IF(ISNA(MATCH($F180,会计科目表!$B$6:$B$85,0)),"贷方科目不存在",IF($E180=$F180,"借贷科目相同",IF(N($G180)=0,"金额为 0",IF(YEAR($B180)&lt;&gt;参数设置!$B$5,"不在本会计年度","OK"))))))))</f>
        <v/>
      </c>
      <c r="L180" s="61" t="str">
        <f aca="false">IF($B180="","",YEAR($B180))</f>
        <v/>
      </c>
    </row>
    <row r="181" customFormat="false" ht="15" hidden="false" customHeight="false" outlineLevel="0" collapsed="false">
      <c r="A181" s="53" t="str">
        <f aca="false">IF($B181="","",ROW()-5)</f>
        <v/>
      </c>
      <c r="B181" s="54"/>
      <c r="C181" s="33"/>
      <c r="D181" s="41"/>
      <c r="E181" s="32"/>
      <c r="F181" s="32"/>
      <c r="G181" s="43"/>
      <c r="H181" s="41"/>
      <c r="I181" s="33"/>
      <c r="J181" s="41"/>
      <c r="K181" s="25" t="str">
        <f aca="false">IF(AND($B181="",$E181="",$G181=""),"",IF(NOT(ISNUMBER($B181)),"日期无效",IF(ISNA(MATCH($C181,参数设置!$A$10:$A$12,0)),"公司无效",IF(ISNA(MATCH($E181,会计科目表!$B$6:$B$85,0)),"借方科目不存在",IF(ISNA(MATCH($F181,会计科目表!$B$6:$B$85,0)),"贷方科目不存在",IF($E181=$F181,"借贷科目相同",IF(N($G181)=0,"金额为 0",IF(YEAR($B181)&lt;&gt;参数设置!$B$5,"不在本会计年度","OK"))))))))</f>
        <v/>
      </c>
      <c r="L181" s="61" t="str">
        <f aca="false">IF($B181="","",YEAR($B181))</f>
        <v/>
      </c>
    </row>
    <row r="182" customFormat="false" ht="15" hidden="false" customHeight="false" outlineLevel="0" collapsed="false">
      <c r="A182" s="53" t="str">
        <f aca="false">IF($B182="","",ROW()-5)</f>
        <v/>
      </c>
      <c r="B182" s="54"/>
      <c r="C182" s="33"/>
      <c r="D182" s="41"/>
      <c r="E182" s="32"/>
      <c r="F182" s="32"/>
      <c r="G182" s="43"/>
      <c r="H182" s="41"/>
      <c r="I182" s="33"/>
      <c r="J182" s="41"/>
      <c r="K182" s="25" t="str">
        <f aca="false">IF(AND($B182="",$E182="",$G182=""),"",IF(NOT(ISNUMBER($B182)),"日期无效",IF(ISNA(MATCH($C182,参数设置!$A$10:$A$12,0)),"公司无效",IF(ISNA(MATCH($E182,会计科目表!$B$6:$B$85,0)),"借方科目不存在",IF(ISNA(MATCH($F182,会计科目表!$B$6:$B$85,0)),"贷方科目不存在",IF($E182=$F182,"借贷科目相同",IF(N($G182)=0,"金额为 0",IF(YEAR($B182)&lt;&gt;参数设置!$B$5,"不在本会计年度","OK"))))))))</f>
        <v/>
      </c>
      <c r="L182" s="61" t="str">
        <f aca="false">IF($B182="","",YEAR($B182))</f>
        <v/>
      </c>
    </row>
    <row r="183" customFormat="false" ht="15" hidden="false" customHeight="false" outlineLevel="0" collapsed="false">
      <c r="A183" s="53" t="str">
        <f aca="false">IF($B183="","",ROW()-5)</f>
        <v/>
      </c>
      <c r="B183" s="54"/>
      <c r="C183" s="33"/>
      <c r="D183" s="41"/>
      <c r="E183" s="32"/>
      <c r="F183" s="32"/>
      <c r="G183" s="43"/>
      <c r="H183" s="41"/>
      <c r="I183" s="33"/>
      <c r="J183" s="41"/>
      <c r="K183" s="25" t="str">
        <f aca="false">IF(AND($B183="",$E183="",$G183=""),"",IF(NOT(ISNUMBER($B183)),"日期无效",IF(ISNA(MATCH($C183,参数设置!$A$10:$A$12,0)),"公司无效",IF(ISNA(MATCH($E183,会计科目表!$B$6:$B$85,0)),"借方科目不存在",IF(ISNA(MATCH($F183,会计科目表!$B$6:$B$85,0)),"贷方科目不存在",IF($E183=$F183,"借贷科目相同",IF(N($G183)=0,"金额为 0",IF(YEAR($B183)&lt;&gt;参数设置!$B$5,"不在本会计年度","OK"))))))))</f>
        <v/>
      </c>
      <c r="L183" s="61" t="str">
        <f aca="false">IF($B183="","",YEAR($B183))</f>
        <v/>
      </c>
    </row>
    <row r="184" customFormat="false" ht="15" hidden="false" customHeight="false" outlineLevel="0" collapsed="false">
      <c r="A184" s="53" t="str">
        <f aca="false">IF($B184="","",ROW()-5)</f>
        <v/>
      </c>
      <c r="B184" s="54"/>
      <c r="C184" s="33"/>
      <c r="D184" s="41"/>
      <c r="E184" s="32"/>
      <c r="F184" s="32"/>
      <c r="G184" s="43"/>
      <c r="H184" s="41"/>
      <c r="I184" s="33"/>
      <c r="J184" s="41"/>
      <c r="K184" s="25" t="str">
        <f aca="false">IF(AND($B184="",$E184="",$G184=""),"",IF(NOT(ISNUMBER($B184)),"日期无效",IF(ISNA(MATCH($C184,参数设置!$A$10:$A$12,0)),"公司无效",IF(ISNA(MATCH($E184,会计科目表!$B$6:$B$85,0)),"借方科目不存在",IF(ISNA(MATCH($F184,会计科目表!$B$6:$B$85,0)),"贷方科目不存在",IF($E184=$F184,"借贷科目相同",IF(N($G184)=0,"金额为 0",IF(YEAR($B184)&lt;&gt;参数设置!$B$5,"不在本会计年度","OK"))))))))</f>
        <v/>
      </c>
      <c r="L184" s="61" t="str">
        <f aca="false">IF($B184="","",YEAR($B184))</f>
        <v/>
      </c>
    </row>
    <row r="185" customFormat="false" ht="15" hidden="false" customHeight="false" outlineLevel="0" collapsed="false">
      <c r="A185" s="53" t="str">
        <f aca="false">IF($B185="","",ROW()-5)</f>
        <v/>
      </c>
      <c r="B185" s="54"/>
      <c r="C185" s="33"/>
      <c r="D185" s="41"/>
      <c r="E185" s="32"/>
      <c r="F185" s="32"/>
      <c r="G185" s="43"/>
      <c r="H185" s="41"/>
      <c r="I185" s="33"/>
      <c r="J185" s="41"/>
      <c r="K185" s="25" t="str">
        <f aca="false">IF(AND($B185="",$E185="",$G185=""),"",IF(NOT(ISNUMBER($B185)),"日期无效",IF(ISNA(MATCH($C185,参数设置!$A$10:$A$12,0)),"公司无效",IF(ISNA(MATCH($E185,会计科目表!$B$6:$B$85,0)),"借方科目不存在",IF(ISNA(MATCH($F185,会计科目表!$B$6:$B$85,0)),"贷方科目不存在",IF($E185=$F185,"借贷科目相同",IF(N($G185)=0,"金额为 0",IF(YEAR($B185)&lt;&gt;参数设置!$B$5,"不在本会计年度","OK"))))))))</f>
        <v/>
      </c>
      <c r="L185" s="61" t="str">
        <f aca="false">IF($B185="","",YEAR($B185))</f>
        <v/>
      </c>
    </row>
    <row r="186" customFormat="false" ht="15" hidden="false" customHeight="false" outlineLevel="0" collapsed="false">
      <c r="A186" s="53" t="str">
        <f aca="false">IF($B186="","",ROW()-5)</f>
        <v/>
      </c>
      <c r="B186" s="54"/>
      <c r="C186" s="33"/>
      <c r="D186" s="41"/>
      <c r="E186" s="32"/>
      <c r="F186" s="32"/>
      <c r="G186" s="43"/>
      <c r="H186" s="41"/>
      <c r="I186" s="33"/>
      <c r="J186" s="41"/>
      <c r="K186" s="25" t="str">
        <f aca="false">IF(AND($B186="",$E186="",$G186=""),"",IF(NOT(ISNUMBER($B186)),"日期无效",IF(ISNA(MATCH($C186,参数设置!$A$10:$A$12,0)),"公司无效",IF(ISNA(MATCH($E186,会计科目表!$B$6:$B$85,0)),"借方科目不存在",IF(ISNA(MATCH($F186,会计科目表!$B$6:$B$85,0)),"贷方科目不存在",IF($E186=$F186,"借贷科目相同",IF(N($G186)=0,"金额为 0",IF(YEAR($B186)&lt;&gt;参数设置!$B$5,"不在本会计年度","OK"))))))))</f>
        <v/>
      </c>
      <c r="L186" s="61" t="str">
        <f aca="false">IF($B186="","",YEAR($B186))</f>
        <v/>
      </c>
    </row>
    <row r="187" customFormat="false" ht="15" hidden="false" customHeight="false" outlineLevel="0" collapsed="false">
      <c r="A187" s="53" t="str">
        <f aca="false">IF($B187="","",ROW()-5)</f>
        <v/>
      </c>
      <c r="B187" s="54"/>
      <c r="C187" s="33"/>
      <c r="D187" s="41"/>
      <c r="E187" s="32"/>
      <c r="F187" s="32"/>
      <c r="G187" s="43"/>
      <c r="H187" s="41"/>
      <c r="I187" s="33"/>
      <c r="J187" s="41"/>
      <c r="K187" s="25" t="str">
        <f aca="false">IF(AND($B187="",$E187="",$G187=""),"",IF(NOT(ISNUMBER($B187)),"日期无效",IF(ISNA(MATCH($C187,参数设置!$A$10:$A$12,0)),"公司无效",IF(ISNA(MATCH($E187,会计科目表!$B$6:$B$85,0)),"借方科目不存在",IF(ISNA(MATCH($F187,会计科目表!$B$6:$B$85,0)),"贷方科目不存在",IF($E187=$F187,"借贷科目相同",IF(N($G187)=0,"金额为 0",IF(YEAR($B187)&lt;&gt;参数设置!$B$5,"不在本会计年度","OK"))))))))</f>
        <v/>
      </c>
      <c r="L187" s="61" t="str">
        <f aca="false">IF($B187="","",YEAR($B187))</f>
        <v/>
      </c>
    </row>
    <row r="188" customFormat="false" ht="15" hidden="false" customHeight="false" outlineLevel="0" collapsed="false">
      <c r="A188" s="53" t="str">
        <f aca="false">IF($B188="","",ROW()-5)</f>
        <v/>
      </c>
      <c r="B188" s="54"/>
      <c r="C188" s="33"/>
      <c r="D188" s="41"/>
      <c r="E188" s="32"/>
      <c r="F188" s="32"/>
      <c r="G188" s="43"/>
      <c r="H188" s="41"/>
      <c r="I188" s="33"/>
      <c r="J188" s="41"/>
      <c r="K188" s="25" t="str">
        <f aca="false">IF(AND($B188="",$E188="",$G188=""),"",IF(NOT(ISNUMBER($B188)),"日期无效",IF(ISNA(MATCH($C188,参数设置!$A$10:$A$12,0)),"公司无效",IF(ISNA(MATCH($E188,会计科目表!$B$6:$B$85,0)),"借方科目不存在",IF(ISNA(MATCH($F188,会计科目表!$B$6:$B$85,0)),"贷方科目不存在",IF($E188=$F188,"借贷科目相同",IF(N($G188)=0,"金额为 0",IF(YEAR($B188)&lt;&gt;参数设置!$B$5,"不在本会计年度","OK"))))))))</f>
        <v/>
      </c>
      <c r="L188" s="61" t="str">
        <f aca="false">IF($B188="","",YEAR($B188))</f>
        <v/>
      </c>
    </row>
    <row r="189" customFormat="false" ht="15" hidden="false" customHeight="false" outlineLevel="0" collapsed="false">
      <c r="A189" s="53" t="str">
        <f aca="false">IF($B189="","",ROW()-5)</f>
        <v/>
      </c>
      <c r="B189" s="54"/>
      <c r="C189" s="33"/>
      <c r="D189" s="41"/>
      <c r="E189" s="32"/>
      <c r="F189" s="32"/>
      <c r="G189" s="43"/>
      <c r="H189" s="41"/>
      <c r="I189" s="33"/>
      <c r="J189" s="41"/>
      <c r="K189" s="25" t="str">
        <f aca="false">IF(AND($B189="",$E189="",$G189=""),"",IF(NOT(ISNUMBER($B189)),"日期无效",IF(ISNA(MATCH($C189,参数设置!$A$10:$A$12,0)),"公司无效",IF(ISNA(MATCH($E189,会计科目表!$B$6:$B$85,0)),"借方科目不存在",IF(ISNA(MATCH($F189,会计科目表!$B$6:$B$85,0)),"贷方科目不存在",IF($E189=$F189,"借贷科目相同",IF(N($G189)=0,"金额为 0",IF(YEAR($B189)&lt;&gt;参数设置!$B$5,"不在本会计年度","OK"))))))))</f>
        <v/>
      </c>
      <c r="L189" s="61" t="str">
        <f aca="false">IF($B189="","",YEAR($B189))</f>
        <v/>
      </c>
    </row>
    <row r="190" customFormat="false" ht="15" hidden="false" customHeight="false" outlineLevel="0" collapsed="false">
      <c r="A190" s="53" t="str">
        <f aca="false">IF($B190="","",ROW()-5)</f>
        <v/>
      </c>
      <c r="B190" s="54"/>
      <c r="C190" s="33"/>
      <c r="D190" s="41"/>
      <c r="E190" s="32"/>
      <c r="F190" s="32"/>
      <c r="G190" s="43"/>
      <c r="H190" s="41"/>
      <c r="I190" s="33"/>
      <c r="J190" s="41"/>
      <c r="K190" s="25" t="str">
        <f aca="false">IF(AND($B190="",$E190="",$G190=""),"",IF(NOT(ISNUMBER($B190)),"日期无效",IF(ISNA(MATCH($C190,参数设置!$A$10:$A$12,0)),"公司无效",IF(ISNA(MATCH($E190,会计科目表!$B$6:$B$85,0)),"借方科目不存在",IF(ISNA(MATCH($F190,会计科目表!$B$6:$B$85,0)),"贷方科目不存在",IF($E190=$F190,"借贷科目相同",IF(N($G190)=0,"金额为 0",IF(YEAR($B190)&lt;&gt;参数设置!$B$5,"不在本会计年度","OK"))))))))</f>
        <v/>
      </c>
      <c r="L190" s="61" t="str">
        <f aca="false">IF($B190="","",YEAR($B190))</f>
        <v/>
      </c>
    </row>
    <row r="191" customFormat="false" ht="15" hidden="false" customHeight="false" outlineLevel="0" collapsed="false">
      <c r="A191" s="53" t="str">
        <f aca="false">IF($B191="","",ROW()-5)</f>
        <v/>
      </c>
      <c r="B191" s="54"/>
      <c r="C191" s="33"/>
      <c r="D191" s="41"/>
      <c r="E191" s="32"/>
      <c r="F191" s="32"/>
      <c r="G191" s="43"/>
      <c r="H191" s="41"/>
      <c r="I191" s="33"/>
      <c r="J191" s="41"/>
      <c r="K191" s="25" t="str">
        <f aca="false">IF(AND($B191="",$E191="",$G191=""),"",IF(NOT(ISNUMBER($B191)),"日期无效",IF(ISNA(MATCH($C191,参数设置!$A$10:$A$12,0)),"公司无效",IF(ISNA(MATCH($E191,会计科目表!$B$6:$B$85,0)),"借方科目不存在",IF(ISNA(MATCH($F191,会计科目表!$B$6:$B$85,0)),"贷方科目不存在",IF($E191=$F191,"借贷科目相同",IF(N($G191)=0,"金额为 0",IF(YEAR($B191)&lt;&gt;参数设置!$B$5,"不在本会计年度","OK"))))))))</f>
        <v/>
      </c>
      <c r="L191" s="61" t="str">
        <f aca="false">IF($B191="","",YEAR($B191))</f>
        <v/>
      </c>
    </row>
    <row r="192" customFormat="false" ht="15" hidden="false" customHeight="false" outlineLevel="0" collapsed="false">
      <c r="A192" s="53" t="str">
        <f aca="false">IF($B192="","",ROW()-5)</f>
        <v/>
      </c>
      <c r="B192" s="54"/>
      <c r="C192" s="33"/>
      <c r="D192" s="41"/>
      <c r="E192" s="32"/>
      <c r="F192" s="32"/>
      <c r="G192" s="43"/>
      <c r="H192" s="41"/>
      <c r="I192" s="33"/>
      <c r="J192" s="41"/>
      <c r="K192" s="25" t="str">
        <f aca="false">IF(AND($B192="",$E192="",$G192=""),"",IF(NOT(ISNUMBER($B192)),"日期无效",IF(ISNA(MATCH($C192,参数设置!$A$10:$A$12,0)),"公司无效",IF(ISNA(MATCH($E192,会计科目表!$B$6:$B$85,0)),"借方科目不存在",IF(ISNA(MATCH($F192,会计科目表!$B$6:$B$85,0)),"贷方科目不存在",IF($E192=$F192,"借贷科目相同",IF(N($G192)=0,"金额为 0",IF(YEAR($B192)&lt;&gt;参数设置!$B$5,"不在本会计年度","OK"))))))))</f>
        <v/>
      </c>
      <c r="L192" s="61" t="str">
        <f aca="false">IF($B192="","",YEAR($B192))</f>
        <v/>
      </c>
    </row>
    <row r="193" customFormat="false" ht="15" hidden="false" customHeight="false" outlineLevel="0" collapsed="false">
      <c r="A193" s="53" t="str">
        <f aca="false">IF($B193="","",ROW()-5)</f>
        <v/>
      </c>
      <c r="B193" s="54"/>
      <c r="C193" s="33"/>
      <c r="D193" s="41"/>
      <c r="E193" s="32"/>
      <c r="F193" s="32"/>
      <c r="G193" s="43"/>
      <c r="H193" s="41"/>
      <c r="I193" s="33"/>
      <c r="J193" s="41"/>
      <c r="K193" s="25" t="str">
        <f aca="false">IF(AND($B193="",$E193="",$G193=""),"",IF(NOT(ISNUMBER($B193)),"日期无效",IF(ISNA(MATCH($C193,参数设置!$A$10:$A$12,0)),"公司无效",IF(ISNA(MATCH($E193,会计科目表!$B$6:$B$85,0)),"借方科目不存在",IF(ISNA(MATCH($F193,会计科目表!$B$6:$B$85,0)),"贷方科目不存在",IF($E193=$F193,"借贷科目相同",IF(N($G193)=0,"金额为 0",IF(YEAR($B193)&lt;&gt;参数设置!$B$5,"不在本会计年度","OK"))))))))</f>
        <v/>
      </c>
      <c r="L193" s="61" t="str">
        <f aca="false">IF($B193="","",YEAR($B193))</f>
        <v/>
      </c>
    </row>
    <row r="194" customFormat="false" ht="15" hidden="false" customHeight="false" outlineLevel="0" collapsed="false">
      <c r="A194" s="53" t="str">
        <f aca="false">IF($B194="","",ROW()-5)</f>
        <v/>
      </c>
      <c r="B194" s="54"/>
      <c r="C194" s="33"/>
      <c r="D194" s="41"/>
      <c r="E194" s="32"/>
      <c r="F194" s="32"/>
      <c r="G194" s="43"/>
      <c r="H194" s="41"/>
      <c r="I194" s="33"/>
      <c r="J194" s="41"/>
      <c r="K194" s="25" t="str">
        <f aca="false">IF(AND($B194="",$E194="",$G194=""),"",IF(NOT(ISNUMBER($B194)),"日期无效",IF(ISNA(MATCH($C194,参数设置!$A$10:$A$12,0)),"公司无效",IF(ISNA(MATCH($E194,会计科目表!$B$6:$B$85,0)),"借方科目不存在",IF(ISNA(MATCH($F194,会计科目表!$B$6:$B$85,0)),"贷方科目不存在",IF($E194=$F194,"借贷科目相同",IF(N($G194)=0,"金额为 0",IF(YEAR($B194)&lt;&gt;参数设置!$B$5,"不在本会计年度","OK"))))))))</f>
        <v/>
      </c>
      <c r="L194" s="61" t="str">
        <f aca="false">IF($B194="","",YEAR($B194))</f>
        <v/>
      </c>
    </row>
    <row r="195" customFormat="false" ht="15" hidden="false" customHeight="false" outlineLevel="0" collapsed="false">
      <c r="A195" s="53" t="str">
        <f aca="false">IF($B195="","",ROW()-5)</f>
        <v/>
      </c>
      <c r="B195" s="54"/>
      <c r="C195" s="33"/>
      <c r="D195" s="41"/>
      <c r="E195" s="32"/>
      <c r="F195" s="32"/>
      <c r="G195" s="43"/>
      <c r="H195" s="41"/>
      <c r="I195" s="33"/>
      <c r="J195" s="41"/>
      <c r="K195" s="25" t="str">
        <f aca="false">IF(AND($B195="",$E195="",$G195=""),"",IF(NOT(ISNUMBER($B195)),"日期无效",IF(ISNA(MATCH($C195,参数设置!$A$10:$A$12,0)),"公司无效",IF(ISNA(MATCH($E195,会计科目表!$B$6:$B$85,0)),"借方科目不存在",IF(ISNA(MATCH($F195,会计科目表!$B$6:$B$85,0)),"贷方科目不存在",IF($E195=$F195,"借贷科目相同",IF(N($G195)=0,"金额为 0",IF(YEAR($B195)&lt;&gt;参数设置!$B$5,"不在本会计年度","OK"))))))))</f>
        <v/>
      </c>
      <c r="L195" s="61" t="str">
        <f aca="false">IF($B195="","",YEAR($B195))</f>
        <v/>
      </c>
    </row>
    <row r="196" customFormat="false" ht="15" hidden="false" customHeight="false" outlineLevel="0" collapsed="false">
      <c r="A196" s="53" t="str">
        <f aca="false">IF($B196="","",ROW()-5)</f>
        <v/>
      </c>
      <c r="B196" s="54"/>
      <c r="C196" s="33"/>
      <c r="D196" s="41"/>
      <c r="E196" s="32"/>
      <c r="F196" s="32"/>
      <c r="G196" s="43"/>
      <c r="H196" s="41"/>
      <c r="I196" s="33"/>
      <c r="J196" s="41"/>
      <c r="K196" s="25" t="str">
        <f aca="false">IF(AND($B196="",$E196="",$G196=""),"",IF(NOT(ISNUMBER($B196)),"日期无效",IF(ISNA(MATCH($C196,参数设置!$A$10:$A$12,0)),"公司无效",IF(ISNA(MATCH($E196,会计科目表!$B$6:$B$85,0)),"借方科目不存在",IF(ISNA(MATCH($F196,会计科目表!$B$6:$B$85,0)),"贷方科目不存在",IF($E196=$F196,"借贷科目相同",IF(N($G196)=0,"金额为 0",IF(YEAR($B196)&lt;&gt;参数设置!$B$5,"不在本会计年度","OK"))))))))</f>
        <v/>
      </c>
      <c r="L196" s="61" t="str">
        <f aca="false">IF($B196="","",YEAR($B196))</f>
        <v/>
      </c>
    </row>
    <row r="197" customFormat="false" ht="15" hidden="false" customHeight="false" outlineLevel="0" collapsed="false">
      <c r="A197" s="53" t="str">
        <f aca="false">IF($B197="","",ROW()-5)</f>
        <v/>
      </c>
      <c r="B197" s="54"/>
      <c r="C197" s="33"/>
      <c r="D197" s="41"/>
      <c r="E197" s="32"/>
      <c r="F197" s="32"/>
      <c r="G197" s="43"/>
      <c r="H197" s="41"/>
      <c r="I197" s="33"/>
      <c r="J197" s="41"/>
      <c r="K197" s="25" t="str">
        <f aca="false">IF(AND($B197="",$E197="",$G197=""),"",IF(NOT(ISNUMBER($B197)),"日期无效",IF(ISNA(MATCH($C197,参数设置!$A$10:$A$12,0)),"公司无效",IF(ISNA(MATCH($E197,会计科目表!$B$6:$B$85,0)),"借方科目不存在",IF(ISNA(MATCH($F197,会计科目表!$B$6:$B$85,0)),"贷方科目不存在",IF($E197=$F197,"借贷科目相同",IF(N($G197)=0,"金额为 0",IF(YEAR($B197)&lt;&gt;参数设置!$B$5,"不在本会计年度","OK"))))))))</f>
        <v/>
      </c>
      <c r="L197" s="61" t="str">
        <f aca="false">IF($B197="","",YEAR($B197))</f>
        <v/>
      </c>
    </row>
    <row r="198" customFormat="false" ht="15" hidden="false" customHeight="false" outlineLevel="0" collapsed="false">
      <c r="A198" s="53" t="str">
        <f aca="false">IF($B198="","",ROW()-5)</f>
        <v/>
      </c>
      <c r="B198" s="54"/>
      <c r="C198" s="33"/>
      <c r="D198" s="41"/>
      <c r="E198" s="32"/>
      <c r="F198" s="32"/>
      <c r="G198" s="43"/>
      <c r="H198" s="41"/>
      <c r="I198" s="33"/>
      <c r="J198" s="41"/>
      <c r="K198" s="25" t="str">
        <f aca="false">IF(AND($B198="",$E198="",$G198=""),"",IF(NOT(ISNUMBER($B198)),"日期无效",IF(ISNA(MATCH($C198,参数设置!$A$10:$A$12,0)),"公司无效",IF(ISNA(MATCH($E198,会计科目表!$B$6:$B$85,0)),"借方科目不存在",IF(ISNA(MATCH($F198,会计科目表!$B$6:$B$85,0)),"贷方科目不存在",IF($E198=$F198,"借贷科目相同",IF(N($G198)=0,"金额为 0",IF(YEAR($B198)&lt;&gt;参数设置!$B$5,"不在本会计年度","OK"))))))))</f>
        <v/>
      </c>
      <c r="L198" s="61" t="str">
        <f aca="false">IF($B198="","",YEAR($B198))</f>
        <v/>
      </c>
    </row>
    <row r="199" customFormat="false" ht="15" hidden="false" customHeight="false" outlineLevel="0" collapsed="false">
      <c r="A199" s="53" t="str">
        <f aca="false">IF($B199="","",ROW()-5)</f>
        <v/>
      </c>
      <c r="B199" s="54"/>
      <c r="C199" s="33"/>
      <c r="D199" s="41"/>
      <c r="E199" s="32"/>
      <c r="F199" s="32"/>
      <c r="G199" s="43"/>
      <c r="H199" s="41"/>
      <c r="I199" s="33"/>
      <c r="J199" s="41"/>
      <c r="K199" s="25" t="str">
        <f aca="false">IF(AND($B199="",$E199="",$G199=""),"",IF(NOT(ISNUMBER($B199)),"日期无效",IF(ISNA(MATCH($C199,参数设置!$A$10:$A$12,0)),"公司无效",IF(ISNA(MATCH($E199,会计科目表!$B$6:$B$85,0)),"借方科目不存在",IF(ISNA(MATCH($F199,会计科目表!$B$6:$B$85,0)),"贷方科目不存在",IF($E199=$F199,"借贷科目相同",IF(N($G199)=0,"金额为 0",IF(YEAR($B199)&lt;&gt;参数设置!$B$5,"不在本会计年度","OK"))))))))</f>
        <v/>
      </c>
      <c r="L199" s="61" t="str">
        <f aca="false">IF($B199="","",YEAR($B199))</f>
        <v/>
      </c>
    </row>
    <row r="200" customFormat="false" ht="15" hidden="false" customHeight="false" outlineLevel="0" collapsed="false">
      <c r="A200" s="53" t="str">
        <f aca="false">IF($B200="","",ROW()-5)</f>
        <v/>
      </c>
      <c r="B200" s="54"/>
      <c r="C200" s="33"/>
      <c r="D200" s="41"/>
      <c r="E200" s="32"/>
      <c r="F200" s="32"/>
      <c r="G200" s="43"/>
      <c r="H200" s="41"/>
      <c r="I200" s="33"/>
      <c r="J200" s="41"/>
      <c r="K200" s="25" t="str">
        <f aca="false">IF(AND($B200="",$E200="",$G200=""),"",IF(NOT(ISNUMBER($B200)),"日期无效",IF(ISNA(MATCH($C200,参数设置!$A$10:$A$12,0)),"公司无效",IF(ISNA(MATCH($E200,会计科目表!$B$6:$B$85,0)),"借方科目不存在",IF(ISNA(MATCH($F200,会计科目表!$B$6:$B$85,0)),"贷方科目不存在",IF($E200=$F200,"借贷科目相同",IF(N($G200)=0,"金额为 0",IF(YEAR($B200)&lt;&gt;参数设置!$B$5,"不在本会计年度","OK"))))))))</f>
        <v/>
      </c>
      <c r="L200" s="61" t="str">
        <f aca="false">IF($B200="","",YEAR($B200))</f>
        <v/>
      </c>
    </row>
    <row r="201" customFormat="false" ht="15" hidden="false" customHeight="false" outlineLevel="0" collapsed="false">
      <c r="A201" s="53" t="str">
        <f aca="false">IF($B201="","",ROW()-5)</f>
        <v/>
      </c>
      <c r="B201" s="54"/>
      <c r="C201" s="33"/>
      <c r="D201" s="41"/>
      <c r="E201" s="32"/>
      <c r="F201" s="32"/>
      <c r="G201" s="43"/>
      <c r="H201" s="41"/>
      <c r="I201" s="33"/>
      <c r="J201" s="41"/>
      <c r="K201" s="25" t="str">
        <f aca="false">IF(AND($B201="",$E201="",$G201=""),"",IF(NOT(ISNUMBER($B201)),"日期无效",IF(ISNA(MATCH($C201,参数设置!$A$10:$A$12,0)),"公司无效",IF(ISNA(MATCH($E201,会计科目表!$B$6:$B$85,0)),"借方科目不存在",IF(ISNA(MATCH($F201,会计科目表!$B$6:$B$85,0)),"贷方科目不存在",IF($E201=$F201,"借贷科目相同",IF(N($G201)=0,"金额为 0",IF(YEAR($B201)&lt;&gt;参数设置!$B$5,"不在本会计年度","OK"))))))))</f>
        <v/>
      </c>
      <c r="L201" s="61" t="str">
        <f aca="false">IF($B201="","",YEAR($B201))</f>
        <v/>
      </c>
    </row>
    <row r="202" customFormat="false" ht="15" hidden="false" customHeight="false" outlineLevel="0" collapsed="false">
      <c r="A202" s="53" t="str">
        <f aca="false">IF($B202="","",ROW()-5)</f>
        <v/>
      </c>
      <c r="B202" s="54"/>
      <c r="C202" s="33"/>
      <c r="D202" s="41"/>
      <c r="E202" s="32"/>
      <c r="F202" s="32"/>
      <c r="G202" s="43"/>
      <c r="H202" s="41"/>
      <c r="I202" s="33"/>
      <c r="J202" s="41"/>
      <c r="K202" s="25" t="str">
        <f aca="false">IF(AND($B202="",$E202="",$G202=""),"",IF(NOT(ISNUMBER($B202)),"日期无效",IF(ISNA(MATCH($C202,参数设置!$A$10:$A$12,0)),"公司无效",IF(ISNA(MATCH($E202,会计科目表!$B$6:$B$85,0)),"借方科目不存在",IF(ISNA(MATCH($F202,会计科目表!$B$6:$B$85,0)),"贷方科目不存在",IF($E202=$F202,"借贷科目相同",IF(N($G202)=0,"金额为 0",IF(YEAR($B202)&lt;&gt;参数设置!$B$5,"不在本会计年度","OK"))))))))</f>
        <v/>
      </c>
      <c r="L202" s="61" t="str">
        <f aca="false">IF($B202="","",YEAR($B202))</f>
        <v/>
      </c>
    </row>
    <row r="203" customFormat="false" ht="15" hidden="false" customHeight="false" outlineLevel="0" collapsed="false">
      <c r="A203" s="53" t="str">
        <f aca="false">IF($B203="","",ROW()-5)</f>
        <v/>
      </c>
      <c r="B203" s="54"/>
      <c r="C203" s="33"/>
      <c r="D203" s="41"/>
      <c r="E203" s="32"/>
      <c r="F203" s="32"/>
      <c r="G203" s="43"/>
      <c r="H203" s="41"/>
      <c r="I203" s="33"/>
      <c r="J203" s="41"/>
      <c r="K203" s="25" t="str">
        <f aca="false">IF(AND($B203="",$E203="",$G203=""),"",IF(NOT(ISNUMBER($B203)),"日期无效",IF(ISNA(MATCH($C203,参数设置!$A$10:$A$12,0)),"公司无效",IF(ISNA(MATCH($E203,会计科目表!$B$6:$B$85,0)),"借方科目不存在",IF(ISNA(MATCH($F203,会计科目表!$B$6:$B$85,0)),"贷方科目不存在",IF($E203=$F203,"借贷科目相同",IF(N($G203)=0,"金额为 0",IF(YEAR($B203)&lt;&gt;参数设置!$B$5,"不在本会计年度","OK"))))))))</f>
        <v/>
      </c>
      <c r="L203" s="61" t="str">
        <f aca="false">IF($B203="","",YEAR($B203))</f>
        <v/>
      </c>
    </row>
    <row r="204" customFormat="false" ht="15" hidden="false" customHeight="false" outlineLevel="0" collapsed="false">
      <c r="A204" s="53" t="str">
        <f aca="false">IF($B204="","",ROW()-5)</f>
        <v/>
      </c>
      <c r="B204" s="54"/>
      <c r="C204" s="33"/>
      <c r="D204" s="41"/>
      <c r="E204" s="32"/>
      <c r="F204" s="32"/>
      <c r="G204" s="43"/>
      <c r="H204" s="41"/>
      <c r="I204" s="33"/>
      <c r="J204" s="41"/>
      <c r="K204" s="25" t="str">
        <f aca="false">IF(AND($B204="",$E204="",$G204=""),"",IF(NOT(ISNUMBER($B204)),"日期无效",IF(ISNA(MATCH($C204,参数设置!$A$10:$A$12,0)),"公司无效",IF(ISNA(MATCH($E204,会计科目表!$B$6:$B$85,0)),"借方科目不存在",IF(ISNA(MATCH($F204,会计科目表!$B$6:$B$85,0)),"贷方科目不存在",IF($E204=$F204,"借贷科目相同",IF(N($G204)=0,"金额为 0",IF(YEAR($B204)&lt;&gt;参数设置!$B$5,"不在本会计年度","OK"))))))))</f>
        <v/>
      </c>
      <c r="L204" s="61" t="str">
        <f aca="false">IF($B204="","",YEAR($B204))</f>
        <v/>
      </c>
    </row>
    <row r="205" customFormat="false" ht="15" hidden="false" customHeight="false" outlineLevel="0" collapsed="false">
      <c r="A205" s="53" t="str">
        <f aca="false">IF($B205="","",ROW()-5)</f>
        <v/>
      </c>
      <c r="B205" s="54"/>
      <c r="C205" s="33"/>
      <c r="D205" s="41"/>
      <c r="E205" s="32"/>
      <c r="F205" s="32"/>
      <c r="G205" s="43"/>
      <c r="H205" s="41"/>
      <c r="I205" s="33"/>
      <c r="J205" s="41"/>
      <c r="K205" s="25" t="str">
        <f aca="false">IF(AND($B205="",$E205="",$G205=""),"",IF(NOT(ISNUMBER($B205)),"日期无效",IF(ISNA(MATCH($C205,参数设置!$A$10:$A$12,0)),"公司无效",IF(ISNA(MATCH($E205,会计科目表!$B$6:$B$85,0)),"借方科目不存在",IF(ISNA(MATCH($F205,会计科目表!$B$6:$B$85,0)),"贷方科目不存在",IF($E205=$F205,"借贷科目相同",IF(N($G205)=0,"金额为 0",IF(YEAR($B205)&lt;&gt;参数设置!$B$5,"不在本会计年度","OK"))))))))</f>
        <v/>
      </c>
      <c r="L205" s="61" t="str">
        <f aca="false">IF($B205="","",YEAR($B205))</f>
        <v/>
      </c>
    </row>
    <row r="206" customFormat="false" ht="15" hidden="false" customHeight="false" outlineLevel="0" collapsed="false">
      <c r="A206" s="53" t="str">
        <f aca="false">IF($B206="","",ROW()-5)</f>
        <v/>
      </c>
      <c r="B206" s="54"/>
      <c r="C206" s="33"/>
      <c r="D206" s="41"/>
      <c r="E206" s="32"/>
      <c r="F206" s="32"/>
      <c r="G206" s="43"/>
      <c r="H206" s="41"/>
      <c r="I206" s="33"/>
      <c r="J206" s="41"/>
      <c r="K206" s="25" t="str">
        <f aca="false">IF(AND($B206="",$E206="",$G206=""),"",IF(NOT(ISNUMBER($B206)),"日期无效",IF(ISNA(MATCH($C206,参数设置!$A$10:$A$12,0)),"公司无效",IF(ISNA(MATCH($E206,会计科目表!$B$6:$B$85,0)),"借方科目不存在",IF(ISNA(MATCH($F206,会计科目表!$B$6:$B$85,0)),"贷方科目不存在",IF($E206=$F206,"借贷科目相同",IF(N($G206)=0,"金额为 0",IF(YEAR($B206)&lt;&gt;参数设置!$B$5,"不在本会计年度","OK"))))))))</f>
        <v/>
      </c>
      <c r="L206" s="61" t="str">
        <f aca="false">IF($B206="","",YEAR($B206))</f>
        <v/>
      </c>
    </row>
    <row r="207" customFormat="false" ht="15" hidden="false" customHeight="false" outlineLevel="0" collapsed="false">
      <c r="A207" s="53" t="str">
        <f aca="false">IF($B207="","",ROW()-5)</f>
        <v/>
      </c>
      <c r="B207" s="54"/>
      <c r="C207" s="33"/>
      <c r="D207" s="41"/>
      <c r="E207" s="32"/>
      <c r="F207" s="32"/>
      <c r="G207" s="43"/>
      <c r="H207" s="41"/>
      <c r="I207" s="33"/>
      <c r="J207" s="41"/>
      <c r="K207" s="25" t="str">
        <f aca="false">IF(AND($B207="",$E207="",$G207=""),"",IF(NOT(ISNUMBER($B207)),"日期无效",IF(ISNA(MATCH($C207,参数设置!$A$10:$A$12,0)),"公司无效",IF(ISNA(MATCH($E207,会计科目表!$B$6:$B$85,0)),"借方科目不存在",IF(ISNA(MATCH($F207,会计科目表!$B$6:$B$85,0)),"贷方科目不存在",IF($E207=$F207,"借贷科目相同",IF(N($G207)=0,"金额为 0",IF(YEAR($B207)&lt;&gt;参数设置!$B$5,"不在本会计年度","OK"))))))))</f>
        <v/>
      </c>
      <c r="L207" s="61" t="str">
        <f aca="false">IF($B207="","",YEAR($B207))</f>
        <v/>
      </c>
    </row>
    <row r="208" customFormat="false" ht="15" hidden="false" customHeight="false" outlineLevel="0" collapsed="false">
      <c r="A208" s="53" t="str">
        <f aca="false">IF($B208="","",ROW()-5)</f>
        <v/>
      </c>
      <c r="B208" s="54"/>
      <c r="C208" s="33"/>
      <c r="D208" s="41"/>
      <c r="E208" s="32"/>
      <c r="F208" s="32"/>
      <c r="G208" s="43"/>
      <c r="H208" s="41"/>
      <c r="I208" s="33"/>
      <c r="J208" s="41"/>
      <c r="K208" s="25" t="str">
        <f aca="false">IF(AND($B208="",$E208="",$G208=""),"",IF(NOT(ISNUMBER($B208)),"日期无效",IF(ISNA(MATCH($C208,参数设置!$A$10:$A$12,0)),"公司无效",IF(ISNA(MATCH($E208,会计科目表!$B$6:$B$85,0)),"借方科目不存在",IF(ISNA(MATCH($F208,会计科目表!$B$6:$B$85,0)),"贷方科目不存在",IF($E208=$F208,"借贷科目相同",IF(N($G208)=0,"金额为 0",IF(YEAR($B208)&lt;&gt;参数设置!$B$5,"不在本会计年度","OK"))))))))</f>
        <v/>
      </c>
      <c r="L208" s="61" t="str">
        <f aca="false">IF($B208="","",YEAR($B208))</f>
        <v/>
      </c>
    </row>
    <row r="209" customFormat="false" ht="15" hidden="false" customHeight="false" outlineLevel="0" collapsed="false">
      <c r="A209" s="53" t="str">
        <f aca="false">IF($B209="","",ROW()-5)</f>
        <v/>
      </c>
      <c r="B209" s="54"/>
      <c r="C209" s="33"/>
      <c r="D209" s="41"/>
      <c r="E209" s="32"/>
      <c r="F209" s="32"/>
      <c r="G209" s="43"/>
      <c r="H209" s="41"/>
      <c r="I209" s="33"/>
      <c r="J209" s="41"/>
      <c r="K209" s="25" t="str">
        <f aca="false">IF(AND($B209="",$E209="",$G209=""),"",IF(NOT(ISNUMBER($B209)),"日期无效",IF(ISNA(MATCH($C209,参数设置!$A$10:$A$12,0)),"公司无效",IF(ISNA(MATCH($E209,会计科目表!$B$6:$B$85,0)),"借方科目不存在",IF(ISNA(MATCH($F209,会计科目表!$B$6:$B$85,0)),"贷方科目不存在",IF($E209=$F209,"借贷科目相同",IF(N($G209)=0,"金额为 0",IF(YEAR($B209)&lt;&gt;参数设置!$B$5,"不在本会计年度","OK"))))))))</f>
        <v/>
      </c>
      <c r="L209" s="61" t="str">
        <f aca="false">IF($B209="","",YEAR($B209))</f>
        <v/>
      </c>
    </row>
    <row r="210" customFormat="false" ht="15" hidden="false" customHeight="false" outlineLevel="0" collapsed="false">
      <c r="A210" s="53" t="str">
        <f aca="false">IF($B210="","",ROW()-5)</f>
        <v/>
      </c>
      <c r="B210" s="54"/>
      <c r="C210" s="33"/>
      <c r="D210" s="41"/>
      <c r="E210" s="32"/>
      <c r="F210" s="32"/>
      <c r="G210" s="43"/>
      <c r="H210" s="41"/>
      <c r="I210" s="33"/>
      <c r="J210" s="41"/>
      <c r="K210" s="25" t="str">
        <f aca="false">IF(AND($B210="",$E210="",$G210=""),"",IF(NOT(ISNUMBER($B210)),"日期无效",IF(ISNA(MATCH($C210,参数设置!$A$10:$A$12,0)),"公司无效",IF(ISNA(MATCH($E210,会计科目表!$B$6:$B$85,0)),"借方科目不存在",IF(ISNA(MATCH($F210,会计科目表!$B$6:$B$85,0)),"贷方科目不存在",IF($E210=$F210,"借贷科目相同",IF(N($G210)=0,"金额为 0",IF(YEAR($B210)&lt;&gt;参数设置!$B$5,"不在本会计年度","OK"))))))))</f>
        <v/>
      </c>
      <c r="L210" s="61" t="str">
        <f aca="false">IF($B210="","",YEAR($B210))</f>
        <v/>
      </c>
    </row>
    <row r="211" customFormat="false" ht="15" hidden="false" customHeight="false" outlineLevel="0" collapsed="false">
      <c r="A211" s="53" t="str">
        <f aca="false">IF($B211="","",ROW()-5)</f>
        <v/>
      </c>
      <c r="B211" s="54"/>
      <c r="C211" s="33"/>
      <c r="D211" s="41"/>
      <c r="E211" s="32"/>
      <c r="F211" s="32"/>
      <c r="G211" s="43"/>
      <c r="H211" s="41"/>
      <c r="I211" s="33"/>
      <c r="J211" s="41"/>
      <c r="K211" s="25" t="str">
        <f aca="false">IF(AND($B211="",$E211="",$G211=""),"",IF(NOT(ISNUMBER($B211)),"日期无效",IF(ISNA(MATCH($C211,参数设置!$A$10:$A$12,0)),"公司无效",IF(ISNA(MATCH($E211,会计科目表!$B$6:$B$85,0)),"借方科目不存在",IF(ISNA(MATCH($F211,会计科目表!$B$6:$B$85,0)),"贷方科目不存在",IF($E211=$F211,"借贷科目相同",IF(N($G211)=0,"金额为 0",IF(YEAR($B211)&lt;&gt;参数设置!$B$5,"不在本会计年度","OK"))))))))</f>
        <v/>
      </c>
      <c r="L211" s="61" t="str">
        <f aca="false">IF($B211="","",YEAR($B211))</f>
        <v/>
      </c>
    </row>
    <row r="212" customFormat="false" ht="15" hidden="false" customHeight="false" outlineLevel="0" collapsed="false">
      <c r="A212" s="53" t="str">
        <f aca="false">IF($B212="","",ROW()-5)</f>
        <v/>
      </c>
      <c r="B212" s="54"/>
      <c r="C212" s="33"/>
      <c r="D212" s="41"/>
      <c r="E212" s="32"/>
      <c r="F212" s="32"/>
      <c r="G212" s="43"/>
      <c r="H212" s="41"/>
      <c r="I212" s="33"/>
      <c r="J212" s="41"/>
      <c r="K212" s="25" t="str">
        <f aca="false">IF(AND($B212="",$E212="",$G212=""),"",IF(NOT(ISNUMBER($B212)),"日期无效",IF(ISNA(MATCH($C212,参数设置!$A$10:$A$12,0)),"公司无效",IF(ISNA(MATCH($E212,会计科目表!$B$6:$B$85,0)),"借方科目不存在",IF(ISNA(MATCH($F212,会计科目表!$B$6:$B$85,0)),"贷方科目不存在",IF($E212=$F212,"借贷科目相同",IF(N($G212)=0,"金额为 0",IF(YEAR($B212)&lt;&gt;参数设置!$B$5,"不在本会计年度","OK"))))))))</f>
        <v/>
      </c>
      <c r="L212" s="61" t="str">
        <f aca="false">IF($B212="","",YEAR($B212))</f>
        <v/>
      </c>
    </row>
    <row r="213" customFormat="false" ht="15" hidden="false" customHeight="false" outlineLevel="0" collapsed="false">
      <c r="A213" s="53" t="str">
        <f aca="false">IF($B213="","",ROW()-5)</f>
        <v/>
      </c>
      <c r="B213" s="54"/>
      <c r="C213" s="33"/>
      <c r="D213" s="41"/>
      <c r="E213" s="32"/>
      <c r="F213" s="32"/>
      <c r="G213" s="43"/>
      <c r="H213" s="41"/>
      <c r="I213" s="33"/>
      <c r="J213" s="41"/>
      <c r="K213" s="25" t="str">
        <f aca="false">IF(AND($B213="",$E213="",$G213=""),"",IF(NOT(ISNUMBER($B213)),"日期无效",IF(ISNA(MATCH($C213,参数设置!$A$10:$A$12,0)),"公司无效",IF(ISNA(MATCH($E213,会计科目表!$B$6:$B$85,0)),"借方科目不存在",IF(ISNA(MATCH($F213,会计科目表!$B$6:$B$85,0)),"贷方科目不存在",IF($E213=$F213,"借贷科目相同",IF(N($G213)=0,"金额为 0",IF(YEAR($B213)&lt;&gt;参数设置!$B$5,"不在本会计年度","OK"))))))))</f>
        <v/>
      </c>
      <c r="L213" s="61" t="str">
        <f aca="false">IF($B213="","",YEAR($B213))</f>
        <v/>
      </c>
    </row>
    <row r="214" customFormat="false" ht="15" hidden="false" customHeight="false" outlineLevel="0" collapsed="false">
      <c r="A214" s="53" t="str">
        <f aca="false">IF($B214="","",ROW()-5)</f>
        <v/>
      </c>
      <c r="B214" s="54"/>
      <c r="C214" s="33"/>
      <c r="D214" s="41"/>
      <c r="E214" s="32"/>
      <c r="F214" s="32"/>
      <c r="G214" s="43"/>
      <c r="H214" s="41"/>
      <c r="I214" s="33"/>
      <c r="J214" s="41"/>
      <c r="K214" s="25" t="str">
        <f aca="false">IF(AND($B214="",$E214="",$G214=""),"",IF(NOT(ISNUMBER($B214)),"日期无效",IF(ISNA(MATCH($C214,参数设置!$A$10:$A$12,0)),"公司无效",IF(ISNA(MATCH($E214,会计科目表!$B$6:$B$85,0)),"借方科目不存在",IF(ISNA(MATCH($F214,会计科目表!$B$6:$B$85,0)),"贷方科目不存在",IF($E214=$F214,"借贷科目相同",IF(N($G214)=0,"金额为 0",IF(YEAR($B214)&lt;&gt;参数设置!$B$5,"不在本会计年度","OK"))))))))</f>
        <v/>
      </c>
      <c r="L214" s="61" t="str">
        <f aca="false">IF($B214="","",YEAR($B214))</f>
        <v/>
      </c>
    </row>
    <row r="215" customFormat="false" ht="15" hidden="false" customHeight="false" outlineLevel="0" collapsed="false">
      <c r="A215" s="53" t="str">
        <f aca="false">IF($B215="","",ROW()-5)</f>
        <v/>
      </c>
      <c r="B215" s="54"/>
      <c r="C215" s="33"/>
      <c r="D215" s="41"/>
      <c r="E215" s="32"/>
      <c r="F215" s="32"/>
      <c r="G215" s="43"/>
      <c r="H215" s="41"/>
      <c r="I215" s="33"/>
      <c r="J215" s="41"/>
      <c r="K215" s="25" t="str">
        <f aca="false">IF(AND($B215="",$E215="",$G215=""),"",IF(NOT(ISNUMBER($B215)),"日期无效",IF(ISNA(MATCH($C215,参数设置!$A$10:$A$12,0)),"公司无效",IF(ISNA(MATCH($E215,会计科目表!$B$6:$B$85,0)),"借方科目不存在",IF(ISNA(MATCH($F215,会计科目表!$B$6:$B$85,0)),"贷方科目不存在",IF($E215=$F215,"借贷科目相同",IF(N($G215)=0,"金额为 0",IF(YEAR($B215)&lt;&gt;参数设置!$B$5,"不在本会计年度","OK"))))))))</f>
        <v/>
      </c>
      <c r="L215" s="61" t="str">
        <f aca="false">IF($B215="","",YEAR($B215))</f>
        <v/>
      </c>
    </row>
    <row r="216" customFormat="false" ht="15" hidden="false" customHeight="false" outlineLevel="0" collapsed="false">
      <c r="A216" s="53" t="str">
        <f aca="false">IF($B216="","",ROW()-5)</f>
        <v/>
      </c>
      <c r="B216" s="54"/>
      <c r="C216" s="33"/>
      <c r="D216" s="41"/>
      <c r="E216" s="32"/>
      <c r="F216" s="32"/>
      <c r="G216" s="43"/>
      <c r="H216" s="41"/>
      <c r="I216" s="33"/>
      <c r="J216" s="41"/>
      <c r="K216" s="25" t="str">
        <f aca="false">IF(AND($B216="",$E216="",$G216=""),"",IF(NOT(ISNUMBER($B216)),"日期无效",IF(ISNA(MATCH($C216,参数设置!$A$10:$A$12,0)),"公司无效",IF(ISNA(MATCH($E216,会计科目表!$B$6:$B$85,0)),"借方科目不存在",IF(ISNA(MATCH($F216,会计科目表!$B$6:$B$85,0)),"贷方科目不存在",IF($E216=$F216,"借贷科目相同",IF(N($G216)=0,"金额为 0",IF(YEAR($B216)&lt;&gt;参数设置!$B$5,"不在本会计年度","OK"))))))))</f>
        <v/>
      </c>
      <c r="L216" s="61" t="str">
        <f aca="false">IF($B216="","",YEAR($B216))</f>
        <v/>
      </c>
    </row>
    <row r="217" customFormat="false" ht="15" hidden="false" customHeight="false" outlineLevel="0" collapsed="false">
      <c r="A217" s="53" t="str">
        <f aca="false">IF($B217="","",ROW()-5)</f>
        <v/>
      </c>
      <c r="B217" s="54"/>
      <c r="C217" s="33"/>
      <c r="D217" s="41"/>
      <c r="E217" s="32"/>
      <c r="F217" s="32"/>
      <c r="G217" s="43"/>
      <c r="H217" s="41"/>
      <c r="I217" s="33"/>
      <c r="J217" s="41"/>
      <c r="K217" s="25" t="str">
        <f aca="false">IF(AND($B217="",$E217="",$G217=""),"",IF(NOT(ISNUMBER($B217)),"日期无效",IF(ISNA(MATCH($C217,参数设置!$A$10:$A$12,0)),"公司无效",IF(ISNA(MATCH($E217,会计科目表!$B$6:$B$85,0)),"借方科目不存在",IF(ISNA(MATCH($F217,会计科目表!$B$6:$B$85,0)),"贷方科目不存在",IF($E217=$F217,"借贷科目相同",IF(N($G217)=0,"金额为 0",IF(YEAR($B217)&lt;&gt;参数设置!$B$5,"不在本会计年度","OK"))))))))</f>
        <v/>
      </c>
      <c r="L217" s="61" t="str">
        <f aca="false">IF($B217="","",YEAR($B217))</f>
        <v/>
      </c>
    </row>
    <row r="218" customFormat="false" ht="15" hidden="false" customHeight="false" outlineLevel="0" collapsed="false">
      <c r="A218" s="53" t="str">
        <f aca="false">IF($B218="","",ROW()-5)</f>
        <v/>
      </c>
      <c r="B218" s="54"/>
      <c r="C218" s="33"/>
      <c r="D218" s="41"/>
      <c r="E218" s="32"/>
      <c r="F218" s="32"/>
      <c r="G218" s="43"/>
      <c r="H218" s="41"/>
      <c r="I218" s="33"/>
      <c r="J218" s="41"/>
      <c r="K218" s="25" t="str">
        <f aca="false">IF(AND($B218="",$E218="",$G218=""),"",IF(NOT(ISNUMBER($B218)),"日期无效",IF(ISNA(MATCH($C218,参数设置!$A$10:$A$12,0)),"公司无效",IF(ISNA(MATCH($E218,会计科目表!$B$6:$B$85,0)),"借方科目不存在",IF(ISNA(MATCH($F218,会计科目表!$B$6:$B$85,0)),"贷方科目不存在",IF($E218=$F218,"借贷科目相同",IF(N($G218)=0,"金额为 0",IF(YEAR($B218)&lt;&gt;参数设置!$B$5,"不在本会计年度","OK"))))))))</f>
        <v/>
      </c>
      <c r="L218" s="61" t="str">
        <f aca="false">IF($B218="","",YEAR($B218))</f>
        <v/>
      </c>
    </row>
    <row r="219" customFormat="false" ht="15" hidden="false" customHeight="false" outlineLevel="0" collapsed="false">
      <c r="A219" s="53" t="str">
        <f aca="false">IF($B219="","",ROW()-5)</f>
        <v/>
      </c>
      <c r="B219" s="54"/>
      <c r="C219" s="33"/>
      <c r="D219" s="41"/>
      <c r="E219" s="32"/>
      <c r="F219" s="32"/>
      <c r="G219" s="43"/>
      <c r="H219" s="41"/>
      <c r="I219" s="33"/>
      <c r="J219" s="41"/>
      <c r="K219" s="25" t="str">
        <f aca="false">IF(AND($B219="",$E219="",$G219=""),"",IF(NOT(ISNUMBER($B219)),"日期无效",IF(ISNA(MATCH($C219,参数设置!$A$10:$A$12,0)),"公司无效",IF(ISNA(MATCH($E219,会计科目表!$B$6:$B$85,0)),"借方科目不存在",IF(ISNA(MATCH($F219,会计科目表!$B$6:$B$85,0)),"贷方科目不存在",IF($E219=$F219,"借贷科目相同",IF(N($G219)=0,"金额为 0",IF(YEAR($B219)&lt;&gt;参数设置!$B$5,"不在本会计年度","OK"))))))))</f>
        <v/>
      </c>
      <c r="L219" s="61" t="str">
        <f aca="false">IF($B219="","",YEAR($B219))</f>
        <v/>
      </c>
    </row>
    <row r="220" customFormat="false" ht="15" hidden="false" customHeight="false" outlineLevel="0" collapsed="false">
      <c r="A220" s="53" t="str">
        <f aca="false">IF($B220="","",ROW()-5)</f>
        <v/>
      </c>
      <c r="B220" s="54"/>
      <c r="C220" s="33"/>
      <c r="D220" s="41"/>
      <c r="E220" s="32"/>
      <c r="F220" s="32"/>
      <c r="G220" s="43"/>
      <c r="H220" s="41"/>
      <c r="I220" s="33"/>
      <c r="J220" s="41"/>
      <c r="K220" s="25" t="str">
        <f aca="false">IF(AND($B220="",$E220="",$G220=""),"",IF(NOT(ISNUMBER($B220)),"日期无效",IF(ISNA(MATCH($C220,参数设置!$A$10:$A$12,0)),"公司无效",IF(ISNA(MATCH($E220,会计科目表!$B$6:$B$85,0)),"借方科目不存在",IF(ISNA(MATCH($F220,会计科目表!$B$6:$B$85,0)),"贷方科目不存在",IF($E220=$F220,"借贷科目相同",IF(N($G220)=0,"金额为 0",IF(YEAR($B220)&lt;&gt;参数设置!$B$5,"不在本会计年度","OK"))))))))</f>
        <v/>
      </c>
      <c r="L220" s="61" t="str">
        <f aca="false">IF($B220="","",YEAR($B220))</f>
        <v/>
      </c>
    </row>
    <row r="221" customFormat="false" ht="15" hidden="false" customHeight="false" outlineLevel="0" collapsed="false">
      <c r="A221" s="53" t="str">
        <f aca="false">IF($B221="","",ROW()-5)</f>
        <v/>
      </c>
      <c r="B221" s="54"/>
      <c r="C221" s="33"/>
      <c r="D221" s="41"/>
      <c r="E221" s="32"/>
      <c r="F221" s="32"/>
      <c r="G221" s="43"/>
      <c r="H221" s="41"/>
      <c r="I221" s="33"/>
      <c r="J221" s="41"/>
      <c r="K221" s="25" t="str">
        <f aca="false">IF(AND($B221="",$E221="",$G221=""),"",IF(NOT(ISNUMBER($B221)),"日期无效",IF(ISNA(MATCH($C221,参数设置!$A$10:$A$12,0)),"公司无效",IF(ISNA(MATCH($E221,会计科目表!$B$6:$B$85,0)),"借方科目不存在",IF(ISNA(MATCH($F221,会计科目表!$B$6:$B$85,0)),"贷方科目不存在",IF($E221=$F221,"借贷科目相同",IF(N($G221)=0,"金额为 0",IF(YEAR($B221)&lt;&gt;参数设置!$B$5,"不在本会计年度","OK"))))))))</f>
        <v/>
      </c>
      <c r="L221" s="61" t="str">
        <f aca="false">IF($B221="","",YEAR($B221))</f>
        <v/>
      </c>
    </row>
    <row r="222" customFormat="false" ht="15" hidden="false" customHeight="false" outlineLevel="0" collapsed="false">
      <c r="A222" s="53" t="str">
        <f aca="false">IF($B222="","",ROW()-5)</f>
        <v/>
      </c>
      <c r="B222" s="54"/>
      <c r="C222" s="33"/>
      <c r="D222" s="41"/>
      <c r="E222" s="32"/>
      <c r="F222" s="32"/>
      <c r="G222" s="43"/>
      <c r="H222" s="41"/>
      <c r="I222" s="33"/>
      <c r="J222" s="41"/>
      <c r="K222" s="25" t="str">
        <f aca="false">IF(AND($B222="",$E222="",$G222=""),"",IF(NOT(ISNUMBER($B222)),"日期无效",IF(ISNA(MATCH($C222,参数设置!$A$10:$A$12,0)),"公司无效",IF(ISNA(MATCH($E222,会计科目表!$B$6:$B$85,0)),"借方科目不存在",IF(ISNA(MATCH($F222,会计科目表!$B$6:$B$85,0)),"贷方科目不存在",IF($E222=$F222,"借贷科目相同",IF(N($G222)=0,"金额为 0",IF(YEAR($B222)&lt;&gt;参数设置!$B$5,"不在本会计年度","OK"))))))))</f>
        <v/>
      </c>
      <c r="L222" s="61" t="str">
        <f aca="false">IF($B222="","",YEAR($B222))</f>
        <v/>
      </c>
    </row>
    <row r="223" customFormat="false" ht="15" hidden="false" customHeight="false" outlineLevel="0" collapsed="false">
      <c r="A223" s="53" t="str">
        <f aca="false">IF($B223="","",ROW()-5)</f>
        <v/>
      </c>
      <c r="B223" s="54"/>
      <c r="C223" s="33"/>
      <c r="D223" s="41"/>
      <c r="E223" s="32"/>
      <c r="F223" s="32"/>
      <c r="G223" s="43"/>
      <c r="H223" s="41"/>
      <c r="I223" s="33"/>
      <c r="J223" s="41"/>
      <c r="K223" s="25" t="str">
        <f aca="false">IF(AND($B223="",$E223="",$G223=""),"",IF(NOT(ISNUMBER($B223)),"日期无效",IF(ISNA(MATCH($C223,参数设置!$A$10:$A$12,0)),"公司无效",IF(ISNA(MATCH($E223,会计科目表!$B$6:$B$85,0)),"借方科目不存在",IF(ISNA(MATCH($F223,会计科目表!$B$6:$B$85,0)),"贷方科目不存在",IF($E223=$F223,"借贷科目相同",IF(N($G223)=0,"金额为 0",IF(YEAR($B223)&lt;&gt;参数设置!$B$5,"不在本会计年度","OK"))))))))</f>
        <v/>
      </c>
      <c r="L223" s="61" t="str">
        <f aca="false">IF($B223="","",YEAR($B223))</f>
        <v/>
      </c>
    </row>
    <row r="224" customFormat="false" ht="15" hidden="false" customHeight="false" outlineLevel="0" collapsed="false">
      <c r="A224" s="53" t="str">
        <f aca="false">IF($B224="","",ROW()-5)</f>
        <v/>
      </c>
      <c r="B224" s="54"/>
      <c r="C224" s="33"/>
      <c r="D224" s="41"/>
      <c r="E224" s="32"/>
      <c r="F224" s="32"/>
      <c r="G224" s="43"/>
      <c r="H224" s="41"/>
      <c r="I224" s="33"/>
      <c r="J224" s="41"/>
      <c r="K224" s="25" t="str">
        <f aca="false">IF(AND($B224="",$E224="",$G224=""),"",IF(NOT(ISNUMBER($B224)),"日期无效",IF(ISNA(MATCH($C224,参数设置!$A$10:$A$12,0)),"公司无效",IF(ISNA(MATCH($E224,会计科目表!$B$6:$B$85,0)),"借方科目不存在",IF(ISNA(MATCH($F224,会计科目表!$B$6:$B$85,0)),"贷方科目不存在",IF($E224=$F224,"借贷科目相同",IF(N($G224)=0,"金额为 0",IF(YEAR($B224)&lt;&gt;参数设置!$B$5,"不在本会计年度","OK"))))))))</f>
        <v/>
      </c>
      <c r="L224" s="61" t="str">
        <f aca="false">IF($B224="","",YEAR($B224))</f>
        <v/>
      </c>
    </row>
    <row r="225" customFormat="false" ht="15" hidden="false" customHeight="false" outlineLevel="0" collapsed="false">
      <c r="A225" s="53" t="str">
        <f aca="false">IF($B225="","",ROW()-5)</f>
        <v/>
      </c>
      <c r="B225" s="54"/>
      <c r="C225" s="33"/>
      <c r="D225" s="41"/>
      <c r="E225" s="32"/>
      <c r="F225" s="32"/>
      <c r="G225" s="43"/>
      <c r="H225" s="41"/>
      <c r="I225" s="33"/>
      <c r="J225" s="41"/>
      <c r="K225" s="25" t="str">
        <f aca="false">IF(AND($B225="",$E225="",$G225=""),"",IF(NOT(ISNUMBER($B225)),"日期无效",IF(ISNA(MATCH($C225,参数设置!$A$10:$A$12,0)),"公司无效",IF(ISNA(MATCH($E225,会计科目表!$B$6:$B$85,0)),"借方科目不存在",IF(ISNA(MATCH($F225,会计科目表!$B$6:$B$85,0)),"贷方科目不存在",IF($E225=$F225,"借贷科目相同",IF(N($G225)=0,"金额为 0",IF(YEAR($B225)&lt;&gt;参数设置!$B$5,"不在本会计年度","OK"))))))))</f>
        <v/>
      </c>
      <c r="L225" s="61" t="str">
        <f aca="false">IF($B225="","",YEAR($B225))</f>
        <v/>
      </c>
    </row>
    <row r="226" customFormat="false" ht="15" hidden="false" customHeight="false" outlineLevel="0" collapsed="false">
      <c r="A226" s="53" t="str">
        <f aca="false">IF($B226="","",ROW()-5)</f>
        <v/>
      </c>
      <c r="B226" s="54"/>
      <c r="C226" s="33"/>
      <c r="D226" s="41"/>
      <c r="E226" s="32"/>
      <c r="F226" s="32"/>
      <c r="G226" s="43"/>
      <c r="H226" s="41"/>
      <c r="I226" s="33"/>
      <c r="J226" s="41"/>
      <c r="K226" s="25" t="str">
        <f aca="false">IF(AND($B226="",$E226="",$G226=""),"",IF(NOT(ISNUMBER($B226)),"日期无效",IF(ISNA(MATCH($C226,参数设置!$A$10:$A$12,0)),"公司无效",IF(ISNA(MATCH($E226,会计科目表!$B$6:$B$85,0)),"借方科目不存在",IF(ISNA(MATCH($F226,会计科目表!$B$6:$B$85,0)),"贷方科目不存在",IF($E226=$F226,"借贷科目相同",IF(N($G226)=0,"金额为 0",IF(YEAR($B226)&lt;&gt;参数设置!$B$5,"不在本会计年度","OK"))))))))</f>
        <v/>
      </c>
      <c r="L226" s="61" t="str">
        <f aca="false">IF($B226="","",YEAR($B226))</f>
        <v/>
      </c>
    </row>
    <row r="227" customFormat="false" ht="15" hidden="false" customHeight="false" outlineLevel="0" collapsed="false">
      <c r="A227" s="53" t="str">
        <f aca="false">IF($B227="","",ROW()-5)</f>
        <v/>
      </c>
      <c r="B227" s="54"/>
      <c r="C227" s="33"/>
      <c r="D227" s="41"/>
      <c r="E227" s="32"/>
      <c r="F227" s="32"/>
      <c r="G227" s="43"/>
      <c r="H227" s="41"/>
      <c r="I227" s="33"/>
      <c r="J227" s="41"/>
      <c r="K227" s="25" t="str">
        <f aca="false">IF(AND($B227="",$E227="",$G227=""),"",IF(NOT(ISNUMBER($B227)),"日期无效",IF(ISNA(MATCH($C227,参数设置!$A$10:$A$12,0)),"公司无效",IF(ISNA(MATCH($E227,会计科目表!$B$6:$B$85,0)),"借方科目不存在",IF(ISNA(MATCH($F227,会计科目表!$B$6:$B$85,0)),"贷方科目不存在",IF($E227=$F227,"借贷科目相同",IF(N($G227)=0,"金额为 0",IF(YEAR($B227)&lt;&gt;参数设置!$B$5,"不在本会计年度","OK"))))))))</f>
        <v/>
      </c>
      <c r="L227" s="61" t="str">
        <f aca="false">IF($B227="","",YEAR($B227))</f>
        <v/>
      </c>
    </row>
    <row r="228" customFormat="false" ht="15" hidden="false" customHeight="false" outlineLevel="0" collapsed="false">
      <c r="A228" s="53" t="str">
        <f aca="false">IF($B228="","",ROW()-5)</f>
        <v/>
      </c>
      <c r="B228" s="54"/>
      <c r="C228" s="33"/>
      <c r="D228" s="41"/>
      <c r="E228" s="32"/>
      <c r="F228" s="32"/>
      <c r="G228" s="43"/>
      <c r="H228" s="41"/>
      <c r="I228" s="33"/>
      <c r="J228" s="41"/>
      <c r="K228" s="25" t="str">
        <f aca="false">IF(AND($B228="",$E228="",$G228=""),"",IF(NOT(ISNUMBER($B228)),"日期无效",IF(ISNA(MATCH($C228,参数设置!$A$10:$A$12,0)),"公司无效",IF(ISNA(MATCH($E228,会计科目表!$B$6:$B$85,0)),"借方科目不存在",IF(ISNA(MATCH($F228,会计科目表!$B$6:$B$85,0)),"贷方科目不存在",IF($E228=$F228,"借贷科目相同",IF(N($G228)=0,"金额为 0",IF(YEAR($B228)&lt;&gt;参数设置!$B$5,"不在本会计年度","OK"))))))))</f>
        <v/>
      </c>
      <c r="L228" s="61" t="str">
        <f aca="false">IF($B228="","",YEAR($B228))</f>
        <v/>
      </c>
    </row>
    <row r="229" customFormat="false" ht="15" hidden="false" customHeight="false" outlineLevel="0" collapsed="false">
      <c r="A229" s="53" t="str">
        <f aca="false">IF($B229="","",ROW()-5)</f>
        <v/>
      </c>
      <c r="B229" s="54"/>
      <c r="C229" s="33"/>
      <c r="D229" s="41"/>
      <c r="E229" s="32"/>
      <c r="F229" s="32"/>
      <c r="G229" s="43"/>
      <c r="H229" s="41"/>
      <c r="I229" s="33"/>
      <c r="J229" s="41"/>
      <c r="K229" s="25" t="str">
        <f aca="false">IF(AND($B229="",$E229="",$G229=""),"",IF(NOT(ISNUMBER($B229)),"日期无效",IF(ISNA(MATCH($C229,参数设置!$A$10:$A$12,0)),"公司无效",IF(ISNA(MATCH($E229,会计科目表!$B$6:$B$85,0)),"借方科目不存在",IF(ISNA(MATCH($F229,会计科目表!$B$6:$B$85,0)),"贷方科目不存在",IF($E229=$F229,"借贷科目相同",IF(N($G229)=0,"金额为 0",IF(YEAR($B229)&lt;&gt;参数设置!$B$5,"不在本会计年度","OK"))))))))</f>
        <v/>
      </c>
      <c r="L229" s="61" t="str">
        <f aca="false">IF($B229="","",YEAR($B229))</f>
        <v/>
      </c>
    </row>
    <row r="230" customFormat="false" ht="15" hidden="false" customHeight="false" outlineLevel="0" collapsed="false">
      <c r="A230" s="53" t="str">
        <f aca="false">IF($B230="","",ROW()-5)</f>
        <v/>
      </c>
      <c r="B230" s="54"/>
      <c r="C230" s="33"/>
      <c r="D230" s="41"/>
      <c r="E230" s="32"/>
      <c r="F230" s="32"/>
      <c r="G230" s="43"/>
      <c r="H230" s="41"/>
      <c r="I230" s="33"/>
      <c r="J230" s="41"/>
      <c r="K230" s="25" t="str">
        <f aca="false">IF(AND($B230="",$E230="",$G230=""),"",IF(NOT(ISNUMBER($B230)),"日期无效",IF(ISNA(MATCH($C230,参数设置!$A$10:$A$12,0)),"公司无效",IF(ISNA(MATCH($E230,会计科目表!$B$6:$B$85,0)),"借方科目不存在",IF(ISNA(MATCH($F230,会计科目表!$B$6:$B$85,0)),"贷方科目不存在",IF($E230=$F230,"借贷科目相同",IF(N($G230)=0,"金额为 0",IF(YEAR($B230)&lt;&gt;参数设置!$B$5,"不在本会计年度","OK"))))))))</f>
        <v/>
      </c>
      <c r="L230" s="61" t="str">
        <f aca="false">IF($B230="","",YEAR($B230))</f>
        <v/>
      </c>
    </row>
    <row r="231" customFormat="false" ht="15" hidden="false" customHeight="false" outlineLevel="0" collapsed="false">
      <c r="A231" s="53" t="str">
        <f aca="false">IF($B231="","",ROW()-5)</f>
        <v/>
      </c>
      <c r="B231" s="54"/>
      <c r="C231" s="33"/>
      <c r="D231" s="41"/>
      <c r="E231" s="32"/>
      <c r="F231" s="32"/>
      <c r="G231" s="43"/>
      <c r="H231" s="41"/>
      <c r="I231" s="33"/>
      <c r="J231" s="41"/>
      <c r="K231" s="25" t="str">
        <f aca="false">IF(AND($B231="",$E231="",$G231=""),"",IF(NOT(ISNUMBER($B231)),"日期无效",IF(ISNA(MATCH($C231,参数设置!$A$10:$A$12,0)),"公司无效",IF(ISNA(MATCH($E231,会计科目表!$B$6:$B$85,0)),"借方科目不存在",IF(ISNA(MATCH($F231,会计科目表!$B$6:$B$85,0)),"贷方科目不存在",IF($E231=$F231,"借贷科目相同",IF(N($G231)=0,"金额为 0",IF(YEAR($B231)&lt;&gt;参数设置!$B$5,"不在本会计年度","OK"))))))))</f>
        <v/>
      </c>
      <c r="L231" s="61" t="str">
        <f aca="false">IF($B231="","",YEAR($B231))</f>
        <v/>
      </c>
    </row>
    <row r="232" customFormat="false" ht="15" hidden="false" customHeight="false" outlineLevel="0" collapsed="false">
      <c r="A232" s="53" t="str">
        <f aca="false">IF($B232="","",ROW()-5)</f>
        <v/>
      </c>
      <c r="B232" s="54"/>
      <c r="C232" s="33"/>
      <c r="D232" s="41"/>
      <c r="E232" s="32"/>
      <c r="F232" s="32"/>
      <c r="G232" s="43"/>
      <c r="H232" s="41"/>
      <c r="I232" s="33"/>
      <c r="J232" s="41"/>
      <c r="K232" s="25" t="str">
        <f aca="false">IF(AND($B232="",$E232="",$G232=""),"",IF(NOT(ISNUMBER($B232)),"日期无效",IF(ISNA(MATCH($C232,参数设置!$A$10:$A$12,0)),"公司无效",IF(ISNA(MATCH($E232,会计科目表!$B$6:$B$85,0)),"借方科目不存在",IF(ISNA(MATCH($F232,会计科目表!$B$6:$B$85,0)),"贷方科目不存在",IF($E232=$F232,"借贷科目相同",IF(N($G232)=0,"金额为 0",IF(YEAR($B232)&lt;&gt;参数设置!$B$5,"不在本会计年度","OK"))))))))</f>
        <v/>
      </c>
      <c r="L232" s="61" t="str">
        <f aca="false">IF($B232="","",YEAR($B232))</f>
        <v/>
      </c>
    </row>
    <row r="233" customFormat="false" ht="15" hidden="false" customHeight="false" outlineLevel="0" collapsed="false">
      <c r="A233" s="53" t="str">
        <f aca="false">IF($B233="","",ROW()-5)</f>
        <v/>
      </c>
      <c r="B233" s="54"/>
      <c r="C233" s="33"/>
      <c r="D233" s="41"/>
      <c r="E233" s="32"/>
      <c r="F233" s="32"/>
      <c r="G233" s="43"/>
      <c r="H233" s="41"/>
      <c r="I233" s="33"/>
      <c r="J233" s="41"/>
      <c r="K233" s="25" t="str">
        <f aca="false">IF(AND($B233="",$E233="",$G233=""),"",IF(NOT(ISNUMBER($B233)),"日期无效",IF(ISNA(MATCH($C233,参数设置!$A$10:$A$12,0)),"公司无效",IF(ISNA(MATCH($E233,会计科目表!$B$6:$B$85,0)),"借方科目不存在",IF(ISNA(MATCH($F233,会计科目表!$B$6:$B$85,0)),"贷方科目不存在",IF($E233=$F233,"借贷科目相同",IF(N($G233)=0,"金额为 0",IF(YEAR($B233)&lt;&gt;参数设置!$B$5,"不在本会计年度","OK"))))))))</f>
        <v/>
      </c>
      <c r="L233" s="61" t="str">
        <f aca="false">IF($B233="","",YEAR($B233))</f>
        <v/>
      </c>
    </row>
    <row r="234" customFormat="false" ht="15" hidden="false" customHeight="false" outlineLevel="0" collapsed="false">
      <c r="A234" s="53" t="str">
        <f aca="false">IF($B234="","",ROW()-5)</f>
        <v/>
      </c>
      <c r="B234" s="54"/>
      <c r="C234" s="33"/>
      <c r="D234" s="41"/>
      <c r="E234" s="32"/>
      <c r="F234" s="32"/>
      <c r="G234" s="43"/>
      <c r="H234" s="41"/>
      <c r="I234" s="33"/>
      <c r="J234" s="41"/>
      <c r="K234" s="25" t="str">
        <f aca="false">IF(AND($B234="",$E234="",$G234=""),"",IF(NOT(ISNUMBER($B234)),"日期无效",IF(ISNA(MATCH($C234,参数设置!$A$10:$A$12,0)),"公司无效",IF(ISNA(MATCH($E234,会计科目表!$B$6:$B$85,0)),"借方科目不存在",IF(ISNA(MATCH($F234,会计科目表!$B$6:$B$85,0)),"贷方科目不存在",IF($E234=$F234,"借贷科目相同",IF(N($G234)=0,"金额为 0",IF(YEAR($B234)&lt;&gt;参数设置!$B$5,"不在本会计年度","OK"))))))))</f>
        <v/>
      </c>
      <c r="L234" s="61" t="str">
        <f aca="false">IF($B234="","",YEAR($B234))</f>
        <v/>
      </c>
    </row>
    <row r="235" customFormat="false" ht="15" hidden="false" customHeight="false" outlineLevel="0" collapsed="false">
      <c r="A235" s="53" t="str">
        <f aca="false">IF($B235="","",ROW()-5)</f>
        <v/>
      </c>
      <c r="B235" s="54"/>
      <c r="C235" s="33"/>
      <c r="D235" s="41"/>
      <c r="E235" s="32"/>
      <c r="F235" s="32"/>
      <c r="G235" s="43"/>
      <c r="H235" s="41"/>
      <c r="I235" s="33"/>
      <c r="J235" s="41"/>
      <c r="K235" s="25" t="str">
        <f aca="false">IF(AND($B235="",$E235="",$G235=""),"",IF(NOT(ISNUMBER($B235)),"日期无效",IF(ISNA(MATCH($C235,参数设置!$A$10:$A$12,0)),"公司无效",IF(ISNA(MATCH($E235,会计科目表!$B$6:$B$85,0)),"借方科目不存在",IF(ISNA(MATCH($F235,会计科目表!$B$6:$B$85,0)),"贷方科目不存在",IF($E235=$F235,"借贷科目相同",IF(N($G235)=0,"金额为 0",IF(YEAR($B235)&lt;&gt;参数设置!$B$5,"不在本会计年度","OK"))))))))</f>
        <v/>
      </c>
      <c r="L235" s="61" t="str">
        <f aca="false">IF($B235="","",YEAR($B235))</f>
        <v/>
      </c>
    </row>
    <row r="236" customFormat="false" ht="15" hidden="false" customHeight="false" outlineLevel="0" collapsed="false">
      <c r="A236" s="53" t="str">
        <f aca="false">IF($B236="","",ROW()-5)</f>
        <v/>
      </c>
      <c r="B236" s="54"/>
      <c r="C236" s="33"/>
      <c r="D236" s="41"/>
      <c r="E236" s="32"/>
      <c r="F236" s="32"/>
      <c r="G236" s="43"/>
      <c r="H236" s="41"/>
      <c r="I236" s="33"/>
      <c r="J236" s="41"/>
      <c r="K236" s="25" t="str">
        <f aca="false">IF(AND($B236="",$E236="",$G236=""),"",IF(NOT(ISNUMBER($B236)),"日期无效",IF(ISNA(MATCH($C236,参数设置!$A$10:$A$12,0)),"公司无效",IF(ISNA(MATCH($E236,会计科目表!$B$6:$B$85,0)),"借方科目不存在",IF(ISNA(MATCH($F236,会计科目表!$B$6:$B$85,0)),"贷方科目不存在",IF($E236=$F236,"借贷科目相同",IF(N($G236)=0,"金额为 0",IF(YEAR($B236)&lt;&gt;参数设置!$B$5,"不在本会计年度","OK"))))))))</f>
        <v/>
      </c>
      <c r="L236" s="61" t="str">
        <f aca="false">IF($B236="","",YEAR($B236))</f>
        <v/>
      </c>
    </row>
    <row r="237" customFormat="false" ht="15" hidden="false" customHeight="false" outlineLevel="0" collapsed="false">
      <c r="A237" s="53" t="str">
        <f aca="false">IF($B237="","",ROW()-5)</f>
        <v/>
      </c>
      <c r="B237" s="54"/>
      <c r="C237" s="33"/>
      <c r="D237" s="41"/>
      <c r="E237" s="32"/>
      <c r="F237" s="32"/>
      <c r="G237" s="43"/>
      <c r="H237" s="41"/>
      <c r="I237" s="33"/>
      <c r="J237" s="41"/>
      <c r="K237" s="25" t="str">
        <f aca="false">IF(AND($B237="",$E237="",$G237=""),"",IF(NOT(ISNUMBER($B237)),"日期无效",IF(ISNA(MATCH($C237,参数设置!$A$10:$A$12,0)),"公司无效",IF(ISNA(MATCH($E237,会计科目表!$B$6:$B$85,0)),"借方科目不存在",IF(ISNA(MATCH($F237,会计科目表!$B$6:$B$85,0)),"贷方科目不存在",IF($E237=$F237,"借贷科目相同",IF(N($G237)=0,"金额为 0",IF(YEAR($B237)&lt;&gt;参数设置!$B$5,"不在本会计年度","OK"))))))))</f>
        <v/>
      </c>
      <c r="L237" s="61" t="str">
        <f aca="false">IF($B237="","",YEAR($B237))</f>
        <v/>
      </c>
    </row>
    <row r="238" customFormat="false" ht="15" hidden="false" customHeight="false" outlineLevel="0" collapsed="false">
      <c r="A238" s="53" t="str">
        <f aca="false">IF($B238="","",ROW()-5)</f>
        <v/>
      </c>
      <c r="B238" s="54"/>
      <c r="C238" s="33"/>
      <c r="D238" s="41"/>
      <c r="E238" s="32"/>
      <c r="F238" s="32"/>
      <c r="G238" s="43"/>
      <c r="H238" s="41"/>
      <c r="I238" s="33"/>
      <c r="J238" s="41"/>
      <c r="K238" s="25" t="str">
        <f aca="false">IF(AND($B238="",$E238="",$G238=""),"",IF(NOT(ISNUMBER($B238)),"日期无效",IF(ISNA(MATCH($C238,参数设置!$A$10:$A$12,0)),"公司无效",IF(ISNA(MATCH($E238,会计科目表!$B$6:$B$85,0)),"借方科目不存在",IF(ISNA(MATCH($F238,会计科目表!$B$6:$B$85,0)),"贷方科目不存在",IF($E238=$F238,"借贷科目相同",IF(N($G238)=0,"金额为 0",IF(YEAR($B238)&lt;&gt;参数设置!$B$5,"不在本会计年度","OK"))))))))</f>
        <v/>
      </c>
      <c r="L238" s="61" t="str">
        <f aca="false">IF($B238="","",YEAR($B238))</f>
        <v/>
      </c>
    </row>
    <row r="239" customFormat="false" ht="15" hidden="false" customHeight="false" outlineLevel="0" collapsed="false">
      <c r="A239" s="53" t="str">
        <f aca="false">IF($B239="","",ROW()-5)</f>
        <v/>
      </c>
      <c r="B239" s="54"/>
      <c r="C239" s="33"/>
      <c r="D239" s="41"/>
      <c r="E239" s="32"/>
      <c r="F239" s="32"/>
      <c r="G239" s="43"/>
      <c r="H239" s="41"/>
      <c r="I239" s="33"/>
      <c r="J239" s="41"/>
      <c r="K239" s="25" t="str">
        <f aca="false">IF(AND($B239="",$E239="",$G239=""),"",IF(NOT(ISNUMBER($B239)),"日期无效",IF(ISNA(MATCH($C239,参数设置!$A$10:$A$12,0)),"公司无效",IF(ISNA(MATCH($E239,会计科目表!$B$6:$B$85,0)),"借方科目不存在",IF(ISNA(MATCH($F239,会计科目表!$B$6:$B$85,0)),"贷方科目不存在",IF($E239=$F239,"借贷科目相同",IF(N($G239)=0,"金额为 0",IF(YEAR($B239)&lt;&gt;参数设置!$B$5,"不在本会计年度","OK"))))))))</f>
        <v/>
      </c>
      <c r="L239" s="61" t="str">
        <f aca="false">IF($B239="","",YEAR($B239))</f>
        <v/>
      </c>
    </row>
    <row r="240" customFormat="false" ht="15" hidden="false" customHeight="false" outlineLevel="0" collapsed="false">
      <c r="A240" s="53" t="str">
        <f aca="false">IF($B240="","",ROW()-5)</f>
        <v/>
      </c>
      <c r="B240" s="54"/>
      <c r="C240" s="33"/>
      <c r="D240" s="41"/>
      <c r="E240" s="32"/>
      <c r="F240" s="32"/>
      <c r="G240" s="43"/>
      <c r="H240" s="41"/>
      <c r="I240" s="33"/>
      <c r="J240" s="41"/>
      <c r="K240" s="25" t="str">
        <f aca="false">IF(AND($B240="",$E240="",$G240=""),"",IF(NOT(ISNUMBER($B240)),"日期无效",IF(ISNA(MATCH($C240,参数设置!$A$10:$A$12,0)),"公司无效",IF(ISNA(MATCH($E240,会计科目表!$B$6:$B$85,0)),"借方科目不存在",IF(ISNA(MATCH($F240,会计科目表!$B$6:$B$85,0)),"贷方科目不存在",IF($E240=$F240,"借贷科目相同",IF(N($G240)=0,"金额为 0",IF(YEAR($B240)&lt;&gt;参数设置!$B$5,"不在本会计年度","OK"))))))))</f>
        <v/>
      </c>
      <c r="L240" s="61" t="str">
        <f aca="false">IF($B240="","",YEAR($B240))</f>
        <v/>
      </c>
    </row>
    <row r="241" customFormat="false" ht="15" hidden="false" customHeight="false" outlineLevel="0" collapsed="false">
      <c r="A241" s="53" t="str">
        <f aca="false">IF($B241="","",ROW()-5)</f>
        <v/>
      </c>
      <c r="B241" s="54"/>
      <c r="C241" s="33"/>
      <c r="D241" s="41"/>
      <c r="E241" s="32"/>
      <c r="F241" s="32"/>
      <c r="G241" s="43"/>
      <c r="H241" s="41"/>
      <c r="I241" s="33"/>
      <c r="J241" s="41"/>
      <c r="K241" s="25" t="str">
        <f aca="false">IF(AND($B241="",$E241="",$G241=""),"",IF(NOT(ISNUMBER($B241)),"日期无效",IF(ISNA(MATCH($C241,参数设置!$A$10:$A$12,0)),"公司无效",IF(ISNA(MATCH($E241,会计科目表!$B$6:$B$85,0)),"借方科目不存在",IF(ISNA(MATCH($F241,会计科目表!$B$6:$B$85,0)),"贷方科目不存在",IF($E241=$F241,"借贷科目相同",IF(N($G241)=0,"金额为 0",IF(YEAR($B241)&lt;&gt;参数设置!$B$5,"不在本会计年度","OK"))))))))</f>
        <v/>
      </c>
      <c r="L241" s="61" t="str">
        <f aca="false">IF($B241="","",YEAR($B241))</f>
        <v/>
      </c>
    </row>
    <row r="242" customFormat="false" ht="15" hidden="false" customHeight="false" outlineLevel="0" collapsed="false">
      <c r="A242" s="53" t="str">
        <f aca="false">IF($B242="","",ROW()-5)</f>
        <v/>
      </c>
      <c r="B242" s="54"/>
      <c r="C242" s="33"/>
      <c r="D242" s="41"/>
      <c r="E242" s="32"/>
      <c r="F242" s="32"/>
      <c r="G242" s="43"/>
      <c r="H242" s="41"/>
      <c r="I242" s="33"/>
      <c r="J242" s="41"/>
      <c r="K242" s="25" t="str">
        <f aca="false">IF(AND($B242="",$E242="",$G242=""),"",IF(NOT(ISNUMBER($B242)),"日期无效",IF(ISNA(MATCH($C242,参数设置!$A$10:$A$12,0)),"公司无效",IF(ISNA(MATCH($E242,会计科目表!$B$6:$B$85,0)),"借方科目不存在",IF(ISNA(MATCH($F242,会计科目表!$B$6:$B$85,0)),"贷方科目不存在",IF($E242=$F242,"借贷科目相同",IF(N($G242)=0,"金额为 0",IF(YEAR($B242)&lt;&gt;参数设置!$B$5,"不在本会计年度","OK"))))))))</f>
        <v/>
      </c>
      <c r="L242" s="61" t="str">
        <f aca="false">IF($B242="","",YEAR($B242))</f>
        <v/>
      </c>
    </row>
    <row r="243" customFormat="false" ht="15" hidden="false" customHeight="false" outlineLevel="0" collapsed="false">
      <c r="A243" s="53" t="str">
        <f aca="false">IF($B243="","",ROW()-5)</f>
        <v/>
      </c>
      <c r="B243" s="54"/>
      <c r="C243" s="33"/>
      <c r="D243" s="41"/>
      <c r="E243" s="32"/>
      <c r="F243" s="32"/>
      <c r="G243" s="43"/>
      <c r="H243" s="41"/>
      <c r="I243" s="33"/>
      <c r="J243" s="41"/>
      <c r="K243" s="25" t="str">
        <f aca="false">IF(AND($B243="",$E243="",$G243=""),"",IF(NOT(ISNUMBER($B243)),"日期无效",IF(ISNA(MATCH($C243,参数设置!$A$10:$A$12,0)),"公司无效",IF(ISNA(MATCH($E243,会计科目表!$B$6:$B$85,0)),"借方科目不存在",IF(ISNA(MATCH($F243,会计科目表!$B$6:$B$85,0)),"贷方科目不存在",IF($E243=$F243,"借贷科目相同",IF(N($G243)=0,"金额为 0",IF(YEAR($B243)&lt;&gt;参数设置!$B$5,"不在本会计年度","OK"))))))))</f>
        <v/>
      </c>
      <c r="L243" s="61" t="str">
        <f aca="false">IF($B243="","",YEAR($B243))</f>
        <v/>
      </c>
    </row>
    <row r="244" customFormat="false" ht="15" hidden="false" customHeight="false" outlineLevel="0" collapsed="false">
      <c r="A244" s="53" t="str">
        <f aca="false">IF($B244="","",ROW()-5)</f>
        <v/>
      </c>
      <c r="B244" s="54"/>
      <c r="C244" s="33"/>
      <c r="D244" s="41"/>
      <c r="E244" s="32"/>
      <c r="F244" s="32"/>
      <c r="G244" s="43"/>
      <c r="H244" s="41"/>
      <c r="I244" s="33"/>
      <c r="J244" s="41"/>
      <c r="K244" s="25" t="str">
        <f aca="false">IF(AND($B244="",$E244="",$G244=""),"",IF(NOT(ISNUMBER($B244)),"日期无效",IF(ISNA(MATCH($C244,参数设置!$A$10:$A$12,0)),"公司无效",IF(ISNA(MATCH($E244,会计科目表!$B$6:$B$85,0)),"借方科目不存在",IF(ISNA(MATCH($F244,会计科目表!$B$6:$B$85,0)),"贷方科目不存在",IF($E244=$F244,"借贷科目相同",IF(N($G244)=0,"金额为 0",IF(YEAR($B244)&lt;&gt;参数设置!$B$5,"不在本会计年度","OK"))))))))</f>
        <v/>
      </c>
      <c r="L244" s="61" t="str">
        <f aca="false">IF($B244="","",YEAR($B244))</f>
        <v/>
      </c>
    </row>
    <row r="245" customFormat="false" ht="15" hidden="false" customHeight="false" outlineLevel="0" collapsed="false">
      <c r="A245" s="53" t="str">
        <f aca="false">IF($B245="","",ROW()-5)</f>
        <v/>
      </c>
      <c r="B245" s="54"/>
      <c r="C245" s="33"/>
      <c r="D245" s="41"/>
      <c r="E245" s="32"/>
      <c r="F245" s="32"/>
      <c r="G245" s="43"/>
      <c r="H245" s="41"/>
      <c r="I245" s="33"/>
      <c r="J245" s="41"/>
      <c r="K245" s="25" t="str">
        <f aca="false">IF(AND($B245="",$E245="",$G245=""),"",IF(NOT(ISNUMBER($B245)),"日期无效",IF(ISNA(MATCH($C245,参数设置!$A$10:$A$12,0)),"公司无效",IF(ISNA(MATCH($E245,会计科目表!$B$6:$B$85,0)),"借方科目不存在",IF(ISNA(MATCH($F245,会计科目表!$B$6:$B$85,0)),"贷方科目不存在",IF($E245=$F245,"借贷科目相同",IF(N($G245)=0,"金额为 0",IF(YEAR($B245)&lt;&gt;参数设置!$B$5,"不在本会计年度","OK"))))))))</f>
        <v/>
      </c>
      <c r="L245" s="61" t="str">
        <f aca="false">IF($B245="","",YEAR($B245))</f>
        <v/>
      </c>
    </row>
    <row r="246" customFormat="false" ht="15" hidden="false" customHeight="false" outlineLevel="0" collapsed="false">
      <c r="A246" s="53" t="str">
        <f aca="false">IF($B246="","",ROW()-5)</f>
        <v/>
      </c>
      <c r="B246" s="54"/>
      <c r="C246" s="33"/>
      <c r="D246" s="41"/>
      <c r="E246" s="32"/>
      <c r="F246" s="32"/>
      <c r="G246" s="43"/>
      <c r="H246" s="41"/>
      <c r="I246" s="33"/>
      <c r="J246" s="41"/>
      <c r="K246" s="25" t="str">
        <f aca="false">IF(AND($B246="",$E246="",$G246=""),"",IF(NOT(ISNUMBER($B246)),"日期无效",IF(ISNA(MATCH($C246,参数设置!$A$10:$A$12,0)),"公司无效",IF(ISNA(MATCH($E246,会计科目表!$B$6:$B$85,0)),"借方科目不存在",IF(ISNA(MATCH($F246,会计科目表!$B$6:$B$85,0)),"贷方科目不存在",IF($E246=$F246,"借贷科目相同",IF(N($G246)=0,"金额为 0",IF(YEAR($B246)&lt;&gt;参数设置!$B$5,"不在本会计年度","OK"))))))))</f>
        <v/>
      </c>
      <c r="L246" s="61" t="str">
        <f aca="false">IF($B246="","",YEAR($B246))</f>
        <v/>
      </c>
    </row>
    <row r="247" customFormat="false" ht="15" hidden="false" customHeight="false" outlineLevel="0" collapsed="false">
      <c r="A247" s="53" t="str">
        <f aca="false">IF($B247="","",ROW()-5)</f>
        <v/>
      </c>
      <c r="B247" s="54"/>
      <c r="C247" s="33"/>
      <c r="D247" s="41"/>
      <c r="E247" s="32"/>
      <c r="F247" s="32"/>
      <c r="G247" s="43"/>
      <c r="H247" s="41"/>
      <c r="I247" s="33"/>
      <c r="J247" s="41"/>
      <c r="K247" s="25" t="str">
        <f aca="false">IF(AND($B247="",$E247="",$G247=""),"",IF(NOT(ISNUMBER($B247)),"日期无效",IF(ISNA(MATCH($C247,参数设置!$A$10:$A$12,0)),"公司无效",IF(ISNA(MATCH($E247,会计科目表!$B$6:$B$85,0)),"借方科目不存在",IF(ISNA(MATCH($F247,会计科目表!$B$6:$B$85,0)),"贷方科目不存在",IF($E247=$F247,"借贷科目相同",IF(N($G247)=0,"金额为 0",IF(YEAR($B247)&lt;&gt;参数设置!$B$5,"不在本会计年度","OK"))))))))</f>
        <v/>
      </c>
      <c r="L247" s="61" t="str">
        <f aca="false">IF($B247="","",YEAR($B247))</f>
        <v/>
      </c>
    </row>
    <row r="248" customFormat="false" ht="15" hidden="false" customHeight="false" outlineLevel="0" collapsed="false">
      <c r="A248" s="53" t="str">
        <f aca="false">IF($B248="","",ROW()-5)</f>
        <v/>
      </c>
      <c r="B248" s="54"/>
      <c r="C248" s="33"/>
      <c r="D248" s="41"/>
      <c r="E248" s="32"/>
      <c r="F248" s="32"/>
      <c r="G248" s="43"/>
      <c r="H248" s="41"/>
      <c r="I248" s="33"/>
      <c r="J248" s="41"/>
      <c r="K248" s="25" t="str">
        <f aca="false">IF(AND($B248="",$E248="",$G248=""),"",IF(NOT(ISNUMBER($B248)),"日期无效",IF(ISNA(MATCH($C248,参数设置!$A$10:$A$12,0)),"公司无效",IF(ISNA(MATCH($E248,会计科目表!$B$6:$B$85,0)),"借方科目不存在",IF(ISNA(MATCH($F248,会计科目表!$B$6:$B$85,0)),"贷方科目不存在",IF($E248=$F248,"借贷科目相同",IF(N($G248)=0,"金额为 0",IF(YEAR($B248)&lt;&gt;参数设置!$B$5,"不在本会计年度","OK"))))))))</f>
        <v/>
      </c>
      <c r="L248" s="61" t="str">
        <f aca="false">IF($B248="","",YEAR($B248))</f>
        <v/>
      </c>
    </row>
    <row r="249" customFormat="false" ht="15" hidden="false" customHeight="false" outlineLevel="0" collapsed="false">
      <c r="A249" s="53" t="str">
        <f aca="false">IF($B249="","",ROW()-5)</f>
        <v/>
      </c>
      <c r="B249" s="54"/>
      <c r="C249" s="33"/>
      <c r="D249" s="41"/>
      <c r="E249" s="32"/>
      <c r="F249" s="32"/>
      <c r="G249" s="43"/>
      <c r="H249" s="41"/>
      <c r="I249" s="33"/>
      <c r="J249" s="41"/>
      <c r="K249" s="25" t="str">
        <f aca="false">IF(AND($B249="",$E249="",$G249=""),"",IF(NOT(ISNUMBER($B249)),"日期无效",IF(ISNA(MATCH($C249,参数设置!$A$10:$A$12,0)),"公司无效",IF(ISNA(MATCH($E249,会计科目表!$B$6:$B$85,0)),"借方科目不存在",IF(ISNA(MATCH($F249,会计科目表!$B$6:$B$85,0)),"贷方科目不存在",IF($E249=$F249,"借贷科目相同",IF(N($G249)=0,"金额为 0",IF(YEAR($B249)&lt;&gt;参数设置!$B$5,"不在本会计年度","OK"))))))))</f>
        <v/>
      </c>
      <c r="L249" s="61" t="str">
        <f aca="false">IF($B249="","",YEAR($B249))</f>
        <v/>
      </c>
    </row>
    <row r="250" customFormat="false" ht="15" hidden="false" customHeight="false" outlineLevel="0" collapsed="false">
      <c r="A250" s="53" t="str">
        <f aca="false">IF($B250="","",ROW()-5)</f>
        <v/>
      </c>
      <c r="B250" s="54"/>
      <c r="C250" s="33"/>
      <c r="D250" s="41"/>
      <c r="E250" s="32"/>
      <c r="F250" s="32"/>
      <c r="G250" s="43"/>
      <c r="H250" s="41"/>
      <c r="I250" s="33"/>
      <c r="J250" s="41"/>
      <c r="K250" s="25" t="str">
        <f aca="false">IF(AND($B250="",$E250="",$G250=""),"",IF(NOT(ISNUMBER($B250)),"日期无效",IF(ISNA(MATCH($C250,参数设置!$A$10:$A$12,0)),"公司无效",IF(ISNA(MATCH($E250,会计科目表!$B$6:$B$85,0)),"借方科目不存在",IF(ISNA(MATCH($F250,会计科目表!$B$6:$B$85,0)),"贷方科目不存在",IF($E250=$F250,"借贷科目相同",IF(N($G250)=0,"金额为 0",IF(YEAR($B250)&lt;&gt;参数设置!$B$5,"不在本会计年度","OK"))))))))</f>
        <v/>
      </c>
      <c r="L250" s="61" t="str">
        <f aca="false">IF($B250="","",YEAR($B250))</f>
        <v/>
      </c>
    </row>
    <row r="251" customFormat="false" ht="15" hidden="false" customHeight="false" outlineLevel="0" collapsed="false">
      <c r="A251" s="53" t="str">
        <f aca="false">IF($B251="","",ROW()-5)</f>
        <v/>
      </c>
      <c r="B251" s="54"/>
      <c r="C251" s="33"/>
      <c r="D251" s="41"/>
      <c r="E251" s="32"/>
      <c r="F251" s="32"/>
      <c r="G251" s="43"/>
      <c r="H251" s="41"/>
      <c r="I251" s="33"/>
      <c r="J251" s="41"/>
      <c r="K251" s="25" t="str">
        <f aca="false">IF(AND($B251="",$E251="",$G251=""),"",IF(NOT(ISNUMBER($B251)),"日期无效",IF(ISNA(MATCH($C251,参数设置!$A$10:$A$12,0)),"公司无效",IF(ISNA(MATCH($E251,会计科目表!$B$6:$B$85,0)),"借方科目不存在",IF(ISNA(MATCH($F251,会计科目表!$B$6:$B$85,0)),"贷方科目不存在",IF($E251=$F251,"借贷科目相同",IF(N($G251)=0,"金额为 0",IF(YEAR($B251)&lt;&gt;参数设置!$B$5,"不在本会计年度","OK"))))))))</f>
        <v/>
      </c>
      <c r="L251" s="61" t="str">
        <f aca="false">IF($B251="","",YEAR($B251))</f>
        <v/>
      </c>
    </row>
    <row r="252" customFormat="false" ht="15" hidden="false" customHeight="false" outlineLevel="0" collapsed="false">
      <c r="A252" s="53" t="str">
        <f aca="false">IF($B252="","",ROW()-5)</f>
        <v/>
      </c>
      <c r="B252" s="54"/>
      <c r="C252" s="33"/>
      <c r="D252" s="41"/>
      <c r="E252" s="32"/>
      <c r="F252" s="32"/>
      <c r="G252" s="43"/>
      <c r="H252" s="41"/>
      <c r="I252" s="33"/>
      <c r="J252" s="41"/>
      <c r="K252" s="25" t="str">
        <f aca="false">IF(AND($B252="",$E252="",$G252=""),"",IF(NOT(ISNUMBER($B252)),"日期无效",IF(ISNA(MATCH($C252,参数设置!$A$10:$A$12,0)),"公司无效",IF(ISNA(MATCH($E252,会计科目表!$B$6:$B$85,0)),"借方科目不存在",IF(ISNA(MATCH($F252,会计科目表!$B$6:$B$85,0)),"贷方科目不存在",IF($E252=$F252,"借贷科目相同",IF(N($G252)=0,"金额为 0",IF(YEAR($B252)&lt;&gt;参数设置!$B$5,"不在本会计年度","OK"))))))))</f>
        <v/>
      </c>
      <c r="L252" s="61" t="str">
        <f aca="false">IF($B252="","",YEAR($B252))</f>
        <v/>
      </c>
    </row>
    <row r="253" customFormat="false" ht="15" hidden="false" customHeight="false" outlineLevel="0" collapsed="false">
      <c r="A253" s="53" t="str">
        <f aca="false">IF($B253="","",ROW()-5)</f>
        <v/>
      </c>
      <c r="B253" s="54"/>
      <c r="C253" s="33"/>
      <c r="D253" s="41"/>
      <c r="E253" s="32"/>
      <c r="F253" s="32"/>
      <c r="G253" s="43"/>
      <c r="H253" s="41"/>
      <c r="I253" s="33"/>
      <c r="J253" s="41"/>
      <c r="K253" s="25" t="str">
        <f aca="false">IF(AND($B253="",$E253="",$G253=""),"",IF(NOT(ISNUMBER($B253)),"日期无效",IF(ISNA(MATCH($C253,参数设置!$A$10:$A$12,0)),"公司无效",IF(ISNA(MATCH($E253,会计科目表!$B$6:$B$85,0)),"借方科目不存在",IF(ISNA(MATCH($F253,会计科目表!$B$6:$B$85,0)),"贷方科目不存在",IF($E253=$F253,"借贷科目相同",IF(N($G253)=0,"金额为 0",IF(YEAR($B253)&lt;&gt;参数设置!$B$5,"不在本会计年度","OK"))))))))</f>
        <v/>
      </c>
      <c r="L253" s="61" t="str">
        <f aca="false">IF($B253="","",YEAR($B253))</f>
        <v/>
      </c>
    </row>
    <row r="254" customFormat="false" ht="15" hidden="false" customHeight="false" outlineLevel="0" collapsed="false">
      <c r="A254" s="53" t="str">
        <f aca="false">IF($B254="","",ROW()-5)</f>
        <v/>
      </c>
      <c r="B254" s="54"/>
      <c r="C254" s="33"/>
      <c r="D254" s="41"/>
      <c r="E254" s="32"/>
      <c r="F254" s="32"/>
      <c r="G254" s="43"/>
      <c r="H254" s="41"/>
      <c r="I254" s="33"/>
      <c r="J254" s="41"/>
      <c r="K254" s="25" t="str">
        <f aca="false">IF(AND($B254="",$E254="",$G254=""),"",IF(NOT(ISNUMBER($B254)),"日期无效",IF(ISNA(MATCH($C254,参数设置!$A$10:$A$12,0)),"公司无效",IF(ISNA(MATCH($E254,会计科目表!$B$6:$B$85,0)),"借方科目不存在",IF(ISNA(MATCH($F254,会计科目表!$B$6:$B$85,0)),"贷方科目不存在",IF($E254=$F254,"借贷科目相同",IF(N($G254)=0,"金额为 0",IF(YEAR($B254)&lt;&gt;参数设置!$B$5,"不在本会计年度","OK"))))))))</f>
        <v/>
      </c>
      <c r="L254" s="61" t="str">
        <f aca="false">IF($B254="","",YEAR($B254))</f>
        <v/>
      </c>
    </row>
    <row r="255" customFormat="false" ht="15" hidden="false" customHeight="false" outlineLevel="0" collapsed="false">
      <c r="A255" s="53" t="str">
        <f aca="false">IF($B255="","",ROW()-5)</f>
        <v/>
      </c>
      <c r="B255" s="54"/>
      <c r="C255" s="33"/>
      <c r="D255" s="41"/>
      <c r="E255" s="32"/>
      <c r="F255" s="32"/>
      <c r="G255" s="43"/>
      <c r="H255" s="41"/>
      <c r="I255" s="33"/>
      <c r="J255" s="41"/>
      <c r="K255" s="25" t="str">
        <f aca="false">IF(AND($B255="",$E255="",$G255=""),"",IF(NOT(ISNUMBER($B255)),"日期无效",IF(ISNA(MATCH($C255,参数设置!$A$10:$A$12,0)),"公司无效",IF(ISNA(MATCH($E255,会计科目表!$B$6:$B$85,0)),"借方科目不存在",IF(ISNA(MATCH($F255,会计科目表!$B$6:$B$85,0)),"贷方科目不存在",IF($E255=$F255,"借贷科目相同",IF(N($G255)=0,"金额为 0",IF(YEAR($B255)&lt;&gt;参数设置!$B$5,"不在本会计年度","OK"))))))))</f>
        <v/>
      </c>
      <c r="L255" s="61" t="str">
        <f aca="false">IF($B255="","",YEAR($B255))</f>
        <v/>
      </c>
    </row>
  </sheetData>
  <mergeCells count="2">
    <mergeCell ref="A1:L1"/>
    <mergeCell ref="A2:L2"/>
  </mergeCells>
  <conditionalFormatting sqref="K6:K255">
    <cfRule type="expression" priority="2" aboveAverage="0" equalAverage="0" bottom="0" percent="0" rank="0" text="" dxfId="0">
      <formula>AND($K6&lt;&gt;"",$K6&lt;&gt;"OK")</formula>
    </cfRule>
  </conditionalFormatting>
  <dataValidations count="5">
    <dataValidation allowBlank="true" error="必须选择下拉中已维护的值，手工输入会导致取数错位" errorStyle="stop" errorTitle="请从下拉中选择" operator="between" showDropDown="false" showErrorMessage="true" showInputMessage="false" sqref="C6:C255" type="list">
      <formula1>"农业,木业,科技"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25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6:F255" type="list">
      <formula1>会计科目表!$B$6:$B$85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6:H255" type="list">
      <formula1>往来单位!$A$6:$A$85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6:I255" type="list">
      <formula1>参数设置!$A$16:$A$75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BFBFBF"/>
    <pageSetUpPr fitToPage="true"/>
  </sheetPr>
  <dimension ref="A1:P5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30"/>
    <col collapsed="false" customWidth="true" hidden="false" outlineLevel="0" max="8" min="8" style="0" width="2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true" outlineLevel="0" max="12" min="12" style="0" width="13"/>
    <col collapsed="false" customWidth="true" hidden="true" outlineLevel="0" max="13" min="13" style="0" width="7"/>
    <col collapsed="false" customWidth="true" hidden="true" outlineLevel="0" max="14" min="14" style="0" width="12"/>
    <col collapsed="false" customWidth="true" hidden="true" outlineLevel="0" max="15" min="15" style="0" width="13"/>
    <col collapsed="false" customWidth="true" hidden="false" outlineLevel="0" max="16" min="16" style="0" width="6"/>
  </cols>
  <sheetData>
    <row r="1" customFormat="false" ht="25.5" hidden="false" customHeight="true" outlineLevel="0" collapsed="false">
      <c r="A1" s="1" t="s">
        <v>721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30" hidden="false" customHeight="true" outlineLevel="0" collapsed="false">
      <c r="A5" s="8" t="s">
        <v>560</v>
      </c>
      <c r="B5" s="8" t="s">
        <v>723</v>
      </c>
      <c r="C5" s="8" t="s">
        <v>724</v>
      </c>
      <c r="D5" s="8" t="s">
        <v>725</v>
      </c>
      <c r="E5" s="8" t="s">
        <v>561</v>
      </c>
      <c r="F5" s="8" t="s">
        <v>544</v>
      </c>
      <c r="G5" s="8" t="s">
        <v>566</v>
      </c>
      <c r="H5" s="8" t="s">
        <v>170</v>
      </c>
      <c r="I5" s="8" t="s">
        <v>726</v>
      </c>
      <c r="J5" s="8" t="s">
        <v>727</v>
      </c>
      <c r="K5" s="8" t="s">
        <v>41</v>
      </c>
      <c r="L5" s="8" t="s">
        <v>728</v>
      </c>
      <c r="M5" s="8" t="s">
        <v>729</v>
      </c>
      <c r="N5" s="8" t="s">
        <v>730</v>
      </c>
      <c r="O5" s="8" t="s">
        <v>285</v>
      </c>
      <c r="P5" s="8" t="s">
        <v>731</v>
      </c>
    </row>
    <row r="6" customFormat="false" ht="15" hidden="false" customHeight="false" outlineLevel="0" collapsed="false">
      <c r="A6" s="53" t="n">
        <f aca="false">IF($H6="","",ROW()-5)</f>
        <v>1</v>
      </c>
      <c r="B6" s="64" t="s">
        <v>36</v>
      </c>
      <c r="C6" s="53" t="n">
        <v>6</v>
      </c>
      <c r="D6" s="53" t="n">
        <v>1</v>
      </c>
      <c r="E6" s="65" t="n">
        <f aca="false">IF($H6="","",购销流水!$B6)</f>
        <v>46063</v>
      </c>
      <c r="F6" s="55" t="str">
        <f aca="false">IF($H6="","",购销流水!$C6)</f>
        <v>农业</v>
      </c>
      <c r="G6" s="48" t="str">
        <f aca="false">IF($H6="","",购销流水!$N6)</f>
        <v>春季复合肥</v>
      </c>
      <c r="H6" s="10" t="str">
        <f aca="false">IF($L6="","",IF($L6="@成本",购销流水!$U6,IF($L6="@收入",购销流水!$T6,IF($L6="@存货",购销流水!$S6,IF($L6="@结算",购销流水!$R6,$L6)))))</f>
        <v>应付账款</v>
      </c>
      <c r="I6" s="42" t="n">
        <f aca="false">IF($M6="借",$O6,0)</f>
        <v>0</v>
      </c>
      <c r="J6" s="42" t="n">
        <f aca="false">IF($M6="贷",$O6,0)</f>
        <v>9200</v>
      </c>
      <c r="K6" s="48" t="str">
        <f aca="false">IF($H6="","",购销流水!$E6)</f>
        <v>县农资公司</v>
      </c>
      <c r="L6" s="66" t="str">
        <f aca="false">IF(购销流水!$D6="","",IFERROR(INDEX(记账规则!$A$6:$N$9,MATCH(购销流水!$D6,记账规则!$A$6:$A$9,0),3),""))</f>
        <v>@结算</v>
      </c>
      <c r="M6" s="66" t="str">
        <f aca="false">IF($L6="","",IFERROR(INDEX(记账规则!$A$6:$N$9,MATCH(购销流水!$D6,记账规则!$A$6:$A$9,0),4),""))</f>
        <v>贷</v>
      </c>
      <c r="N6" s="66" t="str">
        <f aca="false">IF($L6="","",IFERROR(INDEX(记账规则!$A$6:$N$9,MATCH(购销流水!$D6,记账规则!$A$6:$A$9,0),5),""))</f>
        <v>金额</v>
      </c>
      <c r="O6" s="67" t="n">
        <f aca="false">IF($H6="",0,ROUND(IF($N6="成本金额",N(购销流水!$W6),IF($N6="金额",N(购销流水!$Q6),0)),2))</f>
        <v>9200</v>
      </c>
      <c r="P6" s="64" t="str">
        <f aca="false">IF(AND($H6&lt;&gt;"",ROUND($O6,2)&lt;&gt;0),"有","")</f>
        <v>有</v>
      </c>
    </row>
    <row r="7" customFormat="false" ht="15" hidden="false" customHeight="false" outlineLevel="0" collapsed="false">
      <c r="A7" s="53" t="n">
        <f aca="false">IF($H7="","",ROW()-5)</f>
        <v>2</v>
      </c>
      <c r="B7" s="64" t="s">
        <v>36</v>
      </c>
      <c r="C7" s="53" t="n">
        <v>6</v>
      </c>
      <c r="D7" s="53" t="n">
        <v>2</v>
      </c>
      <c r="E7" s="65" t="n">
        <f aca="false">IF($H7="","",购销流水!$B6)</f>
        <v>46063</v>
      </c>
      <c r="F7" s="55" t="str">
        <f aca="false">IF($H7="","",购销流水!$C6)</f>
        <v>农业</v>
      </c>
      <c r="G7" s="48" t="str">
        <f aca="false">IF($H7="","",购销流水!$N6)</f>
        <v>春季复合肥</v>
      </c>
      <c r="H7" s="10" t="str">
        <f aca="false">IF($L7="","",IF($L7="@成本",购销流水!$U6,IF($L7="@收入",购销流水!$T6,IF($L7="@存货",购销流水!$S6,IF($L7="@结算",购销流水!$R6,$L7)))))</f>
        <v>原材料</v>
      </c>
      <c r="I7" s="42" t="n">
        <f aca="false">IF($M7="借",$O7,0)</f>
        <v>9200</v>
      </c>
      <c r="J7" s="42" t="n">
        <f aca="false">IF($M7="贷",$O7,0)</f>
        <v>0</v>
      </c>
      <c r="K7" s="48" t="str">
        <f aca="false">IF($H7="","",购销流水!$E6)</f>
        <v>县农资公司</v>
      </c>
      <c r="L7" s="66" t="str">
        <f aca="false">IF(购销流水!$D6="","",IFERROR(INDEX(记账规则!$A$6:$N$9,MATCH(购销流水!$D6,记账规则!$A$6:$A$9,0),6),""))</f>
        <v>@存货</v>
      </c>
      <c r="M7" s="66" t="str">
        <f aca="false">IF($L7="","",IFERROR(INDEX(记账规则!$A$6:$N$9,MATCH(购销流水!$D6,记账规则!$A$6:$A$9,0),7),""))</f>
        <v>借</v>
      </c>
      <c r="N7" s="66" t="str">
        <f aca="false">IF($L7="","",IFERROR(INDEX(记账规则!$A$6:$N$9,MATCH(购销流水!$D6,记账规则!$A$6:$A$9,0),8),""))</f>
        <v>金额</v>
      </c>
      <c r="O7" s="67" t="n">
        <f aca="false">IF($H7="",0,ROUND(IF($N7="成本金额",N(购销流水!$W6),IF($N7="金额",N(购销流水!$Q6),0)),2))</f>
        <v>9200</v>
      </c>
      <c r="P7" s="64" t="str">
        <f aca="false">IF(AND($H7&lt;&gt;"",ROUND($O7,2)&lt;&gt;0),"有","")</f>
        <v>有</v>
      </c>
    </row>
    <row r="8" customFormat="false" ht="15" hidden="true" customHeight="false" outlineLevel="0" collapsed="false">
      <c r="A8" s="53" t="str">
        <f aca="false">IF($H8="","",ROW()-5)</f>
        <v/>
      </c>
      <c r="B8" s="64" t="s">
        <v>36</v>
      </c>
      <c r="C8" s="53" t="n">
        <v>6</v>
      </c>
      <c r="D8" s="53" t="n">
        <v>3</v>
      </c>
      <c r="E8" s="65" t="str">
        <f aca="false">IF($H8="","",购销流水!$B6)</f>
        <v/>
      </c>
      <c r="F8" s="55" t="str">
        <f aca="false">IF($H8="","",购销流水!$C6)</f>
        <v/>
      </c>
      <c r="G8" s="48" t="str">
        <f aca="false">IF($H8="","",购销流水!$N6)</f>
        <v/>
      </c>
      <c r="H8" s="10" t="str">
        <f aca="false">IF($L8="","",IF($L8="@成本",购销流水!$U6,IF($L8="@收入",购销流水!$T6,IF($L8="@存货",购销流水!$S6,IF($L8="@结算",购销流水!$R6,$L8)))))</f>
        <v/>
      </c>
      <c r="I8" s="42" t="n">
        <f aca="false">IF($M8="借",$O8,0)</f>
        <v>0</v>
      </c>
      <c r="J8" s="42" t="n">
        <f aca="false">IF($M8="贷",$O8,0)</f>
        <v>0</v>
      </c>
      <c r="K8" s="48" t="str">
        <f aca="false">IF($H8="","",购销流水!$E6)</f>
        <v/>
      </c>
      <c r="L8" s="66" t="n">
        <f aca="false">IF(购销流水!$D6="","",IFERROR(INDEX(记账规则!$A$6:$N$9,MATCH(购销流水!$D6,记账规则!$A$6:$A$9,0),9),""))</f>
        <v>0</v>
      </c>
      <c r="M8" s="66" t="str">
        <f aca="false">IF($L8="","",IFERROR(INDEX(记账规则!$A$6:$N$9,MATCH(购销流水!$D6,记账规则!$A$6:$A$9,0),10),""))</f>
        <v/>
      </c>
      <c r="N8" s="66" t="str">
        <f aca="false">IF($L8="","",IFERROR(INDEX(记账规则!$A$6:$N$9,MATCH(购销流水!$D6,记账规则!$A$6:$A$9,0),11),""))</f>
        <v/>
      </c>
      <c r="O8" s="67" t="n">
        <f aca="false">IF($H8="",0,ROUND(IF($N8="成本金额",N(购销流水!$W6),IF($N8="金额",N(购销流水!$Q6),0)),2))</f>
        <v>0</v>
      </c>
      <c r="P8" s="64" t="str">
        <f aca="false">IF(AND($H8&lt;&gt;"",ROUND($O8,2)&lt;&gt;0),"有","")</f>
        <v/>
      </c>
    </row>
    <row r="9" customFormat="false" ht="15" hidden="true" customHeight="false" outlineLevel="0" collapsed="false">
      <c r="A9" s="53" t="str">
        <f aca="false">IF($H9="","",ROW()-5)</f>
        <v/>
      </c>
      <c r="B9" s="64" t="s">
        <v>36</v>
      </c>
      <c r="C9" s="53" t="n">
        <v>6</v>
      </c>
      <c r="D9" s="53" t="n">
        <v>4</v>
      </c>
      <c r="E9" s="65" t="str">
        <f aca="false">IF($H9="","",购销流水!$B6)</f>
        <v/>
      </c>
      <c r="F9" s="55" t="str">
        <f aca="false">IF($H9="","",购销流水!$C6)</f>
        <v/>
      </c>
      <c r="G9" s="48" t="str">
        <f aca="false">IF($H9="","",购销流水!$N6)</f>
        <v/>
      </c>
      <c r="H9" s="10" t="str">
        <f aca="false">IF($L9="","",IF($L9="@成本",购销流水!$U6,IF($L9="@收入",购销流水!$T6,IF($L9="@存货",购销流水!$S6,IF($L9="@结算",购销流水!$R6,$L9)))))</f>
        <v/>
      </c>
      <c r="I9" s="42" t="n">
        <f aca="false">IF($M9="借",$O9,0)</f>
        <v>0</v>
      </c>
      <c r="J9" s="42" t="n">
        <f aca="false">IF($M9="贷",$O9,0)</f>
        <v>0</v>
      </c>
      <c r="K9" s="48" t="str">
        <f aca="false">IF($H9="","",购销流水!$E6)</f>
        <v/>
      </c>
      <c r="L9" s="66" t="n">
        <f aca="false">IF(购销流水!$D6="","",IFERROR(INDEX(记账规则!$A$6:$N$9,MATCH(购销流水!$D6,记账规则!$A$6:$A$9,0),12),""))</f>
        <v>0</v>
      </c>
      <c r="M9" s="66" t="str">
        <f aca="false">IF($L9="","",IFERROR(INDEX(记账规则!$A$6:$N$9,MATCH(购销流水!$D6,记账规则!$A$6:$A$9,0),13),""))</f>
        <v/>
      </c>
      <c r="N9" s="66" t="str">
        <f aca="false">IF($L9="","",IFERROR(INDEX(记账规则!$A$6:$N$9,MATCH(购销流水!$D6,记账规则!$A$6:$A$9,0),14),""))</f>
        <v/>
      </c>
      <c r="O9" s="67" t="n">
        <f aca="false">IF($H9="",0,ROUND(IF($N9="成本金额",N(购销流水!$W6),IF($N9="金额",N(购销流水!$Q6),0)),2))</f>
        <v>0</v>
      </c>
      <c r="P9" s="64" t="str">
        <f aca="false">IF(AND($H9&lt;&gt;"",ROUND($O9,2)&lt;&gt;0),"有","")</f>
        <v/>
      </c>
    </row>
    <row r="10" customFormat="false" ht="15" hidden="false" customHeight="false" outlineLevel="0" collapsed="false">
      <c r="A10" s="53" t="n">
        <f aca="false">IF($H10="","",ROW()-5)</f>
        <v>5</v>
      </c>
      <c r="B10" s="64" t="s">
        <v>36</v>
      </c>
      <c r="C10" s="53" t="n">
        <v>7</v>
      </c>
      <c r="D10" s="53" t="n">
        <v>1</v>
      </c>
      <c r="E10" s="65" t="n">
        <f aca="false">IF($H10="","",购销流水!$B7)</f>
        <v>46086</v>
      </c>
      <c r="F10" s="55" t="str">
        <f aca="false">IF($H10="","",购销流水!$C7)</f>
        <v>农业</v>
      </c>
      <c r="G10" s="48" t="str">
        <f aca="false">IF($H10="","",购销流水!$N7)</f>
        <v>杉木苗</v>
      </c>
      <c r="H10" s="10" t="str">
        <f aca="false">IF($L10="","",IF($L10="@成本",购销流水!$U7,IF($L10="@收入",购销流水!$T7,IF($L10="@存货",购销流水!$S7,IF($L10="@结算",购销流水!$R7,$L10)))))</f>
        <v>应付账款</v>
      </c>
      <c r="I10" s="42" t="n">
        <f aca="false">IF($M10="借",$O10,0)</f>
        <v>0</v>
      </c>
      <c r="J10" s="42" t="n">
        <f aca="false">IF($M10="贷",$O10,0)</f>
        <v>7800</v>
      </c>
      <c r="K10" s="48" t="str">
        <f aca="false">IF($H10="","",购销流水!$E7)</f>
        <v>林业苗圃</v>
      </c>
      <c r="L10" s="66" t="str">
        <f aca="false">IF(购销流水!$D7="","",IFERROR(INDEX(记账规则!$A$6:$N$9,MATCH(购销流水!$D7,记账规则!$A$6:$A$9,0),3),""))</f>
        <v>@结算</v>
      </c>
      <c r="M10" s="66" t="str">
        <f aca="false">IF($L10="","",IFERROR(INDEX(记账规则!$A$6:$N$9,MATCH(购销流水!$D7,记账规则!$A$6:$A$9,0),4),""))</f>
        <v>贷</v>
      </c>
      <c r="N10" s="66" t="str">
        <f aca="false">IF($L10="","",IFERROR(INDEX(记账规则!$A$6:$N$9,MATCH(购销流水!$D7,记账规则!$A$6:$A$9,0),5),""))</f>
        <v>金额</v>
      </c>
      <c r="O10" s="67" t="n">
        <f aca="false">IF($H10="",0,ROUND(IF($N10="成本金额",N(购销流水!$W7),IF($N10="金额",N(购销流水!$Q7),0)),2))</f>
        <v>7800</v>
      </c>
      <c r="P10" s="64" t="str">
        <f aca="false">IF(AND($H10&lt;&gt;"",ROUND($O10,2)&lt;&gt;0),"有","")</f>
        <v>有</v>
      </c>
    </row>
    <row r="11" customFormat="false" ht="15" hidden="false" customHeight="false" outlineLevel="0" collapsed="false">
      <c r="A11" s="53" t="n">
        <f aca="false">IF($H11="","",ROW()-5)</f>
        <v>6</v>
      </c>
      <c r="B11" s="64" t="s">
        <v>36</v>
      </c>
      <c r="C11" s="53" t="n">
        <v>7</v>
      </c>
      <c r="D11" s="53" t="n">
        <v>2</v>
      </c>
      <c r="E11" s="65" t="n">
        <f aca="false">IF($H11="","",购销流水!$B7)</f>
        <v>46086</v>
      </c>
      <c r="F11" s="55" t="str">
        <f aca="false">IF($H11="","",购销流水!$C7)</f>
        <v>农业</v>
      </c>
      <c r="G11" s="48" t="str">
        <f aca="false">IF($H11="","",购销流水!$N7)</f>
        <v>杉木苗</v>
      </c>
      <c r="H11" s="10" t="str">
        <f aca="false">IF($L11="","",IF($L11="@成本",购销流水!$U7,IF($L11="@收入",购销流水!$T7,IF($L11="@存货",购销流水!$S7,IF($L11="@结算",购销流水!$R7,$L11)))))</f>
        <v>原材料</v>
      </c>
      <c r="I11" s="42" t="n">
        <f aca="false">IF($M11="借",$O11,0)</f>
        <v>7800</v>
      </c>
      <c r="J11" s="42" t="n">
        <f aca="false">IF($M11="贷",$O11,0)</f>
        <v>0</v>
      </c>
      <c r="K11" s="48" t="str">
        <f aca="false">IF($H11="","",购销流水!$E7)</f>
        <v>林业苗圃</v>
      </c>
      <c r="L11" s="66" t="str">
        <f aca="false">IF(购销流水!$D7="","",IFERROR(INDEX(记账规则!$A$6:$N$9,MATCH(购销流水!$D7,记账规则!$A$6:$A$9,0),6),""))</f>
        <v>@存货</v>
      </c>
      <c r="M11" s="66" t="str">
        <f aca="false">IF($L11="","",IFERROR(INDEX(记账规则!$A$6:$N$9,MATCH(购销流水!$D7,记账规则!$A$6:$A$9,0),7),""))</f>
        <v>借</v>
      </c>
      <c r="N11" s="66" t="str">
        <f aca="false">IF($L11="","",IFERROR(INDEX(记账规则!$A$6:$N$9,MATCH(购销流水!$D7,记账规则!$A$6:$A$9,0),8),""))</f>
        <v>金额</v>
      </c>
      <c r="O11" s="67" t="n">
        <f aca="false">IF($H11="",0,ROUND(IF($N11="成本金额",N(购销流水!$W7),IF($N11="金额",N(购销流水!$Q7),0)),2))</f>
        <v>7800</v>
      </c>
      <c r="P11" s="64" t="str">
        <f aca="false">IF(AND($H11&lt;&gt;"",ROUND($O11,2)&lt;&gt;0),"有","")</f>
        <v>有</v>
      </c>
    </row>
    <row r="12" customFormat="false" ht="15" hidden="true" customHeight="false" outlineLevel="0" collapsed="false">
      <c r="A12" s="53" t="str">
        <f aca="false">IF($H12="","",ROW()-5)</f>
        <v/>
      </c>
      <c r="B12" s="64" t="s">
        <v>36</v>
      </c>
      <c r="C12" s="53" t="n">
        <v>7</v>
      </c>
      <c r="D12" s="53" t="n">
        <v>3</v>
      </c>
      <c r="E12" s="65" t="str">
        <f aca="false">IF($H12="","",购销流水!$B7)</f>
        <v/>
      </c>
      <c r="F12" s="55" t="str">
        <f aca="false">IF($H12="","",购销流水!$C7)</f>
        <v/>
      </c>
      <c r="G12" s="48" t="str">
        <f aca="false">IF($H12="","",购销流水!$N7)</f>
        <v/>
      </c>
      <c r="H12" s="10" t="str">
        <f aca="false">IF($L12="","",IF($L12="@成本",购销流水!$U7,IF($L12="@收入",购销流水!$T7,IF($L12="@存货",购销流水!$S7,IF($L12="@结算",购销流水!$R7,$L12)))))</f>
        <v/>
      </c>
      <c r="I12" s="42" t="n">
        <f aca="false">IF($M12="借",$O12,0)</f>
        <v>0</v>
      </c>
      <c r="J12" s="42" t="n">
        <f aca="false">IF($M12="贷",$O12,0)</f>
        <v>0</v>
      </c>
      <c r="K12" s="48" t="str">
        <f aca="false">IF($H12="","",购销流水!$E7)</f>
        <v/>
      </c>
      <c r="L12" s="66" t="n">
        <f aca="false">IF(购销流水!$D7="","",IFERROR(INDEX(记账规则!$A$6:$N$9,MATCH(购销流水!$D7,记账规则!$A$6:$A$9,0),9),""))</f>
        <v>0</v>
      </c>
      <c r="M12" s="66" t="str">
        <f aca="false">IF($L12="","",IFERROR(INDEX(记账规则!$A$6:$N$9,MATCH(购销流水!$D7,记账规则!$A$6:$A$9,0),10),""))</f>
        <v/>
      </c>
      <c r="N12" s="66" t="str">
        <f aca="false">IF($L12="","",IFERROR(INDEX(记账规则!$A$6:$N$9,MATCH(购销流水!$D7,记账规则!$A$6:$A$9,0),11),""))</f>
        <v/>
      </c>
      <c r="O12" s="67" t="n">
        <f aca="false">IF($H12="",0,ROUND(IF($N12="成本金额",N(购销流水!$W7),IF($N12="金额",N(购销流水!$Q7),0)),2))</f>
        <v>0</v>
      </c>
      <c r="P12" s="64" t="str">
        <f aca="false">IF(AND($H12&lt;&gt;"",ROUND($O12,2)&lt;&gt;0),"有","")</f>
        <v/>
      </c>
    </row>
    <row r="13" customFormat="false" ht="15" hidden="true" customHeight="false" outlineLevel="0" collapsed="false">
      <c r="A13" s="53" t="str">
        <f aca="false">IF($H13="","",ROW()-5)</f>
        <v/>
      </c>
      <c r="B13" s="64" t="s">
        <v>36</v>
      </c>
      <c r="C13" s="53" t="n">
        <v>7</v>
      </c>
      <c r="D13" s="53" t="n">
        <v>4</v>
      </c>
      <c r="E13" s="65" t="str">
        <f aca="false">IF($H13="","",购销流水!$B7)</f>
        <v/>
      </c>
      <c r="F13" s="55" t="str">
        <f aca="false">IF($H13="","",购销流水!$C7)</f>
        <v/>
      </c>
      <c r="G13" s="48" t="str">
        <f aca="false">IF($H13="","",购销流水!$N7)</f>
        <v/>
      </c>
      <c r="H13" s="10" t="str">
        <f aca="false">IF($L13="","",IF($L13="@成本",购销流水!$U7,IF($L13="@收入",购销流水!$T7,IF($L13="@存货",购销流水!$S7,IF($L13="@结算",购销流水!$R7,$L13)))))</f>
        <v/>
      </c>
      <c r="I13" s="42" t="n">
        <f aca="false">IF($M13="借",$O13,0)</f>
        <v>0</v>
      </c>
      <c r="J13" s="42" t="n">
        <f aca="false">IF($M13="贷",$O13,0)</f>
        <v>0</v>
      </c>
      <c r="K13" s="48" t="str">
        <f aca="false">IF($H13="","",购销流水!$E7)</f>
        <v/>
      </c>
      <c r="L13" s="66" t="n">
        <f aca="false">IF(购销流水!$D7="","",IFERROR(INDEX(记账规则!$A$6:$N$9,MATCH(购销流水!$D7,记账规则!$A$6:$A$9,0),12),""))</f>
        <v>0</v>
      </c>
      <c r="M13" s="66" t="str">
        <f aca="false">IF($L13="","",IFERROR(INDEX(记账规则!$A$6:$N$9,MATCH(购销流水!$D7,记账规则!$A$6:$A$9,0),13),""))</f>
        <v/>
      </c>
      <c r="N13" s="66" t="str">
        <f aca="false">IF($L13="","",IFERROR(INDEX(记账规则!$A$6:$N$9,MATCH(购销流水!$D7,记账规则!$A$6:$A$9,0),14),""))</f>
        <v/>
      </c>
      <c r="O13" s="67" t="n">
        <f aca="false">IF($H13="",0,ROUND(IF($N13="成本金额",N(购销流水!$W7),IF($N13="金额",N(购销流水!$Q7),0)),2))</f>
        <v>0</v>
      </c>
      <c r="P13" s="64" t="str">
        <f aca="false">IF(AND($H13&lt;&gt;"",ROUND($O13,2)&lt;&gt;0),"有","")</f>
        <v/>
      </c>
    </row>
    <row r="14" customFormat="false" ht="15" hidden="false" customHeight="false" outlineLevel="0" collapsed="false">
      <c r="A14" s="53" t="n">
        <f aca="false">IF($H14="","",ROW()-5)</f>
        <v>9</v>
      </c>
      <c r="B14" s="64" t="s">
        <v>36</v>
      </c>
      <c r="C14" s="53" t="n">
        <v>8</v>
      </c>
      <c r="D14" s="53" t="n">
        <v>1</v>
      </c>
      <c r="E14" s="65" t="n">
        <f aca="false">IF($H14="","",购销流水!$B8)</f>
        <v>46193</v>
      </c>
      <c r="F14" s="55" t="str">
        <f aca="false">IF($H14="","",购销流水!$C8)</f>
        <v>农业</v>
      </c>
      <c r="G14" s="48" t="str">
        <f aca="false">IF($H14="","",购销流水!$N8)</f>
        <v>销售原木（内部交易）</v>
      </c>
      <c r="H14" s="10" t="str">
        <f aca="false">IF($L14="","",IF($L14="@成本",购销流水!$U8,IF($L14="@收入",购销流水!$T8,IF($L14="@存货",购销流水!$S8,IF($L14="@结算",购销流水!$R8,$L14)))))</f>
        <v>应收账款</v>
      </c>
      <c r="I14" s="42" t="n">
        <f aca="false">IF($M14="借",$O14,0)</f>
        <v>189000</v>
      </c>
      <c r="J14" s="42" t="n">
        <f aca="false">IF($M14="贷",$O14,0)</f>
        <v>0</v>
      </c>
      <c r="K14" s="48" t="str">
        <f aca="false">IF($H14="","",购销流水!$E8)</f>
        <v>木业公司</v>
      </c>
      <c r="L14" s="66" t="str">
        <f aca="false">IF(购销流水!$D8="","",IFERROR(INDEX(记账规则!$A$6:$N$9,MATCH(购销流水!$D8,记账规则!$A$6:$A$9,0),3),""))</f>
        <v>@结算</v>
      </c>
      <c r="M14" s="66" t="str">
        <f aca="false">IF($L14="","",IFERROR(INDEX(记账规则!$A$6:$N$9,MATCH(购销流水!$D8,记账规则!$A$6:$A$9,0),4),""))</f>
        <v>借</v>
      </c>
      <c r="N14" s="66" t="str">
        <f aca="false">IF($L14="","",IFERROR(INDEX(记账规则!$A$6:$N$9,MATCH(购销流水!$D8,记账规则!$A$6:$A$9,0),5),""))</f>
        <v>金额</v>
      </c>
      <c r="O14" s="67" t="n">
        <f aca="false">IF($H14="",0,ROUND(IF($N14="成本金额",N(购销流水!$W8),IF($N14="金额",N(购销流水!$Q8),0)),2))</f>
        <v>189000</v>
      </c>
      <c r="P14" s="64" t="str">
        <f aca="false">IF(AND($H14&lt;&gt;"",ROUND($O14,2)&lt;&gt;0),"有","")</f>
        <v>有</v>
      </c>
    </row>
    <row r="15" customFormat="false" ht="15" hidden="false" customHeight="false" outlineLevel="0" collapsed="false">
      <c r="A15" s="53" t="n">
        <f aca="false">IF($H15="","",ROW()-5)</f>
        <v>10</v>
      </c>
      <c r="B15" s="64" t="s">
        <v>36</v>
      </c>
      <c r="C15" s="53" t="n">
        <v>8</v>
      </c>
      <c r="D15" s="53" t="n">
        <v>2</v>
      </c>
      <c r="E15" s="65" t="n">
        <f aca="false">IF($H15="","",购销流水!$B8)</f>
        <v>46193</v>
      </c>
      <c r="F15" s="55" t="str">
        <f aca="false">IF($H15="","",购销流水!$C8)</f>
        <v>农业</v>
      </c>
      <c r="G15" s="48" t="str">
        <f aca="false">IF($H15="","",购销流水!$N8)</f>
        <v>销售原木（内部交易）</v>
      </c>
      <c r="H15" s="10" t="str">
        <f aca="false">IF($L15="","",IF($L15="@成本",购销流水!$U8,IF($L15="@收入",购销流水!$T8,IF($L15="@存货",购销流水!$S8,IF($L15="@结算",购销流水!$R8,$L15)))))</f>
        <v>主营业务收入</v>
      </c>
      <c r="I15" s="42" t="n">
        <f aca="false">IF($M15="借",$O15,0)</f>
        <v>0</v>
      </c>
      <c r="J15" s="42" t="n">
        <f aca="false">IF($M15="贷",$O15,0)</f>
        <v>189000</v>
      </c>
      <c r="K15" s="48" t="str">
        <f aca="false">IF($H15="","",购销流水!$E8)</f>
        <v>木业公司</v>
      </c>
      <c r="L15" s="66" t="str">
        <f aca="false">IF(购销流水!$D8="","",IFERROR(INDEX(记账规则!$A$6:$N$9,MATCH(购销流水!$D8,记账规则!$A$6:$A$9,0),6),""))</f>
        <v>@收入</v>
      </c>
      <c r="M15" s="66" t="str">
        <f aca="false">IF($L15="","",IFERROR(INDEX(记账规则!$A$6:$N$9,MATCH(购销流水!$D8,记账规则!$A$6:$A$9,0),7),""))</f>
        <v>贷</v>
      </c>
      <c r="N15" s="66" t="str">
        <f aca="false">IF($L15="","",IFERROR(INDEX(记账规则!$A$6:$N$9,MATCH(购销流水!$D8,记账规则!$A$6:$A$9,0),8),""))</f>
        <v>金额</v>
      </c>
      <c r="O15" s="67" t="n">
        <f aca="false">IF($H15="",0,ROUND(IF($N15="成本金额",N(购销流水!$W8),IF($N15="金额",N(购销流水!$Q8),0)),2))</f>
        <v>189000</v>
      </c>
      <c r="P15" s="64" t="str">
        <f aca="false">IF(AND($H15&lt;&gt;"",ROUND($O15,2)&lt;&gt;0),"有","")</f>
        <v>有</v>
      </c>
    </row>
    <row r="16" customFormat="false" ht="15" hidden="false" customHeight="false" outlineLevel="0" collapsed="false">
      <c r="A16" s="53" t="n">
        <f aca="false">IF($H16="","",ROW()-5)</f>
        <v>11</v>
      </c>
      <c r="B16" s="64" t="s">
        <v>36</v>
      </c>
      <c r="C16" s="53" t="n">
        <v>8</v>
      </c>
      <c r="D16" s="53" t="n">
        <v>3</v>
      </c>
      <c r="E16" s="65" t="n">
        <f aca="false">IF($H16="","",购销流水!$B8)</f>
        <v>46193</v>
      </c>
      <c r="F16" s="55" t="str">
        <f aca="false">IF($H16="","",购销流水!$C8)</f>
        <v>农业</v>
      </c>
      <c r="G16" s="48" t="str">
        <f aca="false">IF($H16="","",购销流水!$N8)</f>
        <v>销售原木（内部交易）</v>
      </c>
      <c r="H16" s="10" t="str">
        <f aca="false">IF($L16="","",IF($L16="@成本",购销流水!$U8,IF($L16="@收入",购销流水!$T8,IF($L16="@存货",购销流水!$S8,IF($L16="@结算",购销流水!$R8,$L16)))))</f>
        <v>主营业务成本</v>
      </c>
      <c r="I16" s="42" t="n">
        <f aca="false">IF($M16="借",$O16,0)</f>
        <v>92975</v>
      </c>
      <c r="J16" s="42" t="n">
        <f aca="false">IF($M16="贷",$O16,0)</f>
        <v>0</v>
      </c>
      <c r="K16" s="48" t="str">
        <f aca="false">IF($H16="","",购销流水!$E8)</f>
        <v>木业公司</v>
      </c>
      <c r="L16" s="66" t="str">
        <f aca="false">IF(购销流水!$D8="","",IFERROR(INDEX(记账规则!$A$6:$N$9,MATCH(购销流水!$D8,记账规则!$A$6:$A$9,0),9),""))</f>
        <v>@成本</v>
      </c>
      <c r="M16" s="66" t="str">
        <f aca="false">IF($L16="","",IFERROR(INDEX(记账规则!$A$6:$N$9,MATCH(购销流水!$D8,记账规则!$A$6:$A$9,0),10),""))</f>
        <v>借</v>
      </c>
      <c r="N16" s="66" t="str">
        <f aca="false">IF($L16="","",IFERROR(INDEX(记账规则!$A$6:$N$9,MATCH(购销流水!$D8,记账规则!$A$6:$A$9,0),11),""))</f>
        <v>成本金额</v>
      </c>
      <c r="O16" s="67" t="n">
        <f aca="false">IF($H16="",0,ROUND(IF($N16="成本金额",N(购销流水!$W8),IF($N16="金额",N(购销流水!$Q8),0)),2))</f>
        <v>92975</v>
      </c>
      <c r="P16" s="64" t="str">
        <f aca="false">IF(AND($H16&lt;&gt;"",ROUND($O16,2)&lt;&gt;0),"有","")</f>
        <v>有</v>
      </c>
    </row>
    <row r="17" customFormat="false" ht="15" hidden="false" customHeight="false" outlineLevel="0" collapsed="false">
      <c r="A17" s="53" t="n">
        <f aca="false">IF($H17="","",ROW()-5)</f>
        <v>12</v>
      </c>
      <c r="B17" s="64" t="s">
        <v>36</v>
      </c>
      <c r="C17" s="53" t="n">
        <v>8</v>
      </c>
      <c r="D17" s="53" t="n">
        <v>4</v>
      </c>
      <c r="E17" s="65" t="n">
        <f aca="false">IF($H17="","",购销流水!$B8)</f>
        <v>46193</v>
      </c>
      <c r="F17" s="55" t="str">
        <f aca="false">IF($H17="","",购销流水!$C8)</f>
        <v>农业</v>
      </c>
      <c r="G17" s="48" t="str">
        <f aca="false">IF($H17="","",购销流水!$N8)</f>
        <v>销售原木（内部交易）</v>
      </c>
      <c r="H17" s="10" t="str">
        <f aca="false">IF($L17="","",IF($L17="@成本",购销流水!$U8,IF($L17="@收入",购销流水!$T8,IF($L17="@存货",购销流水!$S8,IF($L17="@结算",购销流水!$R8,$L17)))))</f>
        <v>库存商品</v>
      </c>
      <c r="I17" s="42" t="n">
        <f aca="false">IF($M17="借",$O17,0)</f>
        <v>0</v>
      </c>
      <c r="J17" s="42" t="n">
        <f aca="false">IF($M17="贷",$O17,0)</f>
        <v>92975</v>
      </c>
      <c r="K17" s="48" t="str">
        <f aca="false">IF($H17="","",购销流水!$E8)</f>
        <v>木业公司</v>
      </c>
      <c r="L17" s="66" t="str">
        <f aca="false">IF(购销流水!$D8="","",IFERROR(INDEX(记账规则!$A$6:$N$9,MATCH(购销流水!$D8,记账规则!$A$6:$A$9,0),12),""))</f>
        <v>@存货</v>
      </c>
      <c r="M17" s="66" t="str">
        <f aca="false">IF($L17="","",IFERROR(INDEX(记账规则!$A$6:$N$9,MATCH(购销流水!$D8,记账规则!$A$6:$A$9,0),13),""))</f>
        <v>贷</v>
      </c>
      <c r="N17" s="66" t="str">
        <f aca="false">IF($L17="","",IFERROR(INDEX(记账规则!$A$6:$N$9,MATCH(购销流水!$D8,记账规则!$A$6:$A$9,0),14),""))</f>
        <v>成本金额</v>
      </c>
      <c r="O17" s="67" t="n">
        <f aca="false">IF($H17="",0,ROUND(IF($N17="成本金额",N(购销流水!$W8),IF($N17="金额",N(购销流水!$Q8),0)),2))</f>
        <v>92975</v>
      </c>
      <c r="P17" s="64" t="str">
        <f aca="false">IF(AND($H17&lt;&gt;"",ROUND($O17,2)&lt;&gt;0),"有","")</f>
        <v>有</v>
      </c>
    </row>
    <row r="18" customFormat="false" ht="15" hidden="false" customHeight="false" outlineLevel="0" collapsed="false">
      <c r="A18" s="53" t="n">
        <f aca="false">IF($H18="","",ROW()-5)</f>
        <v>13</v>
      </c>
      <c r="B18" s="64" t="s">
        <v>36</v>
      </c>
      <c r="C18" s="53" t="n">
        <v>9</v>
      </c>
      <c r="D18" s="53" t="n">
        <v>1</v>
      </c>
      <c r="E18" s="65" t="n">
        <f aca="false">IF($H18="","",购销流水!$B9)</f>
        <v>46218</v>
      </c>
      <c r="F18" s="55" t="str">
        <f aca="false">IF($H18="","",购销流水!$C9)</f>
        <v>农业</v>
      </c>
      <c r="G18" s="48" t="str">
        <f aca="false">IF($H18="","",购销流水!$N9)</f>
        <v>销售干艾草（内部交易）</v>
      </c>
      <c r="H18" s="10" t="str">
        <f aca="false">IF($L18="","",IF($L18="@成本",购销流水!$U9,IF($L18="@收入",购销流水!$T9,IF($L18="@存货",购销流水!$S9,IF($L18="@结算",购销流水!$R9,$L18)))))</f>
        <v>应收账款</v>
      </c>
      <c r="I18" s="42" t="n">
        <f aca="false">IF($M18="借",$O18,0)</f>
        <v>56000</v>
      </c>
      <c r="J18" s="42" t="n">
        <f aca="false">IF($M18="贷",$O18,0)</f>
        <v>0</v>
      </c>
      <c r="K18" s="48" t="str">
        <f aca="false">IF($H18="","",购销流水!$E9)</f>
        <v>科技公司</v>
      </c>
      <c r="L18" s="66" t="str">
        <f aca="false">IF(购销流水!$D9="","",IFERROR(INDEX(记账规则!$A$6:$N$9,MATCH(购销流水!$D9,记账规则!$A$6:$A$9,0),3),""))</f>
        <v>@结算</v>
      </c>
      <c r="M18" s="66" t="str">
        <f aca="false">IF($L18="","",IFERROR(INDEX(记账规则!$A$6:$N$9,MATCH(购销流水!$D9,记账规则!$A$6:$A$9,0),4),""))</f>
        <v>借</v>
      </c>
      <c r="N18" s="66" t="str">
        <f aca="false">IF($L18="","",IFERROR(INDEX(记账规则!$A$6:$N$9,MATCH(购销流水!$D9,记账规则!$A$6:$A$9,0),5),""))</f>
        <v>金额</v>
      </c>
      <c r="O18" s="67" t="n">
        <f aca="false">IF($H18="",0,ROUND(IF($N18="成本金额",N(购销流水!$W9),IF($N18="金额",N(购销流水!$Q9),0)),2))</f>
        <v>56000</v>
      </c>
      <c r="P18" s="64" t="str">
        <f aca="false">IF(AND($H18&lt;&gt;"",ROUND($O18,2)&lt;&gt;0),"有","")</f>
        <v>有</v>
      </c>
    </row>
    <row r="19" customFormat="false" ht="15" hidden="false" customHeight="false" outlineLevel="0" collapsed="false">
      <c r="A19" s="53" t="n">
        <f aca="false">IF($H19="","",ROW()-5)</f>
        <v>14</v>
      </c>
      <c r="B19" s="64" t="s">
        <v>36</v>
      </c>
      <c r="C19" s="53" t="n">
        <v>9</v>
      </c>
      <c r="D19" s="53" t="n">
        <v>2</v>
      </c>
      <c r="E19" s="65" t="n">
        <f aca="false">IF($H19="","",购销流水!$B9)</f>
        <v>46218</v>
      </c>
      <c r="F19" s="55" t="str">
        <f aca="false">IF($H19="","",购销流水!$C9)</f>
        <v>农业</v>
      </c>
      <c r="G19" s="48" t="str">
        <f aca="false">IF($H19="","",购销流水!$N9)</f>
        <v>销售干艾草（内部交易）</v>
      </c>
      <c r="H19" s="10" t="str">
        <f aca="false">IF($L19="","",IF($L19="@成本",购销流水!$U9,IF($L19="@收入",购销流水!$T9,IF($L19="@存货",购销流水!$S9,IF($L19="@结算",购销流水!$R9,$L19)))))</f>
        <v>主营业务收入</v>
      </c>
      <c r="I19" s="42" t="n">
        <f aca="false">IF($M19="借",$O19,0)</f>
        <v>0</v>
      </c>
      <c r="J19" s="42" t="n">
        <f aca="false">IF($M19="贷",$O19,0)</f>
        <v>56000</v>
      </c>
      <c r="K19" s="48" t="str">
        <f aca="false">IF($H19="","",购销流水!$E9)</f>
        <v>科技公司</v>
      </c>
      <c r="L19" s="66" t="str">
        <f aca="false">IF(购销流水!$D9="","",IFERROR(INDEX(记账规则!$A$6:$N$9,MATCH(购销流水!$D9,记账规则!$A$6:$A$9,0),6),""))</f>
        <v>@收入</v>
      </c>
      <c r="M19" s="66" t="str">
        <f aca="false">IF($L19="","",IFERROR(INDEX(记账规则!$A$6:$N$9,MATCH(购销流水!$D9,记账规则!$A$6:$A$9,0),7),""))</f>
        <v>贷</v>
      </c>
      <c r="N19" s="66" t="str">
        <f aca="false">IF($L19="","",IFERROR(INDEX(记账规则!$A$6:$N$9,MATCH(购销流水!$D9,记账规则!$A$6:$A$9,0),8),""))</f>
        <v>金额</v>
      </c>
      <c r="O19" s="67" t="n">
        <f aca="false">IF($H19="",0,ROUND(IF($N19="成本金额",N(购销流水!$W9),IF($N19="金额",N(购销流水!$Q9),0)),2))</f>
        <v>56000</v>
      </c>
      <c r="P19" s="64" t="str">
        <f aca="false">IF(AND($H19&lt;&gt;"",ROUND($O19,2)&lt;&gt;0),"有","")</f>
        <v>有</v>
      </c>
    </row>
    <row r="20" customFormat="false" ht="15" hidden="false" customHeight="false" outlineLevel="0" collapsed="false">
      <c r="A20" s="53" t="n">
        <f aca="false">IF($H20="","",ROW()-5)</f>
        <v>15</v>
      </c>
      <c r="B20" s="64" t="s">
        <v>36</v>
      </c>
      <c r="C20" s="53" t="n">
        <v>9</v>
      </c>
      <c r="D20" s="53" t="n">
        <v>3</v>
      </c>
      <c r="E20" s="65" t="n">
        <f aca="false">IF($H20="","",购销流水!$B9)</f>
        <v>46218</v>
      </c>
      <c r="F20" s="55" t="str">
        <f aca="false">IF($H20="","",购销流水!$C9)</f>
        <v>农业</v>
      </c>
      <c r="G20" s="48" t="str">
        <f aca="false">IF($H20="","",购销流水!$N9)</f>
        <v>销售干艾草（内部交易）</v>
      </c>
      <c r="H20" s="10" t="str">
        <f aca="false">IF($L20="","",IF($L20="@成本",购销流水!$U9,IF($L20="@收入",购销流水!$T9,IF($L20="@存货",购销流水!$S9,IF($L20="@结算",购销流水!$R9,$L20)))))</f>
        <v>主营业务成本</v>
      </c>
      <c r="I20" s="42" t="n">
        <f aca="false">IF($M20="借",$O20,0)</f>
        <v>41508.42</v>
      </c>
      <c r="J20" s="42" t="n">
        <f aca="false">IF($M20="贷",$O20,0)</f>
        <v>0</v>
      </c>
      <c r="K20" s="48" t="str">
        <f aca="false">IF($H20="","",购销流水!$E9)</f>
        <v>科技公司</v>
      </c>
      <c r="L20" s="66" t="str">
        <f aca="false">IF(购销流水!$D9="","",IFERROR(INDEX(记账规则!$A$6:$N$9,MATCH(购销流水!$D9,记账规则!$A$6:$A$9,0),9),""))</f>
        <v>@成本</v>
      </c>
      <c r="M20" s="66" t="str">
        <f aca="false">IF($L20="","",IFERROR(INDEX(记账规则!$A$6:$N$9,MATCH(购销流水!$D9,记账规则!$A$6:$A$9,0),10),""))</f>
        <v>借</v>
      </c>
      <c r="N20" s="66" t="str">
        <f aca="false">IF($L20="","",IFERROR(INDEX(记账规则!$A$6:$N$9,MATCH(购销流水!$D9,记账规则!$A$6:$A$9,0),11),""))</f>
        <v>成本金额</v>
      </c>
      <c r="O20" s="67" t="n">
        <f aca="false">IF($H20="",0,ROUND(IF($N20="成本金额",N(购销流水!$W9),IF($N20="金额",N(购销流水!$Q9),0)),2))</f>
        <v>41508.42</v>
      </c>
      <c r="P20" s="64" t="str">
        <f aca="false">IF(AND($H20&lt;&gt;"",ROUND($O20,2)&lt;&gt;0),"有","")</f>
        <v>有</v>
      </c>
    </row>
    <row r="21" customFormat="false" ht="15" hidden="false" customHeight="false" outlineLevel="0" collapsed="false">
      <c r="A21" s="53" t="n">
        <f aca="false">IF($H21="","",ROW()-5)</f>
        <v>16</v>
      </c>
      <c r="B21" s="64" t="s">
        <v>36</v>
      </c>
      <c r="C21" s="53" t="n">
        <v>9</v>
      </c>
      <c r="D21" s="53" t="n">
        <v>4</v>
      </c>
      <c r="E21" s="65" t="n">
        <f aca="false">IF($H21="","",购销流水!$B9)</f>
        <v>46218</v>
      </c>
      <c r="F21" s="55" t="str">
        <f aca="false">IF($H21="","",购销流水!$C9)</f>
        <v>农业</v>
      </c>
      <c r="G21" s="48" t="str">
        <f aca="false">IF($H21="","",购销流水!$N9)</f>
        <v>销售干艾草（内部交易）</v>
      </c>
      <c r="H21" s="10" t="str">
        <f aca="false">IF($L21="","",IF($L21="@成本",购销流水!$U9,IF($L21="@收入",购销流水!$T9,IF($L21="@存货",购销流水!$S9,IF($L21="@结算",购销流水!$R9,$L21)))))</f>
        <v>库存商品</v>
      </c>
      <c r="I21" s="42" t="n">
        <f aca="false">IF($M21="借",$O21,0)</f>
        <v>0</v>
      </c>
      <c r="J21" s="42" t="n">
        <f aca="false">IF($M21="贷",$O21,0)</f>
        <v>41508.42</v>
      </c>
      <c r="K21" s="48" t="str">
        <f aca="false">IF($H21="","",购销流水!$E9)</f>
        <v>科技公司</v>
      </c>
      <c r="L21" s="66" t="str">
        <f aca="false">IF(购销流水!$D9="","",IFERROR(INDEX(记账规则!$A$6:$N$9,MATCH(购销流水!$D9,记账规则!$A$6:$A$9,0),12),""))</f>
        <v>@存货</v>
      </c>
      <c r="M21" s="66" t="str">
        <f aca="false">IF($L21="","",IFERROR(INDEX(记账规则!$A$6:$N$9,MATCH(购销流水!$D9,记账规则!$A$6:$A$9,0),13),""))</f>
        <v>贷</v>
      </c>
      <c r="N21" s="66" t="str">
        <f aca="false">IF($L21="","",IFERROR(INDEX(记账规则!$A$6:$N$9,MATCH(购销流水!$D9,记账规则!$A$6:$A$9,0),14),""))</f>
        <v>成本金额</v>
      </c>
      <c r="O21" s="67" t="n">
        <f aca="false">IF($H21="",0,ROUND(IF($N21="成本金额",N(购销流水!$W9),IF($N21="金额",N(购销流水!$Q9),0)),2))</f>
        <v>41508.42</v>
      </c>
      <c r="P21" s="64" t="str">
        <f aca="false">IF(AND($H21&lt;&gt;"",ROUND($O21,2)&lt;&gt;0),"有","")</f>
        <v>有</v>
      </c>
    </row>
    <row r="22" customFormat="false" ht="15" hidden="false" customHeight="false" outlineLevel="0" collapsed="false">
      <c r="A22" s="53" t="n">
        <f aca="false">IF($H22="","",ROW()-5)</f>
        <v>17</v>
      </c>
      <c r="B22" s="64" t="s">
        <v>36</v>
      </c>
      <c r="C22" s="53" t="n">
        <v>10</v>
      </c>
      <c r="D22" s="53" t="n">
        <v>1</v>
      </c>
      <c r="E22" s="65" t="n">
        <f aca="false">IF($H22="","",购销流水!$B10)</f>
        <v>46262</v>
      </c>
      <c r="F22" s="55" t="str">
        <f aca="false">IF($H22="","",购销流水!$C10)</f>
        <v>农业</v>
      </c>
      <c r="G22" s="48" t="str">
        <f aca="false">IF($H22="","",购销流水!$N10)</f>
        <v>销售原木</v>
      </c>
      <c r="H22" s="10" t="str">
        <f aca="false">IF($L22="","",IF($L22="@成本",购销流水!$U10,IF($L22="@收入",购销流水!$T10,IF($L22="@存货",购销流水!$S10,IF($L22="@结算",购销流水!$R10,$L22)))))</f>
        <v>应收账款</v>
      </c>
      <c r="I22" s="42" t="n">
        <f aca="false">IF($M22="借",$O22,0)</f>
        <v>66000</v>
      </c>
      <c r="J22" s="42" t="n">
        <f aca="false">IF($M22="贷",$O22,0)</f>
        <v>0</v>
      </c>
      <c r="K22" s="48" t="str">
        <f aca="false">IF($H22="","",购销流水!$E10)</f>
        <v>恒信木材行</v>
      </c>
      <c r="L22" s="66" t="str">
        <f aca="false">IF(购销流水!$D10="","",IFERROR(INDEX(记账规则!$A$6:$N$9,MATCH(购销流水!$D10,记账规则!$A$6:$A$9,0),3),""))</f>
        <v>@结算</v>
      </c>
      <c r="M22" s="66" t="str">
        <f aca="false">IF($L22="","",IFERROR(INDEX(记账规则!$A$6:$N$9,MATCH(购销流水!$D10,记账规则!$A$6:$A$9,0),4),""))</f>
        <v>借</v>
      </c>
      <c r="N22" s="66" t="str">
        <f aca="false">IF($L22="","",IFERROR(INDEX(记账规则!$A$6:$N$9,MATCH(购销流水!$D10,记账规则!$A$6:$A$9,0),5),""))</f>
        <v>金额</v>
      </c>
      <c r="O22" s="67" t="n">
        <f aca="false">IF($H22="",0,ROUND(IF($N22="成本金额",N(购销流水!$W10),IF($N22="金额",N(购销流水!$Q10),0)),2))</f>
        <v>66000</v>
      </c>
      <c r="P22" s="64" t="str">
        <f aca="false">IF(AND($H22&lt;&gt;"",ROUND($O22,2)&lt;&gt;0),"有","")</f>
        <v>有</v>
      </c>
    </row>
    <row r="23" customFormat="false" ht="15" hidden="false" customHeight="false" outlineLevel="0" collapsed="false">
      <c r="A23" s="53" t="n">
        <f aca="false">IF($H23="","",ROW()-5)</f>
        <v>18</v>
      </c>
      <c r="B23" s="64" t="s">
        <v>36</v>
      </c>
      <c r="C23" s="53" t="n">
        <v>10</v>
      </c>
      <c r="D23" s="53" t="n">
        <v>2</v>
      </c>
      <c r="E23" s="65" t="n">
        <f aca="false">IF($H23="","",购销流水!$B10)</f>
        <v>46262</v>
      </c>
      <c r="F23" s="55" t="str">
        <f aca="false">IF($H23="","",购销流水!$C10)</f>
        <v>农业</v>
      </c>
      <c r="G23" s="48" t="str">
        <f aca="false">IF($H23="","",购销流水!$N10)</f>
        <v>销售原木</v>
      </c>
      <c r="H23" s="10" t="str">
        <f aca="false">IF($L23="","",IF($L23="@成本",购销流水!$U10,IF($L23="@收入",购销流水!$T10,IF($L23="@存货",购销流水!$S10,IF($L23="@结算",购销流水!$R10,$L23)))))</f>
        <v>主营业务收入</v>
      </c>
      <c r="I23" s="42" t="n">
        <f aca="false">IF($M23="借",$O23,0)</f>
        <v>0</v>
      </c>
      <c r="J23" s="42" t="n">
        <f aca="false">IF($M23="贷",$O23,0)</f>
        <v>66000</v>
      </c>
      <c r="K23" s="48" t="str">
        <f aca="false">IF($H23="","",购销流水!$E10)</f>
        <v>恒信木材行</v>
      </c>
      <c r="L23" s="66" t="str">
        <f aca="false">IF(购销流水!$D10="","",IFERROR(INDEX(记账规则!$A$6:$N$9,MATCH(购销流水!$D10,记账规则!$A$6:$A$9,0),6),""))</f>
        <v>@收入</v>
      </c>
      <c r="M23" s="66" t="str">
        <f aca="false">IF($L23="","",IFERROR(INDEX(记账规则!$A$6:$N$9,MATCH(购销流水!$D10,记账规则!$A$6:$A$9,0),7),""))</f>
        <v>贷</v>
      </c>
      <c r="N23" s="66" t="str">
        <f aca="false">IF($L23="","",IFERROR(INDEX(记账规则!$A$6:$N$9,MATCH(购销流水!$D10,记账规则!$A$6:$A$9,0),8),""))</f>
        <v>金额</v>
      </c>
      <c r="O23" s="67" t="n">
        <f aca="false">IF($H23="",0,ROUND(IF($N23="成本金额",N(购销流水!$W10),IF($N23="金额",N(购销流水!$Q10),0)),2))</f>
        <v>66000</v>
      </c>
      <c r="P23" s="64" t="str">
        <f aca="false">IF(AND($H23&lt;&gt;"",ROUND($O23,2)&lt;&gt;0),"有","")</f>
        <v>有</v>
      </c>
    </row>
    <row r="24" customFormat="false" ht="15" hidden="false" customHeight="false" outlineLevel="0" collapsed="false">
      <c r="A24" s="53" t="n">
        <f aca="false">IF($H24="","",ROW()-5)</f>
        <v>19</v>
      </c>
      <c r="B24" s="64" t="s">
        <v>36</v>
      </c>
      <c r="C24" s="53" t="n">
        <v>10</v>
      </c>
      <c r="D24" s="53" t="n">
        <v>3</v>
      </c>
      <c r="E24" s="65" t="n">
        <f aca="false">IF($H24="","",购销流水!$B10)</f>
        <v>46262</v>
      </c>
      <c r="F24" s="55" t="str">
        <f aca="false">IF($H24="","",购销流水!$C10)</f>
        <v>农业</v>
      </c>
      <c r="G24" s="48" t="str">
        <f aca="false">IF($H24="","",购销流水!$N10)</f>
        <v>销售原木</v>
      </c>
      <c r="H24" s="10" t="str">
        <f aca="false">IF($L24="","",IF($L24="@成本",购销流水!$U10,IF($L24="@收入",购销流水!$T10,IF($L24="@存货",购销流水!$S10,IF($L24="@结算",购销流水!$R10,$L24)))))</f>
        <v>主营业务成本</v>
      </c>
      <c r="I24" s="42" t="n">
        <f aca="false">IF($M24="借",$O24,0)</f>
        <v>30991.67</v>
      </c>
      <c r="J24" s="42" t="n">
        <f aca="false">IF($M24="贷",$O24,0)</f>
        <v>0</v>
      </c>
      <c r="K24" s="48" t="str">
        <f aca="false">IF($H24="","",购销流水!$E10)</f>
        <v>恒信木材行</v>
      </c>
      <c r="L24" s="66" t="str">
        <f aca="false">IF(购销流水!$D10="","",IFERROR(INDEX(记账规则!$A$6:$N$9,MATCH(购销流水!$D10,记账规则!$A$6:$A$9,0),9),""))</f>
        <v>@成本</v>
      </c>
      <c r="M24" s="66" t="str">
        <f aca="false">IF($L24="","",IFERROR(INDEX(记账规则!$A$6:$N$9,MATCH(购销流水!$D10,记账规则!$A$6:$A$9,0),10),""))</f>
        <v>借</v>
      </c>
      <c r="N24" s="66" t="str">
        <f aca="false">IF($L24="","",IFERROR(INDEX(记账规则!$A$6:$N$9,MATCH(购销流水!$D10,记账规则!$A$6:$A$9,0),11),""))</f>
        <v>成本金额</v>
      </c>
      <c r="O24" s="67" t="n">
        <f aca="false">IF($H24="",0,ROUND(IF($N24="成本金额",N(购销流水!$W10),IF($N24="金额",N(购销流水!$Q10),0)),2))</f>
        <v>30991.67</v>
      </c>
      <c r="P24" s="64" t="str">
        <f aca="false">IF(AND($H24&lt;&gt;"",ROUND($O24,2)&lt;&gt;0),"有","")</f>
        <v>有</v>
      </c>
    </row>
    <row r="25" customFormat="false" ht="15" hidden="false" customHeight="false" outlineLevel="0" collapsed="false">
      <c r="A25" s="53" t="n">
        <f aca="false">IF($H25="","",ROW()-5)</f>
        <v>20</v>
      </c>
      <c r="B25" s="64" t="s">
        <v>36</v>
      </c>
      <c r="C25" s="53" t="n">
        <v>10</v>
      </c>
      <c r="D25" s="53" t="n">
        <v>4</v>
      </c>
      <c r="E25" s="65" t="n">
        <f aca="false">IF($H25="","",购销流水!$B10)</f>
        <v>46262</v>
      </c>
      <c r="F25" s="55" t="str">
        <f aca="false">IF($H25="","",购销流水!$C10)</f>
        <v>农业</v>
      </c>
      <c r="G25" s="48" t="str">
        <f aca="false">IF($H25="","",购销流水!$N10)</f>
        <v>销售原木</v>
      </c>
      <c r="H25" s="10" t="str">
        <f aca="false">IF($L25="","",IF($L25="@成本",购销流水!$U10,IF($L25="@收入",购销流水!$T10,IF($L25="@存货",购销流水!$S10,IF($L25="@结算",购销流水!$R10,$L25)))))</f>
        <v>库存商品</v>
      </c>
      <c r="I25" s="42" t="n">
        <f aca="false">IF($M25="借",$O25,0)</f>
        <v>0</v>
      </c>
      <c r="J25" s="42" t="n">
        <f aca="false">IF($M25="贷",$O25,0)</f>
        <v>30991.67</v>
      </c>
      <c r="K25" s="48" t="str">
        <f aca="false">IF($H25="","",购销流水!$E10)</f>
        <v>恒信木材行</v>
      </c>
      <c r="L25" s="66" t="str">
        <f aca="false">IF(购销流水!$D10="","",IFERROR(INDEX(记账规则!$A$6:$N$9,MATCH(购销流水!$D10,记账规则!$A$6:$A$9,0),12),""))</f>
        <v>@存货</v>
      </c>
      <c r="M25" s="66" t="str">
        <f aca="false">IF($L25="","",IFERROR(INDEX(记账规则!$A$6:$N$9,MATCH(购销流水!$D10,记账规则!$A$6:$A$9,0),13),""))</f>
        <v>贷</v>
      </c>
      <c r="N25" s="66" t="str">
        <f aca="false">IF($L25="","",IFERROR(INDEX(记账规则!$A$6:$N$9,MATCH(购销流水!$D10,记账规则!$A$6:$A$9,0),14),""))</f>
        <v>成本金额</v>
      </c>
      <c r="O25" s="67" t="n">
        <f aca="false">IF($H25="",0,ROUND(IF($N25="成本金额",N(购销流水!$W10),IF($N25="金额",N(购销流水!$Q10),0)),2))</f>
        <v>30991.67</v>
      </c>
      <c r="P25" s="64" t="str">
        <f aca="false">IF(AND($H25&lt;&gt;"",ROUND($O25,2)&lt;&gt;0),"有","")</f>
        <v>有</v>
      </c>
    </row>
    <row r="26" customFormat="false" ht="15" hidden="false" customHeight="false" outlineLevel="0" collapsed="false">
      <c r="A26" s="53" t="n">
        <f aca="false">IF($H26="","",ROW()-5)</f>
        <v>21</v>
      </c>
      <c r="B26" s="64" t="s">
        <v>36</v>
      </c>
      <c r="C26" s="53" t="n">
        <v>11</v>
      </c>
      <c r="D26" s="53" t="n">
        <v>1</v>
      </c>
      <c r="E26" s="65" t="n">
        <f aca="false">IF($H26="","",购销流水!$B11)</f>
        <v>46270</v>
      </c>
      <c r="F26" s="55" t="str">
        <f aca="false">IF($H26="","",购销流水!$C11)</f>
        <v>农业</v>
      </c>
      <c r="G26" s="48" t="str">
        <f aca="false">IF($H26="","",购销流水!$N11)</f>
        <v>销售干艾草</v>
      </c>
      <c r="H26" s="10" t="str">
        <f aca="false">IF($L26="","",IF($L26="@成本",购销流水!$U11,IF($L26="@收入",购销流水!$T11,IF($L26="@存货",购销流水!$S11,IF($L26="@结算",购销流水!$R11,$L26)))))</f>
        <v>应收账款</v>
      </c>
      <c r="I26" s="42" t="n">
        <f aca="false">IF($M26="借",$O26,0)</f>
        <v>18000</v>
      </c>
      <c r="J26" s="42" t="n">
        <f aca="false">IF($M26="贷",$O26,0)</f>
        <v>0</v>
      </c>
      <c r="K26" s="48" t="str">
        <f aca="false">IF($H26="","",购销流水!$E11)</f>
        <v>安康艾制品厂</v>
      </c>
      <c r="L26" s="66" t="str">
        <f aca="false">IF(购销流水!$D11="","",IFERROR(INDEX(记账规则!$A$6:$N$9,MATCH(购销流水!$D11,记账规则!$A$6:$A$9,0),3),""))</f>
        <v>@结算</v>
      </c>
      <c r="M26" s="66" t="str">
        <f aca="false">IF($L26="","",IFERROR(INDEX(记账规则!$A$6:$N$9,MATCH(购销流水!$D11,记账规则!$A$6:$A$9,0),4),""))</f>
        <v>借</v>
      </c>
      <c r="N26" s="66" t="str">
        <f aca="false">IF($L26="","",IFERROR(INDEX(记账规则!$A$6:$N$9,MATCH(购销流水!$D11,记账规则!$A$6:$A$9,0),5),""))</f>
        <v>金额</v>
      </c>
      <c r="O26" s="67" t="n">
        <f aca="false">IF($H26="",0,ROUND(IF($N26="成本金额",N(购销流水!$W11),IF($N26="金额",N(购销流水!$Q11),0)),2))</f>
        <v>18000</v>
      </c>
      <c r="P26" s="64" t="str">
        <f aca="false">IF(AND($H26&lt;&gt;"",ROUND($O26,2)&lt;&gt;0),"有","")</f>
        <v>有</v>
      </c>
    </row>
    <row r="27" customFormat="false" ht="15" hidden="false" customHeight="false" outlineLevel="0" collapsed="false">
      <c r="A27" s="53" t="n">
        <f aca="false">IF($H27="","",ROW()-5)</f>
        <v>22</v>
      </c>
      <c r="B27" s="64" t="s">
        <v>36</v>
      </c>
      <c r="C27" s="53" t="n">
        <v>11</v>
      </c>
      <c r="D27" s="53" t="n">
        <v>2</v>
      </c>
      <c r="E27" s="65" t="n">
        <f aca="false">IF($H27="","",购销流水!$B11)</f>
        <v>46270</v>
      </c>
      <c r="F27" s="55" t="str">
        <f aca="false">IF($H27="","",购销流水!$C11)</f>
        <v>农业</v>
      </c>
      <c r="G27" s="48" t="str">
        <f aca="false">IF($H27="","",购销流水!$N11)</f>
        <v>销售干艾草</v>
      </c>
      <c r="H27" s="10" t="str">
        <f aca="false">IF($L27="","",IF($L27="@成本",购销流水!$U11,IF($L27="@收入",购销流水!$T11,IF($L27="@存货",购销流水!$S11,IF($L27="@结算",购销流水!$R11,$L27)))))</f>
        <v>主营业务收入</v>
      </c>
      <c r="I27" s="42" t="n">
        <f aca="false">IF($M27="借",$O27,0)</f>
        <v>0</v>
      </c>
      <c r="J27" s="42" t="n">
        <f aca="false">IF($M27="贷",$O27,0)</f>
        <v>18000</v>
      </c>
      <c r="K27" s="48" t="str">
        <f aca="false">IF($H27="","",购销流水!$E11)</f>
        <v>安康艾制品厂</v>
      </c>
      <c r="L27" s="66" t="str">
        <f aca="false">IF(购销流水!$D11="","",IFERROR(INDEX(记账规则!$A$6:$N$9,MATCH(购销流水!$D11,记账规则!$A$6:$A$9,0),6),""))</f>
        <v>@收入</v>
      </c>
      <c r="M27" s="66" t="str">
        <f aca="false">IF($L27="","",IFERROR(INDEX(记账规则!$A$6:$N$9,MATCH(购销流水!$D11,记账规则!$A$6:$A$9,0),7),""))</f>
        <v>贷</v>
      </c>
      <c r="N27" s="66" t="str">
        <f aca="false">IF($L27="","",IFERROR(INDEX(记账规则!$A$6:$N$9,MATCH(购销流水!$D11,记账规则!$A$6:$A$9,0),8),""))</f>
        <v>金额</v>
      </c>
      <c r="O27" s="67" t="n">
        <f aca="false">IF($H27="",0,ROUND(IF($N27="成本金额",N(购销流水!$W11),IF($N27="金额",N(购销流水!$Q11),0)),2))</f>
        <v>18000</v>
      </c>
      <c r="P27" s="64" t="str">
        <f aca="false">IF(AND($H27&lt;&gt;"",ROUND($O27,2)&lt;&gt;0),"有","")</f>
        <v>有</v>
      </c>
    </row>
    <row r="28" customFormat="false" ht="15" hidden="false" customHeight="false" outlineLevel="0" collapsed="false">
      <c r="A28" s="53" t="n">
        <f aca="false">IF($H28="","",ROW()-5)</f>
        <v>23</v>
      </c>
      <c r="B28" s="64" t="s">
        <v>36</v>
      </c>
      <c r="C28" s="53" t="n">
        <v>11</v>
      </c>
      <c r="D28" s="53" t="n">
        <v>3</v>
      </c>
      <c r="E28" s="65" t="n">
        <f aca="false">IF($H28="","",购销流水!$B11)</f>
        <v>46270</v>
      </c>
      <c r="F28" s="55" t="str">
        <f aca="false">IF($H28="","",购销流水!$C11)</f>
        <v>农业</v>
      </c>
      <c r="G28" s="48" t="str">
        <f aca="false">IF($H28="","",购销流水!$N11)</f>
        <v>销售干艾草</v>
      </c>
      <c r="H28" s="10" t="str">
        <f aca="false">IF($L28="","",IF($L28="@成本",购销流水!$U11,IF($L28="@收入",购销流水!$T11,IF($L28="@存货",购销流水!$S11,IF($L28="@结算",购销流水!$R11,$L28)))))</f>
        <v>主营业务成本</v>
      </c>
      <c r="I28" s="42" t="n">
        <f aca="false">IF($M28="借",$O28,0)</f>
        <v>12452.53</v>
      </c>
      <c r="J28" s="42" t="n">
        <f aca="false">IF($M28="贷",$O28,0)</f>
        <v>0</v>
      </c>
      <c r="K28" s="48" t="str">
        <f aca="false">IF($H28="","",购销流水!$E11)</f>
        <v>安康艾制品厂</v>
      </c>
      <c r="L28" s="66" t="str">
        <f aca="false">IF(购销流水!$D11="","",IFERROR(INDEX(记账规则!$A$6:$N$9,MATCH(购销流水!$D11,记账规则!$A$6:$A$9,0),9),""))</f>
        <v>@成本</v>
      </c>
      <c r="M28" s="66" t="str">
        <f aca="false">IF($L28="","",IFERROR(INDEX(记账规则!$A$6:$N$9,MATCH(购销流水!$D11,记账规则!$A$6:$A$9,0),10),""))</f>
        <v>借</v>
      </c>
      <c r="N28" s="66" t="str">
        <f aca="false">IF($L28="","",IFERROR(INDEX(记账规则!$A$6:$N$9,MATCH(购销流水!$D11,记账规则!$A$6:$A$9,0),11),""))</f>
        <v>成本金额</v>
      </c>
      <c r="O28" s="67" t="n">
        <f aca="false">IF($H28="",0,ROUND(IF($N28="成本金额",N(购销流水!$W11),IF($N28="金额",N(购销流水!$Q11),0)),2))</f>
        <v>12452.53</v>
      </c>
      <c r="P28" s="64" t="str">
        <f aca="false">IF(AND($H28&lt;&gt;"",ROUND($O28,2)&lt;&gt;0),"有","")</f>
        <v>有</v>
      </c>
    </row>
    <row r="29" customFormat="false" ht="15" hidden="false" customHeight="false" outlineLevel="0" collapsed="false">
      <c r="A29" s="53" t="n">
        <f aca="false">IF($H29="","",ROW()-5)</f>
        <v>24</v>
      </c>
      <c r="B29" s="64" t="s">
        <v>36</v>
      </c>
      <c r="C29" s="53" t="n">
        <v>11</v>
      </c>
      <c r="D29" s="53" t="n">
        <v>4</v>
      </c>
      <c r="E29" s="65" t="n">
        <f aca="false">IF($H29="","",购销流水!$B11)</f>
        <v>46270</v>
      </c>
      <c r="F29" s="55" t="str">
        <f aca="false">IF($H29="","",购销流水!$C11)</f>
        <v>农业</v>
      </c>
      <c r="G29" s="48" t="str">
        <f aca="false">IF($H29="","",购销流水!$N11)</f>
        <v>销售干艾草</v>
      </c>
      <c r="H29" s="10" t="str">
        <f aca="false">IF($L29="","",IF($L29="@成本",购销流水!$U11,IF($L29="@收入",购销流水!$T11,IF($L29="@存货",购销流水!$S11,IF($L29="@结算",购销流水!$R11,$L29)))))</f>
        <v>库存商品</v>
      </c>
      <c r="I29" s="42" t="n">
        <f aca="false">IF($M29="借",$O29,0)</f>
        <v>0</v>
      </c>
      <c r="J29" s="42" t="n">
        <f aca="false">IF($M29="贷",$O29,0)</f>
        <v>12452.53</v>
      </c>
      <c r="K29" s="48" t="str">
        <f aca="false">IF($H29="","",购销流水!$E11)</f>
        <v>安康艾制品厂</v>
      </c>
      <c r="L29" s="66" t="str">
        <f aca="false">IF(购销流水!$D11="","",IFERROR(INDEX(记账规则!$A$6:$N$9,MATCH(购销流水!$D11,记账规则!$A$6:$A$9,0),12),""))</f>
        <v>@存货</v>
      </c>
      <c r="M29" s="66" t="str">
        <f aca="false">IF($L29="","",IFERROR(INDEX(记账规则!$A$6:$N$9,MATCH(购销流水!$D11,记账规则!$A$6:$A$9,0),13),""))</f>
        <v>贷</v>
      </c>
      <c r="N29" s="66" t="str">
        <f aca="false">IF($L29="","",IFERROR(INDEX(记账规则!$A$6:$N$9,MATCH(购销流水!$D11,记账规则!$A$6:$A$9,0),14),""))</f>
        <v>成本金额</v>
      </c>
      <c r="O29" s="67" t="n">
        <f aca="false">IF($H29="",0,ROUND(IF($N29="成本金额",N(购销流水!$W11),IF($N29="金额",N(购销流水!$Q11),0)),2))</f>
        <v>12452.53</v>
      </c>
      <c r="P29" s="64" t="str">
        <f aca="false">IF(AND($H29&lt;&gt;"",ROUND($O29,2)&lt;&gt;0),"有","")</f>
        <v>有</v>
      </c>
    </row>
    <row r="30" customFormat="false" ht="15" hidden="false" customHeight="false" outlineLevel="0" collapsed="false">
      <c r="A30" s="53" t="n">
        <f aca="false">IF($H30="","",ROW()-5)</f>
        <v>25</v>
      </c>
      <c r="B30" s="64" t="s">
        <v>36</v>
      </c>
      <c r="C30" s="53" t="n">
        <v>12</v>
      </c>
      <c r="D30" s="53" t="n">
        <v>1</v>
      </c>
      <c r="E30" s="65" t="n">
        <f aca="false">IF($H30="","",购销流水!$B12)</f>
        <v>46124</v>
      </c>
      <c r="F30" s="55" t="str">
        <f aca="false">IF($H30="","",购销流水!$C12)</f>
        <v>木业</v>
      </c>
      <c r="G30" s="48" t="str">
        <f aca="false">IF($H30="","",购销流水!$N12)</f>
        <v>脲醛胶</v>
      </c>
      <c r="H30" s="10" t="str">
        <f aca="false">IF($L30="","",IF($L30="@成本",购销流水!$U12,IF($L30="@收入",购销流水!$T12,IF($L30="@存货",购销流水!$S12,IF($L30="@结算",购销流水!$R12,$L30)))))</f>
        <v>应付账款</v>
      </c>
      <c r="I30" s="42" t="n">
        <f aca="false">IF($M30="借",$O30,0)</f>
        <v>0</v>
      </c>
      <c r="J30" s="42" t="n">
        <f aca="false">IF($M30="贷",$O30,0)</f>
        <v>12000</v>
      </c>
      <c r="K30" s="48" t="str">
        <f aca="false">IF($H30="","",购销流水!$E12)</f>
        <v>华鑫化工</v>
      </c>
      <c r="L30" s="66" t="str">
        <f aca="false">IF(购销流水!$D12="","",IFERROR(INDEX(记账规则!$A$6:$N$9,MATCH(购销流水!$D12,记账规则!$A$6:$A$9,0),3),""))</f>
        <v>@结算</v>
      </c>
      <c r="M30" s="66" t="str">
        <f aca="false">IF($L30="","",IFERROR(INDEX(记账规则!$A$6:$N$9,MATCH(购销流水!$D12,记账规则!$A$6:$A$9,0),4),""))</f>
        <v>贷</v>
      </c>
      <c r="N30" s="66" t="str">
        <f aca="false">IF($L30="","",IFERROR(INDEX(记账规则!$A$6:$N$9,MATCH(购销流水!$D12,记账规则!$A$6:$A$9,0),5),""))</f>
        <v>金额</v>
      </c>
      <c r="O30" s="67" t="n">
        <f aca="false">IF($H30="",0,ROUND(IF($N30="成本金额",N(购销流水!$W12),IF($N30="金额",N(购销流水!$Q12),0)),2))</f>
        <v>12000</v>
      </c>
      <c r="P30" s="64" t="str">
        <f aca="false">IF(AND($H30&lt;&gt;"",ROUND($O30,2)&lt;&gt;0),"有","")</f>
        <v>有</v>
      </c>
    </row>
    <row r="31" customFormat="false" ht="15" hidden="false" customHeight="false" outlineLevel="0" collapsed="false">
      <c r="A31" s="53" t="n">
        <f aca="false">IF($H31="","",ROW()-5)</f>
        <v>26</v>
      </c>
      <c r="B31" s="64" t="s">
        <v>36</v>
      </c>
      <c r="C31" s="53" t="n">
        <v>12</v>
      </c>
      <c r="D31" s="53" t="n">
        <v>2</v>
      </c>
      <c r="E31" s="65" t="n">
        <f aca="false">IF($H31="","",购销流水!$B12)</f>
        <v>46124</v>
      </c>
      <c r="F31" s="55" t="str">
        <f aca="false">IF($H31="","",购销流水!$C12)</f>
        <v>木业</v>
      </c>
      <c r="G31" s="48" t="str">
        <f aca="false">IF($H31="","",购销流水!$N12)</f>
        <v>脲醛胶</v>
      </c>
      <c r="H31" s="10" t="str">
        <f aca="false">IF($L31="","",IF($L31="@成本",购销流水!$U12,IF($L31="@收入",购销流水!$T12,IF($L31="@存货",购销流水!$S12,IF($L31="@结算",购销流水!$R12,$L31)))))</f>
        <v>原材料</v>
      </c>
      <c r="I31" s="42" t="n">
        <f aca="false">IF($M31="借",$O31,0)</f>
        <v>12000</v>
      </c>
      <c r="J31" s="42" t="n">
        <f aca="false">IF($M31="贷",$O31,0)</f>
        <v>0</v>
      </c>
      <c r="K31" s="48" t="str">
        <f aca="false">IF($H31="","",购销流水!$E12)</f>
        <v>华鑫化工</v>
      </c>
      <c r="L31" s="66" t="str">
        <f aca="false">IF(购销流水!$D12="","",IFERROR(INDEX(记账规则!$A$6:$N$9,MATCH(购销流水!$D12,记账规则!$A$6:$A$9,0),6),""))</f>
        <v>@存货</v>
      </c>
      <c r="M31" s="66" t="str">
        <f aca="false">IF($L31="","",IFERROR(INDEX(记账规则!$A$6:$N$9,MATCH(购销流水!$D12,记账规则!$A$6:$A$9,0),7),""))</f>
        <v>借</v>
      </c>
      <c r="N31" s="66" t="str">
        <f aca="false">IF($L31="","",IFERROR(INDEX(记账规则!$A$6:$N$9,MATCH(购销流水!$D12,记账规则!$A$6:$A$9,0),8),""))</f>
        <v>金额</v>
      </c>
      <c r="O31" s="67" t="n">
        <f aca="false">IF($H31="",0,ROUND(IF($N31="成本金额",N(购销流水!$W12),IF($N31="金额",N(购销流水!$Q12),0)),2))</f>
        <v>12000</v>
      </c>
      <c r="P31" s="64" t="str">
        <f aca="false">IF(AND($H31&lt;&gt;"",ROUND($O31,2)&lt;&gt;0),"有","")</f>
        <v>有</v>
      </c>
    </row>
    <row r="32" customFormat="false" ht="15" hidden="true" customHeight="false" outlineLevel="0" collapsed="false">
      <c r="A32" s="53" t="str">
        <f aca="false">IF($H32="","",ROW()-5)</f>
        <v/>
      </c>
      <c r="B32" s="64" t="s">
        <v>36</v>
      </c>
      <c r="C32" s="53" t="n">
        <v>12</v>
      </c>
      <c r="D32" s="53" t="n">
        <v>3</v>
      </c>
      <c r="E32" s="65" t="str">
        <f aca="false">IF($H32="","",购销流水!$B12)</f>
        <v/>
      </c>
      <c r="F32" s="55" t="str">
        <f aca="false">IF($H32="","",购销流水!$C12)</f>
        <v/>
      </c>
      <c r="G32" s="48" t="str">
        <f aca="false">IF($H32="","",购销流水!$N12)</f>
        <v/>
      </c>
      <c r="H32" s="10" t="str">
        <f aca="false">IF($L32="","",IF($L32="@成本",购销流水!$U12,IF($L32="@收入",购销流水!$T12,IF($L32="@存货",购销流水!$S12,IF($L32="@结算",购销流水!$R12,$L32)))))</f>
        <v/>
      </c>
      <c r="I32" s="42" t="n">
        <f aca="false">IF($M32="借",$O32,0)</f>
        <v>0</v>
      </c>
      <c r="J32" s="42" t="n">
        <f aca="false">IF($M32="贷",$O32,0)</f>
        <v>0</v>
      </c>
      <c r="K32" s="48" t="str">
        <f aca="false">IF($H32="","",购销流水!$E12)</f>
        <v/>
      </c>
      <c r="L32" s="66" t="n">
        <f aca="false">IF(购销流水!$D12="","",IFERROR(INDEX(记账规则!$A$6:$N$9,MATCH(购销流水!$D12,记账规则!$A$6:$A$9,0),9),""))</f>
        <v>0</v>
      </c>
      <c r="M32" s="66" t="str">
        <f aca="false">IF($L32="","",IFERROR(INDEX(记账规则!$A$6:$N$9,MATCH(购销流水!$D12,记账规则!$A$6:$A$9,0),10),""))</f>
        <v/>
      </c>
      <c r="N32" s="66" t="str">
        <f aca="false">IF($L32="","",IFERROR(INDEX(记账规则!$A$6:$N$9,MATCH(购销流水!$D12,记账规则!$A$6:$A$9,0),11),""))</f>
        <v/>
      </c>
      <c r="O32" s="67" t="n">
        <f aca="false">IF($H32="",0,ROUND(IF($N32="成本金额",N(购销流水!$W12),IF($N32="金额",N(购销流水!$Q12),0)),2))</f>
        <v>0</v>
      </c>
      <c r="P32" s="64" t="str">
        <f aca="false">IF(AND($H32&lt;&gt;"",ROUND($O32,2)&lt;&gt;0),"有","")</f>
        <v/>
      </c>
    </row>
    <row r="33" customFormat="false" ht="15" hidden="true" customHeight="false" outlineLevel="0" collapsed="false">
      <c r="A33" s="53" t="str">
        <f aca="false">IF($H33="","",ROW()-5)</f>
        <v/>
      </c>
      <c r="B33" s="64" t="s">
        <v>36</v>
      </c>
      <c r="C33" s="53" t="n">
        <v>12</v>
      </c>
      <c r="D33" s="53" t="n">
        <v>4</v>
      </c>
      <c r="E33" s="65" t="str">
        <f aca="false">IF($H33="","",购销流水!$B12)</f>
        <v/>
      </c>
      <c r="F33" s="55" t="str">
        <f aca="false">IF($H33="","",购销流水!$C12)</f>
        <v/>
      </c>
      <c r="G33" s="48" t="str">
        <f aca="false">IF($H33="","",购销流水!$N12)</f>
        <v/>
      </c>
      <c r="H33" s="10" t="str">
        <f aca="false">IF($L33="","",IF($L33="@成本",购销流水!$U12,IF($L33="@收入",购销流水!$T12,IF($L33="@存货",购销流水!$S12,IF($L33="@结算",购销流水!$R12,$L33)))))</f>
        <v/>
      </c>
      <c r="I33" s="42" t="n">
        <f aca="false">IF($M33="借",$O33,0)</f>
        <v>0</v>
      </c>
      <c r="J33" s="42" t="n">
        <f aca="false">IF($M33="贷",$O33,0)</f>
        <v>0</v>
      </c>
      <c r="K33" s="48" t="str">
        <f aca="false">IF($H33="","",购销流水!$E12)</f>
        <v/>
      </c>
      <c r="L33" s="66" t="n">
        <f aca="false">IF(购销流水!$D12="","",IFERROR(INDEX(记账规则!$A$6:$N$9,MATCH(购销流水!$D12,记账规则!$A$6:$A$9,0),12),""))</f>
        <v>0</v>
      </c>
      <c r="M33" s="66" t="str">
        <f aca="false">IF($L33="","",IFERROR(INDEX(记账规则!$A$6:$N$9,MATCH(购销流水!$D12,记账规则!$A$6:$A$9,0),13),""))</f>
        <v/>
      </c>
      <c r="N33" s="66" t="str">
        <f aca="false">IF($L33="","",IFERROR(INDEX(记账规则!$A$6:$N$9,MATCH(购销流水!$D12,记账规则!$A$6:$A$9,0),14),""))</f>
        <v/>
      </c>
      <c r="O33" s="67" t="n">
        <f aca="false">IF($H33="",0,ROUND(IF($N33="成本金额",N(购销流水!$W12),IF($N33="金额",N(购销流水!$Q12),0)),2))</f>
        <v>0</v>
      </c>
      <c r="P33" s="64" t="str">
        <f aca="false">IF(AND($H33&lt;&gt;"",ROUND($O33,2)&lt;&gt;0),"有","")</f>
        <v/>
      </c>
    </row>
    <row r="34" customFormat="false" ht="15" hidden="false" customHeight="false" outlineLevel="0" collapsed="false">
      <c r="A34" s="53" t="n">
        <f aca="false">IF($H34="","",ROW()-5)</f>
        <v>29</v>
      </c>
      <c r="B34" s="64" t="s">
        <v>36</v>
      </c>
      <c r="C34" s="53" t="n">
        <v>13</v>
      </c>
      <c r="D34" s="53" t="n">
        <v>1</v>
      </c>
      <c r="E34" s="65" t="n">
        <f aca="false">IF($H34="","",购销流水!$B13)</f>
        <v>46154</v>
      </c>
      <c r="F34" s="55" t="str">
        <f aca="false">IF($H34="","",购销流水!$C13)</f>
        <v>木业</v>
      </c>
      <c r="G34" s="48" t="str">
        <f aca="false">IF($H34="","",购销流水!$N13)</f>
        <v>向农户收购原木</v>
      </c>
      <c r="H34" s="10" t="str">
        <f aca="false">IF($L34="","",IF($L34="@成本",购销流水!$U13,IF($L34="@收入",购销流水!$T13,IF($L34="@存货",购销流水!$S13,IF($L34="@结算",购销流水!$R13,$L34)))))</f>
        <v>应付账款</v>
      </c>
      <c r="I34" s="42" t="n">
        <f aca="false">IF($M34="借",$O34,0)</f>
        <v>0</v>
      </c>
      <c r="J34" s="42" t="n">
        <f aca="false">IF($M34="贷",$O34,0)</f>
        <v>58800</v>
      </c>
      <c r="K34" s="48" t="str">
        <f aca="false">IF($H34="","",购销流水!$E13)</f>
        <v>张德富（农户）</v>
      </c>
      <c r="L34" s="66" t="str">
        <f aca="false">IF(购销流水!$D13="","",IFERROR(INDEX(记账规则!$A$6:$N$9,MATCH(购销流水!$D13,记账规则!$A$6:$A$9,0),3),""))</f>
        <v>@结算</v>
      </c>
      <c r="M34" s="66" t="str">
        <f aca="false">IF($L34="","",IFERROR(INDEX(记账规则!$A$6:$N$9,MATCH(购销流水!$D13,记账规则!$A$6:$A$9,0),4),""))</f>
        <v>贷</v>
      </c>
      <c r="N34" s="66" t="str">
        <f aca="false">IF($L34="","",IFERROR(INDEX(记账规则!$A$6:$N$9,MATCH(购销流水!$D13,记账规则!$A$6:$A$9,0),5),""))</f>
        <v>金额</v>
      </c>
      <c r="O34" s="67" t="n">
        <f aca="false">IF($H34="",0,ROUND(IF($N34="成本金额",N(购销流水!$W13),IF($N34="金额",N(购销流水!$Q13),0)),2))</f>
        <v>58800</v>
      </c>
      <c r="P34" s="64" t="str">
        <f aca="false">IF(AND($H34&lt;&gt;"",ROUND($O34,2)&lt;&gt;0),"有","")</f>
        <v>有</v>
      </c>
    </row>
    <row r="35" customFormat="false" ht="15" hidden="false" customHeight="false" outlineLevel="0" collapsed="false">
      <c r="A35" s="53" t="n">
        <f aca="false">IF($H35="","",ROW()-5)</f>
        <v>30</v>
      </c>
      <c r="B35" s="64" t="s">
        <v>36</v>
      </c>
      <c r="C35" s="53" t="n">
        <v>13</v>
      </c>
      <c r="D35" s="53" t="n">
        <v>2</v>
      </c>
      <c r="E35" s="65" t="n">
        <f aca="false">IF($H35="","",购销流水!$B13)</f>
        <v>46154</v>
      </c>
      <c r="F35" s="55" t="str">
        <f aca="false">IF($H35="","",购销流水!$C13)</f>
        <v>木业</v>
      </c>
      <c r="G35" s="48" t="str">
        <f aca="false">IF($H35="","",购销流水!$N13)</f>
        <v>向农户收购原木</v>
      </c>
      <c r="H35" s="10" t="str">
        <f aca="false">IF($L35="","",IF($L35="@成本",购销流水!$U13,IF($L35="@收入",购销流水!$T13,IF($L35="@存货",购销流水!$S13,IF($L35="@结算",购销流水!$R13,$L35)))))</f>
        <v>原材料</v>
      </c>
      <c r="I35" s="42" t="n">
        <f aca="false">IF($M35="借",$O35,0)</f>
        <v>58800</v>
      </c>
      <c r="J35" s="42" t="n">
        <f aca="false">IF($M35="贷",$O35,0)</f>
        <v>0</v>
      </c>
      <c r="K35" s="48" t="str">
        <f aca="false">IF($H35="","",购销流水!$E13)</f>
        <v>张德富（农户）</v>
      </c>
      <c r="L35" s="66" t="str">
        <f aca="false">IF(购销流水!$D13="","",IFERROR(INDEX(记账规则!$A$6:$N$9,MATCH(购销流水!$D13,记账规则!$A$6:$A$9,0),6),""))</f>
        <v>@存货</v>
      </c>
      <c r="M35" s="66" t="str">
        <f aca="false">IF($L35="","",IFERROR(INDEX(记账规则!$A$6:$N$9,MATCH(购销流水!$D13,记账规则!$A$6:$A$9,0),7),""))</f>
        <v>借</v>
      </c>
      <c r="N35" s="66" t="str">
        <f aca="false">IF($L35="","",IFERROR(INDEX(记账规则!$A$6:$N$9,MATCH(购销流水!$D13,记账规则!$A$6:$A$9,0),8),""))</f>
        <v>金额</v>
      </c>
      <c r="O35" s="67" t="n">
        <f aca="false">IF($H35="",0,ROUND(IF($N35="成本金额",N(购销流水!$W13),IF($N35="金额",N(购销流水!$Q13),0)),2))</f>
        <v>58800</v>
      </c>
      <c r="P35" s="64" t="str">
        <f aca="false">IF(AND($H35&lt;&gt;"",ROUND($O35,2)&lt;&gt;0),"有","")</f>
        <v>有</v>
      </c>
    </row>
    <row r="36" customFormat="false" ht="15" hidden="true" customHeight="false" outlineLevel="0" collapsed="false">
      <c r="A36" s="53" t="str">
        <f aca="false">IF($H36="","",ROW()-5)</f>
        <v/>
      </c>
      <c r="B36" s="64" t="s">
        <v>36</v>
      </c>
      <c r="C36" s="53" t="n">
        <v>13</v>
      </c>
      <c r="D36" s="53" t="n">
        <v>3</v>
      </c>
      <c r="E36" s="65" t="str">
        <f aca="false">IF($H36="","",购销流水!$B13)</f>
        <v/>
      </c>
      <c r="F36" s="55" t="str">
        <f aca="false">IF($H36="","",购销流水!$C13)</f>
        <v/>
      </c>
      <c r="G36" s="48" t="str">
        <f aca="false">IF($H36="","",购销流水!$N13)</f>
        <v/>
      </c>
      <c r="H36" s="10" t="str">
        <f aca="false">IF($L36="","",IF($L36="@成本",购销流水!$U13,IF($L36="@收入",购销流水!$T13,IF($L36="@存货",购销流水!$S13,IF($L36="@结算",购销流水!$R13,$L36)))))</f>
        <v/>
      </c>
      <c r="I36" s="42" t="n">
        <f aca="false">IF($M36="借",$O36,0)</f>
        <v>0</v>
      </c>
      <c r="J36" s="42" t="n">
        <f aca="false">IF($M36="贷",$O36,0)</f>
        <v>0</v>
      </c>
      <c r="K36" s="48" t="str">
        <f aca="false">IF($H36="","",购销流水!$E13)</f>
        <v/>
      </c>
      <c r="L36" s="66" t="n">
        <f aca="false">IF(购销流水!$D13="","",IFERROR(INDEX(记账规则!$A$6:$N$9,MATCH(购销流水!$D13,记账规则!$A$6:$A$9,0),9),""))</f>
        <v>0</v>
      </c>
      <c r="M36" s="66" t="str">
        <f aca="false">IF($L36="","",IFERROR(INDEX(记账规则!$A$6:$N$9,MATCH(购销流水!$D13,记账规则!$A$6:$A$9,0),10),""))</f>
        <v/>
      </c>
      <c r="N36" s="66" t="str">
        <f aca="false">IF($L36="","",IFERROR(INDEX(记账规则!$A$6:$N$9,MATCH(购销流水!$D13,记账规则!$A$6:$A$9,0),11),""))</f>
        <v/>
      </c>
      <c r="O36" s="67" t="n">
        <f aca="false">IF($H36="",0,ROUND(IF($N36="成本金额",N(购销流水!$W13),IF($N36="金额",N(购销流水!$Q13),0)),2))</f>
        <v>0</v>
      </c>
      <c r="P36" s="64" t="str">
        <f aca="false">IF(AND($H36&lt;&gt;"",ROUND($O36,2)&lt;&gt;0),"有","")</f>
        <v/>
      </c>
    </row>
    <row r="37" customFormat="false" ht="15" hidden="true" customHeight="false" outlineLevel="0" collapsed="false">
      <c r="A37" s="53" t="str">
        <f aca="false">IF($H37="","",ROW()-5)</f>
        <v/>
      </c>
      <c r="B37" s="64" t="s">
        <v>36</v>
      </c>
      <c r="C37" s="53" t="n">
        <v>13</v>
      </c>
      <c r="D37" s="53" t="n">
        <v>4</v>
      </c>
      <c r="E37" s="65" t="str">
        <f aca="false">IF($H37="","",购销流水!$B13)</f>
        <v/>
      </c>
      <c r="F37" s="55" t="str">
        <f aca="false">IF($H37="","",购销流水!$C13)</f>
        <v/>
      </c>
      <c r="G37" s="48" t="str">
        <f aca="false">IF($H37="","",购销流水!$N13)</f>
        <v/>
      </c>
      <c r="H37" s="10" t="str">
        <f aca="false">IF($L37="","",IF($L37="@成本",购销流水!$U13,IF($L37="@收入",购销流水!$T13,IF($L37="@存货",购销流水!$S13,IF($L37="@结算",购销流水!$R13,$L37)))))</f>
        <v/>
      </c>
      <c r="I37" s="42" t="n">
        <f aca="false">IF($M37="借",$O37,0)</f>
        <v>0</v>
      </c>
      <c r="J37" s="42" t="n">
        <f aca="false">IF($M37="贷",$O37,0)</f>
        <v>0</v>
      </c>
      <c r="K37" s="48" t="str">
        <f aca="false">IF($H37="","",购销流水!$E13)</f>
        <v/>
      </c>
      <c r="L37" s="66" t="n">
        <f aca="false">IF(购销流水!$D13="","",IFERROR(INDEX(记账规则!$A$6:$N$9,MATCH(购销流水!$D13,记账规则!$A$6:$A$9,0),12),""))</f>
        <v>0</v>
      </c>
      <c r="M37" s="66" t="str">
        <f aca="false">IF($L37="","",IFERROR(INDEX(记账规则!$A$6:$N$9,MATCH(购销流水!$D13,记账规则!$A$6:$A$9,0),13),""))</f>
        <v/>
      </c>
      <c r="N37" s="66" t="str">
        <f aca="false">IF($L37="","",IFERROR(INDEX(记账规则!$A$6:$N$9,MATCH(购销流水!$D13,记账规则!$A$6:$A$9,0),14),""))</f>
        <v/>
      </c>
      <c r="O37" s="67" t="n">
        <f aca="false">IF($H37="",0,ROUND(IF($N37="成本金额",N(购销流水!$W13),IF($N37="金额",N(购销流水!$Q13),0)),2))</f>
        <v>0</v>
      </c>
      <c r="P37" s="64" t="str">
        <f aca="false">IF(AND($H37&lt;&gt;"",ROUND($O37,2)&lt;&gt;0),"有","")</f>
        <v/>
      </c>
    </row>
    <row r="38" customFormat="false" ht="15" hidden="false" customHeight="false" outlineLevel="0" collapsed="false">
      <c r="A38" s="53" t="n">
        <f aca="false">IF($H38="","",ROW()-5)</f>
        <v>33</v>
      </c>
      <c r="B38" s="64" t="s">
        <v>36</v>
      </c>
      <c r="C38" s="53" t="n">
        <v>14</v>
      </c>
      <c r="D38" s="53" t="n">
        <v>1</v>
      </c>
      <c r="E38" s="65" t="n">
        <f aca="false">IF($H38="","",购销流水!$B14)</f>
        <v>46193</v>
      </c>
      <c r="F38" s="55" t="str">
        <f aca="false">IF($H38="","",购销流水!$C14)</f>
        <v>木业</v>
      </c>
      <c r="G38" s="48" t="str">
        <f aca="false">IF($H38="","",购销流水!$N14)</f>
        <v>收购原木（内部交易）</v>
      </c>
      <c r="H38" s="10" t="str">
        <f aca="false">IF($L38="","",IF($L38="@成本",购销流水!$U14,IF($L38="@收入",购销流水!$T14,IF($L38="@存货",购销流水!$S14,IF($L38="@结算",购销流水!$R14,$L38)))))</f>
        <v>应付账款</v>
      </c>
      <c r="I38" s="42" t="n">
        <f aca="false">IF($M38="借",$O38,0)</f>
        <v>0</v>
      </c>
      <c r="J38" s="42" t="n">
        <f aca="false">IF($M38="贷",$O38,0)</f>
        <v>189000</v>
      </c>
      <c r="K38" s="48" t="str">
        <f aca="false">IF($H38="","",购销流水!$E14)</f>
        <v>农业基地公司</v>
      </c>
      <c r="L38" s="66" t="str">
        <f aca="false">IF(购销流水!$D14="","",IFERROR(INDEX(记账规则!$A$6:$N$9,MATCH(购销流水!$D14,记账规则!$A$6:$A$9,0),3),""))</f>
        <v>@结算</v>
      </c>
      <c r="M38" s="66" t="str">
        <f aca="false">IF($L38="","",IFERROR(INDEX(记账规则!$A$6:$N$9,MATCH(购销流水!$D14,记账规则!$A$6:$A$9,0),4),""))</f>
        <v>贷</v>
      </c>
      <c r="N38" s="66" t="str">
        <f aca="false">IF($L38="","",IFERROR(INDEX(记账规则!$A$6:$N$9,MATCH(购销流水!$D14,记账规则!$A$6:$A$9,0),5),""))</f>
        <v>金额</v>
      </c>
      <c r="O38" s="67" t="n">
        <f aca="false">IF($H38="",0,ROUND(IF($N38="成本金额",N(购销流水!$W14),IF($N38="金额",N(购销流水!$Q14),0)),2))</f>
        <v>189000</v>
      </c>
      <c r="P38" s="64" t="str">
        <f aca="false">IF(AND($H38&lt;&gt;"",ROUND($O38,2)&lt;&gt;0),"有","")</f>
        <v>有</v>
      </c>
    </row>
    <row r="39" customFormat="false" ht="15" hidden="false" customHeight="false" outlineLevel="0" collapsed="false">
      <c r="A39" s="53" t="n">
        <f aca="false">IF($H39="","",ROW()-5)</f>
        <v>34</v>
      </c>
      <c r="B39" s="64" t="s">
        <v>36</v>
      </c>
      <c r="C39" s="53" t="n">
        <v>14</v>
      </c>
      <c r="D39" s="53" t="n">
        <v>2</v>
      </c>
      <c r="E39" s="65" t="n">
        <f aca="false">IF($H39="","",购销流水!$B14)</f>
        <v>46193</v>
      </c>
      <c r="F39" s="55" t="str">
        <f aca="false">IF($H39="","",购销流水!$C14)</f>
        <v>木业</v>
      </c>
      <c r="G39" s="48" t="str">
        <f aca="false">IF($H39="","",购销流水!$N14)</f>
        <v>收购原木（内部交易）</v>
      </c>
      <c r="H39" s="10" t="str">
        <f aca="false">IF($L39="","",IF($L39="@成本",购销流水!$U14,IF($L39="@收入",购销流水!$T14,IF($L39="@存货",购销流水!$S14,IF($L39="@结算",购销流水!$R14,$L39)))))</f>
        <v>原材料</v>
      </c>
      <c r="I39" s="42" t="n">
        <f aca="false">IF($M39="借",$O39,0)</f>
        <v>189000</v>
      </c>
      <c r="J39" s="42" t="n">
        <f aca="false">IF($M39="贷",$O39,0)</f>
        <v>0</v>
      </c>
      <c r="K39" s="48" t="str">
        <f aca="false">IF($H39="","",购销流水!$E14)</f>
        <v>农业基地公司</v>
      </c>
      <c r="L39" s="66" t="str">
        <f aca="false">IF(购销流水!$D14="","",IFERROR(INDEX(记账规则!$A$6:$N$9,MATCH(购销流水!$D14,记账规则!$A$6:$A$9,0),6),""))</f>
        <v>@存货</v>
      </c>
      <c r="M39" s="66" t="str">
        <f aca="false">IF($L39="","",IFERROR(INDEX(记账规则!$A$6:$N$9,MATCH(购销流水!$D14,记账规则!$A$6:$A$9,0),7),""))</f>
        <v>借</v>
      </c>
      <c r="N39" s="66" t="str">
        <f aca="false">IF($L39="","",IFERROR(INDEX(记账规则!$A$6:$N$9,MATCH(购销流水!$D14,记账规则!$A$6:$A$9,0),8),""))</f>
        <v>金额</v>
      </c>
      <c r="O39" s="67" t="n">
        <f aca="false">IF($H39="",0,ROUND(IF($N39="成本金额",N(购销流水!$W14),IF($N39="金额",N(购销流水!$Q14),0)),2))</f>
        <v>189000</v>
      </c>
      <c r="P39" s="64" t="str">
        <f aca="false">IF(AND($H39&lt;&gt;"",ROUND($O39,2)&lt;&gt;0),"有","")</f>
        <v>有</v>
      </c>
    </row>
    <row r="40" customFormat="false" ht="15" hidden="true" customHeight="false" outlineLevel="0" collapsed="false">
      <c r="A40" s="53" t="str">
        <f aca="false">IF($H40="","",ROW()-5)</f>
        <v/>
      </c>
      <c r="B40" s="64" t="s">
        <v>36</v>
      </c>
      <c r="C40" s="53" t="n">
        <v>14</v>
      </c>
      <c r="D40" s="53" t="n">
        <v>3</v>
      </c>
      <c r="E40" s="65" t="str">
        <f aca="false">IF($H40="","",购销流水!$B14)</f>
        <v/>
      </c>
      <c r="F40" s="55" t="str">
        <f aca="false">IF($H40="","",购销流水!$C14)</f>
        <v/>
      </c>
      <c r="G40" s="48" t="str">
        <f aca="false">IF($H40="","",购销流水!$N14)</f>
        <v/>
      </c>
      <c r="H40" s="10" t="str">
        <f aca="false">IF($L40="","",IF($L40="@成本",购销流水!$U14,IF($L40="@收入",购销流水!$T14,IF($L40="@存货",购销流水!$S14,IF($L40="@结算",购销流水!$R14,$L40)))))</f>
        <v/>
      </c>
      <c r="I40" s="42" t="n">
        <f aca="false">IF($M40="借",$O40,0)</f>
        <v>0</v>
      </c>
      <c r="J40" s="42" t="n">
        <f aca="false">IF($M40="贷",$O40,0)</f>
        <v>0</v>
      </c>
      <c r="K40" s="48" t="str">
        <f aca="false">IF($H40="","",购销流水!$E14)</f>
        <v/>
      </c>
      <c r="L40" s="66" t="n">
        <f aca="false">IF(购销流水!$D14="","",IFERROR(INDEX(记账规则!$A$6:$N$9,MATCH(购销流水!$D14,记账规则!$A$6:$A$9,0),9),""))</f>
        <v>0</v>
      </c>
      <c r="M40" s="66" t="str">
        <f aca="false">IF($L40="","",IFERROR(INDEX(记账规则!$A$6:$N$9,MATCH(购销流水!$D14,记账规则!$A$6:$A$9,0),10),""))</f>
        <v/>
      </c>
      <c r="N40" s="66" t="str">
        <f aca="false">IF($L40="","",IFERROR(INDEX(记账规则!$A$6:$N$9,MATCH(购销流水!$D14,记账规则!$A$6:$A$9,0),11),""))</f>
        <v/>
      </c>
      <c r="O40" s="67" t="n">
        <f aca="false">IF($H40="",0,ROUND(IF($N40="成本金额",N(购销流水!$W14),IF($N40="金额",N(购销流水!$Q14),0)),2))</f>
        <v>0</v>
      </c>
      <c r="P40" s="64" t="str">
        <f aca="false">IF(AND($H40&lt;&gt;"",ROUND($O40,2)&lt;&gt;0),"有","")</f>
        <v/>
      </c>
    </row>
    <row r="41" customFormat="false" ht="15" hidden="true" customHeight="false" outlineLevel="0" collapsed="false">
      <c r="A41" s="53" t="str">
        <f aca="false">IF($H41="","",ROW()-5)</f>
        <v/>
      </c>
      <c r="B41" s="64" t="s">
        <v>36</v>
      </c>
      <c r="C41" s="53" t="n">
        <v>14</v>
      </c>
      <c r="D41" s="53" t="n">
        <v>4</v>
      </c>
      <c r="E41" s="65" t="str">
        <f aca="false">IF($H41="","",购销流水!$B14)</f>
        <v/>
      </c>
      <c r="F41" s="55" t="str">
        <f aca="false">IF($H41="","",购销流水!$C14)</f>
        <v/>
      </c>
      <c r="G41" s="48" t="str">
        <f aca="false">IF($H41="","",购销流水!$N14)</f>
        <v/>
      </c>
      <c r="H41" s="10" t="str">
        <f aca="false">IF($L41="","",IF($L41="@成本",购销流水!$U14,IF($L41="@收入",购销流水!$T14,IF($L41="@存货",购销流水!$S14,IF($L41="@结算",购销流水!$R14,$L41)))))</f>
        <v/>
      </c>
      <c r="I41" s="42" t="n">
        <f aca="false">IF($M41="借",$O41,0)</f>
        <v>0</v>
      </c>
      <c r="J41" s="42" t="n">
        <f aca="false">IF($M41="贷",$O41,0)</f>
        <v>0</v>
      </c>
      <c r="K41" s="48" t="str">
        <f aca="false">IF($H41="","",购销流水!$E14)</f>
        <v/>
      </c>
      <c r="L41" s="66" t="n">
        <f aca="false">IF(购销流水!$D14="","",IFERROR(INDEX(记账规则!$A$6:$N$9,MATCH(购销流水!$D14,记账规则!$A$6:$A$9,0),12),""))</f>
        <v>0</v>
      </c>
      <c r="M41" s="66" t="str">
        <f aca="false">IF($L41="","",IFERROR(INDEX(记账规则!$A$6:$N$9,MATCH(购销流水!$D14,记账规则!$A$6:$A$9,0),13),""))</f>
        <v/>
      </c>
      <c r="N41" s="66" t="str">
        <f aca="false">IF($L41="","",IFERROR(INDEX(记账规则!$A$6:$N$9,MATCH(购销流水!$D14,记账规则!$A$6:$A$9,0),14),""))</f>
        <v/>
      </c>
      <c r="O41" s="67" t="n">
        <f aca="false">IF($H41="",0,ROUND(IF($N41="成本金额",N(购销流水!$W14),IF($N41="金额",N(购销流水!$Q14),0)),2))</f>
        <v>0</v>
      </c>
      <c r="P41" s="64" t="str">
        <f aca="false">IF(AND($H41&lt;&gt;"",ROUND($O41,2)&lt;&gt;0),"有","")</f>
        <v/>
      </c>
    </row>
    <row r="42" customFormat="false" ht="15" hidden="false" customHeight="false" outlineLevel="0" collapsed="false">
      <c r="A42" s="53" t="n">
        <f aca="false">IF($H42="","",ROW()-5)</f>
        <v>37</v>
      </c>
      <c r="B42" s="64" t="s">
        <v>36</v>
      </c>
      <c r="C42" s="53" t="n">
        <v>15</v>
      </c>
      <c r="D42" s="53" t="n">
        <v>1</v>
      </c>
      <c r="E42" s="65" t="n">
        <f aca="false">IF($H42="","",购销流水!$B15)</f>
        <v>46252</v>
      </c>
      <c r="F42" s="55" t="str">
        <f aca="false">IF($H42="","",购销流水!$C15)</f>
        <v>木业</v>
      </c>
      <c r="G42" s="48" t="str">
        <f aca="false">IF($H42="","",购销流水!$N15)</f>
        <v>向农户收购原木</v>
      </c>
      <c r="H42" s="10" t="str">
        <f aca="false">IF($L42="","",IF($L42="@成本",购销流水!$U15,IF($L42="@收入",购销流水!$T15,IF($L42="@存货",购销流水!$S15,IF($L42="@结算",购销流水!$R15,$L42)))))</f>
        <v>应付账款</v>
      </c>
      <c r="I42" s="42" t="n">
        <f aca="false">IF($M42="借",$O42,0)</f>
        <v>0</v>
      </c>
      <c r="J42" s="42" t="n">
        <f aca="false">IF($M42="贷",$O42,0)</f>
        <v>45000</v>
      </c>
      <c r="K42" s="48" t="str">
        <f aca="false">IF($H42="","",购销流水!$E15)</f>
        <v>李长生（农户）</v>
      </c>
      <c r="L42" s="66" t="str">
        <f aca="false">IF(购销流水!$D15="","",IFERROR(INDEX(记账规则!$A$6:$N$9,MATCH(购销流水!$D15,记账规则!$A$6:$A$9,0),3),""))</f>
        <v>@结算</v>
      </c>
      <c r="M42" s="66" t="str">
        <f aca="false">IF($L42="","",IFERROR(INDEX(记账规则!$A$6:$N$9,MATCH(购销流水!$D15,记账规则!$A$6:$A$9,0),4),""))</f>
        <v>贷</v>
      </c>
      <c r="N42" s="66" t="str">
        <f aca="false">IF($L42="","",IFERROR(INDEX(记账规则!$A$6:$N$9,MATCH(购销流水!$D15,记账规则!$A$6:$A$9,0),5),""))</f>
        <v>金额</v>
      </c>
      <c r="O42" s="67" t="n">
        <f aca="false">IF($H42="",0,ROUND(IF($N42="成本金额",N(购销流水!$W15),IF($N42="金额",N(购销流水!$Q15),0)),2))</f>
        <v>45000</v>
      </c>
      <c r="P42" s="64" t="str">
        <f aca="false">IF(AND($H42&lt;&gt;"",ROUND($O42,2)&lt;&gt;0),"有","")</f>
        <v>有</v>
      </c>
    </row>
    <row r="43" customFormat="false" ht="15" hidden="false" customHeight="false" outlineLevel="0" collapsed="false">
      <c r="A43" s="53" t="n">
        <f aca="false">IF($H43="","",ROW()-5)</f>
        <v>38</v>
      </c>
      <c r="B43" s="64" t="s">
        <v>36</v>
      </c>
      <c r="C43" s="53" t="n">
        <v>15</v>
      </c>
      <c r="D43" s="53" t="n">
        <v>2</v>
      </c>
      <c r="E43" s="65" t="n">
        <f aca="false">IF($H43="","",购销流水!$B15)</f>
        <v>46252</v>
      </c>
      <c r="F43" s="55" t="str">
        <f aca="false">IF($H43="","",购销流水!$C15)</f>
        <v>木业</v>
      </c>
      <c r="G43" s="48" t="str">
        <f aca="false">IF($H43="","",购销流水!$N15)</f>
        <v>向农户收购原木</v>
      </c>
      <c r="H43" s="10" t="str">
        <f aca="false">IF($L43="","",IF($L43="@成本",购销流水!$U15,IF($L43="@收入",购销流水!$T15,IF($L43="@存货",购销流水!$S15,IF($L43="@结算",购销流水!$R15,$L43)))))</f>
        <v>原材料</v>
      </c>
      <c r="I43" s="42" t="n">
        <f aca="false">IF($M43="借",$O43,0)</f>
        <v>45000</v>
      </c>
      <c r="J43" s="42" t="n">
        <f aca="false">IF($M43="贷",$O43,0)</f>
        <v>0</v>
      </c>
      <c r="K43" s="48" t="str">
        <f aca="false">IF($H43="","",购销流水!$E15)</f>
        <v>李长生（农户）</v>
      </c>
      <c r="L43" s="66" t="str">
        <f aca="false">IF(购销流水!$D15="","",IFERROR(INDEX(记账规则!$A$6:$N$9,MATCH(购销流水!$D15,记账规则!$A$6:$A$9,0),6),""))</f>
        <v>@存货</v>
      </c>
      <c r="M43" s="66" t="str">
        <f aca="false">IF($L43="","",IFERROR(INDEX(记账规则!$A$6:$N$9,MATCH(购销流水!$D15,记账规则!$A$6:$A$9,0),7),""))</f>
        <v>借</v>
      </c>
      <c r="N43" s="66" t="str">
        <f aca="false">IF($L43="","",IFERROR(INDEX(记账规则!$A$6:$N$9,MATCH(购销流水!$D15,记账规则!$A$6:$A$9,0),8),""))</f>
        <v>金额</v>
      </c>
      <c r="O43" s="67" t="n">
        <f aca="false">IF($H43="",0,ROUND(IF($N43="成本金额",N(购销流水!$W15),IF($N43="金额",N(购销流水!$Q15),0)),2))</f>
        <v>45000</v>
      </c>
      <c r="P43" s="64" t="str">
        <f aca="false">IF(AND($H43&lt;&gt;"",ROUND($O43,2)&lt;&gt;0),"有","")</f>
        <v>有</v>
      </c>
    </row>
    <row r="44" customFormat="false" ht="15" hidden="true" customHeight="false" outlineLevel="0" collapsed="false">
      <c r="A44" s="53" t="str">
        <f aca="false">IF($H44="","",ROW()-5)</f>
        <v/>
      </c>
      <c r="B44" s="64" t="s">
        <v>36</v>
      </c>
      <c r="C44" s="53" t="n">
        <v>15</v>
      </c>
      <c r="D44" s="53" t="n">
        <v>3</v>
      </c>
      <c r="E44" s="65" t="str">
        <f aca="false">IF($H44="","",购销流水!$B15)</f>
        <v/>
      </c>
      <c r="F44" s="55" t="str">
        <f aca="false">IF($H44="","",购销流水!$C15)</f>
        <v/>
      </c>
      <c r="G44" s="48" t="str">
        <f aca="false">IF($H44="","",购销流水!$N15)</f>
        <v/>
      </c>
      <c r="H44" s="10" t="str">
        <f aca="false">IF($L44="","",IF($L44="@成本",购销流水!$U15,IF($L44="@收入",购销流水!$T15,IF($L44="@存货",购销流水!$S15,IF($L44="@结算",购销流水!$R15,$L44)))))</f>
        <v/>
      </c>
      <c r="I44" s="42" t="n">
        <f aca="false">IF($M44="借",$O44,0)</f>
        <v>0</v>
      </c>
      <c r="J44" s="42" t="n">
        <f aca="false">IF($M44="贷",$O44,0)</f>
        <v>0</v>
      </c>
      <c r="K44" s="48" t="str">
        <f aca="false">IF($H44="","",购销流水!$E15)</f>
        <v/>
      </c>
      <c r="L44" s="66" t="n">
        <f aca="false">IF(购销流水!$D15="","",IFERROR(INDEX(记账规则!$A$6:$N$9,MATCH(购销流水!$D15,记账规则!$A$6:$A$9,0),9),""))</f>
        <v>0</v>
      </c>
      <c r="M44" s="66" t="str">
        <f aca="false">IF($L44="","",IFERROR(INDEX(记账规则!$A$6:$N$9,MATCH(购销流水!$D15,记账规则!$A$6:$A$9,0),10),""))</f>
        <v/>
      </c>
      <c r="N44" s="66" t="str">
        <f aca="false">IF($L44="","",IFERROR(INDEX(记账规则!$A$6:$N$9,MATCH(购销流水!$D15,记账规则!$A$6:$A$9,0),11),""))</f>
        <v/>
      </c>
      <c r="O44" s="67" t="n">
        <f aca="false">IF($H44="",0,ROUND(IF($N44="成本金额",N(购销流水!$W15),IF($N44="金额",N(购销流水!$Q15),0)),2))</f>
        <v>0</v>
      </c>
      <c r="P44" s="64" t="str">
        <f aca="false">IF(AND($H44&lt;&gt;"",ROUND($O44,2)&lt;&gt;0),"有","")</f>
        <v/>
      </c>
    </row>
    <row r="45" customFormat="false" ht="15" hidden="true" customHeight="false" outlineLevel="0" collapsed="false">
      <c r="A45" s="53" t="str">
        <f aca="false">IF($H45="","",ROW()-5)</f>
        <v/>
      </c>
      <c r="B45" s="64" t="s">
        <v>36</v>
      </c>
      <c r="C45" s="53" t="n">
        <v>15</v>
      </c>
      <c r="D45" s="53" t="n">
        <v>4</v>
      </c>
      <c r="E45" s="65" t="str">
        <f aca="false">IF($H45="","",购销流水!$B15)</f>
        <v/>
      </c>
      <c r="F45" s="55" t="str">
        <f aca="false">IF($H45="","",购销流水!$C15)</f>
        <v/>
      </c>
      <c r="G45" s="48" t="str">
        <f aca="false">IF($H45="","",购销流水!$N15)</f>
        <v/>
      </c>
      <c r="H45" s="10" t="str">
        <f aca="false">IF($L45="","",IF($L45="@成本",购销流水!$U15,IF($L45="@收入",购销流水!$T15,IF($L45="@存货",购销流水!$S15,IF($L45="@结算",购销流水!$R15,$L45)))))</f>
        <v/>
      </c>
      <c r="I45" s="42" t="n">
        <f aca="false">IF($M45="借",$O45,0)</f>
        <v>0</v>
      </c>
      <c r="J45" s="42" t="n">
        <f aca="false">IF($M45="贷",$O45,0)</f>
        <v>0</v>
      </c>
      <c r="K45" s="48" t="str">
        <f aca="false">IF($H45="","",购销流水!$E15)</f>
        <v/>
      </c>
      <c r="L45" s="66" t="n">
        <f aca="false">IF(购销流水!$D15="","",IFERROR(INDEX(记账规则!$A$6:$N$9,MATCH(购销流水!$D15,记账规则!$A$6:$A$9,0),12),""))</f>
        <v>0</v>
      </c>
      <c r="M45" s="66" t="str">
        <f aca="false">IF($L45="","",IFERROR(INDEX(记账规则!$A$6:$N$9,MATCH(购销流水!$D15,记账规则!$A$6:$A$9,0),13),""))</f>
        <v/>
      </c>
      <c r="N45" s="66" t="str">
        <f aca="false">IF($L45="","",IFERROR(INDEX(记账规则!$A$6:$N$9,MATCH(购销流水!$D15,记账规则!$A$6:$A$9,0),14),""))</f>
        <v/>
      </c>
      <c r="O45" s="67" t="n">
        <f aca="false">IF($H45="",0,ROUND(IF($N45="成本金额",N(购销流水!$W15),IF($N45="金额",N(购销流水!$Q15),0)),2))</f>
        <v>0</v>
      </c>
      <c r="P45" s="64" t="str">
        <f aca="false">IF(AND($H45&lt;&gt;"",ROUND($O45,2)&lt;&gt;0),"有","")</f>
        <v/>
      </c>
    </row>
    <row r="46" customFormat="false" ht="15" hidden="false" customHeight="false" outlineLevel="0" collapsed="false">
      <c r="A46" s="53" t="n">
        <f aca="false">IF($H46="","",ROW()-5)</f>
        <v>41</v>
      </c>
      <c r="B46" s="64" t="s">
        <v>36</v>
      </c>
      <c r="C46" s="53" t="n">
        <v>16</v>
      </c>
      <c r="D46" s="53" t="n">
        <v>1</v>
      </c>
      <c r="E46" s="65" t="n">
        <f aca="false">IF($H46="","",购销流水!$B16)</f>
        <v>46211</v>
      </c>
      <c r="F46" s="55" t="str">
        <f aca="false">IF($H46="","",购销流水!$C16)</f>
        <v>木业</v>
      </c>
      <c r="G46" s="48" t="str">
        <f aca="false">IF($H46="","",购销流水!$N16)</f>
        <v>木板</v>
      </c>
      <c r="H46" s="10" t="str">
        <f aca="false">IF($L46="","",IF($L46="@成本",购销流水!$U16,IF($L46="@收入",购销流水!$T16,IF($L46="@存货",购销流水!$S16,IF($L46="@结算",购销流水!$R16,$L46)))))</f>
        <v>应收账款</v>
      </c>
      <c r="I46" s="42" t="n">
        <f aca="false">IF($M46="借",$O46,0)</f>
        <v>363000</v>
      </c>
      <c r="J46" s="42" t="n">
        <f aca="false">IF($M46="贷",$O46,0)</f>
        <v>0</v>
      </c>
      <c r="K46" s="48" t="str">
        <f aca="false">IF($H46="","",购销流水!$E16)</f>
        <v>鑫隆建材</v>
      </c>
      <c r="L46" s="66" t="str">
        <f aca="false">IF(购销流水!$D16="","",IFERROR(INDEX(记账规则!$A$6:$N$9,MATCH(购销流水!$D16,记账规则!$A$6:$A$9,0),3),""))</f>
        <v>@结算</v>
      </c>
      <c r="M46" s="66" t="str">
        <f aca="false">IF($L46="","",IFERROR(INDEX(记账规则!$A$6:$N$9,MATCH(购销流水!$D16,记账规则!$A$6:$A$9,0),4),""))</f>
        <v>借</v>
      </c>
      <c r="N46" s="66" t="str">
        <f aca="false">IF($L46="","",IFERROR(INDEX(记账规则!$A$6:$N$9,MATCH(购销流水!$D16,记账规则!$A$6:$A$9,0),5),""))</f>
        <v>金额</v>
      </c>
      <c r="O46" s="67" t="n">
        <f aca="false">IF($H46="",0,ROUND(IF($N46="成本金额",N(购销流水!$W16),IF($N46="金额",N(购销流水!$Q16),0)),2))</f>
        <v>363000</v>
      </c>
      <c r="P46" s="64" t="str">
        <f aca="false">IF(AND($H46&lt;&gt;"",ROUND($O46,2)&lt;&gt;0),"有","")</f>
        <v>有</v>
      </c>
    </row>
    <row r="47" customFormat="false" ht="15" hidden="false" customHeight="false" outlineLevel="0" collapsed="false">
      <c r="A47" s="53" t="n">
        <f aca="false">IF($H47="","",ROW()-5)</f>
        <v>42</v>
      </c>
      <c r="B47" s="64" t="s">
        <v>36</v>
      </c>
      <c r="C47" s="53" t="n">
        <v>16</v>
      </c>
      <c r="D47" s="53" t="n">
        <v>2</v>
      </c>
      <c r="E47" s="65" t="n">
        <f aca="false">IF($H47="","",购销流水!$B16)</f>
        <v>46211</v>
      </c>
      <c r="F47" s="55" t="str">
        <f aca="false">IF($H47="","",购销流水!$C16)</f>
        <v>木业</v>
      </c>
      <c r="G47" s="48" t="str">
        <f aca="false">IF($H47="","",购销流水!$N16)</f>
        <v>木板</v>
      </c>
      <c r="H47" s="10" t="str">
        <f aca="false">IF($L47="","",IF($L47="@成本",购销流水!$U16,IF($L47="@收入",购销流水!$T16,IF($L47="@存货",购销流水!$S16,IF($L47="@结算",购销流水!$R16,$L47)))))</f>
        <v>主营业务收入</v>
      </c>
      <c r="I47" s="42" t="n">
        <f aca="false">IF($M47="借",$O47,0)</f>
        <v>0</v>
      </c>
      <c r="J47" s="42" t="n">
        <f aca="false">IF($M47="贷",$O47,0)</f>
        <v>363000</v>
      </c>
      <c r="K47" s="48" t="str">
        <f aca="false">IF($H47="","",购销流水!$E16)</f>
        <v>鑫隆建材</v>
      </c>
      <c r="L47" s="66" t="str">
        <f aca="false">IF(购销流水!$D16="","",IFERROR(INDEX(记账规则!$A$6:$N$9,MATCH(购销流水!$D16,记账规则!$A$6:$A$9,0),6),""))</f>
        <v>@收入</v>
      </c>
      <c r="M47" s="66" t="str">
        <f aca="false">IF($L47="","",IFERROR(INDEX(记账规则!$A$6:$N$9,MATCH(购销流水!$D16,记账规则!$A$6:$A$9,0),7),""))</f>
        <v>贷</v>
      </c>
      <c r="N47" s="66" t="str">
        <f aca="false">IF($L47="","",IFERROR(INDEX(记账规则!$A$6:$N$9,MATCH(购销流水!$D16,记账规则!$A$6:$A$9,0),8),""))</f>
        <v>金额</v>
      </c>
      <c r="O47" s="67" t="n">
        <f aca="false">IF($H47="",0,ROUND(IF($N47="成本金额",N(购销流水!$W16),IF($N47="金额",N(购销流水!$Q16),0)),2))</f>
        <v>363000</v>
      </c>
      <c r="P47" s="64" t="str">
        <f aca="false">IF(AND($H47&lt;&gt;"",ROUND($O47,2)&lt;&gt;0),"有","")</f>
        <v>有</v>
      </c>
    </row>
    <row r="48" customFormat="false" ht="15" hidden="false" customHeight="false" outlineLevel="0" collapsed="false">
      <c r="A48" s="53" t="n">
        <f aca="false">IF($H48="","",ROW()-5)</f>
        <v>43</v>
      </c>
      <c r="B48" s="64" t="s">
        <v>36</v>
      </c>
      <c r="C48" s="53" t="n">
        <v>16</v>
      </c>
      <c r="D48" s="53" t="n">
        <v>3</v>
      </c>
      <c r="E48" s="65" t="n">
        <f aca="false">IF($H48="","",购销流水!$B16)</f>
        <v>46211</v>
      </c>
      <c r="F48" s="55" t="str">
        <f aca="false">IF($H48="","",购销流水!$C16)</f>
        <v>木业</v>
      </c>
      <c r="G48" s="48" t="str">
        <f aca="false">IF($H48="","",购销流水!$N16)</f>
        <v>木板</v>
      </c>
      <c r="H48" s="10" t="str">
        <f aca="false">IF($L48="","",IF($L48="@成本",购销流水!$U16,IF($L48="@收入",购销流水!$T16,IF($L48="@存货",购销流水!$S16,IF($L48="@结算",购销流水!$R16,$L48)))))</f>
        <v>主营业务成本</v>
      </c>
      <c r="I48" s="42" t="n">
        <f aca="false">IF($M48="借",$O48,0)</f>
        <v>218349.42</v>
      </c>
      <c r="J48" s="42" t="n">
        <f aca="false">IF($M48="贷",$O48,0)</f>
        <v>0</v>
      </c>
      <c r="K48" s="48" t="str">
        <f aca="false">IF($H48="","",购销流水!$E16)</f>
        <v>鑫隆建材</v>
      </c>
      <c r="L48" s="66" t="str">
        <f aca="false">IF(购销流水!$D16="","",IFERROR(INDEX(记账规则!$A$6:$N$9,MATCH(购销流水!$D16,记账规则!$A$6:$A$9,0),9),""))</f>
        <v>@成本</v>
      </c>
      <c r="M48" s="66" t="str">
        <f aca="false">IF($L48="","",IFERROR(INDEX(记账规则!$A$6:$N$9,MATCH(购销流水!$D16,记账规则!$A$6:$A$9,0),10),""))</f>
        <v>借</v>
      </c>
      <c r="N48" s="66" t="str">
        <f aca="false">IF($L48="","",IFERROR(INDEX(记账规则!$A$6:$N$9,MATCH(购销流水!$D16,记账规则!$A$6:$A$9,0),11),""))</f>
        <v>成本金额</v>
      </c>
      <c r="O48" s="67" t="n">
        <f aca="false">IF($H48="",0,ROUND(IF($N48="成本金额",N(购销流水!$W16),IF($N48="金额",N(购销流水!$Q16),0)),2))</f>
        <v>218349.42</v>
      </c>
      <c r="P48" s="64" t="str">
        <f aca="false">IF(AND($H48&lt;&gt;"",ROUND($O48,2)&lt;&gt;0),"有","")</f>
        <v>有</v>
      </c>
    </row>
    <row r="49" customFormat="false" ht="15" hidden="false" customHeight="false" outlineLevel="0" collapsed="false">
      <c r="A49" s="53" t="n">
        <f aca="false">IF($H49="","",ROW()-5)</f>
        <v>44</v>
      </c>
      <c r="B49" s="64" t="s">
        <v>36</v>
      </c>
      <c r="C49" s="53" t="n">
        <v>16</v>
      </c>
      <c r="D49" s="53" t="n">
        <v>4</v>
      </c>
      <c r="E49" s="65" t="n">
        <f aca="false">IF($H49="","",购销流水!$B16)</f>
        <v>46211</v>
      </c>
      <c r="F49" s="55" t="str">
        <f aca="false">IF($H49="","",购销流水!$C16)</f>
        <v>木业</v>
      </c>
      <c r="G49" s="48" t="str">
        <f aca="false">IF($H49="","",购销流水!$N16)</f>
        <v>木板</v>
      </c>
      <c r="H49" s="10" t="str">
        <f aca="false">IF($L49="","",IF($L49="@成本",购销流水!$U16,IF($L49="@收入",购销流水!$T16,IF($L49="@存货",购销流水!$S16,IF($L49="@结算",购销流水!$R16,$L49)))))</f>
        <v>库存商品</v>
      </c>
      <c r="I49" s="42" t="n">
        <f aca="false">IF($M49="借",$O49,0)</f>
        <v>0</v>
      </c>
      <c r="J49" s="42" t="n">
        <f aca="false">IF($M49="贷",$O49,0)</f>
        <v>218349.42</v>
      </c>
      <c r="K49" s="48" t="str">
        <f aca="false">IF($H49="","",购销流水!$E16)</f>
        <v>鑫隆建材</v>
      </c>
      <c r="L49" s="66" t="str">
        <f aca="false">IF(购销流水!$D16="","",IFERROR(INDEX(记账规则!$A$6:$N$9,MATCH(购销流水!$D16,记账规则!$A$6:$A$9,0),12),""))</f>
        <v>@存货</v>
      </c>
      <c r="M49" s="66" t="str">
        <f aca="false">IF($L49="","",IFERROR(INDEX(记账规则!$A$6:$N$9,MATCH(购销流水!$D16,记账规则!$A$6:$A$9,0),13),""))</f>
        <v>贷</v>
      </c>
      <c r="N49" s="66" t="str">
        <f aca="false">IF($L49="","",IFERROR(INDEX(记账规则!$A$6:$N$9,MATCH(购销流水!$D16,记账规则!$A$6:$A$9,0),14),""))</f>
        <v>成本金额</v>
      </c>
      <c r="O49" s="67" t="n">
        <f aca="false">IF($H49="",0,ROUND(IF($N49="成本金额",N(购销流水!$W16),IF($N49="金额",N(购销流水!$Q16),0)),2))</f>
        <v>218349.42</v>
      </c>
      <c r="P49" s="64" t="str">
        <f aca="false">IF(AND($H49&lt;&gt;"",ROUND($O49,2)&lt;&gt;0),"有","")</f>
        <v>有</v>
      </c>
    </row>
    <row r="50" customFormat="false" ht="15" hidden="false" customHeight="false" outlineLevel="0" collapsed="false">
      <c r="A50" s="53" t="n">
        <f aca="false">IF($H50="","",ROW()-5)</f>
        <v>45</v>
      </c>
      <c r="B50" s="64" t="s">
        <v>36</v>
      </c>
      <c r="C50" s="53" t="n">
        <v>17</v>
      </c>
      <c r="D50" s="53" t="n">
        <v>1</v>
      </c>
      <c r="E50" s="65" t="n">
        <f aca="false">IF($H50="","",购销流水!$B17)</f>
        <v>46240</v>
      </c>
      <c r="F50" s="55" t="str">
        <f aca="false">IF($H50="","",购销流水!$C17)</f>
        <v>木业</v>
      </c>
      <c r="G50" s="48" t="str">
        <f aca="false">IF($H50="","",购销流水!$N17)</f>
        <v>模板</v>
      </c>
      <c r="H50" s="10" t="str">
        <f aca="false">IF($L50="","",IF($L50="@成本",购销流水!$U17,IF($L50="@收入",购销流水!$T17,IF($L50="@存货",购销流水!$S17,IF($L50="@结算",购销流水!$R17,$L50)))))</f>
        <v>应收账款</v>
      </c>
      <c r="I50" s="42" t="n">
        <f aca="false">IF($M50="借",$O50,0)</f>
        <v>105000</v>
      </c>
      <c r="J50" s="42" t="n">
        <f aca="false">IF($M50="贷",$O50,0)</f>
        <v>0</v>
      </c>
      <c r="K50" s="48" t="str">
        <f aca="false">IF($H50="","",购销流水!$E17)</f>
        <v>中建八局项目部</v>
      </c>
      <c r="L50" s="66" t="str">
        <f aca="false">IF(购销流水!$D17="","",IFERROR(INDEX(记账规则!$A$6:$N$9,MATCH(购销流水!$D17,记账规则!$A$6:$A$9,0),3),""))</f>
        <v>@结算</v>
      </c>
      <c r="M50" s="66" t="str">
        <f aca="false">IF($L50="","",IFERROR(INDEX(记账规则!$A$6:$N$9,MATCH(购销流水!$D17,记账规则!$A$6:$A$9,0),4),""))</f>
        <v>借</v>
      </c>
      <c r="N50" s="66" t="str">
        <f aca="false">IF($L50="","",IFERROR(INDEX(记账规则!$A$6:$N$9,MATCH(购销流水!$D17,记账规则!$A$6:$A$9,0),5),""))</f>
        <v>金额</v>
      </c>
      <c r="O50" s="67" t="n">
        <f aca="false">IF($H50="",0,ROUND(IF($N50="成本金额",N(购销流水!$W17),IF($N50="金额",N(购销流水!$Q17),0)),2))</f>
        <v>105000</v>
      </c>
      <c r="P50" s="64" t="str">
        <f aca="false">IF(AND($H50&lt;&gt;"",ROUND($O50,2)&lt;&gt;0),"有","")</f>
        <v>有</v>
      </c>
    </row>
    <row r="51" customFormat="false" ht="15" hidden="false" customHeight="false" outlineLevel="0" collapsed="false">
      <c r="A51" s="53" t="n">
        <f aca="false">IF($H51="","",ROW()-5)</f>
        <v>46</v>
      </c>
      <c r="B51" s="64" t="s">
        <v>36</v>
      </c>
      <c r="C51" s="53" t="n">
        <v>17</v>
      </c>
      <c r="D51" s="53" t="n">
        <v>2</v>
      </c>
      <c r="E51" s="65" t="n">
        <f aca="false">IF($H51="","",购销流水!$B17)</f>
        <v>46240</v>
      </c>
      <c r="F51" s="55" t="str">
        <f aca="false">IF($H51="","",购销流水!$C17)</f>
        <v>木业</v>
      </c>
      <c r="G51" s="48" t="str">
        <f aca="false">IF($H51="","",购销流水!$N17)</f>
        <v>模板</v>
      </c>
      <c r="H51" s="10" t="str">
        <f aca="false">IF($L51="","",IF($L51="@成本",购销流水!$U17,IF($L51="@收入",购销流水!$T17,IF($L51="@存货",购销流水!$S17,IF($L51="@结算",购销流水!$R17,$L51)))))</f>
        <v>主营业务收入</v>
      </c>
      <c r="I51" s="42" t="n">
        <f aca="false">IF($M51="借",$O51,0)</f>
        <v>0</v>
      </c>
      <c r="J51" s="42" t="n">
        <f aca="false">IF($M51="贷",$O51,0)</f>
        <v>105000</v>
      </c>
      <c r="K51" s="48" t="str">
        <f aca="false">IF($H51="","",购销流水!$E17)</f>
        <v>中建八局项目部</v>
      </c>
      <c r="L51" s="66" t="str">
        <f aca="false">IF(购销流水!$D17="","",IFERROR(INDEX(记账规则!$A$6:$N$9,MATCH(购销流水!$D17,记账规则!$A$6:$A$9,0),6),""))</f>
        <v>@收入</v>
      </c>
      <c r="M51" s="66" t="str">
        <f aca="false">IF($L51="","",IFERROR(INDEX(记账规则!$A$6:$N$9,MATCH(购销流水!$D17,记账规则!$A$6:$A$9,0),7),""))</f>
        <v>贷</v>
      </c>
      <c r="N51" s="66" t="str">
        <f aca="false">IF($L51="","",IFERROR(INDEX(记账规则!$A$6:$N$9,MATCH(购销流水!$D17,记账规则!$A$6:$A$9,0),8),""))</f>
        <v>金额</v>
      </c>
      <c r="O51" s="67" t="n">
        <f aca="false">IF($H51="",0,ROUND(IF($N51="成本金额",N(购销流水!$W17),IF($N51="金额",N(购销流水!$Q17),0)),2))</f>
        <v>105000</v>
      </c>
      <c r="P51" s="64" t="str">
        <f aca="false">IF(AND($H51&lt;&gt;"",ROUND($O51,2)&lt;&gt;0),"有","")</f>
        <v>有</v>
      </c>
    </row>
    <row r="52" customFormat="false" ht="15" hidden="false" customHeight="false" outlineLevel="0" collapsed="false">
      <c r="A52" s="53" t="n">
        <f aca="false">IF($H52="","",ROW()-5)</f>
        <v>47</v>
      </c>
      <c r="B52" s="64" t="s">
        <v>36</v>
      </c>
      <c r="C52" s="53" t="n">
        <v>17</v>
      </c>
      <c r="D52" s="53" t="n">
        <v>3</v>
      </c>
      <c r="E52" s="65" t="n">
        <f aca="false">IF($H52="","",购销流水!$B17)</f>
        <v>46240</v>
      </c>
      <c r="F52" s="55" t="str">
        <f aca="false">IF($H52="","",购销流水!$C17)</f>
        <v>木业</v>
      </c>
      <c r="G52" s="48" t="str">
        <f aca="false">IF($H52="","",购销流水!$N17)</f>
        <v>模板</v>
      </c>
      <c r="H52" s="10" t="str">
        <f aca="false">IF($L52="","",IF($L52="@成本",购销流水!$U17,IF($L52="@收入",购销流水!$T17,IF($L52="@存货",购销流水!$S17,IF($L52="@结算",购销流水!$R17,$L52)))))</f>
        <v>主营业务成本</v>
      </c>
      <c r="I52" s="42" t="n">
        <f aca="false">IF($M52="借",$O52,0)</f>
        <v>66164.39</v>
      </c>
      <c r="J52" s="42" t="n">
        <f aca="false">IF($M52="贷",$O52,0)</f>
        <v>0</v>
      </c>
      <c r="K52" s="48" t="str">
        <f aca="false">IF($H52="","",购销流水!$E17)</f>
        <v>中建八局项目部</v>
      </c>
      <c r="L52" s="66" t="str">
        <f aca="false">IF(购销流水!$D17="","",IFERROR(INDEX(记账规则!$A$6:$N$9,MATCH(购销流水!$D17,记账规则!$A$6:$A$9,0),9),""))</f>
        <v>@成本</v>
      </c>
      <c r="M52" s="66" t="str">
        <f aca="false">IF($L52="","",IFERROR(INDEX(记账规则!$A$6:$N$9,MATCH(购销流水!$D17,记账规则!$A$6:$A$9,0),10),""))</f>
        <v>借</v>
      </c>
      <c r="N52" s="66" t="str">
        <f aca="false">IF($L52="","",IFERROR(INDEX(记账规则!$A$6:$N$9,MATCH(购销流水!$D17,记账规则!$A$6:$A$9,0),11),""))</f>
        <v>成本金额</v>
      </c>
      <c r="O52" s="67" t="n">
        <f aca="false">IF($H52="",0,ROUND(IF($N52="成本金额",N(购销流水!$W17),IF($N52="金额",N(购销流水!$Q17),0)),2))</f>
        <v>66164.39</v>
      </c>
      <c r="P52" s="64" t="str">
        <f aca="false">IF(AND($H52&lt;&gt;"",ROUND($O52,2)&lt;&gt;0),"有","")</f>
        <v>有</v>
      </c>
    </row>
    <row r="53" customFormat="false" ht="15" hidden="false" customHeight="false" outlineLevel="0" collapsed="false">
      <c r="A53" s="53" t="n">
        <f aca="false">IF($H53="","",ROW()-5)</f>
        <v>48</v>
      </c>
      <c r="B53" s="64" t="s">
        <v>36</v>
      </c>
      <c r="C53" s="53" t="n">
        <v>17</v>
      </c>
      <c r="D53" s="53" t="n">
        <v>4</v>
      </c>
      <c r="E53" s="65" t="n">
        <f aca="false">IF($H53="","",购销流水!$B17)</f>
        <v>46240</v>
      </c>
      <c r="F53" s="55" t="str">
        <f aca="false">IF($H53="","",购销流水!$C17)</f>
        <v>木业</v>
      </c>
      <c r="G53" s="48" t="str">
        <f aca="false">IF($H53="","",购销流水!$N17)</f>
        <v>模板</v>
      </c>
      <c r="H53" s="10" t="str">
        <f aca="false">IF($L53="","",IF($L53="@成本",购销流水!$U17,IF($L53="@收入",购销流水!$T17,IF($L53="@存货",购销流水!$S17,IF($L53="@结算",购销流水!$R17,$L53)))))</f>
        <v>库存商品</v>
      </c>
      <c r="I53" s="42" t="n">
        <f aca="false">IF($M53="借",$O53,0)</f>
        <v>0</v>
      </c>
      <c r="J53" s="42" t="n">
        <f aca="false">IF($M53="贷",$O53,0)</f>
        <v>66164.39</v>
      </c>
      <c r="K53" s="48" t="str">
        <f aca="false">IF($H53="","",购销流水!$E17)</f>
        <v>中建八局项目部</v>
      </c>
      <c r="L53" s="66" t="str">
        <f aca="false">IF(购销流水!$D17="","",IFERROR(INDEX(记账规则!$A$6:$N$9,MATCH(购销流水!$D17,记账规则!$A$6:$A$9,0),12),""))</f>
        <v>@存货</v>
      </c>
      <c r="M53" s="66" t="str">
        <f aca="false">IF($L53="","",IFERROR(INDEX(记账规则!$A$6:$N$9,MATCH(购销流水!$D17,记账规则!$A$6:$A$9,0),13),""))</f>
        <v>贷</v>
      </c>
      <c r="N53" s="66" t="str">
        <f aca="false">IF($L53="","",IFERROR(INDEX(记账规则!$A$6:$N$9,MATCH(购销流水!$D17,记账规则!$A$6:$A$9,0),14),""))</f>
        <v>成本金额</v>
      </c>
      <c r="O53" s="67" t="n">
        <f aca="false">IF($H53="",0,ROUND(IF($N53="成本金额",N(购销流水!$W17),IF($N53="金额",N(购销流水!$Q17),0)),2))</f>
        <v>66164.39</v>
      </c>
      <c r="P53" s="64" t="str">
        <f aca="false">IF(AND($H53&lt;&gt;"",ROUND($O53,2)&lt;&gt;0),"有","")</f>
        <v>有</v>
      </c>
    </row>
    <row r="54" customFormat="false" ht="15" hidden="false" customHeight="false" outlineLevel="0" collapsed="false">
      <c r="A54" s="53" t="n">
        <f aca="false">IF($H54="","",ROW()-5)</f>
        <v>49</v>
      </c>
      <c r="B54" s="64" t="s">
        <v>36</v>
      </c>
      <c r="C54" s="53" t="n">
        <v>18</v>
      </c>
      <c r="D54" s="53" t="n">
        <v>1</v>
      </c>
      <c r="E54" s="65" t="n">
        <f aca="false">IF($H54="","",购销流水!$B18)</f>
        <v>46256</v>
      </c>
      <c r="F54" s="55" t="str">
        <f aca="false">IF($H54="","",购销流水!$C18)</f>
        <v>木业</v>
      </c>
      <c r="G54" s="48" t="str">
        <f aca="false">IF($H54="","",购销流水!$N18)</f>
        <v>包装箱板材</v>
      </c>
      <c r="H54" s="10" t="str">
        <f aca="false">IF($L54="","",IF($L54="@成本",购销流水!$U18,IF($L54="@收入",购销流水!$T18,IF($L54="@存货",购销流水!$S18,IF($L54="@结算",购销流水!$R18,$L54)))))</f>
        <v>应收账款</v>
      </c>
      <c r="I54" s="42" t="n">
        <f aca="false">IF($M54="借",$O54,0)</f>
        <v>92250</v>
      </c>
      <c r="J54" s="42" t="n">
        <f aca="false">IF($M54="贷",$O54,0)</f>
        <v>0</v>
      </c>
      <c r="K54" s="48" t="str">
        <f aca="false">IF($H54="","",购销流水!$E18)</f>
        <v>顺达包装</v>
      </c>
      <c r="L54" s="66" t="str">
        <f aca="false">IF(购销流水!$D18="","",IFERROR(INDEX(记账规则!$A$6:$N$9,MATCH(购销流水!$D18,记账规则!$A$6:$A$9,0),3),""))</f>
        <v>@结算</v>
      </c>
      <c r="M54" s="66" t="str">
        <f aca="false">IF($L54="","",IFERROR(INDEX(记账规则!$A$6:$N$9,MATCH(购销流水!$D18,记账规则!$A$6:$A$9,0),4),""))</f>
        <v>借</v>
      </c>
      <c r="N54" s="66" t="str">
        <f aca="false">IF($L54="","",IFERROR(INDEX(记账规则!$A$6:$N$9,MATCH(购销流水!$D18,记账规则!$A$6:$A$9,0),5),""))</f>
        <v>金额</v>
      </c>
      <c r="O54" s="67" t="n">
        <f aca="false">IF($H54="",0,ROUND(IF($N54="成本金额",N(购销流水!$W18),IF($N54="金额",N(购销流水!$Q18),0)),2))</f>
        <v>92250</v>
      </c>
      <c r="P54" s="64" t="str">
        <f aca="false">IF(AND($H54&lt;&gt;"",ROUND($O54,2)&lt;&gt;0),"有","")</f>
        <v>有</v>
      </c>
    </row>
    <row r="55" customFormat="false" ht="15" hidden="false" customHeight="false" outlineLevel="0" collapsed="false">
      <c r="A55" s="53" t="n">
        <f aca="false">IF($H55="","",ROW()-5)</f>
        <v>50</v>
      </c>
      <c r="B55" s="64" t="s">
        <v>36</v>
      </c>
      <c r="C55" s="53" t="n">
        <v>18</v>
      </c>
      <c r="D55" s="53" t="n">
        <v>2</v>
      </c>
      <c r="E55" s="65" t="n">
        <f aca="false">IF($H55="","",购销流水!$B18)</f>
        <v>46256</v>
      </c>
      <c r="F55" s="55" t="str">
        <f aca="false">IF($H55="","",购销流水!$C18)</f>
        <v>木业</v>
      </c>
      <c r="G55" s="48" t="str">
        <f aca="false">IF($H55="","",购销流水!$N18)</f>
        <v>包装箱板材</v>
      </c>
      <c r="H55" s="10" t="str">
        <f aca="false">IF($L55="","",IF($L55="@成本",购销流水!$U18,IF($L55="@收入",购销流水!$T18,IF($L55="@存货",购销流水!$S18,IF($L55="@结算",购销流水!$R18,$L55)))))</f>
        <v>主营业务收入</v>
      </c>
      <c r="I55" s="42" t="n">
        <f aca="false">IF($M55="借",$O55,0)</f>
        <v>0</v>
      </c>
      <c r="J55" s="42" t="n">
        <f aca="false">IF($M55="贷",$O55,0)</f>
        <v>92250</v>
      </c>
      <c r="K55" s="48" t="str">
        <f aca="false">IF($H55="","",购销流水!$E18)</f>
        <v>顺达包装</v>
      </c>
      <c r="L55" s="66" t="str">
        <f aca="false">IF(购销流水!$D18="","",IFERROR(INDEX(记账规则!$A$6:$N$9,MATCH(购销流水!$D18,记账规则!$A$6:$A$9,0),6),""))</f>
        <v>@收入</v>
      </c>
      <c r="M55" s="66" t="str">
        <f aca="false">IF($L55="","",IFERROR(INDEX(记账规则!$A$6:$N$9,MATCH(购销流水!$D18,记账规则!$A$6:$A$9,0),7),""))</f>
        <v>贷</v>
      </c>
      <c r="N55" s="66" t="str">
        <f aca="false">IF($L55="","",IFERROR(INDEX(记账规则!$A$6:$N$9,MATCH(购销流水!$D18,记账规则!$A$6:$A$9,0),8),""))</f>
        <v>金额</v>
      </c>
      <c r="O55" s="67" t="n">
        <f aca="false">IF($H55="",0,ROUND(IF($N55="成本金额",N(购销流水!$W18),IF($N55="金额",N(购销流水!$Q18),0)),2))</f>
        <v>92250</v>
      </c>
      <c r="P55" s="64" t="str">
        <f aca="false">IF(AND($H55&lt;&gt;"",ROUND($O55,2)&lt;&gt;0),"有","")</f>
        <v>有</v>
      </c>
    </row>
    <row r="56" customFormat="false" ht="15" hidden="false" customHeight="false" outlineLevel="0" collapsed="false">
      <c r="A56" s="53" t="n">
        <f aca="false">IF($H56="","",ROW()-5)</f>
        <v>51</v>
      </c>
      <c r="B56" s="64" t="s">
        <v>36</v>
      </c>
      <c r="C56" s="53" t="n">
        <v>18</v>
      </c>
      <c r="D56" s="53" t="n">
        <v>3</v>
      </c>
      <c r="E56" s="65" t="n">
        <f aca="false">IF($H56="","",购销流水!$B18)</f>
        <v>46256</v>
      </c>
      <c r="F56" s="55" t="str">
        <f aca="false">IF($H56="","",购销流水!$C18)</f>
        <v>木业</v>
      </c>
      <c r="G56" s="48" t="str">
        <f aca="false">IF($H56="","",购销流水!$N18)</f>
        <v>包装箱板材</v>
      </c>
      <c r="H56" s="10" t="str">
        <f aca="false">IF($L56="","",IF($L56="@成本",购销流水!$U18,IF($L56="@收入",购销流水!$T18,IF($L56="@存货",购销流水!$S18,IF($L56="@结算",购销流水!$R18,$L56)))))</f>
        <v>主营业务成本</v>
      </c>
      <c r="I56" s="42" t="n">
        <f aca="false">IF($M56="借",$O56,0)</f>
        <v>67148.12</v>
      </c>
      <c r="J56" s="42" t="n">
        <f aca="false">IF($M56="贷",$O56,0)</f>
        <v>0</v>
      </c>
      <c r="K56" s="48" t="str">
        <f aca="false">IF($H56="","",购销流水!$E18)</f>
        <v>顺达包装</v>
      </c>
      <c r="L56" s="66" t="str">
        <f aca="false">IF(购销流水!$D18="","",IFERROR(INDEX(记账规则!$A$6:$N$9,MATCH(购销流水!$D18,记账规则!$A$6:$A$9,0),9),""))</f>
        <v>@成本</v>
      </c>
      <c r="M56" s="66" t="str">
        <f aca="false">IF($L56="","",IFERROR(INDEX(记账规则!$A$6:$N$9,MATCH(购销流水!$D18,记账规则!$A$6:$A$9,0),10),""))</f>
        <v>借</v>
      </c>
      <c r="N56" s="66" t="str">
        <f aca="false">IF($L56="","",IFERROR(INDEX(记账规则!$A$6:$N$9,MATCH(购销流水!$D18,记账规则!$A$6:$A$9,0),11),""))</f>
        <v>成本金额</v>
      </c>
      <c r="O56" s="67" t="n">
        <f aca="false">IF($H56="",0,ROUND(IF($N56="成本金额",N(购销流水!$W18),IF($N56="金额",N(购销流水!$Q18),0)),2))</f>
        <v>67148.12</v>
      </c>
      <c r="P56" s="64" t="str">
        <f aca="false">IF(AND($H56&lt;&gt;"",ROUND($O56,2)&lt;&gt;0),"有","")</f>
        <v>有</v>
      </c>
    </row>
    <row r="57" customFormat="false" ht="15" hidden="false" customHeight="false" outlineLevel="0" collapsed="false">
      <c r="A57" s="53" t="n">
        <f aca="false">IF($H57="","",ROW()-5)</f>
        <v>52</v>
      </c>
      <c r="B57" s="64" t="s">
        <v>36</v>
      </c>
      <c r="C57" s="53" t="n">
        <v>18</v>
      </c>
      <c r="D57" s="53" t="n">
        <v>4</v>
      </c>
      <c r="E57" s="65" t="n">
        <f aca="false">IF($H57="","",购销流水!$B18)</f>
        <v>46256</v>
      </c>
      <c r="F57" s="55" t="str">
        <f aca="false">IF($H57="","",购销流水!$C18)</f>
        <v>木业</v>
      </c>
      <c r="G57" s="48" t="str">
        <f aca="false">IF($H57="","",购销流水!$N18)</f>
        <v>包装箱板材</v>
      </c>
      <c r="H57" s="10" t="str">
        <f aca="false">IF($L57="","",IF($L57="@成本",购销流水!$U18,IF($L57="@收入",购销流水!$T18,IF($L57="@存货",购销流水!$S18,IF($L57="@结算",购销流水!$R18,$L57)))))</f>
        <v>库存商品</v>
      </c>
      <c r="I57" s="42" t="n">
        <f aca="false">IF($M57="借",$O57,0)</f>
        <v>0</v>
      </c>
      <c r="J57" s="42" t="n">
        <f aca="false">IF($M57="贷",$O57,0)</f>
        <v>67148.12</v>
      </c>
      <c r="K57" s="48" t="str">
        <f aca="false">IF($H57="","",购销流水!$E18)</f>
        <v>顺达包装</v>
      </c>
      <c r="L57" s="66" t="str">
        <f aca="false">IF(购销流水!$D18="","",IFERROR(INDEX(记账规则!$A$6:$N$9,MATCH(购销流水!$D18,记账规则!$A$6:$A$9,0),12),""))</f>
        <v>@存货</v>
      </c>
      <c r="M57" s="66" t="str">
        <f aca="false">IF($L57="","",IFERROR(INDEX(记账规则!$A$6:$N$9,MATCH(购销流水!$D18,记账规则!$A$6:$A$9,0),13),""))</f>
        <v>贷</v>
      </c>
      <c r="N57" s="66" t="str">
        <f aca="false">IF($L57="","",IFERROR(INDEX(记账规则!$A$6:$N$9,MATCH(购销流水!$D18,记账规则!$A$6:$A$9,0),14),""))</f>
        <v>成本金额</v>
      </c>
      <c r="O57" s="67" t="n">
        <f aca="false">IF($H57="",0,ROUND(IF($N57="成本金额",N(购销流水!$W18),IF($N57="金额",N(购销流水!$Q18),0)),2))</f>
        <v>67148.12</v>
      </c>
      <c r="P57" s="64" t="str">
        <f aca="false">IF(AND($H57&lt;&gt;"",ROUND($O57,2)&lt;&gt;0),"有","")</f>
        <v>有</v>
      </c>
    </row>
    <row r="58" customFormat="false" ht="15" hidden="false" customHeight="false" outlineLevel="0" collapsed="false">
      <c r="A58" s="53" t="n">
        <f aca="false">IF($H58="","",ROW()-5)</f>
        <v>53</v>
      </c>
      <c r="B58" s="64" t="s">
        <v>36</v>
      </c>
      <c r="C58" s="53" t="n">
        <v>19</v>
      </c>
      <c r="D58" s="53" t="n">
        <v>1</v>
      </c>
      <c r="E58" s="65" t="n">
        <f aca="false">IF($H58="","",购销流水!$B19)</f>
        <v>46268</v>
      </c>
      <c r="F58" s="55" t="str">
        <f aca="false">IF($H58="","",购销流水!$C19)</f>
        <v>木业</v>
      </c>
      <c r="G58" s="48" t="str">
        <f aca="false">IF($H58="","",购销流水!$N19)</f>
        <v>建筑木方料</v>
      </c>
      <c r="H58" s="10" t="str">
        <f aca="false">IF($L58="","",IF($L58="@成本",购销流水!$U19,IF($L58="@收入",购销流水!$T19,IF($L58="@存货",购销流水!$S19,IF($L58="@结算",购销流水!$R19,$L58)))))</f>
        <v>应收账款</v>
      </c>
      <c r="I58" s="42" t="n">
        <f aca="false">IF($M58="借",$O58,0)</f>
        <v>21750</v>
      </c>
      <c r="J58" s="42" t="n">
        <f aca="false">IF($M58="贷",$O58,0)</f>
        <v>0</v>
      </c>
      <c r="K58" s="48" t="str">
        <f aca="false">IF($H58="","",购销流水!$E19)</f>
        <v>恒诚建筑</v>
      </c>
      <c r="L58" s="66" t="str">
        <f aca="false">IF(购销流水!$D19="","",IFERROR(INDEX(记账规则!$A$6:$N$9,MATCH(购销流水!$D19,记账规则!$A$6:$A$9,0),3),""))</f>
        <v>@结算</v>
      </c>
      <c r="M58" s="66" t="str">
        <f aca="false">IF($L58="","",IFERROR(INDEX(记账规则!$A$6:$N$9,MATCH(购销流水!$D19,记账规则!$A$6:$A$9,0),4),""))</f>
        <v>借</v>
      </c>
      <c r="N58" s="66" t="str">
        <f aca="false">IF($L58="","",IFERROR(INDEX(记账规则!$A$6:$N$9,MATCH(购销流水!$D19,记账规则!$A$6:$A$9,0),5),""))</f>
        <v>金额</v>
      </c>
      <c r="O58" s="67" t="n">
        <f aca="false">IF($H58="",0,ROUND(IF($N58="成本金额",N(购销流水!$W19),IF($N58="金额",N(购销流水!$Q19),0)),2))</f>
        <v>21750</v>
      </c>
      <c r="P58" s="64" t="str">
        <f aca="false">IF(AND($H58&lt;&gt;"",ROUND($O58,2)&lt;&gt;0),"有","")</f>
        <v>有</v>
      </c>
    </row>
    <row r="59" customFormat="false" ht="15" hidden="false" customHeight="false" outlineLevel="0" collapsed="false">
      <c r="A59" s="53" t="n">
        <f aca="false">IF($H59="","",ROW()-5)</f>
        <v>54</v>
      </c>
      <c r="B59" s="64" t="s">
        <v>36</v>
      </c>
      <c r="C59" s="53" t="n">
        <v>19</v>
      </c>
      <c r="D59" s="53" t="n">
        <v>2</v>
      </c>
      <c r="E59" s="65" t="n">
        <f aca="false">IF($H59="","",购销流水!$B19)</f>
        <v>46268</v>
      </c>
      <c r="F59" s="55" t="str">
        <f aca="false">IF($H59="","",购销流水!$C19)</f>
        <v>木业</v>
      </c>
      <c r="G59" s="48" t="str">
        <f aca="false">IF($H59="","",购销流水!$N19)</f>
        <v>建筑木方料</v>
      </c>
      <c r="H59" s="10" t="str">
        <f aca="false">IF($L59="","",IF($L59="@成本",购销流水!$U19,IF($L59="@收入",购销流水!$T19,IF($L59="@存货",购销流水!$S19,IF($L59="@结算",购销流水!$R19,$L59)))))</f>
        <v>主营业务收入</v>
      </c>
      <c r="I59" s="42" t="n">
        <f aca="false">IF($M59="借",$O59,0)</f>
        <v>0</v>
      </c>
      <c r="J59" s="42" t="n">
        <f aca="false">IF($M59="贷",$O59,0)</f>
        <v>21750</v>
      </c>
      <c r="K59" s="48" t="str">
        <f aca="false">IF($H59="","",购销流水!$E19)</f>
        <v>恒诚建筑</v>
      </c>
      <c r="L59" s="66" t="str">
        <f aca="false">IF(购销流水!$D19="","",IFERROR(INDEX(记账规则!$A$6:$N$9,MATCH(购销流水!$D19,记账规则!$A$6:$A$9,0),6),""))</f>
        <v>@收入</v>
      </c>
      <c r="M59" s="66" t="str">
        <f aca="false">IF($L59="","",IFERROR(INDEX(记账规则!$A$6:$N$9,MATCH(购销流水!$D19,记账规则!$A$6:$A$9,0),7),""))</f>
        <v>贷</v>
      </c>
      <c r="N59" s="66" t="str">
        <f aca="false">IF($L59="","",IFERROR(INDEX(记账规则!$A$6:$N$9,MATCH(购销流水!$D19,记账规则!$A$6:$A$9,0),8),""))</f>
        <v>金额</v>
      </c>
      <c r="O59" s="67" t="n">
        <f aca="false">IF($H59="",0,ROUND(IF($N59="成本金额",N(购销流水!$W19),IF($N59="金额",N(购销流水!$Q19),0)),2))</f>
        <v>21750</v>
      </c>
      <c r="P59" s="64" t="str">
        <f aca="false">IF(AND($H59&lt;&gt;"",ROUND($O59,2)&lt;&gt;0),"有","")</f>
        <v>有</v>
      </c>
    </row>
    <row r="60" customFormat="false" ht="15" hidden="false" customHeight="false" outlineLevel="0" collapsed="false">
      <c r="A60" s="53" t="n">
        <f aca="false">IF($H60="","",ROW()-5)</f>
        <v>55</v>
      </c>
      <c r="B60" s="64" t="s">
        <v>36</v>
      </c>
      <c r="C60" s="53" t="n">
        <v>19</v>
      </c>
      <c r="D60" s="53" t="n">
        <v>3</v>
      </c>
      <c r="E60" s="65" t="n">
        <f aca="false">IF($H60="","",购销流水!$B19)</f>
        <v>46268</v>
      </c>
      <c r="F60" s="55" t="str">
        <f aca="false">IF($H60="","",购销流水!$C19)</f>
        <v>木业</v>
      </c>
      <c r="G60" s="48" t="str">
        <f aca="false">IF($H60="","",购销流水!$N19)</f>
        <v>建筑木方料</v>
      </c>
      <c r="H60" s="10" t="str">
        <f aca="false">IF($L60="","",IF($L60="@成本",购销流水!$U19,IF($L60="@收入",购销流水!$T19,IF($L60="@存货",购销流水!$S19,IF($L60="@结算",购销流水!$R19,$L60)))))</f>
        <v>主营业务成本</v>
      </c>
      <c r="I60" s="42" t="n">
        <f aca="false">IF($M60="借",$O60,0)</f>
        <v>14367.12</v>
      </c>
      <c r="J60" s="42" t="n">
        <f aca="false">IF($M60="贷",$O60,0)</f>
        <v>0</v>
      </c>
      <c r="K60" s="48" t="str">
        <f aca="false">IF($H60="","",购销流水!$E19)</f>
        <v>恒诚建筑</v>
      </c>
      <c r="L60" s="66" t="str">
        <f aca="false">IF(购销流水!$D19="","",IFERROR(INDEX(记账规则!$A$6:$N$9,MATCH(购销流水!$D19,记账规则!$A$6:$A$9,0),9),""))</f>
        <v>@成本</v>
      </c>
      <c r="M60" s="66" t="str">
        <f aca="false">IF($L60="","",IFERROR(INDEX(记账规则!$A$6:$N$9,MATCH(购销流水!$D19,记账规则!$A$6:$A$9,0),10),""))</f>
        <v>借</v>
      </c>
      <c r="N60" s="66" t="str">
        <f aca="false">IF($L60="","",IFERROR(INDEX(记账规则!$A$6:$N$9,MATCH(购销流水!$D19,记账规则!$A$6:$A$9,0),11),""))</f>
        <v>成本金额</v>
      </c>
      <c r="O60" s="67" t="n">
        <f aca="false">IF($H60="",0,ROUND(IF($N60="成本金额",N(购销流水!$W19),IF($N60="金额",N(购销流水!$Q19),0)),2))</f>
        <v>14367.12</v>
      </c>
      <c r="P60" s="64" t="str">
        <f aca="false">IF(AND($H60&lt;&gt;"",ROUND($O60,2)&lt;&gt;0),"有","")</f>
        <v>有</v>
      </c>
    </row>
    <row r="61" customFormat="false" ht="15" hidden="false" customHeight="false" outlineLevel="0" collapsed="false">
      <c r="A61" s="53" t="n">
        <f aca="false">IF($H61="","",ROW()-5)</f>
        <v>56</v>
      </c>
      <c r="B61" s="64" t="s">
        <v>36</v>
      </c>
      <c r="C61" s="53" t="n">
        <v>19</v>
      </c>
      <c r="D61" s="53" t="n">
        <v>4</v>
      </c>
      <c r="E61" s="65" t="n">
        <f aca="false">IF($H61="","",购销流水!$B19)</f>
        <v>46268</v>
      </c>
      <c r="F61" s="55" t="str">
        <f aca="false">IF($H61="","",购销流水!$C19)</f>
        <v>木业</v>
      </c>
      <c r="G61" s="48" t="str">
        <f aca="false">IF($H61="","",购销流水!$N19)</f>
        <v>建筑木方料</v>
      </c>
      <c r="H61" s="10" t="str">
        <f aca="false">IF($L61="","",IF($L61="@成本",购销流水!$U19,IF($L61="@收入",购销流水!$T19,IF($L61="@存货",购销流水!$S19,IF($L61="@结算",购销流水!$R19,$L61)))))</f>
        <v>库存商品</v>
      </c>
      <c r="I61" s="42" t="n">
        <f aca="false">IF($M61="借",$O61,0)</f>
        <v>0</v>
      </c>
      <c r="J61" s="42" t="n">
        <f aca="false">IF($M61="贷",$O61,0)</f>
        <v>14367.12</v>
      </c>
      <c r="K61" s="48" t="str">
        <f aca="false">IF($H61="","",购销流水!$E19)</f>
        <v>恒诚建筑</v>
      </c>
      <c r="L61" s="66" t="str">
        <f aca="false">IF(购销流水!$D19="","",IFERROR(INDEX(记账规则!$A$6:$N$9,MATCH(购销流水!$D19,记账规则!$A$6:$A$9,0),12),""))</f>
        <v>@存货</v>
      </c>
      <c r="M61" s="66" t="str">
        <f aca="false">IF($L61="","",IFERROR(INDEX(记账规则!$A$6:$N$9,MATCH(购销流水!$D19,记账规则!$A$6:$A$9,0),13),""))</f>
        <v>贷</v>
      </c>
      <c r="N61" s="66" t="str">
        <f aca="false">IF($L61="","",IFERROR(INDEX(记账规则!$A$6:$N$9,MATCH(购销流水!$D19,记账规则!$A$6:$A$9,0),14),""))</f>
        <v>成本金额</v>
      </c>
      <c r="O61" s="67" t="n">
        <f aca="false">IF($H61="",0,ROUND(IF($N61="成本金额",N(购销流水!$W19),IF($N61="金额",N(购销流水!$Q19),0)),2))</f>
        <v>14367.12</v>
      </c>
      <c r="P61" s="64" t="str">
        <f aca="false">IF(AND($H61&lt;&gt;"",ROUND($O61,2)&lt;&gt;0),"有","")</f>
        <v>有</v>
      </c>
    </row>
    <row r="62" customFormat="false" ht="15" hidden="false" customHeight="false" outlineLevel="0" collapsed="false">
      <c r="A62" s="53" t="n">
        <f aca="false">IF($H62="","",ROW()-5)</f>
        <v>57</v>
      </c>
      <c r="B62" s="64" t="s">
        <v>36</v>
      </c>
      <c r="C62" s="53" t="n">
        <v>20</v>
      </c>
      <c r="D62" s="53" t="n">
        <v>1</v>
      </c>
      <c r="E62" s="65" t="n">
        <f aca="false">IF($H62="","",购销流水!$B20)</f>
        <v>46160</v>
      </c>
      <c r="F62" s="55" t="str">
        <f aca="false">IF($H62="","",购销流水!$C20)</f>
        <v>科技</v>
      </c>
      <c r="G62" s="48" t="str">
        <f aca="false">IF($H62="","",购销流水!$N20)</f>
        <v>10ml 玻璃瓶</v>
      </c>
      <c r="H62" s="10" t="str">
        <f aca="false">IF($L62="","",IF($L62="@成本",购销流水!$U20,IF($L62="@收入",购销流水!$T20,IF($L62="@存货",购销流水!$S20,IF($L62="@结算",购销流水!$R20,$L62)))))</f>
        <v>应付账款</v>
      </c>
      <c r="I62" s="42" t="n">
        <f aca="false">IF($M62="借",$O62,0)</f>
        <v>0</v>
      </c>
      <c r="J62" s="42" t="n">
        <f aca="false">IF($M62="贷",$O62,0)</f>
        <v>19200</v>
      </c>
      <c r="K62" s="48" t="str">
        <f aca="false">IF($H62="","",购销流水!$E20)</f>
        <v>晶诚玻璃</v>
      </c>
      <c r="L62" s="66" t="str">
        <f aca="false">IF(购销流水!$D20="","",IFERROR(INDEX(记账规则!$A$6:$N$9,MATCH(购销流水!$D20,记账规则!$A$6:$A$9,0),3),""))</f>
        <v>@结算</v>
      </c>
      <c r="M62" s="66" t="str">
        <f aca="false">IF($L62="","",IFERROR(INDEX(记账规则!$A$6:$N$9,MATCH(购销流水!$D20,记账规则!$A$6:$A$9,0),4),""))</f>
        <v>贷</v>
      </c>
      <c r="N62" s="66" t="str">
        <f aca="false">IF($L62="","",IFERROR(INDEX(记账规则!$A$6:$N$9,MATCH(购销流水!$D20,记账规则!$A$6:$A$9,0),5),""))</f>
        <v>金额</v>
      </c>
      <c r="O62" s="67" t="n">
        <f aca="false">IF($H62="",0,ROUND(IF($N62="成本金额",N(购销流水!$W20),IF($N62="金额",N(购销流水!$Q20),0)),2))</f>
        <v>19200</v>
      </c>
      <c r="P62" s="64" t="str">
        <f aca="false">IF(AND($H62&lt;&gt;"",ROUND($O62,2)&lt;&gt;0),"有","")</f>
        <v>有</v>
      </c>
    </row>
    <row r="63" customFormat="false" ht="15" hidden="false" customHeight="false" outlineLevel="0" collapsed="false">
      <c r="A63" s="53" t="n">
        <f aca="false">IF($H63="","",ROW()-5)</f>
        <v>58</v>
      </c>
      <c r="B63" s="64" t="s">
        <v>36</v>
      </c>
      <c r="C63" s="53" t="n">
        <v>20</v>
      </c>
      <c r="D63" s="53" t="n">
        <v>2</v>
      </c>
      <c r="E63" s="65" t="n">
        <f aca="false">IF($H63="","",购销流水!$B20)</f>
        <v>46160</v>
      </c>
      <c r="F63" s="55" t="str">
        <f aca="false">IF($H63="","",购销流水!$C20)</f>
        <v>科技</v>
      </c>
      <c r="G63" s="48" t="str">
        <f aca="false">IF($H63="","",购销流水!$N20)</f>
        <v>10ml 玻璃瓶</v>
      </c>
      <c r="H63" s="10" t="str">
        <f aca="false">IF($L63="","",IF($L63="@成本",购销流水!$U20,IF($L63="@收入",购销流水!$T20,IF($L63="@存货",购销流水!$S20,IF($L63="@结算",购销流水!$R20,$L63)))))</f>
        <v>原材料</v>
      </c>
      <c r="I63" s="42" t="n">
        <f aca="false">IF($M63="借",$O63,0)</f>
        <v>19200</v>
      </c>
      <c r="J63" s="42" t="n">
        <f aca="false">IF($M63="贷",$O63,0)</f>
        <v>0</v>
      </c>
      <c r="K63" s="48" t="str">
        <f aca="false">IF($H63="","",购销流水!$E20)</f>
        <v>晶诚玻璃</v>
      </c>
      <c r="L63" s="66" t="str">
        <f aca="false">IF(购销流水!$D20="","",IFERROR(INDEX(记账规则!$A$6:$N$9,MATCH(购销流水!$D20,记账规则!$A$6:$A$9,0),6),""))</f>
        <v>@存货</v>
      </c>
      <c r="M63" s="66" t="str">
        <f aca="false">IF($L63="","",IFERROR(INDEX(记账规则!$A$6:$N$9,MATCH(购销流水!$D20,记账规则!$A$6:$A$9,0),7),""))</f>
        <v>借</v>
      </c>
      <c r="N63" s="66" t="str">
        <f aca="false">IF($L63="","",IFERROR(INDEX(记账规则!$A$6:$N$9,MATCH(购销流水!$D20,记账规则!$A$6:$A$9,0),8),""))</f>
        <v>金额</v>
      </c>
      <c r="O63" s="67" t="n">
        <f aca="false">IF($H63="",0,ROUND(IF($N63="成本金额",N(购销流水!$W20),IF($N63="金额",N(购销流水!$Q20),0)),2))</f>
        <v>19200</v>
      </c>
      <c r="P63" s="64" t="str">
        <f aca="false">IF(AND($H63&lt;&gt;"",ROUND($O63,2)&lt;&gt;0),"有","")</f>
        <v>有</v>
      </c>
    </row>
    <row r="64" customFormat="false" ht="15" hidden="true" customHeight="false" outlineLevel="0" collapsed="false">
      <c r="A64" s="53" t="str">
        <f aca="false">IF($H64="","",ROW()-5)</f>
        <v/>
      </c>
      <c r="B64" s="64" t="s">
        <v>36</v>
      </c>
      <c r="C64" s="53" t="n">
        <v>20</v>
      </c>
      <c r="D64" s="53" t="n">
        <v>3</v>
      </c>
      <c r="E64" s="65" t="str">
        <f aca="false">IF($H64="","",购销流水!$B20)</f>
        <v/>
      </c>
      <c r="F64" s="55" t="str">
        <f aca="false">IF($H64="","",购销流水!$C20)</f>
        <v/>
      </c>
      <c r="G64" s="48" t="str">
        <f aca="false">IF($H64="","",购销流水!$N20)</f>
        <v/>
      </c>
      <c r="H64" s="10" t="str">
        <f aca="false">IF($L64="","",IF($L64="@成本",购销流水!$U20,IF($L64="@收入",购销流水!$T20,IF($L64="@存货",购销流水!$S20,IF($L64="@结算",购销流水!$R20,$L64)))))</f>
        <v/>
      </c>
      <c r="I64" s="42" t="n">
        <f aca="false">IF($M64="借",$O64,0)</f>
        <v>0</v>
      </c>
      <c r="J64" s="42" t="n">
        <f aca="false">IF($M64="贷",$O64,0)</f>
        <v>0</v>
      </c>
      <c r="K64" s="48" t="str">
        <f aca="false">IF($H64="","",购销流水!$E20)</f>
        <v/>
      </c>
      <c r="L64" s="66" t="n">
        <f aca="false">IF(购销流水!$D20="","",IFERROR(INDEX(记账规则!$A$6:$N$9,MATCH(购销流水!$D20,记账规则!$A$6:$A$9,0),9),""))</f>
        <v>0</v>
      </c>
      <c r="M64" s="66" t="str">
        <f aca="false">IF($L64="","",IFERROR(INDEX(记账规则!$A$6:$N$9,MATCH(购销流水!$D20,记账规则!$A$6:$A$9,0),10),""))</f>
        <v/>
      </c>
      <c r="N64" s="66" t="str">
        <f aca="false">IF($L64="","",IFERROR(INDEX(记账规则!$A$6:$N$9,MATCH(购销流水!$D20,记账规则!$A$6:$A$9,0),11),""))</f>
        <v/>
      </c>
      <c r="O64" s="67" t="n">
        <f aca="false">IF($H64="",0,ROUND(IF($N64="成本金额",N(购销流水!$W20),IF($N64="金额",N(购销流水!$Q20),0)),2))</f>
        <v>0</v>
      </c>
      <c r="P64" s="64" t="str">
        <f aca="false">IF(AND($H64&lt;&gt;"",ROUND($O64,2)&lt;&gt;0),"有","")</f>
        <v/>
      </c>
    </row>
    <row r="65" customFormat="false" ht="15" hidden="true" customHeight="false" outlineLevel="0" collapsed="false">
      <c r="A65" s="53" t="str">
        <f aca="false">IF($H65="","",ROW()-5)</f>
        <v/>
      </c>
      <c r="B65" s="64" t="s">
        <v>36</v>
      </c>
      <c r="C65" s="53" t="n">
        <v>20</v>
      </c>
      <c r="D65" s="53" t="n">
        <v>4</v>
      </c>
      <c r="E65" s="65" t="str">
        <f aca="false">IF($H65="","",购销流水!$B20)</f>
        <v/>
      </c>
      <c r="F65" s="55" t="str">
        <f aca="false">IF($H65="","",购销流水!$C20)</f>
        <v/>
      </c>
      <c r="G65" s="48" t="str">
        <f aca="false">IF($H65="","",购销流水!$N20)</f>
        <v/>
      </c>
      <c r="H65" s="10" t="str">
        <f aca="false">IF($L65="","",IF($L65="@成本",购销流水!$U20,IF($L65="@收入",购销流水!$T20,IF($L65="@存货",购销流水!$S20,IF($L65="@结算",购销流水!$R20,$L65)))))</f>
        <v/>
      </c>
      <c r="I65" s="42" t="n">
        <f aca="false">IF($M65="借",$O65,0)</f>
        <v>0</v>
      </c>
      <c r="J65" s="42" t="n">
        <f aca="false">IF($M65="贷",$O65,0)</f>
        <v>0</v>
      </c>
      <c r="K65" s="48" t="str">
        <f aca="false">IF($H65="","",购销流水!$E20)</f>
        <v/>
      </c>
      <c r="L65" s="66" t="n">
        <f aca="false">IF(购销流水!$D20="","",IFERROR(INDEX(记账规则!$A$6:$N$9,MATCH(购销流水!$D20,记账规则!$A$6:$A$9,0),12),""))</f>
        <v>0</v>
      </c>
      <c r="M65" s="66" t="str">
        <f aca="false">IF($L65="","",IFERROR(INDEX(记账规则!$A$6:$N$9,MATCH(购销流水!$D20,记账规则!$A$6:$A$9,0),13),""))</f>
        <v/>
      </c>
      <c r="N65" s="66" t="str">
        <f aca="false">IF($L65="","",IFERROR(INDEX(记账规则!$A$6:$N$9,MATCH(购销流水!$D20,记账规则!$A$6:$A$9,0),14),""))</f>
        <v/>
      </c>
      <c r="O65" s="67" t="n">
        <f aca="false">IF($H65="",0,ROUND(IF($N65="成本金额",N(购销流水!$W20),IF($N65="金额",N(购销流水!$Q20),0)),2))</f>
        <v>0</v>
      </c>
      <c r="P65" s="64" t="str">
        <f aca="false">IF(AND($H65&lt;&gt;"",ROUND($O65,2)&lt;&gt;0),"有","")</f>
        <v/>
      </c>
    </row>
    <row r="66" customFormat="false" ht="15" hidden="false" customHeight="false" outlineLevel="0" collapsed="false">
      <c r="A66" s="53" t="n">
        <f aca="false">IF($H66="","",ROW()-5)</f>
        <v>61</v>
      </c>
      <c r="B66" s="64" t="s">
        <v>36</v>
      </c>
      <c r="C66" s="53" t="n">
        <v>21</v>
      </c>
      <c r="D66" s="53" t="n">
        <v>1</v>
      </c>
      <c r="E66" s="65" t="n">
        <f aca="false">IF($H66="","",购销流水!$B21)</f>
        <v>46160</v>
      </c>
      <c r="F66" s="55" t="str">
        <f aca="false">IF($H66="","",购销流水!$C21)</f>
        <v>科技</v>
      </c>
      <c r="G66" s="48" t="str">
        <f aca="false">IF($H66="","",购销流水!$N21)</f>
        <v>包装纸盒</v>
      </c>
      <c r="H66" s="10" t="str">
        <f aca="false">IF($L66="","",IF($L66="@成本",购销流水!$U21,IF($L66="@收入",购销流水!$T21,IF($L66="@存货",购销流水!$S21,IF($L66="@结算",购销流水!$R21,$L66)))))</f>
        <v>应付账款</v>
      </c>
      <c r="I66" s="42" t="n">
        <f aca="false">IF($M66="借",$O66,0)</f>
        <v>0</v>
      </c>
      <c r="J66" s="42" t="n">
        <f aca="false">IF($M66="贷",$O66,0)</f>
        <v>4080</v>
      </c>
      <c r="K66" s="48" t="str">
        <f aca="false">IF($H66="","",购销流水!$E21)</f>
        <v>瑞丰纸品</v>
      </c>
      <c r="L66" s="66" t="str">
        <f aca="false">IF(购销流水!$D21="","",IFERROR(INDEX(记账规则!$A$6:$N$9,MATCH(购销流水!$D21,记账规则!$A$6:$A$9,0),3),""))</f>
        <v>@结算</v>
      </c>
      <c r="M66" s="66" t="str">
        <f aca="false">IF($L66="","",IFERROR(INDEX(记账规则!$A$6:$N$9,MATCH(购销流水!$D21,记账规则!$A$6:$A$9,0),4),""))</f>
        <v>贷</v>
      </c>
      <c r="N66" s="66" t="str">
        <f aca="false">IF($L66="","",IFERROR(INDEX(记账规则!$A$6:$N$9,MATCH(购销流水!$D21,记账规则!$A$6:$A$9,0),5),""))</f>
        <v>金额</v>
      </c>
      <c r="O66" s="67" t="n">
        <f aca="false">IF($H66="",0,ROUND(IF($N66="成本金额",N(购销流水!$W21),IF($N66="金额",N(购销流水!$Q21),0)),2))</f>
        <v>4080</v>
      </c>
      <c r="P66" s="64" t="str">
        <f aca="false">IF(AND($H66&lt;&gt;"",ROUND($O66,2)&lt;&gt;0),"有","")</f>
        <v>有</v>
      </c>
    </row>
    <row r="67" customFormat="false" ht="15" hidden="false" customHeight="false" outlineLevel="0" collapsed="false">
      <c r="A67" s="53" t="n">
        <f aca="false">IF($H67="","",ROW()-5)</f>
        <v>62</v>
      </c>
      <c r="B67" s="64" t="s">
        <v>36</v>
      </c>
      <c r="C67" s="53" t="n">
        <v>21</v>
      </c>
      <c r="D67" s="53" t="n">
        <v>2</v>
      </c>
      <c r="E67" s="65" t="n">
        <f aca="false">IF($H67="","",购销流水!$B21)</f>
        <v>46160</v>
      </c>
      <c r="F67" s="55" t="str">
        <f aca="false">IF($H67="","",购销流水!$C21)</f>
        <v>科技</v>
      </c>
      <c r="G67" s="48" t="str">
        <f aca="false">IF($H67="","",购销流水!$N21)</f>
        <v>包装纸盒</v>
      </c>
      <c r="H67" s="10" t="str">
        <f aca="false">IF($L67="","",IF($L67="@成本",购销流水!$U21,IF($L67="@收入",购销流水!$T21,IF($L67="@存货",购销流水!$S21,IF($L67="@结算",购销流水!$R21,$L67)))))</f>
        <v>原材料</v>
      </c>
      <c r="I67" s="42" t="n">
        <f aca="false">IF($M67="借",$O67,0)</f>
        <v>4080</v>
      </c>
      <c r="J67" s="42" t="n">
        <f aca="false">IF($M67="贷",$O67,0)</f>
        <v>0</v>
      </c>
      <c r="K67" s="48" t="str">
        <f aca="false">IF($H67="","",购销流水!$E21)</f>
        <v>瑞丰纸品</v>
      </c>
      <c r="L67" s="66" t="str">
        <f aca="false">IF(购销流水!$D21="","",IFERROR(INDEX(记账规则!$A$6:$N$9,MATCH(购销流水!$D21,记账规则!$A$6:$A$9,0),6),""))</f>
        <v>@存货</v>
      </c>
      <c r="M67" s="66" t="str">
        <f aca="false">IF($L67="","",IFERROR(INDEX(记账规则!$A$6:$N$9,MATCH(购销流水!$D21,记账规则!$A$6:$A$9,0),7),""))</f>
        <v>借</v>
      </c>
      <c r="N67" s="66" t="str">
        <f aca="false">IF($L67="","",IFERROR(INDEX(记账规则!$A$6:$N$9,MATCH(购销流水!$D21,记账规则!$A$6:$A$9,0),8),""))</f>
        <v>金额</v>
      </c>
      <c r="O67" s="67" t="n">
        <f aca="false">IF($H67="",0,ROUND(IF($N67="成本金额",N(购销流水!$W21),IF($N67="金额",N(购销流水!$Q21),0)),2))</f>
        <v>4080</v>
      </c>
      <c r="P67" s="64" t="str">
        <f aca="false">IF(AND($H67&lt;&gt;"",ROUND($O67,2)&lt;&gt;0),"有","")</f>
        <v>有</v>
      </c>
    </row>
    <row r="68" customFormat="false" ht="15" hidden="true" customHeight="false" outlineLevel="0" collapsed="false">
      <c r="A68" s="53" t="str">
        <f aca="false">IF($H68="","",ROW()-5)</f>
        <v/>
      </c>
      <c r="B68" s="64" t="s">
        <v>36</v>
      </c>
      <c r="C68" s="53" t="n">
        <v>21</v>
      </c>
      <c r="D68" s="53" t="n">
        <v>3</v>
      </c>
      <c r="E68" s="65" t="str">
        <f aca="false">IF($H68="","",购销流水!$B21)</f>
        <v/>
      </c>
      <c r="F68" s="55" t="str">
        <f aca="false">IF($H68="","",购销流水!$C21)</f>
        <v/>
      </c>
      <c r="G68" s="48" t="str">
        <f aca="false">IF($H68="","",购销流水!$N21)</f>
        <v/>
      </c>
      <c r="H68" s="10" t="str">
        <f aca="false">IF($L68="","",IF($L68="@成本",购销流水!$U21,IF($L68="@收入",购销流水!$T21,IF($L68="@存货",购销流水!$S21,IF($L68="@结算",购销流水!$R21,$L68)))))</f>
        <v/>
      </c>
      <c r="I68" s="42" t="n">
        <f aca="false">IF($M68="借",$O68,0)</f>
        <v>0</v>
      </c>
      <c r="J68" s="42" t="n">
        <f aca="false">IF($M68="贷",$O68,0)</f>
        <v>0</v>
      </c>
      <c r="K68" s="48" t="str">
        <f aca="false">IF($H68="","",购销流水!$E21)</f>
        <v/>
      </c>
      <c r="L68" s="66" t="n">
        <f aca="false">IF(购销流水!$D21="","",IFERROR(INDEX(记账规则!$A$6:$N$9,MATCH(购销流水!$D21,记账规则!$A$6:$A$9,0),9),""))</f>
        <v>0</v>
      </c>
      <c r="M68" s="66" t="str">
        <f aca="false">IF($L68="","",IFERROR(INDEX(记账规则!$A$6:$N$9,MATCH(购销流水!$D21,记账规则!$A$6:$A$9,0),10),""))</f>
        <v/>
      </c>
      <c r="N68" s="66" t="str">
        <f aca="false">IF($L68="","",IFERROR(INDEX(记账规则!$A$6:$N$9,MATCH(购销流水!$D21,记账规则!$A$6:$A$9,0),11),""))</f>
        <v/>
      </c>
      <c r="O68" s="67" t="n">
        <f aca="false">IF($H68="",0,ROUND(IF($N68="成本金额",N(购销流水!$W21),IF($N68="金额",N(购销流水!$Q21),0)),2))</f>
        <v>0</v>
      </c>
      <c r="P68" s="64" t="str">
        <f aca="false">IF(AND($H68&lt;&gt;"",ROUND($O68,2)&lt;&gt;0),"有","")</f>
        <v/>
      </c>
    </row>
    <row r="69" customFormat="false" ht="15" hidden="true" customHeight="false" outlineLevel="0" collapsed="false">
      <c r="A69" s="53" t="str">
        <f aca="false">IF($H69="","",ROW()-5)</f>
        <v/>
      </c>
      <c r="B69" s="64" t="s">
        <v>36</v>
      </c>
      <c r="C69" s="53" t="n">
        <v>21</v>
      </c>
      <c r="D69" s="53" t="n">
        <v>4</v>
      </c>
      <c r="E69" s="65" t="str">
        <f aca="false">IF($H69="","",购销流水!$B21)</f>
        <v/>
      </c>
      <c r="F69" s="55" t="str">
        <f aca="false">IF($H69="","",购销流水!$C21)</f>
        <v/>
      </c>
      <c r="G69" s="48" t="str">
        <f aca="false">IF($H69="","",购销流水!$N21)</f>
        <v/>
      </c>
      <c r="H69" s="10" t="str">
        <f aca="false">IF($L69="","",IF($L69="@成本",购销流水!$U21,IF($L69="@收入",购销流水!$T21,IF($L69="@存货",购销流水!$S21,IF($L69="@结算",购销流水!$R21,$L69)))))</f>
        <v/>
      </c>
      <c r="I69" s="42" t="n">
        <f aca="false">IF($M69="借",$O69,0)</f>
        <v>0</v>
      </c>
      <c r="J69" s="42" t="n">
        <f aca="false">IF($M69="贷",$O69,0)</f>
        <v>0</v>
      </c>
      <c r="K69" s="48" t="str">
        <f aca="false">IF($H69="","",购销流水!$E21)</f>
        <v/>
      </c>
      <c r="L69" s="66" t="n">
        <f aca="false">IF(购销流水!$D21="","",IFERROR(INDEX(记账规则!$A$6:$N$9,MATCH(购销流水!$D21,记账规则!$A$6:$A$9,0),12),""))</f>
        <v>0</v>
      </c>
      <c r="M69" s="66" t="str">
        <f aca="false">IF($L69="","",IFERROR(INDEX(记账规则!$A$6:$N$9,MATCH(购销流水!$D21,记账规则!$A$6:$A$9,0),13),""))</f>
        <v/>
      </c>
      <c r="N69" s="66" t="str">
        <f aca="false">IF($L69="","",IFERROR(INDEX(记账规则!$A$6:$N$9,MATCH(购销流水!$D21,记账规则!$A$6:$A$9,0),14),""))</f>
        <v/>
      </c>
      <c r="O69" s="67" t="n">
        <f aca="false">IF($H69="",0,ROUND(IF($N69="成本金额",N(购销流水!$W21),IF($N69="金额",N(购销流水!$Q21),0)),2))</f>
        <v>0</v>
      </c>
      <c r="P69" s="64" t="str">
        <f aca="false">IF(AND($H69&lt;&gt;"",ROUND($O69,2)&lt;&gt;0),"有","")</f>
        <v/>
      </c>
    </row>
    <row r="70" customFormat="false" ht="15" hidden="false" customHeight="false" outlineLevel="0" collapsed="false">
      <c r="A70" s="53" t="n">
        <f aca="false">IF($H70="","",ROW()-5)</f>
        <v>65</v>
      </c>
      <c r="B70" s="64" t="s">
        <v>36</v>
      </c>
      <c r="C70" s="53" t="n">
        <v>22</v>
      </c>
      <c r="D70" s="53" t="n">
        <v>1</v>
      </c>
      <c r="E70" s="65" t="n">
        <f aca="false">IF($H70="","",购销流水!$B22)</f>
        <v>46218</v>
      </c>
      <c r="F70" s="55" t="str">
        <f aca="false">IF($H70="","",购销流水!$C22)</f>
        <v>科技</v>
      </c>
      <c r="G70" s="48" t="str">
        <f aca="false">IF($H70="","",购销流水!$N22)</f>
        <v>收购干艾草（内部交易）</v>
      </c>
      <c r="H70" s="10" t="str">
        <f aca="false">IF($L70="","",IF($L70="@成本",购销流水!$U22,IF($L70="@收入",购销流水!$T22,IF($L70="@存货",购销流水!$S22,IF($L70="@结算",购销流水!$R22,$L70)))))</f>
        <v>应付账款</v>
      </c>
      <c r="I70" s="42" t="n">
        <f aca="false">IF($M70="借",$O70,0)</f>
        <v>0</v>
      </c>
      <c r="J70" s="42" t="n">
        <f aca="false">IF($M70="贷",$O70,0)</f>
        <v>56000</v>
      </c>
      <c r="K70" s="48" t="str">
        <f aca="false">IF($H70="","",购销流水!$E22)</f>
        <v>农业基地公司</v>
      </c>
      <c r="L70" s="66" t="str">
        <f aca="false">IF(购销流水!$D22="","",IFERROR(INDEX(记账规则!$A$6:$N$9,MATCH(购销流水!$D22,记账规则!$A$6:$A$9,0),3),""))</f>
        <v>@结算</v>
      </c>
      <c r="M70" s="66" t="str">
        <f aca="false">IF($L70="","",IFERROR(INDEX(记账规则!$A$6:$N$9,MATCH(购销流水!$D22,记账规则!$A$6:$A$9,0),4),""))</f>
        <v>贷</v>
      </c>
      <c r="N70" s="66" t="str">
        <f aca="false">IF($L70="","",IFERROR(INDEX(记账规则!$A$6:$N$9,MATCH(购销流水!$D22,记账规则!$A$6:$A$9,0),5),""))</f>
        <v>金额</v>
      </c>
      <c r="O70" s="67" t="n">
        <f aca="false">IF($H70="",0,ROUND(IF($N70="成本金额",N(购销流水!$W22),IF($N70="金额",N(购销流水!$Q22),0)),2))</f>
        <v>56000</v>
      </c>
      <c r="P70" s="64" t="str">
        <f aca="false">IF(AND($H70&lt;&gt;"",ROUND($O70,2)&lt;&gt;0),"有","")</f>
        <v>有</v>
      </c>
    </row>
    <row r="71" customFormat="false" ht="15" hidden="false" customHeight="false" outlineLevel="0" collapsed="false">
      <c r="A71" s="53" t="n">
        <f aca="false">IF($H71="","",ROW()-5)</f>
        <v>66</v>
      </c>
      <c r="B71" s="64" t="s">
        <v>36</v>
      </c>
      <c r="C71" s="53" t="n">
        <v>22</v>
      </c>
      <c r="D71" s="53" t="n">
        <v>2</v>
      </c>
      <c r="E71" s="65" t="n">
        <f aca="false">IF($H71="","",购销流水!$B22)</f>
        <v>46218</v>
      </c>
      <c r="F71" s="55" t="str">
        <f aca="false">IF($H71="","",购销流水!$C22)</f>
        <v>科技</v>
      </c>
      <c r="G71" s="48" t="str">
        <f aca="false">IF($H71="","",购销流水!$N22)</f>
        <v>收购干艾草（内部交易）</v>
      </c>
      <c r="H71" s="10" t="str">
        <f aca="false">IF($L71="","",IF($L71="@成本",购销流水!$U22,IF($L71="@收入",购销流水!$T22,IF($L71="@存货",购销流水!$S22,IF($L71="@结算",购销流水!$R22,$L71)))))</f>
        <v>原材料</v>
      </c>
      <c r="I71" s="42" t="n">
        <f aca="false">IF($M71="借",$O71,0)</f>
        <v>56000</v>
      </c>
      <c r="J71" s="42" t="n">
        <f aca="false">IF($M71="贷",$O71,0)</f>
        <v>0</v>
      </c>
      <c r="K71" s="48" t="str">
        <f aca="false">IF($H71="","",购销流水!$E22)</f>
        <v>农业基地公司</v>
      </c>
      <c r="L71" s="66" t="str">
        <f aca="false">IF(购销流水!$D22="","",IFERROR(INDEX(记账规则!$A$6:$N$9,MATCH(购销流水!$D22,记账规则!$A$6:$A$9,0),6),""))</f>
        <v>@存货</v>
      </c>
      <c r="M71" s="66" t="str">
        <f aca="false">IF($L71="","",IFERROR(INDEX(记账规则!$A$6:$N$9,MATCH(购销流水!$D22,记账规则!$A$6:$A$9,0),7),""))</f>
        <v>借</v>
      </c>
      <c r="N71" s="66" t="str">
        <f aca="false">IF($L71="","",IFERROR(INDEX(记账规则!$A$6:$N$9,MATCH(购销流水!$D22,记账规则!$A$6:$A$9,0),8),""))</f>
        <v>金额</v>
      </c>
      <c r="O71" s="67" t="n">
        <f aca="false">IF($H71="",0,ROUND(IF($N71="成本金额",N(购销流水!$W22),IF($N71="金额",N(购销流水!$Q22),0)),2))</f>
        <v>56000</v>
      </c>
      <c r="P71" s="64" t="str">
        <f aca="false">IF(AND($H71&lt;&gt;"",ROUND($O71,2)&lt;&gt;0),"有","")</f>
        <v>有</v>
      </c>
    </row>
    <row r="72" customFormat="false" ht="15" hidden="true" customHeight="false" outlineLevel="0" collapsed="false">
      <c r="A72" s="53" t="str">
        <f aca="false">IF($H72="","",ROW()-5)</f>
        <v/>
      </c>
      <c r="B72" s="64" t="s">
        <v>36</v>
      </c>
      <c r="C72" s="53" t="n">
        <v>22</v>
      </c>
      <c r="D72" s="53" t="n">
        <v>3</v>
      </c>
      <c r="E72" s="65" t="str">
        <f aca="false">IF($H72="","",购销流水!$B22)</f>
        <v/>
      </c>
      <c r="F72" s="55" t="str">
        <f aca="false">IF($H72="","",购销流水!$C22)</f>
        <v/>
      </c>
      <c r="G72" s="48" t="str">
        <f aca="false">IF($H72="","",购销流水!$N22)</f>
        <v/>
      </c>
      <c r="H72" s="10" t="str">
        <f aca="false">IF($L72="","",IF($L72="@成本",购销流水!$U22,IF($L72="@收入",购销流水!$T22,IF($L72="@存货",购销流水!$S22,IF($L72="@结算",购销流水!$R22,$L72)))))</f>
        <v/>
      </c>
      <c r="I72" s="42" t="n">
        <f aca="false">IF($M72="借",$O72,0)</f>
        <v>0</v>
      </c>
      <c r="J72" s="42" t="n">
        <f aca="false">IF($M72="贷",$O72,0)</f>
        <v>0</v>
      </c>
      <c r="K72" s="48" t="str">
        <f aca="false">IF($H72="","",购销流水!$E22)</f>
        <v/>
      </c>
      <c r="L72" s="66" t="n">
        <f aca="false">IF(购销流水!$D22="","",IFERROR(INDEX(记账规则!$A$6:$N$9,MATCH(购销流水!$D22,记账规则!$A$6:$A$9,0),9),""))</f>
        <v>0</v>
      </c>
      <c r="M72" s="66" t="str">
        <f aca="false">IF($L72="","",IFERROR(INDEX(记账规则!$A$6:$N$9,MATCH(购销流水!$D22,记账规则!$A$6:$A$9,0),10),""))</f>
        <v/>
      </c>
      <c r="N72" s="66" t="str">
        <f aca="false">IF($L72="","",IFERROR(INDEX(记账规则!$A$6:$N$9,MATCH(购销流水!$D22,记账规则!$A$6:$A$9,0),11),""))</f>
        <v/>
      </c>
      <c r="O72" s="67" t="n">
        <f aca="false">IF($H72="",0,ROUND(IF($N72="成本金额",N(购销流水!$W22),IF($N72="金额",N(购销流水!$Q22),0)),2))</f>
        <v>0</v>
      </c>
      <c r="P72" s="64" t="str">
        <f aca="false">IF(AND($H72&lt;&gt;"",ROUND($O72,2)&lt;&gt;0),"有","")</f>
        <v/>
      </c>
    </row>
    <row r="73" customFormat="false" ht="15" hidden="true" customHeight="false" outlineLevel="0" collapsed="false">
      <c r="A73" s="53" t="str">
        <f aca="false">IF($H73="","",ROW()-5)</f>
        <v/>
      </c>
      <c r="B73" s="64" t="s">
        <v>36</v>
      </c>
      <c r="C73" s="53" t="n">
        <v>22</v>
      </c>
      <c r="D73" s="53" t="n">
        <v>4</v>
      </c>
      <c r="E73" s="65" t="str">
        <f aca="false">IF($H73="","",购销流水!$B22)</f>
        <v/>
      </c>
      <c r="F73" s="55" t="str">
        <f aca="false">IF($H73="","",购销流水!$C22)</f>
        <v/>
      </c>
      <c r="G73" s="48" t="str">
        <f aca="false">IF($H73="","",购销流水!$N22)</f>
        <v/>
      </c>
      <c r="H73" s="10" t="str">
        <f aca="false">IF($L73="","",IF($L73="@成本",购销流水!$U22,IF($L73="@收入",购销流水!$T22,IF($L73="@存货",购销流水!$S22,IF($L73="@结算",购销流水!$R22,$L73)))))</f>
        <v/>
      </c>
      <c r="I73" s="42" t="n">
        <f aca="false">IF($M73="借",$O73,0)</f>
        <v>0</v>
      </c>
      <c r="J73" s="42" t="n">
        <f aca="false">IF($M73="贷",$O73,0)</f>
        <v>0</v>
      </c>
      <c r="K73" s="48" t="str">
        <f aca="false">IF($H73="","",购销流水!$E22)</f>
        <v/>
      </c>
      <c r="L73" s="66" t="n">
        <f aca="false">IF(购销流水!$D22="","",IFERROR(INDEX(记账规则!$A$6:$N$9,MATCH(购销流水!$D22,记账规则!$A$6:$A$9,0),12),""))</f>
        <v>0</v>
      </c>
      <c r="M73" s="66" t="str">
        <f aca="false">IF($L73="","",IFERROR(INDEX(记账规则!$A$6:$N$9,MATCH(购销流水!$D22,记账规则!$A$6:$A$9,0),13),""))</f>
        <v/>
      </c>
      <c r="N73" s="66" t="str">
        <f aca="false">IF($L73="","",IFERROR(INDEX(记账规则!$A$6:$N$9,MATCH(购销流水!$D22,记账规则!$A$6:$A$9,0),14),""))</f>
        <v/>
      </c>
      <c r="O73" s="67" t="n">
        <f aca="false">IF($H73="",0,ROUND(IF($N73="成本金额",N(购销流水!$W22),IF($N73="金额",N(购销流水!$Q22),0)),2))</f>
        <v>0</v>
      </c>
      <c r="P73" s="64" t="str">
        <f aca="false">IF(AND($H73&lt;&gt;"",ROUND($O73,2)&lt;&gt;0),"有","")</f>
        <v/>
      </c>
    </row>
    <row r="74" customFormat="false" ht="15" hidden="false" customHeight="false" outlineLevel="0" collapsed="false">
      <c r="A74" s="53" t="n">
        <f aca="false">IF($H74="","",ROW()-5)</f>
        <v>69</v>
      </c>
      <c r="B74" s="64" t="s">
        <v>36</v>
      </c>
      <c r="C74" s="53" t="n">
        <v>23</v>
      </c>
      <c r="D74" s="53" t="n">
        <v>1</v>
      </c>
      <c r="E74" s="65" t="n">
        <f aca="false">IF($H74="","",购销流水!$B23)</f>
        <v>46244</v>
      </c>
      <c r="F74" s="55" t="str">
        <f aca="false">IF($H74="","",购销流水!$C23)</f>
        <v>科技</v>
      </c>
      <c r="G74" s="48" t="str">
        <f aca="false">IF($H74="","",购销流水!$N23)</f>
        <v>艾草精油 10ml</v>
      </c>
      <c r="H74" s="10" t="str">
        <f aca="false">IF($L74="","",IF($L74="@成本",购销流水!$U23,IF($L74="@收入",购销流水!$T23,IF($L74="@存货",购销流水!$S23,IF($L74="@结算",购销流水!$R23,$L74)))))</f>
        <v>应收账款</v>
      </c>
      <c r="I74" s="42" t="n">
        <f aca="false">IF($M74="借",$O74,0)</f>
        <v>264000</v>
      </c>
      <c r="J74" s="42" t="n">
        <f aca="false">IF($M74="贷",$O74,0)</f>
        <v>0</v>
      </c>
      <c r="K74" s="48" t="str">
        <f aca="false">IF($H74="","",购销流水!$E23)</f>
        <v>康养电商</v>
      </c>
      <c r="L74" s="66" t="str">
        <f aca="false">IF(购销流水!$D23="","",IFERROR(INDEX(记账规则!$A$6:$N$9,MATCH(购销流水!$D23,记账规则!$A$6:$A$9,0),3),""))</f>
        <v>@结算</v>
      </c>
      <c r="M74" s="66" t="str">
        <f aca="false">IF($L74="","",IFERROR(INDEX(记账规则!$A$6:$N$9,MATCH(购销流水!$D23,记账规则!$A$6:$A$9,0),4),""))</f>
        <v>借</v>
      </c>
      <c r="N74" s="66" t="str">
        <f aca="false">IF($L74="","",IFERROR(INDEX(记账规则!$A$6:$N$9,MATCH(购销流水!$D23,记账规则!$A$6:$A$9,0),5),""))</f>
        <v>金额</v>
      </c>
      <c r="O74" s="67" t="n">
        <f aca="false">IF($H74="",0,ROUND(IF($N74="成本金额",N(购销流水!$W23),IF($N74="金额",N(购销流水!$Q23),0)),2))</f>
        <v>264000</v>
      </c>
      <c r="P74" s="64" t="str">
        <f aca="false">IF(AND($H74&lt;&gt;"",ROUND($O74,2)&lt;&gt;0),"有","")</f>
        <v>有</v>
      </c>
    </row>
    <row r="75" customFormat="false" ht="15" hidden="false" customHeight="false" outlineLevel="0" collapsed="false">
      <c r="A75" s="53" t="n">
        <f aca="false">IF($H75="","",ROW()-5)</f>
        <v>70</v>
      </c>
      <c r="B75" s="64" t="s">
        <v>36</v>
      </c>
      <c r="C75" s="53" t="n">
        <v>23</v>
      </c>
      <c r="D75" s="53" t="n">
        <v>2</v>
      </c>
      <c r="E75" s="65" t="n">
        <f aca="false">IF($H75="","",购销流水!$B23)</f>
        <v>46244</v>
      </c>
      <c r="F75" s="55" t="str">
        <f aca="false">IF($H75="","",购销流水!$C23)</f>
        <v>科技</v>
      </c>
      <c r="G75" s="48" t="str">
        <f aca="false">IF($H75="","",购销流水!$N23)</f>
        <v>艾草精油 10ml</v>
      </c>
      <c r="H75" s="10" t="str">
        <f aca="false">IF($L75="","",IF($L75="@成本",购销流水!$U23,IF($L75="@收入",购销流水!$T23,IF($L75="@存货",购销流水!$S23,IF($L75="@结算",购销流水!$R23,$L75)))))</f>
        <v>主营业务收入</v>
      </c>
      <c r="I75" s="42" t="n">
        <f aca="false">IF($M75="借",$O75,0)</f>
        <v>0</v>
      </c>
      <c r="J75" s="42" t="n">
        <f aca="false">IF($M75="贷",$O75,0)</f>
        <v>264000</v>
      </c>
      <c r="K75" s="48" t="str">
        <f aca="false">IF($H75="","",购销流水!$E23)</f>
        <v>康养电商</v>
      </c>
      <c r="L75" s="66" t="str">
        <f aca="false">IF(购销流水!$D23="","",IFERROR(INDEX(记账规则!$A$6:$N$9,MATCH(购销流水!$D23,记账规则!$A$6:$A$9,0),6),""))</f>
        <v>@收入</v>
      </c>
      <c r="M75" s="66" t="str">
        <f aca="false">IF($L75="","",IFERROR(INDEX(记账规则!$A$6:$N$9,MATCH(购销流水!$D23,记账规则!$A$6:$A$9,0),7),""))</f>
        <v>贷</v>
      </c>
      <c r="N75" s="66" t="str">
        <f aca="false">IF($L75="","",IFERROR(INDEX(记账规则!$A$6:$N$9,MATCH(购销流水!$D23,记账规则!$A$6:$A$9,0),8),""))</f>
        <v>金额</v>
      </c>
      <c r="O75" s="67" t="n">
        <f aca="false">IF($H75="",0,ROUND(IF($N75="成本金额",N(购销流水!$W23),IF($N75="金额",N(购销流水!$Q23),0)),2))</f>
        <v>264000</v>
      </c>
      <c r="P75" s="64" t="str">
        <f aca="false">IF(AND($H75&lt;&gt;"",ROUND($O75,2)&lt;&gt;0),"有","")</f>
        <v>有</v>
      </c>
    </row>
    <row r="76" customFormat="false" ht="15" hidden="false" customHeight="false" outlineLevel="0" collapsed="false">
      <c r="A76" s="53" t="n">
        <f aca="false">IF($H76="","",ROW()-5)</f>
        <v>71</v>
      </c>
      <c r="B76" s="64" t="s">
        <v>36</v>
      </c>
      <c r="C76" s="53" t="n">
        <v>23</v>
      </c>
      <c r="D76" s="53" t="n">
        <v>3</v>
      </c>
      <c r="E76" s="65" t="n">
        <f aca="false">IF($H76="","",购销流水!$B23)</f>
        <v>46244</v>
      </c>
      <c r="F76" s="55" t="str">
        <f aca="false">IF($H76="","",购销流水!$C23)</f>
        <v>科技</v>
      </c>
      <c r="G76" s="48" t="str">
        <f aca="false">IF($H76="","",购销流水!$N23)</f>
        <v>艾草精油 10ml</v>
      </c>
      <c r="H76" s="10" t="str">
        <f aca="false">IF($L76="","",IF($L76="@成本",购销流水!$U23,IF($L76="@收入",购销流水!$T23,IF($L76="@存货",购销流水!$S23,IF($L76="@结算",购销流水!$R23,$L76)))))</f>
        <v>主营业务成本</v>
      </c>
      <c r="I76" s="42" t="n">
        <f aca="false">IF($M76="借",$O76,0)</f>
        <v>87423.42</v>
      </c>
      <c r="J76" s="42" t="n">
        <f aca="false">IF($M76="贷",$O76,0)</f>
        <v>0</v>
      </c>
      <c r="K76" s="48" t="str">
        <f aca="false">IF($H76="","",购销流水!$E23)</f>
        <v>康养电商</v>
      </c>
      <c r="L76" s="66" t="str">
        <f aca="false">IF(购销流水!$D23="","",IFERROR(INDEX(记账规则!$A$6:$N$9,MATCH(购销流水!$D23,记账规则!$A$6:$A$9,0),9),""))</f>
        <v>@成本</v>
      </c>
      <c r="M76" s="66" t="str">
        <f aca="false">IF($L76="","",IFERROR(INDEX(记账规则!$A$6:$N$9,MATCH(购销流水!$D23,记账规则!$A$6:$A$9,0),10),""))</f>
        <v>借</v>
      </c>
      <c r="N76" s="66" t="str">
        <f aca="false">IF($L76="","",IFERROR(INDEX(记账规则!$A$6:$N$9,MATCH(购销流水!$D23,记账规则!$A$6:$A$9,0),11),""))</f>
        <v>成本金额</v>
      </c>
      <c r="O76" s="67" t="n">
        <f aca="false">IF($H76="",0,ROUND(IF($N76="成本金额",N(购销流水!$W23),IF($N76="金额",N(购销流水!$Q23),0)),2))</f>
        <v>87423.42</v>
      </c>
      <c r="P76" s="64" t="str">
        <f aca="false">IF(AND($H76&lt;&gt;"",ROUND($O76,2)&lt;&gt;0),"有","")</f>
        <v>有</v>
      </c>
    </row>
    <row r="77" customFormat="false" ht="15" hidden="false" customHeight="false" outlineLevel="0" collapsed="false">
      <c r="A77" s="53" t="n">
        <f aca="false">IF($H77="","",ROW()-5)</f>
        <v>72</v>
      </c>
      <c r="B77" s="64" t="s">
        <v>36</v>
      </c>
      <c r="C77" s="53" t="n">
        <v>23</v>
      </c>
      <c r="D77" s="53" t="n">
        <v>4</v>
      </c>
      <c r="E77" s="65" t="n">
        <f aca="false">IF($H77="","",购销流水!$B23)</f>
        <v>46244</v>
      </c>
      <c r="F77" s="55" t="str">
        <f aca="false">IF($H77="","",购销流水!$C23)</f>
        <v>科技</v>
      </c>
      <c r="G77" s="48" t="str">
        <f aca="false">IF($H77="","",购销流水!$N23)</f>
        <v>艾草精油 10ml</v>
      </c>
      <c r="H77" s="10" t="str">
        <f aca="false">IF($L77="","",IF($L77="@成本",购销流水!$U23,IF($L77="@收入",购销流水!$T23,IF($L77="@存货",购销流水!$S23,IF($L77="@结算",购销流水!$R23,$L77)))))</f>
        <v>库存商品</v>
      </c>
      <c r="I77" s="42" t="n">
        <f aca="false">IF($M77="借",$O77,0)</f>
        <v>0</v>
      </c>
      <c r="J77" s="42" t="n">
        <f aca="false">IF($M77="贷",$O77,0)</f>
        <v>87423.42</v>
      </c>
      <c r="K77" s="48" t="str">
        <f aca="false">IF($H77="","",购销流水!$E23)</f>
        <v>康养电商</v>
      </c>
      <c r="L77" s="66" t="str">
        <f aca="false">IF(购销流水!$D23="","",IFERROR(INDEX(记账规则!$A$6:$N$9,MATCH(购销流水!$D23,记账规则!$A$6:$A$9,0),12),""))</f>
        <v>@存货</v>
      </c>
      <c r="M77" s="66" t="str">
        <f aca="false">IF($L77="","",IFERROR(INDEX(记账规则!$A$6:$N$9,MATCH(购销流水!$D23,记账规则!$A$6:$A$9,0),13),""))</f>
        <v>贷</v>
      </c>
      <c r="N77" s="66" t="str">
        <f aca="false">IF($L77="","",IFERROR(INDEX(记账规则!$A$6:$N$9,MATCH(购销流水!$D23,记账规则!$A$6:$A$9,0),14),""))</f>
        <v>成本金额</v>
      </c>
      <c r="O77" s="67" t="n">
        <f aca="false">IF($H77="",0,ROUND(IF($N77="成本金额",N(购销流水!$W23),IF($N77="金额",N(购销流水!$Q23),0)),2))</f>
        <v>87423.42</v>
      </c>
      <c r="P77" s="64" t="str">
        <f aca="false">IF(AND($H77&lt;&gt;"",ROUND($O77,2)&lt;&gt;0),"有","")</f>
        <v>有</v>
      </c>
    </row>
    <row r="78" customFormat="false" ht="15" hidden="false" customHeight="false" outlineLevel="0" collapsed="false">
      <c r="A78" s="53" t="n">
        <f aca="false">IF($H78="","",ROW()-5)</f>
        <v>73</v>
      </c>
      <c r="B78" s="64" t="s">
        <v>36</v>
      </c>
      <c r="C78" s="53" t="n">
        <v>24</v>
      </c>
      <c r="D78" s="53" t="n">
        <v>1</v>
      </c>
      <c r="E78" s="65" t="n">
        <f aca="false">IF($H78="","",购销流水!$B24)</f>
        <v>46264</v>
      </c>
      <c r="F78" s="55" t="str">
        <f aca="false">IF($H78="","",购销流水!$C24)</f>
        <v>科技</v>
      </c>
      <c r="G78" s="48" t="str">
        <f aca="false">IF($H78="","",购销流水!$N24)</f>
        <v>艾草纯露</v>
      </c>
      <c r="H78" s="10" t="str">
        <f aca="false">IF($L78="","",IF($L78="@成本",购销流水!$U24,IF($L78="@收入",购销流水!$T24,IF($L78="@存货",购销流水!$S24,IF($L78="@结算",购销流水!$R24,$L78)))))</f>
        <v>应收账款</v>
      </c>
      <c r="I78" s="42" t="n">
        <f aca="false">IF($M78="借",$O78,0)</f>
        <v>120000</v>
      </c>
      <c r="J78" s="42" t="n">
        <f aca="false">IF($M78="贷",$O78,0)</f>
        <v>0</v>
      </c>
      <c r="K78" s="48" t="str">
        <f aca="false">IF($H78="","",购销流水!$E24)</f>
        <v>美悦日化</v>
      </c>
      <c r="L78" s="66" t="str">
        <f aca="false">IF(购销流水!$D24="","",IFERROR(INDEX(记账规则!$A$6:$N$9,MATCH(购销流水!$D24,记账规则!$A$6:$A$9,0),3),""))</f>
        <v>@结算</v>
      </c>
      <c r="M78" s="66" t="str">
        <f aca="false">IF($L78="","",IFERROR(INDEX(记账规则!$A$6:$N$9,MATCH(购销流水!$D24,记账规则!$A$6:$A$9,0),4),""))</f>
        <v>借</v>
      </c>
      <c r="N78" s="66" t="str">
        <f aca="false">IF($L78="","",IFERROR(INDEX(记账规则!$A$6:$N$9,MATCH(购销流水!$D24,记账规则!$A$6:$A$9,0),5),""))</f>
        <v>金额</v>
      </c>
      <c r="O78" s="67" t="n">
        <f aca="false">IF($H78="",0,ROUND(IF($N78="成本金额",N(购销流水!$W24),IF($N78="金额",N(购销流水!$Q24),0)),2))</f>
        <v>120000</v>
      </c>
      <c r="P78" s="64" t="str">
        <f aca="false">IF(AND($H78&lt;&gt;"",ROUND($O78,2)&lt;&gt;0),"有","")</f>
        <v>有</v>
      </c>
    </row>
    <row r="79" customFormat="false" ht="15" hidden="false" customHeight="false" outlineLevel="0" collapsed="false">
      <c r="A79" s="53" t="n">
        <f aca="false">IF($H79="","",ROW()-5)</f>
        <v>74</v>
      </c>
      <c r="B79" s="64" t="s">
        <v>36</v>
      </c>
      <c r="C79" s="53" t="n">
        <v>24</v>
      </c>
      <c r="D79" s="53" t="n">
        <v>2</v>
      </c>
      <c r="E79" s="65" t="n">
        <f aca="false">IF($H79="","",购销流水!$B24)</f>
        <v>46264</v>
      </c>
      <c r="F79" s="55" t="str">
        <f aca="false">IF($H79="","",购销流水!$C24)</f>
        <v>科技</v>
      </c>
      <c r="G79" s="48" t="str">
        <f aca="false">IF($H79="","",购销流水!$N24)</f>
        <v>艾草纯露</v>
      </c>
      <c r="H79" s="10" t="str">
        <f aca="false">IF($L79="","",IF($L79="@成本",购销流水!$U24,IF($L79="@收入",购销流水!$T24,IF($L79="@存货",购销流水!$S24,IF($L79="@结算",购销流水!$R24,$L79)))))</f>
        <v>主营业务收入</v>
      </c>
      <c r="I79" s="42" t="n">
        <f aca="false">IF($M79="借",$O79,0)</f>
        <v>0</v>
      </c>
      <c r="J79" s="42" t="n">
        <f aca="false">IF($M79="贷",$O79,0)</f>
        <v>120000</v>
      </c>
      <c r="K79" s="48" t="str">
        <f aca="false">IF($H79="","",购销流水!$E24)</f>
        <v>美悦日化</v>
      </c>
      <c r="L79" s="66" t="str">
        <f aca="false">IF(购销流水!$D24="","",IFERROR(INDEX(记账规则!$A$6:$N$9,MATCH(购销流水!$D24,记账规则!$A$6:$A$9,0),6),""))</f>
        <v>@收入</v>
      </c>
      <c r="M79" s="66" t="str">
        <f aca="false">IF($L79="","",IFERROR(INDEX(记账规则!$A$6:$N$9,MATCH(购销流水!$D24,记账规则!$A$6:$A$9,0),7),""))</f>
        <v>贷</v>
      </c>
      <c r="N79" s="66" t="str">
        <f aca="false">IF($L79="","",IFERROR(INDEX(记账规则!$A$6:$N$9,MATCH(购销流水!$D24,记账规则!$A$6:$A$9,0),8),""))</f>
        <v>金额</v>
      </c>
      <c r="O79" s="67" t="n">
        <f aca="false">IF($H79="",0,ROUND(IF($N79="成本金额",N(购销流水!$W24),IF($N79="金额",N(购销流水!$Q24),0)),2))</f>
        <v>120000</v>
      </c>
      <c r="P79" s="64" t="str">
        <f aca="false">IF(AND($H79&lt;&gt;"",ROUND($O79,2)&lt;&gt;0),"有","")</f>
        <v>有</v>
      </c>
    </row>
    <row r="80" customFormat="false" ht="15" hidden="false" customHeight="false" outlineLevel="0" collapsed="false">
      <c r="A80" s="53" t="n">
        <f aca="false">IF($H80="","",ROW()-5)</f>
        <v>75</v>
      </c>
      <c r="B80" s="64" t="s">
        <v>36</v>
      </c>
      <c r="C80" s="53" t="n">
        <v>24</v>
      </c>
      <c r="D80" s="53" t="n">
        <v>3</v>
      </c>
      <c r="E80" s="65" t="n">
        <f aca="false">IF($H80="","",购销流水!$B24)</f>
        <v>46264</v>
      </c>
      <c r="F80" s="55" t="str">
        <f aca="false">IF($H80="","",购销流水!$C24)</f>
        <v>科技</v>
      </c>
      <c r="G80" s="48" t="str">
        <f aca="false">IF($H80="","",购销流水!$N24)</f>
        <v>艾草纯露</v>
      </c>
      <c r="H80" s="10" t="str">
        <f aca="false">IF($L80="","",IF($L80="@成本",购销流水!$U24,IF($L80="@收入",购销流水!$T24,IF($L80="@存货",购销流水!$S24,IF($L80="@结算",购销流水!$R24,$L80)))))</f>
        <v>主营业务成本</v>
      </c>
      <c r="I80" s="42" t="n">
        <f aca="false">IF($M80="借",$O80,0)</f>
        <v>29706.3</v>
      </c>
      <c r="J80" s="42" t="n">
        <f aca="false">IF($M80="贷",$O80,0)</f>
        <v>0</v>
      </c>
      <c r="K80" s="48" t="str">
        <f aca="false">IF($H80="","",购销流水!$E24)</f>
        <v>美悦日化</v>
      </c>
      <c r="L80" s="66" t="str">
        <f aca="false">IF(购销流水!$D24="","",IFERROR(INDEX(记账规则!$A$6:$N$9,MATCH(购销流水!$D24,记账规则!$A$6:$A$9,0),9),""))</f>
        <v>@成本</v>
      </c>
      <c r="M80" s="66" t="str">
        <f aca="false">IF($L80="","",IFERROR(INDEX(记账规则!$A$6:$N$9,MATCH(购销流水!$D24,记账规则!$A$6:$A$9,0),10),""))</f>
        <v>借</v>
      </c>
      <c r="N80" s="66" t="str">
        <f aca="false">IF($L80="","",IFERROR(INDEX(记账规则!$A$6:$N$9,MATCH(购销流水!$D24,记账规则!$A$6:$A$9,0),11),""))</f>
        <v>成本金额</v>
      </c>
      <c r="O80" s="67" t="n">
        <f aca="false">IF($H80="",0,ROUND(IF($N80="成本金额",N(购销流水!$W24),IF($N80="金额",N(购销流水!$Q24),0)),2))</f>
        <v>29706.3</v>
      </c>
      <c r="P80" s="64" t="str">
        <f aca="false">IF(AND($H80&lt;&gt;"",ROUND($O80,2)&lt;&gt;0),"有","")</f>
        <v>有</v>
      </c>
    </row>
    <row r="81" customFormat="false" ht="15" hidden="false" customHeight="false" outlineLevel="0" collapsed="false">
      <c r="A81" s="53" t="n">
        <f aca="false">IF($H81="","",ROW()-5)</f>
        <v>76</v>
      </c>
      <c r="B81" s="64" t="s">
        <v>36</v>
      </c>
      <c r="C81" s="53" t="n">
        <v>24</v>
      </c>
      <c r="D81" s="53" t="n">
        <v>4</v>
      </c>
      <c r="E81" s="65" t="n">
        <f aca="false">IF($H81="","",购销流水!$B24)</f>
        <v>46264</v>
      </c>
      <c r="F81" s="55" t="str">
        <f aca="false">IF($H81="","",购销流水!$C24)</f>
        <v>科技</v>
      </c>
      <c r="G81" s="48" t="str">
        <f aca="false">IF($H81="","",购销流水!$N24)</f>
        <v>艾草纯露</v>
      </c>
      <c r="H81" s="10" t="str">
        <f aca="false">IF($L81="","",IF($L81="@成本",购销流水!$U24,IF($L81="@收入",购销流水!$T24,IF($L81="@存货",购销流水!$S24,IF($L81="@结算",购销流水!$R24,$L81)))))</f>
        <v>库存商品</v>
      </c>
      <c r="I81" s="42" t="n">
        <f aca="false">IF($M81="借",$O81,0)</f>
        <v>0</v>
      </c>
      <c r="J81" s="42" t="n">
        <f aca="false">IF($M81="贷",$O81,0)</f>
        <v>29706.3</v>
      </c>
      <c r="K81" s="48" t="str">
        <f aca="false">IF($H81="","",购销流水!$E24)</f>
        <v>美悦日化</v>
      </c>
      <c r="L81" s="66" t="str">
        <f aca="false">IF(购销流水!$D24="","",IFERROR(INDEX(记账规则!$A$6:$N$9,MATCH(购销流水!$D24,记账规则!$A$6:$A$9,0),12),""))</f>
        <v>@存货</v>
      </c>
      <c r="M81" s="66" t="str">
        <f aca="false">IF($L81="","",IFERROR(INDEX(记账规则!$A$6:$N$9,MATCH(购销流水!$D24,记账规则!$A$6:$A$9,0),13),""))</f>
        <v>贷</v>
      </c>
      <c r="N81" s="66" t="str">
        <f aca="false">IF($L81="","",IFERROR(INDEX(记账规则!$A$6:$N$9,MATCH(购销流水!$D24,记账规则!$A$6:$A$9,0),14),""))</f>
        <v>成本金额</v>
      </c>
      <c r="O81" s="67" t="n">
        <f aca="false">IF($H81="",0,ROUND(IF($N81="成本金额",N(购销流水!$W24),IF($N81="金额",N(购销流水!$Q24),0)),2))</f>
        <v>29706.3</v>
      </c>
      <c r="P81" s="64" t="str">
        <f aca="false">IF(AND($H81&lt;&gt;"",ROUND($O81,2)&lt;&gt;0),"有","")</f>
        <v>有</v>
      </c>
    </row>
    <row r="82" customFormat="false" ht="15" hidden="false" customHeight="false" outlineLevel="0" collapsed="false">
      <c r="A82" s="53" t="n">
        <f aca="false">IF($H82="","",ROW()-5)</f>
        <v>77</v>
      </c>
      <c r="B82" s="64" t="s">
        <v>36</v>
      </c>
      <c r="C82" s="53" t="n">
        <v>25</v>
      </c>
      <c r="D82" s="53" t="n">
        <v>1</v>
      </c>
      <c r="E82" s="65" t="n">
        <f aca="false">IF($H82="","",购销流水!$B25)</f>
        <v>46273</v>
      </c>
      <c r="F82" s="55" t="str">
        <f aca="false">IF($H82="","",购销流水!$C25)</f>
        <v>科技</v>
      </c>
      <c r="G82" s="48" t="str">
        <f aca="false">IF($H82="","",购销流水!$N25)</f>
        <v>艾草精油皂</v>
      </c>
      <c r="H82" s="10" t="str">
        <f aca="false">IF($L82="","",IF($L82="@成本",购销流水!$U25,IF($L82="@收入",购销流水!$T25,IF($L82="@存货",购销流水!$S25,IF($L82="@结算",购销流水!$R25,$L82)))))</f>
        <v>应收账款</v>
      </c>
      <c r="I82" s="42" t="n">
        <f aca="false">IF($M82="借",$O82,0)</f>
        <v>60750</v>
      </c>
      <c r="J82" s="42" t="n">
        <f aca="false">IF($M82="贷",$O82,0)</f>
        <v>0</v>
      </c>
      <c r="K82" s="48" t="str">
        <f aca="false">IF($H82="","",购销流水!$E25)</f>
        <v>康养电商</v>
      </c>
      <c r="L82" s="66" t="str">
        <f aca="false">IF(购销流水!$D25="","",IFERROR(INDEX(记账规则!$A$6:$N$9,MATCH(购销流水!$D25,记账规则!$A$6:$A$9,0),3),""))</f>
        <v>@结算</v>
      </c>
      <c r="M82" s="66" t="str">
        <f aca="false">IF($L82="","",IFERROR(INDEX(记账规则!$A$6:$N$9,MATCH(购销流水!$D25,记账规则!$A$6:$A$9,0),4),""))</f>
        <v>借</v>
      </c>
      <c r="N82" s="66" t="str">
        <f aca="false">IF($L82="","",IFERROR(INDEX(记账规则!$A$6:$N$9,MATCH(购销流水!$D25,记账规则!$A$6:$A$9,0),5),""))</f>
        <v>金额</v>
      </c>
      <c r="O82" s="67" t="n">
        <f aca="false">IF($H82="",0,ROUND(IF($N82="成本金额",N(购销流水!$W25),IF($N82="金额",N(购销流水!$Q25),0)),2))</f>
        <v>60750</v>
      </c>
      <c r="P82" s="64" t="str">
        <f aca="false">IF(AND($H82&lt;&gt;"",ROUND($O82,2)&lt;&gt;0),"有","")</f>
        <v>有</v>
      </c>
    </row>
    <row r="83" customFormat="false" ht="15" hidden="false" customHeight="false" outlineLevel="0" collapsed="false">
      <c r="A83" s="53" t="n">
        <f aca="false">IF($H83="","",ROW()-5)</f>
        <v>78</v>
      </c>
      <c r="B83" s="64" t="s">
        <v>36</v>
      </c>
      <c r="C83" s="53" t="n">
        <v>25</v>
      </c>
      <c r="D83" s="53" t="n">
        <v>2</v>
      </c>
      <c r="E83" s="65" t="n">
        <f aca="false">IF($H83="","",购销流水!$B25)</f>
        <v>46273</v>
      </c>
      <c r="F83" s="55" t="str">
        <f aca="false">IF($H83="","",购销流水!$C25)</f>
        <v>科技</v>
      </c>
      <c r="G83" s="48" t="str">
        <f aca="false">IF($H83="","",购销流水!$N25)</f>
        <v>艾草精油皂</v>
      </c>
      <c r="H83" s="10" t="str">
        <f aca="false">IF($L83="","",IF($L83="@成本",购销流水!$U25,IF($L83="@收入",购销流水!$T25,IF($L83="@存货",购销流水!$S25,IF($L83="@结算",购销流水!$R25,$L83)))))</f>
        <v>主营业务收入</v>
      </c>
      <c r="I83" s="42" t="n">
        <f aca="false">IF($M83="借",$O83,0)</f>
        <v>0</v>
      </c>
      <c r="J83" s="42" t="n">
        <f aca="false">IF($M83="贷",$O83,0)</f>
        <v>60750</v>
      </c>
      <c r="K83" s="48" t="str">
        <f aca="false">IF($H83="","",购销流水!$E25)</f>
        <v>康养电商</v>
      </c>
      <c r="L83" s="66" t="str">
        <f aca="false">IF(购销流水!$D25="","",IFERROR(INDEX(记账规则!$A$6:$N$9,MATCH(购销流水!$D25,记账规则!$A$6:$A$9,0),6),""))</f>
        <v>@收入</v>
      </c>
      <c r="M83" s="66" t="str">
        <f aca="false">IF($L83="","",IFERROR(INDEX(记账规则!$A$6:$N$9,MATCH(购销流水!$D25,记账规则!$A$6:$A$9,0),7),""))</f>
        <v>贷</v>
      </c>
      <c r="N83" s="66" t="str">
        <f aca="false">IF($L83="","",IFERROR(INDEX(记账规则!$A$6:$N$9,MATCH(购销流水!$D25,记账规则!$A$6:$A$9,0),8),""))</f>
        <v>金额</v>
      </c>
      <c r="O83" s="67" t="n">
        <f aca="false">IF($H83="",0,ROUND(IF($N83="成本金额",N(购销流水!$W25),IF($N83="金额",N(购销流水!$Q25),0)),2))</f>
        <v>60750</v>
      </c>
      <c r="P83" s="64" t="str">
        <f aca="false">IF(AND($H83&lt;&gt;"",ROUND($O83,2)&lt;&gt;0),"有","")</f>
        <v>有</v>
      </c>
    </row>
    <row r="84" customFormat="false" ht="15" hidden="false" customHeight="false" outlineLevel="0" collapsed="false">
      <c r="A84" s="53" t="n">
        <f aca="false">IF($H84="","",ROW()-5)</f>
        <v>79</v>
      </c>
      <c r="B84" s="64" t="s">
        <v>36</v>
      </c>
      <c r="C84" s="53" t="n">
        <v>25</v>
      </c>
      <c r="D84" s="53" t="n">
        <v>3</v>
      </c>
      <c r="E84" s="65" t="n">
        <f aca="false">IF($H84="","",购销流水!$B25)</f>
        <v>46273</v>
      </c>
      <c r="F84" s="55" t="str">
        <f aca="false">IF($H84="","",购销流水!$C25)</f>
        <v>科技</v>
      </c>
      <c r="G84" s="48" t="str">
        <f aca="false">IF($H84="","",购销流水!$N25)</f>
        <v>艾草精油皂</v>
      </c>
      <c r="H84" s="10" t="str">
        <f aca="false">IF($L84="","",IF($L84="@成本",购销流水!$U25,IF($L84="@收入",购销流水!$T25,IF($L84="@存货",购销流水!$S25,IF($L84="@结算",购销流水!$R25,$L84)))))</f>
        <v>主营业务成本</v>
      </c>
      <c r="I84" s="42" t="n">
        <f aca="false">IF($M84="借",$O84,0)</f>
        <v>21266.71</v>
      </c>
      <c r="J84" s="42" t="n">
        <f aca="false">IF($M84="贷",$O84,0)</f>
        <v>0</v>
      </c>
      <c r="K84" s="48" t="str">
        <f aca="false">IF($H84="","",购销流水!$E25)</f>
        <v>康养电商</v>
      </c>
      <c r="L84" s="66" t="str">
        <f aca="false">IF(购销流水!$D25="","",IFERROR(INDEX(记账规则!$A$6:$N$9,MATCH(购销流水!$D25,记账规则!$A$6:$A$9,0),9),""))</f>
        <v>@成本</v>
      </c>
      <c r="M84" s="66" t="str">
        <f aca="false">IF($L84="","",IFERROR(INDEX(记账规则!$A$6:$N$9,MATCH(购销流水!$D25,记账规则!$A$6:$A$9,0),10),""))</f>
        <v>借</v>
      </c>
      <c r="N84" s="66" t="str">
        <f aca="false">IF($L84="","",IFERROR(INDEX(记账规则!$A$6:$N$9,MATCH(购销流水!$D25,记账规则!$A$6:$A$9,0),11),""))</f>
        <v>成本金额</v>
      </c>
      <c r="O84" s="67" t="n">
        <f aca="false">IF($H84="",0,ROUND(IF($N84="成本金额",N(购销流水!$W25),IF($N84="金额",N(购销流水!$Q25),0)),2))</f>
        <v>21266.71</v>
      </c>
      <c r="P84" s="64" t="str">
        <f aca="false">IF(AND($H84&lt;&gt;"",ROUND($O84,2)&lt;&gt;0),"有","")</f>
        <v>有</v>
      </c>
    </row>
    <row r="85" customFormat="false" ht="15" hidden="false" customHeight="false" outlineLevel="0" collapsed="false">
      <c r="A85" s="53" t="n">
        <f aca="false">IF($H85="","",ROW()-5)</f>
        <v>80</v>
      </c>
      <c r="B85" s="64" t="s">
        <v>36</v>
      </c>
      <c r="C85" s="53" t="n">
        <v>25</v>
      </c>
      <c r="D85" s="53" t="n">
        <v>4</v>
      </c>
      <c r="E85" s="65" t="n">
        <f aca="false">IF($H85="","",购销流水!$B25)</f>
        <v>46273</v>
      </c>
      <c r="F85" s="55" t="str">
        <f aca="false">IF($H85="","",购销流水!$C25)</f>
        <v>科技</v>
      </c>
      <c r="G85" s="48" t="str">
        <f aca="false">IF($H85="","",购销流水!$N25)</f>
        <v>艾草精油皂</v>
      </c>
      <c r="H85" s="10" t="str">
        <f aca="false">IF($L85="","",IF($L85="@成本",购销流水!$U25,IF($L85="@收入",购销流水!$T25,IF($L85="@存货",购销流水!$S25,IF($L85="@结算",购销流水!$R25,$L85)))))</f>
        <v>库存商品</v>
      </c>
      <c r="I85" s="42" t="n">
        <f aca="false">IF($M85="借",$O85,0)</f>
        <v>0</v>
      </c>
      <c r="J85" s="42" t="n">
        <f aca="false">IF($M85="贷",$O85,0)</f>
        <v>21266.71</v>
      </c>
      <c r="K85" s="48" t="str">
        <f aca="false">IF($H85="","",购销流水!$E25)</f>
        <v>康养电商</v>
      </c>
      <c r="L85" s="66" t="str">
        <f aca="false">IF(购销流水!$D25="","",IFERROR(INDEX(记账规则!$A$6:$N$9,MATCH(购销流水!$D25,记账规则!$A$6:$A$9,0),12),""))</f>
        <v>@存货</v>
      </c>
      <c r="M85" s="66" t="str">
        <f aca="false">IF($L85="","",IFERROR(INDEX(记账规则!$A$6:$N$9,MATCH(购销流水!$D25,记账规则!$A$6:$A$9,0),13),""))</f>
        <v>贷</v>
      </c>
      <c r="N85" s="66" t="str">
        <f aca="false">IF($L85="","",IFERROR(INDEX(记账规则!$A$6:$N$9,MATCH(购销流水!$D25,记账规则!$A$6:$A$9,0),14),""))</f>
        <v>成本金额</v>
      </c>
      <c r="O85" s="67" t="n">
        <f aca="false">IF($H85="",0,ROUND(IF($N85="成本金额",N(购销流水!$W25),IF($N85="金额",N(购销流水!$Q25),0)),2))</f>
        <v>21266.71</v>
      </c>
      <c r="P85" s="64" t="str">
        <f aca="false">IF(AND($H85&lt;&gt;"",ROUND($O85,2)&lt;&gt;0),"有","")</f>
        <v>有</v>
      </c>
    </row>
    <row r="86" customFormat="false" ht="15" hidden="true" customHeight="false" outlineLevel="0" collapsed="false">
      <c r="A86" s="53" t="str">
        <f aca="false">IF($H86="","",ROW()-5)</f>
        <v/>
      </c>
      <c r="B86" s="64" t="s">
        <v>36</v>
      </c>
      <c r="C86" s="53" t="n">
        <v>26</v>
      </c>
      <c r="D86" s="53" t="n">
        <v>1</v>
      </c>
      <c r="E86" s="65" t="str">
        <f aca="false">IF($H86="","",购销流水!$B26)</f>
        <v/>
      </c>
      <c r="F86" s="55" t="str">
        <f aca="false">IF($H86="","",购销流水!$C26)</f>
        <v/>
      </c>
      <c r="G86" s="48" t="str">
        <f aca="false">IF($H86="","",购销流水!$N26)</f>
        <v/>
      </c>
      <c r="H86" s="10" t="str">
        <f aca="false">IF($L86="","",IF($L86="@成本",购销流水!$U26,IF($L86="@收入",购销流水!$T26,IF($L86="@存货",购销流水!$S26,IF($L86="@结算",购销流水!$R26,$L86)))))</f>
        <v/>
      </c>
      <c r="I86" s="42" t="n">
        <f aca="false">IF($M86="借",$O86,0)</f>
        <v>0</v>
      </c>
      <c r="J86" s="42" t="n">
        <f aca="false">IF($M86="贷",$O86,0)</f>
        <v>0</v>
      </c>
      <c r="K86" s="48" t="str">
        <f aca="false">IF($H86="","",购销流水!$E26)</f>
        <v/>
      </c>
      <c r="L86" s="66" t="str">
        <f aca="false">IF(购销流水!$D26="","",IFERROR(INDEX(记账规则!$A$6:$N$9,MATCH(购销流水!$D26,记账规则!$A$6:$A$9,0),3),""))</f>
        <v/>
      </c>
      <c r="M86" s="66" t="str">
        <f aca="false">IF($L86="","",IFERROR(INDEX(记账规则!$A$6:$N$9,MATCH(购销流水!$D26,记账规则!$A$6:$A$9,0),4),""))</f>
        <v/>
      </c>
      <c r="N86" s="66" t="str">
        <f aca="false">IF($L86="","",IFERROR(INDEX(记账规则!$A$6:$N$9,MATCH(购销流水!$D26,记账规则!$A$6:$A$9,0),5),""))</f>
        <v/>
      </c>
      <c r="O86" s="67" t="n">
        <f aca="false">IF($H86="",0,ROUND(IF($N86="成本金额",N(购销流水!$W26),IF($N86="金额",N(购销流水!$Q26),0)),2))</f>
        <v>0</v>
      </c>
      <c r="P86" s="64" t="str">
        <f aca="false">IF(AND($H86&lt;&gt;"",ROUND($O86,2)&lt;&gt;0),"有","")</f>
        <v/>
      </c>
    </row>
    <row r="87" customFormat="false" ht="15" hidden="true" customHeight="false" outlineLevel="0" collapsed="false">
      <c r="A87" s="53" t="str">
        <f aca="false">IF($H87="","",ROW()-5)</f>
        <v/>
      </c>
      <c r="B87" s="64" t="s">
        <v>36</v>
      </c>
      <c r="C87" s="53" t="n">
        <v>26</v>
      </c>
      <c r="D87" s="53" t="n">
        <v>2</v>
      </c>
      <c r="E87" s="65" t="str">
        <f aca="false">IF($H87="","",购销流水!$B26)</f>
        <v/>
      </c>
      <c r="F87" s="55" t="str">
        <f aca="false">IF($H87="","",购销流水!$C26)</f>
        <v/>
      </c>
      <c r="G87" s="48" t="str">
        <f aca="false">IF($H87="","",购销流水!$N26)</f>
        <v/>
      </c>
      <c r="H87" s="10" t="str">
        <f aca="false">IF($L87="","",IF($L87="@成本",购销流水!$U26,IF($L87="@收入",购销流水!$T26,IF($L87="@存货",购销流水!$S26,IF($L87="@结算",购销流水!$R26,$L87)))))</f>
        <v/>
      </c>
      <c r="I87" s="42" t="n">
        <f aca="false">IF($M87="借",$O87,0)</f>
        <v>0</v>
      </c>
      <c r="J87" s="42" t="n">
        <f aca="false">IF($M87="贷",$O87,0)</f>
        <v>0</v>
      </c>
      <c r="K87" s="48" t="str">
        <f aca="false">IF($H87="","",购销流水!$E26)</f>
        <v/>
      </c>
      <c r="L87" s="66" t="str">
        <f aca="false">IF(购销流水!$D26="","",IFERROR(INDEX(记账规则!$A$6:$N$9,MATCH(购销流水!$D26,记账规则!$A$6:$A$9,0),6),""))</f>
        <v/>
      </c>
      <c r="M87" s="66" t="str">
        <f aca="false">IF($L87="","",IFERROR(INDEX(记账规则!$A$6:$N$9,MATCH(购销流水!$D26,记账规则!$A$6:$A$9,0),7),""))</f>
        <v/>
      </c>
      <c r="N87" s="66" t="str">
        <f aca="false">IF($L87="","",IFERROR(INDEX(记账规则!$A$6:$N$9,MATCH(购销流水!$D26,记账规则!$A$6:$A$9,0),8),""))</f>
        <v/>
      </c>
      <c r="O87" s="67" t="n">
        <f aca="false">IF($H87="",0,ROUND(IF($N87="成本金额",N(购销流水!$W26),IF($N87="金额",N(购销流水!$Q26),0)),2))</f>
        <v>0</v>
      </c>
      <c r="P87" s="64" t="str">
        <f aca="false">IF(AND($H87&lt;&gt;"",ROUND($O87,2)&lt;&gt;0),"有","")</f>
        <v/>
      </c>
    </row>
    <row r="88" customFormat="false" ht="15" hidden="true" customHeight="false" outlineLevel="0" collapsed="false">
      <c r="A88" s="53" t="str">
        <f aca="false">IF($H88="","",ROW()-5)</f>
        <v/>
      </c>
      <c r="B88" s="64" t="s">
        <v>36</v>
      </c>
      <c r="C88" s="53" t="n">
        <v>26</v>
      </c>
      <c r="D88" s="53" t="n">
        <v>3</v>
      </c>
      <c r="E88" s="65" t="str">
        <f aca="false">IF($H88="","",购销流水!$B26)</f>
        <v/>
      </c>
      <c r="F88" s="55" t="str">
        <f aca="false">IF($H88="","",购销流水!$C26)</f>
        <v/>
      </c>
      <c r="G88" s="48" t="str">
        <f aca="false">IF($H88="","",购销流水!$N26)</f>
        <v/>
      </c>
      <c r="H88" s="10" t="str">
        <f aca="false">IF($L88="","",IF($L88="@成本",购销流水!$U26,IF($L88="@收入",购销流水!$T26,IF($L88="@存货",购销流水!$S26,IF($L88="@结算",购销流水!$R26,$L88)))))</f>
        <v/>
      </c>
      <c r="I88" s="42" t="n">
        <f aca="false">IF($M88="借",$O88,0)</f>
        <v>0</v>
      </c>
      <c r="J88" s="42" t="n">
        <f aca="false">IF($M88="贷",$O88,0)</f>
        <v>0</v>
      </c>
      <c r="K88" s="48" t="str">
        <f aca="false">IF($H88="","",购销流水!$E26)</f>
        <v/>
      </c>
      <c r="L88" s="66" t="str">
        <f aca="false">IF(购销流水!$D26="","",IFERROR(INDEX(记账规则!$A$6:$N$9,MATCH(购销流水!$D26,记账规则!$A$6:$A$9,0),9),""))</f>
        <v/>
      </c>
      <c r="M88" s="66" t="str">
        <f aca="false">IF($L88="","",IFERROR(INDEX(记账规则!$A$6:$N$9,MATCH(购销流水!$D26,记账规则!$A$6:$A$9,0),10),""))</f>
        <v/>
      </c>
      <c r="N88" s="66" t="str">
        <f aca="false">IF($L88="","",IFERROR(INDEX(记账规则!$A$6:$N$9,MATCH(购销流水!$D26,记账规则!$A$6:$A$9,0),11),""))</f>
        <v/>
      </c>
      <c r="O88" s="67" t="n">
        <f aca="false">IF($H88="",0,ROUND(IF($N88="成本金额",N(购销流水!$W26),IF($N88="金额",N(购销流水!$Q26),0)),2))</f>
        <v>0</v>
      </c>
      <c r="P88" s="64" t="str">
        <f aca="false">IF(AND($H88&lt;&gt;"",ROUND($O88,2)&lt;&gt;0),"有","")</f>
        <v/>
      </c>
    </row>
    <row r="89" customFormat="false" ht="15" hidden="true" customHeight="false" outlineLevel="0" collapsed="false">
      <c r="A89" s="53" t="str">
        <f aca="false">IF($H89="","",ROW()-5)</f>
        <v/>
      </c>
      <c r="B89" s="64" t="s">
        <v>36</v>
      </c>
      <c r="C89" s="53" t="n">
        <v>26</v>
      </c>
      <c r="D89" s="53" t="n">
        <v>4</v>
      </c>
      <c r="E89" s="65" t="str">
        <f aca="false">IF($H89="","",购销流水!$B26)</f>
        <v/>
      </c>
      <c r="F89" s="55" t="str">
        <f aca="false">IF($H89="","",购销流水!$C26)</f>
        <v/>
      </c>
      <c r="G89" s="48" t="str">
        <f aca="false">IF($H89="","",购销流水!$N26)</f>
        <v/>
      </c>
      <c r="H89" s="10" t="str">
        <f aca="false">IF($L89="","",IF($L89="@成本",购销流水!$U26,IF($L89="@收入",购销流水!$T26,IF($L89="@存货",购销流水!$S26,IF($L89="@结算",购销流水!$R26,$L89)))))</f>
        <v/>
      </c>
      <c r="I89" s="42" t="n">
        <f aca="false">IF($M89="借",$O89,0)</f>
        <v>0</v>
      </c>
      <c r="J89" s="42" t="n">
        <f aca="false">IF($M89="贷",$O89,0)</f>
        <v>0</v>
      </c>
      <c r="K89" s="48" t="str">
        <f aca="false">IF($H89="","",购销流水!$E26)</f>
        <v/>
      </c>
      <c r="L89" s="66" t="str">
        <f aca="false">IF(购销流水!$D26="","",IFERROR(INDEX(记账规则!$A$6:$N$9,MATCH(购销流水!$D26,记账规则!$A$6:$A$9,0),12),""))</f>
        <v/>
      </c>
      <c r="M89" s="66" t="str">
        <f aca="false">IF($L89="","",IFERROR(INDEX(记账规则!$A$6:$N$9,MATCH(购销流水!$D26,记账规则!$A$6:$A$9,0),13),""))</f>
        <v/>
      </c>
      <c r="N89" s="66" t="str">
        <f aca="false">IF($L89="","",IFERROR(INDEX(记账规则!$A$6:$N$9,MATCH(购销流水!$D26,记账规则!$A$6:$A$9,0),14),""))</f>
        <v/>
      </c>
      <c r="O89" s="67" t="n">
        <f aca="false">IF($H89="",0,ROUND(IF($N89="成本金额",N(购销流水!$W26),IF($N89="金额",N(购销流水!$Q26),0)),2))</f>
        <v>0</v>
      </c>
      <c r="P89" s="64" t="str">
        <f aca="false">IF(AND($H89&lt;&gt;"",ROUND($O89,2)&lt;&gt;0),"有","")</f>
        <v/>
      </c>
    </row>
    <row r="90" customFormat="false" ht="15" hidden="true" customHeight="false" outlineLevel="0" collapsed="false">
      <c r="A90" s="53" t="str">
        <f aca="false">IF($H90="","",ROW()-5)</f>
        <v/>
      </c>
      <c r="B90" s="64" t="s">
        <v>36</v>
      </c>
      <c r="C90" s="53" t="n">
        <v>27</v>
      </c>
      <c r="D90" s="53" t="n">
        <v>1</v>
      </c>
      <c r="E90" s="65" t="str">
        <f aca="false">IF($H90="","",购销流水!$B27)</f>
        <v/>
      </c>
      <c r="F90" s="55" t="str">
        <f aca="false">IF($H90="","",购销流水!$C27)</f>
        <v/>
      </c>
      <c r="G90" s="48" t="str">
        <f aca="false">IF($H90="","",购销流水!$N27)</f>
        <v/>
      </c>
      <c r="H90" s="10" t="str">
        <f aca="false">IF($L90="","",IF($L90="@成本",购销流水!$U27,IF($L90="@收入",购销流水!$T27,IF($L90="@存货",购销流水!$S27,IF($L90="@结算",购销流水!$R27,$L90)))))</f>
        <v/>
      </c>
      <c r="I90" s="42" t="n">
        <f aca="false">IF($M90="借",$O90,0)</f>
        <v>0</v>
      </c>
      <c r="J90" s="42" t="n">
        <f aca="false">IF($M90="贷",$O90,0)</f>
        <v>0</v>
      </c>
      <c r="K90" s="48" t="str">
        <f aca="false">IF($H90="","",购销流水!$E27)</f>
        <v/>
      </c>
      <c r="L90" s="66" t="str">
        <f aca="false">IF(购销流水!$D27="","",IFERROR(INDEX(记账规则!$A$6:$N$9,MATCH(购销流水!$D27,记账规则!$A$6:$A$9,0),3),""))</f>
        <v/>
      </c>
      <c r="M90" s="66" t="str">
        <f aca="false">IF($L90="","",IFERROR(INDEX(记账规则!$A$6:$N$9,MATCH(购销流水!$D27,记账规则!$A$6:$A$9,0),4),""))</f>
        <v/>
      </c>
      <c r="N90" s="66" t="str">
        <f aca="false">IF($L90="","",IFERROR(INDEX(记账规则!$A$6:$N$9,MATCH(购销流水!$D27,记账规则!$A$6:$A$9,0),5),""))</f>
        <v/>
      </c>
      <c r="O90" s="67" t="n">
        <f aca="false">IF($H90="",0,ROUND(IF($N90="成本金额",N(购销流水!$W27),IF($N90="金额",N(购销流水!$Q27),0)),2))</f>
        <v>0</v>
      </c>
      <c r="P90" s="64" t="str">
        <f aca="false">IF(AND($H90&lt;&gt;"",ROUND($O90,2)&lt;&gt;0),"有","")</f>
        <v/>
      </c>
    </row>
    <row r="91" customFormat="false" ht="15" hidden="true" customHeight="false" outlineLevel="0" collapsed="false">
      <c r="A91" s="53" t="str">
        <f aca="false">IF($H91="","",ROW()-5)</f>
        <v/>
      </c>
      <c r="B91" s="64" t="s">
        <v>36</v>
      </c>
      <c r="C91" s="53" t="n">
        <v>27</v>
      </c>
      <c r="D91" s="53" t="n">
        <v>2</v>
      </c>
      <c r="E91" s="65" t="str">
        <f aca="false">IF($H91="","",购销流水!$B27)</f>
        <v/>
      </c>
      <c r="F91" s="55" t="str">
        <f aca="false">IF($H91="","",购销流水!$C27)</f>
        <v/>
      </c>
      <c r="G91" s="48" t="str">
        <f aca="false">IF($H91="","",购销流水!$N27)</f>
        <v/>
      </c>
      <c r="H91" s="10" t="str">
        <f aca="false">IF($L91="","",IF($L91="@成本",购销流水!$U27,IF($L91="@收入",购销流水!$T27,IF($L91="@存货",购销流水!$S27,IF($L91="@结算",购销流水!$R27,$L91)))))</f>
        <v/>
      </c>
      <c r="I91" s="42" t="n">
        <f aca="false">IF($M91="借",$O91,0)</f>
        <v>0</v>
      </c>
      <c r="J91" s="42" t="n">
        <f aca="false">IF($M91="贷",$O91,0)</f>
        <v>0</v>
      </c>
      <c r="K91" s="48" t="str">
        <f aca="false">IF($H91="","",购销流水!$E27)</f>
        <v/>
      </c>
      <c r="L91" s="66" t="str">
        <f aca="false">IF(购销流水!$D27="","",IFERROR(INDEX(记账规则!$A$6:$N$9,MATCH(购销流水!$D27,记账规则!$A$6:$A$9,0),6),""))</f>
        <v/>
      </c>
      <c r="M91" s="66" t="str">
        <f aca="false">IF($L91="","",IFERROR(INDEX(记账规则!$A$6:$N$9,MATCH(购销流水!$D27,记账规则!$A$6:$A$9,0),7),""))</f>
        <v/>
      </c>
      <c r="N91" s="66" t="str">
        <f aca="false">IF($L91="","",IFERROR(INDEX(记账规则!$A$6:$N$9,MATCH(购销流水!$D27,记账规则!$A$6:$A$9,0),8),""))</f>
        <v/>
      </c>
      <c r="O91" s="67" t="n">
        <f aca="false">IF($H91="",0,ROUND(IF($N91="成本金额",N(购销流水!$W27),IF($N91="金额",N(购销流水!$Q27),0)),2))</f>
        <v>0</v>
      </c>
      <c r="P91" s="64" t="str">
        <f aca="false">IF(AND($H91&lt;&gt;"",ROUND($O91,2)&lt;&gt;0),"有","")</f>
        <v/>
      </c>
    </row>
    <row r="92" customFormat="false" ht="15" hidden="true" customHeight="false" outlineLevel="0" collapsed="false">
      <c r="A92" s="53" t="str">
        <f aca="false">IF($H92="","",ROW()-5)</f>
        <v/>
      </c>
      <c r="B92" s="64" t="s">
        <v>36</v>
      </c>
      <c r="C92" s="53" t="n">
        <v>27</v>
      </c>
      <c r="D92" s="53" t="n">
        <v>3</v>
      </c>
      <c r="E92" s="65" t="str">
        <f aca="false">IF($H92="","",购销流水!$B27)</f>
        <v/>
      </c>
      <c r="F92" s="55" t="str">
        <f aca="false">IF($H92="","",购销流水!$C27)</f>
        <v/>
      </c>
      <c r="G92" s="48" t="str">
        <f aca="false">IF($H92="","",购销流水!$N27)</f>
        <v/>
      </c>
      <c r="H92" s="10" t="str">
        <f aca="false">IF($L92="","",IF($L92="@成本",购销流水!$U27,IF($L92="@收入",购销流水!$T27,IF($L92="@存货",购销流水!$S27,IF($L92="@结算",购销流水!$R27,$L92)))))</f>
        <v/>
      </c>
      <c r="I92" s="42" t="n">
        <f aca="false">IF($M92="借",$O92,0)</f>
        <v>0</v>
      </c>
      <c r="J92" s="42" t="n">
        <f aca="false">IF($M92="贷",$O92,0)</f>
        <v>0</v>
      </c>
      <c r="K92" s="48" t="str">
        <f aca="false">IF($H92="","",购销流水!$E27)</f>
        <v/>
      </c>
      <c r="L92" s="66" t="str">
        <f aca="false">IF(购销流水!$D27="","",IFERROR(INDEX(记账规则!$A$6:$N$9,MATCH(购销流水!$D27,记账规则!$A$6:$A$9,0),9),""))</f>
        <v/>
      </c>
      <c r="M92" s="66" t="str">
        <f aca="false">IF($L92="","",IFERROR(INDEX(记账规则!$A$6:$N$9,MATCH(购销流水!$D27,记账规则!$A$6:$A$9,0),10),""))</f>
        <v/>
      </c>
      <c r="N92" s="66" t="str">
        <f aca="false">IF($L92="","",IFERROR(INDEX(记账规则!$A$6:$N$9,MATCH(购销流水!$D27,记账规则!$A$6:$A$9,0),11),""))</f>
        <v/>
      </c>
      <c r="O92" s="67" t="n">
        <f aca="false">IF($H92="",0,ROUND(IF($N92="成本金额",N(购销流水!$W27),IF($N92="金额",N(购销流水!$Q27),0)),2))</f>
        <v>0</v>
      </c>
      <c r="P92" s="64" t="str">
        <f aca="false">IF(AND($H92&lt;&gt;"",ROUND($O92,2)&lt;&gt;0),"有","")</f>
        <v/>
      </c>
    </row>
    <row r="93" customFormat="false" ht="15" hidden="true" customHeight="false" outlineLevel="0" collapsed="false">
      <c r="A93" s="53" t="str">
        <f aca="false">IF($H93="","",ROW()-5)</f>
        <v/>
      </c>
      <c r="B93" s="64" t="s">
        <v>36</v>
      </c>
      <c r="C93" s="53" t="n">
        <v>27</v>
      </c>
      <c r="D93" s="53" t="n">
        <v>4</v>
      </c>
      <c r="E93" s="65" t="str">
        <f aca="false">IF($H93="","",购销流水!$B27)</f>
        <v/>
      </c>
      <c r="F93" s="55" t="str">
        <f aca="false">IF($H93="","",购销流水!$C27)</f>
        <v/>
      </c>
      <c r="G93" s="48" t="str">
        <f aca="false">IF($H93="","",购销流水!$N27)</f>
        <v/>
      </c>
      <c r="H93" s="10" t="str">
        <f aca="false">IF($L93="","",IF($L93="@成本",购销流水!$U27,IF($L93="@收入",购销流水!$T27,IF($L93="@存货",购销流水!$S27,IF($L93="@结算",购销流水!$R27,$L93)))))</f>
        <v/>
      </c>
      <c r="I93" s="42" t="n">
        <f aca="false">IF($M93="借",$O93,0)</f>
        <v>0</v>
      </c>
      <c r="J93" s="42" t="n">
        <f aca="false">IF($M93="贷",$O93,0)</f>
        <v>0</v>
      </c>
      <c r="K93" s="48" t="str">
        <f aca="false">IF($H93="","",购销流水!$E27)</f>
        <v/>
      </c>
      <c r="L93" s="66" t="str">
        <f aca="false">IF(购销流水!$D27="","",IFERROR(INDEX(记账规则!$A$6:$N$9,MATCH(购销流水!$D27,记账规则!$A$6:$A$9,0),12),""))</f>
        <v/>
      </c>
      <c r="M93" s="66" t="str">
        <f aca="false">IF($L93="","",IFERROR(INDEX(记账规则!$A$6:$N$9,MATCH(购销流水!$D27,记账规则!$A$6:$A$9,0),13),""))</f>
        <v/>
      </c>
      <c r="N93" s="66" t="str">
        <f aca="false">IF($L93="","",IFERROR(INDEX(记账规则!$A$6:$N$9,MATCH(购销流水!$D27,记账规则!$A$6:$A$9,0),14),""))</f>
        <v/>
      </c>
      <c r="O93" s="67" t="n">
        <f aca="false">IF($H93="",0,ROUND(IF($N93="成本金额",N(购销流水!$W27),IF($N93="金额",N(购销流水!$Q27),0)),2))</f>
        <v>0</v>
      </c>
      <c r="P93" s="64" t="str">
        <f aca="false">IF(AND($H93&lt;&gt;"",ROUND($O93,2)&lt;&gt;0),"有","")</f>
        <v/>
      </c>
    </row>
    <row r="94" customFormat="false" ht="15" hidden="true" customHeight="false" outlineLevel="0" collapsed="false">
      <c r="A94" s="53" t="str">
        <f aca="false">IF($H94="","",ROW()-5)</f>
        <v/>
      </c>
      <c r="B94" s="64" t="s">
        <v>36</v>
      </c>
      <c r="C94" s="53" t="n">
        <v>28</v>
      </c>
      <c r="D94" s="53" t="n">
        <v>1</v>
      </c>
      <c r="E94" s="65" t="str">
        <f aca="false">IF($H94="","",购销流水!$B28)</f>
        <v/>
      </c>
      <c r="F94" s="55" t="str">
        <f aca="false">IF($H94="","",购销流水!$C28)</f>
        <v/>
      </c>
      <c r="G94" s="48" t="str">
        <f aca="false">IF($H94="","",购销流水!$N28)</f>
        <v/>
      </c>
      <c r="H94" s="10" t="str">
        <f aca="false">IF($L94="","",IF($L94="@成本",购销流水!$U28,IF($L94="@收入",购销流水!$T28,IF($L94="@存货",购销流水!$S28,IF($L94="@结算",购销流水!$R28,$L94)))))</f>
        <v/>
      </c>
      <c r="I94" s="42" t="n">
        <f aca="false">IF($M94="借",$O94,0)</f>
        <v>0</v>
      </c>
      <c r="J94" s="42" t="n">
        <f aca="false">IF($M94="贷",$O94,0)</f>
        <v>0</v>
      </c>
      <c r="K94" s="48" t="str">
        <f aca="false">IF($H94="","",购销流水!$E28)</f>
        <v/>
      </c>
      <c r="L94" s="66" t="str">
        <f aca="false">IF(购销流水!$D28="","",IFERROR(INDEX(记账规则!$A$6:$N$9,MATCH(购销流水!$D28,记账规则!$A$6:$A$9,0),3),""))</f>
        <v/>
      </c>
      <c r="M94" s="66" t="str">
        <f aca="false">IF($L94="","",IFERROR(INDEX(记账规则!$A$6:$N$9,MATCH(购销流水!$D28,记账规则!$A$6:$A$9,0),4),""))</f>
        <v/>
      </c>
      <c r="N94" s="66" t="str">
        <f aca="false">IF($L94="","",IFERROR(INDEX(记账规则!$A$6:$N$9,MATCH(购销流水!$D28,记账规则!$A$6:$A$9,0),5),""))</f>
        <v/>
      </c>
      <c r="O94" s="67" t="n">
        <f aca="false">IF($H94="",0,ROUND(IF($N94="成本金额",N(购销流水!$W28),IF($N94="金额",N(购销流水!$Q28),0)),2))</f>
        <v>0</v>
      </c>
      <c r="P94" s="64" t="str">
        <f aca="false">IF(AND($H94&lt;&gt;"",ROUND($O94,2)&lt;&gt;0),"有","")</f>
        <v/>
      </c>
    </row>
    <row r="95" customFormat="false" ht="15" hidden="true" customHeight="false" outlineLevel="0" collapsed="false">
      <c r="A95" s="53" t="str">
        <f aca="false">IF($H95="","",ROW()-5)</f>
        <v/>
      </c>
      <c r="B95" s="64" t="s">
        <v>36</v>
      </c>
      <c r="C95" s="53" t="n">
        <v>28</v>
      </c>
      <c r="D95" s="53" t="n">
        <v>2</v>
      </c>
      <c r="E95" s="65" t="str">
        <f aca="false">IF($H95="","",购销流水!$B28)</f>
        <v/>
      </c>
      <c r="F95" s="55" t="str">
        <f aca="false">IF($H95="","",购销流水!$C28)</f>
        <v/>
      </c>
      <c r="G95" s="48" t="str">
        <f aca="false">IF($H95="","",购销流水!$N28)</f>
        <v/>
      </c>
      <c r="H95" s="10" t="str">
        <f aca="false">IF($L95="","",IF($L95="@成本",购销流水!$U28,IF($L95="@收入",购销流水!$T28,IF($L95="@存货",购销流水!$S28,IF($L95="@结算",购销流水!$R28,$L95)))))</f>
        <v/>
      </c>
      <c r="I95" s="42" t="n">
        <f aca="false">IF($M95="借",$O95,0)</f>
        <v>0</v>
      </c>
      <c r="J95" s="42" t="n">
        <f aca="false">IF($M95="贷",$O95,0)</f>
        <v>0</v>
      </c>
      <c r="K95" s="48" t="str">
        <f aca="false">IF($H95="","",购销流水!$E28)</f>
        <v/>
      </c>
      <c r="L95" s="66" t="str">
        <f aca="false">IF(购销流水!$D28="","",IFERROR(INDEX(记账规则!$A$6:$N$9,MATCH(购销流水!$D28,记账规则!$A$6:$A$9,0),6),""))</f>
        <v/>
      </c>
      <c r="M95" s="66" t="str">
        <f aca="false">IF($L95="","",IFERROR(INDEX(记账规则!$A$6:$N$9,MATCH(购销流水!$D28,记账规则!$A$6:$A$9,0),7),""))</f>
        <v/>
      </c>
      <c r="N95" s="66" t="str">
        <f aca="false">IF($L95="","",IFERROR(INDEX(记账规则!$A$6:$N$9,MATCH(购销流水!$D28,记账规则!$A$6:$A$9,0),8),""))</f>
        <v/>
      </c>
      <c r="O95" s="67" t="n">
        <f aca="false">IF($H95="",0,ROUND(IF($N95="成本金额",N(购销流水!$W28),IF($N95="金额",N(购销流水!$Q28),0)),2))</f>
        <v>0</v>
      </c>
      <c r="P95" s="64" t="str">
        <f aca="false">IF(AND($H95&lt;&gt;"",ROUND($O95,2)&lt;&gt;0),"有","")</f>
        <v/>
      </c>
    </row>
    <row r="96" customFormat="false" ht="15" hidden="true" customHeight="false" outlineLevel="0" collapsed="false">
      <c r="A96" s="53" t="str">
        <f aca="false">IF($H96="","",ROW()-5)</f>
        <v/>
      </c>
      <c r="B96" s="64" t="s">
        <v>36</v>
      </c>
      <c r="C96" s="53" t="n">
        <v>28</v>
      </c>
      <c r="D96" s="53" t="n">
        <v>3</v>
      </c>
      <c r="E96" s="65" t="str">
        <f aca="false">IF($H96="","",购销流水!$B28)</f>
        <v/>
      </c>
      <c r="F96" s="55" t="str">
        <f aca="false">IF($H96="","",购销流水!$C28)</f>
        <v/>
      </c>
      <c r="G96" s="48" t="str">
        <f aca="false">IF($H96="","",购销流水!$N28)</f>
        <v/>
      </c>
      <c r="H96" s="10" t="str">
        <f aca="false">IF($L96="","",IF($L96="@成本",购销流水!$U28,IF($L96="@收入",购销流水!$T28,IF($L96="@存货",购销流水!$S28,IF($L96="@结算",购销流水!$R28,$L96)))))</f>
        <v/>
      </c>
      <c r="I96" s="42" t="n">
        <f aca="false">IF($M96="借",$O96,0)</f>
        <v>0</v>
      </c>
      <c r="J96" s="42" t="n">
        <f aca="false">IF($M96="贷",$O96,0)</f>
        <v>0</v>
      </c>
      <c r="K96" s="48" t="str">
        <f aca="false">IF($H96="","",购销流水!$E28)</f>
        <v/>
      </c>
      <c r="L96" s="66" t="str">
        <f aca="false">IF(购销流水!$D28="","",IFERROR(INDEX(记账规则!$A$6:$N$9,MATCH(购销流水!$D28,记账规则!$A$6:$A$9,0),9),""))</f>
        <v/>
      </c>
      <c r="M96" s="66" t="str">
        <f aca="false">IF($L96="","",IFERROR(INDEX(记账规则!$A$6:$N$9,MATCH(购销流水!$D28,记账规则!$A$6:$A$9,0),10),""))</f>
        <v/>
      </c>
      <c r="N96" s="66" t="str">
        <f aca="false">IF($L96="","",IFERROR(INDEX(记账规则!$A$6:$N$9,MATCH(购销流水!$D28,记账规则!$A$6:$A$9,0),11),""))</f>
        <v/>
      </c>
      <c r="O96" s="67" t="n">
        <f aca="false">IF($H96="",0,ROUND(IF($N96="成本金额",N(购销流水!$W28),IF($N96="金额",N(购销流水!$Q28),0)),2))</f>
        <v>0</v>
      </c>
      <c r="P96" s="64" t="str">
        <f aca="false">IF(AND($H96&lt;&gt;"",ROUND($O96,2)&lt;&gt;0),"有","")</f>
        <v/>
      </c>
    </row>
    <row r="97" customFormat="false" ht="15" hidden="true" customHeight="false" outlineLevel="0" collapsed="false">
      <c r="A97" s="53" t="str">
        <f aca="false">IF($H97="","",ROW()-5)</f>
        <v/>
      </c>
      <c r="B97" s="64" t="s">
        <v>36</v>
      </c>
      <c r="C97" s="53" t="n">
        <v>28</v>
      </c>
      <c r="D97" s="53" t="n">
        <v>4</v>
      </c>
      <c r="E97" s="65" t="str">
        <f aca="false">IF($H97="","",购销流水!$B28)</f>
        <v/>
      </c>
      <c r="F97" s="55" t="str">
        <f aca="false">IF($H97="","",购销流水!$C28)</f>
        <v/>
      </c>
      <c r="G97" s="48" t="str">
        <f aca="false">IF($H97="","",购销流水!$N28)</f>
        <v/>
      </c>
      <c r="H97" s="10" t="str">
        <f aca="false">IF($L97="","",IF($L97="@成本",购销流水!$U28,IF($L97="@收入",购销流水!$T28,IF($L97="@存货",购销流水!$S28,IF($L97="@结算",购销流水!$R28,$L97)))))</f>
        <v/>
      </c>
      <c r="I97" s="42" t="n">
        <f aca="false">IF($M97="借",$O97,0)</f>
        <v>0</v>
      </c>
      <c r="J97" s="42" t="n">
        <f aca="false">IF($M97="贷",$O97,0)</f>
        <v>0</v>
      </c>
      <c r="K97" s="48" t="str">
        <f aca="false">IF($H97="","",购销流水!$E28)</f>
        <v/>
      </c>
      <c r="L97" s="66" t="str">
        <f aca="false">IF(购销流水!$D28="","",IFERROR(INDEX(记账规则!$A$6:$N$9,MATCH(购销流水!$D28,记账规则!$A$6:$A$9,0),12),""))</f>
        <v/>
      </c>
      <c r="M97" s="66" t="str">
        <f aca="false">IF($L97="","",IFERROR(INDEX(记账规则!$A$6:$N$9,MATCH(购销流水!$D28,记账规则!$A$6:$A$9,0),13),""))</f>
        <v/>
      </c>
      <c r="N97" s="66" t="str">
        <f aca="false">IF($L97="","",IFERROR(INDEX(记账规则!$A$6:$N$9,MATCH(购销流水!$D28,记账规则!$A$6:$A$9,0),14),""))</f>
        <v/>
      </c>
      <c r="O97" s="67" t="n">
        <f aca="false">IF($H97="",0,ROUND(IF($N97="成本金额",N(购销流水!$W28),IF($N97="金额",N(购销流水!$Q28),0)),2))</f>
        <v>0</v>
      </c>
      <c r="P97" s="64" t="str">
        <f aca="false">IF(AND($H97&lt;&gt;"",ROUND($O97,2)&lt;&gt;0),"有","")</f>
        <v/>
      </c>
    </row>
    <row r="98" customFormat="false" ht="15" hidden="true" customHeight="false" outlineLevel="0" collapsed="false">
      <c r="A98" s="53" t="str">
        <f aca="false">IF($H98="","",ROW()-5)</f>
        <v/>
      </c>
      <c r="B98" s="64" t="s">
        <v>36</v>
      </c>
      <c r="C98" s="53" t="n">
        <v>29</v>
      </c>
      <c r="D98" s="53" t="n">
        <v>1</v>
      </c>
      <c r="E98" s="65" t="str">
        <f aca="false">IF($H98="","",购销流水!$B29)</f>
        <v/>
      </c>
      <c r="F98" s="55" t="str">
        <f aca="false">IF($H98="","",购销流水!$C29)</f>
        <v/>
      </c>
      <c r="G98" s="48" t="str">
        <f aca="false">IF($H98="","",购销流水!$N29)</f>
        <v/>
      </c>
      <c r="H98" s="10" t="str">
        <f aca="false">IF($L98="","",IF($L98="@成本",购销流水!$U29,IF($L98="@收入",购销流水!$T29,IF($L98="@存货",购销流水!$S29,IF($L98="@结算",购销流水!$R29,$L98)))))</f>
        <v/>
      </c>
      <c r="I98" s="42" t="n">
        <f aca="false">IF($M98="借",$O98,0)</f>
        <v>0</v>
      </c>
      <c r="J98" s="42" t="n">
        <f aca="false">IF($M98="贷",$O98,0)</f>
        <v>0</v>
      </c>
      <c r="K98" s="48" t="str">
        <f aca="false">IF($H98="","",购销流水!$E29)</f>
        <v/>
      </c>
      <c r="L98" s="66" t="str">
        <f aca="false">IF(购销流水!$D29="","",IFERROR(INDEX(记账规则!$A$6:$N$9,MATCH(购销流水!$D29,记账规则!$A$6:$A$9,0),3),""))</f>
        <v/>
      </c>
      <c r="M98" s="66" t="str">
        <f aca="false">IF($L98="","",IFERROR(INDEX(记账规则!$A$6:$N$9,MATCH(购销流水!$D29,记账规则!$A$6:$A$9,0),4),""))</f>
        <v/>
      </c>
      <c r="N98" s="66" t="str">
        <f aca="false">IF($L98="","",IFERROR(INDEX(记账规则!$A$6:$N$9,MATCH(购销流水!$D29,记账规则!$A$6:$A$9,0),5),""))</f>
        <v/>
      </c>
      <c r="O98" s="67" t="n">
        <f aca="false">IF($H98="",0,ROUND(IF($N98="成本金额",N(购销流水!$W29),IF($N98="金额",N(购销流水!$Q29),0)),2))</f>
        <v>0</v>
      </c>
      <c r="P98" s="64" t="str">
        <f aca="false">IF(AND($H98&lt;&gt;"",ROUND($O98,2)&lt;&gt;0),"有","")</f>
        <v/>
      </c>
    </row>
    <row r="99" customFormat="false" ht="15" hidden="true" customHeight="false" outlineLevel="0" collapsed="false">
      <c r="A99" s="53" t="str">
        <f aca="false">IF($H99="","",ROW()-5)</f>
        <v/>
      </c>
      <c r="B99" s="64" t="s">
        <v>36</v>
      </c>
      <c r="C99" s="53" t="n">
        <v>29</v>
      </c>
      <c r="D99" s="53" t="n">
        <v>2</v>
      </c>
      <c r="E99" s="65" t="str">
        <f aca="false">IF($H99="","",购销流水!$B29)</f>
        <v/>
      </c>
      <c r="F99" s="55" t="str">
        <f aca="false">IF($H99="","",购销流水!$C29)</f>
        <v/>
      </c>
      <c r="G99" s="48" t="str">
        <f aca="false">IF($H99="","",购销流水!$N29)</f>
        <v/>
      </c>
      <c r="H99" s="10" t="str">
        <f aca="false">IF($L99="","",IF($L99="@成本",购销流水!$U29,IF($L99="@收入",购销流水!$T29,IF($L99="@存货",购销流水!$S29,IF($L99="@结算",购销流水!$R29,$L99)))))</f>
        <v/>
      </c>
      <c r="I99" s="42" t="n">
        <f aca="false">IF($M99="借",$O99,0)</f>
        <v>0</v>
      </c>
      <c r="J99" s="42" t="n">
        <f aca="false">IF($M99="贷",$O99,0)</f>
        <v>0</v>
      </c>
      <c r="K99" s="48" t="str">
        <f aca="false">IF($H99="","",购销流水!$E29)</f>
        <v/>
      </c>
      <c r="L99" s="66" t="str">
        <f aca="false">IF(购销流水!$D29="","",IFERROR(INDEX(记账规则!$A$6:$N$9,MATCH(购销流水!$D29,记账规则!$A$6:$A$9,0),6),""))</f>
        <v/>
      </c>
      <c r="M99" s="66" t="str">
        <f aca="false">IF($L99="","",IFERROR(INDEX(记账规则!$A$6:$N$9,MATCH(购销流水!$D29,记账规则!$A$6:$A$9,0),7),""))</f>
        <v/>
      </c>
      <c r="N99" s="66" t="str">
        <f aca="false">IF($L99="","",IFERROR(INDEX(记账规则!$A$6:$N$9,MATCH(购销流水!$D29,记账规则!$A$6:$A$9,0),8),""))</f>
        <v/>
      </c>
      <c r="O99" s="67" t="n">
        <f aca="false">IF($H99="",0,ROUND(IF($N99="成本金额",N(购销流水!$W29),IF($N99="金额",N(购销流水!$Q29),0)),2))</f>
        <v>0</v>
      </c>
      <c r="P99" s="64" t="str">
        <f aca="false">IF(AND($H99&lt;&gt;"",ROUND($O99,2)&lt;&gt;0),"有","")</f>
        <v/>
      </c>
    </row>
    <row r="100" customFormat="false" ht="15" hidden="true" customHeight="false" outlineLevel="0" collapsed="false">
      <c r="A100" s="53" t="str">
        <f aca="false">IF($H100="","",ROW()-5)</f>
        <v/>
      </c>
      <c r="B100" s="64" t="s">
        <v>36</v>
      </c>
      <c r="C100" s="53" t="n">
        <v>29</v>
      </c>
      <c r="D100" s="53" t="n">
        <v>3</v>
      </c>
      <c r="E100" s="65" t="str">
        <f aca="false">IF($H100="","",购销流水!$B29)</f>
        <v/>
      </c>
      <c r="F100" s="55" t="str">
        <f aca="false">IF($H100="","",购销流水!$C29)</f>
        <v/>
      </c>
      <c r="G100" s="48" t="str">
        <f aca="false">IF($H100="","",购销流水!$N29)</f>
        <v/>
      </c>
      <c r="H100" s="10" t="str">
        <f aca="false">IF($L100="","",IF($L100="@成本",购销流水!$U29,IF($L100="@收入",购销流水!$T29,IF($L100="@存货",购销流水!$S29,IF($L100="@结算",购销流水!$R29,$L100)))))</f>
        <v/>
      </c>
      <c r="I100" s="42" t="n">
        <f aca="false">IF($M100="借",$O100,0)</f>
        <v>0</v>
      </c>
      <c r="J100" s="42" t="n">
        <f aca="false">IF($M100="贷",$O100,0)</f>
        <v>0</v>
      </c>
      <c r="K100" s="48" t="str">
        <f aca="false">IF($H100="","",购销流水!$E29)</f>
        <v/>
      </c>
      <c r="L100" s="66" t="str">
        <f aca="false">IF(购销流水!$D29="","",IFERROR(INDEX(记账规则!$A$6:$N$9,MATCH(购销流水!$D29,记账规则!$A$6:$A$9,0),9),""))</f>
        <v/>
      </c>
      <c r="M100" s="66" t="str">
        <f aca="false">IF($L100="","",IFERROR(INDEX(记账规则!$A$6:$N$9,MATCH(购销流水!$D29,记账规则!$A$6:$A$9,0),10),""))</f>
        <v/>
      </c>
      <c r="N100" s="66" t="str">
        <f aca="false">IF($L100="","",IFERROR(INDEX(记账规则!$A$6:$N$9,MATCH(购销流水!$D29,记账规则!$A$6:$A$9,0),11),""))</f>
        <v/>
      </c>
      <c r="O100" s="67" t="n">
        <f aca="false">IF($H100="",0,ROUND(IF($N100="成本金额",N(购销流水!$W29),IF($N100="金额",N(购销流水!$Q29),0)),2))</f>
        <v>0</v>
      </c>
      <c r="P100" s="64" t="str">
        <f aca="false">IF(AND($H100&lt;&gt;"",ROUND($O100,2)&lt;&gt;0),"有","")</f>
        <v/>
      </c>
    </row>
    <row r="101" customFormat="false" ht="15" hidden="true" customHeight="false" outlineLevel="0" collapsed="false">
      <c r="A101" s="53" t="str">
        <f aca="false">IF($H101="","",ROW()-5)</f>
        <v/>
      </c>
      <c r="B101" s="64" t="s">
        <v>36</v>
      </c>
      <c r="C101" s="53" t="n">
        <v>29</v>
      </c>
      <c r="D101" s="53" t="n">
        <v>4</v>
      </c>
      <c r="E101" s="65" t="str">
        <f aca="false">IF($H101="","",购销流水!$B29)</f>
        <v/>
      </c>
      <c r="F101" s="55" t="str">
        <f aca="false">IF($H101="","",购销流水!$C29)</f>
        <v/>
      </c>
      <c r="G101" s="48" t="str">
        <f aca="false">IF($H101="","",购销流水!$N29)</f>
        <v/>
      </c>
      <c r="H101" s="10" t="str">
        <f aca="false">IF($L101="","",IF($L101="@成本",购销流水!$U29,IF($L101="@收入",购销流水!$T29,IF($L101="@存货",购销流水!$S29,IF($L101="@结算",购销流水!$R29,$L101)))))</f>
        <v/>
      </c>
      <c r="I101" s="42" t="n">
        <f aca="false">IF($M101="借",$O101,0)</f>
        <v>0</v>
      </c>
      <c r="J101" s="42" t="n">
        <f aca="false">IF($M101="贷",$O101,0)</f>
        <v>0</v>
      </c>
      <c r="K101" s="48" t="str">
        <f aca="false">IF($H101="","",购销流水!$E29)</f>
        <v/>
      </c>
      <c r="L101" s="66" t="str">
        <f aca="false">IF(购销流水!$D29="","",IFERROR(INDEX(记账规则!$A$6:$N$9,MATCH(购销流水!$D29,记账规则!$A$6:$A$9,0),12),""))</f>
        <v/>
      </c>
      <c r="M101" s="66" t="str">
        <f aca="false">IF($L101="","",IFERROR(INDEX(记账规则!$A$6:$N$9,MATCH(购销流水!$D29,记账规则!$A$6:$A$9,0),13),""))</f>
        <v/>
      </c>
      <c r="N101" s="66" t="str">
        <f aca="false">IF($L101="","",IFERROR(INDEX(记账规则!$A$6:$N$9,MATCH(购销流水!$D29,记账规则!$A$6:$A$9,0),14),""))</f>
        <v/>
      </c>
      <c r="O101" s="67" t="n">
        <f aca="false">IF($H101="",0,ROUND(IF($N101="成本金额",N(购销流水!$W29),IF($N101="金额",N(购销流水!$Q29),0)),2))</f>
        <v>0</v>
      </c>
      <c r="P101" s="64" t="str">
        <f aca="false">IF(AND($H101&lt;&gt;"",ROUND($O101,2)&lt;&gt;0),"有","")</f>
        <v/>
      </c>
    </row>
    <row r="102" customFormat="false" ht="15" hidden="true" customHeight="false" outlineLevel="0" collapsed="false">
      <c r="A102" s="53" t="str">
        <f aca="false">IF($H102="","",ROW()-5)</f>
        <v/>
      </c>
      <c r="B102" s="64" t="s">
        <v>36</v>
      </c>
      <c r="C102" s="53" t="n">
        <v>30</v>
      </c>
      <c r="D102" s="53" t="n">
        <v>1</v>
      </c>
      <c r="E102" s="65" t="str">
        <f aca="false">IF($H102="","",购销流水!$B30)</f>
        <v/>
      </c>
      <c r="F102" s="55" t="str">
        <f aca="false">IF($H102="","",购销流水!$C30)</f>
        <v/>
      </c>
      <c r="G102" s="48" t="str">
        <f aca="false">IF($H102="","",购销流水!$N30)</f>
        <v/>
      </c>
      <c r="H102" s="10" t="str">
        <f aca="false">IF($L102="","",IF($L102="@成本",购销流水!$U30,IF($L102="@收入",购销流水!$T30,IF($L102="@存货",购销流水!$S30,IF($L102="@结算",购销流水!$R30,$L102)))))</f>
        <v/>
      </c>
      <c r="I102" s="42" t="n">
        <f aca="false">IF($M102="借",$O102,0)</f>
        <v>0</v>
      </c>
      <c r="J102" s="42" t="n">
        <f aca="false">IF($M102="贷",$O102,0)</f>
        <v>0</v>
      </c>
      <c r="K102" s="48" t="str">
        <f aca="false">IF($H102="","",购销流水!$E30)</f>
        <v/>
      </c>
      <c r="L102" s="66" t="str">
        <f aca="false">IF(购销流水!$D30="","",IFERROR(INDEX(记账规则!$A$6:$N$9,MATCH(购销流水!$D30,记账规则!$A$6:$A$9,0),3),""))</f>
        <v/>
      </c>
      <c r="M102" s="66" t="str">
        <f aca="false">IF($L102="","",IFERROR(INDEX(记账规则!$A$6:$N$9,MATCH(购销流水!$D30,记账规则!$A$6:$A$9,0),4),""))</f>
        <v/>
      </c>
      <c r="N102" s="66" t="str">
        <f aca="false">IF($L102="","",IFERROR(INDEX(记账规则!$A$6:$N$9,MATCH(购销流水!$D30,记账规则!$A$6:$A$9,0),5),""))</f>
        <v/>
      </c>
      <c r="O102" s="67" t="n">
        <f aca="false">IF($H102="",0,ROUND(IF($N102="成本金额",N(购销流水!$W30),IF($N102="金额",N(购销流水!$Q30),0)),2))</f>
        <v>0</v>
      </c>
      <c r="P102" s="64" t="str">
        <f aca="false">IF(AND($H102&lt;&gt;"",ROUND($O102,2)&lt;&gt;0),"有","")</f>
        <v/>
      </c>
    </row>
    <row r="103" customFormat="false" ht="15" hidden="true" customHeight="false" outlineLevel="0" collapsed="false">
      <c r="A103" s="53" t="str">
        <f aca="false">IF($H103="","",ROW()-5)</f>
        <v/>
      </c>
      <c r="B103" s="64" t="s">
        <v>36</v>
      </c>
      <c r="C103" s="53" t="n">
        <v>30</v>
      </c>
      <c r="D103" s="53" t="n">
        <v>2</v>
      </c>
      <c r="E103" s="65" t="str">
        <f aca="false">IF($H103="","",购销流水!$B30)</f>
        <v/>
      </c>
      <c r="F103" s="55" t="str">
        <f aca="false">IF($H103="","",购销流水!$C30)</f>
        <v/>
      </c>
      <c r="G103" s="48" t="str">
        <f aca="false">IF($H103="","",购销流水!$N30)</f>
        <v/>
      </c>
      <c r="H103" s="10" t="str">
        <f aca="false">IF($L103="","",IF($L103="@成本",购销流水!$U30,IF($L103="@收入",购销流水!$T30,IF($L103="@存货",购销流水!$S30,IF($L103="@结算",购销流水!$R30,$L103)))))</f>
        <v/>
      </c>
      <c r="I103" s="42" t="n">
        <f aca="false">IF($M103="借",$O103,0)</f>
        <v>0</v>
      </c>
      <c r="J103" s="42" t="n">
        <f aca="false">IF($M103="贷",$O103,0)</f>
        <v>0</v>
      </c>
      <c r="K103" s="48" t="str">
        <f aca="false">IF($H103="","",购销流水!$E30)</f>
        <v/>
      </c>
      <c r="L103" s="66" t="str">
        <f aca="false">IF(购销流水!$D30="","",IFERROR(INDEX(记账规则!$A$6:$N$9,MATCH(购销流水!$D30,记账规则!$A$6:$A$9,0),6),""))</f>
        <v/>
      </c>
      <c r="M103" s="66" t="str">
        <f aca="false">IF($L103="","",IFERROR(INDEX(记账规则!$A$6:$N$9,MATCH(购销流水!$D30,记账规则!$A$6:$A$9,0),7),""))</f>
        <v/>
      </c>
      <c r="N103" s="66" t="str">
        <f aca="false">IF($L103="","",IFERROR(INDEX(记账规则!$A$6:$N$9,MATCH(购销流水!$D30,记账规则!$A$6:$A$9,0),8),""))</f>
        <v/>
      </c>
      <c r="O103" s="67" t="n">
        <f aca="false">IF($H103="",0,ROUND(IF($N103="成本金额",N(购销流水!$W30),IF($N103="金额",N(购销流水!$Q30),0)),2))</f>
        <v>0</v>
      </c>
      <c r="P103" s="64" t="str">
        <f aca="false">IF(AND($H103&lt;&gt;"",ROUND($O103,2)&lt;&gt;0),"有","")</f>
        <v/>
      </c>
    </row>
    <row r="104" customFormat="false" ht="15" hidden="true" customHeight="false" outlineLevel="0" collapsed="false">
      <c r="A104" s="53" t="str">
        <f aca="false">IF($H104="","",ROW()-5)</f>
        <v/>
      </c>
      <c r="B104" s="64" t="s">
        <v>36</v>
      </c>
      <c r="C104" s="53" t="n">
        <v>30</v>
      </c>
      <c r="D104" s="53" t="n">
        <v>3</v>
      </c>
      <c r="E104" s="65" t="str">
        <f aca="false">IF($H104="","",购销流水!$B30)</f>
        <v/>
      </c>
      <c r="F104" s="55" t="str">
        <f aca="false">IF($H104="","",购销流水!$C30)</f>
        <v/>
      </c>
      <c r="G104" s="48" t="str">
        <f aca="false">IF($H104="","",购销流水!$N30)</f>
        <v/>
      </c>
      <c r="H104" s="10" t="str">
        <f aca="false">IF($L104="","",IF($L104="@成本",购销流水!$U30,IF($L104="@收入",购销流水!$T30,IF($L104="@存货",购销流水!$S30,IF($L104="@结算",购销流水!$R30,$L104)))))</f>
        <v/>
      </c>
      <c r="I104" s="42" t="n">
        <f aca="false">IF($M104="借",$O104,0)</f>
        <v>0</v>
      </c>
      <c r="J104" s="42" t="n">
        <f aca="false">IF($M104="贷",$O104,0)</f>
        <v>0</v>
      </c>
      <c r="K104" s="48" t="str">
        <f aca="false">IF($H104="","",购销流水!$E30)</f>
        <v/>
      </c>
      <c r="L104" s="66" t="str">
        <f aca="false">IF(购销流水!$D30="","",IFERROR(INDEX(记账规则!$A$6:$N$9,MATCH(购销流水!$D30,记账规则!$A$6:$A$9,0),9),""))</f>
        <v/>
      </c>
      <c r="M104" s="66" t="str">
        <f aca="false">IF($L104="","",IFERROR(INDEX(记账规则!$A$6:$N$9,MATCH(购销流水!$D30,记账规则!$A$6:$A$9,0),10),""))</f>
        <v/>
      </c>
      <c r="N104" s="66" t="str">
        <f aca="false">IF($L104="","",IFERROR(INDEX(记账规则!$A$6:$N$9,MATCH(购销流水!$D30,记账规则!$A$6:$A$9,0),11),""))</f>
        <v/>
      </c>
      <c r="O104" s="67" t="n">
        <f aca="false">IF($H104="",0,ROUND(IF($N104="成本金额",N(购销流水!$W30),IF($N104="金额",N(购销流水!$Q30),0)),2))</f>
        <v>0</v>
      </c>
      <c r="P104" s="64" t="str">
        <f aca="false">IF(AND($H104&lt;&gt;"",ROUND($O104,2)&lt;&gt;0),"有","")</f>
        <v/>
      </c>
    </row>
    <row r="105" customFormat="false" ht="15" hidden="true" customHeight="false" outlineLevel="0" collapsed="false">
      <c r="A105" s="53" t="str">
        <f aca="false">IF($H105="","",ROW()-5)</f>
        <v/>
      </c>
      <c r="B105" s="64" t="s">
        <v>36</v>
      </c>
      <c r="C105" s="53" t="n">
        <v>30</v>
      </c>
      <c r="D105" s="53" t="n">
        <v>4</v>
      </c>
      <c r="E105" s="65" t="str">
        <f aca="false">IF($H105="","",购销流水!$B30)</f>
        <v/>
      </c>
      <c r="F105" s="55" t="str">
        <f aca="false">IF($H105="","",购销流水!$C30)</f>
        <v/>
      </c>
      <c r="G105" s="48" t="str">
        <f aca="false">IF($H105="","",购销流水!$N30)</f>
        <v/>
      </c>
      <c r="H105" s="10" t="str">
        <f aca="false">IF($L105="","",IF($L105="@成本",购销流水!$U30,IF($L105="@收入",购销流水!$T30,IF($L105="@存货",购销流水!$S30,IF($L105="@结算",购销流水!$R30,$L105)))))</f>
        <v/>
      </c>
      <c r="I105" s="42" t="n">
        <f aca="false">IF($M105="借",$O105,0)</f>
        <v>0</v>
      </c>
      <c r="J105" s="42" t="n">
        <f aca="false">IF($M105="贷",$O105,0)</f>
        <v>0</v>
      </c>
      <c r="K105" s="48" t="str">
        <f aca="false">IF($H105="","",购销流水!$E30)</f>
        <v/>
      </c>
      <c r="L105" s="66" t="str">
        <f aca="false">IF(购销流水!$D30="","",IFERROR(INDEX(记账规则!$A$6:$N$9,MATCH(购销流水!$D30,记账规则!$A$6:$A$9,0),12),""))</f>
        <v/>
      </c>
      <c r="M105" s="66" t="str">
        <f aca="false">IF($L105="","",IFERROR(INDEX(记账规则!$A$6:$N$9,MATCH(购销流水!$D30,记账规则!$A$6:$A$9,0),13),""))</f>
        <v/>
      </c>
      <c r="N105" s="66" t="str">
        <f aca="false">IF($L105="","",IFERROR(INDEX(记账规则!$A$6:$N$9,MATCH(购销流水!$D30,记账规则!$A$6:$A$9,0),14),""))</f>
        <v/>
      </c>
      <c r="O105" s="67" t="n">
        <f aca="false">IF($H105="",0,ROUND(IF($N105="成本金额",N(购销流水!$W30),IF($N105="金额",N(购销流水!$Q30),0)),2))</f>
        <v>0</v>
      </c>
      <c r="P105" s="64" t="str">
        <f aca="false">IF(AND($H105&lt;&gt;"",ROUND($O105,2)&lt;&gt;0),"有","")</f>
        <v/>
      </c>
    </row>
    <row r="106" customFormat="false" ht="15" hidden="true" customHeight="false" outlineLevel="0" collapsed="false">
      <c r="A106" s="53" t="str">
        <f aca="false">IF($H106="","",ROW()-5)</f>
        <v/>
      </c>
      <c r="B106" s="64" t="s">
        <v>36</v>
      </c>
      <c r="C106" s="53" t="n">
        <v>31</v>
      </c>
      <c r="D106" s="53" t="n">
        <v>1</v>
      </c>
      <c r="E106" s="65" t="str">
        <f aca="false">IF($H106="","",购销流水!$B31)</f>
        <v/>
      </c>
      <c r="F106" s="55" t="str">
        <f aca="false">IF($H106="","",购销流水!$C31)</f>
        <v/>
      </c>
      <c r="G106" s="48" t="str">
        <f aca="false">IF($H106="","",购销流水!$N31)</f>
        <v/>
      </c>
      <c r="H106" s="10" t="str">
        <f aca="false">IF($L106="","",IF($L106="@成本",购销流水!$U31,IF($L106="@收入",购销流水!$T31,IF($L106="@存货",购销流水!$S31,IF($L106="@结算",购销流水!$R31,$L106)))))</f>
        <v/>
      </c>
      <c r="I106" s="42" t="n">
        <f aca="false">IF($M106="借",$O106,0)</f>
        <v>0</v>
      </c>
      <c r="J106" s="42" t="n">
        <f aca="false">IF($M106="贷",$O106,0)</f>
        <v>0</v>
      </c>
      <c r="K106" s="48" t="str">
        <f aca="false">IF($H106="","",购销流水!$E31)</f>
        <v/>
      </c>
      <c r="L106" s="66" t="str">
        <f aca="false">IF(购销流水!$D31="","",IFERROR(INDEX(记账规则!$A$6:$N$9,MATCH(购销流水!$D31,记账规则!$A$6:$A$9,0),3),""))</f>
        <v/>
      </c>
      <c r="M106" s="66" t="str">
        <f aca="false">IF($L106="","",IFERROR(INDEX(记账规则!$A$6:$N$9,MATCH(购销流水!$D31,记账规则!$A$6:$A$9,0),4),""))</f>
        <v/>
      </c>
      <c r="N106" s="66" t="str">
        <f aca="false">IF($L106="","",IFERROR(INDEX(记账规则!$A$6:$N$9,MATCH(购销流水!$D31,记账规则!$A$6:$A$9,0),5),""))</f>
        <v/>
      </c>
      <c r="O106" s="67" t="n">
        <f aca="false">IF($H106="",0,ROUND(IF($N106="成本金额",N(购销流水!$W31),IF($N106="金额",N(购销流水!$Q31),0)),2))</f>
        <v>0</v>
      </c>
      <c r="P106" s="64" t="str">
        <f aca="false">IF(AND($H106&lt;&gt;"",ROUND($O106,2)&lt;&gt;0),"有","")</f>
        <v/>
      </c>
    </row>
    <row r="107" customFormat="false" ht="15" hidden="true" customHeight="false" outlineLevel="0" collapsed="false">
      <c r="A107" s="53" t="str">
        <f aca="false">IF($H107="","",ROW()-5)</f>
        <v/>
      </c>
      <c r="B107" s="64" t="s">
        <v>36</v>
      </c>
      <c r="C107" s="53" t="n">
        <v>31</v>
      </c>
      <c r="D107" s="53" t="n">
        <v>2</v>
      </c>
      <c r="E107" s="65" t="str">
        <f aca="false">IF($H107="","",购销流水!$B31)</f>
        <v/>
      </c>
      <c r="F107" s="55" t="str">
        <f aca="false">IF($H107="","",购销流水!$C31)</f>
        <v/>
      </c>
      <c r="G107" s="48" t="str">
        <f aca="false">IF($H107="","",购销流水!$N31)</f>
        <v/>
      </c>
      <c r="H107" s="10" t="str">
        <f aca="false">IF($L107="","",IF($L107="@成本",购销流水!$U31,IF($L107="@收入",购销流水!$T31,IF($L107="@存货",购销流水!$S31,IF($L107="@结算",购销流水!$R31,$L107)))))</f>
        <v/>
      </c>
      <c r="I107" s="42" t="n">
        <f aca="false">IF($M107="借",$O107,0)</f>
        <v>0</v>
      </c>
      <c r="J107" s="42" t="n">
        <f aca="false">IF($M107="贷",$O107,0)</f>
        <v>0</v>
      </c>
      <c r="K107" s="48" t="str">
        <f aca="false">IF($H107="","",购销流水!$E31)</f>
        <v/>
      </c>
      <c r="L107" s="66" t="str">
        <f aca="false">IF(购销流水!$D31="","",IFERROR(INDEX(记账规则!$A$6:$N$9,MATCH(购销流水!$D31,记账规则!$A$6:$A$9,0),6),""))</f>
        <v/>
      </c>
      <c r="M107" s="66" t="str">
        <f aca="false">IF($L107="","",IFERROR(INDEX(记账规则!$A$6:$N$9,MATCH(购销流水!$D31,记账规则!$A$6:$A$9,0),7),""))</f>
        <v/>
      </c>
      <c r="N107" s="66" t="str">
        <f aca="false">IF($L107="","",IFERROR(INDEX(记账规则!$A$6:$N$9,MATCH(购销流水!$D31,记账规则!$A$6:$A$9,0),8),""))</f>
        <v/>
      </c>
      <c r="O107" s="67" t="n">
        <f aca="false">IF($H107="",0,ROUND(IF($N107="成本金额",N(购销流水!$W31),IF($N107="金额",N(购销流水!$Q31),0)),2))</f>
        <v>0</v>
      </c>
      <c r="P107" s="64" t="str">
        <f aca="false">IF(AND($H107&lt;&gt;"",ROUND($O107,2)&lt;&gt;0),"有","")</f>
        <v/>
      </c>
    </row>
    <row r="108" customFormat="false" ht="15" hidden="true" customHeight="false" outlineLevel="0" collapsed="false">
      <c r="A108" s="53" t="str">
        <f aca="false">IF($H108="","",ROW()-5)</f>
        <v/>
      </c>
      <c r="B108" s="64" t="s">
        <v>36</v>
      </c>
      <c r="C108" s="53" t="n">
        <v>31</v>
      </c>
      <c r="D108" s="53" t="n">
        <v>3</v>
      </c>
      <c r="E108" s="65" t="str">
        <f aca="false">IF($H108="","",购销流水!$B31)</f>
        <v/>
      </c>
      <c r="F108" s="55" t="str">
        <f aca="false">IF($H108="","",购销流水!$C31)</f>
        <v/>
      </c>
      <c r="G108" s="48" t="str">
        <f aca="false">IF($H108="","",购销流水!$N31)</f>
        <v/>
      </c>
      <c r="H108" s="10" t="str">
        <f aca="false">IF($L108="","",IF($L108="@成本",购销流水!$U31,IF($L108="@收入",购销流水!$T31,IF($L108="@存货",购销流水!$S31,IF($L108="@结算",购销流水!$R31,$L108)))))</f>
        <v/>
      </c>
      <c r="I108" s="42" t="n">
        <f aca="false">IF($M108="借",$O108,0)</f>
        <v>0</v>
      </c>
      <c r="J108" s="42" t="n">
        <f aca="false">IF($M108="贷",$O108,0)</f>
        <v>0</v>
      </c>
      <c r="K108" s="48" t="str">
        <f aca="false">IF($H108="","",购销流水!$E31)</f>
        <v/>
      </c>
      <c r="L108" s="66" t="str">
        <f aca="false">IF(购销流水!$D31="","",IFERROR(INDEX(记账规则!$A$6:$N$9,MATCH(购销流水!$D31,记账规则!$A$6:$A$9,0),9),""))</f>
        <v/>
      </c>
      <c r="M108" s="66" t="str">
        <f aca="false">IF($L108="","",IFERROR(INDEX(记账规则!$A$6:$N$9,MATCH(购销流水!$D31,记账规则!$A$6:$A$9,0),10),""))</f>
        <v/>
      </c>
      <c r="N108" s="66" t="str">
        <f aca="false">IF($L108="","",IFERROR(INDEX(记账规则!$A$6:$N$9,MATCH(购销流水!$D31,记账规则!$A$6:$A$9,0),11),""))</f>
        <v/>
      </c>
      <c r="O108" s="67" t="n">
        <f aca="false">IF($H108="",0,ROUND(IF($N108="成本金额",N(购销流水!$W31),IF($N108="金额",N(购销流水!$Q31),0)),2))</f>
        <v>0</v>
      </c>
      <c r="P108" s="64" t="str">
        <f aca="false">IF(AND($H108&lt;&gt;"",ROUND($O108,2)&lt;&gt;0),"有","")</f>
        <v/>
      </c>
    </row>
    <row r="109" customFormat="false" ht="15" hidden="true" customHeight="false" outlineLevel="0" collapsed="false">
      <c r="A109" s="53" t="str">
        <f aca="false">IF($H109="","",ROW()-5)</f>
        <v/>
      </c>
      <c r="B109" s="64" t="s">
        <v>36</v>
      </c>
      <c r="C109" s="53" t="n">
        <v>31</v>
      </c>
      <c r="D109" s="53" t="n">
        <v>4</v>
      </c>
      <c r="E109" s="65" t="str">
        <f aca="false">IF($H109="","",购销流水!$B31)</f>
        <v/>
      </c>
      <c r="F109" s="55" t="str">
        <f aca="false">IF($H109="","",购销流水!$C31)</f>
        <v/>
      </c>
      <c r="G109" s="48" t="str">
        <f aca="false">IF($H109="","",购销流水!$N31)</f>
        <v/>
      </c>
      <c r="H109" s="10" t="str">
        <f aca="false">IF($L109="","",IF($L109="@成本",购销流水!$U31,IF($L109="@收入",购销流水!$T31,IF($L109="@存货",购销流水!$S31,IF($L109="@结算",购销流水!$R31,$L109)))))</f>
        <v/>
      </c>
      <c r="I109" s="42" t="n">
        <f aca="false">IF($M109="借",$O109,0)</f>
        <v>0</v>
      </c>
      <c r="J109" s="42" t="n">
        <f aca="false">IF($M109="贷",$O109,0)</f>
        <v>0</v>
      </c>
      <c r="K109" s="48" t="str">
        <f aca="false">IF($H109="","",购销流水!$E31)</f>
        <v/>
      </c>
      <c r="L109" s="66" t="str">
        <f aca="false">IF(购销流水!$D31="","",IFERROR(INDEX(记账规则!$A$6:$N$9,MATCH(购销流水!$D31,记账规则!$A$6:$A$9,0),12),""))</f>
        <v/>
      </c>
      <c r="M109" s="66" t="str">
        <f aca="false">IF($L109="","",IFERROR(INDEX(记账规则!$A$6:$N$9,MATCH(购销流水!$D31,记账规则!$A$6:$A$9,0),13),""))</f>
        <v/>
      </c>
      <c r="N109" s="66" t="str">
        <f aca="false">IF($L109="","",IFERROR(INDEX(记账规则!$A$6:$N$9,MATCH(购销流水!$D31,记账规则!$A$6:$A$9,0),14),""))</f>
        <v/>
      </c>
      <c r="O109" s="67" t="n">
        <f aca="false">IF($H109="",0,ROUND(IF($N109="成本金额",N(购销流水!$W31),IF($N109="金额",N(购销流水!$Q31),0)),2))</f>
        <v>0</v>
      </c>
      <c r="P109" s="64" t="str">
        <f aca="false">IF(AND($H109&lt;&gt;"",ROUND($O109,2)&lt;&gt;0),"有","")</f>
        <v/>
      </c>
    </row>
    <row r="110" customFormat="false" ht="15" hidden="true" customHeight="false" outlineLevel="0" collapsed="false">
      <c r="A110" s="53" t="str">
        <f aca="false">IF($H110="","",ROW()-5)</f>
        <v/>
      </c>
      <c r="B110" s="64" t="s">
        <v>36</v>
      </c>
      <c r="C110" s="53" t="n">
        <v>32</v>
      </c>
      <c r="D110" s="53" t="n">
        <v>1</v>
      </c>
      <c r="E110" s="65" t="str">
        <f aca="false">IF($H110="","",购销流水!$B32)</f>
        <v/>
      </c>
      <c r="F110" s="55" t="str">
        <f aca="false">IF($H110="","",购销流水!$C32)</f>
        <v/>
      </c>
      <c r="G110" s="48" t="str">
        <f aca="false">IF($H110="","",购销流水!$N32)</f>
        <v/>
      </c>
      <c r="H110" s="10" t="str">
        <f aca="false">IF($L110="","",IF($L110="@成本",购销流水!$U32,IF($L110="@收入",购销流水!$T32,IF($L110="@存货",购销流水!$S32,IF($L110="@结算",购销流水!$R32,$L110)))))</f>
        <v/>
      </c>
      <c r="I110" s="42" t="n">
        <f aca="false">IF($M110="借",$O110,0)</f>
        <v>0</v>
      </c>
      <c r="J110" s="42" t="n">
        <f aca="false">IF($M110="贷",$O110,0)</f>
        <v>0</v>
      </c>
      <c r="K110" s="48" t="str">
        <f aca="false">IF($H110="","",购销流水!$E32)</f>
        <v/>
      </c>
      <c r="L110" s="66" t="str">
        <f aca="false">IF(购销流水!$D32="","",IFERROR(INDEX(记账规则!$A$6:$N$9,MATCH(购销流水!$D32,记账规则!$A$6:$A$9,0),3),""))</f>
        <v/>
      </c>
      <c r="M110" s="66" t="str">
        <f aca="false">IF($L110="","",IFERROR(INDEX(记账规则!$A$6:$N$9,MATCH(购销流水!$D32,记账规则!$A$6:$A$9,0),4),""))</f>
        <v/>
      </c>
      <c r="N110" s="66" t="str">
        <f aca="false">IF($L110="","",IFERROR(INDEX(记账规则!$A$6:$N$9,MATCH(购销流水!$D32,记账规则!$A$6:$A$9,0),5),""))</f>
        <v/>
      </c>
      <c r="O110" s="67" t="n">
        <f aca="false">IF($H110="",0,ROUND(IF($N110="成本金额",N(购销流水!$W32),IF($N110="金额",N(购销流水!$Q32),0)),2))</f>
        <v>0</v>
      </c>
      <c r="P110" s="64" t="str">
        <f aca="false">IF(AND($H110&lt;&gt;"",ROUND($O110,2)&lt;&gt;0),"有","")</f>
        <v/>
      </c>
    </row>
    <row r="111" customFormat="false" ht="15" hidden="true" customHeight="false" outlineLevel="0" collapsed="false">
      <c r="A111" s="53" t="str">
        <f aca="false">IF($H111="","",ROW()-5)</f>
        <v/>
      </c>
      <c r="B111" s="64" t="s">
        <v>36</v>
      </c>
      <c r="C111" s="53" t="n">
        <v>32</v>
      </c>
      <c r="D111" s="53" t="n">
        <v>2</v>
      </c>
      <c r="E111" s="65" t="str">
        <f aca="false">IF($H111="","",购销流水!$B32)</f>
        <v/>
      </c>
      <c r="F111" s="55" t="str">
        <f aca="false">IF($H111="","",购销流水!$C32)</f>
        <v/>
      </c>
      <c r="G111" s="48" t="str">
        <f aca="false">IF($H111="","",购销流水!$N32)</f>
        <v/>
      </c>
      <c r="H111" s="10" t="str">
        <f aca="false">IF($L111="","",IF($L111="@成本",购销流水!$U32,IF($L111="@收入",购销流水!$T32,IF($L111="@存货",购销流水!$S32,IF($L111="@结算",购销流水!$R32,$L111)))))</f>
        <v/>
      </c>
      <c r="I111" s="42" t="n">
        <f aca="false">IF($M111="借",$O111,0)</f>
        <v>0</v>
      </c>
      <c r="J111" s="42" t="n">
        <f aca="false">IF($M111="贷",$O111,0)</f>
        <v>0</v>
      </c>
      <c r="K111" s="48" t="str">
        <f aca="false">IF($H111="","",购销流水!$E32)</f>
        <v/>
      </c>
      <c r="L111" s="66" t="str">
        <f aca="false">IF(购销流水!$D32="","",IFERROR(INDEX(记账规则!$A$6:$N$9,MATCH(购销流水!$D32,记账规则!$A$6:$A$9,0),6),""))</f>
        <v/>
      </c>
      <c r="M111" s="66" t="str">
        <f aca="false">IF($L111="","",IFERROR(INDEX(记账规则!$A$6:$N$9,MATCH(购销流水!$D32,记账规则!$A$6:$A$9,0),7),""))</f>
        <v/>
      </c>
      <c r="N111" s="66" t="str">
        <f aca="false">IF($L111="","",IFERROR(INDEX(记账规则!$A$6:$N$9,MATCH(购销流水!$D32,记账规则!$A$6:$A$9,0),8),""))</f>
        <v/>
      </c>
      <c r="O111" s="67" t="n">
        <f aca="false">IF($H111="",0,ROUND(IF($N111="成本金额",N(购销流水!$W32),IF($N111="金额",N(购销流水!$Q32),0)),2))</f>
        <v>0</v>
      </c>
      <c r="P111" s="64" t="str">
        <f aca="false">IF(AND($H111&lt;&gt;"",ROUND($O111,2)&lt;&gt;0),"有","")</f>
        <v/>
      </c>
    </row>
    <row r="112" customFormat="false" ht="15" hidden="true" customHeight="false" outlineLevel="0" collapsed="false">
      <c r="A112" s="53" t="str">
        <f aca="false">IF($H112="","",ROW()-5)</f>
        <v/>
      </c>
      <c r="B112" s="64" t="s">
        <v>36</v>
      </c>
      <c r="C112" s="53" t="n">
        <v>32</v>
      </c>
      <c r="D112" s="53" t="n">
        <v>3</v>
      </c>
      <c r="E112" s="65" t="str">
        <f aca="false">IF($H112="","",购销流水!$B32)</f>
        <v/>
      </c>
      <c r="F112" s="55" t="str">
        <f aca="false">IF($H112="","",购销流水!$C32)</f>
        <v/>
      </c>
      <c r="G112" s="48" t="str">
        <f aca="false">IF($H112="","",购销流水!$N32)</f>
        <v/>
      </c>
      <c r="H112" s="10" t="str">
        <f aca="false">IF($L112="","",IF($L112="@成本",购销流水!$U32,IF($L112="@收入",购销流水!$T32,IF($L112="@存货",购销流水!$S32,IF($L112="@结算",购销流水!$R32,$L112)))))</f>
        <v/>
      </c>
      <c r="I112" s="42" t="n">
        <f aca="false">IF($M112="借",$O112,0)</f>
        <v>0</v>
      </c>
      <c r="J112" s="42" t="n">
        <f aca="false">IF($M112="贷",$O112,0)</f>
        <v>0</v>
      </c>
      <c r="K112" s="48" t="str">
        <f aca="false">IF($H112="","",购销流水!$E32)</f>
        <v/>
      </c>
      <c r="L112" s="66" t="str">
        <f aca="false">IF(购销流水!$D32="","",IFERROR(INDEX(记账规则!$A$6:$N$9,MATCH(购销流水!$D32,记账规则!$A$6:$A$9,0),9),""))</f>
        <v/>
      </c>
      <c r="M112" s="66" t="str">
        <f aca="false">IF($L112="","",IFERROR(INDEX(记账规则!$A$6:$N$9,MATCH(购销流水!$D32,记账规则!$A$6:$A$9,0),10),""))</f>
        <v/>
      </c>
      <c r="N112" s="66" t="str">
        <f aca="false">IF($L112="","",IFERROR(INDEX(记账规则!$A$6:$N$9,MATCH(购销流水!$D32,记账规则!$A$6:$A$9,0),11),""))</f>
        <v/>
      </c>
      <c r="O112" s="67" t="n">
        <f aca="false">IF($H112="",0,ROUND(IF($N112="成本金额",N(购销流水!$W32),IF($N112="金额",N(购销流水!$Q32),0)),2))</f>
        <v>0</v>
      </c>
      <c r="P112" s="64" t="str">
        <f aca="false">IF(AND($H112&lt;&gt;"",ROUND($O112,2)&lt;&gt;0),"有","")</f>
        <v/>
      </c>
    </row>
    <row r="113" customFormat="false" ht="15" hidden="true" customHeight="false" outlineLevel="0" collapsed="false">
      <c r="A113" s="53" t="str">
        <f aca="false">IF($H113="","",ROW()-5)</f>
        <v/>
      </c>
      <c r="B113" s="64" t="s">
        <v>36</v>
      </c>
      <c r="C113" s="53" t="n">
        <v>32</v>
      </c>
      <c r="D113" s="53" t="n">
        <v>4</v>
      </c>
      <c r="E113" s="65" t="str">
        <f aca="false">IF($H113="","",购销流水!$B32)</f>
        <v/>
      </c>
      <c r="F113" s="55" t="str">
        <f aca="false">IF($H113="","",购销流水!$C32)</f>
        <v/>
      </c>
      <c r="G113" s="48" t="str">
        <f aca="false">IF($H113="","",购销流水!$N32)</f>
        <v/>
      </c>
      <c r="H113" s="10" t="str">
        <f aca="false">IF($L113="","",IF($L113="@成本",购销流水!$U32,IF($L113="@收入",购销流水!$T32,IF($L113="@存货",购销流水!$S32,IF($L113="@结算",购销流水!$R32,$L113)))))</f>
        <v/>
      </c>
      <c r="I113" s="42" t="n">
        <f aca="false">IF($M113="借",$O113,0)</f>
        <v>0</v>
      </c>
      <c r="J113" s="42" t="n">
        <f aca="false">IF($M113="贷",$O113,0)</f>
        <v>0</v>
      </c>
      <c r="K113" s="48" t="str">
        <f aca="false">IF($H113="","",购销流水!$E32)</f>
        <v/>
      </c>
      <c r="L113" s="66" t="str">
        <f aca="false">IF(购销流水!$D32="","",IFERROR(INDEX(记账规则!$A$6:$N$9,MATCH(购销流水!$D32,记账规则!$A$6:$A$9,0),12),""))</f>
        <v/>
      </c>
      <c r="M113" s="66" t="str">
        <f aca="false">IF($L113="","",IFERROR(INDEX(记账规则!$A$6:$N$9,MATCH(购销流水!$D32,记账规则!$A$6:$A$9,0),13),""))</f>
        <v/>
      </c>
      <c r="N113" s="66" t="str">
        <f aca="false">IF($L113="","",IFERROR(INDEX(记账规则!$A$6:$N$9,MATCH(购销流水!$D32,记账规则!$A$6:$A$9,0),14),""))</f>
        <v/>
      </c>
      <c r="O113" s="67" t="n">
        <f aca="false">IF($H113="",0,ROUND(IF($N113="成本金额",N(购销流水!$W32),IF($N113="金额",N(购销流水!$Q32),0)),2))</f>
        <v>0</v>
      </c>
      <c r="P113" s="64" t="str">
        <f aca="false">IF(AND($H113&lt;&gt;"",ROUND($O113,2)&lt;&gt;0),"有","")</f>
        <v/>
      </c>
    </row>
    <row r="114" customFormat="false" ht="15" hidden="true" customHeight="false" outlineLevel="0" collapsed="false">
      <c r="A114" s="53" t="str">
        <f aca="false">IF($H114="","",ROW()-5)</f>
        <v/>
      </c>
      <c r="B114" s="64" t="s">
        <v>36</v>
      </c>
      <c r="C114" s="53" t="n">
        <v>33</v>
      </c>
      <c r="D114" s="53" t="n">
        <v>1</v>
      </c>
      <c r="E114" s="65" t="str">
        <f aca="false">IF($H114="","",购销流水!$B33)</f>
        <v/>
      </c>
      <c r="F114" s="55" t="str">
        <f aca="false">IF($H114="","",购销流水!$C33)</f>
        <v/>
      </c>
      <c r="G114" s="48" t="str">
        <f aca="false">IF($H114="","",购销流水!$N33)</f>
        <v/>
      </c>
      <c r="H114" s="10" t="str">
        <f aca="false">IF($L114="","",IF($L114="@成本",购销流水!$U33,IF($L114="@收入",购销流水!$T33,IF($L114="@存货",购销流水!$S33,IF($L114="@结算",购销流水!$R33,$L114)))))</f>
        <v/>
      </c>
      <c r="I114" s="42" t="n">
        <f aca="false">IF($M114="借",$O114,0)</f>
        <v>0</v>
      </c>
      <c r="J114" s="42" t="n">
        <f aca="false">IF($M114="贷",$O114,0)</f>
        <v>0</v>
      </c>
      <c r="K114" s="48" t="str">
        <f aca="false">IF($H114="","",购销流水!$E33)</f>
        <v/>
      </c>
      <c r="L114" s="66" t="str">
        <f aca="false">IF(购销流水!$D33="","",IFERROR(INDEX(记账规则!$A$6:$N$9,MATCH(购销流水!$D33,记账规则!$A$6:$A$9,0),3),""))</f>
        <v/>
      </c>
      <c r="M114" s="66" t="str">
        <f aca="false">IF($L114="","",IFERROR(INDEX(记账规则!$A$6:$N$9,MATCH(购销流水!$D33,记账规则!$A$6:$A$9,0),4),""))</f>
        <v/>
      </c>
      <c r="N114" s="66" t="str">
        <f aca="false">IF($L114="","",IFERROR(INDEX(记账规则!$A$6:$N$9,MATCH(购销流水!$D33,记账规则!$A$6:$A$9,0),5),""))</f>
        <v/>
      </c>
      <c r="O114" s="67" t="n">
        <f aca="false">IF($H114="",0,ROUND(IF($N114="成本金额",N(购销流水!$W33),IF($N114="金额",N(购销流水!$Q33),0)),2))</f>
        <v>0</v>
      </c>
      <c r="P114" s="64" t="str">
        <f aca="false">IF(AND($H114&lt;&gt;"",ROUND($O114,2)&lt;&gt;0),"有","")</f>
        <v/>
      </c>
    </row>
    <row r="115" customFormat="false" ht="15" hidden="true" customHeight="false" outlineLevel="0" collapsed="false">
      <c r="A115" s="53" t="str">
        <f aca="false">IF($H115="","",ROW()-5)</f>
        <v/>
      </c>
      <c r="B115" s="64" t="s">
        <v>36</v>
      </c>
      <c r="C115" s="53" t="n">
        <v>33</v>
      </c>
      <c r="D115" s="53" t="n">
        <v>2</v>
      </c>
      <c r="E115" s="65" t="str">
        <f aca="false">IF($H115="","",购销流水!$B33)</f>
        <v/>
      </c>
      <c r="F115" s="55" t="str">
        <f aca="false">IF($H115="","",购销流水!$C33)</f>
        <v/>
      </c>
      <c r="G115" s="48" t="str">
        <f aca="false">IF($H115="","",购销流水!$N33)</f>
        <v/>
      </c>
      <c r="H115" s="10" t="str">
        <f aca="false">IF($L115="","",IF($L115="@成本",购销流水!$U33,IF($L115="@收入",购销流水!$T33,IF($L115="@存货",购销流水!$S33,IF($L115="@结算",购销流水!$R33,$L115)))))</f>
        <v/>
      </c>
      <c r="I115" s="42" t="n">
        <f aca="false">IF($M115="借",$O115,0)</f>
        <v>0</v>
      </c>
      <c r="J115" s="42" t="n">
        <f aca="false">IF($M115="贷",$O115,0)</f>
        <v>0</v>
      </c>
      <c r="K115" s="48" t="str">
        <f aca="false">IF($H115="","",购销流水!$E33)</f>
        <v/>
      </c>
      <c r="L115" s="66" t="str">
        <f aca="false">IF(购销流水!$D33="","",IFERROR(INDEX(记账规则!$A$6:$N$9,MATCH(购销流水!$D33,记账规则!$A$6:$A$9,0),6),""))</f>
        <v/>
      </c>
      <c r="M115" s="66" t="str">
        <f aca="false">IF($L115="","",IFERROR(INDEX(记账规则!$A$6:$N$9,MATCH(购销流水!$D33,记账规则!$A$6:$A$9,0),7),""))</f>
        <v/>
      </c>
      <c r="N115" s="66" t="str">
        <f aca="false">IF($L115="","",IFERROR(INDEX(记账规则!$A$6:$N$9,MATCH(购销流水!$D33,记账规则!$A$6:$A$9,0),8),""))</f>
        <v/>
      </c>
      <c r="O115" s="67" t="n">
        <f aca="false">IF($H115="",0,ROUND(IF($N115="成本金额",N(购销流水!$W33),IF($N115="金额",N(购销流水!$Q33),0)),2))</f>
        <v>0</v>
      </c>
      <c r="P115" s="64" t="str">
        <f aca="false">IF(AND($H115&lt;&gt;"",ROUND($O115,2)&lt;&gt;0),"有","")</f>
        <v/>
      </c>
    </row>
    <row r="116" customFormat="false" ht="15" hidden="true" customHeight="false" outlineLevel="0" collapsed="false">
      <c r="A116" s="53" t="str">
        <f aca="false">IF($H116="","",ROW()-5)</f>
        <v/>
      </c>
      <c r="B116" s="64" t="s">
        <v>36</v>
      </c>
      <c r="C116" s="53" t="n">
        <v>33</v>
      </c>
      <c r="D116" s="53" t="n">
        <v>3</v>
      </c>
      <c r="E116" s="65" t="str">
        <f aca="false">IF($H116="","",购销流水!$B33)</f>
        <v/>
      </c>
      <c r="F116" s="55" t="str">
        <f aca="false">IF($H116="","",购销流水!$C33)</f>
        <v/>
      </c>
      <c r="G116" s="48" t="str">
        <f aca="false">IF($H116="","",购销流水!$N33)</f>
        <v/>
      </c>
      <c r="H116" s="10" t="str">
        <f aca="false">IF($L116="","",IF($L116="@成本",购销流水!$U33,IF($L116="@收入",购销流水!$T33,IF($L116="@存货",购销流水!$S33,IF($L116="@结算",购销流水!$R33,$L116)))))</f>
        <v/>
      </c>
      <c r="I116" s="42" t="n">
        <f aca="false">IF($M116="借",$O116,0)</f>
        <v>0</v>
      </c>
      <c r="J116" s="42" t="n">
        <f aca="false">IF($M116="贷",$O116,0)</f>
        <v>0</v>
      </c>
      <c r="K116" s="48" t="str">
        <f aca="false">IF($H116="","",购销流水!$E33)</f>
        <v/>
      </c>
      <c r="L116" s="66" t="str">
        <f aca="false">IF(购销流水!$D33="","",IFERROR(INDEX(记账规则!$A$6:$N$9,MATCH(购销流水!$D33,记账规则!$A$6:$A$9,0),9),""))</f>
        <v/>
      </c>
      <c r="M116" s="66" t="str">
        <f aca="false">IF($L116="","",IFERROR(INDEX(记账规则!$A$6:$N$9,MATCH(购销流水!$D33,记账规则!$A$6:$A$9,0),10),""))</f>
        <v/>
      </c>
      <c r="N116" s="66" t="str">
        <f aca="false">IF($L116="","",IFERROR(INDEX(记账规则!$A$6:$N$9,MATCH(购销流水!$D33,记账规则!$A$6:$A$9,0),11),""))</f>
        <v/>
      </c>
      <c r="O116" s="67" t="n">
        <f aca="false">IF($H116="",0,ROUND(IF($N116="成本金额",N(购销流水!$W33),IF($N116="金额",N(购销流水!$Q33),0)),2))</f>
        <v>0</v>
      </c>
      <c r="P116" s="64" t="str">
        <f aca="false">IF(AND($H116&lt;&gt;"",ROUND($O116,2)&lt;&gt;0),"有","")</f>
        <v/>
      </c>
    </row>
    <row r="117" customFormat="false" ht="15" hidden="true" customHeight="false" outlineLevel="0" collapsed="false">
      <c r="A117" s="53" t="str">
        <f aca="false">IF($H117="","",ROW()-5)</f>
        <v/>
      </c>
      <c r="B117" s="64" t="s">
        <v>36</v>
      </c>
      <c r="C117" s="53" t="n">
        <v>33</v>
      </c>
      <c r="D117" s="53" t="n">
        <v>4</v>
      </c>
      <c r="E117" s="65" t="str">
        <f aca="false">IF($H117="","",购销流水!$B33)</f>
        <v/>
      </c>
      <c r="F117" s="55" t="str">
        <f aca="false">IF($H117="","",购销流水!$C33)</f>
        <v/>
      </c>
      <c r="G117" s="48" t="str">
        <f aca="false">IF($H117="","",购销流水!$N33)</f>
        <v/>
      </c>
      <c r="H117" s="10" t="str">
        <f aca="false">IF($L117="","",IF($L117="@成本",购销流水!$U33,IF($L117="@收入",购销流水!$T33,IF($L117="@存货",购销流水!$S33,IF($L117="@结算",购销流水!$R33,$L117)))))</f>
        <v/>
      </c>
      <c r="I117" s="42" t="n">
        <f aca="false">IF($M117="借",$O117,0)</f>
        <v>0</v>
      </c>
      <c r="J117" s="42" t="n">
        <f aca="false">IF($M117="贷",$O117,0)</f>
        <v>0</v>
      </c>
      <c r="K117" s="48" t="str">
        <f aca="false">IF($H117="","",购销流水!$E33)</f>
        <v/>
      </c>
      <c r="L117" s="66" t="str">
        <f aca="false">IF(购销流水!$D33="","",IFERROR(INDEX(记账规则!$A$6:$N$9,MATCH(购销流水!$D33,记账规则!$A$6:$A$9,0),12),""))</f>
        <v/>
      </c>
      <c r="M117" s="66" t="str">
        <f aca="false">IF($L117="","",IFERROR(INDEX(记账规则!$A$6:$N$9,MATCH(购销流水!$D33,记账规则!$A$6:$A$9,0),13),""))</f>
        <v/>
      </c>
      <c r="N117" s="66" t="str">
        <f aca="false">IF($L117="","",IFERROR(INDEX(记账规则!$A$6:$N$9,MATCH(购销流水!$D33,记账规则!$A$6:$A$9,0),14),""))</f>
        <v/>
      </c>
      <c r="O117" s="67" t="n">
        <f aca="false">IF($H117="",0,ROUND(IF($N117="成本金额",N(购销流水!$W33),IF($N117="金额",N(购销流水!$Q33),0)),2))</f>
        <v>0</v>
      </c>
      <c r="P117" s="64" t="str">
        <f aca="false">IF(AND($H117&lt;&gt;"",ROUND($O117,2)&lt;&gt;0),"有","")</f>
        <v/>
      </c>
    </row>
    <row r="118" customFormat="false" ht="15" hidden="true" customHeight="false" outlineLevel="0" collapsed="false">
      <c r="A118" s="53" t="str">
        <f aca="false">IF($H118="","",ROW()-5)</f>
        <v/>
      </c>
      <c r="B118" s="64" t="s">
        <v>36</v>
      </c>
      <c r="C118" s="53" t="n">
        <v>34</v>
      </c>
      <c r="D118" s="53" t="n">
        <v>1</v>
      </c>
      <c r="E118" s="65" t="str">
        <f aca="false">IF($H118="","",购销流水!$B34)</f>
        <v/>
      </c>
      <c r="F118" s="55" t="str">
        <f aca="false">IF($H118="","",购销流水!$C34)</f>
        <v/>
      </c>
      <c r="G118" s="48" t="str">
        <f aca="false">IF($H118="","",购销流水!$N34)</f>
        <v/>
      </c>
      <c r="H118" s="10" t="str">
        <f aca="false">IF($L118="","",IF($L118="@成本",购销流水!$U34,IF($L118="@收入",购销流水!$T34,IF($L118="@存货",购销流水!$S34,IF($L118="@结算",购销流水!$R34,$L118)))))</f>
        <v/>
      </c>
      <c r="I118" s="42" t="n">
        <f aca="false">IF($M118="借",$O118,0)</f>
        <v>0</v>
      </c>
      <c r="J118" s="42" t="n">
        <f aca="false">IF($M118="贷",$O118,0)</f>
        <v>0</v>
      </c>
      <c r="K118" s="48" t="str">
        <f aca="false">IF($H118="","",购销流水!$E34)</f>
        <v/>
      </c>
      <c r="L118" s="66" t="str">
        <f aca="false">IF(购销流水!$D34="","",IFERROR(INDEX(记账规则!$A$6:$N$9,MATCH(购销流水!$D34,记账规则!$A$6:$A$9,0),3),""))</f>
        <v/>
      </c>
      <c r="M118" s="66" t="str">
        <f aca="false">IF($L118="","",IFERROR(INDEX(记账规则!$A$6:$N$9,MATCH(购销流水!$D34,记账规则!$A$6:$A$9,0),4),""))</f>
        <v/>
      </c>
      <c r="N118" s="66" t="str">
        <f aca="false">IF($L118="","",IFERROR(INDEX(记账规则!$A$6:$N$9,MATCH(购销流水!$D34,记账规则!$A$6:$A$9,0),5),""))</f>
        <v/>
      </c>
      <c r="O118" s="67" t="n">
        <f aca="false">IF($H118="",0,ROUND(IF($N118="成本金额",N(购销流水!$W34),IF($N118="金额",N(购销流水!$Q34),0)),2))</f>
        <v>0</v>
      </c>
      <c r="P118" s="64" t="str">
        <f aca="false">IF(AND($H118&lt;&gt;"",ROUND($O118,2)&lt;&gt;0),"有","")</f>
        <v/>
      </c>
    </row>
    <row r="119" customFormat="false" ht="15" hidden="true" customHeight="false" outlineLevel="0" collapsed="false">
      <c r="A119" s="53" t="str">
        <f aca="false">IF($H119="","",ROW()-5)</f>
        <v/>
      </c>
      <c r="B119" s="64" t="s">
        <v>36</v>
      </c>
      <c r="C119" s="53" t="n">
        <v>34</v>
      </c>
      <c r="D119" s="53" t="n">
        <v>2</v>
      </c>
      <c r="E119" s="65" t="str">
        <f aca="false">IF($H119="","",购销流水!$B34)</f>
        <v/>
      </c>
      <c r="F119" s="55" t="str">
        <f aca="false">IF($H119="","",购销流水!$C34)</f>
        <v/>
      </c>
      <c r="G119" s="48" t="str">
        <f aca="false">IF($H119="","",购销流水!$N34)</f>
        <v/>
      </c>
      <c r="H119" s="10" t="str">
        <f aca="false">IF($L119="","",IF($L119="@成本",购销流水!$U34,IF($L119="@收入",购销流水!$T34,IF($L119="@存货",购销流水!$S34,IF($L119="@结算",购销流水!$R34,$L119)))))</f>
        <v/>
      </c>
      <c r="I119" s="42" t="n">
        <f aca="false">IF($M119="借",$O119,0)</f>
        <v>0</v>
      </c>
      <c r="J119" s="42" t="n">
        <f aca="false">IF($M119="贷",$O119,0)</f>
        <v>0</v>
      </c>
      <c r="K119" s="48" t="str">
        <f aca="false">IF($H119="","",购销流水!$E34)</f>
        <v/>
      </c>
      <c r="L119" s="66" t="str">
        <f aca="false">IF(购销流水!$D34="","",IFERROR(INDEX(记账规则!$A$6:$N$9,MATCH(购销流水!$D34,记账规则!$A$6:$A$9,0),6),""))</f>
        <v/>
      </c>
      <c r="M119" s="66" t="str">
        <f aca="false">IF($L119="","",IFERROR(INDEX(记账规则!$A$6:$N$9,MATCH(购销流水!$D34,记账规则!$A$6:$A$9,0),7),""))</f>
        <v/>
      </c>
      <c r="N119" s="66" t="str">
        <f aca="false">IF($L119="","",IFERROR(INDEX(记账规则!$A$6:$N$9,MATCH(购销流水!$D34,记账规则!$A$6:$A$9,0),8),""))</f>
        <v/>
      </c>
      <c r="O119" s="67" t="n">
        <f aca="false">IF($H119="",0,ROUND(IF($N119="成本金额",N(购销流水!$W34),IF($N119="金额",N(购销流水!$Q34),0)),2))</f>
        <v>0</v>
      </c>
      <c r="P119" s="64" t="str">
        <f aca="false">IF(AND($H119&lt;&gt;"",ROUND($O119,2)&lt;&gt;0),"有","")</f>
        <v/>
      </c>
    </row>
    <row r="120" customFormat="false" ht="15" hidden="true" customHeight="false" outlineLevel="0" collapsed="false">
      <c r="A120" s="53" t="str">
        <f aca="false">IF($H120="","",ROW()-5)</f>
        <v/>
      </c>
      <c r="B120" s="64" t="s">
        <v>36</v>
      </c>
      <c r="C120" s="53" t="n">
        <v>34</v>
      </c>
      <c r="D120" s="53" t="n">
        <v>3</v>
      </c>
      <c r="E120" s="65" t="str">
        <f aca="false">IF($H120="","",购销流水!$B34)</f>
        <v/>
      </c>
      <c r="F120" s="55" t="str">
        <f aca="false">IF($H120="","",购销流水!$C34)</f>
        <v/>
      </c>
      <c r="G120" s="48" t="str">
        <f aca="false">IF($H120="","",购销流水!$N34)</f>
        <v/>
      </c>
      <c r="H120" s="10" t="str">
        <f aca="false">IF($L120="","",IF($L120="@成本",购销流水!$U34,IF($L120="@收入",购销流水!$T34,IF($L120="@存货",购销流水!$S34,IF($L120="@结算",购销流水!$R34,$L120)))))</f>
        <v/>
      </c>
      <c r="I120" s="42" t="n">
        <f aca="false">IF($M120="借",$O120,0)</f>
        <v>0</v>
      </c>
      <c r="J120" s="42" t="n">
        <f aca="false">IF($M120="贷",$O120,0)</f>
        <v>0</v>
      </c>
      <c r="K120" s="48" t="str">
        <f aca="false">IF($H120="","",购销流水!$E34)</f>
        <v/>
      </c>
      <c r="L120" s="66" t="str">
        <f aca="false">IF(购销流水!$D34="","",IFERROR(INDEX(记账规则!$A$6:$N$9,MATCH(购销流水!$D34,记账规则!$A$6:$A$9,0),9),""))</f>
        <v/>
      </c>
      <c r="M120" s="66" t="str">
        <f aca="false">IF($L120="","",IFERROR(INDEX(记账规则!$A$6:$N$9,MATCH(购销流水!$D34,记账规则!$A$6:$A$9,0),10),""))</f>
        <v/>
      </c>
      <c r="N120" s="66" t="str">
        <f aca="false">IF($L120="","",IFERROR(INDEX(记账规则!$A$6:$N$9,MATCH(购销流水!$D34,记账规则!$A$6:$A$9,0),11),""))</f>
        <v/>
      </c>
      <c r="O120" s="67" t="n">
        <f aca="false">IF($H120="",0,ROUND(IF($N120="成本金额",N(购销流水!$W34),IF($N120="金额",N(购销流水!$Q34),0)),2))</f>
        <v>0</v>
      </c>
      <c r="P120" s="64" t="str">
        <f aca="false">IF(AND($H120&lt;&gt;"",ROUND($O120,2)&lt;&gt;0),"有","")</f>
        <v/>
      </c>
    </row>
    <row r="121" customFormat="false" ht="15" hidden="true" customHeight="false" outlineLevel="0" collapsed="false">
      <c r="A121" s="53" t="str">
        <f aca="false">IF($H121="","",ROW()-5)</f>
        <v/>
      </c>
      <c r="B121" s="64" t="s">
        <v>36</v>
      </c>
      <c r="C121" s="53" t="n">
        <v>34</v>
      </c>
      <c r="D121" s="53" t="n">
        <v>4</v>
      </c>
      <c r="E121" s="65" t="str">
        <f aca="false">IF($H121="","",购销流水!$B34)</f>
        <v/>
      </c>
      <c r="F121" s="55" t="str">
        <f aca="false">IF($H121="","",购销流水!$C34)</f>
        <v/>
      </c>
      <c r="G121" s="48" t="str">
        <f aca="false">IF($H121="","",购销流水!$N34)</f>
        <v/>
      </c>
      <c r="H121" s="10" t="str">
        <f aca="false">IF($L121="","",IF($L121="@成本",购销流水!$U34,IF($L121="@收入",购销流水!$T34,IF($L121="@存货",购销流水!$S34,IF($L121="@结算",购销流水!$R34,$L121)))))</f>
        <v/>
      </c>
      <c r="I121" s="42" t="n">
        <f aca="false">IF($M121="借",$O121,0)</f>
        <v>0</v>
      </c>
      <c r="J121" s="42" t="n">
        <f aca="false">IF($M121="贷",$O121,0)</f>
        <v>0</v>
      </c>
      <c r="K121" s="48" t="str">
        <f aca="false">IF($H121="","",购销流水!$E34)</f>
        <v/>
      </c>
      <c r="L121" s="66" t="str">
        <f aca="false">IF(购销流水!$D34="","",IFERROR(INDEX(记账规则!$A$6:$N$9,MATCH(购销流水!$D34,记账规则!$A$6:$A$9,0),12),""))</f>
        <v/>
      </c>
      <c r="M121" s="66" t="str">
        <f aca="false">IF($L121="","",IFERROR(INDEX(记账规则!$A$6:$N$9,MATCH(购销流水!$D34,记账规则!$A$6:$A$9,0),13),""))</f>
        <v/>
      </c>
      <c r="N121" s="66" t="str">
        <f aca="false">IF($L121="","",IFERROR(INDEX(记账规则!$A$6:$N$9,MATCH(购销流水!$D34,记账规则!$A$6:$A$9,0),14),""))</f>
        <v/>
      </c>
      <c r="O121" s="67" t="n">
        <f aca="false">IF($H121="",0,ROUND(IF($N121="成本金额",N(购销流水!$W34),IF($N121="金额",N(购销流水!$Q34),0)),2))</f>
        <v>0</v>
      </c>
      <c r="P121" s="64" t="str">
        <f aca="false">IF(AND($H121&lt;&gt;"",ROUND($O121,2)&lt;&gt;0),"有","")</f>
        <v/>
      </c>
    </row>
    <row r="122" customFormat="false" ht="15" hidden="true" customHeight="false" outlineLevel="0" collapsed="false">
      <c r="A122" s="53" t="str">
        <f aca="false">IF($H122="","",ROW()-5)</f>
        <v/>
      </c>
      <c r="B122" s="64" t="s">
        <v>36</v>
      </c>
      <c r="C122" s="53" t="n">
        <v>35</v>
      </c>
      <c r="D122" s="53" t="n">
        <v>1</v>
      </c>
      <c r="E122" s="65" t="str">
        <f aca="false">IF($H122="","",购销流水!$B35)</f>
        <v/>
      </c>
      <c r="F122" s="55" t="str">
        <f aca="false">IF($H122="","",购销流水!$C35)</f>
        <v/>
      </c>
      <c r="G122" s="48" t="str">
        <f aca="false">IF($H122="","",购销流水!$N35)</f>
        <v/>
      </c>
      <c r="H122" s="10" t="str">
        <f aca="false">IF($L122="","",IF($L122="@成本",购销流水!$U35,IF($L122="@收入",购销流水!$T35,IF($L122="@存货",购销流水!$S35,IF($L122="@结算",购销流水!$R35,$L122)))))</f>
        <v/>
      </c>
      <c r="I122" s="42" t="n">
        <f aca="false">IF($M122="借",$O122,0)</f>
        <v>0</v>
      </c>
      <c r="J122" s="42" t="n">
        <f aca="false">IF($M122="贷",$O122,0)</f>
        <v>0</v>
      </c>
      <c r="K122" s="48" t="str">
        <f aca="false">IF($H122="","",购销流水!$E35)</f>
        <v/>
      </c>
      <c r="L122" s="66" t="str">
        <f aca="false">IF(购销流水!$D35="","",IFERROR(INDEX(记账规则!$A$6:$N$9,MATCH(购销流水!$D35,记账规则!$A$6:$A$9,0),3),""))</f>
        <v/>
      </c>
      <c r="M122" s="66" t="str">
        <f aca="false">IF($L122="","",IFERROR(INDEX(记账规则!$A$6:$N$9,MATCH(购销流水!$D35,记账规则!$A$6:$A$9,0),4),""))</f>
        <v/>
      </c>
      <c r="N122" s="66" t="str">
        <f aca="false">IF($L122="","",IFERROR(INDEX(记账规则!$A$6:$N$9,MATCH(购销流水!$D35,记账规则!$A$6:$A$9,0),5),""))</f>
        <v/>
      </c>
      <c r="O122" s="67" t="n">
        <f aca="false">IF($H122="",0,ROUND(IF($N122="成本金额",N(购销流水!$W35),IF($N122="金额",N(购销流水!$Q35),0)),2))</f>
        <v>0</v>
      </c>
      <c r="P122" s="64" t="str">
        <f aca="false">IF(AND($H122&lt;&gt;"",ROUND($O122,2)&lt;&gt;0),"有","")</f>
        <v/>
      </c>
    </row>
    <row r="123" customFormat="false" ht="15" hidden="true" customHeight="false" outlineLevel="0" collapsed="false">
      <c r="A123" s="53" t="str">
        <f aca="false">IF($H123="","",ROW()-5)</f>
        <v/>
      </c>
      <c r="B123" s="64" t="s">
        <v>36</v>
      </c>
      <c r="C123" s="53" t="n">
        <v>35</v>
      </c>
      <c r="D123" s="53" t="n">
        <v>2</v>
      </c>
      <c r="E123" s="65" t="str">
        <f aca="false">IF($H123="","",购销流水!$B35)</f>
        <v/>
      </c>
      <c r="F123" s="55" t="str">
        <f aca="false">IF($H123="","",购销流水!$C35)</f>
        <v/>
      </c>
      <c r="G123" s="48" t="str">
        <f aca="false">IF($H123="","",购销流水!$N35)</f>
        <v/>
      </c>
      <c r="H123" s="10" t="str">
        <f aca="false">IF($L123="","",IF($L123="@成本",购销流水!$U35,IF($L123="@收入",购销流水!$T35,IF($L123="@存货",购销流水!$S35,IF($L123="@结算",购销流水!$R35,$L123)))))</f>
        <v/>
      </c>
      <c r="I123" s="42" t="n">
        <f aca="false">IF($M123="借",$O123,0)</f>
        <v>0</v>
      </c>
      <c r="J123" s="42" t="n">
        <f aca="false">IF($M123="贷",$O123,0)</f>
        <v>0</v>
      </c>
      <c r="K123" s="48" t="str">
        <f aca="false">IF($H123="","",购销流水!$E35)</f>
        <v/>
      </c>
      <c r="L123" s="66" t="str">
        <f aca="false">IF(购销流水!$D35="","",IFERROR(INDEX(记账规则!$A$6:$N$9,MATCH(购销流水!$D35,记账规则!$A$6:$A$9,0),6),""))</f>
        <v/>
      </c>
      <c r="M123" s="66" t="str">
        <f aca="false">IF($L123="","",IFERROR(INDEX(记账规则!$A$6:$N$9,MATCH(购销流水!$D35,记账规则!$A$6:$A$9,0),7),""))</f>
        <v/>
      </c>
      <c r="N123" s="66" t="str">
        <f aca="false">IF($L123="","",IFERROR(INDEX(记账规则!$A$6:$N$9,MATCH(购销流水!$D35,记账规则!$A$6:$A$9,0),8),""))</f>
        <v/>
      </c>
      <c r="O123" s="67" t="n">
        <f aca="false">IF($H123="",0,ROUND(IF($N123="成本金额",N(购销流水!$W35),IF($N123="金额",N(购销流水!$Q35),0)),2))</f>
        <v>0</v>
      </c>
      <c r="P123" s="64" t="str">
        <f aca="false">IF(AND($H123&lt;&gt;"",ROUND($O123,2)&lt;&gt;0),"有","")</f>
        <v/>
      </c>
    </row>
    <row r="124" customFormat="false" ht="15" hidden="true" customHeight="false" outlineLevel="0" collapsed="false">
      <c r="A124" s="53" t="str">
        <f aca="false">IF($H124="","",ROW()-5)</f>
        <v/>
      </c>
      <c r="B124" s="64" t="s">
        <v>36</v>
      </c>
      <c r="C124" s="53" t="n">
        <v>35</v>
      </c>
      <c r="D124" s="53" t="n">
        <v>3</v>
      </c>
      <c r="E124" s="65" t="str">
        <f aca="false">IF($H124="","",购销流水!$B35)</f>
        <v/>
      </c>
      <c r="F124" s="55" t="str">
        <f aca="false">IF($H124="","",购销流水!$C35)</f>
        <v/>
      </c>
      <c r="G124" s="48" t="str">
        <f aca="false">IF($H124="","",购销流水!$N35)</f>
        <v/>
      </c>
      <c r="H124" s="10" t="str">
        <f aca="false">IF($L124="","",IF($L124="@成本",购销流水!$U35,IF($L124="@收入",购销流水!$T35,IF($L124="@存货",购销流水!$S35,IF($L124="@结算",购销流水!$R35,$L124)))))</f>
        <v/>
      </c>
      <c r="I124" s="42" t="n">
        <f aca="false">IF($M124="借",$O124,0)</f>
        <v>0</v>
      </c>
      <c r="J124" s="42" t="n">
        <f aca="false">IF($M124="贷",$O124,0)</f>
        <v>0</v>
      </c>
      <c r="K124" s="48" t="str">
        <f aca="false">IF($H124="","",购销流水!$E35)</f>
        <v/>
      </c>
      <c r="L124" s="66" t="str">
        <f aca="false">IF(购销流水!$D35="","",IFERROR(INDEX(记账规则!$A$6:$N$9,MATCH(购销流水!$D35,记账规则!$A$6:$A$9,0),9),""))</f>
        <v/>
      </c>
      <c r="M124" s="66" t="str">
        <f aca="false">IF($L124="","",IFERROR(INDEX(记账规则!$A$6:$N$9,MATCH(购销流水!$D35,记账规则!$A$6:$A$9,0),10),""))</f>
        <v/>
      </c>
      <c r="N124" s="66" t="str">
        <f aca="false">IF($L124="","",IFERROR(INDEX(记账规则!$A$6:$N$9,MATCH(购销流水!$D35,记账规则!$A$6:$A$9,0),11),""))</f>
        <v/>
      </c>
      <c r="O124" s="67" t="n">
        <f aca="false">IF($H124="",0,ROUND(IF($N124="成本金额",N(购销流水!$W35),IF($N124="金额",N(购销流水!$Q35),0)),2))</f>
        <v>0</v>
      </c>
      <c r="P124" s="64" t="str">
        <f aca="false">IF(AND($H124&lt;&gt;"",ROUND($O124,2)&lt;&gt;0),"有","")</f>
        <v/>
      </c>
    </row>
    <row r="125" customFormat="false" ht="15" hidden="true" customHeight="false" outlineLevel="0" collapsed="false">
      <c r="A125" s="53" t="str">
        <f aca="false">IF($H125="","",ROW()-5)</f>
        <v/>
      </c>
      <c r="B125" s="64" t="s">
        <v>36</v>
      </c>
      <c r="C125" s="53" t="n">
        <v>35</v>
      </c>
      <c r="D125" s="53" t="n">
        <v>4</v>
      </c>
      <c r="E125" s="65" t="str">
        <f aca="false">IF($H125="","",购销流水!$B35)</f>
        <v/>
      </c>
      <c r="F125" s="55" t="str">
        <f aca="false">IF($H125="","",购销流水!$C35)</f>
        <v/>
      </c>
      <c r="G125" s="48" t="str">
        <f aca="false">IF($H125="","",购销流水!$N35)</f>
        <v/>
      </c>
      <c r="H125" s="10" t="str">
        <f aca="false">IF($L125="","",IF($L125="@成本",购销流水!$U35,IF($L125="@收入",购销流水!$T35,IF($L125="@存货",购销流水!$S35,IF($L125="@结算",购销流水!$R35,$L125)))))</f>
        <v/>
      </c>
      <c r="I125" s="42" t="n">
        <f aca="false">IF($M125="借",$O125,0)</f>
        <v>0</v>
      </c>
      <c r="J125" s="42" t="n">
        <f aca="false">IF($M125="贷",$O125,0)</f>
        <v>0</v>
      </c>
      <c r="K125" s="48" t="str">
        <f aca="false">IF($H125="","",购销流水!$E35)</f>
        <v/>
      </c>
      <c r="L125" s="66" t="str">
        <f aca="false">IF(购销流水!$D35="","",IFERROR(INDEX(记账规则!$A$6:$N$9,MATCH(购销流水!$D35,记账规则!$A$6:$A$9,0),12),""))</f>
        <v/>
      </c>
      <c r="M125" s="66" t="str">
        <f aca="false">IF($L125="","",IFERROR(INDEX(记账规则!$A$6:$N$9,MATCH(购销流水!$D35,记账规则!$A$6:$A$9,0),13),""))</f>
        <v/>
      </c>
      <c r="N125" s="66" t="str">
        <f aca="false">IF($L125="","",IFERROR(INDEX(记账规则!$A$6:$N$9,MATCH(购销流水!$D35,记账规则!$A$6:$A$9,0),14),""))</f>
        <v/>
      </c>
      <c r="O125" s="67" t="n">
        <f aca="false">IF($H125="",0,ROUND(IF($N125="成本金额",N(购销流水!$W35),IF($N125="金额",N(购销流水!$Q35),0)),2))</f>
        <v>0</v>
      </c>
      <c r="P125" s="64" t="str">
        <f aca="false">IF(AND($H125&lt;&gt;"",ROUND($O125,2)&lt;&gt;0),"有","")</f>
        <v/>
      </c>
    </row>
    <row r="126" customFormat="false" ht="15" hidden="true" customHeight="false" outlineLevel="0" collapsed="false">
      <c r="A126" s="53" t="str">
        <f aca="false">IF($H126="","",ROW()-5)</f>
        <v/>
      </c>
      <c r="B126" s="64" t="s">
        <v>36</v>
      </c>
      <c r="C126" s="53" t="n">
        <v>36</v>
      </c>
      <c r="D126" s="53" t="n">
        <v>1</v>
      </c>
      <c r="E126" s="65" t="str">
        <f aca="false">IF($H126="","",购销流水!$B36)</f>
        <v/>
      </c>
      <c r="F126" s="55" t="str">
        <f aca="false">IF($H126="","",购销流水!$C36)</f>
        <v/>
      </c>
      <c r="G126" s="48" t="str">
        <f aca="false">IF($H126="","",购销流水!$N36)</f>
        <v/>
      </c>
      <c r="H126" s="10" t="str">
        <f aca="false">IF($L126="","",IF($L126="@成本",购销流水!$U36,IF($L126="@收入",购销流水!$T36,IF($L126="@存货",购销流水!$S36,IF($L126="@结算",购销流水!$R36,$L126)))))</f>
        <v/>
      </c>
      <c r="I126" s="42" t="n">
        <f aca="false">IF($M126="借",$O126,0)</f>
        <v>0</v>
      </c>
      <c r="J126" s="42" t="n">
        <f aca="false">IF($M126="贷",$O126,0)</f>
        <v>0</v>
      </c>
      <c r="K126" s="48" t="str">
        <f aca="false">IF($H126="","",购销流水!$E36)</f>
        <v/>
      </c>
      <c r="L126" s="66" t="str">
        <f aca="false">IF(购销流水!$D36="","",IFERROR(INDEX(记账规则!$A$6:$N$9,MATCH(购销流水!$D36,记账规则!$A$6:$A$9,0),3),""))</f>
        <v/>
      </c>
      <c r="M126" s="66" t="str">
        <f aca="false">IF($L126="","",IFERROR(INDEX(记账规则!$A$6:$N$9,MATCH(购销流水!$D36,记账规则!$A$6:$A$9,0),4),""))</f>
        <v/>
      </c>
      <c r="N126" s="66" t="str">
        <f aca="false">IF($L126="","",IFERROR(INDEX(记账规则!$A$6:$N$9,MATCH(购销流水!$D36,记账规则!$A$6:$A$9,0),5),""))</f>
        <v/>
      </c>
      <c r="O126" s="67" t="n">
        <f aca="false">IF($H126="",0,ROUND(IF($N126="成本金额",N(购销流水!$W36),IF($N126="金额",N(购销流水!$Q36),0)),2))</f>
        <v>0</v>
      </c>
      <c r="P126" s="64" t="str">
        <f aca="false">IF(AND($H126&lt;&gt;"",ROUND($O126,2)&lt;&gt;0),"有","")</f>
        <v/>
      </c>
    </row>
    <row r="127" customFormat="false" ht="15" hidden="true" customHeight="false" outlineLevel="0" collapsed="false">
      <c r="A127" s="53" t="str">
        <f aca="false">IF($H127="","",ROW()-5)</f>
        <v/>
      </c>
      <c r="B127" s="64" t="s">
        <v>36</v>
      </c>
      <c r="C127" s="53" t="n">
        <v>36</v>
      </c>
      <c r="D127" s="53" t="n">
        <v>2</v>
      </c>
      <c r="E127" s="65" t="str">
        <f aca="false">IF($H127="","",购销流水!$B36)</f>
        <v/>
      </c>
      <c r="F127" s="55" t="str">
        <f aca="false">IF($H127="","",购销流水!$C36)</f>
        <v/>
      </c>
      <c r="G127" s="48" t="str">
        <f aca="false">IF($H127="","",购销流水!$N36)</f>
        <v/>
      </c>
      <c r="H127" s="10" t="str">
        <f aca="false">IF($L127="","",IF($L127="@成本",购销流水!$U36,IF($L127="@收入",购销流水!$T36,IF($L127="@存货",购销流水!$S36,IF($L127="@结算",购销流水!$R36,$L127)))))</f>
        <v/>
      </c>
      <c r="I127" s="42" t="n">
        <f aca="false">IF($M127="借",$O127,0)</f>
        <v>0</v>
      </c>
      <c r="J127" s="42" t="n">
        <f aca="false">IF($M127="贷",$O127,0)</f>
        <v>0</v>
      </c>
      <c r="K127" s="48" t="str">
        <f aca="false">IF($H127="","",购销流水!$E36)</f>
        <v/>
      </c>
      <c r="L127" s="66" t="str">
        <f aca="false">IF(购销流水!$D36="","",IFERROR(INDEX(记账规则!$A$6:$N$9,MATCH(购销流水!$D36,记账规则!$A$6:$A$9,0),6),""))</f>
        <v/>
      </c>
      <c r="M127" s="66" t="str">
        <f aca="false">IF($L127="","",IFERROR(INDEX(记账规则!$A$6:$N$9,MATCH(购销流水!$D36,记账规则!$A$6:$A$9,0),7),""))</f>
        <v/>
      </c>
      <c r="N127" s="66" t="str">
        <f aca="false">IF($L127="","",IFERROR(INDEX(记账规则!$A$6:$N$9,MATCH(购销流水!$D36,记账规则!$A$6:$A$9,0),8),""))</f>
        <v/>
      </c>
      <c r="O127" s="67" t="n">
        <f aca="false">IF($H127="",0,ROUND(IF($N127="成本金额",N(购销流水!$W36),IF($N127="金额",N(购销流水!$Q36),0)),2))</f>
        <v>0</v>
      </c>
      <c r="P127" s="64" t="str">
        <f aca="false">IF(AND($H127&lt;&gt;"",ROUND($O127,2)&lt;&gt;0),"有","")</f>
        <v/>
      </c>
    </row>
    <row r="128" customFormat="false" ht="15" hidden="true" customHeight="false" outlineLevel="0" collapsed="false">
      <c r="A128" s="53" t="str">
        <f aca="false">IF($H128="","",ROW()-5)</f>
        <v/>
      </c>
      <c r="B128" s="64" t="s">
        <v>36</v>
      </c>
      <c r="C128" s="53" t="n">
        <v>36</v>
      </c>
      <c r="D128" s="53" t="n">
        <v>3</v>
      </c>
      <c r="E128" s="65" t="str">
        <f aca="false">IF($H128="","",购销流水!$B36)</f>
        <v/>
      </c>
      <c r="F128" s="55" t="str">
        <f aca="false">IF($H128="","",购销流水!$C36)</f>
        <v/>
      </c>
      <c r="G128" s="48" t="str">
        <f aca="false">IF($H128="","",购销流水!$N36)</f>
        <v/>
      </c>
      <c r="H128" s="10" t="str">
        <f aca="false">IF($L128="","",IF($L128="@成本",购销流水!$U36,IF($L128="@收入",购销流水!$T36,IF($L128="@存货",购销流水!$S36,IF($L128="@结算",购销流水!$R36,$L128)))))</f>
        <v/>
      </c>
      <c r="I128" s="42" t="n">
        <f aca="false">IF($M128="借",$O128,0)</f>
        <v>0</v>
      </c>
      <c r="J128" s="42" t="n">
        <f aca="false">IF($M128="贷",$O128,0)</f>
        <v>0</v>
      </c>
      <c r="K128" s="48" t="str">
        <f aca="false">IF($H128="","",购销流水!$E36)</f>
        <v/>
      </c>
      <c r="L128" s="66" t="str">
        <f aca="false">IF(购销流水!$D36="","",IFERROR(INDEX(记账规则!$A$6:$N$9,MATCH(购销流水!$D36,记账规则!$A$6:$A$9,0),9),""))</f>
        <v/>
      </c>
      <c r="M128" s="66" t="str">
        <f aca="false">IF($L128="","",IFERROR(INDEX(记账规则!$A$6:$N$9,MATCH(购销流水!$D36,记账规则!$A$6:$A$9,0),10),""))</f>
        <v/>
      </c>
      <c r="N128" s="66" t="str">
        <f aca="false">IF($L128="","",IFERROR(INDEX(记账规则!$A$6:$N$9,MATCH(购销流水!$D36,记账规则!$A$6:$A$9,0),11),""))</f>
        <v/>
      </c>
      <c r="O128" s="67" t="n">
        <f aca="false">IF($H128="",0,ROUND(IF($N128="成本金额",N(购销流水!$W36),IF($N128="金额",N(购销流水!$Q36),0)),2))</f>
        <v>0</v>
      </c>
      <c r="P128" s="64" t="str">
        <f aca="false">IF(AND($H128&lt;&gt;"",ROUND($O128,2)&lt;&gt;0),"有","")</f>
        <v/>
      </c>
    </row>
    <row r="129" customFormat="false" ht="15" hidden="true" customHeight="false" outlineLevel="0" collapsed="false">
      <c r="A129" s="53" t="str">
        <f aca="false">IF($H129="","",ROW()-5)</f>
        <v/>
      </c>
      <c r="B129" s="64" t="s">
        <v>36</v>
      </c>
      <c r="C129" s="53" t="n">
        <v>36</v>
      </c>
      <c r="D129" s="53" t="n">
        <v>4</v>
      </c>
      <c r="E129" s="65" t="str">
        <f aca="false">IF($H129="","",购销流水!$B36)</f>
        <v/>
      </c>
      <c r="F129" s="55" t="str">
        <f aca="false">IF($H129="","",购销流水!$C36)</f>
        <v/>
      </c>
      <c r="G129" s="48" t="str">
        <f aca="false">IF($H129="","",购销流水!$N36)</f>
        <v/>
      </c>
      <c r="H129" s="10" t="str">
        <f aca="false">IF($L129="","",IF($L129="@成本",购销流水!$U36,IF($L129="@收入",购销流水!$T36,IF($L129="@存货",购销流水!$S36,IF($L129="@结算",购销流水!$R36,$L129)))))</f>
        <v/>
      </c>
      <c r="I129" s="42" t="n">
        <f aca="false">IF($M129="借",$O129,0)</f>
        <v>0</v>
      </c>
      <c r="J129" s="42" t="n">
        <f aca="false">IF($M129="贷",$O129,0)</f>
        <v>0</v>
      </c>
      <c r="K129" s="48" t="str">
        <f aca="false">IF($H129="","",购销流水!$E36)</f>
        <v/>
      </c>
      <c r="L129" s="66" t="str">
        <f aca="false">IF(购销流水!$D36="","",IFERROR(INDEX(记账规则!$A$6:$N$9,MATCH(购销流水!$D36,记账规则!$A$6:$A$9,0),12),""))</f>
        <v/>
      </c>
      <c r="M129" s="66" t="str">
        <f aca="false">IF($L129="","",IFERROR(INDEX(记账规则!$A$6:$N$9,MATCH(购销流水!$D36,记账规则!$A$6:$A$9,0),13),""))</f>
        <v/>
      </c>
      <c r="N129" s="66" t="str">
        <f aca="false">IF($L129="","",IFERROR(INDEX(记账规则!$A$6:$N$9,MATCH(购销流水!$D36,记账规则!$A$6:$A$9,0),14),""))</f>
        <v/>
      </c>
      <c r="O129" s="67" t="n">
        <f aca="false">IF($H129="",0,ROUND(IF($N129="成本金额",N(购销流水!$W36),IF($N129="金额",N(购销流水!$Q36),0)),2))</f>
        <v>0</v>
      </c>
      <c r="P129" s="64" t="str">
        <f aca="false">IF(AND($H129&lt;&gt;"",ROUND($O129,2)&lt;&gt;0),"有","")</f>
        <v/>
      </c>
    </row>
    <row r="130" customFormat="false" ht="15" hidden="true" customHeight="false" outlineLevel="0" collapsed="false">
      <c r="A130" s="53" t="str">
        <f aca="false">IF($H130="","",ROW()-5)</f>
        <v/>
      </c>
      <c r="B130" s="64" t="s">
        <v>36</v>
      </c>
      <c r="C130" s="53" t="n">
        <v>37</v>
      </c>
      <c r="D130" s="53" t="n">
        <v>1</v>
      </c>
      <c r="E130" s="65" t="str">
        <f aca="false">IF($H130="","",购销流水!$B37)</f>
        <v/>
      </c>
      <c r="F130" s="55" t="str">
        <f aca="false">IF($H130="","",购销流水!$C37)</f>
        <v/>
      </c>
      <c r="G130" s="48" t="str">
        <f aca="false">IF($H130="","",购销流水!$N37)</f>
        <v/>
      </c>
      <c r="H130" s="10" t="str">
        <f aca="false">IF($L130="","",IF($L130="@成本",购销流水!$U37,IF($L130="@收入",购销流水!$T37,IF($L130="@存货",购销流水!$S37,IF($L130="@结算",购销流水!$R37,$L130)))))</f>
        <v/>
      </c>
      <c r="I130" s="42" t="n">
        <f aca="false">IF($M130="借",$O130,0)</f>
        <v>0</v>
      </c>
      <c r="J130" s="42" t="n">
        <f aca="false">IF($M130="贷",$O130,0)</f>
        <v>0</v>
      </c>
      <c r="K130" s="48" t="str">
        <f aca="false">IF($H130="","",购销流水!$E37)</f>
        <v/>
      </c>
      <c r="L130" s="66" t="str">
        <f aca="false">IF(购销流水!$D37="","",IFERROR(INDEX(记账规则!$A$6:$N$9,MATCH(购销流水!$D37,记账规则!$A$6:$A$9,0),3),""))</f>
        <v/>
      </c>
      <c r="M130" s="66" t="str">
        <f aca="false">IF($L130="","",IFERROR(INDEX(记账规则!$A$6:$N$9,MATCH(购销流水!$D37,记账规则!$A$6:$A$9,0),4),""))</f>
        <v/>
      </c>
      <c r="N130" s="66" t="str">
        <f aca="false">IF($L130="","",IFERROR(INDEX(记账规则!$A$6:$N$9,MATCH(购销流水!$D37,记账规则!$A$6:$A$9,0),5),""))</f>
        <v/>
      </c>
      <c r="O130" s="67" t="n">
        <f aca="false">IF($H130="",0,ROUND(IF($N130="成本金额",N(购销流水!$W37),IF($N130="金额",N(购销流水!$Q37),0)),2))</f>
        <v>0</v>
      </c>
      <c r="P130" s="64" t="str">
        <f aca="false">IF(AND($H130&lt;&gt;"",ROUND($O130,2)&lt;&gt;0),"有","")</f>
        <v/>
      </c>
    </row>
    <row r="131" customFormat="false" ht="15" hidden="true" customHeight="false" outlineLevel="0" collapsed="false">
      <c r="A131" s="53" t="str">
        <f aca="false">IF($H131="","",ROW()-5)</f>
        <v/>
      </c>
      <c r="B131" s="64" t="s">
        <v>36</v>
      </c>
      <c r="C131" s="53" t="n">
        <v>37</v>
      </c>
      <c r="D131" s="53" t="n">
        <v>2</v>
      </c>
      <c r="E131" s="65" t="str">
        <f aca="false">IF($H131="","",购销流水!$B37)</f>
        <v/>
      </c>
      <c r="F131" s="55" t="str">
        <f aca="false">IF($H131="","",购销流水!$C37)</f>
        <v/>
      </c>
      <c r="G131" s="48" t="str">
        <f aca="false">IF($H131="","",购销流水!$N37)</f>
        <v/>
      </c>
      <c r="H131" s="10" t="str">
        <f aca="false">IF($L131="","",IF($L131="@成本",购销流水!$U37,IF($L131="@收入",购销流水!$T37,IF($L131="@存货",购销流水!$S37,IF($L131="@结算",购销流水!$R37,$L131)))))</f>
        <v/>
      </c>
      <c r="I131" s="42" t="n">
        <f aca="false">IF($M131="借",$O131,0)</f>
        <v>0</v>
      </c>
      <c r="J131" s="42" t="n">
        <f aca="false">IF($M131="贷",$O131,0)</f>
        <v>0</v>
      </c>
      <c r="K131" s="48" t="str">
        <f aca="false">IF($H131="","",购销流水!$E37)</f>
        <v/>
      </c>
      <c r="L131" s="66" t="str">
        <f aca="false">IF(购销流水!$D37="","",IFERROR(INDEX(记账规则!$A$6:$N$9,MATCH(购销流水!$D37,记账规则!$A$6:$A$9,0),6),""))</f>
        <v/>
      </c>
      <c r="M131" s="66" t="str">
        <f aca="false">IF($L131="","",IFERROR(INDEX(记账规则!$A$6:$N$9,MATCH(购销流水!$D37,记账规则!$A$6:$A$9,0),7),""))</f>
        <v/>
      </c>
      <c r="N131" s="66" t="str">
        <f aca="false">IF($L131="","",IFERROR(INDEX(记账规则!$A$6:$N$9,MATCH(购销流水!$D37,记账规则!$A$6:$A$9,0),8),""))</f>
        <v/>
      </c>
      <c r="O131" s="67" t="n">
        <f aca="false">IF($H131="",0,ROUND(IF($N131="成本金额",N(购销流水!$W37),IF($N131="金额",N(购销流水!$Q37),0)),2))</f>
        <v>0</v>
      </c>
      <c r="P131" s="64" t="str">
        <f aca="false">IF(AND($H131&lt;&gt;"",ROUND($O131,2)&lt;&gt;0),"有","")</f>
        <v/>
      </c>
    </row>
    <row r="132" customFormat="false" ht="15" hidden="true" customHeight="false" outlineLevel="0" collapsed="false">
      <c r="A132" s="53" t="str">
        <f aca="false">IF($H132="","",ROW()-5)</f>
        <v/>
      </c>
      <c r="B132" s="64" t="s">
        <v>36</v>
      </c>
      <c r="C132" s="53" t="n">
        <v>37</v>
      </c>
      <c r="D132" s="53" t="n">
        <v>3</v>
      </c>
      <c r="E132" s="65" t="str">
        <f aca="false">IF($H132="","",购销流水!$B37)</f>
        <v/>
      </c>
      <c r="F132" s="55" t="str">
        <f aca="false">IF($H132="","",购销流水!$C37)</f>
        <v/>
      </c>
      <c r="G132" s="48" t="str">
        <f aca="false">IF($H132="","",购销流水!$N37)</f>
        <v/>
      </c>
      <c r="H132" s="10" t="str">
        <f aca="false">IF($L132="","",IF($L132="@成本",购销流水!$U37,IF($L132="@收入",购销流水!$T37,IF($L132="@存货",购销流水!$S37,IF($L132="@结算",购销流水!$R37,$L132)))))</f>
        <v/>
      </c>
      <c r="I132" s="42" t="n">
        <f aca="false">IF($M132="借",$O132,0)</f>
        <v>0</v>
      </c>
      <c r="J132" s="42" t="n">
        <f aca="false">IF($M132="贷",$O132,0)</f>
        <v>0</v>
      </c>
      <c r="K132" s="48" t="str">
        <f aca="false">IF($H132="","",购销流水!$E37)</f>
        <v/>
      </c>
      <c r="L132" s="66" t="str">
        <f aca="false">IF(购销流水!$D37="","",IFERROR(INDEX(记账规则!$A$6:$N$9,MATCH(购销流水!$D37,记账规则!$A$6:$A$9,0),9),""))</f>
        <v/>
      </c>
      <c r="M132" s="66" t="str">
        <f aca="false">IF($L132="","",IFERROR(INDEX(记账规则!$A$6:$N$9,MATCH(购销流水!$D37,记账规则!$A$6:$A$9,0),10),""))</f>
        <v/>
      </c>
      <c r="N132" s="66" t="str">
        <f aca="false">IF($L132="","",IFERROR(INDEX(记账规则!$A$6:$N$9,MATCH(购销流水!$D37,记账规则!$A$6:$A$9,0),11),""))</f>
        <v/>
      </c>
      <c r="O132" s="67" t="n">
        <f aca="false">IF($H132="",0,ROUND(IF($N132="成本金额",N(购销流水!$W37),IF($N132="金额",N(购销流水!$Q37),0)),2))</f>
        <v>0</v>
      </c>
      <c r="P132" s="64" t="str">
        <f aca="false">IF(AND($H132&lt;&gt;"",ROUND($O132,2)&lt;&gt;0),"有","")</f>
        <v/>
      </c>
    </row>
    <row r="133" customFormat="false" ht="15" hidden="true" customHeight="false" outlineLevel="0" collapsed="false">
      <c r="A133" s="53" t="str">
        <f aca="false">IF($H133="","",ROW()-5)</f>
        <v/>
      </c>
      <c r="B133" s="64" t="s">
        <v>36</v>
      </c>
      <c r="C133" s="53" t="n">
        <v>37</v>
      </c>
      <c r="D133" s="53" t="n">
        <v>4</v>
      </c>
      <c r="E133" s="65" t="str">
        <f aca="false">IF($H133="","",购销流水!$B37)</f>
        <v/>
      </c>
      <c r="F133" s="55" t="str">
        <f aca="false">IF($H133="","",购销流水!$C37)</f>
        <v/>
      </c>
      <c r="G133" s="48" t="str">
        <f aca="false">IF($H133="","",购销流水!$N37)</f>
        <v/>
      </c>
      <c r="H133" s="10" t="str">
        <f aca="false">IF($L133="","",IF($L133="@成本",购销流水!$U37,IF($L133="@收入",购销流水!$T37,IF($L133="@存货",购销流水!$S37,IF($L133="@结算",购销流水!$R37,$L133)))))</f>
        <v/>
      </c>
      <c r="I133" s="42" t="n">
        <f aca="false">IF($M133="借",$O133,0)</f>
        <v>0</v>
      </c>
      <c r="J133" s="42" t="n">
        <f aca="false">IF($M133="贷",$O133,0)</f>
        <v>0</v>
      </c>
      <c r="K133" s="48" t="str">
        <f aca="false">IF($H133="","",购销流水!$E37)</f>
        <v/>
      </c>
      <c r="L133" s="66" t="str">
        <f aca="false">IF(购销流水!$D37="","",IFERROR(INDEX(记账规则!$A$6:$N$9,MATCH(购销流水!$D37,记账规则!$A$6:$A$9,0),12),""))</f>
        <v/>
      </c>
      <c r="M133" s="66" t="str">
        <f aca="false">IF($L133="","",IFERROR(INDEX(记账规则!$A$6:$N$9,MATCH(购销流水!$D37,记账规则!$A$6:$A$9,0),13),""))</f>
        <v/>
      </c>
      <c r="N133" s="66" t="str">
        <f aca="false">IF($L133="","",IFERROR(INDEX(记账规则!$A$6:$N$9,MATCH(购销流水!$D37,记账规则!$A$6:$A$9,0),14),""))</f>
        <v/>
      </c>
      <c r="O133" s="67" t="n">
        <f aca="false">IF($H133="",0,ROUND(IF($N133="成本金额",N(购销流水!$W37),IF($N133="金额",N(购销流水!$Q37),0)),2))</f>
        <v>0</v>
      </c>
      <c r="P133" s="64" t="str">
        <f aca="false">IF(AND($H133&lt;&gt;"",ROUND($O133,2)&lt;&gt;0),"有","")</f>
        <v/>
      </c>
    </row>
    <row r="134" customFormat="false" ht="15" hidden="true" customHeight="false" outlineLevel="0" collapsed="false">
      <c r="A134" s="53" t="str">
        <f aca="false">IF($H134="","",ROW()-5)</f>
        <v/>
      </c>
      <c r="B134" s="64" t="s">
        <v>36</v>
      </c>
      <c r="C134" s="53" t="n">
        <v>38</v>
      </c>
      <c r="D134" s="53" t="n">
        <v>1</v>
      </c>
      <c r="E134" s="65" t="str">
        <f aca="false">IF($H134="","",购销流水!$B38)</f>
        <v/>
      </c>
      <c r="F134" s="55" t="str">
        <f aca="false">IF($H134="","",购销流水!$C38)</f>
        <v/>
      </c>
      <c r="G134" s="48" t="str">
        <f aca="false">IF($H134="","",购销流水!$N38)</f>
        <v/>
      </c>
      <c r="H134" s="10" t="str">
        <f aca="false">IF($L134="","",IF($L134="@成本",购销流水!$U38,IF($L134="@收入",购销流水!$T38,IF($L134="@存货",购销流水!$S38,IF($L134="@结算",购销流水!$R38,$L134)))))</f>
        <v/>
      </c>
      <c r="I134" s="42" t="n">
        <f aca="false">IF($M134="借",$O134,0)</f>
        <v>0</v>
      </c>
      <c r="J134" s="42" t="n">
        <f aca="false">IF($M134="贷",$O134,0)</f>
        <v>0</v>
      </c>
      <c r="K134" s="48" t="str">
        <f aca="false">IF($H134="","",购销流水!$E38)</f>
        <v/>
      </c>
      <c r="L134" s="66" t="str">
        <f aca="false">IF(购销流水!$D38="","",IFERROR(INDEX(记账规则!$A$6:$N$9,MATCH(购销流水!$D38,记账规则!$A$6:$A$9,0),3),""))</f>
        <v/>
      </c>
      <c r="M134" s="66" t="str">
        <f aca="false">IF($L134="","",IFERROR(INDEX(记账规则!$A$6:$N$9,MATCH(购销流水!$D38,记账规则!$A$6:$A$9,0),4),""))</f>
        <v/>
      </c>
      <c r="N134" s="66" t="str">
        <f aca="false">IF($L134="","",IFERROR(INDEX(记账规则!$A$6:$N$9,MATCH(购销流水!$D38,记账规则!$A$6:$A$9,0),5),""))</f>
        <v/>
      </c>
      <c r="O134" s="67" t="n">
        <f aca="false">IF($H134="",0,ROUND(IF($N134="成本金额",N(购销流水!$W38),IF($N134="金额",N(购销流水!$Q38),0)),2))</f>
        <v>0</v>
      </c>
      <c r="P134" s="64" t="str">
        <f aca="false">IF(AND($H134&lt;&gt;"",ROUND($O134,2)&lt;&gt;0),"有","")</f>
        <v/>
      </c>
    </row>
    <row r="135" customFormat="false" ht="15" hidden="true" customHeight="false" outlineLevel="0" collapsed="false">
      <c r="A135" s="53" t="str">
        <f aca="false">IF($H135="","",ROW()-5)</f>
        <v/>
      </c>
      <c r="B135" s="64" t="s">
        <v>36</v>
      </c>
      <c r="C135" s="53" t="n">
        <v>38</v>
      </c>
      <c r="D135" s="53" t="n">
        <v>2</v>
      </c>
      <c r="E135" s="65" t="str">
        <f aca="false">IF($H135="","",购销流水!$B38)</f>
        <v/>
      </c>
      <c r="F135" s="55" t="str">
        <f aca="false">IF($H135="","",购销流水!$C38)</f>
        <v/>
      </c>
      <c r="G135" s="48" t="str">
        <f aca="false">IF($H135="","",购销流水!$N38)</f>
        <v/>
      </c>
      <c r="H135" s="10" t="str">
        <f aca="false">IF($L135="","",IF($L135="@成本",购销流水!$U38,IF($L135="@收入",购销流水!$T38,IF($L135="@存货",购销流水!$S38,IF($L135="@结算",购销流水!$R38,$L135)))))</f>
        <v/>
      </c>
      <c r="I135" s="42" t="n">
        <f aca="false">IF($M135="借",$O135,0)</f>
        <v>0</v>
      </c>
      <c r="J135" s="42" t="n">
        <f aca="false">IF($M135="贷",$O135,0)</f>
        <v>0</v>
      </c>
      <c r="K135" s="48" t="str">
        <f aca="false">IF($H135="","",购销流水!$E38)</f>
        <v/>
      </c>
      <c r="L135" s="66" t="str">
        <f aca="false">IF(购销流水!$D38="","",IFERROR(INDEX(记账规则!$A$6:$N$9,MATCH(购销流水!$D38,记账规则!$A$6:$A$9,0),6),""))</f>
        <v/>
      </c>
      <c r="M135" s="66" t="str">
        <f aca="false">IF($L135="","",IFERROR(INDEX(记账规则!$A$6:$N$9,MATCH(购销流水!$D38,记账规则!$A$6:$A$9,0),7),""))</f>
        <v/>
      </c>
      <c r="N135" s="66" t="str">
        <f aca="false">IF($L135="","",IFERROR(INDEX(记账规则!$A$6:$N$9,MATCH(购销流水!$D38,记账规则!$A$6:$A$9,0),8),""))</f>
        <v/>
      </c>
      <c r="O135" s="67" t="n">
        <f aca="false">IF($H135="",0,ROUND(IF($N135="成本金额",N(购销流水!$W38),IF($N135="金额",N(购销流水!$Q38),0)),2))</f>
        <v>0</v>
      </c>
      <c r="P135" s="64" t="str">
        <f aca="false">IF(AND($H135&lt;&gt;"",ROUND($O135,2)&lt;&gt;0),"有","")</f>
        <v/>
      </c>
    </row>
    <row r="136" customFormat="false" ht="15" hidden="true" customHeight="false" outlineLevel="0" collapsed="false">
      <c r="A136" s="53" t="str">
        <f aca="false">IF($H136="","",ROW()-5)</f>
        <v/>
      </c>
      <c r="B136" s="64" t="s">
        <v>36</v>
      </c>
      <c r="C136" s="53" t="n">
        <v>38</v>
      </c>
      <c r="D136" s="53" t="n">
        <v>3</v>
      </c>
      <c r="E136" s="65" t="str">
        <f aca="false">IF($H136="","",购销流水!$B38)</f>
        <v/>
      </c>
      <c r="F136" s="55" t="str">
        <f aca="false">IF($H136="","",购销流水!$C38)</f>
        <v/>
      </c>
      <c r="G136" s="48" t="str">
        <f aca="false">IF($H136="","",购销流水!$N38)</f>
        <v/>
      </c>
      <c r="H136" s="10" t="str">
        <f aca="false">IF($L136="","",IF($L136="@成本",购销流水!$U38,IF($L136="@收入",购销流水!$T38,IF($L136="@存货",购销流水!$S38,IF($L136="@结算",购销流水!$R38,$L136)))))</f>
        <v/>
      </c>
      <c r="I136" s="42" t="n">
        <f aca="false">IF($M136="借",$O136,0)</f>
        <v>0</v>
      </c>
      <c r="J136" s="42" t="n">
        <f aca="false">IF($M136="贷",$O136,0)</f>
        <v>0</v>
      </c>
      <c r="K136" s="48" t="str">
        <f aca="false">IF($H136="","",购销流水!$E38)</f>
        <v/>
      </c>
      <c r="L136" s="66" t="str">
        <f aca="false">IF(购销流水!$D38="","",IFERROR(INDEX(记账规则!$A$6:$N$9,MATCH(购销流水!$D38,记账规则!$A$6:$A$9,0),9),""))</f>
        <v/>
      </c>
      <c r="M136" s="66" t="str">
        <f aca="false">IF($L136="","",IFERROR(INDEX(记账规则!$A$6:$N$9,MATCH(购销流水!$D38,记账规则!$A$6:$A$9,0),10),""))</f>
        <v/>
      </c>
      <c r="N136" s="66" t="str">
        <f aca="false">IF($L136="","",IFERROR(INDEX(记账规则!$A$6:$N$9,MATCH(购销流水!$D38,记账规则!$A$6:$A$9,0),11),""))</f>
        <v/>
      </c>
      <c r="O136" s="67" t="n">
        <f aca="false">IF($H136="",0,ROUND(IF($N136="成本金额",N(购销流水!$W38),IF($N136="金额",N(购销流水!$Q38),0)),2))</f>
        <v>0</v>
      </c>
      <c r="P136" s="64" t="str">
        <f aca="false">IF(AND($H136&lt;&gt;"",ROUND($O136,2)&lt;&gt;0),"有","")</f>
        <v/>
      </c>
    </row>
    <row r="137" customFormat="false" ht="15" hidden="true" customHeight="false" outlineLevel="0" collapsed="false">
      <c r="A137" s="53" t="str">
        <f aca="false">IF($H137="","",ROW()-5)</f>
        <v/>
      </c>
      <c r="B137" s="64" t="s">
        <v>36</v>
      </c>
      <c r="C137" s="53" t="n">
        <v>38</v>
      </c>
      <c r="D137" s="53" t="n">
        <v>4</v>
      </c>
      <c r="E137" s="65" t="str">
        <f aca="false">IF($H137="","",购销流水!$B38)</f>
        <v/>
      </c>
      <c r="F137" s="55" t="str">
        <f aca="false">IF($H137="","",购销流水!$C38)</f>
        <v/>
      </c>
      <c r="G137" s="48" t="str">
        <f aca="false">IF($H137="","",购销流水!$N38)</f>
        <v/>
      </c>
      <c r="H137" s="10" t="str">
        <f aca="false">IF($L137="","",IF($L137="@成本",购销流水!$U38,IF($L137="@收入",购销流水!$T38,IF($L137="@存货",购销流水!$S38,IF($L137="@结算",购销流水!$R38,$L137)))))</f>
        <v/>
      </c>
      <c r="I137" s="42" t="n">
        <f aca="false">IF($M137="借",$O137,0)</f>
        <v>0</v>
      </c>
      <c r="J137" s="42" t="n">
        <f aca="false">IF($M137="贷",$O137,0)</f>
        <v>0</v>
      </c>
      <c r="K137" s="48" t="str">
        <f aca="false">IF($H137="","",购销流水!$E38)</f>
        <v/>
      </c>
      <c r="L137" s="66" t="str">
        <f aca="false">IF(购销流水!$D38="","",IFERROR(INDEX(记账规则!$A$6:$N$9,MATCH(购销流水!$D38,记账规则!$A$6:$A$9,0),12),""))</f>
        <v/>
      </c>
      <c r="M137" s="66" t="str">
        <f aca="false">IF($L137="","",IFERROR(INDEX(记账规则!$A$6:$N$9,MATCH(购销流水!$D38,记账规则!$A$6:$A$9,0),13),""))</f>
        <v/>
      </c>
      <c r="N137" s="66" t="str">
        <f aca="false">IF($L137="","",IFERROR(INDEX(记账规则!$A$6:$N$9,MATCH(购销流水!$D38,记账规则!$A$6:$A$9,0),14),""))</f>
        <v/>
      </c>
      <c r="O137" s="67" t="n">
        <f aca="false">IF($H137="",0,ROUND(IF($N137="成本金额",N(购销流水!$W38),IF($N137="金额",N(购销流水!$Q38),0)),2))</f>
        <v>0</v>
      </c>
      <c r="P137" s="64" t="str">
        <f aca="false">IF(AND($H137&lt;&gt;"",ROUND($O137,2)&lt;&gt;0),"有","")</f>
        <v/>
      </c>
    </row>
    <row r="138" customFormat="false" ht="15" hidden="true" customHeight="false" outlineLevel="0" collapsed="false">
      <c r="A138" s="53" t="str">
        <f aca="false">IF($H138="","",ROW()-5)</f>
        <v/>
      </c>
      <c r="B138" s="64" t="s">
        <v>36</v>
      </c>
      <c r="C138" s="53" t="n">
        <v>39</v>
      </c>
      <c r="D138" s="53" t="n">
        <v>1</v>
      </c>
      <c r="E138" s="65" t="str">
        <f aca="false">IF($H138="","",购销流水!$B39)</f>
        <v/>
      </c>
      <c r="F138" s="55" t="str">
        <f aca="false">IF($H138="","",购销流水!$C39)</f>
        <v/>
      </c>
      <c r="G138" s="48" t="str">
        <f aca="false">IF($H138="","",购销流水!$N39)</f>
        <v/>
      </c>
      <c r="H138" s="10" t="str">
        <f aca="false">IF($L138="","",IF($L138="@成本",购销流水!$U39,IF($L138="@收入",购销流水!$T39,IF($L138="@存货",购销流水!$S39,IF($L138="@结算",购销流水!$R39,$L138)))))</f>
        <v/>
      </c>
      <c r="I138" s="42" t="n">
        <f aca="false">IF($M138="借",$O138,0)</f>
        <v>0</v>
      </c>
      <c r="J138" s="42" t="n">
        <f aca="false">IF($M138="贷",$O138,0)</f>
        <v>0</v>
      </c>
      <c r="K138" s="48" t="str">
        <f aca="false">IF($H138="","",购销流水!$E39)</f>
        <v/>
      </c>
      <c r="L138" s="66" t="str">
        <f aca="false">IF(购销流水!$D39="","",IFERROR(INDEX(记账规则!$A$6:$N$9,MATCH(购销流水!$D39,记账规则!$A$6:$A$9,0),3),""))</f>
        <v/>
      </c>
      <c r="M138" s="66" t="str">
        <f aca="false">IF($L138="","",IFERROR(INDEX(记账规则!$A$6:$N$9,MATCH(购销流水!$D39,记账规则!$A$6:$A$9,0),4),""))</f>
        <v/>
      </c>
      <c r="N138" s="66" t="str">
        <f aca="false">IF($L138="","",IFERROR(INDEX(记账规则!$A$6:$N$9,MATCH(购销流水!$D39,记账规则!$A$6:$A$9,0),5),""))</f>
        <v/>
      </c>
      <c r="O138" s="67" t="n">
        <f aca="false">IF($H138="",0,ROUND(IF($N138="成本金额",N(购销流水!$W39),IF($N138="金额",N(购销流水!$Q39),0)),2))</f>
        <v>0</v>
      </c>
      <c r="P138" s="64" t="str">
        <f aca="false">IF(AND($H138&lt;&gt;"",ROUND($O138,2)&lt;&gt;0),"有","")</f>
        <v/>
      </c>
    </row>
    <row r="139" customFormat="false" ht="15" hidden="true" customHeight="false" outlineLevel="0" collapsed="false">
      <c r="A139" s="53" t="str">
        <f aca="false">IF($H139="","",ROW()-5)</f>
        <v/>
      </c>
      <c r="B139" s="64" t="s">
        <v>36</v>
      </c>
      <c r="C139" s="53" t="n">
        <v>39</v>
      </c>
      <c r="D139" s="53" t="n">
        <v>2</v>
      </c>
      <c r="E139" s="65" t="str">
        <f aca="false">IF($H139="","",购销流水!$B39)</f>
        <v/>
      </c>
      <c r="F139" s="55" t="str">
        <f aca="false">IF($H139="","",购销流水!$C39)</f>
        <v/>
      </c>
      <c r="G139" s="48" t="str">
        <f aca="false">IF($H139="","",购销流水!$N39)</f>
        <v/>
      </c>
      <c r="H139" s="10" t="str">
        <f aca="false">IF($L139="","",IF($L139="@成本",购销流水!$U39,IF($L139="@收入",购销流水!$T39,IF($L139="@存货",购销流水!$S39,IF($L139="@结算",购销流水!$R39,$L139)))))</f>
        <v/>
      </c>
      <c r="I139" s="42" t="n">
        <f aca="false">IF($M139="借",$O139,0)</f>
        <v>0</v>
      </c>
      <c r="J139" s="42" t="n">
        <f aca="false">IF($M139="贷",$O139,0)</f>
        <v>0</v>
      </c>
      <c r="K139" s="48" t="str">
        <f aca="false">IF($H139="","",购销流水!$E39)</f>
        <v/>
      </c>
      <c r="L139" s="66" t="str">
        <f aca="false">IF(购销流水!$D39="","",IFERROR(INDEX(记账规则!$A$6:$N$9,MATCH(购销流水!$D39,记账规则!$A$6:$A$9,0),6),""))</f>
        <v/>
      </c>
      <c r="M139" s="66" t="str">
        <f aca="false">IF($L139="","",IFERROR(INDEX(记账规则!$A$6:$N$9,MATCH(购销流水!$D39,记账规则!$A$6:$A$9,0),7),""))</f>
        <v/>
      </c>
      <c r="N139" s="66" t="str">
        <f aca="false">IF($L139="","",IFERROR(INDEX(记账规则!$A$6:$N$9,MATCH(购销流水!$D39,记账规则!$A$6:$A$9,0),8),""))</f>
        <v/>
      </c>
      <c r="O139" s="67" t="n">
        <f aca="false">IF($H139="",0,ROUND(IF($N139="成本金额",N(购销流水!$W39),IF($N139="金额",N(购销流水!$Q39),0)),2))</f>
        <v>0</v>
      </c>
      <c r="P139" s="64" t="str">
        <f aca="false">IF(AND($H139&lt;&gt;"",ROUND($O139,2)&lt;&gt;0),"有","")</f>
        <v/>
      </c>
    </row>
    <row r="140" customFormat="false" ht="15" hidden="true" customHeight="false" outlineLevel="0" collapsed="false">
      <c r="A140" s="53" t="str">
        <f aca="false">IF($H140="","",ROW()-5)</f>
        <v/>
      </c>
      <c r="B140" s="64" t="s">
        <v>36</v>
      </c>
      <c r="C140" s="53" t="n">
        <v>39</v>
      </c>
      <c r="D140" s="53" t="n">
        <v>3</v>
      </c>
      <c r="E140" s="65" t="str">
        <f aca="false">IF($H140="","",购销流水!$B39)</f>
        <v/>
      </c>
      <c r="F140" s="55" t="str">
        <f aca="false">IF($H140="","",购销流水!$C39)</f>
        <v/>
      </c>
      <c r="G140" s="48" t="str">
        <f aca="false">IF($H140="","",购销流水!$N39)</f>
        <v/>
      </c>
      <c r="H140" s="10" t="str">
        <f aca="false">IF($L140="","",IF($L140="@成本",购销流水!$U39,IF($L140="@收入",购销流水!$T39,IF($L140="@存货",购销流水!$S39,IF($L140="@结算",购销流水!$R39,$L140)))))</f>
        <v/>
      </c>
      <c r="I140" s="42" t="n">
        <f aca="false">IF($M140="借",$O140,0)</f>
        <v>0</v>
      </c>
      <c r="J140" s="42" t="n">
        <f aca="false">IF($M140="贷",$O140,0)</f>
        <v>0</v>
      </c>
      <c r="K140" s="48" t="str">
        <f aca="false">IF($H140="","",购销流水!$E39)</f>
        <v/>
      </c>
      <c r="L140" s="66" t="str">
        <f aca="false">IF(购销流水!$D39="","",IFERROR(INDEX(记账规则!$A$6:$N$9,MATCH(购销流水!$D39,记账规则!$A$6:$A$9,0),9),""))</f>
        <v/>
      </c>
      <c r="M140" s="66" t="str">
        <f aca="false">IF($L140="","",IFERROR(INDEX(记账规则!$A$6:$N$9,MATCH(购销流水!$D39,记账规则!$A$6:$A$9,0),10),""))</f>
        <v/>
      </c>
      <c r="N140" s="66" t="str">
        <f aca="false">IF($L140="","",IFERROR(INDEX(记账规则!$A$6:$N$9,MATCH(购销流水!$D39,记账规则!$A$6:$A$9,0),11),""))</f>
        <v/>
      </c>
      <c r="O140" s="67" t="n">
        <f aca="false">IF($H140="",0,ROUND(IF($N140="成本金额",N(购销流水!$W39),IF($N140="金额",N(购销流水!$Q39),0)),2))</f>
        <v>0</v>
      </c>
      <c r="P140" s="64" t="str">
        <f aca="false">IF(AND($H140&lt;&gt;"",ROUND($O140,2)&lt;&gt;0),"有","")</f>
        <v/>
      </c>
    </row>
    <row r="141" customFormat="false" ht="15" hidden="true" customHeight="false" outlineLevel="0" collapsed="false">
      <c r="A141" s="53" t="str">
        <f aca="false">IF($H141="","",ROW()-5)</f>
        <v/>
      </c>
      <c r="B141" s="64" t="s">
        <v>36</v>
      </c>
      <c r="C141" s="53" t="n">
        <v>39</v>
      </c>
      <c r="D141" s="53" t="n">
        <v>4</v>
      </c>
      <c r="E141" s="65" t="str">
        <f aca="false">IF($H141="","",购销流水!$B39)</f>
        <v/>
      </c>
      <c r="F141" s="55" t="str">
        <f aca="false">IF($H141="","",购销流水!$C39)</f>
        <v/>
      </c>
      <c r="G141" s="48" t="str">
        <f aca="false">IF($H141="","",购销流水!$N39)</f>
        <v/>
      </c>
      <c r="H141" s="10" t="str">
        <f aca="false">IF($L141="","",IF($L141="@成本",购销流水!$U39,IF($L141="@收入",购销流水!$T39,IF($L141="@存货",购销流水!$S39,IF($L141="@结算",购销流水!$R39,$L141)))))</f>
        <v/>
      </c>
      <c r="I141" s="42" t="n">
        <f aca="false">IF($M141="借",$O141,0)</f>
        <v>0</v>
      </c>
      <c r="J141" s="42" t="n">
        <f aca="false">IF($M141="贷",$O141,0)</f>
        <v>0</v>
      </c>
      <c r="K141" s="48" t="str">
        <f aca="false">IF($H141="","",购销流水!$E39)</f>
        <v/>
      </c>
      <c r="L141" s="66" t="str">
        <f aca="false">IF(购销流水!$D39="","",IFERROR(INDEX(记账规则!$A$6:$N$9,MATCH(购销流水!$D39,记账规则!$A$6:$A$9,0),12),""))</f>
        <v/>
      </c>
      <c r="M141" s="66" t="str">
        <f aca="false">IF($L141="","",IFERROR(INDEX(记账规则!$A$6:$N$9,MATCH(购销流水!$D39,记账规则!$A$6:$A$9,0),13),""))</f>
        <v/>
      </c>
      <c r="N141" s="66" t="str">
        <f aca="false">IF($L141="","",IFERROR(INDEX(记账规则!$A$6:$N$9,MATCH(购销流水!$D39,记账规则!$A$6:$A$9,0),14),""))</f>
        <v/>
      </c>
      <c r="O141" s="67" t="n">
        <f aca="false">IF($H141="",0,ROUND(IF($N141="成本金额",N(购销流水!$W39),IF($N141="金额",N(购销流水!$Q39),0)),2))</f>
        <v>0</v>
      </c>
      <c r="P141" s="64" t="str">
        <f aca="false">IF(AND($H141&lt;&gt;"",ROUND($O141,2)&lt;&gt;0),"有","")</f>
        <v/>
      </c>
    </row>
    <row r="142" customFormat="false" ht="15" hidden="true" customHeight="false" outlineLevel="0" collapsed="false">
      <c r="A142" s="53" t="str">
        <f aca="false">IF($H142="","",ROW()-5)</f>
        <v/>
      </c>
      <c r="B142" s="64" t="s">
        <v>36</v>
      </c>
      <c r="C142" s="53" t="n">
        <v>40</v>
      </c>
      <c r="D142" s="53" t="n">
        <v>1</v>
      </c>
      <c r="E142" s="65" t="str">
        <f aca="false">IF($H142="","",购销流水!$B40)</f>
        <v/>
      </c>
      <c r="F142" s="55" t="str">
        <f aca="false">IF($H142="","",购销流水!$C40)</f>
        <v/>
      </c>
      <c r="G142" s="48" t="str">
        <f aca="false">IF($H142="","",购销流水!$N40)</f>
        <v/>
      </c>
      <c r="H142" s="10" t="str">
        <f aca="false">IF($L142="","",IF($L142="@成本",购销流水!$U40,IF($L142="@收入",购销流水!$T40,IF($L142="@存货",购销流水!$S40,IF($L142="@结算",购销流水!$R40,$L142)))))</f>
        <v/>
      </c>
      <c r="I142" s="42" t="n">
        <f aca="false">IF($M142="借",$O142,0)</f>
        <v>0</v>
      </c>
      <c r="J142" s="42" t="n">
        <f aca="false">IF($M142="贷",$O142,0)</f>
        <v>0</v>
      </c>
      <c r="K142" s="48" t="str">
        <f aca="false">IF($H142="","",购销流水!$E40)</f>
        <v/>
      </c>
      <c r="L142" s="66" t="str">
        <f aca="false">IF(购销流水!$D40="","",IFERROR(INDEX(记账规则!$A$6:$N$9,MATCH(购销流水!$D40,记账规则!$A$6:$A$9,0),3),""))</f>
        <v/>
      </c>
      <c r="M142" s="66" t="str">
        <f aca="false">IF($L142="","",IFERROR(INDEX(记账规则!$A$6:$N$9,MATCH(购销流水!$D40,记账规则!$A$6:$A$9,0),4),""))</f>
        <v/>
      </c>
      <c r="N142" s="66" t="str">
        <f aca="false">IF($L142="","",IFERROR(INDEX(记账规则!$A$6:$N$9,MATCH(购销流水!$D40,记账规则!$A$6:$A$9,0),5),""))</f>
        <v/>
      </c>
      <c r="O142" s="67" t="n">
        <f aca="false">IF($H142="",0,ROUND(IF($N142="成本金额",N(购销流水!$W40),IF($N142="金额",N(购销流水!$Q40),0)),2))</f>
        <v>0</v>
      </c>
      <c r="P142" s="64" t="str">
        <f aca="false">IF(AND($H142&lt;&gt;"",ROUND($O142,2)&lt;&gt;0),"有","")</f>
        <v/>
      </c>
    </row>
    <row r="143" customFormat="false" ht="15" hidden="true" customHeight="false" outlineLevel="0" collapsed="false">
      <c r="A143" s="53" t="str">
        <f aca="false">IF($H143="","",ROW()-5)</f>
        <v/>
      </c>
      <c r="B143" s="64" t="s">
        <v>36</v>
      </c>
      <c r="C143" s="53" t="n">
        <v>40</v>
      </c>
      <c r="D143" s="53" t="n">
        <v>2</v>
      </c>
      <c r="E143" s="65" t="str">
        <f aca="false">IF($H143="","",购销流水!$B40)</f>
        <v/>
      </c>
      <c r="F143" s="55" t="str">
        <f aca="false">IF($H143="","",购销流水!$C40)</f>
        <v/>
      </c>
      <c r="G143" s="48" t="str">
        <f aca="false">IF($H143="","",购销流水!$N40)</f>
        <v/>
      </c>
      <c r="H143" s="10" t="str">
        <f aca="false">IF($L143="","",IF($L143="@成本",购销流水!$U40,IF($L143="@收入",购销流水!$T40,IF($L143="@存货",购销流水!$S40,IF($L143="@结算",购销流水!$R40,$L143)))))</f>
        <v/>
      </c>
      <c r="I143" s="42" t="n">
        <f aca="false">IF($M143="借",$O143,0)</f>
        <v>0</v>
      </c>
      <c r="J143" s="42" t="n">
        <f aca="false">IF($M143="贷",$O143,0)</f>
        <v>0</v>
      </c>
      <c r="K143" s="48" t="str">
        <f aca="false">IF($H143="","",购销流水!$E40)</f>
        <v/>
      </c>
      <c r="L143" s="66" t="str">
        <f aca="false">IF(购销流水!$D40="","",IFERROR(INDEX(记账规则!$A$6:$N$9,MATCH(购销流水!$D40,记账规则!$A$6:$A$9,0),6),""))</f>
        <v/>
      </c>
      <c r="M143" s="66" t="str">
        <f aca="false">IF($L143="","",IFERROR(INDEX(记账规则!$A$6:$N$9,MATCH(购销流水!$D40,记账规则!$A$6:$A$9,0),7),""))</f>
        <v/>
      </c>
      <c r="N143" s="66" t="str">
        <f aca="false">IF($L143="","",IFERROR(INDEX(记账规则!$A$6:$N$9,MATCH(购销流水!$D40,记账规则!$A$6:$A$9,0),8),""))</f>
        <v/>
      </c>
      <c r="O143" s="67" t="n">
        <f aca="false">IF($H143="",0,ROUND(IF($N143="成本金额",N(购销流水!$W40),IF($N143="金额",N(购销流水!$Q40),0)),2))</f>
        <v>0</v>
      </c>
      <c r="P143" s="64" t="str">
        <f aca="false">IF(AND($H143&lt;&gt;"",ROUND($O143,2)&lt;&gt;0),"有","")</f>
        <v/>
      </c>
    </row>
    <row r="144" customFormat="false" ht="15" hidden="true" customHeight="false" outlineLevel="0" collapsed="false">
      <c r="A144" s="53" t="str">
        <f aca="false">IF($H144="","",ROW()-5)</f>
        <v/>
      </c>
      <c r="B144" s="64" t="s">
        <v>36</v>
      </c>
      <c r="C144" s="53" t="n">
        <v>40</v>
      </c>
      <c r="D144" s="53" t="n">
        <v>3</v>
      </c>
      <c r="E144" s="65" t="str">
        <f aca="false">IF($H144="","",购销流水!$B40)</f>
        <v/>
      </c>
      <c r="F144" s="55" t="str">
        <f aca="false">IF($H144="","",购销流水!$C40)</f>
        <v/>
      </c>
      <c r="G144" s="48" t="str">
        <f aca="false">IF($H144="","",购销流水!$N40)</f>
        <v/>
      </c>
      <c r="H144" s="10" t="str">
        <f aca="false">IF($L144="","",IF($L144="@成本",购销流水!$U40,IF($L144="@收入",购销流水!$T40,IF($L144="@存货",购销流水!$S40,IF($L144="@结算",购销流水!$R40,$L144)))))</f>
        <v/>
      </c>
      <c r="I144" s="42" t="n">
        <f aca="false">IF($M144="借",$O144,0)</f>
        <v>0</v>
      </c>
      <c r="J144" s="42" t="n">
        <f aca="false">IF($M144="贷",$O144,0)</f>
        <v>0</v>
      </c>
      <c r="K144" s="48" t="str">
        <f aca="false">IF($H144="","",购销流水!$E40)</f>
        <v/>
      </c>
      <c r="L144" s="66" t="str">
        <f aca="false">IF(购销流水!$D40="","",IFERROR(INDEX(记账规则!$A$6:$N$9,MATCH(购销流水!$D40,记账规则!$A$6:$A$9,0),9),""))</f>
        <v/>
      </c>
      <c r="M144" s="66" t="str">
        <f aca="false">IF($L144="","",IFERROR(INDEX(记账规则!$A$6:$N$9,MATCH(购销流水!$D40,记账规则!$A$6:$A$9,0),10),""))</f>
        <v/>
      </c>
      <c r="N144" s="66" t="str">
        <f aca="false">IF($L144="","",IFERROR(INDEX(记账规则!$A$6:$N$9,MATCH(购销流水!$D40,记账规则!$A$6:$A$9,0),11),""))</f>
        <v/>
      </c>
      <c r="O144" s="67" t="n">
        <f aca="false">IF($H144="",0,ROUND(IF($N144="成本金额",N(购销流水!$W40),IF($N144="金额",N(购销流水!$Q40),0)),2))</f>
        <v>0</v>
      </c>
      <c r="P144" s="64" t="str">
        <f aca="false">IF(AND($H144&lt;&gt;"",ROUND($O144,2)&lt;&gt;0),"有","")</f>
        <v/>
      </c>
    </row>
    <row r="145" customFormat="false" ht="15" hidden="true" customHeight="false" outlineLevel="0" collapsed="false">
      <c r="A145" s="53" t="str">
        <f aca="false">IF($H145="","",ROW()-5)</f>
        <v/>
      </c>
      <c r="B145" s="64" t="s">
        <v>36</v>
      </c>
      <c r="C145" s="53" t="n">
        <v>40</v>
      </c>
      <c r="D145" s="53" t="n">
        <v>4</v>
      </c>
      <c r="E145" s="65" t="str">
        <f aca="false">IF($H145="","",购销流水!$B40)</f>
        <v/>
      </c>
      <c r="F145" s="55" t="str">
        <f aca="false">IF($H145="","",购销流水!$C40)</f>
        <v/>
      </c>
      <c r="G145" s="48" t="str">
        <f aca="false">IF($H145="","",购销流水!$N40)</f>
        <v/>
      </c>
      <c r="H145" s="10" t="str">
        <f aca="false">IF($L145="","",IF($L145="@成本",购销流水!$U40,IF($L145="@收入",购销流水!$T40,IF($L145="@存货",购销流水!$S40,IF($L145="@结算",购销流水!$R40,$L145)))))</f>
        <v/>
      </c>
      <c r="I145" s="42" t="n">
        <f aca="false">IF($M145="借",$O145,0)</f>
        <v>0</v>
      </c>
      <c r="J145" s="42" t="n">
        <f aca="false">IF($M145="贷",$O145,0)</f>
        <v>0</v>
      </c>
      <c r="K145" s="48" t="str">
        <f aca="false">IF($H145="","",购销流水!$E40)</f>
        <v/>
      </c>
      <c r="L145" s="66" t="str">
        <f aca="false">IF(购销流水!$D40="","",IFERROR(INDEX(记账规则!$A$6:$N$9,MATCH(购销流水!$D40,记账规则!$A$6:$A$9,0),12),""))</f>
        <v/>
      </c>
      <c r="M145" s="66" t="str">
        <f aca="false">IF($L145="","",IFERROR(INDEX(记账规则!$A$6:$N$9,MATCH(购销流水!$D40,记账规则!$A$6:$A$9,0),13),""))</f>
        <v/>
      </c>
      <c r="N145" s="66" t="str">
        <f aca="false">IF($L145="","",IFERROR(INDEX(记账规则!$A$6:$N$9,MATCH(购销流水!$D40,记账规则!$A$6:$A$9,0),14),""))</f>
        <v/>
      </c>
      <c r="O145" s="67" t="n">
        <f aca="false">IF($H145="",0,ROUND(IF($N145="成本金额",N(购销流水!$W40),IF($N145="金额",N(购销流水!$Q40),0)),2))</f>
        <v>0</v>
      </c>
      <c r="P145" s="64" t="str">
        <f aca="false">IF(AND($H145&lt;&gt;"",ROUND($O145,2)&lt;&gt;0),"有","")</f>
        <v/>
      </c>
    </row>
    <row r="146" customFormat="false" ht="15" hidden="true" customHeight="false" outlineLevel="0" collapsed="false">
      <c r="A146" s="53" t="str">
        <f aca="false">IF($H146="","",ROW()-5)</f>
        <v/>
      </c>
      <c r="B146" s="64" t="s">
        <v>36</v>
      </c>
      <c r="C146" s="53" t="n">
        <v>41</v>
      </c>
      <c r="D146" s="53" t="n">
        <v>1</v>
      </c>
      <c r="E146" s="65" t="str">
        <f aca="false">IF($H146="","",购销流水!$B41)</f>
        <v/>
      </c>
      <c r="F146" s="55" t="str">
        <f aca="false">IF($H146="","",购销流水!$C41)</f>
        <v/>
      </c>
      <c r="G146" s="48" t="str">
        <f aca="false">IF($H146="","",购销流水!$N41)</f>
        <v/>
      </c>
      <c r="H146" s="10" t="str">
        <f aca="false">IF($L146="","",IF($L146="@成本",购销流水!$U41,IF($L146="@收入",购销流水!$T41,IF($L146="@存货",购销流水!$S41,IF($L146="@结算",购销流水!$R41,$L146)))))</f>
        <v/>
      </c>
      <c r="I146" s="42" t="n">
        <f aca="false">IF($M146="借",$O146,0)</f>
        <v>0</v>
      </c>
      <c r="J146" s="42" t="n">
        <f aca="false">IF($M146="贷",$O146,0)</f>
        <v>0</v>
      </c>
      <c r="K146" s="48" t="str">
        <f aca="false">IF($H146="","",购销流水!$E41)</f>
        <v/>
      </c>
      <c r="L146" s="66" t="str">
        <f aca="false">IF(购销流水!$D41="","",IFERROR(INDEX(记账规则!$A$6:$N$9,MATCH(购销流水!$D41,记账规则!$A$6:$A$9,0),3),""))</f>
        <v/>
      </c>
      <c r="M146" s="66" t="str">
        <f aca="false">IF($L146="","",IFERROR(INDEX(记账规则!$A$6:$N$9,MATCH(购销流水!$D41,记账规则!$A$6:$A$9,0),4),""))</f>
        <v/>
      </c>
      <c r="N146" s="66" t="str">
        <f aca="false">IF($L146="","",IFERROR(INDEX(记账规则!$A$6:$N$9,MATCH(购销流水!$D41,记账规则!$A$6:$A$9,0),5),""))</f>
        <v/>
      </c>
      <c r="O146" s="67" t="n">
        <f aca="false">IF($H146="",0,ROUND(IF($N146="成本金额",N(购销流水!$W41),IF($N146="金额",N(购销流水!$Q41),0)),2))</f>
        <v>0</v>
      </c>
      <c r="P146" s="64" t="str">
        <f aca="false">IF(AND($H146&lt;&gt;"",ROUND($O146,2)&lt;&gt;0),"有","")</f>
        <v/>
      </c>
    </row>
    <row r="147" customFormat="false" ht="15" hidden="true" customHeight="false" outlineLevel="0" collapsed="false">
      <c r="A147" s="53" t="str">
        <f aca="false">IF($H147="","",ROW()-5)</f>
        <v/>
      </c>
      <c r="B147" s="64" t="s">
        <v>36</v>
      </c>
      <c r="C147" s="53" t="n">
        <v>41</v>
      </c>
      <c r="D147" s="53" t="n">
        <v>2</v>
      </c>
      <c r="E147" s="65" t="str">
        <f aca="false">IF($H147="","",购销流水!$B41)</f>
        <v/>
      </c>
      <c r="F147" s="55" t="str">
        <f aca="false">IF($H147="","",购销流水!$C41)</f>
        <v/>
      </c>
      <c r="G147" s="48" t="str">
        <f aca="false">IF($H147="","",购销流水!$N41)</f>
        <v/>
      </c>
      <c r="H147" s="10" t="str">
        <f aca="false">IF($L147="","",IF($L147="@成本",购销流水!$U41,IF($L147="@收入",购销流水!$T41,IF($L147="@存货",购销流水!$S41,IF($L147="@结算",购销流水!$R41,$L147)))))</f>
        <v/>
      </c>
      <c r="I147" s="42" t="n">
        <f aca="false">IF($M147="借",$O147,0)</f>
        <v>0</v>
      </c>
      <c r="J147" s="42" t="n">
        <f aca="false">IF($M147="贷",$O147,0)</f>
        <v>0</v>
      </c>
      <c r="K147" s="48" t="str">
        <f aca="false">IF($H147="","",购销流水!$E41)</f>
        <v/>
      </c>
      <c r="L147" s="66" t="str">
        <f aca="false">IF(购销流水!$D41="","",IFERROR(INDEX(记账规则!$A$6:$N$9,MATCH(购销流水!$D41,记账规则!$A$6:$A$9,0),6),""))</f>
        <v/>
      </c>
      <c r="M147" s="66" t="str">
        <f aca="false">IF($L147="","",IFERROR(INDEX(记账规则!$A$6:$N$9,MATCH(购销流水!$D41,记账规则!$A$6:$A$9,0),7),""))</f>
        <v/>
      </c>
      <c r="N147" s="66" t="str">
        <f aca="false">IF($L147="","",IFERROR(INDEX(记账规则!$A$6:$N$9,MATCH(购销流水!$D41,记账规则!$A$6:$A$9,0),8),""))</f>
        <v/>
      </c>
      <c r="O147" s="67" t="n">
        <f aca="false">IF($H147="",0,ROUND(IF($N147="成本金额",N(购销流水!$W41),IF($N147="金额",N(购销流水!$Q41),0)),2))</f>
        <v>0</v>
      </c>
      <c r="P147" s="64" t="str">
        <f aca="false">IF(AND($H147&lt;&gt;"",ROUND($O147,2)&lt;&gt;0),"有","")</f>
        <v/>
      </c>
    </row>
    <row r="148" customFormat="false" ht="15" hidden="true" customHeight="false" outlineLevel="0" collapsed="false">
      <c r="A148" s="53" t="str">
        <f aca="false">IF($H148="","",ROW()-5)</f>
        <v/>
      </c>
      <c r="B148" s="64" t="s">
        <v>36</v>
      </c>
      <c r="C148" s="53" t="n">
        <v>41</v>
      </c>
      <c r="D148" s="53" t="n">
        <v>3</v>
      </c>
      <c r="E148" s="65" t="str">
        <f aca="false">IF($H148="","",购销流水!$B41)</f>
        <v/>
      </c>
      <c r="F148" s="55" t="str">
        <f aca="false">IF($H148="","",购销流水!$C41)</f>
        <v/>
      </c>
      <c r="G148" s="48" t="str">
        <f aca="false">IF($H148="","",购销流水!$N41)</f>
        <v/>
      </c>
      <c r="H148" s="10" t="str">
        <f aca="false">IF($L148="","",IF($L148="@成本",购销流水!$U41,IF($L148="@收入",购销流水!$T41,IF($L148="@存货",购销流水!$S41,IF($L148="@结算",购销流水!$R41,$L148)))))</f>
        <v/>
      </c>
      <c r="I148" s="42" t="n">
        <f aca="false">IF($M148="借",$O148,0)</f>
        <v>0</v>
      </c>
      <c r="J148" s="42" t="n">
        <f aca="false">IF($M148="贷",$O148,0)</f>
        <v>0</v>
      </c>
      <c r="K148" s="48" t="str">
        <f aca="false">IF($H148="","",购销流水!$E41)</f>
        <v/>
      </c>
      <c r="L148" s="66" t="str">
        <f aca="false">IF(购销流水!$D41="","",IFERROR(INDEX(记账规则!$A$6:$N$9,MATCH(购销流水!$D41,记账规则!$A$6:$A$9,0),9),""))</f>
        <v/>
      </c>
      <c r="M148" s="66" t="str">
        <f aca="false">IF($L148="","",IFERROR(INDEX(记账规则!$A$6:$N$9,MATCH(购销流水!$D41,记账规则!$A$6:$A$9,0),10),""))</f>
        <v/>
      </c>
      <c r="N148" s="66" t="str">
        <f aca="false">IF($L148="","",IFERROR(INDEX(记账规则!$A$6:$N$9,MATCH(购销流水!$D41,记账规则!$A$6:$A$9,0),11),""))</f>
        <v/>
      </c>
      <c r="O148" s="67" t="n">
        <f aca="false">IF($H148="",0,ROUND(IF($N148="成本金额",N(购销流水!$W41),IF($N148="金额",N(购销流水!$Q41),0)),2))</f>
        <v>0</v>
      </c>
      <c r="P148" s="64" t="str">
        <f aca="false">IF(AND($H148&lt;&gt;"",ROUND($O148,2)&lt;&gt;0),"有","")</f>
        <v/>
      </c>
    </row>
    <row r="149" customFormat="false" ht="15" hidden="true" customHeight="false" outlineLevel="0" collapsed="false">
      <c r="A149" s="53" t="str">
        <f aca="false">IF($H149="","",ROW()-5)</f>
        <v/>
      </c>
      <c r="B149" s="64" t="s">
        <v>36</v>
      </c>
      <c r="C149" s="53" t="n">
        <v>41</v>
      </c>
      <c r="D149" s="53" t="n">
        <v>4</v>
      </c>
      <c r="E149" s="65" t="str">
        <f aca="false">IF($H149="","",购销流水!$B41)</f>
        <v/>
      </c>
      <c r="F149" s="55" t="str">
        <f aca="false">IF($H149="","",购销流水!$C41)</f>
        <v/>
      </c>
      <c r="G149" s="48" t="str">
        <f aca="false">IF($H149="","",购销流水!$N41)</f>
        <v/>
      </c>
      <c r="H149" s="10" t="str">
        <f aca="false">IF($L149="","",IF($L149="@成本",购销流水!$U41,IF($L149="@收入",购销流水!$T41,IF($L149="@存货",购销流水!$S41,IF($L149="@结算",购销流水!$R41,$L149)))))</f>
        <v/>
      </c>
      <c r="I149" s="42" t="n">
        <f aca="false">IF($M149="借",$O149,0)</f>
        <v>0</v>
      </c>
      <c r="J149" s="42" t="n">
        <f aca="false">IF($M149="贷",$O149,0)</f>
        <v>0</v>
      </c>
      <c r="K149" s="48" t="str">
        <f aca="false">IF($H149="","",购销流水!$E41)</f>
        <v/>
      </c>
      <c r="L149" s="66" t="str">
        <f aca="false">IF(购销流水!$D41="","",IFERROR(INDEX(记账规则!$A$6:$N$9,MATCH(购销流水!$D41,记账规则!$A$6:$A$9,0),12),""))</f>
        <v/>
      </c>
      <c r="M149" s="66" t="str">
        <f aca="false">IF($L149="","",IFERROR(INDEX(记账规则!$A$6:$N$9,MATCH(购销流水!$D41,记账规则!$A$6:$A$9,0),13),""))</f>
        <v/>
      </c>
      <c r="N149" s="66" t="str">
        <f aca="false">IF($L149="","",IFERROR(INDEX(记账规则!$A$6:$N$9,MATCH(购销流水!$D41,记账规则!$A$6:$A$9,0),14),""))</f>
        <v/>
      </c>
      <c r="O149" s="67" t="n">
        <f aca="false">IF($H149="",0,ROUND(IF($N149="成本金额",N(购销流水!$W41),IF($N149="金额",N(购销流水!$Q41),0)),2))</f>
        <v>0</v>
      </c>
      <c r="P149" s="64" t="str">
        <f aca="false">IF(AND($H149&lt;&gt;"",ROUND($O149,2)&lt;&gt;0),"有","")</f>
        <v/>
      </c>
    </row>
    <row r="150" customFormat="false" ht="15" hidden="true" customHeight="false" outlineLevel="0" collapsed="false">
      <c r="A150" s="53" t="str">
        <f aca="false">IF($H150="","",ROW()-5)</f>
        <v/>
      </c>
      <c r="B150" s="64" t="s">
        <v>36</v>
      </c>
      <c r="C150" s="53" t="n">
        <v>42</v>
      </c>
      <c r="D150" s="53" t="n">
        <v>1</v>
      </c>
      <c r="E150" s="65" t="str">
        <f aca="false">IF($H150="","",购销流水!$B42)</f>
        <v/>
      </c>
      <c r="F150" s="55" t="str">
        <f aca="false">IF($H150="","",购销流水!$C42)</f>
        <v/>
      </c>
      <c r="G150" s="48" t="str">
        <f aca="false">IF($H150="","",购销流水!$N42)</f>
        <v/>
      </c>
      <c r="H150" s="10" t="str">
        <f aca="false">IF($L150="","",IF($L150="@成本",购销流水!$U42,IF($L150="@收入",购销流水!$T42,IF($L150="@存货",购销流水!$S42,IF($L150="@结算",购销流水!$R42,$L150)))))</f>
        <v/>
      </c>
      <c r="I150" s="42" t="n">
        <f aca="false">IF($M150="借",$O150,0)</f>
        <v>0</v>
      </c>
      <c r="J150" s="42" t="n">
        <f aca="false">IF($M150="贷",$O150,0)</f>
        <v>0</v>
      </c>
      <c r="K150" s="48" t="str">
        <f aca="false">IF($H150="","",购销流水!$E42)</f>
        <v/>
      </c>
      <c r="L150" s="66" t="str">
        <f aca="false">IF(购销流水!$D42="","",IFERROR(INDEX(记账规则!$A$6:$N$9,MATCH(购销流水!$D42,记账规则!$A$6:$A$9,0),3),""))</f>
        <v/>
      </c>
      <c r="M150" s="66" t="str">
        <f aca="false">IF($L150="","",IFERROR(INDEX(记账规则!$A$6:$N$9,MATCH(购销流水!$D42,记账规则!$A$6:$A$9,0),4),""))</f>
        <v/>
      </c>
      <c r="N150" s="66" t="str">
        <f aca="false">IF($L150="","",IFERROR(INDEX(记账规则!$A$6:$N$9,MATCH(购销流水!$D42,记账规则!$A$6:$A$9,0),5),""))</f>
        <v/>
      </c>
      <c r="O150" s="67" t="n">
        <f aca="false">IF($H150="",0,ROUND(IF($N150="成本金额",N(购销流水!$W42),IF($N150="金额",N(购销流水!$Q42),0)),2))</f>
        <v>0</v>
      </c>
      <c r="P150" s="64" t="str">
        <f aca="false">IF(AND($H150&lt;&gt;"",ROUND($O150,2)&lt;&gt;0),"有","")</f>
        <v/>
      </c>
    </row>
    <row r="151" customFormat="false" ht="15" hidden="true" customHeight="false" outlineLevel="0" collapsed="false">
      <c r="A151" s="53" t="str">
        <f aca="false">IF($H151="","",ROW()-5)</f>
        <v/>
      </c>
      <c r="B151" s="64" t="s">
        <v>36</v>
      </c>
      <c r="C151" s="53" t="n">
        <v>42</v>
      </c>
      <c r="D151" s="53" t="n">
        <v>2</v>
      </c>
      <c r="E151" s="65" t="str">
        <f aca="false">IF($H151="","",购销流水!$B42)</f>
        <v/>
      </c>
      <c r="F151" s="55" t="str">
        <f aca="false">IF($H151="","",购销流水!$C42)</f>
        <v/>
      </c>
      <c r="G151" s="48" t="str">
        <f aca="false">IF($H151="","",购销流水!$N42)</f>
        <v/>
      </c>
      <c r="H151" s="10" t="str">
        <f aca="false">IF($L151="","",IF($L151="@成本",购销流水!$U42,IF($L151="@收入",购销流水!$T42,IF($L151="@存货",购销流水!$S42,IF($L151="@结算",购销流水!$R42,$L151)))))</f>
        <v/>
      </c>
      <c r="I151" s="42" t="n">
        <f aca="false">IF($M151="借",$O151,0)</f>
        <v>0</v>
      </c>
      <c r="J151" s="42" t="n">
        <f aca="false">IF($M151="贷",$O151,0)</f>
        <v>0</v>
      </c>
      <c r="K151" s="48" t="str">
        <f aca="false">IF($H151="","",购销流水!$E42)</f>
        <v/>
      </c>
      <c r="L151" s="66" t="str">
        <f aca="false">IF(购销流水!$D42="","",IFERROR(INDEX(记账规则!$A$6:$N$9,MATCH(购销流水!$D42,记账规则!$A$6:$A$9,0),6),""))</f>
        <v/>
      </c>
      <c r="M151" s="66" t="str">
        <f aca="false">IF($L151="","",IFERROR(INDEX(记账规则!$A$6:$N$9,MATCH(购销流水!$D42,记账规则!$A$6:$A$9,0),7),""))</f>
        <v/>
      </c>
      <c r="N151" s="66" t="str">
        <f aca="false">IF($L151="","",IFERROR(INDEX(记账规则!$A$6:$N$9,MATCH(购销流水!$D42,记账规则!$A$6:$A$9,0),8),""))</f>
        <v/>
      </c>
      <c r="O151" s="67" t="n">
        <f aca="false">IF($H151="",0,ROUND(IF($N151="成本金额",N(购销流水!$W42),IF($N151="金额",N(购销流水!$Q42),0)),2))</f>
        <v>0</v>
      </c>
      <c r="P151" s="64" t="str">
        <f aca="false">IF(AND($H151&lt;&gt;"",ROUND($O151,2)&lt;&gt;0),"有","")</f>
        <v/>
      </c>
    </row>
    <row r="152" customFormat="false" ht="15" hidden="true" customHeight="false" outlineLevel="0" collapsed="false">
      <c r="A152" s="53" t="str">
        <f aca="false">IF($H152="","",ROW()-5)</f>
        <v/>
      </c>
      <c r="B152" s="64" t="s">
        <v>36</v>
      </c>
      <c r="C152" s="53" t="n">
        <v>42</v>
      </c>
      <c r="D152" s="53" t="n">
        <v>3</v>
      </c>
      <c r="E152" s="65" t="str">
        <f aca="false">IF($H152="","",购销流水!$B42)</f>
        <v/>
      </c>
      <c r="F152" s="55" t="str">
        <f aca="false">IF($H152="","",购销流水!$C42)</f>
        <v/>
      </c>
      <c r="G152" s="48" t="str">
        <f aca="false">IF($H152="","",购销流水!$N42)</f>
        <v/>
      </c>
      <c r="H152" s="10" t="str">
        <f aca="false">IF($L152="","",IF($L152="@成本",购销流水!$U42,IF($L152="@收入",购销流水!$T42,IF($L152="@存货",购销流水!$S42,IF($L152="@结算",购销流水!$R42,$L152)))))</f>
        <v/>
      </c>
      <c r="I152" s="42" t="n">
        <f aca="false">IF($M152="借",$O152,0)</f>
        <v>0</v>
      </c>
      <c r="J152" s="42" t="n">
        <f aca="false">IF($M152="贷",$O152,0)</f>
        <v>0</v>
      </c>
      <c r="K152" s="48" t="str">
        <f aca="false">IF($H152="","",购销流水!$E42)</f>
        <v/>
      </c>
      <c r="L152" s="66" t="str">
        <f aca="false">IF(购销流水!$D42="","",IFERROR(INDEX(记账规则!$A$6:$N$9,MATCH(购销流水!$D42,记账规则!$A$6:$A$9,0),9),""))</f>
        <v/>
      </c>
      <c r="M152" s="66" t="str">
        <f aca="false">IF($L152="","",IFERROR(INDEX(记账规则!$A$6:$N$9,MATCH(购销流水!$D42,记账规则!$A$6:$A$9,0),10),""))</f>
        <v/>
      </c>
      <c r="N152" s="66" t="str">
        <f aca="false">IF($L152="","",IFERROR(INDEX(记账规则!$A$6:$N$9,MATCH(购销流水!$D42,记账规则!$A$6:$A$9,0),11),""))</f>
        <v/>
      </c>
      <c r="O152" s="67" t="n">
        <f aca="false">IF($H152="",0,ROUND(IF($N152="成本金额",N(购销流水!$W42),IF($N152="金额",N(购销流水!$Q42),0)),2))</f>
        <v>0</v>
      </c>
      <c r="P152" s="64" t="str">
        <f aca="false">IF(AND($H152&lt;&gt;"",ROUND($O152,2)&lt;&gt;0),"有","")</f>
        <v/>
      </c>
    </row>
    <row r="153" customFormat="false" ht="15" hidden="true" customHeight="false" outlineLevel="0" collapsed="false">
      <c r="A153" s="53" t="str">
        <f aca="false">IF($H153="","",ROW()-5)</f>
        <v/>
      </c>
      <c r="B153" s="64" t="s">
        <v>36</v>
      </c>
      <c r="C153" s="53" t="n">
        <v>42</v>
      </c>
      <c r="D153" s="53" t="n">
        <v>4</v>
      </c>
      <c r="E153" s="65" t="str">
        <f aca="false">IF($H153="","",购销流水!$B42)</f>
        <v/>
      </c>
      <c r="F153" s="55" t="str">
        <f aca="false">IF($H153="","",购销流水!$C42)</f>
        <v/>
      </c>
      <c r="G153" s="48" t="str">
        <f aca="false">IF($H153="","",购销流水!$N42)</f>
        <v/>
      </c>
      <c r="H153" s="10" t="str">
        <f aca="false">IF($L153="","",IF($L153="@成本",购销流水!$U42,IF($L153="@收入",购销流水!$T42,IF($L153="@存货",购销流水!$S42,IF($L153="@结算",购销流水!$R42,$L153)))))</f>
        <v/>
      </c>
      <c r="I153" s="42" t="n">
        <f aca="false">IF($M153="借",$O153,0)</f>
        <v>0</v>
      </c>
      <c r="J153" s="42" t="n">
        <f aca="false">IF($M153="贷",$O153,0)</f>
        <v>0</v>
      </c>
      <c r="K153" s="48" t="str">
        <f aca="false">IF($H153="","",购销流水!$E42)</f>
        <v/>
      </c>
      <c r="L153" s="66" t="str">
        <f aca="false">IF(购销流水!$D42="","",IFERROR(INDEX(记账规则!$A$6:$N$9,MATCH(购销流水!$D42,记账规则!$A$6:$A$9,0),12),""))</f>
        <v/>
      </c>
      <c r="M153" s="66" t="str">
        <f aca="false">IF($L153="","",IFERROR(INDEX(记账规则!$A$6:$N$9,MATCH(购销流水!$D42,记账规则!$A$6:$A$9,0),13),""))</f>
        <v/>
      </c>
      <c r="N153" s="66" t="str">
        <f aca="false">IF($L153="","",IFERROR(INDEX(记账规则!$A$6:$N$9,MATCH(购销流水!$D42,记账规则!$A$6:$A$9,0),14),""))</f>
        <v/>
      </c>
      <c r="O153" s="67" t="n">
        <f aca="false">IF($H153="",0,ROUND(IF($N153="成本金额",N(购销流水!$W42),IF($N153="金额",N(购销流水!$Q42),0)),2))</f>
        <v>0</v>
      </c>
      <c r="P153" s="64" t="str">
        <f aca="false">IF(AND($H153&lt;&gt;"",ROUND($O153,2)&lt;&gt;0),"有","")</f>
        <v/>
      </c>
    </row>
    <row r="154" customFormat="false" ht="15" hidden="true" customHeight="false" outlineLevel="0" collapsed="false">
      <c r="A154" s="53" t="str">
        <f aca="false">IF($H154="","",ROW()-5)</f>
        <v/>
      </c>
      <c r="B154" s="64" t="s">
        <v>36</v>
      </c>
      <c r="C154" s="53" t="n">
        <v>43</v>
      </c>
      <c r="D154" s="53" t="n">
        <v>1</v>
      </c>
      <c r="E154" s="65" t="str">
        <f aca="false">IF($H154="","",购销流水!$B43)</f>
        <v/>
      </c>
      <c r="F154" s="55" t="str">
        <f aca="false">IF($H154="","",购销流水!$C43)</f>
        <v/>
      </c>
      <c r="G154" s="48" t="str">
        <f aca="false">IF($H154="","",购销流水!$N43)</f>
        <v/>
      </c>
      <c r="H154" s="10" t="str">
        <f aca="false">IF($L154="","",IF($L154="@成本",购销流水!$U43,IF($L154="@收入",购销流水!$T43,IF($L154="@存货",购销流水!$S43,IF($L154="@结算",购销流水!$R43,$L154)))))</f>
        <v/>
      </c>
      <c r="I154" s="42" t="n">
        <f aca="false">IF($M154="借",$O154,0)</f>
        <v>0</v>
      </c>
      <c r="J154" s="42" t="n">
        <f aca="false">IF($M154="贷",$O154,0)</f>
        <v>0</v>
      </c>
      <c r="K154" s="48" t="str">
        <f aca="false">IF($H154="","",购销流水!$E43)</f>
        <v/>
      </c>
      <c r="L154" s="66" t="str">
        <f aca="false">IF(购销流水!$D43="","",IFERROR(INDEX(记账规则!$A$6:$N$9,MATCH(购销流水!$D43,记账规则!$A$6:$A$9,0),3),""))</f>
        <v/>
      </c>
      <c r="M154" s="66" t="str">
        <f aca="false">IF($L154="","",IFERROR(INDEX(记账规则!$A$6:$N$9,MATCH(购销流水!$D43,记账规则!$A$6:$A$9,0),4),""))</f>
        <v/>
      </c>
      <c r="N154" s="66" t="str">
        <f aca="false">IF($L154="","",IFERROR(INDEX(记账规则!$A$6:$N$9,MATCH(购销流水!$D43,记账规则!$A$6:$A$9,0),5),""))</f>
        <v/>
      </c>
      <c r="O154" s="67" t="n">
        <f aca="false">IF($H154="",0,ROUND(IF($N154="成本金额",N(购销流水!$W43),IF($N154="金额",N(购销流水!$Q43),0)),2))</f>
        <v>0</v>
      </c>
      <c r="P154" s="64" t="str">
        <f aca="false">IF(AND($H154&lt;&gt;"",ROUND($O154,2)&lt;&gt;0),"有","")</f>
        <v/>
      </c>
    </row>
    <row r="155" customFormat="false" ht="15" hidden="true" customHeight="false" outlineLevel="0" collapsed="false">
      <c r="A155" s="53" t="str">
        <f aca="false">IF($H155="","",ROW()-5)</f>
        <v/>
      </c>
      <c r="B155" s="64" t="s">
        <v>36</v>
      </c>
      <c r="C155" s="53" t="n">
        <v>43</v>
      </c>
      <c r="D155" s="53" t="n">
        <v>2</v>
      </c>
      <c r="E155" s="65" t="str">
        <f aca="false">IF($H155="","",购销流水!$B43)</f>
        <v/>
      </c>
      <c r="F155" s="55" t="str">
        <f aca="false">IF($H155="","",购销流水!$C43)</f>
        <v/>
      </c>
      <c r="G155" s="48" t="str">
        <f aca="false">IF($H155="","",购销流水!$N43)</f>
        <v/>
      </c>
      <c r="H155" s="10" t="str">
        <f aca="false">IF($L155="","",IF($L155="@成本",购销流水!$U43,IF($L155="@收入",购销流水!$T43,IF($L155="@存货",购销流水!$S43,IF($L155="@结算",购销流水!$R43,$L155)))))</f>
        <v/>
      </c>
      <c r="I155" s="42" t="n">
        <f aca="false">IF($M155="借",$O155,0)</f>
        <v>0</v>
      </c>
      <c r="J155" s="42" t="n">
        <f aca="false">IF($M155="贷",$O155,0)</f>
        <v>0</v>
      </c>
      <c r="K155" s="48" t="str">
        <f aca="false">IF($H155="","",购销流水!$E43)</f>
        <v/>
      </c>
      <c r="L155" s="66" t="str">
        <f aca="false">IF(购销流水!$D43="","",IFERROR(INDEX(记账规则!$A$6:$N$9,MATCH(购销流水!$D43,记账规则!$A$6:$A$9,0),6),""))</f>
        <v/>
      </c>
      <c r="M155" s="66" t="str">
        <f aca="false">IF($L155="","",IFERROR(INDEX(记账规则!$A$6:$N$9,MATCH(购销流水!$D43,记账规则!$A$6:$A$9,0),7),""))</f>
        <v/>
      </c>
      <c r="N155" s="66" t="str">
        <f aca="false">IF($L155="","",IFERROR(INDEX(记账规则!$A$6:$N$9,MATCH(购销流水!$D43,记账规则!$A$6:$A$9,0),8),""))</f>
        <v/>
      </c>
      <c r="O155" s="67" t="n">
        <f aca="false">IF($H155="",0,ROUND(IF($N155="成本金额",N(购销流水!$W43),IF($N155="金额",N(购销流水!$Q43),0)),2))</f>
        <v>0</v>
      </c>
      <c r="P155" s="64" t="str">
        <f aca="false">IF(AND($H155&lt;&gt;"",ROUND($O155,2)&lt;&gt;0),"有","")</f>
        <v/>
      </c>
    </row>
    <row r="156" customFormat="false" ht="15" hidden="true" customHeight="false" outlineLevel="0" collapsed="false">
      <c r="A156" s="53" t="str">
        <f aca="false">IF($H156="","",ROW()-5)</f>
        <v/>
      </c>
      <c r="B156" s="64" t="s">
        <v>36</v>
      </c>
      <c r="C156" s="53" t="n">
        <v>43</v>
      </c>
      <c r="D156" s="53" t="n">
        <v>3</v>
      </c>
      <c r="E156" s="65" t="str">
        <f aca="false">IF($H156="","",购销流水!$B43)</f>
        <v/>
      </c>
      <c r="F156" s="55" t="str">
        <f aca="false">IF($H156="","",购销流水!$C43)</f>
        <v/>
      </c>
      <c r="G156" s="48" t="str">
        <f aca="false">IF($H156="","",购销流水!$N43)</f>
        <v/>
      </c>
      <c r="H156" s="10" t="str">
        <f aca="false">IF($L156="","",IF($L156="@成本",购销流水!$U43,IF($L156="@收入",购销流水!$T43,IF($L156="@存货",购销流水!$S43,IF($L156="@结算",购销流水!$R43,$L156)))))</f>
        <v/>
      </c>
      <c r="I156" s="42" t="n">
        <f aca="false">IF($M156="借",$O156,0)</f>
        <v>0</v>
      </c>
      <c r="J156" s="42" t="n">
        <f aca="false">IF($M156="贷",$O156,0)</f>
        <v>0</v>
      </c>
      <c r="K156" s="48" t="str">
        <f aca="false">IF($H156="","",购销流水!$E43)</f>
        <v/>
      </c>
      <c r="L156" s="66" t="str">
        <f aca="false">IF(购销流水!$D43="","",IFERROR(INDEX(记账规则!$A$6:$N$9,MATCH(购销流水!$D43,记账规则!$A$6:$A$9,0),9),""))</f>
        <v/>
      </c>
      <c r="M156" s="66" t="str">
        <f aca="false">IF($L156="","",IFERROR(INDEX(记账规则!$A$6:$N$9,MATCH(购销流水!$D43,记账规则!$A$6:$A$9,0),10),""))</f>
        <v/>
      </c>
      <c r="N156" s="66" t="str">
        <f aca="false">IF($L156="","",IFERROR(INDEX(记账规则!$A$6:$N$9,MATCH(购销流水!$D43,记账规则!$A$6:$A$9,0),11),""))</f>
        <v/>
      </c>
      <c r="O156" s="67" t="n">
        <f aca="false">IF($H156="",0,ROUND(IF($N156="成本金额",N(购销流水!$W43),IF($N156="金额",N(购销流水!$Q43),0)),2))</f>
        <v>0</v>
      </c>
      <c r="P156" s="64" t="str">
        <f aca="false">IF(AND($H156&lt;&gt;"",ROUND($O156,2)&lt;&gt;0),"有","")</f>
        <v/>
      </c>
    </row>
    <row r="157" customFormat="false" ht="15" hidden="true" customHeight="false" outlineLevel="0" collapsed="false">
      <c r="A157" s="53" t="str">
        <f aca="false">IF($H157="","",ROW()-5)</f>
        <v/>
      </c>
      <c r="B157" s="64" t="s">
        <v>36</v>
      </c>
      <c r="C157" s="53" t="n">
        <v>43</v>
      </c>
      <c r="D157" s="53" t="n">
        <v>4</v>
      </c>
      <c r="E157" s="65" t="str">
        <f aca="false">IF($H157="","",购销流水!$B43)</f>
        <v/>
      </c>
      <c r="F157" s="55" t="str">
        <f aca="false">IF($H157="","",购销流水!$C43)</f>
        <v/>
      </c>
      <c r="G157" s="48" t="str">
        <f aca="false">IF($H157="","",购销流水!$N43)</f>
        <v/>
      </c>
      <c r="H157" s="10" t="str">
        <f aca="false">IF($L157="","",IF($L157="@成本",购销流水!$U43,IF($L157="@收入",购销流水!$T43,IF($L157="@存货",购销流水!$S43,IF($L157="@结算",购销流水!$R43,$L157)))))</f>
        <v/>
      </c>
      <c r="I157" s="42" t="n">
        <f aca="false">IF($M157="借",$O157,0)</f>
        <v>0</v>
      </c>
      <c r="J157" s="42" t="n">
        <f aca="false">IF($M157="贷",$O157,0)</f>
        <v>0</v>
      </c>
      <c r="K157" s="48" t="str">
        <f aca="false">IF($H157="","",购销流水!$E43)</f>
        <v/>
      </c>
      <c r="L157" s="66" t="str">
        <f aca="false">IF(购销流水!$D43="","",IFERROR(INDEX(记账规则!$A$6:$N$9,MATCH(购销流水!$D43,记账规则!$A$6:$A$9,0),12),""))</f>
        <v/>
      </c>
      <c r="M157" s="66" t="str">
        <f aca="false">IF($L157="","",IFERROR(INDEX(记账规则!$A$6:$N$9,MATCH(购销流水!$D43,记账规则!$A$6:$A$9,0),13),""))</f>
        <v/>
      </c>
      <c r="N157" s="66" t="str">
        <f aca="false">IF($L157="","",IFERROR(INDEX(记账规则!$A$6:$N$9,MATCH(购销流水!$D43,记账规则!$A$6:$A$9,0),14),""))</f>
        <v/>
      </c>
      <c r="O157" s="67" t="n">
        <f aca="false">IF($H157="",0,ROUND(IF($N157="成本金额",N(购销流水!$W43),IF($N157="金额",N(购销流水!$Q43),0)),2))</f>
        <v>0</v>
      </c>
      <c r="P157" s="64" t="str">
        <f aca="false">IF(AND($H157&lt;&gt;"",ROUND($O157,2)&lt;&gt;0),"有","")</f>
        <v/>
      </c>
    </row>
    <row r="158" customFormat="false" ht="15" hidden="true" customHeight="false" outlineLevel="0" collapsed="false">
      <c r="A158" s="53" t="str">
        <f aca="false">IF($H158="","",ROW()-5)</f>
        <v/>
      </c>
      <c r="B158" s="64" t="s">
        <v>36</v>
      </c>
      <c r="C158" s="53" t="n">
        <v>44</v>
      </c>
      <c r="D158" s="53" t="n">
        <v>1</v>
      </c>
      <c r="E158" s="65" t="str">
        <f aca="false">IF($H158="","",购销流水!$B44)</f>
        <v/>
      </c>
      <c r="F158" s="55" t="str">
        <f aca="false">IF($H158="","",购销流水!$C44)</f>
        <v/>
      </c>
      <c r="G158" s="48" t="str">
        <f aca="false">IF($H158="","",购销流水!$N44)</f>
        <v/>
      </c>
      <c r="H158" s="10" t="str">
        <f aca="false">IF($L158="","",IF($L158="@成本",购销流水!$U44,IF($L158="@收入",购销流水!$T44,IF($L158="@存货",购销流水!$S44,IF($L158="@结算",购销流水!$R44,$L158)))))</f>
        <v/>
      </c>
      <c r="I158" s="42" t="n">
        <f aca="false">IF($M158="借",$O158,0)</f>
        <v>0</v>
      </c>
      <c r="J158" s="42" t="n">
        <f aca="false">IF($M158="贷",$O158,0)</f>
        <v>0</v>
      </c>
      <c r="K158" s="48" t="str">
        <f aca="false">IF($H158="","",购销流水!$E44)</f>
        <v/>
      </c>
      <c r="L158" s="66" t="str">
        <f aca="false">IF(购销流水!$D44="","",IFERROR(INDEX(记账规则!$A$6:$N$9,MATCH(购销流水!$D44,记账规则!$A$6:$A$9,0),3),""))</f>
        <v/>
      </c>
      <c r="M158" s="66" t="str">
        <f aca="false">IF($L158="","",IFERROR(INDEX(记账规则!$A$6:$N$9,MATCH(购销流水!$D44,记账规则!$A$6:$A$9,0),4),""))</f>
        <v/>
      </c>
      <c r="N158" s="66" t="str">
        <f aca="false">IF($L158="","",IFERROR(INDEX(记账规则!$A$6:$N$9,MATCH(购销流水!$D44,记账规则!$A$6:$A$9,0),5),""))</f>
        <v/>
      </c>
      <c r="O158" s="67" t="n">
        <f aca="false">IF($H158="",0,ROUND(IF($N158="成本金额",N(购销流水!$W44),IF($N158="金额",N(购销流水!$Q44),0)),2))</f>
        <v>0</v>
      </c>
      <c r="P158" s="64" t="str">
        <f aca="false">IF(AND($H158&lt;&gt;"",ROUND($O158,2)&lt;&gt;0),"有","")</f>
        <v/>
      </c>
    </row>
    <row r="159" customFormat="false" ht="15" hidden="true" customHeight="false" outlineLevel="0" collapsed="false">
      <c r="A159" s="53" t="str">
        <f aca="false">IF($H159="","",ROW()-5)</f>
        <v/>
      </c>
      <c r="B159" s="64" t="s">
        <v>36</v>
      </c>
      <c r="C159" s="53" t="n">
        <v>44</v>
      </c>
      <c r="D159" s="53" t="n">
        <v>2</v>
      </c>
      <c r="E159" s="65" t="str">
        <f aca="false">IF($H159="","",购销流水!$B44)</f>
        <v/>
      </c>
      <c r="F159" s="55" t="str">
        <f aca="false">IF($H159="","",购销流水!$C44)</f>
        <v/>
      </c>
      <c r="G159" s="48" t="str">
        <f aca="false">IF($H159="","",购销流水!$N44)</f>
        <v/>
      </c>
      <c r="H159" s="10" t="str">
        <f aca="false">IF($L159="","",IF($L159="@成本",购销流水!$U44,IF($L159="@收入",购销流水!$T44,IF($L159="@存货",购销流水!$S44,IF($L159="@结算",购销流水!$R44,$L159)))))</f>
        <v/>
      </c>
      <c r="I159" s="42" t="n">
        <f aca="false">IF($M159="借",$O159,0)</f>
        <v>0</v>
      </c>
      <c r="J159" s="42" t="n">
        <f aca="false">IF($M159="贷",$O159,0)</f>
        <v>0</v>
      </c>
      <c r="K159" s="48" t="str">
        <f aca="false">IF($H159="","",购销流水!$E44)</f>
        <v/>
      </c>
      <c r="L159" s="66" t="str">
        <f aca="false">IF(购销流水!$D44="","",IFERROR(INDEX(记账规则!$A$6:$N$9,MATCH(购销流水!$D44,记账规则!$A$6:$A$9,0),6),""))</f>
        <v/>
      </c>
      <c r="M159" s="66" t="str">
        <f aca="false">IF($L159="","",IFERROR(INDEX(记账规则!$A$6:$N$9,MATCH(购销流水!$D44,记账规则!$A$6:$A$9,0),7),""))</f>
        <v/>
      </c>
      <c r="N159" s="66" t="str">
        <f aca="false">IF($L159="","",IFERROR(INDEX(记账规则!$A$6:$N$9,MATCH(购销流水!$D44,记账规则!$A$6:$A$9,0),8),""))</f>
        <v/>
      </c>
      <c r="O159" s="67" t="n">
        <f aca="false">IF($H159="",0,ROUND(IF($N159="成本金额",N(购销流水!$W44),IF($N159="金额",N(购销流水!$Q44),0)),2))</f>
        <v>0</v>
      </c>
      <c r="P159" s="64" t="str">
        <f aca="false">IF(AND($H159&lt;&gt;"",ROUND($O159,2)&lt;&gt;0),"有","")</f>
        <v/>
      </c>
    </row>
    <row r="160" customFormat="false" ht="15" hidden="true" customHeight="false" outlineLevel="0" collapsed="false">
      <c r="A160" s="53" t="str">
        <f aca="false">IF($H160="","",ROW()-5)</f>
        <v/>
      </c>
      <c r="B160" s="64" t="s">
        <v>36</v>
      </c>
      <c r="C160" s="53" t="n">
        <v>44</v>
      </c>
      <c r="D160" s="53" t="n">
        <v>3</v>
      </c>
      <c r="E160" s="65" t="str">
        <f aca="false">IF($H160="","",购销流水!$B44)</f>
        <v/>
      </c>
      <c r="F160" s="55" t="str">
        <f aca="false">IF($H160="","",购销流水!$C44)</f>
        <v/>
      </c>
      <c r="G160" s="48" t="str">
        <f aca="false">IF($H160="","",购销流水!$N44)</f>
        <v/>
      </c>
      <c r="H160" s="10" t="str">
        <f aca="false">IF($L160="","",IF($L160="@成本",购销流水!$U44,IF($L160="@收入",购销流水!$T44,IF($L160="@存货",购销流水!$S44,IF($L160="@结算",购销流水!$R44,$L160)))))</f>
        <v/>
      </c>
      <c r="I160" s="42" t="n">
        <f aca="false">IF($M160="借",$O160,0)</f>
        <v>0</v>
      </c>
      <c r="J160" s="42" t="n">
        <f aca="false">IF($M160="贷",$O160,0)</f>
        <v>0</v>
      </c>
      <c r="K160" s="48" t="str">
        <f aca="false">IF($H160="","",购销流水!$E44)</f>
        <v/>
      </c>
      <c r="L160" s="66" t="str">
        <f aca="false">IF(购销流水!$D44="","",IFERROR(INDEX(记账规则!$A$6:$N$9,MATCH(购销流水!$D44,记账规则!$A$6:$A$9,0),9),""))</f>
        <v/>
      </c>
      <c r="M160" s="66" t="str">
        <f aca="false">IF($L160="","",IFERROR(INDEX(记账规则!$A$6:$N$9,MATCH(购销流水!$D44,记账规则!$A$6:$A$9,0),10),""))</f>
        <v/>
      </c>
      <c r="N160" s="66" t="str">
        <f aca="false">IF($L160="","",IFERROR(INDEX(记账规则!$A$6:$N$9,MATCH(购销流水!$D44,记账规则!$A$6:$A$9,0),11),""))</f>
        <v/>
      </c>
      <c r="O160" s="67" t="n">
        <f aca="false">IF($H160="",0,ROUND(IF($N160="成本金额",N(购销流水!$W44),IF($N160="金额",N(购销流水!$Q44),0)),2))</f>
        <v>0</v>
      </c>
      <c r="P160" s="64" t="str">
        <f aca="false">IF(AND($H160&lt;&gt;"",ROUND($O160,2)&lt;&gt;0),"有","")</f>
        <v/>
      </c>
    </row>
    <row r="161" customFormat="false" ht="15" hidden="true" customHeight="false" outlineLevel="0" collapsed="false">
      <c r="A161" s="53" t="str">
        <f aca="false">IF($H161="","",ROW()-5)</f>
        <v/>
      </c>
      <c r="B161" s="64" t="s">
        <v>36</v>
      </c>
      <c r="C161" s="53" t="n">
        <v>44</v>
      </c>
      <c r="D161" s="53" t="n">
        <v>4</v>
      </c>
      <c r="E161" s="65" t="str">
        <f aca="false">IF($H161="","",购销流水!$B44)</f>
        <v/>
      </c>
      <c r="F161" s="55" t="str">
        <f aca="false">IF($H161="","",购销流水!$C44)</f>
        <v/>
      </c>
      <c r="G161" s="48" t="str">
        <f aca="false">IF($H161="","",购销流水!$N44)</f>
        <v/>
      </c>
      <c r="H161" s="10" t="str">
        <f aca="false">IF($L161="","",IF($L161="@成本",购销流水!$U44,IF($L161="@收入",购销流水!$T44,IF($L161="@存货",购销流水!$S44,IF($L161="@结算",购销流水!$R44,$L161)))))</f>
        <v/>
      </c>
      <c r="I161" s="42" t="n">
        <f aca="false">IF($M161="借",$O161,0)</f>
        <v>0</v>
      </c>
      <c r="J161" s="42" t="n">
        <f aca="false">IF($M161="贷",$O161,0)</f>
        <v>0</v>
      </c>
      <c r="K161" s="48" t="str">
        <f aca="false">IF($H161="","",购销流水!$E44)</f>
        <v/>
      </c>
      <c r="L161" s="66" t="str">
        <f aca="false">IF(购销流水!$D44="","",IFERROR(INDEX(记账规则!$A$6:$N$9,MATCH(购销流水!$D44,记账规则!$A$6:$A$9,0),12),""))</f>
        <v/>
      </c>
      <c r="M161" s="66" t="str">
        <f aca="false">IF($L161="","",IFERROR(INDEX(记账规则!$A$6:$N$9,MATCH(购销流水!$D44,记账规则!$A$6:$A$9,0),13),""))</f>
        <v/>
      </c>
      <c r="N161" s="66" t="str">
        <f aca="false">IF($L161="","",IFERROR(INDEX(记账规则!$A$6:$N$9,MATCH(购销流水!$D44,记账规则!$A$6:$A$9,0),14),""))</f>
        <v/>
      </c>
      <c r="O161" s="67" t="n">
        <f aca="false">IF($H161="",0,ROUND(IF($N161="成本金额",N(购销流水!$W44),IF($N161="金额",N(购销流水!$Q44),0)),2))</f>
        <v>0</v>
      </c>
      <c r="P161" s="64" t="str">
        <f aca="false">IF(AND($H161&lt;&gt;"",ROUND($O161,2)&lt;&gt;0),"有","")</f>
        <v/>
      </c>
    </row>
    <row r="162" customFormat="false" ht="15" hidden="true" customHeight="false" outlineLevel="0" collapsed="false">
      <c r="A162" s="53" t="str">
        <f aca="false">IF($H162="","",ROW()-5)</f>
        <v/>
      </c>
      <c r="B162" s="64" t="s">
        <v>36</v>
      </c>
      <c r="C162" s="53" t="n">
        <v>45</v>
      </c>
      <c r="D162" s="53" t="n">
        <v>1</v>
      </c>
      <c r="E162" s="65" t="str">
        <f aca="false">IF($H162="","",购销流水!$B45)</f>
        <v/>
      </c>
      <c r="F162" s="55" t="str">
        <f aca="false">IF($H162="","",购销流水!$C45)</f>
        <v/>
      </c>
      <c r="G162" s="48" t="str">
        <f aca="false">IF($H162="","",购销流水!$N45)</f>
        <v/>
      </c>
      <c r="H162" s="10" t="str">
        <f aca="false">IF($L162="","",IF($L162="@成本",购销流水!$U45,IF($L162="@收入",购销流水!$T45,IF($L162="@存货",购销流水!$S45,IF($L162="@结算",购销流水!$R45,$L162)))))</f>
        <v/>
      </c>
      <c r="I162" s="42" t="n">
        <f aca="false">IF($M162="借",$O162,0)</f>
        <v>0</v>
      </c>
      <c r="J162" s="42" t="n">
        <f aca="false">IF($M162="贷",$O162,0)</f>
        <v>0</v>
      </c>
      <c r="K162" s="48" t="str">
        <f aca="false">IF($H162="","",购销流水!$E45)</f>
        <v/>
      </c>
      <c r="L162" s="66" t="str">
        <f aca="false">IF(购销流水!$D45="","",IFERROR(INDEX(记账规则!$A$6:$N$9,MATCH(购销流水!$D45,记账规则!$A$6:$A$9,0),3),""))</f>
        <v/>
      </c>
      <c r="M162" s="66" t="str">
        <f aca="false">IF($L162="","",IFERROR(INDEX(记账规则!$A$6:$N$9,MATCH(购销流水!$D45,记账规则!$A$6:$A$9,0),4),""))</f>
        <v/>
      </c>
      <c r="N162" s="66" t="str">
        <f aca="false">IF($L162="","",IFERROR(INDEX(记账规则!$A$6:$N$9,MATCH(购销流水!$D45,记账规则!$A$6:$A$9,0),5),""))</f>
        <v/>
      </c>
      <c r="O162" s="67" t="n">
        <f aca="false">IF($H162="",0,ROUND(IF($N162="成本金额",N(购销流水!$W45),IF($N162="金额",N(购销流水!$Q45),0)),2))</f>
        <v>0</v>
      </c>
      <c r="P162" s="64" t="str">
        <f aca="false">IF(AND($H162&lt;&gt;"",ROUND($O162,2)&lt;&gt;0),"有","")</f>
        <v/>
      </c>
    </row>
    <row r="163" customFormat="false" ht="15" hidden="true" customHeight="false" outlineLevel="0" collapsed="false">
      <c r="A163" s="53" t="str">
        <f aca="false">IF($H163="","",ROW()-5)</f>
        <v/>
      </c>
      <c r="B163" s="64" t="s">
        <v>36</v>
      </c>
      <c r="C163" s="53" t="n">
        <v>45</v>
      </c>
      <c r="D163" s="53" t="n">
        <v>2</v>
      </c>
      <c r="E163" s="65" t="str">
        <f aca="false">IF($H163="","",购销流水!$B45)</f>
        <v/>
      </c>
      <c r="F163" s="55" t="str">
        <f aca="false">IF($H163="","",购销流水!$C45)</f>
        <v/>
      </c>
      <c r="G163" s="48" t="str">
        <f aca="false">IF($H163="","",购销流水!$N45)</f>
        <v/>
      </c>
      <c r="H163" s="10" t="str">
        <f aca="false">IF($L163="","",IF($L163="@成本",购销流水!$U45,IF($L163="@收入",购销流水!$T45,IF($L163="@存货",购销流水!$S45,IF($L163="@结算",购销流水!$R45,$L163)))))</f>
        <v/>
      </c>
      <c r="I163" s="42" t="n">
        <f aca="false">IF($M163="借",$O163,0)</f>
        <v>0</v>
      </c>
      <c r="J163" s="42" t="n">
        <f aca="false">IF($M163="贷",$O163,0)</f>
        <v>0</v>
      </c>
      <c r="K163" s="48" t="str">
        <f aca="false">IF($H163="","",购销流水!$E45)</f>
        <v/>
      </c>
      <c r="L163" s="66" t="str">
        <f aca="false">IF(购销流水!$D45="","",IFERROR(INDEX(记账规则!$A$6:$N$9,MATCH(购销流水!$D45,记账规则!$A$6:$A$9,0),6),""))</f>
        <v/>
      </c>
      <c r="M163" s="66" t="str">
        <f aca="false">IF($L163="","",IFERROR(INDEX(记账规则!$A$6:$N$9,MATCH(购销流水!$D45,记账规则!$A$6:$A$9,0),7),""))</f>
        <v/>
      </c>
      <c r="N163" s="66" t="str">
        <f aca="false">IF($L163="","",IFERROR(INDEX(记账规则!$A$6:$N$9,MATCH(购销流水!$D45,记账规则!$A$6:$A$9,0),8),""))</f>
        <v/>
      </c>
      <c r="O163" s="67" t="n">
        <f aca="false">IF($H163="",0,ROUND(IF($N163="成本金额",N(购销流水!$W45),IF($N163="金额",N(购销流水!$Q45),0)),2))</f>
        <v>0</v>
      </c>
      <c r="P163" s="64" t="str">
        <f aca="false">IF(AND($H163&lt;&gt;"",ROUND($O163,2)&lt;&gt;0),"有","")</f>
        <v/>
      </c>
    </row>
    <row r="164" customFormat="false" ht="15" hidden="true" customHeight="false" outlineLevel="0" collapsed="false">
      <c r="A164" s="53" t="str">
        <f aca="false">IF($H164="","",ROW()-5)</f>
        <v/>
      </c>
      <c r="B164" s="64" t="s">
        <v>36</v>
      </c>
      <c r="C164" s="53" t="n">
        <v>45</v>
      </c>
      <c r="D164" s="53" t="n">
        <v>3</v>
      </c>
      <c r="E164" s="65" t="str">
        <f aca="false">IF($H164="","",购销流水!$B45)</f>
        <v/>
      </c>
      <c r="F164" s="55" t="str">
        <f aca="false">IF($H164="","",购销流水!$C45)</f>
        <v/>
      </c>
      <c r="G164" s="48" t="str">
        <f aca="false">IF($H164="","",购销流水!$N45)</f>
        <v/>
      </c>
      <c r="H164" s="10" t="str">
        <f aca="false">IF($L164="","",IF($L164="@成本",购销流水!$U45,IF($L164="@收入",购销流水!$T45,IF($L164="@存货",购销流水!$S45,IF($L164="@结算",购销流水!$R45,$L164)))))</f>
        <v/>
      </c>
      <c r="I164" s="42" t="n">
        <f aca="false">IF($M164="借",$O164,0)</f>
        <v>0</v>
      </c>
      <c r="J164" s="42" t="n">
        <f aca="false">IF($M164="贷",$O164,0)</f>
        <v>0</v>
      </c>
      <c r="K164" s="48" t="str">
        <f aca="false">IF($H164="","",购销流水!$E45)</f>
        <v/>
      </c>
      <c r="L164" s="66" t="str">
        <f aca="false">IF(购销流水!$D45="","",IFERROR(INDEX(记账规则!$A$6:$N$9,MATCH(购销流水!$D45,记账规则!$A$6:$A$9,0),9),""))</f>
        <v/>
      </c>
      <c r="M164" s="66" t="str">
        <f aca="false">IF($L164="","",IFERROR(INDEX(记账规则!$A$6:$N$9,MATCH(购销流水!$D45,记账规则!$A$6:$A$9,0),10),""))</f>
        <v/>
      </c>
      <c r="N164" s="66" t="str">
        <f aca="false">IF($L164="","",IFERROR(INDEX(记账规则!$A$6:$N$9,MATCH(购销流水!$D45,记账规则!$A$6:$A$9,0),11),""))</f>
        <v/>
      </c>
      <c r="O164" s="67" t="n">
        <f aca="false">IF($H164="",0,ROUND(IF($N164="成本金额",N(购销流水!$W45),IF($N164="金额",N(购销流水!$Q45),0)),2))</f>
        <v>0</v>
      </c>
      <c r="P164" s="64" t="str">
        <f aca="false">IF(AND($H164&lt;&gt;"",ROUND($O164,2)&lt;&gt;0),"有","")</f>
        <v/>
      </c>
    </row>
    <row r="165" customFormat="false" ht="15" hidden="true" customHeight="false" outlineLevel="0" collapsed="false">
      <c r="A165" s="53" t="str">
        <f aca="false">IF($H165="","",ROW()-5)</f>
        <v/>
      </c>
      <c r="B165" s="64" t="s">
        <v>36</v>
      </c>
      <c r="C165" s="53" t="n">
        <v>45</v>
      </c>
      <c r="D165" s="53" t="n">
        <v>4</v>
      </c>
      <c r="E165" s="65" t="str">
        <f aca="false">IF($H165="","",购销流水!$B45)</f>
        <v/>
      </c>
      <c r="F165" s="55" t="str">
        <f aca="false">IF($H165="","",购销流水!$C45)</f>
        <v/>
      </c>
      <c r="G165" s="48" t="str">
        <f aca="false">IF($H165="","",购销流水!$N45)</f>
        <v/>
      </c>
      <c r="H165" s="10" t="str">
        <f aca="false">IF($L165="","",IF($L165="@成本",购销流水!$U45,IF($L165="@收入",购销流水!$T45,IF($L165="@存货",购销流水!$S45,IF($L165="@结算",购销流水!$R45,$L165)))))</f>
        <v/>
      </c>
      <c r="I165" s="42" t="n">
        <f aca="false">IF($M165="借",$O165,0)</f>
        <v>0</v>
      </c>
      <c r="J165" s="42" t="n">
        <f aca="false">IF($M165="贷",$O165,0)</f>
        <v>0</v>
      </c>
      <c r="K165" s="48" t="str">
        <f aca="false">IF($H165="","",购销流水!$E45)</f>
        <v/>
      </c>
      <c r="L165" s="66" t="str">
        <f aca="false">IF(购销流水!$D45="","",IFERROR(INDEX(记账规则!$A$6:$N$9,MATCH(购销流水!$D45,记账规则!$A$6:$A$9,0),12),""))</f>
        <v/>
      </c>
      <c r="M165" s="66" t="str">
        <f aca="false">IF($L165="","",IFERROR(INDEX(记账规则!$A$6:$N$9,MATCH(购销流水!$D45,记账规则!$A$6:$A$9,0),13),""))</f>
        <v/>
      </c>
      <c r="N165" s="66" t="str">
        <f aca="false">IF($L165="","",IFERROR(INDEX(记账规则!$A$6:$N$9,MATCH(购销流水!$D45,记账规则!$A$6:$A$9,0),14),""))</f>
        <v/>
      </c>
      <c r="O165" s="67" t="n">
        <f aca="false">IF($H165="",0,ROUND(IF($N165="成本金额",N(购销流水!$W45),IF($N165="金额",N(购销流水!$Q45),0)),2))</f>
        <v>0</v>
      </c>
      <c r="P165" s="64" t="str">
        <f aca="false">IF(AND($H165&lt;&gt;"",ROUND($O165,2)&lt;&gt;0),"有","")</f>
        <v/>
      </c>
    </row>
    <row r="166" customFormat="false" ht="15" hidden="true" customHeight="false" outlineLevel="0" collapsed="false">
      <c r="A166" s="53" t="str">
        <f aca="false">IF($H166="","",ROW()-5)</f>
        <v/>
      </c>
      <c r="B166" s="64" t="s">
        <v>36</v>
      </c>
      <c r="C166" s="53" t="n">
        <v>46</v>
      </c>
      <c r="D166" s="53" t="n">
        <v>1</v>
      </c>
      <c r="E166" s="65" t="str">
        <f aca="false">IF($H166="","",购销流水!$B46)</f>
        <v/>
      </c>
      <c r="F166" s="55" t="str">
        <f aca="false">IF($H166="","",购销流水!$C46)</f>
        <v/>
      </c>
      <c r="G166" s="48" t="str">
        <f aca="false">IF($H166="","",购销流水!$N46)</f>
        <v/>
      </c>
      <c r="H166" s="10" t="str">
        <f aca="false">IF($L166="","",IF($L166="@成本",购销流水!$U46,IF($L166="@收入",购销流水!$T46,IF($L166="@存货",购销流水!$S46,IF($L166="@结算",购销流水!$R46,$L166)))))</f>
        <v/>
      </c>
      <c r="I166" s="42" t="n">
        <f aca="false">IF($M166="借",$O166,0)</f>
        <v>0</v>
      </c>
      <c r="J166" s="42" t="n">
        <f aca="false">IF($M166="贷",$O166,0)</f>
        <v>0</v>
      </c>
      <c r="K166" s="48" t="str">
        <f aca="false">IF($H166="","",购销流水!$E46)</f>
        <v/>
      </c>
      <c r="L166" s="66" t="str">
        <f aca="false">IF(购销流水!$D46="","",IFERROR(INDEX(记账规则!$A$6:$N$9,MATCH(购销流水!$D46,记账规则!$A$6:$A$9,0),3),""))</f>
        <v/>
      </c>
      <c r="M166" s="66" t="str">
        <f aca="false">IF($L166="","",IFERROR(INDEX(记账规则!$A$6:$N$9,MATCH(购销流水!$D46,记账规则!$A$6:$A$9,0),4),""))</f>
        <v/>
      </c>
      <c r="N166" s="66" t="str">
        <f aca="false">IF($L166="","",IFERROR(INDEX(记账规则!$A$6:$N$9,MATCH(购销流水!$D46,记账规则!$A$6:$A$9,0),5),""))</f>
        <v/>
      </c>
      <c r="O166" s="67" t="n">
        <f aca="false">IF($H166="",0,ROUND(IF($N166="成本金额",N(购销流水!$W46),IF($N166="金额",N(购销流水!$Q46),0)),2))</f>
        <v>0</v>
      </c>
      <c r="P166" s="64" t="str">
        <f aca="false">IF(AND($H166&lt;&gt;"",ROUND($O166,2)&lt;&gt;0),"有","")</f>
        <v/>
      </c>
    </row>
    <row r="167" customFormat="false" ht="15" hidden="true" customHeight="false" outlineLevel="0" collapsed="false">
      <c r="A167" s="53" t="str">
        <f aca="false">IF($H167="","",ROW()-5)</f>
        <v/>
      </c>
      <c r="B167" s="64" t="s">
        <v>36</v>
      </c>
      <c r="C167" s="53" t="n">
        <v>46</v>
      </c>
      <c r="D167" s="53" t="n">
        <v>2</v>
      </c>
      <c r="E167" s="65" t="str">
        <f aca="false">IF($H167="","",购销流水!$B46)</f>
        <v/>
      </c>
      <c r="F167" s="55" t="str">
        <f aca="false">IF($H167="","",购销流水!$C46)</f>
        <v/>
      </c>
      <c r="G167" s="48" t="str">
        <f aca="false">IF($H167="","",购销流水!$N46)</f>
        <v/>
      </c>
      <c r="H167" s="10" t="str">
        <f aca="false">IF($L167="","",IF($L167="@成本",购销流水!$U46,IF($L167="@收入",购销流水!$T46,IF($L167="@存货",购销流水!$S46,IF($L167="@结算",购销流水!$R46,$L167)))))</f>
        <v/>
      </c>
      <c r="I167" s="42" t="n">
        <f aca="false">IF($M167="借",$O167,0)</f>
        <v>0</v>
      </c>
      <c r="J167" s="42" t="n">
        <f aca="false">IF($M167="贷",$O167,0)</f>
        <v>0</v>
      </c>
      <c r="K167" s="48" t="str">
        <f aca="false">IF($H167="","",购销流水!$E46)</f>
        <v/>
      </c>
      <c r="L167" s="66" t="str">
        <f aca="false">IF(购销流水!$D46="","",IFERROR(INDEX(记账规则!$A$6:$N$9,MATCH(购销流水!$D46,记账规则!$A$6:$A$9,0),6),""))</f>
        <v/>
      </c>
      <c r="M167" s="66" t="str">
        <f aca="false">IF($L167="","",IFERROR(INDEX(记账规则!$A$6:$N$9,MATCH(购销流水!$D46,记账规则!$A$6:$A$9,0),7),""))</f>
        <v/>
      </c>
      <c r="N167" s="66" t="str">
        <f aca="false">IF($L167="","",IFERROR(INDEX(记账规则!$A$6:$N$9,MATCH(购销流水!$D46,记账规则!$A$6:$A$9,0),8),""))</f>
        <v/>
      </c>
      <c r="O167" s="67" t="n">
        <f aca="false">IF($H167="",0,ROUND(IF($N167="成本金额",N(购销流水!$W46),IF($N167="金额",N(购销流水!$Q46),0)),2))</f>
        <v>0</v>
      </c>
      <c r="P167" s="64" t="str">
        <f aca="false">IF(AND($H167&lt;&gt;"",ROUND($O167,2)&lt;&gt;0),"有","")</f>
        <v/>
      </c>
    </row>
    <row r="168" customFormat="false" ht="15" hidden="true" customHeight="false" outlineLevel="0" collapsed="false">
      <c r="A168" s="53" t="str">
        <f aca="false">IF($H168="","",ROW()-5)</f>
        <v/>
      </c>
      <c r="B168" s="64" t="s">
        <v>36</v>
      </c>
      <c r="C168" s="53" t="n">
        <v>46</v>
      </c>
      <c r="D168" s="53" t="n">
        <v>3</v>
      </c>
      <c r="E168" s="65" t="str">
        <f aca="false">IF($H168="","",购销流水!$B46)</f>
        <v/>
      </c>
      <c r="F168" s="55" t="str">
        <f aca="false">IF($H168="","",购销流水!$C46)</f>
        <v/>
      </c>
      <c r="G168" s="48" t="str">
        <f aca="false">IF($H168="","",购销流水!$N46)</f>
        <v/>
      </c>
      <c r="H168" s="10" t="str">
        <f aca="false">IF($L168="","",IF($L168="@成本",购销流水!$U46,IF($L168="@收入",购销流水!$T46,IF($L168="@存货",购销流水!$S46,IF($L168="@结算",购销流水!$R46,$L168)))))</f>
        <v/>
      </c>
      <c r="I168" s="42" t="n">
        <f aca="false">IF($M168="借",$O168,0)</f>
        <v>0</v>
      </c>
      <c r="J168" s="42" t="n">
        <f aca="false">IF($M168="贷",$O168,0)</f>
        <v>0</v>
      </c>
      <c r="K168" s="48" t="str">
        <f aca="false">IF($H168="","",购销流水!$E46)</f>
        <v/>
      </c>
      <c r="L168" s="66" t="str">
        <f aca="false">IF(购销流水!$D46="","",IFERROR(INDEX(记账规则!$A$6:$N$9,MATCH(购销流水!$D46,记账规则!$A$6:$A$9,0),9),""))</f>
        <v/>
      </c>
      <c r="M168" s="66" t="str">
        <f aca="false">IF($L168="","",IFERROR(INDEX(记账规则!$A$6:$N$9,MATCH(购销流水!$D46,记账规则!$A$6:$A$9,0),10),""))</f>
        <v/>
      </c>
      <c r="N168" s="66" t="str">
        <f aca="false">IF($L168="","",IFERROR(INDEX(记账规则!$A$6:$N$9,MATCH(购销流水!$D46,记账规则!$A$6:$A$9,0),11),""))</f>
        <v/>
      </c>
      <c r="O168" s="67" t="n">
        <f aca="false">IF($H168="",0,ROUND(IF($N168="成本金额",N(购销流水!$W46),IF($N168="金额",N(购销流水!$Q46),0)),2))</f>
        <v>0</v>
      </c>
      <c r="P168" s="64" t="str">
        <f aca="false">IF(AND($H168&lt;&gt;"",ROUND($O168,2)&lt;&gt;0),"有","")</f>
        <v/>
      </c>
    </row>
    <row r="169" customFormat="false" ht="15" hidden="true" customHeight="false" outlineLevel="0" collapsed="false">
      <c r="A169" s="53" t="str">
        <f aca="false">IF($H169="","",ROW()-5)</f>
        <v/>
      </c>
      <c r="B169" s="64" t="s">
        <v>36</v>
      </c>
      <c r="C169" s="53" t="n">
        <v>46</v>
      </c>
      <c r="D169" s="53" t="n">
        <v>4</v>
      </c>
      <c r="E169" s="65" t="str">
        <f aca="false">IF($H169="","",购销流水!$B46)</f>
        <v/>
      </c>
      <c r="F169" s="55" t="str">
        <f aca="false">IF($H169="","",购销流水!$C46)</f>
        <v/>
      </c>
      <c r="G169" s="48" t="str">
        <f aca="false">IF($H169="","",购销流水!$N46)</f>
        <v/>
      </c>
      <c r="H169" s="10" t="str">
        <f aca="false">IF($L169="","",IF($L169="@成本",购销流水!$U46,IF($L169="@收入",购销流水!$T46,IF($L169="@存货",购销流水!$S46,IF($L169="@结算",购销流水!$R46,$L169)))))</f>
        <v/>
      </c>
      <c r="I169" s="42" t="n">
        <f aca="false">IF($M169="借",$O169,0)</f>
        <v>0</v>
      </c>
      <c r="J169" s="42" t="n">
        <f aca="false">IF($M169="贷",$O169,0)</f>
        <v>0</v>
      </c>
      <c r="K169" s="48" t="str">
        <f aca="false">IF($H169="","",购销流水!$E46)</f>
        <v/>
      </c>
      <c r="L169" s="66" t="str">
        <f aca="false">IF(购销流水!$D46="","",IFERROR(INDEX(记账规则!$A$6:$N$9,MATCH(购销流水!$D46,记账规则!$A$6:$A$9,0),12),""))</f>
        <v/>
      </c>
      <c r="M169" s="66" t="str">
        <f aca="false">IF($L169="","",IFERROR(INDEX(记账规则!$A$6:$N$9,MATCH(购销流水!$D46,记账规则!$A$6:$A$9,0),13),""))</f>
        <v/>
      </c>
      <c r="N169" s="66" t="str">
        <f aca="false">IF($L169="","",IFERROR(INDEX(记账规则!$A$6:$N$9,MATCH(购销流水!$D46,记账规则!$A$6:$A$9,0),14),""))</f>
        <v/>
      </c>
      <c r="O169" s="67" t="n">
        <f aca="false">IF($H169="",0,ROUND(IF($N169="成本金额",N(购销流水!$W46),IF($N169="金额",N(购销流水!$Q46),0)),2))</f>
        <v>0</v>
      </c>
      <c r="P169" s="64" t="str">
        <f aca="false">IF(AND($H169&lt;&gt;"",ROUND($O169,2)&lt;&gt;0),"有","")</f>
        <v/>
      </c>
    </row>
    <row r="170" customFormat="false" ht="15" hidden="true" customHeight="false" outlineLevel="0" collapsed="false">
      <c r="A170" s="53" t="str">
        <f aca="false">IF($H170="","",ROW()-5)</f>
        <v/>
      </c>
      <c r="B170" s="64" t="s">
        <v>36</v>
      </c>
      <c r="C170" s="53" t="n">
        <v>47</v>
      </c>
      <c r="D170" s="53" t="n">
        <v>1</v>
      </c>
      <c r="E170" s="65" t="str">
        <f aca="false">IF($H170="","",购销流水!$B47)</f>
        <v/>
      </c>
      <c r="F170" s="55" t="str">
        <f aca="false">IF($H170="","",购销流水!$C47)</f>
        <v/>
      </c>
      <c r="G170" s="48" t="str">
        <f aca="false">IF($H170="","",购销流水!$N47)</f>
        <v/>
      </c>
      <c r="H170" s="10" t="str">
        <f aca="false">IF($L170="","",IF($L170="@成本",购销流水!$U47,IF($L170="@收入",购销流水!$T47,IF($L170="@存货",购销流水!$S47,IF($L170="@结算",购销流水!$R47,$L170)))))</f>
        <v/>
      </c>
      <c r="I170" s="42" t="n">
        <f aca="false">IF($M170="借",$O170,0)</f>
        <v>0</v>
      </c>
      <c r="J170" s="42" t="n">
        <f aca="false">IF($M170="贷",$O170,0)</f>
        <v>0</v>
      </c>
      <c r="K170" s="48" t="str">
        <f aca="false">IF($H170="","",购销流水!$E47)</f>
        <v/>
      </c>
      <c r="L170" s="66" t="str">
        <f aca="false">IF(购销流水!$D47="","",IFERROR(INDEX(记账规则!$A$6:$N$9,MATCH(购销流水!$D47,记账规则!$A$6:$A$9,0),3),""))</f>
        <v/>
      </c>
      <c r="M170" s="66" t="str">
        <f aca="false">IF($L170="","",IFERROR(INDEX(记账规则!$A$6:$N$9,MATCH(购销流水!$D47,记账规则!$A$6:$A$9,0),4),""))</f>
        <v/>
      </c>
      <c r="N170" s="66" t="str">
        <f aca="false">IF($L170="","",IFERROR(INDEX(记账规则!$A$6:$N$9,MATCH(购销流水!$D47,记账规则!$A$6:$A$9,0),5),""))</f>
        <v/>
      </c>
      <c r="O170" s="67" t="n">
        <f aca="false">IF($H170="",0,ROUND(IF($N170="成本金额",N(购销流水!$W47),IF($N170="金额",N(购销流水!$Q47),0)),2))</f>
        <v>0</v>
      </c>
      <c r="P170" s="64" t="str">
        <f aca="false">IF(AND($H170&lt;&gt;"",ROUND($O170,2)&lt;&gt;0),"有","")</f>
        <v/>
      </c>
    </row>
    <row r="171" customFormat="false" ht="15" hidden="true" customHeight="false" outlineLevel="0" collapsed="false">
      <c r="A171" s="53" t="str">
        <f aca="false">IF($H171="","",ROW()-5)</f>
        <v/>
      </c>
      <c r="B171" s="64" t="s">
        <v>36</v>
      </c>
      <c r="C171" s="53" t="n">
        <v>47</v>
      </c>
      <c r="D171" s="53" t="n">
        <v>2</v>
      </c>
      <c r="E171" s="65" t="str">
        <f aca="false">IF($H171="","",购销流水!$B47)</f>
        <v/>
      </c>
      <c r="F171" s="55" t="str">
        <f aca="false">IF($H171="","",购销流水!$C47)</f>
        <v/>
      </c>
      <c r="G171" s="48" t="str">
        <f aca="false">IF($H171="","",购销流水!$N47)</f>
        <v/>
      </c>
      <c r="H171" s="10" t="str">
        <f aca="false">IF($L171="","",IF($L171="@成本",购销流水!$U47,IF($L171="@收入",购销流水!$T47,IF($L171="@存货",购销流水!$S47,IF($L171="@结算",购销流水!$R47,$L171)))))</f>
        <v/>
      </c>
      <c r="I171" s="42" t="n">
        <f aca="false">IF($M171="借",$O171,0)</f>
        <v>0</v>
      </c>
      <c r="J171" s="42" t="n">
        <f aca="false">IF($M171="贷",$O171,0)</f>
        <v>0</v>
      </c>
      <c r="K171" s="48" t="str">
        <f aca="false">IF($H171="","",购销流水!$E47)</f>
        <v/>
      </c>
      <c r="L171" s="66" t="str">
        <f aca="false">IF(购销流水!$D47="","",IFERROR(INDEX(记账规则!$A$6:$N$9,MATCH(购销流水!$D47,记账规则!$A$6:$A$9,0),6),""))</f>
        <v/>
      </c>
      <c r="M171" s="66" t="str">
        <f aca="false">IF($L171="","",IFERROR(INDEX(记账规则!$A$6:$N$9,MATCH(购销流水!$D47,记账规则!$A$6:$A$9,0),7),""))</f>
        <v/>
      </c>
      <c r="N171" s="66" t="str">
        <f aca="false">IF($L171="","",IFERROR(INDEX(记账规则!$A$6:$N$9,MATCH(购销流水!$D47,记账规则!$A$6:$A$9,0),8),""))</f>
        <v/>
      </c>
      <c r="O171" s="67" t="n">
        <f aca="false">IF($H171="",0,ROUND(IF($N171="成本金额",N(购销流水!$W47),IF($N171="金额",N(购销流水!$Q47),0)),2))</f>
        <v>0</v>
      </c>
      <c r="P171" s="64" t="str">
        <f aca="false">IF(AND($H171&lt;&gt;"",ROUND($O171,2)&lt;&gt;0),"有","")</f>
        <v/>
      </c>
    </row>
    <row r="172" customFormat="false" ht="15" hidden="true" customHeight="false" outlineLevel="0" collapsed="false">
      <c r="A172" s="53" t="str">
        <f aca="false">IF($H172="","",ROW()-5)</f>
        <v/>
      </c>
      <c r="B172" s="64" t="s">
        <v>36</v>
      </c>
      <c r="C172" s="53" t="n">
        <v>47</v>
      </c>
      <c r="D172" s="53" t="n">
        <v>3</v>
      </c>
      <c r="E172" s="65" t="str">
        <f aca="false">IF($H172="","",购销流水!$B47)</f>
        <v/>
      </c>
      <c r="F172" s="55" t="str">
        <f aca="false">IF($H172="","",购销流水!$C47)</f>
        <v/>
      </c>
      <c r="G172" s="48" t="str">
        <f aca="false">IF($H172="","",购销流水!$N47)</f>
        <v/>
      </c>
      <c r="H172" s="10" t="str">
        <f aca="false">IF($L172="","",IF($L172="@成本",购销流水!$U47,IF($L172="@收入",购销流水!$T47,IF($L172="@存货",购销流水!$S47,IF($L172="@结算",购销流水!$R47,$L172)))))</f>
        <v/>
      </c>
      <c r="I172" s="42" t="n">
        <f aca="false">IF($M172="借",$O172,0)</f>
        <v>0</v>
      </c>
      <c r="J172" s="42" t="n">
        <f aca="false">IF($M172="贷",$O172,0)</f>
        <v>0</v>
      </c>
      <c r="K172" s="48" t="str">
        <f aca="false">IF($H172="","",购销流水!$E47)</f>
        <v/>
      </c>
      <c r="L172" s="66" t="str">
        <f aca="false">IF(购销流水!$D47="","",IFERROR(INDEX(记账规则!$A$6:$N$9,MATCH(购销流水!$D47,记账规则!$A$6:$A$9,0),9),""))</f>
        <v/>
      </c>
      <c r="M172" s="66" t="str">
        <f aca="false">IF($L172="","",IFERROR(INDEX(记账规则!$A$6:$N$9,MATCH(购销流水!$D47,记账规则!$A$6:$A$9,0),10),""))</f>
        <v/>
      </c>
      <c r="N172" s="66" t="str">
        <f aca="false">IF($L172="","",IFERROR(INDEX(记账规则!$A$6:$N$9,MATCH(购销流水!$D47,记账规则!$A$6:$A$9,0),11),""))</f>
        <v/>
      </c>
      <c r="O172" s="67" t="n">
        <f aca="false">IF($H172="",0,ROUND(IF($N172="成本金额",N(购销流水!$W47),IF($N172="金额",N(购销流水!$Q47),0)),2))</f>
        <v>0</v>
      </c>
      <c r="P172" s="64" t="str">
        <f aca="false">IF(AND($H172&lt;&gt;"",ROUND($O172,2)&lt;&gt;0),"有","")</f>
        <v/>
      </c>
    </row>
    <row r="173" customFormat="false" ht="15" hidden="true" customHeight="false" outlineLevel="0" collapsed="false">
      <c r="A173" s="53" t="str">
        <f aca="false">IF($H173="","",ROW()-5)</f>
        <v/>
      </c>
      <c r="B173" s="64" t="s">
        <v>36</v>
      </c>
      <c r="C173" s="53" t="n">
        <v>47</v>
      </c>
      <c r="D173" s="53" t="n">
        <v>4</v>
      </c>
      <c r="E173" s="65" t="str">
        <f aca="false">IF($H173="","",购销流水!$B47)</f>
        <v/>
      </c>
      <c r="F173" s="55" t="str">
        <f aca="false">IF($H173="","",购销流水!$C47)</f>
        <v/>
      </c>
      <c r="G173" s="48" t="str">
        <f aca="false">IF($H173="","",购销流水!$N47)</f>
        <v/>
      </c>
      <c r="H173" s="10" t="str">
        <f aca="false">IF($L173="","",IF($L173="@成本",购销流水!$U47,IF($L173="@收入",购销流水!$T47,IF($L173="@存货",购销流水!$S47,IF($L173="@结算",购销流水!$R47,$L173)))))</f>
        <v/>
      </c>
      <c r="I173" s="42" t="n">
        <f aca="false">IF($M173="借",$O173,0)</f>
        <v>0</v>
      </c>
      <c r="J173" s="42" t="n">
        <f aca="false">IF($M173="贷",$O173,0)</f>
        <v>0</v>
      </c>
      <c r="K173" s="48" t="str">
        <f aca="false">IF($H173="","",购销流水!$E47)</f>
        <v/>
      </c>
      <c r="L173" s="66" t="str">
        <f aca="false">IF(购销流水!$D47="","",IFERROR(INDEX(记账规则!$A$6:$N$9,MATCH(购销流水!$D47,记账规则!$A$6:$A$9,0),12),""))</f>
        <v/>
      </c>
      <c r="M173" s="66" t="str">
        <f aca="false">IF($L173="","",IFERROR(INDEX(记账规则!$A$6:$N$9,MATCH(购销流水!$D47,记账规则!$A$6:$A$9,0),13),""))</f>
        <v/>
      </c>
      <c r="N173" s="66" t="str">
        <f aca="false">IF($L173="","",IFERROR(INDEX(记账规则!$A$6:$N$9,MATCH(购销流水!$D47,记账规则!$A$6:$A$9,0),14),""))</f>
        <v/>
      </c>
      <c r="O173" s="67" t="n">
        <f aca="false">IF($H173="",0,ROUND(IF($N173="成本金额",N(购销流水!$W47),IF($N173="金额",N(购销流水!$Q47),0)),2))</f>
        <v>0</v>
      </c>
      <c r="P173" s="64" t="str">
        <f aca="false">IF(AND($H173&lt;&gt;"",ROUND($O173,2)&lt;&gt;0),"有","")</f>
        <v/>
      </c>
    </row>
    <row r="174" customFormat="false" ht="15" hidden="true" customHeight="false" outlineLevel="0" collapsed="false">
      <c r="A174" s="53" t="str">
        <f aca="false">IF($H174="","",ROW()-5)</f>
        <v/>
      </c>
      <c r="B174" s="64" t="s">
        <v>36</v>
      </c>
      <c r="C174" s="53" t="n">
        <v>48</v>
      </c>
      <c r="D174" s="53" t="n">
        <v>1</v>
      </c>
      <c r="E174" s="65" t="str">
        <f aca="false">IF($H174="","",购销流水!$B48)</f>
        <v/>
      </c>
      <c r="F174" s="55" t="str">
        <f aca="false">IF($H174="","",购销流水!$C48)</f>
        <v/>
      </c>
      <c r="G174" s="48" t="str">
        <f aca="false">IF($H174="","",购销流水!$N48)</f>
        <v/>
      </c>
      <c r="H174" s="10" t="str">
        <f aca="false">IF($L174="","",IF($L174="@成本",购销流水!$U48,IF($L174="@收入",购销流水!$T48,IF($L174="@存货",购销流水!$S48,IF($L174="@结算",购销流水!$R48,$L174)))))</f>
        <v/>
      </c>
      <c r="I174" s="42" t="n">
        <f aca="false">IF($M174="借",$O174,0)</f>
        <v>0</v>
      </c>
      <c r="J174" s="42" t="n">
        <f aca="false">IF($M174="贷",$O174,0)</f>
        <v>0</v>
      </c>
      <c r="K174" s="48" t="str">
        <f aca="false">IF($H174="","",购销流水!$E48)</f>
        <v/>
      </c>
      <c r="L174" s="66" t="str">
        <f aca="false">IF(购销流水!$D48="","",IFERROR(INDEX(记账规则!$A$6:$N$9,MATCH(购销流水!$D48,记账规则!$A$6:$A$9,0),3),""))</f>
        <v/>
      </c>
      <c r="M174" s="66" t="str">
        <f aca="false">IF($L174="","",IFERROR(INDEX(记账规则!$A$6:$N$9,MATCH(购销流水!$D48,记账规则!$A$6:$A$9,0),4),""))</f>
        <v/>
      </c>
      <c r="N174" s="66" t="str">
        <f aca="false">IF($L174="","",IFERROR(INDEX(记账规则!$A$6:$N$9,MATCH(购销流水!$D48,记账规则!$A$6:$A$9,0),5),""))</f>
        <v/>
      </c>
      <c r="O174" s="67" t="n">
        <f aca="false">IF($H174="",0,ROUND(IF($N174="成本金额",N(购销流水!$W48),IF($N174="金额",N(购销流水!$Q48),0)),2))</f>
        <v>0</v>
      </c>
      <c r="P174" s="64" t="str">
        <f aca="false">IF(AND($H174&lt;&gt;"",ROUND($O174,2)&lt;&gt;0),"有","")</f>
        <v/>
      </c>
    </row>
    <row r="175" customFormat="false" ht="15" hidden="true" customHeight="false" outlineLevel="0" collapsed="false">
      <c r="A175" s="53" t="str">
        <f aca="false">IF($H175="","",ROW()-5)</f>
        <v/>
      </c>
      <c r="B175" s="64" t="s">
        <v>36</v>
      </c>
      <c r="C175" s="53" t="n">
        <v>48</v>
      </c>
      <c r="D175" s="53" t="n">
        <v>2</v>
      </c>
      <c r="E175" s="65" t="str">
        <f aca="false">IF($H175="","",购销流水!$B48)</f>
        <v/>
      </c>
      <c r="F175" s="55" t="str">
        <f aca="false">IF($H175="","",购销流水!$C48)</f>
        <v/>
      </c>
      <c r="G175" s="48" t="str">
        <f aca="false">IF($H175="","",购销流水!$N48)</f>
        <v/>
      </c>
      <c r="H175" s="10" t="str">
        <f aca="false">IF($L175="","",IF($L175="@成本",购销流水!$U48,IF($L175="@收入",购销流水!$T48,IF($L175="@存货",购销流水!$S48,IF($L175="@结算",购销流水!$R48,$L175)))))</f>
        <v/>
      </c>
      <c r="I175" s="42" t="n">
        <f aca="false">IF($M175="借",$O175,0)</f>
        <v>0</v>
      </c>
      <c r="J175" s="42" t="n">
        <f aca="false">IF($M175="贷",$O175,0)</f>
        <v>0</v>
      </c>
      <c r="K175" s="48" t="str">
        <f aca="false">IF($H175="","",购销流水!$E48)</f>
        <v/>
      </c>
      <c r="L175" s="66" t="str">
        <f aca="false">IF(购销流水!$D48="","",IFERROR(INDEX(记账规则!$A$6:$N$9,MATCH(购销流水!$D48,记账规则!$A$6:$A$9,0),6),""))</f>
        <v/>
      </c>
      <c r="M175" s="66" t="str">
        <f aca="false">IF($L175="","",IFERROR(INDEX(记账规则!$A$6:$N$9,MATCH(购销流水!$D48,记账规则!$A$6:$A$9,0),7),""))</f>
        <v/>
      </c>
      <c r="N175" s="66" t="str">
        <f aca="false">IF($L175="","",IFERROR(INDEX(记账规则!$A$6:$N$9,MATCH(购销流水!$D48,记账规则!$A$6:$A$9,0),8),""))</f>
        <v/>
      </c>
      <c r="O175" s="67" t="n">
        <f aca="false">IF($H175="",0,ROUND(IF($N175="成本金额",N(购销流水!$W48),IF($N175="金额",N(购销流水!$Q48),0)),2))</f>
        <v>0</v>
      </c>
      <c r="P175" s="64" t="str">
        <f aca="false">IF(AND($H175&lt;&gt;"",ROUND($O175,2)&lt;&gt;0),"有","")</f>
        <v/>
      </c>
    </row>
    <row r="176" customFormat="false" ht="15" hidden="true" customHeight="false" outlineLevel="0" collapsed="false">
      <c r="A176" s="53" t="str">
        <f aca="false">IF($H176="","",ROW()-5)</f>
        <v/>
      </c>
      <c r="B176" s="64" t="s">
        <v>36</v>
      </c>
      <c r="C176" s="53" t="n">
        <v>48</v>
      </c>
      <c r="D176" s="53" t="n">
        <v>3</v>
      </c>
      <c r="E176" s="65" t="str">
        <f aca="false">IF($H176="","",购销流水!$B48)</f>
        <v/>
      </c>
      <c r="F176" s="55" t="str">
        <f aca="false">IF($H176="","",购销流水!$C48)</f>
        <v/>
      </c>
      <c r="G176" s="48" t="str">
        <f aca="false">IF($H176="","",购销流水!$N48)</f>
        <v/>
      </c>
      <c r="H176" s="10" t="str">
        <f aca="false">IF($L176="","",IF($L176="@成本",购销流水!$U48,IF($L176="@收入",购销流水!$T48,IF($L176="@存货",购销流水!$S48,IF($L176="@结算",购销流水!$R48,$L176)))))</f>
        <v/>
      </c>
      <c r="I176" s="42" t="n">
        <f aca="false">IF($M176="借",$O176,0)</f>
        <v>0</v>
      </c>
      <c r="J176" s="42" t="n">
        <f aca="false">IF($M176="贷",$O176,0)</f>
        <v>0</v>
      </c>
      <c r="K176" s="48" t="str">
        <f aca="false">IF($H176="","",购销流水!$E48)</f>
        <v/>
      </c>
      <c r="L176" s="66" t="str">
        <f aca="false">IF(购销流水!$D48="","",IFERROR(INDEX(记账规则!$A$6:$N$9,MATCH(购销流水!$D48,记账规则!$A$6:$A$9,0),9),""))</f>
        <v/>
      </c>
      <c r="M176" s="66" t="str">
        <f aca="false">IF($L176="","",IFERROR(INDEX(记账规则!$A$6:$N$9,MATCH(购销流水!$D48,记账规则!$A$6:$A$9,0),10),""))</f>
        <v/>
      </c>
      <c r="N176" s="66" t="str">
        <f aca="false">IF($L176="","",IFERROR(INDEX(记账规则!$A$6:$N$9,MATCH(购销流水!$D48,记账规则!$A$6:$A$9,0),11),""))</f>
        <v/>
      </c>
      <c r="O176" s="67" t="n">
        <f aca="false">IF($H176="",0,ROUND(IF($N176="成本金额",N(购销流水!$W48),IF($N176="金额",N(购销流水!$Q48),0)),2))</f>
        <v>0</v>
      </c>
      <c r="P176" s="64" t="str">
        <f aca="false">IF(AND($H176&lt;&gt;"",ROUND($O176,2)&lt;&gt;0),"有","")</f>
        <v/>
      </c>
    </row>
    <row r="177" customFormat="false" ht="15" hidden="true" customHeight="false" outlineLevel="0" collapsed="false">
      <c r="A177" s="53" t="str">
        <f aca="false">IF($H177="","",ROW()-5)</f>
        <v/>
      </c>
      <c r="B177" s="64" t="s">
        <v>36</v>
      </c>
      <c r="C177" s="53" t="n">
        <v>48</v>
      </c>
      <c r="D177" s="53" t="n">
        <v>4</v>
      </c>
      <c r="E177" s="65" t="str">
        <f aca="false">IF($H177="","",购销流水!$B48)</f>
        <v/>
      </c>
      <c r="F177" s="55" t="str">
        <f aca="false">IF($H177="","",购销流水!$C48)</f>
        <v/>
      </c>
      <c r="G177" s="48" t="str">
        <f aca="false">IF($H177="","",购销流水!$N48)</f>
        <v/>
      </c>
      <c r="H177" s="10" t="str">
        <f aca="false">IF($L177="","",IF($L177="@成本",购销流水!$U48,IF($L177="@收入",购销流水!$T48,IF($L177="@存货",购销流水!$S48,IF($L177="@结算",购销流水!$R48,$L177)))))</f>
        <v/>
      </c>
      <c r="I177" s="42" t="n">
        <f aca="false">IF($M177="借",$O177,0)</f>
        <v>0</v>
      </c>
      <c r="J177" s="42" t="n">
        <f aca="false">IF($M177="贷",$O177,0)</f>
        <v>0</v>
      </c>
      <c r="K177" s="48" t="str">
        <f aca="false">IF($H177="","",购销流水!$E48)</f>
        <v/>
      </c>
      <c r="L177" s="66" t="str">
        <f aca="false">IF(购销流水!$D48="","",IFERROR(INDEX(记账规则!$A$6:$N$9,MATCH(购销流水!$D48,记账规则!$A$6:$A$9,0),12),""))</f>
        <v/>
      </c>
      <c r="M177" s="66" t="str">
        <f aca="false">IF($L177="","",IFERROR(INDEX(记账规则!$A$6:$N$9,MATCH(购销流水!$D48,记账规则!$A$6:$A$9,0),13),""))</f>
        <v/>
      </c>
      <c r="N177" s="66" t="str">
        <f aca="false">IF($L177="","",IFERROR(INDEX(记账规则!$A$6:$N$9,MATCH(购销流水!$D48,记账规则!$A$6:$A$9,0),14),""))</f>
        <v/>
      </c>
      <c r="O177" s="67" t="n">
        <f aca="false">IF($H177="",0,ROUND(IF($N177="成本金额",N(购销流水!$W48),IF($N177="金额",N(购销流水!$Q48),0)),2))</f>
        <v>0</v>
      </c>
      <c r="P177" s="64" t="str">
        <f aca="false">IF(AND($H177&lt;&gt;"",ROUND($O177,2)&lt;&gt;0),"有","")</f>
        <v/>
      </c>
    </row>
    <row r="178" customFormat="false" ht="15" hidden="true" customHeight="false" outlineLevel="0" collapsed="false">
      <c r="A178" s="53" t="str">
        <f aca="false">IF($H178="","",ROW()-5)</f>
        <v/>
      </c>
      <c r="B178" s="64" t="s">
        <v>36</v>
      </c>
      <c r="C178" s="53" t="n">
        <v>49</v>
      </c>
      <c r="D178" s="53" t="n">
        <v>1</v>
      </c>
      <c r="E178" s="65" t="str">
        <f aca="false">IF($H178="","",购销流水!$B49)</f>
        <v/>
      </c>
      <c r="F178" s="55" t="str">
        <f aca="false">IF($H178="","",购销流水!$C49)</f>
        <v/>
      </c>
      <c r="G178" s="48" t="str">
        <f aca="false">IF($H178="","",购销流水!$N49)</f>
        <v/>
      </c>
      <c r="H178" s="10" t="str">
        <f aca="false">IF($L178="","",IF($L178="@成本",购销流水!$U49,IF($L178="@收入",购销流水!$T49,IF($L178="@存货",购销流水!$S49,IF($L178="@结算",购销流水!$R49,$L178)))))</f>
        <v/>
      </c>
      <c r="I178" s="42" t="n">
        <f aca="false">IF($M178="借",$O178,0)</f>
        <v>0</v>
      </c>
      <c r="J178" s="42" t="n">
        <f aca="false">IF($M178="贷",$O178,0)</f>
        <v>0</v>
      </c>
      <c r="K178" s="48" t="str">
        <f aca="false">IF($H178="","",购销流水!$E49)</f>
        <v/>
      </c>
      <c r="L178" s="66" t="str">
        <f aca="false">IF(购销流水!$D49="","",IFERROR(INDEX(记账规则!$A$6:$N$9,MATCH(购销流水!$D49,记账规则!$A$6:$A$9,0),3),""))</f>
        <v/>
      </c>
      <c r="M178" s="66" t="str">
        <f aca="false">IF($L178="","",IFERROR(INDEX(记账规则!$A$6:$N$9,MATCH(购销流水!$D49,记账规则!$A$6:$A$9,0),4),""))</f>
        <v/>
      </c>
      <c r="N178" s="66" t="str">
        <f aca="false">IF($L178="","",IFERROR(INDEX(记账规则!$A$6:$N$9,MATCH(购销流水!$D49,记账规则!$A$6:$A$9,0),5),""))</f>
        <v/>
      </c>
      <c r="O178" s="67" t="n">
        <f aca="false">IF($H178="",0,ROUND(IF($N178="成本金额",N(购销流水!$W49),IF($N178="金额",N(购销流水!$Q49),0)),2))</f>
        <v>0</v>
      </c>
      <c r="P178" s="64" t="str">
        <f aca="false">IF(AND($H178&lt;&gt;"",ROUND($O178,2)&lt;&gt;0),"有","")</f>
        <v/>
      </c>
    </row>
    <row r="179" customFormat="false" ht="15" hidden="true" customHeight="false" outlineLevel="0" collapsed="false">
      <c r="A179" s="53" t="str">
        <f aca="false">IF($H179="","",ROW()-5)</f>
        <v/>
      </c>
      <c r="B179" s="64" t="s">
        <v>36</v>
      </c>
      <c r="C179" s="53" t="n">
        <v>49</v>
      </c>
      <c r="D179" s="53" t="n">
        <v>2</v>
      </c>
      <c r="E179" s="65" t="str">
        <f aca="false">IF($H179="","",购销流水!$B49)</f>
        <v/>
      </c>
      <c r="F179" s="55" t="str">
        <f aca="false">IF($H179="","",购销流水!$C49)</f>
        <v/>
      </c>
      <c r="G179" s="48" t="str">
        <f aca="false">IF($H179="","",购销流水!$N49)</f>
        <v/>
      </c>
      <c r="H179" s="10" t="str">
        <f aca="false">IF($L179="","",IF($L179="@成本",购销流水!$U49,IF($L179="@收入",购销流水!$T49,IF($L179="@存货",购销流水!$S49,IF($L179="@结算",购销流水!$R49,$L179)))))</f>
        <v/>
      </c>
      <c r="I179" s="42" t="n">
        <f aca="false">IF($M179="借",$O179,0)</f>
        <v>0</v>
      </c>
      <c r="J179" s="42" t="n">
        <f aca="false">IF($M179="贷",$O179,0)</f>
        <v>0</v>
      </c>
      <c r="K179" s="48" t="str">
        <f aca="false">IF($H179="","",购销流水!$E49)</f>
        <v/>
      </c>
      <c r="L179" s="66" t="str">
        <f aca="false">IF(购销流水!$D49="","",IFERROR(INDEX(记账规则!$A$6:$N$9,MATCH(购销流水!$D49,记账规则!$A$6:$A$9,0),6),""))</f>
        <v/>
      </c>
      <c r="M179" s="66" t="str">
        <f aca="false">IF($L179="","",IFERROR(INDEX(记账规则!$A$6:$N$9,MATCH(购销流水!$D49,记账规则!$A$6:$A$9,0),7),""))</f>
        <v/>
      </c>
      <c r="N179" s="66" t="str">
        <f aca="false">IF($L179="","",IFERROR(INDEX(记账规则!$A$6:$N$9,MATCH(购销流水!$D49,记账规则!$A$6:$A$9,0),8),""))</f>
        <v/>
      </c>
      <c r="O179" s="67" t="n">
        <f aca="false">IF($H179="",0,ROUND(IF($N179="成本金额",N(购销流水!$W49),IF($N179="金额",N(购销流水!$Q49),0)),2))</f>
        <v>0</v>
      </c>
      <c r="P179" s="64" t="str">
        <f aca="false">IF(AND($H179&lt;&gt;"",ROUND($O179,2)&lt;&gt;0),"有","")</f>
        <v/>
      </c>
    </row>
    <row r="180" customFormat="false" ht="15" hidden="true" customHeight="false" outlineLevel="0" collapsed="false">
      <c r="A180" s="53" t="str">
        <f aca="false">IF($H180="","",ROW()-5)</f>
        <v/>
      </c>
      <c r="B180" s="64" t="s">
        <v>36</v>
      </c>
      <c r="C180" s="53" t="n">
        <v>49</v>
      </c>
      <c r="D180" s="53" t="n">
        <v>3</v>
      </c>
      <c r="E180" s="65" t="str">
        <f aca="false">IF($H180="","",购销流水!$B49)</f>
        <v/>
      </c>
      <c r="F180" s="55" t="str">
        <f aca="false">IF($H180="","",购销流水!$C49)</f>
        <v/>
      </c>
      <c r="G180" s="48" t="str">
        <f aca="false">IF($H180="","",购销流水!$N49)</f>
        <v/>
      </c>
      <c r="H180" s="10" t="str">
        <f aca="false">IF($L180="","",IF($L180="@成本",购销流水!$U49,IF($L180="@收入",购销流水!$T49,IF($L180="@存货",购销流水!$S49,IF($L180="@结算",购销流水!$R49,$L180)))))</f>
        <v/>
      </c>
      <c r="I180" s="42" t="n">
        <f aca="false">IF($M180="借",$O180,0)</f>
        <v>0</v>
      </c>
      <c r="J180" s="42" t="n">
        <f aca="false">IF($M180="贷",$O180,0)</f>
        <v>0</v>
      </c>
      <c r="K180" s="48" t="str">
        <f aca="false">IF($H180="","",购销流水!$E49)</f>
        <v/>
      </c>
      <c r="L180" s="66" t="str">
        <f aca="false">IF(购销流水!$D49="","",IFERROR(INDEX(记账规则!$A$6:$N$9,MATCH(购销流水!$D49,记账规则!$A$6:$A$9,0),9),""))</f>
        <v/>
      </c>
      <c r="M180" s="66" t="str">
        <f aca="false">IF($L180="","",IFERROR(INDEX(记账规则!$A$6:$N$9,MATCH(购销流水!$D49,记账规则!$A$6:$A$9,0),10),""))</f>
        <v/>
      </c>
      <c r="N180" s="66" t="str">
        <f aca="false">IF($L180="","",IFERROR(INDEX(记账规则!$A$6:$N$9,MATCH(购销流水!$D49,记账规则!$A$6:$A$9,0),11),""))</f>
        <v/>
      </c>
      <c r="O180" s="67" t="n">
        <f aca="false">IF($H180="",0,ROUND(IF($N180="成本金额",N(购销流水!$W49),IF($N180="金额",N(购销流水!$Q49),0)),2))</f>
        <v>0</v>
      </c>
      <c r="P180" s="64" t="str">
        <f aca="false">IF(AND($H180&lt;&gt;"",ROUND($O180,2)&lt;&gt;0),"有","")</f>
        <v/>
      </c>
    </row>
    <row r="181" customFormat="false" ht="15" hidden="true" customHeight="false" outlineLevel="0" collapsed="false">
      <c r="A181" s="53" t="str">
        <f aca="false">IF($H181="","",ROW()-5)</f>
        <v/>
      </c>
      <c r="B181" s="64" t="s">
        <v>36</v>
      </c>
      <c r="C181" s="53" t="n">
        <v>49</v>
      </c>
      <c r="D181" s="53" t="n">
        <v>4</v>
      </c>
      <c r="E181" s="65" t="str">
        <f aca="false">IF($H181="","",购销流水!$B49)</f>
        <v/>
      </c>
      <c r="F181" s="55" t="str">
        <f aca="false">IF($H181="","",购销流水!$C49)</f>
        <v/>
      </c>
      <c r="G181" s="48" t="str">
        <f aca="false">IF($H181="","",购销流水!$N49)</f>
        <v/>
      </c>
      <c r="H181" s="10" t="str">
        <f aca="false">IF($L181="","",IF($L181="@成本",购销流水!$U49,IF($L181="@收入",购销流水!$T49,IF($L181="@存货",购销流水!$S49,IF($L181="@结算",购销流水!$R49,$L181)))))</f>
        <v/>
      </c>
      <c r="I181" s="42" t="n">
        <f aca="false">IF($M181="借",$O181,0)</f>
        <v>0</v>
      </c>
      <c r="J181" s="42" t="n">
        <f aca="false">IF($M181="贷",$O181,0)</f>
        <v>0</v>
      </c>
      <c r="K181" s="48" t="str">
        <f aca="false">IF($H181="","",购销流水!$E49)</f>
        <v/>
      </c>
      <c r="L181" s="66" t="str">
        <f aca="false">IF(购销流水!$D49="","",IFERROR(INDEX(记账规则!$A$6:$N$9,MATCH(购销流水!$D49,记账规则!$A$6:$A$9,0),12),""))</f>
        <v/>
      </c>
      <c r="M181" s="66" t="str">
        <f aca="false">IF($L181="","",IFERROR(INDEX(记账规则!$A$6:$N$9,MATCH(购销流水!$D49,记账规则!$A$6:$A$9,0),13),""))</f>
        <v/>
      </c>
      <c r="N181" s="66" t="str">
        <f aca="false">IF($L181="","",IFERROR(INDEX(记账规则!$A$6:$N$9,MATCH(购销流水!$D49,记账规则!$A$6:$A$9,0),14),""))</f>
        <v/>
      </c>
      <c r="O181" s="67" t="n">
        <f aca="false">IF($H181="",0,ROUND(IF($N181="成本金额",N(购销流水!$W49),IF($N181="金额",N(购销流水!$Q49),0)),2))</f>
        <v>0</v>
      </c>
      <c r="P181" s="64" t="str">
        <f aca="false">IF(AND($H181&lt;&gt;"",ROUND($O181,2)&lt;&gt;0),"有","")</f>
        <v/>
      </c>
    </row>
    <row r="182" customFormat="false" ht="15" hidden="true" customHeight="false" outlineLevel="0" collapsed="false">
      <c r="A182" s="53" t="str">
        <f aca="false">IF($H182="","",ROW()-5)</f>
        <v/>
      </c>
      <c r="B182" s="64" t="s">
        <v>36</v>
      </c>
      <c r="C182" s="53" t="n">
        <v>50</v>
      </c>
      <c r="D182" s="53" t="n">
        <v>1</v>
      </c>
      <c r="E182" s="65" t="str">
        <f aca="false">IF($H182="","",购销流水!$B50)</f>
        <v/>
      </c>
      <c r="F182" s="55" t="str">
        <f aca="false">IF($H182="","",购销流水!$C50)</f>
        <v/>
      </c>
      <c r="G182" s="48" t="str">
        <f aca="false">IF($H182="","",购销流水!$N50)</f>
        <v/>
      </c>
      <c r="H182" s="10" t="str">
        <f aca="false">IF($L182="","",IF($L182="@成本",购销流水!$U50,IF($L182="@收入",购销流水!$T50,IF($L182="@存货",购销流水!$S50,IF($L182="@结算",购销流水!$R50,$L182)))))</f>
        <v/>
      </c>
      <c r="I182" s="42" t="n">
        <f aca="false">IF($M182="借",$O182,0)</f>
        <v>0</v>
      </c>
      <c r="J182" s="42" t="n">
        <f aca="false">IF($M182="贷",$O182,0)</f>
        <v>0</v>
      </c>
      <c r="K182" s="48" t="str">
        <f aca="false">IF($H182="","",购销流水!$E50)</f>
        <v/>
      </c>
      <c r="L182" s="66" t="str">
        <f aca="false">IF(购销流水!$D50="","",IFERROR(INDEX(记账规则!$A$6:$N$9,MATCH(购销流水!$D50,记账规则!$A$6:$A$9,0),3),""))</f>
        <v/>
      </c>
      <c r="M182" s="66" t="str">
        <f aca="false">IF($L182="","",IFERROR(INDEX(记账规则!$A$6:$N$9,MATCH(购销流水!$D50,记账规则!$A$6:$A$9,0),4),""))</f>
        <v/>
      </c>
      <c r="N182" s="66" t="str">
        <f aca="false">IF($L182="","",IFERROR(INDEX(记账规则!$A$6:$N$9,MATCH(购销流水!$D50,记账规则!$A$6:$A$9,0),5),""))</f>
        <v/>
      </c>
      <c r="O182" s="67" t="n">
        <f aca="false">IF($H182="",0,ROUND(IF($N182="成本金额",N(购销流水!$W50),IF($N182="金额",N(购销流水!$Q50),0)),2))</f>
        <v>0</v>
      </c>
      <c r="P182" s="64" t="str">
        <f aca="false">IF(AND($H182&lt;&gt;"",ROUND($O182,2)&lt;&gt;0),"有","")</f>
        <v/>
      </c>
    </row>
    <row r="183" customFormat="false" ht="15" hidden="true" customHeight="false" outlineLevel="0" collapsed="false">
      <c r="A183" s="53" t="str">
        <f aca="false">IF($H183="","",ROW()-5)</f>
        <v/>
      </c>
      <c r="B183" s="64" t="s">
        <v>36</v>
      </c>
      <c r="C183" s="53" t="n">
        <v>50</v>
      </c>
      <c r="D183" s="53" t="n">
        <v>2</v>
      </c>
      <c r="E183" s="65" t="str">
        <f aca="false">IF($H183="","",购销流水!$B50)</f>
        <v/>
      </c>
      <c r="F183" s="55" t="str">
        <f aca="false">IF($H183="","",购销流水!$C50)</f>
        <v/>
      </c>
      <c r="G183" s="48" t="str">
        <f aca="false">IF($H183="","",购销流水!$N50)</f>
        <v/>
      </c>
      <c r="H183" s="10" t="str">
        <f aca="false">IF($L183="","",IF($L183="@成本",购销流水!$U50,IF($L183="@收入",购销流水!$T50,IF($L183="@存货",购销流水!$S50,IF($L183="@结算",购销流水!$R50,$L183)))))</f>
        <v/>
      </c>
      <c r="I183" s="42" t="n">
        <f aca="false">IF($M183="借",$O183,0)</f>
        <v>0</v>
      </c>
      <c r="J183" s="42" t="n">
        <f aca="false">IF($M183="贷",$O183,0)</f>
        <v>0</v>
      </c>
      <c r="K183" s="48" t="str">
        <f aca="false">IF($H183="","",购销流水!$E50)</f>
        <v/>
      </c>
      <c r="L183" s="66" t="str">
        <f aca="false">IF(购销流水!$D50="","",IFERROR(INDEX(记账规则!$A$6:$N$9,MATCH(购销流水!$D50,记账规则!$A$6:$A$9,0),6),""))</f>
        <v/>
      </c>
      <c r="M183" s="66" t="str">
        <f aca="false">IF($L183="","",IFERROR(INDEX(记账规则!$A$6:$N$9,MATCH(购销流水!$D50,记账规则!$A$6:$A$9,0),7),""))</f>
        <v/>
      </c>
      <c r="N183" s="66" t="str">
        <f aca="false">IF($L183="","",IFERROR(INDEX(记账规则!$A$6:$N$9,MATCH(购销流水!$D50,记账规则!$A$6:$A$9,0),8),""))</f>
        <v/>
      </c>
      <c r="O183" s="67" t="n">
        <f aca="false">IF($H183="",0,ROUND(IF($N183="成本金额",N(购销流水!$W50),IF($N183="金额",N(购销流水!$Q50),0)),2))</f>
        <v>0</v>
      </c>
      <c r="P183" s="64" t="str">
        <f aca="false">IF(AND($H183&lt;&gt;"",ROUND($O183,2)&lt;&gt;0),"有","")</f>
        <v/>
      </c>
    </row>
    <row r="184" customFormat="false" ht="15" hidden="true" customHeight="false" outlineLevel="0" collapsed="false">
      <c r="A184" s="53" t="str">
        <f aca="false">IF($H184="","",ROW()-5)</f>
        <v/>
      </c>
      <c r="B184" s="64" t="s">
        <v>36</v>
      </c>
      <c r="C184" s="53" t="n">
        <v>50</v>
      </c>
      <c r="D184" s="53" t="n">
        <v>3</v>
      </c>
      <c r="E184" s="65" t="str">
        <f aca="false">IF($H184="","",购销流水!$B50)</f>
        <v/>
      </c>
      <c r="F184" s="55" t="str">
        <f aca="false">IF($H184="","",购销流水!$C50)</f>
        <v/>
      </c>
      <c r="G184" s="48" t="str">
        <f aca="false">IF($H184="","",购销流水!$N50)</f>
        <v/>
      </c>
      <c r="H184" s="10" t="str">
        <f aca="false">IF($L184="","",IF($L184="@成本",购销流水!$U50,IF($L184="@收入",购销流水!$T50,IF($L184="@存货",购销流水!$S50,IF($L184="@结算",购销流水!$R50,$L184)))))</f>
        <v/>
      </c>
      <c r="I184" s="42" t="n">
        <f aca="false">IF($M184="借",$O184,0)</f>
        <v>0</v>
      </c>
      <c r="J184" s="42" t="n">
        <f aca="false">IF($M184="贷",$O184,0)</f>
        <v>0</v>
      </c>
      <c r="K184" s="48" t="str">
        <f aca="false">IF($H184="","",购销流水!$E50)</f>
        <v/>
      </c>
      <c r="L184" s="66" t="str">
        <f aca="false">IF(购销流水!$D50="","",IFERROR(INDEX(记账规则!$A$6:$N$9,MATCH(购销流水!$D50,记账规则!$A$6:$A$9,0),9),""))</f>
        <v/>
      </c>
      <c r="M184" s="66" t="str">
        <f aca="false">IF($L184="","",IFERROR(INDEX(记账规则!$A$6:$N$9,MATCH(购销流水!$D50,记账规则!$A$6:$A$9,0),10),""))</f>
        <v/>
      </c>
      <c r="N184" s="66" t="str">
        <f aca="false">IF($L184="","",IFERROR(INDEX(记账规则!$A$6:$N$9,MATCH(购销流水!$D50,记账规则!$A$6:$A$9,0),11),""))</f>
        <v/>
      </c>
      <c r="O184" s="67" t="n">
        <f aca="false">IF($H184="",0,ROUND(IF($N184="成本金额",N(购销流水!$W50),IF($N184="金额",N(购销流水!$Q50),0)),2))</f>
        <v>0</v>
      </c>
      <c r="P184" s="64" t="str">
        <f aca="false">IF(AND($H184&lt;&gt;"",ROUND($O184,2)&lt;&gt;0),"有","")</f>
        <v/>
      </c>
    </row>
    <row r="185" customFormat="false" ht="15" hidden="true" customHeight="false" outlineLevel="0" collapsed="false">
      <c r="A185" s="53" t="str">
        <f aca="false">IF($H185="","",ROW()-5)</f>
        <v/>
      </c>
      <c r="B185" s="64" t="s">
        <v>36</v>
      </c>
      <c r="C185" s="53" t="n">
        <v>50</v>
      </c>
      <c r="D185" s="53" t="n">
        <v>4</v>
      </c>
      <c r="E185" s="65" t="str">
        <f aca="false">IF($H185="","",购销流水!$B50)</f>
        <v/>
      </c>
      <c r="F185" s="55" t="str">
        <f aca="false">IF($H185="","",购销流水!$C50)</f>
        <v/>
      </c>
      <c r="G185" s="48" t="str">
        <f aca="false">IF($H185="","",购销流水!$N50)</f>
        <v/>
      </c>
      <c r="H185" s="10" t="str">
        <f aca="false">IF($L185="","",IF($L185="@成本",购销流水!$U50,IF($L185="@收入",购销流水!$T50,IF($L185="@存货",购销流水!$S50,IF($L185="@结算",购销流水!$R50,$L185)))))</f>
        <v/>
      </c>
      <c r="I185" s="42" t="n">
        <f aca="false">IF($M185="借",$O185,0)</f>
        <v>0</v>
      </c>
      <c r="J185" s="42" t="n">
        <f aca="false">IF($M185="贷",$O185,0)</f>
        <v>0</v>
      </c>
      <c r="K185" s="48" t="str">
        <f aca="false">IF($H185="","",购销流水!$E50)</f>
        <v/>
      </c>
      <c r="L185" s="66" t="str">
        <f aca="false">IF(购销流水!$D50="","",IFERROR(INDEX(记账规则!$A$6:$N$9,MATCH(购销流水!$D50,记账规则!$A$6:$A$9,0),12),""))</f>
        <v/>
      </c>
      <c r="M185" s="66" t="str">
        <f aca="false">IF($L185="","",IFERROR(INDEX(记账规则!$A$6:$N$9,MATCH(购销流水!$D50,记账规则!$A$6:$A$9,0),13),""))</f>
        <v/>
      </c>
      <c r="N185" s="66" t="str">
        <f aca="false">IF($L185="","",IFERROR(INDEX(记账规则!$A$6:$N$9,MATCH(购销流水!$D50,记账规则!$A$6:$A$9,0),14),""))</f>
        <v/>
      </c>
      <c r="O185" s="67" t="n">
        <f aca="false">IF($H185="",0,ROUND(IF($N185="成本金额",N(购销流水!$W50),IF($N185="金额",N(购销流水!$Q50),0)),2))</f>
        <v>0</v>
      </c>
      <c r="P185" s="64" t="str">
        <f aca="false">IF(AND($H185&lt;&gt;"",ROUND($O185,2)&lt;&gt;0),"有","")</f>
        <v/>
      </c>
    </row>
    <row r="186" customFormat="false" ht="15" hidden="true" customHeight="false" outlineLevel="0" collapsed="false">
      <c r="A186" s="53" t="str">
        <f aca="false">IF($H186="","",ROW()-5)</f>
        <v/>
      </c>
      <c r="B186" s="64" t="s">
        <v>36</v>
      </c>
      <c r="C186" s="53" t="n">
        <v>51</v>
      </c>
      <c r="D186" s="53" t="n">
        <v>1</v>
      </c>
      <c r="E186" s="65" t="str">
        <f aca="false">IF($H186="","",购销流水!$B51)</f>
        <v/>
      </c>
      <c r="F186" s="55" t="str">
        <f aca="false">IF($H186="","",购销流水!$C51)</f>
        <v/>
      </c>
      <c r="G186" s="48" t="str">
        <f aca="false">IF($H186="","",购销流水!$N51)</f>
        <v/>
      </c>
      <c r="H186" s="10" t="str">
        <f aca="false">IF($L186="","",IF($L186="@成本",购销流水!$U51,IF($L186="@收入",购销流水!$T51,IF($L186="@存货",购销流水!$S51,IF($L186="@结算",购销流水!$R51,$L186)))))</f>
        <v/>
      </c>
      <c r="I186" s="42" t="n">
        <f aca="false">IF($M186="借",$O186,0)</f>
        <v>0</v>
      </c>
      <c r="J186" s="42" t="n">
        <f aca="false">IF($M186="贷",$O186,0)</f>
        <v>0</v>
      </c>
      <c r="K186" s="48" t="str">
        <f aca="false">IF($H186="","",购销流水!$E51)</f>
        <v/>
      </c>
      <c r="L186" s="66" t="str">
        <f aca="false">IF(购销流水!$D51="","",IFERROR(INDEX(记账规则!$A$6:$N$9,MATCH(购销流水!$D51,记账规则!$A$6:$A$9,0),3),""))</f>
        <v/>
      </c>
      <c r="M186" s="66" t="str">
        <f aca="false">IF($L186="","",IFERROR(INDEX(记账规则!$A$6:$N$9,MATCH(购销流水!$D51,记账规则!$A$6:$A$9,0),4),""))</f>
        <v/>
      </c>
      <c r="N186" s="66" t="str">
        <f aca="false">IF($L186="","",IFERROR(INDEX(记账规则!$A$6:$N$9,MATCH(购销流水!$D51,记账规则!$A$6:$A$9,0),5),""))</f>
        <v/>
      </c>
      <c r="O186" s="67" t="n">
        <f aca="false">IF($H186="",0,ROUND(IF($N186="成本金额",N(购销流水!$W51),IF($N186="金额",N(购销流水!$Q51),0)),2))</f>
        <v>0</v>
      </c>
      <c r="P186" s="64" t="str">
        <f aca="false">IF(AND($H186&lt;&gt;"",ROUND($O186,2)&lt;&gt;0),"有","")</f>
        <v/>
      </c>
    </row>
    <row r="187" customFormat="false" ht="15" hidden="true" customHeight="false" outlineLevel="0" collapsed="false">
      <c r="A187" s="53" t="str">
        <f aca="false">IF($H187="","",ROW()-5)</f>
        <v/>
      </c>
      <c r="B187" s="64" t="s">
        <v>36</v>
      </c>
      <c r="C187" s="53" t="n">
        <v>51</v>
      </c>
      <c r="D187" s="53" t="n">
        <v>2</v>
      </c>
      <c r="E187" s="65" t="str">
        <f aca="false">IF($H187="","",购销流水!$B51)</f>
        <v/>
      </c>
      <c r="F187" s="55" t="str">
        <f aca="false">IF($H187="","",购销流水!$C51)</f>
        <v/>
      </c>
      <c r="G187" s="48" t="str">
        <f aca="false">IF($H187="","",购销流水!$N51)</f>
        <v/>
      </c>
      <c r="H187" s="10" t="str">
        <f aca="false">IF($L187="","",IF($L187="@成本",购销流水!$U51,IF($L187="@收入",购销流水!$T51,IF($L187="@存货",购销流水!$S51,IF($L187="@结算",购销流水!$R51,$L187)))))</f>
        <v/>
      </c>
      <c r="I187" s="42" t="n">
        <f aca="false">IF($M187="借",$O187,0)</f>
        <v>0</v>
      </c>
      <c r="J187" s="42" t="n">
        <f aca="false">IF($M187="贷",$O187,0)</f>
        <v>0</v>
      </c>
      <c r="K187" s="48" t="str">
        <f aca="false">IF($H187="","",购销流水!$E51)</f>
        <v/>
      </c>
      <c r="L187" s="66" t="str">
        <f aca="false">IF(购销流水!$D51="","",IFERROR(INDEX(记账规则!$A$6:$N$9,MATCH(购销流水!$D51,记账规则!$A$6:$A$9,0),6),""))</f>
        <v/>
      </c>
      <c r="M187" s="66" t="str">
        <f aca="false">IF($L187="","",IFERROR(INDEX(记账规则!$A$6:$N$9,MATCH(购销流水!$D51,记账规则!$A$6:$A$9,0),7),""))</f>
        <v/>
      </c>
      <c r="N187" s="66" t="str">
        <f aca="false">IF($L187="","",IFERROR(INDEX(记账规则!$A$6:$N$9,MATCH(购销流水!$D51,记账规则!$A$6:$A$9,0),8),""))</f>
        <v/>
      </c>
      <c r="O187" s="67" t="n">
        <f aca="false">IF($H187="",0,ROUND(IF($N187="成本金额",N(购销流水!$W51),IF($N187="金额",N(购销流水!$Q51),0)),2))</f>
        <v>0</v>
      </c>
      <c r="P187" s="64" t="str">
        <f aca="false">IF(AND($H187&lt;&gt;"",ROUND($O187,2)&lt;&gt;0),"有","")</f>
        <v/>
      </c>
    </row>
    <row r="188" customFormat="false" ht="15" hidden="true" customHeight="false" outlineLevel="0" collapsed="false">
      <c r="A188" s="53" t="str">
        <f aca="false">IF($H188="","",ROW()-5)</f>
        <v/>
      </c>
      <c r="B188" s="64" t="s">
        <v>36</v>
      </c>
      <c r="C188" s="53" t="n">
        <v>51</v>
      </c>
      <c r="D188" s="53" t="n">
        <v>3</v>
      </c>
      <c r="E188" s="65" t="str">
        <f aca="false">IF($H188="","",购销流水!$B51)</f>
        <v/>
      </c>
      <c r="F188" s="55" t="str">
        <f aca="false">IF($H188="","",购销流水!$C51)</f>
        <v/>
      </c>
      <c r="G188" s="48" t="str">
        <f aca="false">IF($H188="","",购销流水!$N51)</f>
        <v/>
      </c>
      <c r="H188" s="10" t="str">
        <f aca="false">IF($L188="","",IF($L188="@成本",购销流水!$U51,IF($L188="@收入",购销流水!$T51,IF($L188="@存货",购销流水!$S51,IF($L188="@结算",购销流水!$R51,$L188)))))</f>
        <v/>
      </c>
      <c r="I188" s="42" t="n">
        <f aca="false">IF($M188="借",$O188,0)</f>
        <v>0</v>
      </c>
      <c r="J188" s="42" t="n">
        <f aca="false">IF($M188="贷",$O188,0)</f>
        <v>0</v>
      </c>
      <c r="K188" s="48" t="str">
        <f aca="false">IF($H188="","",购销流水!$E51)</f>
        <v/>
      </c>
      <c r="L188" s="66" t="str">
        <f aca="false">IF(购销流水!$D51="","",IFERROR(INDEX(记账规则!$A$6:$N$9,MATCH(购销流水!$D51,记账规则!$A$6:$A$9,0),9),""))</f>
        <v/>
      </c>
      <c r="M188" s="66" t="str">
        <f aca="false">IF($L188="","",IFERROR(INDEX(记账规则!$A$6:$N$9,MATCH(购销流水!$D51,记账规则!$A$6:$A$9,0),10),""))</f>
        <v/>
      </c>
      <c r="N188" s="66" t="str">
        <f aca="false">IF($L188="","",IFERROR(INDEX(记账规则!$A$6:$N$9,MATCH(购销流水!$D51,记账规则!$A$6:$A$9,0),11),""))</f>
        <v/>
      </c>
      <c r="O188" s="67" t="n">
        <f aca="false">IF($H188="",0,ROUND(IF($N188="成本金额",N(购销流水!$W51),IF($N188="金额",N(购销流水!$Q51),0)),2))</f>
        <v>0</v>
      </c>
      <c r="P188" s="64" t="str">
        <f aca="false">IF(AND($H188&lt;&gt;"",ROUND($O188,2)&lt;&gt;0),"有","")</f>
        <v/>
      </c>
    </row>
    <row r="189" customFormat="false" ht="15" hidden="true" customHeight="false" outlineLevel="0" collapsed="false">
      <c r="A189" s="53" t="str">
        <f aca="false">IF($H189="","",ROW()-5)</f>
        <v/>
      </c>
      <c r="B189" s="64" t="s">
        <v>36</v>
      </c>
      <c r="C189" s="53" t="n">
        <v>51</v>
      </c>
      <c r="D189" s="53" t="n">
        <v>4</v>
      </c>
      <c r="E189" s="65" t="str">
        <f aca="false">IF($H189="","",购销流水!$B51)</f>
        <v/>
      </c>
      <c r="F189" s="55" t="str">
        <f aca="false">IF($H189="","",购销流水!$C51)</f>
        <v/>
      </c>
      <c r="G189" s="48" t="str">
        <f aca="false">IF($H189="","",购销流水!$N51)</f>
        <v/>
      </c>
      <c r="H189" s="10" t="str">
        <f aca="false">IF($L189="","",IF($L189="@成本",购销流水!$U51,IF($L189="@收入",购销流水!$T51,IF($L189="@存货",购销流水!$S51,IF($L189="@结算",购销流水!$R51,$L189)))))</f>
        <v/>
      </c>
      <c r="I189" s="42" t="n">
        <f aca="false">IF($M189="借",$O189,0)</f>
        <v>0</v>
      </c>
      <c r="J189" s="42" t="n">
        <f aca="false">IF($M189="贷",$O189,0)</f>
        <v>0</v>
      </c>
      <c r="K189" s="48" t="str">
        <f aca="false">IF($H189="","",购销流水!$E51)</f>
        <v/>
      </c>
      <c r="L189" s="66" t="str">
        <f aca="false">IF(购销流水!$D51="","",IFERROR(INDEX(记账规则!$A$6:$N$9,MATCH(购销流水!$D51,记账规则!$A$6:$A$9,0),12),""))</f>
        <v/>
      </c>
      <c r="M189" s="66" t="str">
        <f aca="false">IF($L189="","",IFERROR(INDEX(记账规则!$A$6:$N$9,MATCH(购销流水!$D51,记账规则!$A$6:$A$9,0),13),""))</f>
        <v/>
      </c>
      <c r="N189" s="66" t="str">
        <f aca="false">IF($L189="","",IFERROR(INDEX(记账规则!$A$6:$N$9,MATCH(购销流水!$D51,记账规则!$A$6:$A$9,0),14),""))</f>
        <v/>
      </c>
      <c r="O189" s="67" t="n">
        <f aca="false">IF($H189="",0,ROUND(IF($N189="成本金额",N(购销流水!$W51),IF($N189="金额",N(购销流水!$Q51),0)),2))</f>
        <v>0</v>
      </c>
      <c r="P189" s="64" t="str">
        <f aca="false">IF(AND($H189&lt;&gt;"",ROUND($O189,2)&lt;&gt;0),"有","")</f>
        <v/>
      </c>
    </row>
    <row r="190" customFormat="false" ht="15" hidden="true" customHeight="false" outlineLevel="0" collapsed="false">
      <c r="A190" s="53" t="str">
        <f aca="false">IF($H190="","",ROW()-5)</f>
        <v/>
      </c>
      <c r="B190" s="64" t="s">
        <v>36</v>
      </c>
      <c r="C190" s="53" t="n">
        <v>52</v>
      </c>
      <c r="D190" s="53" t="n">
        <v>1</v>
      </c>
      <c r="E190" s="65" t="str">
        <f aca="false">IF($H190="","",购销流水!$B52)</f>
        <v/>
      </c>
      <c r="F190" s="55" t="str">
        <f aca="false">IF($H190="","",购销流水!$C52)</f>
        <v/>
      </c>
      <c r="G190" s="48" t="str">
        <f aca="false">IF($H190="","",购销流水!$N52)</f>
        <v/>
      </c>
      <c r="H190" s="10" t="str">
        <f aca="false">IF($L190="","",IF($L190="@成本",购销流水!$U52,IF($L190="@收入",购销流水!$T52,IF($L190="@存货",购销流水!$S52,IF($L190="@结算",购销流水!$R52,$L190)))))</f>
        <v/>
      </c>
      <c r="I190" s="42" t="n">
        <f aca="false">IF($M190="借",$O190,0)</f>
        <v>0</v>
      </c>
      <c r="J190" s="42" t="n">
        <f aca="false">IF($M190="贷",$O190,0)</f>
        <v>0</v>
      </c>
      <c r="K190" s="48" t="str">
        <f aca="false">IF($H190="","",购销流水!$E52)</f>
        <v/>
      </c>
      <c r="L190" s="66" t="str">
        <f aca="false">IF(购销流水!$D52="","",IFERROR(INDEX(记账规则!$A$6:$N$9,MATCH(购销流水!$D52,记账规则!$A$6:$A$9,0),3),""))</f>
        <v/>
      </c>
      <c r="M190" s="66" t="str">
        <f aca="false">IF($L190="","",IFERROR(INDEX(记账规则!$A$6:$N$9,MATCH(购销流水!$D52,记账规则!$A$6:$A$9,0),4),""))</f>
        <v/>
      </c>
      <c r="N190" s="66" t="str">
        <f aca="false">IF($L190="","",IFERROR(INDEX(记账规则!$A$6:$N$9,MATCH(购销流水!$D52,记账规则!$A$6:$A$9,0),5),""))</f>
        <v/>
      </c>
      <c r="O190" s="67" t="n">
        <f aca="false">IF($H190="",0,ROUND(IF($N190="成本金额",N(购销流水!$W52),IF($N190="金额",N(购销流水!$Q52),0)),2))</f>
        <v>0</v>
      </c>
      <c r="P190" s="64" t="str">
        <f aca="false">IF(AND($H190&lt;&gt;"",ROUND($O190,2)&lt;&gt;0),"有","")</f>
        <v/>
      </c>
    </row>
    <row r="191" customFormat="false" ht="15" hidden="true" customHeight="false" outlineLevel="0" collapsed="false">
      <c r="A191" s="53" t="str">
        <f aca="false">IF($H191="","",ROW()-5)</f>
        <v/>
      </c>
      <c r="B191" s="64" t="s">
        <v>36</v>
      </c>
      <c r="C191" s="53" t="n">
        <v>52</v>
      </c>
      <c r="D191" s="53" t="n">
        <v>2</v>
      </c>
      <c r="E191" s="65" t="str">
        <f aca="false">IF($H191="","",购销流水!$B52)</f>
        <v/>
      </c>
      <c r="F191" s="55" t="str">
        <f aca="false">IF($H191="","",购销流水!$C52)</f>
        <v/>
      </c>
      <c r="G191" s="48" t="str">
        <f aca="false">IF($H191="","",购销流水!$N52)</f>
        <v/>
      </c>
      <c r="H191" s="10" t="str">
        <f aca="false">IF($L191="","",IF($L191="@成本",购销流水!$U52,IF($L191="@收入",购销流水!$T52,IF($L191="@存货",购销流水!$S52,IF($L191="@结算",购销流水!$R52,$L191)))))</f>
        <v/>
      </c>
      <c r="I191" s="42" t="n">
        <f aca="false">IF($M191="借",$O191,0)</f>
        <v>0</v>
      </c>
      <c r="J191" s="42" t="n">
        <f aca="false">IF($M191="贷",$O191,0)</f>
        <v>0</v>
      </c>
      <c r="K191" s="48" t="str">
        <f aca="false">IF($H191="","",购销流水!$E52)</f>
        <v/>
      </c>
      <c r="L191" s="66" t="str">
        <f aca="false">IF(购销流水!$D52="","",IFERROR(INDEX(记账规则!$A$6:$N$9,MATCH(购销流水!$D52,记账规则!$A$6:$A$9,0),6),""))</f>
        <v/>
      </c>
      <c r="M191" s="66" t="str">
        <f aca="false">IF($L191="","",IFERROR(INDEX(记账规则!$A$6:$N$9,MATCH(购销流水!$D52,记账规则!$A$6:$A$9,0),7),""))</f>
        <v/>
      </c>
      <c r="N191" s="66" t="str">
        <f aca="false">IF($L191="","",IFERROR(INDEX(记账规则!$A$6:$N$9,MATCH(购销流水!$D52,记账规则!$A$6:$A$9,0),8),""))</f>
        <v/>
      </c>
      <c r="O191" s="67" t="n">
        <f aca="false">IF($H191="",0,ROUND(IF($N191="成本金额",N(购销流水!$W52),IF($N191="金额",N(购销流水!$Q52),0)),2))</f>
        <v>0</v>
      </c>
      <c r="P191" s="64" t="str">
        <f aca="false">IF(AND($H191&lt;&gt;"",ROUND($O191,2)&lt;&gt;0),"有","")</f>
        <v/>
      </c>
    </row>
    <row r="192" customFormat="false" ht="15" hidden="true" customHeight="false" outlineLevel="0" collapsed="false">
      <c r="A192" s="53" t="str">
        <f aca="false">IF($H192="","",ROW()-5)</f>
        <v/>
      </c>
      <c r="B192" s="64" t="s">
        <v>36</v>
      </c>
      <c r="C192" s="53" t="n">
        <v>52</v>
      </c>
      <c r="D192" s="53" t="n">
        <v>3</v>
      </c>
      <c r="E192" s="65" t="str">
        <f aca="false">IF($H192="","",购销流水!$B52)</f>
        <v/>
      </c>
      <c r="F192" s="55" t="str">
        <f aca="false">IF($H192="","",购销流水!$C52)</f>
        <v/>
      </c>
      <c r="G192" s="48" t="str">
        <f aca="false">IF($H192="","",购销流水!$N52)</f>
        <v/>
      </c>
      <c r="H192" s="10" t="str">
        <f aca="false">IF($L192="","",IF($L192="@成本",购销流水!$U52,IF($L192="@收入",购销流水!$T52,IF($L192="@存货",购销流水!$S52,IF($L192="@结算",购销流水!$R52,$L192)))))</f>
        <v/>
      </c>
      <c r="I192" s="42" t="n">
        <f aca="false">IF($M192="借",$O192,0)</f>
        <v>0</v>
      </c>
      <c r="J192" s="42" t="n">
        <f aca="false">IF($M192="贷",$O192,0)</f>
        <v>0</v>
      </c>
      <c r="K192" s="48" t="str">
        <f aca="false">IF($H192="","",购销流水!$E52)</f>
        <v/>
      </c>
      <c r="L192" s="66" t="str">
        <f aca="false">IF(购销流水!$D52="","",IFERROR(INDEX(记账规则!$A$6:$N$9,MATCH(购销流水!$D52,记账规则!$A$6:$A$9,0),9),""))</f>
        <v/>
      </c>
      <c r="M192" s="66" t="str">
        <f aca="false">IF($L192="","",IFERROR(INDEX(记账规则!$A$6:$N$9,MATCH(购销流水!$D52,记账规则!$A$6:$A$9,0),10),""))</f>
        <v/>
      </c>
      <c r="N192" s="66" t="str">
        <f aca="false">IF($L192="","",IFERROR(INDEX(记账规则!$A$6:$N$9,MATCH(购销流水!$D52,记账规则!$A$6:$A$9,0),11),""))</f>
        <v/>
      </c>
      <c r="O192" s="67" t="n">
        <f aca="false">IF($H192="",0,ROUND(IF($N192="成本金额",N(购销流水!$W52),IF($N192="金额",N(购销流水!$Q52),0)),2))</f>
        <v>0</v>
      </c>
      <c r="P192" s="64" t="str">
        <f aca="false">IF(AND($H192&lt;&gt;"",ROUND($O192,2)&lt;&gt;0),"有","")</f>
        <v/>
      </c>
    </row>
    <row r="193" customFormat="false" ht="15" hidden="true" customHeight="false" outlineLevel="0" collapsed="false">
      <c r="A193" s="53" t="str">
        <f aca="false">IF($H193="","",ROW()-5)</f>
        <v/>
      </c>
      <c r="B193" s="64" t="s">
        <v>36</v>
      </c>
      <c r="C193" s="53" t="n">
        <v>52</v>
      </c>
      <c r="D193" s="53" t="n">
        <v>4</v>
      </c>
      <c r="E193" s="65" t="str">
        <f aca="false">IF($H193="","",购销流水!$B52)</f>
        <v/>
      </c>
      <c r="F193" s="55" t="str">
        <f aca="false">IF($H193="","",购销流水!$C52)</f>
        <v/>
      </c>
      <c r="G193" s="48" t="str">
        <f aca="false">IF($H193="","",购销流水!$N52)</f>
        <v/>
      </c>
      <c r="H193" s="10" t="str">
        <f aca="false">IF($L193="","",IF($L193="@成本",购销流水!$U52,IF($L193="@收入",购销流水!$T52,IF($L193="@存货",购销流水!$S52,IF($L193="@结算",购销流水!$R52,$L193)))))</f>
        <v/>
      </c>
      <c r="I193" s="42" t="n">
        <f aca="false">IF($M193="借",$O193,0)</f>
        <v>0</v>
      </c>
      <c r="J193" s="42" t="n">
        <f aca="false">IF($M193="贷",$O193,0)</f>
        <v>0</v>
      </c>
      <c r="K193" s="48" t="str">
        <f aca="false">IF($H193="","",购销流水!$E52)</f>
        <v/>
      </c>
      <c r="L193" s="66" t="str">
        <f aca="false">IF(购销流水!$D52="","",IFERROR(INDEX(记账规则!$A$6:$N$9,MATCH(购销流水!$D52,记账规则!$A$6:$A$9,0),12),""))</f>
        <v/>
      </c>
      <c r="M193" s="66" t="str">
        <f aca="false">IF($L193="","",IFERROR(INDEX(记账规则!$A$6:$N$9,MATCH(购销流水!$D52,记账规则!$A$6:$A$9,0),13),""))</f>
        <v/>
      </c>
      <c r="N193" s="66" t="str">
        <f aca="false">IF($L193="","",IFERROR(INDEX(记账规则!$A$6:$N$9,MATCH(购销流水!$D52,记账规则!$A$6:$A$9,0),14),""))</f>
        <v/>
      </c>
      <c r="O193" s="67" t="n">
        <f aca="false">IF($H193="",0,ROUND(IF($N193="成本金额",N(购销流水!$W52),IF($N193="金额",N(购销流水!$Q52),0)),2))</f>
        <v>0</v>
      </c>
      <c r="P193" s="64" t="str">
        <f aca="false">IF(AND($H193&lt;&gt;"",ROUND($O193,2)&lt;&gt;0),"有","")</f>
        <v/>
      </c>
    </row>
    <row r="194" customFormat="false" ht="15" hidden="true" customHeight="false" outlineLevel="0" collapsed="false">
      <c r="A194" s="53" t="str">
        <f aca="false">IF($H194="","",ROW()-5)</f>
        <v/>
      </c>
      <c r="B194" s="64" t="s">
        <v>36</v>
      </c>
      <c r="C194" s="53" t="n">
        <v>53</v>
      </c>
      <c r="D194" s="53" t="n">
        <v>1</v>
      </c>
      <c r="E194" s="65" t="str">
        <f aca="false">IF($H194="","",购销流水!$B53)</f>
        <v/>
      </c>
      <c r="F194" s="55" t="str">
        <f aca="false">IF($H194="","",购销流水!$C53)</f>
        <v/>
      </c>
      <c r="G194" s="48" t="str">
        <f aca="false">IF($H194="","",购销流水!$N53)</f>
        <v/>
      </c>
      <c r="H194" s="10" t="str">
        <f aca="false">IF($L194="","",IF($L194="@成本",购销流水!$U53,IF($L194="@收入",购销流水!$T53,IF($L194="@存货",购销流水!$S53,IF($L194="@结算",购销流水!$R53,$L194)))))</f>
        <v/>
      </c>
      <c r="I194" s="42" t="n">
        <f aca="false">IF($M194="借",$O194,0)</f>
        <v>0</v>
      </c>
      <c r="J194" s="42" t="n">
        <f aca="false">IF($M194="贷",$O194,0)</f>
        <v>0</v>
      </c>
      <c r="K194" s="48" t="str">
        <f aca="false">IF($H194="","",购销流水!$E53)</f>
        <v/>
      </c>
      <c r="L194" s="66" t="str">
        <f aca="false">IF(购销流水!$D53="","",IFERROR(INDEX(记账规则!$A$6:$N$9,MATCH(购销流水!$D53,记账规则!$A$6:$A$9,0),3),""))</f>
        <v/>
      </c>
      <c r="M194" s="66" t="str">
        <f aca="false">IF($L194="","",IFERROR(INDEX(记账规则!$A$6:$N$9,MATCH(购销流水!$D53,记账规则!$A$6:$A$9,0),4),""))</f>
        <v/>
      </c>
      <c r="N194" s="66" t="str">
        <f aca="false">IF($L194="","",IFERROR(INDEX(记账规则!$A$6:$N$9,MATCH(购销流水!$D53,记账规则!$A$6:$A$9,0),5),""))</f>
        <v/>
      </c>
      <c r="O194" s="67" t="n">
        <f aca="false">IF($H194="",0,ROUND(IF($N194="成本金额",N(购销流水!$W53),IF($N194="金额",N(购销流水!$Q53),0)),2))</f>
        <v>0</v>
      </c>
      <c r="P194" s="64" t="str">
        <f aca="false">IF(AND($H194&lt;&gt;"",ROUND($O194,2)&lt;&gt;0),"有","")</f>
        <v/>
      </c>
    </row>
    <row r="195" customFormat="false" ht="15" hidden="true" customHeight="false" outlineLevel="0" collapsed="false">
      <c r="A195" s="53" t="str">
        <f aca="false">IF($H195="","",ROW()-5)</f>
        <v/>
      </c>
      <c r="B195" s="64" t="s">
        <v>36</v>
      </c>
      <c r="C195" s="53" t="n">
        <v>53</v>
      </c>
      <c r="D195" s="53" t="n">
        <v>2</v>
      </c>
      <c r="E195" s="65" t="str">
        <f aca="false">IF($H195="","",购销流水!$B53)</f>
        <v/>
      </c>
      <c r="F195" s="55" t="str">
        <f aca="false">IF($H195="","",购销流水!$C53)</f>
        <v/>
      </c>
      <c r="G195" s="48" t="str">
        <f aca="false">IF($H195="","",购销流水!$N53)</f>
        <v/>
      </c>
      <c r="H195" s="10" t="str">
        <f aca="false">IF($L195="","",IF($L195="@成本",购销流水!$U53,IF($L195="@收入",购销流水!$T53,IF($L195="@存货",购销流水!$S53,IF($L195="@结算",购销流水!$R53,$L195)))))</f>
        <v/>
      </c>
      <c r="I195" s="42" t="n">
        <f aca="false">IF($M195="借",$O195,0)</f>
        <v>0</v>
      </c>
      <c r="J195" s="42" t="n">
        <f aca="false">IF($M195="贷",$O195,0)</f>
        <v>0</v>
      </c>
      <c r="K195" s="48" t="str">
        <f aca="false">IF($H195="","",购销流水!$E53)</f>
        <v/>
      </c>
      <c r="L195" s="66" t="str">
        <f aca="false">IF(购销流水!$D53="","",IFERROR(INDEX(记账规则!$A$6:$N$9,MATCH(购销流水!$D53,记账规则!$A$6:$A$9,0),6),""))</f>
        <v/>
      </c>
      <c r="M195" s="66" t="str">
        <f aca="false">IF($L195="","",IFERROR(INDEX(记账规则!$A$6:$N$9,MATCH(购销流水!$D53,记账规则!$A$6:$A$9,0),7),""))</f>
        <v/>
      </c>
      <c r="N195" s="66" t="str">
        <f aca="false">IF($L195="","",IFERROR(INDEX(记账规则!$A$6:$N$9,MATCH(购销流水!$D53,记账规则!$A$6:$A$9,0),8),""))</f>
        <v/>
      </c>
      <c r="O195" s="67" t="n">
        <f aca="false">IF($H195="",0,ROUND(IF($N195="成本金额",N(购销流水!$W53),IF($N195="金额",N(购销流水!$Q53),0)),2))</f>
        <v>0</v>
      </c>
      <c r="P195" s="64" t="str">
        <f aca="false">IF(AND($H195&lt;&gt;"",ROUND($O195,2)&lt;&gt;0),"有","")</f>
        <v/>
      </c>
    </row>
    <row r="196" customFormat="false" ht="15" hidden="true" customHeight="false" outlineLevel="0" collapsed="false">
      <c r="A196" s="53" t="str">
        <f aca="false">IF($H196="","",ROW()-5)</f>
        <v/>
      </c>
      <c r="B196" s="64" t="s">
        <v>36</v>
      </c>
      <c r="C196" s="53" t="n">
        <v>53</v>
      </c>
      <c r="D196" s="53" t="n">
        <v>3</v>
      </c>
      <c r="E196" s="65" t="str">
        <f aca="false">IF($H196="","",购销流水!$B53)</f>
        <v/>
      </c>
      <c r="F196" s="55" t="str">
        <f aca="false">IF($H196="","",购销流水!$C53)</f>
        <v/>
      </c>
      <c r="G196" s="48" t="str">
        <f aca="false">IF($H196="","",购销流水!$N53)</f>
        <v/>
      </c>
      <c r="H196" s="10" t="str">
        <f aca="false">IF($L196="","",IF($L196="@成本",购销流水!$U53,IF($L196="@收入",购销流水!$T53,IF($L196="@存货",购销流水!$S53,IF($L196="@结算",购销流水!$R53,$L196)))))</f>
        <v/>
      </c>
      <c r="I196" s="42" t="n">
        <f aca="false">IF($M196="借",$O196,0)</f>
        <v>0</v>
      </c>
      <c r="J196" s="42" t="n">
        <f aca="false">IF($M196="贷",$O196,0)</f>
        <v>0</v>
      </c>
      <c r="K196" s="48" t="str">
        <f aca="false">IF($H196="","",购销流水!$E53)</f>
        <v/>
      </c>
      <c r="L196" s="66" t="str">
        <f aca="false">IF(购销流水!$D53="","",IFERROR(INDEX(记账规则!$A$6:$N$9,MATCH(购销流水!$D53,记账规则!$A$6:$A$9,0),9),""))</f>
        <v/>
      </c>
      <c r="M196" s="66" t="str">
        <f aca="false">IF($L196="","",IFERROR(INDEX(记账规则!$A$6:$N$9,MATCH(购销流水!$D53,记账规则!$A$6:$A$9,0),10),""))</f>
        <v/>
      </c>
      <c r="N196" s="66" t="str">
        <f aca="false">IF($L196="","",IFERROR(INDEX(记账规则!$A$6:$N$9,MATCH(购销流水!$D53,记账规则!$A$6:$A$9,0),11),""))</f>
        <v/>
      </c>
      <c r="O196" s="67" t="n">
        <f aca="false">IF($H196="",0,ROUND(IF($N196="成本金额",N(购销流水!$W53),IF($N196="金额",N(购销流水!$Q53),0)),2))</f>
        <v>0</v>
      </c>
      <c r="P196" s="64" t="str">
        <f aca="false">IF(AND($H196&lt;&gt;"",ROUND($O196,2)&lt;&gt;0),"有","")</f>
        <v/>
      </c>
    </row>
    <row r="197" customFormat="false" ht="15" hidden="true" customHeight="false" outlineLevel="0" collapsed="false">
      <c r="A197" s="53" t="str">
        <f aca="false">IF($H197="","",ROW()-5)</f>
        <v/>
      </c>
      <c r="B197" s="64" t="s">
        <v>36</v>
      </c>
      <c r="C197" s="53" t="n">
        <v>53</v>
      </c>
      <c r="D197" s="53" t="n">
        <v>4</v>
      </c>
      <c r="E197" s="65" t="str">
        <f aca="false">IF($H197="","",购销流水!$B53)</f>
        <v/>
      </c>
      <c r="F197" s="55" t="str">
        <f aca="false">IF($H197="","",购销流水!$C53)</f>
        <v/>
      </c>
      <c r="G197" s="48" t="str">
        <f aca="false">IF($H197="","",购销流水!$N53)</f>
        <v/>
      </c>
      <c r="H197" s="10" t="str">
        <f aca="false">IF($L197="","",IF($L197="@成本",购销流水!$U53,IF($L197="@收入",购销流水!$T53,IF($L197="@存货",购销流水!$S53,IF($L197="@结算",购销流水!$R53,$L197)))))</f>
        <v/>
      </c>
      <c r="I197" s="42" t="n">
        <f aca="false">IF($M197="借",$O197,0)</f>
        <v>0</v>
      </c>
      <c r="J197" s="42" t="n">
        <f aca="false">IF($M197="贷",$O197,0)</f>
        <v>0</v>
      </c>
      <c r="K197" s="48" t="str">
        <f aca="false">IF($H197="","",购销流水!$E53)</f>
        <v/>
      </c>
      <c r="L197" s="66" t="str">
        <f aca="false">IF(购销流水!$D53="","",IFERROR(INDEX(记账规则!$A$6:$N$9,MATCH(购销流水!$D53,记账规则!$A$6:$A$9,0),12),""))</f>
        <v/>
      </c>
      <c r="M197" s="66" t="str">
        <f aca="false">IF($L197="","",IFERROR(INDEX(记账规则!$A$6:$N$9,MATCH(购销流水!$D53,记账规则!$A$6:$A$9,0),13),""))</f>
        <v/>
      </c>
      <c r="N197" s="66" t="str">
        <f aca="false">IF($L197="","",IFERROR(INDEX(记账规则!$A$6:$N$9,MATCH(购销流水!$D53,记账规则!$A$6:$A$9,0),14),""))</f>
        <v/>
      </c>
      <c r="O197" s="67" t="n">
        <f aca="false">IF($H197="",0,ROUND(IF($N197="成本金额",N(购销流水!$W53),IF($N197="金额",N(购销流水!$Q53),0)),2))</f>
        <v>0</v>
      </c>
      <c r="P197" s="64" t="str">
        <f aca="false">IF(AND($H197&lt;&gt;"",ROUND($O197,2)&lt;&gt;0),"有","")</f>
        <v/>
      </c>
    </row>
    <row r="198" customFormat="false" ht="15" hidden="true" customHeight="false" outlineLevel="0" collapsed="false">
      <c r="A198" s="53" t="str">
        <f aca="false">IF($H198="","",ROW()-5)</f>
        <v/>
      </c>
      <c r="B198" s="64" t="s">
        <v>36</v>
      </c>
      <c r="C198" s="53" t="n">
        <v>54</v>
      </c>
      <c r="D198" s="53" t="n">
        <v>1</v>
      </c>
      <c r="E198" s="65" t="str">
        <f aca="false">IF($H198="","",购销流水!$B54)</f>
        <v/>
      </c>
      <c r="F198" s="55" t="str">
        <f aca="false">IF($H198="","",购销流水!$C54)</f>
        <v/>
      </c>
      <c r="G198" s="48" t="str">
        <f aca="false">IF($H198="","",购销流水!$N54)</f>
        <v/>
      </c>
      <c r="H198" s="10" t="str">
        <f aca="false">IF($L198="","",IF($L198="@成本",购销流水!$U54,IF($L198="@收入",购销流水!$T54,IF($L198="@存货",购销流水!$S54,IF($L198="@结算",购销流水!$R54,$L198)))))</f>
        <v/>
      </c>
      <c r="I198" s="42" t="n">
        <f aca="false">IF($M198="借",$O198,0)</f>
        <v>0</v>
      </c>
      <c r="J198" s="42" t="n">
        <f aca="false">IF($M198="贷",$O198,0)</f>
        <v>0</v>
      </c>
      <c r="K198" s="48" t="str">
        <f aca="false">IF($H198="","",购销流水!$E54)</f>
        <v/>
      </c>
      <c r="L198" s="66" t="str">
        <f aca="false">IF(购销流水!$D54="","",IFERROR(INDEX(记账规则!$A$6:$N$9,MATCH(购销流水!$D54,记账规则!$A$6:$A$9,0),3),""))</f>
        <v/>
      </c>
      <c r="M198" s="66" t="str">
        <f aca="false">IF($L198="","",IFERROR(INDEX(记账规则!$A$6:$N$9,MATCH(购销流水!$D54,记账规则!$A$6:$A$9,0),4),""))</f>
        <v/>
      </c>
      <c r="N198" s="66" t="str">
        <f aca="false">IF($L198="","",IFERROR(INDEX(记账规则!$A$6:$N$9,MATCH(购销流水!$D54,记账规则!$A$6:$A$9,0),5),""))</f>
        <v/>
      </c>
      <c r="O198" s="67" t="n">
        <f aca="false">IF($H198="",0,ROUND(IF($N198="成本金额",N(购销流水!$W54),IF($N198="金额",N(购销流水!$Q54),0)),2))</f>
        <v>0</v>
      </c>
      <c r="P198" s="64" t="str">
        <f aca="false">IF(AND($H198&lt;&gt;"",ROUND($O198,2)&lt;&gt;0),"有","")</f>
        <v/>
      </c>
    </row>
    <row r="199" customFormat="false" ht="15" hidden="true" customHeight="false" outlineLevel="0" collapsed="false">
      <c r="A199" s="53" t="str">
        <f aca="false">IF($H199="","",ROW()-5)</f>
        <v/>
      </c>
      <c r="B199" s="64" t="s">
        <v>36</v>
      </c>
      <c r="C199" s="53" t="n">
        <v>54</v>
      </c>
      <c r="D199" s="53" t="n">
        <v>2</v>
      </c>
      <c r="E199" s="65" t="str">
        <f aca="false">IF($H199="","",购销流水!$B54)</f>
        <v/>
      </c>
      <c r="F199" s="55" t="str">
        <f aca="false">IF($H199="","",购销流水!$C54)</f>
        <v/>
      </c>
      <c r="G199" s="48" t="str">
        <f aca="false">IF($H199="","",购销流水!$N54)</f>
        <v/>
      </c>
      <c r="H199" s="10" t="str">
        <f aca="false">IF($L199="","",IF($L199="@成本",购销流水!$U54,IF($L199="@收入",购销流水!$T54,IF($L199="@存货",购销流水!$S54,IF($L199="@结算",购销流水!$R54,$L199)))))</f>
        <v/>
      </c>
      <c r="I199" s="42" t="n">
        <f aca="false">IF($M199="借",$O199,0)</f>
        <v>0</v>
      </c>
      <c r="J199" s="42" t="n">
        <f aca="false">IF($M199="贷",$O199,0)</f>
        <v>0</v>
      </c>
      <c r="K199" s="48" t="str">
        <f aca="false">IF($H199="","",购销流水!$E54)</f>
        <v/>
      </c>
      <c r="L199" s="66" t="str">
        <f aca="false">IF(购销流水!$D54="","",IFERROR(INDEX(记账规则!$A$6:$N$9,MATCH(购销流水!$D54,记账规则!$A$6:$A$9,0),6),""))</f>
        <v/>
      </c>
      <c r="M199" s="66" t="str">
        <f aca="false">IF($L199="","",IFERROR(INDEX(记账规则!$A$6:$N$9,MATCH(购销流水!$D54,记账规则!$A$6:$A$9,0),7),""))</f>
        <v/>
      </c>
      <c r="N199" s="66" t="str">
        <f aca="false">IF($L199="","",IFERROR(INDEX(记账规则!$A$6:$N$9,MATCH(购销流水!$D54,记账规则!$A$6:$A$9,0),8),""))</f>
        <v/>
      </c>
      <c r="O199" s="67" t="n">
        <f aca="false">IF($H199="",0,ROUND(IF($N199="成本金额",N(购销流水!$W54),IF($N199="金额",N(购销流水!$Q54),0)),2))</f>
        <v>0</v>
      </c>
      <c r="P199" s="64" t="str">
        <f aca="false">IF(AND($H199&lt;&gt;"",ROUND($O199,2)&lt;&gt;0),"有","")</f>
        <v/>
      </c>
    </row>
    <row r="200" customFormat="false" ht="15" hidden="true" customHeight="false" outlineLevel="0" collapsed="false">
      <c r="A200" s="53" t="str">
        <f aca="false">IF($H200="","",ROW()-5)</f>
        <v/>
      </c>
      <c r="B200" s="64" t="s">
        <v>36</v>
      </c>
      <c r="C200" s="53" t="n">
        <v>54</v>
      </c>
      <c r="D200" s="53" t="n">
        <v>3</v>
      </c>
      <c r="E200" s="65" t="str">
        <f aca="false">IF($H200="","",购销流水!$B54)</f>
        <v/>
      </c>
      <c r="F200" s="55" t="str">
        <f aca="false">IF($H200="","",购销流水!$C54)</f>
        <v/>
      </c>
      <c r="G200" s="48" t="str">
        <f aca="false">IF($H200="","",购销流水!$N54)</f>
        <v/>
      </c>
      <c r="H200" s="10" t="str">
        <f aca="false">IF($L200="","",IF($L200="@成本",购销流水!$U54,IF($L200="@收入",购销流水!$T54,IF($L200="@存货",购销流水!$S54,IF($L200="@结算",购销流水!$R54,$L200)))))</f>
        <v/>
      </c>
      <c r="I200" s="42" t="n">
        <f aca="false">IF($M200="借",$O200,0)</f>
        <v>0</v>
      </c>
      <c r="J200" s="42" t="n">
        <f aca="false">IF($M200="贷",$O200,0)</f>
        <v>0</v>
      </c>
      <c r="K200" s="48" t="str">
        <f aca="false">IF($H200="","",购销流水!$E54)</f>
        <v/>
      </c>
      <c r="L200" s="66" t="str">
        <f aca="false">IF(购销流水!$D54="","",IFERROR(INDEX(记账规则!$A$6:$N$9,MATCH(购销流水!$D54,记账规则!$A$6:$A$9,0),9),""))</f>
        <v/>
      </c>
      <c r="M200" s="66" t="str">
        <f aca="false">IF($L200="","",IFERROR(INDEX(记账规则!$A$6:$N$9,MATCH(购销流水!$D54,记账规则!$A$6:$A$9,0),10),""))</f>
        <v/>
      </c>
      <c r="N200" s="66" t="str">
        <f aca="false">IF($L200="","",IFERROR(INDEX(记账规则!$A$6:$N$9,MATCH(购销流水!$D54,记账规则!$A$6:$A$9,0),11),""))</f>
        <v/>
      </c>
      <c r="O200" s="67" t="n">
        <f aca="false">IF($H200="",0,ROUND(IF($N200="成本金额",N(购销流水!$W54),IF($N200="金额",N(购销流水!$Q54),0)),2))</f>
        <v>0</v>
      </c>
      <c r="P200" s="64" t="str">
        <f aca="false">IF(AND($H200&lt;&gt;"",ROUND($O200,2)&lt;&gt;0),"有","")</f>
        <v/>
      </c>
    </row>
    <row r="201" customFormat="false" ht="15" hidden="true" customHeight="false" outlineLevel="0" collapsed="false">
      <c r="A201" s="53" t="str">
        <f aca="false">IF($H201="","",ROW()-5)</f>
        <v/>
      </c>
      <c r="B201" s="64" t="s">
        <v>36</v>
      </c>
      <c r="C201" s="53" t="n">
        <v>54</v>
      </c>
      <c r="D201" s="53" t="n">
        <v>4</v>
      </c>
      <c r="E201" s="65" t="str">
        <f aca="false">IF($H201="","",购销流水!$B54)</f>
        <v/>
      </c>
      <c r="F201" s="55" t="str">
        <f aca="false">IF($H201="","",购销流水!$C54)</f>
        <v/>
      </c>
      <c r="G201" s="48" t="str">
        <f aca="false">IF($H201="","",购销流水!$N54)</f>
        <v/>
      </c>
      <c r="H201" s="10" t="str">
        <f aca="false">IF($L201="","",IF($L201="@成本",购销流水!$U54,IF($L201="@收入",购销流水!$T54,IF($L201="@存货",购销流水!$S54,IF($L201="@结算",购销流水!$R54,$L201)))))</f>
        <v/>
      </c>
      <c r="I201" s="42" t="n">
        <f aca="false">IF($M201="借",$O201,0)</f>
        <v>0</v>
      </c>
      <c r="J201" s="42" t="n">
        <f aca="false">IF($M201="贷",$O201,0)</f>
        <v>0</v>
      </c>
      <c r="K201" s="48" t="str">
        <f aca="false">IF($H201="","",购销流水!$E54)</f>
        <v/>
      </c>
      <c r="L201" s="66" t="str">
        <f aca="false">IF(购销流水!$D54="","",IFERROR(INDEX(记账规则!$A$6:$N$9,MATCH(购销流水!$D54,记账规则!$A$6:$A$9,0),12),""))</f>
        <v/>
      </c>
      <c r="M201" s="66" t="str">
        <f aca="false">IF($L201="","",IFERROR(INDEX(记账规则!$A$6:$N$9,MATCH(购销流水!$D54,记账规则!$A$6:$A$9,0),13),""))</f>
        <v/>
      </c>
      <c r="N201" s="66" t="str">
        <f aca="false">IF($L201="","",IFERROR(INDEX(记账规则!$A$6:$N$9,MATCH(购销流水!$D54,记账规则!$A$6:$A$9,0),14),""))</f>
        <v/>
      </c>
      <c r="O201" s="67" t="n">
        <f aca="false">IF($H201="",0,ROUND(IF($N201="成本金额",N(购销流水!$W54),IF($N201="金额",N(购销流水!$Q54),0)),2))</f>
        <v>0</v>
      </c>
      <c r="P201" s="64" t="str">
        <f aca="false">IF(AND($H201&lt;&gt;"",ROUND($O201,2)&lt;&gt;0),"有","")</f>
        <v/>
      </c>
    </row>
    <row r="202" customFormat="false" ht="15" hidden="true" customHeight="false" outlineLevel="0" collapsed="false">
      <c r="A202" s="53" t="str">
        <f aca="false">IF($H202="","",ROW()-5)</f>
        <v/>
      </c>
      <c r="B202" s="64" t="s">
        <v>36</v>
      </c>
      <c r="C202" s="53" t="n">
        <v>55</v>
      </c>
      <c r="D202" s="53" t="n">
        <v>1</v>
      </c>
      <c r="E202" s="65" t="str">
        <f aca="false">IF($H202="","",购销流水!$B55)</f>
        <v/>
      </c>
      <c r="F202" s="55" t="str">
        <f aca="false">IF($H202="","",购销流水!$C55)</f>
        <v/>
      </c>
      <c r="G202" s="48" t="str">
        <f aca="false">IF($H202="","",购销流水!$N55)</f>
        <v/>
      </c>
      <c r="H202" s="10" t="str">
        <f aca="false">IF($L202="","",IF($L202="@成本",购销流水!$U55,IF($L202="@收入",购销流水!$T55,IF($L202="@存货",购销流水!$S55,IF($L202="@结算",购销流水!$R55,$L202)))))</f>
        <v/>
      </c>
      <c r="I202" s="42" t="n">
        <f aca="false">IF($M202="借",$O202,0)</f>
        <v>0</v>
      </c>
      <c r="J202" s="42" t="n">
        <f aca="false">IF($M202="贷",$O202,0)</f>
        <v>0</v>
      </c>
      <c r="K202" s="48" t="str">
        <f aca="false">IF($H202="","",购销流水!$E55)</f>
        <v/>
      </c>
      <c r="L202" s="66" t="str">
        <f aca="false">IF(购销流水!$D55="","",IFERROR(INDEX(记账规则!$A$6:$N$9,MATCH(购销流水!$D55,记账规则!$A$6:$A$9,0),3),""))</f>
        <v/>
      </c>
      <c r="M202" s="66" t="str">
        <f aca="false">IF($L202="","",IFERROR(INDEX(记账规则!$A$6:$N$9,MATCH(购销流水!$D55,记账规则!$A$6:$A$9,0),4),""))</f>
        <v/>
      </c>
      <c r="N202" s="66" t="str">
        <f aca="false">IF($L202="","",IFERROR(INDEX(记账规则!$A$6:$N$9,MATCH(购销流水!$D55,记账规则!$A$6:$A$9,0),5),""))</f>
        <v/>
      </c>
      <c r="O202" s="67" t="n">
        <f aca="false">IF($H202="",0,ROUND(IF($N202="成本金额",N(购销流水!$W55),IF($N202="金额",N(购销流水!$Q55),0)),2))</f>
        <v>0</v>
      </c>
      <c r="P202" s="64" t="str">
        <f aca="false">IF(AND($H202&lt;&gt;"",ROUND($O202,2)&lt;&gt;0),"有","")</f>
        <v/>
      </c>
    </row>
    <row r="203" customFormat="false" ht="15" hidden="true" customHeight="false" outlineLevel="0" collapsed="false">
      <c r="A203" s="53" t="str">
        <f aca="false">IF($H203="","",ROW()-5)</f>
        <v/>
      </c>
      <c r="B203" s="64" t="s">
        <v>36</v>
      </c>
      <c r="C203" s="53" t="n">
        <v>55</v>
      </c>
      <c r="D203" s="53" t="n">
        <v>2</v>
      </c>
      <c r="E203" s="65" t="str">
        <f aca="false">IF($H203="","",购销流水!$B55)</f>
        <v/>
      </c>
      <c r="F203" s="55" t="str">
        <f aca="false">IF($H203="","",购销流水!$C55)</f>
        <v/>
      </c>
      <c r="G203" s="48" t="str">
        <f aca="false">IF($H203="","",购销流水!$N55)</f>
        <v/>
      </c>
      <c r="H203" s="10" t="str">
        <f aca="false">IF($L203="","",IF($L203="@成本",购销流水!$U55,IF($L203="@收入",购销流水!$T55,IF($L203="@存货",购销流水!$S55,IF($L203="@结算",购销流水!$R55,$L203)))))</f>
        <v/>
      </c>
      <c r="I203" s="42" t="n">
        <f aca="false">IF($M203="借",$O203,0)</f>
        <v>0</v>
      </c>
      <c r="J203" s="42" t="n">
        <f aca="false">IF($M203="贷",$O203,0)</f>
        <v>0</v>
      </c>
      <c r="K203" s="48" t="str">
        <f aca="false">IF($H203="","",购销流水!$E55)</f>
        <v/>
      </c>
      <c r="L203" s="66" t="str">
        <f aca="false">IF(购销流水!$D55="","",IFERROR(INDEX(记账规则!$A$6:$N$9,MATCH(购销流水!$D55,记账规则!$A$6:$A$9,0),6),""))</f>
        <v/>
      </c>
      <c r="M203" s="66" t="str">
        <f aca="false">IF($L203="","",IFERROR(INDEX(记账规则!$A$6:$N$9,MATCH(购销流水!$D55,记账规则!$A$6:$A$9,0),7),""))</f>
        <v/>
      </c>
      <c r="N203" s="66" t="str">
        <f aca="false">IF($L203="","",IFERROR(INDEX(记账规则!$A$6:$N$9,MATCH(购销流水!$D55,记账规则!$A$6:$A$9,0),8),""))</f>
        <v/>
      </c>
      <c r="O203" s="67" t="n">
        <f aca="false">IF($H203="",0,ROUND(IF($N203="成本金额",N(购销流水!$W55),IF($N203="金额",N(购销流水!$Q55),0)),2))</f>
        <v>0</v>
      </c>
      <c r="P203" s="64" t="str">
        <f aca="false">IF(AND($H203&lt;&gt;"",ROUND($O203,2)&lt;&gt;0),"有","")</f>
        <v/>
      </c>
    </row>
    <row r="204" customFormat="false" ht="15" hidden="true" customHeight="false" outlineLevel="0" collapsed="false">
      <c r="A204" s="53" t="str">
        <f aca="false">IF($H204="","",ROW()-5)</f>
        <v/>
      </c>
      <c r="B204" s="64" t="s">
        <v>36</v>
      </c>
      <c r="C204" s="53" t="n">
        <v>55</v>
      </c>
      <c r="D204" s="53" t="n">
        <v>3</v>
      </c>
      <c r="E204" s="65" t="str">
        <f aca="false">IF($H204="","",购销流水!$B55)</f>
        <v/>
      </c>
      <c r="F204" s="55" t="str">
        <f aca="false">IF($H204="","",购销流水!$C55)</f>
        <v/>
      </c>
      <c r="G204" s="48" t="str">
        <f aca="false">IF($H204="","",购销流水!$N55)</f>
        <v/>
      </c>
      <c r="H204" s="10" t="str">
        <f aca="false">IF($L204="","",IF($L204="@成本",购销流水!$U55,IF($L204="@收入",购销流水!$T55,IF($L204="@存货",购销流水!$S55,IF($L204="@结算",购销流水!$R55,$L204)))))</f>
        <v/>
      </c>
      <c r="I204" s="42" t="n">
        <f aca="false">IF($M204="借",$O204,0)</f>
        <v>0</v>
      </c>
      <c r="J204" s="42" t="n">
        <f aca="false">IF($M204="贷",$O204,0)</f>
        <v>0</v>
      </c>
      <c r="K204" s="48" t="str">
        <f aca="false">IF($H204="","",购销流水!$E55)</f>
        <v/>
      </c>
      <c r="L204" s="66" t="str">
        <f aca="false">IF(购销流水!$D55="","",IFERROR(INDEX(记账规则!$A$6:$N$9,MATCH(购销流水!$D55,记账规则!$A$6:$A$9,0),9),""))</f>
        <v/>
      </c>
      <c r="M204" s="66" t="str">
        <f aca="false">IF($L204="","",IFERROR(INDEX(记账规则!$A$6:$N$9,MATCH(购销流水!$D55,记账规则!$A$6:$A$9,0),10),""))</f>
        <v/>
      </c>
      <c r="N204" s="66" t="str">
        <f aca="false">IF($L204="","",IFERROR(INDEX(记账规则!$A$6:$N$9,MATCH(购销流水!$D55,记账规则!$A$6:$A$9,0),11),""))</f>
        <v/>
      </c>
      <c r="O204" s="67" t="n">
        <f aca="false">IF($H204="",0,ROUND(IF($N204="成本金额",N(购销流水!$W55),IF($N204="金额",N(购销流水!$Q55),0)),2))</f>
        <v>0</v>
      </c>
      <c r="P204" s="64" t="str">
        <f aca="false">IF(AND($H204&lt;&gt;"",ROUND($O204,2)&lt;&gt;0),"有","")</f>
        <v/>
      </c>
    </row>
    <row r="205" customFormat="false" ht="15" hidden="true" customHeight="false" outlineLevel="0" collapsed="false">
      <c r="A205" s="53" t="str">
        <f aca="false">IF($H205="","",ROW()-5)</f>
        <v/>
      </c>
      <c r="B205" s="64" t="s">
        <v>36</v>
      </c>
      <c r="C205" s="53" t="n">
        <v>55</v>
      </c>
      <c r="D205" s="53" t="n">
        <v>4</v>
      </c>
      <c r="E205" s="65" t="str">
        <f aca="false">IF($H205="","",购销流水!$B55)</f>
        <v/>
      </c>
      <c r="F205" s="55" t="str">
        <f aca="false">IF($H205="","",购销流水!$C55)</f>
        <v/>
      </c>
      <c r="G205" s="48" t="str">
        <f aca="false">IF($H205="","",购销流水!$N55)</f>
        <v/>
      </c>
      <c r="H205" s="10" t="str">
        <f aca="false">IF($L205="","",IF($L205="@成本",购销流水!$U55,IF($L205="@收入",购销流水!$T55,IF($L205="@存货",购销流水!$S55,IF($L205="@结算",购销流水!$R55,$L205)))))</f>
        <v/>
      </c>
      <c r="I205" s="42" t="n">
        <f aca="false">IF($M205="借",$O205,0)</f>
        <v>0</v>
      </c>
      <c r="J205" s="42" t="n">
        <f aca="false">IF($M205="贷",$O205,0)</f>
        <v>0</v>
      </c>
      <c r="K205" s="48" t="str">
        <f aca="false">IF($H205="","",购销流水!$E55)</f>
        <v/>
      </c>
      <c r="L205" s="66" t="str">
        <f aca="false">IF(购销流水!$D55="","",IFERROR(INDEX(记账规则!$A$6:$N$9,MATCH(购销流水!$D55,记账规则!$A$6:$A$9,0),12),""))</f>
        <v/>
      </c>
      <c r="M205" s="66" t="str">
        <f aca="false">IF($L205="","",IFERROR(INDEX(记账规则!$A$6:$N$9,MATCH(购销流水!$D55,记账规则!$A$6:$A$9,0),13),""))</f>
        <v/>
      </c>
      <c r="N205" s="66" t="str">
        <f aca="false">IF($L205="","",IFERROR(INDEX(记账规则!$A$6:$N$9,MATCH(购销流水!$D55,记账规则!$A$6:$A$9,0),14),""))</f>
        <v/>
      </c>
      <c r="O205" s="67" t="n">
        <f aca="false">IF($H205="",0,ROUND(IF($N205="成本金额",N(购销流水!$W55),IF($N205="金额",N(购销流水!$Q55),0)),2))</f>
        <v>0</v>
      </c>
      <c r="P205" s="64" t="str">
        <f aca="false">IF(AND($H205&lt;&gt;"",ROUND($O205,2)&lt;&gt;0),"有","")</f>
        <v/>
      </c>
    </row>
    <row r="206" customFormat="false" ht="15" hidden="true" customHeight="false" outlineLevel="0" collapsed="false">
      <c r="A206" s="53" t="str">
        <f aca="false">IF($H206="","",ROW()-5)</f>
        <v/>
      </c>
      <c r="B206" s="64" t="s">
        <v>36</v>
      </c>
      <c r="C206" s="53" t="n">
        <v>56</v>
      </c>
      <c r="D206" s="53" t="n">
        <v>1</v>
      </c>
      <c r="E206" s="65" t="str">
        <f aca="false">IF($H206="","",购销流水!$B56)</f>
        <v/>
      </c>
      <c r="F206" s="55" t="str">
        <f aca="false">IF($H206="","",购销流水!$C56)</f>
        <v/>
      </c>
      <c r="G206" s="48" t="str">
        <f aca="false">IF($H206="","",购销流水!$N56)</f>
        <v/>
      </c>
      <c r="H206" s="10" t="str">
        <f aca="false">IF($L206="","",IF($L206="@成本",购销流水!$U56,IF($L206="@收入",购销流水!$T56,IF($L206="@存货",购销流水!$S56,IF($L206="@结算",购销流水!$R56,$L206)))))</f>
        <v/>
      </c>
      <c r="I206" s="42" t="n">
        <f aca="false">IF($M206="借",$O206,0)</f>
        <v>0</v>
      </c>
      <c r="J206" s="42" t="n">
        <f aca="false">IF($M206="贷",$O206,0)</f>
        <v>0</v>
      </c>
      <c r="K206" s="48" t="str">
        <f aca="false">IF($H206="","",购销流水!$E56)</f>
        <v/>
      </c>
      <c r="L206" s="66" t="str">
        <f aca="false">IF(购销流水!$D56="","",IFERROR(INDEX(记账规则!$A$6:$N$9,MATCH(购销流水!$D56,记账规则!$A$6:$A$9,0),3),""))</f>
        <v/>
      </c>
      <c r="M206" s="66" t="str">
        <f aca="false">IF($L206="","",IFERROR(INDEX(记账规则!$A$6:$N$9,MATCH(购销流水!$D56,记账规则!$A$6:$A$9,0),4),""))</f>
        <v/>
      </c>
      <c r="N206" s="66" t="str">
        <f aca="false">IF($L206="","",IFERROR(INDEX(记账规则!$A$6:$N$9,MATCH(购销流水!$D56,记账规则!$A$6:$A$9,0),5),""))</f>
        <v/>
      </c>
      <c r="O206" s="67" t="n">
        <f aca="false">IF($H206="",0,ROUND(IF($N206="成本金额",N(购销流水!$W56),IF($N206="金额",N(购销流水!$Q56),0)),2))</f>
        <v>0</v>
      </c>
      <c r="P206" s="64" t="str">
        <f aca="false">IF(AND($H206&lt;&gt;"",ROUND($O206,2)&lt;&gt;0),"有","")</f>
        <v/>
      </c>
    </row>
    <row r="207" customFormat="false" ht="15" hidden="true" customHeight="false" outlineLevel="0" collapsed="false">
      <c r="A207" s="53" t="str">
        <f aca="false">IF($H207="","",ROW()-5)</f>
        <v/>
      </c>
      <c r="B207" s="64" t="s">
        <v>36</v>
      </c>
      <c r="C207" s="53" t="n">
        <v>56</v>
      </c>
      <c r="D207" s="53" t="n">
        <v>2</v>
      </c>
      <c r="E207" s="65" t="str">
        <f aca="false">IF($H207="","",购销流水!$B56)</f>
        <v/>
      </c>
      <c r="F207" s="55" t="str">
        <f aca="false">IF($H207="","",购销流水!$C56)</f>
        <v/>
      </c>
      <c r="G207" s="48" t="str">
        <f aca="false">IF($H207="","",购销流水!$N56)</f>
        <v/>
      </c>
      <c r="H207" s="10" t="str">
        <f aca="false">IF($L207="","",IF($L207="@成本",购销流水!$U56,IF($L207="@收入",购销流水!$T56,IF($L207="@存货",购销流水!$S56,IF($L207="@结算",购销流水!$R56,$L207)))))</f>
        <v/>
      </c>
      <c r="I207" s="42" t="n">
        <f aca="false">IF($M207="借",$O207,0)</f>
        <v>0</v>
      </c>
      <c r="J207" s="42" t="n">
        <f aca="false">IF($M207="贷",$O207,0)</f>
        <v>0</v>
      </c>
      <c r="K207" s="48" t="str">
        <f aca="false">IF($H207="","",购销流水!$E56)</f>
        <v/>
      </c>
      <c r="L207" s="66" t="str">
        <f aca="false">IF(购销流水!$D56="","",IFERROR(INDEX(记账规则!$A$6:$N$9,MATCH(购销流水!$D56,记账规则!$A$6:$A$9,0),6),""))</f>
        <v/>
      </c>
      <c r="M207" s="66" t="str">
        <f aca="false">IF($L207="","",IFERROR(INDEX(记账规则!$A$6:$N$9,MATCH(购销流水!$D56,记账规则!$A$6:$A$9,0),7),""))</f>
        <v/>
      </c>
      <c r="N207" s="66" t="str">
        <f aca="false">IF($L207="","",IFERROR(INDEX(记账规则!$A$6:$N$9,MATCH(购销流水!$D56,记账规则!$A$6:$A$9,0),8),""))</f>
        <v/>
      </c>
      <c r="O207" s="67" t="n">
        <f aca="false">IF($H207="",0,ROUND(IF($N207="成本金额",N(购销流水!$W56),IF($N207="金额",N(购销流水!$Q56),0)),2))</f>
        <v>0</v>
      </c>
      <c r="P207" s="64" t="str">
        <f aca="false">IF(AND($H207&lt;&gt;"",ROUND($O207,2)&lt;&gt;0),"有","")</f>
        <v/>
      </c>
    </row>
    <row r="208" customFormat="false" ht="15" hidden="true" customHeight="false" outlineLevel="0" collapsed="false">
      <c r="A208" s="53" t="str">
        <f aca="false">IF($H208="","",ROW()-5)</f>
        <v/>
      </c>
      <c r="B208" s="64" t="s">
        <v>36</v>
      </c>
      <c r="C208" s="53" t="n">
        <v>56</v>
      </c>
      <c r="D208" s="53" t="n">
        <v>3</v>
      </c>
      <c r="E208" s="65" t="str">
        <f aca="false">IF($H208="","",购销流水!$B56)</f>
        <v/>
      </c>
      <c r="F208" s="55" t="str">
        <f aca="false">IF($H208="","",购销流水!$C56)</f>
        <v/>
      </c>
      <c r="G208" s="48" t="str">
        <f aca="false">IF($H208="","",购销流水!$N56)</f>
        <v/>
      </c>
      <c r="H208" s="10" t="str">
        <f aca="false">IF($L208="","",IF($L208="@成本",购销流水!$U56,IF($L208="@收入",购销流水!$T56,IF($L208="@存货",购销流水!$S56,IF($L208="@结算",购销流水!$R56,$L208)))))</f>
        <v/>
      </c>
      <c r="I208" s="42" t="n">
        <f aca="false">IF($M208="借",$O208,0)</f>
        <v>0</v>
      </c>
      <c r="J208" s="42" t="n">
        <f aca="false">IF($M208="贷",$O208,0)</f>
        <v>0</v>
      </c>
      <c r="K208" s="48" t="str">
        <f aca="false">IF($H208="","",购销流水!$E56)</f>
        <v/>
      </c>
      <c r="L208" s="66" t="str">
        <f aca="false">IF(购销流水!$D56="","",IFERROR(INDEX(记账规则!$A$6:$N$9,MATCH(购销流水!$D56,记账规则!$A$6:$A$9,0),9),""))</f>
        <v/>
      </c>
      <c r="M208" s="66" t="str">
        <f aca="false">IF($L208="","",IFERROR(INDEX(记账规则!$A$6:$N$9,MATCH(购销流水!$D56,记账规则!$A$6:$A$9,0),10),""))</f>
        <v/>
      </c>
      <c r="N208" s="66" t="str">
        <f aca="false">IF($L208="","",IFERROR(INDEX(记账规则!$A$6:$N$9,MATCH(购销流水!$D56,记账规则!$A$6:$A$9,0),11),""))</f>
        <v/>
      </c>
      <c r="O208" s="67" t="n">
        <f aca="false">IF($H208="",0,ROUND(IF($N208="成本金额",N(购销流水!$W56),IF($N208="金额",N(购销流水!$Q56),0)),2))</f>
        <v>0</v>
      </c>
      <c r="P208" s="64" t="str">
        <f aca="false">IF(AND($H208&lt;&gt;"",ROUND($O208,2)&lt;&gt;0),"有","")</f>
        <v/>
      </c>
    </row>
    <row r="209" customFormat="false" ht="15" hidden="true" customHeight="false" outlineLevel="0" collapsed="false">
      <c r="A209" s="53" t="str">
        <f aca="false">IF($H209="","",ROW()-5)</f>
        <v/>
      </c>
      <c r="B209" s="64" t="s">
        <v>36</v>
      </c>
      <c r="C209" s="53" t="n">
        <v>56</v>
      </c>
      <c r="D209" s="53" t="n">
        <v>4</v>
      </c>
      <c r="E209" s="65" t="str">
        <f aca="false">IF($H209="","",购销流水!$B56)</f>
        <v/>
      </c>
      <c r="F209" s="55" t="str">
        <f aca="false">IF($H209="","",购销流水!$C56)</f>
        <v/>
      </c>
      <c r="G209" s="48" t="str">
        <f aca="false">IF($H209="","",购销流水!$N56)</f>
        <v/>
      </c>
      <c r="H209" s="10" t="str">
        <f aca="false">IF($L209="","",IF($L209="@成本",购销流水!$U56,IF($L209="@收入",购销流水!$T56,IF($L209="@存货",购销流水!$S56,IF($L209="@结算",购销流水!$R56,$L209)))))</f>
        <v/>
      </c>
      <c r="I209" s="42" t="n">
        <f aca="false">IF($M209="借",$O209,0)</f>
        <v>0</v>
      </c>
      <c r="J209" s="42" t="n">
        <f aca="false">IF($M209="贷",$O209,0)</f>
        <v>0</v>
      </c>
      <c r="K209" s="48" t="str">
        <f aca="false">IF($H209="","",购销流水!$E56)</f>
        <v/>
      </c>
      <c r="L209" s="66" t="str">
        <f aca="false">IF(购销流水!$D56="","",IFERROR(INDEX(记账规则!$A$6:$N$9,MATCH(购销流水!$D56,记账规则!$A$6:$A$9,0),12),""))</f>
        <v/>
      </c>
      <c r="M209" s="66" t="str">
        <f aca="false">IF($L209="","",IFERROR(INDEX(记账规则!$A$6:$N$9,MATCH(购销流水!$D56,记账规则!$A$6:$A$9,0),13),""))</f>
        <v/>
      </c>
      <c r="N209" s="66" t="str">
        <f aca="false">IF($L209="","",IFERROR(INDEX(记账规则!$A$6:$N$9,MATCH(购销流水!$D56,记账规则!$A$6:$A$9,0),14),""))</f>
        <v/>
      </c>
      <c r="O209" s="67" t="n">
        <f aca="false">IF($H209="",0,ROUND(IF($N209="成本金额",N(购销流水!$W56),IF($N209="金额",N(购销流水!$Q56),0)),2))</f>
        <v>0</v>
      </c>
      <c r="P209" s="64" t="str">
        <f aca="false">IF(AND($H209&lt;&gt;"",ROUND($O209,2)&lt;&gt;0),"有","")</f>
        <v/>
      </c>
    </row>
    <row r="210" customFormat="false" ht="15" hidden="true" customHeight="false" outlineLevel="0" collapsed="false">
      <c r="A210" s="53" t="str">
        <f aca="false">IF($H210="","",ROW()-5)</f>
        <v/>
      </c>
      <c r="B210" s="64" t="s">
        <v>36</v>
      </c>
      <c r="C210" s="53" t="n">
        <v>57</v>
      </c>
      <c r="D210" s="53" t="n">
        <v>1</v>
      </c>
      <c r="E210" s="65" t="str">
        <f aca="false">IF($H210="","",购销流水!$B57)</f>
        <v/>
      </c>
      <c r="F210" s="55" t="str">
        <f aca="false">IF($H210="","",购销流水!$C57)</f>
        <v/>
      </c>
      <c r="G210" s="48" t="str">
        <f aca="false">IF($H210="","",购销流水!$N57)</f>
        <v/>
      </c>
      <c r="H210" s="10" t="str">
        <f aca="false">IF($L210="","",IF($L210="@成本",购销流水!$U57,IF($L210="@收入",购销流水!$T57,IF($L210="@存货",购销流水!$S57,IF($L210="@结算",购销流水!$R57,$L210)))))</f>
        <v/>
      </c>
      <c r="I210" s="42" t="n">
        <f aca="false">IF($M210="借",$O210,0)</f>
        <v>0</v>
      </c>
      <c r="J210" s="42" t="n">
        <f aca="false">IF($M210="贷",$O210,0)</f>
        <v>0</v>
      </c>
      <c r="K210" s="48" t="str">
        <f aca="false">IF($H210="","",购销流水!$E57)</f>
        <v/>
      </c>
      <c r="L210" s="66" t="str">
        <f aca="false">IF(购销流水!$D57="","",IFERROR(INDEX(记账规则!$A$6:$N$9,MATCH(购销流水!$D57,记账规则!$A$6:$A$9,0),3),""))</f>
        <v/>
      </c>
      <c r="M210" s="66" t="str">
        <f aca="false">IF($L210="","",IFERROR(INDEX(记账规则!$A$6:$N$9,MATCH(购销流水!$D57,记账规则!$A$6:$A$9,0),4),""))</f>
        <v/>
      </c>
      <c r="N210" s="66" t="str">
        <f aca="false">IF($L210="","",IFERROR(INDEX(记账规则!$A$6:$N$9,MATCH(购销流水!$D57,记账规则!$A$6:$A$9,0),5),""))</f>
        <v/>
      </c>
      <c r="O210" s="67" t="n">
        <f aca="false">IF($H210="",0,ROUND(IF($N210="成本金额",N(购销流水!$W57),IF($N210="金额",N(购销流水!$Q57),0)),2))</f>
        <v>0</v>
      </c>
      <c r="P210" s="64" t="str">
        <f aca="false">IF(AND($H210&lt;&gt;"",ROUND($O210,2)&lt;&gt;0),"有","")</f>
        <v/>
      </c>
    </row>
    <row r="211" customFormat="false" ht="15" hidden="true" customHeight="false" outlineLevel="0" collapsed="false">
      <c r="A211" s="53" t="str">
        <f aca="false">IF($H211="","",ROW()-5)</f>
        <v/>
      </c>
      <c r="B211" s="64" t="s">
        <v>36</v>
      </c>
      <c r="C211" s="53" t="n">
        <v>57</v>
      </c>
      <c r="D211" s="53" t="n">
        <v>2</v>
      </c>
      <c r="E211" s="65" t="str">
        <f aca="false">IF($H211="","",购销流水!$B57)</f>
        <v/>
      </c>
      <c r="F211" s="55" t="str">
        <f aca="false">IF($H211="","",购销流水!$C57)</f>
        <v/>
      </c>
      <c r="G211" s="48" t="str">
        <f aca="false">IF($H211="","",购销流水!$N57)</f>
        <v/>
      </c>
      <c r="H211" s="10" t="str">
        <f aca="false">IF($L211="","",IF($L211="@成本",购销流水!$U57,IF($L211="@收入",购销流水!$T57,IF($L211="@存货",购销流水!$S57,IF($L211="@结算",购销流水!$R57,$L211)))))</f>
        <v/>
      </c>
      <c r="I211" s="42" t="n">
        <f aca="false">IF($M211="借",$O211,0)</f>
        <v>0</v>
      </c>
      <c r="J211" s="42" t="n">
        <f aca="false">IF($M211="贷",$O211,0)</f>
        <v>0</v>
      </c>
      <c r="K211" s="48" t="str">
        <f aca="false">IF($H211="","",购销流水!$E57)</f>
        <v/>
      </c>
      <c r="L211" s="66" t="str">
        <f aca="false">IF(购销流水!$D57="","",IFERROR(INDEX(记账规则!$A$6:$N$9,MATCH(购销流水!$D57,记账规则!$A$6:$A$9,0),6),""))</f>
        <v/>
      </c>
      <c r="M211" s="66" t="str">
        <f aca="false">IF($L211="","",IFERROR(INDEX(记账规则!$A$6:$N$9,MATCH(购销流水!$D57,记账规则!$A$6:$A$9,0),7),""))</f>
        <v/>
      </c>
      <c r="N211" s="66" t="str">
        <f aca="false">IF($L211="","",IFERROR(INDEX(记账规则!$A$6:$N$9,MATCH(购销流水!$D57,记账规则!$A$6:$A$9,0),8),""))</f>
        <v/>
      </c>
      <c r="O211" s="67" t="n">
        <f aca="false">IF($H211="",0,ROUND(IF($N211="成本金额",N(购销流水!$W57),IF($N211="金额",N(购销流水!$Q57),0)),2))</f>
        <v>0</v>
      </c>
      <c r="P211" s="64" t="str">
        <f aca="false">IF(AND($H211&lt;&gt;"",ROUND($O211,2)&lt;&gt;0),"有","")</f>
        <v/>
      </c>
    </row>
    <row r="212" customFormat="false" ht="15" hidden="true" customHeight="false" outlineLevel="0" collapsed="false">
      <c r="A212" s="53" t="str">
        <f aca="false">IF($H212="","",ROW()-5)</f>
        <v/>
      </c>
      <c r="B212" s="64" t="s">
        <v>36</v>
      </c>
      <c r="C212" s="53" t="n">
        <v>57</v>
      </c>
      <c r="D212" s="53" t="n">
        <v>3</v>
      </c>
      <c r="E212" s="65" t="str">
        <f aca="false">IF($H212="","",购销流水!$B57)</f>
        <v/>
      </c>
      <c r="F212" s="55" t="str">
        <f aca="false">IF($H212="","",购销流水!$C57)</f>
        <v/>
      </c>
      <c r="G212" s="48" t="str">
        <f aca="false">IF($H212="","",购销流水!$N57)</f>
        <v/>
      </c>
      <c r="H212" s="10" t="str">
        <f aca="false">IF($L212="","",IF($L212="@成本",购销流水!$U57,IF($L212="@收入",购销流水!$T57,IF($L212="@存货",购销流水!$S57,IF($L212="@结算",购销流水!$R57,$L212)))))</f>
        <v/>
      </c>
      <c r="I212" s="42" t="n">
        <f aca="false">IF($M212="借",$O212,0)</f>
        <v>0</v>
      </c>
      <c r="J212" s="42" t="n">
        <f aca="false">IF($M212="贷",$O212,0)</f>
        <v>0</v>
      </c>
      <c r="K212" s="48" t="str">
        <f aca="false">IF($H212="","",购销流水!$E57)</f>
        <v/>
      </c>
      <c r="L212" s="66" t="str">
        <f aca="false">IF(购销流水!$D57="","",IFERROR(INDEX(记账规则!$A$6:$N$9,MATCH(购销流水!$D57,记账规则!$A$6:$A$9,0),9),""))</f>
        <v/>
      </c>
      <c r="M212" s="66" t="str">
        <f aca="false">IF($L212="","",IFERROR(INDEX(记账规则!$A$6:$N$9,MATCH(购销流水!$D57,记账规则!$A$6:$A$9,0),10),""))</f>
        <v/>
      </c>
      <c r="N212" s="66" t="str">
        <f aca="false">IF($L212="","",IFERROR(INDEX(记账规则!$A$6:$N$9,MATCH(购销流水!$D57,记账规则!$A$6:$A$9,0),11),""))</f>
        <v/>
      </c>
      <c r="O212" s="67" t="n">
        <f aca="false">IF($H212="",0,ROUND(IF($N212="成本金额",N(购销流水!$W57),IF($N212="金额",N(购销流水!$Q57),0)),2))</f>
        <v>0</v>
      </c>
      <c r="P212" s="64" t="str">
        <f aca="false">IF(AND($H212&lt;&gt;"",ROUND($O212,2)&lt;&gt;0),"有","")</f>
        <v/>
      </c>
    </row>
    <row r="213" customFormat="false" ht="15" hidden="true" customHeight="false" outlineLevel="0" collapsed="false">
      <c r="A213" s="53" t="str">
        <f aca="false">IF($H213="","",ROW()-5)</f>
        <v/>
      </c>
      <c r="B213" s="64" t="s">
        <v>36</v>
      </c>
      <c r="C213" s="53" t="n">
        <v>57</v>
      </c>
      <c r="D213" s="53" t="n">
        <v>4</v>
      </c>
      <c r="E213" s="65" t="str">
        <f aca="false">IF($H213="","",购销流水!$B57)</f>
        <v/>
      </c>
      <c r="F213" s="55" t="str">
        <f aca="false">IF($H213="","",购销流水!$C57)</f>
        <v/>
      </c>
      <c r="G213" s="48" t="str">
        <f aca="false">IF($H213="","",购销流水!$N57)</f>
        <v/>
      </c>
      <c r="H213" s="10" t="str">
        <f aca="false">IF($L213="","",IF($L213="@成本",购销流水!$U57,IF($L213="@收入",购销流水!$T57,IF($L213="@存货",购销流水!$S57,IF($L213="@结算",购销流水!$R57,$L213)))))</f>
        <v/>
      </c>
      <c r="I213" s="42" t="n">
        <f aca="false">IF($M213="借",$O213,0)</f>
        <v>0</v>
      </c>
      <c r="J213" s="42" t="n">
        <f aca="false">IF($M213="贷",$O213,0)</f>
        <v>0</v>
      </c>
      <c r="K213" s="48" t="str">
        <f aca="false">IF($H213="","",购销流水!$E57)</f>
        <v/>
      </c>
      <c r="L213" s="66" t="str">
        <f aca="false">IF(购销流水!$D57="","",IFERROR(INDEX(记账规则!$A$6:$N$9,MATCH(购销流水!$D57,记账规则!$A$6:$A$9,0),12),""))</f>
        <v/>
      </c>
      <c r="M213" s="66" t="str">
        <f aca="false">IF($L213="","",IFERROR(INDEX(记账规则!$A$6:$N$9,MATCH(购销流水!$D57,记账规则!$A$6:$A$9,0),13),""))</f>
        <v/>
      </c>
      <c r="N213" s="66" t="str">
        <f aca="false">IF($L213="","",IFERROR(INDEX(记账规则!$A$6:$N$9,MATCH(购销流水!$D57,记账规则!$A$6:$A$9,0),14),""))</f>
        <v/>
      </c>
      <c r="O213" s="67" t="n">
        <f aca="false">IF($H213="",0,ROUND(IF($N213="成本金额",N(购销流水!$W57),IF($N213="金额",N(购销流水!$Q57),0)),2))</f>
        <v>0</v>
      </c>
      <c r="P213" s="64" t="str">
        <f aca="false">IF(AND($H213&lt;&gt;"",ROUND($O213,2)&lt;&gt;0),"有","")</f>
        <v/>
      </c>
    </row>
    <row r="214" customFormat="false" ht="15" hidden="true" customHeight="false" outlineLevel="0" collapsed="false">
      <c r="A214" s="53" t="str">
        <f aca="false">IF($H214="","",ROW()-5)</f>
        <v/>
      </c>
      <c r="B214" s="64" t="s">
        <v>36</v>
      </c>
      <c r="C214" s="53" t="n">
        <v>58</v>
      </c>
      <c r="D214" s="53" t="n">
        <v>1</v>
      </c>
      <c r="E214" s="65" t="str">
        <f aca="false">IF($H214="","",购销流水!$B58)</f>
        <v/>
      </c>
      <c r="F214" s="55" t="str">
        <f aca="false">IF($H214="","",购销流水!$C58)</f>
        <v/>
      </c>
      <c r="G214" s="48" t="str">
        <f aca="false">IF($H214="","",购销流水!$N58)</f>
        <v/>
      </c>
      <c r="H214" s="10" t="str">
        <f aca="false">IF($L214="","",IF($L214="@成本",购销流水!$U58,IF($L214="@收入",购销流水!$T58,IF($L214="@存货",购销流水!$S58,IF($L214="@结算",购销流水!$R58,$L214)))))</f>
        <v/>
      </c>
      <c r="I214" s="42" t="n">
        <f aca="false">IF($M214="借",$O214,0)</f>
        <v>0</v>
      </c>
      <c r="J214" s="42" t="n">
        <f aca="false">IF($M214="贷",$O214,0)</f>
        <v>0</v>
      </c>
      <c r="K214" s="48" t="str">
        <f aca="false">IF($H214="","",购销流水!$E58)</f>
        <v/>
      </c>
      <c r="L214" s="66" t="str">
        <f aca="false">IF(购销流水!$D58="","",IFERROR(INDEX(记账规则!$A$6:$N$9,MATCH(购销流水!$D58,记账规则!$A$6:$A$9,0),3),""))</f>
        <v/>
      </c>
      <c r="M214" s="66" t="str">
        <f aca="false">IF($L214="","",IFERROR(INDEX(记账规则!$A$6:$N$9,MATCH(购销流水!$D58,记账规则!$A$6:$A$9,0),4),""))</f>
        <v/>
      </c>
      <c r="N214" s="66" t="str">
        <f aca="false">IF($L214="","",IFERROR(INDEX(记账规则!$A$6:$N$9,MATCH(购销流水!$D58,记账规则!$A$6:$A$9,0),5),""))</f>
        <v/>
      </c>
      <c r="O214" s="67" t="n">
        <f aca="false">IF($H214="",0,ROUND(IF($N214="成本金额",N(购销流水!$W58),IF($N214="金额",N(购销流水!$Q58),0)),2))</f>
        <v>0</v>
      </c>
      <c r="P214" s="64" t="str">
        <f aca="false">IF(AND($H214&lt;&gt;"",ROUND($O214,2)&lt;&gt;0),"有","")</f>
        <v/>
      </c>
    </row>
    <row r="215" customFormat="false" ht="15" hidden="true" customHeight="false" outlineLevel="0" collapsed="false">
      <c r="A215" s="53" t="str">
        <f aca="false">IF($H215="","",ROW()-5)</f>
        <v/>
      </c>
      <c r="B215" s="64" t="s">
        <v>36</v>
      </c>
      <c r="C215" s="53" t="n">
        <v>58</v>
      </c>
      <c r="D215" s="53" t="n">
        <v>2</v>
      </c>
      <c r="E215" s="65" t="str">
        <f aca="false">IF($H215="","",购销流水!$B58)</f>
        <v/>
      </c>
      <c r="F215" s="55" t="str">
        <f aca="false">IF($H215="","",购销流水!$C58)</f>
        <v/>
      </c>
      <c r="G215" s="48" t="str">
        <f aca="false">IF($H215="","",购销流水!$N58)</f>
        <v/>
      </c>
      <c r="H215" s="10" t="str">
        <f aca="false">IF($L215="","",IF($L215="@成本",购销流水!$U58,IF($L215="@收入",购销流水!$T58,IF($L215="@存货",购销流水!$S58,IF($L215="@结算",购销流水!$R58,$L215)))))</f>
        <v/>
      </c>
      <c r="I215" s="42" t="n">
        <f aca="false">IF($M215="借",$O215,0)</f>
        <v>0</v>
      </c>
      <c r="J215" s="42" t="n">
        <f aca="false">IF($M215="贷",$O215,0)</f>
        <v>0</v>
      </c>
      <c r="K215" s="48" t="str">
        <f aca="false">IF($H215="","",购销流水!$E58)</f>
        <v/>
      </c>
      <c r="L215" s="66" t="str">
        <f aca="false">IF(购销流水!$D58="","",IFERROR(INDEX(记账规则!$A$6:$N$9,MATCH(购销流水!$D58,记账规则!$A$6:$A$9,0),6),""))</f>
        <v/>
      </c>
      <c r="M215" s="66" t="str">
        <f aca="false">IF($L215="","",IFERROR(INDEX(记账规则!$A$6:$N$9,MATCH(购销流水!$D58,记账规则!$A$6:$A$9,0),7),""))</f>
        <v/>
      </c>
      <c r="N215" s="66" t="str">
        <f aca="false">IF($L215="","",IFERROR(INDEX(记账规则!$A$6:$N$9,MATCH(购销流水!$D58,记账规则!$A$6:$A$9,0),8),""))</f>
        <v/>
      </c>
      <c r="O215" s="67" t="n">
        <f aca="false">IF($H215="",0,ROUND(IF($N215="成本金额",N(购销流水!$W58),IF($N215="金额",N(购销流水!$Q58),0)),2))</f>
        <v>0</v>
      </c>
      <c r="P215" s="64" t="str">
        <f aca="false">IF(AND($H215&lt;&gt;"",ROUND($O215,2)&lt;&gt;0),"有","")</f>
        <v/>
      </c>
    </row>
    <row r="216" customFormat="false" ht="15" hidden="true" customHeight="false" outlineLevel="0" collapsed="false">
      <c r="A216" s="53" t="str">
        <f aca="false">IF($H216="","",ROW()-5)</f>
        <v/>
      </c>
      <c r="B216" s="64" t="s">
        <v>36</v>
      </c>
      <c r="C216" s="53" t="n">
        <v>58</v>
      </c>
      <c r="D216" s="53" t="n">
        <v>3</v>
      </c>
      <c r="E216" s="65" t="str">
        <f aca="false">IF($H216="","",购销流水!$B58)</f>
        <v/>
      </c>
      <c r="F216" s="55" t="str">
        <f aca="false">IF($H216="","",购销流水!$C58)</f>
        <v/>
      </c>
      <c r="G216" s="48" t="str">
        <f aca="false">IF($H216="","",购销流水!$N58)</f>
        <v/>
      </c>
      <c r="H216" s="10" t="str">
        <f aca="false">IF($L216="","",IF($L216="@成本",购销流水!$U58,IF($L216="@收入",购销流水!$T58,IF($L216="@存货",购销流水!$S58,IF($L216="@结算",购销流水!$R58,$L216)))))</f>
        <v/>
      </c>
      <c r="I216" s="42" t="n">
        <f aca="false">IF($M216="借",$O216,0)</f>
        <v>0</v>
      </c>
      <c r="J216" s="42" t="n">
        <f aca="false">IF($M216="贷",$O216,0)</f>
        <v>0</v>
      </c>
      <c r="K216" s="48" t="str">
        <f aca="false">IF($H216="","",购销流水!$E58)</f>
        <v/>
      </c>
      <c r="L216" s="66" t="str">
        <f aca="false">IF(购销流水!$D58="","",IFERROR(INDEX(记账规则!$A$6:$N$9,MATCH(购销流水!$D58,记账规则!$A$6:$A$9,0),9),""))</f>
        <v/>
      </c>
      <c r="M216" s="66" t="str">
        <f aca="false">IF($L216="","",IFERROR(INDEX(记账规则!$A$6:$N$9,MATCH(购销流水!$D58,记账规则!$A$6:$A$9,0),10),""))</f>
        <v/>
      </c>
      <c r="N216" s="66" t="str">
        <f aca="false">IF($L216="","",IFERROR(INDEX(记账规则!$A$6:$N$9,MATCH(购销流水!$D58,记账规则!$A$6:$A$9,0),11),""))</f>
        <v/>
      </c>
      <c r="O216" s="67" t="n">
        <f aca="false">IF($H216="",0,ROUND(IF($N216="成本金额",N(购销流水!$W58),IF($N216="金额",N(购销流水!$Q58),0)),2))</f>
        <v>0</v>
      </c>
      <c r="P216" s="64" t="str">
        <f aca="false">IF(AND($H216&lt;&gt;"",ROUND($O216,2)&lt;&gt;0),"有","")</f>
        <v/>
      </c>
    </row>
    <row r="217" customFormat="false" ht="15" hidden="true" customHeight="false" outlineLevel="0" collapsed="false">
      <c r="A217" s="53" t="str">
        <f aca="false">IF($H217="","",ROW()-5)</f>
        <v/>
      </c>
      <c r="B217" s="64" t="s">
        <v>36</v>
      </c>
      <c r="C217" s="53" t="n">
        <v>58</v>
      </c>
      <c r="D217" s="53" t="n">
        <v>4</v>
      </c>
      <c r="E217" s="65" t="str">
        <f aca="false">IF($H217="","",购销流水!$B58)</f>
        <v/>
      </c>
      <c r="F217" s="55" t="str">
        <f aca="false">IF($H217="","",购销流水!$C58)</f>
        <v/>
      </c>
      <c r="G217" s="48" t="str">
        <f aca="false">IF($H217="","",购销流水!$N58)</f>
        <v/>
      </c>
      <c r="H217" s="10" t="str">
        <f aca="false">IF($L217="","",IF($L217="@成本",购销流水!$U58,IF($L217="@收入",购销流水!$T58,IF($L217="@存货",购销流水!$S58,IF($L217="@结算",购销流水!$R58,$L217)))))</f>
        <v/>
      </c>
      <c r="I217" s="42" t="n">
        <f aca="false">IF($M217="借",$O217,0)</f>
        <v>0</v>
      </c>
      <c r="J217" s="42" t="n">
        <f aca="false">IF($M217="贷",$O217,0)</f>
        <v>0</v>
      </c>
      <c r="K217" s="48" t="str">
        <f aca="false">IF($H217="","",购销流水!$E58)</f>
        <v/>
      </c>
      <c r="L217" s="66" t="str">
        <f aca="false">IF(购销流水!$D58="","",IFERROR(INDEX(记账规则!$A$6:$N$9,MATCH(购销流水!$D58,记账规则!$A$6:$A$9,0),12),""))</f>
        <v/>
      </c>
      <c r="M217" s="66" t="str">
        <f aca="false">IF($L217="","",IFERROR(INDEX(记账规则!$A$6:$N$9,MATCH(购销流水!$D58,记账规则!$A$6:$A$9,0),13),""))</f>
        <v/>
      </c>
      <c r="N217" s="66" t="str">
        <f aca="false">IF($L217="","",IFERROR(INDEX(记账规则!$A$6:$N$9,MATCH(购销流水!$D58,记账规则!$A$6:$A$9,0),14),""))</f>
        <v/>
      </c>
      <c r="O217" s="67" t="n">
        <f aca="false">IF($H217="",0,ROUND(IF($N217="成本金额",N(购销流水!$W58),IF($N217="金额",N(购销流水!$Q58),0)),2))</f>
        <v>0</v>
      </c>
      <c r="P217" s="64" t="str">
        <f aca="false">IF(AND($H217&lt;&gt;"",ROUND($O217,2)&lt;&gt;0),"有","")</f>
        <v/>
      </c>
    </row>
    <row r="218" customFormat="false" ht="15" hidden="true" customHeight="false" outlineLevel="0" collapsed="false">
      <c r="A218" s="53" t="str">
        <f aca="false">IF($H218="","",ROW()-5)</f>
        <v/>
      </c>
      <c r="B218" s="64" t="s">
        <v>36</v>
      </c>
      <c r="C218" s="53" t="n">
        <v>59</v>
      </c>
      <c r="D218" s="53" t="n">
        <v>1</v>
      </c>
      <c r="E218" s="65" t="str">
        <f aca="false">IF($H218="","",购销流水!$B59)</f>
        <v/>
      </c>
      <c r="F218" s="55" t="str">
        <f aca="false">IF($H218="","",购销流水!$C59)</f>
        <v/>
      </c>
      <c r="G218" s="48" t="str">
        <f aca="false">IF($H218="","",购销流水!$N59)</f>
        <v/>
      </c>
      <c r="H218" s="10" t="str">
        <f aca="false">IF($L218="","",IF($L218="@成本",购销流水!$U59,IF($L218="@收入",购销流水!$T59,IF($L218="@存货",购销流水!$S59,IF($L218="@结算",购销流水!$R59,$L218)))))</f>
        <v/>
      </c>
      <c r="I218" s="42" t="n">
        <f aca="false">IF($M218="借",$O218,0)</f>
        <v>0</v>
      </c>
      <c r="J218" s="42" t="n">
        <f aca="false">IF($M218="贷",$O218,0)</f>
        <v>0</v>
      </c>
      <c r="K218" s="48" t="str">
        <f aca="false">IF($H218="","",购销流水!$E59)</f>
        <v/>
      </c>
      <c r="L218" s="66" t="str">
        <f aca="false">IF(购销流水!$D59="","",IFERROR(INDEX(记账规则!$A$6:$N$9,MATCH(购销流水!$D59,记账规则!$A$6:$A$9,0),3),""))</f>
        <v/>
      </c>
      <c r="M218" s="66" t="str">
        <f aca="false">IF($L218="","",IFERROR(INDEX(记账规则!$A$6:$N$9,MATCH(购销流水!$D59,记账规则!$A$6:$A$9,0),4),""))</f>
        <v/>
      </c>
      <c r="N218" s="66" t="str">
        <f aca="false">IF($L218="","",IFERROR(INDEX(记账规则!$A$6:$N$9,MATCH(购销流水!$D59,记账规则!$A$6:$A$9,0),5),""))</f>
        <v/>
      </c>
      <c r="O218" s="67" t="n">
        <f aca="false">IF($H218="",0,ROUND(IF($N218="成本金额",N(购销流水!$W59),IF($N218="金额",N(购销流水!$Q59),0)),2))</f>
        <v>0</v>
      </c>
      <c r="P218" s="64" t="str">
        <f aca="false">IF(AND($H218&lt;&gt;"",ROUND($O218,2)&lt;&gt;0),"有","")</f>
        <v/>
      </c>
    </row>
    <row r="219" customFormat="false" ht="15" hidden="true" customHeight="false" outlineLevel="0" collapsed="false">
      <c r="A219" s="53" t="str">
        <f aca="false">IF($H219="","",ROW()-5)</f>
        <v/>
      </c>
      <c r="B219" s="64" t="s">
        <v>36</v>
      </c>
      <c r="C219" s="53" t="n">
        <v>59</v>
      </c>
      <c r="D219" s="53" t="n">
        <v>2</v>
      </c>
      <c r="E219" s="65" t="str">
        <f aca="false">IF($H219="","",购销流水!$B59)</f>
        <v/>
      </c>
      <c r="F219" s="55" t="str">
        <f aca="false">IF($H219="","",购销流水!$C59)</f>
        <v/>
      </c>
      <c r="G219" s="48" t="str">
        <f aca="false">IF($H219="","",购销流水!$N59)</f>
        <v/>
      </c>
      <c r="H219" s="10" t="str">
        <f aca="false">IF($L219="","",IF($L219="@成本",购销流水!$U59,IF($L219="@收入",购销流水!$T59,IF($L219="@存货",购销流水!$S59,IF($L219="@结算",购销流水!$R59,$L219)))))</f>
        <v/>
      </c>
      <c r="I219" s="42" t="n">
        <f aca="false">IF($M219="借",$O219,0)</f>
        <v>0</v>
      </c>
      <c r="J219" s="42" t="n">
        <f aca="false">IF($M219="贷",$O219,0)</f>
        <v>0</v>
      </c>
      <c r="K219" s="48" t="str">
        <f aca="false">IF($H219="","",购销流水!$E59)</f>
        <v/>
      </c>
      <c r="L219" s="66" t="str">
        <f aca="false">IF(购销流水!$D59="","",IFERROR(INDEX(记账规则!$A$6:$N$9,MATCH(购销流水!$D59,记账规则!$A$6:$A$9,0),6),""))</f>
        <v/>
      </c>
      <c r="M219" s="66" t="str">
        <f aca="false">IF($L219="","",IFERROR(INDEX(记账规则!$A$6:$N$9,MATCH(购销流水!$D59,记账规则!$A$6:$A$9,0),7),""))</f>
        <v/>
      </c>
      <c r="N219" s="66" t="str">
        <f aca="false">IF($L219="","",IFERROR(INDEX(记账规则!$A$6:$N$9,MATCH(购销流水!$D59,记账规则!$A$6:$A$9,0),8),""))</f>
        <v/>
      </c>
      <c r="O219" s="67" t="n">
        <f aca="false">IF($H219="",0,ROUND(IF($N219="成本金额",N(购销流水!$W59),IF($N219="金额",N(购销流水!$Q59),0)),2))</f>
        <v>0</v>
      </c>
      <c r="P219" s="64" t="str">
        <f aca="false">IF(AND($H219&lt;&gt;"",ROUND($O219,2)&lt;&gt;0),"有","")</f>
        <v/>
      </c>
    </row>
    <row r="220" customFormat="false" ht="15" hidden="true" customHeight="false" outlineLevel="0" collapsed="false">
      <c r="A220" s="53" t="str">
        <f aca="false">IF($H220="","",ROW()-5)</f>
        <v/>
      </c>
      <c r="B220" s="64" t="s">
        <v>36</v>
      </c>
      <c r="C220" s="53" t="n">
        <v>59</v>
      </c>
      <c r="D220" s="53" t="n">
        <v>3</v>
      </c>
      <c r="E220" s="65" t="str">
        <f aca="false">IF($H220="","",购销流水!$B59)</f>
        <v/>
      </c>
      <c r="F220" s="55" t="str">
        <f aca="false">IF($H220="","",购销流水!$C59)</f>
        <v/>
      </c>
      <c r="G220" s="48" t="str">
        <f aca="false">IF($H220="","",购销流水!$N59)</f>
        <v/>
      </c>
      <c r="H220" s="10" t="str">
        <f aca="false">IF($L220="","",IF($L220="@成本",购销流水!$U59,IF($L220="@收入",购销流水!$T59,IF($L220="@存货",购销流水!$S59,IF($L220="@结算",购销流水!$R59,$L220)))))</f>
        <v/>
      </c>
      <c r="I220" s="42" t="n">
        <f aca="false">IF($M220="借",$O220,0)</f>
        <v>0</v>
      </c>
      <c r="J220" s="42" t="n">
        <f aca="false">IF($M220="贷",$O220,0)</f>
        <v>0</v>
      </c>
      <c r="K220" s="48" t="str">
        <f aca="false">IF($H220="","",购销流水!$E59)</f>
        <v/>
      </c>
      <c r="L220" s="66" t="str">
        <f aca="false">IF(购销流水!$D59="","",IFERROR(INDEX(记账规则!$A$6:$N$9,MATCH(购销流水!$D59,记账规则!$A$6:$A$9,0),9),""))</f>
        <v/>
      </c>
      <c r="M220" s="66" t="str">
        <f aca="false">IF($L220="","",IFERROR(INDEX(记账规则!$A$6:$N$9,MATCH(购销流水!$D59,记账规则!$A$6:$A$9,0),10),""))</f>
        <v/>
      </c>
      <c r="N220" s="66" t="str">
        <f aca="false">IF($L220="","",IFERROR(INDEX(记账规则!$A$6:$N$9,MATCH(购销流水!$D59,记账规则!$A$6:$A$9,0),11),""))</f>
        <v/>
      </c>
      <c r="O220" s="67" t="n">
        <f aca="false">IF($H220="",0,ROUND(IF($N220="成本金额",N(购销流水!$W59),IF($N220="金额",N(购销流水!$Q59),0)),2))</f>
        <v>0</v>
      </c>
      <c r="P220" s="64" t="str">
        <f aca="false">IF(AND($H220&lt;&gt;"",ROUND($O220,2)&lt;&gt;0),"有","")</f>
        <v/>
      </c>
    </row>
    <row r="221" customFormat="false" ht="15" hidden="true" customHeight="false" outlineLevel="0" collapsed="false">
      <c r="A221" s="53" t="str">
        <f aca="false">IF($H221="","",ROW()-5)</f>
        <v/>
      </c>
      <c r="B221" s="64" t="s">
        <v>36</v>
      </c>
      <c r="C221" s="53" t="n">
        <v>59</v>
      </c>
      <c r="D221" s="53" t="n">
        <v>4</v>
      </c>
      <c r="E221" s="65" t="str">
        <f aca="false">IF($H221="","",购销流水!$B59)</f>
        <v/>
      </c>
      <c r="F221" s="55" t="str">
        <f aca="false">IF($H221="","",购销流水!$C59)</f>
        <v/>
      </c>
      <c r="G221" s="48" t="str">
        <f aca="false">IF($H221="","",购销流水!$N59)</f>
        <v/>
      </c>
      <c r="H221" s="10" t="str">
        <f aca="false">IF($L221="","",IF($L221="@成本",购销流水!$U59,IF($L221="@收入",购销流水!$T59,IF($L221="@存货",购销流水!$S59,IF($L221="@结算",购销流水!$R59,$L221)))))</f>
        <v/>
      </c>
      <c r="I221" s="42" t="n">
        <f aca="false">IF($M221="借",$O221,0)</f>
        <v>0</v>
      </c>
      <c r="J221" s="42" t="n">
        <f aca="false">IF($M221="贷",$O221,0)</f>
        <v>0</v>
      </c>
      <c r="K221" s="48" t="str">
        <f aca="false">IF($H221="","",购销流水!$E59)</f>
        <v/>
      </c>
      <c r="L221" s="66" t="str">
        <f aca="false">IF(购销流水!$D59="","",IFERROR(INDEX(记账规则!$A$6:$N$9,MATCH(购销流水!$D59,记账规则!$A$6:$A$9,0),12),""))</f>
        <v/>
      </c>
      <c r="M221" s="66" t="str">
        <f aca="false">IF($L221="","",IFERROR(INDEX(记账规则!$A$6:$N$9,MATCH(购销流水!$D59,记账规则!$A$6:$A$9,0),13),""))</f>
        <v/>
      </c>
      <c r="N221" s="66" t="str">
        <f aca="false">IF($L221="","",IFERROR(INDEX(记账规则!$A$6:$N$9,MATCH(购销流水!$D59,记账规则!$A$6:$A$9,0),14),""))</f>
        <v/>
      </c>
      <c r="O221" s="67" t="n">
        <f aca="false">IF($H221="",0,ROUND(IF($N221="成本金额",N(购销流水!$W59),IF($N221="金额",N(购销流水!$Q59),0)),2))</f>
        <v>0</v>
      </c>
      <c r="P221" s="64" t="str">
        <f aca="false">IF(AND($H221&lt;&gt;"",ROUND($O221,2)&lt;&gt;0),"有","")</f>
        <v/>
      </c>
    </row>
    <row r="222" customFormat="false" ht="15" hidden="true" customHeight="false" outlineLevel="0" collapsed="false">
      <c r="A222" s="53" t="str">
        <f aca="false">IF($H222="","",ROW()-5)</f>
        <v/>
      </c>
      <c r="B222" s="64" t="s">
        <v>36</v>
      </c>
      <c r="C222" s="53" t="n">
        <v>60</v>
      </c>
      <c r="D222" s="53" t="n">
        <v>1</v>
      </c>
      <c r="E222" s="65" t="str">
        <f aca="false">IF($H222="","",购销流水!$B60)</f>
        <v/>
      </c>
      <c r="F222" s="55" t="str">
        <f aca="false">IF($H222="","",购销流水!$C60)</f>
        <v/>
      </c>
      <c r="G222" s="48" t="str">
        <f aca="false">IF($H222="","",购销流水!$N60)</f>
        <v/>
      </c>
      <c r="H222" s="10" t="str">
        <f aca="false">IF($L222="","",IF($L222="@成本",购销流水!$U60,IF($L222="@收入",购销流水!$T60,IF($L222="@存货",购销流水!$S60,IF($L222="@结算",购销流水!$R60,$L222)))))</f>
        <v/>
      </c>
      <c r="I222" s="42" t="n">
        <f aca="false">IF($M222="借",$O222,0)</f>
        <v>0</v>
      </c>
      <c r="J222" s="42" t="n">
        <f aca="false">IF($M222="贷",$O222,0)</f>
        <v>0</v>
      </c>
      <c r="K222" s="48" t="str">
        <f aca="false">IF($H222="","",购销流水!$E60)</f>
        <v/>
      </c>
      <c r="L222" s="66" t="str">
        <f aca="false">IF(购销流水!$D60="","",IFERROR(INDEX(记账规则!$A$6:$N$9,MATCH(购销流水!$D60,记账规则!$A$6:$A$9,0),3),""))</f>
        <v/>
      </c>
      <c r="M222" s="66" t="str">
        <f aca="false">IF($L222="","",IFERROR(INDEX(记账规则!$A$6:$N$9,MATCH(购销流水!$D60,记账规则!$A$6:$A$9,0),4),""))</f>
        <v/>
      </c>
      <c r="N222" s="66" t="str">
        <f aca="false">IF($L222="","",IFERROR(INDEX(记账规则!$A$6:$N$9,MATCH(购销流水!$D60,记账规则!$A$6:$A$9,0),5),""))</f>
        <v/>
      </c>
      <c r="O222" s="67" t="n">
        <f aca="false">IF($H222="",0,ROUND(IF($N222="成本金额",N(购销流水!$W60),IF($N222="金额",N(购销流水!$Q60),0)),2))</f>
        <v>0</v>
      </c>
      <c r="P222" s="64" t="str">
        <f aca="false">IF(AND($H222&lt;&gt;"",ROUND($O222,2)&lt;&gt;0),"有","")</f>
        <v/>
      </c>
    </row>
    <row r="223" customFormat="false" ht="15" hidden="true" customHeight="false" outlineLevel="0" collapsed="false">
      <c r="A223" s="53" t="str">
        <f aca="false">IF($H223="","",ROW()-5)</f>
        <v/>
      </c>
      <c r="B223" s="64" t="s">
        <v>36</v>
      </c>
      <c r="C223" s="53" t="n">
        <v>60</v>
      </c>
      <c r="D223" s="53" t="n">
        <v>2</v>
      </c>
      <c r="E223" s="65" t="str">
        <f aca="false">IF($H223="","",购销流水!$B60)</f>
        <v/>
      </c>
      <c r="F223" s="55" t="str">
        <f aca="false">IF($H223="","",购销流水!$C60)</f>
        <v/>
      </c>
      <c r="G223" s="48" t="str">
        <f aca="false">IF($H223="","",购销流水!$N60)</f>
        <v/>
      </c>
      <c r="H223" s="10" t="str">
        <f aca="false">IF($L223="","",IF($L223="@成本",购销流水!$U60,IF($L223="@收入",购销流水!$T60,IF($L223="@存货",购销流水!$S60,IF($L223="@结算",购销流水!$R60,$L223)))))</f>
        <v/>
      </c>
      <c r="I223" s="42" t="n">
        <f aca="false">IF($M223="借",$O223,0)</f>
        <v>0</v>
      </c>
      <c r="J223" s="42" t="n">
        <f aca="false">IF($M223="贷",$O223,0)</f>
        <v>0</v>
      </c>
      <c r="K223" s="48" t="str">
        <f aca="false">IF($H223="","",购销流水!$E60)</f>
        <v/>
      </c>
      <c r="L223" s="66" t="str">
        <f aca="false">IF(购销流水!$D60="","",IFERROR(INDEX(记账规则!$A$6:$N$9,MATCH(购销流水!$D60,记账规则!$A$6:$A$9,0),6),""))</f>
        <v/>
      </c>
      <c r="M223" s="66" t="str">
        <f aca="false">IF($L223="","",IFERROR(INDEX(记账规则!$A$6:$N$9,MATCH(购销流水!$D60,记账规则!$A$6:$A$9,0),7),""))</f>
        <v/>
      </c>
      <c r="N223" s="66" t="str">
        <f aca="false">IF($L223="","",IFERROR(INDEX(记账规则!$A$6:$N$9,MATCH(购销流水!$D60,记账规则!$A$6:$A$9,0),8),""))</f>
        <v/>
      </c>
      <c r="O223" s="67" t="n">
        <f aca="false">IF($H223="",0,ROUND(IF($N223="成本金额",N(购销流水!$W60),IF($N223="金额",N(购销流水!$Q60),0)),2))</f>
        <v>0</v>
      </c>
      <c r="P223" s="64" t="str">
        <f aca="false">IF(AND($H223&lt;&gt;"",ROUND($O223,2)&lt;&gt;0),"有","")</f>
        <v/>
      </c>
    </row>
    <row r="224" customFormat="false" ht="15" hidden="true" customHeight="false" outlineLevel="0" collapsed="false">
      <c r="A224" s="53" t="str">
        <f aca="false">IF($H224="","",ROW()-5)</f>
        <v/>
      </c>
      <c r="B224" s="64" t="s">
        <v>36</v>
      </c>
      <c r="C224" s="53" t="n">
        <v>60</v>
      </c>
      <c r="D224" s="53" t="n">
        <v>3</v>
      </c>
      <c r="E224" s="65" t="str">
        <f aca="false">IF($H224="","",购销流水!$B60)</f>
        <v/>
      </c>
      <c r="F224" s="55" t="str">
        <f aca="false">IF($H224="","",购销流水!$C60)</f>
        <v/>
      </c>
      <c r="G224" s="48" t="str">
        <f aca="false">IF($H224="","",购销流水!$N60)</f>
        <v/>
      </c>
      <c r="H224" s="10" t="str">
        <f aca="false">IF($L224="","",IF($L224="@成本",购销流水!$U60,IF($L224="@收入",购销流水!$T60,IF($L224="@存货",购销流水!$S60,IF($L224="@结算",购销流水!$R60,$L224)))))</f>
        <v/>
      </c>
      <c r="I224" s="42" t="n">
        <f aca="false">IF($M224="借",$O224,0)</f>
        <v>0</v>
      </c>
      <c r="J224" s="42" t="n">
        <f aca="false">IF($M224="贷",$O224,0)</f>
        <v>0</v>
      </c>
      <c r="K224" s="48" t="str">
        <f aca="false">IF($H224="","",购销流水!$E60)</f>
        <v/>
      </c>
      <c r="L224" s="66" t="str">
        <f aca="false">IF(购销流水!$D60="","",IFERROR(INDEX(记账规则!$A$6:$N$9,MATCH(购销流水!$D60,记账规则!$A$6:$A$9,0),9),""))</f>
        <v/>
      </c>
      <c r="M224" s="66" t="str">
        <f aca="false">IF($L224="","",IFERROR(INDEX(记账规则!$A$6:$N$9,MATCH(购销流水!$D60,记账规则!$A$6:$A$9,0),10),""))</f>
        <v/>
      </c>
      <c r="N224" s="66" t="str">
        <f aca="false">IF($L224="","",IFERROR(INDEX(记账规则!$A$6:$N$9,MATCH(购销流水!$D60,记账规则!$A$6:$A$9,0),11),""))</f>
        <v/>
      </c>
      <c r="O224" s="67" t="n">
        <f aca="false">IF($H224="",0,ROUND(IF($N224="成本金额",N(购销流水!$W60),IF($N224="金额",N(购销流水!$Q60),0)),2))</f>
        <v>0</v>
      </c>
      <c r="P224" s="64" t="str">
        <f aca="false">IF(AND($H224&lt;&gt;"",ROUND($O224,2)&lt;&gt;0),"有","")</f>
        <v/>
      </c>
    </row>
    <row r="225" customFormat="false" ht="15" hidden="true" customHeight="false" outlineLevel="0" collapsed="false">
      <c r="A225" s="53" t="str">
        <f aca="false">IF($H225="","",ROW()-5)</f>
        <v/>
      </c>
      <c r="B225" s="64" t="s">
        <v>36</v>
      </c>
      <c r="C225" s="53" t="n">
        <v>60</v>
      </c>
      <c r="D225" s="53" t="n">
        <v>4</v>
      </c>
      <c r="E225" s="65" t="str">
        <f aca="false">IF($H225="","",购销流水!$B60)</f>
        <v/>
      </c>
      <c r="F225" s="55" t="str">
        <f aca="false">IF($H225="","",购销流水!$C60)</f>
        <v/>
      </c>
      <c r="G225" s="48" t="str">
        <f aca="false">IF($H225="","",购销流水!$N60)</f>
        <v/>
      </c>
      <c r="H225" s="10" t="str">
        <f aca="false">IF($L225="","",IF($L225="@成本",购销流水!$U60,IF($L225="@收入",购销流水!$T60,IF($L225="@存货",购销流水!$S60,IF($L225="@结算",购销流水!$R60,$L225)))))</f>
        <v/>
      </c>
      <c r="I225" s="42" t="n">
        <f aca="false">IF($M225="借",$O225,0)</f>
        <v>0</v>
      </c>
      <c r="J225" s="42" t="n">
        <f aca="false">IF($M225="贷",$O225,0)</f>
        <v>0</v>
      </c>
      <c r="K225" s="48" t="str">
        <f aca="false">IF($H225="","",购销流水!$E60)</f>
        <v/>
      </c>
      <c r="L225" s="66" t="str">
        <f aca="false">IF(购销流水!$D60="","",IFERROR(INDEX(记账规则!$A$6:$N$9,MATCH(购销流水!$D60,记账规则!$A$6:$A$9,0),12),""))</f>
        <v/>
      </c>
      <c r="M225" s="66" t="str">
        <f aca="false">IF($L225="","",IFERROR(INDEX(记账规则!$A$6:$N$9,MATCH(购销流水!$D60,记账规则!$A$6:$A$9,0),13),""))</f>
        <v/>
      </c>
      <c r="N225" s="66" t="str">
        <f aca="false">IF($L225="","",IFERROR(INDEX(记账规则!$A$6:$N$9,MATCH(购销流水!$D60,记账规则!$A$6:$A$9,0),14),""))</f>
        <v/>
      </c>
      <c r="O225" s="67" t="n">
        <f aca="false">IF($H225="",0,ROUND(IF($N225="成本金额",N(购销流水!$W60),IF($N225="金额",N(购销流水!$Q60),0)),2))</f>
        <v>0</v>
      </c>
      <c r="P225" s="64" t="str">
        <f aca="false">IF(AND($H225&lt;&gt;"",ROUND($O225,2)&lt;&gt;0),"有","")</f>
        <v/>
      </c>
    </row>
    <row r="226" customFormat="false" ht="15" hidden="true" customHeight="false" outlineLevel="0" collapsed="false">
      <c r="A226" s="53" t="str">
        <f aca="false">IF($H226="","",ROW()-5)</f>
        <v/>
      </c>
      <c r="B226" s="64" t="s">
        <v>36</v>
      </c>
      <c r="C226" s="53" t="n">
        <v>61</v>
      </c>
      <c r="D226" s="53" t="n">
        <v>1</v>
      </c>
      <c r="E226" s="65" t="str">
        <f aca="false">IF($H226="","",购销流水!$B61)</f>
        <v/>
      </c>
      <c r="F226" s="55" t="str">
        <f aca="false">IF($H226="","",购销流水!$C61)</f>
        <v/>
      </c>
      <c r="G226" s="48" t="str">
        <f aca="false">IF($H226="","",购销流水!$N61)</f>
        <v/>
      </c>
      <c r="H226" s="10" t="str">
        <f aca="false">IF($L226="","",IF($L226="@成本",购销流水!$U61,IF($L226="@收入",购销流水!$T61,IF($L226="@存货",购销流水!$S61,IF($L226="@结算",购销流水!$R61,$L226)))))</f>
        <v/>
      </c>
      <c r="I226" s="42" t="n">
        <f aca="false">IF($M226="借",$O226,0)</f>
        <v>0</v>
      </c>
      <c r="J226" s="42" t="n">
        <f aca="false">IF($M226="贷",$O226,0)</f>
        <v>0</v>
      </c>
      <c r="K226" s="48" t="str">
        <f aca="false">IF($H226="","",购销流水!$E61)</f>
        <v/>
      </c>
      <c r="L226" s="66" t="str">
        <f aca="false">IF(购销流水!$D61="","",IFERROR(INDEX(记账规则!$A$6:$N$9,MATCH(购销流水!$D61,记账规则!$A$6:$A$9,0),3),""))</f>
        <v/>
      </c>
      <c r="M226" s="66" t="str">
        <f aca="false">IF($L226="","",IFERROR(INDEX(记账规则!$A$6:$N$9,MATCH(购销流水!$D61,记账规则!$A$6:$A$9,0),4),""))</f>
        <v/>
      </c>
      <c r="N226" s="66" t="str">
        <f aca="false">IF($L226="","",IFERROR(INDEX(记账规则!$A$6:$N$9,MATCH(购销流水!$D61,记账规则!$A$6:$A$9,0),5),""))</f>
        <v/>
      </c>
      <c r="O226" s="67" t="n">
        <f aca="false">IF($H226="",0,ROUND(IF($N226="成本金额",N(购销流水!$W61),IF($N226="金额",N(购销流水!$Q61),0)),2))</f>
        <v>0</v>
      </c>
      <c r="P226" s="64" t="str">
        <f aca="false">IF(AND($H226&lt;&gt;"",ROUND($O226,2)&lt;&gt;0),"有","")</f>
        <v/>
      </c>
    </row>
    <row r="227" customFormat="false" ht="15" hidden="true" customHeight="false" outlineLevel="0" collapsed="false">
      <c r="A227" s="53" t="str">
        <f aca="false">IF($H227="","",ROW()-5)</f>
        <v/>
      </c>
      <c r="B227" s="64" t="s">
        <v>36</v>
      </c>
      <c r="C227" s="53" t="n">
        <v>61</v>
      </c>
      <c r="D227" s="53" t="n">
        <v>2</v>
      </c>
      <c r="E227" s="65" t="str">
        <f aca="false">IF($H227="","",购销流水!$B61)</f>
        <v/>
      </c>
      <c r="F227" s="55" t="str">
        <f aca="false">IF($H227="","",购销流水!$C61)</f>
        <v/>
      </c>
      <c r="G227" s="48" t="str">
        <f aca="false">IF($H227="","",购销流水!$N61)</f>
        <v/>
      </c>
      <c r="H227" s="10" t="str">
        <f aca="false">IF($L227="","",IF($L227="@成本",购销流水!$U61,IF($L227="@收入",购销流水!$T61,IF($L227="@存货",购销流水!$S61,IF($L227="@结算",购销流水!$R61,$L227)))))</f>
        <v/>
      </c>
      <c r="I227" s="42" t="n">
        <f aca="false">IF($M227="借",$O227,0)</f>
        <v>0</v>
      </c>
      <c r="J227" s="42" t="n">
        <f aca="false">IF($M227="贷",$O227,0)</f>
        <v>0</v>
      </c>
      <c r="K227" s="48" t="str">
        <f aca="false">IF($H227="","",购销流水!$E61)</f>
        <v/>
      </c>
      <c r="L227" s="66" t="str">
        <f aca="false">IF(购销流水!$D61="","",IFERROR(INDEX(记账规则!$A$6:$N$9,MATCH(购销流水!$D61,记账规则!$A$6:$A$9,0),6),""))</f>
        <v/>
      </c>
      <c r="M227" s="66" t="str">
        <f aca="false">IF($L227="","",IFERROR(INDEX(记账规则!$A$6:$N$9,MATCH(购销流水!$D61,记账规则!$A$6:$A$9,0),7),""))</f>
        <v/>
      </c>
      <c r="N227" s="66" t="str">
        <f aca="false">IF($L227="","",IFERROR(INDEX(记账规则!$A$6:$N$9,MATCH(购销流水!$D61,记账规则!$A$6:$A$9,0),8),""))</f>
        <v/>
      </c>
      <c r="O227" s="67" t="n">
        <f aca="false">IF($H227="",0,ROUND(IF($N227="成本金额",N(购销流水!$W61),IF($N227="金额",N(购销流水!$Q61),0)),2))</f>
        <v>0</v>
      </c>
      <c r="P227" s="64" t="str">
        <f aca="false">IF(AND($H227&lt;&gt;"",ROUND($O227,2)&lt;&gt;0),"有","")</f>
        <v/>
      </c>
    </row>
    <row r="228" customFormat="false" ht="15" hidden="true" customHeight="false" outlineLevel="0" collapsed="false">
      <c r="A228" s="53" t="str">
        <f aca="false">IF($H228="","",ROW()-5)</f>
        <v/>
      </c>
      <c r="B228" s="64" t="s">
        <v>36</v>
      </c>
      <c r="C228" s="53" t="n">
        <v>61</v>
      </c>
      <c r="D228" s="53" t="n">
        <v>3</v>
      </c>
      <c r="E228" s="65" t="str">
        <f aca="false">IF($H228="","",购销流水!$B61)</f>
        <v/>
      </c>
      <c r="F228" s="55" t="str">
        <f aca="false">IF($H228="","",购销流水!$C61)</f>
        <v/>
      </c>
      <c r="G228" s="48" t="str">
        <f aca="false">IF($H228="","",购销流水!$N61)</f>
        <v/>
      </c>
      <c r="H228" s="10" t="str">
        <f aca="false">IF($L228="","",IF($L228="@成本",购销流水!$U61,IF($L228="@收入",购销流水!$T61,IF($L228="@存货",购销流水!$S61,IF($L228="@结算",购销流水!$R61,$L228)))))</f>
        <v/>
      </c>
      <c r="I228" s="42" t="n">
        <f aca="false">IF($M228="借",$O228,0)</f>
        <v>0</v>
      </c>
      <c r="J228" s="42" t="n">
        <f aca="false">IF($M228="贷",$O228,0)</f>
        <v>0</v>
      </c>
      <c r="K228" s="48" t="str">
        <f aca="false">IF($H228="","",购销流水!$E61)</f>
        <v/>
      </c>
      <c r="L228" s="66" t="str">
        <f aca="false">IF(购销流水!$D61="","",IFERROR(INDEX(记账规则!$A$6:$N$9,MATCH(购销流水!$D61,记账规则!$A$6:$A$9,0),9),""))</f>
        <v/>
      </c>
      <c r="M228" s="66" t="str">
        <f aca="false">IF($L228="","",IFERROR(INDEX(记账规则!$A$6:$N$9,MATCH(购销流水!$D61,记账规则!$A$6:$A$9,0),10),""))</f>
        <v/>
      </c>
      <c r="N228" s="66" t="str">
        <f aca="false">IF($L228="","",IFERROR(INDEX(记账规则!$A$6:$N$9,MATCH(购销流水!$D61,记账规则!$A$6:$A$9,0),11),""))</f>
        <v/>
      </c>
      <c r="O228" s="67" t="n">
        <f aca="false">IF($H228="",0,ROUND(IF($N228="成本金额",N(购销流水!$W61),IF($N228="金额",N(购销流水!$Q61),0)),2))</f>
        <v>0</v>
      </c>
      <c r="P228" s="64" t="str">
        <f aca="false">IF(AND($H228&lt;&gt;"",ROUND($O228,2)&lt;&gt;0),"有","")</f>
        <v/>
      </c>
    </row>
    <row r="229" customFormat="false" ht="15" hidden="true" customHeight="false" outlineLevel="0" collapsed="false">
      <c r="A229" s="53" t="str">
        <f aca="false">IF($H229="","",ROW()-5)</f>
        <v/>
      </c>
      <c r="B229" s="64" t="s">
        <v>36</v>
      </c>
      <c r="C229" s="53" t="n">
        <v>61</v>
      </c>
      <c r="D229" s="53" t="n">
        <v>4</v>
      </c>
      <c r="E229" s="65" t="str">
        <f aca="false">IF($H229="","",购销流水!$B61)</f>
        <v/>
      </c>
      <c r="F229" s="55" t="str">
        <f aca="false">IF($H229="","",购销流水!$C61)</f>
        <v/>
      </c>
      <c r="G229" s="48" t="str">
        <f aca="false">IF($H229="","",购销流水!$N61)</f>
        <v/>
      </c>
      <c r="H229" s="10" t="str">
        <f aca="false">IF($L229="","",IF($L229="@成本",购销流水!$U61,IF($L229="@收入",购销流水!$T61,IF($L229="@存货",购销流水!$S61,IF($L229="@结算",购销流水!$R61,$L229)))))</f>
        <v/>
      </c>
      <c r="I229" s="42" t="n">
        <f aca="false">IF($M229="借",$O229,0)</f>
        <v>0</v>
      </c>
      <c r="J229" s="42" t="n">
        <f aca="false">IF($M229="贷",$O229,0)</f>
        <v>0</v>
      </c>
      <c r="K229" s="48" t="str">
        <f aca="false">IF($H229="","",购销流水!$E61)</f>
        <v/>
      </c>
      <c r="L229" s="66" t="str">
        <f aca="false">IF(购销流水!$D61="","",IFERROR(INDEX(记账规则!$A$6:$N$9,MATCH(购销流水!$D61,记账规则!$A$6:$A$9,0),12),""))</f>
        <v/>
      </c>
      <c r="M229" s="66" t="str">
        <f aca="false">IF($L229="","",IFERROR(INDEX(记账规则!$A$6:$N$9,MATCH(购销流水!$D61,记账规则!$A$6:$A$9,0),13),""))</f>
        <v/>
      </c>
      <c r="N229" s="66" t="str">
        <f aca="false">IF($L229="","",IFERROR(INDEX(记账规则!$A$6:$N$9,MATCH(购销流水!$D61,记账规则!$A$6:$A$9,0),14),""))</f>
        <v/>
      </c>
      <c r="O229" s="67" t="n">
        <f aca="false">IF($H229="",0,ROUND(IF($N229="成本金额",N(购销流水!$W61),IF($N229="金额",N(购销流水!$Q61),0)),2))</f>
        <v>0</v>
      </c>
      <c r="P229" s="64" t="str">
        <f aca="false">IF(AND($H229&lt;&gt;"",ROUND($O229,2)&lt;&gt;0),"有","")</f>
        <v/>
      </c>
    </row>
    <row r="230" customFormat="false" ht="15" hidden="true" customHeight="false" outlineLevel="0" collapsed="false">
      <c r="A230" s="53" t="str">
        <f aca="false">IF($H230="","",ROW()-5)</f>
        <v/>
      </c>
      <c r="B230" s="64" t="s">
        <v>36</v>
      </c>
      <c r="C230" s="53" t="n">
        <v>62</v>
      </c>
      <c r="D230" s="53" t="n">
        <v>1</v>
      </c>
      <c r="E230" s="65" t="str">
        <f aca="false">IF($H230="","",购销流水!$B62)</f>
        <v/>
      </c>
      <c r="F230" s="55" t="str">
        <f aca="false">IF($H230="","",购销流水!$C62)</f>
        <v/>
      </c>
      <c r="G230" s="48" t="str">
        <f aca="false">IF($H230="","",购销流水!$N62)</f>
        <v/>
      </c>
      <c r="H230" s="10" t="str">
        <f aca="false">IF($L230="","",IF($L230="@成本",购销流水!$U62,IF($L230="@收入",购销流水!$T62,IF($L230="@存货",购销流水!$S62,IF($L230="@结算",购销流水!$R62,$L230)))))</f>
        <v/>
      </c>
      <c r="I230" s="42" t="n">
        <f aca="false">IF($M230="借",$O230,0)</f>
        <v>0</v>
      </c>
      <c r="J230" s="42" t="n">
        <f aca="false">IF($M230="贷",$O230,0)</f>
        <v>0</v>
      </c>
      <c r="K230" s="48" t="str">
        <f aca="false">IF($H230="","",购销流水!$E62)</f>
        <v/>
      </c>
      <c r="L230" s="66" t="str">
        <f aca="false">IF(购销流水!$D62="","",IFERROR(INDEX(记账规则!$A$6:$N$9,MATCH(购销流水!$D62,记账规则!$A$6:$A$9,0),3),""))</f>
        <v/>
      </c>
      <c r="M230" s="66" t="str">
        <f aca="false">IF($L230="","",IFERROR(INDEX(记账规则!$A$6:$N$9,MATCH(购销流水!$D62,记账规则!$A$6:$A$9,0),4),""))</f>
        <v/>
      </c>
      <c r="N230" s="66" t="str">
        <f aca="false">IF($L230="","",IFERROR(INDEX(记账规则!$A$6:$N$9,MATCH(购销流水!$D62,记账规则!$A$6:$A$9,0),5),""))</f>
        <v/>
      </c>
      <c r="O230" s="67" t="n">
        <f aca="false">IF($H230="",0,ROUND(IF($N230="成本金额",N(购销流水!$W62),IF($N230="金额",N(购销流水!$Q62),0)),2))</f>
        <v>0</v>
      </c>
      <c r="P230" s="64" t="str">
        <f aca="false">IF(AND($H230&lt;&gt;"",ROUND($O230,2)&lt;&gt;0),"有","")</f>
        <v/>
      </c>
    </row>
    <row r="231" customFormat="false" ht="15" hidden="true" customHeight="false" outlineLevel="0" collapsed="false">
      <c r="A231" s="53" t="str">
        <f aca="false">IF($H231="","",ROW()-5)</f>
        <v/>
      </c>
      <c r="B231" s="64" t="s">
        <v>36</v>
      </c>
      <c r="C231" s="53" t="n">
        <v>62</v>
      </c>
      <c r="D231" s="53" t="n">
        <v>2</v>
      </c>
      <c r="E231" s="65" t="str">
        <f aca="false">IF($H231="","",购销流水!$B62)</f>
        <v/>
      </c>
      <c r="F231" s="55" t="str">
        <f aca="false">IF($H231="","",购销流水!$C62)</f>
        <v/>
      </c>
      <c r="G231" s="48" t="str">
        <f aca="false">IF($H231="","",购销流水!$N62)</f>
        <v/>
      </c>
      <c r="H231" s="10" t="str">
        <f aca="false">IF($L231="","",IF($L231="@成本",购销流水!$U62,IF($L231="@收入",购销流水!$T62,IF($L231="@存货",购销流水!$S62,IF($L231="@结算",购销流水!$R62,$L231)))))</f>
        <v/>
      </c>
      <c r="I231" s="42" t="n">
        <f aca="false">IF($M231="借",$O231,0)</f>
        <v>0</v>
      </c>
      <c r="J231" s="42" t="n">
        <f aca="false">IF($M231="贷",$O231,0)</f>
        <v>0</v>
      </c>
      <c r="K231" s="48" t="str">
        <f aca="false">IF($H231="","",购销流水!$E62)</f>
        <v/>
      </c>
      <c r="L231" s="66" t="str">
        <f aca="false">IF(购销流水!$D62="","",IFERROR(INDEX(记账规则!$A$6:$N$9,MATCH(购销流水!$D62,记账规则!$A$6:$A$9,0),6),""))</f>
        <v/>
      </c>
      <c r="M231" s="66" t="str">
        <f aca="false">IF($L231="","",IFERROR(INDEX(记账规则!$A$6:$N$9,MATCH(购销流水!$D62,记账规则!$A$6:$A$9,0),7),""))</f>
        <v/>
      </c>
      <c r="N231" s="66" t="str">
        <f aca="false">IF($L231="","",IFERROR(INDEX(记账规则!$A$6:$N$9,MATCH(购销流水!$D62,记账规则!$A$6:$A$9,0),8),""))</f>
        <v/>
      </c>
      <c r="O231" s="67" t="n">
        <f aca="false">IF($H231="",0,ROUND(IF($N231="成本金额",N(购销流水!$W62),IF($N231="金额",N(购销流水!$Q62),0)),2))</f>
        <v>0</v>
      </c>
      <c r="P231" s="64" t="str">
        <f aca="false">IF(AND($H231&lt;&gt;"",ROUND($O231,2)&lt;&gt;0),"有","")</f>
        <v/>
      </c>
    </row>
    <row r="232" customFormat="false" ht="15" hidden="true" customHeight="false" outlineLevel="0" collapsed="false">
      <c r="A232" s="53" t="str">
        <f aca="false">IF($H232="","",ROW()-5)</f>
        <v/>
      </c>
      <c r="B232" s="64" t="s">
        <v>36</v>
      </c>
      <c r="C232" s="53" t="n">
        <v>62</v>
      </c>
      <c r="D232" s="53" t="n">
        <v>3</v>
      </c>
      <c r="E232" s="65" t="str">
        <f aca="false">IF($H232="","",购销流水!$B62)</f>
        <v/>
      </c>
      <c r="F232" s="55" t="str">
        <f aca="false">IF($H232="","",购销流水!$C62)</f>
        <v/>
      </c>
      <c r="G232" s="48" t="str">
        <f aca="false">IF($H232="","",购销流水!$N62)</f>
        <v/>
      </c>
      <c r="H232" s="10" t="str">
        <f aca="false">IF($L232="","",IF($L232="@成本",购销流水!$U62,IF($L232="@收入",购销流水!$T62,IF($L232="@存货",购销流水!$S62,IF($L232="@结算",购销流水!$R62,$L232)))))</f>
        <v/>
      </c>
      <c r="I232" s="42" t="n">
        <f aca="false">IF($M232="借",$O232,0)</f>
        <v>0</v>
      </c>
      <c r="J232" s="42" t="n">
        <f aca="false">IF($M232="贷",$O232,0)</f>
        <v>0</v>
      </c>
      <c r="K232" s="48" t="str">
        <f aca="false">IF($H232="","",购销流水!$E62)</f>
        <v/>
      </c>
      <c r="L232" s="66" t="str">
        <f aca="false">IF(购销流水!$D62="","",IFERROR(INDEX(记账规则!$A$6:$N$9,MATCH(购销流水!$D62,记账规则!$A$6:$A$9,0),9),""))</f>
        <v/>
      </c>
      <c r="M232" s="66" t="str">
        <f aca="false">IF($L232="","",IFERROR(INDEX(记账规则!$A$6:$N$9,MATCH(购销流水!$D62,记账规则!$A$6:$A$9,0),10),""))</f>
        <v/>
      </c>
      <c r="N232" s="66" t="str">
        <f aca="false">IF($L232="","",IFERROR(INDEX(记账规则!$A$6:$N$9,MATCH(购销流水!$D62,记账规则!$A$6:$A$9,0),11),""))</f>
        <v/>
      </c>
      <c r="O232" s="67" t="n">
        <f aca="false">IF($H232="",0,ROUND(IF($N232="成本金额",N(购销流水!$W62),IF($N232="金额",N(购销流水!$Q62),0)),2))</f>
        <v>0</v>
      </c>
      <c r="P232" s="64" t="str">
        <f aca="false">IF(AND($H232&lt;&gt;"",ROUND($O232,2)&lt;&gt;0),"有","")</f>
        <v/>
      </c>
    </row>
    <row r="233" customFormat="false" ht="15" hidden="true" customHeight="false" outlineLevel="0" collapsed="false">
      <c r="A233" s="53" t="str">
        <f aca="false">IF($H233="","",ROW()-5)</f>
        <v/>
      </c>
      <c r="B233" s="64" t="s">
        <v>36</v>
      </c>
      <c r="C233" s="53" t="n">
        <v>62</v>
      </c>
      <c r="D233" s="53" t="n">
        <v>4</v>
      </c>
      <c r="E233" s="65" t="str">
        <f aca="false">IF($H233="","",购销流水!$B62)</f>
        <v/>
      </c>
      <c r="F233" s="55" t="str">
        <f aca="false">IF($H233="","",购销流水!$C62)</f>
        <v/>
      </c>
      <c r="G233" s="48" t="str">
        <f aca="false">IF($H233="","",购销流水!$N62)</f>
        <v/>
      </c>
      <c r="H233" s="10" t="str">
        <f aca="false">IF($L233="","",IF($L233="@成本",购销流水!$U62,IF($L233="@收入",购销流水!$T62,IF($L233="@存货",购销流水!$S62,IF($L233="@结算",购销流水!$R62,$L233)))))</f>
        <v/>
      </c>
      <c r="I233" s="42" t="n">
        <f aca="false">IF($M233="借",$O233,0)</f>
        <v>0</v>
      </c>
      <c r="J233" s="42" t="n">
        <f aca="false">IF($M233="贷",$O233,0)</f>
        <v>0</v>
      </c>
      <c r="K233" s="48" t="str">
        <f aca="false">IF($H233="","",购销流水!$E62)</f>
        <v/>
      </c>
      <c r="L233" s="66" t="str">
        <f aca="false">IF(购销流水!$D62="","",IFERROR(INDEX(记账规则!$A$6:$N$9,MATCH(购销流水!$D62,记账规则!$A$6:$A$9,0),12),""))</f>
        <v/>
      </c>
      <c r="M233" s="66" t="str">
        <f aca="false">IF($L233="","",IFERROR(INDEX(记账规则!$A$6:$N$9,MATCH(购销流水!$D62,记账规则!$A$6:$A$9,0),13),""))</f>
        <v/>
      </c>
      <c r="N233" s="66" t="str">
        <f aca="false">IF($L233="","",IFERROR(INDEX(记账规则!$A$6:$N$9,MATCH(购销流水!$D62,记账规则!$A$6:$A$9,0),14),""))</f>
        <v/>
      </c>
      <c r="O233" s="67" t="n">
        <f aca="false">IF($H233="",0,ROUND(IF($N233="成本金额",N(购销流水!$W62),IF($N233="金额",N(购销流水!$Q62),0)),2))</f>
        <v>0</v>
      </c>
      <c r="P233" s="64" t="str">
        <f aca="false">IF(AND($H233&lt;&gt;"",ROUND($O233,2)&lt;&gt;0),"有","")</f>
        <v/>
      </c>
    </row>
    <row r="234" customFormat="false" ht="15" hidden="true" customHeight="false" outlineLevel="0" collapsed="false">
      <c r="A234" s="53" t="str">
        <f aca="false">IF($H234="","",ROW()-5)</f>
        <v/>
      </c>
      <c r="B234" s="64" t="s">
        <v>36</v>
      </c>
      <c r="C234" s="53" t="n">
        <v>63</v>
      </c>
      <c r="D234" s="53" t="n">
        <v>1</v>
      </c>
      <c r="E234" s="65" t="str">
        <f aca="false">IF($H234="","",购销流水!$B63)</f>
        <v/>
      </c>
      <c r="F234" s="55" t="str">
        <f aca="false">IF($H234="","",购销流水!$C63)</f>
        <v/>
      </c>
      <c r="G234" s="48" t="str">
        <f aca="false">IF($H234="","",购销流水!$N63)</f>
        <v/>
      </c>
      <c r="H234" s="10" t="str">
        <f aca="false">IF($L234="","",IF($L234="@成本",购销流水!$U63,IF($L234="@收入",购销流水!$T63,IF($L234="@存货",购销流水!$S63,IF($L234="@结算",购销流水!$R63,$L234)))))</f>
        <v/>
      </c>
      <c r="I234" s="42" t="n">
        <f aca="false">IF($M234="借",$O234,0)</f>
        <v>0</v>
      </c>
      <c r="J234" s="42" t="n">
        <f aca="false">IF($M234="贷",$O234,0)</f>
        <v>0</v>
      </c>
      <c r="K234" s="48" t="str">
        <f aca="false">IF($H234="","",购销流水!$E63)</f>
        <v/>
      </c>
      <c r="L234" s="66" t="str">
        <f aca="false">IF(购销流水!$D63="","",IFERROR(INDEX(记账规则!$A$6:$N$9,MATCH(购销流水!$D63,记账规则!$A$6:$A$9,0),3),""))</f>
        <v/>
      </c>
      <c r="M234" s="66" t="str">
        <f aca="false">IF($L234="","",IFERROR(INDEX(记账规则!$A$6:$N$9,MATCH(购销流水!$D63,记账规则!$A$6:$A$9,0),4),""))</f>
        <v/>
      </c>
      <c r="N234" s="66" t="str">
        <f aca="false">IF($L234="","",IFERROR(INDEX(记账规则!$A$6:$N$9,MATCH(购销流水!$D63,记账规则!$A$6:$A$9,0),5),""))</f>
        <v/>
      </c>
      <c r="O234" s="67" t="n">
        <f aca="false">IF($H234="",0,ROUND(IF($N234="成本金额",N(购销流水!$W63),IF($N234="金额",N(购销流水!$Q63),0)),2))</f>
        <v>0</v>
      </c>
      <c r="P234" s="64" t="str">
        <f aca="false">IF(AND($H234&lt;&gt;"",ROUND($O234,2)&lt;&gt;0),"有","")</f>
        <v/>
      </c>
    </row>
    <row r="235" customFormat="false" ht="15" hidden="true" customHeight="false" outlineLevel="0" collapsed="false">
      <c r="A235" s="53" t="str">
        <f aca="false">IF($H235="","",ROW()-5)</f>
        <v/>
      </c>
      <c r="B235" s="64" t="s">
        <v>36</v>
      </c>
      <c r="C235" s="53" t="n">
        <v>63</v>
      </c>
      <c r="D235" s="53" t="n">
        <v>2</v>
      </c>
      <c r="E235" s="65" t="str">
        <f aca="false">IF($H235="","",购销流水!$B63)</f>
        <v/>
      </c>
      <c r="F235" s="55" t="str">
        <f aca="false">IF($H235="","",购销流水!$C63)</f>
        <v/>
      </c>
      <c r="G235" s="48" t="str">
        <f aca="false">IF($H235="","",购销流水!$N63)</f>
        <v/>
      </c>
      <c r="H235" s="10" t="str">
        <f aca="false">IF($L235="","",IF($L235="@成本",购销流水!$U63,IF($L235="@收入",购销流水!$T63,IF($L235="@存货",购销流水!$S63,IF($L235="@结算",购销流水!$R63,$L235)))))</f>
        <v/>
      </c>
      <c r="I235" s="42" t="n">
        <f aca="false">IF($M235="借",$O235,0)</f>
        <v>0</v>
      </c>
      <c r="J235" s="42" t="n">
        <f aca="false">IF($M235="贷",$O235,0)</f>
        <v>0</v>
      </c>
      <c r="K235" s="48" t="str">
        <f aca="false">IF($H235="","",购销流水!$E63)</f>
        <v/>
      </c>
      <c r="L235" s="66" t="str">
        <f aca="false">IF(购销流水!$D63="","",IFERROR(INDEX(记账规则!$A$6:$N$9,MATCH(购销流水!$D63,记账规则!$A$6:$A$9,0),6),""))</f>
        <v/>
      </c>
      <c r="M235" s="66" t="str">
        <f aca="false">IF($L235="","",IFERROR(INDEX(记账规则!$A$6:$N$9,MATCH(购销流水!$D63,记账规则!$A$6:$A$9,0),7),""))</f>
        <v/>
      </c>
      <c r="N235" s="66" t="str">
        <f aca="false">IF($L235="","",IFERROR(INDEX(记账规则!$A$6:$N$9,MATCH(购销流水!$D63,记账规则!$A$6:$A$9,0),8),""))</f>
        <v/>
      </c>
      <c r="O235" s="67" t="n">
        <f aca="false">IF($H235="",0,ROUND(IF($N235="成本金额",N(购销流水!$W63),IF($N235="金额",N(购销流水!$Q63),0)),2))</f>
        <v>0</v>
      </c>
      <c r="P235" s="64" t="str">
        <f aca="false">IF(AND($H235&lt;&gt;"",ROUND($O235,2)&lt;&gt;0),"有","")</f>
        <v/>
      </c>
    </row>
    <row r="236" customFormat="false" ht="15" hidden="true" customHeight="false" outlineLevel="0" collapsed="false">
      <c r="A236" s="53" t="str">
        <f aca="false">IF($H236="","",ROW()-5)</f>
        <v/>
      </c>
      <c r="B236" s="64" t="s">
        <v>36</v>
      </c>
      <c r="C236" s="53" t="n">
        <v>63</v>
      </c>
      <c r="D236" s="53" t="n">
        <v>3</v>
      </c>
      <c r="E236" s="65" t="str">
        <f aca="false">IF($H236="","",购销流水!$B63)</f>
        <v/>
      </c>
      <c r="F236" s="55" t="str">
        <f aca="false">IF($H236="","",购销流水!$C63)</f>
        <v/>
      </c>
      <c r="G236" s="48" t="str">
        <f aca="false">IF($H236="","",购销流水!$N63)</f>
        <v/>
      </c>
      <c r="H236" s="10" t="str">
        <f aca="false">IF($L236="","",IF($L236="@成本",购销流水!$U63,IF($L236="@收入",购销流水!$T63,IF($L236="@存货",购销流水!$S63,IF($L236="@结算",购销流水!$R63,$L236)))))</f>
        <v/>
      </c>
      <c r="I236" s="42" t="n">
        <f aca="false">IF($M236="借",$O236,0)</f>
        <v>0</v>
      </c>
      <c r="J236" s="42" t="n">
        <f aca="false">IF($M236="贷",$O236,0)</f>
        <v>0</v>
      </c>
      <c r="K236" s="48" t="str">
        <f aca="false">IF($H236="","",购销流水!$E63)</f>
        <v/>
      </c>
      <c r="L236" s="66" t="str">
        <f aca="false">IF(购销流水!$D63="","",IFERROR(INDEX(记账规则!$A$6:$N$9,MATCH(购销流水!$D63,记账规则!$A$6:$A$9,0),9),""))</f>
        <v/>
      </c>
      <c r="M236" s="66" t="str">
        <f aca="false">IF($L236="","",IFERROR(INDEX(记账规则!$A$6:$N$9,MATCH(购销流水!$D63,记账规则!$A$6:$A$9,0),10),""))</f>
        <v/>
      </c>
      <c r="N236" s="66" t="str">
        <f aca="false">IF($L236="","",IFERROR(INDEX(记账规则!$A$6:$N$9,MATCH(购销流水!$D63,记账规则!$A$6:$A$9,0),11),""))</f>
        <v/>
      </c>
      <c r="O236" s="67" t="n">
        <f aca="false">IF($H236="",0,ROUND(IF($N236="成本金额",N(购销流水!$W63),IF($N236="金额",N(购销流水!$Q63),0)),2))</f>
        <v>0</v>
      </c>
      <c r="P236" s="64" t="str">
        <f aca="false">IF(AND($H236&lt;&gt;"",ROUND($O236,2)&lt;&gt;0),"有","")</f>
        <v/>
      </c>
    </row>
    <row r="237" customFormat="false" ht="15" hidden="true" customHeight="false" outlineLevel="0" collapsed="false">
      <c r="A237" s="53" t="str">
        <f aca="false">IF($H237="","",ROW()-5)</f>
        <v/>
      </c>
      <c r="B237" s="64" t="s">
        <v>36</v>
      </c>
      <c r="C237" s="53" t="n">
        <v>63</v>
      </c>
      <c r="D237" s="53" t="n">
        <v>4</v>
      </c>
      <c r="E237" s="65" t="str">
        <f aca="false">IF($H237="","",购销流水!$B63)</f>
        <v/>
      </c>
      <c r="F237" s="55" t="str">
        <f aca="false">IF($H237="","",购销流水!$C63)</f>
        <v/>
      </c>
      <c r="G237" s="48" t="str">
        <f aca="false">IF($H237="","",购销流水!$N63)</f>
        <v/>
      </c>
      <c r="H237" s="10" t="str">
        <f aca="false">IF($L237="","",IF($L237="@成本",购销流水!$U63,IF($L237="@收入",购销流水!$T63,IF($L237="@存货",购销流水!$S63,IF($L237="@结算",购销流水!$R63,$L237)))))</f>
        <v/>
      </c>
      <c r="I237" s="42" t="n">
        <f aca="false">IF($M237="借",$O237,0)</f>
        <v>0</v>
      </c>
      <c r="J237" s="42" t="n">
        <f aca="false">IF($M237="贷",$O237,0)</f>
        <v>0</v>
      </c>
      <c r="K237" s="48" t="str">
        <f aca="false">IF($H237="","",购销流水!$E63)</f>
        <v/>
      </c>
      <c r="L237" s="66" t="str">
        <f aca="false">IF(购销流水!$D63="","",IFERROR(INDEX(记账规则!$A$6:$N$9,MATCH(购销流水!$D63,记账规则!$A$6:$A$9,0),12),""))</f>
        <v/>
      </c>
      <c r="M237" s="66" t="str">
        <f aca="false">IF($L237="","",IFERROR(INDEX(记账规则!$A$6:$N$9,MATCH(购销流水!$D63,记账规则!$A$6:$A$9,0),13),""))</f>
        <v/>
      </c>
      <c r="N237" s="66" t="str">
        <f aca="false">IF($L237="","",IFERROR(INDEX(记账规则!$A$6:$N$9,MATCH(购销流水!$D63,记账规则!$A$6:$A$9,0),14),""))</f>
        <v/>
      </c>
      <c r="O237" s="67" t="n">
        <f aca="false">IF($H237="",0,ROUND(IF($N237="成本金额",N(购销流水!$W63),IF($N237="金额",N(购销流水!$Q63),0)),2))</f>
        <v>0</v>
      </c>
      <c r="P237" s="64" t="str">
        <f aca="false">IF(AND($H237&lt;&gt;"",ROUND($O237,2)&lt;&gt;0),"有","")</f>
        <v/>
      </c>
    </row>
    <row r="238" customFormat="false" ht="15" hidden="true" customHeight="false" outlineLevel="0" collapsed="false">
      <c r="A238" s="53" t="str">
        <f aca="false">IF($H238="","",ROW()-5)</f>
        <v/>
      </c>
      <c r="B238" s="64" t="s">
        <v>36</v>
      </c>
      <c r="C238" s="53" t="n">
        <v>64</v>
      </c>
      <c r="D238" s="53" t="n">
        <v>1</v>
      </c>
      <c r="E238" s="65" t="str">
        <f aca="false">IF($H238="","",购销流水!$B64)</f>
        <v/>
      </c>
      <c r="F238" s="55" t="str">
        <f aca="false">IF($H238="","",购销流水!$C64)</f>
        <v/>
      </c>
      <c r="G238" s="48" t="str">
        <f aca="false">IF($H238="","",购销流水!$N64)</f>
        <v/>
      </c>
      <c r="H238" s="10" t="str">
        <f aca="false">IF($L238="","",IF($L238="@成本",购销流水!$U64,IF($L238="@收入",购销流水!$T64,IF($L238="@存货",购销流水!$S64,IF($L238="@结算",购销流水!$R64,$L238)))))</f>
        <v/>
      </c>
      <c r="I238" s="42" t="n">
        <f aca="false">IF($M238="借",$O238,0)</f>
        <v>0</v>
      </c>
      <c r="J238" s="42" t="n">
        <f aca="false">IF($M238="贷",$O238,0)</f>
        <v>0</v>
      </c>
      <c r="K238" s="48" t="str">
        <f aca="false">IF($H238="","",购销流水!$E64)</f>
        <v/>
      </c>
      <c r="L238" s="66" t="str">
        <f aca="false">IF(购销流水!$D64="","",IFERROR(INDEX(记账规则!$A$6:$N$9,MATCH(购销流水!$D64,记账规则!$A$6:$A$9,0),3),""))</f>
        <v/>
      </c>
      <c r="M238" s="66" t="str">
        <f aca="false">IF($L238="","",IFERROR(INDEX(记账规则!$A$6:$N$9,MATCH(购销流水!$D64,记账规则!$A$6:$A$9,0),4),""))</f>
        <v/>
      </c>
      <c r="N238" s="66" t="str">
        <f aca="false">IF($L238="","",IFERROR(INDEX(记账规则!$A$6:$N$9,MATCH(购销流水!$D64,记账规则!$A$6:$A$9,0),5),""))</f>
        <v/>
      </c>
      <c r="O238" s="67" t="n">
        <f aca="false">IF($H238="",0,ROUND(IF($N238="成本金额",N(购销流水!$W64),IF($N238="金额",N(购销流水!$Q64),0)),2))</f>
        <v>0</v>
      </c>
      <c r="P238" s="64" t="str">
        <f aca="false">IF(AND($H238&lt;&gt;"",ROUND($O238,2)&lt;&gt;0),"有","")</f>
        <v/>
      </c>
    </row>
    <row r="239" customFormat="false" ht="15" hidden="true" customHeight="false" outlineLevel="0" collapsed="false">
      <c r="A239" s="53" t="str">
        <f aca="false">IF($H239="","",ROW()-5)</f>
        <v/>
      </c>
      <c r="B239" s="64" t="s">
        <v>36</v>
      </c>
      <c r="C239" s="53" t="n">
        <v>64</v>
      </c>
      <c r="D239" s="53" t="n">
        <v>2</v>
      </c>
      <c r="E239" s="65" t="str">
        <f aca="false">IF($H239="","",购销流水!$B64)</f>
        <v/>
      </c>
      <c r="F239" s="55" t="str">
        <f aca="false">IF($H239="","",购销流水!$C64)</f>
        <v/>
      </c>
      <c r="G239" s="48" t="str">
        <f aca="false">IF($H239="","",购销流水!$N64)</f>
        <v/>
      </c>
      <c r="H239" s="10" t="str">
        <f aca="false">IF($L239="","",IF($L239="@成本",购销流水!$U64,IF($L239="@收入",购销流水!$T64,IF($L239="@存货",购销流水!$S64,IF($L239="@结算",购销流水!$R64,$L239)))))</f>
        <v/>
      </c>
      <c r="I239" s="42" t="n">
        <f aca="false">IF($M239="借",$O239,0)</f>
        <v>0</v>
      </c>
      <c r="J239" s="42" t="n">
        <f aca="false">IF($M239="贷",$O239,0)</f>
        <v>0</v>
      </c>
      <c r="K239" s="48" t="str">
        <f aca="false">IF($H239="","",购销流水!$E64)</f>
        <v/>
      </c>
      <c r="L239" s="66" t="str">
        <f aca="false">IF(购销流水!$D64="","",IFERROR(INDEX(记账规则!$A$6:$N$9,MATCH(购销流水!$D64,记账规则!$A$6:$A$9,0),6),""))</f>
        <v/>
      </c>
      <c r="M239" s="66" t="str">
        <f aca="false">IF($L239="","",IFERROR(INDEX(记账规则!$A$6:$N$9,MATCH(购销流水!$D64,记账规则!$A$6:$A$9,0),7),""))</f>
        <v/>
      </c>
      <c r="N239" s="66" t="str">
        <f aca="false">IF($L239="","",IFERROR(INDEX(记账规则!$A$6:$N$9,MATCH(购销流水!$D64,记账规则!$A$6:$A$9,0),8),""))</f>
        <v/>
      </c>
      <c r="O239" s="67" t="n">
        <f aca="false">IF($H239="",0,ROUND(IF($N239="成本金额",N(购销流水!$W64),IF($N239="金额",N(购销流水!$Q64),0)),2))</f>
        <v>0</v>
      </c>
      <c r="P239" s="64" t="str">
        <f aca="false">IF(AND($H239&lt;&gt;"",ROUND($O239,2)&lt;&gt;0),"有","")</f>
        <v/>
      </c>
    </row>
    <row r="240" customFormat="false" ht="15" hidden="true" customHeight="false" outlineLevel="0" collapsed="false">
      <c r="A240" s="53" t="str">
        <f aca="false">IF($H240="","",ROW()-5)</f>
        <v/>
      </c>
      <c r="B240" s="64" t="s">
        <v>36</v>
      </c>
      <c r="C240" s="53" t="n">
        <v>64</v>
      </c>
      <c r="D240" s="53" t="n">
        <v>3</v>
      </c>
      <c r="E240" s="65" t="str">
        <f aca="false">IF($H240="","",购销流水!$B64)</f>
        <v/>
      </c>
      <c r="F240" s="55" t="str">
        <f aca="false">IF($H240="","",购销流水!$C64)</f>
        <v/>
      </c>
      <c r="G240" s="48" t="str">
        <f aca="false">IF($H240="","",购销流水!$N64)</f>
        <v/>
      </c>
      <c r="H240" s="10" t="str">
        <f aca="false">IF($L240="","",IF($L240="@成本",购销流水!$U64,IF($L240="@收入",购销流水!$T64,IF($L240="@存货",购销流水!$S64,IF($L240="@结算",购销流水!$R64,$L240)))))</f>
        <v/>
      </c>
      <c r="I240" s="42" t="n">
        <f aca="false">IF($M240="借",$O240,0)</f>
        <v>0</v>
      </c>
      <c r="J240" s="42" t="n">
        <f aca="false">IF($M240="贷",$O240,0)</f>
        <v>0</v>
      </c>
      <c r="K240" s="48" t="str">
        <f aca="false">IF($H240="","",购销流水!$E64)</f>
        <v/>
      </c>
      <c r="L240" s="66" t="str">
        <f aca="false">IF(购销流水!$D64="","",IFERROR(INDEX(记账规则!$A$6:$N$9,MATCH(购销流水!$D64,记账规则!$A$6:$A$9,0),9),""))</f>
        <v/>
      </c>
      <c r="M240" s="66" t="str">
        <f aca="false">IF($L240="","",IFERROR(INDEX(记账规则!$A$6:$N$9,MATCH(购销流水!$D64,记账规则!$A$6:$A$9,0),10),""))</f>
        <v/>
      </c>
      <c r="N240" s="66" t="str">
        <f aca="false">IF($L240="","",IFERROR(INDEX(记账规则!$A$6:$N$9,MATCH(购销流水!$D64,记账规则!$A$6:$A$9,0),11),""))</f>
        <v/>
      </c>
      <c r="O240" s="67" t="n">
        <f aca="false">IF($H240="",0,ROUND(IF($N240="成本金额",N(购销流水!$W64),IF($N240="金额",N(购销流水!$Q64),0)),2))</f>
        <v>0</v>
      </c>
      <c r="P240" s="64" t="str">
        <f aca="false">IF(AND($H240&lt;&gt;"",ROUND($O240,2)&lt;&gt;0),"有","")</f>
        <v/>
      </c>
    </row>
    <row r="241" customFormat="false" ht="15" hidden="true" customHeight="false" outlineLevel="0" collapsed="false">
      <c r="A241" s="53" t="str">
        <f aca="false">IF($H241="","",ROW()-5)</f>
        <v/>
      </c>
      <c r="B241" s="64" t="s">
        <v>36</v>
      </c>
      <c r="C241" s="53" t="n">
        <v>64</v>
      </c>
      <c r="D241" s="53" t="n">
        <v>4</v>
      </c>
      <c r="E241" s="65" t="str">
        <f aca="false">IF($H241="","",购销流水!$B64)</f>
        <v/>
      </c>
      <c r="F241" s="55" t="str">
        <f aca="false">IF($H241="","",购销流水!$C64)</f>
        <v/>
      </c>
      <c r="G241" s="48" t="str">
        <f aca="false">IF($H241="","",购销流水!$N64)</f>
        <v/>
      </c>
      <c r="H241" s="10" t="str">
        <f aca="false">IF($L241="","",IF($L241="@成本",购销流水!$U64,IF($L241="@收入",购销流水!$T64,IF($L241="@存货",购销流水!$S64,IF($L241="@结算",购销流水!$R64,$L241)))))</f>
        <v/>
      </c>
      <c r="I241" s="42" t="n">
        <f aca="false">IF($M241="借",$O241,0)</f>
        <v>0</v>
      </c>
      <c r="J241" s="42" t="n">
        <f aca="false">IF($M241="贷",$O241,0)</f>
        <v>0</v>
      </c>
      <c r="K241" s="48" t="str">
        <f aca="false">IF($H241="","",购销流水!$E64)</f>
        <v/>
      </c>
      <c r="L241" s="66" t="str">
        <f aca="false">IF(购销流水!$D64="","",IFERROR(INDEX(记账规则!$A$6:$N$9,MATCH(购销流水!$D64,记账规则!$A$6:$A$9,0),12),""))</f>
        <v/>
      </c>
      <c r="M241" s="66" t="str">
        <f aca="false">IF($L241="","",IFERROR(INDEX(记账规则!$A$6:$N$9,MATCH(购销流水!$D64,记账规则!$A$6:$A$9,0),13),""))</f>
        <v/>
      </c>
      <c r="N241" s="66" t="str">
        <f aca="false">IF($L241="","",IFERROR(INDEX(记账规则!$A$6:$N$9,MATCH(购销流水!$D64,记账规则!$A$6:$A$9,0),14),""))</f>
        <v/>
      </c>
      <c r="O241" s="67" t="n">
        <f aca="false">IF($H241="",0,ROUND(IF($N241="成本金额",N(购销流水!$W64),IF($N241="金额",N(购销流水!$Q64),0)),2))</f>
        <v>0</v>
      </c>
      <c r="P241" s="64" t="str">
        <f aca="false">IF(AND($H241&lt;&gt;"",ROUND($O241,2)&lt;&gt;0),"有","")</f>
        <v/>
      </c>
    </row>
    <row r="242" customFormat="false" ht="15" hidden="true" customHeight="false" outlineLevel="0" collapsed="false">
      <c r="A242" s="53" t="str">
        <f aca="false">IF($H242="","",ROW()-5)</f>
        <v/>
      </c>
      <c r="B242" s="64" t="s">
        <v>36</v>
      </c>
      <c r="C242" s="53" t="n">
        <v>65</v>
      </c>
      <c r="D242" s="53" t="n">
        <v>1</v>
      </c>
      <c r="E242" s="65" t="str">
        <f aca="false">IF($H242="","",购销流水!$B65)</f>
        <v/>
      </c>
      <c r="F242" s="55" t="str">
        <f aca="false">IF($H242="","",购销流水!$C65)</f>
        <v/>
      </c>
      <c r="G242" s="48" t="str">
        <f aca="false">IF($H242="","",购销流水!$N65)</f>
        <v/>
      </c>
      <c r="H242" s="10" t="str">
        <f aca="false">IF($L242="","",IF($L242="@成本",购销流水!$U65,IF($L242="@收入",购销流水!$T65,IF($L242="@存货",购销流水!$S65,IF($L242="@结算",购销流水!$R65,$L242)))))</f>
        <v/>
      </c>
      <c r="I242" s="42" t="n">
        <f aca="false">IF($M242="借",$O242,0)</f>
        <v>0</v>
      </c>
      <c r="J242" s="42" t="n">
        <f aca="false">IF($M242="贷",$O242,0)</f>
        <v>0</v>
      </c>
      <c r="K242" s="48" t="str">
        <f aca="false">IF($H242="","",购销流水!$E65)</f>
        <v/>
      </c>
      <c r="L242" s="66" t="str">
        <f aca="false">IF(购销流水!$D65="","",IFERROR(INDEX(记账规则!$A$6:$N$9,MATCH(购销流水!$D65,记账规则!$A$6:$A$9,0),3),""))</f>
        <v/>
      </c>
      <c r="M242" s="66" t="str">
        <f aca="false">IF($L242="","",IFERROR(INDEX(记账规则!$A$6:$N$9,MATCH(购销流水!$D65,记账规则!$A$6:$A$9,0),4),""))</f>
        <v/>
      </c>
      <c r="N242" s="66" t="str">
        <f aca="false">IF($L242="","",IFERROR(INDEX(记账规则!$A$6:$N$9,MATCH(购销流水!$D65,记账规则!$A$6:$A$9,0),5),""))</f>
        <v/>
      </c>
      <c r="O242" s="67" t="n">
        <f aca="false">IF($H242="",0,ROUND(IF($N242="成本金额",N(购销流水!$W65),IF($N242="金额",N(购销流水!$Q65),0)),2))</f>
        <v>0</v>
      </c>
      <c r="P242" s="64" t="str">
        <f aca="false">IF(AND($H242&lt;&gt;"",ROUND($O242,2)&lt;&gt;0),"有","")</f>
        <v/>
      </c>
    </row>
    <row r="243" customFormat="false" ht="15" hidden="true" customHeight="false" outlineLevel="0" collapsed="false">
      <c r="A243" s="53" t="str">
        <f aca="false">IF($H243="","",ROW()-5)</f>
        <v/>
      </c>
      <c r="B243" s="64" t="s">
        <v>36</v>
      </c>
      <c r="C243" s="53" t="n">
        <v>65</v>
      </c>
      <c r="D243" s="53" t="n">
        <v>2</v>
      </c>
      <c r="E243" s="65" t="str">
        <f aca="false">IF($H243="","",购销流水!$B65)</f>
        <v/>
      </c>
      <c r="F243" s="55" t="str">
        <f aca="false">IF($H243="","",购销流水!$C65)</f>
        <v/>
      </c>
      <c r="G243" s="48" t="str">
        <f aca="false">IF($H243="","",购销流水!$N65)</f>
        <v/>
      </c>
      <c r="H243" s="10" t="str">
        <f aca="false">IF($L243="","",IF($L243="@成本",购销流水!$U65,IF($L243="@收入",购销流水!$T65,IF($L243="@存货",购销流水!$S65,IF($L243="@结算",购销流水!$R65,$L243)))))</f>
        <v/>
      </c>
      <c r="I243" s="42" t="n">
        <f aca="false">IF($M243="借",$O243,0)</f>
        <v>0</v>
      </c>
      <c r="J243" s="42" t="n">
        <f aca="false">IF($M243="贷",$O243,0)</f>
        <v>0</v>
      </c>
      <c r="K243" s="48" t="str">
        <f aca="false">IF($H243="","",购销流水!$E65)</f>
        <v/>
      </c>
      <c r="L243" s="66" t="str">
        <f aca="false">IF(购销流水!$D65="","",IFERROR(INDEX(记账规则!$A$6:$N$9,MATCH(购销流水!$D65,记账规则!$A$6:$A$9,0),6),""))</f>
        <v/>
      </c>
      <c r="M243" s="66" t="str">
        <f aca="false">IF($L243="","",IFERROR(INDEX(记账规则!$A$6:$N$9,MATCH(购销流水!$D65,记账规则!$A$6:$A$9,0),7),""))</f>
        <v/>
      </c>
      <c r="N243" s="66" t="str">
        <f aca="false">IF($L243="","",IFERROR(INDEX(记账规则!$A$6:$N$9,MATCH(购销流水!$D65,记账规则!$A$6:$A$9,0),8),""))</f>
        <v/>
      </c>
      <c r="O243" s="67" t="n">
        <f aca="false">IF($H243="",0,ROUND(IF($N243="成本金额",N(购销流水!$W65),IF($N243="金额",N(购销流水!$Q65),0)),2))</f>
        <v>0</v>
      </c>
      <c r="P243" s="64" t="str">
        <f aca="false">IF(AND($H243&lt;&gt;"",ROUND($O243,2)&lt;&gt;0),"有","")</f>
        <v/>
      </c>
    </row>
    <row r="244" customFormat="false" ht="15" hidden="true" customHeight="false" outlineLevel="0" collapsed="false">
      <c r="A244" s="53" t="str">
        <f aca="false">IF($H244="","",ROW()-5)</f>
        <v/>
      </c>
      <c r="B244" s="64" t="s">
        <v>36</v>
      </c>
      <c r="C244" s="53" t="n">
        <v>65</v>
      </c>
      <c r="D244" s="53" t="n">
        <v>3</v>
      </c>
      <c r="E244" s="65" t="str">
        <f aca="false">IF($H244="","",购销流水!$B65)</f>
        <v/>
      </c>
      <c r="F244" s="55" t="str">
        <f aca="false">IF($H244="","",购销流水!$C65)</f>
        <v/>
      </c>
      <c r="G244" s="48" t="str">
        <f aca="false">IF($H244="","",购销流水!$N65)</f>
        <v/>
      </c>
      <c r="H244" s="10" t="str">
        <f aca="false">IF($L244="","",IF($L244="@成本",购销流水!$U65,IF($L244="@收入",购销流水!$T65,IF($L244="@存货",购销流水!$S65,IF($L244="@结算",购销流水!$R65,$L244)))))</f>
        <v/>
      </c>
      <c r="I244" s="42" t="n">
        <f aca="false">IF($M244="借",$O244,0)</f>
        <v>0</v>
      </c>
      <c r="J244" s="42" t="n">
        <f aca="false">IF($M244="贷",$O244,0)</f>
        <v>0</v>
      </c>
      <c r="K244" s="48" t="str">
        <f aca="false">IF($H244="","",购销流水!$E65)</f>
        <v/>
      </c>
      <c r="L244" s="66" t="str">
        <f aca="false">IF(购销流水!$D65="","",IFERROR(INDEX(记账规则!$A$6:$N$9,MATCH(购销流水!$D65,记账规则!$A$6:$A$9,0),9),""))</f>
        <v/>
      </c>
      <c r="M244" s="66" t="str">
        <f aca="false">IF($L244="","",IFERROR(INDEX(记账规则!$A$6:$N$9,MATCH(购销流水!$D65,记账规则!$A$6:$A$9,0),10),""))</f>
        <v/>
      </c>
      <c r="N244" s="66" t="str">
        <f aca="false">IF($L244="","",IFERROR(INDEX(记账规则!$A$6:$N$9,MATCH(购销流水!$D65,记账规则!$A$6:$A$9,0),11),""))</f>
        <v/>
      </c>
      <c r="O244" s="67" t="n">
        <f aca="false">IF($H244="",0,ROUND(IF($N244="成本金额",N(购销流水!$W65),IF($N244="金额",N(购销流水!$Q65),0)),2))</f>
        <v>0</v>
      </c>
      <c r="P244" s="64" t="str">
        <f aca="false">IF(AND($H244&lt;&gt;"",ROUND($O244,2)&lt;&gt;0),"有","")</f>
        <v/>
      </c>
    </row>
    <row r="245" customFormat="false" ht="15" hidden="true" customHeight="false" outlineLevel="0" collapsed="false">
      <c r="A245" s="53" t="str">
        <f aca="false">IF($H245="","",ROW()-5)</f>
        <v/>
      </c>
      <c r="B245" s="64" t="s">
        <v>36</v>
      </c>
      <c r="C245" s="53" t="n">
        <v>65</v>
      </c>
      <c r="D245" s="53" t="n">
        <v>4</v>
      </c>
      <c r="E245" s="65" t="str">
        <f aca="false">IF($H245="","",购销流水!$B65)</f>
        <v/>
      </c>
      <c r="F245" s="55" t="str">
        <f aca="false">IF($H245="","",购销流水!$C65)</f>
        <v/>
      </c>
      <c r="G245" s="48" t="str">
        <f aca="false">IF($H245="","",购销流水!$N65)</f>
        <v/>
      </c>
      <c r="H245" s="10" t="str">
        <f aca="false">IF($L245="","",IF($L245="@成本",购销流水!$U65,IF($L245="@收入",购销流水!$T65,IF($L245="@存货",购销流水!$S65,IF($L245="@结算",购销流水!$R65,$L245)))))</f>
        <v/>
      </c>
      <c r="I245" s="42" t="n">
        <f aca="false">IF($M245="借",$O245,0)</f>
        <v>0</v>
      </c>
      <c r="J245" s="42" t="n">
        <f aca="false">IF($M245="贷",$O245,0)</f>
        <v>0</v>
      </c>
      <c r="K245" s="48" t="str">
        <f aca="false">IF($H245="","",购销流水!$E65)</f>
        <v/>
      </c>
      <c r="L245" s="66" t="str">
        <f aca="false">IF(购销流水!$D65="","",IFERROR(INDEX(记账规则!$A$6:$N$9,MATCH(购销流水!$D65,记账规则!$A$6:$A$9,0),12),""))</f>
        <v/>
      </c>
      <c r="M245" s="66" t="str">
        <f aca="false">IF($L245="","",IFERROR(INDEX(记账规则!$A$6:$N$9,MATCH(购销流水!$D65,记账规则!$A$6:$A$9,0),13),""))</f>
        <v/>
      </c>
      <c r="N245" s="66" t="str">
        <f aca="false">IF($L245="","",IFERROR(INDEX(记账规则!$A$6:$N$9,MATCH(购销流水!$D65,记账规则!$A$6:$A$9,0),14),""))</f>
        <v/>
      </c>
      <c r="O245" s="67" t="n">
        <f aca="false">IF($H245="",0,ROUND(IF($N245="成本金额",N(购销流水!$W65),IF($N245="金额",N(购销流水!$Q65),0)),2))</f>
        <v>0</v>
      </c>
      <c r="P245" s="64" t="str">
        <f aca="false">IF(AND($H245&lt;&gt;"",ROUND($O245,2)&lt;&gt;0),"有","")</f>
        <v/>
      </c>
    </row>
    <row r="246" customFormat="false" ht="15" hidden="true" customHeight="false" outlineLevel="0" collapsed="false">
      <c r="A246" s="53" t="str">
        <f aca="false">IF($H246="","",ROW()-5)</f>
        <v/>
      </c>
      <c r="B246" s="64" t="s">
        <v>36</v>
      </c>
      <c r="C246" s="53" t="n">
        <v>66</v>
      </c>
      <c r="D246" s="53" t="n">
        <v>1</v>
      </c>
      <c r="E246" s="65" t="str">
        <f aca="false">IF($H246="","",购销流水!$B66)</f>
        <v/>
      </c>
      <c r="F246" s="55" t="str">
        <f aca="false">IF($H246="","",购销流水!$C66)</f>
        <v/>
      </c>
      <c r="G246" s="48" t="str">
        <f aca="false">IF($H246="","",购销流水!$N66)</f>
        <v/>
      </c>
      <c r="H246" s="10" t="str">
        <f aca="false">IF($L246="","",IF($L246="@成本",购销流水!$U66,IF($L246="@收入",购销流水!$T66,IF($L246="@存货",购销流水!$S66,IF($L246="@结算",购销流水!$R66,$L246)))))</f>
        <v/>
      </c>
      <c r="I246" s="42" t="n">
        <f aca="false">IF($M246="借",$O246,0)</f>
        <v>0</v>
      </c>
      <c r="J246" s="42" t="n">
        <f aca="false">IF($M246="贷",$O246,0)</f>
        <v>0</v>
      </c>
      <c r="K246" s="48" t="str">
        <f aca="false">IF($H246="","",购销流水!$E66)</f>
        <v/>
      </c>
      <c r="L246" s="66" t="str">
        <f aca="false">IF(购销流水!$D66="","",IFERROR(INDEX(记账规则!$A$6:$N$9,MATCH(购销流水!$D66,记账规则!$A$6:$A$9,0),3),""))</f>
        <v/>
      </c>
      <c r="M246" s="66" t="str">
        <f aca="false">IF($L246="","",IFERROR(INDEX(记账规则!$A$6:$N$9,MATCH(购销流水!$D66,记账规则!$A$6:$A$9,0),4),""))</f>
        <v/>
      </c>
      <c r="N246" s="66" t="str">
        <f aca="false">IF($L246="","",IFERROR(INDEX(记账规则!$A$6:$N$9,MATCH(购销流水!$D66,记账规则!$A$6:$A$9,0),5),""))</f>
        <v/>
      </c>
      <c r="O246" s="67" t="n">
        <f aca="false">IF($H246="",0,ROUND(IF($N246="成本金额",N(购销流水!$W66),IF($N246="金额",N(购销流水!$Q66),0)),2))</f>
        <v>0</v>
      </c>
      <c r="P246" s="64" t="str">
        <f aca="false">IF(AND($H246&lt;&gt;"",ROUND($O246,2)&lt;&gt;0),"有","")</f>
        <v/>
      </c>
    </row>
    <row r="247" customFormat="false" ht="15" hidden="true" customHeight="false" outlineLevel="0" collapsed="false">
      <c r="A247" s="53" t="str">
        <f aca="false">IF($H247="","",ROW()-5)</f>
        <v/>
      </c>
      <c r="B247" s="64" t="s">
        <v>36</v>
      </c>
      <c r="C247" s="53" t="n">
        <v>66</v>
      </c>
      <c r="D247" s="53" t="n">
        <v>2</v>
      </c>
      <c r="E247" s="65" t="str">
        <f aca="false">IF($H247="","",购销流水!$B66)</f>
        <v/>
      </c>
      <c r="F247" s="55" t="str">
        <f aca="false">IF($H247="","",购销流水!$C66)</f>
        <v/>
      </c>
      <c r="G247" s="48" t="str">
        <f aca="false">IF($H247="","",购销流水!$N66)</f>
        <v/>
      </c>
      <c r="H247" s="10" t="str">
        <f aca="false">IF($L247="","",IF($L247="@成本",购销流水!$U66,IF($L247="@收入",购销流水!$T66,IF($L247="@存货",购销流水!$S66,IF($L247="@结算",购销流水!$R66,$L247)))))</f>
        <v/>
      </c>
      <c r="I247" s="42" t="n">
        <f aca="false">IF($M247="借",$O247,0)</f>
        <v>0</v>
      </c>
      <c r="J247" s="42" t="n">
        <f aca="false">IF($M247="贷",$O247,0)</f>
        <v>0</v>
      </c>
      <c r="K247" s="48" t="str">
        <f aca="false">IF($H247="","",购销流水!$E66)</f>
        <v/>
      </c>
      <c r="L247" s="66" t="str">
        <f aca="false">IF(购销流水!$D66="","",IFERROR(INDEX(记账规则!$A$6:$N$9,MATCH(购销流水!$D66,记账规则!$A$6:$A$9,0),6),""))</f>
        <v/>
      </c>
      <c r="M247" s="66" t="str">
        <f aca="false">IF($L247="","",IFERROR(INDEX(记账规则!$A$6:$N$9,MATCH(购销流水!$D66,记账规则!$A$6:$A$9,0),7),""))</f>
        <v/>
      </c>
      <c r="N247" s="66" t="str">
        <f aca="false">IF($L247="","",IFERROR(INDEX(记账规则!$A$6:$N$9,MATCH(购销流水!$D66,记账规则!$A$6:$A$9,0),8),""))</f>
        <v/>
      </c>
      <c r="O247" s="67" t="n">
        <f aca="false">IF($H247="",0,ROUND(IF($N247="成本金额",N(购销流水!$W66),IF($N247="金额",N(购销流水!$Q66),0)),2))</f>
        <v>0</v>
      </c>
      <c r="P247" s="64" t="str">
        <f aca="false">IF(AND($H247&lt;&gt;"",ROUND($O247,2)&lt;&gt;0),"有","")</f>
        <v/>
      </c>
    </row>
    <row r="248" customFormat="false" ht="15" hidden="true" customHeight="false" outlineLevel="0" collapsed="false">
      <c r="A248" s="53" t="str">
        <f aca="false">IF($H248="","",ROW()-5)</f>
        <v/>
      </c>
      <c r="B248" s="64" t="s">
        <v>36</v>
      </c>
      <c r="C248" s="53" t="n">
        <v>66</v>
      </c>
      <c r="D248" s="53" t="n">
        <v>3</v>
      </c>
      <c r="E248" s="65" t="str">
        <f aca="false">IF($H248="","",购销流水!$B66)</f>
        <v/>
      </c>
      <c r="F248" s="55" t="str">
        <f aca="false">IF($H248="","",购销流水!$C66)</f>
        <v/>
      </c>
      <c r="G248" s="48" t="str">
        <f aca="false">IF($H248="","",购销流水!$N66)</f>
        <v/>
      </c>
      <c r="H248" s="10" t="str">
        <f aca="false">IF($L248="","",IF($L248="@成本",购销流水!$U66,IF($L248="@收入",购销流水!$T66,IF($L248="@存货",购销流水!$S66,IF($L248="@结算",购销流水!$R66,$L248)))))</f>
        <v/>
      </c>
      <c r="I248" s="42" t="n">
        <f aca="false">IF($M248="借",$O248,0)</f>
        <v>0</v>
      </c>
      <c r="J248" s="42" t="n">
        <f aca="false">IF($M248="贷",$O248,0)</f>
        <v>0</v>
      </c>
      <c r="K248" s="48" t="str">
        <f aca="false">IF($H248="","",购销流水!$E66)</f>
        <v/>
      </c>
      <c r="L248" s="66" t="str">
        <f aca="false">IF(购销流水!$D66="","",IFERROR(INDEX(记账规则!$A$6:$N$9,MATCH(购销流水!$D66,记账规则!$A$6:$A$9,0),9),""))</f>
        <v/>
      </c>
      <c r="M248" s="66" t="str">
        <f aca="false">IF($L248="","",IFERROR(INDEX(记账规则!$A$6:$N$9,MATCH(购销流水!$D66,记账规则!$A$6:$A$9,0),10),""))</f>
        <v/>
      </c>
      <c r="N248" s="66" t="str">
        <f aca="false">IF($L248="","",IFERROR(INDEX(记账规则!$A$6:$N$9,MATCH(购销流水!$D66,记账规则!$A$6:$A$9,0),11),""))</f>
        <v/>
      </c>
      <c r="O248" s="67" t="n">
        <f aca="false">IF($H248="",0,ROUND(IF($N248="成本金额",N(购销流水!$W66),IF($N248="金额",N(购销流水!$Q66),0)),2))</f>
        <v>0</v>
      </c>
      <c r="P248" s="64" t="str">
        <f aca="false">IF(AND($H248&lt;&gt;"",ROUND($O248,2)&lt;&gt;0),"有","")</f>
        <v/>
      </c>
    </row>
    <row r="249" customFormat="false" ht="15" hidden="true" customHeight="false" outlineLevel="0" collapsed="false">
      <c r="A249" s="53" t="str">
        <f aca="false">IF($H249="","",ROW()-5)</f>
        <v/>
      </c>
      <c r="B249" s="64" t="s">
        <v>36</v>
      </c>
      <c r="C249" s="53" t="n">
        <v>66</v>
      </c>
      <c r="D249" s="53" t="n">
        <v>4</v>
      </c>
      <c r="E249" s="65" t="str">
        <f aca="false">IF($H249="","",购销流水!$B66)</f>
        <v/>
      </c>
      <c r="F249" s="55" t="str">
        <f aca="false">IF($H249="","",购销流水!$C66)</f>
        <v/>
      </c>
      <c r="G249" s="48" t="str">
        <f aca="false">IF($H249="","",购销流水!$N66)</f>
        <v/>
      </c>
      <c r="H249" s="10" t="str">
        <f aca="false">IF($L249="","",IF($L249="@成本",购销流水!$U66,IF($L249="@收入",购销流水!$T66,IF($L249="@存货",购销流水!$S66,IF($L249="@结算",购销流水!$R66,$L249)))))</f>
        <v/>
      </c>
      <c r="I249" s="42" t="n">
        <f aca="false">IF($M249="借",$O249,0)</f>
        <v>0</v>
      </c>
      <c r="J249" s="42" t="n">
        <f aca="false">IF($M249="贷",$O249,0)</f>
        <v>0</v>
      </c>
      <c r="K249" s="48" t="str">
        <f aca="false">IF($H249="","",购销流水!$E66)</f>
        <v/>
      </c>
      <c r="L249" s="66" t="str">
        <f aca="false">IF(购销流水!$D66="","",IFERROR(INDEX(记账规则!$A$6:$N$9,MATCH(购销流水!$D66,记账规则!$A$6:$A$9,0),12),""))</f>
        <v/>
      </c>
      <c r="M249" s="66" t="str">
        <f aca="false">IF($L249="","",IFERROR(INDEX(记账规则!$A$6:$N$9,MATCH(购销流水!$D66,记账规则!$A$6:$A$9,0),13),""))</f>
        <v/>
      </c>
      <c r="N249" s="66" t="str">
        <f aca="false">IF($L249="","",IFERROR(INDEX(记账规则!$A$6:$N$9,MATCH(购销流水!$D66,记账规则!$A$6:$A$9,0),14),""))</f>
        <v/>
      </c>
      <c r="O249" s="67" t="n">
        <f aca="false">IF($H249="",0,ROUND(IF($N249="成本金额",N(购销流水!$W66),IF($N249="金额",N(购销流水!$Q66),0)),2))</f>
        <v>0</v>
      </c>
      <c r="P249" s="64" t="str">
        <f aca="false">IF(AND($H249&lt;&gt;"",ROUND($O249,2)&lt;&gt;0),"有","")</f>
        <v/>
      </c>
    </row>
    <row r="250" customFormat="false" ht="15" hidden="true" customHeight="false" outlineLevel="0" collapsed="false">
      <c r="A250" s="53" t="str">
        <f aca="false">IF($H250="","",ROW()-5)</f>
        <v/>
      </c>
      <c r="B250" s="64" t="s">
        <v>36</v>
      </c>
      <c r="C250" s="53" t="n">
        <v>67</v>
      </c>
      <c r="D250" s="53" t="n">
        <v>1</v>
      </c>
      <c r="E250" s="65" t="str">
        <f aca="false">IF($H250="","",购销流水!$B67)</f>
        <v/>
      </c>
      <c r="F250" s="55" t="str">
        <f aca="false">IF($H250="","",购销流水!$C67)</f>
        <v/>
      </c>
      <c r="G250" s="48" t="str">
        <f aca="false">IF($H250="","",购销流水!$N67)</f>
        <v/>
      </c>
      <c r="H250" s="10" t="str">
        <f aca="false">IF($L250="","",IF($L250="@成本",购销流水!$U67,IF($L250="@收入",购销流水!$T67,IF($L250="@存货",购销流水!$S67,IF($L250="@结算",购销流水!$R67,$L250)))))</f>
        <v/>
      </c>
      <c r="I250" s="42" t="n">
        <f aca="false">IF($M250="借",$O250,0)</f>
        <v>0</v>
      </c>
      <c r="J250" s="42" t="n">
        <f aca="false">IF($M250="贷",$O250,0)</f>
        <v>0</v>
      </c>
      <c r="K250" s="48" t="str">
        <f aca="false">IF($H250="","",购销流水!$E67)</f>
        <v/>
      </c>
      <c r="L250" s="66" t="str">
        <f aca="false">IF(购销流水!$D67="","",IFERROR(INDEX(记账规则!$A$6:$N$9,MATCH(购销流水!$D67,记账规则!$A$6:$A$9,0),3),""))</f>
        <v/>
      </c>
      <c r="M250" s="66" t="str">
        <f aca="false">IF($L250="","",IFERROR(INDEX(记账规则!$A$6:$N$9,MATCH(购销流水!$D67,记账规则!$A$6:$A$9,0),4),""))</f>
        <v/>
      </c>
      <c r="N250" s="66" t="str">
        <f aca="false">IF($L250="","",IFERROR(INDEX(记账规则!$A$6:$N$9,MATCH(购销流水!$D67,记账规则!$A$6:$A$9,0),5),""))</f>
        <v/>
      </c>
      <c r="O250" s="67" t="n">
        <f aca="false">IF($H250="",0,ROUND(IF($N250="成本金额",N(购销流水!$W67),IF($N250="金额",N(购销流水!$Q67),0)),2))</f>
        <v>0</v>
      </c>
      <c r="P250" s="64" t="str">
        <f aca="false">IF(AND($H250&lt;&gt;"",ROUND($O250,2)&lt;&gt;0),"有","")</f>
        <v/>
      </c>
    </row>
    <row r="251" customFormat="false" ht="15" hidden="true" customHeight="false" outlineLevel="0" collapsed="false">
      <c r="A251" s="53" t="str">
        <f aca="false">IF($H251="","",ROW()-5)</f>
        <v/>
      </c>
      <c r="B251" s="64" t="s">
        <v>36</v>
      </c>
      <c r="C251" s="53" t="n">
        <v>67</v>
      </c>
      <c r="D251" s="53" t="n">
        <v>2</v>
      </c>
      <c r="E251" s="65" t="str">
        <f aca="false">IF($H251="","",购销流水!$B67)</f>
        <v/>
      </c>
      <c r="F251" s="55" t="str">
        <f aca="false">IF($H251="","",购销流水!$C67)</f>
        <v/>
      </c>
      <c r="G251" s="48" t="str">
        <f aca="false">IF($H251="","",购销流水!$N67)</f>
        <v/>
      </c>
      <c r="H251" s="10" t="str">
        <f aca="false">IF($L251="","",IF($L251="@成本",购销流水!$U67,IF($L251="@收入",购销流水!$T67,IF($L251="@存货",购销流水!$S67,IF($L251="@结算",购销流水!$R67,$L251)))))</f>
        <v/>
      </c>
      <c r="I251" s="42" t="n">
        <f aca="false">IF($M251="借",$O251,0)</f>
        <v>0</v>
      </c>
      <c r="J251" s="42" t="n">
        <f aca="false">IF($M251="贷",$O251,0)</f>
        <v>0</v>
      </c>
      <c r="K251" s="48" t="str">
        <f aca="false">IF($H251="","",购销流水!$E67)</f>
        <v/>
      </c>
      <c r="L251" s="66" t="str">
        <f aca="false">IF(购销流水!$D67="","",IFERROR(INDEX(记账规则!$A$6:$N$9,MATCH(购销流水!$D67,记账规则!$A$6:$A$9,0),6),""))</f>
        <v/>
      </c>
      <c r="M251" s="66" t="str">
        <f aca="false">IF($L251="","",IFERROR(INDEX(记账规则!$A$6:$N$9,MATCH(购销流水!$D67,记账规则!$A$6:$A$9,0),7),""))</f>
        <v/>
      </c>
      <c r="N251" s="66" t="str">
        <f aca="false">IF($L251="","",IFERROR(INDEX(记账规则!$A$6:$N$9,MATCH(购销流水!$D67,记账规则!$A$6:$A$9,0),8),""))</f>
        <v/>
      </c>
      <c r="O251" s="67" t="n">
        <f aca="false">IF($H251="",0,ROUND(IF($N251="成本金额",N(购销流水!$W67),IF($N251="金额",N(购销流水!$Q67),0)),2))</f>
        <v>0</v>
      </c>
      <c r="P251" s="64" t="str">
        <f aca="false">IF(AND($H251&lt;&gt;"",ROUND($O251,2)&lt;&gt;0),"有","")</f>
        <v/>
      </c>
    </row>
    <row r="252" customFormat="false" ht="15" hidden="true" customHeight="false" outlineLevel="0" collapsed="false">
      <c r="A252" s="53" t="str">
        <f aca="false">IF($H252="","",ROW()-5)</f>
        <v/>
      </c>
      <c r="B252" s="64" t="s">
        <v>36</v>
      </c>
      <c r="C252" s="53" t="n">
        <v>67</v>
      </c>
      <c r="D252" s="53" t="n">
        <v>3</v>
      </c>
      <c r="E252" s="65" t="str">
        <f aca="false">IF($H252="","",购销流水!$B67)</f>
        <v/>
      </c>
      <c r="F252" s="55" t="str">
        <f aca="false">IF($H252="","",购销流水!$C67)</f>
        <v/>
      </c>
      <c r="G252" s="48" t="str">
        <f aca="false">IF($H252="","",购销流水!$N67)</f>
        <v/>
      </c>
      <c r="H252" s="10" t="str">
        <f aca="false">IF($L252="","",IF($L252="@成本",购销流水!$U67,IF($L252="@收入",购销流水!$T67,IF($L252="@存货",购销流水!$S67,IF($L252="@结算",购销流水!$R67,$L252)))))</f>
        <v/>
      </c>
      <c r="I252" s="42" t="n">
        <f aca="false">IF($M252="借",$O252,0)</f>
        <v>0</v>
      </c>
      <c r="J252" s="42" t="n">
        <f aca="false">IF($M252="贷",$O252,0)</f>
        <v>0</v>
      </c>
      <c r="K252" s="48" t="str">
        <f aca="false">IF($H252="","",购销流水!$E67)</f>
        <v/>
      </c>
      <c r="L252" s="66" t="str">
        <f aca="false">IF(购销流水!$D67="","",IFERROR(INDEX(记账规则!$A$6:$N$9,MATCH(购销流水!$D67,记账规则!$A$6:$A$9,0),9),""))</f>
        <v/>
      </c>
      <c r="M252" s="66" t="str">
        <f aca="false">IF($L252="","",IFERROR(INDEX(记账规则!$A$6:$N$9,MATCH(购销流水!$D67,记账规则!$A$6:$A$9,0),10),""))</f>
        <v/>
      </c>
      <c r="N252" s="66" t="str">
        <f aca="false">IF($L252="","",IFERROR(INDEX(记账规则!$A$6:$N$9,MATCH(购销流水!$D67,记账规则!$A$6:$A$9,0),11),""))</f>
        <v/>
      </c>
      <c r="O252" s="67" t="n">
        <f aca="false">IF($H252="",0,ROUND(IF($N252="成本金额",N(购销流水!$W67),IF($N252="金额",N(购销流水!$Q67),0)),2))</f>
        <v>0</v>
      </c>
      <c r="P252" s="64" t="str">
        <f aca="false">IF(AND($H252&lt;&gt;"",ROUND($O252,2)&lt;&gt;0),"有","")</f>
        <v/>
      </c>
    </row>
    <row r="253" customFormat="false" ht="15" hidden="true" customHeight="false" outlineLevel="0" collapsed="false">
      <c r="A253" s="53" t="str">
        <f aca="false">IF($H253="","",ROW()-5)</f>
        <v/>
      </c>
      <c r="B253" s="64" t="s">
        <v>36</v>
      </c>
      <c r="C253" s="53" t="n">
        <v>67</v>
      </c>
      <c r="D253" s="53" t="n">
        <v>4</v>
      </c>
      <c r="E253" s="65" t="str">
        <f aca="false">IF($H253="","",购销流水!$B67)</f>
        <v/>
      </c>
      <c r="F253" s="55" t="str">
        <f aca="false">IF($H253="","",购销流水!$C67)</f>
        <v/>
      </c>
      <c r="G253" s="48" t="str">
        <f aca="false">IF($H253="","",购销流水!$N67)</f>
        <v/>
      </c>
      <c r="H253" s="10" t="str">
        <f aca="false">IF($L253="","",IF($L253="@成本",购销流水!$U67,IF($L253="@收入",购销流水!$T67,IF($L253="@存货",购销流水!$S67,IF($L253="@结算",购销流水!$R67,$L253)))))</f>
        <v/>
      </c>
      <c r="I253" s="42" t="n">
        <f aca="false">IF($M253="借",$O253,0)</f>
        <v>0</v>
      </c>
      <c r="J253" s="42" t="n">
        <f aca="false">IF($M253="贷",$O253,0)</f>
        <v>0</v>
      </c>
      <c r="K253" s="48" t="str">
        <f aca="false">IF($H253="","",购销流水!$E67)</f>
        <v/>
      </c>
      <c r="L253" s="66" t="str">
        <f aca="false">IF(购销流水!$D67="","",IFERROR(INDEX(记账规则!$A$6:$N$9,MATCH(购销流水!$D67,记账规则!$A$6:$A$9,0),12),""))</f>
        <v/>
      </c>
      <c r="M253" s="66" t="str">
        <f aca="false">IF($L253="","",IFERROR(INDEX(记账规则!$A$6:$N$9,MATCH(购销流水!$D67,记账规则!$A$6:$A$9,0),13),""))</f>
        <v/>
      </c>
      <c r="N253" s="66" t="str">
        <f aca="false">IF($L253="","",IFERROR(INDEX(记账规则!$A$6:$N$9,MATCH(购销流水!$D67,记账规则!$A$6:$A$9,0),14),""))</f>
        <v/>
      </c>
      <c r="O253" s="67" t="n">
        <f aca="false">IF($H253="",0,ROUND(IF($N253="成本金额",N(购销流水!$W67),IF($N253="金额",N(购销流水!$Q67),0)),2))</f>
        <v>0</v>
      </c>
      <c r="P253" s="64" t="str">
        <f aca="false">IF(AND($H253&lt;&gt;"",ROUND($O253,2)&lt;&gt;0),"有","")</f>
        <v/>
      </c>
    </row>
    <row r="254" customFormat="false" ht="15" hidden="true" customHeight="false" outlineLevel="0" collapsed="false">
      <c r="A254" s="53" t="str">
        <f aca="false">IF($H254="","",ROW()-5)</f>
        <v/>
      </c>
      <c r="B254" s="64" t="s">
        <v>36</v>
      </c>
      <c r="C254" s="53" t="n">
        <v>68</v>
      </c>
      <c r="D254" s="53" t="n">
        <v>1</v>
      </c>
      <c r="E254" s="65" t="str">
        <f aca="false">IF($H254="","",购销流水!$B68)</f>
        <v/>
      </c>
      <c r="F254" s="55" t="str">
        <f aca="false">IF($H254="","",购销流水!$C68)</f>
        <v/>
      </c>
      <c r="G254" s="48" t="str">
        <f aca="false">IF($H254="","",购销流水!$N68)</f>
        <v/>
      </c>
      <c r="H254" s="10" t="str">
        <f aca="false">IF($L254="","",IF($L254="@成本",购销流水!$U68,IF($L254="@收入",购销流水!$T68,IF($L254="@存货",购销流水!$S68,IF($L254="@结算",购销流水!$R68,$L254)))))</f>
        <v/>
      </c>
      <c r="I254" s="42" t="n">
        <f aca="false">IF($M254="借",$O254,0)</f>
        <v>0</v>
      </c>
      <c r="J254" s="42" t="n">
        <f aca="false">IF($M254="贷",$O254,0)</f>
        <v>0</v>
      </c>
      <c r="K254" s="48" t="str">
        <f aca="false">IF($H254="","",购销流水!$E68)</f>
        <v/>
      </c>
      <c r="L254" s="66" t="str">
        <f aca="false">IF(购销流水!$D68="","",IFERROR(INDEX(记账规则!$A$6:$N$9,MATCH(购销流水!$D68,记账规则!$A$6:$A$9,0),3),""))</f>
        <v/>
      </c>
      <c r="M254" s="66" t="str">
        <f aca="false">IF($L254="","",IFERROR(INDEX(记账规则!$A$6:$N$9,MATCH(购销流水!$D68,记账规则!$A$6:$A$9,0),4),""))</f>
        <v/>
      </c>
      <c r="N254" s="66" t="str">
        <f aca="false">IF($L254="","",IFERROR(INDEX(记账规则!$A$6:$N$9,MATCH(购销流水!$D68,记账规则!$A$6:$A$9,0),5),""))</f>
        <v/>
      </c>
      <c r="O254" s="67" t="n">
        <f aca="false">IF($H254="",0,ROUND(IF($N254="成本金额",N(购销流水!$W68),IF($N254="金额",N(购销流水!$Q68),0)),2))</f>
        <v>0</v>
      </c>
      <c r="P254" s="64" t="str">
        <f aca="false">IF(AND($H254&lt;&gt;"",ROUND($O254,2)&lt;&gt;0),"有","")</f>
        <v/>
      </c>
    </row>
    <row r="255" customFormat="false" ht="15" hidden="true" customHeight="false" outlineLevel="0" collapsed="false">
      <c r="A255" s="53" t="str">
        <f aca="false">IF($H255="","",ROW()-5)</f>
        <v/>
      </c>
      <c r="B255" s="64" t="s">
        <v>36</v>
      </c>
      <c r="C255" s="53" t="n">
        <v>68</v>
      </c>
      <c r="D255" s="53" t="n">
        <v>2</v>
      </c>
      <c r="E255" s="65" t="str">
        <f aca="false">IF($H255="","",购销流水!$B68)</f>
        <v/>
      </c>
      <c r="F255" s="55" t="str">
        <f aca="false">IF($H255="","",购销流水!$C68)</f>
        <v/>
      </c>
      <c r="G255" s="48" t="str">
        <f aca="false">IF($H255="","",购销流水!$N68)</f>
        <v/>
      </c>
      <c r="H255" s="10" t="str">
        <f aca="false">IF($L255="","",IF($L255="@成本",购销流水!$U68,IF($L255="@收入",购销流水!$T68,IF($L255="@存货",购销流水!$S68,IF($L255="@结算",购销流水!$R68,$L255)))))</f>
        <v/>
      </c>
      <c r="I255" s="42" t="n">
        <f aca="false">IF($M255="借",$O255,0)</f>
        <v>0</v>
      </c>
      <c r="J255" s="42" t="n">
        <f aca="false">IF($M255="贷",$O255,0)</f>
        <v>0</v>
      </c>
      <c r="K255" s="48" t="str">
        <f aca="false">IF($H255="","",购销流水!$E68)</f>
        <v/>
      </c>
      <c r="L255" s="66" t="str">
        <f aca="false">IF(购销流水!$D68="","",IFERROR(INDEX(记账规则!$A$6:$N$9,MATCH(购销流水!$D68,记账规则!$A$6:$A$9,0),6),""))</f>
        <v/>
      </c>
      <c r="M255" s="66" t="str">
        <f aca="false">IF($L255="","",IFERROR(INDEX(记账规则!$A$6:$N$9,MATCH(购销流水!$D68,记账规则!$A$6:$A$9,0),7),""))</f>
        <v/>
      </c>
      <c r="N255" s="66" t="str">
        <f aca="false">IF($L255="","",IFERROR(INDEX(记账规则!$A$6:$N$9,MATCH(购销流水!$D68,记账规则!$A$6:$A$9,0),8),""))</f>
        <v/>
      </c>
      <c r="O255" s="67" t="n">
        <f aca="false">IF($H255="",0,ROUND(IF($N255="成本金额",N(购销流水!$W68),IF($N255="金额",N(购销流水!$Q68),0)),2))</f>
        <v>0</v>
      </c>
      <c r="P255" s="64" t="str">
        <f aca="false">IF(AND($H255&lt;&gt;"",ROUND($O255,2)&lt;&gt;0),"有","")</f>
        <v/>
      </c>
    </row>
    <row r="256" customFormat="false" ht="15" hidden="true" customHeight="false" outlineLevel="0" collapsed="false">
      <c r="A256" s="53" t="str">
        <f aca="false">IF($H256="","",ROW()-5)</f>
        <v/>
      </c>
      <c r="B256" s="64" t="s">
        <v>36</v>
      </c>
      <c r="C256" s="53" t="n">
        <v>68</v>
      </c>
      <c r="D256" s="53" t="n">
        <v>3</v>
      </c>
      <c r="E256" s="65" t="str">
        <f aca="false">IF($H256="","",购销流水!$B68)</f>
        <v/>
      </c>
      <c r="F256" s="55" t="str">
        <f aca="false">IF($H256="","",购销流水!$C68)</f>
        <v/>
      </c>
      <c r="G256" s="48" t="str">
        <f aca="false">IF($H256="","",购销流水!$N68)</f>
        <v/>
      </c>
      <c r="H256" s="10" t="str">
        <f aca="false">IF($L256="","",IF($L256="@成本",购销流水!$U68,IF($L256="@收入",购销流水!$T68,IF($L256="@存货",购销流水!$S68,IF($L256="@结算",购销流水!$R68,$L256)))))</f>
        <v/>
      </c>
      <c r="I256" s="42" t="n">
        <f aca="false">IF($M256="借",$O256,0)</f>
        <v>0</v>
      </c>
      <c r="J256" s="42" t="n">
        <f aca="false">IF($M256="贷",$O256,0)</f>
        <v>0</v>
      </c>
      <c r="K256" s="48" t="str">
        <f aca="false">IF($H256="","",购销流水!$E68)</f>
        <v/>
      </c>
      <c r="L256" s="66" t="str">
        <f aca="false">IF(购销流水!$D68="","",IFERROR(INDEX(记账规则!$A$6:$N$9,MATCH(购销流水!$D68,记账规则!$A$6:$A$9,0),9),""))</f>
        <v/>
      </c>
      <c r="M256" s="66" t="str">
        <f aca="false">IF($L256="","",IFERROR(INDEX(记账规则!$A$6:$N$9,MATCH(购销流水!$D68,记账规则!$A$6:$A$9,0),10),""))</f>
        <v/>
      </c>
      <c r="N256" s="66" t="str">
        <f aca="false">IF($L256="","",IFERROR(INDEX(记账规则!$A$6:$N$9,MATCH(购销流水!$D68,记账规则!$A$6:$A$9,0),11),""))</f>
        <v/>
      </c>
      <c r="O256" s="67" t="n">
        <f aca="false">IF($H256="",0,ROUND(IF($N256="成本金额",N(购销流水!$W68),IF($N256="金额",N(购销流水!$Q68),0)),2))</f>
        <v>0</v>
      </c>
      <c r="P256" s="64" t="str">
        <f aca="false">IF(AND($H256&lt;&gt;"",ROUND($O256,2)&lt;&gt;0),"有","")</f>
        <v/>
      </c>
    </row>
    <row r="257" customFormat="false" ht="15" hidden="true" customHeight="false" outlineLevel="0" collapsed="false">
      <c r="A257" s="53" t="str">
        <f aca="false">IF($H257="","",ROW()-5)</f>
        <v/>
      </c>
      <c r="B257" s="64" t="s">
        <v>36</v>
      </c>
      <c r="C257" s="53" t="n">
        <v>68</v>
      </c>
      <c r="D257" s="53" t="n">
        <v>4</v>
      </c>
      <c r="E257" s="65" t="str">
        <f aca="false">IF($H257="","",购销流水!$B68)</f>
        <v/>
      </c>
      <c r="F257" s="55" t="str">
        <f aca="false">IF($H257="","",购销流水!$C68)</f>
        <v/>
      </c>
      <c r="G257" s="48" t="str">
        <f aca="false">IF($H257="","",购销流水!$N68)</f>
        <v/>
      </c>
      <c r="H257" s="10" t="str">
        <f aca="false">IF($L257="","",IF($L257="@成本",购销流水!$U68,IF($L257="@收入",购销流水!$T68,IF($L257="@存货",购销流水!$S68,IF($L257="@结算",购销流水!$R68,$L257)))))</f>
        <v/>
      </c>
      <c r="I257" s="42" t="n">
        <f aca="false">IF($M257="借",$O257,0)</f>
        <v>0</v>
      </c>
      <c r="J257" s="42" t="n">
        <f aca="false">IF($M257="贷",$O257,0)</f>
        <v>0</v>
      </c>
      <c r="K257" s="48" t="str">
        <f aca="false">IF($H257="","",购销流水!$E68)</f>
        <v/>
      </c>
      <c r="L257" s="66" t="str">
        <f aca="false">IF(购销流水!$D68="","",IFERROR(INDEX(记账规则!$A$6:$N$9,MATCH(购销流水!$D68,记账规则!$A$6:$A$9,0),12),""))</f>
        <v/>
      </c>
      <c r="M257" s="66" t="str">
        <f aca="false">IF($L257="","",IFERROR(INDEX(记账规则!$A$6:$N$9,MATCH(购销流水!$D68,记账规则!$A$6:$A$9,0),13),""))</f>
        <v/>
      </c>
      <c r="N257" s="66" t="str">
        <f aca="false">IF($L257="","",IFERROR(INDEX(记账规则!$A$6:$N$9,MATCH(购销流水!$D68,记账规则!$A$6:$A$9,0),14),""))</f>
        <v/>
      </c>
      <c r="O257" s="67" t="n">
        <f aca="false">IF($H257="",0,ROUND(IF($N257="成本金额",N(购销流水!$W68),IF($N257="金额",N(购销流水!$Q68),0)),2))</f>
        <v>0</v>
      </c>
      <c r="P257" s="64" t="str">
        <f aca="false">IF(AND($H257&lt;&gt;"",ROUND($O257,2)&lt;&gt;0),"有","")</f>
        <v/>
      </c>
    </row>
    <row r="258" customFormat="false" ht="15" hidden="true" customHeight="false" outlineLevel="0" collapsed="false">
      <c r="A258" s="53" t="str">
        <f aca="false">IF($H258="","",ROW()-5)</f>
        <v/>
      </c>
      <c r="B258" s="64" t="s">
        <v>36</v>
      </c>
      <c r="C258" s="53" t="n">
        <v>69</v>
      </c>
      <c r="D258" s="53" t="n">
        <v>1</v>
      </c>
      <c r="E258" s="65" t="str">
        <f aca="false">IF($H258="","",购销流水!$B69)</f>
        <v/>
      </c>
      <c r="F258" s="55" t="str">
        <f aca="false">IF($H258="","",购销流水!$C69)</f>
        <v/>
      </c>
      <c r="G258" s="48" t="str">
        <f aca="false">IF($H258="","",购销流水!$N69)</f>
        <v/>
      </c>
      <c r="H258" s="10" t="str">
        <f aca="false">IF($L258="","",IF($L258="@成本",购销流水!$U69,IF($L258="@收入",购销流水!$T69,IF($L258="@存货",购销流水!$S69,IF($L258="@结算",购销流水!$R69,$L258)))))</f>
        <v/>
      </c>
      <c r="I258" s="42" t="n">
        <f aca="false">IF($M258="借",$O258,0)</f>
        <v>0</v>
      </c>
      <c r="J258" s="42" t="n">
        <f aca="false">IF($M258="贷",$O258,0)</f>
        <v>0</v>
      </c>
      <c r="K258" s="48" t="str">
        <f aca="false">IF($H258="","",购销流水!$E69)</f>
        <v/>
      </c>
      <c r="L258" s="66" t="str">
        <f aca="false">IF(购销流水!$D69="","",IFERROR(INDEX(记账规则!$A$6:$N$9,MATCH(购销流水!$D69,记账规则!$A$6:$A$9,0),3),""))</f>
        <v/>
      </c>
      <c r="M258" s="66" t="str">
        <f aca="false">IF($L258="","",IFERROR(INDEX(记账规则!$A$6:$N$9,MATCH(购销流水!$D69,记账规则!$A$6:$A$9,0),4),""))</f>
        <v/>
      </c>
      <c r="N258" s="66" t="str">
        <f aca="false">IF($L258="","",IFERROR(INDEX(记账规则!$A$6:$N$9,MATCH(购销流水!$D69,记账规则!$A$6:$A$9,0),5),""))</f>
        <v/>
      </c>
      <c r="O258" s="67" t="n">
        <f aca="false">IF($H258="",0,ROUND(IF($N258="成本金额",N(购销流水!$W69),IF($N258="金额",N(购销流水!$Q69),0)),2))</f>
        <v>0</v>
      </c>
      <c r="P258" s="64" t="str">
        <f aca="false">IF(AND($H258&lt;&gt;"",ROUND($O258,2)&lt;&gt;0),"有","")</f>
        <v/>
      </c>
    </row>
    <row r="259" customFormat="false" ht="15" hidden="true" customHeight="false" outlineLevel="0" collapsed="false">
      <c r="A259" s="53" t="str">
        <f aca="false">IF($H259="","",ROW()-5)</f>
        <v/>
      </c>
      <c r="B259" s="64" t="s">
        <v>36</v>
      </c>
      <c r="C259" s="53" t="n">
        <v>69</v>
      </c>
      <c r="D259" s="53" t="n">
        <v>2</v>
      </c>
      <c r="E259" s="65" t="str">
        <f aca="false">IF($H259="","",购销流水!$B69)</f>
        <v/>
      </c>
      <c r="F259" s="55" t="str">
        <f aca="false">IF($H259="","",购销流水!$C69)</f>
        <v/>
      </c>
      <c r="G259" s="48" t="str">
        <f aca="false">IF($H259="","",购销流水!$N69)</f>
        <v/>
      </c>
      <c r="H259" s="10" t="str">
        <f aca="false">IF($L259="","",IF($L259="@成本",购销流水!$U69,IF($L259="@收入",购销流水!$T69,IF($L259="@存货",购销流水!$S69,IF($L259="@结算",购销流水!$R69,$L259)))))</f>
        <v/>
      </c>
      <c r="I259" s="42" t="n">
        <f aca="false">IF($M259="借",$O259,0)</f>
        <v>0</v>
      </c>
      <c r="J259" s="42" t="n">
        <f aca="false">IF($M259="贷",$O259,0)</f>
        <v>0</v>
      </c>
      <c r="K259" s="48" t="str">
        <f aca="false">IF($H259="","",购销流水!$E69)</f>
        <v/>
      </c>
      <c r="L259" s="66" t="str">
        <f aca="false">IF(购销流水!$D69="","",IFERROR(INDEX(记账规则!$A$6:$N$9,MATCH(购销流水!$D69,记账规则!$A$6:$A$9,0),6),""))</f>
        <v/>
      </c>
      <c r="M259" s="66" t="str">
        <f aca="false">IF($L259="","",IFERROR(INDEX(记账规则!$A$6:$N$9,MATCH(购销流水!$D69,记账规则!$A$6:$A$9,0),7),""))</f>
        <v/>
      </c>
      <c r="N259" s="66" t="str">
        <f aca="false">IF($L259="","",IFERROR(INDEX(记账规则!$A$6:$N$9,MATCH(购销流水!$D69,记账规则!$A$6:$A$9,0),8),""))</f>
        <v/>
      </c>
      <c r="O259" s="67" t="n">
        <f aca="false">IF($H259="",0,ROUND(IF($N259="成本金额",N(购销流水!$W69),IF($N259="金额",N(购销流水!$Q69),0)),2))</f>
        <v>0</v>
      </c>
      <c r="P259" s="64" t="str">
        <f aca="false">IF(AND($H259&lt;&gt;"",ROUND($O259,2)&lt;&gt;0),"有","")</f>
        <v/>
      </c>
    </row>
    <row r="260" customFormat="false" ht="15" hidden="true" customHeight="false" outlineLevel="0" collapsed="false">
      <c r="A260" s="53" t="str">
        <f aca="false">IF($H260="","",ROW()-5)</f>
        <v/>
      </c>
      <c r="B260" s="64" t="s">
        <v>36</v>
      </c>
      <c r="C260" s="53" t="n">
        <v>69</v>
      </c>
      <c r="D260" s="53" t="n">
        <v>3</v>
      </c>
      <c r="E260" s="65" t="str">
        <f aca="false">IF($H260="","",购销流水!$B69)</f>
        <v/>
      </c>
      <c r="F260" s="55" t="str">
        <f aca="false">IF($H260="","",购销流水!$C69)</f>
        <v/>
      </c>
      <c r="G260" s="48" t="str">
        <f aca="false">IF($H260="","",购销流水!$N69)</f>
        <v/>
      </c>
      <c r="H260" s="10" t="str">
        <f aca="false">IF($L260="","",IF($L260="@成本",购销流水!$U69,IF($L260="@收入",购销流水!$T69,IF($L260="@存货",购销流水!$S69,IF($L260="@结算",购销流水!$R69,$L260)))))</f>
        <v/>
      </c>
      <c r="I260" s="42" t="n">
        <f aca="false">IF($M260="借",$O260,0)</f>
        <v>0</v>
      </c>
      <c r="J260" s="42" t="n">
        <f aca="false">IF($M260="贷",$O260,0)</f>
        <v>0</v>
      </c>
      <c r="K260" s="48" t="str">
        <f aca="false">IF($H260="","",购销流水!$E69)</f>
        <v/>
      </c>
      <c r="L260" s="66" t="str">
        <f aca="false">IF(购销流水!$D69="","",IFERROR(INDEX(记账规则!$A$6:$N$9,MATCH(购销流水!$D69,记账规则!$A$6:$A$9,0),9),""))</f>
        <v/>
      </c>
      <c r="M260" s="66" t="str">
        <f aca="false">IF($L260="","",IFERROR(INDEX(记账规则!$A$6:$N$9,MATCH(购销流水!$D69,记账规则!$A$6:$A$9,0),10),""))</f>
        <v/>
      </c>
      <c r="N260" s="66" t="str">
        <f aca="false">IF($L260="","",IFERROR(INDEX(记账规则!$A$6:$N$9,MATCH(购销流水!$D69,记账规则!$A$6:$A$9,0),11),""))</f>
        <v/>
      </c>
      <c r="O260" s="67" t="n">
        <f aca="false">IF($H260="",0,ROUND(IF($N260="成本金额",N(购销流水!$W69),IF($N260="金额",N(购销流水!$Q69),0)),2))</f>
        <v>0</v>
      </c>
      <c r="P260" s="64" t="str">
        <f aca="false">IF(AND($H260&lt;&gt;"",ROUND($O260,2)&lt;&gt;0),"有","")</f>
        <v/>
      </c>
    </row>
    <row r="261" customFormat="false" ht="15" hidden="true" customHeight="false" outlineLevel="0" collapsed="false">
      <c r="A261" s="53" t="str">
        <f aca="false">IF($H261="","",ROW()-5)</f>
        <v/>
      </c>
      <c r="B261" s="64" t="s">
        <v>36</v>
      </c>
      <c r="C261" s="53" t="n">
        <v>69</v>
      </c>
      <c r="D261" s="53" t="n">
        <v>4</v>
      </c>
      <c r="E261" s="65" t="str">
        <f aca="false">IF($H261="","",购销流水!$B69)</f>
        <v/>
      </c>
      <c r="F261" s="55" t="str">
        <f aca="false">IF($H261="","",购销流水!$C69)</f>
        <v/>
      </c>
      <c r="G261" s="48" t="str">
        <f aca="false">IF($H261="","",购销流水!$N69)</f>
        <v/>
      </c>
      <c r="H261" s="10" t="str">
        <f aca="false">IF($L261="","",IF($L261="@成本",购销流水!$U69,IF($L261="@收入",购销流水!$T69,IF($L261="@存货",购销流水!$S69,IF($L261="@结算",购销流水!$R69,$L261)))))</f>
        <v/>
      </c>
      <c r="I261" s="42" t="n">
        <f aca="false">IF($M261="借",$O261,0)</f>
        <v>0</v>
      </c>
      <c r="J261" s="42" t="n">
        <f aca="false">IF($M261="贷",$O261,0)</f>
        <v>0</v>
      </c>
      <c r="K261" s="48" t="str">
        <f aca="false">IF($H261="","",购销流水!$E69)</f>
        <v/>
      </c>
      <c r="L261" s="66" t="str">
        <f aca="false">IF(购销流水!$D69="","",IFERROR(INDEX(记账规则!$A$6:$N$9,MATCH(购销流水!$D69,记账规则!$A$6:$A$9,0),12),""))</f>
        <v/>
      </c>
      <c r="M261" s="66" t="str">
        <f aca="false">IF($L261="","",IFERROR(INDEX(记账规则!$A$6:$N$9,MATCH(购销流水!$D69,记账规则!$A$6:$A$9,0),13),""))</f>
        <v/>
      </c>
      <c r="N261" s="66" t="str">
        <f aca="false">IF($L261="","",IFERROR(INDEX(记账规则!$A$6:$N$9,MATCH(购销流水!$D69,记账规则!$A$6:$A$9,0),14),""))</f>
        <v/>
      </c>
      <c r="O261" s="67" t="n">
        <f aca="false">IF($H261="",0,ROUND(IF($N261="成本金额",N(购销流水!$W69),IF($N261="金额",N(购销流水!$Q69),0)),2))</f>
        <v>0</v>
      </c>
      <c r="P261" s="64" t="str">
        <f aca="false">IF(AND($H261&lt;&gt;"",ROUND($O261,2)&lt;&gt;0),"有","")</f>
        <v/>
      </c>
    </row>
    <row r="262" customFormat="false" ht="15" hidden="true" customHeight="false" outlineLevel="0" collapsed="false">
      <c r="A262" s="53" t="str">
        <f aca="false">IF($H262="","",ROW()-5)</f>
        <v/>
      </c>
      <c r="B262" s="64" t="s">
        <v>36</v>
      </c>
      <c r="C262" s="53" t="n">
        <v>70</v>
      </c>
      <c r="D262" s="53" t="n">
        <v>1</v>
      </c>
      <c r="E262" s="65" t="str">
        <f aca="false">IF($H262="","",购销流水!$B70)</f>
        <v/>
      </c>
      <c r="F262" s="55" t="str">
        <f aca="false">IF($H262="","",购销流水!$C70)</f>
        <v/>
      </c>
      <c r="G262" s="48" t="str">
        <f aca="false">IF($H262="","",购销流水!$N70)</f>
        <v/>
      </c>
      <c r="H262" s="10" t="str">
        <f aca="false">IF($L262="","",IF($L262="@成本",购销流水!$U70,IF($L262="@收入",购销流水!$T70,IF($L262="@存货",购销流水!$S70,IF($L262="@结算",购销流水!$R70,$L262)))))</f>
        <v/>
      </c>
      <c r="I262" s="42" t="n">
        <f aca="false">IF($M262="借",$O262,0)</f>
        <v>0</v>
      </c>
      <c r="J262" s="42" t="n">
        <f aca="false">IF($M262="贷",$O262,0)</f>
        <v>0</v>
      </c>
      <c r="K262" s="48" t="str">
        <f aca="false">IF($H262="","",购销流水!$E70)</f>
        <v/>
      </c>
      <c r="L262" s="66" t="str">
        <f aca="false">IF(购销流水!$D70="","",IFERROR(INDEX(记账规则!$A$6:$N$9,MATCH(购销流水!$D70,记账规则!$A$6:$A$9,0),3),""))</f>
        <v/>
      </c>
      <c r="M262" s="66" t="str">
        <f aca="false">IF($L262="","",IFERROR(INDEX(记账规则!$A$6:$N$9,MATCH(购销流水!$D70,记账规则!$A$6:$A$9,0),4),""))</f>
        <v/>
      </c>
      <c r="N262" s="66" t="str">
        <f aca="false">IF($L262="","",IFERROR(INDEX(记账规则!$A$6:$N$9,MATCH(购销流水!$D70,记账规则!$A$6:$A$9,0),5),""))</f>
        <v/>
      </c>
      <c r="O262" s="67" t="n">
        <f aca="false">IF($H262="",0,ROUND(IF($N262="成本金额",N(购销流水!$W70),IF($N262="金额",N(购销流水!$Q70),0)),2))</f>
        <v>0</v>
      </c>
      <c r="P262" s="64" t="str">
        <f aca="false">IF(AND($H262&lt;&gt;"",ROUND($O262,2)&lt;&gt;0),"有","")</f>
        <v/>
      </c>
    </row>
    <row r="263" customFormat="false" ht="15" hidden="true" customHeight="false" outlineLevel="0" collapsed="false">
      <c r="A263" s="53" t="str">
        <f aca="false">IF($H263="","",ROW()-5)</f>
        <v/>
      </c>
      <c r="B263" s="64" t="s">
        <v>36</v>
      </c>
      <c r="C263" s="53" t="n">
        <v>70</v>
      </c>
      <c r="D263" s="53" t="n">
        <v>2</v>
      </c>
      <c r="E263" s="65" t="str">
        <f aca="false">IF($H263="","",购销流水!$B70)</f>
        <v/>
      </c>
      <c r="F263" s="55" t="str">
        <f aca="false">IF($H263="","",购销流水!$C70)</f>
        <v/>
      </c>
      <c r="G263" s="48" t="str">
        <f aca="false">IF($H263="","",购销流水!$N70)</f>
        <v/>
      </c>
      <c r="H263" s="10" t="str">
        <f aca="false">IF($L263="","",IF($L263="@成本",购销流水!$U70,IF($L263="@收入",购销流水!$T70,IF($L263="@存货",购销流水!$S70,IF($L263="@结算",购销流水!$R70,$L263)))))</f>
        <v/>
      </c>
      <c r="I263" s="42" t="n">
        <f aca="false">IF($M263="借",$O263,0)</f>
        <v>0</v>
      </c>
      <c r="J263" s="42" t="n">
        <f aca="false">IF($M263="贷",$O263,0)</f>
        <v>0</v>
      </c>
      <c r="K263" s="48" t="str">
        <f aca="false">IF($H263="","",购销流水!$E70)</f>
        <v/>
      </c>
      <c r="L263" s="66" t="str">
        <f aca="false">IF(购销流水!$D70="","",IFERROR(INDEX(记账规则!$A$6:$N$9,MATCH(购销流水!$D70,记账规则!$A$6:$A$9,0),6),""))</f>
        <v/>
      </c>
      <c r="M263" s="66" t="str">
        <f aca="false">IF($L263="","",IFERROR(INDEX(记账规则!$A$6:$N$9,MATCH(购销流水!$D70,记账规则!$A$6:$A$9,0),7),""))</f>
        <v/>
      </c>
      <c r="N263" s="66" t="str">
        <f aca="false">IF($L263="","",IFERROR(INDEX(记账规则!$A$6:$N$9,MATCH(购销流水!$D70,记账规则!$A$6:$A$9,0),8),""))</f>
        <v/>
      </c>
      <c r="O263" s="67" t="n">
        <f aca="false">IF($H263="",0,ROUND(IF($N263="成本金额",N(购销流水!$W70),IF($N263="金额",N(购销流水!$Q70),0)),2))</f>
        <v>0</v>
      </c>
      <c r="P263" s="64" t="str">
        <f aca="false">IF(AND($H263&lt;&gt;"",ROUND($O263,2)&lt;&gt;0),"有","")</f>
        <v/>
      </c>
    </row>
    <row r="264" customFormat="false" ht="15" hidden="true" customHeight="false" outlineLevel="0" collapsed="false">
      <c r="A264" s="53" t="str">
        <f aca="false">IF($H264="","",ROW()-5)</f>
        <v/>
      </c>
      <c r="B264" s="64" t="s">
        <v>36</v>
      </c>
      <c r="C264" s="53" t="n">
        <v>70</v>
      </c>
      <c r="D264" s="53" t="n">
        <v>3</v>
      </c>
      <c r="E264" s="65" t="str">
        <f aca="false">IF($H264="","",购销流水!$B70)</f>
        <v/>
      </c>
      <c r="F264" s="55" t="str">
        <f aca="false">IF($H264="","",购销流水!$C70)</f>
        <v/>
      </c>
      <c r="G264" s="48" t="str">
        <f aca="false">IF($H264="","",购销流水!$N70)</f>
        <v/>
      </c>
      <c r="H264" s="10" t="str">
        <f aca="false">IF($L264="","",IF($L264="@成本",购销流水!$U70,IF($L264="@收入",购销流水!$T70,IF($L264="@存货",购销流水!$S70,IF($L264="@结算",购销流水!$R70,$L264)))))</f>
        <v/>
      </c>
      <c r="I264" s="42" t="n">
        <f aca="false">IF($M264="借",$O264,0)</f>
        <v>0</v>
      </c>
      <c r="J264" s="42" t="n">
        <f aca="false">IF($M264="贷",$O264,0)</f>
        <v>0</v>
      </c>
      <c r="K264" s="48" t="str">
        <f aca="false">IF($H264="","",购销流水!$E70)</f>
        <v/>
      </c>
      <c r="L264" s="66" t="str">
        <f aca="false">IF(购销流水!$D70="","",IFERROR(INDEX(记账规则!$A$6:$N$9,MATCH(购销流水!$D70,记账规则!$A$6:$A$9,0),9),""))</f>
        <v/>
      </c>
      <c r="M264" s="66" t="str">
        <f aca="false">IF($L264="","",IFERROR(INDEX(记账规则!$A$6:$N$9,MATCH(购销流水!$D70,记账规则!$A$6:$A$9,0),10),""))</f>
        <v/>
      </c>
      <c r="N264" s="66" t="str">
        <f aca="false">IF($L264="","",IFERROR(INDEX(记账规则!$A$6:$N$9,MATCH(购销流水!$D70,记账规则!$A$6:$A$9,0),11),""))</f>
        <v/>
      </c>
      <c r="O264" s="67" t="n">
        <f aca="false">IF($H264="",0,ROUND(IF($N264="成本金额",N(购销流水!$W70),IF($N264="金额",N(购销流水!$Q70),0)),2))</f>
        <v>0</v>
      </c>
      <c r="P264" s="64" t="str">
        <f aca="false">IF(AND($H264&lt;&gt;"",ROUND($O264,2)&lt;&gt;0),"有","")</f>
        <v/>
      </c>
    </row>
    <row r="265" customFormat="false" ht="15" hidden="true" customHeight="false" outlineLevel="0" collapsed="false">
      <c r="A265" s="53" t="str">
        <f aca="false">IF($H265="","",ROW()-5)</f>
        <v/>
      </c>
      <c r="B265" s="64" t="s">
        <v>36</v>
      </c>
      <c r="C265" s="53" t="n">
        <v>70</v>
      </c>
      <c r="D265" s="53" t="n">
        <v>4</v>
      </c>
      <c r="E265" s="65" t="str">
        <f aca="false">IF($H265="","",购销流水!$B70)</f>
        <v/>
      </c>
      <c r="F265" s="55" t="str">
        <f aca="false">IF($H265="","",购销流水!$C70)</f>
        <v/>
      </c>
      <c r="G265" s="48" t="str">
        <f aca="false">IF($H265="","",购销流水!$N70)</f>
        <v/>
      </c>
      <c r="H265" s="10" t="str">
        <f aca="false">IF($L265="","",IF($L265="@成本",购销流水!$U70,IF($L265="@收入",购销流水!$T70,IF($L265="@存货",购销流水!$S70,IF($L265="@结算",购销流水!$R70,$L265)))))</f>
        <v/>
      </c>
      <c r="I265" s="42" t="n">
        <f aca="false">IF($M265="借",$O265,0)</f>
        <v>0</v>
      </c>
      <c r="J265" s="42" t="n">
        <f aca="false">IF($M265="贷",$O265,0)</f>
        <v>0</v>
      </c>
      <c r="K265" s="48" t="str">
        <f aca="false">IF($H265="","",购销流水!$E70)</f>
        <v/>
      </c>
      <c r="L265" s="66" t="str">
        <f aca="false">IF(购销流水!$D70="","",IFERROR(INDEX(记账规则!$A$6:$N$9,MATCH(购销流水!$D70,记账规则!$A$6:$A$9,0),12),""))</f>
        <v/>
      </c>
      <c r="M265" s="66" t="str">
        <f aca="false">IF($L265="","",IFERROR(INDEX(记账规则!$A$6:$N$9,MATCH(购销流水!$D70,记账规则!$A$6:$A$9,0),13),""))</f>
        <v/>
      </c>
      <c r="N265" s="66" t="str">
        <f aca="false">IF($L265="","",IFERROR(INDEX(记账规则!$A$6:$N$9,MATCH(购销流水!$D70,记账规则!$A$6:$A$9,0),14),""))</f>
        <v/>
      </c>
      <c r="O265" s="67" t="n">
        <f aca="false">IF($H265="",0,ROUND(IF($N265="成本金额",N(购销流水!$W70),IF($N265="金额",N(购销流水!$Q70),0)),2))</f>
        <v>0</v>
      </c>
      <c r="P265" s="64" t="str">
        <f aca="false">IF(AND($H265&lt;&gt;"",ROUND($O265,2)&lt;&gt;0),"有","")</f>
        <v/>
      </c>
    </row>
    <row r="266" customFormat="false" ht="15" hidden="true" customHeight="false" outlineLevel="0" collapsed="false">
      <c r="A266" s="53" t="str">
        <f aca="false">IF($H266="","",ROW()-5)</f>
        <v/>
      </c>
      <c r="B266" s="64" t="s">
        <v>36</v>
      </c>
      <c r="C266" s="53" t="n">
        <v>71</v>
      </c>
      <c r="D266" s="53" t="n">
        <v>1</v>
      </c>
      <c r="E266" s="65" t="str">
        <f aca="false">IF($H266="","",购销流水!$B71)</f>
        <v/>
      </c>
      <c r="F266" s="55" t="str">
        <f aca="false">IF($H266="","",购销流水!$C71)</f>
        <v/>
      </c>
      <c r="G266" s="48" t="str">
        <f aca="false">IF($H266="","",购销流水!$N71)</f>
        <v/>
      </c>
      <c r="H266" s="10" t="str">
        <f aca="false">IF($L266="","",IF($L266="@成本",购销流水!$U71,IF($L266="@收入",购销流水!$T71,IF($L266="@存货",购销流水!$S71,IF($L266="@结算",购销流水!$R71,$L266)))))</f>
        <v/>
      </c>
      <c r="I266" s="42" t="n">
        <f aca="false">IF($M266="借",$O266,0)</f>
        <v>0</v>
      </c>
      <c r="J266" s="42" t="n">
        <f aca="false">IF($M266="贷",$O266,0)</f>
        <v>0</v>
      </c>
      <c r="K266" s="48" t="str">
        <f aca="false">IF($H266="","",购销流水!$E71)</f>
        <v/>
      </c>
      <c r="L266" s="66" t="str">
        <f aca="false">IF(购销流水!$D71="","",IFERROR(INDEX(记账规则!$A$6:$N$9,MATCH(购销流水!$D71,记账规则!$A$6:$A$9,0),3),""))</f>
        <v/>
      </c>
      <c r="M266" s="66" t="str">
        <f aca="false">IF($L266="","",IFERROR(INDEX(记账规则!$A$6:$N$9,MATCH(购销流水!$D71,记账规则!$A$6:$A$9,0),4),""))</f>
        <v/>
      </c>
      <c r="N266" s="66" t="str">
        <f aca="false">IF($L266="","",IFERROR(INDEX(记账规则!$A$6:$N$9,MATCH(购销流水!$D71,记账规则!$A$6:$A$9,0),5),""))</f>
        <v/>
      </c>
      <c r="O266" s="67" t="n">
        <f aca="false">IF($H266="",0,ROUND(IF($N266="成本金额",N(购销流水!$W71),IF($N266="金额",N(购销流水!$Q71),0)),2))</f>
        <v>0</v>
      </c>
      <c r="P266" s="64" t="str">
        <f aca="false">IF(AND($H266&lt;&gt;"",ROUND($O266,2)&lt;&gt;0),"有","")</f>
        <v/>
      </c>
    </row>
    <row r="267" customFormat="false" ht="15" hidden="true" customHeight="false" outlineLevel="0" collapsed="false">
      <c r="A267" s="53" t="str">
        <f aca="false">IF($H267="","",ROW()-5)</f>
        <v/>
      </c>
      <c r="B267" s="64" t="s">
        <v>36</v>
      </c>
      <c r="C267" s="53" t="n">
        <v>71</v>
      </c>
      <c r="D267" s="53" t="n">
        <v>2</v>
      </c>
      <c r="E267" s="65" t="str">
        <f aca="false">IF($H267="","",购销流水!$B71)</f>
        <v/>
      </c>
      <c r="F267" s="55" t="str">
        <f aca="false">IF($H267="","",购销流水!$C71)</f>
        <v/>
      </c>
      <c r="G267" s="48" t="str">
        <f aca="false">IF($H267="","",购销流水!$N71)</f>
        <v/>
      </c>
      <c r="H267" s="10" t="str">
        <f aca="false">IF($L267="","",IF($L267="@成本",购销流水!$U71,IF($L267="@收入",购销流水!$T71,IF($L267="@存货",购销流水!$S71,IF($L267="@结算",购销流水!$R71,$L267)))))</f>
        <v/>
      </c>
      <c r="I267" s="42" t="n">
        <f aca="false">IF($M267="借",$O267,0)</f>
        <v>0</v>
      </c>
      <c r="J267" s="42" t="n">
        <f aca="false">IF($M267="贷",$O267,0)</f>
        <v>0</v>
      </c>
      <c r="K267" s="48" t="str">
        <f aca="false">IF($H267="","",购销流水!$E71)</f>
        <v/>
      </c>
      <c r="L267" s="66" t="str">
        <f aca="false">IF(购销流水!$D71="","",IFERROR(INDEX(记账规则!$A$6:$N$9,MATCH(购销流水!$D71,记账规则!$A$6:$A$9,0),6),""))</f>
        <v/>
      </c>
      <c r="M267" s="66" t="str">
        <f aca="false">IF($L267="","",IFERROR(INDEX(记账规则!$A$6:$N$9,MATCH(购销流水!$D71,记账规则!$A$6:$A$9,0),7),""))</f>
        <v/>
      </c>
      <c r="N267" s="66" t="str">
        <f aca="false">IF($L267="","",IFERROR(INDEX(记账规则!$A$6:$N$9,MATCH(购销流水!$D71,记账规则!$A$6:$A$9,0),8),""))</f>
        <v/>
      </c>
      <c r="O267" s="67" t="n">
        <f aca="false">IF($H267="",0,ROUND(IF($N267="成本金额",N(购销流水!$W71),IF($N267="金额",N(购销流水!$Q71),0)),2))</f>
        <v>0</v>
      </c>
      <c r="P267" s="64" t="str">
        <f aca="false">IF(AND($H267&lt;&gt;"",ROUND($O267,2)&lt;&gt;0),"有","")</f>
        <v/>
      </c>
    </row>
    <row r="268" customFormat="false" ht="15" hidden="true" customHeight="false" outlineLevel="0" collapsed="false">
      <c r="A268" s="53" t="str">
        <f aca="false">IF($H268="","",ROW()-5)</f>
        <v/>
      </c>
      <c r="B268" s="64" t="s">
        <v>36</v>
      </c>
      <c r="C268" s="53" t="n">
        <v>71</v>
      </c>
      <c r="D268" s="53" t="n">
        <v>3</v>
      </c>
      <c r="E268" s="65" t="str">
        <f aca="false">IF($H268="","",购销流水!$B71)</f>
        <v/>
      </c>
      <c r="F268" s="55" t="str">
        <f aca="false">IF($H268="","",购销流水!$C71)</f>
        <v/>
      </c>
      <c r="G268" s="48" t="str">
        <f aca="false">IF($H268="","",购销流水!$N71)</f>
        <v/>
      </c>
      <c r="H268" s="10" t="str">
        <f aca="false">IF($L268="","",IF($L268="@成本",购销流水!$U71,IF($L268="@收入",购销流水!$T71,IF($L268="@存货",购销流水!$S71,IF($L268="@结算",购销流水!$R71,$L268)))))</f>
        <v/>
      </c>
      <c r="I268" s="42" t="n">
        <f aca="false">IF($M268="借",$O268,0)</f>
        <v>0</v>
      </c>
      <c r="J268" s="42" t="n">
        <f aca="false">IF($M268="贷",$O268,0)</f>
        <v>0</v>
      </c>
      <c r="K268" s="48" t="str">
        <f aca="false">IF($H268="","",购销流水!$E71)</f>
        <v/>
      </c>
      <c r="L268" s="66" t="str">
        <f aca="false">IF(购销流水!$D71="","",IFERROR(INDEX(记账规则!$A$6:$N$9,MATCH(购销流水!$D71,记账规则!$A$6:$A$9,0),9),""))</f>
        <v/>
      </c>
      <c r="M268" s="66" t="str">
        <f aca="false">IF($L268="","",IFERROR(INDEX(记账规则!$A$6:$N$9,MATCH(购销流水!$D71,记账规则!$A$6:$A$9,0),10),""))</f>
        <v/>
      </c>
      <c r="N268" s="66" t="str">
        <f aca="false">IF($L268="","",IFERROR(INDEX(记账规则!$A$6:$N$9,MATCH(购销流水!$D71,记账规则!$A$6:$A$9,0),11),""))</f>
        <v/>
      </c>
      <c r="O268" s="67" t="n">
        <f aca="false">IF($H268="",0,ROUND(IF($N268="成本金额",N(购销流水!$W71),IF($N268="金额",N(购销流水!$Q71),0)),2))</f>
        <v>0</v>
      </c>
      <c r="P268" s="64" t="str">
        <f aca="false">IF(AND($H268&lt;&gt;"",ROUND($O268,2)&lt;&gt;0),"有","")</f>
        <v/>
      </c>
    </row>
    <row r="269" customFormat="false" ht="15" hidden="true" customHeight="false" outlineLevel="0" collapsed="false">
      <c r="A269" s="53" t="str">
        <f aca="false">IF($H269="","",ROW()-5)</f>
        <v/>
      </c>
      <c r="B269" s="64" t="s">
        <v>36</v>
      </c>
      <c r="C269" s="53" t="n">
        <v>71</v>
      </c>
      <c r="D269" s="53" t="n">
        <v>4</v>
      </c>
      <c r="E269" s="65" t="str">
        <f aca="false">IF($H269="","",购销流水!$B71)</f>
        <v/>
      </c>
      <c r="F269" s="55" t="str">
        <f aca="false">IF($H269="","",购销流水!$C71)</f>
        <v/>
      </c>
      <c r="G269" s="48" t="str">
        <f aca="false">IF($H269="","",购销流水!$N71)</f>
        <v/>
      </c>
      <c r="H269" s="10" t="str">
        <f aca="false">IF($L269="","",IF($L269="@成本",购销流水!$U71,IF($L269="@收入",购销流水!$T71,IF($L269="@存货",购销流水!$S71,IF($L269="@结算",购销流水!$R71,$L269)))))</f>
        <v/>
      </c>
      <c r="I269" s="42" t="n">
        <f aca="false">IF($M269="借",$O269,0)</f>
        <v>0</v>
      </c>
      <c r="J269" s="42" t="n">
        <f aca="false">IF($M269="贷",$O269,0)</f>
        <v>0</v>
      </c>
      <c r="K269" s="48" t="str">
        <f aca="false">IF($H269="","",购销流水!$E71)</f>
        <v/>
      </c>
      <c r="L269" s="66" t="str">
        <f aca="false">IF(购销流水!$D71="","",IFERROR(INDEX(记账规则!$A$6:$N$9,MATCH(购销流水!$D71,记账规则!$A$6:$A$9,0),12),""))</f>
        <v/>
      </c>
      <c r="M269" s="66" t="str">
        <f aca="false">IF($L269="","",IFERROR(INDEX(记账规则!$A$6:$N$9,MATCH(购销流水!$D71,记账规则!$A$6:$A$9,0),13),""))</f>
        <v/>
      </c>
      <c r="N269" s="66" t="str">
        <f aca="false">IF($L269="","",IFERROR(INDEX(记账规则!$A$6:$N$9,MATCH(购销流水!$D71,记账规则!$A$6:$A$9,0),14),""))</f>
        <v/>
      </c>
      <c r="O269" s="67" t="n">
        <f aca="false">IF($H269="",0,ROUND(IF($N269="成本金额",N(购销流水!$W71),IF($N269="金额",N(购销流水!$Q71),0)),2))</f>
        <v>0</v>
      </c>
      <c r="P269" s="64" t="str">
        <f aca="false">IF(AND($H269&lt;&gt;"",ROUND($O269,2)&lt;&gt;0),"有","")</f>
        <v/>
      </c>
    </row>
    <row r="270" customFormat="false" ht="15" hidden="true" customHeight="false" outlineLevel="0" collapsed="false">
      <c r="A270" s="53" t="str">
        <f aca="false">IF($H270="","",ROW()-5)</f>
        <v/>
      </c>
      <c r="B270" s="64" t="s">
        <v>36</v>
      </c>
      <c r="C270" s="53" t="n">
        <v>72</v>
      </c>
      <c r="D270" s="53" t="n">
        <v>1</v>
      </c>
      <c r="E270" s="65" t="str">
        <f aca="false">IF($H270="","",购销流水!$B72)</f>
        <v/>
      </c>
      <c r="F270" s="55" t="str">
        <f aca="false">IF($H270="","",购销流水!$C72)</f>
        <v/>
      </c>
      <c r="G270" s="48" t="str">
        <f aca="false">IF($H270="","",购销流水!$N72)</f>
        <v/>
      </c>
      <c r="H270" s="10" t="str">
        <f aca="false">IF($L270="","",IF($L270="@成本",购销流水!$U72,IF($L270="@收入",购销流水!$T72,IF($L270="@存货",购销流水!$S72,IF($L270="@结算",购销流水!$R72,$L270)))))</f>
        <v/>
      </c>
      <c r="I270" s="42" t="n">
        <f aca="false">IF($M270="借",$O270,0)</f>
        <v>0</v>
      </c>
      <c r="J270" s="42" t="n">
        <f aca="false">IF($M270="贷",$O270,0)</f>
        <v>0</v>
      </c>
      <c r="K270" s="48" t="str">
        <f aca="false">IF($H270="","",购销流水!$E72)</f>
        <v/>
      </c>
      <c r="L270" s="66" t="str">
        <f aca="false">IF(购销流水!$D72="","",IFERROR(INDEX(记账规则!$A$6:$N$9,MATCH(购销流水!$D72,记账规则!$A$6:$A$9,0),3),""))</f>
        <v/>
      </c>
      <c r="M270" s="66" t="str">
        <f aca="false">IF($L270="","",IFERROR(INDEX(记账规则!$A$6:$N$9,MATCH(购销流水!$D72,记账规则!$A$6:$A$9,0),4),""))</f>
        <v/>
      </c>
      <c r="N270" s="66" t="str">
        <f aca="false">IF($L270="","",IFERROR(INDEX(记账规则!$A$6:$N$9,MATCH(购销流水!$D72,记账规则!$A$6:$A$9,0),5),""))</f>
        <v/>
      </c>
      <c r="O270" s="67" t="n">
        <f aca="false">IF($H270="",0,ROUND(IF($N270="成本金额",N(购销流水!$W72),IF($N270="金额",N(购销流水!$Q72),0)),2))</f>
        <v>0</v>
      </c>
      <c r="P270" s="64" t="str">
        <f aca="false">IF(AND($H270&lt;&gt;"",ROUND($O270,2)&lt;&gt;0),"有","")</f>
        <v/>
      </c>
    </row>
    <row r="271" customFormat="false" ht="15" hidden="true" customHeight="false" outlineLevel="0" collapsed="false">
      <c r="A271" s="53" t="str">
        <f aca="false">IF($H271="","",ROW()-5)</f>
        <v/>
      </c>
      <c r="B271" s="64" t="s">
        <v>36</v>
      </c>
      <c r="C271" s="53" t="n">
        <v>72</v>
      </c>
      <c r="D271" s="53" t="n">
        <v>2</v>
      </c>
      <c r="E271" s="65" t="str">
        <f aca="false">IF($H271="","",购销流水!$B72)</f>
        <v/>
      </c>
      <c r="F271" s="55" t="str">
        <f aca="false">IF($H271="","",购销流水!$C72)</f>
        <v/>
      </c>
      <c r="G271" s="48" t="str">
        <f aca="false">IF($H271="","",购销流水!$N72)</f>
        <v/>
      </c>
      <c r="H271" s="10" t="str">
        <f aca="false">IF($L271="","",IF($L271="@成本",购销流水!$U72,IF($L271="@收入",购销流水!$T72,IF($L271="@存货",购销流水!$S72,IF($L271="@结算",购销流水!$R72,$L271)))))</f>
        <v/>
      </c>
      <c r="I271" s="42" t="n">
        <f aca="false">IF($M271="借",$O271,0)</f>
        <v>0</v>
      </c>
      <c r="J271" s="42" t="n">
        <f aca="false">IF($M271="贷",$O271,0)</f>
        <v>0</v>
      </c>
      <c r="K271" s="48" t="str">
        <f aca="false">IF($H271="","",购销流水!$E72)</f>
        <v/>
      </c>
      <c r="L271" s="66" t="str">
        <f aca="false">IF(购销流水!$D72="","",IFERROR(INDEX(记账规则!$A$6:$N$9,MATCH(购销流水!$D72,记账规则!$A$6:$A$9,0),6),""))</f>
        <v/>
      </c>
      <c r="M271" s="66" t="str">
        <f aca="false">IF($L271="","",IFERROR(INDEX(记账规则!$A$6:$N$9,MATCH(购销流水!$D72,记账规则!$A$6:$A$9,0),7),""))</f>
        <v/>
      </c>
      <c r="N271" s="66" t="str">
        <f aca="false">IF($L271="","",IFERROR(INDEX(记账规则!$A$6:$N$9,MATCH(购销流水!$D72,记账规则!$A$6:$A$9,0),8),""))</f>
        <v/>
      </c>
      <c r="O271" s="67" t="n">
        <f aca="false">IF($H271="",0,ROUND(IF($N271="成本金额",N(购销流水!$W72),IF($N271="金额",N(购销流水!$Q72),0)),2))</f>
        <v>0</v>
      </c>
      <c r="P271" s="64" t="str">
        <f aca="false">IF(AND($H271&lt;&gt;"",ROUND($O271,2)&lt;&gt;0),"有","")</f>
        <v/>
      </c>
    </row>
    <row r="272" customFormat="false" ht="15" hidden="true" customHeight="false" outlineLevel="0" collapsed="false">
      <c r="A272" s="53" t="str">
        <f aca="false">IF($H272="","",ROW()-5)</f>
        <v/>
      </c>
      <c r="B272" s="64" t="s">
        <v>36</v>
      </c>
      <c r="C272" s="53" t="n">
        <v>72</v>
      </c>
      <c r="D272" s="53" t="n">
        <v>3</v>
      </c>
      <c r="E272" s="65" t="str">
        <f aca="false">IF($H272="","",购销流水!$B72)</f>
        <v/>
      </c>
      <c r="F272" s="55" t="str">
        <f aca="false">IF($H272="","",购销流水!$C72)</f>
        <v/>
      </c>
      <c r="G272" s="48" t="str">
        <f aca="false">IF($H272="","",购销流水!$N72)</f>
        <v/>
      </c>
      <c r="H272" s="10" t="str">
        <f aca="false">IF($L272="","",IF($L272="@成本",购销流水!$U72,IF($L272="@收入",购销流水!$T72,IF($L272="@存货",购销流水!$S72,IF($L272="@结算",购销流水!$R72,$L272)))))</f>
        <v/>
      </c>
      <c r="I272" s="42" t="n">
        <f aca="false">IF($M272="借",$O272,0)</f>
        <v>0</v>
      </c>
      <c r="J272" s="42" t="n">
        <f aca="false">IF($M272="贷",$O272,0)</f>
        <v>0</v>
      </c>
      <c r="K272" s="48" t="str">
        <f aca="false">IF($H272="","",购销流水!$E72)</f>
        <v/>
      </c>
      <c r="L272" s="66" t="str">
        <f aca="false">IF(购销流水!$D72="","",IFERROR(INDEX(记账规则!$A$6:$N$9,MATCH(购销流水!$D72,记账规则!$A$6:$A$9,0),9),""))</f>
        <v/>
      </c>
      <c r="M272" s="66" t="str">
        <f aca="false">IF($L272="","",IFERROR(INDEX(记账规则!$A$6:$N$9,MATCH(购销流水!$D72,记账规则!$A$6:$A$9,0),10),""))</f>
        <v/>
      </c>
      <c r="N272" s="66" t="str">
        <f aca="false">IF($L272="","",IFERROR(INDEX(记账规则!$A$6:$N$9,MATCH(购销流水!$D72,记账规则!$A$6:$A$9,0),11),""))</f>
        <v/>
      </c>
      <c r="O272" s="67" t="n">
        <f aca="false">IF($H272="",0,ROUND(IF($N272="成本金额",N(购销流水!$W72),IF($N272="金额",N(购销流水!$Q72),0)),2))</f>
        <v>0</v>
      </c>
      <c r="P272" s="64" t="str">
        <f aca="false">IF(AND($H272&lt;&gt;"",ROUND($O272,2)&lt;&gt;0),"有","")</f>
        <v/>
      </c>
    </row>
    <row r="273" customFormat="false" ht="15" hidden="true" customHeight="false" outlineLevel="0" collapsed="false">
      <c r="A273" s="53" t="str">
        <f aca="false">IF($H273="","",ROW()-5)</f>
        <v/>
      </c>
      <c r="B273" s="64" t="s">
        <v>36</v>
      </c>
      <c r="C273" s="53" t="n">
        <v>72</v>
      </c>
      <c r="D273" s="53" t="n">
        <v>4</v>
      </c>
      <c r="E273" s="65" t="str">
        <f aca="false">IF($H273="","",购销流水!$B72)</f>
        <v/>
      </c>
      <c r="F273" s="55" t="str">
        <f aca="false">IF($H273="","",购销流水!$C72)</f>
        <v/>
      </c>
      <c r="G273" s="48" t="str">
        <f aca="false">IF($H273="","",购销流水!$N72)</f>
        <v/>
      </c>
      <c r="H273" s="10" t="str">
        <f aca="false">IF($L273="","",IF($L273="@成本",购销流水!$U72,IF($L273="@收入",购销流水!$T72,IF($L273="@存货",购销流水!$S72,IF($L273="@结算",购销流水!$R72,$L273)))))</f>
        <v/>
      </c>
      <c r="I273" s="42" t="n">
        <f aca="false">IF($M273="借",$O273,0)</f>
        <v>0</v>
      </c>
      <c r="J273" s="42" t="n">
        <f aca="false">IF($M273="贷",$O273,0)</f>
        <v>0</v>
      </c>
      <c r="K273" s="48" t="str">
        <f aca="false">IF($H273="","",购销流水!$E72)</f>
        <v/>
      </c>
      <c r="L273" s="66" t="str">
        <f aca="false">IF(购销流水!$D72="","",IFERROR(INDEX(记账规则!$A$6:$N$9,MATCH(购销流水!$D72,记账规则!$A$6:$A$9,0),12),""))</f>
        <v/>
      </c>
      <c r="M273" s="66" t="str">
        <f aca="false">IF($L273="","",IFERROR(INDEX(记账规则!$A$6:$N$9,MATCH(购销流水!$D72,记账规则!$A$6:$A$9,0),13),""))</f>
        <v/>
      </c>
      <c r="N273" s="66" t="str">
        <f aca="false">IF($L273="","",IFERROR(INDEX(记账规则!$A$6:$N$9,MATCH(购销流水!$D72,记账规则!$A$6:$A$9,0),14),""))</f>
        <v/>
      </c>
      <c r="O273" s="67" t="n">
        <f aca="false">IF($H273="",0,ROUND(IF($N273="成本金额",N(购销流水!$W72),IF($N273="金额",N(购销流水!$Q72),0)),2))</f>
        <v>0</v>
      </c>
      <c r="P273" s="64" t="str">
        <f aca="false">IF(AND($H273&lt;&gt;"",ROUND($O273,2)&lt;&gt;0),"有","")</f>
        <v/>
      </c>
    </row>
    <row r="274" customFormat="false" ht="15" hidden="true" customHeight="false" outlineLevel="0" collapsed="false">
      <c r="A274" s="53" t="str">
        <f aca="false">IF($H274="","",ROW()-5)</f>
        <v/>
      </c>
      <c r="B274" s="64" t="s">
        <v>36</v>
      </c>
      <c r="C274" s="53" t="n">
        <v>73</v>
      </c>
      <c r="D274" s="53" t="n">
        <v>1</v>
      </c>
      <c r="E274" s="65" t="str">
        <f aca="false">IF($H274="","",购销流水!$B73)</f>
        <v/>
      </c>
      <c r="F274" s="55" t="str">
        <f aca="false">IF($H274="","",购销流水!$C73)</f>
        <v/>
      </c>
      <c r="G274" s="48" t="str">
        <f aca="false">IF($H274="","",购销流水!$N73)</f>
        <v/>
      </c>
      <c r="H274" s="10" t="str">
        <f aca="false">IF($L274="","",IF($L274="@成本",购销流水!$U73,IF($L274="@收入",购销流水!$T73,IF($L274="@存货",购销流水!$S73,IF($L274="@结算",购销流水!$R73,$L274)))))</f>
        <v/>
      </c>
      <c r="I274" s="42" t="n">
        <f aca="false">IF($M274="借",$O274,0)</f>
        <v>0</v>
      </c>
      <c r="J274" s="42" t="n">
        <f aca="false">IF($M274="贷",$O274,0)</f>
        <v>0</v>
      </c>
      <c r="K274" s="48" t="str">
        <f aca="false">IF($H274="","",购销流水!$E73)</f>
        <v/>
      </c>
      <c r="L274" s="66" t="str">
        <f aca="false">IF(购销流水!$D73="","",IFERROR(INDEX(记账规则!$A$6:$N$9,MATCH(购销流水!$D73,记账规则!$A$6:$A$9,0),3),""))</f>
        <v/>
      </c>
      <c r="M274" s="66" t="str">
        <f aca="false">IF($L274="","",IFERROR(INDEX(记账规则!$A$6:$N$9,MATCH(购销流水!$D73,记账规则!$A$6:$A$9,0),4),""))</f>
        <v/>
      </c>
      <c r="N274" s="66" t="str">
        <f aca="false">IF($L274="","",IFERROR(INDEX(记账规则!$A$6:$N$9,MATCH(购销流水!$D73,记账规则!$A$6:$A$9,0),5),""))</f>
        <v/>
      </c>
      <c r="O274" s="67" t="n">
        <f aca="false">IF($H274="",0,ROUND(IF($N274="成本金额",N(购销流水!$W73),IF($N274="金额",N(购销流水!$Q73),0)),2))</f>
        <v>0</v>
      </c>
      <c r="P274" s="64" t="str">
        <f aca="false">IF(AND($H274&lt;&gt;"",ROUND($O274,2)&lt;&gt;0),"有","")</f>
        <v/>
      </c>
    </row>
    <row r="275" customFormat="false" ht="15" hidden="true" customHeight="false" outlineLevel="0" collapsed="false">
      <c r="A275" s="53" t="str">
        <f aca="false">IF($H275="","",ROW()-5)</f>
        <v/>
      </c>
      <c r="B275" s="64" t="s">
        <v>36</v>
      </c>
      <c r="C275" s="53" t="n">
        <v>73</v>
      </c>
      <c r="D275" s="53" t="n">
        <v>2</v>
      </c>
      <c r="E275" s="65" t="str">
        <f aca="false">IF($H275="","",购销流水!$B73)</f>
        <v/>
      </c>
      <c r="F275" s="55" t="str">
        <f aca="false">IF($H275="","",购销流水!$C73)</f>
        <v/>
      </c>
      <c r="G275" s="48" t="str">
        <f aca="false">IF($H275="","",购销流水!$N73)</f>
        <v/>
      </c>
      <c r="H275" s="10" t="str">
        <f aca="false">IF($L275="","",IF($L275="@成本",购销流水!$U73,IF($L275="@收入",购销流水!$T73,IF($L275="@存货",购销流水!$S73,IF($L275="@结算",购销流水!$R73,$L275)))))</f>
        <v/>
      </c>
      <c r="I275" s="42" t="n">
        <f aca="false">IF($M275="借",$O275,0)</f>
        <v>0</v>
      </c>
      <c r="J275" s="42" t="n">
        <f aca="false">IF($M275="贷",$O275,0)</f>
        <v>0</v>
      </c>
      <c r="K275" s="48" t="str">
        <f aca="false">IF($H275="","",购销流水!$E73)</f>
        <v/>
      </c>
      <c r="L275" s="66" t="str">
        <f aca="false">IF(购销流水!$D73="","",IFERROR(INDEX(记账规则!$A$6:$N$9,MATCH(购销流水!$D73,记账规则!$A$6:$A$9,0),6),""))</f>
        <v/>
      </c>
      <c r="M275" s="66" t="str">
        <f aca="false">IF($L275="","",IFERROR(INDEX(记账规则!$A$6:$N$9,MATCH(购销流水!$D73,记账规则!$A$6:$A$9,0),7),""))</f>
        <v/>
      </c>
      <c r="N275" s="66" t="str">
        <f aca="false">IF($L275="","",IFERROR(INDEX(记账规则!$A$6:$N$9,MATCH(购销流水!$D73,记账规则!$A$6:$A$9,0),8),""))</f>
        <v/>
      </c>
      <c r="O275" s="67" t="n">
        <f aca="false">IF($H275="",0,ROUND(IF($N275="成本金额",N(购销流水!$W73),IF($N275="金额",N(购销流水!$Q73),0)),2))</f>
        <v>0</v>
      </c>
      <c r="P275" s="64" t="str">
        <f aca="false">IF(AND($H275&lt;&gt;"",ROUND($O275,2)&lt;&gt;0),"有","")</f>
        <v/>
      </c>
    </row>
    <row r="276" customFormat="false" ht="15" hidden="true" customHeight="false" outlineLevel="0" collapsed="false">
      <c r="A276" s="53" t="str">
        <f aca="false">IF($H276="","",ROW()-5)</f>
        <v/>
      </c>
      <c r="B276" s="64" t="s">
        <v>36</v>
      </c>
      <c r="C276" s="53" t="n">
        <v>73</v>
      </c>
      <c r="D276" s="53" t="n">
        <v>3</v>
      </c>
      <c r="E276" s="65" t="str">
        <f aca="false">IF($H276="","",购销流水!$B73)</f>
        <v/>
      </c>
      <c r="F276" s="55" t="str">
        <f aca="false">IF($H276="","",购销流水!$C73)</f>
        <v/>
      </c>
      <c r="G276" s="48" t="str">
        <f aca="false">IF($H276="","",购销流水!$N73)</f>
        <v/>
      </c>
      <c r="H276" s="10" t="str">
        <f aca="false">IF($L276="","",IF($L276="@成本",购销流水!$U73,IF($L276="@收入",购销流水!$T73,IF($L276="@存货",购销流水!$S73,IF($L276="@结算",购销流水!$R73,$L276)))))</f>
        <v/>
      </c>
      <c r="I276" s="42" t="n">
        <f aca="false">IF($M276="借",$O276,0)</f>
        <v>0</v>
      </c>
      <c r="J276" s="42" t="n">
        <f aca="false">IF($M276="贷",$O276,0)</f>
        <v>0</v>
      </c>
      <c r="K276" s="48" t="str">
        <f aca="false">IF($H276="","",购销流水!$E73)</f>
        <v/>
      </c>
      <c r="L276" s="66" t="str">
        <f aca="false">IF(购销流水!$D73="","",IFERROR(INDEX(记账规则!$A$6:$N$9,MATCH(购销流水!$D73,记账规则!$A$6:$A$9,0),9),""))</f>
        <v/>
      </c>
      <c r="M276" s="66" t="str">
        <f aca="false">IF($L276="","",IFERROR(INDEX(记账规则!$A$6:$N$9,MATCH(购销流水!$D73,记账规则!$A$6:$A$9,0),10),""))</f>
        <v/>
      </c>
      <c r="N276" s="66" t="str">
        <f aca="false">IF($L276="","",IFERROR(INDEX(记账规则!$A$6:$N$9,MATCH(购销流水!$D73,记账规则!$A$6:$A$9,0),11),""))</f>
        <v/>
      </c>
      <c r="O276" s="67" t="n">
        <f aca="false">IF($H276="",0,ROUND(IF($N276="成本金额",N(购销流水!$W73),IF($N276="金额",N(购销流水!$Q73),0)),2))</f>
        <v>0</v>
      </c>
      <c r="P276" s="64" t="str">
        <f aca="false">IF(AND($H276&lt;&gt;"",ROUND($O276,2)&lt;&gt;0),"有","")</f>
        <v/>
      </c>
    </row>
    <row r="277" customFormat="false" ht="15" hidden="true" customHeight="false" outlineLevel="0" collapsed="false">
      <c r="A277" s="53" t="str">
        <f aca="false">IF($H277="","",ROW()-5)</f>
        <v/>
      </c>
      <c r="B277" s="64" t="s">
        <v>36</v>
      </c>
      <c r="C277" s="53" t="n">
        <v>73</v>
      </c>
      <c r="D277" s="53" t="n">
        <v>4</v>
      </c>
      <c r="E277" s="65" t="str">
        <f aca="false">IF($H277="","",购销流水!$B73)</f>
        <v/>
      </c>
      <c r="F277" s="55" t="str">
        <f aca="false">IF($H277="","",购销流水!$C73)</f>
        <v/>
      </c>
      <c r="G277" s="48" t="str">
        <f aca="false">IF($H277="","",购销流水!$N73)</f>
        <v/>
      </c>
      <c r="H277" s="10" t="str">
        <f aca="false">IF($L277="","",IF($L277="@成本",购销流水!$U73,IF($L277="@收入",购销流水!$T73,IF($L277="@存货",购销流水!$S73,IF($L277="@结算",购销流水!$R73,$L277)))))</f>
        <v/>
      </c>
      <c r="I277" s="42" t="n">
        <f aca="false">IF($M277="借",$O277,0)</f>
        <v>0</v>
      </c>
      <c r="J277" s="42" t="n">
        <f aca="false">IF($M277="贷",$O277,0)</f>
        <v>0</v>
      </c>
      <c r="K277" s="48" t="str">
        <f aca="false">IF($H277="","",购销流水!$E73)</f>
        <v/>
      </c>
      <c r="L277" s="66" t="str">
        <f aca="false">IF(购销流水!$D73="","",IFERROR(INDEX(记账规则!$A$6:$N$9,MATCH(购销流水!$D73,记账规则!$A$6:$A$9,0),12),""))</f>
        <v/>
      </c>
      <c r="M277" s="66" t="str">
        <f aca="false">IF($L277="","",IFERROR(INDEX(记账规则!$A$6:$N$9,MATCH(购销流水!$D73,记账规则!$A$6:$A$9,0),13),""))</f>
        <v/>
      </c>
      <c r="N277" s="66" t="str">
        <f aca="false">IF($L277="","",IFERROR(INDEX(记账规则!$A$6:$N$9,MATCH(购销流水!$D73,记账规则!$A$6:$A$9,0),14),""))</f>
        <v/>
      </c>
      <c r="O277" s="67" t="n">
        <f aca="false">IF($H277="",0,ROUND(IF($N277="成本金额",N(购销流水!$W73),IF($N277="金额",N(购销流水!$Q73),0)),2))</f>
        <v>0</v>
      </c>
      <c r="P277" s="64" t="str">
        <f aca="false">IF(AND($H277&lt;&gt;"",ROUND($O277,2)&lt;&gt;0),"有","")</f>
        <v/>
      </c>
    </row>
    <row r="278" customFormat="false" ht="15" hidden="true" customHeight="false" outlineLevel="0" collapsed="false">
      <c r="A278" s="53" t="str">
        <f aca="false">IF($H278="","",ROW()-5)</f>
        <v/>
      </c>
      <c r="B278" s="64" t="s">
        <v>36</v>
      </c>
      <c r="C278" s="53" t="n">
        <v>74</v>
      </c>
      <c r="D278" s="53" t="n">
        <v>1</v>
      </c>
      <c r="E278" s="65" t="str">
        <f aca="false">IF($H278="","",购销流水!$B74)</f>
        <v/>
      </c>
      <c r="F278" s="55" t="str">
        <f aca="false">IF($H278="","",购销流水!$C74)</f>
        <v/>
      </c>
      <c r="G278" s="48" t="str">
        <f aca="false">IF($H278="","",购销流水!$N74)</f>
        <v/>
      </c>
      <c r="H278" s="10" t="str">
        <f aca="false">IF($L278="","",IF($L278="@成本",购销流水!$U74,IF($L278="@收入",购销流水!$T74,IF($L278="@存货",购销流水!$S74,IF($L278="@结算",购销流水!$R74,$L278)))))</f>
        <v/>
      </c>
      <c r="I278" s="42" t="n">
        <f aca="false">IF($M278="借",$O278,0)</f>
        <v>0</v>
      </c>
      <c r="J278" s="42" t="n">
        <f aca="false">IF($M278="贷",$O278,0)</f>
        <v>0</v>
      </c>
      <c r="K278" s="48" t="str">
        <f aca="false">IF($H278="","",购销流水!$E74)</f>
        <v/>
      </c>
      <c r="L278" s="66" t="str">
        <f aca="false">IF(购销流水!$D74="","",IFERROR(INDEX(记账规则!$A$6:$N$9,MATCH(购销流水!$D74,记账规则!$A$6:$A$9,0),3),""))</f>
        <v/>
      </c>
      <c r="M278" s="66" t="str">
        <f aca="false">IF($L278="","",IFERROR(INDEX(记账规则!$A$6:$N$9,MATCH(购销流水!$D74,记账规则!$A$6:$A$9,0),4),""))</f>
        <v/>
      </c>
      <c r="N278" s="66" t="str">
        <f aca="false">IF($L278="","",IFERROR(INDEX(记账规则!$A$6:$N$9,MATCH(购销流水!$D74,记账规则!$A$6:$A$9,0),5),""))</f>
        <v/>
      </c>
      <c r="O278" s="67" t="n">
        <f aca="false">IF($H278="",0,ROUND(IF($N278="成本金额",N(购销流水!$W74),IF($N278="金额",N(购销流水!$Q74),0)),2))</f>
        <v>0</v>
      </c>
      <c r="P278" s="64" t="str">
        <f aca="false">IF(AND($H278&lt;&gt;"",ROUND($O278,2)&lt;&gt;0),"有","")</f>
        <v/>
      </c>
    </row>
    <row r="279" customFormat="false" ht="15" hidden="true" customHeight="false" outlineLevel="0" collapsed="false">
      <c r="A279" s="53" t="str">
        <f aca="false">IF($H279="","",ROW()-5)</f>
        <v/>
      </c>
      <c r="B279" s="64" t="s">
        <v>36</v>
      </c>
      <c r="C279" s="53" t="n">
        <v>74</v>
      </c>
      <c r="D279" s="53" t="n">
        <v>2</v>
      </c>
      <c r="E279" s="65" t="str">
        <f aca="false">IF($H279="","",购销流水!$B74)</f>
        <v/>
      </c>
      <c r="F279" s="55" t="str">
        <f aca="false">IF($H279="","",购销流水!$C74)</f>
        <v/>
      </c>
      <c r="G279" s="48" t="str">
        <f aca="false">IF($H279="","",购销流水!$N74)</f>
        <v/>
      </c>
      <c r="H279" s="10" t="str">
        <f aca="false">IF($L279="","",IF($L279="@成本",购销流水!$U74,IF($L279="@收入",购销流水!$T74,IF($L279="@存货",购销流水!$S74,IF($L279="@结算",购销流水!$R74,$L279)))))</f>
        <v/>
      </c>
      <c r="I279" s="42" t="n">
        <f aca="false">IF($M279="借",$O279,0)</f>
        <v>0</v>
      </c>
      <c r="J279" s="42" t="n">
        <f aca="false">IF($M279="贷",$O279,0)</f>
        <v>0</v>
      </c>
      <c r="K279" s="48" t="str">
        <f aca="false">IF($H279="","",购销流水!$E74)</f>
        <v/>
      </c>
      <c r="L279" s="66" t="str">
        <f aca="false">IF(购销流水!$D74="","",IFERROR(INDEX(记账规则!$A$6:$N$9,MATCH(购销流水!$D74,记账规则!$A$6:$A$9,0),6),""))</f>
        <v/>
      </c>
      <c r="M279" s="66" t="str">
        <f aca="false">IF($L279="","",IFERROR(INDEX(记账规则!$A$6:$N$9,MATCH(购销流水!$D74,记账规则!$A$6:$A$9,0),7),""))</f>
        <v/>
      </c>
      <c r="N279" s="66" t="str">
        <f aca="false">IF($L279="","",IFERROR(INDEX(记账规则!$A$6:$N$9,MATCH(购销流水!$D74,记账规则!$A$6:$A$9,0),8),""))</f>
        <v/>
      </c>
      <c r="O279" s="67" t="n">
        <f aca="false">IF($H279="",0,ROUND(IF($N279="成本金额",N(购销流水!$W74),IF($N279="金额",N(购销流水!$Q74),0)),2))</f>
        <v>0</v>
      </c>
      <c r="P279" s="64" t="str">
        <f aca="false">IF(AND($H279&lt;&gt;"",ROUND($O279,2)&lt;&gt;0),"有","")</f>
        <v/>
      </c>
    </row>
    <row r="280" customFormat="false" ht="15" hidden="true" customHeight="false" outlineLevel="0" collapsed="false">
      <c r="A280" s="53" t="str">
        <f aca="false">IF($H280="","",ROW()-5)</f>
        <v/>
      </c>
      <c r="B280" s="64" t="s">
        <v>36</v>
      </c>
      <c r="C280" s="53" t="n">
        <v>74</v>
      </c>
      <c r="D280" s="53" t="n">
        <v>3</v>
      </c>
      <c r="E280" s="65" t="str">
        <f aca="false">IF($H280="","",购销流水!$B74)</f>
        <v/>
      </c>
      <c r="F280" s="55" t="str">
        <f aca="false">IF($H280="","",购销流水!$C74)</f>
        <v/>
      </c>
      <c r="G280" s="48" t="str">
        <f aca="false">IF($H280="","",购销流水!$N74)</f>
        <v/>
      </c>
      <c r="H280" s="10" t="str">
        <f aca="false">IF($L280="","",IF($L280="@成本",购销流水!$U74,IF($L280="@收入",购销流水!$T74,IF($L280="@存货",购销流水!$S74,IF($L280="@结算",购销流水!$R74,$L280)))))</f>
        <v/>
      </c>
      <c r="I280" s="42" t="n">
        <f aca="false">IF($M280="借",$O280,0)</f>
        <v>0</v>
      </c>
      <c r="J280" s="42" t="n">
        <f aca="false">IF($M280="贷",$O280,0)</f>
        <v>0</v>
      </c>
      <c r="K280" s="48" t="str">
        <f aca="false">IF($H280="","",购销流水!$E74)</f>
        <v/>
      </c>
      <c r="L280" s="66" t="str">
        <f aca="false">IF(购销流水!$D74="","",IFERROR(INDEX(记账规则!$A$6:$N$9,MATCH(购销流水!$D74,记账规则!$A$6:$A$9,0),9),""))</f>
        <v/>
      </c>
      <c r="M280" s="66" t="str">
        <f aca="false">IF($L280="","",IFERROR(INDEX(记账规则!$A$6:$N$9,MATCH(购销流水!$D74,记账规则!$A$6:$A$9,0),10),""))</f>
        <v/>
      </c>
      <c r="N280" s="66" t="str">
        <f aca="false">IF($L280="","",IFERROR(INDEX(记账规则!$A$6:$N$9,MATCH(购销流水!$D74,记账规则!$A$6:$A$9,0),11),""))</f>
        <v/>
      </c>
      <c r="O280" s="67" t="n">
        <f aca="false">IF($H280="",0,ROUND(IF($N280="成本金额",N(购销流水!$W74),IF($N280="金额",N(购销流水!$Q74),0)),2))</f>
        <v>0</v>
      </c>
      <c r="P280" s="64" t="str">
        <f aca="false">IF(AND($H280&lt;&gt;"",ROUND($O280,2)&lt;&gt;0),"有","")</f>
        <v/>
      </c>
    </row>
    <row r="281" customFormat="false" ht="15" hidden="true" customHeight="false" outlineLevel="0" collapsed="false">
      <c r="A281" s="53" t="str">
        <f aca="false">IF($H281="","",ROW()-5)</f>
        <v/>
      </c>
      <c r="B281" s="64" t="s">
        <v>36</v>
      </c>
      <c r="C281" s="53" t="n">
        <v>74</v>
      </c>
      <c r="D281" s="53" t="n">
        <v>4</v>
      </c>
      <c r="E281" s="65" t="str">
        <f aca="false">IF($H281="","",购销流水!$B74)</f>
        <v/>
      </c>
      <c r="F281" s="55" t="str">
        <f aca="false">IF($H281="","",购销流水!$C74)</f>
        <v/>
      </c>
      <c r="G281" s="48" t="str">
        <f aca="false">IF($H281="","",购销流水!$N74)</f>
        <v/>
      </c>
      <c r="H281" s="10" t="str">
        <f aca="false">IF($L281="","",IF($L281="@成本",购销流水!$U74,IF($L281="@收入",购销流水!$T74,IF($L281="@存货",购销流水!$S74,IF($L281="@结算",购销流水!$R74,$L281)))))</f>
        <v/>
      </c>
      <c r="I281" s="42" t="n">
        <f aca="false">IF($M281="借",$O281,0)</f>
        <v>0</v>
      </c>
      <c r="J281" s="42" t="n">
        <f aca="false">IF($M281="贷",$O281,0)</f>
        <v>0</v>
      </c>
      <c r="K281" s="48" t="str">
        <f aca="false">IF($H281="","",购销流水!$E74)</f>
        <v/>
      </c>
      <c r="L281" s="66" t="str">
        <f aca="false">IF(购销流水!$D74="","",IFERROR(INDEX(记账规则!$A$6:$N$9,MATCH(购销流水!$D74,记账规则!$A$6:$A$9,0),12),""))</f>
        <v/>
      </c>
      <c r="M281" s="66" t="str">
        <f aca="false">IF($L281="","",IFERROR(INDEX(记账规则!$A$6:$N$9,MATCH(购销流水!$D74,记账规则!$A$6:$A$9,0),13),""))</f>
        <v/>
      </c>
      <c r="N281" s="66" t="str">
        <f aca="false">IF($L281="","",IFERROR(INDEX(记账规则!$A$6:$N$9,MATCH(购销流水!$D74,记账规则!$A$6:$A$9,0),14),""))</f>
        <v/>
      </c>
      <c r="O281" s="67" t="n">
        <f aca="false">IF($H281="",0,ROUND(IF($N281="成本金额",N(购销流水!$W74),IF($N281="金额",N(购销流水!$Q74),0)),2))</f>
        <v>0</v>
      </c>
      <c r="P281" s="64" t="str">
        <f aca="false">IF(AND($H281&lt;&gt;"",ROUND($O281,2)&lt;&gt;0),"有","")</f>
        <v/>
      </c>
    </row>
    <row r="282" customFormat="false" ht="15" hidden="true" customHeight="false" outlineLevel="0" collapsed="false">
      <c r="A282" s="53" t="str">
        <f aca="false">IF($H282="","",ROW()-5)</f>
        <v/>
      </c>
      <c r="B282" s="64" t="s">
        <v>36</v>
      </c>
      <c r="C282" s="53" t="n">
        <v>75</v>
      </c>
      <c r="D282" s="53" t="n">
        <v>1</v>
      </c>
      <c r="E282" s="65" t="str">
        <f aca="false">IF($H282="","",购销流水!$B75)</f>
        <v/>
      </c>
      <c r="F282" s="55" t="str">
        <f aca="false">IF($H282="","",购销流水!$C75)</f>
        <v/>
      </c>
      <c r="G282" s="48" t="str">
        <f aca="false">IF($H282="","",购销流水!$N75)</f>
        <v/>
      </c>
      <c r="H282" s="10" t="str">
        <f aca="false">IF($L282="","",IF($L282="@成本",购销流水!$U75,IF($L282="@收入",购销流水!$T75,IF($L282="@存货",购销流水!$S75,IF($L282="@结算",购销流水!$R75,$L282)))))</f>
        <v/>
      </c>
      <c r="I282" s="42" t="n">
        <f aca="false">IF($M282="借",$O282,0)</f>
        <v>0</v>
      </c>
      <c r="J282" s="42" t="n">
        <f aca="false">IF($M282="贷",$O282,0)</f>
        <v>0</v>
      </c>
      <c r="K282" s="48" t="str">
        <f aca="false">IF($H282="","",购销流水!$E75)</f>
        <v/>
      </c>
      <c r="L282" s="66" t="str">
        <f aca="false">IF(购销流水!$D75="","",IFERROR(INDEX(记账规则!$A$6:$N$9,MATCH(购销流水!$D75,记账规则!$A$6:$A$9,0),3),""))</f>
        <v/>
      </c>
      <c r="M282" s="66" t="str">
        <f aca="false">IF($L282="","",IFERROR(INDEX(记账规则!$A$6:$N$9,MATCH(购销流水!$D75,记账规则!$A$6:$A$9,0),4),""))</f>
        <v/>
      </c>
      <c r="N282" s="66" t="str">
        <f aca="false">IF($L282="","",IFERROR(INDEX(记账规则!$A$6:$N$9,MATCH(购销流水!$D75,记账规则!$A$6:$A$9,0),5),""))</f>
        <v/>
      </c>
      <c r="O282" s="67" t="n">
        <f aca="false">IF($H282="",0,ROUND(IF($N282="成本金额",N(购销流水!$W75),IF($N282="金额",N(购销流水!$Q75),0)),2))</f>
        <v>0</v>
      </c>
      <c r="P282" s="64" t="str">
        <f aca="false">IF(AND($H282&lt;&gt;"",ROUND($O282,2)&lt;&gt;0),"有","")</f>
        <v/>
      </c>
    </row>
    <row r="283" customFormat="false" ht="15" hidden="true" customHeight="false" outlineLevel="0" collapsed="false">
      <c r="A283" s="53" t="str">
        <f aca="false">IF($H283="","",ROW()-5)</f>
        <v/>
      </c>
      <c r="B283" s="64" t="s">
        <v>36</v>
      </c>
      <c r="C283" s="53" t="n">
        <v>75</v>
      </c>
      <c r="D283" s="53" t="n">
        <v>2</v>
      </c>
      <c r="E283" s="65" t="str">
        <f aca="false">IF($H283="","",购销流水!$B75)</f>
        <v/>
      </c>
      <c r="F283" s="55" t="str">
        <f aca="false">IF($H283="","",购销流水!$C75)</f>
        <v/>
      </c>
      <c r="G283" s="48" t="str">
        <f aca="false">IF($H283="","",购销流水!$N75)</f>
        <v/>
      </c>
      <c r="H283" s="10" t="str">
        <f aca="false">IF($L283="","",IF($L283="@成本",购销流水!$U75,IF($L283="@收入",购销流水!$T75,IF($L283="@存货",购销流水!$S75,IF($L283="@结算",购销流水!$R75,$L283)))))</f>
        <v/>
      </c>
      <c r="I283" s="42" t="n">
        <f aca="false">IF($M283="借",$O283,0)</f>
        <v>0</v>
      </c>
      <c r="J283" s="42" t="n">
        <f aca="false">IF($M283="贷",$O283,0)</f>
        <v>0</v>
      </c>
      <c r="K283" s="48" t="str">
        <f aca="false">IF($H283="","",购销流水!$E75)</f>
        <v/>
      </c>
      <c r="L283" s="66" t="str">
        <f aca="false">IF(购销流水!$D75="","",IFERROR(INDEX(记账规则!$A$6:$N$9,MATCH(购销流水!$D75,记账规则!$A$6:$A$9,0),6),""))</f>
        <v/>
      </c>
      <c r="M283" s="66" t="str">
        <f aca="false">IF($L283="","",IFERROR(INDEX(记账规则!$A$6:$N$9,MATCH(购销流水!$D75,记账规则!$A$6:$A$9,0),7),""))</f>
        <v/>
      </c>
      <c r="N283" s="66" t="str">
        <f aca="false">IF($L283="","",IFERROR(INDEX(记账规则!$A$6:$N$9,MATCH(购销流水!$D75,记账规则!$A$6:$A$9,0),8),""))</f>
        <v/>
      </c>
      <c r="O283" s="67" t="n">
        <f aca="false">IF($H283="",0,ROUND(IF($N283="成本金额",N(购销流水!$W75),IF($N283="金额",N(购销流水!$Q75),0)),2))</f>
        <v>0</v>
      </c>
      <c r="P283" s="64" t="str">
        <f aca="false">IF(AND($H283&lt;&gt;"",ROUND($O283,2)&lt;&gt;0),"有","")</f>
        <v/>
      </c>
    </row>
    <row r="284" customFormat="false" ht="15" hidden="true" customHeight="false" outlineLevel="0" collapsed="false">
      <c r="A284" s="53" t="str">
        <f aca="false">IF($H284="","",ROW()-5)</f>
        <v/>
      </c>
      <c r="B284" s="64" t="s">
        <v>36</v>
      </c>
      <c r="C284" s="53" t="n">
        <v>75</v>
      </c>
      <c r="D284" s="53" t="n">
        <v>3</v>
      </c>
      <c r="E284" s="65" t="str">
        <f aca="false">IF($H284="","",购销流水!$B75)</f>
        <v/>
      </c>
      <c r="F284" s="55" t="str">
        <f aca="false">IF($H284="","",购销流水!$C75)</f>
        <v/>
      </c>
      <c r="G284" s="48" t="str">
        <f aca="false">IF($H284="","",购销流水!$N75)</f>
        <v/>
      </c>
      <c r="H284" s="10" t="str">
        <f aca="false">IF($L284="","",IF($L284="@成本",购销流水!$U75,IF($L284="@收入",购销流水!$T75,IF($L284="@存货",购销流水!$S75,IF($L284="@结算",购销流水!$R75,$L284)))))</f>
        <v/>
      </c>
      <c r="I284" s="42" t="n">
        <f aca="false">IF($M284="借",$O284,0)</f>
        <v>0</v>
      </c>
      <c r="J284" s="42" t="n">
        <f aca="false">IF($M284="贷",$O284,0)</f>
        <v>0</v>
      </c>
      <c r="K284" s="48" t="str">
        <f aca="false">IF($H284="","",购销流水!$E75)</f>
        <v/>
      </c>
      <c r="L284" s="66" t="str">
        <f aca="false">IF(购销流水!$D75="","",IFERROR(INDEX(记账规则!$A$6:$N$9,MATCH(购销流水!$D75,记账规则!$A$6:$A$9,0),9),""))</f>
        <v/>
      </c>
      <c r="M284" s="66" t="str">
        <f aca="false">IF($L284="","",IFERROR(INDEX(记账规则!$A$6:$N$9,MATCH(购销流水!$D75,记账规则!$A$6:$A$9,0),10),""))</f>
        <v/>
      </c>
      <c r="N284" s="66" t="str">
        <f aca="false">IF($L284="","",IFERROR(INDEX(记账规则!$A$6:$N$9,MATCH(购销流水!$D75,记账规则!$A$6:$A$9,0),11),""))</f>
        <v/>
      </c>
      <c r="O284" s="67" t="n">
        <f aca="false">IF($H284="",0,ROUND(IF($N284="成本金额",N(购销流水!$W75),IF($N284="金额",N(购销流水!$Q75),0)),2))</f>
        <v>0</v>
      </c>
      <c r="P284" s="64" t="str">
        <f aca="false">IF(AND($H284&lt;&gt;"",ROUND($O284,2)&lt;&gt;0),"有","")</f>
        <v/>
      </c>
    </row>
    <row r="285" customFormat="false" ht="15" hidden="true" customHeight="false" outlineLevel="0" collapsed="false">
      <c r="A285" s="53" t="str">
        <f aca="false">IF($H285="","",ROW()-5)</f>
        <v/>
      </c>
      <c r="B285" s="64" t="s">
        <v>36</v>
      </c>
      <c r="C285" s="53" t="n">
        <v>75</v>
      </c>
      <c r="D285" s="53" t="n">
        <v>4</v>
      </c>
      <c r="E285" s="65" t="str">
        <f aca="false">IF($H285="","",购销流水!$B75)</f>
        <v/>
      </c>
      <c r="F285" s="55" t="str">
        <f aca="false">IF($H285="","",购销流水!$C75)</f>
        <v/>
      </c>
      <c r="G285" s="48" t="str">
        <f aca="false">IF($H285="","",购销流水!$N75)</f>
        <v/>
      </c>
      <c r="H285" s="10" t="str">
        <f aca="false">IF($L285="","",IF($L285="@成本",购销流水!$U75,IF($L285="@收入",购销流水!$T75,IF($L285="@存货",购销流水!$S75,IF($L285="@结算",购销流水!$R75,$L285)))))</f>
        <v/>
      </c>
      <c r="I285" s="42" t="n">
        <f aca="false">IF($M285="借",$O285,0)</f>
        <v>0</v>
      </c>
      <c r="J285" s="42" t="n">
        <f aca="false">IF($M285="贷",$O285,0)</f>
        <v>0</v>
      </c>
      <c r="K285" s="48" t="str">
        <f aca="false">IF($H285="","",购销流水!$E75)</f>
        <v/>
      </c>
      <c r="L285" s="66" t="str">
        <f aca="false">IF(购销流水!$D75="","",IFERROR(INDEX(记账规则!$A$6:$N$9,MATCH(购销流水!$D75,记账规则!$A$6:$A$9,0),12),""))</f>
        <v/>
      </c>
      <c r="M285" s="66" t="str">
        <f aca="false">IF($L285="","",IFERROR(INDEX(记账规则!$A$6:$N$9,MATCH(购销流水!$D75,记账规则!$A$6:$A$9,0),13),""))</f>
        <v/>
      </c>
      <c r="N285" s="66" t="str">
        <f aca="false">IF($L285="","",IFERROR(INDEX(记账规则!$A$6:$N$9,MATCH(购销流水!$D75,记账规则!$A$6:$A$9,0),14),""))</f>
        <v/>
      </c>
      <c r="O285" s="67" t="n">
        <f aca="false">IF($H285="",0,ROUND(IF($N285="成本金额",N(购销流水!$W75),IF($N285="金额",N(购销流水!$Q75),0)),2))</f>
        <v>0</v>
      </c>
      <c r="P285" s="64" t="str">
        <f aca="false">IF(AND($H285&lt;&gt;"",ROUND($O285,2)&lt;&gt;0),"有","")</f>
        <v/>
      </c>
    </row>
    <row r="286" customFormat="false" ht="15" hidden="true" customHeight="false" outlineLevel="0" collapsed="false">
      <c r="A286" s="53" t="str">
        <f aca="false">IF($H286="","",ROW()-5)</f>
        <v/>
      </c>
      <c r="B286" s="64" t="s">
        <v>36</v>
      </c>
      <c r="C286" s="53" t="n">
        <v>76</v>
      </c>
      <c r="D286" s="53" t="n">
        <v>1</v>
      </c>
      <c r="E286" s="65" t="str">
        <f aca="false">IF($H286="","",购销流水!$B76)</f>
        <v/>
      </c>
      <c r="F286" s="55" t="str">
        <f aca="false">IF($H286="","",购销流水!$C76)</f>
        <v/>
      </c>
      <c r="G286" s="48" t="str">
        <f aca="false">IF($H286="","",购销流水!$N76)</f>
        <v/>
      </c>
      <c r="H286" s="10" t="str">
        <f aca="false">IF($L286="","",IF($L286="@成本",购销流水!$U76,IF($L286="@收入",购销流水!$T76,IF($L286="@存货",购销流水!$S76,IF($L286="@结算",购销流水!$R76,$L286)))))</f>
        <v/>
      </c>
      <c r="I286" s="42" t="n">
        <f aca="false">IF($M286="借",$O286,0)</f>
        <v>0</v>
      </c>
      <c r="J286" s="42" t="n">
        <f aca="false">IF($M286="贷",$O286,0)</f>
        <v>0</v>
      </c>
      <c r="K286" s="48" t="str">
        <f aca="false">IF($H286="","",购销流水!$E76)</f>
        <v/>
      </c>
      <c r="L286" s="66" t="str">
        <f aca="false">IF(购销流水!$D76="","",IFERROR(INDEX(记账规则!$A$6:$N$9,MATCH(购销流水!$D76,记账规则!$A$6:$A$9,0),3),""))</f>
        <v/>
      </c>
      <c r="M286" s="66" t="str">
        <f aca="false">IF($L286="","",IFERROR(INDEX(记账规则!$A$6:$N$9,MATCH(购销流水!$D76,记账规则!$A$6:$A$9,0),4),""))</f>
        <v/>
      </c>
      <c r="N286" s="66" t="str">
        <f aca="false">IF($L286="","",IFERROR(INDEX(记账规则!$A$6:$N$9,MATCH(购销流水!$D76,记账规则!$A$6:$A$9,0),5),""))</f>
        <v/>
      </c>
      <c r="O286" s="67" t="n">
        <f aca="false">IF($H286="",0,ROUND(IF($N286="成本金额",N(购销流水!$W76),IF($N286="金额",N(购销流水!$Q76),0)),2))</f>
        <v>0</v>
      </c>
      <c r="P286" s="64" t="str">
        <f aca="false">IF(AND($H286&lt;&gt;"",ROUND($O286,2)&lt;&gt;0),"有","")</f>
        <v/>
      </c>
    </row>
    <row r="287" customFormat="false" ht="15" hidden="true" customHeight="false" outlineLevel="0" collapsed="false">
      <c r="A287" s="53" t="str">
        <f aca="false">IF($H287="","",ROW()-5)</f>
        <v/>
      </c>
      <c r="B287" s="64" t="s">
        <v>36</v>
      </c>
      <c r="C287" s="53" t="n">
        <v>76</v>
      </c>
      <c r="D287" s="53" t="n">
        <v>2</v>
      </c>
      <c r="E287" s="65" t="str">
        <f aca="false">IF($H287="","",购销流水!$B76)</f>
        <v/>
      </c>
      <c r="F287" s="55" t="str">
        <f aca="false">IF($H287="","",购销流水!$C76)</f>
        <v/>
      </c>
      <c r="G287" s="48" t="str">
        <f aca="false">IF($H287="","",购销流水!$N76)</f>
        <v/>
      </c>
      <c r="H287" s="10" t="str">
        <f aca="false">IF($L287="","",IF($L287="@成本",购销流水!$U76,IF($L287="@收入",购销流水!$T76,IF($L287="@存货",购销流水!$S76,IF($L287="@结算",购销流水!$R76,$L287)))))</f>
        <v/>
      </c>
      <c r="I287" s="42" t="n">
        <f aca="false">IF($M287="借",$O287,0)</f>
        <v>0</v>
      </c>
      <c r="J287" s="42" t="n">
        <f aca="false">IF($M287="贷",$O287,0)</f>
        <v>0</v>
      </c>
      <c r="K287" s="48" t="str">
        <f aca="false">IF($H287="","",购销流水!$E76)</f>
        <v/>
      </c>
      <c r="L287" s="66" t="str">
        <f aca="false">IF(购销流水!$D76="","",IFERROR(INDEX(记账规则!$A$6:$N$9,MATCH(购销流水!$D76,记账规则!$A$6:$A$9,0),6),""))</f>
        <v/>
      </c>
      <c r="M287" s="66" t="str">
        <f aca="false">IF($L287="","",IFERROR(INDEX(记账规则!$A$6:$N$9,MATCH(购销流水!$D76,记账规则!$A$6:$A$9,0),7),""))</f>
        <v/>
      </c>
      <c r="N287" s="66" t="str">
        <f aca="false">IF($L287="","",IFERROR(INDEX(记账规则!$A$6:$N$9,MATCH(购销流水!$D76,记账规则!$A$6:$A$9,0),8),""))</f>
        <v/>
      </c>
      <c r="O287" s="67" t="n">
        <f aca="false">IF($H287="",0,ROUND(IF($N287="成本金额",N(购销流水!$W76),IF($N287="金额",N(购销流水!$Q76),0)),2))</f>
        <v>0</v>
      </c>
      <c r="P287" s="64" t="str">
        <f aca="false">IF(AND($H287&lt;&gt;"",ROUND($O287,2)&lt;&gt;0),"有","")</f>
        <v/>
      </c>
    </row>
    <row r="288" customFormat="false" ht="15" hidden="true" customHeight="false" outlineLevel="0" collapsed="false">
      <c r="A288" s="53" t="str">
        <f aca="false">IF($H288="","",ROW()-5)</f>
        <v/>
      </c>
      <c r="B288" s="64" t="s">
        <v>36</v>
      </c>
      <c r="C288" s="53" t="n">
        <v>76</v>
      </c>
      <c r="D288" s="53" t="n">
        <v>3</v>
      </c>
      <c r="E288" s="65" t="str">
        <f aca="false">IF($H288="","",购销流水!$B76)</f>
        <v/>
      </c>
      <c r="F288" s="55" t="str">
        <f aca="false">IF($H288="","",购销流水!$C76)</f>
        <v/>
      </c>
      <c r="G288" s="48" t="str">
        <f aca="false">IF($H288="","",购销流水!$N76)</f>
        <v/>
      </c>
      <c r="H288" s="10" t="str">
        <f aca="false">IF($L288="","",IF($L288="@成本",购销流水!$U76,IF($L288="@收入",购销流水!$T76,IF($L288="@存货",购销流水!$S76,IF($L288="@结算",购销流水!$R76,$L288)))))</f>
        <v/>
      </c>
      <c r="I288" s="42" t="n">
        <f aca="false">IF($M288="借",$O288,0)</f>
        <v>0</v>
      </c>
      <c r="J288" s="42" t="n">
        <f aca="false">IF($M288="贷",$O288,0)</f>
        <v>0</v>
      </c>
      <c r="K288" s="48" t="str">
        <f aca="false">IF($H288="","",购销流水!$E76)</f>
        <v/>
      </c>
      <c r="L288" s="66" t="str">
        <f aca="false">IF(购销流水!$D76="","",IFERROR(INDEX(记账规则!$A$6:$N$9,MATCH(购销流水!$D76,记账规则!$A$6:$A$9,0),9),""))</f>
        <v/>
      </c>
      <c r="M288" s="66" t="str">
        <f aca="false">IF($L288="","",IFERROR(INDEX(记账规则!$A$6:$N$9,MATCH(购销流水!$D76,记账规则!$A$6:$A$9,0),10),""))</f>
        <v/>
      </c>
      <c r="N288" s="66" t="str">
        <f aca="false">IF($L288="","",IFERROR(INDEX(记账规则!$A$6:$N$9,MATCH(购销流水!$D76,记账规则!$A$6:$A$9,0),11),""))</f>
        <v/>
      </c>
      <c r="O288" s="67" t="n">
        <f aca="false">IF($H288="",0,ROUND(IF($N288="成本金额",N(购销流水!$W76),IF($N288="金额",N(购销流水!$Q76),0)),2))</f>
        <v>0</v>
      </c>
      <c r="P288" s="64" t="str">
        <f aca="false">IF(AND($H288&lt;&gt;"",ROUND($O288,2)&lt;&gt;0),"有","")</f>
        <v/>
      </c>
    </row>
    <row r="289" customFormat="false" ht="15" hidden="true" customHeight="false" outlineLevel="0" collapsed="false">
      <c r="A289" s="53" t="str">
        <f aca="false">IF($H289="","",ROW()-5)</f>
        <v/>
      </c>
      <c r="B289" s="64" t="s">
        <v>36</v>
      </c>
      <c r="C289" s="53" t="n">
        <v>76</v>
      </c>
      <c r="D289" s="53" t="n">
        <v>4</v>
      </c>
      <c r="E289" s="65" t="str">
        <f aca="false">IF($H289="","",购销流水!$B76)</f>
        <v/>
      </c>
      <c r="F289" s="55" t="str">
        <f aca="false">IF($H289="","",购销流水!$C76)</f>
        <v/>
      </c>
      <c r="G289" s="48" t="str">
        <f aca="false">IF($H289="","",购销流水!$N76)</f>
        <v/>
      </c>
      <c r="H289" s="10" t="str">
        <f aca="false">IF($L289="","",IF($L289="@成本",购销流水!$U76,IF($L289="@收入",购销流水!$T76,IF($L289="@存货",购销流水!$S76,IF($L289="@结算",购销流水!$R76,$L289)))))</f>
        <v/>
      </c>
      <c r="I289" s="42" t="n">
        <f aca="false">IF($M289="借",$O289,0)</f>
        <v>0</v>
      </c>
      <c r="J289" s="42" t="n">
        <f aca="false">IF($M289="贷",$O289,0)</f>
        <v>0</v>
      </c>
      <c r="K289" s="48" t="str">
        <f aca="false">IF($H289="","",购销流水!$E76)</f>
        <v/>
      </c>
      <c r="L289" s="66" t="str">
        <f aca="false">IF(购销流水!$D76="","",IFERROR(INDEX(记账规则!$A$6:$N$9,MATCH(购销流水!$D76,记账规则!$A$6:$A$9,0),12),""))</f>
        <v/>
      </c>
      <c r="M289" s="66" t="str">
        <f aca="false">IF($L289="","",IFERROR(INDEX(记账规则!$A$6:$N$9,MATCH(购销流水!$D76,记账规则!$A$6:$A$9,0),13),""))</f>
        <v/>
      </c>
      <c r="N289" s="66" t="str">
        <f aca="false">IF($L289="","",IFERROR(INDEX(记账规则!$A$6:$N$9,MATCH(购销流水!$D76,记账规则!$A$6:$A$9,0),14),""))</f>
        <v/>
      </c>
      <c r="O289" s="67" t="n">
        <f aca="false">IF($H289="",0,ROUND(IF($N289="成本金额",N(购销流水!$W76),IF($N289="金额",N(购销流水!$Q76),0)),2))</f>
        <v>0</v>
      </c>
      <c r="P289" s="64" t="str">
        <f aca="false">IF(AND($H289&lt;&gt;"",ROUND($O289,2)&lt;&gt;0),"有","")</f>
        <v/>
      </c>
    </row>
    <row r="290" customFormat="false" ht="15" hidden="true" customHeight="false" outlineLevel="0" collapsed="false">
      <c r="A290" s="53" t="str">
        <f aca="false">IF($H290="","",ROW()-5)</f>
        <v/>
      </c>
      <c r="B290" s="64" t="s">
        <v>36</v>
      </c>
      <c r="C290" s="53" t="n">
        <v>77</v>
      </c>
      <c r="D290" s="53" t="n">
        <v>1</v>
      </c>
      <c r="E290" s="65" t="str">
        <f aca="false">IF($H290="","",购销流水!$B77)</f>
        <v/>
      </c>
      <c r="F290" s="55" t="str">
        <f aca="false">IF($H290="","",购销流水!$C77)</f>
        <v/>
      </c>
      <c r="G290" s="48" t="str">
        <f aca="false">IF($H290="","",购销流水!$N77)</f>
        <v/>
      </c>
      <c r="H290" s="10" t="str">
        <f aca="false">IF($L290="","",IF($L290="@成本",购销流水!$U77,IF($L290="@收入",购销流水!$T77,IF($L290="@存货",购销流水!$S77,IF($L290="@结算",购销流水!$R77,$L290)))))</f>
        <v/>
      </c>
      <c r="I290" s="42" t="n">
        <f aca="false">IF($M290="借",$O290,0)</f>
        <v>0</v>
      </c>
      <c r="J290" s="42" t="n">
        <f aca="false">IF($M290="贷",$O290,0)</f>
        <v>0</v>
      </c>
      <c r="K290" s="48" t="str">
        <f aca="false">IF($H290="","",购销流水!$E77)</f>
        <v/>
      </c>
      <c r="L290" s="66" t="str">
        <f aca="false">IF(购销流水!$D77="","",IFERROR(INDEX(记账规则!$A$6:$N$9,MATCH(购销流水!$D77,记账规则!$A$6:$A$9,0),3),""))</f>
        <v/>
      </c>
      <c r="M290" s="66" t="str">
        <f aca="false">IF($L290="","",IFERROR(INDEX(记账规则!$A$6:$N$9,MATCH(购销流水!$D77,记账规则!$A$6:$A$9,0),4),""))</f>
        <v/>
      </c>
      <c r="N290" s="66" t="str">
        <f aca="false">IF($L290="","",IFERROR(INDEX(记账规则!$A$6:$N$9,MATCH(购销流水!$D77,记账规则!$A$6:$A$9,0),5),""))</f>
        <v/>
      </c>
      <c r="O290" s="67" t="n">
        <f aca="false">IF($H290="",0,ROUND(IF($N290="成本金额",N(购销流水!$W77),IF($N290="金额",N(购销流水!$Q77),0)),2))</f>
        <v>0</v>
      </c>
      <c r="P290" s="64" t="str">
        <f aca="false">IF(AND($H290&lt;&gt;"",ROUND($O290,2)&lt;&gt;0),"有","")</f>
        <v/>
      </c>
    </row>
    <row r="291" customFormat="false" ht="15" hidden="true" customHeight="false" outlineLevel="0" collapsed="false">
      <c r="A291" s="53" t="str">
        <f aca="false">IF($H291="","",ROW()-5)</f>
        <v/>
      </c>
      <c r="B291" s="64" t="s">
        <v>36</v>
      </c>
      <c r="C291" s="53" t="n">
        <v>77</v>
      </c>
      <c r="D291" s="53" t="n">
        <v>2</v>
      </c>
      <c r="E291" s="65" t="str">
        <f aca="false">IF($H291="","",购销流水!$B77)</f>
        <v/>
      </c>
      <c r="F291" s="55" t="str">
        <f aca="false">IF($H291="","",购销流水!$C77)</f>
        <v/>
      </c>
      <c r="G291" s="48" t="str">
        <f aca="false">IF($H291="","",购销流水!$N77)</f>
        <v/>
      </c>
      <c r="H291" s="10" t="str">
        <f aca="false">IF($L291="","",IF($L291="@成本",购销流水!$U77,IF($L291="@收入",购销流水!$T77,IF($L291="@存货",购销流水!$S77,IF($L291="@结算",购销流水!$R77,$L291)))))</f>
        <v/>
      </c>
      <c r="I291" s="42" t="n">
        <f aca="false">IF($M291="借",$O291,0)</f>
        <v>0</v>
      </c>
      <c r="J291" s="42" t="n">
        <f aca="false">IF($M291="贷",$O291,0)</f>
        <v>0</v>
      </c>
      <c r="K291" s="48" t="str">
        <f aca="false">IF($H291="","",购销流水!$E77)</f>
        <v/>
      </c>
      <c r="L291" s="66" t="str">
        <f aca="false">IF(购销流水!$D77="","",IFERROR(INDEX(记账规则!$A$6:$N$9,MATCH(购销流水!$D77,记账规则!$A$6:$A$9,0),6),""))</f>
        <v/>
      </c>
      <c r="M291" s="66" t="str">
        <f aca="false">IF($L291="","",IFERROR(INDEX(记账规则!$A$6:$N$9,MATCH(购销流水!$D77,记账规则!$A$6:$A$9,0),7),""))</f>
        <v/>
      </c>
      <c r="N291" s="66" t="str">
        <f aca="false">IF($L291="","",IFERROR(INDEX(记账规则!$A$6:$N$9,MATCH(购销流水!$D77,记账规则!$A$6:$A$9,0),8),""))</f>
        <v/>
      </c>
      <c r="O291" s="67" t="n">
        <f aca="false">IF($H291="",0,ROUND(IF($N291="成本金额",N(购销流水!$W77),IF($N291="金额",N(购销流水!$Q77),0)),2))</f>
        <v>0</v>
      </c>
      <c r="P291" s="64" t="str">
        <f aca="false">IF(AND($H291&lt;&gt;"",ROUND($O291,2)&lt;&gt;0),"有","")</f>
        <v/>
      </c>
    </row>
    <row r="292" customFormat="false" ht="15" hidden="true" customHeight="false" outlineLevel="0" collapsed="false">
      <c r="A292" s="53" t="str">
        <f aca="false">IF($H292="","",ROW()-5)</f>
        <v/>
      </c>
      <c r="B292" s="64" t="s">
        <v>36</v>
      </c>
      <c r="C292" s="53" t="n">
        <v>77</v>
      </c>
      <c r="D292" s="53" t="n">
        <v>3</v>
      </c>
      <c r="E292" s="65" t="str">
        <f aca="false">IF($H292="","",购销流水!$B77)</f>
        <v/>
      </c>
      <c r="F292" s="55" t="str">
        <f aca="false">IF($H292="","",购销流水!$C77)</f>
        <v/>
      </c>
      <c r="G292" s="48" t="str">
        <f aca="false">IF($H292="","",购销流水!$N77)</f>
        <v/>
      </c>
      <c r="H292" s="10" t="str">
        <f aca="false">IF($L292="","",IF($L292="@成本",购销流水!$U77,IF($L292="@收入",购销流水!$T77,IF($L292="@存货",购销流水!$S77,IF($L292="@结算",购销流水!$R77,$L292)))))</f>
        <v/>
      </c>
      <c r="I292" s="42" t="n">
        <f aca="false">IF($M292="借",$O292,0)</f>
        <v>0</v>
      </c>
      <c r="J292" s="42" t="n">
        <f aca="false">IF($M292="贷",$O292,0)</f>
        <v>0</v>
      </c>
      <c r="K292" s="48" t="str">
        <f aca="false">IF($H292="","",购销流水!$E77)</f>
        <v/>
      </c>
      <c r="L292" s="66" t="str">
        <f aca="false">IF(购销流水!$D77="","",IFERROR(INDEX(记账规则!$A$6:$N$9,MATCH(购销流水!$D77,记账规则!$A$6:$A$9,0),9),""))</f>
        <v/>
      </c>
      <c r="M292" s="66" t="str">
        <f aca="false">IF($L292="","",IFERROR(INDEX(记账规则!$A$6:$N$9,MATCH(购销流水!$D77,记账规则!$A$6:$A$9,0),10),""))</f>
        <v/>
      </c>
      <c r="N292" s="66" t="str">
        <f aca="false">IF($L292="","",IFERROR(INDEX(记账规则!$A$6:$N$9,MATCH(购销流水!$D77,记账规则!$A$6:$A$9,0),11),""))</f>
        <v/>
      </c>
      <c r="O292" s="67" t="n">
        <f aca="false">IF($H292="",0,ROUND(IF($N292="成本金额",N(购销流水!$W77),IF($N292="金额",N(购销流水!$Q77),0)),2))</f>
        <v>0</v>
      </c>
      <c r="P292" s="64" t="str">
        <f aca="false">IF(AND($H292&lt;&gt;"",ROUND($O292,2)&lt;&gt;0),"有","")</f>
        <v/>
      </c>
    </row>
    <row r="293" customFormat="false" ht="15" hidden="true" customHeight="false" outlineLevel="0" collapsed="false">
      <c r="A293" s="53" t="str">
        <f aca="false">IF($H293="","",ROW()-5)</f>
        <v/>
      </c>
      <c r="B293" s="64" t="s">
        <v>36</v>
      </c>
      <c r="C293" s="53" t="n">
        <v>77</v>
      </c>
      <c r="D293" s="53" t="n">
        <v>4</v>
      </c>
      <c r="E293" s="65" t="str">
        <f aca="false">IF($H293="","",购销流水!$B77)</f>
        <v/>
      </c>
      <c r="F293" s="55" t="str">
        <f aca="false">IF($H293="","",购销流水!$C77)</f>
        <v/>
      </c>
      <c r="G293" s="48" t="str">
        <f aca="false">IF($H293="","",购销流水!$N77)</f>
        <v/>
      </c>
      <c r="H293" s="10" t="str">
        <f aca="false">IF($L293="","",IF($L293="@成本",购销流水!$U77,IF($L293="@收入",购销流水!$T77,IF($L293="@存货",购销流水!$S77,IF($L293="@结算",购销流水!$R77,$L293)))))</f>
        <v/>
      </c>
      <c r="I293" s="42" t="n">
        <f aca="false">IF($M293="借",$O293,0)</f>
        <v>0</v>
      </c>
      <c r="J293" s="42" t="n">
        <f aca="false">IF($M293="贷",$O293,0)</f>
        <v>0</v>
      </c>
      <c r="K293" s="48" t="str">
        <f aca="false">IF($H293="","",购销流水!$E77)</f>
        <v/>
      </c>
      <c r="L293" s="66" t="str">
        <f aca="false">IF(购销流水!$D77="","",IFERROR(INDEX(记账规则!$A$6:$N$9,MATCH(购销流水!$D77,记账规则!$A$6:$A$9,0),12),""))</f>
        <v/>
      </c>
      <c r="M293" s="66" t="str">
        <f aca="false">IF($L293="","",IFERROR(INDEX(记账规则!$A$6:$N$9,MATCH(购销流水!$D77,记账规则!$A$6:$A$9,0),13),""))</f>
        <v/>
      </c>
      <c r="N293" s="66" t="str">
        <f aca="false">IF($L293="","",IFERROR(INDEX(记账规则!$A$6:$N$9,MATCH(购销流水!$D77,记账规则!$A$6:$A$9,0),14),""))</f>
        <v/>
      </c>
      <c r="O293" s="67" t="n">
        <f aca="false">IF($H293="",0,ROUND(IF($N293="成本金额",N(购销流水!$W77),IF($N293="金额",N(购销流水!$Q77),0)),2))</f>
        <v>0</v>
      </c>
      <c r="P293" s="64" t="str">
        <f aca="false">IF(AND($H293&lt;&gt;"",ROUND($O293,2)&lt;&gt;0),"有","")</f>
        <v/>
      </c>
    </row>
    <row r="294" customFormat="false" ht="15" hidden="true" customHeight="false" outlineLevel="0" collapsed="false">
      <c r="A294" s="53" t="str">
        <f aca="false">IF($H294="","",ROW()-5)</f>
        <v/>
      </c>
      <c r="B294" s="64" t="s">
        <v>36</v>
      </c>
      <c r="C294" s="53" t="n">
        <v>78</v>
      </c>
      <c r="D294" s="53" t="n">
        <v>1</v>
      </c>
      <c r="E294" s="65" t="str">
        <f aca="false">IF($H294="","",购销流水!$B78)</f>
        <v/>
      </c>
      <c r="F294" s="55" t="str">
        <f aca="false">IF($H294="","",购销流水!$C78)</f>
        <v/>
      </c>
      <c r="G294" s="48" t="str">
        <f aca="false">IF($H294="","",购销流水!$N78)</f>
        <v/>
      </c>
      <c r="H294" s="10" t="str">
        <f aca="false">IF($L294="","",IF($L294="@成本",购销流水!$U78,IF($L294="@收入",购销流水!$T78,IF($L294="@存货",购销流水!$S78,IF($L294="@结算",购销流水!$R78,$L294)))))</f>
        <v/>
      </c>
      <c r="I294" s="42" t="n">
        <f aca="false">IF($M294="借",$O294,0)</f>
        <v>0</v>
      </c>
      <c r="J294" s="42" t="n">
        <f aca="false">IF($M294="贷",$O294,0)</f>
        <v>0</v>
      </c>
      <c r="K294" s="48" t="str">
        <f aca="false">IF($H294="","",购销流水!$E78)</f>
        <v/>
      </c>
      <c r="L294" s="66" t="str">
        <f aca="false">IF(购销流水!$D78="","",IFERROR(INDEX(记账规则!$A$6:$N$9,MATCH(购销流水!$D78,记账规则!$A$6:$A$9,0),3),""))</f>
        <v/>
      </c>
      <c r="M294" s="66" t="str">
        <f aca="false">IF($L294="","",IFERROR(INDEX(记账规则!$A$6:$N$9,MATCH(购销流水!$D78,记账规则!$A$6:$A$9,0),4),""))</f>
        <v/>
      </c>
      <c r="N294" s="66" t="str">
        <f aca="false">IF($L294="","",IFERROR(INDEX(记账规则!$A$6:$N$9,MATCH(购销流水!$D78,记账规则!$A$6:$A$9,0),5),""))</f>
        <v/>
      </c>
      <c r="O294" s="67" t="n">
        <f aca="false">IF($H294="",0,ROUND(IF($N294="成本金额",N(购销流水!$W78),IF($N294="金额",N(购销流水!$Q78),0)),2))</f>
        <v>0</v>
      </c>
      <c r="P294" s="64" t="str">
        <f aca="false">IF(AND($H294&lt;&gt;"",ROUND($O294,2)&lt;&gt;0),"有","")</f>
        <v/>
      </c>
    </row>
    <row r="295" customFormat="false" ht="15" hidden="true" customHeight="false" outlineLevel="0" collapsed="false">
      <c r="A295" s="53" t="str">
        <f aca="false">IF($H295="","",ROW()-5)</f>
        <v/>
      </c>
      <c r="B295" s="64" t="s">
        <v>36</v>
      </c>
      <c r="C295" s="53" t="n">
        <v>78</v>
      </c>
      <c r="D295" s="53" t="n">
        <v>2</v>
      </c>
      <c r="E295" s="65" t="str">
        <f aca="false">IF($H295="","",购销流水!$B78)</f>
        <v/>
      </c>
      <c r="F295" s="55" t="str">
        <f aca="false">IF($H295="","",购销流水!$C78)</f>
        <v/>
      </c>
      <c r="G295" s="48" t="str">
        <f aca="false">IF($H295="","",购销流水!$N78)</f>
        <v/>
      </c>
      <c r="H295" s="10" t="str">
        <f aca="false">IF($L295="","",IF($L295="@成本",购销流水!$U78,IF($L295="@收入",购销流水!$T78,IF($L295="@存货",购销流水!$S78,IF($L295="@结算",购销流水!$R78,$L295)))))</f>
        <v/>
      </c>
      <c r="I295" s="42" t="n">
        <f aca="false">IF($M295="借",$O295,0)</f>
        <v>0</v>
      </c>
      <c r="J295" s="42" t="n">
        <f aca="false">IF($M295="贷",$O295,0)</f>
        <v>0</v>
      </c>
      <c r="K295" s="48" t="str">
        <f aca="false">IF($H295="","",购销流水!$E78)</f>
        <v/>
      </c>
      <c r="L295" s="66" t="str">
        <f aca="false">IF(购销流水!$D78="","",IFERROR(INDEX(记账规则!$A$6:$N$9,MATCH(购销流水!$D78,记账规则!$A$6:$A$9,0),6),""))</f>
        <v/>
      </c>
      <c r="M295" s="66" t="str">
        <f aca="false">IF($L295="","",IFERROR(INDEX(记账规则!$A$6:$N$9,MATCH(购销流水!$D78,记账规则!$A$6:$A$9,0),7),""))</f>
        <v/>
      </c>
      <c r="N295" s="66" t="str">
        <f aca="false">IF($L295="","",IFERROR(INDEX(记账规则!$A$6:$N$9,MATCH(购销流水!$D78,记账规则!$A$6:$A$9,0),8),""))</f>
        <v/>
      </c>
      <c r="O295" s="67" t="n">
        <f aca="false">IF($H295="",0,ROUND(IF($N295="成本金额",N(购销流水!$W78),IF($N295="金额",N(购销流水!$Q78),0)),2))</f>
        <v>0</v>
      </c>
      <c r="P295" s="64" t="str">
        <f aca="false">IF(AND($H295&lt;&gt;"",ROUND($O295,2)&lt;&gt;0),"有","")</f>
        <v/>
      </c>
    </row>
    <row r="296" customFormat="false" ht="15" hidden="true" customHeight="false" outlineLevel="0" collapsed="false">
      <c r="A296" s="53" t="str">
        <f aca="false">IF($H296="","",ROW()-5)</f>
        <v/>
      </c>
      <c r="B296" s="64" t="s">
        <v>36</v>
      </c>
      <c r="C296" s="53" t="n">
        <v>78</v>
      </c>
      <c r="D296" s="53" t="n">
        <v>3</v>
      </c>
      <c r="E296" s="65" t="str">
        <f aca="false">IF($H296="","",购销流水!$B78)</f>
        <v/>
      </c>
      <c r="F296" s="55" t="str">
        <f aca="false">IF($H296="","",购销流水!$C78)</f>
        <v/>
      </c>
      <c r="G296" s="48" t="str">
        <f aca="false">IF($H296="","",购销流水!$N78)</f>
        <v/>
      </c>
      <c r="H296" s="10" t="str">
        <f aca="false">IF($L296="","",IF($L296="@成本",购销流水!$U78,IF($L296="@收入",购销流水!$T78,IF($L296="@存货",购销流水!$S78,IF($L296="@结算",购销流水!$R78,$L296)))))</f>
        <v/>
      </c>
      <c r="I296" s="42" t="n">
        <f aca="false">IF($M296="借",$O296,0)</f>
        <v>0</v>
      </c>
      <c r="J296" s="42" t="n">
        <f aca="false">IF($M296="贷",$O296,0)</f>
        <v>0</v>
      </c>
      <c r="K296" s="48" t="str">
        <f aca="false">IF($H296="","",购销流水!$E78)</f>
        <v/>
      </c>
      <c r="L296" s="66" t="str">
        <f aca="false">IF(购销流水!$D78="","",IFERROR(INDEX(记账规则!$A$6:$N$9,MATCH(购销流水!$D78,记账规则!$A$6:$A$9,0),9),""))</f>
        <v/>
      </c>
      <c r="M296" s="66" t="str">
        <f aca="false">IF($L296="","",IFERROR(INDEX(记账规则!$A$6:$N$9,MATCH(购销流水!$D78,记账规则!$A$6:$A$9,0),10),""))</f>
        <v/>
      </c>
      <c r="N296" s="66" t="str">
        <f aca="false">IF($L296="","",IFERROR(INDEX(记账规则!$A$6:$N$9,MATCH(购销流水!$D78,记账规则!$A$6:$A$9,0),11),""))</f>
        <v/>
      </c>
      <c r="O296" s="67" t="n">
        <f aca="false">IF($H296="",0,ROUND(IF($N296="成本金额",N(购销流水!$W78),IF($N296="金额",N(购销流水!$Q78),0)),2))</f>
        <v>0</v>
      </c>
      <c r="P296" s="64" t="str">
        <f aca="false">IF(AND($H296&lt;&gt;"",ROUND($O296,2)&lt;&gt;0),"有","")</f>
        <v/>
      </c>
    </row>
    <row r="297" customFormat="false" ht="15" hidden="true" customHeight="false" outlineLevel="0" collapsed="false">
      <c r="A297" s="53" t="str">
        <f aca="false">IF($H297="","",ROW()-5)</f>
        <v/>
      </c>
      <c r="B297" s="64" t="s">
        <v>36</v>
      </c>
      <c r="C297" s="53" t="n">
        <v>78</v>
      </c>
      <c r="D297" s="53" t="n">
        <v>4</v>
      </c>
      <c r="E297" s="65" t="str">
        <f aca="false">IF($H297="","",购销流水!$B78)</f>
        <v/>
      </c>
      <c r="F297" s="55" t="str">
        <f aca="false">IF($H297="","",购销流水!$C78)</f>
        <v/>
      </c>
      <c r="G297" s="48" t="str">
        <f aca="false">IF($H297="","",购销流水!$N78)</f>
        <v/>
      </c>
      <c r="H297" s="10" t="str">
        <f aca="false">IF($L297="","",IF($L297="@成本",购销流水!$U78,IF($L297="@收入",购销流水!$T78,IF($L297="@存货",购销流水!$S78,IF($L297="@结算",购销流水!$R78,$L297)))))</f>
        <v/>
      </c>
      <c r="I297" s="42" t="n">
        <f aca="false">IF($M297="借",$O297,0)</f>
        <v>0</v>
      </c>
      <c r="J297" s="42" t="n">
        <f aca="false">IF($M297="贷",$O297,0)</f>
        <v>0</v>
      </c>
      <c r="K297" s="48" t="str">
        <f aca="false">IF($H297="","",购销流水!$E78)</f>
        <v/>
      </c>
      <c r="L297" s="66" t="str">
        <f aca="false">IF(购销流水!$D78="","",IFERROR(INDEX(记账规则!$A$6:$N$9,MATCH(购销流水!$D78,记账规则!$A$6:$A$9,0),12),""))</f>
        <v/>
      </c>
      <c r="M297" s="66" t="str">
        <f aca="false">IF($L297="","",IFERROR(INDEX(记账规则!$A$6:$N$9,MATCH(购销流水!$D78,记账规则!$A$6:$A$9,0),13),""))</f>
        <v/>
      </c>
      <c r="N297" s="66" t="str">
        <f aca="false">IF($L297="","",IFERROR(INDEX(记账规则!$A$6:$N$9,MATCH(购销流水!$D78,记账规则!$A$6:$A$9,0),14),""))</f>
        <v/>
      </c>
      <c r="O297" s="67" t="n">
        <f aca="false">IF($H297="",0,ROUND(IF($N297="成本金额",N(购销流水!$W78),IF($N297="金额",N(购销流水!$Q78),0)),2))</f>
        <v>0</v>
      </c>
      <c r="P297" s="64" t="str">
        <f aca="false">IF(AND($H297&lt;&gt;"",ROUND($O297,2)&lt;&gt;0),"有","")</f>
        <v/>
      </c>
    </row>
    <row r="298" customFormat="false" ht="15" hidden="true" customHeight="false" outlineLevel="0" collapsed="false">
      <c r="A298" s="53" t="str">
        <f aca="false">IF($H298="","",ROW()-5)</f>
        <v/>
      </c>
      <c r="B298" s="64" t="s">
        <v>36</v>
      </c>
      <c r="C298" s="53" t="n">
        <v>79</v>
      </c>
      <c r="D298" s="53" t="n">
        <v>1</v>
      </c>
      <c r="E298" s="65" t="str">
        <f aca="false">IF($H298="","",购销流水!$B79)</f>
        <v/>
      </c>
      <c r="F298" s="55" t="str">
        <f aca="false">IF($H298="","",购销流水!$C79)</f>
        <v/>
      </c>
      <c r="G298" s="48" t="str">
        <f aca="false">IF($H298="","",购销流水!$N79)</f>
        <v/>
      </c>
      <c r="H298" s="10" t="str">
        <f aca="false">IF($L298="","",IF($L298="@成本",购销流水!$U79,IF($L298="@收入",购销流水!$T79,IF($L298="@存货",购销流水!$S79,IF($L298="@结算",购销流水!$R79,$L298)))))</f>
        <v/>
      </c>
      <c r="I298" s="42" t="n">
        <f aca="false">IF($M298="借",$O298,0)</f>
        <v>0</v>
      </c>
      <c r="J298" s="42" t="n">
        <f aca="false">IF($M298="贷",$O298,0)</f>
        <v>0</v>
      </c>
      <c r="K298" s="48" t="str">
        <f aca="false">IF($H298="","",购销流水!$E79)</f>
        <v/>
      </c>
      <c r="L298" s="66" t="str">
        <f aca="false">IF(购销流水!$D79="","",IFERROR(INDEX(记账规则!$A$6:$N$9,MATCH(购销流水!$D79,记账规则!$A$6:$A$9,0),3),""))</f>
        <v/>
      </c>
      <c r="M298" s="66" t="str">
        <f aca="false">IF($L298="","",IFERROR(INDEX(记账规则!$A$6:$N$9,MATCH(购销流水!$D79,记账规则!$A$6:$A$9,0),4),""))</f>
        <v/>
      </c>
      <c r="N298" s="66" t="str">
        <f aca="false">IF($L298="","",IFERROR(INDEX(记账规则!$A$6:$N$9,MATCH(购销流水!$D79,记账规则!$A$6:$A$9,0),5),""))</f>
        <v/>
      </c>
      <c r="O298" s="67" t="n">
        <f aca="false">IF($H298="",0,ROUND(IF($N298="成本金额",N(购销流水!$W79),IF($N298="金额",N(购销流水!$Q79),0)),2))</f>
        <v>0</v>
      </c>
      <c r="P298" s="64" t="str">
        <f aca="false">IF(AND($H298&lt;&gt;"",ROUND($O298,2)&lt;&gt;0),"有","")</f>
        <v/>
      </c>
    </row>
    <row r="299" customFormat="false" ht="15" hidden="true" customHeight="false" outlineLevel="0" collapsed="false">
      <c r="A299" s="53" t="str">
        <f aca="false">IF($H299="","",ROW()-5)</f>
        <v/>
      </c>
      <c r="B299" s="64" t="s">
        <v>36</v>
      </c>
      <c r="C299" s="53" t="n">
        <v>79</v>
      </c>
      <c r="D299" s="53" t="n">
        <v>2</v>
      </c>
      <c r="E299" s="65" t="str">
        <f aca="false">IF($H299="","",购销流水!$B79)</f>
        <v/>
      </c>
      <c r="F299" s="55" t="str">
        <f aca="false">IF($H299="","",购销流水!$C79)</f>
        <v/>
      </c>
      <c r="G299" s="48" t="str">
        <f aca="false">IF($H299="","",购销流水!$N79)</f>
        <v/>
      </c>
      <c r="H299" s="10" t="str">
        <f aca="false">IF($L299="","",IF($L299="@成本",购销流水!$U79,IF($L299="@收入",购销流水!$T79,IF($L299="@存货",购销流水!$S79,IF($L299="@结算",购销流水!$R79,$L299)))))</f>
        <v/>
      </c>
      <c r="I299" s="42" t="n">
        <f aca="false">IF($M299="借",$O299,0)</f>
        <v>0</v>
      </c>
      <c r="J299" s="42" t="n">
        <f aca="false">IF($M299="贷",$O299,0)</f>
        <v>0</v>
      </c>
      <c r="K299" s="48" t="str">
        <f aca="false">IF($H299="","",购销流水!$E79)</f>
        <v/>
      </c>
      <c r="L299" s="66" t="str">
        <f aca="false">IF(购销流水!$D79="","",IFERROR(INDEX(记账规则!$A$6:$N$9,MATCH(购销流水!$D79,记账规则!$A$6:$A$9,0),6),""))</f>
        <v/>
      </c>
      <c r="M299" s="66" t="str">
        <f aca="false">IF($L299="","",IFERROR(INDEX(记账规则!$A$6:$N$9,MATCH(购销流水!$D79,记账规则!$A$6:$A$9,0),7),""))</f>
        <v/>
      </c>
      <c r="N299" s="66" t="str">
        <f aca="false">IF($L299="","",IFERROR(INDEX(记账规则!$A$6:$N$9,MATCH(购销流水!$D79,记账规则!$A$6:$A$9,0),8),""))</f>
        <v/>
      </c>
      <c r="O299" s="67" t="n">
        <f aca="false">IF($H299="",0,ROUND(IF($N299="成本金额",N(购销流水!$W79),IF($N299="金额",N(购销流水!$Q79),0)),2))</f>
        <v>0</v>
      </c>
      <c r="P299" s="64" t="str">
        <f aca="false">IF(AND($H299&lt;&gt;"",ROUND($O299,2)&lt;&gt;0),"有","")</f>
        <v/>
      </c>
    </row>
    <row r="300" customFormat="false" ht="15" hidden="true" customHeight="false" outlineLevel="0" collapsed="false">
      <c r="A300" s="53" t="str">
        <f aca="false">IF($H300="","",ROW()-5)</f>
        <v/>
      </c>
      <c r="B300" s="64" t="s">
        <v>36</v>
      </c>
      <c r="C300" s="53" t="n">
        <v>79</v>
      </c>
      <c r="D300" s="53" t="n">
        <v>3</v>
      </c>
      <c r="E300" s="65" t="str">
        <f aca="false">IF($H300="","",购销流水!$B79)</f>
        <v/>
      </c>
      <c r="F300" s="55" t="str">
        <f aca="false">IF($H300="","",购销流水!$C79)</f>
        <v/>
      </c>
      <c r="G300" s="48" t="str">
        <f aca="false">IF($H300="","",购销流水!$N79)</f>
        <v/>
      </c>
      <c r="H300" s="10" t="str">
        <f aca="false">IF($L300="","",IF($L300="@成本",购销流水!$U79,IF($L300="@收入",购销流水!$T79,IF($L300="@存货",购销流水!$S79,IF($L300="@结算",购销流水!$R79,$L300)))))</f>
        <v/>
      </c>
      <c r="I300" s="42" t="n">
        <f aca="false">IF($M300="借",$O300,0)</f>
        <v>0</v>
      </c>
      <c r="J300" s="42" t="n">
        <f aca="false">IF($M300="贷",$O300,0)</f>
        <v>0</v>
      </c>
      <c r="K300" s="48" t="str">
        <f aca="false">IF($H300="","",购销流水!$E79)</f>
        <v/>
      </c>
      <c r="L300" s="66" t="str">
        <f aca="false">IF(购销流水!$D79="","",IFERROR(INDEX(记账规则!$A$6:$N$9,MATCH(购销流水!$D79,记账规则!$A$6:$A$9,0),9),""))</f>
        <v/>
      </c>
      <c r="M300" s="66" t="str">
        <f aca="false">IF($L300="","",IFERROR(INDEX(记账规则!$A$6:$N$9,MATCH(购销流水!$D79,记账规则!$A$6:$A$9,0),10),""))</f>
        <v/>
      </c>
      <c r="N300" s="66" t="str">
        <f aca="false">IF($L300="","",IFERROR(INDEX(记账规则!$A$6:$N$9,MATCH(购销流水!$D79,记账规则!$A$6:$A$9,0),11),""))</f>
        <v/>
      </c>
      <c r="O300" s="67" t="n">
        <f aca="false">IF($H300="",0,ROUND(IF($N300="成本金额",N(购销流水!$W79),IF($N300="金额",N(购销流水!$Q79),0)),2))</f>
        <v>0</v>
      </c>
      <c r="P300" s="64" t="str">
        <f aca="false">IF(AND($H300&lt;&gt;"",ROUND($O300,2)&lt;&gt;0),"有","")</f>
        <v/>
      </c>
    </row>
    <row r="301" customFormat="false" ht="15" hidden="true" customHeight="false" outlineLevel="0" collapsed="false">
      <c r="A301" s="53" t="str">
        <f aca="false">IF($H301="","",ROW()-5)</f>
        <v/>
      </c>
      <c r="B301" s="64" t="s">
        <v>36</v>
      </c>
      <c r="C301" s="53" t="n">
        <v>79</v>
      </c>
      <c r="D301" s="53" t="n">
        <v>4</v>
      </c>
      <c r="E301" s="65" t="str">
        <f aca="false">IF($H301="","",购销流水!$B79)</f>
        <v/>
      </c>
      <c r="F301" s="55" t="str">
        <f aca="false">IF($H301="","",购销流水!$C79)</f>
        <v/>
      </c>
      <c r="G301" s="48" t="str">
        <f aca="false">IF($H301="","",购销流水!$N79)</f>
        <v/>
      </c>
      <c r="H301" s="10" t="str">
        <f aca="false">IF($L301="","",IF($L301="@成本",购销流水!$U79,IF($L301="@收入",购销流水!$T79,IF($L301="@存货",购销流水!$S79,IF($L301="@结算",购销流水!$R79,$L301)))))</f>
        <v/>
      </c>
      <c r="I301" s="42" t="n">
        <f aca="false">IF($M301="借",$O301,0)</f>
        <v>0</v>
      </c>
      <c r="J301" s="42" t="n">
        <f aca="false">IF($M301="贷",$O301,0)</f>
        <v>0</v>
      </c>
      <c r="K301" s="48" t="str">
        <f aca="false">IF($H301="","",购销流水!$E79)</f>
        <v/>
      </c>
      <c r="L301" s="66" t="str">
        <f aca="false">IF(购销流水!$D79="","",IFERROR(INDEX(记账规则!$A$6:$N$9,MATCH(购销流水!$D79,记账规则!$A$6:$A$9,0),12),""))</f>
        <v/>
      </c>
      <c r="M301" s="66" t="str">
        <f aca="false">IF($L301="","",IFERROR(INDEX(记账规则!$A$6:$N$9,MATCH(购销流水!$D79,记账规则!$A$6:$A$9,0),13),""))</f>
        <v/>
      </c>
      <c r="N301" s="66" t="str">
        <f aca="false">IF($L301="","",IFERROR(INDEX(记账规则!$A$6:$N$9,MATCH(购销流水!$D79,记账规则!$A$6:$A$9,0),14),""))</f>
        <v/>
      </c>
      <c r="O301" s="67" t="n">
        <f aca="false">IF($H301="",0,ROUND(IF($N301="成本金额",N(购销流水!$W79),IF($N301="金额",N(购销流水!$Q79),0)),2))</f>
        <v>0</v>
      </c>
      <c r="P301" s="64" t="str">
        <f aca="false">IF(AND($H301&lt;&gt;"",ROUND($O301,2)&lt;&gt;0),"有","")</f>
        <v/>
      </c>
    </row>
    <row r="302" customFormat="false" ht="15" hidden="true" customHeight="false" outlineLevel="0" collapsed="false">
      <c r="A302" s="53" t="str">
        <f aca="false">IF($H302="","",ROW()-5)</f>
        <v/>
      </c>
      <c r="B302" s="64" t="s">
        <v>36</v>
      </c>
      <c r="C302" s="53" t="n">
        <v>80</v>
      </c>
      <c r="D302" s="53" t="n">
        <v>1</v>
      </c>
      <c r="E302" s="65" t="str">
        <f aca="false">IF($H302="","",购销流水!$B80)</f>
        <v/>
      </c>
      <c r="F302" s="55" t="str">
        <f aca="false">IF($H302="","",购销流水!$C80)</f>
        <v/>
      </c>
      <c r="G302" s="48" t="str">
        <f aca="false">IF($H302="","",购销流水!$N80)</f>
        <v/>
      </c>
      <c r="H302" s="10" t="str">
        <f aca="false">IF($L302="","",IF($L302="@成本",购销流水!$U80,IF($L302="@收入",购销流水!$T80,IF($L302="@存货",购销流水!$S80,IF($L302="@结算",购销流水!$R80,$L302)))))</f>
        <v/>
      </c>
      <c r="I302" s="42" t="n">
        <f aca="false">IF($M302="借",$O302,0)</f>
        <v>0</v>
      </c>
      <c r="J302" s="42" t="n">
        <f aca="false">IF($M302="贷",$O302,0)</f>
        <v>0</v>
      </c>
      <c r="K302" s="48" t="str">
        <f aca="false">IF($H302="","",购销流水!$E80)</f>
        <v/>
      </c>
      <c r="L302" s="66" t="str">
        <f aca="false">IF(购销流水!$D80="","",IFERROR(INDEX(记账规则!$A$6:$N$9,MATCH(购销流水!$D80,记账规则!$A$6:$A$9,0),3),""))</f>
        <v/>
      </c>
      <c r="M302" s="66" t="str">
        <f aca="false">IF($L302="","",IFERROR(INDEX(记账规则!$A$6:$N$9,MATCH(购销流水!$D80,记账规则!$A$6:$A$9,0),4),""))</f>
        <v/>
      </c>
      <c r="N302" s="66" t="str">
        <f aca="false">IF($L302="","",IFERROR(INDEX(记账规则!$A$6:$N$9,MATCH(购销流水!$D80,记账规则!$A$6:$A$9,0),5),""))</f>
        <v/>
      </c>
      <c r="O302" s="67" t="n">
        <f aca="false">IF($H302="",0,ROUND(IF($N302="成本金额",N(购销流水!$W80),IF($N302="金额",N(购销流水!$Q80),0)),2))</f>
        <v>0</v>
      </c>
      <c r="P302" s="64" t="str">
        <f aca="false">IF(AND($H302&lt;&gt;"",ROUND($O302,2)&lt;&gt;0),"有","")</f>
        <v/>
      </c>
    </row>
    <row r="303" customFormat="false" ht="15" hidden="true" customHeight="false" outlineLevel="0" collapsed="false">
      <c r="A303" s="53" t="str">
        <f aca="false">IF($H303="","",ROW()-5)</f>
        <v/>
      </c>
      <c r="B303" s="64" t="s">
        <v>36</v>
      </c>
      <c r="C303" s="53" t="n">
        <v>80</v>
      </c>
      <c r="D303" s="53" t="n">
        <v>2</v>
      </c>
      <c r="E303" s="65" t="str">
        <f aca="false">IF($H303="","",购销流水!$B80)</f>
        <v/>
      </c>
      <c r="F303" s="55" t="str">
        <f aca="false">IF($H303="","",购销流水!$C80)</f>
        <v/>
      </c>
      <c r="G303" s="48" t="str">
        <f aca="false">IF($H303="","",购销流水!$N80)</f>
        <v/>
      </c>
      <c r="H303" s="10" t="str">
        <f aca="false">IF($L303="","",IF($L303="@成本",购销流水!$U80,IF($L303="@收入",购销流水!$T80,IF($L303="@存货",购销流水!$S80,IF($L303="@结算",购销流水!$R80,$L303)))))</f>
        <v/>
      </c>
      <c r="I303" s="42" t="n">
        <f aca="false">IF($M303="借",$O303,0)</f>
        <v>0</v>
      </c>
      <c r="J303" s="42" t="n">
        <f aca="false">IF($M303="贷",$O303,0)</f>
        <v>0</v>
      </c>
      <c r="K303" s="48" t="str">
        <f aca="false">IF($H303="","",购销流水!$E80)</f>
        <v/>
      </c>
      <c r="L303" s="66" t="str">
        <f aca="false">IF(购销流水!$D80="","",IFERROR(INDEX(记账规则!$A$6:$N$9,MATCH(购销流水!$D80,记账规则!$A$6:$A$9,0),6),""))</f>
        <v/>
      </c>
      <c r="M303" s="66" t="str">
        <f aca="false">IF($L303="","",IFERROR(INDEX(记账规则!$A$6:$N$9,MATCH(购销流水!$D80,记账规则!$A$6:$A$9,0),7),""))</f>
        <v/>
      </c>
      <c r="N303" s="66" t="str">
        <f aca="false">IF($L303="","",IFERROR(INDEX(记账规则!$A$6:$N$9,MATCH(购销流水!$D80,记账规则!$A$6:$A$9,0),8),""))</f>
        <v/>
      </c>
      <c r="O303" s="67" t="n">
        <f aca="false">IF($H303="",0,ROUND(IF($N303="成本金额",N(购销流水!$W80),IF($N303="金额",N(购销流水!$Q80),0)),2))</f>
        <v>0</v>
      </c>
      <c r="P303" s="64" t="str">
        <f aca="false">IF(AND($H303&lt;&gt;"",ROUND($O303,2)&lt;&gt;0),"有","")</f>
        <v/>
      </c>
    </row>
    <row r="304" customFormat="false" ht="15" hidden="true" customHeight="false" outlineLevel="0" collapsed="false">
      <c r="A304" s="53" t="str">
        <f aca="false">IF($H304="","",ROW()-5)</f>
        <v/>
      </c>
      <c r="B304" s="64" t="s">
        <v>36</v>
      </c>
      <c r="C304" s="53" t="n">
        <v>80</v>
      </c>
      <c r="D304" s="53" t="n">
        <v>3</v>
      </c>
      <c r="E304" s="65" t="str">
        <f aca="false">IF($H304="","",购销流水!$B80)</f>
        <v/>
      </c>
      <c r="F304" s="55" t="str">
        <f aca="false">IF($H304="","",购销流水!$C80)</f>
        <v/>
      </c>
      <c r="G304" s="48" t="str">
        <f aca="false">IF($H304="","",购销流水!$N80)</f>
        <v/>
      </c>
      <c r="H304" s="10" t="str">
        <f aca="false">IF($L304="","",IF($L304="@成本",购销流水!$U80,IF($L304="@收入",购销流水!$T80,IF($L304="@存货",购销流水!$S80,IF($L304="@结算",购销流水!$R80,$L304)))))</f>
        <v/>
      </c>
      <c r="I304" s="42" t="n">
        <f aca="false">IF($M304="借",$O304,0)</f>
        <v>0</v>
      </c>
      <c r="J304" s="42" t="n">
        <f aca="false">IF($M304="贷",$O304,0)</f>
        <v>0</v>
      </c>
      <c r="K304" s="48" t="str">
        <f aca="false">IF($H304="","",购销流水!$E80)</f>
        <v/>
      </c>
      <c r="L304" s="66" t="str">
        <f aca="false">IF(购销流水!$D80="","",IFERROR(INDEX(记账规则!$A$6:$N$9,MATCH(购销流水!$D80,记账规则!$A$6:$A$9,0),9),""))</f>
        <v/>
      </c>
      <c r="M304" s="66" t="str">
        <f aca="false">IF($L304="","",IFERROR(INDEX(记账规则!$A$6:$N$9,MATCH(购销流水!$D80,记账规则!$A$6:$A$9,0),10),""))</f>
        <v/>
      </c>
      <c r="N304" s="66" t="str">
        <f aca="false">IF($L304="","",IFERROR(INDEX(记账规则!$A$6:$N$9,MATCH(购销流水!$D80,记账规则!$A$6:$A$9,0),11),""))</f>
        <v/>
      </c>
      <c r="O304" s="67" t="n">
        <f aca="false">IF($H304="",0,ROUND(IF($N304="成本金额",N(购销流水!$W80),IF($N304="金额",N(购销流水!$Q80),0)),2))</f>
        <v>0</v>
      </c>
      <c r="P304" s="64" t="str">
        <f aca="false">IF(AND($H304&lt;&gt;"",ROUND($O304,2)&lt;&gt;0),"有","")</f>
        <v/>
      </c>
    </row>
    <row r="305" customFormat="false" ht="15" hidden="true" customHeight="false" outlineLevel="0" collapsed="false">
      <c r="A305" s="53" t="str">
        <f aca="false">IF($H305="","",ROW()-5)</f>
        <v/>
      </c>
      <c r="B305" s="64" t="s">
        <v>36</v>
      </c>
      <c r="C305" s="53" t="n">
        <v>80</v>
      </c>
      <c r="D305" s="53" t="n">
        <v>4</v>
      </c>
      <c r="E305" s="65" t="str">
        <f aca="false">IF($H305="","",购销流水!$B80)</f>
        <v/>
      </c>
      <c r="F305" s="55" t="str">
        <f aca="false">IF($H305="","",购销流水!$C80)</f>
        <v/>
      </c>
      <c r="G305" s="48" t="str">
        <f aca="false">IF($H305="","",购销流水!$N80)</f>
        <v/>
      </c>
      <c r="H305" s="10" t="str">
        <f aca="false">IF($L305="","",IF($L305="@成本",购销流水!$U80,IF($L305="@收入",购销流水!$T80,IF($L305="@存货",购销流水!$S80,IF($L305="@结算",购销流水!$R80,$L305)))))</f>
        <v/>
      </c>
      <c r="I305" s="42" t="n">
        <f aca="false">IF($M305="借",$O305,0)</f>
        <v>0</v>
      </c>
      <c r="J305" s="42" t="n">
        <f aca="false">IF($M305="贷",$O305,0)</f>
        <v>0</v>
      </c>
      <c r="K305" s="48" t="str">
        <f aca="false">IF($H305="","",购销流水!$E80)</f>
        <v/>
      </c>
      <c r="L305" s="66" t="str">
        <f aca="false">IF(购销流水!$D80="","",IFERROR(INDEX(记账规则!$A$6:$N$9,MATCH(购销流水!$D80,记账规则!$A$6:$A$9,0),12),""))</f>
        <v/>
      </c>
      <c r="M305" s="66" t="str">
        <f aca="false">IF($L305="","",IFERROR(INDEX(记账规则!$A$6:$N$9,MATCH(购销流水!$D80,记账规则!$A$6:$A$9,0),13),""))</f>
        <v/>
      </c>
      <c r="N305" s="66" t="str">
        <f aca="false">IF($L305="","",IFERROR(INDEX(记账规则!$A$6:$N$9,MATCH(购销流水!$D80,记账规则!$A$6:$A$9,0),14),""))</f>
        <v/>
      </c>
      <c r="O305" s="67" t="n">
        <f aca="false">IF($H305="",0,ROUND(IF($N305="成本金额",N(购销流水!$W80),IF($N305="金额",N(购销流水!$Q80),0)),2))</f>
        <v>0</v>
      </c>
      <c r="P305" s="64" t="str">
        <f aca="false">IF(AND($H305&lt;&gt;"",ROUND($O305,2)&lt;&gt;0),"有","")</f>
        <v/>
      </c>
    </row>
    <row r="306" customFormat="false" ht="15" hidden="true" customHeight="false" outlineLevel="0" collapsed="false">
      <c r="A306" s="53" t="str">
        <f aca="false">IF($H306="","",ROW()-5)</f>
        <v/>
      </c>
      <c r="B306" s="64" t="s">
        <v>36</v>
      </c>
      <c r="C306" s="53" t="n">
        <v>81</v>
      </c>
      <c r="D306" s="53" t="n">
        <v>1</v>
      </c>
      <c r="E306" s="65" t="str">
        <f aca="false">IF($H306="","",购销流水!$B81)</f>
        <v/>
      </c>
      <c r="F306" s="55" t="str">
        <f aca="false">IF($H306="","",购销流水!$C81)</f>
        <v/>
      </c>
      <c r="G306" s="48" t="str">
        <f aca="false">IF($H306="","",购销流水!$N81)</f>
        <v/>
      </c>
      <c r="H306" s="10" t="str">
        <f aca="false">IF($L306="","",IF($L306="@成本",购销流水!$U81,IF($L306="@收入",购销流水!$T81,IF($L306="@存货",购销流水!$S81,IF($L306="@结算",购销流水!$R81,$L306)))))</f>
        <v/>
      </c>
      <c r="I306" s="42" t="n">
        <f aca="false">IF($M306="借",$O306,0)</f>
        <v>0</v>
      </c>
      <c r="J306" s="42" t="n">
        <f aca="false">IF($M306="贷",$O306,0)</f>
        <v>0</v>
      </c>
      <c r="K306" s="48" t="str">
        <f aca="false">IF($H306="","",购销流水!$E81)</f>
        <v/>
      </c>
      <c r="L306" s="66" t="str">
        <f aca="false">IF(购销流水!$D81="","",IFERROR(INDEX(记账规则!$A$6:$N$9,MATCH(购销流水!$D81,记账规则!$A$6:$A$9,0),3),""))</f>
        <v/>
      </c>
      <c r="M306" s="66" t="str">
        <f aca="false">IF($L306="","",IFERROR(INDEX(记账规则!$A$6:$N$9,MATCH(购销流水!$D81,记账规则!$A$6:$A$9,0),4),""))</f>
        <v/>
      </c>
      <c r="N306" s="66" t="str">
        <f aca="false">IF($L306="","",IFERROR(INDEX(记账规则!$A$6:$N$9,MATCH(购销流水!$D81,记账规则!$A$6:$A$9,0),5),""))</f>
        <v/>
      </c>
      <c r="O306" s="67" t="n">
        <f aca="false">IF($H306="",0,ROUND(IF($N306="成本金额",N(购销流水!$W81),IF($N306="金额",N(购销流水!$Q81),0)),2))</f>
        <v>0</v>
      </c>
      <c r="P306" s="64" t="str">
        <f aca="false">IF(AND($H306&lt;&gt;"",ROUND($O306,2)&lt;&gt;0),"有","")</f>
        <v/>
      </c>
    </row>
    <row r="307" customFormat="false" ht="15" hidden="true" customHeight="false" outlineLevel="0" collapsed="false">
      <c r="A307" s="53" t="str">
        <f aca="false">IF($H307="","",ROW()-5)</f>
        <v/>
      </c>
      <c r="B307" s="64" t="s">
        <v>36</v>
      </c>
      <c r="C307" s="53" t="n">
        <v>81</v>
      </c>
      <c r="D307" s="53" t="n">
        <v>2</v>
      </c>
      <c r="E307" s="65" t="str">
        <f aca="false">IF($H307="","",购销流水!$B81)</f>
        <v/>
      </c>
      <c r="F307" s="55" t="str">
        <f aca="false">IF($H307="","",购销流水!$C81)</f>
        <v/>
      </c>
      <c r="G307" s="48" t="str">
        <f aca="false">IF($H307="","",购销流水!$N81)</f>
        <v/>
      </c>
      <c r="H307" s="10" t="str">
        <f aca="false">IF($L307="","",IF($L307="@成本",购销流水!$U81,IF($L307="@收入",购销流水!$T81,IF($L307="@存货",购销流水!$S81,IF($L307="@结算",购销流水!$R81,$L307)))))</f>
        <v/>
      </c>
      <c r="I307" s="42" t="n">
        <f aca="false">IF($M307="借",$O307,0)</f>
        <v>0</v>
      </c>
      <c r="J307" s="42" t="n">
        <f aca="false">IF($M307="贷",$O307,0)</f>
        <v>0</v>
      </c>
      <c r="K307" s="48" t="str">
        <f aca="false">IF($H307="","",购销流水!$E81)</f>
        <v/>
      </c>
      <c r="L307" s="66" t="str">
        <f aca="false">IF(购销流水!$D81="","",IFERROR(INDEX(记账规则!$A$6:$N$9,MATCH(购销流水!$D81,记账规则!$A$6:$A$9,0),6),""))</f>
        <v/>
      </c>
      <c r="M307" s="66" t="str">
        <f aca="false">IF($L307="","",IFERROR(INDEX(记账规则!$A$6:$N$9,MATCH(购销流水!$D81,记账规则!$A$6:$A$9,0),7),""))</f>
        <v/>
      </c>
      <c r="N307" s="66" t="str">
        <f aca="false">IF($L307="","",IFERROR(INDEX(记账规则!$A$6:$N$9,MATCH(购销流水!$D81,记账规则!$A$6:$A$9,0),8),""))</f>
        <v/>
      </c>
      <c r="O307" s="67" t="n">
        <f aca="false">IF($H307="",0,ROUND(IF($N307="成本金额",N(购销流水!$W81),IF($N307="金额",N(购销流水!$Q81),0)),2))</f>
        <v>0</v>
      </c>
      <c r="P307" s="64" t="str">
        <f aca="false">IF(AND($H307&lt;&gt;"",ROUND($O307,2)&lt;&gt;0),"有","")</f>
        <v/>
      </c>
    </row>
    <row r="308" customFormat="false" ht="15" hidden="true" customHeight="false" outlineLevel="0" collapsed="false">
      <c r="A308" s="53" t="str">
        <f aca="false">IF($H308="","",ROW()-5)</f>
        <v/>
      </c>
      <c r="B308" s="64" t="s">
        <v>36</v>
      </c>
      <c r="C308" s="53" t="n">
        <v>81</v>
      </c>
      <c r="D308" s="53" t="n">
        <v>3</v>
      </c>
      <c r="E308" s="65" t="str">
        <f aca="false">IF($H308="","",购销流水!$B81)</f>
        <v/>
      </c>
      <c r="F308" s="55" t="str">
        <f aca="false">IF($H308="","",购销流水!$C81)</f>
        <v/>
      </c>
      <c r="G308" s="48" t="str">
        <f aca="false">IF($H308="","",购销流水!$N81)</f>
        <v/>
      </c>
      <c r="H308" s="10" t="str">
        <f aca="false">IF($L308="","",IF($L308="@成本",购销流水!$U81,IF($L308="@收入",购销流水!$T81,IF($L308="@存货",购销流水!$S81,IF($L308="@结算",购销流水!$R81,$L308)))))</f>
        <v/>
      </c>
      <c r="I308" s="42" t="n">
        <f aca="false">IF($M308="借",$O308,0)</f>
        <v>0</v>
      </c>
      <c r="J308" s="42" t="n">
        <f aca="false">IF($M308="贷",$O308,0)</f>
        <v>0</v>
      </c>
      <c r="K308" s="48" t="str">
        <f aca="false">IF($H308="","",购销流水!$E81)</f>
        <v/>
      </c>
      <c r="L308" s="66" t="str">
        <f aca="false">IF(购销流水!$D81="","",IFERROR(INDEX(记账规则!$A$6:$N$9,MATCH(购销流水!$D81,记账规则!$A$6:$A$9,0),9),""))</f>
        <v/>
      </c>
      <c r="M308" s="66" t="str">
        <f aca="false">IF($L308="","",IFERROR(INDEX(记账规则!$A$6:$N$9,MATCH(购销流水!$D81,记账规则!$A$6:$A$9,0),10),""))</f>
        <v/>
      </c>
      <c r="N308" s="66" t="str">
        <f aca="false">IF($L308="","",IFERROR(INDEX(记账规则!$A$6:$N$9,MATCH(购销流水!$D81,记账规则!$A$6:$A$9,0),11),""))</f>
        <v/>
      </c>
      <c r="O308" s="67" t="n">
        <f aca="false">IF($H308="",0,ROUND(IF($N308="成本金额",N(购销流水!$W81),IF($N308="金额",N(购销流水!$Q81),0)),2))</f>
        <v>0</v>
      </c>
      <c r="P308" s="64" t="str">
        <f aca="false">IF(AND($H308&lt;&gt;"",ROUND($O308,2)&lt;&gt;0),"有","")</f>
        <v/>
      </c>
    </row>
    <row r="309" customFormat="false" ht="15" hidden="true" customHeight="false" outlineLevel="0" collapsed="false">
      <c r="A309" s="53" t="str">
        <f aca="false">IF($H309="","",ROW()-5)</f>
        <v/>
      </c>
      <c r="B309" s="64" t="s">
        <v>36</v>
      </c>
      <c r="C309" s="53" t="n">
        <v>81</v>
      </c>
      <c r="D309" s="53" t="n">
        <v>4</v>
      </c>
      <c r="E309" s="65" t="str">
        <f aca="false">IF($H309="","",购销流水!$B81)</f>
        <v/>
      </c>
      <c r="F309" s="55" t="str">
        <f aca="false">IF($H309="","",购销流水!$C81)</f>
        <v/>
      </c>
      <c r="G309" s="48" t="str">
        <f aca="false">IF($H309="","",购销流水!$N81)</f>
        <v/>
      </c>
      <c r="H309" s="10" t="str">
        <f aca="false">IF($L309="","",IF($L309="@成本",购销流水!$U81,IF($L309="@收入",购销流水!$T81,IF($L309="@存货",购销流水!$S81,IF($L309="@结算",购销流水!$R81,$L309)))))</f>
        <v/>
      </c>
      <c r="I309" s="42" t="n">
        <f aca="false">IF($M309="借",$O309,0)</f>
        <v>0</v>
      </c>
      <c r="J309" s="42" t="n">
        <f aca="false">IF($M309="贷",$O309,0)</f>
        <v>0</v>
      </c>
      <c r="K309" s="48" t="str">
        <f aca="false">IF($H309="","",购销流水!$E81)</f>
        <v/>
      </c>
      <c r="L309" s="66" t="str">
        <f aca="false">IF(购销流水!$D81="","",IFERROR(INDEX(记账规则!$A$6:$N$9,MATCH(购销流水!$D81,记账规则!$A$6:$A$9,0),12),""))</f>
        <v/>
      </c>
      <c r="M309" s="66" t="str">
        <f aca="false">IF($L309="","",IFERROR(INDEX(记账规则!$A$6:$N$9,MATCH(购销流水!$D81,记账规则!$A$6:$A$9,0),13),""))</f>
        <v/>
      </c>
      <c r="N309" s="66" t="str">
        <f aca="false">IF($L309="","",IFERROR(INDEX(记账规则!$A$6:$N$9,MATCH(购销流水!$D81,记账规则!$A$6:$A$9,0),14),""))</f>
        <v/>
      </c>
      <c r="O309" s="67" t="n">
        <f aca="false">IF($H309="",0,ROUND(IF($N309="成本金额",N(购销流水!$W81),IF($N309="金额",N(购销流水!$Q81),0)),2))</f>
        <v>0</v>
      </c>
      <c r="P309" s="64" t="str">
        <f aca="false">IF(AND($H309&lt;&gt;"",ROUND($O309,2)&lt;&gt;0),"有","")</f>
        <v/>
      </c>
    </row>
    <row r="310" customFormat="false" ht="15" hidden="true" customHeight="false" outlineLevel="0" collapsed="false">
      <c r="A310" s="53" t="str">
        <f aca="false">IF($H310="","",ROW()-5)</f>
        <v/>
      </c>
      <c r="B310" s="64" t="s">
        <v>36</v>
      </c>
      <c r="C310" s="53" t="n">
        <v>82</v>
      </c>
      <c r="D310" s="53" t="n">
        <v>1</v>
      </c>
      <c r="E310" s="65" t="str">
        <f aca="false">IF($H310="","",购销流水!$B82)</f>
        <v/>
      </c>
      <c r="F310" s="55" t="str">
        <f aca="false">IF($H310="","",购销流水!$C82)</f>
        <v/>
      </c>
      <c r="G310" s="48" t="str">
        <f aca="false">IF($H310="","",购销流水!$N82)</f>
        <v/>
      </c>
      <c r="H310" s="10" t="str">
        <f aca="false">IF($L310="","",IF($L310="@成本",购销流水!$U82,IF($L310="@收入",购销流水!$T82,IF($L310="@存货",购销流水!$S82,IF($L310="@结算",购销流水!$R82,$L310)))))</f>
        <v/>
      </c>
      <c r="I310" s="42" t="n">
        <f aca="false">IF($M310="借",$O310,0)</f>
        <v>0</v>
      </c>
      <c r="J310" s="42" t="n">
        <f aca="false">IF($M310="贷",$O310,0)</f>
        <v>0</v>
      </c>
      <c r="K310" s="48" t="str">
        <f aca="false">IF($H310="","",购销流水!$E82)</f>
        <v/>
      </c>
      <c r="L310" s="66" t="str">
        <f aca="false">IF(购销流水!$D82="","",IFERROR(INDEX(记账规则!$A$6:$N$9,MATCH(购销流水!$D82,记账规则!$A$6:$A$9,0),3),""))</f>
        <v/>
      </c>
      <c r="M310" s="66" t="str">
        <f aca="false">IF($L310="","",IFERROR(INDEX(记账规则!$A$6:$N$9,MATCH(购销流水!$D82,记账规则!$A$6:$A$9,0),4),""))</f>
        <v/>
      </c>
      <c r="N310" s="66" t="str">
        <f aca="false">IF($L310="","",IFERROR(INDEX(记账规则!$A$6:$N$9,MATCH(购销流水!$D82,记账规则!$A$6:$A$9,0),5),""))</f>
        <v/>
      </c>
      <c r="O310" s="67" t="n">
        <f aca="false">IF($H310="",0,ROUND(IF($N310="成本金额",N(购销流水!$W82),IF($N310="金额",N(购销流水!$Q82),0)),2))</f>
        <v>0</v>
      </c>
      <c r="P310" s="64" t="str">
        <f aca="false">IF(AND($H310&lt;&gt;"",ROUND($O310,2)&lt;&gt;0),"有","")</f>
        <v/>
      </c>
    </row>
    <row r="311" customFormat="false" ht="15" hidden="true" customHeight="false" outlineLevel="0" collapsed="false">
      <c r="A311" s="53" t="str">
        <f aca="false">IF($H311="","",ROW()-5)</f>
        <v/>
      </c>
      <c r="B311" s="64" t="s">
        <v>36</v>
      </c>
      <c r="C311" s="53" t="n">
        <v>82</v>
      </c>
      <c r="D311" s="53" t="n">
        <v>2</v>
      </c>
      <c r="E311" s="65" t="str">
        <f aca="false">IF($H311="","",购销流水!$B82)</f>
        <v/>
      </c>
      <c r="F311" s="55" t="str">
        <f aca="false">IF($H311="","",购销流水!$C82)</f>
        <v/>
      </c>
      <c r="G311" s="48" t="str">
        <f aca="false">IF($H311="","",购销流水!$N82)</f>
        <v/>
      </c>
      <c r="H311" s="10" t="str">
        <f aca="false">IF($L311="","",IF($L311="@成本",购销流水!$U82,IF($L311="@收入",购销流水!$T82,IF($L311="@存货",购销流水!$S82,IF($L311="@结算",购销流水!$R82,$L311)))))</f>
        <v/>
      </c>
      <c r="I311" s="42" t="n">
        <f aca="false">IF($M311="借",$O311,0)</f>
        <v>0</v>
      </c>
      <c r="J311" s="42" t="n">
        <f aca="false">IF($M311="贷",$O311,0)</f>
        <v>0</v>
      </c>
      <c r="K311" s="48" t="str">
        <f aca="false">IF($H311="","",购销流水!$E82)</f>
        <v/>
      </c>
      <c r="L311" s="66" t="str">
        <f aca="false">IF(购销流水!$D82="","",IFERROR(INDEX(记账规则!$A$6:$N$9,MATCH(购销流水!$D82,记账规则!$A$6:$A$9,0),6),""))</f>
        <v/>
      </c>
      <c r="M311" s="66" t="str">
        <f aca="false">IF($L311="","",IFERROR(INDEX(记账规则!$A$6:$N$9,MATCH(购销流水!$D82,记账规则!$A$6:$A$9,0),7),""))</f>
        <v/>
      </c>
      <c r="N311" s="66" t="str">
        <f aca="false">IF($L311="","",IFERROR(INDEX(记账规则!$A$6:$N$9,MATCH(购销流水!$D82,记账规则!$A$6:$A$9,0),8),""))</f>
        <v/>
      </c>
      <c r="O311" s="67" t="n">
        <f aca="false">IF($H311="",0,ROUND(IF($N311="成本金额",N(购销流水!$W82),IF($N311="金额",N(购销流水!$Q82),0)),2))</f>
        <v>0</v>
      </c>
      <c r="P311" s="64" t="str">
        <f aca="false">IF(AND($H311&lt;&gt;"",ROUND($O311,2)&lt;&gt;0),"有","")</f>
        <v/>
      </c>
    </row>
    <row r="312" customFormat="false" ht="15" hidden="true" customHeight="false" outlineLevel="0" collapsed="false">
      <c r="A312" s="53" t="str">
        <f aca="false">IF($H312="","",ROW()-5)</f>
        <v/>
      </c>
      <c r="B312" s="64" t="s">
        <v>36</v>
      </c>
      <c r="C312" s="53" t="n">
        <v>82</v>
      </c>
      <c r="D312" s="53" t="n">
        <v>3</v>
      </c>
      <c r="E312" s="65" t="str">
        <f aca="false">IF($H312="","",购销流水!$B82)</f>
        <v/>
      </c>
      <c r="F312" s="55" t="str">
        <f aca="false">IF($H312="","",购销流水!$C82)</f>
        <v/>
      </c>
      <c r="G312" s="48" t="str">
        <f aca="false">IF($H312="","",购销流水!$N82)</f>
        <v/>
      </c>
      <c r="H312" s="10" t="str">
        <f aca="false">IF($L312="","",IF($L312="@成本",购销流水!$U82,IF($L312="@收入",购销流水!$T82,IF($L312="@存货",购销流水!$S82,IF($L312="@结算",购销流水!$R82,$L312)))))</f>
        <v/>
      </c>
      <c r="I312" s="42" t="n">
        <f aca="false">IF($M312="借",$O312,0)</f>
        <v>0</v>
      </c>
      <c r="J312" s="42" t="n">
        <f aca="false">IF($M312="贷",$O312,0)</f>
        <v>0</v>
      </c>
      <c r="K312" s="48" t="str">
        <f aca="false">IF($H312="","",购销流水!$E82)</f>
        <v/>
      </c>
      <c r="L312" s="66" t="str">
        <f aca="false">IF(购销流水!$D82="","",IFERROR(INDEX(记账规则!$A$6:$N$9,MATCH(购销流水!$D82,记账规则!$A$6:$A$9,0),9),""))</f>
        <v/>
      </c>
      <c r="M312" s="66" t="str">
        <f aca="false">IF($L312="","",IFERROR(INDEX(记账规则!$A$6:$N$9,MATCH(购销流水!$D82,记账规则!$A$6:$A$9,0),10),""))</f>
        <v/>
      </c>
      <c r="N312" s="66" t="str">
        <f aca="false">IF($L312="","",IFERROR(INDEX(记账规则!$A$6:$N$9,MATCH(购销流水!$D82,记账规则!$A$6:$A$9,0),11),""))</f>
        <v/>
      </c>
      <c r="O312" s="67" t="n">
        <f aca="false">IF($H312="",0,ROUND(IF($N312="成本金额",N(购销流水!$W82),IF($N312="金额",N(购销流水!$Q82),0)),2))</f>
        <v>0</v>
      </c>
      <c r="P312" s="64" t="str">
        <f aca="false">IF(AND($H312&lt;&gt;"",ROUND($O312,2)&lt;&gt;0),"有","")</f>
        <v/>
      </c>
    </row>
    <row r="313" customFormat="false" ht="15" hidden="true" customHeight="false" outlineLevel="0" collapsed="false">
      <c r="A313" s="53" t="str">
        <f aca="false">IF($H313="","",ROW()-5)</f>
        <v/>
      </c>
      <c r="B313" s="64" t="s">
        <v>36</v>
      </c>
      <c r="C313" s="53" t="n">
        <v>82</v>
      </c>
      <c r="D313" s="53" t="n">
        <v>4</v>
      </c>
      <c r="E313" s="65" t="str">
        <f aca="false">IF($H313="","",购销流水!$B82)</f>
        <v/>
      </c>
      <c r="F313" s="55" t="str">
        <f aca="false">IF($H313="","",购销流水!$C82)</f>
        <v/>
      </c>
      <c r="G313" s="48" t="str">
        <f aca="false">IF($H313="","",购销流水!$N82)</f>
        <v/>
      </c>
      <c r="H313" s="10" t="str">
        <f aca="false">IF($L313="","",IF($L313="@成本",购销流水!$U82,IF($L313="@收入",购销流水!$T82,IF($L313="@存货",购销流水!$S82,IF($L313="@结算",购销流水!$R82,$L313)))))</f>
        <v/>
      </c>
      <c r="I313" s="42" t="n">
        <f aca="false">IF($M313="借",$O313,0)</f>
        <v>0</v>
      </c>
      <c r="J313" s="42" t="n">
        <f aca="false">IF($M313="贷",$O313,0)</f>
        <v>0</v>
      </c>
      <c r="K313" s="48" t="str">
        <f aca="false">IF($H313="","",购销流水!$E82)</f>
        <v/>
      </c>
      <c r="L313" s="66" t="str">
        <f aca="false">IF(购销流水!$D82="","",IFERROR(INDEX(记账规则!$A$6:$N$9,MATCH(购销流水!$D82,记账规则!$A$6:$A$9,0),12),""))</f>
        <v/>
      </c>
      <c r="M313" s="66" t="str">
        <f aca="false">IF($L313="","",IFERROR(INDEX(记账规则!$A$6:$N$9,MATCH(购销流水!$D82,记账规则!$A$6:$A$9,0),13),""))</f>
        <v/>
      </c>
      <c r="N313" s="66" t="str">
        <f aca="false">IF($L313="","",IFERROR(INDEX(记账规则!$A$6:$N$9,MATCH(购销流水!$D82,记账规则!$A$6:$A$9,0),14),""))</f>
        <v/>
      </c>
      <c r="O313" s="67" t="n">
        <f aca="false">IF($H313="",0,ROUND(IF($N313="成本金额",N(购销流水!$W82),IF($N313="金额",N(购销流水!$Q82),0)),2))</f>
        <v>0</v>
      </c>
      <c r="P313" s="64" t="str">
        <f aca="false">IF(AND($H313&lt;&gt;"",ROUND($O313,2)&lt;&gt;0),"有","")</f>
        <v/>
      </c>
    </row>
    <row r="314" customFormat="false" ht="15" hidden="true" customHeight="false" outlineLevel="0" collapsed="false">
      <c r="A314" s="53" t="str">
        <f aca="false">IF($H314="","",ROW()-5)</f>
        <v/>
      </c>
      <c r="B314" s="64" t="s">
        <v>36</v>
      </c>
      <c r="C314" s="53" t="n">
        <v>83</v>
      </c>
      <c r="D314" s="53" t="n">
        <v>1</v>
      </c>
      <c r="E314" s="65" t="str">
        <f aca="false">IF($H314="","",购销流水!$B83)</f>
        <v/>
      </c>
      <c r="F314" s="55" t="str">
        <f aca="false">IF($H314="","",购销流水!$C83)</f>
        <v/>
      </c>
      <c r="G314" s="48" t="str">
        <f aca="false">IF($H314="","",购销流水!$N83)</f>
        <v/>
      </c>
      <c r="H314" s="10" t="str">
        <f aca="false">IF($L314="","",IF($L314="@成本",购销流水!$U83,IF($L314="@收入",购销流水!$T83,IF($L314="@存货",购销流水!$S83,IF($L314="@结算",购销流水!$R83,$L314)))))</f>
        <v/>
      </c>
      <c r="I314" s="42" t="n">
        <f aca="false">IF($M314="借",$O314,0)</f>
        <v>0</v>
      </c>
      <c r="J314" s="42" t="n">
        <f aca="false">IF($M314="贷",$O314,0)</f>
        <v>0</v>
      </c>
      <c r="K314" s="48" t="str">
        <f aca="false">IF($H314="","",购销流水!$E83)</f>
        <v/>
      </c>
      <c r="L314" s="66" t="str">
        <f aca="false">IF(购销流水!$D83="","",IFERROR(INDEX(记账规则!$A$6:$N$9,MATCH(购销流水!$D83,记账规则!$A$6:$A$9,0),3),""))</f>
        <v/>
      </c>
      <c r="M314" s="66" t="str">
        <f aca="false">IF($L314="","",IFERROR(INDEX(记账规则!$A$6:$N$9,MATCH(购销流水!$D83,记账规则!$A$6:$A$9,0),4),""))</f>
        <v/>
      </c>
      <c r="N314" s="66" t="str">
        <f aca="false">IF($L314="","",IFERROR(INDEX(记账规则!$A$6:$N$9,MATCH(购销流水!$D83,记账规则!$A$6:$A$9,0),5),""))</f>
        <v/>
      </c>
      <c r="O314" s="67" t="n">
        <f aca="false">IF($H314="",0,ROUND(IF($N314="成本金额",N(购销流水!$W83),IF($N314="金额",N(购销流水!$Q83),0)),2))</f>
        <v>0</v>
      </c>
      <c r="P314" s="64" t="str">
        <f aca="false">IF(AND($H314&lt;&gt;"",ROUND($O314,2)&lt;&gt;0),"有","")</f>
        <v/>
      </c>
    </row>
    <row r="315" customFormat="false" ht="15" hidden="true" customHeight="false" outlineLevel="0" collapsed="false">
      <c r="A315" s="53" t="str">
        <f aca="false">IF($H315="","",ROW()-5)</f>
        <v/>
      </c>
      <c r="B315" s="64" t="s">
        <v>36</v>
      </c>
      <c r="C315" s="53" t="n">
        <v>83</v>
      </c>
      <c r="D315" s="53" t="n">
        <v>2</v>
      </c>
      <c r="E315" s="65" t="str">
        <f aca="false">IF($H315="","",购销流水!$B83)</f>
        <v/>
      </c>
      <c r="F315" s="55" t="str">
        <f aca="false">IF($H315="","",购销流水!$C83)</f>
        <v/>
      </c>
      <c r="G315" s="48" t="str">
        <f aca="false">IF($H315="","",购销流水!$N83)</f>
        <v/>
      </c>
      <c r="H315" s="10" t="str">
        <f aca="false">IF($L315="","",IF($L315="@成本",购销流水!$U83,IF($L315="@收入",购销流水!$T83,IF($L315="@存货",购销流水!$S83,IF($L315="@结算",购销流水!$R83,$L315)))))</f>
        <v/>
      </c>
      <c r="I315" s="42" t="n">
        <f aca="false">IF($M315="借",$O315,0)</f>
        <v>0</v>
      </c>
      <c r="J315" s="42" t="n">
        <f aca="false">IF($M315="贷",$O315,0)</f>
        <v>0</v>
      </c>
      <c r="K315" s="48" t="str">
        <f aca="false">IF($H315="","",购销流水!$E83)</f>
        <v/>
      </c>
      <c r="L315" s="66" t="str">
        <f aca="false">IF(购销流水!$D83="","",IFERROR(INDEX(记账规则!$A$6:$N$9,MATCH(购销流水!$D83,记账规则!$A$6:$A$9,0),6),""))</f>
        <v/>
      </c>
      <c r="M315" s="66" t="str">
        <f aca="false">IF($L315="","",IFERROR(INDEX(记账规则!$A$6:$N$9,MATCH(购销流水!$D83,记账规则!$A$6:$A$9,0),7),""))</f>
        <v/>
      </c>
      <c r="N315" s="66" t="str">
        <f aca="false">IF($L315="","",IFERROR(INDEX(记账规则!$A$6:$N$9,MATCH(购销流水!$D83,记账规则!$A$6:$A$9,0),8),""))</f>
        <v/>
      </c>
      <c r="O315" s="67" t="n">
        <f aca="false">IF($H315="",0,ROUND(IF($N315="成本金额",N(购销流水!$W83),IF($N315="金额",N(购销流水!$Q83),0)),2))</f>
        <v>0</v>
      </c>
      <c r="P315" s="64" t="str">
        <f aca="false">IF(AND($H315&lt;&gt;"",ROUND($O315,2)&lt;&gt;0),"有","")</f>
        <v/>
      </c>
    </row>
    <row r="316" customFormat="false" ht="15" hidden="true" customHeight="false" outlineLevel="0" collapsed="false">
      <c r="A316" s="53" t="str">
        <f aca="false">IF($H316="","",ROW()-5)</f>
        <v/>
      </c>
      <c r="B316" s="64" t="s">
        <v>36</v>
      </c>
      <c r="C316" s="53" t="n">
        <v>83</v>
      </c>
      <c r="D316" s="53" t="n">
        <v>3</v>
      </c>
      <c r="E316" s="65" t="str">
        <f aca="false">IF($H316="","",购销流水!$B83)</f>
        <v/>
      </c>
      <c r="F316" s="55" t="str">
        <f aca="false">IF($H316="","",购销流水!$C83)</f>
        <v/>
      </c>
      <c r="G316" s="48" t="str">
        <f aca="false">IF($H316="","",购销流水!$N83)</f>
        <v/>
      </c>
      <c r="H316" s="10" t="str">
        <f aca="false">IF($L316="","",IF($L316="@成本",购销流水!$U83,IF($L316="@收入",购销流水!$T83,IF($L316="@存货",购销流水!$S83,IF($L316="@结算",购销流水!$R83,$L316)))))</f>
        <v/>
      </c>
      <c r="I316" s="42" t="n">
        <f aca="false">IF($M316="借",$O316,0)</f>
        <v>0</v>
      </c>
      <c r="J316" s="42" t="n">
        <f aca="false">IF($M316="贷",$O316,0)</f>
        <v>0</v>
      </c>
      <c r="K316" s="48" t="str">
        <f aca="false">IF($H316="","",购销流水!$E83)</f>
        <v/>
      </c>
      <c r="L316" s="66" t="str">
        <f aca="false">IF(购销流水!$D83="","",IFERROR(INDEX(记账规则!$A$6:$N$9,MATCH(购销流水!$D83,记账规则!$A$6:$A$9,0),9),""))</f>
        <v/>
      </c>
      <c r="M316" s="66" t="str">
        <f aca="false">IF($L316="","",IFERROR(INDEX(记账规则!$A$6:$N$9,MATCH(购销流水!$D83,记账规则!$A$6:$A$9,0),10),""))</f>
        <v/>
      </c>
      <c r="N316" s="66" t="str">
        <f aca="false">IF($L316="","",IFERROR(INDEX(记账规则!$A$6:$N$9,MATCH(购销流水!$D83,记账规则!$A$6:$A$9,0),11),""))</f>
        <v/>
      </c>
      <c r="O316" s="67" t="n">
        <f aca="false">IF($H316="",0,ROUND(IF($N316="成本金额",N(购销流水!$W83),IF($N316="金额",N(购销流水!$Q83),0)),2))</f>
        <v>0</v>
      </c>
      <c r="P316" s="64" t="str">
        <f aca="false">IF(AND($H316&lt;&gt;"",ROUND($O316,2)&lt;&gt;0),"有","")</f>
        <v/>
      </c>
    </row>
    <row r="317" customFormat="false" ht="15" hidden="true" customHeight="false" outlineLevel="0" collapsed="false">
      <c r="A317" s="53" t="str">
        <f aca="false">IF($H317="","",ROW()-5)</f>
        <v/>
      </c>
      <c r="B317" s="64" t="s">
        <v>36</v>
      </c>
      <c r="C317" s="53" t="n">
        <v>83</v>
      </c>
      <c r="D317" s="53" t="n">
        <v>4</v>
      </c>
      <c r="E317" s="65" t="str">
        <f aca="false">IF($H317="","",购销流水!$B83)</f>
        <v/>
      </c>
      <c r="F317" s="55" t="str">
        <f aca="false">IF($H317="","",购销流水!$C83)</f>
        <v/>
      </c>
      <c r="G317" s="48" t="str">
        <f aca="false">IF($H317="","",购销流水!$N83)</f>
        <v/>
      </c>
      <c r="H317" s="10" t="str">
        <f aca="false">IF($L317="","",IF($L317="@成本",购销流水!$U83,IF($L317="@收入",购销流水!$T83,IF($L317="@存货",购销流水!$S83,IF($L317="@结算",购销流水!$R83,$L317)))))</f>
        <v/>
      </c>
      <c r="I317" s="42" t="n">
        <f aca="false">IF($M317="借",$O317,0)</f>
        <v>0</v>
      </c>
      <c r="J317" s="42" t="n">
        <f aca="false">IF($M317="贷",$O317,0)</f>
        <v>0</v>
      </c>
      <c r="K317" s="48" t="str">
        <f aca="false">IF($H317="","",购销流水!$E83)</f>
        <v/>
      </c>
      <c r="L317" s="66" t="str">
        <f aca="false">IF(购销流水!$D83="","",IFERROR(INDEX(记账规则!$A$6:$N$9,MATCH(购销流水!$D83,记账规则!$A$6:$A$9,0),12),""))</f>
        <v/>
      </c>
      <c r="M317" s="66" t="str">
        <f aca="false">IF($L317="","",IFERROR(INDEX(记账规则!$A$6:$N$9,MATCH(购销流水!$D83,记账规则!$A$6:$A$9,0),13),""))</f>
        <v/>
      </c>
      <c r="N317" s="66" t="str">
        <f aca="false">IF($L317="","",IFERROR(INDEX(记账规则!$A$6:$N$9,MATCH(购销流水!$D83,记账规则!$A$6:$A$9,0),14),""))</f>
        <v/>
      </c>
      <c r="O317" s="67" t="n">
        <f aca="false">IF($H317="",0,ROUND(IF($N317="成本金额",N(购销流水!$W83),IF($N317="金额",N(购销流水!$Q83),0)),2))</f>
        <v>0</v>
      </c>
      <c r="P317" s="64" t="str">
        <f aca="false">IF(AND($H317&lt;&gt;"",ROUND($O317,2)&lt;&gt;0),"有","")</f>
        <v/>
      </c>
    </row>
    <row r="318" customFormat="false" ht="15" hidden="true" customHeight="false" outlineLevel="0" collapsed="false">
      <c r="A318" s="53" t="str">
        <f aca="false">IF($H318="","",ROW()-5)</f>
        <v/>
      </c>
      <c r="B318" s="64" t="s">
        <v>36</v>
      </c>
      <c r="C318" s="53" t="n">
        <v>84</v>
      </c>
      <c r="D318" s="53" t="n">
        <v>1</v>
      </c>
      <c r="E318" s="65" t="str">
        <f aca="false">IF($H318="","",购销流水!$B84)</f>
        <v/>
      </c>
      <c r="F318" s="55" t="str">
        <f aca="false">IF($H318="","",购销流水!$C84)</f>
        <v/>
      </c>
      <c r="G318" s="48" t="str">
        <f aca="false">IF($H318="","",购销流水!$N84)</f>
        <v/>
      </c>
      <c r="H318" s="10" t="str">
        <f aca="false">IF($L318="","",IF($L318="@成本",购销流水!$U84,IF($L318="@收入",购销流水!$T84,IF($L318="@存货",购销流水!$S84,IF($L318="@结算",购销流水!$R84,$L318)))))</f>
        <v/>
      </c>
      <c r="I318" s="42" t="n">
        <f aca="false">IF($M318="借",$O318,0)</f>
        <v>0</v>
      </c>
      <c r="J318" s="42" t="n">
        <f aca="false">IF($M318="贷",$O318,0)</f>
        <v>0</v>
      </c>
      <c r="K318" s="48" t="str">
        <f aca="false">IF($H318="","",购销流水!$E84)</f>
        <v/>
      </c>
      <c r="L318" s="66" t="str">
        <f aca="false">IF(购销流水!$D84="","",IFERROR(INDEX(记账规则!$A$6:$N$9,MATCH(购销流水!$D84,记账规则!$A$6:$A$9,0),3),""))</f>
        <v/>
      </c>
      <c r="M318" s="66" t="str">
        <f aca="false">IF($L318="","",IFERROR(INDEX(记账规则!$A$6:$N$9,MATCH(购销流水!$D84,记账规则!$A$6:$A$9,0),4),""))</f>
        <v/>
      </c>
      <c r="N318" s="66" t="str">
        <f aca="false">IF($L318="","",IFERROR(INDEX(记账规则!$A$6:$N$9,MATCH(购销流水!$D84,记账规则!$A$6:$A$9,0),5),""))</f>
        <v/>
      </c>
      <c r="O318" s="67" t="n">
        <f aca="false">IF($H318="",0,ROUND(IF($N318="成本金额",N(购销流水!$W84),IF($N318="金额",N(购销流水!$Q84),0)),2))</f>
        <v>0</v>
      </c>
      <c r="P318" s="64" t="str">
        <f aca="false">IF(AND($H318&lt;&gt;"",ROUND($O318,2)&lt;&gt;0),"有","")</f>
        <v/>
      </c>
    </row>
    <row r="319" customFormat="false" ht="15" hidden="true" customHeight="false" outlineLevel="0" collapsed="false">
      <c r="A319" s="53" t="str">
        <f aca="false">IF($H319="","",ROW()-5)</f>
        <v/>
      </c>
      <c r="B319" s="64" t="s">
        <v>36</v>
      </c>
      <c r="C319" s="53" t="n">
        <v>84</v>
      </c>
      <c r="D319" s="53" t="n">
        <v>2</v>
      </c>
      <c r="E319" s="65" t="str">
        <f aca="false">IF($H319="","",购销流水!$B84)</f>
        <v/>
      </c>
      <c r="F319" s="55" t="str">
        <f aca="false">IF($H319="","",购销流水!$C84)</f>
        <v/>
      </c>
      <c r="G319" s="48" t="str">
        <f aca="false">IF($H319="","",购销流水!$N84)</f>
        <v/>
      </c>
      <c r="H319" s="10" t="str">
        <f aca="false">IF($L319="","",IF($L319="@成本",购销流水!$U84,IF($L319="@收入",购销流水!$T84,IF($L319="@存货",购销流水!$S84,IF($L319="@结算",购销流水!$R84,$L319)))))</f>
        <v/>
      </c>
      <c r="I319" s="42" t="n">
        <f aca="false">IF($M319="借",$O319,0)</f>
        <v>0</v>
      </c>
      <c r="J319" s="42" t="n">
        <f aca="false">IF($M319="贷",$O319,0)</f>
        <v>0</v>
      </c>
      <c r="K319" s="48" t="str">
        <f aca="false">IF($H319="","",购销流水!$E84)</f>
        <v/>
      </c>
      <c r="L319" s="66" t="str">
        <f aca="false">IF(购销流水!$D84="","",IFERROR(INDEX(记账规则!$A$6:$N$9,MATCH(购销流水!$D84,记账规则!$A$6:$A$9,0),6),""))</f>
        <v/>
      </c>
      <c r="M319" s="66" t="str">
        <f aca="false">IF($L319="","",IFERROR(INDEX(记账规则!$A$6:$N$9,MATCH(购销流水!$D84,记账规则!$A$6:$A$9,0),7),""))</f>
        <v/>
      </c>
      <c r="N319" s="66" t="str">
        <f aca="false">IF($L319="","",IFERROR(INDEX(记账规则!$A$6:$N$9,MATCH(购销流水!$D84,记账规则!$A$6:$A$9,0),8),""))</f>
        <v/>
      </c>
      <c r="O319" s="67" t="n">
        <f aca="false">IF($H319="",0,ROUND(IF($N319="成本金额",N(购销流水!$W84),IF($N319="金额",N(购销流水!$Q84),0)),2))</f>
        <v>0</v>
      </c>
      <c r="P319" s="64" t="str">
        <f aca="false">IF(AND($H319&lt;&gt;"",ROUND($O319,2)&lt;&gt;0),"有","")</f>
        <v/>
      </c>
    </row>
    <row r="320" customFormat="false" ht="15" hidden="true" customHeight="false" outlineLevel="0" collapsed="false">
      <c r="A320" s="53" t="str">
        <f aca="false">IF($H320="","",ROW()-5)</f>
        <v/>
      </c>
      <c r="B320" s="64" t="s">
        <v>36</v>
      </c>
      <c r="C320" s="53" t="n">
        <v>84</v>
      </c>
      <c r="D320" s="53" t="n">
        <v>3</v>
      </c>
      <c r="E320" s="65" t="str">
        <f aca="false">IF($H320="","",购销流水!$B84)</f>
        <v/>
      </c>
      <c r="F320" s="55" t="str">
        <f aca="false">IF($H320="","",购销流水!$C84)</f>
        <v/>
      </c>
      <c r="G320" s="48" t="str">
        <f aca="false">IF($H320="","",购销流水!$N84)</f>
        <v/>
      </c>
      <c r="H320" s="10" t="str">
        <f aca="false">IF($L320="","",IF($L320="@成本",购销流水!$U84,IF($L320="@收入",购销流水!$T84,IF($L320="@存货",购销流水!$S84,IF($L320="@结算",购销流水!$R84,$L320)))))</f>
        <v/>
      </c>
      <c r="I320" s="42" t="n">
        <f aca="false">IF($M320="借",$O320,0)</f>
        <v>0</v>
      </c>
      <c r="J320" s="42" t="n">
        <f aca="false">IF($M320="贷",$O320,0)</f>
        <v>0</v>
      </c>
      <c r="K320" s="48" t="str">
        <f aca="false">IF($H320="","",购销流水!$E84)</f>
        <v/>
      </c>
      <c r="L320" s="66" t="str">
        <f aca="false">IF(购销流水!$D84="","",IFERROR(INDEX(记账规则!$A$6:$N$9,MATCH(购销流水!$D84,记账规则!$A$6:$A$9,0),9),""))</f>
        <v/>
      </c>
      <c r="M320" s="66" t="str">
        <f aca="false">IF($L320="","",IFERROR(INDEX(记账规则!$A$6:$N$9,MATCH(购销流水!$D84,记账规则!$A$6:$A$9,0),10),""))</f>
        <v/>
      </c>
      <c r="N320" s="66" t="str">
        <f aca="false">IF($L320="","",IFERROR(INDEX(记账规则!$A$6:$N$9,MATCH(购销流水!$D84,记账规则!$A$6:$A$9,0),11),""))</f>
        <v/>
      </c>
      <c r="O320" s="67" t="n">
        <f aca="false">IF($H320="",0,ROUND(IF($N320="成本金额",N(购销流水!$W84),IF($N320="金额",N(购销流水!$Q84),0)),2))</f>
        <v>0</v>
      </c>
      <c r="P320" s="64" t="str">
        <f aca="false">IF(AND($H320&lt;&gt;"",ROUND($O320,2)&lt;&gt;0),"有","")</f>
        <v/>
      </c>
    </row>
    <row r="321" customFormat="false" ht="15" hidden="true" customHeight="false" outlineLevel="0" collapsed="false">
      <c r="A321" s="53" t="str">
        <f aca="false">IF($H321="","",ROW()-5)</f>
        <v/>
      </c>
      <c r="B321" s="64" t="s">
        <v>36</v>
      </c>
      <c r="C321" s="53" t="n">
        <v>84</v>
      </c>
      <c r="D321" s="53" t="n">
        <v>4</v>
      </c>
      <c r="E321" s="65" t="str">
        <f aca="false">IF($H321="","",购销流水!$B84)</f>
        <v/>
      </c>
      <c r="F321" s="55" t="str">
        <f aca="false">IF($H321="","",购销流水!$C84)</f>
        <v/>
      </c>
      <c r="G321" s="48" t="str">
        <f aca="false">IF($H321="","",购销流水!$N84)</f>
        <v/>
      </c>
      <c r="H321" s="10" t="str">
        <f aca="false">IF($L321="","",IF($L321="@成本",购销流水!$U84,IF($L321="@收入",购销流水!$T84,IF($L321="@存货",购销流水!$S84,IF($L321="@结算",购销流水!$R84,$L321)))))</f>
        <v/>
      </c>
      <c r="I321" s="42" t="n">
        <f aca="false">IF($M321="借",$O321,0)</f>
        <v>0</v>
      </c>
      <c r="J321" s="42" t="n">
        <f aca="false">IF($M321="贷",$O321,0)</f>
        <v>0</v>
      </c>
      <c r="K321" s="48" t="str">
        <f aca="false">IF($H321="","",购销流水!$E84)</f>
        <v/>
      </c>
      <c r="L321" s="66" t="str">
        <f aca="false">IF(购销流水!$D84="","",IFERROR(INDEX(记账规则!$A$6:$N$9,MATCH(购销流水!$D84,记账规则!$A$6:$A$9,0),12),""))</f>
        <v/>
      </c>
      <c r="M321" s="66" t="str">
        <f aca="false">IF($L321="","",IFERROR(INDEX(记账规则!$A$6:$N$9,MATCH(购销流水!$D84,记账规则!$A$6:$A$9,0),13),""))</f>
        <v/>
      </c>
      <c r="N321" s="66" t="str">
        <f aca="false">IF($L321="","",IFERROR(INDEX(记账规则!$A$6:$N$9,MATCH(购销流水!$D84,记账规则!$A$6:$A$9,0),14),""))</f>
        <v/>
      </c>
      <c r="O321" s="67" t="n">
        <f aca="false">IF($H321="",0,ROUND(IF($N321="成本金额",N(购销流水!$W84),IF($N321="金额",N(购销流水!$Q84),0)),2))</f>
        <v>0</v>
      </c>
      <c r="P321" s="64" t="str">
        <f aca="false">IF(AND($H321&lt;&gt;"",ROUND($O321,2)&lt;&gt;0),"有","")</f>
        <v/>
      </c>
    </row>
    <row r="322" customFormat="false" ht="15" hidden="true" customHeight="false" outlineLevel="0" collapsed="false">
      <c r="A322" s="53" t="str">
        <f aca="false">IF($H322="","",ROW()-5)</f>
        <v/>
      </c>
      <c r="B322" s="64" t="s">
        <v>36</v>
      </c>
      <c r="C322" s="53" t="n">
        <v>85</v>
      </c>
      <c r="D322" s="53" t="n">
        <v>1</v>
      </c>
      <c r="E322" s="65" t="str">
        <f aca="false">IF($H322="","",购销流水!$B85)</f>
        <v/>
      </c>
      <c r="F322" s="55" t="str">
        <f aca="false">IF($H322="","",购销流水!$C85)</f>
        <v/>
      </c>
      <c r="G322" s="48" t="str">
        <f aca="false">IF($H322="","",购销流水!$N85)</f>
        <v/>
      </c>
      <c r="H322" s="10" t="str">
        <f aca="false">IF($L322="","",IF($L322="@成本",购销流水!$U85,IF($L322="@收入",购销流水!$T85,IF($L322="@存货",购销流水!$S85,IF($L322="@结算",购销流水!$R85,$L322)))))</f>
        <v/>
      </c>
      <c r="I322" s="42" t="n">
        <f aca="false">IF($M322="借",$O322,0)</f>
        <v>0</v>
      </c>
      <c r="J322" s="42" t="n">
        <f aca="false">IF($M322="贷",$O322,0)</f>
        <v>0</v>
      </c>
      <c r="K322" s="48" t="str">
        <f aca="false">IF($H322="","",购销流水!$E85)</f>
        <v/>
      </c>
      <c r="L322" s="66" t="str">
        <f aca="false">IF(购销流水!$D85="","",IFERROR(INDEX(记账规则!$A$6:$N$9,MATCH(购销流水!$D85,记账规则!$A$6:$A$9,0),3),""))</f>
        <v/>
      </c>
      <c r="M322" s="66" t="str">
        <f aca="false">IF($L322="","",IFERROR(INDEX(记账规则!$A$6:$N$9,MATCH(购销流水!$D85,记账规则!$A$6:$A$9,0),4),""))</f>
        <v/>
      </c>
      <c r="N322" s="66" t="str">
        <f aca="false">IF($L322="","",IFERROR(INDEX(记账规则!$A$6:$N$9,MATCH(购销流水!$D85,记账规则!$A$6:$A$9,0),5),""))</f>
        <v/>
      </c>
      <c r="O322" s="67" t="n">
        <f aca="false">IF($H322="",0,ROUND(IF($N322="成本金额",N(购销流水!$W85),IF($N322="金额",N(购销流水!$Q85),0)),2))</f>
        <v>0</v>
      </c>
      <c r="P322" s="64" t="str">
        <f aca="false">IF(AND($H322&lt;&gt;"",ROUND($O322,2)&lt;&gt;0),"有","")</f>
        <v/>
      </c>
    </row>
    <row r="323" customFormat="false" ht="15" hidden="true" customHeight="false" outlineLevel="0" collapsed="false">
      <c r="A323" s="53" t="str">
        <f aca="false">IF($H323="","",ROW()-5)</f>
        <v/>
      </c>
      <c r="B323" s="64" t="s">
        <v>36</v>
      </c>
      <c r="C323" s="53" t="n">
        <v>85</v>
      </c>
      <c r="D323" s="53" t="n">
        <v>2</v>
      </c>
      <c r="E323" s="65" t="str">
        <f aca="false">IF($H323="","",购销流水!$B85)</f>
        <v/>
      </c>
      <c r="F323" s="55" t="str">
        <f aca="false">IF($H323="","",购销流水!$C85)</f>
        <v/>
      </c>
      <c r="G323" s="48" t="str">
        <f aca="false">IF($H323="","",购销流水!$N85)</f>
        <v/>
      </c>
      <c r="H323" s="10" t="str">
        <f aca="false">IF($L323="","",IF($L323="@成本",购销流水!$U85,IF($L323="@收入",购销流水!$T85,IF($L323="@存货",购销流水!$S85,IF($L323="@结算",购销流水!$R85,$L323)))))</f>
        <v/>
      </c>
      <c r="I323" s="42" t="n">
        <f aca="false">IF($M323="借",$O323,0)</f>
        <v>0</v>
      </c>
      <c r="J323" s="42" t="n">
        <f aca="false">IF($M323="贷",$O323,0)</f>
        <v>0</v>
      </c>
      <c r="K323" s="48" t="str">
        <f aca="false">IF($H323="","",购销流水!$E85)</f>
        <v/>
      </c>
      <c r="L323" s="66" t="str">
        <f aca="false">IF(购销流水!$D85="","",IFERROR(INDEX(记账规则!$A$6:$N$9,MATCH(购销流水!$D85,记账规则!$A$6:$A$9,0),6),""))</f>
        <v/>
      </c>
      <c r="M323" s="66" t="str">
        <f aca="false">IF($L323="","",IFERROR(INDEX(记账规则!$A$6:$N$9,MATCH(购销流水!$D85,记账规则!$A$6:$A$9,0),7),""))</f>
        <v/>
      </c>
      <c r="N323" s="66" t="str">
        <f aca="false">IF($L323="","",IFERROR(INDEX(记账规则!$A$6:$N$9,MATCH(购销流水!$D85,记账规则!$A$6:$A$9,0),8),""))</f>
        <v/>
      </c>
      <c r="O323" s="67" t="n">
        <f aca="false">IF($H323="",0,ROUND(IF($N323="成本金额",N(购销流水!$W85),IF($N323="金额",N(购销流水!$Q85),0)),2))</f>
        <v>0</v>
      </c>
      <c r="P323" s="64" t="str">
        <f aca="false">IF(AND($H323&lt;&gt;"",ROUND($O323,2)&lt;&gt;0),"有","")</f>
        <v/>
      </c>
    </row>
    <row r="324" customFormat="false" ht="15" hidden="true" customHeight="false" outlineLevel="0" collapsed="false">
      <c r="A324" s="53" t="str">
        <f aca="false">IF($H324="","",ROW()-5)</f>
        <v/>
      </c>
      <c r="B324" s="64" t="s">
        <v>36</v>
      </c>
      <c r="C324" s="53" t="n">
        <v>85</v>
      </c>
      <c r="D324" s="53" t="n">
        <v>3</v>
      </c>
      <c r="E324" s="65" t="str">
        <f aca="false">IF($H324="","",购销流水!$B85)</f>
        <v/>
      </c>
      <c r="F324" s="55" t="str">
        <f aca="false">IF($H324="","",购销流水!$C85)</f>
        <v/>
      </c>
      <c r="G324" s="48" t="str">
        <f aca="false">IF($H324="","",购销流水!$N85)</f>
        <v/>
      </c>
      <c r="H324" s="10" t="str">
        <f aca="false">IF($L324="","",IF($L324="@成本",购销流水!$U85,IF($L324="@收入",购销流水!$T85,IF($L324="@存货",购销流水!$S85,IF($L324="@结算",购销流水!$R85,$L324)))))</f>
        <v/>
      </c>
      <c r="I324" s="42" t="n">
        <f aca="false">IF($M324="借",$O324,0)</f>
        <v>0</v>
      </c>
      <c r="J324" s="42" t="n">
        <f aca="false">IF($M324="贷",$O324,0)</f>
        <v>0</v>
      </c>
      <c r="K324" s="48" t="str">
        <f aca="false">IF($H324="","",购销流水!$E85)</f>
        <v/>
      </c>
      <c r="L324" s="66" t="str">
        <f aca="false">IF(购销流水!$D85="","",IFERROR(INDEX(记账规则!$A$6:$N$9,MATCH(购销流水!$D85,记账规则!$A$6:$A$9,0),9),""))</f>
        <v/>
      </c>
      <c r="M324" s="66" t="str">
        <f aca="false">IF($L324="","",IFERROR(INDEX(记账规则!$A$6:$N$9,MATCH(购销流水!$D85,记账规则!$A$6:$A$9,0),10),""))</f>
        <v/>
      </c>
      <c r="N324" s="66" t="str">
        <f aca="false">IF($L324="","",IFERROR(INDEX(记账规则!$A$6:$N$9,MATCH(购销流水!$D85,记账规则!$A$6:$A$9,0),11),""))</f>
        <v/>
      </c>
      <c r="O324" s="67" t="n">
        <f aca="false">IF($H324="",0,ROUND(IF($N324="成本金额",N(购销流水!$W85),IF($N324="金额",N(购销流水!$Q85),0)),2))</f>
        <v>0</v>
      </c>
      <c r="P324" s="64" t="str">
        <f aca="false">IF(AND($H324&lt;&gt;"",ROUND($O324,2)&lt;&gt;0),"有","")</f>
        <v/>
      </c>
    </row>
    <row r="325" customFormat="false" ht="15" hidden="true" customHeight="false" outlineLevel="0" collapsed="false">
      <c r="A325" s="53" t="str">
        <f aca="false">IF($H325="","",ROW()-5)</f>
        <v/>
      </c>
      <c r="B325" s="64" t="s">
        <v>36</v>
      </c>
      <c r="C325" s="53" t="n">
        <v>85</v>
      </c>
      <c r="D325" s="53" t="n">
        <v>4</v>
      </c>
      <c r="E325" s="65" t="str">
        <f aca="false">IF($H325="","",购销流水!$B85)</f>
        <v/>
      </c>
      <c r="F325" s="55" t="str">
        <f aca="false">IF($H325="","",购销流水!$C85)</f>
        <v/>
      </c>
      <c r="G325" s="48" t="str">
        <f aca="false">IF($H325="","",购销流水!$N85)</f>
        <v/>
      </c>
      <c r="H325" s="10" t="str">
        <f aca="false">IF($L325="","",IF($L325="@成本",购销流水!$U85,IF($L325="@收入",购销流水!$T85,IF($L325="@存货",购销流水!$S85,IF($L325="@结算",购销流水!$R85,$L325)))))</f>
        <v/>
      </c>
      <c r="I325" s="42" t="n">
        <f aca="false">IF($M325="借",$O325,0)</f>
        <v>0</v>
      </c>
      <c r="J325" s="42" t="n">
        <f aca="false">IF($M325="贷",$O325,0)</f>
        <v>0</v>
      </c>
      <c r="K325" s="48" t="str">
        <f aca="false">IF($H325="","",购销流水!$E85)</f>
        <v/>
      </c>
      <c r="L325" s="66" t="str">
        <f aca="false">IF(购销流水!$D85="","",IFERROR(INDEX(记账规则!$A$6:$N$9,MATCH(购销流水!$D85,记账规则!$A$6:$A$9,0),12),""))</f>
        <v/>
      </c>
      <c r="M325" s="66" t="str">
        <f aca="false">IF($L325="","",IFERROR(INDEX(记账规则!$A$6:$N$9,MATCH(购销流水!$D85,记账规则!$A$6:$A$9,0),13),""))</f>
        <v/>
      </c>
      <c r="N325" s="66" t="str">
        <f aca="false">IF($L325="","",IFERROR(INDEX(记账规则!$A$6:$N$9,MATCH(购销流水!$D85,记账规则!$A$6:$A$9,0),14),""))</f>
        <v/>
      </c>
      <c r="O325" s="67" t="n">
        <f aca="false">IF($H325="",0,ROUND(IF($N325="成本金额",N(购销流水!$W85),IF($N325="金额",N(购销流水!$Q85),0)),2))</f>
        <v>0</v>
      </c>
      <c r="P325" s="64" t="str">
        <f aca="false">IF(AND($H325&lt;&gt;"",ROUND($O325,2)&lt;&gt;0),"有","")</f>
        <v/>
      </c>
    </row>
    <row r="326" customFormat="false" ht="15" hidden="true" customHeight="false" outlineLevel="0" collapsed="false">
      <c r="A326" s="53" t="str">
        <f aca="false">IF($H326="","",ROW()-5)</f>
        <v/>
      </c>
      <c r="B326" s="64" t="s">
        <v>36</v>
      </c>
      <c r="C326" s="53" t="n">
        <v>86</v>
      </c>
      <c r="D326" s="53" t="n">
        <v>1</v>
      </c>
      <c r="E326" s="65" t="str">
        <f aca="false">IF($H326="","",购销流水!$B86)</f>
        <v/>
      </c>
      <c r="F326" s="55" t="str">
        <f aca="false">IF($H326="","",购销流水!$C86)</f>
        <v/>
      </c>
      <c r="G326" s="48" t="str">
        <f aca="false">IF($H326="","",购销流水!$N86)</f>
        <v/>
      </c>
      <c r="H326" s="10" t="str">
        <f aca="false">IF($L326="","",IF($L326="@成本",购销流水!$U86,IF($L326="@收入",购销流水!$T86,IF($L326="@存货",购销流水!$S86,IF($L326="@结算",购销流水!$R86,$L326)))))</f>
        <v/>
      </c>
      <c r="I326" s="42" t="n">
        <f aca="false">IF($M326="借",$O326,0)</f>
        <v>0</v>
      </c>
      <c r="J326" s="42" t="n">
        <f aca="false">IF($M326="贷",$O326,0)</f>
        <v>0</v>
      </c>
      <c r="K326" s="48" t="str">
        <f aca="false">IF($H326="","",购销流水!$E86)</f>
        <v/>
      </c>
      <c r="L326" s="66" t="str">
        <f aca="false">IF(购销流水!$D86="","",IFERROR(INDEX(记账规则!$A$6:$N$9,MATCH(购销流水!$D86,记账规则!$A$6:$A$9,0),3),""))</f>
        <v/>
      </c>
      <c r="M326" s="66" t="str">
        <f aca="false">IF($L326="","",IFERROR(INDEX(记账规则!$A$6:$N$9,MATCH(购销流水!$D86,记账规则!$A$6:$A$9,0),4),""))</f>
        <v/>
      </c>
      <c r="N326" s="66" t="str">
        <f aca="false">IF($L326="","",IFERROR(INDEX(记账规则!$A$6:$N$9,MATCH(购销流水!$D86,记账规则!$A$6:$A$9,0),5),""))</f>
        <v/>
      </c>
      <c r="O326" s="67" t="n">
        <f aca="false">IF($H326="",0,ROUND(IF($N326="成本金额",N(购销流水!$W86),IF($N326="金额",N(购销流水!$Q86),0)),2))</f>
        <v>0</v>
      </c>
      <c r="P326" s="64" t="str">
        <f aca="false">IF(AND($H326&lt;&gt;"",ROUND($O326,2)&lt;&gt;0),"有","")</f>
        <v/>
      </c>
    </row>
    <row r="327" customFormat="false" ht="15" hidden="true" customHeight="false" outlineLevel="0" collapsed="false">
      <c r="A327" s="53" t="str">
        <f aca="false">IF($H327="","",ROW()-5)</f>
        <v/>
      </c>
      <c r="B327" s="64" t="s">
        <v>36</v>
      </c>
      <c r="C327" s="53" t="n">
        <v>86</v>
      </c>
      <c r="D327" s="53" t="n">
        <v>2</v>
      </c>
      <c r="E327" s="65" t="str">
        <f aca="false">IF($H327="","",购销流水!$B86)</f>
        <v/>
      </c>
      <c r="F327" s="55" t="str">
        <f aca="false">IF($H327="","",购销流水!$C86)</f>
        <v/>
      </c>
      <c r="G327" s="48" t="str">
        <f aca="false">IF($H327="","",购销流水!$N86)</f>
        <v/>
      </c>
      <c r="H327" s="10" t="str">
        <f aca="false">IF($L327="","",IF($L327="@成本",购销流水!$U86,IF($L327="@收入",购销流水!$T86,IF($L327="@存货",购销流水!$S86,IF($L327="@结算",购销流水!$R86,$L327)))))</f>
        <v/>
      </c>
      <c r="I327" s="42" t="n">
        <f aca="false">IF($M327="借",$O327,0)</f>
        <v>0</v>
      </c>
      <c r="J327" s="42" t="n">
        <f aca="false">IF($M327="贷",$O327,0)</f>
        <v>0</v>
      </c>
      <c r="K327" s="48" t="str">
        <f aca="false">IF($H327="","",购销流水!$E86)</f>
        <v/>
      </c>
      <c r="L327" s="66" t="str">
        <f aca="false">IF(购销流水!$D86="","",IFERROR(INDEX(记账规则!$A$6:$N$9,MATCH(购销流水!$D86,记账规则!$A$6:$A$9,0),6),""))</f>
        <v/>
      </c>
      <c r="M327" s="66" t="str">
        <f aca="false">IF($L327="","",IFERROR(INDEX(记账规则!$A$6:$N$9,MATCH(购销流水!$D86,记账规则!$A$6:$A$9,0),7),""))</f>
        <v/>
      </c>
      <c r="N327" s="66" t="str">
        <f aca="false">IF($L327="","",IFERROR(INDEX(记账规则!$A$6:$N$9,MATCH(购销流水!$D86,记账规则!$A$6:$A$9,0),8),""))</f>
        <v/>
      </c>
      <c r="O327" s="67" t="n">
        <f aca="false">IF($H327="",0,ROUND(IF($N327="成本金额",N(购销流水!$W86),IF($N327="金额",N(购销流水!$Q86),0)),2))</f>
        <v>0</v>
      </c>
      <c r="P327" s="64" t="str">
        <f aca="false">IF(AND($H327&lt;&gt;"",ROUND($O327,2)&lt;&gt;0),"有","")</f>
        <v/>
      </c>
    </row>
    <row r="328" customFormat="false" ht="15" hidden="true" customHeight="false" outlineLevel="0" collapsed="false">
      <c r="A328" s="53" t="str">
        <f aca="false">IF($H328="","",ROW()-5)</f>
        <v/>
      </c>
      <c r="B328" s="64" t="s">
        <v>36</v>
      </c>
      <c r="C328" s="53" t="n">
        <v>86</v>
      </c>
      <c r="D328" s="53" t="n">
        <v>3</v>
      </c>
      <c r="E328" s="65" t="str">
        <f aca="false">IF($H328="","",购销流水!$B86)</f>
        <v/>
      </c>
      <c r="F328" s="55" t="str">
        <f aca="false">IF($H328="","",购销流水!$C86)</f>
        <v/>
      </c>
      <c r="G328" s="48" t="str">
        <f aca="false">IF($H328="","",购销流水!$N86)</f>
        <v/>
      </c>
      <c r="H328" s="10" t="str">
        <f aca="false">IF($L328="","",IF($L328="@成本",购销流水!$U86,IF($L328="@收入",购销流水!$T86,IF($L328="@存货",购销流水!$S86,IF($L328="@结算",购销流水!$R86,$L328)))))</f>
        <v/>
      </c>
      <c r="I328" s="42" t="n">
        <f aca="false">IF($M328="借",$O328,0)</f>
        <v>0</v>
      </c>
      <c r="J328" s="42" t="n">
        <f aca="false">IF($M328="贷",$O328,0)</f>
        <v>0</v>
      </c>
      <c r="K328" s="48" t="str">
        <f aca="false">IF($H328="","",购销流水!$E86)</f>
        <v/>
      </c>
      <c r="L328" s="66" t="str">
        <f aca="false">IF(购销流水!$D86="","",IFERROR(INDEX(记账规则!$A$6:$N$9,MATCH(购销流水!$D86,记账规则!$A$6:$A$9,0),9),""))</f>
        <v/>
      </c>
      <c r="M328" s="66" t="str">
        <f aca="false">IF($L328="","",IFERROR(INDEX(记账规则!$A$6:$N$9,MATCH(购销流水!$D86,记账规则!$A$6:$A$9,0),10),""))</f>
        <v/>
      </c>
      <c r="N328" s="66" t="str">
        <f aca="false">IF($L328="","",IFERROR(INDEX(记账规则!$A$6:$N$9,MATCH(购销流水!$D86,记账规则!$A$6:$A$9,0),11),""))</f>
        <v/>
      </c>
      <c r="O328" s="67" t="n">
        <f aca="false">IF($H328="",0,ROUND(IF($N328="成本金额",N(购销流水!$W86),IF($N328="金额",N(购销流水!$Q86),0)),2))</f>
        <v>0</v>
      </c>
      <c r="P328" s="64" t="str">
        <f aca="false">IF(AND($H328&lt;&gt;"",ROUND($O328,2)&lt;&gt;0),"有","")</f>
        <v/>
      </c>
    </row>
    <row r="329" customFormat="false" ht="15" hidden="true" customHeight="false" outlineLevel="0" collapsed="false">
      <c r="A329" s="53" t="str">
        <f aca="false">IF($H329="","",ROW()-5)</f>
        <v/>
      </c>
      <c r="B329" s="64" t="s">
        <v>36</v>
      </c>
      <c r="C329" s="53" t="n">
        <v>86</v>
      </c>
      <c r="D329" s="53" t="n">
        <v>4</v>
      </c>
      <c r="E329" s="65" t="str">
        <f aca="false">IF($H329="","",购销流水!$B86)</f>
        <v/>
      </c>
      <c r="F329" s="55" t="str">
        <f aca="false">IF($H329="","",购销流水!$C86)</f>
        <v/>
      </c>
      <c r="G329" s="48" t="str">
        <f aca="false">IF($H329="","",购销流水!$N86)</f>
        <v/>
      </c>
      <c r="H329" s="10" t="str">
        <f aca="false">IF($L329="","",IF($L329="@成本",购销流水!$U86,IF($L329="@收入",购销流水!$T86,IF($L329="@存货",购销流水!$S86,IF($L329="@结算",购销流水!$R86,$L329)))))</f>
        <v/>
      </c>
      <c r="I329" s="42" t="n">
        <f aca="false">IF($M329="借",$O329,0)</f>
        <v>0</v>
      </c>
      <c r="J329" s="42" t="n">
        <f aca="false">IF($M329="贷",$O329,0)</f>
        <v>0</v>
      </c>
      <c r="K329" s="48" t="str">
        <f aca="false">IF($H329="","",购销流水!$E86)</f>
        <v/>
      </c>
      <c r="L329" s="66" t="str">
        <f aca="false">IF(购销流水!$D86="","",IFERROR(INDEX(记账规则!$A$6:$N$9,MATCH(购销流水!$D86,记账规则!$A$6:$A$9,0),12),""))</f>
        <v/>
      </c>
      <c r="M329" s="66" t="str">
        <f aca="false">IF($L329="","",IFERROR(INDEX(记账规则!$A$6:$N$9,MATCH(购销流水!$D86,记账规则!$A$6:$A$9,0),13),""))</f>
        <v/>
      </c>
      <c r="N329" s="66" t="str">
        <f aca="false">IF($L329="","",IFERROR(INDEX(记账规则!$A$6:$N$9,MATCH(购销流水!$D86,记账规则!$A$6:$A$9,0),14),""))</f>
        <v/>
      </c>
      <c r="O329" s="67" t="n">
        <f aca="false">IF($H329="",0,ROUND(IF($N329="成本金额",N(购销流水!$W86),IF($N329="金额",N(购销流水!$Q86),0)),2))</f>
        <v>0</v>
      </c>
      <c r="P329" s="64" t="str">
        <f aca="false">IF(AND($H329&lt;&gt;"",ROUND($O329,2)&lt;&gt;0),"有","")</f>
        <v/>
      </c>
    </row>
    <row r="330" customFormat="false" ht="15" hidden="true" customHeight="false" outlineLevel="0" collapsed="false">
      <c r="A330" s="53" t="str">
        <f aca="false">IF($H330="","",ROW()-5)</f>
        <v/>
      </c>
      <c r="B330" s="64" t="s">
        <v>36</v>
      </c>
      <c r="C330" s="53" t="n">
        <v>87</v>
      </c>
      <c r="D330" s="53" t="n">
        <v>1</v>
      </c>
      <c r="E330" s="65" t="str">
        <f aca="false">IF($H330="","",购销流水!$B87)</f>
        <v/>
      </c>
      <c r="F330" s="55" t="str">
        <f aca="false">IF($H330="","",购销流水!$C87)</f>
        <v/>
      </c>
      <c r="G330" s="48" t="str">
        <f aca="false">IF($H330="","",购销流水!$N87)</f>
        <v/>
      </c>
      <c r="H330" s="10" t="str">
        <f aca="false">IF($L330="","",IF($L330="@成本",购销流水!$U87,IF($L330="@收入",购销流水!$T87,IF($L330="@存货",购销流水!$S87,IF($L330="@结算",购销流水!$R87,$L330)))))</f>
        <v/>
      </c>
      <c r="I330" s="42" t="n">
        <f aca="false">IF($M330="借",$O330,0)</f>
        <v>0</v>
      </c>
      <c r="J330" s="42" t="n">
        <f aca="false">IF($M330="贷",$O330,0)</f>
        <v>0</v>
      </c>
      <c r="K330" s="48" t="str">
        <f aca="false">IF($H330="","",购销流水!$E87)</f>
        <v/>
      </c>
      <c r="L330" s="66" t="str">
        <f aca="false">IF(购销流水!$D87="","",IFERROR(INDEX(记账规则!$A$6:$N$9,MATCH(购销流水!$D87,记账规则!$A$6:$A$9,0),3),""))</f>
        <v/>
      </c>
      <c r="M330" s="66" t="str">
        <f aca="false">IF($L330="","",IFERROR(INDEX(记账规则!$A$6:$N$9,MATCH(购销流水!$D87,记账规则!$A$6:$A$9,0),4),""))</f>
        <v/>
      </c>
      <c r="N330" s="66" t="str">
        <f aca="false">IF($L330="","",IFERROR(INDEX(记账规则!$A$6:$N$9,MATCH(购销流水!$D87,记账规则!$A$6:$A$9,0),5),""))</f>
        <v/>
      </c>
      <c r="O330" s="67" t="n">
        <f aca="false">IF($H330="",0,ROUND(IF($N330="成本金额",N(购销流水!$W87),IF($N330="金额",N(购销流水!$Q87),0)),2))</f>
        <v>0</v>
      </c>
      <c r="P330" s="64" t="str">
        <f aca="false">IF(AND($H330&lt;&gt;"",ROUND($O330,2)&lt;&gt;0),"有","")</f>
        <v/>
      </c>
    </row>
    <row r="331" customFormat="false" ht="15" hidden="true" customHeight="false" outlineLevel="0" collapsed="false">
      <c r="A331" s="53" t="str">
        <f aca="false">IF($H331="","",ROW()-5)</f>
        <v/>
      </c>
      <c r="B331" s="64" t="s">
        <v>36</v>
      </c>
      <c r="C331" s="53" t="n">
        <v>87</v>
      </c>
      <c r="D331" s="53" t="n">
        <v>2</v>
      </c>
      <c r="E331" s="65" t="str">
        <f aca="false">IF($H331="","",购销流水!$B87)</f>
        <v/>
      </c>
      <c r="F331" s="55" t="str">
        <f aca="false">IF($H331="","",购销流水!$C87)</f>
        <v/>
      </c>
      <c r="G331" s="48" t="str">
        <f aca="false">IF($H331="","",购销流水!$N87)</f>
        <v/>
      </c>
      <c r="H331" s="10" t="str">
        <f aca="false">IF($L331="","",IF($L331="@成本",购销流水!$U87,IF($L331="@收入",购销流水!$T87,IF($L331="@存货",购销流水!$S87,IF($L331="@结算",购销流水!$R87,$L331)))))</f>
        <v/>
      </c>
      <c r="I331" s="42" t="n">
        <f aca="false">IF($M331="借",$O331,0)</f>
        <v>0</v>
      </c>
      <c r="J331" s="42" t="n">
        <f aca="false">IF($M331="贷",$O331,0)</f>
        <v>0</v>
      </c>
      <c r="K331" s="48" t="str">
        <f aca="false">IF($H331="","",购销流水!$E87)</f>
        <v/>
      </c>
      <c r="L331" s="66" t="str">
        <f aca="false">IF(购销流水!$D87="","",IFERROR(INDEX(记账规则!$A$6:$N$9,MATCH(购销流水!$D87,记账规则!$A$6:$A$9,0),6),""))</f>
        <v/>
      </c>
      <c r="M331" s="66" t="str">
        <f aca="false">IF($L331="","",IFERROR(INDEX(记账规则!$A$6:$N$9,MATCH(购销流水!$D87,记账规则!$A$6:$A$9,0),7),""))</f>
        <v/>
      </c>
      <c r="N331" s="66" t="str">
        <f aca="false">IF($L331="","",IFERROR(INDEX(记账规则!$A$6:$N$9,MATCH(购销流水!$D87,记账规则!$A$6:$A$9,0),8),""))</f>
        <v/>
      </c>
      <c r="O331" s="67" t="n">
        <f aca="false">IF($H331="",0,ROUND(IF($N331="成本金额",N(购销流水!$W87),IF($N331="金额",N(购销流水!$Q87),0)),2))</f>
        <v>0</v>
      </c>
      <c r="P331" s="64" t="str">
        <f aca="false">IF(AND($H331&lt;&gt;"",ROUND($O331,2)&lt;&gt;0),"有","")</f>
        <v/>
      </c>
    </row>
    <row r="332" customFormat="false" ht="15" hidden="true" customHeight="false" outlineLevel="0" collapsed="false">
      <c r="A332" s="53" t="str">
        <f aca="false">IF($H332="","",ROW()-5)</f>
        <v/>
      </c>
      <c r="B332" s="64" t="s">
        <v>36</v>
      </c>
      <c r="C332" s="53" t="n">
        <v>87</v>
      </c>
      <c r="D332" s="53" t="n">
        <v>3</v>
      </c>
      <c r="E332" s="65" t="str">
        <f aca="false">IF($H332="","",购销流水!$B87)</f>
        <v/>
      </c>
      <c r="F332" s="55" t="str">
        <f aca="false">IF($H332="","",购销流水!$C87)</f>
        <v/>
      </c>
      <c r="G332" s="48" t="str">
        <f aca="false">IF($H332="","",购销流水!$N87)</f>
        <v/>
      </c>
      <c r="H332" s="10" t="str">
        <f aca="false">IF($L332="","",IF($L332="@成本",购销流水!$U87,IF($L332="@收入",购销流水!$T87,IF($L332="@存货",购销流水!$S87,IF($L332="@结算",购销流水!$R87,$L332)))))</f>
        <v/>
      </c>
      <c r="I332" s="42" t="n">
        <f aca="false">IF($M332="借",$O332,0)</f>
        <v>0</v>
      </c>
      <c r="J332" s="42" t="n">
        <f aca="false">IF($M332="贷",$O332,0)</f>
        <v>0</v>
      </c>
      <c r="K332" s="48" t="str">
        <f aca="false">IF($H332="","",购销流水!$E87)</f>
        <v/>
      </c>
      <c r="L332" s="66" t="str">
        <f aca="false">IF(购销流水!$D87="","",IFERROR(INDEX(记账规则!$A$6:$N$9,MATCH(购销流水!$D87,记账规则!$A$6:$A$9,0),9),""))</f>
        <v/>
      </c>
      <c r="M332" s="66" t="str">
        <f aca="false">IF($L332="","",IFERROR(INDEX(记账规则!$A$6:$N$9,MATCH(购销流水!$D87,记账规则!$A$6:$A$9,0),10),""))</f>
        <v/>
      </c>
      <c r="N332" s="66" t="str">
        <f aca="false">IF($L332="","",IFERROR(INDEX(记账规则!$A$6:$N$9,MATCH(购销流水!$D87,记账规则!$A$6:$A$9,0),11),""))</f>
        <v/>
      </c>
      <c r="O332" s="67" t="n">
        <f aca="false">IF($H332="",0,ROUND(IF($N332="成本金额",N(购销流水!$W87),IF($N332="金额",N(购销流水!$Q87),0)),2))</f>
        <v>0</v>
      </c>
      <c r="P332" s="64" t="str">
        <f aca="false">IF(AND($H332&lt;&gt;"",ROUND($O332,2)&lt;&gt;0),"有","")</f>
        <v/>
      </c>
    </row>
    <row r="333" customFormat="false" ht="15" hidden="true" customHeight="false" outlineLevel="0" collapsed="false">
      <c r="A333" s="53" t="str">
        <f aca="false">IF($H333="","",ROW()-5)</f>
        <v/>
      </c>
      <c r="B333" s="64" t="s">
        <v>36</v>
      </c>
      <c r="C333" s="53" t="n">
        <v>87</v>
      </c>
      <c r="D333" s="53" t="n">
        <v>4</v>
      </c>
      <c r="E333" s="65" t="str">
        <f aca="false">IF($H333="","",购销流水!$B87)</f>
        <v/>
      </c>
      <c r="F333" s="55" t="str">
        <f aca="false">IF($H333="","",购销流水!$C87)</f>
        <v/>
      </c>
      <c r="G333" s="48" t="str">
        <f aca="false">IF($H333="","",购销流水!$N87)</f>
        <v/>
      </c>
      <c r="H333" s="10" t="str">
        <f aca="false">IF($L333="","",IF($L333="@成本",购销流水!$U87,IF($L333="@收入",购销流水!$T87,IF($L333="@存货",购销流水!$S87,IF($L333="@结算",购销流水!$R87,$L333)))))</f>
        <v/>
      </c>
      <c r="I333" s="42" t="n">
        <f aca="false">IF($M333="借",$O333,0)</f>
        <v>0</v>
      </c>
      <c r="J333" s="42" t="n">
        <f aca="false">IF($M333="贷",$O333,0)</f>
        <v>0</v>
      </c>
      <c r="K333" s="48" t="str">
        <f aca="false">IF($H333="","",购销流水!$E87)</f>
        <v/>
      </c>
      <c r="L333" s="66" t="str">
        <f aca="false">IF(购销流水!$D87="","",IFERROR(INDEX(记账规则!$A$6:$N$9,MATCH(购销流水!$D87,记账规则!$A$6:$A$9,0),12),""))</f>
        <v/>
      </c>
      <c r="M333" s="66" t="str">
        <f aca="false">IF($L333="","",IFERROR(INDEX(记账规则!$A$6:$N$9,MATCH(购销流水!$D87,记账规则!$A$6:$A$9,0),13),""))</f>
        <v/>
      </c>
      <c r="N333" s="66" t="str">
        <f aca="false">IF($L333="","",IFERROR(INDEX(记账规则!$A$6:$N$9,MATCH(购销流水!$D87,记账规则!$A$6:$A$9,0),14),""))</f>
        <v/>
      </c>
      <c r="O333" s="67" t="n">
        <f aca="false">IF($H333="",0,ROUND(IF($N333="成本金额",N(购销流水!$W87),IF($N333="金额",N(购销流水!$Q87),0)),2))</f>
        <v>0</v>
      </c>
      <c r="P333" s="64" t="str">
        <f aca="false">IF(AND($H333&lt;&gt;"",ROUND($O333,2)&lt;&gt;0),"有","")</f>
        <v/>
      </c>
    </row>
    <row r="334" customFormat="false" ht="15" hidden="true" customHeight="false" outlineLevel="0" collapsed="false">
      <c r="A334" s="53" t="str">
        <f aca="false">IF($H334="","",ROW()-5)</f>
        <v/>
      </c>
      <c r="B334" s="64" t="s">
        <v>36</v>
      </c>
      <c r="C334" s="53" t="n">
        <v>88</v>
      </c>
      <c r="D334" s="53" t="n">
        <v>1</v>
      </c>
      <c r="E334" s="65" t="str">
        <f aca="false">IF($H334="","",购销流水!$B88)</f>
        <v/>
      </c>
      <c r="F334" s="55" t="str">
        <f aca="false">IF($H334="","",购销流水!$C88)</f>
        <v/>
      </c>
      <c r="G334" s="48" t="str">
        <f aca="false">IF($H334="","",购销流水!$N88)</f>
        <v/>
      </c>
      <c r="H334" s="10" t="str">
        <f aca="false">IF($L334="","",IF($L334="@成本",购销流水!$U88,IF($L334="@收入",购销流水!$T88,IF($L334="@存货",购销流水!$S88,IF($L334="@结算",购销流水!$R88,$L334)))))</f>
        <v/>
      </c>
      <c r="I334" s="42" t="n">
        <f aca="false">IF($M334="借",$O334,0)</f>
        <v>0</v>
      </c>
      <c r="J334" s="42" t="n">
        <f aca="false">IF($M334="贷",$O334,0)</f>
        <v>0</v>
      </c>
      <c r="K334" s="48" t="str">
        <f aca="false">IF($H334="","",购销流水!$E88)</f>
        <v/>
      </c>
      <c r="L334" s="66" t="str">
        <f aca="false">IF(购销流水!$D88="","",IFERROR(INDEX(记账规则!$A$6:$N$9,MATCH(购销流水!$D88,记账规则!$A$6:$A$9,0),3),""))</f>
        <v/>
      </c>
      <c r="M334" s="66" t="str">
        <f aca="false">IF($L334="","",IFERROR(INDEX(记账规则!$A$6:$N$9,MATCH(购销流水!$D88,记账规则!$A$6:$A$9,0),4),""))</f>
        <v/>
      </c>
      <c r="N334" s="66" t="str">
        <f aca="false">IF($L334="","",IFERROR(INDEX(记账规则!$A$6:$N$9,MATCH(购销流水!$D88,记账规则!$A$6:$A$9,0),5),""))</f>
        <v/>
      </c>
      <c r="O334" s="67" t="n">
        <f aca="false">IF($H334="",0,ROUND(IF($N334="成本金额",N(购销流水!$W88),IF($N334="金额",N(购销流水!$Q88),0)),2))</f>
        <v>0</v>
      </c>
      <c r="P334" s="64" t="str">
        <f aca="false">IF(AND($H334&lt;&gt;"",ROUND($O334,2)&lt;&gt;0),"有","")</f>
        <v/>
      </c>
    </row>
    <row r="335" customFormat="false" ht="15" hidden="true" customHeight="false" outlineLevel="0" collapsed="false">
      <c r="A335" s="53" t="str">
        <f aca="false">IF($H335="","",ROW()-5)</f>
        <v/>
      </c>
      <c r="B335" s="64" t="s">
        <v>36</v>
      </c>
      <c r="C335" s="53" t="n">
        <v>88</v>
      </c>
      <c r="D335" s="53" t="n">
        <v>2</v>
      </c>
      <c r="E335" s="65" t="str">
        <f aca="false">IF($H335="","",购销流水!$B88)</f>
        <v/>
      </c>
      <c r="F335" s="55" t="str">
        <f aca="false">IF($H335="","",购销流水!$C88)</f>
        <v/>
      </c>
      <c r="G335" s="48" t="str">
        <f aca="false">IF($H335="","",购销流水!$N88)</f>
        <v/>
      </c>
      <c r="H335" s="10" t="str">
        <f aca="false">IF($L335="","",IF($L335="@成本",购销流水!$U88,IF($L335="@收入",购销流水!$T88,IF($L335="@存货",购销流水!$S88,IF($L335="@结算",购销流水!$R88,$L335)))))</f>
        <v/>
      </c>
      <c r="I335" s="42" t="n">
        <f aca="false">IF($M335="借",$O335,0)</f>
        <v>0</v>
      </c>
      <c r="J335" s="42" t="n">
        <f aca="false">IF($M335="贷",$O335,0)</f>
        <v>0</v>
      </c>
      <c r="K335" s="48" t="str">
        <f aca="false">IF($H335="","",购销流水!$E88)</f>
        <v/>
      </c>
      <c r="L335" s="66" t="str">
        <f aca="false">IF(购销流水!$D88="","",IFERROR(INDEX(记账规则!$A$6:$N$9,MATCH(购销流水!$D88,记账规则!$A$6:$A$9,0),6),""))</f>
        <v/>
      </c>
      <c r="M335" s="66" t="str">
        <f aca="false">IF($L335="","",IFERROR(INDEX(记账规则!$A$6:$N$9,MATCH(购销流水!$D88,记账规则!$A$6:$A$9,0),7),""))</f>
        <v/>
      </c>
      <c r="N335" s="66" t="str">
        <f aca="false">IF($L335="","",IFERROR(INDEX(记账规则!$A$6:$N$9,MATCH(购销流水!$D88,记账规则!$A$6:$A$9,0),8),""))</f>
        <v/>
      </c>
      <c r="O335" s="67" t="n">
        <f aca="false">IF($H335="",0,ROUND(IF($N335="成本金额",N(购销流水!$W88),IF($N335="金额",N(购销流水!$Q88),0)),2))</f>
        <v>0</v>
      </c>
      <c r="P335" s="64" t="str">
        <f aca="false">IF(AND($H335&lt;&gt;"",ROUND($O335,2)&lt;&gt;0),"有","")</f>
        <v/>
      </c>
    </row>
    <row r="336" customFormat="false" ht="15" hidden="true" customHeight="false" outlineLevel="0" collapsed="false">
      <c r="A336" s="53" t="str">
        <f aca="false">IF($H336="","",ROW()-5)</f>
        <v/>
      </c>
      <c r="B336" s="64" t="s">
        <v>36</v>
      </c>
      <c r="C336" s="53" t="n">
        <v>88</v>
      </c>
      <c r="D336" s="53" t="n">
        <v>3</v>
      </c>
      <c r="E336" s="65" t="str">
        <f aca="false">IF($H336="","",购销流水!$B88)</f>
        <v/>
      </c>
      <c r="F336" s="55" t="str">
        <f aca="false">IF($H336="","",购销流水!$C88)</f>
        <v/>
      </c>
      <c r="G336" s="48" t="str">
        <f aca="false">IF($H336="","",购销流水!$N88)</f>
        <v/>
      </c>
      <c r="H336" s="10" t="str">
        <f aca="false">IF($L336="","",IF($L336="@成本",购销流水!$U88,IF($L336="@收入",购销流水!$T88,IF($L336="@存货",购销流水!$S88,IF($L336="@结算",购销流水!$R88,$L336)))))</f>
        <v/>
      </c>
      <c r="I336" s="42" t="n">
        <f aca="false">IF($M336="借",$O336,0)</f>
        <v>0</v>
      </c>
      <c r="J336" s="42" t="n">
        <f aca="false">IF($M336="贷",$O336,0)</f>
        <v>0</v>
      </c>
      <c r="K336" s="48" t="str">
        <f aca="false">IF($H336="","",购销流水!$E88)</f>
        <v/>
      </c>
      <c r="L336" s="66" t="str">
        <f aca="false">IF(购销流水!$D88="","",IFERROR(INDEX(记账规则!$A$6:$N$9,MATCH(购销流水!$D88,记账规则!$A$6:$A$9,0),9),""))</f>
        <v/>
      </c>
      <c r="M336" s="66" t="str">
        <f aca="false">IF($L336="","",IFERROR(INDEX(记账规则!$A$6:$N$9,MATCH(购销流水!$D88,记账规则!$A$6:$A$9,0),10),""))</f>
        <v/>
      </c>
      <c r="N336" s="66" t="str">
        <f aca="false">IF($L336="","",IFERROR(INDEX(记账规则!$A$6:$N$9,MATCH(购销流水!$D88,记账规则!$A$6:$A$9,0),11),""))</f>
        <v/>
      </c>
      <c r="O336" s="67" t="n">
        <f aca="false">IF($H336="",0,ROUND(IF($N336="成本金额",N(购销流水!$W88),IF($N336="金额",N(购销流水!$Q88),0)),2))</f>
        <v>0</v>
      </c>
      <c r="P336" s="64" t="str">
        <f aca="false">IF(AND($H336&lt;&gt;"",ROUND($O336,2)&lt;&gt;0),"有","")</f>
        <v/>
      </c>
    </row>
    <row r="337" customFormat="false" ht="15" hidden="true" customHeight="false" outlineLevel="0" collapsed="false">
      <c r="A337" s="53" t="str">
        <f aca="false">IF($H337="","",ROW()-5)</f>
        <v/>
      </c>
      <c r="B337" s="64" t="s">
        <v>36</v>
      </c>
      <c r="C337" s="53" t="n">
        <v>88</v>
      </c>
      <c r="D337" s="53" t="n">
        <v>4</v>
      </c>
      <c r="E337" s="65" t="str">
        <f aca="false">IF($H337="","",购销流水!$B88)</f>
        <v/>
      </c>
      <c r="F337" s="55" t="str">
        <f aca="false">IF($H337="","",购销流水!$C88)</f>
        <v/>
      </c>
      <c r="G337" s="48" t="str">
        <f aca="false">IF($H337="","",购销流水!$N88)</f>
        <v/>
      </c>
      <c r="H337" s="10" t="str">
        <f aca="false">IF($L337="","",IF($L337="@成本",购销流水!$U88,IF($L337="@收入",购销流水!$T88,IF($L337="@存货",购销流水!$S88,IF($L337="@结算",购销流水!$R88,$L337)))))</f>
        <v/>
      </c>
      <c r="I337" s="42" t="n">
        <f aca="false">IF($M337="借",$O337,0)</f>
        <v>0</v>
      </c>
      <c r="J337" s="42" t="n">
        <f aca="false">IF($M337="贷",$O337,0)</f>
        <v>0</v>
      </c>
      <c r="K337" s="48" t="str">
        <f aca="false">IF($H337="","",购销流水!$E88)</f>
        <v/>
      </c>
      <c r="L337" s="66" t="str">
        <f aca="false">IF(购销流水!$D88="","",IFERROR(INDEX(记账规则!$A$6:$N$9,MATCH(购销流水!$D88,记账规则!$A$6:$A$9,0),12),""))</f>
        <v/>
      </c>
      <c r="M337" s="66" t="str">
        <f aca="false">IF($L337="","",IFERROR(INDEX(记账规则!$A$6:$N$9,MATCH(购销流水!$D88,记账规则!$A$6:$A$9,0),13),""))</f>
        <v/>
      </c>
      <c r="N337" s="66" t="str">
        <f aca="false">IF($L337="","",IFERROR(INDEX(记账规则!$A$6:$N$9,MATCH(购销流水!$D88,记账规则!$A$6:$A$9,0),14),""))</f>
        <v/>
      </c>
      <c r="O337" s="67" t="n">
        <f aca="false">IF($H337="",0,ROUND(IF($N337="成本金额",N(购销流水!$W88),IF($N337="金额",N(购销流水!$Q88),0)),2))</f>
        <v>0</v>
      </c>
      <c r="P337" s="64" t="str">
        <f aca="false">IF(AND($H337&lt;&gt;"",ROUND($O337,2)&lt;&gt;0),"有","")</f>
        <v/>
      </c>
    </row>
    <row r="338" customFormat="false" ht="15" hidden="true" customHeight="false" outlineLevel="0" collapsed="false">
      <c r="A338" s="53" t="str">
        <f aca="false">IF($H338="","",ROW()-5)</f>
        <v/>
      </c>
      <c r="B338" s="64" t="s">
        <v>36</v>
      </c>
      <c r="C338" s="53" t="n">
        <v>89</v>
      </c>
      <c r="D338" s="53" t="n">
        <v>1</v>
      </c>
      <c r="E338" s="65" t="str">
        <f aca="false">IF($H338="","",购销流水!$B89)</f>
        <v/>
      </c>
      <c r="F338" s="55" t="str">
        <f aca="false">IF($H338="","",购销流水!$C89)</f>
        <v/>
      </c>
      <c r="G338" s="48" t="str">
        <f aca="false">IF($H338="","",购销流水!$N89)</f>
        <v/>
      </c>
      <c r="H338" s="10" t="str">
        <f aca="false">IF($L338="","",IF($L338="@成本",购销流水!$U89,IF($L338="@收入",购销流水!$T89,IF($L338="@存货",购销流水!$S89,IF($L338="@结算",购销流水!$R89,$L338)))))</f>
        <v/>
      </c>
      <c r="I338" s="42" t="n">
        <f aca="false">IF($M338="借",$O338,0)</f>
        <v>0</v>
      </c>
      <c r="J338" s="42" t="n">
        <f aca="false">IF($M338="贷",$O338,0)</f>
        <v>0</v>
      </c>
      <c r="K338" s="48" t="str">
        <f aca="false">IF($H338="","",购销流水!$E89)</f>
        <v/>
      </c>
      <c r="L338" s="66" t="str">
        <f aca="false">IF(购销流水!$D89="","",IFERROR(INDEX(记账规则!$A$6:$N$9,MATCH(购销流水!$D89,记账规则!$A$6:$A$9,0),3),""))</f>
        <v/>
      </c>
      <c r="M338" s="66" t="str">
        <f aca="false">IF($L338="","",IFERROR(INDEX(记账规则!$A$6:$N$9,MATCH(购销流水!$D89,记账规则!$A$6:$A$9,0),4),""))</f>
        <v/>
      </c>
      <c r="N338" s="66" t="str">
        <f aca="false">IF($L338="","",IFERROR(INDEX(记账规则!$A$6:$N$9,MATCH(购销流水!$D89,记账规则!$A$6:$A$9,0),5),""))</f>
        <v/>
      </c>
      <c r="O338" s="67" t="n">
        <f aca="false">IF($H338="",0,ROUND(IF($N338="成本金额",N(购销流水!$W89),IF($N338="金额",N(购销流水!$Q89),0)),2))</f>
        <v>0</v>
      </c>
      <c r="P338" s="64" t="str">
        <f aca="false">IF(AND($H338&lt;&gt;"",ROUND($O338,2)&lt;&gt;0),"有","")</f>
        <v/>
      </c>
    </row>
    <row r="339" customFormat="false" ht="15" hidden="true" customHeight="false" outlineLevel="0" collapsed="false">
      <c r="A339" s="53" t="str">
        <f aca="false">IF($H339="","",ROW()-5)</f>
        <v/>
      </c>
      <c r="B339" s="64" t="s">
        <v>36</v>
      </c>
      <c r="C339" s="53" t="n">
        <v>89</v>
      </c>
      <c r="D339" s="53" t="n">
        <v>2</v>
      </c>
      <c r="E339" s="65" t="str">
        <f aca="false">IF($H339="","",购销流水!$B89)</f>
        <v/>
      </c>
      <c r="F339" s="55" t="str">
        <f aca="false">IF($H339="","",购销流水!$C89)</f>
        <v/>
      </c>
      <c r="G339" s="48" t="str">
        <f aca="false">IF($H339="","",购销流水!$N89)</f>
        <v/>
      </c>
      <c r="H339" s="10" t="str">
        <f aca="false">IF($L339="","",IF($L339="@成本",购销流水!$U89,IF($L339="@收入",购销流水!$T89,IF($L339="@存货",购销流水!$S89,IF($L339="@结算",购销流水!$R89,$L339)))))</f>
        <v/>
      </c>
      <c r="I339" s="42" t="n">
        <f aca="false">IF($M339="借",$O339,0)</f>
        <v>0</v>
      </c>
      <c r="J339" s="42" t="n">
        <f aca="false">IF($M339="贷",$O339,0)</f>
        <v>0</v>
      </c>
      <c r="K339" s="48" t="str">
        <f aca="false">IF($H339="","",购销流水!$E89)</f>
        <v/>
      </c>
      <c r="L339" s="66" t="str">
        <f aca="false">IF(购销流水!$D89="","",IFERROR(INDEX(记账规则!$A$6:$N$9,MATCH(购销流水!$D89,记账规则!$A$6:$A$9,0),6),""))</f>
        <v/>
      </c>
      <c r="M339" s="66" t="str">
        <f aca="false">IF($L339="","",IFERROR(INDEX(记账规则!$A$6:$N$9,MATCH(购销流水!$D89,记账规则!$A$6:$A$9,0),7),""))</f>
        <v/>
      </c>
      <c r="N339" s="66" t="str">
        <f aca="false">IF($L339="","",IFERROR(INDEX(记账规则!$A$6:$N$9,MATCH(购销流水!$D89,记账规则!$A$6:$A$9,0),8),""))</f>
        <v/>
      </c>
      <c r="O339" s="67" t="n">
        <f aca="false">IF($H339="",0,ROUND(IF($N339="成本金额",N(购销流水!$W89),IF($N339="金额",N(购销流水!$Q89),0)),2))</f>
        <v>0</v>
      </c>
      <c r="P339" s="64" t="str">
        <f aca="false">IF(AND($H339&lt;&gt;"",ROUND($O339,2)&lt;&gt;0),"有","")</f>
        <v/>
      </c>
    </row>
    <row r="340" customFormat="false" ht="15" hidden="true" customHeight="false" outlineLevel="0" collapsed="false">
      <c r="A340" s="53" t="str">
        <f aca="false">IF($H340="","",ROW()-5)</f>
        <v/>
      </c>
      <c r="B340" s="64" t="s">
        <v>36</v>
      </c>
      <c r="C340" s="53" t="n">
        <v>89</v>
      </c>
      <c r="D340" s="53" t="n">
        <v>3</v>
      </c>
      <c r="E340" s="65" t="str">
        <f aca="false">IF($H340="","",购销流水!$B89)</f>
        <v/>
      </c>
      <c r="F340" s="55" t="str">
        <f aca="false">IF($H340="","",购销流水!$C89)</f>
        <v/>
      </c>
      <c r="G340" s="48" t="str">
        <f aca="false">IF($H340="","",购销流水!$N89)</f>
        <v/>
      </c>
      <c r="H340" s="10" t="str">
        <f aca="false">IF($L340="","",IF($L340="@成本",购销流水!$U89,IF($L340="@收入",购销流水!$T89,IF($L340="@存货",购销流水!$S89,IF($L340="@结算",购销流水!$R89,$L340)))))</f>
        <v/>
      </c>
      <c r="I340" s="42" t="n">
        <f aca="false">IF($M340="借",$O340,0)</f>
        <v>0</v>
      </c>
      <c r="J340" s="42" t="n">
        <f aca="false">IF($M340="贷",$O340,0)</f>
        <v>0</v>
      </c>
      <c r="K340" s="48" t="str">
        <f aca="false">IF($H340="","",购销流水!$E89)</f>
        <v/>
      </c>
      <c r="L340" s="66" t="str">
        <f aca="false">IF(购销流水!$D89="","",IFERROR(INDEX(记账规则!$A$6:$N$9,MATCH(购销流水!$D89,记账规则!$A$6:$A$9,0),9),""))</f>
        <v/>
      </c>
      <c r="M340" s="66" t="str">
        <f aca="false">IF($L340="","",IFERROR(INDEX(记账规则!$A$6:$N$9,MATCH(购销流水!$D89,记账规则!$A$6:$A$9,0),10),""))</f>
        <v/>
      </c>
      <c r="N340" s="66" t="str">
        <f aca="false">IF($L340="","",IFERROR(INDEX(记账规则!$A$6:$N$9,MATCH(购销流水!$D89,记账规则!$A$6:$A$9,0),11),""))</f>
        <v/>
      </c>
      <c r="O340" s="67" t="n">
        <f aca="false">IF($H340="",0,ROUND(IF($N340="成本金额",N(购销流水!$W89),IF($N340="金额",N(购销流水!$Q89),0)),2))</f>
        <v>0</v>
      </c>
      <c r="P340" s="64" t="str">
        <f aca="false">IF(AND($H340&lt;&gt;"",ROUND($O340,2)&lt;&gt;0),"有","")</f>
        <v/>
      </c>
    </row>
    <row r="341" customFormat="false" ht="15" hidden="true" customHeight="false" outlineLevel="0" collapsed="false">
      <c r="A341" s="53" t="str">
        <f aca="false">IF($H341="","",ROW()-5)</f>
        <v/>
      </c>
      <c r="B341" s="64" t="s">
        <v>36</v>
      </c>
      <c r="C341" s="53" t="n">
        <v>89</v>
      </c>
      <c r="D341" s="53" t="n">
        <v>4</v>
      </c>
      <c r="E341" s="65" t="str">
        <f aca="false">IF($H341="","",购销流水!$B89)</f>
        <v/>
      </c>
      <c r="F341" s="55" t="str">
        <f aca="false">IF($H341="","",购销流水!$C89)</f>
        <v/>
      </c>
      <c r="G341" s="48" t="str">
        <f aca="false">IF($H341="","",购销流水!$N89)</f>
        <v/>
      </c>
      <c r="H341" s="10" t="str">
        <f aca="false">IF($L341="","",IF($L341="@成本",购销流水!$U89,IF($L341="@收入",购销流水!$T89,IF($L341="@存货",购销流水!$S89,IF($L341="@结算",购销流水!$R89,$L341)))))</f>
        <v/>
      </c>
      <c r="I341" s="42" t="n">
        <f aca="false">IF($M341="借",$O341,0)</f>
        <v>0</v>
      </c>
      <c r="J341" s="42" t="n">
        <f aca="false">IF($M341="贷",$O341,0)</f>
        <v>0</v>
      </c>
      <c r="K341" s="48" t="str">
        <f aca="false">IF($H341="","",购销流水!$E89)</f>
        <v/>
      </c>
      <c r="L341" s="66" t="str">
        <f aca="false">IF(购销流水!$D89="","",IFERROR(INDEX(记账规则!$A$6:$N$9,MATCH(购销流水!$D89,记账规则!$A$6:$A$9,0),12),""))</f>
        <v/>
      </c>
      <c r="M341" s="66" t="str">
        <f aca="false">IF($L341="","",IFERROR(INDEX(记账规则!$A$6:$N$9,MATCH(购销流水!$D89,记账规则!$A$6:$A$9,0),13),""))</f>
        <v/>
      </c>
      <c r="N341" s="66" t="str">
        <f aca="false">IF($L341="","",IFERROR(INDEX(记账规则!$A$6:$N$9,MATCH(购销流水!$D89,记账规则!$A$6:$A$9,0),14),""))</f>
        <v/>
      </c>
      <c r="O341" s="67" t="n">
        <f aca="false">IF($H341="",0,ROUND(IF($N341="成本金额",N(购销流水!$W89),IF($N341="金额",N(购销流水!$Q89),0)),2))</f>
        <v>0</v>
      </c>
      <c r="P341" s="64" t="str">
        <f aca="false">IF(AND($H341&lt;&gt;"",ROUND($O341,2)&lt;&gt;0),"有","")</f>
        <v/>
      </c>
    </row>
    <row r="342" customFormat="false" ht="15" hidden="true" customHeight="false" outlineLevel="0" collapsed="false">
      <c r="A342" s="53" t="str">
        <f aca="false">IF($H342="","",ROW()-5)</f>
        <v/>
      </c>
      <c r="B342" s="64" t="s">
        <v>36</v>
      </c>
      <c r="C342" s="53" t="n">
        <v>90</v>
      </c>
      <c r="D342" s="53" t="n">
        <v>1</v>
      </c>
      <c r="E342" s="65" t="str">
        <f aca="false">IF($H342="","",购销流水!$B90)</f>
        <v/>
      </c>
      <c r="F342" s="55" t="str">
        <f aca="false">IF($H342="","",购销流水!$C90)</f>
        <v/>
      </c>
      <c r="G342" s="48" t="str">
        <f aca="false">IF($H342="","",购销流水!$N90)</f>
        <v/>
      </c>
      <c r="H342" s="10" t="str">
        <f aca="false">IF($L342="","",IF($L342="@成本",购销流水!$U90,IF($L342="@收入",购销流水!$T90,IF($L342="@存货",购销流水!$S90,IF($L342="@结算",购销流水!$R90,$L342)))))</f>
        <v/>
      </c>
      <c r="I342" s="42" t="n">
        <f aca="false">IF($M342="借",$O342,0)</f>
        <v>0</v>
      </c>
      <c r="J342" s="42" t="n">
        <f aca="false">IF($M342="贷",$O342,0)</f>
        <v>0</v>
      </c>
      <c r="K342" s="48" t="str">
        <f aca="false">IF($H342="","",购销流水!$E90)</f>
        <v/>
      </c>
      <c r="L342" s="66" t="str">
        <f aca="false">IF(购销流水!$D90="","",IFERROR(INDEX(记账规则!$A$6:$N$9,MATCH(购销流水!$D90,记账规则!$A$6:$A$9,0),3),""))</f>
        <v/>
      </c>
      <c r="M342" s="66" t="str">
        <f aca="false">IF($L342="","",IFERROR(INDEX(记账规则!$A$6:$N$9,MATCH(购销流水!$D90,记账规则!$A$6:$A$9,0),4),""))</f>
        <v/>
      </c>
      <c r="N342" s="66" t="str">
        <f aca="false">IF($L342="","",IFERROR(INDEX(记账规则!$A$6:$N$9,MATCH(购销流水!$D90,记账规则!$A$6:$A$9,0),5),""))</f>
        <v/>
      </c>
      <c r="O342" s="67" t="n">
        <f aca="false">IF($H342="",0,ROUND(IF($N342="成本金额",N(购销流水!$W90),IF($N342="金额",N(购销流水!$Q90),0)),2))</f>
        <v>0</v>
      </c>
      <c r="P342" s="64" t="str">
        <f aca="false">IF(AND($H342&lt;&gt;"",ROUND($O342,2)&lt;&gt;0),"有","")</f>
        <v/>
      </c>
    </row>
    <row r="343" customFormat="false" ht="15" hidden="true" customHeight="false" outlineLevel="0" collapsed="false">
      <c r="A343" s="53" t="str">
        <f aca="false">IF($H343="","",ROW()-5)</f>
        <v/>
      </c>
      <c r="B343" s="64" t="s">
        <v>36</v>
      </c>
      <c r="C343" s="53" t="n">
        <v>90</v>
      </c>
      <c r="D343" s="53" t="n">
        <v>2</v>
      </c>
      <c r="E343" s="65" t="str">
        <f aca="false">IF($H343="","",购销流水!$B90)</f>
        <v/>
      </c>
      <c r="F343" s="55" t="str">
        <f aca="false">IF($H343="","",购销流水!$C90)</f>
        <v/>
      </c>
      <c r="G343" s="48" t="str">
        <f aca="false">IF($H343="","",购销流水!$N90)</f>
        <v/>
      </c>
      <c r="H343" s="10" t="str">
        <f aca="false">IF($L343="","",IF($L343="@成本",购销流水!$U90,IF($L343="@收入",购销流水!$T90,IF($L343="@存货",购销流水!$S90,IF($L343="@结算",购销流水!$R90,$L343)))))</f>
        <v/>
      </c>
      <c r="I343" s="42" t="n">
        <f aca="false">IF($M343="借",$O343,0)</f>
        <v>0</v>
      </c>
      <c r="J343" s="42" t="n">
        <f aca="false">IF($M343="贷",$O343,0)</f>
        <v>0</v>
      </c>
      <c r="K343" s="48" t="str">
        <f aca="false">IF($H343="","",购销流水!$E90)</f>
        <v/>
      </c>
      <c r="L343" s="66" t="str">
        <f aca="false">IF(购销流水!$D90="","",IFERROR(INDEX(记账规则!$A$6:$N$9,MATCH(购销流水!$D90,记账规则!$A$6:$A$9,0),6),""))</f>
        <v/>
      </c>
      <c r="M343" s="66" t="str">
        <f aca="false">IF($L343="","",IFERROR(INDEX(记账规则!$A$6:$N$9,MATCH(购销流水!$D90,记账规则!$A$6:$A$9,0),7),""))</f>
        <v/>
      </c>
      <c r="N343" s="66" t="str">
        <f aca="false">IF($L343="","",IFERROR(INDEX(记账规则!$A$6:$N$9,MATCH(购销流水!$D90,记账规则!$A$6:$A$9,0),8),""))</f>
        <v/>
      </c>
      <c r="O343" s="67" t="n">
        <f aca="false">IF($H343="",0,ROUND(IF($N343="成本金额",N(购销流水!$W90),IF($N343="金额",N(购销流水!$Q90),0)),2))</f>
        <v>0</v>
      </c>
      <c r="P343" s="64" t="str">
        <f aca="false">IF(AND($H343&lt;&gt;"",ROUND($O343,2)&lt;&gt;0),"有","")</f>
        <v/>
      </c>
    </row>
    <row r="344" customFormat="false" ht="15" hidden="true" customHeight="false" outlineLevel="0" collapsed="false">
      <c r="A344" s="53" t="str">
        <f aca="false">IF($H344="","",ROW()-5)</f>
        <v/>
      </c>
      <c r="B344" s="64" t="s">
        <v>36</v>
      </c>
      <c r="C344" s="53" t="n">
        <v>90</v>
      </c>
      <c r="D344" s="53" t="n">
        <v>3</v>
      </c>
      <c r="E344" s="65" t="str">
        <f aca="false">IF($H344="","",购销流水!$B90)</f>
        <v/>
      </c>
      <c r="F344" s="55" t="str">
        <f aca="false">IF($H344="","",购销流水!$C90)</f>
        <v/>
      </c>
      <c r="G344" s="48" t="str">
        <f aca="false">IF($H344="","",购销流水!$N90)</f>
        <v/>
      </c>
      <c r="H344" s="10" t="str">
        <f aca="false">IF($L344="","",IF($L344="@成本",购销流水!$U90,IF($L344="@收入",购销流水!$T90,IF($L344="@存货",购销流水!$S90,IF($L344="@结算",购销流水!$R90,$L344)))))</f>
        <v/>
      </c>
      <c r="I344" s="42" t="n">
        <f aca="false">IF($M344="借",$O344,0)</f>
        <v>0</v>
      </c>
      <c r="J344" s="42" t="n">
        <f aca="false">IF($M344="贷",$O344,0)</f>
        <v>0</v>
      </c>
      <c r="K344" s="48" t="str">
        <f aca="false">IF($H344="","",购销流水!$E90)</f>
        <v/>
      </c>
      <c r="L344" s="66" t="str">
        <f aca="false">IF(购销流水!$D90="","",IFERROR(INDEX(记账规则!$A$6:$N$9,MATCH(购销流水!$D90,记账规则!$A$6:$A$9,0),9),""))</f>
        <v/>
      </c>
      <c r="M344" s="66" t="str">
        <f aca="false">IF($L344="","",IFERROR(INDEX(记账规则!$A$6:$N$9,MATCH(购销流水!$D90,记账规则!$A$6:$A$9,0),10),""))</f>
        <v/>
      </c>
      <c r="N344" s="66" t="str">
        <f aca="false">IF($L344="","",IFERROR(INDEX(记账规则!$A$6:$N$9,MATCH(购销流水!$D90,记账规则!$A$6:$A$9,0),11),""))</f>
        <v/>
      </c>
      <c r="O344" s="67" t="n">
        <f aca="false">IF($H344="",0,ROUND(IF($N344="成本金额",N(购销流水!$W90),IF($N344="金额",N(购销流水!$Q90),0)),2))</f>
        <v>0</v>
      </c>
      <c r="P344" s="64" t="str">
        <f aca="false">IF(AND($H344&lt;&gt;"",ROUND($O344,2)&lt;&gt;0),"有","")</f>
        <v/>
      </c>
    </row>
    <row r="345" customFormat="false" ht="15" hidden="true" customHeight="false" outlineLevel="0" collapsed="false">
      <c r="A345" s="53" t="str">
        <f aca="false">IF($H345="","",ROW()-5)</f>
        <v/>
      </c>
      <c r="B345" s="64" t="s">
        <v>36</v>
      </c>
      <c r="C345" s="53" t="n">
        <v>90</v>
      </c>
      <c r="D345" s="53" t="n">
        <v>4</v>
      </c>
      <c r="E345" s="65" t="str">
        <f aca="false">IF($H345="","",购销流水!$B90)</f>
        <v/>
      </c>
      <c r="F345" s="55" t="str">
        <f aca="false">IF($H345="","",购销流水!$C90)</f>
        <v/>
      </c>
      <c r="G345" s="48" t="str">
        <f aca="false">IF($H345="","",购销流水!$N90)</f>
        <v/>
      </c>
      <c r="H345" s="10" t="str">
        <f aca="false">IF($L345="","",IF($L345="@成本",购销流水!$U90,IF($L345="@收入",购销流水!$T90,IF($L345="@存货",购销流水!$S90,IF($L345="@结算",购销流水!$R90,$L345)))))</f>
        <v/>
      </c>
      <c r="I345" s="42" t="n">
        <f aca="false">IF($M345="借",$O345,0)</f>
        <v>0</v>
      </c>
      <c r="J345" s="42" t="n">
        <f aca="false">IF($M345="贷",$O345,0)</f>
        <v>0</v>
      </c>
      <c r="K345" s="48" t="str">
        <f aca="false">IF($H345="","",购销流水!$E90)</f>
        <v/>
      </c>
      <c r="L345" s="66" t="str">
        <f aca="false">IF(购销流水!$D90="","",IFERROR(INDEX(记账规则!$A$6:$N$9,MATCH(购销流水!$D90,记账规则!$A$6:$A$9,0),12),""))</f>
        <v/>
      </c>
      <c r="M345" s="66" t="str">
        <f aca="false">IF($L345="","",IFERROR(INDEX(记账规则!$A$6:$N$9,MATCH(购销流水!$D90,记账规则!$A$6:$A$9,0),13),""))</f>
        <v/>
      </c>
      <c r="N345" s="66" t="str">
        <f aca="false">IF($L345="","",IFERROR(INDEX(记账规则!$A$6:$N$9,MATCH(购销流水!$D90,记账规则!$A$6:$A$9,0),14),""))</f>
        <v/>
      </c>
      <c r="O345" s="67" t="n">
        <f aca="false">IF($H345="",0,ROUND(IF($N345="成本金额",N(购销流水!$W90),IF($N345="金额",N(购销流水!$Q90),0)),2))</f>
        <v>0</v>
      </c>
      <c r="P345" s="64" t="str">
        <f aca="false">IF(AND($H345&lt;&gt;"",ROUND($O345,2)&lt;&gt;0),"有","")</f>
        <v/>
      </c>
    </row>
    <row r="346" customFormat="false" ht="15" hidden="true" customHeight="false" outlineLevel="0" collapsed="false">
      <c r="A346" s="53" t="str">
        <f aca="false">IF($H346="","",ROW()-5)</f>
        <v/>
      </c>
      <c r="B346" s="64" t="s">
        <v>36</v>
      </c>
      <c r="C346" s="53" t="n">
        <v>91</v>
      </c>
      <c r="D346" s="53" t="n">
        <v>1</v>
      </c>
      <c r="E346" s="65" t="str">
        <f aca="false">IF($H346="","",购销流水!$B91)</f>
        <v/>
      </c>
      <c r="F346" s="55" t="str">
        <f aca="false">IF($H346="","",购销流水!$C91)</f>
        <v/>
      </c>
      <c r="G346" s="48" t="str">
        <f aca="false">IF($H346="","",购销流水!$N91)</f>
        <v/>
      </c>
      <c r="H346" s="10" t="str">
        <f aca="false">IF($L346="","",IF($L346="@成本",购销流水!$U91,IF($L346="@收入",购销流水!$T91,IF($L346="@存货",购销流水!$S91,IF($L346="@结算",购销流水!$R91,$L346)))))</f>
        <v/>
      </c>
      <c r="I346" s="42" t="n">
        <f aca="false">IF($M346="借",$O346,0)</f>
        <v>0</v>
      </c>
      <c r="J346" s="42" t="n">
        <f aca="false">IF($M346="贷",$O346,0)</f>
        <v>0</v>
      </c>
      <c r="K346" s="48" t="str">
        <f aca="false">IF($H346="","",购销流水!$E91)</f>
        <v/>
      </c>
      <c r="L346" s="66" t="str">
        <f aca="false">IF(购销流水!$D91="","",IFERROR(INDEX(记账规则!$A$6:$N$9,MATCH(购销流水!$D91,记账规则!$A$6:$A$9,0),3),""))</f>
        <v/>
      </c>
      <c r="M346" s="66" t="str">
        <f aca="false">IF($L346="","",IFERROR(INDEX(记账规则!$A$6:$N$9,MATCH(购销流水!$D91,记账规则!$A$6:$A$9,0),4),""))</f>
        <v/>
      </c>
      <c r="N346" s="66" t="str">
        <f aca="false">IF($L346="","",IFERROR(INDEX(记账规则!$A$6:$N$9,MATCH(购销流水!$D91,记账规则!$A$6:$A$9,0),5),""))</f>
        <v/>
      </c>
      <c r="O346" s="67" t="n">
        <f aca="false">IF($H346="",0,ROUND(IF($N346="成本金额",N(购销流水!$W91),IF($N346="金额",N(购销流水!$Q91),0)),2))</f>
        <v>0</v>
      </c>
      <c r="P346" s="64" t="str">
        <f aca="false">IF(AND($H346&lt;&gt;"",ROUND($O346,2)&lt;&gt;0),"有","")</f>
        <v/>
      </c>
    </row>
    <row r="347" customFormat="false" ht="15" hidden="true" customHeight="false" outlineLevel="0" collapsed="false">
      <c r="A347" s="53" t="str">
        <f aca="false">IF($H347="","",ROW()-5)</f>
        <v/>
      </c>
      <c r="B347" s="64" t="s">
        <v>36</v>
      </c>
      <c r="C347" s="53" t="n">
        <v>91</v>
      </c>
      <c r="D347" s="53" t="n">
        <v>2</v>
      </c>
      <c r="E347" s="65" t="str">
        <f aca="false">IF($H347="","",购销流水!$B91)</f>
        <v/>
      </c>
      <c r="F347" s="55" t="str">
        <f aca="false">IF($H347="","",购销流水!$C91)</f>
        <v/>
      </c>
      <c r="G347" s="48" t="str">
        <f aca="false">IF($H347="","",购销流水!$N91)</f>
        <v/>
      </c>
      <c r="H347" s="10" t="str">
        <f aca="false">IF($L347="","",IF($L347="@成本",购销流水!$U91,IF($L347="@收入",购销流水!$T91,IF($L347="@存货",购销流水!$S91,IF($L347="@结算",购销流水!$R91,$L347)))))</f>
        <v/>
      </c>
      <c r="I347" s="42" t="n">
        <f aca="false">IF($M347="借",$O347,0)</f>
        <v>0</v>
      </c>
      <c r="J347" s="42" t="n">
        <f aca="false">IF($M347="贷",$O347,0)</f>
        <v>0</v>
      </c>
      <c r="K347" s="48" t="str">
        <f aca="false">IF($H347="","",购销流水!$E91)</f>
        <v/>
      </c>
      <c r="L347" s="66" t="str">
        <f aca="false">IF(购销流水!$D91="","",IFERROR(INDEX(记账规则!$A$6:$N$9,MATCH(购销流水!$D91,记账规则!$A$6:$A$9,0),6),""))</f>
        <v/>
      </c>
      <c r="M347" s="66" t="str">
        <f aca="false">IF($L347="","",IFERROR(INDEX(记账规则!$A$6:$N$9,MATCH(购销流水!$D91,记账规则!$A$6:$A$9,0),7),""))</f>
        <v/>
      </c>
      <c r="N347" s="66" t="str">
        <f aca="false">IF($L347="","",IFERROR(INDEX(记账规则!$A$6:$N$9,MATCH(购销流水!$D91,记账规则!$A$6:$A$9,0),8),""))</f>
        <v/>
      </c>
      <c r="O347" s="67" t="n">
        <f aca="false">IF($H347="",0,ROUND(IF($N347="成本金额",N(购销流水!$W91),IF($N347="金额",N(购销流水!$Q91),0)),2))</f>
        <v>0</v>
      </c>
      <c r="P347" s="64" t="str">
        <f aca="false">IF(AND($H347&lt;&gt;"",ROUND($O347,2)&lt;&gt;0),"有","")</f>
        <v/>
      </c>
    </row>
    <row r="348" customFormat="false" ht="15" hidden="true" customHeight="false" outlineLevel="0" collapsed="false">
      <c r="A348" s="53" t="str">
        <f aca="false">IF($H348="","",ROW()-5)</f>
        <v/>
      </c>
      <c r="B348" s="64" t="s">
        <v>36</v>
      </c>
      <c r="C348" s="53" t="n">
        <v>91</v>
      </c>
      <c r="D348" s="53" t="n">
        <v>3</v>
      </c>
      <c r="E348" s="65" t="str">
        <f aca="false">IF($H348="","",购销流水!$B91)</f>
        <v/>
      </c>
      <c r="F348" s="55" t="str">
        <f aca="false">IF($H348="","",购销流水!$C91)</f>
        <v/>
      </c>
      <c r="G348" s="48" t="str">
        <f aca="false">IF($H348="","",购销流水!$N91)</f>
        <v/>
      </c>
      <c r="H348" s="10" t="str">
        <f aca="false">IF($L348="","",IF($L348="@成本",购销流水!$U91,IF($L348="@收入",购销流水!$T91,IF($L348="@存货",购销流水!$S91,IF($L348="@结算",购销流水!$R91,$L348)))))</f>
        <v/>
      </c>
      <c r="I348" s="42" t="n">
        <f aca="false">IF($M348="借",$O348,0)</f>
        <v>0</v>
      </c>
      <c r="J348" s="42" t="n">
        <f aca="false">IF($M348="贷",$O348,0)</f>
        <v>0</v>
      </c>
      <c r="K348" s="48" t="str">
        <f aca="false">IF($H348="","",购销流水!$E91)</f>
        <v/>
      </c>
      <c r="L348" s="66" t="str">
        <f aca="false">IF(购销流水!$D91="","",IFERROR(INDEX(记账规则!$A$6:$N$9,MATCH(购销流水!$D91,记账规则!$A$6:$A$9,0),9),""))</f>
        <v/>
      </c>
      <c r="M348" s="66" t="str">
        <f aca="false">IF($L348="","",IFERROR(INDEX(记账规则!$A$6:$N$9,MATCH(购销流水!$D91,记账规则!$A$6:$A$9,0),10),""))</f>
        <v/>
      </c>
      <c r="N348" s="66" t="str">
        <f aca="false">IF($L348="","",IFERROR(INDEX(记账规则!$A$6:$N$9,MATCH(购销流水!$D91,记账规则!$A$6:$A$9,0),11),""))</f>
        <v/>
      </c>
      <c r="O348" s="67" t="n">
        <f aca="false">IF($H348="",0,ROUND(IF($N348="成本金额",N(购销流水!$W91),IF($N348="金额",N(购销流水!$Q91),0)),2))</f>
        <v>0</v>
      </c>
      <c r="P348" s="64" t="str">
        <f aca="false">IF(AND($H348&lt;&gt;"",ROUND($O348,2)&lt;&gt;0),"有","")</f>
        <v/>
      </c>
    </row>
    <row r="349" customFormat="false" ht="15" hidden="true" customHeight="false" outlineLevel="0" collapsed="false">
      <c r="A349" s="53" t="str">
        <f aca="false">IF($H349="","",ROW()-5)</f>
        <v/>
      </c>
      <c r="B349" s="64" t="s">
        <v>36</v>
      </c>
      <c r="C349" s="53" t="n">
        <v>91</v>
      </c>
      <c r="D349" s="53" t="n">
        <v>4</v>
      </c>
      <c r="E349" s="65" t="str">
        <f aca="false">IF($H349="","",购销流水!$B91)</f>
        <v/>
      </c>
      <c r="F349" s="55" t="str">
        <f aca="false">IF($H349="","",购销流水!$C91)</f>
        <v/>
      </c>
      <c r="G349" s="48" t="str">
        <f aca="false">IF($H349="","",购销流水!$N91)</f>
        <v/>
      </c>
      <c r="H349" s="10" t="str">
        <f aca="false">IF($L349="","",IF($L349="@成本",购销流水!$U91,IF($L349="@收入",购销流水!$T91,IF($L349="@存货",购销流水!$S91,IF($L349="@结算",购销流水!$R91,$L349)))))</f>
        <v/>
      </c>
      <c r="I349" s="42" t="n">
        <f aca="false">IF($M349="借",$O349,0)</f>
        <v>0</v>
      </c>
      <c r="J349" s="42" t="n">
        <f aca="false">IF($M349="贷",$O349,0)</f>
        <v>0</v>
      </c>
      <c r="K349" s="48" t="str">
        <f aca="false">IF($H349="","",购销流水!$E91)</f>
        <v/>
      </c>
      <c r="L349" s="66" t="str">
        <f aca="false">IF(购销流水!$D91="","",IFERROR(INDEX(记账规则!$A$6:$N$9,MATCH(购销流水!$D91,记账规则!$A$6:$A$9,0),12),""))</f>
        <v/>
      </c>
      <c r="M349" s="66" t="str">
        <f aca="false">IF($L349="","",IFERROR(INDEX(记账规则!$A$6:$N$9,MATCH(购销流水!$D91,记账规则!$A$6:$A$9,0),13),""))</f>
        <v/>
      </c>
      <c r="N349" s="66" t="str">
        <f aca="false">IF($L349="","",IFERROR(INDEX(记账规则!$A$6:$N$9,MATCH(购销流水!$D91,记账规则!$A$6:$A$9,0),14),""))</f>
        <v/>
      </c>
      <c r="O349" s="67" t="n">
        <f aca="false">IF($H349="",0,ROUND(IF($N349="成本金额",N(购销流水!$W91),IF($N349="金额",N(购销流水!$Q91),0)),2))</f>
        <v>0</v>
      </c>
      <c r="P349" s="64" t="str">
        <f aca="false">IF(AND($H349&lt;&gt;"",ROUND($O349,2)&lt;&gt;0),"有","")</f>
        <v/>
      </c>
    </row>
    <row r="350" customFormat="false" ht="15" hidden="true" customHeight="false" outlineLevel="0" collapsed="false">
      <c r="A350" s="53" t="str">
        <f aca="false">IF($H350="","",ROW()-5)</f>
        <v/>
      </c>
      <c r="B350" s="64" t="s">
        <v>36</v>
      </c>
      <c r="C350" s="53" t="n">
        <v>92</v>
      </c>
      <c r="D350" s="53" t="n">
        <v>1</v>
      </c>
      <c r="E350" s="65" t="str">
        <f aca="false">IF($H350="","",购销流水!$B92)</f>
        <v/>
      </c>
      <c r="F350" s="55" t="str">
        <f aca="false">IF($H350="","",购销流水!$C92)</f>
        <v/>
      </c>
      <c r="G350" s="48" t="str">
        <f aca="false">IF($H350="","",购销流水!$N92)</f>
        <v/>
      </c>
      <c r="H350" s="10" t="str">
        <f aca="false">IF($L350="","",IF($L350="@成本",购销流水!$U92,IF($L350="@收入",购销流水!$T92,IF($L350="@存货",购销流水!$S92,IF($L350="@结算",购销流水!$R92,$L350)))))</f>
        <v/>
      </c>
      <c r="I350" s="42" t="n">
        <f aca="false">IF($M350="借",$O350,0)</f>
        <v>0</v>
      </c>
      <c r="J350" s="42" t="n">
        <f aca="false">IF($M350="贷",$O350,0)</f>
        <v>0</v>
      </c>
      <c r="K350" s="48" t="str">
        <f aca="false">IF($H350="","",购销流水!$E92)</f>
        <v/>
      </c>
      <c r="L350" s="66" t="str">
        <f aca="false">IF(购销流水!$D92="","",IFERROR(INDEX(记账规则!$A$6:$N$9,MATCH(购销流水!$D92,记账规则!$A$6:$A$9,0),3),""))</f>
        <v/>
      </c>
      <c r="M350" s="66" t="str">
        <f aca="false">IF($L350="","",IFERROR(INDEX(记账规则!$A$6:$N$9,MATCH(购销流水!$D92,记账规则!$A$6:$A$9,0),4),""))</f>
        <v/>
      </c>
      <c r="N350" s="66" t="str">
        <f aca="false">IF($L350="","",IFERROR(INDEX(记账规则!$A$6:$N$9,MATCH(购销流水!$D92,记账规则!$A$6:$A$9,0),5),""))</f>
        <v/>
      </c>
      <c r="O350" s="67" t="n">
        <f aca="false">IF($H350="",0,ROUND(IF($N350="成本金额",N(购销流水!$W92),IF($N350="金额",N(购销流水!$Q92),0)),2))</f>
        <v>0</v>
      </c>
      <c r="P350" s="64" t="str">
        <f aca="false">IF(AND($H350&lt;&gt;"",ROUND($O350,2)&lt;&gt;0),"有","")</f>
        <v/>
      </c>
    </row>
    <row r="351" customFormat="false" ht="15" hidden="true" customHeight="false" outlineLevel="0" collapsed="false">
      <c r="A351" s="53" t="str">
        <f aca="false">IF($H351="","",ROW()-5)</f>
        <v/>
      </c>
      <c r="B351" s="64" t="s">
        <v>36</v>
      </c>
      <c r="C351" s="53" t="n">
        <v>92</v>
      </c>
      <c r="D351" s="53" t="n">
        <v>2</v>
      </c>
      <c r="E351" s="65" t="str">
        <f aca="false">IF($H351="","",购销流水!$B92)</f>
        <v/>
      </c>
      <c r="F351" s="55" t="str">
        <f aca="false">IF($H351="","",购销流水!$C92)</f>
        <v/>
      </c>
      <c r="G351" s="48" t="str">
        <f aca="false">IF($H351="","",购销流水!$N92)</f>
        <v/>
      </c>
      <c r="H351" s="10" t="str">
        <f aca="false">IF($L351="","",IF($L351="@成本",购销流水!$U92,IF($L351="@收入",购销流水!$T92,IF($L351="@存货",购销流水!$S92,IF($L351="@结算",购销流水!$R92,$L351)))))</f>
        <v/>
      </c>
      <c r="I351" s="42" t="n">
        <f aca="false">IF($M351="借",$O351,0)</f>
        <v>0</v>
      </c>
      <c r="J351" s="42" t="n">
        <f aca="false">IF($M351="贷",$O351,0)</f>
        <v>0</v>
      </c>
      <c r="K351" s="48" t="str">
        <f aca="false">IF($H351="","",购销流水!$E92)</f>
        <v/>
      </c>
      <c r="L351" s="66" t="str">
        <f aca="false">IF(购销流水!$D92="","",IFERROR(INDEX(记账规则!$A$6:$N$9,MATCH(购销流水!$D92,记账规则!$A$6:$A$9,0),6),""))</f>
        <v/>
      </c>
      <c r="M351" s="66" t="str">
        <f aca="false">IF($L351="","",IFERROR(INDEX(记账规则!$A$6:$N$9,MATCH(购销流水!$D92,记账规则!$A$6:$A$9,0),7),""))</f>
        <v/>
      </c>
      <c r="N351" s="66" t="str">
        <f aca="false">IF($L351="","",IFERROR(INDEX(记账规则!$A$6:$N$9,MATCH(购销流水!$D92,记账规则!$A$6:$A$9,0),8),""))</f>
        <v/>
      </c>
      <c r="O351" s="67" t="n">
        <f aca="false">IF($H351="",0,ROUND(IF($N351="成本金额",N(购销流水!$W92),IF($N351="金额",N(购销流水!$Q92),0)),2))</f>
        <v>0</v>
      </c>
      <c r="P351" s="64" t="str">
        <f aca="false">IF(AND($H351&lt;&gt;"",ROUND($O351,2)&lt;&gt;0),"有","")</f>
        <v/>
      </c>
    </row>
    <row r="352" customFormat="false" ht="15" hidden="true" customHeight="false" outlineLevel="0" collapsed="false">
      <c r="A352" s="53" t="str">
        <f aca="false">IF($H352="","",ROW()-5)</f>
        <v/>
      </c>
      <c r="B352" s="64" t="s">
        <v>36</v>
      </c>
      <c r="C352" s="53" t="n">
        <v>92</v>
      </c>
      <c r="D352" s="53" t="n">
        <v>3</v>
      </c>
      <c r="E352" s="65" t="str">
        <f aca="false">IF($H352="","",购销流水!$B92)</f>
        <v/>
      </c>
      <c r="F352" s="55" t="str">
        <f aca="false">IF($H352="","",购销流水!$C92)</f>
        <v/>
      </c>
      <c r="G352" s="48" t="str">
        <f aca="false">IF($H352="","",购销流水!$N92)</f>
        <v/>
      </c>
      <c r="H352" s="10" t="str">
        <f aca="false">IF($L352="","",IF($L352="@成本",购销流水!$U92,IF($L352="@收入",购销流水!$T92,IF($L352="@存货",购销流水!$S92,IF($L352="@结算",购销流水!$R92,$L352)))))</f>
        <v/>
      </c>
      <c r="I352" s="42" t="n">
        <f aca="false">IF($M352="借",$O352,0)</f>
        <v>0</v>
      </c>
      <c r="J352" s="42" t="n">
        <f aca="false">IF($M352="贷",$O352,0)</f>
        <v>0</v>
      </c>
      <c r="K352" s="48" t="str">
        <f aca="false">IF($H352="","",购销流水!$E92)</f>
        <v/>
      </c>
      <c r="L352" s="66" t="str">
        <f aca="false">IF(购销流水!$D92="","",IFERROR(INDEX(记账规则!$A$6:$N$9,MATCH(购销流水!$D92,记账规则!$A$6:$A$9,0),9),""))</f>
        <v/>
      </c>
      <c r="M352" s="66" t="str">
        <f aca="false">IF($L352="","",IFERROR(INDEX(记账规则!$A$6:$N$9,MATCH(购销流水!$D92,记账规则!$A$6:$A$9,0),10),""))</f>
        <v/>
      </c>
      <c r="N352" s="66" t="str">
        <f aca="false">IF($L352="","",IFERROR(INDEX(记账规则!$A$6:$N$9,MATCH(购销流水!$D92,记账规则!$A$6:$A$9,0),11),""))</f>
        <v/>
      </c>
      <c r="O352" s="67" t="n">
        <f aca="false">IF($H352="",0,ROUND(IF($N352="成本金额",N(购销流水!$W92),IF($N352="金额",N(购销流水!$Q92),0)),2))</f>
        <v>0</v>
      </c>
      <c r="P352" s="64" t="str">
        <f aca="false">IF(AND($H352&lt;&gt;"",ROUND($O352,2)&lt;&gt;0),"有","")</f>
        <v/>
      </c>
    </row>
    <row r="353" customFormat="false" ht="15" hidden="true" customHeight="false" outlineLevel="0" collapsed="false">
      <c r="A353" s="53" t="str">
        <f aca="false">IF($H353="","",ROW()-5)</f>
        <v/>
      </c>
      <c r="B353" s="64" t="s">
        <v>36</v>
      </c>
      <c r="C353" s="53" t="n">
        <v>92</v>
      </c>
      <c r="D353" s="53" t="n">
        <v>4</v>
      </c>
      <c r="E353" s="65" t="str">
        <f aca="false">IF($H353="","",购销流水!$B92)</f>
        <v/>
      </c>
      <c r="F353" s="55" t="str">
        <f aca="false">IF($H353="","",购销流水!$C92)</f>
        <v/>
      </c>
      <c r="G353" s="48" t="str">
        <f aca="false">IF($H353="","",购销流水!$N92)</f>
        <v/>
      </c>
      <c r="H353" s="10" t="str">
        <f aca="false">IF($L353="","",IF($L353="@成本",购销流水!$U92,IF($L353="@收入",购销流水!$T92,IF($L353="@存货",购销流水!$S92,IF($L353="@结算",购销流水!$R92,$L353)))))</f>
        <v/>
      </c>
      <c r="I353" s="42" t="n">
        <f aca="false">IF($M353="借",$O353,0)</f>
        <v>0</v>
      </c>
      <c r="J353" s="42" t="n">
        <f aca="false">IF($M353="贷",$O353,0)</f>
        <v>0</v>
      </c>
      <c r="K353" s="48" t="str">
        <f aca="false">IF($H353="","",购销流水!$E92)</f>
        <v/>
      </c>
      <c r="L353" s="66" t="str">
        <f aca="false">IF(购销流水!$D92="","",IFERROR(INDEX(记账规则!$A$6:$N$9,MATCH(购销流水!$D92,记账规则!$A$6:$A$9,0),12),""))</f>
        <v/>
      </c>
      <c r="M353" s="66" t="str">
        <f aca="false">IF($L353="","",IFERROR(INDEX(记账规则!$A$6:$N$9,MATCH(购销流水!$D92,记账规则!$A$6:$A$9,0),13),""))</f>
        <v/>
      </c>
      <c r="N353" s="66" t="str">
        <f aca="false">IF($L353="","",IFERROR(INDEX(记账规则!$A$6:$N$9,MATCH(购销流水!$D92,记账规则!$A$6:$A$9,0),14),""))</f>
        <v/>
      </c>
      <c r="O353" s="67" t="n">
        <f aca="false">IF($H353="",0,ROUND(IF($N353="成本金额",N(购销流水!$W92),IF($N353="金额",N(购销流水!$Q92),0)),2))</f>
        <v>0</v>
      </c>
      <c r="P353" s="64" t="str">
        <f aca="false">IF(AND($H353&lt;&gt;"",ROUND($O353,2)&lt;&gt;0),"有","")</f>
        <v/>
      </c>
    </row>
    <row r="354" customFormat="false" ht="15" hidden="true" customHeight="false" outlineLevel="0" collapsed="false">
      <c r="A354" s="53" t="str">
        <f aca="false">IF($H354="","",ROW()-5)</f>
        <v/>
      </c>
      <c r="B354" s="64" t="s">
        <v>36</v>
      </c>
      <c r="C354" s="53" t="n">
        <v>93</v>
      </c>
      <c r="D354" s="53" t="n">
        <v>1</v>
      </c>
      <c r="E354" s="65" t="str">
        <f aca="false">IF($H354="","",购销流水!$B93)</f>
        <v/>
      </c>
      <c r="F354" s="55" t="str">
        <f aca="false">IF($H354="","",购销流水!$C93)</f>
        <v/>
      </c>
      <c r="G354" s="48" t="str">
        <f aca="false">IF($H354="","",购销流水!$N93)</f>
        <v/>
      </c>
      <c r="H354" s="10" t="str">
        <f aca="false">IF($L354="","",IF($L354="@成本",购销流水!$U93,IF($L354="@收入",购销流水!$T93,IF($L354="@存货",购销流水!$S93,IF($L354="@结算",购销流水!$R93,$L354)))))</f>
        <v/>
      </c>
      <c r="I354" s="42" t="n">
        <f aca="false">IF($M354="借",$O354,0)</f>
        <v>0</v>
      </c>
      <c r="J354" s="42" t="n">
        <f aca="false">IF($M354="贷",$O354,0)</f>
        <v>0</v>
      </c>
      <c r="K354" s="48" t="str">
        <f aca="false">IF($H354="","",购销流水!$E93)</f>
        <v/>
      </c>
      <c r="L354" s="66" t="str">
        <f aca="false">IF(购销流水!$D93="","",IFERROR(INDEX(记账规则!$A$6:$N$9,MATCH(购销流水!$D93,记账规则!$A$6:$A$9,0),3),""))</f>
        <v/>
      </c>
      <c r="M354" s="66" t="str">
        <f aca="false">IF($L354="","",IFERROR(INDEX(记账规则!$A$6:$N$9,MATCH(购销流水!$D93,记账规则!$A$6:$A$9,0),4),""))</f>
        <v/>
      </c>
      <c r="N354" s="66" t="str">
        <f aca="false">IF($L354="","",IFERROR(INDEX(记账规则!$A$6:$N$9,MATCH(购销流水!$D93,记账规则!$A$6:$A$9,0),5),""))</f>
        <v/>
      </c>
      <c r="O354" s="67" t="n">
        <f aca="false">IF($H354="",0,ROUND(IF($N354="成本金额",N(购销流水!$W93),IF($N354="金额",N(购销流水!$Q93),0)),2))</f>
        <v>0</v>
      </c>
      <c r="P354" s="64" t="str">
        <f aca="false">IF(AND($H354&lt;&gt;"",ROUND($O354,2)&lt;&gt;0),"有","")</f>
        <v/>
      </c>
    </row>
    <row r="355" customFormat="false" ht="15" hidden="true" customHeight="false" outlineLevel="0" collapsed="false">
      <c r="A355" s="53" t="str">
        <f aca="false">IF($H355="","",ROW()-5)</f>
        <v/>
      </c>
      <c r="B355" s="64" t="s">
        <v>36</v>
      </c>
      <c r="C355" s="53" t="n">
        <v>93</v>
      </c>
      <c r="D355" s="53" t="n">
        <v>2</v>
      </c>
      <c r="E355" s="65" t="str">
        <f aca="false">IF($H355="","",购销流水!$B93)</f>
        <v/>
      </c>
      <c r="F355" s="55" t="str">
        <f aca="false">IF($H355="","",购销流水!$C93)</f>
        <v/>
      </c>
      <c r="G355" s="48" t="str">
        <f aca="false">IF($H355="","",购销流水!$N93)</f>
        <v/>
      </c>
      <c r="H355" s="10" t="str">
        <f aca="false">IF($L355="","",IF($L355="@成本",购销流水!$U93,IF($L355="@收入",购销流水!$T93,IF($L355="@存货",购销流水!$S93,IF($L355="@结算",购销流水!$R93,$L355)))))</f>
        <v/>
      </c>
      <c r="I355" s="42" t="n">
        <f aca="false">IF($M355="借",$O355,0)</f>
        <v>0</v>
      </c>
      <c r="J355" s="42" t="n">
        <f aca="false">IF($M355="贷",$O355,0)</f>
        <v>0</v>
      </c>
      <c r="K355" s="48" t="str">
        <f aca="false">IF($H355="","",购销流水!$E93)</f>
        <v/>
      </c>
      <c r="L355" s="66" t="str">
        <f aca="false">IF(购销流水!$D93="","",IFERROR(INDEX(记账规则!$A$6:$N$9,MATCH(购销流水!$D93,记账规则!$A$6:$A$9,0),6),""))</f>
        <v/>
      </c>
      <c r="M355" s="66" t="str">
        <f aca="false">IF($L355="","",IFERROR(INDEX(记账规则!$A$6:$N$9,MATCH(购销流水!$D93,记账规则!$A$6:$A$9,0),7),""))</f>
        <v/>
      </c>
      <c r="N355" s="66" t="str">
        <f aca="false">IF($L355="","",IFERROR(INDEX(记账规则!$A$6:$N$9,MATCH(购销流水!$D93,记账规则!$A$6:$A$9,0),8),""))</f>
        <v/>
      </c>
      <c r="O355" s="67" t="n">
        <f aca="false">IF($H355="",0,ROUND(IF($N355="成本金额",N(购销流水!$W93),IF($N355="金额",N(购销流水!$Q93),0)),2))</f>
        <v>0</v>
      </c>
      <c r="P355" s="64" t="str">
        <f aca="false">IF(AND($H355&lt;&gt;"",ROUND($O355,2)&lt;&gt;0),"有","")</f>
        <v/>
      </c>
    </row>
    <row r="356" customFormat="false" ht="15" hidden="true" customHeight="false" outlineLevel="0" collapsed="false">
      <c r="A356" s="53" t="str">
        <f aca="false">IF($H356="","",ROW()-5)</f>
        <v/>
      </c>
      <c r="B356" s="64" t="s">
        <v>36</v>
      </c>
      <c r="C356" s="53" t="n">
        <v>93</v>
      </c>
      <c r="D356" s="53" t="n">
        <v>3</v>
      </c>
      <c r="E356" s="65" t="str">
        <f aca="false">IF($H356="","",购销流水!$B93)</f>
        <v/>
      </c>
      <c r="F356" s="55" t="str">
        <f aca="false">IF($H356="","",购销流水!$C93)</f>
        <v/>
      </c>
      <c r="G356" s="48" t="str">
        <f aca="false">IF($H356="","",购销流水!$N93)</f>
        <v/>
      </c>
      <c r="H356" s="10" t="str">
        <f aca="false">IF($L356="","",IF($L356="@成本",购销流水!$U93,IF($L356="@收入",购销流水!$T93,IF($L356="@存货",购销流水!$S93,IF($L356="@结算",购销流水!$R93,$L356)))))</f>
        <v/>
      </c>
      <c r="I356" s="42" t="n">
        <f aca="false">IF($M356="借",$O356,0)</f>
        <v>0</v>
      </c>
      <c r="J356" s="42" t="n">
        <f aca="false">IF($M356="贷",$O356,0)</f>
        <v>0</v>
      </c>
      <c r="K356" s="48" t="str">
        <f aca="false">IF($H356="","",购销流水!$E93)</f>
        <v/>
      </c>
      <c r="L356" s="66" t="str">
        <f aca="false">IF(购销流水!$D93="","",IFERROR(INDEX(记账规则!$A$6:$N$9,MATCH(购销流水!$D93,记账规则!$A$6:$A$9,0),9),""))</f>
        <v/>
      </c>
      <c r="M356" s="66" t="str">
        <f aca="false">IF($L356="","",IFERROR(INDEX(记账规则!$A$6:$N$9,MATCH(购销流水!$D93,记账规则!$A$6:$A$9,0),10),""))</f>
        <v/>
      </c>
      <c r="N356" s="66" t="str">
        <f aca="false">IF($L356="","",IFERROR(INDEX(记账规则!$A$6:$N$9,MATCH(购销流水!$D93,记账规则!$A$6:$A$9,0),11),""))</f>
        <v/>
      </c>
      <c r="O356" s="67" t="n">
        <f aca="false">IF($H356="",0,ROUND(IF($N356="成本金额",N(购销流水!$W93),IF($N356="金额",N(购销流水!$Q93),0)),2))</f>
        <v>0</v>
      </c>
      <c r="P356" s="64" t="str">
        <f aca="false">IF(AND($H356&lt;&gt;"",ROUND($O356,2)&lt;&gt;0),"有","")</f>
        <v/>
      </c>
    </row>
    <row r="357" customFormat="false" ht="15" hidden="true" customHeight="false" outlineLevel="0" collapsed="false">
      <c r="A357" s="53" t="str">
        <f aca="false">IF($H357="","",ROW()-5)</f>
        <v/>
      </c>
      <c r="B357" s="64" t="s">
        <v>36</v>
      </c>
      <c r="C357" s="53" t="n">
        <v>93</v>
      </c>
      <c r="D357" s="53" t="n">
        <v>4</v>
      </c>
      <c r="E357" s="65" t="str">
        <f aca="false">IF($H357="","",购销流水!$B93)</f>
        <v/>
      </c>
      <c r="F357" s="55" t="str">
        <f aca="false">IF($H357="","",购销流水!$C93)</f>
        <v/>
      </c>
      <c r="G357" s="48" t="str">
        <f aca="false">IF($H357="","",购销流水!$N93)</f>
        <v/>
      </c>
      <c r="H357" s="10" t="str">
        <f aca="false">IF($L357="","",IF($L357="@成本",购销流水!$U93,IF($L357="@收入",购销流水!$T93,IF($L357="@存货",购销流水!$S93,IF($L357="@结算",购销流水!$R93,$L357)))))</f>
        <v/>
      </c>
      <c r="I357" s="42" t="n">
        <f aca="false">IF($M357="借",$O357,0)</f>
        <v>0</v>
      </c>
      <c r="J357" s="42" t="n">
        <f aca="false">IF($M357="贷",$O357,0)</f>
        <v>0</v>
      </c>
      <c r="K357" s="48" t="str">
        <f aca="false">IF($H357="","",购销流水!$E93)</f>
        <v/>
      </c>
      <c r="L357" s="66" t="str">
        <f aca="false">IF(购销流水!$D93="","",IFERROR(INDEX(记账规则!$A$6:$N$9,MATCH(购销流水!$D93,记账规则!$A$6:$A$9,0),12),""))</f>
        <v/>
      </c>
      <c r="M357" s="66" t="str">
        <f aca="false">IF($L357="","",IFERROR(INDEX(记账规则!$A$6:$N$9,MATCH(购销流水!$D93,记账规则!$A$6:$A$9,0),13),""))</f>
        <v/>
      </c>
      <c r="N357" s="66" t="str">
        <f aca="false">IF($L357="","",IFERROR(INDEX(记账规则!$A$6:$N$9,MATCH(购销流水!$D93,记账规则!$A$6:$A$9,0),14),""))</f>
        <v/>
      </c>
      <c r="O357" s="67" t="n">
        <f aca="false">IF($H357="",0,ROUND(IF($N357="成本金额",N(购销流水!$W93),IF($N357="金额",N(购销流水!$Q93),0)),2))</f>
        <v>0</v>
      </c>
      <c r="P357" s="64" t="str">
        <f aca="false">IF(AND($H357&lt;&gt;"",ROUND($O357,2)&lt;&gt;0),"有","")</f>
        <v/>
      </c>
    </row>
    <row r="358" customFormat="false" ht="15" hidden="true" customHeight="false" outlineLevel="0" collapsed="false">
      <c r="A358" s="53" t="str">
        <f aca="false">IF($H358="","",ROW()-5)</f>
        <v/>
      </c>
      <c r="B358" s="64" t="s">
        <v>36</v>
      </c>
      <c r="C358" s="53" t="n">
        <v>94</v>
      </c>
      <c r="D358" s="53" t="n">
        <v>1</v>
      </c>
      <c r="E358" s="65" t="str">
        <f aca="false">IF($H358="","",购销流水!$B94)</f>
        <v/>
      </c>
      <c r="F358" s="55" t="str">
        <f aca="false">IF($H358="","",购销流水!$C94)</f>
        <v/>
      </c>
      <c r="G358" s="48" t="str">
        <f aca="false">IF($H358="","",购销流水!$N94)</f>
        <v/>
      </c>
      <c r="H358" s="10" t="str">
        <f aca="false">IF($L358="","",IF($L358="@成本",购销流水!$U94,IF($L358="@收入",购销流水!$T94,IF($L358="@存货",购销流水!$S94,IF($L358="@结算",购销流水!$R94,$L358)))))</f>
        <v/>
      </c>
      <c r="I358" s="42" t="n">
        <f aca="false">IF($M358="借",$O358,0)</f>
        <v>0</v>
      </c>
      <c r="J358" s="42" t="n">
        <f aca="false">IF($M358="贷",$O358,0)</f>
        <v>0</v>
      </c>
      <c r="K358" s="48" t="str">
        <f aca="false">IF($H358="","",购销流水!$E94)</f>
        <v/>
      </c>
      <c r="L358" s="66" t="str">
        <f aca="false">IF(购销流水!$D94="","",IFERROR(INDEX(记账规则!$A$6:$N$9,MATCH(购销流水!$D94,记账规则!$A$6:$A$9,0),3),""))</f>
        <v/>
      </c>
      <c r="M358" s="66" t="str">
        <f aca="false">IF($L358="","",IFERROR(INDEX(记账规则!$A$6:$N$9,MATCH(购销流水!$D94,记账规则!$A$6:$A$9,0),4),""))</f>
        <v/>
      </c>
      <c r="N358" s="66" t="str">
        <f aca="false">IF($L358="","",IFERROR(INDEX(记账规则!$A$6:$N$9,MATCH(购销流水!$D94,记账规则!$A$6:$A$9,0),5),""))</f>
        <v/>
      </c>
      <c r="O358" s="67" t="n">
        <f aca="false">IF($H358="",0,ROUND(IF($N358="成本金额",N(购销流水!$W94),IF($N358="金额",N(购销流水!$Q94),0)),2))</f>
        <v>0</v>
      </c>
      <c r="P358" s="64" t="str">
        <f aca="false">IF(AND($H358&lt;&gt;"",ROUND($O358,2)&lt;&gt;0),"有","")</f>
        <v/>
      </c>
    </row>
    <row r="359" customFormat="false" ht="15" hidden="true" customHeight="false" outlineLevel="0" collapsed="false">
      <c r="A359" s="53" t="str">
        <f aca="false">IF($H359="","",ROW()-5)</f>
        <v/>
      </c>
      <c r="B359" s="64" t="s">
        <v>36</v>
      </c>
      <c r="C359" s="53" t="n">
        <v>94</v>
      </c>
      <c r="D359" s="53" t="n">
        <v>2</v>
      </c>
      <c r="E359" s="65" t="str">
        <f aca="false">IF($H359="","",购销流水!$B94)</f>
        <v/>
      </c>
      <c r="F359" s="55" t="str">
        <f aca="false">IF($H359="","",购销流水!$C94)</f>
        <v/>
      </c>
      <c r="G359" s="48" t="str">
        <f aca="false">IF($H359="","",购销流水!$N94)</f>
        <v/>
      </c>
      <c r="H359" s="10" t="str">
        <f aca="false">IF($L359="","",IF($L359="@成本",购销流水!$U94,IF($L359="@收入",购销流水!$T94,IF($L359="@存货",购销流水!$S94,IF($L359="@结算",购销流水!$R94,$L359)))))</f>
        <v/>
      </c>
      <c r="I359" s="42" t="n">
        <f aca="false">IF($M359="借",$O359,0)</f>
        <v>0</v>
      </c>
      <c r="J359" s="42" t="n">
        <f aca="false">IF($M359="贷",$O359,0)</f>
        <v>0</v>
      </c>
      <c r="K359" s="48" t="str">
        <f aca="false">IF($H359="","",购销流水!$E94)</f>
        <v/>
      </c>
      <c r="L359" s="66" t="str">
        <f aca="false">IF(购销流水!$D94="","",IFERROR(INDEX(记账规则!$A$6:$N$9,MATCH(购销流水!$D94,记账规则!$A$6:$A$9,0),6),""))</f>
        <v/>
      </c>
      <c r="M359" s="66" t="str">
        <f aca="false">IF($L359="","",IFERROR(INDEX(记账规则!$A$6:$N$9,MATCH(购销流水!$D94,记账规则!$A$6:$A$9,0),7),""))</f>
        <v/>
      </c>
      <c r="N359" s="66" t="str">
        <f aca="false">IF($L359="","",IFERROR(INDEX(记账规则!$A$6:$N$9,MATCH(购销流水!$D94,记账规则!$A$6:$A$9,0),8),""))</f>
        <v/>
      </c>
      <c r="O359" s="67" t="n">
        <f aca="false">IF($H359="",0,ROUND(IF($N359="成本金额",N(购销流水!$W94),IF($N359="金额",N(购销流水!$Q94),0)),2))</f>
        <v>0</v>
      </c>
      <c r="P359" s="64" t="str">
        <f aca="false">IF(AND($H359&lt;&gt;"",ROUND($O359,2)&lt;&gt;0),"有","")</f>
        <v/>
      </c>
    </row>
    <row r="360" customFormat="false" ht="15" hidden="true" customHeight="false" outlineLevel="0" collapsed="false">
      <c r="A360" s="53" t="str">
        <f aca="false">IF($H360="","",ROW()-5)</f>
        <v/>
      </c>
      <c r="B360" s="64" t="s">
        <v>36</v>
      </c>
      <c r="C360" s="53" t="n">
        <v>94</v>
      </c>
      <c r="D360" s="53" t="n">
        <v>3</v>
      </c>
      <c r="E360" s="65" t="str">
        <f aca="false">IF($H360="","",购销流水!$B94)</f>
        <v/>
      </c>
      <c r="F360" s="55" t="str">
        <f aca="false">IF($H360="","",购销流水!$C94)</f>
        <v/>
      </c>
      <c r="G360" s="48" t="str">
        <f aca="false">IF($H360="","",购销流水!$N94)</f>
        <v/>
      </c>
      <c r="H360" s="10" t="str">
        <f aca="false">IF($L360="","",IF($L360="@成本",购销流水!$U94,IF($L360="@收入",购销流水!$T94,IF($L360="@存货",购销流水!$S94,IF($L360="@结算",购销流水!$R94,$L360)))))</f>
        <v/>
      </c>
      <c r="I360" s="42" t="n">
        <f aca="false">IF($M360="借",$O360,0)</f>
        <v>0</v>
      </c>
      <c r="J360" s="42" t="n">
        <f aca="false">IF($M360="贷",$O360,0)</f>
        <v>0</v>
      </c>
      <c r="K360" s="48" t="str">
        <f aca="false">IF($H360="","",购销流水!$E94)</f>
        <v/>
      </c>
      <c r="L360" s="66" t="str">
        <f aca="false">IF(购销流水!$D94="","",IFERROR(INDEX(记账规则!$A$6:$N$9,MATCH(购销流水!$D94,记账规则!$A$6:$A$9,0),9),""))</f>
        <v/>
      </c>
      <c r="M360" s="66" t="str">
        <f aca="false">IF($L360="","",IFERROR(INDEX(记账规则!$A$6:$N$9,MATCH(购销流水!$D94,记账规则!$A$6:$A$9,0),10),""))</f>
        <v/>
      </c>
      <c r="N360" s="66" t="str">
        <f aca="false">IF($L360="","",IFERROR(INDEX(记账规则!$A$6:$N$9,MATCH(购销流水!$D94,记账规则!$A$6:$A$9,0),11),""))</f>
        <v/>
      </c>
      <c r="O360" s="67" t="n">
        <f aca="false">IF($H360="",0,ROUND(IF($N360="成本金额",N(购销流水!$W94),IF($N360="金额",N(购销流水!$Q94),0)),2))</f>
        <v>0</v>
      </c>
      <c r="P360" s="64" t="str">
        <f aca="false">IF(AND($H360&lt;&gt;"",ROUND($O360,2)&lt;&gt;0),"有","")</f>
        <v/>
      </c>
    </row>
    <row r="361" customFormat="false" ht="15" hidden="true" customHeight="false" outlineLevel="0" collapsed="false">
      <c r="A361" s="53" t="str">
        <f aca="false">IF($H361="","",ROW()-5)</f>
        <v/>
      </c>
      <c r="B361" s="64" t="s">
        <v>36</v>
      </c>
      <c r="C361" s="53" t="n">
        <v>94</v>
      </c>
      <c r="D361" s="53" t="n">
        <v>4</v>
      </c>
      <c r="E361" s="65" t="str">
        <f aca="false">IF($H361="","",购销流水!$B94)</f>
        <v/>
      </c>
      <c r="F361" s="55" t="str">
        <f aca="false">IF($H361="","",购销流水!$C94)</f>
        <v/>
      </c>
      <c r="G361" s="48" t="str">
        <f aca="false">IF($H361="","",购销流水!$N94)</f>
        <v/>
      </c>
      <c r="H361" s="10" t="str">
        <f aca="false">IF($L361="","",IF($L361="@成本",购销流水!$U94,IF($L361="@收入",购销流水!$T94,IF($L361="@存货",购销流水!$S94,IF($L361="@结算",购销流水!$R94,$L361)))))</f>
        <v/>
      </c>
      <c r="I361" s="42" t="n">
        <f aca="false">IF($M361="借",$O361,0)</f>
        <v>0</v>
      </c>
      <c r="J361" s="42" t="n">
        <f aca="false">IF($M361="贷",$O361,0)</f>
        <v>0</v>
      </c>
      <c r="K361" s="48" t="str">
        <f aca="false">IF($H361="","",购销流水!$E94)</f>
        <v/>
      </c>
      <c r="L361" s="66" t="str">
        <f aca="false">IF(购销流水!$D94="","",IFERROR(INDEX(记账规则!$A$6:$N$9,MATCH(购销流水!$D94,记账规则!$A$6:$A$9,0),12),""))</f>
        <v/>
      </c>
      <c r="M361" s="66" t="str">
        <f aca="false">IF($L361="","",IFERROR(INDEX(记账规则!$A$6:$N$9,MATCH(购销流水!$D94,记账规则!$A$6:$A$9,0),13),""))</f>
        <v/>
      </c>
      <c r="N361" s="66" t="str">
        <f aca="false">IF($L361="","",IFERROR(INDEX(记账规则!$A$6:$N$9,MATCH(购销流水!$D94,记账规则!$A$6:$A$9,0),14),""))</f>
        <v/>
      </c>
      <c r="O361" s="67" t="n">
        <f aca="false">IF($H361="",0,ROUND(IF($N361="成本金额",N(购销流水!$W94),IF($N361="金额",N(购销流水!$Q94),0)),2))</f>
        <v>0</v>
      </c>
      <c r="P361" s="64" t="str">
        <f aca="false">IF(AND($H361&lt;&gt;"",ROUND($O361,2)&lt;&gt;0),"有","")</f>
        <v/>
      </c>
    </row>
    <row r="362" customFormat="false" ht="15" hidden="true" customHeight="false" outlineLevel="0" collapsed="false">
      <c r="A362" s="53" t="str">
        <f aca="false">IF($H362="","",ROW()-5)</f>
        <v/>
      </c>
      <c r="B362" s="64" t="s">
        <v>36</v>
      </c>
      <c r="C362" s="53" t="n">
        <v>95</v>
      </c>
      <c r="D362" s="53" t="n">
        <v>1</v>
      </c>
      <c r="E362" s="65" t="str">
        <f aca="false">IF($H362="","",购销流水!$B95)</f>
        <v/>
      </c>
      <c r="F362" s="55" t="str">
        <f aca="false">IF($H362="","",购销流水!$C95)</f>
        <v/>
      </c>
      <c r="G362" s="48" t="str">
        <f aca="false">IF($H362="","",购销流水!$N95)</f>
        <v/>
      </c>
      <c r="H362" s="10" t="str">
        <f aca="false">IF($L362="","",IF($L362="@成本",购销流水!$U95,IF($L362="@收入",购销流水!$T95,IF($L362="@存货",购销流水!$S95,IF($L362="@结算",购销流水!$R95,$L362)))))</f>
        <v/>
      </c>
      <c r="I362" s="42" t="n">
        <f aca="false">IF($M362="借",$O362,0)</f>
        <v>0</v>
      </c>
      <c r="J362" s="42" t="n">
        <f aca="false">IF($M362="贷",$O362,0)</f>
        <v>0</v>
      </c>
      <c r="K362" s="48" t="str">
        <f aca="false">IF($H362="","",购销流水!$E95)</f>
        <v/>
      </c>
      <c r="L362" s="66" t="str">
        <f aca="false">IF(购销流水!$D95="","",IFERROR(INDEX(记账规则!$A$6:$N$9,MATCH(购销流水!$D95,记账规则!$A$6:$A$9,0),3),""))</f>
        <v/>
      </c>
      <c r="M362" s="66" t="str">
        <f aca="false">IF($L362="","",IFERROR(INDEX(记账规则!$A$6:$N$9,MATCH(购销流水!$D95,记账规则!$A$6:$A$9,0),4),""))</f>
        <v/>
      </c>
      <c r="N362" s="66" t="str">
        <f aca="false">IF($L362="","",IFERROR(INDEX(记账规则!$A$6:$N$9,MATCH(购销流水!$D95,记账规则!$A$6:$A$9,0),5),""))</f>
        <v/>
      </c>
      <c r="O362" s="67" t="n">
        <f aca="false">IF($H362="",0,ROUND(IF($N362="成本金额",N(购销流水!$W95),IF($N362="金额",N(购销流水!$Q95),0)),2))</f>
        <v>0</v>
      </c>
      <c r="P362" s="64" t="str">
        <f aca="false">IF(AND($H362&lt;&gt;"",ROUND($O362,2)&lt;&gt;0),"有","")</f>
        <v/>
      </c>
    </row>
    <row r="363" customFormat="false" ht="15" hidden="true" customHeight="false" outlineLevel="0" collapsed="false">
      <c r="A363" s="53" t="str">
        <f aca="false">IF($H363="","",ROW()-5)</f>
        <v/>
      </c>
      <c r="B363" s="64" t="s">
        <v>36</v>
      </c>
      <c r="C363" s="53" t="n">
        <v>95</v>
      </c>
      <c r="D363" s="53" t="n">
        <v>2</v>
      </c>
      <c r="E363" s="65" t="str">
        <f aca="false">IF($H363="","",购销流水!$B95)</f>
        <v/>
      </c>
      <c r="F363" s="55" t="str">
        <f aca="false">IF($H363="","",购销流水!$C95)</f>
        <v/>
      </c>
      <c r="G363" s="48" t="str">
        <f aca="false">IF($H363="","",购销流水!$N95)</f>
        <v/>
      </c>
      <c r="H363" s="10" t="str">
        <f aca="false">IF($L363="","",IF($L363="@成本",购销流水!$U95,IF($L363="@收入",购销流水!$T95,IF($L363="@存货",购销流水!$S95,IF($L363="@结算",购销流水!$R95,$L363)))))</f>
        <v/>
      </c>
      <c r="I363" s="42" t="n">
        <f aca="false">IF($M363="借",$O363,0)</f>
        <v>0</v>
      </c>
      <c r="J363" s="42" t="n">
        <f aca="false">IF($M363="贷",$O363,0)</f>
        <v>0</v>
      </c>
      <c r="K363" s="48" t="str">
        <f aca="false">IF($H363="","",购销流水!$E95)</f>
        <v/>
      </c>
      <c r="L363" s="66" t="str">
        <f aca="false">IF(购销流水!$D95="","",IFERROR(INDEX(记账规则!$A$6:$N$9,MATCH(购销流水!$D95,记账规则!$A$6:$A$9,0),6),""))</f>
        <v/>
      </c>
      <c r="M363" s="66" t="str">
        <f aca="false">IF($L363="","",IFERROR(INDEX(记账规则!$A$6:$N$9,MATCH(购销流水!$D95,记账规则!$A$6:$A$9,0),7),""))</f>
        <v/>
      </c>
      <c r="N363" s="66" t="str">
        <f aca="false">IF($L363="","",IFERROR(INDEX(记账规则!$A$6:$N$9,MATCH(购销流水!$D95,记账规则!$A$6:$A$9,0),8),""))</f>
        <v/>
      </c>
      <c r="O363" s="67" t="n">
        <f aca="false">IF($H363="",0,ROUND(IF($N363="成本金额",N(购销流水!$W95),IF($N363="金额",N(购销流水!$Q95),0)),2))</f>
        <v>0</v>
      </c>
      <c r="P363" s="64" t="str">
        <f aca="false">IF(AND($H363&lt;&gt;"",ROUND($O363,2)&lt;&gt;0),"有","")</f>
        <v/>
      </c>
    </row>
    <row r="364" customFormat="false" ht="15" hidden="true" customHeight="false" outlineLevel="0" collapsed="false">
      <c r="A364" s="53" t="str">
        <f aca="false">IF($H364="","",ROW()-5)</f>
        <v/>
      </c>
      <c r="B364" s="64" t="s">
        <v>36</v>
      </c>
      <c r="C364" s="53" t="n">
        <v>95</v>
      </c>
      <c r="D364" s="53" t="n">
        <v>3</v>
      </c>
      <c r="E364" s="65" t="str">
        <f aca="false">IF($H364="","",购销流水!$B95)</f>
        <v/>
      </c>
      <c r="F364" s="55" t="str">
        <f aca="false">IF($H364="","",购销流水!$C95)</f>
        <v/>
      </c>
      <c r="G364" s="48" t="str">
        <f aca="false">IF($H364="","",购销流水!$N95)</f>
        <v/>
      </c>
      <c r="H364" s="10" t="str">
        <f aca="false">IF($L364="","",IF($L364="@成本",购销流水!$U95,IF($L364="@收入",购销流水!$T95,IF($L364="@存货",购销流水!$S95,IF($L364="@结算",购销流水!$R95,$L364)))))</f>
        <v/>
      </c>
      <c r="I364" s="42" t="n">
        <f aca="false">IF($M364="借",$O364,0)</f>
        <v>0</v>
      </c>
      <c r="J364" s="42" t="n">
        <f aca="false">IF($M364="贷",$O364,0)</f>
        <v>0</v>
      </c>
      <c r="K364" s="48" t="str">
        <f aca="false">IF($H364="","",购销流水!$E95)</f>
        <v/>
      </c>
      <c r="L364" s="66" t="str">
        <f aca="false">IF(购销流水!$D95="","",IFERROR(INDEX(记账规则!$A$6:$N$9,MATCH(购销流水!$D95,记账规则!$A$6:$A$9,0),9),""))</f>
        <v/>
      </c>
      <c r="M364" s="66" t="str">
        <f aca="false">IF($L364="","",IFERROR(INDEX(记账规则!$A$6:$N$9,MATCH(购销流水!$D95,记账规则!$A$6:$A$9,0),10),""))</f>
        <v/>
      </c>
      <c r="N364" s="66" t="str">
        <f aca="false">IF($L364="","",IFERROR(INDEX(记账规则!$A$6:$N$9,MATCH(购销流水!$D95,记账规则!$A$6:$A$9,0),11),""))</f>
        <v/>
      </c>
      <c r="O364" s="67" t="n">
        <f aca="false">IF($H364="",0,ROUND(IF($N364="成本金额",N(购销流水!$W95),IF($N364="金额",N(购销流水!$Q95),0)),2))</f>
        <v>0</v>
      </c>
      <c r="P364" s="64" t="str">
        <f aca="false">IF(AND($H364&lt;&gt;"",ROUND($O364,2)&lt;&gt;0),"有","")</f>
        <v/>
      </c>
    </row>
    <row r="365" customFormat="false" ht="15" hidden="true" customHeight="false" outlineLevel="0" collapsed="false">
      <c r="A365" s="53" t="str">
        <f aca="false">IF($H365="","",ROW()-5)</f>
        <v/>
      </c>
      <c r="B365" s="64" t="s">
        <v>36</v>
      </c>
      <c r="C365" s="53" t="n">
        <v>95</v>
      </c>
      <c r="D365" s="53" t="n">
        <v>4</v>
      </c>
      <c r="E365" s="65" t="str">
        <f aca="false">IF($H365="","",购销流水!$B95)</f>
        <v/>
      </c>
      <c r="F365" s="55" t="str">
        <f aca="false">IF($H365="","",购销流水!$C95)</f>
        <v/>
      </c>
      <c r="G365" s="48" t="str">
        <f aca="false">IF($H365="","",购销流水!$N95)</f>
        <v/>
      </c>
      <c r="H365" s="10" t="str">
        <f aca="false">IF($L365="","",IF($L365="@成本",购销流水!$U95,IF($L365="@收入",购销流水!$T95,IF($L365="@存货",购销流水!$S95,IF($L365="@结算",购销流水!$R95,$L365)))))</f>
        <v/>
      </c>
      <c r="I365" s="42" t="n">
        <f aca="false">IF($M365="借",$O365,0)</f>
        <v>0</v>
      </c>
      <c r="J365" s="42" t="n">
        <f aca="false">IF($M365="贷",$O365,0)</f>
        <v>0</v>
      </c>
      <c r="K365" s="48" t="str">
        <f aca="false">IF($H365="","",购销流水!$E95)</f>
        <v/>
      </c>
      <c r="L365" s="66" t="str">
        <f aca="false">IF(购销流水!$D95="","",IFERROR(INDEX(记账规则!$A$6:$N$9,MATCH(购销流水!$D95,记账规则!$A$6:$A$9,0),12),""))</f>
        <v/>
      </c>
      <c r="M365" s="66" t="str">
        <f aca="false">IF($L365="","",IFERROR(INDEX(记账规则!$A$6:$N$9,MATCH(购销流水!$D95,记账规则!$A$6:$A$9,0),13),""))</f>
        <v/>
      </c>
      <c r="N365" s="66" t="str">
        <f aca="false">IF($L365="","",IFERROR(INDEX(记账规则!$A$6:$N$9,MATCH(购销流水!$D95,记账规则!$A$6:$A$9,0),14),""))</f>
        <v/>
      </c>
      <c r="O365" s="67" t="n">
        <f aca="false">IF($H365="",0,ROUND(IF($N365="成本金额",N(购销流水!$W95),IF($N365="金额",N(购销流水!$Q95),0)),2))</f>
        <v>0</v>
      </c>
      <c r="P365" s="64" t="str">
        <f aca="false">IF(AND($H365&lt;&gt;"",ROUND($O365,2)&lt;&gt;0),"有","")</f>
        <v/>
      </c>
    </row>
    <row r="366" customFormat="false" ht="15" hidden="true" customHeight="false" outlineLevel="0" collapsed="false">
      <c r="A366" s="53" t="str">
        <f aca="false">IF($H366="","",ROW()-5)</f>
        <v/>
      </c>
      <c r="B366" s="64" t="s">
        <v>36</v>
      </c>
      <c r="C366" s="53" t="n">
        <v>96</v>
      </c>
      <c r="D366" s="53" t="n">
        <v>1</v>
      </c>
      <c r="E366" s="65" t="str">
        <f aca="false">IF($H366="","",购销流水!$B96)</f>
        <v/>
      </c>
      <c r="F366" s="55" t="str">
        <f aca="false">IF($H366="","",购销流水!$C96)</f>
        <v/>
      </c>
      <c r="G366" s="48" t="str">
        <f aca="false">IF($H366="","",购销流水!$N96)</f>
        <v/>
      </c>
      <c r="H366" s="10" t="str">
        <f aca="false">IF($L366="","",IF($L366="@成本",购销流水!$U96,IF($L366="@收入",购销流水!$T96,IF($L366="@存货",购销流水!$S96,IF($L366="@结算",购销流水!$R96,$L366)))))</f>
        <v/>
      </c>
      <c r="I366" s="42" t="n">
        <f aca="false">IF($M366="借",$O366,0)</f>
        <v>0</v>
      </c>
      <c r="J366" s="42" t="n">
        <f aca="false">IF($M366="贷",$O366,0)</f>
        <v>0</v>
      </c>
      <c r="K366" s="48" t="str">
        <f aca="false">IF($H366="","",购销流水!$E96)</f>
        <v/>
      </c>
      <c r="L366" s="66" t="str">
        <f aca="false">IF(购销流水!$D96="","",IFERROR(INDEX(记账规则!$A$6:$N$9,MATCH(购销流水!$D96,记账规则!$A$6:$A$9,0),3),""))</f>
        <v/>
      </c>
      <c r="M366" s="66" t="str">
        <f aca="false">IF($L366="","",IFERROR(INDEX(记账规则!$A$6:$N$9,MATCH(购销流水!$D96,记账规则!$A$6:$A$9,0),4),""))</f>
        <v/>
      </c>
      <c r="N366" s="66" t="str">
        <f aca="false">IF($L366="","",IFERROR(INDEX(记账规则!$A$6:$N$9,MATCH(购销流水!$D96,记账规则!$A$6:$A$9,0),5),""))</f>
        <v/>
      </c>
      <c r="O366" s="67" t="n">
        <f aca="false">IF($H366="",0,ROUND(IF($N366="成本金额",N(购销流水!$W96),IF($N366="金额",N(购销流水!$Q96),0)),2))</f>
        <v>0</v>
      </c>
      <c r="P366" s="64" t="str">
        <f aca="false">IF(AND($H366&lt;&gt;"",ROUND($O366,2)&lt;&gt;0),"有","")</f>
        <v/>
      </c>
    </row>
    <row r="367" customFormat="false" ht="15" hidden="true" customHeight="false" outlineLevel="0" collapsed="false">
      <c r="A367" s="53" t="str">
        <f aca="false">IF($H367="","",ROW()-5)</f>
        <v/>
      </c>
      <c r="B367" s="64" t="s">
        <v>36</v>
      </c>
      <c r="C367" s="53" t="n">
        <v>96</v>
      </c>
      <c r="D367" s="53" t="n">
        <v>2</v>
      </c>
      <c r="E367" s="65" t="str">
        <f aca="false">IF($H367="","",购销流水!$B96)</f>
        <v/>
      </c>
      <c r="F367" s="55" t="str">
        <f aca="false">IF($H367="","",购销流水!$C96)</f>
        <v/>
      </c>
      <c r="G367" s="48" t="str">
        <f aca="false">IF($H367="","",购销流水!$N96)</f>
        <v/>
      </c>
      <c r="H367" s="10" t="str">
        <f aca="false">IF($L367="","",IF($L367="@成本",购销流水!$U96,IF($L367="@收入",购销流水!$T96,IF($L367="@存货",购销流水!$S96,IF($L367="@结算",购销流水!$R96,$L367)))))</f>
        <v/>
      </c>
      <c r="I367" s="42" t="n">
        <f aca="false">IF($M367="借",$O367,0)</f>
        <v>0</v>
      </c>
      <c r="J367" s="42" t="n">
        <f aca="false">IF($M367="贷",$O367,0)</f>
        <v>0</v>
      </c>
      <c r="K367" s="48" t="str">
        <f aca="false">IF($H367="","",购销流水!$E96)</f>
        <v/>
      </c>
      <c r="L367" s="66" t="str">
        <f aca="false">IF(购销流水!$D96="","",IFERROR(INDEX(记账规则!$A$6:$N$9,MATCH(购销流水!$D96,记账规则!$A$6:$A$9,0),6),""))</f>
        <v/>
      </c>
      <c r="M367" s="66" t="str">
        <f aca="false">IF($L367="","",IFERROR(INDEX(记账规则!$A$6:$N$9,MATCH(购销流水!$D96,记账规则!$A$6:$A$9,0),7),""))</f>
        <v/>
      </c>
      <c r="N367" s="66" t="str">
        <f aca="false">IF($L367="","",IFERROR(INDEX(记账规则!$A$6:$N$9,MATCH(购销流水!$D96,记账规则!$A$6:$A$9,0),8),""))</f>
        <v/>
      </c>
      <c r="O367" s="67" t="n">
        <f aca="false">IF($H367="",0,ROUND(IF($N367="成本金额",N(购销流水!$W96),IF($N367="金额",N(购销流水!$Q96),0)),2))</f>
        <v>0</v>
      </c>
      <c r="P367" s="64" t="str">
        <f aca="false">IF(AND($H367&lt;&gt;"",ROUND($O367,2)&lt;&gt;0),"有","")</f>
        <v/>
      </c>
    </row>
    <row r="368" customFormat="false" ht="15" hidden="true" customHeight="false" outlineLevel="0" collapsed="false">
      <c r="A368" s="53" t="str">
        <f aca="false">IF($H368="","",ROW()-5)</f>
        <v/>
      </c>
      <c r="B368" s="64" t="s">
        <v>36</v>
      </c>
      <c r="C368" s="53" t="n">
        <v>96</v>
      </c>
      <c r="D368" s="53" t="n">
        <v>3</v>
      </c>
      <c r="E368" s="65" t="str">
        <f aca="false">IF($H368="","",购销流水!$B96)</f>
        <v/>
      </c>
      <c r="F368" s="55" t="str">
        <f aca="false">IF($H368="","",购销流水!$C96)</f>
        <v/>
      </c>
      <c r="G368" s="48" t="str">
        <f aca="false">IF($H368="","",购销流水!$N96)</f>
        <v/>
      </c>
      <c r="H368" s="10" t="str">
        <f aca="false">IF($L368="","",IF($L368="@成本",购销流水!$U96,IF($L368="@收入",购销流水!$T96,IF($L368="@存货",购销流水!$S96,IF($L368="@结算",购销流水!$R96,$L368)))))</f>
        <v/>
      </c>
      <c r="I368" s="42" t="n">
        <f aca="false">IF($M368="借",$O368,0)</f>
        <v>0</v>
      </c>
      <c r="J368" s="42" t="n">
        <f aca="false">IF($M368="贷",$O368,0)</f>
        <v>0</v>
      </c>
      <c r="K368" s="48" t="str">
        <f aca="false">IF($H368="","",购销流水!$E96)</f>
        <v/>
      </c>
      <c r="L368" s="66" t="str">
        <f aca="false">IF(购销流水!$D96="","",IFERROR(INDEX(记账规则!$A$6:$N$9,MATCH(购销流水!$D96,记账规则!$A$6:$A$9,0),9),""))</f>
        <v/>
      </c>
      <c r="M368" s="66" t="str">
        <f aca="false">IF($L368="","",IFERROR(INDEX(记账规则!$A$6:$N$9,MATCH(购销流水!$D96,记账规则!$A$6:$A$9,0),10),""))</f>
        <v/>
      </c>
      <c r="N368" s="66" t="str">
        <f aca="false">IF($L368="","",IFERROR(INDEX(记账规则!$A$6:$N$9,MATCH(购销流水!$D96,记账规则!$A$6:$A$9,0),11),""))</f>
        <v/>
      </c>
      <c r="O368" s="67" t="n">
        <f aca="false">IF($H368="",0,ROUND(IF($N368="成本金额",N(购销流水!$W96),IF($N368="金额",N(购销流水!$Q96),0)),2))</f>
        <v>0</v>
      </c>
      <c r="P368" s="64" t="str">
        <f aca="false">IF(AND($H368&lt;&gt;"",ROUND($O368,2)&lt;&gt;0),"有","")</f>
        <v/>
      </c>
    </row>
    <row r="369" customFormat="false" ht="15" hidden="true" customHeight="false" outlineLevel="0" collapsed="false">
      <c r="A369" s="53" t="str">
        <f aca="false">IF($H369="","",ROW()-5)</f>
        <v/>
      </c>
      <c r="B369" s="64" t="s">
        <v>36</v>
      </c>
      <c r="C369" s="53" t="n">
        <v>96</v>
      </c>
      <c r="D369" s="53" t="n">
        <v>4</v>
      </c>
      <c r="E369" s="65" t="str">
        <f aca="false">IF($H369="","",购销流水!$B96)</f>
        <v/>
      </c>
      <c r="F369" s="55" t="str">
        <f aca="false">IF($H369="","",购销流水!$C96)</f>
        <v/>
      </c>
      <c r="G369" s="48" t="str">
        <f aca="false">IF($H369="","",购销流水!$N96)</f>
        <v/>
      </c>
      <c r="H369" s="10" t="str">
        <f aca="false">IF($L369="","",IF($L369="@成本",购销流水!$U96,IF($L369="@收入",购销流水!$T96,IF($L369="@存货",购销流水!$S96,IF($L369="@结算",购销流水!$R96,$L369)))))</f>
        <v/>
      </c>
      <c r="I369" s="42" t="n">
        <f aca="false">IF($M369="借",$O369,0)</f>
        <v>0</v>
      </c>
      <c r="J369" s="42" t="n">
        <f aca="false">IF($M369="贷",$O369,0)</f>
        <v>0</v>
      </c>
      <c r="K369" s="48" t="str">
        <f aca="false">IF($H369="","",购销流水!$E96)</f>
        <v/>
      </c>
      <c r="L369" s="66" t="str">
        <f aca="false">IF(购销流水!$D96="","",IFERROR(INDEX(记账规则!$A$6:$N$9,MATCH(购销流水!$D96,记账规则!$A$6:$A$9,0),12),""))</f>
        <v/>
      </c>
      <c r="M369" s="66" t="str">
        <f aca="false">IF($L369="","",IFERROR(INDEX(记账规则!$A$6:$N$9,MATCH(购销流水!$D96,记账规则!$A$6:$A$9,0),13),""))</f>
        <v/>
      </c>
      <c r="N369" s="66" t="str">
        <f aca="false">IF($L369="","",IFERROR(INDEX(记账规则!$A$6:$N$9,MATCH(购销流水!$D96,记账规则!$A$6:$A$9,0),14),""))</f>
        <v/>
      </c>
      <c r="O369" s="67" t="n">
        <f aca="false">IF($H369="",0,ROUND(IF($N369="成本金额",N(购销流水!$W96),IF($N369="金额",N(购销流水!$Q96),0)),2))</f>
        <v>0</v>
      </c>
      <c r="P369" s="64" t="str">
        <f aca="false">IF(AND($H369&lt;&gt;"",ROUND($O369,2)&lt;&gt;0),"有","")</f>
        <v/>
      </c>
    </row>
    <row r="370" customFormat="false" ht="15" hidden="true" customHeight="false" outlineLevel="0" collapsed="false">
      <c r="A370" s="53" t="str">
        <f aca="false">IF($H370="","",ROW()-5)</f>
        <v/>
      </c>
      <c r="B370" s="64" t="s">
        <v>36</v>
      </c>
      <c r="C370" s="53" t="n">
        <v>97</v>
      </c>
      <c r="D370" s="53" t="n">
        <v>1</v>
      </c>
      <c r="E370" s="65" t="str">
        <f aca="false">IF($H370="","",购销流水!$B97)</f>
        <v/>
      </c>
      <c r="F370" s="55" t="str">
        <f aca="false">IF($H370="","",购销流水!$C97)</f>
        <v/>
      </c>
      <c r="G370" s="48" t="str">
        <f aca="false">IF($H370="","",购销流水!$N97)</f>
        <v/>
      </c>
      <c r="H370" s="10" t="str">
        <f aca="false">IF($L370="","",IF($L370="@成本",购销流水!$U97,IF($L370="@收入",购销流水!$T97,IF($L370="@存货",购销流水!$S97,IF($L370="@结算",购销流水!$R97,$L370)))))</f>
        <v/>
      </c>
      <c r="I370" s="42" t="n">
        <f aca="false">IF($M370="借",$O370,0)</f>
        <v>0</v>
      </c>
      <c r="J370" s="42" t="n">
        <f aca="false">IF($M370="贷",$O370,0)</f>
        <v>0</v>
      </c>
      <c r="K370" s="48" t="str">
        <f aca="false">IF($H370="","",购销流水!$E97)</f>
        <v/>
      </c>
      <c r="L370" s="66" t="str">
        <f aca="false">IF(购销流水!$D97="","",IFERROR(INDEX(记账规则!$A$6:$N$9,MATCH(购销流水!$D97,记账规则!$A$6:$A$9,0),3),""))</f>
        <v/>
      </c>
      <c r="M370" s="66" t="str">
        <f aca="false">IF($L370="","",IFERROR(INDEX(记账规则!$A$6:$N$9,MATCH(购销流水!$D97,记账规则!$A$6:$A$9,0),4),""))</f>
        <v/>
      </c>
      <c r="N370" s="66" t="str">
        <f aca="false">IF($L370="","",IFERROR(INDEX(记账规则!$A$6:$N$9,MATCH(购销流水!$D97,记账规则!$A$6:$A$9,0),5),""))</f>
        <v/>
      </c>
      <c r="O370" s="67" t="n">
        <f aca="false">IF($H370="",0,ROUND(IF($N370="成本金额",N(购销流水!$W97),IF($N370="金额",N(购销流水!$Q97),0)),2))</f>
        <v>0</v>
      </c>
      <c r="P370" s="64" t="str">
        <f aca="false">IF(AND($H370&lt;&gt;"",ROUND($O370,2)&lt;&gt;0),"有","")</f>
        <v/>
      </c>
    </row>
    <row r="371" customFormat="false" ht="15" hidden="true" customHeight="false" outlineLevel="0" collapsed="false">
      <c r="A371" s="53" t="str">
        <f aca="false">IF($H371="","",ROW()-5)</f>
        <v/>
      </c>
      <c r="B371" s="64" t="s">
        <v>36</v>
      </c>
      <c r="C371" s="53" t="n">
        <v>97</v>
      </c>
      <c r="D371" s="53" t="n">
        <v>2</v>
      </c>
      <c r="E371" s="65" t="str">
        <f aca="false">IF($H371="","",购销流水!$B97)</f>
        <v/>
      </c>
      <c r="F371" s="55" t="str">
        <f aca="false">IF($H371="","",购销流水!$C97)</f>
        <v/>
      </c>
      <c r="G371" s="48" t="str">
        <f aca="false">IF($H371="","",购销流水!$N97)</f>
        <v/>
      </c>
      <c r="H371" s="10" t="str">
        <f aca="false">IF($L371="","",IF($L371="@成本",购销流水!$U97,IF($L371="@收入",购销流水!$T97,IF($L371="@存货",购销流水!$S97,IF($L371="@结算",购销流水!$R97,$L371)))))</f>
        <v/>
      </c>
      <c r="I371" s="42" t="n">
        <f aca="false">IF($M371="借",$O371,0)</f>
        <v>0</v>
      </c>
      <c r="J371" s="42" t="n">
        <f aca="false">IF($M371="贷",$O371,0)</f>
        <v>0</v>
      </c>
      <c r="K371" s="48" t="str">
        <f aca="false">IF($H371="","",购销流水!$E97)</f>
        <v/>
      </c>
      <c r="L371" s="66" t="str">
        <f aca="false">IF(购销流水!$D97="","",IFERROR(INDEX(记账规则!$A$6:$N$9,MATCH(购销流水!$D97,记账规则!$A$6:$A$9,0),6),""))</f>
        <v/>
      </c>
      <c r="M371" s="66" t="str">
        <f aca="false">IF($L371="","",IFERROR(INDEX(记账规则!$A$6:$N$9,MATCH(购销流水!$D97,记账规则!$A$6:$A$9,0),7),""))</f>
        <v/>
      </c>
      <c r="N371" s="66" t="str">
        <f aca="false">IF($L371="","",IFERROR(INDEX(记账规则!$A$6:$N$9,MATCH(购销流水!$D97,记账规则!$A$6:$A$9,0),8),""))</f>
        <v/>
      </c>
      <c r="O371" s="67" t="n">
        <f aca="false">IF($H371="",0,ROUND(IF($N371="成本金额",N(购销流水!$W97),IF($N371="金额",N(购销流水!$Q97),0)),2))</f>
        <v>0</v>
      </c>
      <c r="P371" s="64" t="str">
        <f aca="false">IF(AND($H371&lt;&gt;"",ROUND($O371,2)&lt;&gt;0),"有","")</f>
        <v/>
      </c>
    </row>
    <row r="372" customFormat="false" ht="15" hidden="true" customHeight="false" outlineLevel="0" collapsed="false">
      <c r="A372" s="53" t="str">
        <f aca="false">IF($H372="","",ROW()-5)</f>
        <v/>
      </c>
      <c r="B372" s="64" t="s">
        <v>36</v>
      </c>
      <c r="C372" s="53" t="n">
        <v>97</v>
      </c>
      <c r="D372" s="53" t="n">
        <v>3</v>
      </c>
      <c r="E372" s="65" t="str">
        <f aca="false">IF($H372="","",购销流水!$B97)</f>
        <v/>
      </c>
      <c r="F372" s="55" t="str">
        <f aca="false">IF($H372="","",购销流水!$C97)</f>
        <v/>
      </c>
      <c r="G372" s="48" t="str">
        <f aca="false">IF($H372="","",购销流水!$N97)</f>
        <v/>
      </c>
      <c r="H372" s="10" t="str">
        <f aca="false">IF($L372="","",IF($L372="@成本",购销流水!$U97,IF($L372="@收入",购销流水!$T97,IF($L372="@存货",购销流水!$S97,IF($L372="@结算",购销流水!$R97,$L372)))))</f>
        <v/>
      </c>
      <c r="I372" s="42" t="n">
        <f aca="false">IF($M372="借",$O372,0)</f>
        <v>0</v>
      </c>
      <c r="J372" s="42" t="n">
        <f aca="false">IF($M372="贷",$O372,0)</f>
        <v>0</v>
      </c>
      <c r="K372" s="48" t="str">
        <f aca="false">IF($H372="","",购销流水!$E97)</f>
        <v/>
      </c>
      <c r="L372" s="66" t="str">
        <f aca="false">IF(购销流水!$D97="","",IFERROR(INDEX(记账规则!$A$6:$N$9,MATCH(购销流水!$D97,记账规则!$A$6:$A$9,0),9),""))</f>
        <v/>
      </c>
      <c r="M372" s="66" t="str">
        <f aca="false">IF($L372="","",IFERROR(INDEX(记账规则!$A$6:$N$9,MATCH(购销流水!$D97,记账规则!$A$6:$A$9,0),10),""))</f>
        <v/>
      </c>
      <c r="N372" s="66" t="str">
        <f aca="false">IF($L372="","",IFERROR(INDEX(记账规则!$A$6:$N$9,MATCH(购销流水!$D97,记账规则!$A$6:$A$9,0),11),""))</f>
        <v/>
      </c>
      <c r="O372" s="67" t="n">
        <f aca="false">IF($H372="",0,ROUND(IF($N372="成本金额",N(购销流水!$W97),IF($N372="金额",N(购销流水!$Q97),0)),2))</f>
        <v>0</v>
      </c>
      <c r="P372" s="64" t="str">
        <f aca="false">IF(AND($H372&lt;&gt;"",ROUND($O372,2)&lt;&gt;0),"有","")</f>
        <v/>
      </c>
    </row>
    <row r="373" customFormat="false" ht="15" hidden="true" customHeight="false" outlineLevel="0" collapsed="false">
      <c r="A373" s="53" t="str">
        <f aca="false">IF($H373="","",ROW()-5)</f>
        <v/>
      </c>
      <c r="B373" s="64" t="s">
        <v>36</v>
      </c>
      <c r="C373" s="53" t="n">
        <v>97</v>
      </c>
      <c r="D373" s="53" t="n">
        <v>4</v>
      </c>
      <c r="E373" s="65" t="str">
        <f aca="false">IF($H373="","",购销流水!$B97)</f>
        <v/>
      </c>
      <c r="F373" s="55" t="str">
        <f aca="false">IF($H373="","",购销流水!$C97)</f>
        <v/>
      </c>
      <c r="G373" s="48" t="str">
        <f aca="false">IF($H373="","",购销流水!$N97)</f>
        <v/>
      </c>
      <c r="H373" s="10" t="str">
        <f aca="false">IF($L373="","",IF($L373="@成本",购销流水!$U97,IF($L373="@收入",购销流水!$T97,IF($L373="@存货",购销流水!$S97,IF($L373="@结算",购销流水!$R97,$L373)))))</f>
        <v/>
      </c>
      <c r="I373" s="42" t="n">
        <f aca="false">IF($M373="借",$O373,0)</f>
        <v>0</v>
      </c>
      <c r="J373" s="42" t="n">
        <f aca="false">IF($M373="贷",$O373,0)</f>
        <v>0</v>
      </c>
      <c r="K373" s="48" t="str">
        <f aca="false">IF($H373="","",购销流水!$E97)</f>
        <v/>
      </c>
      <c r="L373" s="66" t="str">
        <f aca="false">IF(购销流水!$D97="","",IFERROR(INDEX(记账规则!$A$6:$N$9,MATCH(购销流水!$D97,记账规则!$A$6:$A$9,0),12),""))</f>
        <v/>
      </c>
      <c r="M373" s="66" t="str">
        <f aca="false">IF($L373="","",IFERROR(INDEX(记账规则!$A$6:$N$9,MATCH(购销流水!$D97,记账规则!$A$6:$A$9,0),13),""))</f>
        <v/>
      </c>
      <c r="N373" s="66" t="str">
        <f aca="false">IF($L373="","",IFERROR(INDEX(记账规则!$A$6:$N$9,MATCH(购销流水!$D97,记账规则!$A$6:$A$9,0),14),""))</f>
        <v/>
      </c>
      <c r="O373" s="67" t="n">
        <f aca="false">IF($H373="",0,ROUND(IF($N373="成本金额",N(购销流水!$W97),IF($N373="金额",N(购销流水!$Q97),0)),2))</f>
        <v>0</v>
      </c>
      <c r="P373" s="64" t="str">
        <f aca="false">IF(AND($H373&lt;&gt;"",ROUND($O373,2)&lt;&gt;0),"有","")</f>
        <v/>
      </c>
    </row>
    <row r="374" customFormat="false" ht="15" hidden="true" customHeight="false" outlineLevel="0" collapsed="false">
      <c r="A374" s="53" t="str">
        <f aca="false">IF($H374="","",ROW()-5)</f>
        <v/>
      </c>
      <c r="B374" s="64" t="s">
        <v>36</v>
      </c>
      <c r="C374" s="53" t="n">
        <v>98</v>
      </c>
      <c r="D374" s="53" t="n">
        <v>1</v>
      </c>
      <c r="E374" s="65" t="str">
        <f aca="false">IF($H374="","",购销流水!$B98)</f>
        <v/>
      </c>
      <c r="F374" s="55" t="str">
        <f aca="false">IF($H374="","",购销流水!$C98)</f>
        <v/>
      </c>
      <c r="G374" s="48" t="str">
        <f aca="false">IF($H374="","",购销流水!$N98)</f>
        <v/>
      </c>
      <c r="H374" s="10" t="str">
        <f aca="false">IF($L374="","",IF($L374="@成本",购销流水!$U98,IF($L374="@收入",购销流水!$T98,IF($L374="@存货",购销流水!$S98,IF($L374="@结算",购销流水!$R98,$L374)))))</f>
        <v/>
      </c>
      <c r="I374" s="42" t="n">
        <f aca="false">IF($M374="借",$O374,0)</f>
        <v>0</v>
      </c>
      <c r="J374" s="42" t="n">
        <f aca="false">IF($M374="贷",$O374,0)</f>
        <v>0</v>
      </c>
      <c r="K374" s="48" t="str">
        <f aca="false">IF($H374="","",购销流水!$E98)</f>
        <v/>
      </c>
      <c r="L374" s="66" t="str">
        <f aca="false">IF(购销流水!$D98="","",IFERROR(INDEX(记账规则!$A$6:$N$9,MATCH(购销流水!$D98,记账规则!$A$6:$A$9,0),3),""))</f>
        <v/>
      </c>
      <c r="M374" s="66" t="str">
        <f aca="false">IF($L374="","",IFERROR(INDEX(记账规则!$A$6:$N$9,MATCH(购销流水!$D98,记账规则!$A$6:$A$9,0),4),""))</f>
        <v/>
      </c>
      <c r="N374" s="66" t="str">
        <f aca="false">IF($L374="","",IFERROR(INDEX(记账规则!$A$6:$N$9,MATCH(购销流水!$D98,记账规则!$A$6:$A$9,0),5),""))</f>
        <v/>
      </c>
      <c r="O374" s="67" t="n">
        <f aca="false">IF($H374="",0,ROUND(IF($N374="成本金额",N(购销流水!$W98),IF($N374="金额",N(购销流水!$Q98),0)),2))</f>
        <v>0</v>
      </c>
      <c r="P374" s="64" t="str">
        <f aca="false">IF(AND($H374&lt;&gt;"",ROUND($O374,2)&lt;&gt;0),"有","")</f>
        <v/>
      </c>
    </row>
    <row r="375" customFormat="false" ht="15" hidden="true" customHeight="false" outlineLevel="0" collapsed="false">
      <c r="A375" s="53" t="str">
        <f aca="false">IF($H375="","",ROW()-5)</f>
        <v/>
      </c>
      <c r="B375" s="64" t="s">
        <v>36</v>
      </c>
      <c r="C375" s="53" t="n">
        <v>98</v>
      </c>
      <c r="D375" s="53" t="n">
        <v>2</v>
      </c>
      <c r="E375" s="65" t="str">
        <f aca="false">IF($H375="","",购销流水!$B98)</f>
        <v/>
      </c>
      <c r="F375" s="55" t="str">
        <f aca="false">IF($H375="","",购销流水!$C98)</f>
        <v/>
      </c>
      <c r="G375" s="48" t="str">
        <f aca="false">IF($H375="","",购销流水!$N98)</f>
        <v/>
      </c>
      <c r="H375" s="10" t="str">
        <f aca="false">IF($L375="","",IF($L375="@成本",购销流水!$U98,IF($L375="@收入",购销流水!$T98,IF($L375="@存货",购销流水!$S98,IF($L375="@结算",购销流水!$R98,$L375)))))</f>
        <v/>
      </c>
      <c r="I375" s="42" t="n">
        <f aca="false">IF($M375="借",$O375,0)</f>
        <v>0</v>
      </c>
      <c r="J375" s="42" t="n">
        <f aca="false">IF($M375="贷",$O375,0)</f>
        <v>0</v>
      </c>
      <c r="K375" s="48" t="str">
        <f aca="false">IF($H375="","",购销流水!$E98)</f>
        <v/>
      </c>
      <c r="L375" s="66" t="str">
        <f aca="false">IF(购销流水!$D98="","",IFERROR(INDEX(记账规则!$A$6:$N$9,MATCH(购销流水!$D98,记账规则!$A$6:$A$9,0),6),""))</f>
        <v/>
      </c>
      <c r="M375" s="66" t="str">
        <f aca="false">IF($L375="","",IFERROR(INDEX(记账规则!$A$6:$N$9,MATCH(购销流水!$D98,记账规则!$A$6:$A$9,0),7),""))</f>
        <v/>
      </c>
      <c r="N375" s="66" t="str">
        <f aca="false">IF($L375="","",IFERROR(INDEX(记账规则!$A$6:$N$9,MATCH(购销流水!$D98,记账规则!$A$6:$A$9,0),8),""))</f>
        <v/>
      </c>
      <c r="O375" s="67" t="n">
        <f aca="false">IF($H375="",0,ROUND(IF($N375="成本金额",N(购销流水!$W98),IF($N375="金额",N(购销流水!$Q98),0)),2))</f>
        <v>0</v>
      </c>
      <c r="P375" s="64" t="str">
        <f aca="false">IF(AND($H375&lt;&gt;"",ROUND($O375,2)&lt;&gt;0),"有","")</f>
        <v/>
      </c>
    </row>
    <row r="376" customFormat="false" ht="15" hidden="true" customHeight="false" outlineLevel="0" collapsed="false">
      <c r="A376" s="53" t="str">
        <f aca="false">IF($H376="","",ROW()-5)</f>
        <v/>
      </c>
      <c r="B376" s="64" t="s">
        <v>36</v>
      </c>
      <c r="C376" s="53" t="n">
        <v>98</v>
      </c>
      <c r="D376" s="53" t="n">
        <v>3</v>
      </c>
      <c r="E376" s="65" t="str">
        <f aca="false">IF($H376="","",购销流水!$B98)</f>
        <v/>
      </c>
      <c r="F376" s="55" t="str">
        <f aca="false">IF($H376="","",购销流水!$C98)</f>
        <v/>
      </c>
      <c r="G376" s="48" t="str">
        <f aca="false">IF($H376="","",购销流水!$N98)</f>
        <v/>
      </c>
      <c r="H376" s="10" t="str">
        <f aca="false">IF($L376="","",IF($L376="@成本",购销流水!$U98,IF($L376="@收入",购销流水!$T98,IF($L376="@存货",购销流水!$S98,IF($L376="@结算",购销流水!$R98,$L376)))))</f>
        <v/>
      </c>
      <c r="I376" s="42" t="n">
        <f aca="false">IF($M376="借",$O376,0)</f>
        <v>0</v>
      </c>
      <c r="J376" s="42" t="n">
        <f aca="false">IF($M376="贷",$O376,0)</f>
        <v>0</v>
      </c>
      <c r="K376" s="48" t="str">
        <f aca="false">IF($H376="","",购销流水!$E98)</f>
        <v/>
      </c>
      <c r="L376" s="66" t="str">
        <f aca="false">IF(购销流水!$D98="","",IFERROR(INDEX(记账规则!$A$6:$N$9,MATCH(购销流水!$D98,记账规则!$A$6:$A$9,0),9),""))</f>
        <v/>
      </c>
      <c r="M376" s="66" t="str">
        <f aca="false">IF($L376="","",IFERROR(INDEX(记账规则!$A$6:$N$9,MATCH(购销流水!$D98,记账规则!$A$6:$A$9,0),10),""))</f>
        <v/>
      </c>
      <c r="N376" s="66" t="str">
        <f aca="false">IF($L376="","",IFERROR(INDEX(记账规则!$A$6:$N$9,MATCH(购销流水!$D98,记账规则!$A$6:$A$9,0),11),""))</f>
        <v/>
      </c>
      <c r="O376" s="67" t="n">
        <f aca="false">IF($H376="",0,ROUND(IF($N376="成本金额",N(购销流水!$W98),IF($N376="金额",N(购销流水!$Q98),0)),2))</f>
        <v>0</v>
      </c>
      <c r="P376" s="64" t="str">
        <f aca="false">IF(AND($H376&lt;&gt;"",ROUND($O376,2)&lt;&gt;0),"有","")</f>
        <v/>
      </c>
    </row>
    <row r="377" customFormat="false" ht="15" hidden="true" customHeight="false" outlineLevel="0" collapsed="false">
      <c r="A377" s="53" t="str">
        <f aca="false">IF($H377="","",ROW()-5)</f>
        <v/>
      </c>
      <c r="B377" s="64" t="s">
        <v>36</v>
      </c>
      <c r="C377" s="53" t="n">
        <v>98</v>
      </c>
      <c r="D377" s="53" t="n">
        <v>4</v>
      </c>
      <c r="E377" s="65" t="str">
        <f aca="false">IF($H377="","",购销流水!$B98)</f>
        <v/>
      </c>
      <c r="F377" s="55" t="str">
        <f aca="false">IF($H377="","",购销流水!$C98)</f>
        <v/>
      </c>
      <c r="G377" s="48" t="str">
        <f aca="false">IF($H377="","",购销流水!$N98)</f>
        <v/>
      </c>
      <c r="H377" s="10" t="str">
        <f aca="false">IF($L377="","",IF($L377="@成本",购销流水!$U98,IF($L377="@收入",购销流水!$T98,IF($L377="@存货",购销流水!$S98,IF($L377="@结算",购销流水!$R98,$L377)))))</f>
        <v/>
      </c>
      <c r="I377" s="42" t="n">
        <f aca="false">IF($M377="借",$O377,0)</f>
        <v>0</v>
      </c>
      <c r="J377" s="42" t="n">
        <f aca="false">IF($M377="贷",$O377,0)</f>
        <v>0</v>
      </c>
      <c r="K377" s="48" t="str">
        <f aca="false">IF($H377="","",购销流水!$E98)</f>
        <v/>
      </c>
      <c r="L377" s="66" t="str">
        <f aca="false">IF(购销流水!$D98="","",IFERROR(INDEX(记账规则!$A$6:$N$9,MATCH(购销流水!$D98,记账规则!$A$6:$A$9,0),12),""))</f>
        <v/>
      </c>
      <c r="M377" s="66" t="str">
        <f aca="false">IF($L377="","",IFERROR(INDEX(记账规则!$A$6:$N$9,MATCH(购销流水!$D98,记账规则!$A$6:$A$9,0),13),""))</f>
        <v/>
      </c>
      <c r="N377" s="66" t="str">
        <f aca="false">IF($L377="","",IFERROR(INDEX(记账规则!$A$6:$N$9,MATCH(购销流水!$D98,记账规则!$A$6:$A$9,0),14),""))</f>
        <v/>
      </c>
      <c r="O377" s="67" t="n">
        <f aca="false">IF($H377="",0,ROUND(IF($N377="成本金额",N(购销流水!$W98),IF($N377="金额",N(购销流水!$Q98),0)),2))</f>
        <v>0</v>
      </c>
      <c r="P377" s="64" t="str">
        <f aca="false">IF(AND($H377&lt;&gt;"",ROUND($O377,2)&lt;&gt;0),"有","")</f>
        <v/>
      </c>
    </row>
    <row r="378" customFormat="false" ht="15" hidden="true" customHeight="false" outlineLevel="0" collapsed="false">
      <c r="A378" s="53" t="str">
        <f aca="false">IF($H378="","",ROW()-5)</f>
        <v/>
      </c>
      <c r="B378" s="64" t="s">
        <v>36</v>
      </c>
      <c r="C378" s="53" t="n">
        <v>99</v>
      </c>
      <c r="D378" s="53" t="n">
        <v>1</v>
      </c>
      <c r="E378" s="65" t="str">
        <f aca="false">IF($H378="","",购销流水!$B99)</f>
        <v/>
      </c>
      <c r="F378" s="55" t="str">
        <f aca="false">IF($H378="","",购销流水!$C99)</f>
        <v/>
      </c>
      <c r="G378" s="48" t="str">
        <f aca="false">IF($H378="","",购销流水!$N99)</f>
        <v/>
      </c>
      <c r="H378" s="10" t="str">
        <f aca="false">IF($L378="","",IF($L378="@成本",购销流水!$U99,IF($L378="@收入",购销流水!$T99,IF($L378="@存货",购销流水!$S99,IF($L378="@结算",购销流水!$R99,$L378)))))</f>
        <v/>
      </c>
      <c r="I378" s="42" t="n">
        <f aca="false">IF($M378="借",$O378,0)</f>
        <v>0</v>
      </c>
      <c r="J378" s="42" t="n">
        <f aca="false">IF($M378="贷",$O378,0)</f>
        <v>0</v>
      </c>
      <c r="K378" s="48" t="str">
        <f aca="false">IF($H378="","",购销流水!$E99)</f>
        <v/>
      </c>
      <c r="L378" s="66" t="str">
        <f aca="false">IF(购销流水!$D99="","",IFERROR(INDEX(记账规则!$A$6:$N$9,MATCH(购销流水!$D99,记账规则!$A$6:$A$9,0),3),""))</f>
        <v/>
      </c>
      <c r="M378" s="66" t="str">
        <f aca="false">IF($L378="","",IFERROR(INDEX(记账规则!$A$6:$N$9,MATCH(购销流水!$D99,记账规则!$A$6:$A$9,0),4),""))</f>
        <v/>
      </c>
      <c r="N378" s="66" t="str">
        <f aca="false">IF($L378="","",IFERROR(INDEX(记账规则!$A$6:$N$9,MATCH(购销流水!$D99,记账规则!$A$6:$A$9,0),5),""))</f>
        <v/>
      </c>
      <c r="O378" s="67" t="n">
        <f aca="false">IF($H378="",0,ROUND(IF($N378="成本金额",N(购销流水!$W99),IF($N378="金额",N(购销流水!$Q99),0)),2))</f>
        <v>0</v>
      </c>
      <c r="P378" s="64" t="str">
        <f aca="false">IF(AND($H378&lt;&gt;"",ROUND($O378,2)&lt;&gt;0),"有","")</f>
        <v/>
      </c>
    </row>
    <row r="379" customFormat="false" ht="15" hidden="true" customHeight="false" outlineLevel="0" collapsed="false">
      <c r="A379" s="53" t="str">
        <f aca="false">IF($H379="","",ROW()-5)</f>
        <v/>
      </c>
      <c r="B379" s="64" t="s">
        <v>36</v>
      </c>
      <c r="C379" s="53" t="n">
        <v>99</v>
      </c>
      <c r="D379" s="53" t="n">
        <v>2</v>
      </c>
      <c r="E379" s="65" t="str">
        <f aca="false">IF($H379="","",购销流水!$B99)</f>
        <v/>
      </c>
      <c r="F379" s="55" t="str">
        <f aca="false">IF($H379="","",购销流水!$C99)</f>
        <v/>
      </c>
      <c r="G379" s="48" t="str">
        <f aca="false">IF($H379="","",购销流水!$N99)</f>
        <v/>
      </c>
      <c r="H379" s="10" t="str">
        <f aca="false">IF($L379="","",IF($L379="@成本",购销流水!$U99,IF($L379="@收入",购销流水!$T99,IF($L379="@存货",购销流水!$S99,IF($L379="@结算",购销流水!$R99,$L379)))))</f>
        <v/>
      </c>
      <c r="I379" s="42" t="n">
        <f aca="false">IF($M379="借",$O379,0)</f>
        <v>0</v>
      </c>
      <c r="J379" s="42" t="n">
        <f aca="false">IF($M379="贷",$O379,0)</f>
        <v>0</v>
      </c>
      <c r="K379" s="48" t="str">
        <f aca="false">IF($H379="","",购销流水!$E99)</f>
        <v/>
      </c>
      <c r="L379" s="66" t="str">
        <f aca="false">IF(购销流水!$D99="","",IFERROR(INDEX(记账规则!$A$6:$N$9,MATCH(购销流水!$D99,记账规则!$A$6:$A$9,0),6),""))</f>
        <v/>
      </c>
      <c r="M379" s="66" t="str">
        <f aca="false">IF($L379="","",IFERROR(INDEX(记账规则!$A$6:$N$9,MATCH(购销流水!$D99,记账规则!$A$6:$A$9,0),7),""))</f>
        <v/>
      </c>
      <c r="N379" s="66" t="str">
        <f aca="false">IF($L379="","",IFERROR(INDEX(记账规则!$A$6:$N$9,MATCH(购销流水!$D99,记账规则!$A$6:$A$9,0),8),""))</f>
        <v/>
      </c>
      <c r="O379" s="67" t="n">
        <f aca="false">IF($H379="",0,ROUND(IF($N379="成本金额",N(购销流水!$W99),IF($N379="金额",N(购销流水!$Q99),0)),2))</f>
        <v>0</v>
      </c>
      <c r="P379" s="64" t="str">
        <f aca="false">IF(AND($H379&lt;&gt;"",ROUND($O379,2)&lt;&gt;0),"有","")</f>
        <v/>
      </c>
    </row>
    <row r="380" customFormat="false" ht="15" hidden="true" customHeight="false" outlineLevel="0" collapsed="false">
      <c r="A380" s="53" t="str">
        <f aca="false">IF($H380="","",ROW()-5)</f>
        <v/>
      </c>
      <c r="B380" s="64" t="s">
        <v>36</v>
      </c>
      <c r="C380" s="53" t="n">
        <v>99</v>
      </c>
      <c r="D380" s="53" t="n">
        <v>3</v>
      </c>
      <c r="E380" s="65" t="str">
        <f aca="false">IF($H380="","",购销流水!$B99)</f>
        <v/>
      </c>
      <c r="F380" s="55" t="str">
        <f aca="false">IF($H380="","",购销流水!$C99)</f>
        <v/>
      </c>
      <c r="G380" s="48" t="str">
        <f aca="false">IF($H380="","",购销流水!$N99)</f>
        <v/>
      </c>
      <c r="H380" s="10" t="str">
        <f aca="false">IF($L380="","",IF($L380="@成本",购销流水!$U99,IF($L380="@收入",购销流水!$T99,IF($L380="@存货",购销流水!$S99,IF($L380="@结算",购销流水!$R99,$L380)))))</f>
        <v/>
      </c>
      <c r="I380" s="42" t="n">
        <f aca="false">IF($M380="借",$O380,0)</f>
        <v>0</v>
      </c>
      <c r="J380" s="42" t="n">
        <f aca="false">IF($M380="贷",$O380,0)</f>
        <v>0</v>
      </c>
      <c r="K380" s="48" t="str">
        <f aca="false">IF($H380="","",购销流水!$E99)</f>
        <v/>
      </c>
      <c r="L380" s="66" t="str">
        <f aca="false">IF(购销流水!$D99="","",IFERROR(INDEX(记账规则!$A$6:$N$9,MATCH(购销流水!$D99,记账规则!$A$6:$A$9,0),9),""))</f>
        <v/>
      </c>
      <c r="M380" s="66" t="str">
        <f aca="false">IF($L380="","",IFERROR(INDEX(记账规则!$A$6:$N$9,MATCH(购销流水!$D99,记账规则!$A$6:$A$9,0),10),""))</f>
        <v/>
      </c>
      <c r="N380" s="66" t="str">
        <f aca="false">IF($L380="","",IFERROR(INDEX(记账规则!$A$6:$N$9,MATCH(购销流水!$D99,记账规则!$A$6:$A$9,0),11),""))</f>
        <v/>
      </c>
      <c r="O380" s="67" t="n">
        <f aca="false">IF($H380="",0,ROUND(IF($N380="成本金额",N(购销流水!$W99),IF($N380="金额",N(购销流水!$Q99),0)),2))</f>
        <v>0</v>
      </c>
      <c r="P380" s="64" t="str">
        <f aca="false">IF(AND($H380&lt;&gt;"",ROUND($O380,2)&lt;&gt;0),"有","")</f>
        <v/>
      </c>
    </row>
    <row r="381" customFormat="false" ht="15" hidden="true" customHeight="false" outlineLevel="0" collapsed="false">
      <c r="A381" s="53" t="str">
        <f aca="false">IF($H381="","",ROW()-5)</f>
        <v/>
      </c>
      <c r="B381" s="64" t="s">
        <v>36</v>
      </c>
      <c r="C381" s="53" t="n">
        <v>99</v>
      </c>
      <c r="D381" s="53" t="n">
        <v>4</v>
      </c>
      <c r="E381" s="65" t="str">
        <f aca="false">IF($H381="","",购销流水!$B99)</f>
        <v/>
      </c>
      <c r="F381" s="55" t="str">
        <f aca="false">IF($H381="","",购销流水!$C99)</f>
        <v/>
      </c>
      <c r="G381" s="48" t="str">
        <f aca="false">IF($H381="","",购销流水!$N99)</f>
        <v/>
      </c>
      <c r="H381" s="10" t="str">
        <f aca="false">IF($L381="","",IF($L381="@成本",购销流水!$U99,IF($L381="@收入",购销流水!$T99,IF($L381="@存货",购销流水!$S99,IF($L381="@结算",购销流水!$R99,$L381)))))</f>
        <v/>
      </c>
      <c r="I381" s="42" t="n">
        <f aca="false">IF($M381="借",$O381,0)</f>
        <v>0</v>
      </c>
      <c r="J381" s="42" t="n">
        <f aca="false">IF($M381="贷",$O381,0)</f>
        <v>0</v>
      </c>
      <c r="K381" s="48" t="str">
        <f aca="false">IF($H381="","",购销流水!$E99)</f>
        <v/>
      </c>
      <c r="L381" s="66" t="str">
        <f aca="false">IF(购销流水!$D99="","",IFERROR(INDEX(记账规则!$A$6:$N$9,MATCH(购销流水!$D99,记账规则!$A$6:$A$9,0),12),""))</f>
        <v/>
      </c>
      <c r="M381" s="66" t="str">
        <f aca="false">IF($L381="","",IFERROR(INDEX(记账规则!$A$6:$N$9,MATCH(购销流水!$D99,记账规则!$A$6:$A$9,0),13),""))</f>
        <v/>
      </c>
      <c r="N381" s="66" t="str">
        <f aca="false">IF($L381="","",IFERROR(INDEX(记账规则!$A$6:$N$9,MATCH(购销流水!$D99,记账规则!$A$6:$A$9,0),14),""))</f>
        <v/>
      </c>
      <c r="O381" s="67" t="n">
        <f aca="false">IF($H381="",0,ROUND(IF($N381="成本金额",N(购销流水!$W99),IF($N381="金额",N(购销流水!$Q99),0)),2))</f>
        <v>0</v>
      </c>
      <c r="P381" s="64" t="str">
        <f aca="false">IF(AND($H381&lt;&gt;"",ROUND($O381,2)&lt;&gt;0),"有","")</f>
        <v/>
      </c>
    </row>
    <row r="382" customFormat="false" ht="15" hidden="true" customHeight="false" outlineLevel="0" collapsed="false">
      <c r="A382" s="53" t="str">
        <f aca="false">IF($H382="","",ROW()-5)</f>
        <v/>
      </c>
      <c r="B382" s="64" t="s">
        <v>36</v>
      </c>
      <c r="C382" s="53" t="n">
        <v>100</v>
      </c>
      <c r="D382" s="53" t="n">
        <v>1</v>
      </c>
      <c r="E382" s="65" t="str">
        <f aca="false">IF($H382="","",购销流水!$B100)</f>
        <v/>
      </c>
      <c r="F382" s="55" t="str">
        <f aca="false">IF($H382="","",购销流水!$C100)</f>
        <v/>
      </c>
      <c r="G382" s="48" t="str">
        <f aca="false">IF($H382="","",购销流水!$N100)</f>
        <v/>
      </c>
      <c r="H382" s="10" t="str">
        <f aca="false">IF($L382="","",IF($L382="@成本",购销流水!$U100,IF($L382="@收入",购销流水!$T100,IF($L382="@存货",购销流水!$S100,IF($L382="@结算",购销流水!$R100,$L382)))))</f>
        <v/>
      </c>
      <c r="I382" s="42" t="n">
        <f aca="false">IF($M382="借",$O382,0)</f>
        <v>0</v>
      </c>
      <c r="J382" s="42" t="n">
        <f aca="false">IF($M382="贷",$O382,0)</f>
        <v>0</v>
      </c>
      <c r="K382" s="48" t="str">
        <f aca="false">IF($H382="","",购销流水!$E100)</f>
        <v/>
      </c>
      <c r="L382" s="66" t="str">
        <f aca="false">IF(购销流水!$D100="","",IFERROR(INDEX(记账规则!$A$6:$N$9,MATCH(购销流水!$D100,记账规则!$A$6:$A$9,0),3),""))</f>
        <v/>
      </c>
      <c r="M382" s="66" t="str">
        <f aca="false">IF($L382="","",IFERROR(INDEX(记账规则!$A$6:$N$9,MATCH(购销流水!$D100,记账规则!$A$6:$A$9,0),4),""))</f>
        <v/>
      </c>
      <c r="N382" s="66" t="str">
        <f aca="false">IF($L382="","",IFERROR(INDEX(记账规则!$A$6:$N$9,MATCH(购销流水!$D100,记账规则!$A$6:$A$9,0),5),""))</f>
        <v/>
      </c>
      <c r="O382" s="67" t="n">
        <f aca="false">IF($H382="",0,ROUND(IF($N382="成本金额",N(购销流水!$W100),IF($N382="金额",N(购销流水!$Q100),0)),2))</f>
        <v>0</v>
      </c>
      <c r="P382" s="64" t="str">
        <f aca="false">IF(AND($H382&lt;&gt;"",ROUND($O382,2)&lt;&gt;0),"有","")</f>
        <v/>
      </c>
    </row>
    <row r="383" customFormat="false" ht="15" hidden="true" customHeight="false" outlineLevel="0" collapsed="false">
      <c r="A383" s="53" t="str">
        <f aca="false">IF($H383="","",ROW()-5)</f>
        <v/>
      </c>
      <c r="B383" s="64" t="s">
        <v>36</v>
      </c>
      <c r="C383" s="53" t="n">
        <v>100</v>
      </c>
      <c r="D383" s="53" t="n">
        <v>2</v>
      </c>
      <c r="E383" s="65" t="str">
        <f aca="false">IF($H383="","",购销流水!$B100)</f>
        <v/>
      </c>
      <c r="F383" s="55" t="str">
        <f aca="false">IF($H383="","",购销流水!$C100)</f>
        <v/>
      </c>
      <c r="G383" s="48" t="str">
        <f aca="false">IF($H383="","",购销流水!$N100)</f>
        <v/>
      </c>
      <c r="H383" s="10" t="str">
        <f aca="false">IF($L383="","",IF($L383="@成本",购销流水!$U100,IF($L383="@收入",购销流水!$T100,IF($L383="@存货",购销流水!$S100,IF($L383="@结算",购销流水!$R100,$L383)))))</f>
        <v/>
      </c>
      <c r="I383" s="42" t="n">
        <f aca="false">IF($M383="借",$O383,0)</f>
        <v>0</v>
      </c>
      <c r="J383" s="42" t="n">
        <f aca="false">IF($M383="贷",$O383,0)</f>
        <v>0</v>
      </c>
      <c r="K383" s="48" t="str">
        <f aca="false">IF($H383="","",购销流水!$E100)</f>
        <v/>
      </c>
      <c r="L383" s="66" t="str">
        <f aca="false">IF(购销流水!$D100="","",IFERROR(INDEX(记账规则!$A$6:$N$9,MATCH(购销流水!$D100,记账规则!$A$6:$A$9,0),6),""))</f>
        <v/>
      </c>
      <c r="M383" s="66" t="str">
        <f aca="false">IF($L383="","",IFERROR(INDEX(记账规则!$A$6:$N$9,MATCH(购销流水!$D100,记账规则!$A$6:$A$9,0),7),""))</f>
        <v/>
      </c>
      <c r="N383" s="66" t="str">
        <f aca="false">IF($L383="","",IFERROR(INDEX(记账规则!$A$6:$N$9,MATCH(购销流水!$D100,记账规则!$A$6:$A$9,0),8),""))</f>
        <v/>
      </c>
      <c r="O383" s="67" t="n">
        <f aca="false">IF($H383="",0,ROUND(IF($N383="成本金额",N(购销流水!$W100),IF($N383="金额",N(购销流水!$Q100),0)),2))</f>
        <v>0</v>
      </c>
      <c r="P383" s="64" t="str">
        <f aca="false">IF(AND($H383&lt;&gt;"",ROUND($O383,2)&lt;&gt;0),"有","")</f>
        <v/>
      </c>
    </row>
    <row r="384" customFormat="false" ht="15" hidden="true" customHeight="false" outlineLevel="0" collapsed="false">
      <c r="A384" s="53" t="str">
        <f aca="false">IF($H384="","",ROW()-5)</f>
        <v/>
      </c>
      <c r="B384" s="64" t="s">
        <v>36</v>
      </c>
      <c r="C384" s="53" t="n">
        <v>100</v>
      </c>
      <c r="D384" s="53" t="n">
        <v>3</v>
      </c>
      <c r="E384" s="65" t="str">
        <f aca="false">IF($H384="","",购销流水!$B100)</f>
        <v/>
      </c>
      <c r="F384" s="55" t="str">
        <f aca="false">IF($H384="","",购销流水!$C100)</f>
        <v/>
      </c>
      <c r="G384" s="48" t="str">
        <f aca="false">IF($H384="","",购销流水!$N100)</f>
        <v/>
      </c>
      <c r="H384" s="10" t="str">
        <f aca="false">IF($L384="","",IF($L384="@成本",购销流水!$U100,IF($L384="@收入",购销流水!$T100,IF($L384="@存货",购销流水!$S100,IF($L384="@结算",购销流水!$R100,$L384)))))</f>
        <v/>
      </c>
      <c r="I384" s="42" t="n">
        <f aca="false">IF($M384="借",$O384,0)</f>
        <v>0</v>
      </c>
      <c r="J384" s="42" t="n">
        <f aca="false">IF($M384="贷",$O384,0)</f>
        <v>0</v>
      </c>
      <c r="K384" s="48" t="str">
        <f aca="false">IF($H384="","",购销流水!$E100)</f>
        <v/>
      </c>
      <c r="L384" s="66" t="str">
        <f aca="false">IF(购销流水!$D100="","",IFERROR(INDEX(记账规则!$A$6:$N$9,MATCH(购销流水!$D100,记账规则!$A$6:$A$9,0),9),""))</f>
        <v/>
      </c>
      <c r="M384" s="66" t="str">
        <f aca="false">IF($L384="","",IFERROR(INDEX(记账规则!$A$6:$N$9,MATCH(购销流水!$D100,记账规则!$A$6:$A$9,0),10),""))</f>
        <v/>
      </c>
      <c r="N384" s="66" t="str">
        <f aca="false">IF($L384="","",IFERROR(INDEX(记账规则!$A$6:$N$9,MATCH(购销流水!$D100,记账规则!$A$6:$A$9,0),11),""))</f>
        <v/>
      </c>
      <c r="O384" s="67" t="n">
        <f aca="false">IF($H384="",0,ROUND(IF($N384="成本金额",N(购销流水!$W100),IF($N384="金额",N(购销流水!$Q100),0)),2))</f>
        <v>0</v>
      </c>
      <c r="P384" s="64" t="str">
        <f aca="false">IF(AND($H384&lt;&gt;"",ROUND($O384,2)&lt;&gt;0),"有","")</f>
        <v/>
      </c>
    </row>
    <row r="385" customFormat="false" ht="15" hidden="true" customHeight="false" outlineLevel="0" collapsed="false">
      <c r="A385" s="53" t="str">
        <f aca="false">IF($H385="","",ROW()-5)</f>
        <v/>
      </c>
      <c r="B385" s="64" t="s">
        <v>36</v>
      </c>
      <c r="C385" s="53" t="n">
        <v>100</v>
      </c>
      <c r="D385" s="53" t="n">
        <v>4</v>
      </c>
      <c r="E385" s="65" t="str">
        <f aca="false">IF($H385="","",购销流水!$B100)</f>
        <v/>
      </c>
      <c r="F385" s="55" t="str">
        <f aca="false">IF($H385="","",购销流水!$C100)</f>
        <v/>
      </c>
      <c r="G385" s="48" t="str">
        <f aca="false">IF($H385="","",购销流水!$N100)</f>
        <v/>
      </c>
      <c r="H385" s="10" t="str">
        <f aca="false">IF($L385="","",IF($L385="@成本",购销流水!$U100,IF($L385="@收入",购销流水!$T100,IF($L385="@存货",购销流水!$S100,IF($L385="@结算",购销流水!$R100,$L385)))))</f>
        <v/>
      </c>
      <c r="I385" s="42" t="n">
        <f aca="false">IF($M385="借",$O385,0)</f>
        <v>0</v>
      </c>
      <c r="J385" s="42" t="n">
        <f aca="false">IF($M385="贷",$O385,0)</f>
        <v>0</v>
      </c>
      <c r="K385" s="48" t="str">
        <f aca="false">IF($H385="","",购销流水!$E100)</f>
        <v/>
      </c>
      <c r="L385" s="66" t="str">
        <f aca="false">IF(购销流水!$D100="","",IFERROR(INDEX(记账规则!$A$6:$N$9,MATCH(购销流水!$D100,记账规则!$A$6:$A$9,0),12),""))</f>
        <v/>
      </c>
      <c r="M385" s="66" t="str">
        <f aca="false">IF($L385="","",IFERROR(INDEX(记账规则!$A$6:$N$9,MATCH(购销流水!$D100,记账规则!$A$6:$A$9,0),13),""))</f>
        <v/>
      </c>
      <c r="N385" s="66" t="str">
        <f aca="false">IF($L385="","",IFERROR(INDEX(记账规则!$A$6:$N$9,MATCH(购销流水!$D100,记账规则!$A$6:$A$9,0),14),""))</f>
        <v/>
      </c>
      <c r="O385" s="67" t="n">
        <f aca="false">IF($H385="",0,ROUND(IF($N385="成本金额",N(购销流水!$W100),IF($N385="金额",N(购销流水!$Q100),0)),2))</f>
        <v>0</v>
      </c>
      <c r="P385" s="64" t="str">
        <f aca="false">IF(AND($H385&lt;&gt;"",ROUND($O385,2)&lt;&gt;0),"有","")</f>
        <v/>
      </c>
    </row>
    <row r="386" customFormat="false" ht="15" hidden="true" customHeight="false" outlineLevel="0" collapsed="false">
      <c r="A386" s="53" t="str">
        <f aca="false">IF($H386="","",ROW()-5)</f>
        <v/>
      </c>
      <c r="B386" s="64" t="s">
        <v>36</v>
      </c>
      <c r="C386" s="53" t="n">
        <v>101</v>
      </c>
      <c r="D386" s="53" t="n">
        <v>1</v>
      </c>
      <c r="E386" s="65" t="str">
        <f aca="false">IF($H386="","",购销流水!$B101)</f>
        <v/>
      </c>
      <c r="F386" s="55" t="str">
        <f aca="false">IF($H386="","",购销流水!$C101)</f>
        <v/>
      </c>
      <c r="G386" s="48" t="str">
        <f aca="false">IF($H386="","",购销流水!$N101)</f>
        <v/>
      </c>
      <c r="H386" s="10" t="str">
        <f aca="false">IF($L386="","",IF($L386="@成本",购销流水!$U101,IF($L386="@收入",购销流水!$T101,IF($L386="@存货",购销流水!$S101,IF($L386="@结算",购销流水!$R101,$L386)))))</f>
        <v/>
      </c>
      <c r="I386" s="42" t="n">
        <f aca="false">IF($M386="借",$O386,0)</f>
        <v>0</v>
      </c>
      <c r="J386" s="42" t="n">
        <f aca="false">IF($M386="贷",$O386,0)</f>
        <v>0</v>
      </c>
      <c r="K386" s="48" t="str">
        <f aca="false">IF($H386="","",购销流水!$E101)</f>
        <v/>
      </c>
      <c r="L386" s="66" t="str">
        <f aca="false">IF(购销流水!$D101="","",IFERROR(INDEX(记账规则!$A$6:$N$9,MATCH(购销流水!$D101,记账规则!$A$6:$A$9,0),3),""))</f>
        <v/>
      </c>
      <c r="M386" s="66" t="str">
        <f aca="false">IF($L386="","",IFERROR(INDEX(记账规则!$A$6:$N$9,MATCH(购销流水!$D101,记账规则!$A$6:$A$9,0),4),""))</f>
        <v/>
      </c>
      <c r="N386" s="66" t="str">
        <f aca="false">IF($L386="","",IFERROR(INDEX(记账规则!$A$6:$N$9,MATCH(购销流水!$D101,记账规则!$A$6:$A$9,0),5),""))</f>
        <v/>
      </c>
      <c r="O386" s="67" t="n">
        <f aca="false">IF($H386="",0,ROUND(IF($N386="成本金额",N(购销流水!$W101),IF($N386="金额",N(购销流水!$Q101),0)),2))</f>
        <v>0</v>
      </c>
      <c r="P386" s="64" t="str">
        <f aca="false">IF(AND($H386&lt;&gt;"",ROUND($O386,2)&lt;&gt;0),"有","")</f>
        <v/>
      </c>
    </row>
    <row r="387" customFormat="false" ht="15" hidden="true" customHeight="false" outlineLevel="0" collapsed="false">
      <c r="A387" s="53" t="str">
        <f aca="false">IF($H387="","",ROW()-5)</f>
        <v/>
      </c>
      <c r="B387" s="64" t="s">
        <v>36</v>
      </c>
      <c r="C387" s="53" t="n">
        <v>101</v>
      </c>
      <c r="D387" s="53" t="n">
        <v>2</v>
      </c>
      <c r="E387" s="65" t="str">
        <f aca="false">IF($H387="","",购销流水!$B101)</f>
        <v/>
      </c>
      <c r="F387" s="55" t="str">
        <f aca="false">IF($H387="","",购销流水!$C101)</f>
        <v/>
      </c>
      <c r="G387" s="48" t="str">
        <f aca="false">IF($H387="","",购销流水!$N101)</f>
        <v/>
      </c>
      <c r="H387" s="10" t="str">
        <f aca="false">IF($L387="","",IF($L387="@成本",购销流水!$U101,IF($L387="@收入",购销流水!$T101,IF($L387="@存货",购销流水!$S101,IF($L387="@结算",购销流水!$R101,$L387)))))</f>
        <v/>
      </c>
      <c r="I387" s="42" t="n">
        <f aca="false">IF($M387="借",$O387,0)</f>
        <v>0</v>
      </c>
      <c r="J387" s="42" t="n">
        <f aca="false">IF($M387="贷",$O387,0)</f>
        <v>0</v>
      </c>
      <c r="K387" s="48" t="str">
        <f aca="false">IF($H387="","",购销流水!$E101)</f>
        <v/>
      </c>
      <c r="L387" s="66" t="str">
        <f aca="false">IF(购销流水!$D101="","",IFERROR(INDEX(记账规则!$A$6:$N$9,MATCH(购销流水!$D101,记账规则!$A$6:$A$9,0),6),""))</f>
        <v/>
      </c>
      <c r="M387" s="66" t="str">
        <f aca="false">IF($L387="","",IFERROR(INDEX(记账规则!$A$6:$N$9,MATCH(购销流水!$D101,记账规则!$A$6:$A$9,0),7),""))</f>
        <v/>
      </c>
      <c r="N387" s="66" t="str">
        <f aca="false">IF($L387="","",IFERROR(INDEX(记账规则!$A$6:$N$9,MATCH(购销流水!$D101,记账规则!$A$6:$A$9,0),8),""))</f>
        <v/>
      </c>
      <c r="O387" s="67" t="n">
        <f aca="false">IF($H387="",0,ROUND(IF($N387="成本金额",N(购销流水!$W101),IF($N387="金额",N(购销流水!$Q101),0)),2))</f>
        <v>0</v>
      </c>
      <c r="P387" s="64" t="str">
        <f aca="false">IF(AND($H387&lt;&gt;"",ROUND($O387,2)&lt;&gt;0),"有","")</f>
        <v/>
      </c>
    </row>
    <row r="388" customFormat="false" ht="15" hidden="true" customHeight="false" outlineLevel="0" collapsed="false">
      <c r="A388" s="53" t="str">
        <f aca="false">IF($H388="","",ROW()-5)</f>
        <v/>
      </c>
      <c r="B388" s="64" t="s">
        <v>36</v>
      </c>
      <c r="C388" s="53" t="n">
        <v>101</v>
      </c>
      <c r="D388" s="53" t="n">
        <v>3</v>
      </c>
      <c r="E388" s="65" t="str">
        <f aca="false">IF($H388="","",购销流水!$B101)</f>
        <v/>
      </c>
      <c r="F388" s="55" t="str">
        <f aca="false">IF($H388="","",购销流水!$C101)</f>
        <v/>
      </c>
      <c r="G388" s="48" t="str">
        <f aca="false">IF($H388="","",购销流水!$N101)</f>
        <v/>
      </c>
      <c r="H388" s="10" t="str">
        <f aca="false">IF($L388="","",IF($L388="@成本",购销流水!$U101,IF($L388="@收入",购销流水!$T101,IF($L388="@存货",购销流水!$S101,IF($L388="@结算",购销流水!$R101,$L388)))))</f>
        <v/>
      </c>
      <c r="I388" s="42" t="n">
        <f aca="false">IF($M388="借",$O388,0)</f>
        <v>0</v>
      </c>
      <c r="J388" s="42" t="n">
        <f aca="false">IF($M388="贷",$O388,0)</f>
        <v>0</v>
      </c>
      <c r="K388" s="48" t="str">
        <f aca="false">IF($H388="","",购销流水!$E101)</f>
        <v/>
      </c>
      <c r="L388" s="66" t="str">
        <f aca="false">IF(购销流水!$D101="","",IFERROR(INDEX(记账规则!$A$6:$N$9,MATCH(购销流水!$D101,记账规则!$A$6:$A$9,0),9),""))</f>
        <v/>
      </c>
      <c r="M388" s="66" t="str">
        <f aca="false">IF($L388="","",IFERROR(INDEX(记账规则!$A$6:$N$9,MATCH(购销流水!$D101,记账规则!$A$6:$A$9,0),10),""))</f>
        <v/>
      </c>
      <c r="N388" s="66" t="str">
        <f aca="false">IF($L388="","",IFERROR(INDEX(记账规则!$A$6:$N$9,MATCH(购销流水!$D101,记账规则!$A$6:$A$9,0),11),""))</f>
        <v/>
      </c>
      <c r="O388" s="67" t="n">
        <f aca="false">IF($H388="",0,ROUND(IF($N388="成本金额",N(购销流水!$W101),IF($N388="金额",N(购销流水!$Q101),0)),2))</f>
        <v>0</v>
      </c>
      <c r="P388" s="64" t="str">
        <f aca="false">IF(AND($H388&lt;&gt;"",ROUND($O388,2)&lt;&gt;0),"有","")</f>
        <v/>
      </c>
    </row>
    <row r="389" customFormat="false" ht="15" hidden="true" customHeight="false" outlineLevel="0" collapsed="false">
      <c r="A389" s="53" t="str">
        <f aca="false">IF($H389="","",ROW()-5)</f>
        <v/>
      </c>
      <c r="B389" s="64" t="s">
        <v>36</v>
      </c>
      <c r="C389" s="53" t="n">
        <v>101</v>
      </c>
      <c r="D389" s="53" t="n">
        <v>4</v>
      </c>
      <c r="E389" s="65" t="str">
        <f aca="false">IF($H389="","",购销流水!$B101)</f>
        <v/>
      </c>
      <c r="F389" s="55" t="str">
        <f aca="false">IF($H389="","",购销流水!$C101)</f>
        <v/>
      </c>
      <c r="G389" s="48" t="str">
        <f aca="false">IF($H389="","",购销流水!$N101)</f>
        <v/>
      </c>
      <c r="H389" s="10" t="str">
        <f aca="false">IF($L389="","",IF($L389="@成本",购销流水!$U101,IF($L389="@收入",购销流水!$T101,IF($L389="@存货",购销流水!$S101,IF($L389="@结算",购销流水!$R101,$L389)))))</f>
        <v/>
      </c>
      <c r="I389" s="42" t="n">
        <f aca="false">IF($M389="借",$O389,0)</f>
        <v>0</v>
      </c>
      <c r="J389" s="42" t="n">
        <f aca="false">IF($M389="贷",$O389,0)</f>
        <v>0</v>
      </c>
      <c r="K389" s="48" t="str">
        <f aca="false">IF($H389="","",购销流水!$E101)</f>
        <v/>
      </c>
      <c r="L389" s="66" t="str">
        <f aca="false">IF(购销流水!$D101="","",IFERROR(INDEX(记账规则!$A$6:$N$9,MATCH(购销流水!$D101,记账规则!$A$6:$A$9,0),12),""))</f>
        <v/>
      </c>
      <c r="M389" s="66" t="str">
        <f aca="false">IF($L389="","",IFERROR(INDEX(记账规则!$A$6:$N$9,MATCH(购销流水!$D101,记账规则!$A$6:$A$9,0),13),""))</f>
        <v/>
      </c>
      <c r="N389" s="66" t="str">
        <f aca="false">IF($L389="","",IFERROR(INDEX(记账规则!$A$6:$N$9,MATCH(购销流水!$D101,记账规则!$A$6:$A$9,0),14),""))</f>
        <v/>
      </c>
      <c r="O389" s="67" t="n">
        <f aca="false">IF($H389="",0,ROUND(IF($N389="成本金额",N(购销流水!$W101),IF($N389="金额",N(购销流水!$Q101),0)),2))</f>
        <v>0</v>
      </c>
      <c r="P389" s="64" t="str">
        <f aca="false">IF(AND($H389&lt;&gt;"",ROUND($O389,2)&lt;&gt;0),"有","")</f>
        <v/>
      </c>
    </row>
    <row r="390" customFormat="false" ht="15" hidden="true" customHeight="false" outlineLevel="0" collapsed="false">
      <c r="A390" s="53" t="str">
        <f aca="false">IF($H390="","",ROW()-5)</f>
        <v/>
      </c>
      <c r="B390" s="64" t="s">
        <v>36</v>
      </c>
      <c r="C390" s="53" t="n">
        <v>102</v>
      </c>
      <c r="D390" s="53" t="n">
        <v>1</v>
      </c>
      <c r="E390" s="65" t="str">
        <f aca="false">IF($H390="","",购销流水!$B102)</f>
        <v/>
      </c>
      <c r="F390" s="55" t="str">
        <f aca="false">IF($H390="","",购销流水!$C102)</f>
        <v/>
      </c>
      <c r="G390" s="48" t="str">
        <f aca="false">IF($H390="","",购销流水!$N102)</f>
        <v/>
      </c>
      <c r="H390" s="10" t="str">
        <f aca="false">IF($L390="","",IF($L390="@成本",购销流水!$U102,IF($L390="@收入",购销流水!$T102,IF($L390="@存货",购销流水!$S102,IF($L390="@结算",购销流水!$R102,$L390)))))</f>
        <v/>
      </c>
      <c r="I390" s="42" t="n">
        <f aca="false">IF($M390="借",$O390,0)</f>
        <v>0</v>
      </c>
      <c r="J390" s="42" t="n">
        <f aca="false">IF($M390="贷",$O390,0)</f>
        <v>0</v>
      </c>
      <c r="K390" s="48" t="str">
        <f aca="false">IF($H390="","",购销流水!$E102)</f>
        <v/>
      </c>
      <c r="L390" s="66" t="str">
        <f aca="false">IF(购销流水!$D102="","",IFERROR(INDEX(记账规则!$A$6:$N$9,MATCH(购销流水!$D102,记账规则!$A$6:$A$9,0),3),""))</f>
        <v/>
      </c>
      <c r="M390" s="66" t="str">
        <f aca="false">IF($L390="","",IFERROR(INDEX(记账规则!$A$6:$N$9,MATCH(购销流水!$D102,记账规则!$A$6:$A$9,0),4),""))</f>
        <v/>
      </c>
      <c r="N390" s="66" t="str">
        <f aca="false">IF($L390="","",IFERROR(INDEX(记账规则!$A$6:$N$9,MATCH(购销流水!$D102,记账规则!$A$6:$A$9,0),5),""))</f>
        <v/>
      </c>
      <c r="O390" s="67" t="n">
        <f aca="false">IF($H390="",0,ROUND(IF($N390="成本金额",N(购销流水!$W102),IF($N390="金额",N(购销流水!$Q102),0)),2))</f>
        <v>0</v>
      </c>
      <c r="P390" s="64" t="str">
        <f aca="false">IF(AND($H390&lt;&gt;"",ROUND($O390,2)&lt;&gt;0),"有","")</f>
        <v/>
      </c>
    </row>
    <row r="391" customFormat="false" ht="15" hidden="true" customHeight="false" outlineLevel="0" collapsed="false">
      <c r="A391" s="53" t="str">
        <f aca="false">IF($H391="","",ROW()-5)</f>
        <v/>
      </c>
      <c r="B391" s="64" t="s">
        <v>36</v>
      </c>
      <c r="C391" s="53" t="n">
        <v>102</v>
      </c>
      <c r="D391" s="53" t="n">
        <v>2</v>
      </c>
      <c r="E391" s="65" t="str">
        <f aca="false">IF($H391="","",购销流水!$B102)</f>
        <v/>
      </c>
      <c r="F391" s="55" t="str">
        <f aca="false">IF($H391="","",购销流水!$C102)</f>
        <v/>
      </c>
      <c r="G391" s="48" t="str">
        <f aca="false">IF($H391="","",购销流水!$N102)</f>
        <v/>
      </c>
      <c r="H391" s="10" t="str">
        <f aca="false">IF($L391="","",IF($L391="@成本",购销流水!$U102,IF($L391="@收入",购销流水!$T102,IF($L391="@存货",购销流水!$S102,IF($L391="@结算",购销流水!$R102,$L391)))))</f>
        <v/>
      </c>
      <c r="I391" s="42" t="n">
        <f aca="false">IF($M391="借",$O391,0)</f>
        <v>0</v>
      </c>
      <c r="J391" s="42" t="n">
        <f aca="false">IF($M391="贷",$O391,0)</f>
        <v>0</v>
      </c>
      <c r="K391" s="48" t="str">
        <f aca="false">IF($H391="","",购销流水!$E102)</f>
        <v/>
      </c>
      <c r="L391" s="66" t="str">
        <f aca="false">IF(购销流水!$D102="","",IFERROR(INDEX(记账规则!$A$6:$N$9,MATCH(购销流水!$D102,记账规则!$A$6:$A$9,0),6),""))</f>
        <v/>
      </c>
      <c r="M391" s="66" t="str">
        <f aca="false">IF($L391="","",IFERROR(INDEX(记账规则!$A$6:$N$9,MATCH(购销流水!$D102,记账规则!$A$6:$A$9,0),7),""))</f>
        <v/>
      </c>
      <c r="N391" s="66" t="str">
        <f aca="false">IF($L391="","",IFERROR(INDEX(记账规则!$A$6:$N$9,MATCH(购销流水!$D102,记账规则!$A$6:$A$9,0),8),""))</f>
        <v/>
      </c>
      <c r="O391" s="67" t="n">
        <f aca="false">IF($H391="",0,ROUND(IF($N391="成本金额",N(购销流水!$W102),IF($N391="金额",N(购销流水!$Q102),0)),2))</f>
        <v>0</v>
      </c>
      <c r="P391" s="64" t="str">
        <f aca="false">IF(AND($H391&lt;&gt;"",ROUND($O391,2)&lt;&gt;0),"有","")</f>
        <v/>
      </c>
    </row>
    <row r="392" customFormat="false" ht="15" hidden="true" customHeight="false" outlineLevel="0" collapsed="false">
      <c r="A392" s="53" t="str">
        <f aca="false">IF($H392="","",ROW()-5)</f>
        <v/>
      </c>
      <c r="B392" s="64" t="s">
        <v>36</v>
      </c>
      <c r="C392" s="53" t="n">
        <v>102</v>
      </c>
      <c r="D392" s="53" t="n">
        <v>3</v>
      </c>
      <c r="E392" s="65" t="str">
        <f aca="false">IF($H392="","",购销流水!$B102)</f>
        <v/>
      </c>
      <c r="F392" s="55" t="str">
        <f aca="false">IF($H392="","",购销流水!$C102)</f>
        <v/>
      </c>
      <c r="G392" s="48" t="str">
        <f aca="false">IF($H392="","",购销流水!$N102)</f>
        <v/>
      </c>
      <c r="H392" s="10" t="str">
        <f aca="false">IF($L392="","",IF($L392="@成本",购销流水!$U102,IF($L392="@收入",购销流水!$T102,IF($L392="@存货",购销流水!$S102,IF($L392="@结算",购销流水!$R102,$L392)))))</f>
        <v/>
      </c>
      <c r="I392" s="42" t="n">
        <f aca="false">IF($M392="借",$O392,0)</f>
        <v>0</v>
      </c>
      <c r="J392" s="42" t="n">
        <f aca="false">IF($M392="贷",$O392,0)</f>
        <v>0</v>
      </c>
      <c r="K392" s="48" t="str">
        <f aca="false">IF($H392="","",购销流水!$E102)</f>
        <v/>
      </c>
      <c r="L392" s="66" t="str">
        <f aca="false">IF(购销流水!$D102="","",IFERROR(INDEX(记账规则!$A$6:$N$9,MATCH(购销流水!$D102,记账规则!$A$6:$A$9,0),9),""))</f>
        <v/>
      </c>
      <c r="M392" s="66" t="str">
        <f aca="false">IF($L392="","",IFERROR(INDEX(记账规则!$A$6:$N$9,MATCH(购销流水!$D102,记账规则!$A$6:$A$9,0),10),""))</f>
        <v/>
      </c>
      <c r="N392" s="66" t="str">
        <f aca="false">IF($L392="","",IFERROR(INDEX(记账规则!$A$6:$N$9,MATCH(购销流水!$D102,记账规则!$A$6:$A$9,0),11),""))</f>
        <v/>
      </c>
      <c r="O392" s="67" t="n">
        <f aca="false">IF($H392="",0,ROUND(IF($N392="成本金额",N(购销流水!$W102),IF($N392="金额",N(购销流水!$Q102),0)),2))</f>
        <v>0</v>
      </c>
      <c r="P392" s="64" t="str">
        <f aca="false">IF(AND($H392&lt;&gt;"",ROUND($O392,2)&lt;&gt;0),"有","")</f>
        <v/>
      </c>
    </row>
    <row r="393" customFormat="false" ht="15" hidden="true" customHeight="false" outlineLevel="0" collapsed="false">
      <c r="A393" s="53" t="str">
        <f aca="false">IF($H393="","",ROW()-5)</f>
        <v/>
      </c>
      <c r="B393" s="64" t="s">
        <v>36</v>
      </c>
      <c r="C393" s="53" t="n">
        <v>102</v>
      </c>
      <c r="D393" s="53" t="n">
        <v>4</v>
      </c>
      <c r="E393" s="65" t="str">
        <f aca="false">IF($H393="","",购销流水!$B102)</f>
        <v/>
      </c>
      <c r="F393" s="55" t="str">
        <f aca="false">IF($H393="","",购销流水!$C102)</f>
        <v/>
      </c>
      <c r="G393" s="48" t="str">
        <f aca="false">IF($H393="","",购销流水!$N102)</f>
        <v/>
      </c>
      <c r="H393" s="10" t="str">
        <f aca="false">IF($L393="","",IF($L393="@成本",购销流水!$U102,IF($L393="@收入",购销流水!$T102,IF($L393="@存货",购销流水!$S102,IF($L393="@结算",购销流水!$R102,$L393)))))</f>
        <v/>
      </c>
      <c r="I393" s="42" t="n">
        <f aca="false">IF($M393="借",$O393,0)</f>
        <v>0</v>
      </c>
      <c r="J393" s="42" t="n">
        <f aca="false">IF($M393="贷",$O393,0)</f>
        <v>0</v>
      </c>
      <c r="K393" s="48" t="str">
        <f aca="false">IF($H393="","",购销流水!$E102)</f>
        <v/>
      </c>
      <c r="L393" s="66" t="str">
        <f aca="false">IF(购销流水!$D102="","",IFERROR(INDEX(记账规则!$A$6:$N$9,MATCH(购销流水!$D102,记账规则!$A$6:$A$9,0),12),""))</f>
        <v/>
      </c>
      <c r="M393" s="66" t="str">
        <f aca="false">IF($L393="","",IFERROR(INDEX(记账规则!$A$6:$N$9,MATCH(购销流水!$D102,记账规则!$A$6:$A$9,0),13),""))</f>
        <v/>
      </c>
      <c r="N393" s="66" t="str">
        <f aca="false">IF($L393="","",IFERROR(INDEX(记账规则!$A$6:$N$9,MATCH(购销流水!$D102,记账规则!$A$6:$A$9,0),14),""))</f>
        <v/>
      </c>
      <c r="O393" s="67" t="n">
        <f aca="false">IF($H393="",0,ROUND(IF($N393="成本金额",N(购销流水!$W102),IF($N393="金额",N(购销流水!$Q102),0)),2))</f>
        <v>0</v>
      </c>
      <c r="P393" s="64" t="str">
        <f aca="false">IF(AND($H393&lt;&gt;"",ROUND($O393,2)&lt;&gt;0),"有","")</f>
        <v/>
      </c>
    </row>
    <row r="394" customFormat="false" ht="15" hidden="true" customHeight="false" outlineLevel="0" collapsed="false">
      <c r="A394" s="53" t="str">
        <f aca="false">IF($H394="","",ROW()-5)</f>
        <v/>
      </c>
      <c r="B394" s="64" t="s">
        <v>36</v>
      </c>
      <c r="C394" s="53" t="n">
        <v>103</v>
      </c>
      <c r="D394" s="53" t="n">
        <v>1</v>
      </c>
      <c r="E394" s="65" t="str">
        <f aca="false">IF($H394="","",购销流水!$B103)</f>
        <v/>
      </c>
      <c r="F394" s="55" t="str">
        <f aca="false">IF($H394="","",购销流水!$C103)</f>
        <v/>
      </c>
      <c r="G394" s="48" t="str">
        <f aca="false">IF($H394="","",购销流水!$N103)</f>
        <v/>
      </c>
      <c r="H394" s="10" t="str">
        <f aca="false">IF($L394="","",IF($L394="@成本",购销流水!$U103,IF($L394="@收入",购销流水!$T103,IF($L394="@存货",购销流水!$S103,IF($L394="@结算",购销流水!$R103,$L394)))))</f>
        <v/>
      </c>
      <c r="I394" s="42" t="n">
        <f aca="false">IF($M394="借",$O394,0)</f>
        <v>0</v>
      </c>
      <c r="J394" s="42" t="n">
        <f aca="false">IF($M394="贷",$O394,0)</f>
        <v>0</v>
      </c>
      <c r="K394" s="48" t="str">
        <f aca="false">IF($H394="","",购销流水!$E103)</f>
        <v/>
      </c>
      <c r="L394" s="66" t="str">
        <f aca="false">IF(购销流水!$D103="","",IFERROR(INDEX(记账规则!$A$6:$N$9,MATCH(购销流水!$D103,记账规则!$A$6:$A$9,0),3),""))</f>
        <v/>
      </c>
      <c r="M394" s="66" t="str">
        <f aca="false">IF($L394="","",IFERROR(INDEX(记账规则!$A$6:$N$9,MATCH(购销流水!$D103,记账规则!$A$6:$A$9,0),4),""))</f>
        <v/>
      </c>
      <c r="N394" s="66" t="str">
        <f aca="false">IF($L394="","",IFERROR(INDEX(记账规则!$A$6:$N$9,MATCH(购销流水!$D103,记账规则!$A$6:$A$9,0),5),""))</f>
        <v/>
      </c>
      <c r="O394" s="67" t="n">
        <f aca="false">IF($H394="",0,ROUND(IF($N394="成本金额",N(购销流水!$W103),IF($N394="金额",N(购销流水!$Q103),0)),2))</f>
        <v>0</v>
      </c>
      <c r="P394" s="64" t="str">
        <f aca="false">IF(AND($H394&lt;&gt;"",ROUND($O394,2)&lt;&gt;0),"有","")</f>
        <v/>
      </c>
    </row>
    <row r="395" customFormat="false" ht="15" hidden="true" customHeight="false" outlineLevel="0" collapsed="false">
      <c r="A395" s="53" t="str">
        <f aca="false">IF($H395="","",ROW()-5)</f>
        <v/>
      </c>
      <c r="B395" s="64" t="s">
        <v>36</v>
      </c>
      <c r="C395" s="53" t="n">
        <v>103</v>
      </c>
      <c r="D395" s="53" t="n">
        <v>2</v>
      </c>
      <c r="E395" s="65" t="str">
        <f aca="false">IF($H395="","",购销流水!$B103)</f>
        <v/>
      </c>
      <c r="F395" s="55" t="str">
        <f aca="false">IF($H395="","",购销流水!$C103)</f>
        <v/>
      </c>
      <c r="G395" s="48" t="str">
        <f aca="false">IF($H395="","",购销流水!$N103)</f>
        <v/>
      </c>
      <c r="H395" s="10" t="str">
        <f aca="false">IF($L395="","",IF($L395="@成本",购销流水!$U103,IF($L395="@收入",购销流水!$T103,IF($L395="@存货",购销流水!$S103,IF($L395="@结算",购销流水!$R103,$L395)))))</f>
        <v/>
      </c>
      <c r="I395" s="42" t="n">
        <f aca="false">IF($M395="借",$O395,0)</f>
        <v>0</v>
      </c>
      <c r="J395" s="42" t="n">
        <f aca="false">IF($M395="贷",$O395,0)</f>
        <v>0</v>
      </c>
      <c r="K395" s="48" t="str">
        <f aca="false">IF($H395="","",购销流水!$E103)</f>
        <v/>
      </c>
      <c r="L395" s="66" t="str">
        <f aca="false">IF(购销流水!$D103="","",IFERROR(INDEX(记账规则!$A$6:$N$9,MATCH(购销流水!$D103,记账规则!$A$6:$A$9,0),6),""))</f>
        <v/>
      </c>
      <c r="M395" s="66" t="str">
        <f aca="false">IF($L395="","",IFERROR(INDEX(记账规则!$A$6:$N$9,MATCH(购销流水!$D103,记账规则!$A$6:$A$9,0),7),""))</f>
        <v/>
      </c>
      <c r="N395" s="66" t="str">
        <f aca="false">IF($L395="","",IFERROR(INDEX(记账规则!$A$6:$N$9,MATCH(购销流水!$D103,记账规则!$A$6:$A$9,0),8),""))</f>
        <v/>
      </c>
      <c r="O395" s="67" t="n">
        <f aca="false">IF($H395="",0,ROUND(IF($N395="成本金额",N(购销流水!$W103),IF($N395="金额",N(购销流水!$Q103),0)),2))</f>
        <v>0</v>
      </c>
      <c r="P395" s="64" t="str">
        <f aca="false">IF(AND($H395&lt;&gt;"",ROUND($O395,2)&lt;&gt;0),"有","")</f>
        <v/>
      </c>
    </row>
    <row r="396" customFormat="false" ht="15" hidden="true" customHeight="false" outlineLevel="0" collapsed="false">
      <c r="A396" s="53" t="str">
        <f aca="false">IF($H396="","",ROW()-5)</f>
        <v/>
      </c>
      <c r="B396" s="64" t="s">
        <v>36</v>
      </c>
      <c r="C396" s="53" t="n">
        <v>103</v>
      </c>
      <c r="D396" s="53" t="n">
        <v>3</v>
      </c>
      <c r="E396" s="65" t="str">
        <f aca="false">IF($H396="","",购销流水!$B103)</f>
        <v/>
      </c>
      <c r="F396" s="55" t="str">
        <f aca="false">IF($H396="","",购销流水!$C103)</f>
        <v/>
      </c>
      <c r="G396" s="48" t="str">
        <f aca="false">IF($H396="","",购销流水!$N103)</f>
        <v/>
      </c>
      <c r="H396" s="10" t="str">
        <f aca="false">IF($L396="","",IF($L396="@成本",购销流水!$U103,IF($L396="@收入",购销流水!$T103,IF($L396="@存货",购销流水!$S103,IF($L396="@结算",购销流水!$R103,$L396)))))</f>
        <v/>
      </c>
      <c r="I396" s="42" t="n">
        <f aca="false">IF($M396="借",$O396,0)</f>
        <v>0</v>
      </c>
      <c r="J396" s="42" t="n">
        <f aca="false">IF($M396="贷",$O396,0)</f>
        <v>0</v>
      </c>
      <c r="K396" s="48" t="str">
        <f aca="false">IF($H396="","",购销流水!$E103)</f>
        <v/>
      </c>
      <c r="L396" s="66" t="str">
        <f aca="false">IF(购销流水!$D103="","",IFERROR(INDEX(记账规则!$A$6:$N$9,MATCH(购销流水!$D103,记账规则!$A$6:$A$9,0),9),""))</f>
        <v/>
      </c>
      <c r="M396" s="66" t="str">
        <f aca="false">IF($L396="","",IFERROR(INDEX(记账规则!$A$6:$N$9,MATCH(购销流水!$D103,记账规则!$A$6:$A$9,0),10),""))</f>
        <v/>
      </c>
      <c r="N396" s="66" t="str">
        <f aca="false">IF($L396="","",IFERROR(INDEX(记账规则!$A$6:$N$9,MATCH(购销流水!$D103,记账规则!$A$6:$A$9,0),11),""))</f>
        <v/>
      </c>
      <c r="O396" s="67" t="n">
        <f aca="false">IF($H396="",0,ROUND(IF($N396="成本金额",N(购销流水!$W103),IF($N396="金额",N(购销流水!$Q103),0)),2))</f>
        <v>0</v>
      </c>
      <c r="P396" s="64" t="str">
        <f aca="false">IF(AND($H396&lt;&gt;"",ROUND($O396,2)&lt;&gt;0),"有","")</f>
        <v/>
      </c>
    </row>
    <row r="397" customFormat="false" ht="15" hidden="true" customHeight="false" outlineLevel="0" collapsed="false">
      <c r="A397" s="53" t="str">
        <f aca="false">IF($H397="","",ROW()-5)</f>
        <v/>
      </c>
      <c r="B397" s="64" t="s">
        <v>36</v>
      </c>
      <c r="C397" s="53" t="n">
        <v>103</v>
      </c>
      <c r="D397" s="53" t="n">
        <v>4</v>
      </c>
      <c r="E397" s="65" t="str">
        <f aca="false">IF($H397="","",购销流水!$B103)</f>
        <v/>
      </c>
      <c r="F397" s="55" t="str">
        <f aca="false">IF($H397="","",购销流水!$C103)</f>
        <v/>
      </c>
      <c r="G397" s="48" t="str">
        <f aca="false">IF($H397="","",购销流水!$N103)</f>
        <v/>
      </c>
      <c r="H397" s="10" t="str">
        <f aca="false">IF($L397="","",IF($L397="@成本",购销流水!$U103,IF($L397="@收入",购销流水!$T103,IF($L397="@存货",购销流水!$S103,IF($L397="@结算",购销流水!$R103,$L397)))))</f>
        <v/>
      </c>
      <c r="I397" s="42" t="n">
        <f aca="false">IF($M397="借",$O397,0)</f>
        <v>0</v>
      </c>
      <c r="J397" s="42" t="n">
        <f aca="false">IF($M397="贷",$O397,0)</f>
        <v>0</v>
      </c>
      <c r="K397" s="48" t="str">
        <f aca="false">IF($H397="","",购销流水!$E103)</f>
        <v/>
      </c>
      <c r="L397" s="66" t="str">
        <f aca="false">IF(购销流水!$D103="","",IFERROR(INDEX(记账规则!$A$6:$N$9,MATCH(购销流水!$D103,记账规则!$A$6:$A$9,0),12),""))</f>
        <v/>
      </c>
      <c r="M397" s="66" t="str">
        <f aca="false">IF($L397="","",IFERROR(INDEX(记账规则!$A$6:$N$9,MATCH(购销流水!$D103,记账规则!$A$6:$A$9,0),13),""))</f>
        <v/>
      </c>
      <c r="N397" s="66" t="str">
        <f aca="false">IF($L397="","",IFERROR(INDEX(记账规则!$A$6:$N$9,MATCH(购销流水!$D103,记账规则!$A$6:$A$9,0),14),""))</f>
        <v/>
      </c>
      <c r="O397" s="67" t="n">
        <f aca="false">IF($H397="",0,ROUND(IF($N397="成本金额",N(购销流水!$W103),IF($N397="金额",N(购销流水!$Q103),0)),2))</f>
        <v>0</v>
      </c>
      <c r="P397" s="64" t="str">
        <f aca="false">IF(AND($H397&lt;&gt;"",ROUND($O397,2)&lt;&gt;0),"有","")</f>
        <v/>
      </c>
    </row>
    <row r="398" customFormat="false" ht="15" hidden="true" customHeight="false" outlineLevel="0" collapsed="false">
      <c r="A398" s="53" t="str">
        <f aca="false">IF($H398="","",ROW()-5)</f>
        <v/>
      </c>
      <c r="B398" s="64" t="s">
        <v>36</v>
      </c>
      <c r="C398" s="53" t="n">
        <v>104</v>
      </c>
      <c r="D398" s="53" t="n">
        <v>1</v>
      </c>
      <c r="E398" s="65" t="str">
        <f aca="false">IF($H398="","",购销流水!$B104)</f>
        <v/>
      </c>
      <c r="F398" s="55" t="str">
        <f aca="false">IF($H398="","",购销流水!$C104)</f>
        <v/>
      </c>
      <c r="G398" s="48" t="str">
        <f aca="false">IF($H398="","",购销流水!$N104)</f>
        <v/>
      </c>
      <c r="H398" s="10" t="str">
        <f aca="false">IF($L398="","",IF($L398="@成本",购销流水!$U104,IF($L398="@收入",购销流水!$T104,IF($L398="@存货",购销流水!$S104,IF($L398="@结算",购销流水!$R104,$L398)))))</f>
        <v/>
      </c>
      <c r="I398" s="42" t="n">
        <f aca="false">IF($M398="借",$O398,0)</f>
        <v>0</v>
      </c>
      <c r="J398" s="42" t="n">
        <f aca="false">IF($M398="贷",$O398,0)</f>
        <v>0</v>
      </c>
      <c r="K398" s="48" t="str">
        <f aca="false">IF($H398="","",购销流水!$E104)</f>
        <v/>
      </c>
      <c r="L398" s="66" t="str">
        <f aca="false">IF(购销流水!$D104="","",IFERROR(INDEX(记账规则!$A$6:$N$9,MATCH(购销流水!$D104,记账规则!$A$6:$A$9,0),3),""))</f>
        <v/>
      </c>
      <c r="M398" s="66" t="str">
        <f aca="false">IF($L398="","",IFERROR(INDEX(记账规则!$A$6:$N$9,MATCH(购销流水!$D104,记账规则!$A$6:$A$9,0),4),""))</f>
        <v/>
      </c>
      <c r="N398" s="66" t="str">
        <f aca="false">IF($L398="","",IFERROR(INDEX(记账规则!$A$6:$N$9,MATCH(购销流水!$D104,记账规则!$A$6:$A$9,0),5),""))</f>
        <v/>
      </c>
      <c r="O398" s="67" t="n">
        <f aca="false">IF($H398="",0,ROUND(IF($N398="成本金额",N(购销流水!$W104),IF($N398="金额",N(购销流水!$Q104),0)),2))</f>
        <v>0</v>
      </c>
      <c r="P398" s="64" t="str">
        <f aca="false">IF(AND($H398&lt;&gt;"",ROUND($O398,2)&lt;&gt;0),"有","")</f>
        <v/>
      </c>
    </row>
    <row r="399" customFormat="false" ht="15" hidden="true" customHeight="false" outlineLevel="0" collapsed="false">
      <c r="A399" s="53" t="str">
        <f aca="false">IF($H399="","",ROW()-5)</f>
        <v/>
      </c>
      <c r="B399" s="64" t="s">
        <v>36</v>
      </c>
      <c r="C399" s="53" t="n">
        <v>104</v>
      </c>
      <c r="D399" s="53" t="n">
        <v>2</v>
      </c>
      <c r="E399" s="65" t="str">
        <f aca="false">IF($H399="","",购销流水!$B104)</f>
        <v/>
      </c>
      <c r="F399" s="55" t="str">
        <f aca="false">IF($H399="","",购销流水!$C104)</f>
        <v/>
      </c>
      <c r="G399" s="48" t="str">
        <f aca="false">IF($H399="","",购销流水!$N104)</f>
        <v/>
      </c>
      <c r="H399" s="10" t="str">
        <f aca="false">IF($L399="","",IF($L399="@成本",购销流水!$U104,IF($L399="@收入",购销流水!$T104,IF($L399="@存货",购销流水!$S104,IF($L399="@结算",购销流水!$R104,$L399)))))</f>
        <v/>
      </c>
      <c r="I399" s="42" t="n">
        <f aca="false">IF($M399="借",$O399,0)</f>
        <v>0</v>
      </c>
      <c r="J399" s="42" t="n">
        <f aca="false">IF($M399="贷",$O399,0)</f>
        <v>0</v>
      </c>
      <c r="K399" s="48" t="str">
        <f aca="false">IF($H399="","",购销流水!$E104)</f>
        <v/>
      </c>
      <c r="L399" s="66" t="str">
        <f aca="false">IF(购销流水!$D104="","",IFERROR(INDEX(记账规则!$A$6:$N$9,MATCH(购销流水!$D104,记账规则!$A$6:$A$9,0),6),""))</f>
        <v/>
      </c>
      <c r="M399" s="66" t="str">
        <f aca="false">IF($L399="","",IFERROR(INDEX(记账规则!$A$6:$N$9,MATCH(购销流水!$D104,记账规则!$A$6:$A$9,0),7),""))</f>
        <v/>
      </c>
      <c r="N399" s="66" t="str">
        <f aca="false">IF($L399="","",IFERROR(INDEX(记账规则!$A$6:$N$9,MATCH(购销流水!$D104,记账规则!$A$6:$A$9,0),8),""))</f>
        <v/>
      </c>
      <c r="O399" s="67" t="n">
        <f aca="false">IF($H399="",0,ROUND(IF($N399="成本金额",N(购销流水!$W104),IF($N399="金额",N(购销流水!$Q104),0)),2))</f>
        <v>0</v>
      </c>
      <c r="P399" s="64" t="str">
        <f aca="false">IF(AND($H399&lt;&gt;"",ROUND($O399,2)&lt;&gt;0),"有","")</f>
        <v/>
      </c>
    </row>
    <row r="400" customFormat="false" ht="15" hidden="true" customHeight="false" outlineLevel="0" collapsed="false">
      <c r="A400" s="53" t="str">
        <f aca="false">IF($H400="","",ROW()-5)</f>
        <v/>
      </c>
      <c r="B400" s="64" t="s">
        <v>36</v>
      </c>
      <c r="C400" s="53" t="n">
        <v>104</v>
      </c>
      <c r="D400" s="53" t="n">
        <v>3</v>
      </c>
      <c r="E400" s="65" t="str">
        <f aca="false">IF($H400="","",购销流水!$B104)</f>
        <v/>
      </c>
      <c r="F400" s="55" t="str">
        <f aca="false">IF($H400="","",购销流水!$C104)</f>
        <v/>
      </c>
      <c r="G400" s="48" t="str">
        <f aca="false">IF($H400="","",购销流水!$N104)</f>
        <v/>
      </c>
      <c r="H400" s="10" t="str">
        <f aca="false">IF($L400="","",IF($L400="@成本",购销流水!$U104,IF($L400="@收入",购销流水!$T104,IF($L400="@存货",购销流水!$S104,IF($L400="@结算",购销流水!$R104,$L400)))))</f>
        <v/>
      </c>
      <c r="I400" s="42" t="n">
        <f aca="false">IF($M400="借",$O400,0)</f>
        <v>0</v>
      </c>
      <c r="J400" s="42" t="n">
        <f aca="false">IF($M400="贷",$O400,0)</f>
        <v>0</v>
      </c>
      <c r="K400" s="48" t="str">
        <f aca="false">IF($H400="","",购销流水!$E104)</f>
        <v/>
      </c>
      <c r="L400" s="66" t="str">
        <f aca="false">IF(购销流水!$D104="","",IFERROR(INDEX(记账规则!$A$6:$N$9,MATCH(购销流水!$D104,记账规则!$A$6:$A$9,0),9),""))</f>
        <v/>
      </c>
      <c r="M400" s="66" t="str">
        <f aca="false">IF($L400="","",IFERROR(INDEX(记账规则!$A$6:$N$9,MATCH(购销流水!$D104,记账规则!$A$6:$A$9,0),10),""))</f>
        <v/>
      </c>
      <c r="N400" s="66" t="str">
        <f aca="false">IF($L400="","",IFERROR(INDEX(记账规则!$A$6:$N$9,MATCH(购销流水!$D104,记账规则!$A$6:$A$9,0),11),""))</f>
        <v/>
      </c>
      <c r="O400" s="67" t="n">
        <f aca="false">IF($H400="",0,ROUND(IF($N400="成本金额",N(购销流水!$W104),IF($N400="金额",N(购销流水!$Q104),0)),2))</f>
        <v>0</v>
      </c>
      <c r="P400" s="64" t="str">
        <f aca="false">IF(AND($H400&lt;&gt;"",ROUND($O400,2)&lt;&gt;0),"有","")</f>
        <v/>
      </c>
    </row>
    <row r="401" customFormat="false" ht="15" hidden="true" customHeight="false" outlineLevel="0" collapsed="false">
      <c r="A401" s="53" t="str">
        <f aca="false">IF($H401="","",ROW()-5)</f>
        <v/>
      </c>
      <c r="B401" s="64" t="s">
        <v>36</v>
      </c>
      <c r="C401" s="53" t="n">
        <v>104</v>
      </c>
      <c r="D401" s="53" t="n">
        <v>4</v>
      </c>
      <c r="E401" s="65" t="str">
        <f aca="false">IF($H401="","",购销流水!$B104)</f>
        <v/>
      </c>
      <c r="F401" s="55" t="str">
        <f aca="false">IF($H401="","",购销流水!$C104)</f>
        <v/>
      </c>
      <c r="G401" s="48" t="str">
        <f aca="false">IF($H401="","",购销流水!$N104)</f>
        <v/>
      </c>
      <c r="H401" s="10" t="str">
        <f aca="false">IF($L401="","",IF($L401="@成本",购销流水!$U104,IF($L401="@收入",购销流水!$T104,IF($L401="@存货",购销流水!$S104,IF($L401="@结算",购销流水!$R104,$L401)))))</f>
        <v/>
      </c>
      <c r="I401" s="42" t="n">
        <f aca="false">IF($M401="借",$O401,0)</f>
        <v>0</v>
      </c>
      <c r="J401" s="42" t="n">
        <f aca="false">IF($M401="贷",$O401,0)</f>
        <v>0</v>
      </c>
      <c r="K401" s="48" t="str">
        <f aca="false">IF($H401="","",购销流水!$E104)</f>
        <v/>
      </c>
      <c r="L401" s="66" t="str">
        <f aca="false">IF(购销流水!$D104="","",IFERROR(INDEX(记账规则!$A$6:$N$9,MATCH(购销流水!$D104,记账规则!$A$6:$A$9,0),12),""))</f>
        <v/>
      </c>
      <c r="M401" s="66" t="str">
        <f aca="false">IF($L401="","",IFERROR(INDEX(记账规则!$A$6:$N$9,MATCH(购销流水!$D104,记账规则!$A$6:$A$9,0),13),""))</f>
        <v/>
      </c>
      <c r="N401" s="66" t="str">
        <f aca="false">IF($L401="","",IFERROR(INDEX(记账规则!$A$6:$N$9,MATCH(购销流水!$D104,记账规则!$A$6:$A$9,0),14),""))</f>
        <v/>
      </c>
      <c r="O401" s="67" t="n">
        <f aca="false">IF($H401="",0,ROUND(IF($N401="成本金额",N(购销流水!$W104),IF($N401="金额",N(购销流水!$Q104),0)),2))</f>
        <v>0</v>
      </c>
      <c r="P401" s="64" t="str">
        <f aca="false">IF(AND($H401&lt;&gt;"",ROUND($O401,2)&lt;&gt;0),"有","")</f>
        <v/>
      </c>
    </row>
    <row r="402" customFormat="false" ht="15" hidden="true" customHeight="false" outlineLevel="0" collapsed="false">
      <c r="A402" s="53" t="str">
        <f aca="false">IF($H402="","",ROW()-5)</f>
        <v/>
      </c>
      <c r="B402" s="64" t="s">
        <v>36</v>
      </c>
      <c r="C402" s="53" t="n">
        <v>105</v>
      </c>
      <c r="D402" s="53" t="n">
        <v>1</v>
      </c>
      <c r="E402" s="65" t="str">
        <f aca="false">IF($H402="","",购销流水!$B105)</f>
        <v/>
      </c>
      <c r="F402" s="55" t="str">
        <f aca="false">IF($H402="","",购销流水!$C105)</f>
        <v/>
      </c>
      <c r="G402" s="48" t="str">
        <f aca="false">IF($H402="","",购销流水!$N105)</f>
        <v/>
      </c>
      <c r="H402" s="10" t="str">
        <f aca="false">IF($L402="","",IF($L402="@成本",购销流水!$U105,IF($L402="@收入",购销流水!$T105,IF($L402="@存货",购销流水!$S105,IF($L402="@结算",购销流水!$R105,$L402)))))</f>
        <v/>
      </c>
      <c r="I402" s="42" t="n">
        <f aca="false">IF($M402="借",$O402,0)</f>
        <v>0</v>
      </c>
      <c r="J402" s="42" t="n">
        <f aca="false">IF($M402="贷",$O402,0)</f>
        <v>0</v>
      </c>
      <c r="K402" s="48" t="str">
        <f aca="false">IF($H402="","",购销流水!$E105)</f>
        <v/>
      </c>
      <c r="L402" s="66" t="str">
        <f aca="false">IF(购销流水!$D105="","",IFERROR(INDEX(记账规则!$A$6:$N$9,MATCH(购销流水!$D105,记账规则!$A$6:$A$9,0),3),""))</f>
        <v/>
      </c>
      <c r="M402" s="66" t="str">
        <f aca="false">IF($L402="","",IFERROR(INDEX(记账规则!$A$6:$N$9,MATCH(购销流水!$D105,记账规则!$A$6:$A$9,0),4),""))</f>
        <v/>
      </c>
      <c r="N402" s="66" t="str">
        <f aca="false">IF($L402="","",IFERROR(INDEX(记账规则!$A$6:$N$9,MATCH(购销流水!$D105,记账规则!$A$6:$A$9,0),5),""))</f>
        <v/>
      </c>
      <c r="O402" s="67" t="n">
        <f aca="false">IF($H402="",0,ROUND(IF($N402="成本金额",N(购销流水!$W105),IF($N402="金额",N(购销流水!$Q105),0)),2))</f>
        <v>0</v>
      </c>
      <c r="P402" s="64" t="str">
        <f aca="false">IF(AND($H402&lt;&gt;"",ROUND($O402,2)&lt;&gt;0),"有","")</f>
        <v/>
      </c>
    </row>
    <row r="403" customFormat="false" ht="15" hidden="true" customHeight="false" outlineLevel="0" collapsed="false">
      <c r="A403" s="53" t="str">
        <f aca="false">IF($H403="","",ROW()-5)</f>
        <v/>
      </c>
      <c r="B403" s="64" t="s">
        <v>36</v>
      </c>
      <c r="C403" s="53" t="n">
        <v>105</v>
      </c>
      <c r="D403" s="53" t="n">
        <v>2</v>
      </c>
      <c r="E403" s="65" t="str">
        <f aca="false">IF($H403="","",购销流水!$B105)</f>
        <v/>
      </c>
      <c r="F403" s="55" t="str">
        <f aca="false">IF($H403="","",购销流水!$C105)</f>
        <v/>
      </c>
      <c r="G403" s="48" t="str">
        <f aca="false">IF($H403="","",购销流水!$N105)</f>
        <v/>
      </c>
      <c r="H403" s="10" t="str">
        <f aca="false">IF($L403="","",IF($L403="@成本",购销流水!$U105,IF($L403="@收入",购销流水!$T105,IF($L403="@存货",购销流水!$S105,IF($L403="@结算",购销流水!$R105,$L403)))))</f>
        <v/>
      </c>
      <c r="I403" s="42" t="n">
        <f aca="false">IF($M403="借",$O403,0)</f>
        <v>0</v>
      </c>
      <c r="J403" s="42" t="n">
        <f aca="false">IF($M403="贷",$O403,0)</f>
        <v>0</v>
      </c>
      <c r="K403" s="48" t="str">
        <f aca="false">IF($H403="","",购销流水!$E105)</f>
        <v/>
      </c>
      <c r="L403" s="66" t="str">
        <f aca="false">IF(购销流水!$D105="","",IFERROR(INDEX(记账规则!$A$6:$N$9,MATCH(购销流水!$D105,记账规则!$A$6:$A$9,0),6),""))</f>
        <v/>
      </c>
      <c r="M403" s="66" t="str">
        <f aca="false">IF($L403="","",IFERROR(INDEX(记账规则!$A$6:$N$9,MATCH(购销流水!$D105,记账规则!$A$6:$A$9,0),7),""))</f>
        <v/>
      </c>
      <c r="N403" s="66" t="str">
        <f aca="false">IF($L403="","",IFERROR(INDEX(记账规则!$A$6:$N$9,MATCH(购销流水!$D105,记账规则!$A$6:$A$9,0),8),""))</f>
        <v/>
      </c>
      <c r="O403" s="67" t="n">
        <f aca="false">IF($H403="",0,ROUND(IF($N403="成本金额",N(购销流水!$W105),IF($N403="金额",N(购销流水!$Q105),0)),2))</f>
        <v>0</v>
      </c>
      <c r="P403" s="64" t="str">
        <f aca="false">IF(AND($H403&lt;&gt;"",ROUND($O403,2)&lt;&gt;0),"有","")</f>
        <v/>
      </c>
    </row>
    <row r="404" customFormat="false" ht="15" hidden="true" customHeight="false" outlineLevel="0" collapsed="false">
      <c r="A404" s="53" t="str">
        <f aca="false">IF($H404="","",ROW()-5)</f>
        <v/>
      </c>
      <c r="B404" s="64" t="s">
        <v>36</v>
      </c>
      <c r="C404" s="53" t="n">
        <v>105</v>
      </c>
      <c r="D404" s="53" t="n">
        <v>3</v>
      </c>
      <c r="E404" s="65" t="str">
        <f aca="false">IF($H404="","",购销流水!$B105)</f>
        <v/>
      </c>
      <c r="F404" s="55" t="str">
        <f aca="false">IF($H404="","",购销流水!$C105)</f>
        <v/>
      </c>
      <c r="G404" s="48" t="str">
        <f aca="false">IF($H404="","",购销流水!$N105)</f>
        <v/>
      </c>
      <c r="H404" s="10" t="str">
        <f aca="false">IF($L404="","",IF($L404="@成本",购销流水!$U105,IF($L404="@收入",购销流水!$T105,IF($L404="@存货",购销流水!$S105,IF($L404="@结算",购销流水!$R105,$L404)))))</f>
        <v/>
      </c>
      <c r="I404" s="42" t="n">
        <f aca="false">IF($M404="借",$O404,0)</f>
        <v>0</v>
      </c>
      <c r="J404" s="42" t="n">
        <f aca="false">IF($M404="贷",$O404,0)</f>
        <v>0</v>
      </c>
      <c r="K404" s="48" t="str">
        <f aca="false">IF($H404="","",购销流水!$E105)</f>
        <v/>
      </c>
      <c r="L404" s="66" t="str">
        <f aca="false">IF(购销流水!$D105="","",IFERROR(INDEX(记账规则!$A$6:$N$9,MATCH(购销流水!$D105,记账规则!$A$6:$A$9,0),9),""))</f>
        <v/>
      </c>
      <c r="M404" s="66" t="str">
        <f aca="false">IF($L404="","",IFERROR(INDEX(记账规则!$A$6:$N$9,MATCH(购销流水!$D105,记账规则!$A$6:$A$9,0),10),""))</f>
        <v/>
      </c>
      <c r="N404" s="66" t="str">
        <f aca="false">IF($L404="","",IFERROR(INDEX(记账规则!$A$6:$N$9,MATCH(购销流水!$D105,记账规则!$A$6:$A$9,0),11),""))</f>
        <v/>
      </c>
      <c r="O404" s="67" t="n">
        <f aca="false">IF($H404="",0,ROUND(IF($N404="成本金额",N(购销流水!$W105),IF($N404="金额",N(购销流水!$Q105),0)),2))</f>
        <v>0</v>
      </c>
      <c r="P404" s="64" t="str">
        <f aca="false">IF(AND($H404&lt;&gt;"",ROUND($O404,2)&lt;&gt;0),"有","")</f>
        <v/>
      </c>
    </row>
    <row r="405" customFormat="false" ht="15" hidden="true" customHeight="false" outlineLevel="0" collapsed="false">
      <c r="A405" s="53" t="str">
        <f aca="false">IF($H405="","",ROW()-5)</f>
        <v/>
      </c>
      <c r="B405" s="64" t="s">
        <v>36</v>
      </c>
      <c r="C405" s="53" t="n">
        <v>105</v>
      </c>
      <c r="D405" s="53" t="n">
        <v>4</v>
      </c>
      <c r="E405" s="65" t="str">
        <f aca="false">IF($H405="","",购销流水!$B105)</f>
        <v/>
      </c>
      <c r="F405" s="55" t="str">
        <f aca="false">IF($H405="","",购销流水!$C105)</f>
        <v/>
      </c>
      <c r="G405" s="48" t="str">
        <f aca="false">IF($H405="","",购销流水!$N105)</f>
        <v/>
      </c>
      <c r="H405" s="10" t="str">
        <f aca="false">IF($L405="","",IF($L405="@成本",购销流水!$U105,IF($L405="@收入",购销流水!$T105,IF($L405="@存货",购销流水!$S105,IF($L405="@结算",购销流水!$R105,$L405)))))</f>
        <v/>
      </c>
      <c r="I405" s="42" t="n">
        <f aca="false">IF($M405="借",$O405,0)</f>
        <v>0</v>
      </c>
      <c r="J405" s="42" t="n">
        <f aca="false">IF($M405="贷",$O405,0)</f>
        <v>0</v>
      </c>
      <c r="K405" s="48" t="str">
        <f aca="false">IF($H405="","",购销流水!$E105)</f>
        <v/>
      </c>
      <c r="L405" s="66" t="str">
        <f aca="false">IF(购销流水!$D105="","",IFERROR(INDEX(记账规则!$A$6:$N$9,MATCH(购销流水!$D105,记账规则!$A$6:$A$9,0),12),""))</f>
        <v/>
      </c>
      <c r="M405" s="66" t="str">
        <f aca="false">IF($L405="","",IFERROR(INDEX(记账规则!$A$6:$N$9,MATCH(购销流水!$D105,记账规则!$A$6:$A$9,0),13),""))</f>
        <v/>
      </c>
      <c r="N405" s="66" t="str">
        <f aca="false">IF($L405="","",IFERROR(INDEX(记账规则!$A$6:$N$9,MATCH(购销流水!$D105,记账规则!$A$6:$A$9,0),14),""))</f>
        <v/>
      </c>
      <c r="O405" s="67" t="n">
        <f aca="false">IF($H405="",0,ROUND(IF($N405="成本金额",N(购销流水!$W105),IF($N405="金额",N(购销流水!$Q105),0)),2))</f>
        <v>0</v>
      </c>
      <c r="P405" s="64" t="str">
        <f aca="false">IF(AND($H405&lt;&gt;"",ROUND($O405,2)&lt;&gt;0),"有","")</f>
        <v/>
      </c>
    </row>
    <row r="406" customFormat="false" ht="15" hidden="true" customHeight="false" outlineLevel="0" collapsed="false">
      <c r="A406" s="53" t="str">
        <f aca="false">IF($H406="","",ROW()-5)</f>
        <v/>
      </c>
      <c r="B406" s="64" t="s">
        <v>36</v>
      </c>
      <c r="C406" s="53" t="n">
        <v>106</v>
      </c>
      <c r="D406" s="53" t="n">
        <v>1</v>
      </c>
      <c r="E406" s="65" t="str">
        <f aca="false">IF($H406="","",购销流水!$B106)</f>
        <v/>
      </c>
      <c r="F406" s="55" t="str">
        <f aca="false">IF($H406="","",购销流水!$C106)</f>
        <v/>
      </c>
      <c r="G406" s="48" t="str">
        <f aca="false">IF($H406="","",购销流水!$N106)</f>
        <v/>
      </c>
      <c r="H406" s="10" t="str">
        <f aca="false">IF($L406="","",IF($L406="@成本",购销流水!$U106,IF($L406="@收入",购销流水!$T106,IF($L406="@存货",购销流水!$S106,IF($L406="@结算",购销流水!$R106,$L406)))))</f>
        <v/>
      </c>
      <c r="I406" s="42" t="n">
        <f aca="false">IF($M406="借",$O406,0)</f>
        <v>0</v>
      </c>
      <c r="J406" s="42" t="n">
        <f aca="false">IF($M406="贷",$O406,0)</f>
        <v>0</v>
      </c>
      <c r="K406" s="48" t="str">
        <f aca="false">IF($H406="","",购销流水!$E106)</f>
        <v/>
      </c>
      <c r="L406" s="66" t="str">
        <f aca="false">IF(购销流水!$D106="","",IFERROR(INDEX(记账规则!$A$6:$N$9,MATCH(购销流水!$D106,记账规则!$A$6:$A$9,0),3),""))</f>
        <v/>
      </c>
      <c r="M406" s="66" t="str">
        <f aca="false">IF($L406="","",IFERROR(INDEX(记账规则!$A$6:$N$9,MATCH(购销流水!$D106,记账规则!$A$6:$A$9,0),4),""))</f>
        <v/>
      </c>
      <c r="N406" s="66" t="str">
        <f aca="false">IF($L406="","",IFERROR(INDEX(记账规则!$A$6:$N$9,MATCH(购销流水!$D106,记账规则!$A$6:$A$9,0),5),""))</f>
        <v/>
      </c>
      <c r="O406" s="67" t="n">
        <f aca="false">IF($H406="",0,ROUND(IF($N406="成本金额",N(购销流水!$W106),IF($N406="金额",N(购销流水!$Q106),0)),2))</f>
        <v>0</v>
      </c>
      <c r="P406" s="64" t="str">
        <f aca="false">IF(AND($H406&lt;&gt;"",ROUND($O406,2)&lt;&gt;0),"有","")</f>
        <v/>
      </c>
    </row>
    <row r="407" customFormat="false" ht="15" hidden="true" customHeight="false" outlineLevel="0" collapsed="false">
      <c r="A407" s="53" t="str">
        <f aca="false">IF($H407="","",ROW()-5)</f>
        <v/>
      </c>
      <c r="B407" s="64" t="s">
        <v>36</v>
      </c>
      <c r="C407" s="53" t="n">
        <v>106</v>
      </c>
      <c r="D407" s="53" t="n">
        <v>2</v>
      </c>
      <c r="E407" s="65" t="str">
        <f aca="false">IF($H407="","",购销流水!$B106)</f>
        <v/>
      </c>
      <c r="F407" s="55" t="str">
        <f aca="false">IF($H407="","",购销流水!$C106)</f>
        <v/>
      </c>
      <c r="G407" s="48" t="str">
        <f aca="false">IF($H407="","",购销流水!$N106)</f>
        <v/>
      </c>
      <c r="H407" s="10" t="str">
        <f aca="false">IF($L407="","",IF($L407="@成本",购销流水!$U106,IF($L407="@收入",购销流水!$T106,IF($L407="@存货",购销流水!$S106,IF($L407="@结算",购销流水!$R106,$L407)))))</f>
        <v/>
      </c>
      <c r="I407" s="42" t="n">
        <f aca="false">IF($M407="借",$O407,0)</f>
        <v>0</v>
      </c>
      <c r="J407" s="42" t="n">
        <f aca="false">IF($M407="贷",$O407,0)</f>
        <v>0</v>
      </c>
      <c r="K407" s="48" t="str">
        <f aca="false">IF($H407="","",购销流水!$E106)</f>
        <v/>
      </c>
      <c r="L407" s="66" t="str">
        <f aca="false">IF(购销流水!$D106="","",IFERROR(INDEX(记账规则!$A$6:$N$9,MATCH(购销流水!$D106,记账规则!$A$6:$A$9,0),6),""))</f>
        <v/>
      </c>
      <c r="M407" s="66" t="str">
        <f aca="false">IF($L407="","",IFERROR(INDEX(记账规则!$A$6:$N$9,MATCH(购销流水!$D106,记账规则!$A$6:$A$9,0),7),""))</f>
        <v/>
      </c>
      <c r="N407" s="66" t="str">
        <f aca="false">IF($L407="","",IFERROR(INDEX(记账规则!$A$6:$N$9,MATCH(购销流水!$D106,记账规则!$A$6:$A$9,0),8),""))</f>
        <v/>
      </c>
      <c r="O407" s="67" t="n">
        <f aca="false">IF($H407="",0,ROUND(IF($N407="成本金额",N(购销流水!$W106),IF($N407="金额",N(购销流水!$Q106),0)),2))</f>
        <v>0</v>
      </c>
      <c r="P407" s="64" t="str">
        <f aca="false">IF(AND($H407&lt;&gt;"",ROUND($O407,2)&lt;&gt;0),"有","")</f>
        <v/>
      </c>
    </row>
    <row r="408" customFormat="false" ht="15" hidden="true" customHeight="false" outlineLevel="0" collapsed="false">
      <c r="A408" s="53" t="str">
        <f aca="false">IF($H408="","",ROW()-5)</f>
        <v/>
      </c>
      <c r="B408" s="64" t="s">
        <v>36</v>
      </c>
      <c r="C408" s="53" t="n">
        <v>106</v>
      </c>
      <c r="D408" s="53" t="n">
        <v>3</v>
      </c>
      <c r="E408" s="65" t="str">
        <f aca="false">IF($H408="","",购销流水!$B106)</f>
        <v/>
      </c>
      <c r="F408" s="55" t="str">
        <f aca="false">IF($H408="","",购销流水!$C106)</f>
        <v/>
      </c>
      <c r="G408" s="48" t="str">
        <f aca="false">IF($H408="","",购销流水!$N106)</f>
        <v/>
      </c>
      <c r="H408" s="10" t="str">
        <f aca="false">IF($L408="","",IF($L408="@成本",购销流水!$U106,IF($L408="@收入",购销流水!$T106,IF($L408="@存货",购销流水!$S106,IF($L408="@结算",购销流水!$R106,$L408)))))</f>
        <v/>
      </c>
      <c r="I408" s="42" t="n">
        <f aca="false">IF($M408="借",$O408,0)</f>
        <v>0</v>
      </c>
      <c r="J408" s="42" t="n">
        <f aca="false">IF($M408="贷",$O408,0)</f>
        <v>0</v>
      </c>
      <c r="K408" s="48" t="str">
        <f aca="false">IF($H408="","",购销流水!$E106)</f>
        <v/>
      </c>
      <c r="L408" s="66" t="str">
        <f aca="false">IF(购销流水!$D106="","",IFERROR(INDEX(记账规则!$A$6:$N$9,MATCH(购销流水!$D106,记账规则!$A$6:$A$9,0),9),""))</f>
        <v/>
      </c>
      <c r="M408" s="66" t="str">
        <f aca="false">IF($L408="","",IFERROR(INDEX(记账规则!$A$6:$N$9,MATCH(购销流水!$D106,记账规则!$A$6:$A$9,0),10),""))</f>
        <v/>
      </c>
      <c r="N408" s="66" t="str">
        <f aca="false">IF($L408="","",IFERROR(INDEX(记账规则!$A$6:$N$9,MATCH(购销流水!$D106,记账规则!$A$6:$A$9,0),11),""))</f>
        <v/>
      </c>
      <c r="O408" s="67" t="n">
        <f aca="false">IF($H408="",0,ROUND(IF($N408="成本金额",N(购销流水!$W106),IF($N408="金额",N(购销流水!$Q106),0)),2))</f>
        <v>0</v>
      </c>
      <c r="P408" s="64" t="str">
        <f aca="false">IF(AND($H408&lt;&gt;"",ROUND($O408,2)&lt;&gt;0),"有","")</f>
        <v/>
      </c>
    </row>
    <row r="409" customFormat="false" ht="15" hidden="true" customHeight="false" outlineLevel="0" collapsed="false">
      <c r="A409" s="53" t="str">
        <f aca="false">IF($H409="","",ROW()-5)</f>
        <v/>
      </c>
      <c r="B409" s="64" t="s">
        <v>36</v>
      </c>
      <c r="C409" s="53" t="n">
        <v>106</v>
      </c>
      <c r="D409" s="53" t="n">
        <v>4</v>
      </c>
      <c r="E409" s="65" t="str">
        <f aca="false">IF($H409="","",购销流水!$B106)</f>
        <v/>
      </c>
      <c r="F409" s="55" t="str">
        <f aca="false">IF($H409="","",购销流水!$C106)</f>
        <v/>
      </c>
      <c r="G409" s="48" t="str">
        <f aca="false">IF($H409="","",购销流水!$N106)</f>
        <v/>
      </c>
      <c r="H409" s="10" t="str">
        <f aca="false">IF($L409="","",IF($L409="@成本",购销流水!$U106,IF($L409="@收入",购销流水!$T106,IF($L409="@存货",购销流水!$S106,IF($L409="@结算",购销流水!$R106,$L409)))))</f>
        <v/>
      </c>
      <c r="I409" s="42" t="n">
        <f aca="false">IF($M409="借",$O409,0)</f>
        <v>0</v>
      </c>
      <c r="J409" s="42" t="n">
        <f aca="false">IF($M409="贷",$O409,0)</f>
        <v>0</v>
      </c>
      <c r="K409" s="48" t="str">
        <f aca="false">IF($H409="","",购销流水!$E106)</f>
        <v/>
      </c>
      <c r="L409" s="66" t="str">
        <f aca="false">IF(购销流水!$D106="","",IFERROR(INDEX(记账规则!$A$6:$N$9,MATCH(购销流水!$D106,记账规则!$A$6:$A$9,0),12),""))</f>
        <v/>
      </c>
      <c r="M409" s="66" t="str">
        <f aca="false">IF($L409="","",IFERROR(INDEX(记账规则!$A$6:$N$9,MATCH(购销流水!$D106,记账规则!$A$6:$A$9,0),13),""))</f>
        <v/>
      </c>
      <c r="N409" s="66" t="str">
        <f aca="false">IF($L409="","",IFERROR(INDEX(记账规则!$A$6:$N$9,MATCH(购销流水!$D106,记账规则!$A$6:$A$9,0),14),""))</f>
        <v/>
      </c>
      <c r="O409" s="67" t="n">
        <f aca="false">IF($H409="",0,ROUND(IF($N409="成本金额",N(购销流水!$W106),IF($N409="金额",N(购销流水!$Q106),0)),2))</f>
        <v>0</v>
      </c>
      <c r="P409" s="64" t="str">
        <f aca="false">IF(AND($H409&lt;&gt;"",ROUND($O409,2)&lt;&gt;0),"有","")</f>
        <v/>
      </c>
    </row>
    <row r="410" customFormat="false" ht="15" hidden="true" customHeight="false" outlineLevel="0" collapsed="false">
      <c r="A410" s="53" t="str">
        <f aca="false">IF($H410="","",ROW()-5)</f>
        <v/>
      </c>
      <c r="B410" s="64" t="s">
        <v>36</v>
      </c>
      <c r="C410" s="53" t="n">
        <v>107</v>
      </c>
      <c r="D410" s="53" t="n">
        <v>1</v>
      </c>
      <c r="E410" s="65" t="str">
        <f aca="false">IF($H410="","",购销流水!$B107)</f>
        <v/>
      </c>
      <c r="F410" s="55" t="str">
        <f aca="false">IF($H410="","",购销流水!$C107)</f>
        <v/>
      </c>
      <c r="G410" s="48" t="str">
        <f aca="false">IF($H410="","",购销流水!$N107)</f>
        <v/>
      </c>
      <c r="H410" s="10" t="str">
        <f aca="false">IF($L410="","",IF($L410="@成本",购销流水!$U107,IF($L410="@收入",购销流水!$T107,IF($L410="@存货",购销流水!$S107,IF($L410="@结算",购销流水!$R107,$L410)))))</f>
        <v/>
      </c>
      <c r="I410" s="42" t="n">
        <f aca="false">IF($M410="借",$O410,0)</f>
        <v>0</v>
      </c>
      <c r="J410" s="42" t="n">
        <f aca="false">IF($M410="贷",$O410,0)</f>
        <v>0</v>
      </c>
      <c r="K410" s="48" t="str">
        <f aca="false">IF($H410="","",购销流水!$E107)</f>
        <v/>
      </c>
      <c r="L410" s="66" t="str">
        <f aca="false">IF(购销流水!$D107="","",IFERROR(INDEX(记账规则!$A$6:$N$9,MATCH(购销流水!$D107,记账规则!$A$6:$A$9,0),3),""))</f>
        <v/>
      </c>
      <c r="M410" s="66" t="str">
        <f aca="false">IF($L410="","",IFERROR(INDEX(记账规则!$A$6:$N$9,MATCH(购销流水!$D107,记账规则!$A$6:$A$9,0),4),""))</f>
        <v/>
      </c>
      <c r="N410" s="66" t="str">
        <f aca="false">IF($L410="","",IFERROR(INDEX(记账规则!$A$6:$N$9,MATCH(购销流水!$D107,记账规则!$A$6:$A$9,0),5),""))</f>
        <v/>
      </c>
      <c r="O410" s="67" t="n">
        <f aca="false">IF($H410="",0,ROUND(IF($N410="成本金额",N(购销流水!$W107),IF($N410="金额",N(购销流水!$Q107),0)),2))</f>
        <v>0</v>
      </c>
      <c r="P410" s="64" t="str">
        <f aca="false">IF(AND($H410&lt;&gt;"",ROUND($O410,2)&lt;&gt;0),"有","")</f>
        <v/>
      </c>
    </row>
    <row r="411" customFormat="false" ht="15" hidden="true" customHeight="false" outlineLevel="0" collapsed="false">
      <c r="A411" s="53" t="str">
        <f aca="false">IF($H411="","",ROW()-5)</f>
        <v/>
      </c>
      <c r="B411" s="64" t="s">
        <v>36</v>
      </c>
      <c r="C411" s="53" t="n">
        <v>107</v>
      </c>
      <c r="D411" s="53" t="n">
        <v>2</v>
      </c>
      <c r="E411" s="65" t="str">
        <f aca="false">IF($H411="","",购销流水!$B107)</f>
        <v/>
      </c>
      <c r="F411" s="55" t="str">
        <f aca="false">IF($H411="","",购销流水!$C107)</f>
        <v/>
      </c>
      <c r="G411" s="48" t="str">
        <f aca="false">IF($H411="","",购销流水!$N107)</f>
        <v/>
      </c>
      <c r="H411" s="10" t="str">
        <f aca="false">IF($L411="","",IF($L411="@成本",购销流水!$U107,IF($L411="@收入",购销流水!$T107,IF($L411="@存货",购销流水!$S107,IF($L411="@结算",购销流水!$R107,$L411)))))</f>
        <v/>
      </c>
      <c r="I411" s="42" t="n">
        <f aca="false">IF($M411="借",$O411,0)</f>
        <v>0</v>
      </c>
      <c r="J411" s="42" t="n">
        <f aca="false">IF($M411="贷",$O411,0)</f>
        <v>0</v>
      </c>
      <c r="K411" s="48" t="str">
        <f aca="false">IF($H411="","",购销流水!$E107)</f>
        <v/>
      </c>
      <c r="L411" s="66" t="str">
        <f aca="false">IF(购销流水!$D107="","",IFERROR(INDEX(记账规则!$A$6:$N$9,MATCH(购销流水!$D107,记账规则!$A$6:$A$9,0),6),""))</f>
        <v/>
      </c>
      <c r="M411" s="66" t="str">
        <f aca="false">IF($L411="","",IFERROR(INDEX(记账规则!$A$6:$N$9,MATCH(购销流水!$D107,记账规则!$A$6:$A$9,0),7),""))</f>
        <v/>
      </c>
      <c r="N411" s="66" t="str">
        <f aca="false">IF($L411="","",IFERROR(INDEX(记账规则!$A$6:$N$9,MATCH(购销流水!$D107,记账规则!$A$6:$A$9,0),8),""))</f>
        <v/>
      </c>
      <c r="O411" s="67" t="n">
        <f aca="false">IF($H411="",0,ROUND(IF($N411="成本金额",N(购销流水!$W107),IF($N411="金额",N(购销流水!$Q107),0)),2))</f>
        <v>0</v>
      </c>
      <c r="P411" s="64" t="str">
        <f aca="false">IF(AND($H411&lt;&gt;"",ROUND($O411,2)&lt;&gt;0),"有","")</f>
        <v/>
      </c>
    </row>
    <row r="412" customFormat="false" ht="15" hidden="true" customHeight="false" outlineLevel="0" collapsed="false">
      <c r="A412" s="53" t="str">
        <f aca="false">IF($H412="","",ROW()-5)</f>
        <v/>
      </c>
      <c r="B412" s="64" t="s">
        <v>36</v>
      </c>
      <c r="C412" s="53" t="n">
        <v>107</v>
      </c>
      <c r="D412" s="53" t="n">
        <v>3</v>
      </c>
      <c r="E412" s="65" t="str">
        <f aca="false">IF($H412="","",购销流水!$B107)</f>
        <v/>
      </c>
      <c r="F412" s="55" t="str">
        <f aca="false">IF($H412="","",购销流水!$C107)</f>
        <v/>
      </c>
      <c r="G412" s="48" t="str">
        <f aca="false">IF($H412="","",购销流水!$N107)</f>
        <v/>
      </c>
      <c r="H412" s="10" t="str">
        <f aca="false">IF($L412="","",IF($L412="@成本",购销流水!$U107,IF($L412="@收入",购销流水!$T107,IF($L412="@存货",购销流水!$S107,IF($L412="@结算",购销流水!$R107,$L412)))))</f>
        <v/>
      </c>
      <c r="I412" s="42" t="n">
        <f aca="false">IF($M412="借",$O412,0)</f>
        <v>0</v>
      </c>
      <c r="J412" s="42" t="n">
        <f aca="false">IF($M412="贷",$O412,0)</f>
        <v>0</v>
      </c>
      <c r="K412" s="48" t="str">
        <f aca="false">IF($H412="","",购销流水!$E107)</f>
        <v/>
      </c>
      <c r="L412" s="66" t="str">
        <f aca="false">IF(购销流水!$D107="","",IFERROR(INDEX(记账规则!$A$6:$N$9,MATCH(购销流水!$D107,记账规则!$A$6:$A$9,0),9),""))</f>
        <v/>
      </c>
      <c r="M412" s="66" t="str">
        <f aca="false">IF($L412="","",IFERROR(INDEX(记账规则!$A$6:$N$9,MATCH(购销流水!$D107,记账规则!$A$6:$A$9,0),10),""))</f>
        <v/>
      </c>
      <c r="N412" s="66" t="str">
        <f aca="false">IF($L412="","",IFERROR(INDEX(记账规则!$A$6:$N$9,MATCH(购销流水!$D107,记账规则!$A$6:$A$9,0),11),""))</f>
        <v/>
      </c>
      <c r="O412" s="67" t="n">
        <f aca="false">IF($H412="",0,ROUND(IF($N412="成本金额",N(购销流水!$W107),IF($N412="金额",N(购销流水!$Q107),0)),2))</f>
        <v>0</v>
      </c>
      <c r="P412" s="64" t="str">
        <f aca="false">IF(AND($H412&lt;&gt;"",ROUND($O412,2)&lt;&gt;0),"有","")</f>
        <v/>
      </c>
    </row>
    <row r="413" customFormat="false" ht="15" hidden="true" customHeight="false" outlineLevel="0" collapsed="false">
      <c r="A413" s="53" t="str">
        <f aca="false">IF($H413="","",ROW()-5)</f>
        <v/>
      </c>
      <c r="B413" s="64" t="s">
        <v>36</v>
      </c>
      <c r="C413" s="53" t="n">
        <v>107</v>
      </c>
      <c r="D413" s="53" t="n">
        <v>4</v>
      </c>
      <c r="E413" s="65" t="str">
        <f aca="false">IF($H413="","",购销流水!$B107)</f>
        <v/>
      </c>
      <c r="F413" s="55" t="str">
        <f aca="false">IF($H413="","",购销流水!$C107)</f>
        <v/>
      </c>
      <c r="G413" s="48" t="str">
        <f aca="false">IF($H413="","",购销流水!$N107)</f>
        <v/>
      </c>
      <c r="H413" s="10" t="str">
        <f aca="false">IF($L413="","",IF($L413="@成本",购销流水!$U107,IF($L413="@收入",购销流水!$T107,IF($L413="@存货",购销流水!$S107,IF($L413="@结算",购销流水!$R107,$L413)))))</f>
        <v/>
      </c>
      <c r="I413" s="42" t="n">
        <f aca="false">IF($M413="借",$O413,0)</f>
        <v>0</v>
      </c>
      <c r="J413" s="42" t="n">
        <f aca="false">IF($M413="贷",$O413,0)</f>
        <v>0</v>
      </c>
      <c r="K413" s="48" t="str">
        <f aca="false">IF($H413="","",购销流水!$E107)</f>
        <v/>
      </c>
      <c r="L413" s="66" t="str">
        <f aca="false">IF(购销流水!$D107="","",IFERROR(INDEX(记账规则!$A$6:$N$9,MATCH(购销流水!$D107,记账规则!$A$6:$A$9,0),12),""))</f>
        <v/>
      </c>
      <c r="M413" s="66" t="str">
        <f aca="false">IF($L413="","",IFERROR(INDEX(记账规则!$A$6:$N$9,MATCH(购销流水!$D107,记账规则!$A$6:$A$9,0),13),""))</f>
        <v/>
      </c>
      <c r="N413" s="66" t="str">
        <f aca="false">IF($L413="","",IFERROR(INDEX(记账规则!$A$6:$N$9,MATCH(购销流水!$D107,记账规则!$A$6:$A$9,0),14),""))</f>
        <v/>
      </c>
      <c r="O413" s="67" t="n">
        <f aca="false">IF($H413="",0,ROUND(IF($N413="成本金额",N(购销流水!$W107),IF($N413="金额",N(购销流水!$Q107),0)),2))</f>
        <v>0</v>
      </c>
      <c r="P413" s="64" t="str">
        <f aca="false">IF(AND($H413&lt;&gt;"",ROUND($O413,2)&lt;&gt;0),"有","")</f>
        <v/>
      </c>
    </row>
    <row r="414" customFormat="false" ht="15" hidden="true" customHeight="false" outlineLevel="0" collapsed="false">
      <c r="A414" s="53" t="str">
        <f aca="false">IF($H414="","",ROW()-5)</f>
        <v/>
      </c>
      <c r="B414" s="64" t="s">
        <v>36</v>
      </c>
      <c r="C414" s="53" t="n">
        <v>108</v>
      </c>
      <c r="D414" s="53" t="n">
        <v>1</v>
      </c>
      <c r="E414" s="65" t="str">
        <f aca="false">IF($H414="","",购销流水!$B108)</f>
        <v/>
      </c>
      <c r="F414" s="55" t="str">
        <f aca="false">IF($H414="","",购销流水!$C108)</f>
        <v/>
      </c>
      <c r="G414" s="48" t="str">
        <f aca="false">IF($H414="","",购销流水!$N108)</f>
        <v/>
      </c>
      <c r="H414" s="10" t="str">
        <f aca="false">IF($L414="","",IF($L414="@成本",购销流水!$U108,IF($L414="@收入",购销流水!$T108,IF($L414="@存货",购销流水!$S108,IF($L414="@结算",购销流水!$R108,$L414)))))</f>
        <v/>
      </c>
      <c r="I414" s="42" t="n">
        <f aca="false">IF($M414="借",$O414,0)</f>
        <v>0</v>
      </c>
      <c r="J414" s="42" t="n">
        <f aca="false">IF($M414="贷",$O414,0)</f>
        <v>0</v>
      </c>
      <c r="K414" s="48" t="str">
        <f aca="false">IF($H414="","",购销流水!$E108)</f>
        <v/>
      </c>
      <c r="L414" s="66" t="str">
        <f aca="false">IF(购销流水!$D108="","",IFERROR(INDEX(记账规则!$A$6:$N$9,MATCH(购销流水!$D108,记账规则!$A$6:$A$9,0),3),""))</f>
        <v/>
      </c>
      <c r="M414" s="66" t="str">
        <f aca="false">IF($L414="","",IFERROR(INDEX(记账规则!$A$6:$N$9,MATCH(购销流水!$D108,记账规则!$A$6:$A$9,0),4),""))</f>
        <v/>
      </c>
      <c r="N414" s="66" t="str">
        <f aca="false">IF($L414="","",IFERROR(INDEX(记账规则!$A$6:$N$9,MATCH(购销流水!$D108,记账规则!$A$6:$A$9,0),5),""))</f>
        <v/>
      </c>
      <c r="O414" s="67" t="n">
        <f aca="false">IF($H414="",0,ROUND(IF($N414="成本金额",N(购销流水!$W108),IF($N414="金额",N(购销流水!$Q108),0)),2))</f>
        <v>0</v>
      </c>
      <c r="P414" s="64" t="str">
        <f aca="false">IF(AND($H414&lt;&gt;"",ROUND($O414,2)&lt;&gt;0),"有","")</f>
        <v/>
      </c>
    </row>
    <row r="415" customFormat="false" ht="15" hidden="true" customHeight="false" outlineLevel="0" collapsed="false">
      <c r="A415" s="53" t="str">
        <f aca="false">IF($H415="","",ROW()-5)</f>
        <v/>
      </c>
      <c r="B415" s="64" t="s">
        <v>36</v>
      </c>
      <c r="C415" s="53" t="n">
        <v>108</v>
      </c>
      <c r="D415" s="53" t="n">
        <v>2</v>
      </c>
      <c r="E415" s="65" t="str">
        <f aca="false">IF($H415="","",购销流水!$B108)</f>
        <v/>
      </c>
      <c r="F415" s="55" t="str">
        <f aca="false">IF($H415="","",购销流水!$C108)</f>
        <v/>
      </c>
      <c r="G415" s="48" t="str">
        <f aca="false">IF($H415="","",购销流水!$N108)</f>
        <v/>
      </c>
      <c r="H415" s="10" t="str">
        <f aca="false">IF($L415="","",IF($L415="@成本",购销流水!$U108,IF($L415="@收入",购销流水!$T108,IF($L415="@存货",购销流水!$S108,IF($L415="@结算",购销流水!$R108,$L415)))))</f>
        <v/>
      </c>
      <c r="I415" s="42" t="n">
        <f aca="false">IF($M415="借",$O415,0)</f>
        <v>0</v>
      </c>
      <c r="J415" s="42" t="n">
        <f aca="false">IF($M415="贷",$O415,0)</f>
        <v>0</v>
      </c>
      <c r="K415" s="48" t="str">
        <f aca="false">IF($H415="","",购销流水!$E108)</f>
        <v/>
      </c>
      <c r="L415" s="66" t="str">
        <f aca="false">IF(购销流水!$D108="","",IFERROR(INDEX(记账规则!$A$6:$N$9,MATCH(购销流水!$D108,记账规则!$A$6:$A$9,0),6),""))</f>
        <v/>
      </c>
      <c r="M415" s="66" t="str">
        <f aca="false">IF($L415="","",IFERROR(INDEX(记账规则!$A$6:$N$9,MATCH(购销流水!$D108,记账规则!$A$6:$A$9,0),7),""))</f>
        <v/>
      </c>
      <c r="N415" s="66" t="str">
        <f aca="false">IF($L415="","",IFERROR(INDEX(记账规则!$A$6:$N$9,MATCH(购销流水!$D108,记账规则!$A$6:$A$9,0),8),""))</f>
        <v/>
      </c>
      <c r="O415" s="67" t="n">
        <f aca="false">IF($H415="",0,ROUND(IF($N415="成本金额",N(购销流水!$W108),IF($N415="金额",N(购销流水!$Q108),0)),2))</f>
        <v>0</v>
      </c>
      <c r="P415" s="64" t="str">
        <f aca="false">IF(AND($H415&lt;&gt;"",ROUND($O415,2)&lt;&gt;0),"有","")</f>
        <v/>
      </c>
    </row>
    <row r="416" customFormat="false" ht="15" hidden="true" customHeight="false" outlineLevel="0" collapsed="false">
      <c r="A416" s="53" t="str">
        <f aca="false">IF($H416="","",ROW()-5)</f>
        <v/>
      </c>
      <c r="B416" s="64" t="s">
        <v>36</v>
      </c>
      <c r="C416" s="53" t="n">
        <v>108</v>
      </c>
      <c r="D416" s="53" t="n">
        <v>3</v>
      </c>
      <c r="E416" s="65" t="str">
        <f aca="false">IF($H416="","",购销流水!$B108)</f>
        <v/>
      </c>
      <c r="F416" s="55" t="str">
        <f aca="false">IF($H416="","",购销流水!$C108)</f>
        <v/>
      </c>
      <c r="G416" s="48" t="str">
        <f aca="false">IF($H416="","",购销流水!$N108)</f>
        <v/>
      </c>
      <c r="H416" s="10" t="str">
        <f aca="false">IF($L416="","",IF($L416="@成本",购销流水!$U108,IF($L416="@收入",购销流水!$T108,IF($L416="@存货",购销流水!$S108,IF($L416="@结算",购销流水!$R108,$L416)))))</f>
        <v/>
      </c>
      <c r="I416" s="42" t="n">
        <f aca="false">IF($M416="借",$O416,0)</f>
        <v>0</v>
      </c>
      <c r="J416" s="42" t="n">
        <f aca="false">IF($M416="贷",$O416,0)</f>
        <v>0</v>
      </c>
      <c r="K416" s="48" t="str">
        <f aca="false">IF($H416="","",购销流水!$E108)</f>
        <v/>
      </c>
      <c r="L416" s="66" t="str">
        <f aca="false">IF(购销流水!$D108="","",IFERROR(INDEX(记账规则!$A$6:$N$9,MATCH(购销流水!$D108,记账规则!$A$6:$A$9,0),9),""))</f>
        <v/>
      </c>
      <c r="M416" s="66" t="str">
        <f aca="false">IF($L416="","",IFERROR(INDEX(记账规则!$A$6:$N$9,MATCH(购销流水!$D108,记账规则!$A$6:$A$9,0),10),""))</f>
        <v/>
      </c>
      <c r="N416" s="66" t="str">
        <f aca="false">IF($L416="","",IFERROR(INDEX(记账规则!$A$6:$N$9,MATCH(购销流水!$D108,记账规则!$A$6:$A$9,0),11),""))</f>
        <v/>
      </c>
      <c r="O416" s="67" t="n">
        <f aca="false">IF($H416="",0,ROUND(IF($N416="成本金额",N(购销流水!$W108),IF($N416="金额",N(购销流水!$Q108),0)),2))</f>
        <v>0</v>
      </c>
      <c r="P416" s="64" t="str">
        <f aca="false">IF(AND($H416&lt;&gt;"",ROUND($O416,2)&lt;&gt;0),"有","")</f>
        <v/>
      </c>
    </row>
    <row r="417" customFormat="false" ht="15" hidden="true" customHeight="false" outlineLevel="0" collapsed="false">
      <c r="A417" s="53" t="str">
        <f aca="false">IF($H417="","",ROW()-5)</f>
        <v/>
      </c>
      <c r="B417" s="64" t="s">
        <v>36</v>
      </c>
      <c r="C417" s="53" t="n">
        <v>108</v>
      </c>
      <c r="D417" s="53" t="n">
        <v>4</v>
      </c>
      <c r="E417" s="65" t="str">
        <f aca="false">IF($H417="","",购销流水!$B108)</f>
        <v/>
      </c>
      <c r="F417" s="55" t="str">
        <f aca="false">IF($H417="","",购销流水!$C108)</f>
        <v/>
      </c>
      <c r="G417" s="48" t="str">
        <f aca="false">IF($H417="","",购销流水!$N108)</f>
        <v/>
      </c>
      <c r="H417" s="10" t="str">
        <f aca="false">IF($L417="","",IF($L417="@成本",购销流水!$U108,IF($L417="@收入",购销流水!$T108,IF($L417="@存货",购销流水!$S108,IF($L417="@结算",购销流水!$R108,$L417)))))</f>
        <v/>
      </c>
      <c r="I417" s="42" t="n">
        <f aca="false">IF($M417="借",$O417,0)</f>
        <v>0</v>
      </c>
      <c r="J417" s="42" t="n">
        <f aca="false">IF($M417="贷",$O417,0)</f>
        <v>0</v>
      </c>
      <c r="K417" s="48" t="str">
        <f aca="false">IF($H417="","",购销流水!$E108)</f>
        <v/>
      </c>
      <c r="L417" s="66" t="str">
        <f aca="false">IF(购销流水!$D108="","",IFERROR(INDEX(记账规则!$A$6:$N$9,MATCH(购销流水!$D108,记账规则!$A$6:$A$9,0),12),""))</f>
        <v/>
      </c>
      <c r="M417" s="66" t="str">
        <f aca="false">IF($L417="","",IFERROR(INDEX(记账规则!$A$6:$N$9,MATCH(购销流水!$D108,记账规则!$A$6:$A$9,0),13),""))</f>
        <v/>
      </c>
      <c r="N417" s="66" t="str">
        <f aca="false">IF($L417="","",IFERROR(INDEX(记账规则!$A$6:$N$9,MATCH(购销流水!$D108,记账规则!$A$6:$A$9,0),14),""))</f>
        <v/>
      </c>
      <c r="O417" s="67" t="n">
        <f aca="false">IF($H417="",0,ROUND(IF($N417="成本金额",N(购销流水!$W108),IF($N417="金额",N(购销流水!$Q108),0)),2))</f>
        <v>0</v>
      </c>
      <c r="P417" s="64" t="str">
        <f aca="false">IF(AND($H417&lt;&gt;"",ROUND($O417,2)&lt;&gt;0),"有","")</f>
        <v/>
      </c>
    </row>
    <row r="418" customFormat="false" ht="15" hidden="true" customHeight="false" outlineLevel="0" collapsed="false">
      <c r="A418" s="53" t="str">
        <f aca="false">IF($H418="","",ROW()-5)</f>
        <v/>
      </c>
      <c r="B418" s="64" t="s">
        <v>36</v>
      </c>
      <c r="C418" s="53" t="n">
        <v>109</v>
      </c>
      <c r="D418" s="53" t="n">
        <v>1</v>
      </c>
      <c r="E418" s="65" t="str">
        <f aca="false">IF($H418="","",购销流水!$B109)</f>
        <v/>
      </c>
      <c r="F418" s="55" t="str">
        <f aca="false">IF($H418="","",购销流水!$C109)</f>
        <v/>
      </c>
      <c r="G418" s="48" t="str">
        <f aca="false">IF($H418="","",购销流水!$N109)</f>
        <v/>
      </c>
      <c r="H418" s="10" t="str">
        <f aca="false">IF($L418="","",IF($L418="@成本",购销流水!$U109,IF($L418="@收入",购销流水!$T109,IF($L418="@存货",购销流水!$S109,IF($L418="@结算",购销流水!$R109,$L418)))))</f>
        <v/>
      </c>
      <c r="I418" s="42" t="n">
        <f aca="false">IF($M418="借",$O418,0)</f>
        <v>0</v>
      </c>
      <c r="J418" s="42" t="n">
        <f aca="false">IF($M418="贷",$O418,0)</f>
        <v>0</v>
      </c>
      <c r="K418" s="48" t="str">
        <f aca="false">IF($H418="","",购销流水!$E109)</f>
        <v/>
      </c>
      <c r="L418" s="66" t="str">
        <f aca="false">IF(购销流水!$D109="","",IFERROR(INDEX(记账规则!$A$6:$N$9,MATCH(购销流水!$D109,记账规则!$A$6:$A$9,0),3),""))</f>
        <v/>
      </c>
      <c r="M418" s="66" t="str">
        <f aca="false">IF($L418="","",IFERROR(INDEX(记账规则!$A$6:$N$9,MATCH(购销流水!$D109,记账规则!$A$6:$A$9,0),4),""))</f>
        <v/>
      </c>
      <c r="N418" s="66" t="str">
        <f aca="false">IF($L418="","",IFERROR(INDEX(记账规则!$A$6:$N$9,MATCH(购销流水!$D109,记账规则!$A$6:$A$9,0),5),""))</f>
        <v/>
      </c>
      <c r="O418" s="67" t="n">
        <f aca="false">IF($H418="",0,ROUND(IF($N418="成本金额",N(购销流水!$W109),IF($N418="金额",N(购销流水!$Q109),0)),2))</f>
        <v>0</v>
      </c>
      <c r="P418" s="64" t="str">
        <f aca="false">IF(AND($H418&lt;&gt;"",ROUND($O418,2)&lt;&gt;0),"有","")</f>
        <v/>
      </c>
    </row>
    <row r="419" customFormat="false" ht="15" hidden="true" customHeight="false" outlineLevel="0" collapsed="false">
      <c r="A419" s="53" t="str">
        <f aca="false">IF($H419="","",ROW()-5)</f>
        <v/>
      </c>
      <c r="B419" s="64" t="s">
        <v>36</v>
      </c>
      <c r="C419" s="53" t="n">
        <v>109</v>
      </c>
      <c r="D419" s="53" t="n">
        <v>2</v>
      </c>
      <c r="E419" s="65" t="str">
        <f aca="false">IF($H419="","",购销流水!$B109)</f>
        <v/>
      </c>
      <c r="F419" s="55" t="str">
        <f aca="false">IF($H419="","",购销流水!$C109)</f>
        <v/>
      </c>
      <c r="G419" s="48" t="str">
        <f aca="false">IF($H419="","",购销流水!$N109)</f>
        <v/>
      </c>
      <c r="H419" s="10" t="str">
        <f aca="false">IF($L419="","",IF($L419="@成本",购销流水!$U109,IF($L419="@收入",购销流水!$T109,IF($L419="@存货",购销流水!$S109,IF($L419="@结算",购销流水!$R109,$L419)))))</f>
        <v/>
      </c>
      <c r="I419" s="42" t="n">
        <f aca="false">IF($M419="借",$O419,0)</f>
        <v>0</v>
      </c>
      <c r="J419" s="42" t="n">
        <f aca="false">IF($M419="贷",$O419,0)</f>
        <v>0</v>
      </c>
      <c r="K419" s="48" t="str">
        <f aca="false">IF($H419="","",购销流水!$E109)</f>
        <v/>
      </c>
      <c r="L419" s="66" t="str">
        <f aca="false">IF(购销流水!$D109="","",IFERROR(INDEX(记账规则!$A$6:$N$9,MATCH(购销流水!$D109,记账规则!$A$6:$A$9,0),6),""))</f>
        <v/>
      </c>
      <c r="M419" s="66" t="str">
        <f aca="false">IF($L419="","",IFERROR(INDEX(记账规则!$A$6:$N$9,MATCH(购销流水!$D109,记账规则!$A$6:$A$9,0),7),""))</f>
        <v/>
      </c>
      <c r="N419" s="66" t="str">
        <f aca="false">IF($L419="","",IFERROR(INDEX(记账规则!$A$6:$N$9,MATCH(购销流水!$D109,记账规则!$A$6:$A$9,0),8),""))</f>
        <v/>
      </c>
      <c r="O419" s="67" t="n">
        <f aca="false">IF($H419="",0,ROUND(IF($N419="成本金额",N(购销流水!$W109),IF($N419="金额",N(购销流水!$Q109),0)),2))</f>
        <v>0</v>
      </c>
      <c r="P419" s="64" t="str">
        <f aca="false">IF(AND($H419&lt;&gt;"",ROUND($O419,2)&lt;&gt;0),"有","")</f>
        <v/>
      </c>
    </row>
    <row r="420" customFormat="false" ht="15" hidden="true" customHeight="false" outlineLevel="0" collapsed="false">
      <c r="A420" s="53" t="str">
        <f aca="false">IF($H420="","",ROW()-5)</f>
        <v/>
      </c>
      <c r="B420" s="64" t="s">
        <v>36</v>
      </c>
      <c r="C420" s="53" t="n">
        <v>109</v>
      </c>
      <c r="D420" s="53" t="n">
        <v>3</v>
      </c>
      <c r="E420" s="65" t="str">
        <f aca="false">IF($H420="","",购销流水!$B109)</f>
        <v/>
      </c>
      <c r="F420" s="55" t="str">
        <f aca="false">IF($H420="","",购销流水!$C109)</f>
        <v/>
      </c>
      <c r="G420" s="48" t="str">
        <f aca="false">IF($H420="","",购销流水!$N109)</f>
        <v/>
      </c>
      <c r="H420" s="10" t="str">
        <f aca="false">IF($L420="","",IF($L420="@成本",购销流水!$U109,IF($L420="@收入",购销流水!$T109,IF($L420="@存货",购销流水!$S109,IF($L420="@结算",购销流水!$R109,$L420)))))</f>
        <v/>
      </c>
      <c r="I420" s="42" t="n">
        <f aca="false">IF($M420="借",$O420,0)</f>
        <v>0</v>
      </c>
      <c r="J420" s="42" t="n">
        <f aca="false">IF($M420="贷",$O420,0)</f>
        <v>0</v>
      </c>
      <c r="K420" s="48" t="str">
        <f aca="false">IF($H420="","",购销流水!$E109)</f>
        <v/>
      </c>
      <c r="L420" s="66" t="str">
        <f aca="false">IF(购销流水!$D109="","",IFERROR(INDEX(记账规则!$A$6:$N$9,MATCH(购销流水!$D109,记账规则!$A$6:$A$9,0),9),""))</f>
        <v/>
      </c>
      <c r="M420" s="66" t="str">
        <f aca="false">IF($L420="","",IFERROR(INDEX(记账规则!$A$6:$N$9,MATCH(购销流水!$D109,记账规则!$A$6:$A$9,0),10),""))</f>
        <v/>
      </c>
      <c r="N420" s="66" t="str">
        <f aca="false">IF($L420="","",IFERROR(INDEX(记账规则!$A$6:$N$9,MATCH(购销流水!$D109,记账规则!$A$6:$A$9,0),11),""))</f>
        <v/>
      </c>
      <c r="O420" s="67" t="n">
        <f aca="false">IF($H420="",0,ROUND(IF($N420="成本金额",N(购销流水!$W109),IF($N420="金额",N(购销流水!$Q109),0)),2))</f>
        <v>0</v>
      </c>
      <c r="P420" s="64" t="str">
        <f aca="false">IF(AND($H420&lt;&gt;"",ROUND($O420,2)&lt;&gt;0),"有","")</f>
        <v/>
      </c>
    </row>
    <row r="421" customFormat="false" ht="15" hidden="true" customHeight="false" outlineLevel="0" collapsed="false">
      <c r="A421" s="53" t="str">
        <f aca="false">IF($H421="","",ROW()-5)</f>
        <v/>
      </c>
      <c r="B421" s="64" t="s">
        <v>36</v>
      </c>
      <c r="C421" s="53" t="n">
        <v>109</v>
      </c>
      <c r="D421" s="53" t="n">
        <v>4</v>
      </c>
      <c r="E421" s="65" t="str">
        <f aca="false">IF($H421="","",购销流水!$B109)</f>
        <v/>
      </c>
      <c r="F421" s="55" t="str">
        <f aca="false">IF($H421="","",购销流水!$C109)</f>
        <v/>
      </c>
      <c r="G421" s="48" t="str">
        <f aca="false">IF($H421="","",购销流水!$N109)</f>
        <v/>
      </c>
      <c r="H421" s="10" t="str">
        <f aca="false">IF($L421="","",IF($L421="@成本",购销流水!$U109,IF($L421="@收入",购销流水!$T109,IF($L421="@存货",购销流水!$S109,IF($L421="@结算",购销流水!$R109,$L421)))))</f>
        <v/>
      </c>
      <c r="I421" s="42" t="n">
        <f aca="false">IF($M421="借",$O421,0)</f>
        <v>0</v>
      </c>
      <c r="J421" s="42" t="n">
        <f aca="false">IF($M421="贷",$O421,0)</f>
        <v>0</v>
      </c>
      <c r="K421" s="48" t="str">
        <f aca="false">IF($H421="","",购销流水!$E109)</f>
        <v/>
      </c>
      <c r="L421" s="66" t="str">
        <f aca="false">IF(购销流水!$D109="","",IFERROR(INDEX(记账规则!$A$6:$N$9,MATCH(购销流水!$D109,记账规则!$A$6:$A$9,0),12),""))</f>
        <v/>
      </c>
      <c r="M421" s="66" t="str">
        <f aca="false">IF($L421="","",IFERROR(INDEX(记账规则!$A$6:$N$9,MATCH(购销流水!$D109,记账规则!$A$6:$A$9,0),13),""))</f>
        <v/>
      </c>
      <c r="N421" s="66" t="str">
        <f aca="false">IF($L421="","",IFERROR(INDEX(记账规则!$A$6:$N$9,MATCH(购销流水!$D109,记账规则!$A$6:$A$9,0),14),""))</f>
        <v/>
      </c>
      <c r="O421" s="67" t="n">
        <f aca="false">IF($H421="",0,ROUND(IF($N421="成本金额",N(购销流水!$W109),IF($N421="金额",N(购销流水!$Q109),0)),2))</f>
        <v>0</v>
      </c>
      <c r="P421" s="64" t="str">
        <f aca="false">IF(AND($H421&lt;&gt;"",ROUND($O421,2)&lt;&gt;0),"有","")</f>
        <v/>
      </c>
    </row>
    <row r="422" customFormat="false" ht="15" hidden="true" customHeight="false" outlineLevel="0" collapsed="false">
      <c r="A422" s="53" t="str">
        <f aca="false">IF($H422="","",ROW()-5)</f>
        <v/>
      </c>
      <c r="B422" s="64" t="s">
        <v>36</v>
      </c>
      <c r="C422" s="53" t="n">
        <v>110</v>
      </c>
      <c r="D422" s="53" t="n">
        <v>1</v>
      </c>
      <c r="E422" s="65" t="str">
        <f aca="false">IF($H422="","",购销流水!$B110)</f>
        <v/>
      </c>
      <c r="F422" s="55" t="str">
        <f aca="false">IF($H422="","",购销流水!$C110)</f>
        <v/>
      </c>
      <c r="G422" s="48" t="str">
        <f aca="false">IF($H422="","",购销流水!$N110)</f>
        <v/>
      </c>
      <c r="H422" s="10" t="str">
        <f aca="false">IF($L422="","",IF($L422="@成本",购销流水!$U110,IF($L422="@收入",购销流水!$T110,IF($L422="@存货",购销流水!$S110,IF($L422="@结算",购销流水!$R110,$L422)))))</f>
        <v/>
      </c>
      <c r="I422" s="42" t="n">
        <f aca="false">IF($M422="借",$O422,0)</f>
        <v>0</v>
      </c>
      <c r="J422" s="42" t="n">
        <f aca="false">IF($M422="贷",$O422,0)</f>
        <v>0</v>
      </c>
      <c r="K422" s="48" t="str">
        <f aca="false">IF($H422="","",购销流水!$E110)</f>
        <v/>
      </c>
      <c r="L422" s="66" t="str">
        <f aca="false">IF(购销流水!$D110="","",IFERROR(INDEX(记账规则!$A$6:$N$9,MATCH(购销流水!$D110,记账规则!$A$6:$A$9,0),3),""))</f>
        <v/>
      </c>
      <c r="M422" s="66" t="str">
        <f aca="false">IF($L422="","",IFERROR(INDEX(记账规则!$A$6:$N$9,MATCH(购销流水!$D110,记账规则!$A$6:$A$9,0),4),""))</f>
        <v/>
      </c>
      <c r="N422" s="66" t="str">
        <f aca="false">IF($L422="","",IFERROR(INDEX(记账规则!$A$6:$N$9,MATCH(购销流水!$D110,记账规则!$A$6:$A$9,0),5),""))</f>
        <v/>
      </c>
      <c r="O422" s="67" t="n">
        <f aca="false">IF($H422="",0,ROUND(IF($N422="成本金额",N(购销流水!$W110),IF($N422="金额",N(购销流水!$Q110),0)),2))</f>
        <v>0</v>
      </c>
      <c r="P422" s="64" t="str">
        <f aca="false">IF(AND($H422&lt;&gt;"",ROUND($O422,2)&lt;&gt;0),"有","")</f>
        <v/>
      </c>
    </row>
    <row r="423" customFormat="false" ht="15" hidden="true" customHeight="false" outlineLevel="0" collapsed="false">
      <c r="A423" s="53" t="str">
        <f aca="false">IF($H423="","",ROW()-5)</f>
        <v/>
      </c>
      <c r="B423" s="64" t="s">
        <v>36</v>
      </c>
      <c r="C423" s="53" t="n">
        <v>110</v>
      </c>
      <c r="D423" s="53" t="n">
        <v>2</v>
      </c>
      <c r="E423" s="65" t="str">
        <f aca="false">IF($H423="","",购销流水!$B110)</f>
        <v/>
      </c>
      <c r="F423" s="55" t="str">
        <f aca="false">IF($H423="","",购销流水!$C110)</f>
        <v/>
      </c>
      <c r="G423" s="48" t="str">
        <f aca="false">IF($H423="","",购销流水!$N110)</f>
        <v/>
      </c>
      <c r="H423" s="10" t="str">
        <f aca="false">IF($L423="","",IF($L423="@成本",购销流水!$U110,IF($L423="@收入",购销流水!$T110,IF($L423="@存货",购销流水!$S110,IF($L423="@结算",购销流水!$R110,$L423)))))</f>
        <v/>
      </c>
      <c r="I423" s="42" t="n">
        <f aca="false">IF($M423="借",$O423,0)</f>
        <v>0</v>
      </c>
      <c r="J423" s="42" t="n">
        <f aca="false">IF($M423="贷",$O423,0)</f>
        <v>0</v>
      </c>
      <c r="K423" s="48" t="str">
        <f aca="false">IF($H423="","",购销流水!$E110)</f>
        <v/>
      </c>
      <c r="L423" s="66" t="str">
        <f aca="false">IF(购销流水!$D110="","",IFERROR(INDEX(记账规则!$A$6:$N$9,MATCH(购销流水!$D110,记账规则!$A$6:$A$9,0),6),""))</f>
        <v/>
      </c>
      <c r="M423" s="66" t="str">
        <f aca="false">IF($L423="","",IFERROR(INDEX(记账规则!$A$6:$N$9,MATCH(购销流水!$D110,记账规则!$A$6:$A$9,0),7),""))</f>
        <v/>
      </c>
      <c r="N423" s="66" t="str">
        <f aca="false">IF($L423="","",IFERROR(INDEX(记账规则!$A$6:$N$9,MATCH(购销流水!$D110,记账规则!$A$6:$A$9,0),8),""))</f>
        <v/>
      </c>
      <c r="O423" s="67" t="n">
        <f aca="false">IF($H423="",0,ROUND(IF($N423="成本金额",N(购销流水!$W110),IF($N423="金额",N(购销流水!$Q110),0)),2))</f>
        <v>0</v>
      </c>
      <c r="P423" s="64" t="str">
        <f aca="false">IF(AND($H423&lt;&gt;"",ROUND($O423,2)&lt;&gt;0),"有","")</f>
        <v/>
      </c>
    </row>
    <row r="424" customFormat="false" ht="15" hidden="true" customHeight="false" outlineLevel="0" collapsed="false">
      <c r="A424" s="53" t="str">
        <f aca="false">IF($H424="","",ROW()-5)</f>
        <v/>
      </c>
      <c r="B424" s="64" t="s">
        <v>36</v>
      </c>
      <c r="C424" s="53" t="n">
        <v>110</v>
      </c>
      <c r="D424" s="53" t="n">
        <v>3</v>
      </c>
      <c r="E424" s="65" t="str">
        <f aca="false">IF($H424="","",购销流水!$B110)</f>
        <v/>
      </c>
      <c r="F424" s="55" t="str">
        <f aca="false">IF($H424="","",购销流水!$C110)</f>
        <v/>
      </c>
      <c r="G424" s="48" t="str">
        <f aca="false">IF($H424="","",购销流水!$N110)</f>
        <v/>
      </c>
      <c r="H424" s="10" t="str">
        <f aca="false">IF($L424="","",IF($L424="@成本",购销流水!$U110,IF($L424="@收入",购销流水!$T110,IF($L424="@存货",购销流水!$S110,IF($L424="@结算",购销流水!$R110,$L424)))))</f>
        <v/>
      </c>
      <c r="I424" s="42" t="n">
        <f aca="false">IF($M424="借",$O424,0)</f>
        <v>0</v>
      </c>
      <c r="J424" s="42" t="n">
        <f aca="false">IF($M424="贷",$O424,0)</f>
        <v>0</v>
      </c>
      <c r="K424" s="48" t="str">
        <f aca="false">IF($H424="","",购销流水!$E110)</f>
        <v/>
      </c>
      <c r="L424" s="66" t="str">
        <f aca="false">IF(购销流水!$D110="","",IFERROR(INDEX(记账规则!$A$6:$N$9,MATCH(购销流水!$D110,记账规则!$A$6:$A$9,0),9),""))</f>
        <v/>
      </c>
      <c r="M424" s="66" t="str">
        <f aca="false">IF($L424="","",IFERROR(INDEX(记账规则!$A$6:$N$9,MATCH(购销流水!$D110,记账规则!$A$6:$A$9,0),10),""))</f>
        <v/>
      </c>
      <c r="N424" s="66" t="str">
        <f aca="false">IF($L424="","",IFERROR(INDEX(记账规则!$A$6:$N$9,MATCH(购销流水!$D110,记账规则!$A$6:$A$9,0),11),""))</f>
        <v/>
      </c>
      <c r="O424" s="67" t="n">
        <f aca="false">IF($H424="",0,ROUND(IF($N424="成本金额",N(购销流水!$W110),IF($N424="金额",N(购销流水!$Q110),0)),2))</f>
        <v>0</v>
      </c>
      <c r="P424" s="64" t="str">
        <f aca="false">IF(AND($H424&lt;&gt;"",ROUND($O424,2)&lt;&gt;0),"有","")</f>
        <v/>
      </c>
    </row>
    <row r="425" customFormat="false" ht="15" hidden="true" customHeight="false" outlineLevel="0" collapsed="false">
      <c r="A425" s="53" t="str">
        <f aca="false">IF($H425="","",ROW()-5)</f>
        <v/>
      </c>
      <c r="B425" s="64" t="s">
        <v>36</v>
      </c>
      <c r="C425" s="53" t="n">
        <v>110</v>
      </c>
      <c r="D425" s="53" t="n">
        <v>4</v>
      </c>
      <c r="E425" s="65" t="str">
        <f aca="false">IF($H425="","",购销流水!$B110)</f>
        <v/>
      </c>
      <c r="F425" s="55" t="str">
        <f aca="false">IF($H425="","",购销流水!$C110)</f>
        <v/>
      </c>
      <c r="G425" s="48" t="str">
        <f aca="false">IF($H425="","",购销流水!$N110)</f>
        <v/>
      </c>
      <c r="H425" s="10" t="str">
        <f aca="false">IF($L425="","",IF($L425="@成本",购销流水!$U110,IF($L425="@收入",购销流水!$T110,IF($L425="@存货",购销流水!$S110,IF($L425="@结算",购销流水!$R110,$L425)))))</f>
        <v/>
      </c>
      <c r="I425" s="42" t="n">
        <f aca="false">IF($M425="借",$O425,0)</f>
        <v>0</v>
      </c>
      <c r="J425" s="42" t="n">
        <f aca="false">IF($M425="贷",$O425,0)</f>
        <v>0</v>
      </c>
      <c r="K425" s="48" t="str">
        <f aca="false">IF($H425="","",购销流水!$E110)</f>
        <v/>
      </c>
      <c r="L425" s="66" t="str">
        <f aca="false">IF(购销流水!$D110="","",IFERROR(INDEX(记账规则!$A$6:$N$9,MATCH(购销流水!$D110,记账规则!$A$6:$A$9,0),12),""))</f>
        <v/>
      </c>
      <c r="M425" s="66" t="str">
        <f aca="false">IF($L425="","",IFERROR(INDEX(记账规则!$A$6:$N$9,MATCH(购销流水!$D110,记账规则!$A$6:$A$9,0),13),""))</f>
        <v/>
      </c>
      <c r="N425" s="66" t="str">
        <f aca="false">IF($L425="","",IFERROR(INDEX(记账规则!$A$6:$N$9,MATCH(购销流水!$D110,记账规则!$A$6:$A$9,0),14),""))</f>
        <v/>
      </c>
      <c r="O425" s="67" t="n">
        <f aca="false">IF($H425="",0,ROUND(IF($N425="成本金额",N(购销流水!$W110),IF($N425="金额",N(购销流水!$Q110),0)),2))</f>
        <v>0</v>
      </c>
      <c r="P425" s="64" t="str">
        <f aca="false">IF(AND($H425&lt;&gt;"",ROUND($O425,2)&lt;&gt;0),"有","")</f>
        <v/>
      </c>
    </row>
    <row r="426" customFormat="false" ht="15" hidden="true" customHeight="false" outlineLevel="0" collapsed="false">
      <c r="A426" s="53" t="str">
        <f aca="false">IF($H426="","",ROW()-5)</f>
        <v/>
      </c>
      <c r="B426" s="64" t="s">
        <v>36</v>
      </c>
      <c r="C426" s="53" t="n">
        <v>111</v>
      </c>
      <c r="D426" s="53" t="n">
        <v>1</v>
      </c>
      <c r="E426" s="65" t="str">
        <f aca="false">IF($H426="","",购销流水!$B111)</f>
        <v/>
      </c>
      <c r="F426" s="55" t="str">
        <f aca="false">IF($H426="","",购销流水!$C111)</f>
        <v/>
      </c>
      <c r="G426" s="48" t="str">
        <f aca="false">IF($H426="","",购销流水!$N111)</f>
        <v/>
      </c>
      <c r="H426" s="10" t="str">
        <f aca="false">IF($L426="","",IF($L426="@成本",购销流水!$U111,IF($L426="@收入",购销流水!$T111,IF($L426="@存货",购销流水!$S111,IF($L426="@结算",购销流水!$R111,$L426)))))</f>
        <v/>
      </c>
      <c r="I426" s="42" t="n">
        <f aca="false">IF($M426="借",$O426,0)</f>
        <v>0</v>
      </c>
      <c r="J426" s="42" t="n">
        <f aca="false">IF($M426="贷",$O426,0)</f>
        <v>0</v>
      </c>
      <c r="K426" s="48" t="str">
        <f aca="false">IF($H426="","",购销流水!$E111)</f>
        <v/>
      </c>
      <c r="L426" s="66" t="str">
        <f aca="false">IF(购销流水!$D111="","",IFERROR(INDEX(记账规则!$A$6:$N$9,MATCH(购销流水!$D111,记账规则!$A$6:$A$9,0),3),""))</f>
        <v/>
      </c>
      <c r="M426" s="66" t="str">
        <f aca="false">IF($L426="","",IFERROR(INDEX(记账规则!$A$6:$N$9,MATCH(购销流水!$D111,记账规则!$A$6:$A$9,0),4),""))</f>
        <v/>
      </c>
      <c r="N426" s="66" t="str">
        <f aca="false">IF($L426="","",IFERROR(INDEX(记账规则!$A$6:$N$9,MATCH(购销流水!$D111,记账规则!$A$6:$A$9,0),5),""))</f>
        <v/>
      </c>
      <c r="O426" s="67" t="n">
        <f aca="false">IF($H426="",0,ROUND(IF($N426="成本金额",N(购销流水!$W111),IF($N426="金额",N(购销流水!$Q111),0)),2))</f>
        <v>0</v>
      </c>
      <c r="P426" s="64" t="str">
        <f aca="false">IF(AND($H426&lt;&gt;"",ROUND($O426,2)&lt;&gt;0),"有","")</f>
        <v/>
      </c>
    </row>
    <row r="427" customFormat="false" ht="15" hidden="true" customHeight="false" outlineLevel="0" collapsed="false">
      <c r="A427" s="53" t="str">
        <f aca="false">IF($H427="","",ROW()-5)</f>
        <v/>
      </c>
      <c r="B427" s="64" t="s">
        <v>36</v>
      </c>
      <c r="C427" s="53" t="n">
        <v>111</v>
      </c>
      <c r="D427" s="53" t="n">
        <v>2</v>
      </c>
      <c r="E427" s="65" t="str">
        <f aca="false">IF($H427="","",购销流水!$B111)</f>
        <v/>
      </c>
      <c r="F427" s="55" t="str">
        <f aca="false">IF($H427="","",购销流水!$C111)</f>
        <v/>
      </c>
      <c r="G427" s="48" t="str">
        <f aca="false">IF($H427="","",购销流水!$N111)</f>
        <v/>
      </c>
      <c r="H427" s="10" t="str">
        <f aca="false">IF($L427="","",IF($L427="@成本",购销流水!$U111,IF($L427="@收入",购销流水!$T111,IF($L427="@存货",购销流水!$S111,IF($L427="@结算",购销流水!$R111,$L427)))))</f>
        <v/>
      </c>
      <c r="I427" s="42" t="n">
        <f aca="false">IF($M427="借",$O427,0)</f>
        <v>0</v>
      </c>
      <c r="J427" s="42" t="n">
        <f aca="false">IF($M427="贷",$O427,0)</f>
        <v>0</v>
      </c>
      <c r="K427" s="48" t="str">
        <f aca="false">IF($H427="","",购销流水!$E111)</f>
        <v/>
      </c>
      <c r="L427" s="66" t="str">
        <f aca="false">IF(购销流水!$D111="","",IFERROR(INDEX(记账规则!$A$6:$N$9,MATCH(购销流水!$D111,记账规则!$A$6:$A$9,0),6),""))</f>
        <v/>
      </c>
      <c r="M427" s="66" t="str">
        <f aca="false">IF($L427="","",IFERROR(INDEX(记账规则!$A$6:$N$9,MATCH(购销流水!$D111,记账规则!$A$6:$A$9,0),7),""))</f>
        <v/>
      </c>
      <c r="N427" s="66" t="str">
        <f aca="false">IF($L427="","",IFERROR(INDEX(记账规则!$A$6:$N$9,MATCH(购销流水!$D111,记账规则!$A$6:$A$9,0),8),""))</f>
        <v/>
      </c>
      <c r="O427" s="67" t="n">
        <f aca="false">IF($H427="",0,ROUND(IF($N427="成本金额",N(购销流水!$W111),IF($N427="金额",N(购销流水!$Q111),0)),2))</f>
        <v>0</v>
      </c>
      <c r="P427" s="64" t="str">
        <f aca="false">IF(AND($H427&lt;&gt;"",ROUND($O427,2)&lt;&gt;0),"有","")</f>
        <v/>
      </c>
    </row>
    <row r="428" customFormat="false" ht="15" hidden="true" customHeight="false" outlineLevel="0" collapsed="false">
      <c r="A428" s="53" t="str">
        <f aca="false">IF($H428="","",ROW()-5)</f>
        <v/>
      </c>
      <c r="B428" s="64" t="s">
        <v>36</v>
      </c>
      <c r="C428" s="53" t="n">
        <v>111</v>
      </c>
      <c r="D428" s="53" t="n">
        <v>3</v>
      </c>
      <c r="E428" s="65" t="str">
        <f aca="false">IF($H428="","",购销流水!$B111)</f>
        <v/>
      </c>
      <c r="F428" s="55" t="str">
        <f aca="false">IF($H428="","",购销流水!$C111)</f>
        <v/>
      </c>
      <c r="G428" s="48" t="str">
        <f aca="false">IF($H428="","",购销流水!$N111)</f>
        <v/>
      </c>
      <c r="H428" s="10" t="str">
        <f aca="false">IF($L428="","",IF($L428="@成本",购销流水!$U111,IF($L428="@收入",购销流水!$T111,IF($L428="@存货",购销流水!$S111,IF($L428="@结算",购销流水!$R111,$L428)))))</f>
        <v/>
      </c>
      <c r="I428" s="42" t="n">
        <f aca="false">IF($M428="借",$O428,0)</f>
        <v>0</v>
      </c>
      <c r="J428" s="42" t="n">
        <f aca="false">IF($M428="贷",$O428,0)</f>
        <v>0</v>
      </c>
      <c r="K428" s="48" t="str">
        <f aca="false">IF($H428="","",购销流水!$E111)</f>
        <v/>
      </c>
      <c r="L428" s="66" t="str">
        <f aca="false">IF(购销流水!$D111="","",IFERROR(INDEX(记账规则!$A$6:$N$9,MATCH(购销流水!$D111,记账规则!$A$6:$A$9,0),9),""))</f>
        <v/>
      </c>
      <c r="M428" s="66" t="str">
        <f aca="false">IF($L428="","",IFERROR(INDEX(记账规则!$A$6:$N$9,MATCH(购销流水!$D111,记账规则!$A$6:$A$9,0),10),""))</f>
        <v/>
      </c>
      <c r="N428" s="66" t="str">
        <f aca="false">IF($L428="","",IFERROR(INDEX(记账规则!$A$6:$N$9,MATCH(购销流水!$D111,记账规则!$A$6:$A$9,0),11),""))</f>
        <v/>
      </c>
      <c r="O428" s="67" t="n">
        <f aca="false">IF($H428="",0,ROUND(IF($N428="成本金额",N(购销流水!$W111),IF($N428="金额",N(购销流水!$Q111),0)),2))</f>
        <v>0</v>
      </c>
      <c r="P428" s="64" t="str">
        <f aca="false">IF(AND($H428&lt;&gt;"",ROUND($O428,2)&lt;&gt;0),"有","")</f>
        <v/>
      </c>
    </row>
    <row r="429" customFormat="false" ht="15" hidden="true" customHeight="false" outlineLevel="0" collapsed="false">
      <c r="A429" s="53" t="str">
        <f aca="false">IF($H429="","",ROW()-5)</f>
        <v/>
      </c>
      <c r="B429" s="64" t="s">
        <v>36</v>
      </c>
      <c r="C429" s="53" t="n">
        <v>111</v>
      </c>
      <c r="D429" s="53" t="n">
        <v>4</v>
      </c>
      <c r="E429" s="65" t="str">
        <f aca="false">IF($H429="","",购销流水!$B111)</f>
        <v/>
      </c>
      <c r="F429" s="55" t="str">
        <f aca="false">IF($H429="","",购销流水!$C111)</f>
        <v/>
      </c>
      <c r="G429" s="48" t="str">
        <f aca="false">IF($H429="","",购销流水!$N111)</f>
        <v/>
      </c>
      <c r="H429" s="10" t="str">
        <f aca="false">IF($L429="","",IF($L429="@成本",购销流水!$U111,IF($L429="@收入",购销流水!$T111,IF($L429="@存货",购销流水!$S111,IF($L429="@结算",购销流水!$R111,$L429)))))</f>
        <v/>
      </c>
      <c r="I429" s="42" t="n">
        <f aca="false">IF($M429="借",$O429,0)</f>
        <v>0</v>
      </c>
      <c r="J429" s="42" t="n">
        <f aca="false">IF($M429="贷",$O429,0)</f>
        <v>0</v>
      </c>
      <c r="K429" s="48" t="str">
        <f aca="false">IF($H429="","",购销流水!$E111)</f>
        <v/>
      </c>
      <c r="L429" s="66" t="str">
        <f aca="false">IF(购销流水!$D111="","",IFERROR(INDEX(记账规则!$A$6:$N$9,MATCH(购销流水!$D111,记账规则!$A$6:$A$9,0),12),""))</f>
        <v/>
      </c>
      <c r="M429" s="66" t="str">
        <f aca="false">IF($L429="","",IFERROR(INDEX(记账规则!$A$6:$N$9,MATCH(购销流水!$D111,记账规则!$A$6:$A$9,0),13),""))</f>
        <v/>
      </c>
      <c r="N429" s="66" t="str">
        <f aca="false">IF($L429="","",IFERROR(INDEX(记账规则!$A$6:$N$9,MATCH(购销流水!$D111,记账规则!$A$6:$A$9,0),14),""))</f>
        <v/>
      </c>
      <c r="O429" s="67" t="n">
        <f aca="false">IF($H429="",0,ROUND(IF($N429="成本金额",N(购销流水!$W111),IF($N429="金额",N(购销流水!$Q111),0)),2))</f>
        <v>0</v>
      </c>
      <c r="P429" s="64" t="str">
        <f aca="false">IF(AND($H429&lt;&gt;"",ROUND($O429,2)&lt;&gt;0),"有","")</f>
        <v/>
      </c>
    </row>
    <row r="430" customFormat="false" ht="15" hidden="true" customHeight="false" outlineLevel="0" collapsed="false">
      <c r="A430" s="53" t="str">
        <f aca="false">IF($H430="","",ROW()-5)</f>
        <v/>
      </c>
      <c r="B430" s="64" t="s">
        <v>36</v>
      </c>
      <c r="C430" s="53" t="n">
        <v>112</v>
      </c>
      <c r="D430" s="53" t="n">
        <v>1</v>
      </c>
      <c r="E430" s="65" t="str">
        <f aca="false">IF($H430="","",购销流水!$B112)</f>
        <v/>
      </c>
      <c r="F430" s="55" t="str">
        <f aca="false">IF($H430="","",购销流水!$C112)</f>
        <v/>
      </c>
      <c r="G430" s="48" t="str">
        <f aca="false">IF($H430="","",购销流水!$N112)</f>
        <v/>
      </c>
      <c r="H430" s="10" t="str">
        <f aca="false">IF($L430="","",IF($L430="@成本",购销流水!$U112,IF($L430="@收入",购销流水!$T112,IF($L430="@存货",购销流水!$S112,IF($L430="@结算",购销流水!$R112,$L430)))))</f>
        <v/>
      </c>
      <c r="I430" s="42" t="n">
        <f aca="false">IF($M430="借",$O430,0)</f>
        <v>0</v>
      </c>
      <c r="J430" s="42" t="n">
        <f aca="false">IF($M430="贷",$O430,0)</f>
        <v>0</v>
      </c>
      <c r="K430" s="48" t="str">
        <f aca="false">IF($H430="","",购销流水!$E112)</f>
        <v/>
      </c>
      <c r="L430" s="66" t="str">
        <f aca="false">IF(购销流水!$D112="","",IFERROR(INDEX(记账规则!$A$6:$N$9,MATCH(购销流水!$D112,记账规则!$A$6:$A$9,0),3),""))</f>
        <v/>
      </c>
      <c r="M430" s="66" t="str">
        <f aca="false">IF($L430="","",IFERROR(INDEX(记账规则!$A$6:$N$9,MATCH(购销流水!$D112,记账规则!$A$6:$A$9,0),4),""))</f>
        <v/>
      </c>
      <c r="N430" s="66" t="str">
        <f aca="false">IF($L430="","",IFERROR(INDEX(记账规则!$A$6:$N$9,MATCH(购销流水!$D112,记账规则!$A$6:$A$9,0),5),""))</f>
        <v/>
      </c>
      <c r="O430" s="67" t="n">
        <f aca="false">IF($H430="",0,ROUND(IF($N430="成本金额",N(购销流水!$W112),IF($N430="金额",N(购销流水!$Q112),0)),2))</f>
        <v>0</v>
      </c>
      <c r="P430" s="64" t="str">
        <f aca="false">IF(AND($H430&lt;&gt;"",ROUND($O430,2)&lt;&gt;0),"有","")</f>
        <v/>
      </c>
    </row>
    <row r="431" customFormat="false" ht="15" hidden="true" customHeight="false" outlineLevel="0" collapsed="false">
      <c r="A431" s="53" t="str">
        <f aca="false">IF($H431="","",ROW()-5)</f>
        <v/>
      </c>
      <c r="B431" s="64" t="s">
        <v>36</v>
      </c>
      <c r="C431" s="53" t="n">
        <v>112</v>
      </c>
      <c r="D431" s="53" t="n">
        <v>2</v>
      </c>
      <c r="E431" s="65" t="str">
        <f aca="false">IF($H431="","",购销流水!$B112)</f>
        <v/>
      </c>
      <c r="F431" s="55" t="str">
        <f aca="false">IF($H431="","",购销流水!$C112)</f>
        <v/>
      </c>
      <c r="G431" s="48" t="str">
        <f aca="false">IF($H431="","",购销流水!$N112)</f>
        <v/>
      </c>
      <c r="H431" s="10" t="str">
        <f aca="false">IF($L431="","",IF($L431="@成本",购销流水!$U112,IF($L431="@收入",购销流水!$T112,IF($L431="@存货",购销流水!$S112,IF($L431="@结算",购销流水!$R112,$L431)))))</f>
        <v/>
      </c>
      <c r="I431" s="42" t="n">
        <f aca="false">IF($M431="借",$O431,0)</f>
        <v>0</v>
      </c>
      <c r="J431" s="42" t="n">
        <f aca="false">IF($M431="贷",$O431,0)</f>
        <v>0</v>
      </c>
      <c r="K431" s="48" t="str">
        <f aca="false">IF($H431="","",购销流水!$E112)</f>
        <v/>
      </c>
      <c r="L431" s="66" t="str">
        <f aca="false">IF(购销流水!$D112="","",IFERROR(INDEX(记账规则!$A$6:$N$9,MATCH(购销流水!$D112,记账规则!$A$6:$A$9,0),6),""))</f>
        <v/>
      </c>
      <c r="M431" s="66" t="str">
        <f aca="false">IF($L431="","",IFERROR(INDEX(记账规则!$A$6:$N$9,MATCH(购销流水!$D112,记账规则!$A$6:$A$9,0),7),""))</f>
        <v/>
      </c>
      <c r="N431" s="66" t="str">
        <f aca="false">IF($L431="","",IFERROR(INDEX(记账规则!$A$6:$N$9,MATCH(购销流水!$D112,记账规则!$A$6:$A$9,0),8),""))</f>
        <v/>
      </c>
      <c r="O431" s="67" t="n">
        <f aca="false">IF($H431="",0,ROUND(IF($N431="成本金额",N(购销流水!$W112),IF($N431="金额",N(购销流水!$Q112),0)),2))</f>
        <v>0</v>
      </c>
      <c r="P431" s="64" t="str">
        <f aca="false">IF(AND($H431&lt;&gt;"",ROUND($O431,2)&lt;&gt;0),"有","")</f>
        <v/>
      </c>
    </row>
    <row r="432" customFormat="false" ht="15" hidden="true" customHeight="false" outlineLevel="0" collapsed="false">
      <c r="A432" s="53" t="str">
        <f aca="false">IF($H432="","",ROW()-5)</f>
        <v/>
      </c>
      <c r="B432" s="64" t="s">
        <v>36</v>
      </c>
      <c r="C432" s="53" t="n">
        <v>112</v>
      </c>
      <c r="D432" s="53" t="n">
        <v>3</v>
      </c>
      <c r="E432" s="65" t="str">
        <f aca="false">IF($H432="","",购销流水!$B112)</f>
        <v/>
      </c>
      <c r="F432" s="55" t="str">
        <f aca="false">IF($H432="","",购销流水!$C112)</f>
        <v/>
      </c>
      <c r="G432" s="48" t="str">
        <f aca="false">IF($H432="","",购销流水!$N112)</f>
        <v/>
      </c>
      <c r="H432" s="10" t="str">
        <f aca="false">IF($L432="","",IF($L432="@成本",购销流水!$U112,IF($L432="@收入",购销流水!$T112,IF($L432="@存货",购销流水!$S112,IF($L432="@结算",购销流水!$R112,$L432)))))</f>
        <v/>
      </c>
      <c r="I432" s="42" t="n">
        <f aca="false">IF($M432="借",$O432,0)</f>
        <v>0</v>
      </c>
      <c r="J432" s="42" t="n">
        <f aca="false">IF($M432="贷",$O432,0)</f>
        <v>0</v>
      </c>
      <c r="K432" s="48" t="str">
        <f aca="false">IF($H432="","",购销流水!$E112)</f>
        <v/>
      </c>
      <c r="L432" s="66" t="str">
        <f aca="false">IF(购销流水!$D112="","",IFERROR(INDEX(记账规则!$A$6:$N$9,MATCH(购销流水!$D112,记账规则!$A$6:$A$9,0),9),""))</f>
        <v/>
      </c>
      <c r="M432" s="66" t="str">
        <f aca="false">IF($L432="","",IFERROR(INDEX(记账规则!$A$6:$N$9,MATCH(购销流水!$D112,记账规则!$A$6:$A$9,0),10),""))</f>
        <v/>
      </c>
      <c r="N432" s="66" t="str">
        <f aca="false">IF($L432="","",IFERROR(INDEX(记账规则!$A$6:$N$9,MATCH(购销流水!$D112,记账规则!$A$6:$A$9,0),11),""))</f>
        <v/>
      </c>
      <c r="O432" s="67" t="n">
        <f aca="false">IF($H432="",0,ROUND(IF($N432="成本金额",N(购销流水!$W112),IF($N432="金额",N(购销流水!$Q112),0)),2))</f>
        <v>0</v>
      </c>
      <c r="P432" s="64" t="str">
        <f aca="false">IF(AND($H432&lt;&gt;"",ROUND($O432,2)&lt;&gt;0),"有","")</f>
        <v/>
      </c>
    </row>
    <row r="433" customFormat="false" ht="15" hidden="true" customHeight="false" outlineLevel="0" collapsed="false">
      <c r="A433" s="53" t="str">
        <f aca="false">IF($H433="","",ROW()-5)</f>
        <v/>
      </c>
      <c r="B433" s="64" t="s">
        <v>36</v>
      </c>
      <c r="C433" s="53" t="n">
        <v>112</v>
      </c>
      <c r="D433" s="53" t="n">
        <v>4</v>
      </c>
      <c r="E433" s="65" t="str">
        <f aca="false">IF($H433="","",购销流水!$B112)</f>
        <v/>
      </c>
      <c r="F433" s="55" t="str">
        <f aca="false">IF($H433="","",购销流水!$C112)</f>
        <v/>
      </c>
      <c r="G433" s="48" t="str">
        <f aca="false">IF($H433="","",购销流水!$N112)</f>
        <v/>
      </c>
      <c r="H433" s="10" t="str">
        <f aca="false">IF($L433="","",IF($L433="@成本",购销流水!$U112,IF($L433="@收入",购销流水!$T112,IF($L433="@存货",购销流水!$S112,IF($L433="@结算",购销流水!$R112,$L433)))))</f>
        <v/>
      </c>
      <c r="I433" s="42" t="n">
        <f aca="false">IF($M433="借",$O433,0)</f>
        <v>0</v>
      </c>
      <c r="J433" s="42" t="n">
        <f aca="false">IF($M433="贷",$O433,0)</f>
        <v>0</v>
      </c>
      <c r="K433" s="48" t="str">
        <f aca="false">IF($H433="","",购销流水!$E112)</f>
        <v/>
      </c>
      <c r="L433" s="66" t="str">
        <f aca="false">IF(购销流水!$D112="","",IFERROR(INDEX(记账规则!$A$6:$N$9,MATCH(购销流水!$D112,记账规则!$A$6:$A$9,0),12),""))</f>
        <v/>
      </c>
      <c r="M433" s="66" t="str">
        <f aca="false">IF($L433="","",IFERROR(INDEX(记账规则!$A$6:$N$9,MATCH(购销流水!$D112,记账规则!$A$6:$A$9,0),13),""))</f>
        <v/>
      </c>
      <c r="N433" s="66" t="str">
        <f aca="false">IF($L433="","",IFERROR(INDEX(记账规则!$A$6:$N$9,MATCH(购销流水!$D112,记账规则!$A$6:$A$9,0),14),""))</f>
        <v/>
      </c>
      <c r="O433" s="67" t="n">
        <f aca="false">IF($H433="",0,ROUND(IF($N433="成本金额",N(购销流水!$W112),IF($N433="金额",N(购销流水!$Q112),0)),2))</f>
        <v>0</v>
      </c>
      <c r="P433" s="64" t="str">
        <f aca="false">IF(AND($H433&lt;&gt;"",ROUND($O433,2)&lt;&gt;0),"有","")</f>
        <v/>
      </c>
    </row>
    <row r="434" customFormat="false" ht="15" hidden="true" customHeight="false" outlineLevel="0" collapsed="false">
      <c r="A434" s="53" t="str">
        <f aca="false">IF($H434="","",ROW()-5)</f>
        <v/>
      </c>
      <c r="B434" s="64" t="s">
        <v>36</v>
      </c>
      <c r="C434" s="53" t="n">
        <v>113</v>
      </c>
      <c r="D434" s="53" t="n">
        <v>1</v>
      </c>
      <c r="E434" s="65" t="str">
        <f aca="false">IF($H434="","",购销流水!$B113)</f>
        <v/>
      </c>
      <c r="F434" s="55" t="str">
        <f aca="false">IF($H434="","",购销流水!$C113)</f>
        <v/>
      </c>
      <c r="G434" s="48" t="str">
        <f aca="false">IF($H434="","",购销流水!$N113)</f>
        <v/>
      </c>
      <c r="H434" s="10" t="str">
        <f aca="false">IF($L434="","",IF($L434="@成本",购销流水!$U113,IF($L434="@收入",购销流水!$T113,IF($L434="@存货",购销流水!$S113,IF($L434="@结算",购销流水!$R113,$L434)))))</f>
        <v/>
      </c>
      <c r="I434" s="42" t="n">
        <f aca="false">IF($M434="借",$O434,0)</f>
        <v>0</v>
      </c>
      <c r="J434" s="42" t="n">
        <f aca="false">IF($M434="贷",$O434,0)</f>
        <v>0</v>
      </c>
      <c r="K434" s="48" t="str">
        <f aca="false">IF($H434="","",购销流水!$E113)</f>
        <v/>
      </c>
      <c r="L434" s="66" t="str">
        <f aca="false">IF(购销流水!$D113="","",IFERROR(INDEX(记账规则!$A$6:$N$9,MATCH(购销流水!$D113,记账规则!$A$6:$A$9,0),3),""))</f>
        <v/>
      </c>
      <c r="M434" s="66" t="str">
        <f aca="false">IF($L434="","",IFERROR(INDEX(记账规则!$A$6:$N$9,MATCH(购销流水!$D113,记账规则!$A$6:$A$9,0),4),""))</f>
        <v/>
      </c>
      <c r="N434" s="66" t="str">
        <f aca="false">IF($L434="","",IFERROR(INDEX(记账规则!$A$6:$N$9,MATCH(购销流水!$D113,记账规则!$A$6:$A$9,0),5),""))</f>
        <v/>
      </c>
      <c r="O434" s="67" t="n">
        <f aca="false">IF($H434="",0,ROUND(IF($N434="成本金额",N(购销流水!$W113),IF($N434="金额",N(购销流水!$Q113),0)),2))</f>
        <v>0</v>
      </c>
      <c r="P434" s="64" t="str">
        <f aca="false">IF(AND($H434&lt;&gt;"",ROUND($O434,2)&lt;&gt;0),"有","")</f>
        <v/>
      </c>
    </row>
    <row r="435" customFormat="false" ht="15" hidden="true" customHeight="false" outlineLevel="0" collapsed="false">
      <c r="A435" s="53" t="str">
        <f aca="false">IF($H435="","",ROW()-5)</f>
        <v/>
      </c>
      <c r="B435" s="64" t="s">
        <v>36</v>
      </c>
      <c r="C435" s="53" t="n">
        <v>113</v>
      </c>
      <c r="D435" s="53" t="n">
        <v>2</v>
      </c>
      <c r="E435" s="65" t="str">
        <f aca="false">IF($H435="","",购销流水!$B113)</f>
        <v/>
      </c>
      <c r="F435" s="55" t="str">
        <f aca="false">IF($H435="","",购销流水!$C113)</f>
        <v/>
      </c>
      <c r="G435" s="48" t="str">
        <f aca="false">IF($H435="","",购销流水!$N113)</f>
        <v/>
      </c>
      <c r="H435" s="10" t="str">
        <f aca="false">IF($L435="","",IF($L435="@成本",购销流水!$U113,IF($L435="@收入",购销流水!$T113,IF($L435="@存货",购销流水!$S113,IF($L435="@结算",购销流水!$R113,$L435)))))</f>
        <v/>
      </c>
      <c r="I435" s="42" t="n">
        <f aca="false">IF($M435="借",$O435,0)</f>
        <v>0</v>
      </c>
      <c r="J435" s="42" t="n">
        <f aca="false">IF($M435="贷",$O435,0)</f>
        <v>0</v>
      </c>
      <c r="K435" s="48" t="str">
        <f aca="false">IF($H435="","",购销流水!$E113)</f>
        <v/>
      </c>
      <c r="L435" s="66" t="str">
        <f aca="false">IF(购销流水!$D113="","",IFERROR(INDEX(记账规则!$A$6:$N$9,MATCH(购销流水!$D113,记账规则!$A$6:$A$9,0),6),""))</f>
        <v/>
      </c>
      <c r="M435" s="66" t="str">
        <f aca="false">IF($L435="","",IFERROR(INDEX(记账规则!$A$6:$N$9,MATCH(购销流水!$D113,记账规则!$A$6:$A$9,0),7),""))</f>
        <v/>
      </c>
      <c r="N435" s="66" t="str">
        <f aca="false">IF($L435="","",IFERROR(INDEX(记账规则!$A$6:$N$9,MATCH(购销流水!$D113,记账规则!$A$6:$A$9,0),8),""))</f>
        <v/>
      </c>
      <c r="O435" s="67" t="n">
        <f aca="false">IF($H435="",0,ROUND(IF($N435="成本金额",N(购销流水!$W113),IF($N435="金额",N(购销流水!$Q113),0)),2))</f>
        <v>0</v>
      </c>
      <c r="P435" s="64" t="str">
        <f aca="false">IF(AND($H435&lt;&gt;"",ROUND($O435,2)&lt;&gt;0),"有","")</f>
        <v/>
      </c>
    </row>
    <row r="436" customFormat="false" ht="15" hidden="true" customHeight="false" outlineLevel="0" collapsed="false">
      <c r="A436" s="53" t="str">
        <f aca="false">IF($H436="","",ROW()-5)</f>
        <v/>
      </c>
      <c r="B436" s="64" t="s">
        <v>36</v>
      </c>
      <c r="C436" s="53" t="n">
        <v>113</v>
      </c>
      <c r="D436" s="53" t="n">
        <v>3</v>
      </c>
      <c r="E436" s="65" t="str">
        <f aca="false">IF($H436="","",购销流水!$B113)</f>
        <v/>
      </c>
      <c r="F436" s="55" t="str">
        <f aca="false">IF($H436="","",购销流水!$C113)</f>
        <v/>
      </c>
      <c r="G436" s="48" t="str">
        <f aca="false">IF($H436="","",购销流水!$N113)</f>
        <v/>
      </c>
      <c r="H436" s="10" t="str">
        <f aca="false">IF($L436="","",IF($L436="@成本",购销流水!$U113,IF($L436="@收入",购销流水!$T113,IF($L436="@存货",购销流水!$S113,IF($L436="@结算",购销流水!$R113,$L436)))))</f>
        <v/>
      </c>
      <c r="I436" s="42" t="n">
        <f aca="false">IF($M436="借",$O436,0)</f>
        <v>0</v>
      </c>
      <c r="J436" s="42" t="n">
        <f aca="false">IF($M436="贷",$O436,0)</f>
        <v>0</v>
      </c>
      <c r="K436" s="48" t="str">
        <f aca="false">IF($H436="","",购销流水!$E113)</f>
        <v/>
      </c>
      <c r="L436" s="66" t="str">
        <f aca="false">IF(购销流水!$D113="","",IFERROR(INDEX(记账规则!$A$6:$N$9,MATCH(购销流水!$D113,记账规则!$A$6:$A$9,0),9),""))</f>
        <v/>
      </c>
      <c r="M436" s="66" t="str">
        <f aca="false">IF($L436="","",IFERROR(INDEX(记账规则!$A$6:$N$9,MATCH(购销流水!$D113,记账规则!$A$6:$A$9,0),10),""))</f>
        <v/>
      </c>
      <c r="N436" s="66" t="str">
        <f aca="false">IF($L436="","",IFERROR(INDEX(记账规则!$A$6:$N$9,MATCH(购销流水!$D113,记账规则!$A$6:$A$9,0),11),""))</f>
        <v/>
      </c>
      <c r="O436" s="67" t="n">
        <f aca="false">IF($H436="",0,ROUND(IF($N436="成本金额",N(购销流水!$W113),IF($N436="金额",N(购销流水!$Q113),0)),2))</f>
        <v>0</v>
      </c>
      <c r="P436" s="64" t="str">
        <f aca="false">IF(AND($H436&lt;&gt;"",ROUND($O436,2)&lt;&gt;0),"有","")</f>
        <v/>
      </c>
    </row>
    <row r="437" customFormat="false" ht="15" hidden="true" customHeight="false" outlineLevel="0" collapsed="false">
      <c r="A437" s="53" t="str">
        <f aca="false">IF($H437="","",ROW()-5)</f>
        <v/>
      </c>
      <c r="B437" s="64" t="s">
        <v>36</v>
      </c>
      <c r="C437" s="53" t="n">
        <v>113</v>
      </c>
      <c r="D437" s="53" t="n">
        <v>4</v>
      </c>
      <c r="E437" s="65" t="str">
        <f aca="false">IF($H437="","",购销流水!$B113)</f>
        <v/>
      </c>
      <c r="F437" s="55" t="str">
        <f aca="false">IF($H437="","",购销流水!$C113)</f>
        <v/>
      </c>
      <c r="G437" s="48" t="str">
        <f aca="false">IF($H437="","",购销流水!$N113)</f>
        <v/>
      </c>
      <c r="H437" s="10" t="str">
        <f aca="false">IF($L437="","",IF($L437="@成本",购销流水!$U113,IF($L437="@收入",购销流水!$T113,IF($L437="@存货",购销流水!$S113,IF($L437="@结算",购销流水!$R113,$L437)))))</f>
        <v/>
      </c>
      <c r="I437" s="42" t="n">
        <f aca="false">IF($M437="借",$O437,0)</f>
        <v>0</v>
      </c>
      <c r="J437" s="42" t="n">
        <f aca="false">IF($M437="贷",$O437,0)</f>
        <v>0</v>
      </c>
      <c r="K437" s="48" t="str">
        <f aca="false">IF($H437="","",购销流水!$E113)</f>
        <v/>
      </c>
      <c r="L437" s="66" t="str">
        <f aca="false">IF(购销流水!$D113="","",IFERROR(INDEX(记账规则!$A$6:$N$9,MATCH(购销流水!$D113,记账规则!$A$6:$A$9,0),12),""))</f>
        <v/>
      </c>
      <c r="M437" s="66" t="str">
        <f aca="false">IF($L437="","",IFERROR(INDEX(记账规则!$A$6:$N$9,MATCH(购销流水!$D113,记账规则!$A$6:$A$9,0),13),""))</f>
        <v/>
      </c>
      <c r="N437" s="66" t="str">
        <f aca="false">IF($L437="","",IFERROR(INDEX(记账规则!$A$6:$N$9,MATCH(购销流水!$D113,记账规则!$A$6:$A$9,0),14),""))</f>
        <v/>
      </c>
      <c r="O437" s="67" t="n">
        <f aca="false">IF($H437="",0,ROUND(IF($N437="成本金额",N(购销流水!$W113),IF($N437="金额",N(购销流水!$Q113),0)),2))</f>
        <v>0</v>
      </c>
      <c r="P437" s="64" t="str">
        <f aca="false">IF(AND($H437&lt;&gt;"",ROUND($O437,2)&lt;&gt;0),"有","")</f>
        <v/>
      </c>
    </row>
    <row r="438" customFormat="false" ht="15" hidden="true" customHeight="false" outlineLevel="0" collapsed="false">
      <c r="A438" s="53" t="str">
        <f aca="false">IF($H438="","",ROW()-5)</f>
        <v/>
      </c>
      <c r="B438" s="64" t="s">
        <v>36</v>
      </c>
      <c r="C438" s="53" t="n">
        <v>114</v>
      </c>
      <c r="D438" s="53" t="n">
        <v>1</v>
      </c>
      <c r="E438" s="65" t="str">
        <f aca="false">IF($H438="","",购销流水!$B114)</f>
        <v/>
      </c>
      <c r="F438" s="55" t="str">
        <f aca="false">IF($H438="","",购销流水!$C114)</f>
        <v/>
      </c>
      <c r="G438" s="48" t="str">
        <f aca="false">IF($H438="","",购销流水!$N114)</f>
        <v/>
      </c>
      <c r="H438" s="10" t="str">
        <f aca="false">IF($L438="","",IF($L438="@成本",购销流水!$U114,IF($L438="@收入",购销流水!$T114,IF($L438="@存货",购销流水!$S114,IF($L438="@结算",购销流水!$R114,$L438)))))</f>
        <v/>
      </c>
      <c r="I438" s="42" t="n">
        <f aca="false">IF($M438="借",$O438,0)</f>
        <v>0</v>
      </c>
      <c r="J438" s="42" t="n">
        <f aca="false">IF($M438="贷",$O438,0)</f>
        <v>0</v>
      </c>
      <c r="K438" s="48" t="str">
        <f aca="false">IF($H438="","",购销流水!$E114)</f>
        <v/>
      </c>
      <c r="L438" s="66" t="str">
        <f aca="false">IF(购销流水!$D114="","",IFERROR(INDEX(记账规则!$A$6:$N$9,MATCH(购销流水!$D114,记账规则!$A$6:$A$9,0),3),""))</f>
        <v/>
      </c>
      <c r="M438" s="66" t="str">
        <f aca="false">IF($L438="","",IFERROR(INDEX(记账规则!$A$6:$N$9,MATCH(购销流水!$D114,记账规则!$A$6:$A$9,0),4),""))</f>
        <v/>
      </c>
      <c r="N438" s="66" t="str">
        <f aca="false">IF($L438="","",IFERROR(INDEX(记账规则!$A$6:$N$9,MATCH(购销流水!$D114,记账规则!$A$6:$A$9,0),5),""))</f>
        <v/>
      </c>
      <c r="O438" s="67" t="n">
        <f aca="false">IF($H438="",0,ROUND(IF($N438="成本金额",N(购销流水!$W114),IF($N438="金额",N(购销流水!$Q114),0)),2))</f>
        <v>0</v>
      </c>
      <c r="P438" s="64" t="str">
        <f aca="false">IF(AND($H438&lt;&gt;"",ROUND($O438,2)&lt;&gt;0),"有","")</f>
        <v/>
      </c>
    </row>
    <row r="439" customFormat="false" ht="15" hidden="true" customHeight="false" outlineLevel="0" collapsed="false">
      <c r="A439" s="53" t="str">
        <f aca="false">IF($H439="","",ROW()-5)</f>
        <v/>
      </c>
      <c r="B439" s="64" t="s">
        <v>36</v>
      </c>
      <c r="C439" s="53" t="n">
        <v>114</v>
      </c>
      <c r="D439" s="53" t="n">
        <v>2</v>
      </c>
      <c r="E439" s="65" t="str">
        <f aca="false">IF($H439="","",购销流水!$B114)</f>
        <v/>
      </c>
      <c r="F439" s="55" t="str">
        <f aca="false">IF($H439="","",购销流水!$C114)</f>
        <v/>
      </c>
      <c r="G439" s="48" t="str">
        <f aca="false">IF($H439="","",购销流水!$N114)</f>
        <v/>
      </c>
      <c r="H439" s="10" t="str">
        <f aca="false">IF($L439="","",IF($L439="@成本",购销流水!$U114,IF($L439="@收入",购销流水!$T114,IF($L439="@存货",购销流水!$S114,IF($L439="@结算",购销流水!$R114,$L439)))))</f>
        <v/>
      </c>
      <c r="I439" s="42" t="n">
        <f aca="false">IF($M439="借",$O439,0)</f>
        <v>0</v>
      </c>
      <c r="J439" s="42" t="n">
        <f aca="false">IF($M439="贷",$O439,0)</f>
        <v>0</v>
      </c>
      <c r="K439" s="48" t="str">
        <f aca="false">IF($H439="","",购销流水!$E114)</f>
        <v/>
      </c>
      <c r="L439" s="66" t="str">
        <f aca="false">IF(购销流水!$D114="","",IFERROR(INDEX(记账规则!$A$6:$N$9,MATCH(购销流水!$D114,记账规则!$A$6:$A$9,0),6),""))</f>
        <v/>
      </c>
      <c r="M439" s="66" t="str">
        <f aca="false">IF($L439="","",IFERROR(INDEX(记账规则!$A$6:$N$9,MATCH(购销流水!$D114,记账规则!$A$6:$A$9,0),7),""))</f>
        <v/>
      </c>
      <c r="N439" s="66" t="str">
        <f aca="false">IF($L439="","",IFERROR(INDEX(记账规则!$A$6:$N$9,MATCH(购销流水!$D114,记账规则!$A$6:$A$9,0),8),""))</f>
        <v/>
      </c>
      <c r="O439" s="67" t="n">
        <f aca="false">IF($H439="",0,ROUND(IF($N439="成本金额",N(购销流水!$W114),IF($N439="金额",N(购销流水!$Q114),0)),2))</f>
        <v>0</v>
      </c>
      <c r="P439" s="64" t="str">
        <f aca="false">IF(AND($H439&lt;&gt;"",ROUND($O439,2)&lt;&gt;0),"有","")</f>
        <v/>
      </c>
    </row>
    <row r="440" customFormat="false" ht="15" hidden="true" customHeight="false" outlineLevel="0" collapsed="false">
      <c r="A440" s="53" t="str">
        <f aca="false">IF($H440="","",ROW()-5)</f>
        <v/>
      </c>
      <c r="B440" s="64" t="s">
        <v>36</v>
      </c>
      <c r="C440" s="53" t="n">
        <v>114</v>
      </c>
      <c r="D440" s="53" t="n">
        <v>3</v>
      </c>
      <c r="E440" s="65" t="str">
        <f aca="false">IF($H440="","",购销流水!$B114)</f>
        <v/>
      </c>
      <c r="F440" s="55" t="str">
        <f aca="false">IF($H440="","",购销流水!$C114)</f>
        <v/>
      </c>
      <c r="G440" s="48" t="str">
        <f aca="false">IF($H440="","",购销流水!$N114)</f>
        <v/>
      </c>
      <c r="H440" s="10" t="str">
        <f aca="false">IF($L440="","",IF($L440="@成本",购销流水!$U114,IF($L440="@收入",购销流水!$T114,IF($L440="@存货",购销流水!$S114,IF($L440="@结算",购销流水!$R114,$L440)))))</f>
        <v/>
      </c>
      <c r="I440" s="42" t="n">
        <f aca="false">IF($M440="借",$O440,0)</f>
        <v>0</v>
      </c>
      <c r="J440" s="42" t="n">
        <f aca="false">IF($M440="贷",$O440,0)</f>
        <v>0</v>
      </c>
      <c r="K440" s="48" t="str">
        <f aca="false">IF($H440="","",购销流水!$E114)</f>
        <v/>
      </c>
      <c r="L440" s="66" t="str">
        <f aca="false">IF(购销流水!$D114="","",IFERROR(INDEX(记账规则!$A$6:$N$9,MATCH(购销流水!$D114,记账规则!$A$6:$A$9,0),9),""))</f>
        <v/>
      </c>
      <c r="M440" s="66" t="str">
        <f aca="false">IF($L440="","",IFERROR(INDEX(记账规则!$A$6:$N$9,MATCH(购销流水!$D114,记账规则!$A$6:$A$9,0),10),""))</f>
        <v/>
      </c>
      <c r="N440" s="66" t="str">
        <f aca="false">IF($L440="","",IFERROR(INDEX(记账规则!$A$6:$N$9,MATCH(购销流水!$D114,记账规则!$A$6:$A$9,0),11),""))</f>
        <v/>
      </c>
      <c r="O440" s="67" t="n">
        <f aca="false">IF($H440="",0,ROUND(IF($N440="成本金额",N(购销流水!$W114),IF($N440="金额",N(购销流水!$Q114),0)),2))</f>
        <v>0</v>
      </c>
      <c r="P440" s="64" t="str">
        <f aca="false">IF(AND($H440&lt;&gt;"",ROUND($O440,2)&lt;&gt;0),"有","")</f>
        <v/>
      </c>
    </row>
    <row r="441" customFormat="false" ht="15" hidden="true" customHeight="false" outlineLevel="0" collapsed="false">
      <c r="A441" s="53" t="str">
        <f aca="false">IF($H441="","",ROW()-5)</f>
        <v/>
      </c>
      <c r="B441" s="64" t="s">
        <v>36</v>
      </c>
      <c r="C441" s="53" t="n">
        <v>114</v>
      </c>
      <c r="D441" s="53" t="n">
        <v>4</v>
      </c>
      <c r="E441" s="65" t="str">
        <f aca="false">IF($H441="","",购销流水!$B114)</f>
        <v/>
      </c>
      <c r="F441" s="55" t="str">
        <f aca="false">IF($H441="","",购销流水!$C114)</f>
        <v/>
      </c>
      <c r="G441" s="48" t="str">
        <f aca="false">IF($H441="","",购销流水!$N114)</f>
        <v/>
      </c>
      <c r="H441" s="10" t="str">
        <f aca="false">IF($L441="","",IF($L441="@成本",购销流水!$U114,IF($L441="@收入",购销流水!$T114,IF($L441="@存货",购销流水!$S114,IF($L441="@结算",购销流水!$R114,$L441)))))</f>
        <v/>
      </c>
      <c r="I441" s="42" t="n">
        <f aca="false">IF($M441="借",$O441,0)</f>
        <v>0</v>
      </c>
      <c r="J441" s="42" t="n">
        <f aca="false">IF($M441="贷",$O441,0)</f>
        <v>0</v>
      </c>
      <c r="K441" s="48" t="str">
        <f aca="false">IF($H441="","",购销流水!$E114)</f>
        <v/>
      </c>
      <c r="L441" s="66" t="str">
        <f aca="false">IF(购销流水!$D114="","",IFERROR(INDEX(记账规则!$A$6:$N$9,MATCH(购销流水!$D114,记账规则!$A$6:$A$9,0),12),""))</f>
        <v/>
      </c>
      <c r="M441" s="66" t="str">
        <f aca="false">IF($L441="","",IFERROR(INDEX(记账规则!$A$6:$N$9,MATCH(购销流水!$D114,记账规则!$A$6:$A$9,0),13),""))</f>
        <v/>
      </c>
      <c r="N441" s="66" t="str">
        <f aca="false">IF($L441="","",IFERROR(INDEX(记账规则!$A$6:$N$9,MATCH(购销流水!$D114,记账规则!$A$6:$A$9,0),14),""))</f>
        <v/>
      </c>
      <c r="O441" s="67" t="n">
        <f aca="false">IF($H441="",0,ROUND(IF($N441="成本金额",N(购销流水!$W114),IF($N441="金额",N(购销流水!$Q114),0)),2))</f>
        <v>0</v>
      </c>
      <c r="P441" s="64" t="str">
        <f aca="false">IF(AND($H441&lt;&gt;"",ROUND($O441,2)&lt;&gt;0),"有","")</f>
        <v/>
      </c>
    </row>
    <row r="442" customFormat="false" ht="15" hidden="true" customHeight="false" outlineLevel="0" collapsed="false">
      <c r="A442" s="53" t="str">
        <f aca="false">IF($H442="","",ROW()-5)</f>
        <v/>
      </c>
      <c r="B442" s="64" t="s">
        <v>36</v>
      </c>
      <c r="C442" s="53" t="n">
        <v>115</v>
      </c>
      <c r="D442" s="53" t="n">
        <v>1</v>
      </c>
      <c r="E442" s="65" t="str">
        <f aca="false">IF($H442="","",购销流水!$B115)</f>
        <v/>
      </c>
      <c r="F442" s="55" t="str">
        <f aca="false">IF($H442="","",购销流水!$C115)</f>
        <v/>
      </c>
      <c r="G442" s="48" t="str">
        <f aca="false">IF($H442="","",购销流水!$N115)</f>
        <v/>
      </c>
      <c r="H442" s="10" t="str">
        <f aca="false">IF($L442="","",IF($L442="@成本",购销流水!$U115,IF($L442="@收入",购销流水!$T115,IF($L442="@存货",购销流水!$S115,IF($L442="@结算",购销流水!$R115,$L442)))))</f>
        <v/>
      </c>
      <c r="I442" s="42" t="n">
        <f aca="false">IF($M442="借",$O442,0)</f>
        <v>0</v>
      </c>
      <c r="J442" s="42" t="n">
        <f aca="false">IF($M442="贷",$O442,0)</f>
        <v>0</v>
      </c>
      <c r="K442" s="48" t="str">
        <f aca="false">IF($H442="","",购销流水!$E115)</f>
        <v/>
      </c>
      <c r="L442" s="66" t="str">
        <f aca="false">IF(购销流水!$D115="","",IFERROR(INDEX(记账规则!$A$6:$N$9,MATCH(购销流水!$D115,记账规则!$A$6:$A$9,0),3),""))</f>
        <v/>
      </c>
      <c r="M442" s="66" t="str">
        <f aca="false">IF($L442="","",IFERROR(INDEX(记账规则!$A$6:$N$9,MATCH(购销流水!$D115,记账规则!$A$6:$A$9,0),4),""))</f>
        <v/>
      </c>
      <c r="N442" s="66" t="str">
        <f aca="false">IF($L442="","",IFERROR(INDEX(记账规则!$A$6:$N$9,MATCH(购销流水!$D115,记账规则!$A$6:$A$9,0),5),""))</f>
        <v/>
      </c>
      <c r="O442" s="67" t="n">
        <f aca="false">IF($H442="",0,ROUND(IF($N442="成本金额",N(购销流水!$W115),IF($N442="金额",N(购销流水!$Q115),0)),2))</f>
        <v>0</v>
      </c>
      <c r="P442" s="64" t="str">
        <f aca="false">IF(AND($H442&lt;&gt;"",ROUND($O442,2)&lt;&gt;0),"有","")</f>
        <v/>
      </c>
    </row>
    <row r="443" customFormat="false" ht="15" hidden="true" customHeight="false" outlineLevel="0" collapsed="false">
      <c r="A443" s="53" t="str">
        <f aca="false">IF($H443="","",ROW()-5)</f>
        <v/>
      </c>
      <c r="B443" s="64" t="s">
        <v>36</v>
      </c>
      <c r="C443" s="53" t="n">
        <v>115</v>
      </c>
      <c r="D443" s="53" t="n">
        <v>2</v>
      </c>
      <c r="E443" s="65" t="str">
        <f aca="false">IF($H443="","",购销流水!$B115)</f>
        <v/>
      </c>
      <c r="F443" s="55" t="str">
        <f aca="false">IF($H443="","",购销流水!$C115)</f>
        <v/>
      </c>
      <c r="G443" s="48" t="str">
        <f aca="false">IF($H443="","",购销流水!$N115)</f>
        <v/>
      </c>
      <c r="H443" s="10" t="str">
        <f aca="false">IF($L443="","",IF($L443="@成本",购销流水!$U115,IF($L443="@收入",购销流水!$T115,IF($L443="@存货",购销流水!$S115,IF($L443="@结算",购销流水!$R115,$L443)))))</f>
        <v/>
      </c>
      <c r="I443" s="42" t="n">
        <f aca="false">IF($M443="借",$O443,0)</f>
        <v>0</v>
      </c>
      <c r="J443" s="42" t="n">
        <f aca="false">IF($M443="贷",$O443,0)</f>
        <v>0</v>
      </c>
      <c r="K443" s="48" t="str">
        <f aca="false">IF($H443="","",购销流水!$E115)</f>
        <v/>
      </c>
      <c r="L443" s="66" t="str">
        <f aca="false">IF(购销流水!$D115="","",IFERROR(INDEX(记账规则!$A$6:$N$9,MATCH(购销流水!$D115,记账规则!$A$6:$A$9,0),6),""))</f>
        <v/>
      </c>
      <c r="M443" s="66" t="str">
        <f aca="false">IF($L443="","",IFERROR(INDEX(记账规则!$A$6:$N$9,MATCH(购销流水!$D115,记账规则!$A$6:$A$9,0),7),""))</f>
        <v/>
      </c>
      <c r="N443" s="66" t="str">
        <f aca="false">IF($L443="","",IFERROR(INDEX(记账规则!$A$6:$N$9,MATCH(购销流水!$D115,记账规则!$A$6:$A$9,0),8),""))</f>
        <v/>
      </c>
      <c r="O443" s="67" t="n">
        <f aca="false">IF($H443="",0,ROUND(IF($N443="成本金额",N(购销流水!$W115),IF($N443="金额",N(购销流水!$Q115),0)),2))</f>
        <v>0</v>
      </c>
      <c r="P443" s="64" t="str">
        <f aca="false">IF(AND($H443&lt;&gt;"",ROUND($O443,2)&lt;&gt;0),"有","")</f>
        <v/>
      </c>
    </row>
    <row r="444" customFormat="false" ht="15" hidden="true" customHeight="false" outlineLevel="0" collapsed="false">
      <c r="A444" s="53" t="str">
        <f aca="false">IF($H444="","",ROW()-5)</f>
        <v/>
      </c>
      <c r="B444" s="64" t="s">
        <v>36</v>
      </c>
      <c r="C444" s="53" t="n">
        <v>115</v>
      </c>
      <c r="D444" s="53" t="n">
        <v>3</v>
      </c>
      <c r="E444" s="65" t="str">
        <f aca="false">IF($H444="","",购销流水!$B115)</f>
        <v/>
      </c>
      <c r="F444" s="55" t="str">
        <f aca="false">IF($H444="","",购销流水!$C115)</f>
        <v/>
      </c>
      <c r="G444" s="48" t="str">
        <f aca="false">IF($H444="","",购销流水!$N115)</f>
        <v/>
      </c>
      <c r="H444" s="10" t="str">
        <f aca="false">IF($L444="","",IF($L444="@成本",购销流水!$U115,IF($L444="@收入",购销流水!$T115,IF($L444="@存货",购销流水!$S115,IF($L444="@结算",购销流水!$R115,$L444)))))</f>
        <v/>
      </c>
      <c r="I444" s="42" t="n">
        <f aca="false">IF($M444="借",$O444,0)</f>
        <v>0</v>
      </c>
      <c r="J444" s="42" t="n">
        <f aca="false">IF($M444="贷",$O444,0)</f>
        <v>0</v>
      </c>
      <c r="K444" s="48" t="str">
        <f aca="false">IF($H444="","",购销流水!$E115)</f>
        <v/>
      </c>
      <c r="L444" s="66" t="str">
        <f aca="false">IF(购销流水!$D115="","",IFERROR(INDEX(记账规则!$A$6:$N$9,MATCH(购销流水!$D115,记账规则!$A$6:$A$9,0),9),""))</f>
        <v/>
      </c>
      <c r="M444" s="66" t="str">
        <f aca="false">IF($L444="","",IFERROR(INDEX(记账规则!$A$6:$N$9,MATCH(购销流水!$D115,记账规则!$A$6:$A$9,0),10),""))</f>
        <v/>
      </c>
      <c r="N444" s="66" t="str">
        <f aca="false">IF($L444="","",IFERROR(INDEX(记账规则!$A$6:$N$9,MATCH(购销流水!$D115,记账规则!$A$6:$A$9,0),11),""))</f>
        <v/>
      </c>
      <c r="O444" s="67" t="n">
        <f aca="false">IF($H444="",0,ROUND(IF($N444="成本金额",N(购销流水!$W115),IF($N444="金额",N(购销流水!$Q115),0)),2))</f>
        <v>0</v>
      </c>
      <c r="P444" s="64" t="str">
        <f aca="false">IF(AND($H444&lt;&gt;"",ROUND($O444,2)&lt;&gt;0),"有","")</f>
        <v/>
      </c>
    </row>
    <row r="445" customFormat="false" ht="15" hidden="true" customHeight="false" outlineLevel="0" collapsed="false">
      <c r="A445" s="53" t="str">
        <f aca="false">IF($H445="","",ROW()-5)</f>
        <v/>
      </c>
      <c r="B445" s="64" t="s">
        <v>36</v>
      </c>
      <c r="C445" s="53" t="n">
        <v>115</v>
      </c>
      <c r="D445" s="53" t="n">
        <v>4</v>
      </c>
      <c r="E445" s="65" t="str">
        <f aca="false">IF($H445="","",购销流水!$B115)</f>
        <v/>
      </c>
      <c r="F445" s="55" t="str">
        <f aca="false">IF($H445="","",购销流水!$C115)</f>
        <v/>
      </c>
      <c r="G445" s="48" t="str">
        <f aca="false">IF($H445="","",购销流水!$N115)</f>
        <v/>
      </c>
      <c r="H445" s="10" t="str">
        <f aca="false">IF($L445="","",IF($L445="@成本",购销流水!$U115,IF($L445="@收入",购销流水!$T115,IF($L445="@存货",购销流水!$S115,IF($L445="@结算",购销流水!$R115,$L445)))))</f>
        <v/>
      </c>
      <c r="I445" s="42" t="n">
        <f aca="false">IF($M445="借",$O445,0)</f>
        <v>0</v>
      </c>
      <c r="J445" s="42" t="n">
        <f aca="false">IF($M445="贷",$O445,0)</f>
        <v>0</v>
      </c>
      <c r="K445" s="48" t="str">
        <f aca="false">IF($H445="","",购销流水!$E115)</f>
        <v/>
      </c>
      <c r="L445" s="66" t="str">
        <f aca="false">IF(购销流水!$D115="","",IFERROR(INDEX(记账规则!$A$6:$N$9,MATCH(购销流水!$D115,记账规则!$A$6:$A$9,0),12),""))</f>
        <v/>
      </c>
      <c r="M445" s="66" t="str">
        <f aca="false">IF($L445="","",IFERROR(INDEX(记账规则!$A$6:$N$9,MATCH(购销流水!$D115,记账规则!$A$6:$A$9,0),13),""))</f>
        <v/>
      </c>
      <c r="N445" s="66" t="str">
        <f aca="false">IF($L445="","",IFERROR(INDEX(记账规则!$A$6:$N$9,MATCH(购销流水!$D115,记账规则!$A$6:$A$9,0),14),""))</f>
        <v/>
      </c>
      <c r="O445" s="67" t="n">
        <f aca="false">IF($H445="",0,ROUND(IF($N445="成本金额",N(购销流水!$W115),IF($N445="金额",N(购销流水!$Q115),0)),2))</f>
        <v>0</v>
      </c>
      <c r="P445" s="64" t="str">
        <f aca="false">IF(AND($H445&lt;&gt;"",ROUND($O445,2)&lt;&gt;0),"有","")</f>
        <v/>
      </c>
    </row>
    <row r="446" customFormat="false" ht="15" hidden="true" customHeight="false" outlineLevel="0" collapsed="false">
      <c r="A446" s="53" t="str">
        <f aca="false">IF($H446="","",ROW()-5)</f>
        <v/>
      </c>
      <c r="B446" s="64" t="s">
        <v>36</v>
      </c>
      <c r="C446" s="53" t="n">
        <v>116</v>
      </c>
      <c r="D446" s="53" t="n">
        <v>1</v>
      </c>
      <c r="E446" s="65" t="str">
        <f aca="false">IF($H446="","",购销流水!$B116)</f>
        <v/>
      </c>
      <c r="F446" s="55" t="str">
        <f aca="false">IF($H446="","",购销流水!$C116)</f>
        <v/>
      </c>
      <c r="G446" s="48" t="str">
        <f aca="false">IF($H446="","",购销流水!$N116)</f>
        <v/>
      </c>
      <c r="H446" s="10" t="str">
        <f aca="false">IF($L446="","",IF($L446="@成本",购销流水!$U116,IF($L446="@收入",购销流水!$T116,IF($L446="@存货",购销流水!$S116,IF($L446="@结算",购销流水!$R116,$L446)))))</f>
        <v/>
      </c>
      <c r="I446" s="42" t="n">
        <f aca="false">IF($M446="借",$O446,0)</f>
        <v>0</v>
      </c>
      <c r="J446" s="42" t="n">
        <f aca="false">IF($M446="贷",$O446,0)</f>
        <v>0</v>
      </c>
      <c r="K446" s="48" t="str">
        <f aca="false">IF($H446="","",购销流水!$E116)</f>
        <v/>
      </c>
      <c r="L446" s="66" t="str">
        <f aca="false">IF(购销流水!$D116="","",IFERROR(INDEX(记账规则!$A$6:$N$9,MATCH(购销流水!$D116,记账规则!$A$6:$A$9,0),3),""))</f>
        <v/>
      </c>
      <c r="M446" s="66" t="str">
        <f aca="false">IF($L446="","",IFERROR(INDEX(记账规则!$A$6:$N$9,MATCH(购销流水!$D116,记账规则!$A$6:$A$9,0),4),""))</f>
        <v/>
      </c>
      <c r="N446" s="66" t="str">
        <f aca="false">IF($L446="","",IFERROR(INDEX(记账规则!$A$6:$N$9,MATCH(购销流水!$D116,记账规则!$A$6:$A$9,0),5),""))</f>
        <v/>
      </c>
      <c r="O446" s="67" t="n">
        <f aca="false">IF($H446="",0,ROUND(IF($N446="成本金额",N(购销流水!$W116),IF($N446="金额",N(购销流水!$Q116),0)),2))</f>
        <v>0</v>
      </c>
      <c r="P446" s="64" t="str">
        <f aca="false">IF(AND($H446&lt;&gt;"",ROUND($O446,2)&lt;&gt;0),"有","")</f>
        <v/>
      </c>
    </row>
    <row r="447" customFormat="false" ht="15" hidden="true" customHeight="false" outlineLevel="0" collapsed="false">
      <c r="A447" s="53" t="str">
        <f aca="false">IF($H447="","",ROW()-5)</f>
        <v/>
      </c>
      <c r="B447" s="64" t="s">
        <v>36</v>
      </c>
      <c r="C447" s="53" t="n">
        <v>116</v>
      </c>
      <c r="D447" s="53" t="n">
        <v>2</v>
      </c>
      <c r="E447" s="65" t="str">
        <f aca="false">IF($H447="","",购销流水!$B116)</f>
        <v/>
      </c>
      <c r="F447" s="55" t="str">
        <f aca="false">IF($H447="","",购销流水!$C116)</f>
        <v/>
      </c>
      <c r="G447" s="48" t="str">
        <f aca="false">IF($H447="","",购销流水!$N116)</f>
        <v/>
      </c>
      <c r="H447" s="10" t="str">
        <f aca="false">IF($L447="","",IF($L447="@成本",购销流水!$U116,IF($L447="@收入",购销流水!$T116,IF($L447="@存货",购销流水!$S116,IF($L447="@结算",购销流水!$R116,$L447)))))</f>
        <v/>
      </c>
      <c r="I447" s="42" t="n">
        <f aca="false">IF($M447="借",$O447,0)</f>
        <v>0</v>
      </c>
      <c r="J447" s="42" t="n">
        <f aca="false">IF($M447="贷",$O447,0)</f>
        <v>0</v>
      </c>
      <c r="K447" s="48" t="str">
        <f aca="false">IF($H447="","",购销流水!$E116)</f>
        <v/>
      </c>
      <c r="L447" s="66" t="str">
        <f aca="false">IF(购销流水!$D116="","",IFERROR(INDEX(记账规则!$A$6:$N$9,MATCH(购销流水!$D116,记账规则!$A$6:$A$9,0),6),""))</f>
        <v/>
      </c>
      <c r="M447" s="66" t="str">
        <f aca="false">IF($L447="","",IFERROR(INDEX(记账规则!$A$6:$N$9,MATCH(购销流水!$D116,记账规则!$A$6:$A$9,0),7),""))</f>
        <v/>
      </c>
      <c r="N447" s="66" t="str">
        <f aca="false">IF($L447="","",IFERROR(INDEX(记账规则!$A$6:$N$9,MATCH(购销流水!$D116,记账规则!$A$6:$A$9,0),8),""))</f>
        <v/>
      </c>
      <c r="O447" s="67" t="n">
        <f aca="false">IF($H447="",0,ROUND(IF($N447="成本金额",N(购销流水!$W116),IF($N447="金额",N(购销流水!$Q116),0)),2))</f>
        <v>0</v>
      </c>
      <c r="P447" s="64" t="str">
        <f aca="false">IF(AND($H447&lt;&gt;"",ROUND($O447,2)&lt;&gt;0),"有","")</f>
        <v/>
      </c>
    </row>
    <row r="448" customFormat="false" ht="15" hidden="true" customHeight="false" outlineLevel="0" collapsed="false">
      <c r="A448" s="53" t="str">
        <f aca="false">IF($H448="","",ROW()-5)</f>
        <v/>
      </c>
      <c r="B448" s="64" t="s">
        <v>36</v>
      </c>
      <c r="C448" s="53" t="n">
        <v>116</v>
      </c>
      <c r="D448" s="53" t="n">
        <v>3</v>
      </c>
      <c r="E448" s="65" t="str">
        <f aca="false">IF($H448="","",购销流水!$B116)</f>
        <v/>
      </c>
      <c r="F448" s="55" t="str">
        <f aca="false">IF($H448="","",购销流水!$C116)</f>
        <v/>
      </c>
      <c r="G448" s="48" t="str">
        <f aca="false">IF($H448="","",购销流水!$N116)</f>
        <v/>
      </c>
      <c r="H448" s="10" t="str">
        <f aca="false">IF($L448="","",IF($L448="@成本",购销流水!$U116,IF($L448="@收入",购销流水!$T116,IF($L448="@存货",购销流水!$S116,IF($L448="@结算",购销流水!$R116,$L448)))))</f>
        <v/>
      </c>
      <c r="I448" s="42" t="n">
        <f aca="false">IF($M448="借",$O448,0)</f>
        <v>0</v>
      </c>
      <c r="J448" s="42" t="n">
        <f aca="false">IF($M448="贷",$O448,0)</f>
        <v>0</v>
      </c>
      <c r="K448" s="48" t="str">
        <f aca="false">IF($H448="","",购销流水!$E116)</f>
        <v/>
      </c>
      <c r="L448" s="66" t="str">
        <f aca="false">IF(购销流水!$D116="","",IFERROR(INDEX(记账规则!$A$6:$N$9,MATCH(购销流水!$D116,记账规则!$A$6:$A$9,0),9),""))</f>
        <v/>
      </c>
      <c r="M448" s="66" t="str">
        <f aca="false">IF($L448="","",IFERROR(INDEX(记账规则!$A$6:$N$9,MATCH(购销流水!$D116,记账规则!$A$6:$A$9,0),10),""))</f>
        <v/>
      </c>
      <c r="N448" s="66" t="str">
        <f aca="false">IF($L448="","",IFERROR(INDEX(记账规则!$A$6:$N$9,MATCH(购销流水!$D116,记账规则!$A$6:$A$9,0),11),""))</f>
        <v/>
      </c>
      <c r="O448" s="67" t="n">
        <f aca="false">IF($H448="",0,ROUND(IF($N448="成本金额",N(购销流水!$W116),IF($N448="金额",N(购销流水!$Q116),0)),2))</f>
        <v>0</v>
      </c>
      <c r="P448" s="64" t="str">
        <f aca="false">IF(AND($H448&lt;&gt;"",ROUND($O448,2)&lt;&gt;0),"有","")</f>
        <v/>
      </c>
    </row>
    <row r="449" customFormat="false" ht="15" hidden="true" customHeight="false" outlineLevel="0" collapsed="false">
      <c r="A449" s="53" t="str">
        <f aca="false">IF($H449="","",ROW()-5)</f>
        <v/>
      </c>
      <c r="B449" s="64" t="s">
        <v>36</v>
      </c>
      <c r="C449" s="53" t="n">
        <v>116</v>
      </c>
      <c r="D449" s="53" t="n">
        <v>4</v>
      </c>
      <c r="E449" s="65" t="str">
        <f aca="false">IF($H449="","",购销流水!$B116)</f>
        <v/>
      </c>
      <c r="F449" s="55" t="str">
        <f aca="false">IF($H449="","",购销流水!$C116)</f>
        <v/>
      </c>
      <c r="G449" s="48" t="str">
        <f aca="false">IF($H449="","",购销流水!$N116)</f>
        <v/>
      </c>
      <c r="H449" s="10" t="str">
        <f aca="false">IF($L449="","",IF($L449="@成本",购销流水!$U116,IF($L449="@收入",购销流水!$T116,IF($L449="@存货",购销流水!$S116,IF($L449="@结算",购销流水!$R116,$L449)))))</f>
        <v/>
      </c>
      <c r="I449" s="42" t="n">
        <f aca="false">IF($M449="借",$O449,0)</f>
        <v>0</v>
      </c>
      <c r="J449" s="42" t="n">
        <f aca="false">IF($M449="贷",$O449,0)</f>
        <v>0</v>
      </c>
      <c r="K449" s="48" t="str">
        <f aca="false">IF($H449="","",购销流水!$E116)</f>
        <v/>
      </c>
      <c r="L449" s="66" t="str">
        <f aca="false">IF(购销流水!$D116="","",IFERROR(INDEX(记账规则!$A$6:$N$9,MATCH(购销流水!$D116,记账规则!$A$6:$A$9,0),12),""))</f>
        <v/>
      </c>
      <c r="M449" s="66" t="str">
        <f aca="false">IF($L449="","",IFERROR(INDEX(记账规则!$A$6:$N$9,MATCH(购销流水!$D116,记账规则!$A$6:$A$9,0),13),""))</f>
        <v/>
      </c>
      <c r="N449" s="66" t="str">
        <f aca="false">IF($L449="","",IFERROR(INDEX(记账规则!$A$6:$N$9,MATCH(购销流水!$D116,记账规则!$A$6:$A$9,0),14),""))</f>
        <v/>
      </c>
      <c r="O449" s="67" t="n">
        <f aca="false">IF($H449="",0,ROUND(IF($N449="成本金额",N(购销流水!$W116),IF($N449="金额",N(购销流水!$Q116),0)),2))</f>
        <v>0</v>
      </c>
      <c r="P449" s="64" t="str">
        <f aca="false">IF(AND($H449&lt;&gt;"",ROUND($O449,2)&lt;&gt;0),"有","")</f>
        <v/>
      </c>
    </row>
    <row r="450" customFormat="false" ht="15" hidden="true" customHeight="false" outlineLevel="0" collapsed="false">
      <c r="A450" s="53" t="str">
        <f aca="false">IF($H450="","",ROW()-5)</f>
        <v/>
      </c>
      <c r="B450" s="64" t="s">
        <v>36</v>
      </c>
      <c r="C450" s="53" t="n">
        <v>117</v>
      </c>
      <c r="D450" s="53" t="n">
        <v>1</v>
      </c>
      <c r="E450" s="65" t="str">
        <f aca="false">IF($H450="","",购销流水!$B117)</f>
        <v/>
      </c>
      <c r="F450" s="55" t="str">
        <f aca="false">IF($H450="","",购销流水!$C117)</f>
        <v/>
      </c>
      <c r="G450" s="48" t="str">
        <f aca="false">IF($H450="","",购销流水!$N117)</f>
        <v/>
      </c>
      <c r="H450" s="10" t="str">
        <f aca="false">IF($L450="","",IF($L450="@成本",购销流水!$U117,IF($L450="@收入",购销流水!$T117,IF($L450="@存货",购销流水!$S117,IF($L450="@结算",购销流水!$R117,$L450)))))</f>
        <v/>
      </c>
      <c r="I450" s="42" t="n">
        <f aca="false">IF($M450="借",$O450,0)</f>
        <v>0</v>
      </c>
      <c r="J450" s="42" t="n">
        <f aca="false">IF($M450="贷",$O450,0)</f>
        <v>0</v>
      </c>
      <c r="K450" s="48" t="str">
        <f aca="false">IF($H450="","",购销流水!$E117)</f>
        <v/>
      </c>
      <c r="L450" s="66" t="str">
        <f aca="false">IF(购销流水!$D117="","",IFERROR(INDEX(记账规则!$A$6:$N$9,MATCH(购销流水!$D117,记账规则!$A$6:$A$9,0),3),""))</f>
        <v/>
      </c>
      <c r="M450" s="66" t="str">
        <f aca="false">IF($L450="","",IFERROR(INDEX(记账规则!$A$6:$N$9,MATCH(购销流水!$D117,记账规则!$A$6:$A$9,0),4),""))</f>
        <v/>
      </c>
      <c r="N450" s="66" t="str">
        <f aca="false">IF($L450="","",IFERROR(INDEX(记账规则!$A$6:$N$9,MATCH(购销流水!$D117,记账规则!$A$6:$A$9,0),5),""))</f>
        <v/>
      </c>
      <c r="O450" s="67" t="n">
        <f aca="false">IF($H450="",0,ROUND(IF($N450="成本金额",N(购销流水!$W117),IF($N450="金额",N(购销流水!$Q117),0)),2))</f>
        <v>0</v>
      </c>
      <c r="P450" s="64" t="str">
        <f aca="false">IF(AND($H450&lt;&gt;"",ROUND($O450,2)&lt;&gt;0),"有","")</f>
        <v/>
      </c>
    </row>
    <row r="451" customFormat="false" ht="15" hidden="true" customHeight="false" outlineLevel="0" collapsed="false">
      <c r="A451" s="53" t="str">
        <f aca="false">IF($H451="","",ROW()-5)</f>
        <v/>
      </c>
      <c r="B451" s="64" t="s">
        <v>36</v>
      </c>
      <c r="C451" s="53" t="n">
        <v>117</v>
      </c>
      <c r="D451" s="53" t="n">
        <v>2</v>
      </c>
      <c r="E451" s="65" t="str">
        <f aca="false">IF($H451="","",购销流水!$B117)</f>
        <v/>
      </c>
      <c r="F451" s="55" t="str">
        <f aca="false">IF($H451="","",购销流水!$C117)</f>
        <v/>
      </c>
      <c r="G451" s="48" t="str">
        <f aca="false">IF($H451="","",购销流水!$N117)</f>
        <v/>
      </c>
      <c r="H451" s="10" t="str">
        <f aca="false">IF($L451="","",IF($L451="@成本",购销流水!$U117,IF($L451="@收入",购销流水!$T117,IF($L451="@存货",购销流水!$S117,IF($L451="@结算",购销流水!$R117,$L451)))))</f>
        <v/>
      </c>
      <c r="I451" s="42" t="n">
        <f aca="false">IF($M451="借",$O451,0)</f>
        <v>0</v>
      </c>
      <c r="J451" s="42" t="n">
        <f aca="false">IF($M451="贷",$O451,0)</f>
        <v>0</v>
      </c>
      <c r="K451" s="48" t="str">
        <f aca="false">IF($H451="","",购销流水!$E117)</f>
        <v/>
      </c>
      <c r="L451" s="66" t="str">
        <f aca="false">IF(购销流水!$D117="","",IFERROR(INDEX(记账规则!$A$6:$N$9,MATCH(购销流水!$D117,记账规则!$A$6:$A$9,0),6),""))</f>
        <v/>
      </c>
      <c r="M451" s="66" t="str">
        <f aca="false">IF($L451="","",IFERROR(INDEX(记账规则!$A$6:$N$9,MATCH(购销流水!$D117,记账规则!$A$6:$A$9,0),7),""))</f>
        <v/>
      </c>
      <c r="N451" s="66" t="str">
        <f aca="false">IF($L451="","",IFERROR(INDEX(记账规则!$A$6:$N$9,MATCH(购销流水!$D117,记账规则!$A$6:$A$9,0),8),""))</f>
        <v/>
      </c>
      <c r="O451" s="67" t="n">
        <f aca="false">IF($H451="",0,ROUND(IF($N451="成本金额",N(购销流水!$W117),IF($N451="金额",N(购销流水!$Q117),0)),2))</f>
        <v>0</v>
      </c>
      <c r="P451" s="64" t="str">
        <f aca="false">IF(AND($H451&lt;&gt;"",ROUND($O451,2)&lt;&gt;0),"有","")</f>
        <v/>
      </c>
    </row>
    <row r="452" customFormat="false" ht="15" hidden="true" customHeight="false" outlineLevel="0" collapsed="false">
      <c r="A452" s="53" t="str">
        <f aca="false">IF($H452="","",ROW()-5)</f>
        <v/>
      </c>
      <c r="B452" s="64" t="s">
        <v>36</v>
      </c>
      <c r="C452" s="53" t="n">
        <v>117</v>
      </c>
      <c r="D452" s="53" t="n">
        <v>3</v>
      </c>
      <c r="E452" s="65" t="str">
        <f aca="false">IF($H452="","",购销流水!$B117)</f>
        <v/>
      </c>
      <c r="F452" s="55" t="str">
        <f aca="false">IF($H452="","",购销流水!$C117)</f>
        <v/>
      </c>
      <c r="G452" s="48" t="str">
        <f aca="false">IF($H452="","",购销流水!$N117)</f>
        <v/>
      </c>
      <c r="H452" s="10" t="str">
        <f aca="false">IF($L452="","",IF($L452="@成本",购销流水!$U117,IF($L452="@收入",购销流水!$T117,IF($L452="@存货",购销流水!$S117,IF($L452="@结算",购销流水!$R117,$L452)))))</f>
        <v/>
      </c>
      <c r="I452" s="42" t="n">
        <f aca="false">IF($M452="借",$O452,0)</f>
        <v>0</v>
      </c>
      <c r="J452" s="42" t="n">
        <f aca="false">IF($M452="贷",$O452,0)</f>
        <v>0</v>
      </c>
      <c r="K452" s="48" t="str">
        <f aca="false">IF($H452="","",购销流水!$E117)</f>
        <v/>
      </c>
      <c r="L452" s="66" t="str">
        <f aca="false">IF(购销流水!$D117="","",IFERROR(INDEX(记账规则!$A$6:$N$9,MATCH(购销流水!$D117,记账规则!$A$6:$A$9,0),9),""))</f>
        <v/>
      </c>
      <c r="M452" s="66" t="str">
        <f aca="false">IF($L452="","",IFERROR(INDEX(记账规则!$A$6:$N$9,MATCH(购销流水!$D117,记账规则!$A$6:$A$9,0),10),""))</f>
        <v/>
      </c>
      <c r="N452" s="66" t="str">
        <f aca="false">IF($L452="","",IFERROR(INDEX(记账规则!$A$6:$N$9,MATCH(购销流水!$D117,记账规则!$A$6:$A$9,0),11),""))</f>
        <v/>
      </c>
      <c r="O452" s="67" t="n">
        <f aca="false">IF($H452="",0,ROUND(IF($N452="成本金额",N(购销流水!$W117),IF($N452="金额",N(购销流水!$Q117),0)),2))</f>
        <v>0</v>
      </c>
      <c r="P452" s="64" t="str">
        <f aca="false">IF(AND($H452&lt;&gt;"",ROUND($O452,2)&lt;&gt;0),"有","")</f>
        <v/>
      </c>
    </row>
    <row r="453" customFormat="false" ht="15" hidden="true" customHeight="false" outlineLevel="0" collapsed="false">
      <c r="A453" s="53" t="str">
        <f aca="false">IF($H453="","",ROW()-5)</f>
        <v/>
      </c>
      <c r="B453" s="64" t="s">
        <v>36</v>
      </c>
      <c r="C453" s="53" t="n">
        <v>117</v>
      </c>
      <c r="D453" s="53" t="n">
        <v>4</v>
      </c>
      <c r="E453" s="65" t="str">
        <f aca="false">IF($H453="","",购销流水!$B117)</f>
        <v/>
      </c>
      <c r="F453" s="55" t="str">
        <f aca="false">IF($H453="","",购销流水!$C117)</f>
        <v/>
      </c>
      <c r="G453" s="48" t="str">
        <f aca="false">IF($H453="","",购销流水!$N117)</f>
        <v/>
      </c>
      <c r="H453" s="10" t="str">
        <f aca="false">IF($L453="","",IF($L453="@成本",购销流水!$U117,IF($L453="@收入",购销流水!$T117,IF($L453="@存货",购销流水!$S117,IF($L453="@结算",购销流水!$R117,$L453)))))</f>
        <v/>
      </c>
      <c r="I453" s="42" t="n">
        <f aca="false">IF($M453="借",$O453,0)</f>
        <v>0</v>
      </c>
      <c r="J453" s="42" t="n">
        <f aca="false">IF($M453="贷",$O453,0)</f>
        <v>0</v>
      </c>
      <c r="K453" s="48" t="str">
        <f aca="false">IF($H453="","",购销流水!$E117)</f>
        <v/>
      </c>
      <c r="L453" s="66" t="str">
        <f aca="false">IF(购销流水!$D117="","",IFERROR(INDEX(记账规则!$A$6:$N$9,MATCH(购销流水!$D117,记账规则!$A$6:$A$9,0),12),""))</f>
        <v/>
      </c>
      <c r="M453" s="66" t="str">
        <f aca="false">IF($L453="","",IFERROR(INDEX(记账规则!$A$6:$N$9,MATCH(购销流水!$D117,记账规则!$A$6:$A$9,0),13),""))</f>
        <v/>
      </c>
      <c r="N453" s="66" t="str">
        <f aca="false">IF($L453="","",IFERROR(INDEX(记账规则!$A$6:$N$9,MATCH(购销流水!$D117,记账规则!$A$6:$A$9,0),14),""))</f>
        <v/>
      </c>
      <c r="O453" s="67" t="n">
        <f aca="false">IF($H453="",0,ROUND(IF($N453="成本金额",N(购销流水!$W117),IF($N453="金额",N(购销流水!$Q117),0)),2))</f>
        <v>0</v>
      </c>
      <c r="P453" s="64" t="str">
        <f aca="false">IF(AND($H453&lt;&gt;"",ROUND($O453,2)&lt;&gt;0),"有","")</f>
        <v/>
      </c>
    </row>
    <row r="454" customFormat="false" ht="15" hidden="true" customHeight="false" outlineLevel="0" collapsed="false">
      <c r="A454" s="53" t="str">
        <f aca="false">IF($H454="","",ROW()-5)</f>
        <v/>
      </c>
      <c r="B454" s="64" t="s">
        <v>36</v>
      </c>
      <c r="C454" s="53" t="n">
        <v>118</v>
      </c>
      <c r="D454" s="53" t="n">
        <v>1</v>
      </c>
      <c r="E454" s="65" t="str">
        <f aca="false">IF($H454="","",购销流水!$B118)</f>
        <v/>
      </c>
      <c r="F454" s="55" t="str">
        <f aca="false">IF($H454="","",购销流水!$C118)</f>
        <v/>
      </c>
      <c r="G454" s="48" t="str">
        <f aca="false">IF($H454="","",购销流水!$N118)</f>
        <v/>
      </c>
      <c r="H454" s="10" t="str">
        <f aca="false">IF($L454="","",IF($L454="@成本",购销流水!$U118,IF($L454="@收入",购销流水!$T118,IF($L454="@存货",购销流水!$S118,IF($L454="@结算",购销流水!$R118,$L454)))))</f>
        <v/>
      </c>
      <c r="I454" s="42" t="n">
        <f aca="false">IF($M454="借",$O454,0)</f>
        <v>0</v>
      </c>
      <c r="J454" s="42" t="n">
        <f aca="false">IF($M454="贷",$O454,0)</f>
        <v>0</v>
      </c>
      <c r="K454" s="48" t="str">
        <f aca="false">IF($H454="","",购销流水!$E118)</f>
        <v/>
      </c>
      <c r="L454" s="66" t="str">
        <f aca="false">IF(购销流水!$D118="","",IFERROR(INDEX(记账规则!$A$6:$N$9,MATCH(购销流水!$D118,记账规则!$A$6:$A$9,0),3),""))</f>
        <v/>
      </c>
      <c r="M454" s="66" t="str">
        <f aca="false">IF($L454="","",IFERROR(INDEX(记账规则!$A$6:$N$9,MATCH(购销流水!$D118,记账规则!$A$6:$A$9,0),4),""))</f>
        <v/>
      </c>
      <c r="N454" s="66" t="str">
        <f aca="false">IF($L454="","",IFERROR(INDEX(记账规则!$A$6:$N$9,MATCH(购销流水!$D118,记账规则!$A$6:$A$9,0),5),""))</f>
        <v/>
      </c>
      <c r="O454" s="67" t="n">
        <f aca="false">IF($H454="",0,ROUND(IF($N454="成本金额",N(购销流水!$W118),IF($N454="金额",N(购销流水!$Q118),0)),2))</f>
        <v>0</v>
      </c>
      <c r="P454" s="64" t="str">
        <f aca="false">IF(AND($H454&lt;&gt;"",ROUND($O454,2)&lt;&gt;0),"有","")</f>
        <v/>
      </c>
    </row>
    <row r="455" customFormat="false" ht="15" hidden="true" customHeight="false" outlineLevel="0" collapsed="false">
      <c r="A455" s="53" t="str">
        <f aca="false">IF($H455="","",ROW()-5)</f>
        <v/>
      </c>
      <c r="B455" s="64" t="s">
        <v>36</v>
      </c>
      <c r="C455" s="53" t="n">
        <v>118</v>
      </c>
      <c r="D455" s="53" t="n">
        <v>2</v>
      </c>
      <c r="E455" s="65" t="str">
        <f aca="false">IF($H455="","",购销流水!$B118)</f>
        <v/>
      </c>
      <c r="F455" s="55" t="str">
        <f aca="false">IF($H455="","",购销流水!$C118)</f>
        <v/>
      </c>
      <c r="G455" s="48" t="str">
        <f aca="false">IF($H455="","",购销流水!$N118)</f>
        <v/>
      </c>
      <c r="H455" s="10" t="str">
        <f aca="false">IF($L455="","",IF($L455="@成本",购销流水!$U118,IF($L455="@收入",购销流水!$T118,IF($L455="@存货",购销流水!$S118,IF($L455="@结算",购销流水!$R118,$L455)))))</f>
        <v/>
      </c>
      <c r="I455" s="42" t="n">
        <f aca="false">IF($M455="借",$O455,0)</f>
        <v>0</v>
      </c>
      <c r="J455" s="42" t="n">
        <f aca="false">IF($M455="贷",$O455,0)</f>
        <v>0</v>
      </c>
      <c r="K455" s="48" t="str">
        <f aca="false">IF($H455="","",购销流水!$E118)</f>
        <v/>
      </c>
      <c r="L455" s="66" t="str">
        <f aca="false">IF(购销流水!$D118="","",IFERROR(INDEX(记账规则!$A$6:$N$9,MATCH(购销流水!$D118,记账规则!$A$6:$A$9,0),6),""))</f>
        <v/>
      </c>
      <c r="M455" s="66" t="str">
        <f aca="false">IF($L455="","",IFERROR(INDEX(记账规则!$A$6:$N$9,MATCH(购销流水!$D118,记账规则!$A$6:$A$9,0),7),""))</f>
        <v/>
      </c>
      <c r="N455" s="66" t="str">
        <f aca="false">IF($L455="","",IFERROR(INDEX(记账规则!$A$6:$N$9,MATCH(购销流水!$D118,记账规则!$A$6:$A$9,0),8),""))</f>
        <v/>
      </c>
      <c r="O455" s="67" t="n">
        <f aca="false">IF($H455="",0,ROUND(IF($N455="成本金额",N(购销流水!$W118),IF($N455="金额",N(购销流水!$Q118),0)),2))</f>
        <v>0</v>
      </c>
      <c r="P455" s="64" t="str">
        <f aca="false">IF(AND($H455&lt;&gt;"",ROUND($O455,2)&lt;&gt;0),"有","")</f>
        <v/>
      </c>
    </row>
    <row r="456" customFormat="false" ht="15" hidden="true" customHeight="false" outlineLevel="0" collapsed="false">
      <c r="A456" s="53" t="str">
        <f aca="false">IF($H456="","",ROW()-5)</f>
        <v/>
      </c>
      <c r="B456" s="64" t="s">
        <v>36</v>
      </c>
      <c r="C456" s="53" t="n">
        <v>118</v>
      </c>
      <c r="D456" s="53" t="n">
        <v>3</v>
      </c>
      <c r="E456" s="65" t="str">
        <f aca="false">IF($H456="","",购销流水!$B118)</f>
        <v/>
      </c>
      <c r="F456" s="55" t="str">
        <f aca="false">IF($H456="","",购销流水!$C118)</f>
        <v/>
      </c>
      <c r="G456" s="48" t="str">
        <f aca="false">IF($H456="","",购销流水!$N118)</f>
        <v/>
      </c>
      <c r="H456" s="10" t="str">
        <f aca="false">IF($L456="","",IF($L456="@成本",购销流水!$U118,IF($L456="@收入",购销流水!$T118,IF($L456="@存货",购销流水!$S118,IF($L456="@结算",购销流水!$R118,$L456)))))</f>
        <v/>
      </c>
      <c r="I456" s="42" t="n">
        <f aca="false">IF($M456="借",$O456,0)</f>
        <v>0</v>
      </c>
      <c r="J456" s="42" t="n">
        <f aca="false">IF($M456="贷",$O456,0)</f>
        <v>0</v>
      </c>
      <c r="K456" s="48" t="str">
        <f aca="false">IF($H456="","",购销流水!$E118)</f>
        <v/>
      </c>
      <c r="L456" s="66" t="str">
        <f aca="false">IF(购销流水!$D118="","",IFERROR(INDEX(记账规则!$A$6:$N$9,MATCH(购销流水!$D118,记账规则!$A$6:$A$9,0),9),""))</f>
        <v/>
      </c>
      <c r="M456" s="66" t="str">
        <f aca="false">IF($L456="","",IFERROR(INDEX(记账规则!$A$6:$N$9,MATCH(购销流水!$D118,记账规则!$A$6:$A$9,0),10),""))</f>
        <v/>
      </c>
      <c r="N456" s="66" t="str">
        <f aca="false">IF($L456="","",IFERROR(INDEX(记账规则!$A$6:$N$9,MATCH(购销流水!$D118,记账规则!$A$6:$A$9,0),11),""))</f>
        <v/>
      </c>
      <c r="O456" s="67" t="n">
        <f aca="false">IF($H456="",0,ROUND(IF($N456="成本金额",N(购销流水!$W118),IF($N456="金额",N(购销流水!$Q118),0)),2))</f>
        <v>0</v>
      </c>
      <c r="P456" s="64" t="str">
        <f aca="false">IF(AND($H456&lt;&gt;"",ROUND($O456,2)&lt;&gt;0),"有","")</f>
        <v/>
      </c>
    </row>
    <row r="457" customFormat="false" ht="15" hidden="true" customHeight="false" outlineLevel="0" collapsed="false">
      <c r="A457" s="53" t="str">
        <f aca="false">IF($H457="","",ROW()-5)</f>
        <v/>
      </c>
      <c r="B457" s="64" t="s">
        <v>36</v>
      </c>
      <c r="C457" s="53" t="n">
        <v>118</v>
      </c>
      <c r="D457" s="53" t="n">
        <v>4</v>
      </c>
      <c r="E457" s="65" t="str">
        <f aca="false">IF($H457="","",购销流水!$B118)</f>
        <v/>
      </c>
      <c r="F457" s="55" t="str">
        <f aca="false">IF($H457="","",购销流水!$C118)</f>
        <v/>
      </c>
      <c r="G457" s="48" t="str">
        <f aca="false">IF($H457="","",购销流水!$N118)</f>
        <v/>
      </c>
      <c r="H457" s="10" t="str">
        <f aca="false">IF($L457="","",IF($L457="@成本",购销流水!$U118,IF($L457="@收入",购销流水!$T118,IF($L457="@存货",购销流水!$S118,IF($L457="@结算",购销流水!$R118,$L457)))))</f>
        <v/>
      </c>
      <c r="I457" s="42" t="n">
        <f aca="false">IF($M457="借",$O457,0)</f>
        <v>0</v>
      </c>
      <c r="J457" s="42" t="n">
        <f aca="false">IF($M457="贷",$O457,0)</f>
        <v>0</v>
      </c>
      <c r="K457" s="48" t="str">
        <f aca="false">IF($H457="","",购销流水!$E118)</f>
        <v/>
      </c>
      <c r="L457" s="66" t="str">
        <f aca="false">IF(购销流水!$D118="","",IFERROR(INDEX(记账规则!$A$6:$N$9,MATCH(购销流水!$D118,记账规则!$A$6:$A$9,0),12),""))</f>
        <v/>
      </c>
      <c r="M457" s="66" t="str">
        <f aca="false">IF($L457="","",IFERROR(INDEX(记账规则!$A$6:$N$9,MATCH(购销流水!$D118,记账规则!$A$6:$A$9,0),13),""))</f>
        <v/>
      </c>
      <c r="N457" s="66" t="str">
        <f aca="false">IF($L457="","",IFERROR(INDEX(记账规则!$A$6:$N$9,MATCH(购销流水!$D118,记账规则!$A$6:$A$9,0),14),""))</f>
        <v/>
      </c>
      <c r="O457" s="67" t="n">
        <f aca="false">IF($H457="",0,ROUND(IF($N457="成本金额",N(购销流水!$W118),IF($N457="金额",N(购销流水!$Q118),0)),2))</f>
        <v>0</v>
      </c>
      <c r="P457" s="64" t="str">
        <f aca="false">IF(AND($H457&lt;&gt;"",ROUND($O457,2)&lt;&gt;0),"有","")</f>
        <v/>
      </c>
    </row>
    <row r="458" customFormat="false" ht="15" hidden="true" customHeight="false" outlineLevel="0" collapsed="false">
      <c r="A458" s="53" t="str">
        <f aca="false">IF($H458="","",ROW()-5)</f>
        <v/>
      </c>
      <c r="B458" s="64" t="s">
        <v>36</v>
      </c>
      <c r="C458" s="53" t="n">
        <v>119</v>
      </c>
      <c r="D458" s="53" t="n">
        <v>1</v>
      </c>
      <c r="E458" s="65" t="str">
        <f aca="false">IF($H458="","",购销流水!$B119)</f>
        <v/>
      </c>
      <c r="F458" s="55" t="str">
        <f aca="false">IF($H458="","",购销流水!$C119)</f>
        <v/>
      </c>
      <c r="G458" s="48" t="str">
        <f aca="false">IF($H458="","",购销流水!$N119)</f>
        <v/>
      </c>
      <c r="H458" s="10" t="str">
        <f aca="false">IF($L458="","",IF($L458="@成本",购销流水!$U119,IF($L458="@收入",购销流水!$T119,IF($L458="@存货",购销流水!$S119,IF($L458="@结算",购销流水!$R119,$L458)))))</f>
        <v/>
      </c>
      <c r="I458" s="42" t="n">
        <f aca="false">IF($M458="借",$O458,0)</f>
        <v>0</v>
      </c>
      <c r="J458" s="42" t="n">
        <f aca="false">IF($M458="贷",$O458,0)</f>
        <v>0</v>
      </c>
      <c r="K458" s="48" t="str">
        <f aca="false">IF($H458="","",购销流水!$E119)</f>
        <v/>
      </c>
      <c r="L458" s="66" t="str">
        <f aca="false">IF(购销流水!$D119="","",IFERROR(INDEX(记账规则!$A$6:$N$9,MATCH(购销流水!$D119,记账规则!$A$6:$A$9,0),3),""))</f>
        <v/>
      </c>
      <c r="M458" s="66" t="str">
        <f aca="false">IF($L458="","",IFERROR(INDEX(记账规则!$A$6:$N$9,MATCH(购销流水!$D119,记账规则!$A$6:$A$9,0),4),""))</f>
        <v/>
      </c>
      <c r="N458" s="66" t="str">
        <f aca="false">IF($L458="","",IFERROR(INDEX(记账规则!$A$6:$N$9,MATCH(购销流水!$D119,记账规则!$A$6:$A$9,0),5),""))</f>
        <v/>
      </c>
      <c r="O458" s="67" t="n">
        <f aca="false">IF($H458="",0,ROUND(IF($N458="成本金额",N(购销流水!$W119),IF($N458="金额",N(购销流水!$Q119),0)),2))</f>
        <v>0</v>
      </c>
      <c r="P458" s="64" t="str">
        <f aca="false">IF(AND($H458&lt;&gt;"",ROUND($O458,2)&lt;&gt;0),"有","")</f>
        <v/>
      </c>
    </row>
    <row r="459" customFormat="false" ht="15" hidden="true" customHeight="false" outlineLevel="0" collapsed="false">
      <c r="A459" s="53" t="str">
        <f aca="false">IF($H459="","",ROW()-5)</f>
        <v/>
      </c>
      <c r="B459" s="64" t="s">
        <v>36</v>
      </c>
      <c r="C459" s="53" t="n">
        <v>119</v>
      </c>
      <c r="D459" s="53" t="n">
        <v>2</v>
      </c>
      <c r="E459" s="65" t="str">
        <f aca="false">IF($H459="","",购销流水!$B119)</f>
        <v/>
      </c>
      <c r="F459" s="55" t="str">
        <f aca="false">IF($H459="","",购销流水!$C119)</f>
        <v/>
      </c>
      <c r="G459" s="48" t="str">
        <f aca="false">IF($H459="","",购销流水!$N119)</f>
        <v/>
      </c>
      <c r="H459" s="10" t="str">
        <f aca="false">IF($L459="","",IF($L459="@成本",购销流水!$U119,IF($L459="@收入",购销流水!$T119,IF($L459="@存货",购销流水!$S119,IF($L459="@结算",购销流水!$R119,$L459)))))</f>
        <v/>
      </c>
      <c r="I459" s="42" t="n">
        <f aca="false">IF($M459="借",$O459,0)</f>
        <v>0</v>
      </c>
      <c r="J459" s="42" t="n">
        <f aca="false">IF($M459="贷",$O459,0)</f>
        <v>0</v>
      </c>
      <c r="K459" s="48" t="str">
        <f aca="false">IF($H459="","",购销流水!$E119)</f>
        <v/>
      </c>
      <c r="L459" s="66" t="str">
        <f aca="false">IF(购销流水!$D119="","",IFERROR(INDEX(记账规则!$A$6:$N$9,MATCH(购销流水!$D119,记账规则!$A$6:$A$9,0),6),""))</f>
        <v/>
      </c>
      <c r="M459" s="66" t="str">
        <f aca="false">IF($L459="","",IFERROR(INDEX(记账规则!$A$6:$N$9,MATCH(购销流水!$D119,记账规则!$A$6:$A$9,0),7),""))</f>
        <v/>
      </c>
      <c r="N459" s="66" t="str">
        <f aca="false">IF($L459="","",IFERROR(INDEX(记账规则!$A$6:$N$9,MATCH(购销流水!$D119,记账规则!$A$6:$A$9,0),8),""))</f>
        <v/>
      </c>
      <c r="O459" s="67" t="n">
        <f aca="false">IF($H459="",0,ROUND(IF($N459="成本金额",N(购销流水!$W119),IF($N459="金额",N(购销流水!$Q119),0)),2))</f>
        <v>0</v>
      </c>
      <c r="P459" s="64" t="str">
        <f aca="false">IF(AND($H459&lt;&gt;"",ROUND($O459,2)&lt;&gt;0),"有","")</f>
        <v/>
      </c>
    </row>
    <row r="460" customFormat="false" ht="15" hidden="true" customHeight="false" outlineLevel="0" collapsed="false">
      <c r="A460" s="53" t="str">
        <f aca="false">IF($H460="","",ROW()-5)</f>
        <v/>
      </c>
      <c r="B460" s="64" t="s">
        <v>36</v>
      </c>
      <c r="C460" s="53" t="n">
        <v>119</v>
      </c>
      <c r="D460" s="53" t="n">
        <v>3</v>
      </c>
      <c r="E460" s="65" t="str">
        <f aca="false">IF($H460="","",购销流水!$B119)</f>
        <v/>
      </c>
      <c r="F460" s="55" t="str">
        <f aca="false">IF($H460="","",购销流水!$C119)</f>
        <v/>
      </c>
      <c r="G460" s="48" t="str">
        <f aca="false">IF($H460="","",购销流水!$N119)</f>
        <v/>
      </c>
      <c r="H460" s="10" t="str">
        <f aca="false">IF($L460="","",IF($L460="@成本",购销流水!$U119,IF($L460="@收入",购销流水!$T119,IF($L460="@存货",购销流水!$S119,IF($L460="@结算",购销流水!$R119,$L460)))))</f>
        <v/>
      </c>
      <c r="I460" s="42" t="n">
        <f aca="false">IF($M460="借",$O460,0)</f>
        <v>0</v>
      </c>
      <c r="J460" s="42" t="n">
        <f aca="false">IF($M460="贷",$O460,0)</f>
        <v>0</v>
      </c>
      <c r="K460" s="48" t="str">
        <f aca="false">IF($H460="","",购销流水!$E119)</f>
        <v/>
      </c>
      <c r="L460" s="66" t="str">
        <f aca="false">IF(购销流水!$D119="","",IFERROR(INDEX(记账规则!$A$6:$N$9,MATCH(购销流水!$D119,记账规则!$A$6:$A$9,0),9),""))</f>
        <v/>
      </c>
      <c r="M460" s="66" t="str">
        <f aca="false">IF($L460="","",IFERROR(INDEX(记账规则!$A$6:$N$9,MATCH(购销流水!$D119,记账规则!$A$6:$A$9,0),10),""))</f>
        <v/>
      </c>
      <c r="N460" s="66" t="str">
        <f aca="false">IF($L460="","",IFERROR(INDEX(记账规则!$A$6:$N$9,MATCH(购销流水!$D119,记账规则!$A$6:$A$9,0),11),""))</f>
        <v/>
      </c>
      <c r="O460" s="67" t="n">
        <f aca="false">IF($H460="",0,ROUND(IF($N460="成本金额",N(购销流水!$W119),IF($N460="金额",N(购销流水!$Q119),0)),2))</f>
        <v>0</v>
      </c>
      <c r="P460" s="64" t="str">
        <f aca="false">IF(AND($H460&lt;&gt;"",ROUND($O460,2)&lt;&gt;0),"有","")</f>
        <v/>
      </c>
    </row>
    <row r="461" customFormat="false" ht="15" hidden="true" customHeight="false" outlineLevel="0" collapsed="false">
      <c r="A461" s="53" t="str">
        <f aca="false">IF($H461="","",ROW()-5)</f>
        <v/>
      </c>
      <c r="B461" s="64" t="s">
        <v>36</v>
      </c>
      <c r="C461" s="53" t="n">
        <v>119</v>
      </c>
      <c r="D461" s="53" t="n">
        <v>4</v>
      </c>
      <c r="E461" s="65" t="str">
        <f aca="false">IF($H461="","",购销流水!$B119)</f>
        <v/>
      </c>
      <c r="F461" s="55" t="str">
        <f aca="false">IF($H461="","",购销流水!$C119)</f>
        <v/>
      </c>
      <c r="G461" s="48" t="str">
        <f aca="false">IF($H461="","",购销流水!$N119)</f>
        <v/>
      </c>
      <c r="H461" s="10" t="str">
        <f aca="false">IF($L461="","",IF($L461="@成本",购销流水!$U119,IF($L461="@收入",购销流水!$T119,IF($L461="@存货",购销流水!$S119,IF($L461="@结算",购销流水!$R119,$L461)))))</f>
        <v/>
      </c>
      <c r="I461" s="42" t="n">
        <f aca="false">IF($M461="借",$O461,0)</f>
        <v>0</v>
      </c>
      <c r="J461" s="42" t="n">
        <f aca="false">IF($M461="贷",$O461,0)</f>
        <v>0</v>
      </c>
      <c r="K461" s="48" t="str">
        <f aca="false">IF($H461="","",购销流水!$E119)</f>
        <v/>
      </c>
      <c r="L461" s="66" t="str">
        <f aca="false">IF(购销流水!$D119="","",IFERROR(INDEX(记账规则!$A$6:$N$9,MATCH(购销流水!$D119,记账规则!$A$6:$A$9,0),12),""))</f>
        <v/>
      </c>
      <c r="M461" s="66" t="str">
        <f aca="false">IF($L461="","",IFERROR(INDEX(记账规则!$A$6:$N$9,MATCH(购销流水!$D119,记账规则!$A$6:$A$9,0),13),""))</f>
        <v/>
      </c>
      <c r="N461" s="66" t="str">
        <f aca="false">IF($L461="","",IFERROR(INDEX(记账规则!$A$6:$N$9,MATCH(购销流水!$D119,记账规则!$A$6:$A$9,0),14),""))</f>
        <v/>
      </c>
      <c r="O461" s="67" t="n">
        <f aca="false">IF($H461="",0,ROUND(IF($N461="成本金额",N(购销流水!$W119),IF($N461="金额",N(购销流水!$Q119),0)),2))</f>
        <v>0</v>
      </c>
      <c r="P461" s="64" t="str">
        <f aca="false">IF(AND($H461&lt;&gt;"",ROUND($O461,2)&lt;&gt;0),"有","")</f>
        <v/>
      </c>
    </row>
    <row r="462" customFormat="false" ht="15" hidden="true" customHeight="false" outlineLevel="0" collapsed="false">
      <c r="A462" s="53" t="str">
        <f aca="false">IF($H462="","",ROW()-5)</f>
        <v/>
      </c>
      <c r="B462" s="64" t="s">
        <v>36</v>
      </c>
      <c r="C462" s="53" t="n">
        <v>120</v>
      </c>
      <c r="D462" s="53" t="n">
        <v>1</v>
      </c>
      <c r="E462" s="65" t="str">
        <f aca="false">IF($H462="","",购销流水!$B120)</f>
        <v/>
      </c>
      <c r="F462" s="55" t="str">
        <f aca="false">IF($H462="","",购销流水!$C120)</f>
        <v/>
      </c>
      <c r="G462" s="48" t="str">
        <f aca="false">IF($H462="","",购销流水!$N120)</f>
        <v/>
      </c>
      <c r="H462" s="10" t="str">
        <f aca="false">IF($L462="","",IF($L462="@成本",购销流水!$U120,IF($L462="@收入",购销流水!$T120,IF($L462="@存货",购销流水!$S120,IF($L462="@结算",购销流水!$R120,$L462)))))</f>
        <v/>
      </c>
      <c r="I462" s="42" t="n">
        <f aca="false">IF($M462="借",$O462,0)</f>
        <v>0</v>
      </c>
      <c r="J462" s="42" t="n">
        <f aca="false">IF($M462="贷",$O462,0)</f>
        <v>0</v>
      </c>
      <c r="K462" s="48" t="str">
        <f aca="false">IF($H462="","",购销流水!$E120)</f>
        <v/>
      </c>
      <c r="L462" s="66" t="str">
        <f aca="false">IF(购销流水!$D120="","",IFERROR(INDEX(记账规则!$A$6:$N$9,MATCH(购销流水!$D120,记账规则!$A$6:$A$9,0),3),""))</f>
        <v/>
      </c>
      <c r="M462" s="66" t="str">
        <f aca="false">IF($L462="","",IFERROR(INDEX(记账规则!$A$6:$N$9,MATCH(购销流水!$D120,记账规则!$A$6:$A$9,0),4),""))</f>
        <v/>
      </c>
      <c r="N462" s="66" t="str">
        <f aca="false">IF($L462="","",IFERROR(INDEX(记账规则!$A$6:$N$9,MATCH(购销流水!$D120,记账规则!$A$6:$A$9,0),5),""))</f>
        <v/>
      </c>
      <c r="O462" s="67" t="n">
        <f aca="false">IF($H462="",0,ROUND(IF($N462="成本金额",N(购销流水!$W120),IF($N462="金额",N(购销流水!$Q120),0)),2))</f>
        <v>0</v>
      </c>
      <c r="P462" s="64" t="str">
        <f aca="false">IF(AND($H462&lt;&gt;"",ROUND($O462,2)&lt;&gt;0),"有","")</f>
        <v/>
      </c>
    </row>
    <row r="463" customFormat="false" ht="15" hidden="true" customHeight="false" outlineLevel="0" collapsed="false">
      <c r="A463" s="53" t="str">
        <f aca="false">IF($H463="","",ROW()-5)</f>
        <v/>
      </c>
      <c r="B463" s="64" t="s">
        <v>36</v>
      </c>
      <c r="C463" s="53" t="n">
        <v>120</v>
      </c>
      <c r="D463" s="53" t="n">
        <v>2</v>
      </c>
      <c r="E463" s="65" t="str">
        <f aca="false">IF($H463="","",购销流水!$B120)</f>
        <v/>
      </c>
      <c r="F463" s="55" t="str">
        <f aca="false">IF($H463="","",购销流水!$C120)</f>
        <v/>
      </c>
      <c r="G463" s="48" t="str">
        <f aca="false">IF($H463="","",购销流水!$N120)</f>
        <v/>
      </c>
      <c r="H463" s="10" t="str">
        <f aca="false">IF($L463="","",IF($L463="@成本",购销流水!$U120,IF($L463="@收入",购销流水!$T120,IF($L463="@存货",购销流水!$S120,IF($L463="@结算",购销流水!$R120,$L463)))))</f>
        <v/>
      </c>
      <c r="I463" s="42" t="n">
        <f aca="false">IF($M463="借",$O463,0)</f>
        <v>0</v>
      </c>
      <c r="J463" s="42" t="n">
        <f aca="false">IF($M463="贷",$O463,0)</f>
        <v>0</v>
      </c>
      <c r="K463" s="48" t="str">
        <f aca="false">IF($H463="","",购销流水!$E120)</f>
        <v/>
      </c>
      <c r="L463" s="66" t="str">
        <f aca="false">IF(购销流水!$D120="","",IFERROR(INDEX(记账规则!$A$6:$N$9,MATCH(购销流水!$D120,记账规则!$A$6:$A$9,0),6),""))</f>
        <v/>
      </c>
      <c r="M463" s="66" t="str">
        <f aca="false">IF($L463="","",IFERROR(INDEX(记账规则!$A$6:$N$9,MATCH(购销流水!$D120,记账规则!$A$6:$A$9,0),7),""))</f>
        <v/>
      </c>
      <c r="N463" s="66" t="str">
        <f aca="false">IF($L463="","",IFERROR(INDEX(记账规则!$A$6:$N$9,MATCH(购销流水!$D120,记账规则!$A$6:$A$9,0),8),""))</f>
        <v/>
      </c>
      <c r="O463" s="67" t="n">
        <f aca="false">IF($H463="",0,ROUND(IF($N463="成本金额",N(购销流水!$W120),IF($N463="金额",N(购销流水!$Q120),0)),2))</f>
        <v>0</v>
      </c>
      <c r="P463" s="64" t="str">
        <f aca="false">IF(AND($H463&lt;&gt;"",ROUND($O463,2)&lt;&gt;0),"有","")</f>
        <v/>
      </c>
    </row>
    <row r="464" customFormat="false" ht="15" hidden="true" customHeight="false" outlineLevel="0" collapsed="false">
      <c r="A464" s="53" t="str">
        <f aca="false">IF($H464="","",ROW()-5)</f>
        <v/>
      </c>
      <c r="B464" s="64" t="s">
        <v>36</v>
      </c>
      <c r="C464" s="53" t="n">
        <v>120</v>
      </c>
      <c r="D464" s="53" t="n">
        <v>3</v>
      </c>
      <c r="E464" s="65" t="str">
        <f aca="false">IF($H464="","",购销流水!$B120)</f>
        <v/>
      </c>
      <c r="F464" s="55" t="str">
        <f aca="false">IF($H464="","",购销流水!$C120)</f>
        <v/>
      </c>
      <c r="G464" s="48" t="str">
        <f aca="false">IF($H464="","",购销流水!$N120)</f>
        <v/>
      </c>
      <c r="H464" s="10" t="str">
        <f aca="false">IF($L464="","",IF($L464="@成本",购销流水!$U120,IF($L464="@收入",购销流水!$T120,IF($L464="@存货",购销流水!$S120,IF($L464="@结算",购销流水!$R120,$L464)))))</f>
        <v/>
      </c>
      <c r="I464" s="42" t="n">
        <f aca="false">IF($M464="借",$O464,0)</f>
        <v>0</v>
      </c>
      <c r="J464" s="42" t="n">
        <f aca="false">IF($M464="贷",$O464,0)</f>
        <v>0</v>
      </c>
      <c r="K464" s="48" t="str">
        <f aca="false">IF($H464="","",购销流水!$E120)</f>
        <v/>
      </c>
      <c r="L464" s="66" t="str">
        <f aca="false">IF(购销流水!$D120="","",IFERROR(INDEX(记账规则!$A$6:$N$9,MATCH(购销流水!$D120,记账规则!$A$6:$A$9,0),9),""))</f>
        <v/>
      </c>
      <c r="M464" s="66" t="str">
        <f aca="false">IF($L464="","",IFERROR(INDEX(记账规则!$A$6:$N$9,MATCH(购销流水!$D120,记账规则!$A$6:$A$9,0),10),""))</f>
        <v/>
      </c>
      <c r="N464" s="66" t="str">
        <f aca="false">IF($L464="","",IFERROR(INDEX(记账规则!$A$6:$N$9,MATCH(购销流水!$D120,记账规则!$A$6:$A$9,0),11),""))</f>
        <v/>
      </c>
      <c r="O464" s="67" t="n">
        <f aca="false">IF($H464="",0,ROUND(IF($N464="成本金额",N(购销流水!$W120),IF($N464="金额",N(购销流水!$Q120),0)),2))</f>
        <v>0</v>
      </c>
      <c r="P464" s="64" t="str">
        <f aca="false">IF(AND($H464&lt;&gt;"",ROUND($O464,2)&lt;&gt;0),"有","")</f>
        <v/>
      </c>
    </row>
    <row r="465" customFormat="false" ht="15" hidden="true" customHeight="false" outlineLevel="0" collapsed="false">
      <c r="A465" s="53" t="str">
        <f aca="false">IF($H465="","",ROW()-5)</f>
        <v/>
      </c>
      <c r="B465" s="64" t="s">
        <v>36</v>
      </c>
      <c r="C465" s="53" t="n">
        <v>120</v>
      </c>
      <c r="D465" s="53" t="n">
        <v>4</v>
      </c>
      <c r="E465" s="65" t="str">
        <f aca="false">IF($H465="","",购销流水!$B120)</f>
        <v/>
      </c>
      <c r="F465" s="55" t="str">
        <f aca="false">IF($H465="","",购销流水!$C120)</f>
        <v/>
      </c>
      <c r="G465" s="48" t="str">
        <f aca="false">IF($H465="","",购销流水!$N120)</f>
        <v/>
      </c>
      <c r="H465" s="10" t="str">
        <f aca="false">IF($L465="","",IF($L465="@成本",购销流水!$U120,IF($L465="@收入",购销流水!$T120,IF($L465="@存货",购销流水!$S120,IF($L465="@结算",购销流水!$R120,$L465)))))</f>
        <v/>
      </c>
      <c r="I465" s="42" t="n">
        <f aca="false">IF($M465="借",$O465,0)</f>
        <v>0</v>
      </c>
      <c r="J465" s="42" t="n">
        <f aca="false">IF($M465="贷",$O465,0)</f>
        <v>0</v>
      </c>
      <c r="K465" s="48" t="str">
        <f aca="false">IF($H465="","",购销流水!$E120)</f>
        <v/>
      </c>
      <c r="L465" s="66" t="str">
        <f aca="false">IF(购销流水!$D120="","",IFERROR(INDEX(记账规则!$A$6:$N$9,MATCH(购销流水!$D120,记账规则!$A$6:$A$9,0),12),""))</f>
        <v/>
      </c>
      <c r="M465" s="66" t="str">
        <f aca="false">IF($L465="","",IFERROR(INDEX(记账规则!$A$6:$N$9,MATCH(购销流水!$D120,记账规则!$A$6:$A$9,0),13),""))</f>
        <v/>
      </c>
      <c r="N465" s="66" t="str">
        <f aca="false">IF($L465="","",IFERROR(INDEX(记账规则!$A$6:$N$9,MATCH(购销流水!$D120,记账规则!$A$6:$A$9,0),14),""))</f>
        <v/>
      </c>
      <c r="O465" s="67" t="n">
        <f aca="false">IF($H465="",0,ROUND(IF($N465="成本金额",N(购销流水!$W120),IF($N465="金额",N(购销流水!$Q120),0)),2))</f>
        <v>0</v>
      </c>
      <c r="P465" s="64" t="str">
        <f aca="false">IF(AND($H465&lt;&gt;"",ROUND($O465,2)&lt;&gt;0),"有","")</f>
        <v/>
      </c>
    </row>
    <row r="466" customFormat="false" ht="15" hidden="true" customHeight="false" outlineLevel="0" collapsed="false">
      <c r="A466" s="53" t="str">
        <f aca="false">IF($H466="","",ROW()-5)</f>
        <v/>
      </c>
      <c r="B466" s="64" t="s">
        <v>36</v>
      </c>
      <c r="C466" s="53" t="n">
        <v>121</v>
      </c>
      <c r="D466" s="53" t="n">
        <v>1</v>
      </c>
      <c r="E466" s="65" t="str">
        <f aca="false">IF($H466="","",购销流水!$B121)</f>
        <v/>
      </c>
      <c r="F466" s="55" t="str">
        <f aca="false">IF($H466="","",购销流水!$C121)</f>
        <v/>
      </c>
      <c r="G466" s="48" t="str">
        <f aca="false">IF($H466="","",购销流水!$N121)</f>
        <v/>
      </c>
      <c r="H466" s="10" t="str">
        <f aca="false">IF($L466="","",IF($L466="@成本",购销流水!$U121,IF($L466="@收入",购销流水!$T121,IF($L466="@存货",购销流水!$S121,IF($L466="@结算",购销流水!$R121,$L466)))))</f>
        <v/>
      </c>
      <c r="I466" s="42" t="n">
        <f aca="false">IF($M466="借",$O466,0)</f>
        <v>0</v>
      </c>
      <c r="J466" s="42" t="n">
        <f aca="false">IF($M466="贷",$O466,0)</f>
        <v>0</v>
      </c>
      <c r="K466" s="48" t="str">
        <f aca="false">IF($H466="","",购销流水!$E121)</f>
        <v/>
      </c>
      <c r="L466" s="66" t="str">
        <f aca="false">IF(购销流水!$D121="","",IFERROR(INDEX(记账规则!$A$6:$N$9,MATCH(购销流水!$D121,记账规则!$A$6:$A$9,0),3),""))</f>
        <v/>
      </c>
      <c r="M466" s="66" t="str">
        <f aca="false">IF($L466="","",IFERROR(INDEX(记账规则!$A$6:$N$9,MATCH(购销流水!$D121,记账规则!$A$6:$A$9,0),4),""))</f>
        <v/>
      </c>
      <c r="N466" s="66" t="str">
        <f aca="false">IF($L466="","",IFERROR(INDEX(记账规则!$A$6:$N$9,MATCH(购销流水!$D121,记账规则!$A$6:$A$9,0),5),""))</f>
        <v/>
      </c>
      <c r="O466" s="67" t="n">
        <f aca="false">IF($H466="",0,ROUND(IF($N466="成本金额",N(购销流水!$W121),IF($N466="金额",N(购销流水!$Q121),0)),2))</f>
        <v>0</v>
      </c>
      <c r="P466" s="64" t="str">
        <f aca="false">IF(AND($H466&lt;&gt;"",ROUND($O466,2)&lt;&gt;0),"有","")</f>
        <v/>
      </c>
    </row>
    <row r="467" customFormat="false" ht="15" hidden="true" customHeight="false" outlineLevel="0" collapsed="false">
      <c r="A467" s="53" t="str">
        <f aca="false">IF($H467="","",ROW()-5)</f>
        <v/>
      </c>
      <c r="B467" s="64" t="s">
        <v>36</v>
      </c>
      <c r="C467" s="53" t="n">
        <v>121</v>
      </c>
      <c r="D467" s="53" t="n">
        <v>2</v>
      </c>
      <c r="E467" s="65" t="str">
        <f aca="false">IF($H467="","",购销流水!$B121)</f>
        <v/>
      </c>
      <c r="F467" s="55" t="str">
        <f aca="false">IF($H467="","",购销流水!$C121)</f>
        <v/>
      </c>
      <c r="G467" s="48" t="str">
        <f aca="false">IF($H467="","",购销流水!$N121)</f>
        <v/>
      </c>
      <c r="H467" s="10" t="str">
        <f aca="false">IF($L467="","",IF($L467="@成本",购销流水!$U121,IF($L467="@收入",购销流水!$T121,IF($L467="@存货",购销流水!$S121,IF($L467="@结算",购销流水!$R121,$L467)))))</f>
        <v/>
      </c>
      <c r="I467" s="42" t="n">
        <f aca="false">IF($M467="借",$O467,0)</f>
        <v>0</v>
      </c>
      <c r="J467" s="42" t="n">
        <f aca="false">IF($M467="贷",$O467,0)</f>
        <v>0</v>
      </c>
      <c r="K467" s="48" t="str">
        <f aca="false">IF($H467="","",购销流水!$E121)</f>
        <v/>
      </c>
      <c r="L467" s="66" t="str">
        <f aca="false">IF(购销流水!$D121="","",IFERROR(INDEX(记账规则!$A$6:$N$9,MATCH(购销流水!$D121,记账规则!$A$6:$A$9,0),6),""))</f>
        <v/>
      </c>
      <c r="M467" s="66" t="str">
        <f aca="false">IF($L467="","",IFERROR(INDEX(记账规则!$A$6:$N$9,MATCH(购销流水!$D121,记账规则!$A$6:$A$9,0),7),""))</f>
        <v/>
      </c>
      <c r="N467" s="66" t="str">
        <f aca="false">IF($L467="","",IFERROR(INDEX(记账规则!$A$6:$N$9,MATCH(购销流水!$D121,记账规则!$A$6:$A$9,0),8),""))</f>
        <v/>
      </c>
      <c r="O467" s="67" t="n">
        <f aca="false">IF($H467="",0,ROUND(IF($N467="成本金额",N(购销流水!$W121),IF($N467="金额",N(购销流水!$Q121),0)),2))</f>
        <v>0</v>
      </c>
      <c r="P467" s="64" t="str">
        <f aca="false">IF(AND($H467&lt;&gt;"",ROUND($O467,2)&lt;&gt;0),"有","")</f>
        <v/>
      </c>
    </row>
    <row r="468" customFormat="false" ht="15" hidden="true" customHeight="false" outlineLevel="0" collapsed="false">
      <c r="A468" s="53" t="str">
        <f aca="false">IF($H468="","",ROW()-5)</f>
        <v/>
      </c>
      <c r="B468" s="64" t="s">
        <v>36</v>
      </c>
      <c r="C468" s="53" t="n">
        <v>121</v>
      </c>
      <c r="D468" s="53" t="n">
        <v>3</v>
      </c>
      <c r="E468" s="65" t="str">
        <f aca="false">IF($H468="","",购销流水!$B121)</f>
        <v/>
      </c>
      <c r="F468" s="55" t="str">
        <f aca="false">IF($H468="","",购销流水!$C121)</f>
        <v/>
      </c>
      <c r="G468" s="48" t="str">
        <f aca="false">IF($H468="","",购销流水!$N121)</f>
        <v/>
      </c>
      <c r="H468" s="10" t="str">
        <f aca="false">IF($L468="","",IF($L468="@成本",购销流水!$U121,IF($L468="@收入",购销流水!$T121,IF($L468="@存货",购销流水!$S121,IF($L468="@结算",购销流水!$R121,$L468)))))</f>
        <v/>
      </c>
      <c r="I468" s="42" t="n">
        <f aca="false">IF($M468="借",$O468,0)</f>
        <v>0</v>
      </c>
      <c r="J468" s="42" t="n">
        <f aca="false">IF($M468="贷",$O468,0)</f>
        <v>0</v>
      </c>
      <c r="K468" s="48" t="str">
        <f aca="false">IF($H468="","",购销流水!$E121)</f>
        <v/>
      </c>
      <c r="L468" s="66" t="str">
        <f aca="false">IF(购销流水!$D121="","",IFERROR(INDEX(记账规则!$A$6:$N$9,MATCH(购销流水!$D121,记账规则!$A$6:$A$9,0),9),""))</f>
        <v/>
      </c>
      <c r="M468" s="66" t="str">
        <f aca="false">IF($L468="","",IFERROR(INDEX(记账规则!$A$6:$N$9,MATCH(购销流水!$D121,记账规则!$A$6:$A$9,0),10),""))</f>
        <v/>
      </c>
      <c r="N468" s="66" t="str">
        <f aca="false">IF($L468="","",IFERROR(INDEX(记账规则!$A$6:$N$9,MATCH(购销流水!$D121,记账规则!$A$6:$A$9,0),11),""))</f>
        <v/>
      </c>
      <c r="O468" s="67" t="n">
        <f aca="false">IF($H468="",0,ROUND(IF($N468="成本金额",N(购销流水!$W121),IF($N468="金额",N(购销流水!$Q121),0)),2))</f>
        <v>0</v>
      </c>
      <c r="P468" s="64" t="str">
        <f aca="false">IF(AND($H468&lt;&gt;"",ROUND($O468,2)&lt;&gt;0),"有","")</f>
        <v/>
      </c>
    </row>
    <row r="469" customFormat="false" ht="15" hidden="true" customHeight="false" outlineLevel="0" collapsed="false">
      <c r="A469" s="53" t="str">
        <f aca="false">IF($H469="","",ROW()-5)</f>
        <v/>
      </c>
      <c r="B469" s="64" t="s">
        <v>36</v>
      </c>
      <c r="C469" s="53" t="n">
        <v>121</v>
      </c>
      <c r="D469" s="53" t="n">
        <v>4</v>
      </c>
      <c r="E469" s="65" t="str">
        <f aca="false">IF($H469="","",购销流水!$B121)</f>
        <v/>
      </c>
      <c r="F469" s="55" t="str">
        <f aca="false">IF($H469="","",购销流水!$C121)</f>
        <v/>
      </c>
      <c r="G469" s="48" t="str">
        <f aca="false">IF($H469="","",购销流水!$N121)</f>
        <v/>
      </c>
      <c r="H469" s="10" t="str">
        <f aca="false">IF($L469="","",IF($L469="@成本",购销流水!$U121,IF($L469="@收入",购销流水!$T121,IF($L469="@存货",购销流水!$S121,IF($L469="@结算",购销流水!$R121,$L469)))))</f>
        <v/>
      </c>
      <c r="I469" s="42" t="n">
        <f aca="false">IF($M469="借",$O469,0)</f>
        <v>0</v>
      </c>
      <c r="J469" s="42" t="n">
        <f aca="false">IF($M469="贷",$O469,0)</f>
        <v>0</v>
      </c>
      <c r="K469" s="48" t="str">
        <f aca="false">IF($H469="","",购销流水!$E121)</f>
        <v/>
      </c>
      <c r="L469" s="66" t="str">
        <f aca="false">IF(购销流水!$D121="","",IFERROR(INDEX(记账规则!$A$6:$N$9,MATCH(购销流水!$D121,记账规则!$A$6:$A$9,0),12),""))</f>
        <v/>
      </c>
      <c r="M469" s="66" t="str">
        <f aca="false">IF($L469="","",IFERROR(INDEX(记账规则!$A$6:$N$9,MATCH(购销流水!$D121,记账规则!$A$6:$A$9,0),13),""))</f>
        <v/>
      </c>
      <c r="N469" s="66" t="str">
        <f aca="false">IF($L469="","",IFERROR(INDEX(记账规则!$A$6:$N$9,MATCH(购销流水!$D121,记账规则!$A$6:$A$9,0),14),""))</f>
        <v/>
      </c>
      <c r="O469" s="67" t="n">
        <f aca="false">IF($H469="",0,ROUND(IF($N469="成本金额",N(购销流水!$W121),IF($N469="金额",N(购销流水!$Q121),0)),2))</f>
        <v>0</v>
      </c>
      <c r="P469" s="64" t="str">
        <f aca="false">IF(AND($H469&lt;&gt;"",ROUND($O469,2)&lt;&gt;0),"有","")</f>
        <v/>
      </c>
    </row>
    <row r="470" customFormat="false" ht="15" hidden="true" customHeight="false" outlineLevel="0" collapsed="false">
      <c r="A470" s="53" t="str">
        <f aca="false">IF($H470="","",ROW()-5)</f>
        <v/>
      </c>
      <c r="B470" s="64" t="s">
        <v>36</v>
      </c>
      <c r="C470" s="53" t="n">
        <v>122</v>
      </c>
      <c r="D470" s="53" t="n">
        <v>1</v>
      </c>
      <c r="E470" s="65" t="str">
        <f aca="false">IF($H470="","",购销流水!$B122)</f>
        <v/>
      </c>
      <c r="F470" s="55" t="str">
        <f aca="false">IF($H470="","",购销流水!$C122)</f>
        <v/>
      </c>
      <c r="G470" s="48" t="str">
        <f aca="false">IF($H470="","",购销流水!$N122)</f>
        <v/>
      </c>
      <c r="H470" s="10" t="str">
        <f aca="false">IF($L470="","",IF($L470="@成本",购销流水!$U122,IF($L470="@收入",购销流水!$T122,IF($L470="@存货",购销流水!$S122,IF($L470="@结算",购销流水!$R122,$L470)))))</f>
        <v/>
      </c>
      <c r="I470" s="42" t="n">
        <f aca="false">IF($M470="借",$O470,0)</f>
        <v>0</v>
      </c>
      <c r="J470" s="42" t="n">
        <f aca="false">IF($M470="贷",$O470,0)</f>
        <v>0</v>
      </c>
      <c r="K470" s="48" t="str">
        <f aca="false">IF($H470="","",购销流水!$E122)</f>
        <v/>
      </c>
      <c r="L470" s="66" t="str">
        <f aca="false">IF(购销流水!$D122="","",IFERROR(INDEX(记账规则!$A$6:$N$9,MATCH(购销流水!$D122,记账规则!$A$6:$A$9,0),3),""))</f>
        <v/>
      </c>
      <c r="M470" s="66" t="str">
        <f aca="false">IF($L470="","",IFERROR(INDEX(记账规则!$A$6:$N$9,MATCH(购销流水!$D122,记账规则!$A$6:$A$9,0),4),""))</f>
        <v/>
      </c>
      <c r="N470" s="66" t="str">
        <f aca="false">IF($L470="","",IFERROR(INDEX(记账规则!$A$6:$N$9,MATCH(购销流水!$D122,记账规则!$A$6:$A$9,0),5),""))</f>
        <v/>
      </c>
      <c r="O470" s="67" t="n">
        <f aca="false">IF($H470="",0,ROUND(IF($N470="成本金额",N(购销流水!$W122),IF($N470="金额",N(购销流水!$Q122),0)),2))</f>
        <v>0</v>
      </c>
      <c r="P470" s="64" t="str">
        <f aca="false">IF(AND($H470&lt;&gt;"",ROUND($O470,2)&lt;&gt;0),"有","")</f>
        <v/>
      </c>
    </row>
    <row r="471" customFormat="false" ht="15" hidden="true" customHeight="false" outlineLevel="0" collapsed="false">
      <c r="A471" s="53" t="str">
        <f aca="false">IF($H471="","",ROW()-5)</f>
        <v/>
      </c>
      <c r="B471" s="64" t="s">
        <v>36</v>
      </c>
      <c r="C471" s="53" t="n">
        <v>122</v>
      </c>
      <c r="D471" s="53" t="n">
        <v>2</v>
      </c>
      <c r="E471" s="65" t="str">
        <f aca="false">IF($H471="","",购销流水!$B122)</f>
        <v/>
      </c>
      <c r="F471" s="55" t="str">
        <f aca="false">IF($H471="","",购销流水!$C122)</f>
        <v/>
      </c>
      <c r="G471" s="48" t="str">
        <f aca="false">IF($H471="","",购销流水!$N122)</f>
        <v/>
      </c>
      <c r="H471" s="10" t="str">
        <f aca="false">IF($L471="","",IF($L471="@成本",购销流水!$U122,IF($L471="@收入",购销流水!$T122,IF($L471="@存货",购销流水!$S122,IF($L471="@结算",购销流水!$R122,$L471)))))</f>
        <v/>
      </c>
      <c r="I471" s="42" t="n">
        <f aca="false">IF($M471="借",$O471,0)</f>
        <v>0</v>
      </c>
      <c r="J471" s="42" t="n">
        <f aca="false">IF($M471="贷",$O471,0)</f>
        <v>0</v>
      </c>
      <c r="K471" s="48" t="str">
        <f aca="false">IF($H471="","",购销流水!$E122)</f>
        <v/>
      </c>
      <c r="L471" s="66" t="str">
        <f aca="false">IF(购销流水!$D122="","",IFERROR(INDEX(记账规则!$A$6:$N$9,MATCH(购销流水!$D122,记账规则!$A$6:$A$9,0),6),""))</f>
        <v/>
      </c>
      <c r="M471" s="66" t="str">
        <f aca="false">IF($L471="","",IFERROR(INDEX(记账规则!$A$6:$N$9,MATCH(购销流水!$D122,记账规则!$A$6:$A$9,0),7),""))</f>
        <v/>
      </c>
      <c r="N471" s="66" t="str">
        <f aca="false">IF($L471="","",IFERROR(INDEX(记账规则!$A$6:$N$9,MATCH(购销流水!$D122,记账规则!$A$6:$A$9,0),8),""))</f>
        <v/>
      </c>
      <c r="O471" s="67" t="n">
        <f aca="false">IF($H471="",0,ROUND(IF($N471="成本金额",N(购销流水!$W122),IF($N471="金额",N(购销流水!$Q122),0)),2))</f>
        <v>0</v>
      </c>
      <c r="P471" s="64" t="str">
        <f aca="false">IF(AND($H471&lt;&gt;"",ROUND($O471,2)&lt;&gt;0),"有","")</f>
        <v/>
      </c>
    </row>
    <row r="472" customFormat="false" ht="15" hidden="true" customHeight="false" outlineLevel="0" collapsed="false">
      <c r="A472" s="53" t="str">
        <f aca="false">IF($H472="","",ROW()-5)</f>
        <v/>
      </c>
      <c r="B472" s="64" t="s">
        <v>36</v>
      </c>
      <c r="C472" s="53" t="n">
        <v>122</v>
      </c>
      <c r="D472" s="53" t="n">
        <v>3</v>
      </c>
      <c r="E472" s="65" t="str">
        <f aca="false">IF($H472="","",购销流水!$B122)</f>
        <v/>
      </c>
      <c r="F472" s="55" t="str">
        <f aca="false">IF($H472="","",购销流水!$C122)</f>
        <v/>
      </c>
      <c r="G472" s="48" t="str">
        <f aca="false">IF($H472="","",购销流水!$N122)</f>
        <v/>
      </c>
      <c r="H472" s="10" t="str">
        <f aca="false">IF($L472="","",IF($L472="@成本",购销流水!$U122,IF($L472="@收入",购销流水!$T122,IF($L472="@存货",购销流水!$S122,IF($L472="@结算",购销流水!$R122,$L472)))))</f>
        <v/>
      </c>
      <c r="I472" s="42" t="n">
        <f aca="false">IF($M472="借",$O472,0)</f>
        <v>0</v>
      </c>
      <c r="J472" s="42" t="n">
        <f aca="false">IF($M472="贷",$O472,0)</f>
        <v>0</v>
      </c>
      <c r="K472" s="48" t="str">
        <f aca="false">IF($H472="","",购销流水!$E122)</f>
        <v/>
      </c>
      <c r="L472" s="66" t="str">
        <f aca="false">IF(购销流水!$D122="","",IFERROR(INDEX(记账规则!$A$6:$N$9,MATCH(购销流水!$D122,记账规则!$A$6:$A$9,0),9),""))</f>
        <v/>
      </c>
      <c r="M472" s="66" t="str">
        <f aca="false">IF($L472="","",IFERROR(INDEX(记账规则!$A$6:$N$9,MATCH(购销流水!$D122,记账规则!$A$6:$A$9,0),10),""))</f>
        <v/>
      </c>
      <c r="N472" s="66" t="str">
        <f aca="false">IF($L472="","",IFERROR(INDEX(记账规则!$A$6:$N$9,MATCH(购销流水!$D122,记账规则!$A$6:$A$9,0),11),""))</f>
        <v/>
      </c>
      <c r="O472" s="67" t="n">
        <f aca="false">IF($H472="",0,ROUND(IF($N472="成本金额",N(购销流水!$W122),IF($N472="金额",N(购销流水!$Q122),0)),2))</f>
        <v>0</v>
      </c>
      <c r="P472" s="64" t="str">
        <f aca="false">IF(AND($H472&lt;&gt;"",ROUND($O472,2)&lt;&gt;0),"有","")</f>
        <v/>
      </c>
    </row>
    <row r="473" customFormat="false" ht="15" hidden="true" customHeight="false" outlineLevel="0" collapsed="false">
      <c r="A473" s="53" t="str">
        <f aca="false">IF($H473="","",ROW()-5)</f>
        <v/>
      </c>
      <c r="B473" s="64" t="s">
        <v>36</v>
      </c>
      <c r="C473" s="53" t="n">
        <v>122</v>
      </c>
      <c r="D473" s="53" t="n">
        <v>4</v>
      </c>
      <c r="E473" s="65" t="str">
        <f aca="false">IF($H473="","",购销流水!$B122)</f>
        <v/>
      </c>
      <c r="F473" s="55" t="str">
        <f aca="false">IF($H473="","",购销流水!$C122)</f>
        <v/>
      </c>
      <c r="G473" s="48" t="str">
        <f aca="false">IF($H473="","",购销流水!$N122)</f>
        <v/>
      </c>
      <c r="H473" s="10" t="str">
        <f aca="false">IF($L473="","",IF($L473="@成本",购销流水!$U122,IF($L473="@收入",购销流水!$T122,IF($L473="@存货",购销流水!$S122,IF($L473="@结算",购销流水!$R122,$L473)))))</f>
        <v/>
      </c>
      <c r="I473" s="42" t="n">
        <f aca="false">IF($M473="借",$O473,0)</f>
        <v>0</v>
      </c>
      <c r="J473" s="42" t="n">
        <f aca="false">IF($M473="贷",$O473,0)</f>
        <v>0</v>
      </c>
      <c r="K473" s="48" t="str">
        <f aca="false">IF($H473="","",购销流水!$E122)</f>
        <v/>
      </c>
      <c r="L473" s="66" t="str">
        <f aca="false">IF(购销流水!$D122="","",IFERROR(INDEX(记账规则!$A$6:$N$9,MATCH(购销流水!$D122,记账规则!$A$6:$A$9,0),12),""))</f>
        <v/>
      </c>
      <c r="M473" s="66" t="str">
        <f aca="false">IF($L473="","",IFERROR(INDEX(记账规则!$A$6:$N$9,MATCH(购销流水!$D122,记账规则!$A$6:$A$9,0),13),""))</f>
        <v/>
      </c>
      <c r="N473" s="66" t="str">
        <f aca="false">IF($L473="","",IFERROR(INDEX(记账规则!$A$6:$N$9,MATCH(购销流水!$D122,记账规则!$A$6:$A$9,0),14),""))</f>
        <v/>
      </c>
      <c r="O473" s="67" t="n">
        <f aca="false">IF($H473="",0,ROUND(IF($N473="成本金额",N(购销流水!$W122),IF($N473="金额",N(购销流水!$Q122),0)),2))</f>
        <v>0</v>
      </c>
      <c r="P473" s="64" t="str">
        <f aca="false">IF(AND($H473&lt;&gt;"",ROUND($O473,2)&lt;&gt;0),"有","")</f>
        <v/>
      </c>
    </row>
    <row r="474" customFormat="false" ht="15" hidden="true" customHeight="false" outlineLevel="0" collapsed="false">
      <c r="A474" s="53" t="str">
        <f aca="false">IF($H474="","",ROW()-5)</f>
        <v/>
      </c>
      <c r="B474" s="64" t="s">
        <v>36</v>
      </c>
      <c r="C474" s="53" t="n">
        <v>123</v>
      </c>
      <c r="D474" s="53" t="n">
        <v>1</v>
      </c>
      <c r="E474" s="65" t="str">
        <f aca="false">IF($H474="","",购销流水!$B123)</f>
        <v/>
      </c>
      <c r="F474" s="55" t="str">
        <f aca="false">IF($H474="","",购销流水!$C123)</f>
        <v/>
      </c>
      <c r="G474" s="48" t="str">
        <f aca="false">IF($H474="","",购销流水!$N123)</f>
        <v/>
      </c>
      <c r="H474" s="10" t="str">
        <f aca="false">IF($L474="","",IF($L474="@成本",购销流水!$U123,IF($L474="@收入",购销流水!$T123,IF($L474="@存货",购销流水!$S123,IF($L474="@结算",购销流水!$R123,$L474)))))</f>
        <v/>
      </c>
      <c r="I474" s="42" t="n">
        <f aca="false">IF($M474="借",$O474,0)</f>
        <v>0</v>
      </c>
      <c r="J474" s="42" t="n">
        <f aca="false">IF($M474="贷",$O474,0)</f>
        <v>0</v>
      </c>
      <c r="K474" s="48" t="str">
        <f aca="false">IF($H474="","",购销流水!$E123)</f>
        <v/>
      </c>
      <c r="L474" s="66" t="str">
        <f aca="false">IF(购销流水!$D123="","",IFERROR(INDEX(记账规则!$A$6:$N$9,MATCH(购销流水!$D123,记账规则!$A$6:$A$9,0),3),""))</f>
        <v/>
      </c>
      <c r="M474" s="66" t="str">
        <f aca="false">IF($L474="","",IFERROR(INDEX(记账规则!$A$6:$N$9,MATCH(购销流水!$D123,记账规则!$A$6:$A$9,0),4),""))</f>
        <v/>
      </c>
      <c r="N474" s="66" t="str">
        <f aca="false">IF($L474="","",IFERROR(INDEX(记账规则!$A$6:$N$9,MATCH(购销流水!$D123,记账规则!$A$6:$A$9,0),5),""))</f>
        <v/>
      </c>
      <c r="O474" s="67" t="n">
        <f aca="false">IF($H474="",0,ROUND(IF($N474="成本金额",N(购销流水!$W123),IF($N474="金额",N(购销流水!$Q123),0)),2))</f>
        <v>0</v>
      </c>
      <c r="P474" s="64" t="str">
        <f aca="false">IF(AND($H474&lt;&gt;"",ROUND($O474,2)&lt;&gt;0),"有","")</f>
        <v/>
      </c>
    </row>
    <row r="475" customFormat="false" ht="15" hidden="true" customHeight="false" outlineLevel="0" collapsed="false">
      <c r="A475" s="53" t="str">
        <f aca="false">IF($H475="","",ROW()-5)</f>
        <v/>
      </c>
      <c r="B475" s="64" t="s">
        <v>36</v>
      </c>
      <c r="C475" s="53" t="n">
        <v>123</v>
      </c>
      <c r="D475" s="53" t="n">
        <v>2</v>
      </c>
      <c r="E475" s="65" t="str">
        <f aca="false">IF($H475="","",购销流水!$B123)</f>
        <v/>
      </c>
      <c r="F475" s="55" t="str">
        <f aca="false">IF($H475="","",购销流水!$C123)</f>
        <v/>
      </c>
      <c r="G475" s="48" t="str">
        <f aca="false">IF($H475="","",购销流水!$N123)</f>
        <v/>
      </c>
      <c r="H475" s="10" t="str">
        <f aca="false">IF($L475="","",IF($L475="@成本",购销流水!$U123,IF($L475="@收入",购销流水!$T123,IF($L475="@存货",购销流水!$S123,IF($L475="@结算",购销流水!$R123,$L475)))))</f>
        <v/>
      </c>
      <c r="I475" s="42" t="n">
        <f aca="false">IF($M475="借",$O475,0)</f>
        <v>0</v>
      </c>
      <c r="J475" s="42" t="n">
        <f aca="false">IF($M475="贷",$O475,0)</f>
        <v>0</v>
      </c>
      <c r="K475" s="48" t="str">
        <f aca="false">IF($H475="","",购销流水!$E123)</f>
        <v/>
      </c>
      <c r="L475" s="66" t="str">
        <f aca="false">IF(购销流水!$D123="","",IFERROR(INDEX(记账规则!$A$6:$N$9,MATCH(购销流水!$D123,记账规则!$A$6:$A$9,0),6),""))</f>
        <v/>
      </c>
      <c r="M475" s="66" t="str">
        <f aca="false">IF($L475="","",IFERROR(INDEX(记账规则!$A$6:$N$9,MATCH(购销流水!$D123,记账规则!$A$6:$A$9,0),7),""))</f>
        <v/>
      </c>
      <c r="N475" s="66" t="str">
        <f aca="false">IF($L475="","",IFERROR(INDEX(记账规则!$A$6:$N$9,MATCH(购销流水!$D123,记账规则!$A$6:$A$9,0),8),""))</f>
        <v/>
      </c>
      <c r="O475" s="67" t="n">
        <f aca="false">IF($H475="",0,ROUND(IF($N475="成本金额",N(购销流水!$W123),IF($N475="金额",N(购销流水!$Q123),0)),2))</f>
        <v>0</v>
      </c>
      <c r="P475" s="64" t="str">
        <f aca="false">IF(AND($H475&lt;&gt;"",ROUND($O475,2)&lt;&gt;0),"有","")</f>
        <v/>
      </c>
    </row>
    <row r="476" customFormat="false" ht="15" hidden="true" customHeight="false" outlineLevel="0" collapsed="false">
      <c r="A476" s="53" t="str">
        <f aca="false">IF($H476="","",ROW()-5)</f>
        <v/>
      </c>
      <c r="B476" s="64" t="s">
        <v>36</v>
      </c>
      <c r="C476" s="53" t="n">
        <v>123</v>
      </c>
      <c r="D476" s="53" t="n">
        <v>3</v>
      </c>
      <c r="E476" s="65" t="str">
        <f aca="false">IF($H476="","",购销流水!$B123)</f>
        <v/>
      </c>
      <c r="F476" s="55" t="str">
        <f aca="false">IF($H476="","",购销流水!$C123)</f>
        <v/>
      </c>
      <c r="G476" s="48" t="str">
        <f aca="false">IF($H476="","",购销流水!$N123)</f>
        <v/>
      </c>
      <c r="H476" s="10" t="str">
        <f aca="false">IF($L476="","",IF($L476="@成本",购销流水!$U123,IF($L476="@收入",购销流水!$T123,IF($L476="@存货",购销流水!$S123,IF($L476="@结算",购销流水!$R123,$L476)))))</f>
        <v/>
      </c>
      <c r="I476" s="42" t="n">
        <f aca="false">IF($M476="借",$O476,0)</f>
        <v>0</v>
      </c>
      <c r="J476" s="42" t="n">
        <f aca="false">IF($M476="贷",$O476,0)</f>
        <v>0</v>
      </c>
      <c r="K476" s="48" t="str">
        <f aca="false">IF($H476="","",购销流水!$E123)</f>
        <v/>
      </c>
      <c r="L476" s="66" t="str">
        <f aca="false">IF(购销流水!$D123="","",IFERROR(INDEX(记账规则!$A$6:$N$9,MATCH(购销流水!$D123,记账规则!$A$6:$A$9,0),9),""))</f>
        <v/>
      </c>
      <c r="M476" s="66" t="str">
        <f aca="false">IF($L476="","",IFERROR(INDEX(记账规则!$A$6:$N$9,MATCH(购销流水!$D123,记账规则!$A$6:$A$9,0),10),""))</f>
        <v/>
      </c>
      <c r="N476" s="66" t="str">
        <f aca="false">IF($L476="","",IFERROR(INDEX(记账规则!$A$6:$N$9,MATCH(购销流水!$D123,记账规则!$A$6:$A$9,0),11),""))</f>
        <v/>
      </c>
      <c r="O476" s="67" t="n">
        <f aca="false">IF($H476="",0,ROUND(IF($N476="成本金额",N(购销流水!$W123),IF($N476="金额",N(购销流水!$Q123),0)),2))</f>
        <v>0</v>
      </c>
      <c r="P476" s="64" t="str">
        <f aca="false">IF(AND($H476&lt;&gt;"",ROUND($O476,2)&lt;&gt;0),"有","")</f>
        <v/>
      </c>
    </row>
    <row r="477" customFormat="false" ht="15" hidden="true" customHeight="false" outlineLevel="0" collapsed="false">
      <c r="A477" s="53" t="str">
        <f aca="false">IF($H477="","",ROW()-5)</f>
        <v/>
      </c>
      <c r="B477" s="64" t="s">
        <v>36</v>
      </c>
      <c r="C477" s="53" t="n">
        <v>123</v>
      </c>
      <c r="D477" s="53" t="n">
        <v>4</v>
      </c>
      <c r="E477" s="65" t="str">
        <f aca="false">IF($H477="","",购销流水!$B123)</f>
        <v/>
      </c>
      <c r="F477" s="55" t="str">
        <f aca="false">IF($H477="","",购销流水!$C123)</f>
        <v/>
      </c>
      <c r="G477" s="48" t="str">
        <f aca="false">IF($H477="","",购销流水!$N123)</f>
        <v/>
      </c>
      <c r="H477" s="10" t="str">
        <f aca="false">IF($L477="","",IF($L477="@成本",购销流水!$U123,IF($L477="@收入",购销流水!$T123,IF($L477="@存货",购销流水!$S123,IF($L477="@结算",购销流水!$R123,$L477)))))</f>
        <v/>
      </c>
      <c r="I477" s="42" t="n">
        <f aca="false">IF($M477="借",$O477,0)</f>
        <v>0</v>
      </c>
      <c r="J477" s="42" t="n">
        <f aca="false">IF($M477="贷",$O477,0)</f>
        <v>0</v>
      </c>
      <c r="K477" s="48" t="str">
        <f aca="false">IF($H477="","",购销流水!$E123)</f>
        <v/>
      </c>
      <c r="L477" s="66" t="str">
        <f aca="false">IF(购销流水!$D123="","",IFERROR(INDEX(记账规则!$A$6:$N$9,MATCH(购销流水!$D123,记账规则!$A$6:$A$9,0),12),""))</f>
        <v/>
      </c>
      <c r="M477" s="66" t="str">
        <f aca="false">IF($L477="","",IFERROR(INDEX(记账规则!$A$6:$N$9,MATCH(购销流水!$D123,记账规则!$A$6:$A$9,0),13),""))</f>
        <v/>
      </c>
      <c r="N477" s="66" t="str">
        <f aca="false">IF($L477="","",IFERROR(INDEX(记账规则!$A$6:$N$9,MATCH(购销流水!$D123,记账规则!$A$6:$A$9,0),14),""))</f>
        <v/>
      </c>
      <c r="O477" s="67" t="n">
        <f aca="false">IF($H477="",0,ROUND(IF($N477="成本金额",N(购销流水!$W123),IF($N477="金额",N(购销流水!$Q123),0)),2))</f>
        <v>0</v>
      </c>
      <c r="P477" s="64" t="str">
        <f aca="false">IF(AND($H477&lt;&gt;"",ROUND($O477,2)&lt;&gt;0),"有","")</f>
        <v/>
      </c>
    </row>
    <row r="478" customFormat="false" ht="15" hidden="true" customHeight="false" outlineLevel="0" collapsed="false">
      <c r="A478" s="53" t="str">
        <f aca="false">IF($H478="","",ROW()-5)</f>
        <v/>
      </c>
      <c r="B478" s="64" t="s">
        <v>36</v>
      </c>
      <c r="C478" s="53" t="n">
        <v>124</v>
      </c>
      <c r="D478" s="53" t="n">
        <v>1</v>
      </c>
      <c r="E478" s="65" t="str">
        <f aca="false">IF($H478="","",购销流水!$B124)</f>
        <v/>
      </c>
      <c r="F478" s="55" t="str">
        <f aca="false">IF($H478="","",购销流水!$C124)</f>
        <v/>
      </c>
      <c r="G478" s="48" t="str">
        <f aca="false">IF($H478="","",购销流水!$N124)</f>
        <v/>
      </c>
      <c r="H478" s="10" t="str">
        <f aca="false">IF($L478="","",IF($L478="@成本",购销流水!$U124,IF($L478="@收入",购销流水!$T124,IF($L478="@存货",购销流水!$S124,IF($L478="@结算",购销流水!$R124,$L478)))))</f>
        <v/>
      </c>
      <c r="I478" s="42" t="n">
        <f aca="false">IF($M478="借",$O478,0)</f>
        <v>0</v>
      </c>
      <c r="J478" s="42" t="n">
        <f aca="false">IF($M478="贷",$O478,0)</f>
        <v>0</v>
      </c>
      <c r="K478" s="48" t="str">
        <f aca="false">IF($H478="","",购销流水!$E124)</f>
        <v/>
      </c>
      <c r="L478" s="66" t="str">
        <f aca="false">IF(购销流水!$D124="","",IFERROR(INDEX(记账规则!$A$6:$N$9,MATCH(购销流水!$D124,记账规则!$A$6:$A$9,0),3),""))</f>
        <v/>
      </c>
      <c r="M478" s="66" t="str">
        <f aca="false">IF($L478="","",IFERROR(INDEX(记账规则!$A$6:$N$9,MATCH(购销流水!$D124,记账规则!$A$6:$A$9,0),4),""))</f>
        <v/>
      </c>
      <c r="N478" s="66" t="str">
        <f aca="false">IF($L478="","",IFERROR(INDEX(记账规则!$A$6:$N$9,MATCH(购销流水!$D124,记账规则!$A$6:$A$9,0),5),""))</f>
        <v/>
      </c>
      <c r="O478" s="67" t="n">
        <f aca="false">IF($H478="",0,ROUND(IF($N478="成本金额",N(购销流水!$W124),IF($N478="金额",N(购销流水!$Q124),0)),2))</f>
        <v>0</v>
      </c>
      <c r="P478" s="64" t="str">
        <f aca="false">IF(AND($H478&lt;&gt;"",ROUND($O478,2)&lt;&gt;0),"有","")</f>
        <v/>
      </c>
    </row>
    <row r="479" customFormat="false" ht="15" hidden="true" customHeight="false" outlineLevel="0" collapsed="false">
      <c r="A479" s="53" t="str">
        <f aca="false">IF($H479="","",ROW()-5)</f>
        <v/>
      </c>
      <c r="B479" s="64" t="s">
        <v>36</v>
      </c>
      <c r="C479" s="53" t="n">
        <v>124</v>
      </c>
      <c r="D479" s="53" t="n">
        <v>2</v>
      </c>
      <c r="E479" s="65" t="str">
        <f aca="false">IF($H479="","",购销流水!$B124)</f>
        <v/>
      </c>
      <c r="F479" s="55" t="str">
        <f aca="false">IF($H479="","",购销流水!$C124)</f>
        <v/>
      </c>
      <c r="G479" s="48" t="str">
        <f aca="false">IF($H479="","",购销流水!$N124)</f>
        <v/>
      </c>
      <c r="H479" s="10" t="str">
        <f aca="false">IF($L479="","",IF($L479="@成本",购销流水!$U124,IF($L479="@收入",购销流水!$T124,IF($L479="@存货",购销流水!$S124,IF($L479="@结算",购销流水!$R124,$L479)))))</f>
        <v/>
      </c>
      <c r="I479" s="42" t="n">
        <f aca="false">IF($M479="借",$O479,0)</f>
        <v>0</v>
      </c>
      <c r="J479" s="42" t="n">
        <f aca="false">IF($M479="贷",$O479,0)</f>
        <v>0</v>
      </c>
      <c r="K479" s="48" t="str">
        <f aca="false">IF($H479="","",购销流水!$E124)</f>
        <v/>
      </c>
      <c r="L479" s="66" t="str">
        <f aca="false">IF(购销流水!$D124="","",IFERROR(INDEX(记账规则!$A$6:$N$9,MATCH(购销流水!$D124,记账规则!$A$6:$A$9,0),6),""))</f>
        <v/>
      </c>
      <c r="M479" s="66" t="str">
        <f aca="false">IF($L479="","",IFERROR(INDEX(记账规则!$A$6:$N$9,MATCH(购销流水!$D124,记账规则!$A$6:$A$9,0),7),""))</f>
        <v/>
      </c>
      <c r="N479" s="66" t="str">
        <f aca="false">IF($L479="","",IFERROR(INDEX(记账规则!$A$6:$N$9,MATCH(购销流水!$D124,记账规则!$A$6:$A$9,0),8),""))</f>
        <v/>
      </c>
      <c r="O479" s="67" t="n">
        <f aca="false">IF($H479="",0,ROUND(IF($N479="成本金额",N(购销流水!$W124),IF($N479="金额",N(购销流水!$Q124),0)),2))</f>
        <v>0</v>
      </c>
      <c r="P479" s="64" t="str">
        <f aca="false">IF(AND($H479&lt;&gt;"",ROUND($O479,2)&lt;&gt;0),"有","")</f>
        <v/>
      </c>
    </row>
    <row r="480" customFormat="false" ht="15" hidden="true" customHeight="false" outlineLevel="0" collapsed="false">
      <c r="A480" s="53" t="str">
        <f aca="false">IF($H480="","",ROW()-5)</f>
        <v/>
      </c>
      <c r="B480" s="64" t="s">
        <v>36</v>
      </c>
      <c r="C480" s="53" t="n">
        <v>124</v>
      </c>
      <c r="D480" s="53" t="n">
        <v>3</v>
      </c>
      <c r="E480" s="65" t="str">
        <f aca="false">IF($H480="","",购销流水!$B124)</f>
        <v/>
      </c>
      <c r="F480" s="55" t="str">
        <f aca="false">IF($H480="","",购销流水!$C124)</f>
        <v/>
      </c>
      <c r="G480" s="48" t="str">
        <f aca="false">IF($H480="","",购销流水!$N124)</f>
        <v/>
      </c>
      <c r="H480" s="10" t="str">
        <f aca="false">IF($L480="","",IF($L480="@成本",购销流水!$U124,IF($L480="@收入",购销流水!$T124,IF($L480="@存货",购销流水!$S124,IF($L480="@结算",购销流水!$R124,$L480)))))</f>
        <v/>
      </c>
      <c r="I480" s="42" t="n">
        <f aca="false">IF($M480="借",$O480,0)</f>
        <v>0</v>
      </c>
      <c r="J480" s="42" t="n">
        <f aca="false">IF($M480="贷",$O480,0)</f>
        <v>0</v>
      </c>
      <c r="K480" s="48" t="str">
        <f aca="false">IF($H480="","",购销流水!$E124)</f>
        <v/>
      </c>
      <c r="L480" s="66" t="str">
        <f aca="false">IF(购销流水!$D124="","",IFERROR(INDEX(记账规则!$A$6:$N$9,MATCH(购销流水!$D124,记账规则!$A$6:$A$9,0),9),""))</f>
        <v/>
      </c>
      <c r="M480" s="66" t="str">
        <f aca="false">IF($L480="","",IFERROR(INDEX(记账规则!$A$6:$N$9,MATCH(购销流水!$D124,记账规则!$A$6:$A$9,0),10),""))</f>
        <v/>
      </c>
      <c r="N480" s="66" t="str">
        <f aca="false">IF($L480="","",IFERROR(INDEX(记账规则!$A$6:$N$9,MATCH(购销流水!$D124,记账规则!$A$6:$A$9,0),11),""))</f>
        <v/>
      </c>
      <c r="O480" s="67" t="n">
        <f aca="false">IF($H480="",0,ROUND(IF($N480="成本金额",N(购销流水!$W124),IF($N480="金额",N(购销流水!$Q124),0)),2))</f>
        <v>0</v>
      </c>
      <c r="P480" s="64" t="str">
        <f aca="false">IF(AND($H480&lt;&gt;"",ROUND($O480,2)&lt;&gt;0),"有","")</f>
        <v/>
      </c>
    </row>
    <row r="481" customFormat="false" ht="15" hidden="true" customHeight="false" outlineLevel="0" collapsed="false">
      <c r="A481" s="53" t="str">
        <f aca="false">IF($H481="","",ROW()-5)</f>
        <v/>
      </c>
      <c r="B481" s="64" t="s">
        <v>36</v>
      </c>
      <c r="C481" s="53" t="n">
        <v>124</v>
      </c>
      <c r="D481" s="53" t="n">
        <v>4</v>
      </c>
      <c r="E481" s="65" t="str">
        <f aca="false">IF($H481="","",购销流水!$B124)</f>
        <v/>
      </c>
      <c r="F481" s="55" t="str">
        <f aca="false">IF($H481="","",购销流水!$C124)</f>
        <v/>
      </c>
      <c r="G481" s="48" t="str">
        <f aca="false">IF($H481="","",购销流水!$N124)</f>
        <v/>
      </c>
      <c r="H481" s="10" t="str">
        <f aca="false">IF($L481="","",IF($L481="@成本",购销流水!$U124,IF($L481="@收入",购销流水!$T124,IF($L481="@存货",购销流水!$S124,IF($L481="@结算",购销流水!$R124,$L481)))))</f>
        <v/>
      </c>
      <c r="I481" s="42" t="n">
        <f aca="false">IF($M481="借",$O481,0)</f>
        <v>0</v>
      </c>
      <c r="J481" s="42" t="n">
        <f aca="false">IF($M481="贷",$O481,0)</f>
        <v>0</v>
      </c>
      <c r="K481" s="48" t="str">
        <f aca="false">IF($H481="","",购销流水!$E124)</f>
        <v/>
      </c>
      <c r="L481" s="66" t="str">
        <f aca="false">IF(购销流水!$D124="","",IFERROR(INDEX(记账规则!$A$6:$N$9,MATCH(购销流水!$D124,记账规则!$A$6:$A$9,0),12),""))</f>
        <v/>
      </c>
      <c r="M481" s="66" t="str">
        <f aca="false">IF($L481="","",IFERROR(INDEX(记账规则!$A$6:$N$9,MATCH(购销流水!$D124,记账规则!$A$6:$A$9,0),13),""))</f>
        <v/>
      </c>
      <c r="N481" s="66" t="str">
        <f aca="false">IF($L481="","",IFERROR(INDEX(记账规则!$A$6:$N$9,MATCH(购销流水!$D124,记账规则!$A$6:$A$9,0),14),""))</f>
        <v/>
      </c>
      <c r="O481" s="67" t="n">
        <f aca="false">IF($H481="",0,ROUND(IF($N481="成本金额",N(购销流水!$W124),IF($N481="金额",N(购销流水!$Q124),0)),2))</f>
        <v>0</v>
      </c>
      <c r="P481" s="64" t="str">
        <f aca="false">IF(AND($H481&lt;&gt;"",ROUND($O481,2)&lt;&gt;0),"有","")</f>
        <v/>
      </c>
    </row>
    <row r="482" customFormat="false" ht="15" hidden="true" customHeight="false" outlineLevel="0" collapsed="false">
      <c r="A482" s="53" t="str">
        <f aca="false">IF($H482="","",ROW()-5)</f>
        <v/>
      </c>
      <c r="B482" s="64" t="s">
        <v>36</v>
      </c>
      <c r="C482" s="53" t="n">
        <v>125</v>
      </c>
      <c r="D482" s="53" t="n">
        <v>1</v>
      </c>
      <c r="E482" s="65" t="str">
        <f aca="false">IF($H482="","",购销流水!$B125)</f>
        <v/>
      </c>
      <c r="F482" s="55" t="str">
        <f aca="false">IF($H482="","",购销流水!$C125)</f>
        <v/>
      </c>
      <c r="G482" s="48" t="str">
        <f aca="false">IF($H482="","",购销流水!$N125)</f>
        <v/>
      </c>
      <c r="H482" s="10" t="str">
        <f aca="false">IF($L482="","",IF($L482="@成本",购销流水!$U125,IF($L482="@收入",购销流水!$T125,IF($L482="@存货",购销流水!$S125,IF($L482="@结算",购销流水!$R125,$L482)))))</f>
        <v/>
      </c>
      <c r="I482" s="42" t="n">
        <f aca="false">IF($M482="借",$O482,0)</f>
        <v>0</v>
      </c>
      <c r="J482" s="42" t="n">
        <f aca="false">IF($M482="贷",$O482,0)</f>
        <v>0</v>
      </c>
      <c r="K482" s="48" t="str">
        <f aca="false">IF($H482="","",购销流水!$E125)</f>
        <v/>
      </c>
      <c r="L482" s="66" t="str">
        <f aca="false">IF(购销流水!$D125="","",IFERROR(INDEX(记账规则!$A$6:$N$9,MATCH(购销流水!$D125,记账规则!$A$6:$A$9,0),3),""))</f>
        <v/>
      </c>
      <c r="M482" s="66" t="str">
        <f aca="false">IF($L482="","",IFERROR(INDEX(记账规则!$A$6:$N$9,MATCH(购销流水!$D125,记账规则!$A$6:$A$9,0),4),""))</f>
        <v/>
      </c>
      <c r="N482" s="66" t="str">
        <f aca="false">IF($L482="","",IFERROR(INDEX(记账规则!$A$6:$N$9,MATCH(购销流水!$D125,记账规则!$A$6:$A$9,0),5),""))</f>
        <v/>
      </c>
      <c r="O482" s="67" t="n">
        <f aca="false">IF($H482="",0,ROUND(IF($N482="成本金额",N(购销流水!$W125),IF($N482="金额",N(购销流水!$Q125),0)),2))</f>
        <v>0</v>
      </c>
      <c r="P482" s="64" t="str">
        <f aca="false">IF(AND($H482&lt;&gt;"",ROUND($O482,2)&lt;&gt;0),"有","")</f>
        <v/>
      </c>
    </row>
    <row r="483" customFormat="false" ht="15" hidden="true" customHeight="false" outlineLevel="0" collapsed="false">
      <c r="A483" s="53" t="str">
        <f aca="false">IF($H483="","",ROW()-5)</f>
        <v/>
      </c>
      <c r="B483" s="64" t="s">
        <v>36</v>
      </c>
      <c r="C483" s="53" t="n">
        <v>125</v>
      </c>
      <c r="D483" s="53" t="n">
        <v>2</v>
      </c>
      <c r="E483" s="65" t="str">
        <f aca="false">IF($H483="","",购销流水!$B125)</f>
        <v/>
      </c>
      <c r="F483" s="55" t="str">
        <f aca="false">IF($H483="","",购销流水!$C125)</f>
        <v/>
      </c>
      <c r="G483" s="48" t="str">
        <f aca="false">IF($H483="","",购销流水!$N125)</f>
        <v/>
      </c>
      <c r="H483" s="10" t="str">
        <f aca="false">IF($L483="","",IF($L483="@成本",购销流水!$U125,IF($L483="@收入",购销流水!$T125,IF($L483="@存货",购销流水!$S125,IF($L483="@结算",购销流水!$R125,$L483)))))</f>
        <v/>
      </c>
      <c r="I483" s="42" t="n">
        <f aca="false">IF($M483="借",$O483,0)</f>
        <v>0</v>
      </c>
      <c r="J483" s="42" t="n">
        <f aca="false">IF($M483="贷",$O483,0)</f>
        <v>0</v>
      </c>
      <c r="K483" s="48" t="str">
        <f aca="false">IF($H483="","",购销流水!$E125)</f>
        <v/>
      </c>
      <c r="L483" s="66" t="str">
        <f aca="false">IF(购销流水!$D125="","",IFERROR(INDEX(记账规则!$A$6:$N$9,MATCH(购销流水!$D125,记账规则!$A$6:$A$9,0),6),""))</f>
        <v/>
      </c>
      <c r="M483" s="66" t="str">
        <f aca="false">IF($L483="","",IFERROR(INDEX(记账规则!$A$6:$N$9,MATCH(购销流水!$D125,记账规则!$A$6:$A$9,0),7),""))</f>
        <v/>
      </c>
      <c r="N483" s="66" t="str">
        <f aca="false">IF($L483="","",IFERROR(INDEX(记账规则!$A$6:$N$9,MATCH(购销流水!$D125,记账规则!$A$6:$A$9,0),8),""))</f>
        <v/>
      </c>
      <c r="O483" s="67" t="n">
        <f aca="false">IF($H483="",0,ROUND(IF($N483="成本金额",N(购销流水!$W125),IF($N483="金额",N(购销流水!$Q125),0)),2))</f>
        <v>0</v>
      </c>
      <c r="P483" s="64" t="str">
        <f aca="false">IF(AND($H483&lt;&gt;"",ROUND($O483,2)&lt;&gt;0),"有","")</f>
        <v/>
      </c>
    </row>
    <row r="484" customFormat="false" ht="15" hidden="true" customHeight="false" outlineLevel="0" collapsed="false">
      <c r="A484" s="53" t="str">
        <f aca="false">IF($H484="","",ROW()-5)</f>
        <v/>
      </c>
      <c r="B484" s="64" t="s">
        <v>36</v>
      </c>
      <c r="C484" s="53" t="n">
        <v>125</v>
      </c>
      <c r="D484" s="53" t="n">
        <v>3</v>
      </c>
      <c r="E484" s="65" t="str">
        <f aca="false">IF($H484="","",购销流水!$B125)</f>
        <v/>
      </c>
      <c r="F484" s="55" t="str">
        <f aca="false">IF($H484="","",购销流水!$C125)</f>
        <v/>
      </c>
      <c r="G484" s="48" t="str">
        <f aca="false">IF($H484="","",购销流水!$N125)</f>
        <v/>
      </c>
      <c r="H484" s="10" t="str">
        <f aca="false">IF($L484="","",IF($L484="@成本",购销流水!$U125,IF($L484="@收入",购销流水!$T125,IF($L484="@存货",购销流水!$S125,IF($L484="@结算",购销流水!$R125,$L484)))))</f>
        <v/>
      </c>
      <c r="I484" s="42" t="n">
        <f aca="false">IF($M484="借",$O484,0)</f>
        <v>0</v>
      </c>
      <c r="J484" s="42" t="n">
        <f aca="false">IF($M484="贷",$O484,0)</f>
        <v>0</v>
      </c>
      <c r="K484" s="48" t="str">
        <f aca="false">IF($H484="","",购销流水!$E125)</f>
        <v/>
      </c>
      <c r="L484" s="66" t="str">
        <f aca="false">IF(购销流水!$D125="","",IFERROR(INDEX(记账规则!$A$6:$N$9,MATCH(购销流水!$D125,记账规则!$A$6:$A$9,0),9),""))</f>
        <v/>
      </c>
      <c r="M484" s="66" t="str">
        <f aca="false">IF($L484="","",IFERROR(INDEX(记账规则!$A$6:$N$9,MATCH(购销流水!$D125,记账规则!$A$6:$A$9,0),10),""))</f>
        <v/>
      </c>
      <c r="N484" s="66" t="str">
        <f aca="false">IF($L484="","",IFERROR(INDEX(记账规则!$A$6:$N$9,MATCH(购销流水!$D125,记账规则!$A$6:$A$9,0),11),""))</f>
        <v/>
      </c>
      <c r="O484" s="67" t="n">
        <f aca="false">IF($H484="",0,ROUND(IF($N484="成本金额",N(购销流水!$W125),IF($N484="金额",N(购销流水!$Q125),0)),2))</f>
        <v>0</v>
      </c>
      <c r="P484" s="64" t="str">
        <f aca="false">IF(AND($H484&lt;&gt;"",ROUND($O484,2)&lt;&gt;0),"有","")</f>
        <v/>
      </c>
    </row>
    <row r="485" customFormat="false" ht="15" hidden="true" customHeight="false" outlineLevel="0" collapsed="false">
      <c r="A485" s="53" t="str">
        <f aca="false">IF($H485="","",ROW()-5)</f>
        <v/>
      </c>
      <c r="B485" s="64" t="s">
        <v>36</v>
      </c>
      <c r="C485" s="53" t="n">
        <v>125</v>
      </c>
      <c r="D485" s="53" t="n">
        <v>4</v>
      </c>
      <c r="E485" s="65" t="str">
        <f aca="false">IF($H485="","",购销流水!$B125)</f>
        <v/>
      </c>
      <c r="F485" s="55" t="str">
        <f aca="false">IF($H485="","",购销流水!$C125)</f>
        <v/>
      </c>
      <c r="G485" s="48" t="str">
        <f aca="false">IF($H485="","",购销流水!$N125)</f>
        <v/>
      </c>
      <c r="H485" s="10" t="str">
        <f aca="false">IF($L485="","",IF($L485="@成本",购销流水!$U125,IF($L485="@收入",购销流水!$T125,IF($L485="@存货",购销流水!$S125,IF($L485="@结算",购销流水!$R125,$L485)))))</f>
        <v/>
      </c>
      <c r="I485" s="42" t="n">
        <f aca="false">IF($M485="借",$O485,0)</f>
        <v>0</v>
      </c>
      <c r="J485" s="42" t="n">
        <f aca="false">IF($M485="贷",$O485,0)</f>
        <v>0</v>
      </c>
      <c r="K485" s="48" t="str">
        <f aca="false">IF($H485="","",购销流水!$E125)</f>
        <v/>
      </c>
      <c r="L485" s="66" t="str">
        <f aca="false">IF(购销流水!$D125="","",IFERROR(INDEX(记账规则!$A$6:$N$9,MATCH(购销流水!$D125,记账规则!$A$6:$A$9,0),12),""))</f>
        <v/>
      </c>
      <c r="M485" s="66" t="str">
        <f aca="false">IF($L485="","",IFERROR(INDEX(记账规则!$A$6:$N$9,MATCH(购销流水!$D125,记账规则!$A$6:$A$9,0),13),""))</f>
        <v/>
      </c>
      <c r="N485" s="66" t="str">
        <f aca="false">IF($L485="","",IFERROR(INDEX(记账规则!$A$6:$N$9,MATCH(购销流水!$D125,记账规则!$A$6:$A$9,0),14),""))</f>
        <v/>
      </c>
      <c r="O485" s="67" t="n">
        <f aca="false">IF($H485="",0,ROUND(IF($N485="成本金额",N(购销流水!$W125),IF($N485="金额",N(购销流水!$Q125),0)),2))</f>
        <v>0</v>
      </c>
      <c r="P485" s="64" t="str">
        <f aca="false">IF(AND($H485&lt;&gt;"",ROUND($O485,2)&lt;&gt;0),"有","")</f>
        <v/>
      </c>
    </row>
    <row r="486" customFormat="false" ht="15" hidden="true" customHeight="false" outlineLevel="0" collapsed="false">
      <c r="A486" s="53" t="str">
        <f aca="false">IF($H486="","",ROW()-5)</f>
        <v/>
      </c>
      <c r="B486" s="64" t="s">
        <v>36</v>
      </c>
      <c r="C486" s="53" t="n">
        <v>126</v>
      </c>
      <c r="D486" s="53" t="n">
        <v>1</v>
      </c>
      <c r="E486" s="65" t="str">
        <f aca="false">IF($H486="","",购销流水!$B126)</f>
        <v/>
      </c>
      <c r="F486" s="55" t="str">
        <f aca="false">IF($H486="","",购销流水!$C126)</f>
        <v/>
      </c>
      <c r="G486" s="48" t="str">
        <f aca="false">IF($H486="","",购销流水!$N126)</f>
        <v/>
      </c>
      <c r="H486" s="10" t="str">
        <f aca="false">IF($L486="","",IF($L486="@成本",购销流水!$U126,IF($L486="@收入",购销流水!$T126,IF($L486="@存货",购销流水!$S126,IF($L486="@结算",购销流水!$R126,$L486)))))</f>
        <v/>
      </c>
      <c r="I486" s="42" t="n">
        <f aca="false">IF($M486="借",$O486,0)</f>
        <v>0</v>
      </c>
      <c r="J486" s="42" t="n">
        <f aca="false">IF($M486="贷",$O486,0)</f>
        <v>0</v>
      </c>
      <c r="K486" s="48" t="str">
        <f aca="false">IF($H486="","",购销流水!$E126)</f>
        <v/>
      </c>
      <c r="L486" s="66" t="str">
        <f aca="false">IF(购销流水!$D126="","",IFERROR(INDEX(记账规则!$A$6:$N$9,MATCH(购销流水!$D126,记账规则!$A$6:$A$9,0),3),""))</f>
        <v/>
      </c>
      <c r="M486" s="66" t="str">
        <f aca="false">IF($L486="","",IFERROR(INDEX(记账规则!$A$6:$N$9,MATCH(购销流水!$D126,记账规则!$A$6:$A$9,0),4),""))</f>
        <v/>
      </c>
      <c r="N486" s="66" t="str">
        <f aca="false">IF($L486="","",IFERROR(INDEX(记账规则!$A$6:$N$9,MATCH(购销流水!$D126,记账规则!$A$6:$A$9,0),5),""))</f>
        <v/>
      </c>
      <c r="O486" s="67" t="n">
        <f aca="false">IF($H486="",0,ROUND(IF($N486="成本金额",N(购销流水!$W126),IF($N486="金额",N(购销流水!$Q126),0)),2))</f>
        <v>0</v>
      </c>
      <c r="P486" s="64" t="str">
        <f aca="false">IF(AND($H486&lt;&gt;"",ROUND($O486,2)&lt;&gt;0),"有","")</f>
        <v/>
      </c>
    </row>
    <row r="487" customFormat="false" ht="15" hidden="true" customHeight="false" outlineLevel="0" collapsed="false">
      <c r="A487" s="53" t="str">
        <f aca="false">IF($H487="","",ROW()-5)</f>
        <v/>
      </c>
      <c r="B487" s="64" t="s">
        <v>36</v>
      </c>
      <c r="C487" s="53" t="n">
        <v>126</v>
      </c>
      <c r="D487" s="53" t="n">
        <v>2</v>
      </c>
      <c r="E487" s="65" t="str">
        <f aca="false">IF($H487="","",购销流水!$B126)</f>
        <v/>
      </c>
      <c r="F487" s="55" t="str">
        <f aca="false">IF($H487="","",购销流水!$C126)</f>
        <v/>
      </c>
      <c r="G487" s="48" t="str">
        <f aca="false">IF($H487="","",购销流水!$N126)</f>
        <v/>
      </c>
      <c r="H487" s="10" t="str">
        <f aca="false">IF($L487="","",IF($L487="@成本",购销流水!$U126,IF($L487="@收入",购销流水!$T126,IF($L487="@存货",购销流水!$S126,IF($L487="@结算",购销流水!$R126,$L487)))))</f>
        <v/>
      </c>
      <c r="I487" s="42" t="n">
        <f aca="false">IF($M487="借",$O487,0)</f>
        <v>0</v>
      </c>
      <c r="J487" s="42" t="n">
        <f aca="false">IF($M487="贷",$O487,0)</f>
        <v>0</v>
      </c>
      <c r="K487" s="48" t="str">
        <f aca="false">IF($H487="","",购销流水!$E126)</f>
        <v/>
      </c>
      <c r="L487" s="66" t="str">
        <f aca="false">IF(购销流水!$D126="","",IFERROR(INDEX(记账规则!$A$6:$N$9,MATCH(购销流水!$D126,记账规则!$A$6:$A$9,0),6),""))</f>
        <v/>
      </c>
      <c r="M487" s="66" t="str">
        <f aca="false">IF($L487="","",IFERROR(INDEX(记账规则!$A$6:$N$9,MATCH(购销流水!$D126,记账规则!$A$6:$A$9,0),7),""))</f>
        <v/>
      </c>
      <c r="N487" s="66" t="str">
        <f aca="false">IF($L487="","",IFERROR(INDEX(记账规则!$A$6:$N$9,MATCH(购销流水!$D126,记账规则!$A$6:$A$9,0),8),""))</f>
        <v/>
      </c>
      <c r="O487" s="67" t="n">
        <f aca="false">IF($H487="",0,ROUND(IF($N487="成本金额",N(购销流水!$W126),IF($N487="金额",N(购销流水!$Q126),0)),2))</f>
        <v>0</v>
      </c>
      <c r="P487" s="64" t="str">
        <f aca="false">IF(AND($H487&lt;&gt;"",ROUND($O487,2)&lt;&gt;0),"有","")</f>
        <v/>
      </c>
    </row>
    <row r="488" customFormat="false" ht="15" hidden="true" customHeight="false" outlineLevel="0" collapsed="false">
      <c r="A488" s="53" t="str">
        <f aca="false">IF($H488="","",ROW()-5)</f>
        <v/>
      </c>
      <c r="B488" s="64" t="s">
        <v>36</v>
      </c>
      <c r="C488" s="53" t="n">
        <v>126</v>
      </c>
      <c r="D488" s="53" t="n">
        <v>3</v>
      </c>
      <c r="E488" s="65" t="str">
        <f aca="false">IF($H488="","",购销流水!$B126)</f>
        <v/>
      </c>
      <c r="F488" s="55" t="str">
        <f aca="false">IF($H488="","",购销流水!$C126)</f>
        <v/>
      </c>
      <c r="G488" s="48" t="str">
        <f aca="false">IF($H488="","",购销流水!$N126)</f>
        <v/>
      </c>
      <c r="H488" s="10" t="str">
        <f aca="false">IF($L488="","",IF($L488="@成本",购销流水!$U126,IF($L488="@收入",购销流水!$T126,IF($L488="@存货",购销流水!$S126,IF($L488="@结算",购销流水!$R126,$L488)))))</f>
        <v/>
      </c>
      <c r="I488" s="42" t="n">
        <f aca="false">IF($M488="借",$O488,0)</f>
        <v>0</v>
      </c>
      <c r="J488" s="42" t="n">
        <f aca="false">IF($M488="贷",$O488,0)</f>
        <v>0</v>
      </c>
      <c r="K488" s="48" t="str">
        <f aca="false">IF($H488="","",购销流水!$E126)</f>
        <v/>
      </c>
      <c r="L488" s="66" t="str">
        <f aca="false">IF(购销流水!$D126="","",IFERROR(INDEX(记账规则!$A$6:$N$9,MATCH(购销流水!$D126,记账规则!$A$6:$A$9,0),9),""))</f>
        <v/>
      </c>
      <c r="M488" s="66" t="str">
        <f aca="false">IF($L488="","",IFERROR(INDEX(记账规则!$A$6:$N$9,MATCH(购销流水!$D126,记账规则!$A$6:$A$9,0),10),""))</f>
        <v/>
      </c>
      <c r="N488" s="66" t="str">
        <f aca="false">IF($L488="","",IFERROR(INDEX(记账规则!$A$6:$N$9,MATCH(购销流水!$D126,记账规则!$A$6:$A$9,0),11),""))</f>
        <v/>
      </c>
      <c r="O488" s="67" t="n">
        <f aca="false">IF($H488="",0,ROUND(IF($N488="成本金额",N(购销流水!$W126),IF($N488="金额",N(购销流水!$Q126),0)),2))</f>
        <v>0</v>
      </c>
      <c r="P488" s="64" t="str">
        <f aca="false">IF(AND($H488&lt;&gt;"",ROUND($O488,2)&lt;&gt;0),"有","")</f>
        <v/>
      </c>
    </row>
    <row r="489" customFormat="false" ht="15" hidden="true" customHeight="false" outlineLevel="0" collapsed="false">
      <c r="A489" s="53" t="str">
        <f aca="false">IF($H489="","",ROW()-5)</f>
        <v/>
      </c>
      <c r="B489" s="64" t="s">
        <v>36</v>
      </c>
      <c r="C489" s="53" t="n">
        <v>126</v>
      </c>
      <c r="D489" s="53" t="n">
        <v>4</v>
      </c>
      <c r="E489" s="65" t="str">
        <f aca="false">IF($H489="","",购销流水!$B126)</f>
        <v/>
      </c>
      <c r="F489" s="55" t="str">
        <f aca="false">IF($H489="","",购销流水!$C126)</f>
        <v/>
      </c>
      <c r="G489" s="48" t="str">
        <f aca="false">IF($H489="","",购销流水!$N126)</f>
        <v/>
      </c>
      <c r="H489" s="10" t="str">
        <f aca="false">IF($L489="","",IF($L489="@成本",购销流水!$U126,IF($L489="@收入",购销流水!$T126,IF($L489="@存货",购销流水!$S126,IF($L489="@结算",购销流水!$R126,$L489)))))</f>
        <v/>
      </c>
      <c r="I489" s="42" t="n">
        <f aca="false">IF($M489="借",$O489,0)</f>
        <v>0</v>
      </c>
      <c r="J489" s="42" t="n">
        <f aca="false">IF($M489="贷",$O489,0)</f>
        <v>0</v>
      </c>
      <c r="K489" s="48" t="str">
        <f aca="false">IF($H489="","",购销流水!$E126)</f>
        <v/>
      </c>
      <c r="L489" s="66" t="str">
        <f aca="false">IF(购销流水!$D126="","",IFERROR(INDEX(记账规则!$A$6:$N$9,MATCH(购销流水!$D126,记账规则!$A$6:$A$9,0),12),""))</f>
        <v/>
      </c>
      <c r="M489" s="66" t="str">
        <f aca="false">IF($L489="","",IFERROR(INDEX(记账规则!$A$6:$N$9,MATCH(购销流水!$D126,记账规则!$A$6:$A$9,0),13),""))</f>
        <v/>
      </c>
      <c r="N489" s="66" t="str">
        <f aca="false">IF($L489="","",IFERROR(INDEX(记账规则!$A$6:$N$9,MATCH(购销流水!$D126,记账规则!$A$6:$A$9,0),14),""))</f>
        <v/>
      </c>
      <c r="O489" s="67" t="n">
        <f aca="false">IF($H489="",0,ROUND(IF($N489="成本金额",N(购销流水!$W126),IF($N489="金额",N(购销流水!$Q126),0)),2))</f>
        <v>0</v>
      </c>
      <c r="P489" s="64" t="str">
        <f aca="false">IF(AND($H489&lt;&gt;"",ROUND($O489,2)&lt;&gt;0),"有","")</f>
        <v/>
      </c>
    </row>
    <row r="490" customFormat="false" ht="15" hidden="true" customHeight="false" outlineLevel="0" collapsed="false">
      <c r="A490" s="53" t="str">
        <f aca="false">IF($H490="","",ROW()-5)</f>
        <v/>
      </c>
      <c r="B490" s="64" t="s">
        <v>36</v>
      </c>
      <c r="C490" s="53" t="n">
        <v>127</v>
      </c>
      <c r="D490" s="53" t="n">
        <v>1</v>
      </c>
      <c r="E490" s="65" t="str">
        <f aca="false">IF($H490="","",购销流水!$B127)</f>
        <v/>
      </c>
      <c r="F490" s="55" t="str">
        <f aca="false">IF($H490="","",购销流水!$C127)</f>
        <v/>
      </c>
      <c r="G490" s="48" t="str">
        <f aca="false">IF($H490="","",购销流水!$N127)</f>
        <v/>
      </c>
      <c r="H490" s="10" t="str">
        <f aca="false">IF($L490="","",IF($L490="@成本",购销流水!$U127,IF($L490="@收入",购销流水!$T127,IF($L490="@存货",购销流水!$S127,IF($L490="@结算",购销流水!$R127,$L490)))))</f>
        <v/>
      </c>
      <c r="I490" s="42" t="n">
        <f aca="false">IF($M490="借",$O490,0)</f>
        <v>0</v>
      </c>
      <c r="J490" s="42" t="n">
        <f aca="false">IF($M490="贷",$O490,0)</f>
        <v>0</v>
      </c>
      <c r="K490" s="48" t="str">
        <f aca="false">IF($H490="","",购销流水!$E127)</f>
        <v/>
      </c>
      <c r="L490" s="66" t="str">
        <f aca="false">IF(购销流水!$D127="","",IFERROR(INDEX(记账规则!$A$6:$N$9,MATCH(购销流水!$D127,记账规则!$A$6:$A$9,0),3),""))</f>
        <v/>
      </c>
      <c r="M490" s="66" t="str">
        <f aca="false">IF($L490="","",IFERROR(INDEX(记账规则!$A$6:$N$9,MATCH(购销流水!$D127,记账规则!$A$6:$A$9,0),4),""))</f>
        <v/>
      </c>
      <c r="N490" s="66" t="str">
        <f aca="false">IF($L490="","",IFERROR(INDEX(记账规则!$A$6:$N$9,MATCH(购销流水!$D127,记账规则!$A$6:$A$9,0),5),""))</f>
        <v/>
      </c>
      <c r="O490" s="67" t="n">
        <f aca="false">IF($H490="",0,ROUND(IF($N490="成本金额",N(购销流水!$W127),IF($N490="金额",N(购销流水!$Q127),0)),2))</f>
        <v>0</v>
      </c>
      <c r="P490" s="64" t="str">
        <f aca="false">IF(AND($H490&lt;&gt;"",ROUND($O490,2)&lt;&gt;0),"有","")</f>
        <v/>
      </c>
    </row>
    <row r="491" customFormat="false" ht="15" hidden="true" customHeight="false" outlineLevel="0" collapsed="false">
      <c r="A491" s="53" t="str">
        <f aca="false">IF($H491="","",ROW()-5)</f>
        <v/>
      </c>
      <c r="B491" s="64" t="s">
        <v>36</v>
      </c>
      <c r="C491" s="53" t="n">
        <v>127</v>
      </c>
      <c r="D491" s="53" t="n">
        <v>2</v>
      </c>
      <c r="E491" s="65" t="str">
        <f aca="false">IF($H491="","",购销流水!$B127)</f>
        <v/>
      </c>
      <c r="F491" s="55" t="str">
        <f aca="false">IF($H491="","",购销流水!$C127)</f>
        <v/>
      </c>
      <c r="G491" s="48" t="str">
        <f aca="false">IF($H491="","",购销流水!$N127)</f>
        <v/>
      </c>
      <c r="H491" s="10" t="str">
        <f aca="false">IF($L491="","",IF($L491="@成本",购销流水!$U127,IF($L491="@收入",购销流水!$T127,IF($L491="@存货",购销流水!$S127,IF($L491="@结算",购销流水!$R127,$L491)))))</f>
        <v/>
      </c>
      <c r="I491" s="42" t="n">
        <f aca="false">IF($M491="借",$O491,0)</f>
        <v>0</v>
      </c>
      <c r="J491" s="42" t="n">
        <f aca="false">IF($M491="贷",$O491,0)</f>
        <v>0</v>
      </c>
      <c r="K491" s="48" t="str">
        <f aca="false">IF($H491="","",购销流水!$E127)</f>
        <v/>
      </c>
      <c r="L491" s="66" t="str">
        <f aca="false">IF(购销流水!$D127="","",IFERROR(INDEX(记账规则!$A$6:$N$9,MATCH(购销流水!$D127,记账规则!$A$6:$A$9,0),6),""))</f>
        <v/>
      </c>
      <c r="M491" s="66" t="str">
        <f aca="false">IF($L491="","",IFERROR(INDEX(记账规则!$A$6:$N$9,MATCH(购销流水!$D127,记账规则!$A$6:$A$9,0),7),""))</f>
        <v/>
      </c>
      <c r="N491" s="66" t="str">
        <f aca="false">IF($L491="","",IFERROR(INDEX(记账规则!$A$6:$N$9,MATCH(购销流水!$D127,记账规则!$A$6:$A$9,0),8),""))</f>
        <v/>
      </c>
      <c r="O491" s="67" t="n">
        <f aca="false">IF($H491="",0,ROUND(IF($N491="成本金额",N(购销流水!$W127),IF($N491="金额",N(购销流水!$Q127),0)),2))</f>
        <v>0</v>
      </c>
      <c r="P491" s="64" t="str">
        <f aca="false">IF(AND($H491&lt;&gt;"",ROUND($O491,2)&lt;&gt;0),"有","")</f>
        <v/>
      </c>
    </row>
    <row r="492" customFormat="false" ht="15" hidden="true" customHeight="false" outlineLevel="0" collapsed="false">
      <c r="A492" s="53" t="str">
        <f aca="false">IF($H492="","",ROW()-5)</f>
        <v/>
      </c>
      <c r="B492" s="64" t="s">
        <v>36</v>
      </c>
      <c r="C492" s="53" t="n">
        <v>127</v>
      </c>
      <c r="D492" s="53" t="n">
        <v>3</v>
      </c>
      <c r="E492" s="65" t="str">
        <f aca="false">IF($H492="","",购销流水!$B127)</f>
        <v/>
      </c>
      <c r="F492" s="55" t="str">
        <f aca="false">IF($H492="","",购销流水!$C127)</f>
        <v/>
      </c>
      <c r="G492" s="48" t="str">
        <f aca="false">IF($H492="","",购销流水!$N127)</f>
        <v/>
      </c>
      <c r="H492" s="10" t="str">
        <f aca="false">IF($L492="","",IF($L492="@成本",购销流水!$U127,IF($L492="@收入",购销流水!$T127,IF($L492="@存货",购销流水!$S127,IF($L492="@结算",购销流水!$R127,$L492)))))</f>
        <v/>
      </c>
      <c r="I492" s="42" t="n">
        <f aca="false">IF($M492="借",$O492,0)</f>
        <v>0</v>
      </c>
      <c r="J492" s="42" t="n">
        <f aca="false">IF($M492="贷",$O492,0)</f>
        <v>0</v>
      </c>
      <c r="K492" s="48" t="str">
        <f aca="false">IF($H492="","",购销流水!$E127)</f>
        <v/>
      </c>
      <c r="L492" s="66" t="str">
        <f aca="false">IF(购销流水!$D127="","",IFERROR(INDEX(记账规则!$A$6:$N$9,MATCH(购销流水!$D127,记账规则!$A$6:$A$9,0),9),""))</f>
        <v/>
      </c>
      <c r="M492" s="66" t="str">
        <f aca="false">IF($L492="","",IFERROR(INDEX(记账规则!$A$6:$N$9,MATCH(购销流水!$D127,记账规则!$A$6:$A$9,0),10),""))</f>
        <v/>
      </c>
      <c r="N492" s="66" t="str">
        <f aca="false">IF($L492="","",IFERROR(INDEX(记账规则!$A$6:$N$9,MATCH(购销流水!$D127,记账规则!$A$6:$A$9,0),11),""))</f>
        <v/>
      </c>
      <c r="O492" s="67" t="n">
        <f aca="false">IF($H492="",0,ROUND(IF($N492="成本金额",N(购销流水!$W127),IF($N492="金额",N(购销流水!$Q127),0)),2))</f>
        <v>0</v>
      </c>
      <c r="P492" s="64" t="str">
        <f aca="false">IF(AND($H492&lt;&gt;"",ROUND($O492,2)&lt;&gt;0),"有","")</f>
        <v/>
      </c>
    </row>
    <row r="493" customFormat="false" ht="15" hidden="true" customHeight="false" outlineLevel="0" collapsed="false">
      <c r="A493" s="53" t="str">
        <f aca="false">IF($H493="","",ROW()-5)</f>
        <v/>
      </c>
      <c r="B493" s="64" t="s">
        <v>36</v>
      </c>
      <c r="C493" s="53" t="n">
        <v>127</v>
      </c>
      <c r="D493" s="53" t="n">
        <v>4</v>
      </c>
      <c r="E493" s="65" t="str">
        <f aca="false">IF($H493="","",购销流水!$B127)</f>
        <v/>
      </c>
      <c r="F493" s="55" t="str">
        <f aca="false">IF($H493="","",购销流水!$C127)</f>
        <v/>
      </c>
      <c r="G493" s="48" t="str">
        <f aca="false">IF($H493="","",购销流水!$N127)</f>
        <v/>
      </c>
      <c r="H493" s="10" t="str">
        <f aca="false">IF($L493="","",IF($L493="@成本",购销流水!$U127,IF($L493="@收入",购销流水!$T127,IF($L493="@存货",购销流水!$S127,IF($L493="@结算",购销流水!$R127,$L493)))))</f>
        <v/>
      </c>
      <c r="I493" s="42" t="n">
        <f aca="false">IF($M493="借",$O493,0)</f>
        <v>0</v>
      </c>
      <c r="J493" s="42" t="n">
        <f aca="false">IF($M493="贷",$O493,0)</f>
        <v>0</v>
      </c>
      <c r="K493" s="48" t="str">
        <f aca="false">IF($H493="","",购销流水!$E127)</f>
        <v/>
      </c>
      <c r="L493" s="66" t="str">
        <f aca="false">IF(购销流水!$D127="","",IFERROR(INDEX(记账规则!$A$6:$N$9,MATCH(购销流水!$D127,记账规则!$A$6:$A$9,0),12),""))</f>
        <v/>
      </c>
      <c r="M493" s="66" t="str">
        <f aca="false">IF($L493="","",IFERROR(INDEX(记账规则!$A$6:$N$9,MATCH(购销流水!$D127,记账规则!$A$6:$A$9,0),13),""))</f>
        <v/>
      </c>
      <c r="N493" s="66" t="str">
        <f aca="false">IF($L493="","",IFERROR(INDEX(记账规则!$A$6:$N$9,MATCH(购销流水!$D127,记账规则!$A$6:$A$9,0),14),""))</f>
        <v/>
      </c>
      <c r="O493" s="67" t="n">
        <f aca="false">IF($H493="",0,ROUND(IF($N493="成本金额",N(购销流水!$W127),IF($N493="金额",N(购销流水!$Q127),0)),2))</f>
        <v>0</v>
      </c>
      <c r="P493" s="64" t="str">
        <f aca="false">IF(AND($H493&lt;&gt;"",ROUND($O493,2)&lt;&gt;0),"有","")</f>
        <v/>
      </c>
    </row>
    <row r="494" customFormat="false" ht="15" hidden="true" customHeight="false" outlineLevel="0" collapsed="false">
      <c r="A494" s="53" t="str">
        <f aca="false">IF($H494="","",ROW()-5)</f>
        <v/>
      </c>
      <c r="B494" s="64" t="s">
        <v>36</v>
      </c>
      <c r="C494" s="53" t="n">
        <v>128</v>
      </c>
      <c r="D494" s="53" t="n">
        <v>1</v>
      </c>
      <c r="E494" s="65" t="str">
        <f aca="false">IF($H494="","",购销流水!$B128)</f>
        <v/>
      </c>
      <c r="F494" s="55" t="str">
        <f aca="false">IF($H494="","",购销流水!$C128)</f>
        <v/>
      </c>
      <c r="G494" s="48" t="str">
        <f aca="false">IF($H494="","",购销流水!$N128)</f>
        <v/>
      </c>
      <c r="H494" s="10" t="str">
        <f aca="false">IF($L494="","",IF($L494="@成本",购销流水!$U128,IF($L494="@收入",购销流水!$T128,IF($L494="@存货",购销流水!$S128,IF($L494="@结算",购销流水!$R128,$L494)))))</f>
        <v/>
      </c>
      <c r="I494" s="42" t="n">
        <f aca="false">IF($M494="借",$O494,0)</f>
        <v>0</v>
      </c>
      <c r="J494" s="42" t="n">
        <f aca="false">IF($M494="贷",$O494,0)</f>
        <v>0</v>
      </c>
      <c r="K494" s="48" t="str">
        <f aca="false">IF($H494="","",购销流水!$E128)</f>
        <v/>
      </c>
      <c r="L494" s="66" t="str">
        <f aca="false">IF(购销流水!$D128="","",IFERROR(INDEX(记账规则!$A$6:$N$9,MATCH(购销流水!$D128,记账规则!$A$6:$A$9,0),3),""))</f>
        <v/>
      </c>
      <c r="M494" s="66" t="str">
        <f aca="false">IF($L494="","",IFERROR(INDEX(记账规则!$A$6:$N$9,MATCH(购销流水!$D128,记账规则!$A$6:$A$9,0),4),""))</f>
        <v/>
      </c>
      <c r="N494" s="66" t="str">
        <f aca="false">IF($L494="","",IFERROR(INDEX(记账规则!$A$6:$N$9,MATCH(购销流水!$D128,记账规则!$A$6:$A$9,0),5),""))</f>
        <v/>
      </c>
      <c r="O494" s="67" t="n">
        <f aca="false">IF($H494="",0,ROUND(IF($N494="成本金额",N(购销流水!$W128),IF($N494="金额",N(购销流水!$Q128),0)),2))</f>
        <v>0</v>
      </c>
      <c r="P494" s="64" t="str">
        <f aca="false">IF(AND($H494&lt;&gt;"",ROUND($O494,2)&lt;&gt;0),"有","")</f>
        <v/>
      </c>
    </row>
    <row r="495" customFormat="false" ht="15" hidden="true" customHeight="false" outlineLevel="0" collapsed="false">
      <c r="A495" s="53" t="str">
        <f aca="false">IF($H495="","",ROW()-5)</f>
        <v/>
      </c>
      <c r="B495" s="64" t="s">
        <v>36</v>
      </c>
      <c r="C495" s="53" t="n">
        <v>128</v>
      </c>
      <c r="D495" s="53" t="n">
        <v>2</v>
      </c>
      <c r="E495" s="65" t="str">
        <f aca="false">IF($H495="","",购销流水!$B128)</f>
        <v/>
      </c>
      <c r="F495" s="55" t="str">
        <f aca="false">IF($H495="","",购销流水!$C128)</f>
        <v/>
      </c>
      <c r="G495" s="48" t="str">
        <f aca="false">IF($H495="","",购销流水!$N128)</f>
        <v/>
      </c>
      <c r="H495" s="10" t="str">
        <f aca="false">IF($L495="","",IF($L495="@成本",购销流水!$U128,IF($L495="@收入",购销流水!$T128,IF($L495="@存货",购销流水!$S128,IF($L495="@结算",购销流水!$R128,$L495)))))</f>
        <v/>
      </c>
      <c r="I495" s="42" t="n">
        <f aca="false">IF($M495="借",$O495,0)</f>
        <v>0</v>
      </c>
      <c r="J495" s="42" t="n">
        <f aca="false">IF($M495="贷",$O495,0)</f>
        <v>0</v>
      </c>
      <c r="K495" s="48" t="str">
        <f aca="false">IF($H495="","",购销流水!$E128)</f>
        <v/>
      </c>
      <c r="L495" s="66" t="str">
        <f aca="false">IF(购销流水!$D128="","",IFERROR(INDEX(记账规则!$A$6:$N$9,MATCH(购销流水!$D128,记账规则!$A$6:$A$9,0),6),""))</f>
        <v/>
      </c>
      <c r="M495" s="66" t="str">
        <f aca="false">IF($L495="","",IFERROR(INDEX(记账规则!$A$6:$N$9,MATCH(购销流水!$D128,记账规则!$A$6:$A$9,0),7),""))</f>
        <v/>
      </c>
      <c r="N495" s="66" t="str">
        <f aca="false">IF($L495="","",IFERROR(INDEX(记账规则!$A$6:$N$9,MATCH(购销流水!$D128,记账规则!$A$6:$A$9,0),8),""))</f>
        <v/>
      </c>
      <c r="O495" s="67" t="n">
        <f aca="false">IF($H495="",0,ROUND(IF($N495="成本金额",N(购销流水!$W128),IF($N495="金额",N(购销流水!$Q128),0)),2))</f>
        <v>0</v>
      </c>
      <c r="P495" s="64" t="str">
        <f aca="false">IF(AND($H495&lt;&gt;"",ROUND($O495,2)&lt;&gt;0),"有","")</f>
        <v/>
      </c>
    </row>
    <row r="496" customFormat="false" ht="15" hidden="true" customHeight="false" outlineLevel="0" collapsed="false">
      <c r="A496" s="53" t="str">
        <f aca="false">IF($H496="","",ROW()-5)</f>
        <v/>
      </c>
      <c r="B496" s="64" t="s">
        <v>36</v>
      </c>
      <c r="C496" s="53" t="n">
        <v>128</v>
      </c>
      <c r="D496" s="53" t="n">
        <v>3</v>
      </c>
      <c r="E496" s="65" t="str">
        <f aca="false">IF($H496="","",购销流水!$B128)</f>
        <v/>
      </c>
      <c r="F496" s="55" t="str">
        <f aca="false">IF($H496="","",购销流水!$C128)</f>
        <v/>
      </c>
      <c r="G496" s="48" t="str">
        <f aca="false">IF($H496="","",购销流水!$N128)</f>
        <v/>
      </c>
      <c r="H496" s="10" t="str">
        <f aca="false">IF($L496="","",IF($L496="@成本",购销流水!$U128,IF($L496="@收入",购销流水!$T128,IF($L496="@存货",购销流水!$S128,IF($L496="@结算",购销流水!$R128,$L496)))))</f>
        <v/>
      </c>
      <c r="I496" s="42" t="n">
        <f aca="false">IF($M496="借",$O496,0)</f>
        <v>0</v>
      </c>
      <c r="J496" s="42" t="n">
        <f aca="false">IF($M496="贷",$O496,0)</f>
        <v>0</v>
      </c>
      <c r="K496" s="48" t="str">
        <f aca="false">IF($H496="","",购销流水!$E128)</f>
        <v/>
      </c>
      <c r="L496" s="66" t="str">
        <f aca="false">IF(购销流水!$D128="","",IFERROR(INDEX(记账规则!$A$6:$N$9,MATCH(购销流水!$D128,记账规则!$A$6:$A$9,0),9),""))</f>
        <v/>
      </c>
      <c r="M496" s="66" t="str">
        <f aca="false">IF($L496="","",IFERROR(INDEX(记账规则!$A$6:$N$9,MATCH(购销流水!$D128,记账规则!$A$6:$A$9,0),10),""))</f>
        <v/>
      </c>
      <c r="N496" s="66" t="str">
        <f aca="false">IF($L496="","",IFERROR(INDEX(记账规则!$A$6:$N$9,MATCH(购销流水!$D128,记账规则!$A$6:$A$9,0),11),""))</f>
        <v/>
      </c>
      <c r="O496" s="67" t="n">
        <f aca="false">IF($H496="",0,ROUND(IF($N496="成本金额",N(购销流水!$W128),IF($N496="金额",N(购销流水!$Q128),0)),2))</f>
        <v>0</v>
      </c>
      <c r="P496" s="64" t="str">
        <f aca="false">IF(AND($H496&lt;&gt;"",ROUND($O496,2)&lt;&gt;0),"有","")</f>
        <v/>
      </c>
    </row>
    <row r="497" customFormat="false" ht="15" hidden="true" customHeight="false" outlineLevel="0" collapsed="false">
      <c r="A497" s="53" t="str">
        <f aca="false">IF($H497="","",ROW()-5)</f>
        <v/>
      </c>
      <c r="B497" s="64" t="s">
        <v>36</v>
      </c>
      <c r="C497" s="53" t="n">
        <v>128</v>
      </c>
      <c r="D497" s="53" t="n">
        <v>4</v>
      </c>
      <c r="E497" s="65" t="str">
        <f aca="false">IF($H497="","",购销流水!$B128)</f>
        <v/>
      </c>
      <c r="F497" s="55" t="str">
        <f aca="false">IF($H497="","",购销流水!$C128)</f>
        <v/>
      </c>
      <c r="G497" s="48" t="str">
        <f aca="false">IF($H497="","",购销流水!$N128)</f>
        <v/>
      </c>
      <c r="H497" s="10" t="str">
        <f aca="false">IF($L497="","",IF($L497="@成本",购销流水!$U128,IF($L497="@收入",购销流水!$T128,IF($L497="@存货",购销流水!$S128,IF($L497="@结算",购销流水!$R128,$L497)))))</f>
        <v/>
      </c>
      <c r="I497" s="42" t="n">
        <f aca="false">IF($M497="借",$O497,0)</f>
        <v>0</v>
      </c>
      <c r="J497" s="42" t="n">
        <f aca="false">IF($M497="贷",$O497,0)</f>
        <v>0</v>
      </c>
      <c r="K497" s="48" t="str">
        <f aca="false">IF($H497="","",购销流水!$E128)</f>
        <v/>
      </c>
      <c r="L497" s="66" t="str">
        <f aca="false">IF(购销流水!$D128="","",IFERROR(INDEX(记账规则!$A$6:$N$9,MATCH(购销流水!$D128,记账规则!$A$6:$A$9,0),12),""))</f>
        <v/>
      </c>
      <c r="M497" s="66" t="str">
        <f aca="false">IF($L497="","",IFERROR(INDEX(记账规则!$A$6:$N$9,MATCH(购销流水!$D128,记账规则!$A$6:$A$9,0),13),""))</f>
        <v/>
      </c>
      <c r="N497" s="66" t="str">
        <f aca="false">IF($L497="","",IFERROR(INDEX(记账规则!$A$6:$N$9,MATCH(购销流水!$D128,记账规则!$A$6:$A$9,0),14),""))</f>
        <v/>
      </c>
      <c r="O497" s="67" t="n">
        <f aca="false">IF($H497="",0,ROUND(IF($N497="成本金额",N(购销流水!$W128),IF($N497="金额",N(购销流水!$Q128),0)),2))</f>
        <v>0</v>
      </c>
      <c r="P497" s="64" t="str">
        <f aca="false">IF(AND($H497&lt;&gt;"",ROUND($O497,2)&lt;&gt;0),"有","")</f>
        <v/>
      </c>
    </row>
    <row r="498" customFormat="false" ht="15" hidden="true" customHeight="false" outlineLevel="0" collapsed="false">
      <c r="A498" s="53" t="str">
        <f aca="false">IF($H498="","",ROW()-5)</f>
        <v/>
      </c>
      <c r="B498" s="64" t="s">
        <v>36</v>
      </c>
      <c r="C498" s="53" t="n">
        <v>129</v>
      </c>
      <c r="D498" s="53" t="n">
        <v>1</v>
      </c>
      <c r="E498" s="65" t="str">
        <f aca="false">IF($H498="","",购销流水!$B129)</f>
        <v/>
      </c>
      <c r="F498" s="55" t="str">
        <f aca="false">IF($H498="","",购销流水!$C129)</f>
        <v/>
      </c>
      <c r="G498" s="48" t="str">
        <f aca="false">IF($H498="","",购销流水!$N129)</f>
        <v/>
      </c>
      <c r="H498" s="10" t="str">
        <f aca="false">IF($L498="","",IF($L498="@成本",购销流水!$U129,IF($L498="@收入",购销流水!$T129,IF($L498="@存货",购销流水!$S129,IF($L498="@结算",购销流水!$R129,$L498)))))</f>
        <v/>
      </c>
      <c r="I498" s="42" t="n">
        <f aca="false">IF($M498="借",$O498,0)</f>
        <v>0</v>
      </c>
      <c r="J498" s="42" t="n">
        <f aca="false">IF($M498="贷",$O498,0)</f>
        <v>0</v>
      </c>
      <c r="K498" s="48" t="str">
        <f aca="false">IF($H498="","",购销流水!$E129)</f>
        <v/>
      </c>
      <c r="L498" s="66" t="str">
        <f aca="false">IF(购销流水!$D129="","",IFERROR(INDEX(记账规则!$A$6:$N$9,MATCH(购销流水!$D129,记账规则!$A$6:$A$9,0),3),""))</f>
        <v/>
      </c>
      <c r="M498" s="66" t="str">
        <f aca="false">IF($L498="","",IFERROR(INDEX(记账规则!$A$6:$N$9,MATCH(购销流水!$D129,记账规则!$A$6:$A$9,0),4),""))</f>
        <v/>
      </c>
      <c r="N498" s="66" t="str">
        <f aca="false">IF($L498="","",IFERROR(INDEX(记账规则!$A$6:$N$9,MATCH(购销流水!$D129,记账规则!$A$6:$A$9,0),5),""))</f>
        <v/>
      </c>
      <c r="O498" s="67" t="n">
        <f aca="false">IF($H498="",0,ROUND(IF($N498="成本金额",N(购销流水!$W129),IF($N498="金额",N(购销流水!$Q129),0)),2))</f>
        <v>0</v>
      </c>
      <c r="P498" s="64" t="str">
        <f aca="false">IF(AND($H498&lt;&gt;"",ROUND($O498,2)&lt;&gt;0),"有","")</f>
        <v/>
      </c>
    </row>
    <row r="499" customFormat="false" ht="15" hidden="true" customHeight="false" outlineLevel="0" collapsed="false">
      <c r="A499" s="53" t="str">
        <f aca="false">IF($H499="","",ROW()-5)</f>
        <v/>
      </c>
      <c r="B499" s="64" t="s">
        <v>36</v>
      </c>
      <c r="C499" s="53" t="n">
        <v>129</v>
      </c>
      <c r="D499" s="53" t="n">
        <v>2</v>
      </c>
      <c r="E499" s="65" t="str">
        <f aca="false">IF($H499="","",购销流水!$B129)</f>
        <v/>
      </c>
      <c r="F499" s="55" t="str">
        <f aca="false">IF($H499="","",购销流水!$C129)</f>
        <v/>
      </c>
      <c r="G499" s="48" t="str">
        <f aca="false">IF($H499="","",购销流水!$N129)</f>
        <v/>
      </c>
      <c r="H499" s="10" t="str">
        <f aca="false">IF($L499="","",IF($L499="@成本",购销流水!$U129,IF($L499="@收入",购销流水!$T129,IF($L499="@存货",购销流水!$S129,IF($L499="@结算",购销流水!$R129,$L499)))))</f>
        <v/>
      </c>
      <c r="I499" s="42" t="n">
        <f aca="false">IF($M499="借",$O499,0)</f>
        <v>0</v>
      </c>
      <c r="J499" s="42" t="n">
        <f aca="false">IF($M499="贷",$O499,0)</f>
        <v>0</v>
      </c>
      <c r="K499" s="48" t="str">
        <f aca="false">IF($H499="","",购销流水!$E129)</f>
        <v/>
      </c>
      <c r="L499" s="66" t="str">
        <f aca="false">IF(购销流水!$D129="","",IFERROR(INDEX(记账规则!$A$6:$N$9,MATCH(购销流水!$D129,记账规则!$A$6:$A$9,0),6),""))</f>
        <v/>
      </c>
      <c r="M499" s="66" t="str">
        <f aca="false">IF($L499="","",IFERROR(INDEX(记账规则!$A$6:$N$9,MATCH(购销流水!$D129,记账规则!$A$6:$A$9,0),7),""))</f>
        <v/>
      </c>
      <c r="N499" s="66" t="str">
        <f aca="false">IF($L499="","",IFERROR(INDEX(记账规则!$A$6:$N$9,MATCH(购销流水!$D129,记账规则!$A$6:$A$9,0),8),""))</f>
        <v/>
      </c>
      <c r="O499" s="67" t="n">
        <f aca="false">IF($H499="",0,ROUND(IF($N499="成本金额",N(购销流水!$W129),IF($N499="金额",N(购销流水!$Q129),0)),2))</f>
        <v>0</v>
      </c>
      <c r="P499" s="64" t="str">
        <f aca="false">IF(AND($H499&lt;&gt;"",ROUND($O499,2)&lt;&gt;0),"有","")</f>
        <v/>
      </c>
    </row>
    <row r="500" customFormat="false" ht="15" hidden="true" customHeight="false" outlineLevel="0" collapsed="false">
      <c r="A500" s="53" t="str">
        <f aca="false">IF($H500="","",ROW()-5)</f>
        <v/>
      </c>
      <c r="B500" s="64" t="s">
        <v>36</v>
      </c>
      <c r="C500" s="53" t="n">
        <v>129</v>
      </c>
      <c r="D500" s="53" t="n">
        <v>3</v>
      </c>
      <c r="E500" s="65" t="str">
        <f aca="false">IF($H500="","",购销流水!$B129)</f>
        <v/>
      </c>
      <c r="F500" s="55" t="str">
        <f aca="false">IF($H500="","",购销流水!$C129)</f>
        <v/>
      </c>
      <c r="G500" s="48" t="str">
        <f aca="false">IF($H500="","",购销流水!$N129)</f>
        <v/>
      </c>
      <c r="H500" s="10" t="str">
        <f aca="false">IF($L500="","",IF($L500="@成本",购销流水!$U129,IF($L500="@收入",购销流水!$T129,IF($L500="@存货",购销流水!$S129,IF($L500="@结算",购销流水!$R129,$L500)))))</f>
        <v/>
      </c>
      <c r="I500" s="42" t="n">
        <f aca="false">IF($M500="借",$O500,0)</f>
        <v>0</v>
      </c>
      <c r="J500" s="42" t="n">
        <f aca="false">IF($M500="贷",$O500,0)</f>
        <v>0</v>
      </c>
      <c r="K500" s="48" t="str">
        <f aca="false">IF($H500="","",购销流水!$E129)</f>
        <v/>
      </c>
      <c r="L500" s="66" t="str">
        <f aca="false">IF(购销流水!$D129="","",IFERROR(INDEX(记账规则!$A$6:$N$9,MATCH(购销流水!$D129,记账规则!$A$6:$A$9,0),9),""))</f>
        <v/>
      </c>
      <c r="M500" s="66" t="str">
        <f aca="false">IF($L500="","",IFERROR(INDEX(记账规则!$A$6:$N$9,MATCH(购销流水!$D129,记账规则!$A$6:$A$9,0),10),""))</f>
        <v/>
      </c>
      <c r="N500" s="66" t="str">
        <f aca="false">IF($L500="","",IFERROR(INDEX(记账规则!$A$6:$N$9,MATCH(购销流水!$D129,记账规则!$A$6:$A$9,0),11),""))</f>
        <v/>
      </c>
      <c r="O500" s="67" t="n">
        <f aca="false">IF($H500="",0,ROUND(IF($N500="成本金额",N(购销流水!$W129),IF($N500="金额",N(购销流水!$Q129),0)),2))</f>
        <v>0</v>
      </c>
      <c r="P500" s="64" t="str">
        <f aca="false">IF(AND($H500&lt;&gt;"",ROUND($O500,2)&lt;&gt;0),"有","")</f>
        <v/>
      </c>
    </row>
    <row r="501" customFormat="false" ht="15" hidden="true" customHeight="false" outlineLevel="0" collapsed="false">
      <c r="A501" s="53" t="str">
        <f aca="false">IF($H501="","",ROW()-5)</f>
        <v/>
      </c>
      <c r="B501" s="64" t="s">
        <v>36</v>
      </c>
      <c r="C501" s="53" t="n">
        <v>129</v>
      </c>
      <c r="D501" s="53" t="n">
        <v>4</v>
      </c>
      <c r="E501" s="65" t="str">
        <f aca="false">IF($H501="","",购销流水!$B129)</f>
        <v/>
      </c>
      <c r="F501" s="55" t="str">
        <f aca="false">IF($H501="","",购销流水!$C129)</f>
        <v/>
      </c>
      <c r="G501" s="48" t="str">
        <f aca="false">IF($H501="","",购销流水!$N129)</f>
        <v/>
      </c>
      <c r="H501" s="10" t="str">
        <f aca="false">IF($L501="","",IF($L501="@成本",购销流水!$U129,IF($L501="@收入",购销流水!$T129,IF($L501="@存货",购销流水!$S129,IF($L501="@结算",购销流水!$R129,$L501)))))</f>
        <v/>
      </c>
      <c r="I501" s="42" t="n">
        <f aca="false">IF($M501="借",$O501,0)</f>
        <v>0</v>
      </c>
      <c r="J501" s="42" t="n">
        <f aca="false">IF($M501="贷",$O501,0)</f>
        <v>0</v>
      </c>
      <c r="K501" s="48" t="str">
        <f aca="false">IF($H501="","",购销流水!$E129)</f>
        <v/>
      </c>
      <c r="L501" s="66" t="str">
        <f aca="false">IF(购销流水!$D129="","",IFERROR(INDEX(记账规则!$A$6:$N$9,MATCH(购销流水!$D129,记账规则!$A$6:$A$9,0),12),""))</f>
        <v/>
      </c>
      <c r="M501" s="66" t="str">
        <f aca="false">IF($L501="","",IFERROR(INDEX(记账规则!$A$6:$N$9,MATCH(购销流水!$D129,记账规则!$A$6:$A$9,0),13),""))</f>
        <v/>
      </c>
      <c r="N501" s="66" t="str">
        <f aca="false">IF($L501="","",IFERROR(INDEX(记账规则!$A$6:$N$9,MATCH(购销流水!$D129,记账规则!$A$6:$A$9,0),14),""))</f>
        <v/>
      </c>
      <c r="O501" s="67" t="n">
        <f aca="false">IF($H501="",0,ROUND(IF($N501="成本金额",N(购销流水!$W129),IF($N501="金额",N(购销流水!$Q129),0)),2))</f>
        <v>0</v>
      </c>
      <c r="P501" s="64" t="str">
        <f aca="false">IF(AND($H501&lt;&gt;"",ROUND($O501,2)&lt;&gt;0),"有","")</f>
        <v/>
      </c>
    </row>
    <row r="502" customFormat="false" ht="15" hidden="true" customHeight="false" outlineLevel="0" collapsed="false">
      <c r="A502" s="53" t="str">
        <f aca="false">IF($H502="","",ROW()-5)</f>
        <v/>
      </c>
      <c r="B502" s="64" t="s">
        <v>36</v>
      </c>
      <c r="C502" s="53" t="n">
        <v>130</v>
      </c>
      <c r="D502" s="53" t="n">
        <v>1</v>
      </c>
      <c r="E502" s="65" t="str">
        <f aca="false">IF($H502="","",购销流水!$B130)</f>
        <v/>
      </c>
      <c r="F502" s="55" t="str">
        <f aca="false">IF($H502="","",购销流水!$C130)</f>
        <v/>
      </c>
      <c r="G502" s="48" t="str">
        <f aca="false">IF($H502="","",购销流水!$N130)</f>
        <v/>
      </c>
      <c r="H502" s="10" t="str">
        <f aca="false">IF($L502="","",IF($L502="@成本",购销流水!$U130,IF($L502="@收入",购销流水!$T130,IF($L502="@存货",购销流水!$S130,IF($L502="@结算",购销流水!$R130,$L502)))))</f>
        <v/>
      </c>
      <c r="I502" s="42" t="n">
        <f aca="false">IF($M502="借",$O502,0)</f>
        <v>0</v>
      </c>
      <c r="J502" s="42" t="n">
        <f aca="false">IF($M502="贷",$O502,0)</f>
        <v>0</v>
      </c>
      <c r="K502" s="48" t="str">
        <f aca="false">IF($H502="","",购销流水!$E130)</f>
        <v/>
      </c>
      <c r="L502" s="66" t="str">
        <f aca="false">IF(购销流水!$D130="","",IFERROR(INDEX(记账规则!$A$6:$N$9,MATCH(购销流水!$D130,记账规则!$A$6:$A$9,0),3),""))</f>
        <v/>
      </c>
      <c r="M502" s="66" t="str">
        <f aca="false">IF($L502="","",IFERROR(INDEX(记账规则!$A$6:$N$9,MATCH(购销流水!$D130,记账规则!$A$6:$A$9,0),4),""))</f>
        <v/>
      </c>
      <c r="N502" s="66" t="str">
        <f aca="false">IF($L502="","",IFERROR(INDEX(记账规则!$A$6:$N$9,MATCH(购销流水!$D130,记账规则!$A$6:$A$9,0),5),""))</f>
        <v/>
      </c>
      <c r="O502" s="67" t="n">
        <f aca="false">IF($H502="",0,ROUND(IF($N502="成本金额",N(购销流水!$W130),IF($N502="金额",N(购销流水!$Q130),0)),2))</f>
        <v>0</v>
      </c>
      <c r="P502" s="64" t="str">
        <f aca="false">IF(AND($H502&lt;&gt;"",ROUND($O502,2)&lt;&gt;0),"有","")</f>
        <v/>
      </c>
    </row>
    <row r="503" customFormat="false" ht="15" hidden="true" customHeight="false" outlineLevel="0" collapsed="false">
      <c r="A503" s="53" t="str">
        <f aca="false">IF($H503="","",ROW()-5)</f>
        <v/>
      </c>
      <c r="B503" s="64" t="s">
        <v>36</v>
      </c>
      <c r="C503" s="53" t="n">
        <v>130</v>
      </c>
      <c r="D503" s="53" t="n">
        <v>2</v>
      </c>
      <c r="E503" s="65" t="str">
        <f aca="false">IF($H503="","",购销流水!$B130)</f>
        <v/>
      </c>
      <c r="F503" s="55" t="str">
        <f aca="false">IF($H503="","",购销流水!$C130)</f>
        <v/>
      </c>
      <c r="G503" s="48" t="str">
        <f aca="false">IF($H503="","",购销流水!$N130)</f>
        <v/>
      </c>
      <c r="H503" s="10" t="str">
        <f aca="false">IF($L503="","",IF($L503="@成本",购销流水!$U130,IF($L503="@收入",购销流水!$T130,IF($L503="@存货",购销流水!$S130,IF($L503="@结算",购销流水!$R130,$L503)))))</f>
        <v/>
      </c>
      <c r="I503" s="42" t="n">
        <f aca="false">IF($M503="借",$O503,0)</f>
        <v>0</v>
      </c>
      <c r="J503" s="42" t="n">
        <f aca="false">IF($M503="贷",$O503,0)</f>
        <v>0</v>
      </c>
      <c r="K503" s="48" t="str">
        <f aca="false">IF($H503="","",购销流水!$E130)</f>
        <v/>
      </c>
      <c r="L503" s="66" t="str">
        <f aca="false">IF(购销流水!$D130="","",IFERROR(INDEX(记账规则!$A$6:$N$9,MATCH(购销流水!$D130,记账规则!$A$6:$A$9,0),6),""))</f>
        <v/>
      </c>
      <c r="M503" s="66" t="str">
        <f aca="false">IF($L503="","",IFERROR(INDEX(记账规则!$A$6:$N$9,MATCH(购销流水!$D130,记账规则!$A$6:$A$9,0),7),""))</f>
        <v/>
      </c>
      <c r="N503" s="66" t="str">
        <f aca="false">IF($L503="","",IFERROR(INDEX(记账规则!$A$6:$N$9,MATCH(购销流水!$D130,记账规则!$A$6:$A$9,0),8),""))</f>
        <v/>
      </c>
      <c r="O503" s="67" t="n">
        <f aca="false">IF($H503="",0,ROUND(IF($N503="成本金额",N(购销流水!$W130),IF($N503="金额",N(购销流水!$Q130),0)),2))</f>
        <v>0</v>
      </c>
      <c r="P503" s="64" t="str">
        <f aca="false">IF(AND($H503&lt;&gt;"",ROUND($O503,2)&lt;&gt;0),"有","")</f>
        <v/>
      </c>
    </row>
    <row r="504" customFormat="false" ht="15" hidden="true" customHeight="false" outlineLevel="0" collapsed="false">
      <c r="A504" s="53" t="str">
        <f aca="false">IF($H504="","",ROW()-5)</f>
        <v/>
      </c>
      <c r="B504" s="64" t="s">
        <v>36</v>
      </c>
      <c r="C504" s="53" t="n">
        <v>130</v>
      </c>
      <c r="D504" s="53" t="n">
        <v>3</v>
      </c>
      <c r="E504" s="65" t="str">
        <f aca="false">IF($H504="","",购销流水!$B130)</f>
        <v/>
      </c>
      <c r="F504" s="55" t="str">
        <f aca="false">IF($H504="","",购销流水!$C130)</f>
        <v/>
      </c>
      <c r="G504" s="48" t="str">
        <f aca="false">IF($H504="","",购销流水!$N130)</f>
        <v/>
      </c>
      <c r="H504" s="10" t="str">
        <f aca="false">IF($L504="","",IF($L504="@成本",购销流水!$U130,IF($L504="@收入",购销流水!$T130,IF($L504="@存货",购销流水!$S130,IF($L504="@结算",购销流水!$R130,$L504)))))</f>
        <v/>
      </c>
      <c r="I504" s="42" t="n">
        <f aca="false">IF($M504="借",$O504,0)</f>
        <v>0</v>
      </c>
      <c r="J504" s="42" t="n">
        <f aca="false">IF($M504="贷",$O504,0)</f>
        <v>0</v>
      </c>
      <c r="K504" s="48" t="str">
        <f aca="false">IF($H504="","",购销流水!$E130)</f>
        <v/>
      </c>
      <c r="L504" s="66" t="str">
        <f aca="false">IF(购销流水!$D130="","",IFERROR(INDEX(记账规则!$A$6:$N$9,MATCH(购销流水!$D130,记账规则!$A$6:$A$9,0),9),""))</f>
        <v/>
      </c>
      <c r="M504" s="66" t="str">
        <f aca="false">IF($L504="","",IFERROR(INDEX(记账规则!$A$6:$N$9,MATCH(购销流水!$D130,记账规则!$A$6:$A$9,0),10),""))</f>
        <v/>
      </c>
      <c r="N504" s="66" t="str">
        <f aca="false">IF($L504="","",IFERROR(INDEX(记账规则!$A$6:$N$9,MATCH(购销流水!$D130,记账规则!$A$6:$A$9,0),11),""))</f>
        <v/>
      </c>
      <c r="O504" s="67" t="n">
        <f aca="false">IF($H504="",0,ROUND(IF($N504="成本金额",N(购销流水!$W130),IF($N504="金额",N(购销流水!$Q130),0)),2))</f>
        <v>0</v>
      </c>
      <c r="P504" s="64" t="str">
        <f aca="false">IF(AND($H504&lt;&gt;"",ROUND($O504,2)&lt;&gt;0),"有","")</f>
        <v/>
      </c>
    </row>
    <row r="505" customFormat="false" ht="15" hidden="true" customHeight="false" outlineLevel="0" collapsed="false">
      <c r="A505" s="53" t="str">
        <f aca="false">IF($H505="","",ROW()-5)</f>
        <v/>
      </c>
      <c r="B505" s="64" t="s">
        <v>36</v>
      </c>
      <c r="C505" s="53" t="n">
        <v>130</v>
      </c>
      <c r="D505" s="53" t="n">
        <v>4</v>
      </c>
      <c r="E505" s="65" t="str">
        <f aca="false">IF($H505="","",购销流水!$B130)</f>
        <v/>
      </c>
      <c r="F505" s="55" t="str">
        <f aca="false">IF($H505="","",购销流水!$C130)</f>
        <v/>
      </c>
      <c r="G505" s="48" t="str">
        <f aca="false">IF($H505="","",购销流水!$N130)</f>
        <v/>
      </c>
      <c r="H505" s="10" t="str">
        <f aca="false">IF($L505="","",IF($L505="@成本",购销流水!$U130,IF($L505="@收入",购销流水!$T130,IF($L505="@存货",购销流水!$S130,IF($L505="@结算",购销流水!$R130,$L505)))))</f>
        <v/>
      </c>
      <c r="I505" s="42" t="n">
        <f aca="false">IF($M505="借",$O505,0)</f>
        <v>0</v>
      </c>
      <c r="J505" s="42" t="n">
        <f aca="false">IF($M505="贷",$O505,0)</f>
        <v>0</v>
      </c>
      <c r="K505" s="48" t="str">
        <f aca="false">IF($H505="","",购销流水!$E130)</f>
        <v/>
      </c>
      <c r="L505" s="66" t="str">
        <f aca="false">IF(购销流水!$D130="","",IFERROR(INDEX(记账规则!$A$6:$N$9,MATCH(购销流水!$D130,记账规则!$A$6:$A$9,0),12),""))</f>
        <v/>
      </c>
      <c r="M505" s="66" t="str">
        <f aca="false">IF($L505="","",IFERROR(INDEX(记账规则!$A$6:$N$9,MATCH(购销流水!$D130,记账规则!$A$6:$A$9,0),13),""))</f>
        <v/>
      </c>
      <c r="N505" s="66" t="str">
        <f aca="false">IF($L505="","",IFERROR(INDEX(记账规则!$A$6:$N$9,MATCH(购销流水!$D130,记账规则!$A$6:$A$9,0),14),""))</f>
        <v/>
      </c>
      <c r="O505" s="67" t="n">
        <f aca="false">IF($H505="",0,ROUND(IF($N505="成本金额",N(购销流水!$W130),IF($N505="金额",N(购销流水!$Q130),0)),2))</f>
        <v>0</v>
      </c>
      <c r="P505" s="64" t="str">
        <f aca="false">IF(AND($H505&lt;&gt;"",ROUND($O505,2)&lt;&gt;0),"有","")</f>
        <v/>
      </c>
    </row>
    <row r="506" customFormat="false" ht="15" hidden="true" customHeight="false" outlineLevel="0" collapsed="false">
      <c r="A506" s="53" t="str">
        <f aca="false">IF($H506="","",ROW()-5)</f>
        <v/>
      </c>
      <c r="B506" s="64" t="s">
        <v>36</v>
      </c>
      <c r="C506" s="53" t="n">
        <v>131</v>
      </c>
      <c r="D506" s="53" t="n">
        <v>1</v>
      </c>
      <c r="E506" s="65" t="str">
        <f aca="false">IF($H506="","",购销流水!$B131)</f>
        <v/>
      </c>
      <c r="F506" s="55" t="str">
        <f aca="false">IF($H506="","",购销流水!$C131)</f>
        <v/>
      </c>
      <c r="G506" s="48" t="str">
        <f aca="false">IF($H506="","",购销流水!$N131)</f>
        <v/>
      </c>
      <c r="H506" s="10" t="str">
        <f aca="false">IF($L506="","",IF($L506="@成本",购销流水!$U131,IF($L506="@收入",购销流水!$T131,IF($L506="@存货",购销流水!$S131,IF($L506="@结算",购销流水!$R131,$L506)))))</f>
        <v/>
      </c>
      <c r="I506" s="42" t="n">
        <f aca="false">IF($M506="借",$O506,0)</f>
        <v>0</v>
      </c>
      <c r="J506" s="42" t="n">
        <f aca="false">IF($M506="贷",$O506,0)</f>
        <v>0</v>
      </c>
      <c r="K506" s="48" t="str">
        <f aca="false">IF($H506="","",购销流水!$E131)</f>
        <v/>
      </c>
      <c r="L506" s="66" t="str">
        <f aca="false">IF(购销流水!$D131="","",IFERROR(INDEX(记账规则!$A$6:$N$9,MATCH(购销流水!$D131,记账规则!$A$6:$A$9,0),3),""))</f>
        <v/>
      </c>
      <c r="M506" s="66" t="str">
        <f aca="false">IF($L506="","",IFERROR(INDEX(记账规则!$A$6:$N$9,MATCH(购销流水!$D131,记账规则!$A$6:$A$9,0),4),""))</f>
        <v/>
      </c>
      <c r="N506" s="66" t="str">
        <f aca="false">IF($L506="","",IFERROR(INDEX(记账规则!$A$6:$N$9,MATCH(购销流水!$D131,记账规则!$A$6:$A$9,0),5),""))</f>
        <v/>
      </c>
      <c r="O506" s="67" t="n">
        <f aca="false">IF($H506="",0,ROUND(IF($N506="成本金额",N(购销流水!$W131),IF($N506="金额",N(购销流水!$Q131),0)),2))</f>
        <v>0</v>
      </c>
      <c r="P506" s="64" t="str">
        <f aca="false">IF(AND($H506&lt;&gt;"",ROUND($O506,2)&lt;&gt;0),"有","")</f>
        <v/>
      </c>
    </row>
    <row r="507" customFormat="false" ht="15" hidden="true" customHeight="false" outlineLevel="0" collapsed="false">
      <c r="A507" s="53" t="str">
        <f aca="false">IF($H507="","",ROW()-5)</f>
        <v/>
      </c>
      <c r="B507" s="64" t="s">
        <v>36</v>
      </c>
      <c r="C507" s="53" t="n">
        <v>131</v>
      </c>
      <c r="D507" s="53" t="n">
        <v>2</v>
      </c>
      <c r="E507" s="65" t="str">
        <f aca="false">IF($H507="","",购销流水!$B131)</f>
        <v/>
      </c>
      <c r="F507" s="55" t="str">
        <f aca="false">IF($H507="","",购销流水!$C131)</f>
        <v/>
      </c>
      <c r="G507" s="48" t="str">
        <f aca="false">IF($H507="","",购销流水!$N131)</f>
        <v/>
      </c>
      <c r="H507" s="10" t="str">
        <f aca="false">IF($L507="","",IF($L507="@成本",购销流水!$U131,IF($L507="@收入",购销流水!$T131,IF($L507="@存货",购销流水!$S131,IF($L507="@结算",购销流水!$R131,$L507)))))</f>
        <v/>
      </c>
      <c r="I507" s="42" t="n">
        <f aca="false">IF($M507="借",$O507,0)</f>
        <v>0</v>
      </c>
      <c r="J507" s="42" t="n">
        <f aca="false">IF($M507="贷",$O507,0)</f>
        <v>0</v>
      </c>
      <c r="K507" s="48" t="str">
        <f aca="false">IF($H507="","",购销流水!$E131)</f>
        <v/>
      </c>
      <c r="L507" s="66" t="str">
        <f aca="false">IF(购销流水!$D131="","",IFERROR(INDEX(记账规则!$A$6:$N$9,MATCH(购销流水!$D131,记账规则!$A$6:$A$9,0),6),""))</f>
        <v/>
      </c>
      <c r="M507" s="66" t="str">
        <f aca="false">IF($L507="","",IFERROR(INDEX(记账规则!$A$6:$N$9,MATCH(购销流水!$D131,记账规则!$A$6:$A$9,0),7),""))</f>
        <v/>
      </c>
      <c r="N507" s="66" t="str">
        <f aca="false">IF($L507="","",IFERROR(INDEX(记账规则!$A$6:$N$9,MATCH(购销流水!$D131,记账规则!$A$6:$A$9,0),8),""))</f>
        <v/>
      </c>
      <c r="O507" s="67" t="n">
        <f aca="false">IF($H507="",0,ROUND(IF($N507="成本金额",N(购销流水!$W131),IF($N507="金额",N(购销流水!$Q131),0)),2))</f>
        <v>0</v>
      </c>
      <c r="P507" s="64" t="str">
        <f aca="false">IF(AND($H507&lt;&gt;"",ROUND($O507,2)&lt;&gt;0),"有","")</f>
        <v/>
      </c>
    </row>
    <row r="508" customFormat="false" ht="15" hidden="true" customHeight="false" outlineLevel="0" collapsed="false">
      <c r="A508" s="53" t="str">
        <f aca="false">IF($H508="","",ROW()-5)</f>
        <v/>
      </c>
      <c r="B508" s="64" t="s">
        <v>36</v>
      </c>
      <c r="C508" s="53" t="n">
        <v>131</v>
      </c>
      <c r="D508" s="53" t="n">
        <v>3</v>
      </c>
      <c r="E508" s="65" t="str">
        <f aca="false">IF($H508="","",购销流水!$B131)</f>
        <v/>
      </c>
      <c r="F508" s="55" t="str">
        <f aca="false">IF($H508="","",购销流水!$C131)</f>
        <v/>
      </c>
      <c r="G508" s="48" t="str">
        <f aca="false">IF($H508="","",购销流水!$N131)</f>
        <v/>
      </c>
      <c r="H508" s="10" t="str">
        <f aca="false">IF($L508="","",IF($L508="@成本",购销流水!$U131,IF($L508="@收入",购销流水!$T131,IF($L508="@存货",购销流水!$S131,IF($L508="@结算",购销流水!$R131,$L508)))))</f>
        <v/>
      </c>
      <c r="I508" s="42" t="n">
        <f aca="false">IF($M508="借",$O508,0)</f>
        <v>0</v>
      </c>
      <c r="J508" s="42" t="n">
        <f aca="false">IF($M508="贷",$O508,0)</f>
        <v>0</v>
      </c>
      <c r="K508" s="48" t="str">
        <f aca="false">IF($H508="","",购销流水!$E131)</f>
        <v/>
      </c>
      <c r="L508" s="66" t="str">
        <f aca="false">IF(购销流水!$D131="","",IFERROR(INDEX(记账规则!$A$6:$N$9,MATCH(购销流水!$D131,记账规则!$A$6:$A$9,0),9),""))</f>
        <v/>
      </c>
      <c r="M508" s="66" t="str">
        <f aca="false">IF($L508="","",IFERROR(INDEX(记账规则!$A$6:$N$9,MATCH(购销流水!$D131,记账规则!$A$6:$A$9,0),10),""))</f>
        <v/>
      </c>
      <c r="N508" s="66" t="str">
        <f aca="false">IF($L508="","",IFERROR(INDEX(记账规则!$A$6:$N$9,MATCH(购销流水!$D131,记账规则!$A$6:$A$9,0),11),""))</f>
        <v/>
      </c>
      <c r="O508" s="67" t="n">
        <f aca="false">IF($H508="",0,ROUND(IF($N508="成本金额",N(购销流水!$W131),IF($N508="金额",N(购销流水!$Q131),0)),2))</f>
        <v>0</v>
      </c>
      <c r="P508" s="64" t="str">
        <f aca="false">IF(AND($H508&lt;&gt;"",ROUND($O508,2)&lt;&gt;0),"有","")</f>
        <v/>
      </c>
    </row>
    <row r="509" customFormat="false" ht="15" hidden="true" customHeight="false" outlineLevel="0" collapsed="false">
      <c r="A509" s="53" t="str">
        <f aca="false">IF($H509="","",ROW()-5)</f>
        <v/>
      </c>
      <c r="B509" s="64" t="s">
        <v>36</v>
      </c>
      <c r="C509" s="53" t="n">
        <v>131</v>
      </c>
      <c r="D509" s="53" t="n">
        <v>4</v>
      </c>
      <c r="E509" s="65" t="str">
        <f aca="false">IF($H509="","",购销流水!$B131)</f>
        <v/>
      </c>
      <c r="F509" s="55" t="str">
        <f aca="false">IF($H509="","",购销流水!$C131)</f>
        <v/>
      </c>
      <c r="G509" s="48" t="str">
        <f aca="false">IF($H509="","",购销流水!$N131)</f>
        <v/>
      </c>
      <c r="H509" s="10" t="str">
        <f aca="false">IF($L509="","",IF($L509="@成本",购销流水!$U131,IF($L509="@收入",购销流水!$T131,IF($L509="@存货",购销流水!$S131,IF($L509="@结算",购销流水!$R131,$L509)))))</f>
        <v/>
      </c>
      <c r="I509" s="42" t="n">
        <f aca="false">IF($M509="借",$O509,0)</f>
        <v>0</v>
      </c>
      <c r="J509" s="42" t="n">
        <f aca="false">IF($M509="贷",$O509,0)</f>
        <v>0</v>
      </c>
      <c r="K509" s="48" t="str">
        <f aca="false">IF($H509="","",购销流水!$E131)</f>
        <v/>
      </c>
      <c r="L509" s="66" t="str">
        <f aca="false">IF(购销流水!$D131="","",IFERROR(INDEX(记账规则!$A$6:$N$9,MATCH(购销流水!$D131,记账规则!$A$6:$A$9,0),12),""))</f>
        <v/>
      </c>
      <c r="M509" s="66" t="str">
        <f aca="false">IF($L509="","",IFERROR(INDEX(记账规则!$A$6:$N$9,MATCH(购销流水!$D131,记账规则!$A$6:$A$9,0),13),""))</f>
        <v/>
      </c>
      <c r="N509" s="66" t="str">
        <f aca="false">IF($L509="","",IFERROR(INDEX(记账规则!$A$6:$N$9,MATCH(购销流水!$D131,记账规则!$A$6:$A$9,0),14),""))</f>
        <v/>
      </c>
      <c r="O509" s="67" t="n">
        <f aca="false">IF($H509="",0,ROUND(IF($N509="成本金额",N(购销流水!$W131),IF($N509="金额",N(购销流水!$Q131),0)),2))</f>
        <v>0</v>
      </c>
      <c r="P509" s="64" t="str">
        <f aca="false">IF(AND($H509&lt;&gt;"",ROUND($O509,2)&lt;&gt;0),"有","")</f>
        <v/>
      </c>
    </row>
    <row r="510" customFormat="false" ht="15" hidden="true" customHeight="false" outlineLevel="0" collapsed="false">
      <c r="A510" s="53" t="str">
        <f aca="false">IF($H510="","",ROW()-5)</f>
        <v/>
      </c>
      <c r="B510" s="64" t="s">
        <v>36</v>
      </c>
      <c r="C510" s="53" t="n">
        <v>132</v>
      </c>
      <c r="D510" s="53" t="n">
        <v>1</v>
      </c>
      <c r="E510" s="65" t="str">
        <f aca="false">IF($H510="","",购销流水!$B132)</f>
        <v/>
      </c>
      <c r="F510" s="55" t="str">
        <f aca="false">IF($H510="","",购销流水!$C132)</f>
        <v/>
      </c>
      <c r="G510" s="48" t="str">
        <f aca="false">IF($H510="","",购销流水!$N132)</f>
        <v/>
      </c>
      <c r="H510" s="10" t="str">
        <f aca="false">IF($L510="","",IF($L510="@成本",购销流水!$U132,IF($L510="@收入",购销流水!$T132,IF($L510="@存货",购销流水!$S132,IF($L510="@结算",购销流水!$R132,$L510)))))</f>
        <v/>
      </c>
      <c r="I510" s="42" t="n">
        <f aca="false">IF($M510="借",$O510,0)</f>
        <v>0</v>
      </c>
      <c r="J510" s="42" t="n">
        <f aca="false">IF($M510="贷",$O510,0)</f>
        <v>0</v>
      </c>
      <c r="K510" s="48" t="str">
        <f aca="false">IF($H510="","",购销流水!$E132)</f>
        <v/>
      </c>
      <c r="L510" s="66" t="str">
        <f aca="false">IF(购销流水!$D132="","",IFERROR(INDEX(记账规则!$A$6:$N$9,MATCH(购销流水!$D132,记账规则!$A$6:$A$9,0),3),""))</f>
        <v/>
      </c>
      <c r="M510" s="66" t="str">
        <f aca="false">IF($L510="","",IFERROR(INDEX(记账规则!$A$6:$N$9,MATCH(购销流水!$D132,记账规则!$A$6:$A$9,0),4),""))</f>
        <v/>
      </c>
      <c r="N510" s="66" t="str">
        <f aca="false">IF($L510="","",IFERROR(INDEX(记账规则!$A$6:$N$9,MATCH(购销流水!$D132,记账规则!$A$6:$A$9,0),5),""))</f>
        <v/>
      </c>
      <c r="O510" s="67" t="n">
        <f aca="false">IF($H510="",0,ROUND(IF($N510="成本金额",N(购销流水!$W132),IF($N510="金额",N(购销流水!$Q132),0)),2))</f>
        <v>0</v>
      </c>
      <c r="P510" s="64" t="str">
        <f aca="false">IF(AND($H510&lt;&gt;"",ROUND($O510,2)&lt;&gt;0),"有","")</f>
        <v/>
      </c>
    </row>
    <row r="511" customFormat="false" ht="15" hidden="true" customHeight="false" outlineLevel="0" collapsed="false">
      <c r="A511" s="53" t="str">
        <f aca="false">IF($H511="","",ROW()-5)</f>
        <v/>
      </c>
      <c r="B511" s="64" t="s">
        <v>36</v>
      </c>
      <c r="C511" s="53" t="n">
        <v>132</v>
      </c>
      <c r="D511" s="53" t="n">
        <v>2</v>
      </c>
      <c r="E511" s="65" t="str">
        <f aca="false">IF($H511="","",购销流水!$B132)</f>
        <v/>
      </c>
      <c r="F511" s="55" t="str">
        <f aca="false">IF($H511="","",购销流水!$C132)</f>
        <v/>
      </c>
      <c r="G511" s="48" t="str">
        <f aca="false">IF($H511="","",购销流水!$N132)</f>
        <v/>
      </c>
      <c r="H511" s="10" t="str">
        <f aca="false">IF($L511="","",IF($L511="@成本",购销流水!$U132,IF($L511="@收入",购销流水!$T132,IF($L511="@存货",购销流水!$S132,IF($L511="@结算",购销流水!$R132,$L511)))))</f>
        <v/>
      </c>
      <c r="I511" s="42" t="n">
        <f aca="false">IF($M511="借",$O511,0)</f>
        <v>0</v>
      </c>
      <c r="J511" s="42" t="n">
        <f aca="false">IF($M511="贷",$O511,0)</f>
        <v>0</v>
      </c>
      <c r="K511" s="48" t="str">
        <f aca="false">IF($H511="","",购销流水!$E132)</f>
        <v/>
      </c>
      <c r="L511" s="66" t="str">
        <f aca="false">IF(购销流水!$D132="","",IFERROR(INDEX(记账规则!$A$6:$N$9,MATCH(购销流水!$D132,记账规则!$A$6:$A$9,0),6),""))</f>
        <v/>
      </c>
      <c r="M511" s="66" t="str">
        <f aca="false">IF($L511="","",IFERROR(INDEX(记账规则!$A$6:$N$9,MATCH(购销流水!$D132,记账规则!$A$6:$A$9,0),7),""))</f>
        <v/>
      </c>
      <c r="N511" s="66" t="str">
        <f aca="false">IF($L511="","",IFERROR(INDEX(记账规则!$A$6:$N$9,MATCH(购销流水!$D132,记账规则!$A$6:$A$9,0),8),""))</f>
        <v/>
      </c>
      <c r="O511" s="67" t="n">
        <f aca="false">IF($H511="",0,ROUND(IF($N511="成本金额",N(购销流水!$W132),IF($N511="金额",N(购销流水!$Q132),0)),2))</f>
        <v>0</v>
      </c>
      <c r="P511" s="64" t="str">
        <f aca="false">IF(AND($H511&lt;&gt;"",ROUND($O511,2)&lt;&gt;0),"有","")</f>
        <v/>
      </c>
    </row>
    <row r="512" customFormat="false" ht="15" hidden="true" customHeight="false" outlineLevel="0" collapsed="false">
      <c r="A512" s="53" t="str">
        <f aca="false">IF($H512="","",ROW()-5)</f>
        <v/>
      </c>
      <c r="B512" s="64" t="s">
        <v>36</v>
      </c>
      <c r="C512" s="53" t="n">
        <v>132</v>
      </c>
      <c r="D512" s="53" t="n">
        <v>3</v>
      </c>
      <c r="E512" s="65" t="str">
        <f aca="false">IF($H512="","",购销流水!$B132)</f>
        <v/>
      </c>
      <c r="F512" s="55" t="str">
        <f aca="false">IF($H512="","",购销流水!$C132)</f>
        <v/>
      </c>
      <c r="G512" s="48" t="str">
        <f aca="false">IF($H512="","",购销流水!$N132)</f>
        <v/>
      </c>
      <c r="H512" s="10" t="str">
        <f aca="false">IF($L512="","",IF($L512="@成本",购销流水!$U132,IF($L512="@收入",购销流水!$T132,IF($L512="@存货",购销流水!$S132,IF($L512="@结算",购销流水!$R132,$L512)))))</f>
        <v/>
      </c>
      <c r="I512" s="42" t="n">
        <f aca="false">IF($M512="借",$O512,0)</f>
        <v>0</v>
      </c>
      <c r="J512" s="42" t="n">
        <f aca="false">IF($M512="贷",$O512,0)</f>
        <v>0</v>
      </c>
      <c r="K512" s="48" t="str">
        <f aca="false">IF($H512="","",购销流水!$E132)</f>
        <v/>
      </c>
      <c r="L512" s="66" t="str">
        <f aca="false">IF(购销流水!$D132="","",IFERROR(INDEX(记账规则!$A$6:$N$9,MATCH(购销流水!$D132,记账规则!$A$6:$A$9,0),9),""))</f>
        <v/>
      </c>
      <c r="M512" s="66" t="str">
        <f aca="false">IF($L512="","",IFERROR(INDEX(记账规则!$A$6:$N$9,MATCH(购销流水!$D132,记账规则!$A$6:$A$9,0),10),""))</f>
        <v/>
      </c>
      <c r="N512" s="66" t="str">
        <f aca="false">IF($L512="","",IFERROR(INDEX(记账规则!$A$6:$N$9,MATCH(购销流水!$D132,记账规则!$A$6:$A$9,0),11),""))</f>
        <v/>
      </c>
      <c r="O512" s="67" t="n">
        <f aca="false">IF($H512="",0,ROUND(IF($N512="成本金额",N(购销流水!$W132),IF($N512="金额",N(购销流水!$Q132),0)),2))</f>
        <v>0</v>
      </c>
      <c r="P512" s="64" t="str">
        <f aca="false">IF(AND($H512&lt;&gt;"",ROUND($O512,2)&lt;&gt;0),"有","")</f>
        <v/>
      </c>
    </row>
    <row r="513" customFormat="false" ht="15" hidden="true" customHeight="false" outlineLevel="0" collapsed="false">
      <c r="A513" s="53" t="str">
        <f aca="false">IF($H513="","",ROW()-5)</f>
        <v/>
      </c>
      <c r="B513" s="64" t="s">
        <v>36</v>
      </c>
      <c r="C513" s="53" t="n">
        <v>132</v>
      </c>
      <c r="D513" s="53" t="n">
        <v>4</v>
      </c>
      <c r="E513" s="65" t="str">
        <f aca="false">IF($H513="","",购销流水!$B132)</f>
        <v/>
      </c>
      <c r="F513" s="55" t="str">
        <f aca="false">IF($H513="","",购销流水!$C132)</f>
        <v/>
      </c>
      <c r="G513" s="48" t="str">
        <f aca="false">IF($H513="","",购销流水!$N132)</f>
        <v/>
      </c>
      <c r="H513" s="10" t="str">
        <f aca="false">IF($L513="","",IF($L513="@成本",购销流水!$U132,IF($L513="@收入",购销流水!$T132,IF($L513="@存货",购销流水!$S132,IF($L513="@结算",购销流水!$R132,$L513)))))</f>
        <v/>
      </c>
      <c r="I513" s="42" t="n">
        <f aca="false">IF($M513="借",$O513,0)</f>
        <v>0</v>
      </c>
      <c r="J513" s="42" t="n">
        <f aca="false">IF($M513="贷",$O513,0)</f>
        <v>0</v>
      </c>
      <c r="K513" s="48" t="str">
        <f aca="false">IF($H513="","",购销流水!$E132)</f>
        <v/>
      </c>
      <c r="L513" s="66" t="str">
        <f aca="false">IF(购销流水!$D132="","",IFERROR(INDEX(记账规则!$A$6:$N$9,MATCH(购销流水!$D132,记账规则!$A$6:$A$9,0),12),""))</f>
        <v/>
      </c>
      <c r="M513" s="66" t="str">
        <f aca="false">IF($L513="","",IFERROR(INDEX(记账规则!$A$6:$N$9,MATCH(购销流水!$D132,记账规则!$A$6:$A$9,0),13),""))</f>
        <v/>
      </c>
      <c r="N513" s="66" t="str">
        <f aca="false">IF($L513="","",IFERROR(INDEX(记账规则!$A$6:$N$9,MATCH(购销流水!$D132,记账规则!$A$6:$A$9,0),14),""))</f>
        <v/>
      </c>
      <c r="O513" s="67" t="n">
        <f aca="false">IF($H513="",0,ROUND(IF($N513="成本金额",N(购销流水!$W132),IF($N513="金额",N(购销流水!$Q132),0)),2))</f>
        <v>0</v>
      </c>
      <c r="P513" s="64" t="str">
        <f aca="false">IF(AND($H513&lt;&gt;"",ROUND($O513,2)&lt;&gt;0),"有","")</f>
        <v/>
      </c>
    </row>
    <row r="514" customFormat="false" ht="15" hidden="true" customHeight="false" outlineLevel="0" collapsed="false">
      <c r="A514" s="53" t="str">
        <f aca="false">IF($H514="","",ROW()-5)</f>
        <v/>
      </c>
      <c r="B514" s="64" t="s">
        <v>36</v>
      </c>
      <c r="C514" s="53" t="n">
        <v>133</v>
      </c>
      <c r="D514" s="53" t="n">
        <v>1</v>
      </c>
      <c r="E514" s="65" t="str">
        <f aca="false">IF($H514="","",购销流水!$B133)</f>
        <v/>
      </c>
      <c r="F514" s="55" t="str">
        <f aca="false">IF($H514="","",购销流水!$C133)</f>
        <v/>
      </c>
      <c r="G514" s="48" t="str">
        <f aca="false">IF($H514="","",购销流水!$N133)</f>
        <v/>
      </c>
      <c r="H514" s="10" t="str">
        <f aca="false">IF($L514="","",IF($L514="@成本",购销流水!$U133,IF($L514="@收入",购销流水!$T133,IF($L514="@存货",购销流水!$S133,IF($L514="@结算",购销流水!$R133,$L514)))))</f>
        <v/>
      </c>
      <c r="I514" s="42" t="n">
        <f aca="false">IF($M514="借",$O514,0)</f>
        <v>0</v>
      </c>
      <c r="J514" s="42" t="n">
        <f aca="false">IF($M514="贷",$O514,0)</f>
        <v>0</v>
      </c>
      <c r="K514" s="48" t="str">
        <f aca="false">IF($H514="","",购销流水!$E133)</f>
        <v/>
      </c>
      <c r="L514" s="66" t="str">
        <f aca="false">IF(购销流水!$D133="","",IFERROR(INDEX(记账规则!$A$6:$N$9,MATCH(购销流水!$D133,记账规则!$A$6:$A$9,0),3),""))</f>
        <v/>
      </c>
      <c r="M514" s="66" t="str">
        <f aca="false">IF($L514="","",IFERROR(INDEX(记账规则!$A$6:$N$9,MATCH(购销流水!$D133,记账规则!$A$6:$A$9,0),4),""))</f>
        <v/>
      </c>
      <c r="N514" s="66" t="str">
        <f aca="false">IF($L514="","",IFERROR(INDEX(记账规则!$A$6:$N$9,MATCH(购销流水!$D133,记账规则!$A$6:$A$9,0),5),""))</f>
        <v/>
      </c>
      <c r="O514" s="67" t="n">
        <f aca="false">IF($H514="",0,ROUND(IF($N514="成本金额",N(购销流水!$W133),IF($N514="金额",N(购销流水!$Q133),0)),2))</f>
        <v>0</v>
      </c>
      <c r="P514" s="64" t="str">
        <f aca="false">IF(AND($H514&lt;&gt;"",ROUND($O514,2)&lt;&gt;0),"有","")</f>
        <v/>
      </c>
    </row>
    <row r="515" customFormat="false" ht="15" hidden="true" customHeight="false" outlineLevel="0" collapsed="false">
      <c r="A515" s="53" t="str">
        <f aca="false">IF($H515="","",ROW()-5)</f>
        <v/>
      </c>
      <c r="B515" s="64" t="s">
        <v>36</v>
      </c>
      <c r="C515" s="53" t="n">
        <v>133</v>
      </c>
      <c r="D515" s="53" t="n">
        <v>2</v>
      </c>
      <c r="E515" s="65" t="str">
        <f aca="false">IF($H515="","",购销流水!$B133)</f>
        <v/>
      </c>
      <c r="F515" s="55" t="str">
        <f aca="false">IF($H515="","",购销流水!$C133)</f>
        <v/>
      </c>
      <c r="G515" s="48" t="str">
        <f aca="false">IF($H515="","",购销流水!$N133)</f>
        <v/>
      </c>
      <c r="H515" s="10" t="str">
        <f aca="false">IF($L515="","",IF($L515="@成本",购销流水!$U133,IF($L515="@收入",购销流水!$T133,IF($L515="@存货",购销流水!$S133,IF($L515="@结算",购销流水!$R133,$L515)))))</f>
        <v/>
      </c>
      <c r="I515" s="42" t="n">
        <f aca="false">IF($M515="借",$O515,0)</f>
        <v>0</v>
      </c>
      <c r="J515" s="42" t="n">
        <f aca="false">IF($M515="贷",$O515,0)</f>
        <v>0</v>
      </c>
      <c r="K515" s="48" t="str">
        <f aca="false">IF($H515="","",购销流水!$E133)</f>
        <v/>
      </c>
      <c r="L515" s="66" t="str">
        <f aca="false">IF(购销流水!$D133="","",IFERROR(INDEX(记账规则!$A$6:$N$9,MATCH(购销流水!$D133,记账规则!$A$6:$A$9,0),6),""))</f>
        <v/>
      </c>
      <c r="M515" s="66" t="str">
        <f aca="false">IF($L515="","",IFERROR(INDEX(记账规则!$A$6:$N$9,MATCH(购销流水!$D133,记账规则!$A$6:$A$9,0),7),""))</f>
        <v/>
      </c>
      <c r="N515" s="66" t="str">
        <f aca="false">IF($L515="","",IFERROR(INDEX(记账规则!$A$6:$N$9,MATCH(购销流水!$D133,记账规则!$A$6:$A$9,0),8),""))</f>
        <v/>
      </c>
      <c r="O515" s="67" t="n">
        <f aca="false">IF($H515="",0,ROUND(IF($N515="成本金额",N(购销流水!$W133),IF($N515="金额",N(购销流水!$Q133),0)),2))</f>
        <v>0</v>
      </c>
      <c r="P515" s="64" t="str">
        <f aca="false">IF(AND($H515&lt;&gt;"",ROUND($O515,2)&lt;&gt;0),"有","")</f>
        <v/>
      </c>
    </row>
    <row r="516" customFormat="false" ht="15" hidden="true" customHeight="false" outlineLevel="0" collapsed="false">
      <c r="A516" s="53" t="str">
        <f aca="false">IF($H516="","",ROW()-5)</f>
        <v/>
      </c>
      <c r="B516" s="64" t="s">
        <v>36</v>
      </c>
      <c r="C516" s="53" t="n">
        <v>133</v>
      </c>
      <c r="D516" s="53" t="n">
        <v>3</v>
      </c>
      <c r="E516" s="65" t="str">
        <f aca="false">IF($H516="","",购销流水!$B133)</f>
        <v/>
      </c>
      <c r="F516" s="55" t="str">
        <f aca="false">IF($H516="","",购销流水!$C133)</f>
        <v/>
      </c>
      <c r="G516" s="48" t="str">
        <f aca="false">IF($H516="","",购销流水!$N133)</f>
        <v/>
      </c>
      <c r="H516" s="10" t="str">
        <f aca="false">IF($L516="","",IF($L516="@成本",购销流水!$U133,IF($L516="@收入",购销流水!$T133,IF($L516="@存货",购销流水!$S133,IF($L516="@结算",购销流水!$R133,$L516)))))</f>
        <v/>
      </c>
      <c r="I516" s="42" t="n">
        <f aca="false">IF($M516="借",$O516,0)</f>
        <v>0</v>
      </c>
      <c r="J516" s="42" t="n">
        <f aca="false">IF($M516="贷",$O516,0)</f>
        <v>0</v>
      </c>
      <c r="K516" s="48" t="str">
        <f aca="false">IF($H516="","",购销流水!$E133)</f>
        <v/>
      </c>
      <c r="L516" s="66" t="str">
        <f aca="false">IF(购销流水!$D133="","",IFERROR(INDEX(记账规则!$A$6:$N$9,MATCH(购销流水!$D133,记账规则!$A$6:$A$9,0),9),""))</f>
        <v/>
      </c>
      <c r="M516" s="66" t="str">
        <f aca="false">IF($L516="","",IFERROR(INDEX(记账规则!$A$6:$N$9,MATCH(购销流水!$D133,记账规则!$A$6:$A$9,0),10),""))</f>
        <v/>
      </c>
      <c r="N516" s="66" t="str">
        <f aca="false">IF($L516="","",IFERROR(INDEX(记账规则!$A$6:$N$9,MATCH(购销流水!$D133,记账规则!$A$6:$A$9,0),11),""))</f>
        <v/>
      </c>
      <c r="O516" s="67" t="n">
        <f aca="false">IF($H516="",0,ROUND(IF($N516="成本金额",N(购销流水!$W133),IF($N516="金额",N(购销流水!$Q133),0)),2))</f>
        <v>0</v>
      </c>
      <c r="P516" s="64" t="str">
        <f aca="false">IF(AND($H516&lt;&gt;"",ROUND($O516,2)&lt;&gt;0),"有","")</f>
        <v/>
      </c>
    </row>
    <row r="517" customFormat="false" ht="15" hidden="true" customHeight="false" outlineLevel="0" collapsed="false">
      <c r="A517" s="53" t="str">
        <f aca="false">IF($H517="","",ROW()-5)</f>
        <v/>
      </c>
      <c r="B517" s="64" t="s">
        <v>36</v>
      </c>
      <c r="C517" s="53" t="n">
        <v>133</v>
      </c>
      <c r="D517" s="53" t="n">
        <v>4</v>
      </c>
      <c r="E517" s="65" t="str">
        <f aca="false">IF($H517="","",购销流水!$B133)</f>
        <v/>
      </c>
      <c r="F517" s="55" t="str">
        <f aca="false">IF($H517="","",购销流水!$C133)</f>
        <v/>
      </c>
      <c r="G517" s="48" t="str">
        <f aca="false">IF($H517="","",购销流水!$N133)</f>
        <v/>
      </c>
      <c r="H517" s="10" t="str">
        <f aca="false">IF($L517="","",IF($L517="@成本",购销流水!$U133,IF($L517="@收入",购销流水!$T133,IF($L517="@存货",购销流水!$S133,IF($L517="@结算",购销流水!$R133,$L517)))))</f>
        <v/>
      </c>
      <c r="I517" s="42" t="n">
        <f aca="false">IF($M517="借",$O517,0)</f>
        <v>0</v>
      </c>
      <c r="J517" s="42" t="n">
        <f aca="false">IF($M517="贷",$O517,0)</f>
        <v>0</v>
      </c>
      <c r="K517" s="48" t="str">
        <f aca="false">IF($H517="","",购销流水!$E133)</f>
        <v/>
      </c>
      <c r="L517" s="66" t="str">
        <f aca="false">IF(购销流水!$D133="","",IFERROR(INDEX(记账规则!$A$6:$N$9,MATCH(购销流水!$D133,记账规则!$A$6:$A$9,0),12),""))</f>
        <v/>
      </c>
      <c r="M517" s="66" t="str">
        <f aca="false">IF($L517="","",IFERROR(INDEX(记账规则!$A$6:$N$9,MATCH(购销流水!$D133,记账规则!$A$6:$A$9,0),13),""))</f>
        <v/>
      </c>
      <c r="N517" s="66" t="str">
        <f aca="false">IF($L517="","",IFERROR(INDEX(记账规则!$A$6:$N$9,MATCH(购销流水!$D133,记账规则!$A$6:$A$9,0),14),""))</f>
        <v/>
      </c>
      <c r="O517" s="67" t="n">
        <f aca="false">IF($H517="",0,ROUND(IF($N517="成本金额",N(购销流水!$W133),IF($N517="金额",N(购销流水!$Q133),0)),2))</f>
        <v>0</v>
      </c>
      <c r="P517" s="64" t="str">
        <f aca="false">IF(AND($H517&lt;&gt;"",ROUND($O517,2)&lt;&gt;0),"有","")</f>
        <v/>
      </c>
    </row>
    <row r="518" customFormat="false" ht="15" hidden="true" customHeight="false" outlineLevel="0" collapsed="false">
      <c r="A518" s="53" t="str">
        <f aca="false">IF($H518="","",ROW()-5)</f>
        <v/>
      </c>
      <c r="B518" s="64" t="s">
        <v>36</v>
      </c>
      <c r="C518" s="53" t="n">
        <v>134</v>
      </c>
      <c r="D518" s="53" t="n">
        <v>1</v>
      </c>
      <c r="E518" s="65" t="str">
        <f aca="false">IF($H518="","",购销流水!$B134)</f>
        <v/>
      </c>
      <c r="F518" s="55" t="str">
        <f aca="false">IF($H518="","",购销流水!$C134)</f>
        <v/>
      </c>
      <c r="G518" s="48" t="str">
        <f aca="false">IF($H518="","",购销流水!$N134)</f>
        <v/>
      </c>
      <c r="H518" s="10" t="str">
        <f aca="false">IF($L518="","",IF($L518="@成本",购销流水!$U134,IF($L518="@收入",购销流水!$T134,IF($L518="@存货",购销流水!$S134,IF($L518="@结算",购销流水!$R134,$L518)))))</f>
        <v/>
      </c>
      <c r="I518" s="42" t="n">
        <f aca="false">IF($M518="借",$O518,0)</f>
        <v>0</v>
      </c>
      <c r="J518" s="42" t="n">
        <f aca="false">IF($M518="贷",$O518,0)</f>
        <v>0</v>
      </c>
      <c r="K518" s="48" t="str">
        <f aca="false">IF($H518="","",购销流水!$E134)</f>
        <v/>
      </c>
      <c r="L518" s="66" t="str">
        <f aca="false">IF(购销流水!$D134="","",IFERROR(INDEX(记账规则!$A$6:$N$9,MATCH(购销流水!$D134,记账规则!$A$6:$A$9,0),3),""))</f>
        <v/>
      </c>
      <c r="M518" s="66" t="str">
        <f aca="false">IF($L518="","",IFERROR(INDEX(记账规则!$A$6:$N$9,MATCH(购销流水!$D134,记账规则!$A$6:$A$9,0),4),""))</f>
        <v/>
      </c>
      <c r="N518" s="66" t="str">
        <f aca="false">IF($L518="","",IFERROR(INDEX(记账规则!$A$6:$N$9,MATCH(购销流水!$D134,记账规则!$A$6:$A$9,0),5),""))</f>
        <v/>
      </c>
      <c r="O518" s="67" t="n">
        <f aca="false">IF($H518="",0,ROUND(IF($N518="成本金额",N(购销流水!$W134),IF($N518="金额",N(购销流水!$Q134),0)),2))</f>
        <v>0</v>
      </c>
      <c r="P518" s="64" t="str">
        <f aca="false">IF(AND($H518&lt;&gt;"",ROUND($O518,2)&lt;&gt;0),"有","")</f>
        <v/>
      </c>
    </row>
    <row r="519" customFormat="false" ht="15" hidden="true" customHeight="false" outlineLevel="0" collapsed="false">
      <c r="A519" s="53" t="str">
        <f aca="false">IF($H519="","",ROW()-5)</f>
        <v/>
      </c>
      <c r="B519" s="64" t="s">
        <v>36</v>
      </c>
      <c r="C519" s="53" t="n">
        <v>134</v>
      </c>
      <c r="D519" s="53" t="n">
        <v>2</v>
      </c>
      <c r="E519" s="65" t="str">
        <f aca="false">IF($H519="","",购销流水!$B134)</f>
        <v/>
      </c>
      <c r="F519" s="55" t="str">
        <f aca="false">IF($H519="","",购销流水!$C134)</f>
        <v/>
      </c>
      <c r="G519" s="48" t="str">
        <f aca="false">IF($H519="","",购销流水!$N134)</f>
        <v/>
      </c>
      <c r="H519" s="10" t="str">
        <f aca="false">IF($L519="","",IF($L519="@成本",购销流水!$U134,IF($L519="@收入",购销流水!$T134,IF($L519="@存货",购销流水!$S134,IF($L519="@结算",购销流水!$R134,$L519)))))</f>
        <v/>
      </c>
      <c r="I519" s="42" t="n">
        <f aca="false">IF($M519="借",$O519,0)</f>
        <v>0</v>
      </c>
      <c r="J519" s="42" t="n">
        <f aca="false">IF($M519="贷",$O519,0)</f>
        <v>0</v>
      </c>
      <c r="K519" s="48" t="str">
        <f aca="false">IF($H519="","",购销流水!$E134)</f>
        <v/>
      </c>
      <c r="L519" s="66" t="str">
        <f aca="false">IF(购销流水!$D134="","",IFERROR(INDEX(记账规则!$A$6:$N$9,MATCH(购销流水!$D134,记账规则!$A$6:$A$9,0),6),""))</f>
        <v/>
      </c>
      <c r="M519" s="66" t="str">
        <f aca="false">IF($L519="","",IFERROR(INDEX(记账规则!$A$6:$N$9,MATCH(购销流水!$D134,记账规则!$A$6:$A$9,0),7),""))</f>
        <v/>
      </c>
      <c r="N519" s="66" t="str">
        <f aca="false">IF($L519="","",IFERROR(INDEX(记账规则!$A$6:$N$9,MATCH(购销流水!$D134,记账规则!$A$6:$A$9,0),8),""))</f>
        <v/>
      </c>
      <c r="O519" s="67" t="n">
        <f aca="false">IF($H519="",0,ROUND(IF($N519="成本金额",N(购销流水!$W134),IF($N519="金额",N(购销流水!$Q134),0)),2))</f>
        <v>0</v>
      </c>
      <c r="P519" s="64" t="str">
        <f aca="false">IF(AND($H519&lt;&gt;"",ROUND($O519,2)&lt;&gt;0),"有","")</f>
        <v/>
      </c>
    </row>
    <row r="520" customFormat="false" ht="15" hidden="true" customHeight="false" outlineLevel="0" collapsed="false">
      <c r="A520" s="53" t="str">
        <f aca="false">IF($H520="","",ROW()-5)</f>
        <v/>
      </c>
      <c r="B520" s="64" t="s">
        <v>36</v>
      </c>
      <c r="C520" s="53" t="n">
        <v>134</v>
      </c>
      <c r="D520" s="53" t="n">
        <v>3</v>
      </c>
      <c r="E520" s="65" t="str">
        <f aca="false">IF($H520="","",购销流水!$B134)</f>
        <v/>
      </c>
      <c r="F520" s="55" t="str">
        <f aca="false">IF($H520="","",购销流水!$C134)</f>
        <v/>
      </c>
      <c r="G520" s="48" t="str">
        <f aca="false">IF($H520="","",购销流水!$N134)</f>
        <v/>
      </c>
      <c r="H520" s="10" t="str">
        <f aca="false">IF($L520="","",IF($L520="@成本",购销流水!$U134,IF($L520="@收入",购销流水!$T134,IF($L520="@存货",购销流水!$S134,IF($L520="@结算",购销流水!$R134,$L520)))))</f>
        <v/>
      </c>
      <c r="I520" s="42" t="n">
        <f aca="false">IF($M520="借",$O520,0)</f>
        <v>0</v>
      </c>
      <c r="J520" s="42" t="n">
        <f aca="false">IF($M520="贷",$O520,0)</f>
        <v>0</v>
      </c>
      <c r="K520" s="48" t="str">
        <f aca="false">IF($H520="","",购销流水!$E134)</f>
        <v/>
      </c>
      <c r="L520" s="66" t="str">
        <f aca="false">IF(购销流水!$D134="","",IFERROR(INDEX(记账规则!$A$6:$N$9,MATCH(购销流水!$D134,记账规则!$A$6:$A$9,0),9),""))</f>
        <v/>
      </c>
      <c r="M520" s="66" t="str">
        <f aca="false">IF($L520="","",IFERROR(INDEX(记账规则!$A$6:$N$9,MATCH(购销流水!$D134,记账规则!$A$6:$A$9,0),10),""))</f>
        <v/>
      </c>
      <c r="N520" s="66" t="str">
        <f aca="false">IF($L520="","",IFERROR(INDEX(记账规则!$A$6:$N$9,MATCH(购销流水!$D134,记账规则!$A$6:$A$9,0),11),""))</f>
        <v/>
      </c>
      <c r="O520" s="67" t="n">
        <f aca="false">IF($H520="",0,ROUND(IF($N520="成本金额",N(购销流水!$W134),IF($N520="金额",N(购销流水!$Q134),0)),2))</f>
        <v>0</v>
      </c>
      <c r="P520" s="64" t="str">
        <f aca="false">IF(AND($H520&lt;&gt;"",ROUND($O520,2)&lt;&gt;0),"有","")</f>
        <v/>
      </c>
    </row>
    <row r="521" customFormat="false" ht="15" hidden="true" customHeight="false" outlineLevel="0" collapsed="false">
      <c r="A521" s="53" t="str">
        <f aca="false">IF($H521="","",ROW()-5)</f>
        <v/>
      </c>
      <c r="B521" s="64" t="s">
        <v>36</v>
      </c>
      <c r="C521" s="53" t="n">
        <v>134</v>
      </c>
      <c r="D521" s="53" t="n">
        <v>4</v>
      </c>
      <c r="E521" s="65" t="str">
        <f aca="false">IF($H521="","",购销流水!$B134)</f>
        <v/>
      </c>
      <c r="F521" s="55" t="str">
        <f aca="false">IF($H521="","",购销流水!$C134)</f>
        <v/>
      </c>
      <c r="G521" s="48" t="str">
        <f aca="false">IF($H521="","",购销流水!$N134)</f>
        <v/>
      </c>
      <c r="H521" s="10" t="str">
        <f aca="false">IF($L521="","",IF($L521="@成本",购销流水!$U134,IF($L521="@收入",购销流水!$T134,IF($L521="@存货",购销流水!$S134,IF($L521="@结算",购销流水!$R134,$L521)))))</f>
        <v/>
      </c>
      <c r="I521" s="42" t="n">
        <f aca="false">IF($M521="借",$O521,0)</f>
        <v>0</v>
      </c>
      <c r="J521" s="42" t="n">
        <f aca="false">IF($M521="贷",$O521,0)</f>
        <v>0</v>
      </c>
      <c r="K521" s="48" t="str">
        <f aca="false">IF($H521="","",购销流水!$E134)</f>
        <v/>
      </c>
      <c r="L521" s="66" t="str">
        <f aca="false">IF(购销流水!$D134="","",IFERROR(INDEX(记账规则!$A$6:$N$9,MATCH(购销流水!$D134,记账规则!$A$6:$A$9,0),12),""))</f>
        <v/>
      </c>
      <c r="M521" s="66" t="str">
        <f aca="false">IF($L521="","",IFERROR(INDEX(记账规则!$A$6:$N$9,MATCH(购销流水!$D134,记账规则!$A$6:$A$9,0),13),""))</f>
        <v/>
      </c>
      <c r="N521" s="66" t="str">
        <f aca="false">IF($L521="","",IFERROR(INDEX(记账规则!$A$6:$N$9,MATCH(购销流水!$D134,记账规则!$A$6:$A$9,0),14),""))</f>
        <v/>
      </c>
      <c r="O521" s="67" t="n">
        <f aca="false">IF($H521="",0,ROUND(IF($N521="成本金额",N(购销流水!$W134),IF($N521="金额",N(购销流水!$Q134),0)),2))</f>
        <v>0</v>
      </c>
      <c r="P521" s="64" t="str">
        <f aca="false">IF(AND($H521&lt;&gt;"",ROUND($O521,2)&lt;&gt;0),"有","")</f>
        <v/>
      </c>
    </row>
    <row r="522" customFormat="false" ht="15" hidden="true" customHeight="false" outlineLevel="0" collapsed="false">
      <c r="A522" s="53" t="str">
        <f aca="false">IF($H522="","",ROW()-5)</f>
        <v/>
      </c>
      <c r="B522" s="64" t="s">
        <v>36</v>
      </c>
      <c r="C522" s="53" t="n">
        <v>135</v>
      </c>
      <c r="D522" s="53" t="n">
        <v>1</v>
      </c>
      <c r="E522" s="65" t="str">
        <f aca="false">IF($H522="","",购销流水!$B135)</f>
        <v/>
      </c>
      <c r="F522" s="55" t="str">
        <f aca="false">IF($H522="","",购销流水!$C135)</f>
        <v/>
      </c>
      <c r="G522" s="48" t="str">
        <f aca="false">IF($H522="","",购销流水!$N135)</f>
        <v/>
      </c>
      <c r="H522" s="10" t="str">
        <f aca="false">IF($L522="","",IF($L522="@成本",购销流水!$U135,IF($L522="@收入",购销流水!$T135,IF($L522="@存货",购销流水!$S135,IF($L522="@结算",购销流水!$R135,$L522)))))</f>
        <v/>
      </c>
      <c r="I522" s="42" t="n">
        <f aca="false">IF($M522="借",$O522,0)</f>
        <v>0</v>
      </c>
      <c r="J522" s="42" t="n">
        <f aca="false">IF($M522="贷",$O522,0)</f>
        <v>0</v>
      </c>
      <c r="K522" s="48" t="str">
        <f aca="false">IF($H522="","",购销流水!$E135)</f>
        <v/>
      </c>
      <c r="L522" s="66" t="str">
        <f aca="false">IF(购销流水!$D135="","",IFERROR(INDEX(记账规则!$A$6:$N$9,MATCH(购销流水!$D135,记账规则!$A$6:$A$9,0),3),""))</f>
        <v/>
      </c>
      <c r="M522" s="66" t="str">
        <f aca="false">IF($L522="","",IFERROR(INDEX(记账规则!$A$6:$N$9,MATCH(购销流水!$D135,记账规则!$A$6:$A$9,0),4),""))</f>
        <v/>
      </c>
      <c r="N522" s="66" t="str">
        <f aca="false">IF($L522="","",IFERROR(INDEX(记账规则!$A$6:$N$9,MATCH(购销流水!$D135,记账规则!$A$6:$A$9,0),5),""))</f>
        <v/>
      </c>
      <c r="O522" s="67" t="n">
        <f aca="false">IF($H522="",0,ROUND(IF($N522="成本金额",N(购销流水!$W135),IF($N522="金额",N(购销流水!$Q135),0)),2))</f>
        <v>0</v>
      </c>
      <c r="P522" s="64" t="str">
        <f aca="false">IF(AND($H522&lt;&gt;"",ROUND($O522,2)&lt;&gt;0),"有","")</f>
        <v/>
      </c>
    </row>
    <row r="523" customFormat="false" ht="15" hidden="true" customHeight="false" outlineLevel="0" collapsed="false">
      <c r="A523" s="53" t="str">
        <f aca="false">IF($H523="","",ROW()-5)</f>
        <v/>
      </c>
      <c r="B523" s="64" t="s">
        <v>36</v>
      </c>
      <c r="C523" s="53" t="n">
        <v>135</v>
      </c>
      <c r="D523" s="53" t="n">
        <v>2</v>
      </c>
      <c r="E523" s="65" t="str">
        <f aca="false">IF($H523="","",购销流水!$B135)</f>
        <v/>
      </c>
      <c r="F523" s="55" t="str">
        <f aca="false">IF($H523="","",购销流水!$C135)</f>
        <v/>
      </c>
      <c r="G523" s="48" t="str">
        <f aca="false">IF($H523="","",购销流水!$N135)</f>
        <v/>
      </c>
      <c r="H523" s="10" t="str">
        <f aca="false">IF($L523="","",IF($L523="@成本",购销流水!$U135,IF($L523="@收入",购销流水!$T135,IF($L523="@存货",购销流水!$S135,IF($L523="@结算",购销流水!$R135,$L523)))))</f>
        <v/>
      </c>
      <c r="I523" s="42" t="n">
        <f aca="false">IF($M523="借",$O523,0)</f>
        <v>0</v>
      </c>
      <c r="J523" s="42" t="n">
        <f aca="false">IF($M523="贷",$O523,0)</f>
        <v>0</v>
      </c>
      <c r="K523" s="48" t="str">
        <f aca="false">IF($H523="","",购销流水!$E135)</f>
        <v/>
      </c>
      <c r="L523" s="66" t="str">
        <f aca="false">IF(购销流水!$D135="","",IFERROR(INDEX(记账规则!$A$6:$N$9,MATCH(购销流水!$D135,记账规则!$A$6:$A$9,0),6),""))</f>
        <v/>
      </c>
      <c r="M523" s="66" t="str">
        <f aca="false">IF($L523="","",IFERROR(INDEX(记账规则!$A$6:$N$9,MATCH(购销流水!$D135,记账规则!$A$6:$A$9,0),7),""))</f>
        <v/>
      </c>
      <c r="N523" s="66" t="str">
        <f aca="false">IF($L523="","",IFERROR(INDEX(记账规则!$A$6:$N$9,MATCH(购销流水!$D135,记账规则!$A$6:$A$9,0),8),""))</f>
        <v/>
      </c>
      <c r="O523" s="67" t="n">
        <f aca="false">IF($H523="",0,ROUND(IF($N523="成本金额",N(购销流水!$W135),IF($N523="金额",N(购销流水!$Q135),0)),2))</f>
        <v>0</v>
      </c>
      <c r="P523" s="64" t="str">
        <f aca="false">IF(AND($H523&lt;&gt;"",ROUND($O523,2)&lt;&gt;0),"有","")</f>
        <v/>
      </c>
    </row>
    <row r="524" customFormat="false" ht="15" hidden="true" customHeight="false" outlineLevel="0" collapsed="false">
      <c r="A524" s="53" t="str">
        <f aca="false">IF($H524="","",ROW()-5)</f>
        <v/>
      </c>
      <c r="B524" s="64" t="s">
        <v>36</v>
      </c>
      <c r="C524" s="53" t="n">
        <v>135</v>
      </c>
      <c r="D524" s="53" t="n">
        <v>3</v>
      </c>
      <c r="E524" s="65" t="str">
        <f aca="false">IF($H524="","",购销流水!$B135)</f>
        <v/>
      </c>
      <c r="F524" s="55" t="str">
        <f aca="false">IF($H524="","",购销流水!$C135)</f>
        <v/>
      </c>
      <c r="G524" s="48" t="str">
        <f aca="false">IF($H524="","",购销流水!$N135)</f>
        <v/>
      </c>
      <c r="H524" s="10" t="str">
        <f aca="false">IF($L524="","",IF($L524="@成本",购销流水!$U135,IF($L524="@收入",购销流水!$T135,IF($L524="@存货",购销流水!$S135,IF($L524="@结算",购销流水!$R135,$L524)))))</f>
        <v/>
      </c>
      <c r="I524" s="42" t="n">
        <f aca="false">IF($M524="借",$O524,0)</f>
        <v>0</v>
      </c>
      <c r="J524" s="42" t="n">
        <f aca="false">IF($M524="贷",$O524,0)</f>
        <v>0</v>
      </c>
      <c r="K524" s="48" t="str">
        <f aca="false">IF($H524="","",购销流水!$E135)</f>
        <v/>
      </c>
      <c r="L524" s="66" t="str">
        <f aca="false">IF(购销流水!$D135="","",IFERROR(INDEX(记账规则!$A$6:$N$9,MATCH(购销流水!$D135,记账规则!$A$6:$A$9,0),9),""))</f>
        <v/>
      </c>
      <c r="M524" s="66" t="str">
        <f aca="false">IF($L524="","",IFERROR(INDEX(记账规则!$A$6:$N$9,MATCH(购销流水!$D135,记账规则!$A$6:$A$9,0),10),""))</f>
        <v/>
      </c>
      <c r="N524" s="66" t="str">
        <f aca="false">IF($L524="","",IFERROR(INDEX(记账规则!$A$6:$N$9,MATCH(购销流水!$D135,记账规则!$A$6:$A$9,0),11),""))</f>
        <v/>
      </c>
      <c r="O524" s="67" t="n">
        <f aca="false">IF($H524="",0,ROUND(IF($N524="成本金额",N(购销流水!$W135),IF($N524="金额",N(购销流水!$Q135),0)),2))</f>
        <v>0</v>
      </c>
      <c r="P524" s="64" t="str">
        <f aca="false">IF(AND($H524&lt;&gt;"",ROUND($O524,2)&lt;&gt;0),"有","")</f>
        <v/>
      </c>
    </row>
    <row r="525" customFormat="false" ht="15" hidden="true" customHeight="false" outlineLevel="0" collapsed="false">
      <c r="A525" s="53" t="str">
        <f aca="false">IF($H525="","",ROW()-5)</f>
        <v/>
      </c>
      <c r="B525" s="64" t="s">
        <v>36</v>
      </c>
      <c r="C525" s="53" t="n">
        <v>135</v>
      </c>
      <c r="D525" s="53" t="n">
        <v>4</v>
      </c>
      <c r="E525" s="65" t="str">
        <f aca="false">IF($H525="","",购销流水!$B135)</f>
        <v/>
      </c>
      <c r="F525" s="55" t="str">
        <f aca="false">IF($H525="","",购销流水!$C135)</f>
        <v/>
      </c>
      <c r="G525" s="48" t="str">
        <f aca="false">IF($H525="","",购销流水!$N135)</f>
        <v/>
      </c>
      <c r="H525" s="10" t="str">
        <f aca="false">IF($L525="","",IF($L525="@成本",购销流水!$U135,IF($L525="@收入",购销流水!$T135,IF($L525="@存货",购销流水!$S135,IF($L525="@结算",购销流水!$R135,$L525)))))</f>
        <v/>
      </c>
      <c r="I525" s="42" t="n">
        <f aca="false">IF($M525="借",$O525,0)</f>
        <v>0</v>
      </c>
      <c r="J525" s="42" t="n">
        <f aca="false">IF($M525="贷",$O525,0)</f>
        <v>0</v>
      </c>
      <c r="K525" s="48" t="str">
        <f aca="false">IF($H525="","",购销流水!$E135)</f>
        <v/>
      </c>
      <c r="L525" s="66" t="str">
        <f aca="false">IF(购销流水!$D135="","",IFERROR(INDEX(记账规则!$A$6:$N$9,MATCH(购销流水!$D135,记账规则!$A$6:$A$9,0),12),""))</f>
        <v/>
      </c>
      <c r="M525" s="66" t="str">
        <f aca="false">IF($L525="","",IFERROR(INDEX(记账规则!$A$6:$N$9,MATCH(购销流水!$D135,记账规则!$A$6:$A$9,0),13),""))</f>
        <v/>
      </c>
      <c r="N525" s="66" t="str">
        <f aca="false">IF($L525="","",IFERROR(INDEX(记账规则!$A$6:$N$9,MATCH(购销流水!$D135,记账规则!$A$6:$A$9,0),14),""))</f>
        <v/>
      </c>
      <c r="O525" s="67" t="n">
        <f aca="false">IF($H525="",0,ROUND(IF($N525="成本金额",N(购销流水!$W135),IF($N525="金额",N(购销流水!$Q135),0)),2))</f>
        <v>0</v>
      </c>
      <c r="P525" s="64" t="str">
        <f aca="false">IF(AND($H525&lt;&gt;"",ROUND($O525,2)&lt;&gt;0),"有","")</f>
        <v/>
      </c>
    </row>
    <row r="526" customFormat="false" ht="15" hidden="true" customHeight="false" outlineLevel="0" collapsed="false">
      <c r="A526" s="53" t="str">
        <f aca="false">IF($H526="","",ROW()-5)</f>
        <v/>
      </c>
      <c r="B526" s="64" t="s">
        <v>36</v>
      </c>
      <c r="C526" s="53" t="n">
        <v>136</v>
      </c>
      <c r="D526" s="53" t="n">
        <v>1</v>
      </c>
      <c r="E526" s="65" t="str">
        <f aca="false">IF($H526="","",购销流水!$B136)</f>
        <v/>
      </c>
      <c r="F526" s="55" t="str">
        <f aca="false">IF($H526="","",购销流水!$C136)</f>
        <v/>
      </c>
      <c r="G526" s="48" t="str">
        <f aca="false">IF($H526="","",购销流水!$N136)</f>
        <v/>
      </c>
      <c r="H526" s="10" t="str">
        <f aca="false">IF($L526="","",IF($L526="@成本",购销流水!$U136,IF($L526="@收入",购销流水!$T136,IF($L526="@存货",购销流水!$S136,IF($L526="@结算",购销流水!$R136,$L526)))))</f>
        <v/>
      </c>
      <c r="I526" s="42" t="n">
        <f aca="false">IF($M526="借",$O526,0)</f>
        <v>0</v>
      </c>
      <c r="J526" s="42" t="n">
        <f aca="false">IF($M526="贷",$O526,0)</f>
        <v>0</v>
      </c>
      <c r="K526" s="48" t="str">
        <f aca="false">IF($H526="","",购销流水!$E136)</f>
        <v/>
      </c>
      <c r="L526" s="66" t="str">
        <f aca="false">IF(购销流水!$D136="","",IFERROR(INDEX(记账规则!$A$6:$N$9,MATCH(购销流水!$D136,记账规则!$A$6:$A$9,0),3),""))</f>
        <v/>
      </c>
      <c r="M526" s="66" t="str">
        <f aca="false">IF($L526="","",IFERROR(INDEX(记账规则!$A$6:$N$9,MATCH(购销流水!$D136,记账规则!$A$6:$A$9,0),4),""))</f>
        <v/>
      </c>
      <c r="N526" s="66" t="str">
        <f aca="false">IF($L526="","",IFERROR(INDEX(记账规则!$A$6:$N$9,MATCH(购销流水!$D136,记账规则!$A$6:$A$9,0),5),""))</f>
        <v/>
      </c>
      <c r="O526" s="67" t="n">
        <f aca="false">IF($H526="",0,ROUND(IF($N526="成本金额",N(购销流水!$W136),IF($N526="金额",N(购销流水!$Q136),0)),2))</f>
        <v>0</v>
      </c>
      <c r="P526" s="64" t="str">
        <f aca="false">IF(AND($H526&lt;&gt;"",ROUND($O526,2)&lt;&gt;0),"有","")</f>
        <v/>
      </c>
    </row>
    <row r="527" customFormat="false" ht="15" hidden="true" customHeight="false" outlineLevel="0" collapsed="false">
      <c r="A527" s="53" t="str">
        <f aca="false">IF($H527="","",ROW()-5)</f>
        <v/>
      </c>
      <c r="B527" s="64" t="s">
        <v>36</v>
      </c>
      <c r="C527" s="53" t="n">
        <v>136</v>
      </c>
      <c r="D527" s="53" t="n">
        <v>2</v>
      </c>
      <c r="E527" s="65" t="str">
        <f aca="false">IF($H527="","",购销流水!$B136)</f>
        <v/>
      </c>
      <c r="F527" s="55" t="str">
        <f aca="false">IF($H527="","",购销流水!$C136)</f>
        <v/>
      </c>
      <c r="G527" s="48" t="str">
        <f aca="false">IF($H527="","",购销流水!$N136)</f>
        <v/>
      </c>
      <c r="H527" s="10" t="str">
        <f aca="false">IF($L527="","",IF($L527="@成本",购销流水!$U136,IF($L527="@收入",购销流水!$T136,IF($L527="@存货",购销流水!$S136,IF($L527="@结算",购销流水!$R136,$L527)))))</f>
        <v/>
      </c>
      <c r="I527" s="42" t="n">
        <f aca="false">IF($M527="借",$O527,0)</f>
        <v>0</v>
      </c>
      <c r="J527" s="42" t="n">
        <f aca="false">IF($M527="贷",$O527,0)</f>
        <v>0</v>
      </c>
      <c r="K527" s="48" t="str">
        <f aca="false">IF($H527="","",购销流水!$E136)</f>
        <v/>
      </c>
      <c r="L527" s="66" t="str">
        <f aca="false">IF(购销流水!$D136="","",IFERROR(INDEX(记账规则!$A$6:$N$9,MATCH(购销流水!$D136,记账规则!$A$6:$A$9,0),6),""))</f>
        <v/>
      </c>
      <c r="M527" s="66" t="str">
        <f aca="false">IF($L527="","",IFERROR(INDEX(记账规则!$A$6:$N$9,MATCH(购销流水!$D136,记账规则!$A$6:$A$9,0),7),""))</f>
        <v/>
      </c>
      <c r="N527" s="66" t="str">
        <f aca="false">IF($L527="","",IFERROR(INDEX(记账规则!$A$6:$N$9,MATCH(购销流水!$D136,记账规则!$A$6:$A$9,0),8),""))</f>
        <v/>
      </c>
      <c r="O527" s="67" t="n">
        <f aca="false">IF($H527="",0,ROUND(IF($N527="成本金额",N(购销流水!$W136),IF($N527="金额",N(购销流水!$Q136),0)),2))</f>
        <v>0</v>
      </c>
      <c r="P527" s="64" t="str">
        <f aca="false">IF(AND($H527&lt;&gt;"",ROUND($O527,2)&lt;&gt;0),"有","")</f>
        <v/>
      </c>
    </row>
    <row r="528" customFormat="false" ht="15" hidden="true" customHeight="false" outlineLevel="0" collapsed="false">
      <c r="A528" s="53" t="str">
        <f aca="false">IF($H528="","",ROW()-5)</f>
        <v/>
      </c>
      <c r="B528" s="64" t="s">
        <v>36</v>
      </c>
      <c r="C528" s="53" t="n">
        <v>136</v>
      </c>
      <c r="D528" s="53" t="n">
        <v>3</v>
      </c>
      <c r="E528" s="65" t="str">
        <f aca="false">IF($H528="","",购销流水!$B136)</f>
        <v/>
      </c>
      <c r="F528" s="55" t="str">
        <f aca="false">IF($H528="","",购销流水!$C136)</f>
        <v/>
      </c>
      <c r="G528" s="48" t="str">
        <f aca="false">IF($H528="","",购销流水!$N136)</f>
        <v/>
      </c>
      <c r="H528" s="10" t="str">
        <f aca="false">IF($L528="","",IF($L528="@成本",购销流水!$U136,IF($L528="@收入",购销流水!$T136,IF($L528="@存货",购销流水!$S136,IF($L528="@结算",购销流水!$R136,$L528)))))</f>
        <v/>
      </c>
      <c r="I528" s="42" t="n">
        <f aca="false">IF($M528="借",$O528,0)</f>
        <v>0</v>
      </c>
      <c r="J528" s="42" t="n">
        <f aca="false">IF($M528="贷",$O528,0)</f>
        <v>0</v>
      </c>
      <c r="K528" s="48" t="str">
        <f aca="false">IF($H528="","",购销流水!$E136)</f>
        <v/>
      </c>
      <c r="L528" s="66" t="str">
        <f aca="false">IF(购销流水!$D136="","",IFERROR(INDEX(记账规则!$A$6:$N$9,MATCH(购销流水!$D136,记账规则!$A$6:$A$9,0),9),""))</f>
        <v/>
      </c>
      <c r="M528" s="66" t="str">
        <f aca="false">IF($L528="","",IFERROR(INDEX(记账规则!$A$6:$N$9,MATCH(购销流水!$D136,记账规则!$A$6:$A$9,0),10),""))</f>
        <v/>
      </c>
      <c r="N528" s="66" t="str">
        <f aca="false">IF($L528="","",IFERROR(INDEX(记账规则!$A$6:$N$9,MATCH(购销流水!$D136,记账规则!$A$6:$A$9,0),11),""))</f>
        <v/>
      </c>
      <c r="O528" s="67" t="n">
        <f aca="false">IF($H528="",0,ROUND(IF($N528="成本金额",N(购销流水!$W136),IF($N528="金额",N(购销流水!$Q136),0)),2))</f>
        <v>0</v>
      </c>
      <c r="P528" s="64" t="str">
        <f aca="false">IF(AND($H528&lt;&gt;"",ROUND($O528,2)&lt;&gt;0),"有","")</f>
        <v/>
      </c>
    </row>
    <row r="529" customFormat="false" ht="15" hidden="true" customHeight="false" outlineLevel="0" collapsed="false">
      <c r="A529" s="53" t="str">
        <f aca="false">IF($H529="","",ROW()-5)</f>
        <v/>
      </c>
      <c r="B529" s="64" t="s">
        <v>36</v>
      </c>
      <c r="C529" s="53" t="n">
        <v>136</v>
      </c>
      <c r="D529" s="53" t="n">
        <v>4</v>
      </c>
      <c r="E529" s="65" t="str">
        <f aca="false">IF($H529="","",购销流水!$B136)</f>
        <v/>
      </c>
      <c r="F529" s="55" t="str">
        <f aca="false">IF($H529="","",购销流水!$C136)</f>
        <v/>
      </c>
      <c r="G529" s="48" t="str">
        <f aca="false">IF($H529="","",购销流水!$N136)</f>
        <v/>
      </c>
      <c r="H529" s="10" t="str">
        <f aca="false">IF($L529="","",IF($L529="@成本",购销流水!$U136,IF($L529="@收入",购销流水!$T136,IF($L529="@存货",购销流水!$S136,IF($L529="@结算",购销流水!$R136,$L529)))))</f>
        <v/>
      </c>
      <c r="I529" s="42" t="n">
        <f aca="false">IF($M529="借",$O529,0)</f>
        <v>0</v>
      </c>
      <c r="J529" s="42" t="n">
        <f aca="false">IF($M529="贷",$O529,0)</f>
        <v>0</v>
      </c>
      <c r="K529" s="48" t="str">
        <f aca="false">IF($H529="","",购销流水!$E136)</f>
        <v/>
      </c>
      <c r="L529" s="66" t="str">
        <f aca="false">IF(购销流水!$D136="","",IFERROR(INDEX(记账规则!$A$6:$N$9,MATCH(购销流水!$D136,记账规则!$A$6:$A$9,0),12),""))</f>
        <v/>
      </c>
      <c r="M529" s="66" t="str">
        <f aca="false">IF($L529="","",IFERROR(INDEX(记账规则!$A$6:$N$9,MATCH(购销流水!$D136,记账规则!$A$6:$A$9,0),13),""))</f>
        <v/>
      </c>
      <c r="N529" s="66" t="str">
        <f aca="false">IF($L529="","",IFERROR(INDEX(记账规则!$A$6:$N$9,MATCH(购销流水!$D136,记账规则!$A$6:$A$9,0),14),""))</f>
        <v/>
      </c>
      <c r="O529" s="67" t="n">
        <f aca="false">IF($H529="",0,ROUND(IF($N529="成本金额",N(购销流水!$W136),IF($N529="金额",N(购销流水!$Q136),0)),2))</f>
        <v>0</v>
      </c>
      <c r="P529" s="64" t="str">
        <f aca="false">IF(AND($H529&lt;&gt;"",ROUND($O529,2)&lt;&gt;0),"有","")</f>
        <v/>
      </c>
    </row>
    <row r="530" customFormat="false" ht="15" hidden="true" customHeight="false" outlineLevel="0" collapsed="false">
      <c r="A530" s="53" t="str">
        <f aca="false">IF($H530="","",ROW()-5)</f>
        <v/>
      </c>
      <c r="B530" s="64" t="s">
        <v>36</v>
      </c>
      <c r="C530" s="53" t="n">
        <v>137</v>
      </c>
      <c r="D530" s="53" t="n">
        <v>1</v>
      </c>
      <c r="E530" s="65" t="str">
        <f aca="false">IF($H530="","",购销流水!$B137)</f>
        <v/>
      </c>
      <c r="F530" s="55" t="str">
        <f aca="false">IF($H530="","",购销流水!$C137)</f>
        <v/>
      </c>
      <c r="G530" s="48" t="str">
        <f aca="false">IF($H530="","",购销流水!$N137)</f>
        <v/>
      </c>
      <c r="H530" s="10" t="str">
        <f aca="false">IF($L530="","",IF($L530="@成本",购销流水!$U137,IF($L530="@收入",购销流水!$T137,IF($L530="@存货",购销流水!$S137,IF($L530="@结算",购销流水!$R137,$L530)))))</f>
        <v/>
      </c>
      <c r="I530" s="42" t="n">
        <f aca="false">IF($M530="借",$O530,0)</f>
        <v>0</v>
      </c>
      <c r="J530" s="42" t="n">
        <f aca="false">IF($M530="贷",$O530,0)</f>
        <v>0</v>
      </c>
      <c r="K530" s="48" t="str">
        <f aca="false">IF($H530="","",购销流水!$E137)</f>
        <v/>
      </c>
      <c r="L530" s="66" t="str">
        <f aca="false">IF(购销流水!$D137="","",IFERROR(INDEX(记账规则!$A$6:$N$9,MATCH(购销流水!$D137,记账规则!$A$6:$A$9,0),3),""))</f>
        <v/>
      </c>
      <c r="M530" s="66" t="str">
        <f aca="false">IF($L530="","",IFERROR(INDEX(记账规则!$A$6:$N$9,MATCH(购销流水!$D137,记账规则!$A$6:$A$9,0),4),""))</f>
        <v/>
      </c>
      <c r="N530" s="66" t="str">
        <f aca="false">IF($L530="","",IFERROR(INDEX(记账规则!$A$6:$N$9,MATCH(购销流水!$D137,记账规则!$A$6:$A$9,0),5),""))</f>
        <v/>
      </c>
      <c r="O530" s="67" t="n">
        <f aca="false">IF($H530="",0,ROUND(IF($N530="成本金额",N(购销流水!$W137),IF($N530="金额",N(购销流水!$Q137),0)),2))</f>
        <v>0</v>
      </c>
      <c r="P530" s="64" t="str">
        <f aca="false">IF(AND($H530&lt;&gt;"",ROUND($O530,2)&lt;&gt;0),"有","")</f>
        <v/>
      </c>
    </row>
    <row r="531" customFormat="false" ht="15" hidden="true" customHeight="false" outlineLevel="0" collapsed="false">
      <c r="A531" s="53" t="str">
        <f aca="false">IF($H531="","",ROW()-5)</f>
        <v/>
      </c>
      <c r="B531" s="64" t="s">
        <v>36</v>
      </c>
      <c r="C531" s="53" t="n">
        <v>137</v>
      </c>
      <c r="D531" s="53" t="n">
        <v>2</v>
      </c>
      <c r="E531" s="65" t="str">
        <f aca="false">IF($H531="","",购销流水!$B137)</f>
        <v/>
      </c>
      <c r="F531" s="55" t="str">
        <f aca="false">IF($H531="","",购销流水!$C137)</f>
        <v/>
      </c>
      <c r="G531" s="48" t="str">
        <f aca="false">IF($H531="","",购销流水!$N137)</f>
        <v/>
      </c>
      <c r="H531" s="10" t="str">
        <f aca="false">IF($L531="","",IF($L531="@成本",购销流水!$U137,IF($L531="@收入",购销流水!$T137,IF($L531="@存货",购销流水!$S137,IF($L531="@结算",购销流水!$R137,$L531)))))</f>
        <v/>
      </c>
      <c r="I531" s="42" t="n">
        <f aca="false">IF($M531="借",$O531,0)</f>
        <v>0</v>
      </c>
      <c r="J531" s="42" t="n">
        <f aca="false">IF($M531="贷",$O531,0)</f>
        <v>0</v>
      </c>
      <c r="K531" s="48" t="str">
        <f aca="false">IF($H531="","",购销流水!$E137)</f>
        <v/>
      </c>
      <c r="L531" s="66" t="str">
        <f aca="false">IF(购销流水!$D137="","",IFERROR(INDEX(记账规则!$A$6:$N$9,MATCH(购销流水!$D137,记账规则!$A$6:$A$9,0),6),""))</f>
        <v/>
      </c>
      <c r="M531" s="66" t="str">
        <f aca="false">IF($L531="","",IFERROR(INDEX(记账规则!$A$6:$N$9,MATCH(购销流水!$D137,记账规则!$A$6:$A$9,0),7),""))</f>
        <v/>
      </c>
      <c r="N531" s="66" t="str">
        <f aca="false">IF($L531="","",IFERROR(INDEX(记账规则!$A$6:$N$9,MATCH(购销流水!$D137,记账规则!$A$6:$A$9,0),8),""))</f>
        <v/>
      </c>
      <c r="O531" s="67" t="n">
        <f aca="false">IF($H531="",0,ROUND(IF($N531="成本金额",N(购销流水!$W137),IF($N531="金额",N(购销流水!$Q137),0)),2))</f>
        <v>0</v>
      </c>
      <c r="P531" s="64" t="str">
        <f aca="false">IF(AND($H531&lt;&gt;"",ROUND($O531,2)&lt;&gt;0),"有","")</f>
        <v/>
      </c>
    </row>
    <row r="532" customFormat="false" ht="15" hidden="true" customHeight="false" outlineLevel="0" collapsed="false">
      <c r="A532" s="53" t="str">
        <f aca="false">IF($H532="","",ROW()-5)</f>
        <v/>
      </c>
      <c r="B532" s="64" t="s">
        <v>36</v>
      </c>
      <c r="C532" s="53" t="n">
        <v>137</v>
      </c>
      <c r="D532" s="53" t="n">
        <v>3</v>
      </c>
      <c r="E532" s="65" t="str">
        <f aca="false">IF($H532="","",购销流水!$B137)</f>
        <v/>
      </c>
      <c r="F532" s="55" t="str">
        <f aca="false">IF($H532="","",购销流水!$C137)</f>
        <v/>
      </c>
      <c r="G532" s="48" t="str">
        <f aca="false">IF($H532="","",购销流水!$N137)</f>
        <v/>
      </c>
      <c r="H532" s="10" t="str">
        <f aca="false">IF($L532="","",IF($L532="@成本",购销流水!$U137,IF($L532="@收入",购销流水!$T137,IF($L532="@存货",购销流水!$S137,IF($L532="@结算",购销流水!$R137,$L532)))))</f>
        <v/>
      </c>
      <c r="I532" s="42" t="n">
        <f aca="false">IF($M532="借",$O532,0)</f>
        <v>0</v>
      </c>
      <c r="J532" s="42" t="n">
        <f aca="false">IF($M532="贷",$O532,0)</f>
        <v>0</v>
      </c>
      <c r="K532" s="48" t="str">
        <f aca="false">IF($H532="","",购销流水!$E137)</f>
        <v/>
      </c>
      <c r="L532" s="66" t="str">
        <f aca="false">IF(购销流水!$D137="","",IFERROR(INDEX(记账规则!$A$6:$N$9,MATCH(购销流水!$D137,记账规则!$A$6:$A$9,0),9),""))</f>
        <v/>
      </c>
      <c r="M532" s="66" t="str">
        <f aca="false">IF($L532="","",IFERROR(INDEX(记账规则!$A$6:$N$9,MATCH(购销流水!$D137,记账规则!$A$6:$A$9,0),10),""))</f>
        <v/>
      </c>
      <c r="N532" s="66" t="str">
        <f aca="false">IF($L532="","",IFERROR(INDEX(记账规则!$A$6:$N$9,MATCH(购销流水!$D137,记账规则!$A$6:$A$9,0),11),""))</f>
        <v/>
      </c>
      <c r="O532" s="67" t="n">
        <f aca="false">IF($H532="",0,ROUND(IF($N532="成本金额",N(购销流水!$W137),IF($N532="金额",N(购销流水!$Q137),0)),2))</f>
        <v>0</v>
      </c>
      <c r="P532" s="64" t="str">
        <f aca="false">IF(AND($H532&lt;&gt;"",ROUND($O532,2)&lt;&gt;0),"有","")</f>
        <v/>
      </c>
    </row>
    <row r="533" customFormat="false" ht="15" hidden="true" customHeight="false" outlineLevel="0" collapsed="false">
      <c r="A533" s="53" t="str">
        <f aca="false">IF($H533="","",ROW()-5)</f>
        <v/>
      </c>
      <c r="B533" s="64" t="s">
        <v>36</v>
      </c>
      <c r="C533" s="53" t="n">
        <v>137</v>
      </c>
      <c r="D533" s="53" t="n">
        <v>4</v>
      </c>
      <c r="E533" s="65" t="str">
        <f aca="false">IF($H533="","",购销流水!$B137)</f>
        <v/>
      </c>
      <c r="F533" s="55" t="str">
        <f aca="false">IF($H533="","",购销流水!$C137)</f>
        <v/>
      </c>
      <c r="G533" s="48" t="str">
        <f aca="false">IF($H533="","",购销流水!$N137)</f>
        <v/>
      </c>
      <c r="H533" s="10" t="str">
        <f aca="false">IF($L533="","",IF($L533="@成本",购销流水!$U137,IF($L533="@收入",购销流水!$T137,IF($L533="@存货",购销流水!$S137,IF($L533="@结算",购销流水!$R137,$L533)))))</f>
        <v/>
      </c>
      <c r="I533" s="42" t="n">
        <f aca="false">IF($M533="借",$O533,0)</f>
        <v>0</v>
      </c>
      <c r="J533" s="42" t="n">
        <f aca="false">IF($M533="贷",$O533,0)</f>
        <v>0</v>
      </c>
      <c r="K533" s="48" t="str">
        <f aca="false">IF($H533="","",购销流水!$E137)</f>
        <v/>
      </c>
      <c r="L533" s="66" t="str">
        <f aca="false">IF(购销流水!$D137="","",IFERROR(INDEX(记账规则!$A$6:$N$9,MATCH(购销流水!$D137,记账规则!$A$6:$A$9,0),12),""))</f>
        <v/>
      </c>
      <c r="M533" s="66" t="str">
        <f aca="false">IF($L533="","",IFERROR(INDEX(记账规则!$A$6:$N$9,MATCH(购销流水!$D137,记账规则!$A$6:$A$9,0),13),""))</f>
        <v/>
      </c>
      <c r="N533" s="66" t="str">
        <f aca="false">IF($L533="","",IFERROR(INDEX(记账规则!$A$6:$N$9,MATCH(购销流水!$D137,记账规则!$A$6:$A$9,0),14),""))</f>
        <v/>
      </c>
      <c r="O533" s="67" t="n">
        <f aca="false">IF($H533="",0,ROUND(IF($N533="成本金额",N(购销流水!$W137),IF($N533="金额",N(购销流水!$Q137),0)),2))</f>
        <v>0</v>
      </c>
      <c r="P533" s="64" t="str">
        <f aca="false">IF(AND($H533&lt;&gt;"",ROUND($O533,2)&lt;&gt;0),"有","")</f>
        <v/>
      </c>
    </row>
    <row r="534" customFormat="false" ht="15" hidden="true" customHeight="false" outlineLevel="0" collapsed="false">
      <c r="A534" s="53" t="str">
        <f aca="false">IF($H534="","",ROW()-5)</f>
        <v/>
      </c>
      <c r="B534" s="64" t="s">
        <v>36</v>
      </c>
      <c r="C534" s="53" t="n">
        <v>138</v>
      </c>
      <c r="D534" s="53" t="n">
        <v>1</v>
      </c>
      <c r="E534" s="65" t="str">
        <f aca="false">IF($H534="","",购销流水!$B138)</f>
        <v/>
      </c>
      <c r="F534" s="55" t="str">
        <f aca="false">IF($H534="","",购销流水!$C138)</f>
        <v/>
      </c>
      <c r="G534" s="48" t="str">
        <f aca="false">IF($H534="","",购销流水!$N138)</f>
        <v/>
      </c>
      <c r="H534" s="10" t="str">
        <f aca="false">IF($L534="","",IF($L534="@成本",购销流水!$U138,IF($L534="@收入",购销流水!$T138,IF($L534="@存货",购销流水!$S138,IF($L534="@结算",购销流水!$R138,$L534)))))</f>
        <v/>
      </c>
      <c r="I534" s="42" t="n">
        <f aca="false">IF($M534="借",$O534,0)</f>
        <v>0</v>
      </c>
      <c r="J534" s="42" t="n">
        <f aca="false">IF($M534="贷",$O534,0)</f>
        <v>0</v>
      </c>
      <c r="K534" s="48" t="str">
        <f aca="false">IF($H534="","",购销流水!$E138)</f>
        <v/>
      </c>
      <c r="L534" s="66" t="str">
        <f aca="false">IF(购销流水!$D138="","",IFERROR(INDEX(记账规则!$A$6:$N$9,MATCH(购销流水!$D138,记账规则!$A$6:$A$9,0),3),""))</f>
        <v/>
      </c>
      <c r="M534" s="66" t="str">
        <f aca="false">IF($L534="","",IFERROR(INDEX(记账规则!$A$6:$N$9,MATCH(购销流水!$D138,记账规则!$A$6:$A$9,0),4),""))</f>
        <v/>
      </c>
      <c r="N534" s="66" t="str">
        <f aca="false">IF($L534="","",IFERROR(INDEX(记账规则!$A$6:$N$9,MATCH(购销流水!$D138,记账规则!$A$6:$A$9,0),5),""))</f>
        <v/>
      </c>
      <c r="O534" s="67" t="n">
        <f aca="false">IF($H534="",0,ROUND(IF($N534="成本金额",N(购销流水!$W138),IF($N534="金额",N(购销流水!$Q138),0)),2))</f>
        <v>0</v>
      </c>
      <c r="P534" s="64" t="str">
        <f aca="false">IF(AND($H534&lt;&gt;"",ROUND($O534,2)&lt;&gt;0),"有","")</f>
        <v/>
      </c>
    </row>
    <row r="535" customFormat="false" ht="15" hidden="true" customHeight="false" outlineLevel="0" collapsed="false">
      <c r="A535" s="53" t="str">
        <f aca="false">IF($H535="","",ROW()-5)</f>
        <v/>
      </c>
      <c r="B535" s="64" t="s">
        <v>36</v>
      </c>
      <c r="C535" s="53" t="n">
        <v>138</v>
      </c>
      <c r="D535" s="53" t="n">
        <v>2</v>
      </c>
      <c r="E535" s="65" t="str">
        <f aca="false">IF($H535="","",购销流水!$B138)</f>
        <v/>
      </c>
      <c r="F535" s="55" t="str">
        <f aca="false">IF($H535="","",购销流水!$C138)</f>
        <v/>
      </c>
      <c r="G535" s="48" t="str">
        <f aca="false">IF($H535="","",购销流水!$N138)</f>
        <v/>
      </c>
      <c r="H535" s="10" t="str">
        <f aca="false">IF($L535="","",IF($L535="@成本",购销流水!$U138,IF($L535="@收入",购销流水!$T138,IF($L535="@存货",购销流水!$S138,IF($L535="@结算",购销流水!$R138,$L535)))))</f>
        <v/>
      </c>
      <c r="I535" s="42" t="n">
        <f aca="false">IF($M535="借",$O535,0)</f>
        <v>0</v>
      </c>
      <c r="J535" s="42" t="n">
        <f aca="false">IF($M535="贷",$O535,0)</f>
        <v>0</v>
      </c>
      <c r="K535" s="48" t="str">
        <f aca="false">IF($H535="","",购销流水!$E138)</f>
        <v/>
      </c>
      <c r="L535" s="66" t="str">
        <f aca="false">IF(购销流水!$D138="","",IFERROR(INDEX(记账规则!$A$6:$N$9,MATCH(购销流水!$D138,记账规则!$A$6:$A$9,0),6),""))</f>
        <v/>
      </c>
      <c r="M535" s="66" t="str">
        <f aca="false">IF($L535="","",IFERROR(INDEX(记账规则!$A$6:$N$9,MATCH(购销流水!$D138,记账规则!$A$6:$A$9,0),7),""))</f>
        <v/>
      </c>
      <c r="N535" s="66" t="str">
        <f aca="false">IF($L535="","",IFERROR(INDEX(记账规则!$A$6:$N$9,MATCH(购销流水!$D138,记账规则!$A$6:$A$9,0),8),""))</f>
        <v/>
      </c>
      <c r="O535" s="67" t="n">
        <f aca="false">IF($H535="",0,ROUND(IF($N535="成本金额",N(购销流水!$W138),IF($N535="金额",N(购销流水!$Q138),0)),2))</f>
        <v>0</v>
      </c>
      <c r="P535" s="64" t="str">
        <f aca="false">IF(AND($H535&lt;&gt;"",ROUND($O535,2)&lt;&gt;0),"有","")</f>
        <v/>
      </c>
    </row>
    <row r="536" customFormat="false" ht="15" hidden="true" customHeight="false" outlineLevel="0" collapsed="false">
      <c r="A536" s="53" t="str">
        <f aca="false">IF($H536="","",ROW()-5)</f>
        <v/>
      </c>
      <c r="B536" s="64" t="s">
        <v>36</v>
      </c>
      <c r="C536" s="53" t="n">
        <v>138</v>
      </c>
      <c r="D536" s="53" t="n">
        <v>3</v>
      </c>
      <c r="E536" s="65" t="str">
        <f aca="false">IF($H536="","",购销流水!$B138)</f>
        <v/>
      </c>
      <c r="F536" s="55" t="str">
        <f aca="false">IF($H536="","",购销流水!$C138)</f>
        <v/>
      </c>
      <c r="G536" s="48" t="str">
        <f aca="false">IF($H536="","",购销流水!$N138)</f>
        <v/>
      </c>
      <c r="H536" s="10" t="str">
        <f aca="false">IF($L536="","",IF($L536="@成本",购销流水!$U138,IF($L536="@收入",购销流水!$T138,IF($L536="@存货",购销流水!$S138,IF($L536="@结算",购销流水!$R138,$L536)))))</f>
        <v/>
      </c>
      <c r="I536" s="42" t="n">
        <f aca="false">IF($M536="借",$O536,0)</f>
        <v>0</v>
      </c>
      <c r="J536" s="42" t="n">
        <f aca="false">IF($M536="贷",$O536,0)</f>
        <v>0</v>
      </c>
      <c r="K536" s="48" t="str">
        <f aca="false">IF($H536="","",购销流水!$E138)</f>
        <v/>
      </c>
      <c r="L536" s="66" t="str">
        <f aca="false">IF(购销流水!$D138="","",IFERROR(INDEX(记账规则!$A$6:$N$9,MATCH(购销流水!$D138,记账规则!$A$6:$A$9,0),9),""))</f>
        <v/>
      </c>
      <c r="M536" s="66" t="str">
        <f aca="false">IF($L536="","",IFERROR(INDEX(记账规则!$A$6:$N$9,MATCH(购销流水!$D138,记账规则!$A$6:$A$9,0),10),""))</f>
        <v/>
      </c>
      <c r="N536" s="66" t="str">
        <f aca="false">IF($L536="","",IFERROR(INDEX(记账规则!$A$6:$N$9,MATCH(购销流水!$D138,记账规则!$A$6:$A$9,0),11),""))</f>
        <v/>
      </c>
      <c r="O536" s="67" t="n">
        <f aca="false">IF($H536="",0,ROUND(IF($N536="成本金额",N(购销流水!$W138),IF($N536="金额",N(购销流水!$Q138),0)),2))</f>
        <v>0</v>
      </c>
      <c r="P536" s="64" t="str">
        <f aca="false">IF(AND($H536&lt;&gt;"",ROUND($O536,2)&lt;&gt;0),"有","")</f>
        <v/>
      </c>
    </row>
    <row r="537" customFormat="false" ht="15" hidden="true" customHeight="false" outlineLevel="0" collapsed="false">
      <c r="A537" s="53" t="str">
        <f aca="false">IF($H537="","",ROW()-5)</f>
        <v/>
      </c>
      <c r="B537" s="64" t="s">
        <v>36</v>
      </c>
      <c r="C537" s="53" t="n">
        <v>138</v>
      </c>
      <c r="D537" s="53" t="n">
        <v>4</v>
      </c>
      <c r="E537" s="65" t="str">
        <f aca="false">IF($H537="","",购销流水!$B138)</f>
        <v/>
      </c>
      <c r="F537" s="55" t="str">
        <f aca="false">IF($H537="","",购销流水!$C138)</f>
        <v/>
      </c>
      <c r="G537" s="48" t="str">
        <f aca="false">IF($H537="","",购销流水!$N138)</f>
        <v/>
      </c>
      <c r="H537" s="10" t="str">
        <f aca="false">IF($L537="","",IF($L537="@成本",购销流水!$U138,IF($L537="@收入",购销流水!$T138,IF($L537="@存货",购销流水!$S138,IF($L537="@结算",购销流水!$R138,$L537)))))</f>
        <v/>
      </c>
      <c r="I537" s="42" t="n">
        <f aca="false">IF($M537="借",$O537,0)</f>
        <v>0</v>
      </c>
      <c r="J537" s="42" t="n">
        <f aca="false">IF($M537="贷",$O537,0)</f>
        <v>0</v>
      </c>
      <c r="K537" s="48" t="str">
        <f aca="false">IF($H537="","",购销流水!$E138)</f>
        <v/>
      </c>
      <c r="L537" s="66" t="str">
        <f aca="false">IF(购销流水!$D138="","",IFERROR(INDEX(记账规则!$A$6:$N$9,MATCH(购销流水!$D138,记账规则!$A$6:$A$9,0),12),""))</f>
        <v/>
      </c>
      <c r="M537" s="66" t="str">
        <f aca="false">IF($L537="","",IFERROR(INDEX(记账规则!$A$6:$N$9,MATCH(购销流水!$D138,记账规则!$A$6:$A$9,0),13),""))</f>
        <v/>
      </c>
      <c r="N537" s="66" t="str">
        <f aca="false">IF($L537="","",IFERROR(INDEX(记账规则!$A$6:$N$9,MATCH(购销流水!$D138,记账规则!$A$6:$A$9,0),14),""))</f>
        <v/>
      </c>
      <c r="O537" s="67" t="n">
        <f aca="false">IF($H537="",0,ROUND(IF($N537="成本金额",N(购销流水!$W138),IF($N537="金额",N(购销流水!$Q138),0)),2))</f>
        <v>0</v>
      </c>
      <c r="P537" s="64" t="str">
        <f aca="false">IF(AND($H537&lt;&gt;"",ROUND($O537,2)&lt;&gt;0),"有","")</f>
        <v/>
      </c>
    </row>
    <row r="538" customFormat="false" ht="15" hidden="true" customHeight="false" outlineLevel="0" collapsed="false">
      <c r="A538" s="53" t="str">
        <f aca="false">IF($H538="","",ROW()-5)</f>
        <v/>
      </c>
      <c r="B538" s="64" t="s">
        <v>36</v>
      </c>
      <c r="C538" s="53" t="n">
        <v>139</v>
      </c>
      <c r="D538" s="53" t="n">
        <v>1</v>
      </c>
      <c r="E538" s="65" t="str">
        <f aca="false">IF($H538="","",购销流水!$B139)</f>
        <v/>
      </c>
      <c r="F538" s="55" t="str">
        <f aca="false">IF($H538="","",购销流水!$C139)</f>
        <v/>
      </c>
      <c r="G538" s="48" t="str">
        <f aca="false">IF($H538="","",购销流水!$N139)</f>
        <v/>
      </c>
      <c r="H538" s="10" t="str">
        <f aca="false">IF($L538="","",IF($L538="@成本",购销流水!$U139,IF($L538="@收入",购销流水!$T139,IF($L538="@存货",购销流水!$S139,IF($L538="@结算",购销流水!$R139,$L538)))))</f>
        <v/>
      </c>
      <c r="I538" s="42" t="n">
        <f aca="false">IF($M538="借",$O538,0)</f>
        <v>0</v>
      </c>
      <c r="J538" s="42" t="n">
        <f aca="false">IF($M538="贷",$O538,0)</f>
        <v>0</v>
      </c>
      <c r="K538" s="48" t="str">
        <f aca="false">IF($H538="","",购销流水!$E139)</f>
        <v/>
      </c>
      <c r="L538" s="66" t="str">
        <f aca="false">IF(购销流水!$D139="","",IFERROR(INDEX(记账规则!$A$6:$N$9,MATCH(购销流水!$D139,记账规则!$A$6:$A$9,0),3),""))</f>
        <v/>
      </c>
      <c r="M538" s="66" t="str">
        <f aca="false">IF($L538="","",IFERROR(INDEX(记账规则!$A$6:$N$9,MATCH(购销流水!$D139,记账规则!$A$6:$A$9,0),4),""))</f>
        <v/>
      </c>
      <c r="N538" s="66" t="str">
        <f aca="false">IF($L538="","",IFERROR(INDEX(记账规则!$A$6:$N$9,MATCH(购销流水!$D139,记账规则!$A$6:$A$9,0),5),""))</f>
        <v/>
      </c>
      <c r="O538" s="67" t="n">
        <f aca="false">IF($H538="",0,ROUND(IF($N538="成本金额",N(购销流水!$W139),IF($N538="金额",N(购销流水!$Q139),0)),2))</f>
        <v>0</v>
      </c>
      <c r="P538" s="64" t="str">
        <f aca="false">IF(AND($H538&lt;&gt;"",ROUND($O538,2)&lt;&gt;0),"有","")</f>
        <v/>
      </c>
    </row>
    <row r="539" customFormat="false" ht="15" hidden="true" customHeight="false" outlineLevel="0" collapsed="false">
      <c r="A539" s="53" t="str">
        <f aca="false">IF($H539="","",ROW()-5)</f>
        <v/>
      </c>
      <c r="B539" s="64" t="s">
        <v>36</v>
      </c>
      <c r="C539" s="53" t="n">
        <v>139</v>
      </c>
      <c r="D539" s="53" t="n">
        <v>2</v>
      </c>
      <c r="E539" s="65" t="str">
        <f aca="false">IF($H539="","",购销流水!$B139)</f>
        <v/>
      </c>
      <c r="F539" s="55" t="str">
        <f aca="false">IF($H539="","",购销流水!$C139)</f>
        <v/>
      </c>
      <c r="G539" s="48" t="str">
        <f aca="false">IF($H539="","",购销流水!$N139)</f>
        <v/>
      </c>
      <c r="H539" s="10" t="str">
        <f aca="false">IF($L539="","",IF($L539="@成本",购销流水!$U139,IF($L539="@收入",购销流水!$T139,IF($L539="@存货",购销流水!$S139,IF($L539="@结算",购销流水!$R139,$L539)))))</f>
        <v/>
      </c>
      <c r="I539" s="42" t="n">
        <f aca="false">IF($M539="借",$O539,0)</f>
        <v>0</v>
      </c>
      <c r="J539" s="42" t="n">
        <f aca="false">IF($M539="贷",$O539,0)</f>
        <v>0</v>
      </c>
      <c r="K539" s="48" t="str">
        <f aca="false">IF($H539="","",购销流水!$E139)</f>
        <v/>
      </c>
      <c r="L539" s="66" t="str">
        <f aca="false">IF(购销流水!$D139="","",IFERROR(INDEX(记账规则!$A$6:$N$9,MATCH(购销流水!$D139,记账规则!$A$6:$A$9,0),6),""))</f>
        <v/>
      </c>
      <c r="M539" s="66" t="str">
        <f aca="false">IF($L539="","",IFERROR(INDEX(记账规则!$A$6:$N$9,MATCH(购销流水!$D139,记账规则!$A$6:$A$9,0),7),""))</f>
        <v/>
      </c>
      <c r="N539" s="66" t="str">
        <f aca="false">IF($L539="","",IFERROR(INDEX(记账规则!$A$6:$N$9,MATCH(购销流水!$D139,记账规则!$A$6:$A$9,0),8),""))</f>
        <v/>
      </c>
      <c r="O539" s="67" t="n">
        <f aca="false">IF($H539="",0,ROUND(IF($N539="成本金额",N(购销流水!$W139),IF($N539="金额",N(购销流水!$Q139),0)),2))</f>
        <v>0</v>
      </c>
      <c r="P539" s="64" t="str">
        <f aca="false">IF(AND($H539&lt;&gt;"",ROUND($O539,2)&lt;&gt;0),"有","")</f>
        <v/>
      </c>
    </row>
    <row r="540" customFormat="false" ht="15" hidden="true" customHeight="false" outlineLevel="0" collapsed="false">
      <c r="A540" s="53" t="str">
        <f aca="false">IF($H540="","",ROW()-5)</f>
        <v/>
      </c>
      <c r="B540" s="64" t="s">
        <v>36</v>
      </c>
      <c r="C540" s="53" t="n">
        <v>139</v>
      </c>
      <c r="D540" s="53" t="n">
        <v>3</v>
      </c>
      <c r="E540" s="65" t="str">
        <f aca="false">IF($H540="","",购销流水!$B139)</f>
        <v/>
      </c>
      <c r="F540" s="55" t="str">
        <f aca="false">IF($H540="","",购销流水!$C139)</f>
        <v/>
      </c>
      <c r="G540" s="48" t="str">
        <f aca="false">IF($H540="","",购销流水!$N139)</f>
        <v/>
      </c>
      <c r="H540" s="10" t="str">
        <f aca="false">IF($L540="","",IF($L540="@成本",购销流水!$U139,IF($L540="@收入",购销流水!$T139,IF($L540="@存货",购销流水!$S139,IF($L540="@结算",购销流水!$R139,$L540)))))</f>
        <v/>
      </c>
      <c r="I540" s="42" t="n">
        <f aca="false">IF($M540="借",$O540,0)</f>
        <v>0</v>
      </c>
      <c r="J540" s="42" t="n">
        <f aca="false">IF($M540="贷",$O540,0)</f>
        <v>0</v>
      </c>
      <c r="K540" s="48" t="str">
        <f aca="false">IF($H540="","",购销流水!$E139)</f>
        <v/>
      </c>
      <c r="L540" s="66" t="str">
        <f aca="false">IF(购销流水!$D139="","",IFERROR(INDEX(记账规则!$A$6:$N$9,MATCH(购销流水!$D139,记账规则!$A$6:$A$9,0),9),""))</f>
        <v/>
      </c>
      <c r="M540" s="66" t="str">
        <f aca="false">IF($L540="","",IFERROR(INDEX(记账规则!$A$6:$N$9,MATCH(购销流水!$D139,记账规则!$A$6:$A$9,0),10),""))</f>
        <v/>
      </c>
      <c r="N540" s="66" t="str">
        <f aca="false">IF($L540="","",IFERROR(INDEX(记账规则!$A$6:$N$9,MATCH(购销流水!$D139,记账规则!$A$6:$A$9,0),11),""))</f>
        <v/>
      </c>
      <c r="O540" s="67" t="n">
        <f aca="false">IF($H540="",0,ROUND(IF($N540="成本金额",N(购销流水!$W139),IF($N540="金额",N(购销流水!$Q139),0)),2))</f>
        <v>0</v>
      </c>
      <c r="P540" s="64" t="str">
        <f aca="false">IF(AND($H540&lt;&gt;"",ROUND($O540,2)&lt;&gt;0),"有","")</f>
        <v/>
      </c>
    </row>
    <row r="541" customFormat="false" ht="15" hidden="true" customHeight="false" outlineLevel="0" collapsed="false">
      <c r="A541" s="53" t="str">
        <f aca="false">IF($H541="","",ROW()-5)</f>
        <v/>
      </c>
      <c r="B541" s="64" t="s">
        <v>36</v>
      </c>
      <c r="C541" s="53" t="n">
        <v>139</v>
      </c>
      <c r="D541" s="53" t="n">
        <v>4</v>
      </c>
      <c r="E541" s="65" t="str">
        <f aca="false">IF($H541="","",购销流水!$B139)</f>
        <v/>
      </c>
      <c r="F541" s="55" t="str">
        <f aca="false">IF($H541="","",购销流水!$C139)</f>
        <v/>
      </c>
      <c r="G541" s="48" t="str">
        <f aca="false">IF($H541="","",购销流水!$N139)</f>
        <v/>
      </c>
      <c r="H541" s="10" t="str">
        <f aca="false">IF($L541="","",IF($L541="@成本",购销流水!$U139,IF($L541="@收入",购销流水!$T139,IF($L541="@存货",购销流水!$S139,IF($L541="@结算",购销流水!$R139,$L541)))))</f>
        <v/>
      </c>
      <c r="I541" s="42" t="n">
        <f aca="false">IF($M541="借",$O541,0)</f>
        <v>0</v>
      </c>
      <c r="J541" s="42" t="n">
        <f aca="false">IF($M541="贷",$O541,0)</f>
        <v>0</v>
      </c>
      <c r="K541" s="48" t="str">
        <f aca="false">IF($H541="","",购销流水!$E139)</f>
        <v/>
      </c>
      <c r="L541" s="66" t="str">
        <f aca="false">IF(购销流水!$D139="","",IFERROR(INDEX(记账规则!$A$6:$N$9,MATCH(购销流水!$D139,记账规则!$A$6:$A$9,0),12),""))</f>
        <v/>
      </c>
      <c r="M541" s="66" t="str">
        <f aca="false">IF($L541="","",IFERROR(INDEX(记账规则!$A$6:$N$9,MATCH(购销流水!$D139,记账规则!$A$6:$A$9,0),13),""))</f>
        <v/>
      </c>
      <c r="N541" s="66" t="str">
        <f aca="false">IF($L541="","",IFERROR(INDEX(记账规则!$A$6:$N$9,MATCH(购销流水!$D139,记账规则!$A$6:$A$9,0),14),""))</f>
        <v/>
      </c>
      <c r="O541" s="67" t="n">
        <f aca="false">IF($H541="",0,ROUND(IF($N541="成本金额",N(购销流水!$W139),IF($N541="金额",N(购销流水!$Q139),0)),2))</f>
        <v>0</v>
      </c>
      <c r="P541" s="64" t="str">
        <f aca="false">IF(AND($H541&lt;&gt;"",ROUND($O541,2)&lt;&gt;0),"有","")</f>
        <v/>
      </c>
    </row>
    <row r="542" customFormat="false" ht="15" hidden="true" customHeight="false" outlineLevel="0" collapsed="false">
      <c r="A542" s="53" t="str">
        <f aca="false">IF($H542="","",ROW()-5)</f>
        <v/>
      </c>
      <c r="B542" s="64" t="s">
        <v>36</v>
      </c>
      <c r="C542" s="53" t="n">
        <v>140</v>
      </c>
      <c r="D542" s="53" t="n">
        <v>1</v>
      </c>
      <c r="E542" s="65" t="str">
        <f aca="false">IF($H542="","",购销流水!$B140)</f>
        <v/>
      </c>
      <c r="F542" s="55" t="str">
        <f aca="false">IF($H542="","",购销流水!$C140)</f>
        <v/>
      </c>
      <c r="G542" s="48" t="str">
        <f aca="false">IF($H542="","",购销流水!$N140)</f>
        <v/>
      </c>
      <c r="H542" s="10" t="str">
        <f aca="false">IF($L542="","",IF($L542="@成本",购销流水!$U140,IF($L542="@收入",购销流水!$T140,IF($L542="@存货",购销流水!$S140,IF($L542="@结算",购销流水!$R140,$L542)))))</f>
        <v/>
      </c>
      <c r="I542" s="42" t="n">
        <f aca="false">IF($M542="借",$O542,0)</f>
        <v>0</v>
      </c>
      <c r="J542" s="42" t="n">
        <f aca="false">IF($M542="贷",$O542,0)</f>
        <v>0</v>
      </c>
      <c r="K542" s="48" t="str">
        <f aca="false">IF($H542="","",购销流水!$E140)</f>
        <v/>
      </c>
      <c r="L542" s="66" t="str">
        <f aca="false">IF(购销流水!$D140="","",IFERROR(INDEX(记账规则!$A$6:$N$9,MATCH(购销流水!$D140,记账规则!$A$6:$A$9,0),3),""))</f>
        <v/>
      </c>
      <c r="M542" s="66" t="str">
        <f aca="false">IF($L542="","",IFERROR(INDEX(记账规则!$A$6:$N$9,MATCH(购销流水!$D140,记账规则!$A$6:$A$9,0),4),""))</f>
        <v/>
      </c>
      <c r="N542" s="66" t="str">
        <f aca="false">IF($L542="","",IFERROR(INDEX(记账规则!$A$6:$N$9,MATCH(购销流水!$D140,记账规则!$A$6:$A$9,0),5),""))</f>
        <v/>
      </c>
      <c r="O542" s="67" t="n">
        <f aca="false">IF($H542="",0,ROUND(IF($N542="成本金额",N(购销流水!$W140),IF($N542="金额",N(购销流水!$Q140),0)),2))</f>
        <v>0</v>
      </c>
      <c r="P542" s="64" t="str">
        <f aca="false">IF(AND($H542&lt;&gt;"",ROUND($O542,2)&lt;&gt;0),"有","")</f>
        <v/>
      </c>
    </row>
    <row r="543" customFormat="false" ht="15" hidden="true" customHeight="false" outlineLevel="0" collapsed="false">
      <c r="A543" s="53" t="str">
        <f aca="false">IF($H543="","",ROW()-5)</f>
        <v/>
      </c>
      <c r="B543" s="64" t="s">
        <v>36</v>
      </c>
      <c r="C543" s="53" t="n">
        <v>140</v>
      </c>
      <c r="D543" s="53" t="n">
        <v>2</v>
      </c>
      <c r="E543" s="65" t="str">
        <f aca="false">IF($H543="","",购销流水!$B140)</f>
        <v/>
      </c>
      <c r="F543" s="55" t="str">
        <f aca="false">IF($H543="","",购销流水!$C140)</f>
        <v/>
      </c>
      <c r="G543" s="48" t="str">
        <f aca="false">IF($H543="","",购销流水!$N140)</f>
        <v/>
      </c>
      <c r="H543" s="10" t="str">
        <f aca="false">IF($L543="","",IF($L543="@成本",购销流水!$U140,IF($L543="@收入",购销流水!$T140,IF($L543="@存货",购销流水!$S140,IF($L543="@结算",购销流水!$R140,$L543)))))</f>
        <v/>
      </c>
      <c r="I543" s="42" t="n">
        <f aca="false">IF($M543="借",$O543,0)</f>
        <v>0</v>
      </c>
      <c r="J543" s="42" t="n">
        <f aca="false">IF($M543="贷",$O543,0)</f>
        <v>0</v>
      </c>
      <c r="K543" s="48" t="str">
        <f aca="false">IF($H543="","",购销流水!$E140)</f>
        <v/>
      </c>
      <c r="L543" s="66" t="str">
        <f aca="false">IF(购销流水!$D140="","",IFERROR(INDEX(记账规则!$A$6:$N$9,MATCH(购销流水!$D140,记账规则!$A$6:$A$9,0),6),""))</f>
        <v/>
      </c>
      <c r="M543" s="66" t="str">
        <f aca="false">IF($L543="","",IFERROR(INDEX(记账规则!$A$6:$N$9,MATCH(购销流水!$D140,记账规则!$A$6:$A$9,0),7),""))</f>
        <v/>
      </c>
      <c r="N543" s="66" t="str">
        <f aca="false">IF($L543="","",IFERROR(INDEX(记账规则!$A$6:$N$9,MATCH(购销流水!$D140,记账规则!$A$6:$A$9,0),8),""))</f>
        <v/>
      </c>
      <c r="O543" s="67" t="n">
        <f aca="false">IF($H543="",0,ROUND(IF($N543="成本金额",N(购销流水!$W140),IF($N543="金额",N(购销流水!$Q140),0)),2))</f>
        <v>0</v>
      </c>
      <c r="P543" s="64" t="str">
        <f aca="false">IF(AND($H543&lt;&gt;"",ROUND($O543,2)&lt;&gt;0),"有","")</f>
        <v/>
      </c>
    </row>
    <row r="544" customFormat="false" ht="15" hidden="true" customHeight="false" outlineLevel="0" collapsed="false">
      <c r="A544" s="53" t="str">
        <f aca="false">IF($H544="","",ROW()-5)</f>
        <v/>
      </c>
      <c r="B544" s="64" t="s">
        <v>36</v>
      </c>
      <c r="C544" s="53" t="n">
        <v>140</v>
      </c>
      <c r="D544" s="53" t="n">
        <v>3</v>
      </c>
      <c r="E544" s="65" t="str">
        <f aca="false">IF($H544="","",购销流水!$B140)</f>
        <v/>
      </c>
      <c r="F544" s="55" t="str">
        <f aca="false">IF($H544="","",购销流水!$C140)</f>
        <v/>
      </c>
      <c r="G544" s="48" t="str">
        <f aca="false">IF($H544="","",购销流水!$N140)</f>
        <v/>
      </c>
      <c r="H544" s="10" t="str">
        <f aca="false">IF($L544="","",IF($L544="@成本",购销流水!$U140,IF($L544="@收入",购销流水!$T140,IF($L544="@存货",购销流水!$S140,IF($L544="@结算",购销流水!$R140,$L544)))))</f>
        <v/>
      </c>
      <c r="I544" s="42" t="n">
        <f aca="false">IF($M544="借",$O544,0)</f>
        <v>0</v>
      </c>
      <c r="J544" s="42" t="n">
        <f aca="false">IF($M544="贷",$O544,0)</f>
        <v>0</v>
      </c>
      <c r="K544" s="48" t="str">
        <f aca="false">IF($H544="","",购销流水!$E140)</f>
        <v/>
      </c>
      <c r="L544" s="66" t="str">
        <f aca="false">IF(购销流水!$D140="","",IFERROR(INDEX(记账规则!$A$6:$N$9,MATCH(购销流水!$D140,记账规则!$A$6:$A$9,0),9),""))</f>
        <v/>
      </c>
      <c r="M544" s="66" t="str">
        <f aca="false">IF($L544="","",IFERROR(INDEX(记账规则!$A$6:$N$9,MATCH(购销流水!$D140,记账规则!$A$6:$A$9,0),10),""))</f>
        <v/>
      </c>
      <c r="N544" s="66" t="str">
        <f aca="false">IF($L544="","",IFERROR(INDEX(记账规则!$A$6:$N$9,MATCH(购销流水!$D140,记账规则!$A$6:$A$9,0),11),""))</f>
        <v/>
      </c>
      <c r="O544" s="67" t="n">
        <f aca="false">IF($H544="",0,ROUND(IF($N544="成本金额",N(购销流水!$W140),IF($N544="金额",N(购销流水!$Q140),0)),2))</f>
        <v>0</v>
      </c>
      <c r="P544" s="64" t="str">
        <f aca="false">IF(AND($H544&lt;&gt;"",ROUND($O544,2)&lt;&gt;0),"有","")</f>
        <v/>
      </c>
    </row>
    <row r="545" customFormat="false" ht="15" hidden="true" customHeight="false" outlineLevel="0" collapsed="false">
      <c r="A545" s="53" t="str">
        <f aca="false">IF($H545="","",ROW()-5)</f>
        <v/>
      </c>
      <c r="B545" s="64" t="s">
        <v>36</v>
      </c>
      <c r="C545" s="53" t="n">
        <v>140</v>
      </c>
      <c r="D545" s="53" t="n">
        <v>4</v>
      </c>
      <c r="E545" s="65" t="str">
        <f aca="false">IF($H545="","",购销流水!$B140)</f>
        <v/>
      </c>
      <c r="F545" s="55" t="str">
        <f aca="false">IF($H545="","",购销流水!$C140)</f>
        <v/>
      </c>
      <c r="G545" s="48" t="str">
        <f aca="false">IF($H545="","",购销流水!$N140)</f>
        <v/>
      </c>
      <c r="H545" s="10" t="str">
        <f aca="false">IF($L545="","",IF($L545="@成本",购销流水!$U140,IF($L545="@收入",购销流水!$T140,IF($L545="@存货",购销流水!$S140,IF($L545="@结算",购销流水!$R140,$L545)))))</f>
        <v/>
      </c>
      <c r="I545" s="42" t="n">
        <f aca="false">IF($M545="借",$O545,0)</f>
        <v>0</v>
      </c>
      <c r="J545" s="42" t="n">
        <f aca="false">IF($M545="贷",$O545,0)</f>
        <v>0</v>
      </c>
      <c r="K545" s="48" t="str">
        <f aca="false">IF($H545="","",购销流水!$E140)</f>
        <v/>
      </c>
      <c r="L545" s="66" t="str">
        <f aca="false">IF(购销流水!$D140="","",IFERROR(INDEX(记账规则!$A$6:$N$9,MATCH(购销流水!$D140,记账规则!$A$6:$A$9,0),12),""))</f>
        <v/>
      </c>
      <c r="M545" s="66" t="str">
        <f aca="false">IF($L545="","",IFERROR(INDEX(记账规则!$A$6:$N$9,MATCH(购销流水!$D140,记账规则!$A$6:$A$9,0),13),""))</f>
        <v/>
      </c>
      <c r="N545" s="66" t="str">
        <f aca="false">IF($L545="","",IFERROR(INDEX(记账规则!$A$6:$N$9,MATCH(购销流水!$D140,记账规则!$A$6:$A$9,0),14),""))</f>
        <v/>
      </c>
      <c r="O545" s="67" t="n">
        <f aca="false">IF($H545="",0,ROUND(IF($N545="成本金额",N(购销流水!$W140),IF($N545="金额",N(购销流水!$Q140),0)),2))</f>
        <v>0</v>
      </c>
      <c r="P545" s="64" t="str">
        <f aca="false">IF(AND($H545&lt;&gt;"",ROUND($O545,2)&lt;&gt;0),"有","")</f>
        <v/>
      </c>
    </row>
    <row r="546" customFormat="false" ht="15" hidden="true" customHeight="false" outlineLevel="0" collapsed="false">
      <c r="A546" s="53" t="str">
        <f aca="false">IF($H546="","",ROW()-5)</f>
        <v/>
      </c>
      <c r="B546" s="64" t="s">
        <v>36</v>
      </c>
      <c r="C546" s="53" t="n">
        <v>141</v>
      </c>
      <c r="D546" s="53" t="n">
        <v>1</v>
      </c>
      <c r="E546" s="65" t="str">
        <f aca="false">IF($H546="","",购销流水!$B141)</f>
        <v/>
      </c>
      <c r="F546" s="55" t="str">
        <f aca="false">IF($H546="","",购销流水!$C141)</f>
        <v/>
      </c>
      <c r="G546" s="48" t="str">
        <f aca="false">IF($H546="","",购销流水!$N141)</f>
        <v/>
      </c>
      <c r="H546" s="10" t="str">
        <f aca="false">IF($L546="","",IF($L546="@成本",购销流水!$U141,IF($L546="@收入",购销流水!$T141,IF($L546="@存货",购销流水!$S141,IF($L546="@结算",购销流水!$R141,$L546)))))</f>
        <v/>
      </c>
      <c r="I546" s="42" t="n">
        <f aca="false">IF($M546="借",$O546,0)</f>
        <v>0</v>
      </c>
      <c r="J546" s="42" t="n">
        <f aca="false">IF($M546="贷",$O546,0)</f>
        <v>0</v>
      </c>
      <c r="K546" s="48" t="str">
        <f aca="false">IF($H546="","",购销流水!$E141)</f>
        <v/>
      </c>
      <c r="L546" s="66" t="str">
        <f aca="false">IF(购销流水!$D141="","",IFERROR(INDEX(记账规则!$A$6:$N$9,MATCH(购销流水!$D141,记账规则!$A$6:$A$9,0),3),""))</f>
        <v/>
      </c>
      <c r="M546" s="66" t="str">
        <f aca="false">IF($L546="","",IFERROR(INDEX(记账规则!$A$6:$N$9,MATCH(购销流水!$D141,记账规则!$A$6:$A$9,0),4),""))</f>
        <v/>
      </c>
      <c r="N546" s="66" t="str">
        <f aca="false">IF($L546="","",IFERROR(INDEX(记账规则!$A$6:$N$9,MATCH(购销流水!$D141,记账规则!$A$6:$A$9,0),5),""))</f>
        <v/>
      </c>
      <c r="O546" s="67" t="n">
        <f aca="false">IF($H546="",0,ROUND(IF($N546="成本金额",N(购销流水!$W141),IF($N546="金额",N(购销流水!$Q141),0)),2))</f>
        <v>0</v>
      </c>
      <c r="P546" s="64" t="str">
        <f aca="false">IF(AND($H546&lt;&gt;"",ROUND($O546,2)&lt;&gt;0),"有","")</f>
        <v/>
      </c>
    </row>
    <row r="547" customFormat="false" ht="15" hidden="true" customHeight="false" outlineLevel="0" collapsed="false">
      <c r="A547" s="53" t="str">
        <f aca="false">IF($H547="","",ROW()-5)</f>
        <v/>
      </c>
      <c r="B547" s="64" t="s">
        <v>36</v>
      </c>
      <c r="C547" s="53" t="n">
        <v>141</v>
      </c>
      <c r="D547" s="53" t="n">
        <v>2</v>
      </c>
      <c r="E547" s="65" t="str">
        <f aca="false">IF($H547="","",购销流水!$B141)</f>
        <v/>
      </c>
      <c r="F547" s="55" t="str">
        <f aca="false">IF($H547="","",购销流水!$C141)</f>
        <v/>
      </c>
      <c r="G547" s="48" t="str">
        <f aca="false">IF($H547="","",购销流水!$N141)</f>
        <v/>
      </c>
      <c r="H547" s="10" t="str">
        <f aca="false">IF($L547="","",IF($L547="@成本",购销流水!$U141,IF($L547="@收入",购销流水!$T141,IF($L547="@存货",购销流水!$S141,IF($L547="@结算",购销流水!$R141,$L547)))))</f>
        <v/>
      </c>
      <c r="I547" s="42" t="n">
        <f aca="false">IF($M547="借",$O547,0)</f>
        <v>0</v>
      </c>
      <c r="J547" s="42" t="n">
        <f aca="false">IF($M547="贷",$O547,0)</f>
        <v>0</v>
      </c>
      <c r="K547" s="48" t="str">
        <f aca="false">IF($H547="","",购销流水!$E141)</f>
        <v/>
      </c>
      <c r="L547" s="66" t="str">
        <f aca="false">IF(购销流水!$D141="","",IFERROR(INDEX(记账规则!$A$6:$N$9,MATCH(购销流水!$D141,记账规则!$A$6:$A$9,0),6),""))</f>
        <v/>
      </c>
      <c r="M547" s="66" t="str">
        <f aca="false">IF($L547="","",IFERROR(INDEX(记账规则!$A$6:$N$9,MATCH(购销流水!$D141,记账规则!$A$6:$A$9,0),7),""))</f>
        <v/>
      </c>
      <c r="N547" s="66" t="str">
        <f aca="false">IF($L547="","",IFERROR(INDEX(记账规则!$A$6:$N$9,MATCH(购销流水!$D141,记账规则!$A$6:$A$9,0),8),""))</f>
        <v/>
      </c>
      <c r="O547" s="67" t="n">
        <f aca="false">IF($H547="",0,ROUND(IF($N547="成本金额",N(购销流水!$W141),IF($N547="金额",N(购销流水!$Q141),0)),2))</f>
        <v>0</v>
      </c>
      <c r="P547" s="64" t="str">
        <f aca="false">IF(AND($H547&lt;&gt;"",ROUND($O547,2)&lt;&gt;0),"有","")</f>
        <v/>
      </c>
    </row>
    <row r="548" customFormat="false" ht="15" hidden="true" customHeight="false" outlineLevel="0" collapsed="false">
      <c r="A548" s="53" t="str">
        <f aca="false">IF($H548="","",ROW()-5)</f>
        <v/>
      </c>
      <c r="B548" s="64" t="s">
        <v>36</v>
      </c>
      <c r="C548" s="53" t="n">
        <v>141</v>
      </c>
      <c r="D548" s="53" t="n">
        <v>3</v>
      </c>
      <c r="E548" s="65" t="str">
        <f aca="false">IF($H548="","",购销流水!$B141)</f>
        <v/>
      </c>
      <c r="F548" s="55" t="str">
        <f aca="false">IF($H548="","",购销流水!$C141)</f>
        <v/>
      </c>
      <c r="G548" s="48" t="str">
        <f aca="false">IF($H548="","",购销流水!$N141)</f>
        <v/>
      </c>
      <c r="H548" s="10" t="str">
        <f aca="false">IF($L548="","",IF($L548="@成本",购销流水!$U141,IF($L548="@收入",购销流水!$T141,IF($L548="@存货",购销流水!$S141,IF($L548="@结算",购销流水!$R141,$L548)))))</f>
        <v/>
      </c>
      <c r="I548" s="42" t="n">
        <f aca="false">IF($M548="借",$O548,0)</f>
        <v>0</v>
      </c>
      <c r="J548" s="42" t="n">
        <f aca="false">IF($M548="贷",$O548,0)</f>
        <v>0</v>
      </c>
      <c r="K548" s="48" t="str">
        <f aca="false">IF($H548="","",购销流水!$E141)</f>
        <v/>
      </c>
      <c r="L548" s="66" t="str">
        <f aca="false">IF(购销流水!$D141="","",IFERROR(INDEX(记账规则!$A$6:$N$9,MATCH(购销流水!$D141,记账规则!$A$6:$A$9,0),9),""))</f>
        <v/>
      </c>
      <c r="M548" s="66" t="str">
        <f aca="false">IF($L548="","",IFERROR(INDEX(记账规则!$A$6:$N$9,MATCH(购销流水!$D141,记账规则!$A$6:$A$9,0),10),""))</f>
        <v/>
      </c>
      <c r="N548" s="66" t="str">
        <f aca="false">IF($L548="","",IFERROR(INDEX(记账规则!$A$6:$N$9,MATCH(购销流水!$D141,记账规则!$A$6:$A$9,0),11),""))</f>
        <v/>
      </c>
      <c r="O548" s="67" t="n">
        <f aca="false">IF($H548="",0,ROUND(IF($N548="成本金额",N(购销流水!$W141),IF($N548="金额",N(购销流水!$Q141),0)),2))</f>
        <v>0</v>
      </c>
      <c r="P548" s="64" t="str">
        <f aca="false">IF(AND($H548&lt;&gt;"",ROUND($O548,2)&lt;&gt;0),"有","")</f>
        <v/>
      </c>
    </row>
    <row r="549" customFormat="false" ht="15" hidden="true" customHeight="false" outlineLevel="0" collapsed="false">
      <c r="A549" s="53" t="str">
        <f aca="false">IF($H549="","",ROW()-5)</f>
        <v/>
      </c>
      <c r="B549" s="64" t="s">
        <v>36</v>
      </c>
      <c r="C549" s="53" t="n">
        <v>141</v>
      </c>
      <c r="D549" s="53" t="n">
        <v>4</v>
      </c>
      <c r="E549" s="65" t="str">
        <f aca="false">IF($H549="","",购销流水!$B141)</f>
        <v/>
      </c>
      <c r="F549" s="55" t="str">
        <f aca="false">IF($H549="","",购销流水!$C141)</f>
        <v/>
      </c>
      <c r="G549" s="48" t="str">
        <f aca="false">IF($H549="","",购销流水!$N141)</f>
        <v/>
      </c>
      <c r="H549" s="10" t="str">
        <f aca="false">IF($L549="","",IF($L549="@成本",购销流水!$U141,IF($L549="@收入",购销流水!$T141,IF($L549="@存货",购销流水!$S141,IF($L549="@结算",购销流水!$R141,$L549)))))</f>
        <v/>
      </c>
      <c r="I549" s="42" t="n">
        <f aca="false">IF($M549="借",$O549,0)</f>
        <v>0</v>
      </c>
      <c r="J549" s="42" t="n">
        <f aca="false">IF($M549="贷",$O549,0)</f>
        <v>0</v>
      </c>
      <c r="K549" s="48" t="str">
        <f aca="false">IF($H549="","",购销流水!$E141)</f>
        <v/>
      </c>
      <c r="L549" s="66" t="str">
        <f aca="false">IF(购销流水!$D141="","",IFERROR(INDEX(记账规则!$A$6:$N$9,MATCH(购销流水!$D141,记账规则!$A$6:$A$9,0),12),""))</f>
        <v/>
      </c>
      <c r="M549" s="66" t="str">
        <f aca="false">IF($L549="","",IFERROR(INDEX(记账规则!$A$6:$N$9,MATCH(购销流水!$D141,记账规则!$A$6:$A$9,0),13),""))</f>
        <v/>
      </c>
      <c r="N549" s="66" t="str">
        <f aca="false">IF($L549="","",IFERROR(INDEX(记账规则!$A$6:$N$9,MATCH(购销流水!$D141,记账规则!$A$6:$A$9,0),14),""))</f>
        <v/>
      </c>
      <c r="O549" s="67" t="n">
        <f aca="false">IF($H549="",0,ROUND(IF($N549="成本金额",N(购销流水!$W141),IF($N549="金额",N(购销流水!$Q141),0)),2))</f>
        <v>0</v>
      </c>
      <c r="P549" s="64" t="str">
        <f aca="false">IF(AND($H549&lt;&gt;"",ROUND($O549,2)&lt;&gt;0),"有","")</f>
        <v/>
      </c>
    </row>
    <row r="550" customFormat="false" ht="15" hidden="true" customHeight="false" outlineLevel="0" collapsed="false">
      <c r="A550" s="53" t="str">
        <f aca="false">IF($H550="","",ROW()-5)</f>
        <v/>
      </c>
      <c r="B550" s="64" t="s">
        <v>36</v>
      </c>
      <c r="C550" s="53" t="n">
        <v>142</v>
      </c>
      <c r="D550" s="53" t="n">
        <v>1</v>
      </c>
      <c r="E550" s="65" t="str">
        <f aca="false">IF($H550="","",购销流水!$B142)</f>
        <v/>
      </c>
      <c r="F550" s="55" t="str">
        <f aca="false">IF($H550="","",购销流水!$C142)</f>
        <v/>
      </c>
      <c r="G550" s="48" t="str">
        <f aca="false">IF($H550="","",购销流水!$N142)</f>
        <v/>
      </c>
      <c r="H550" s="10" t="str">
        <f aca="false">IF($L550="","",IF($L550="@成本",购销流水!$U142,IF($L550="@收入",购销流水!$T142,IF($L550="@存货",购销流水!$S142,IF($L550="@结算",购销流水!$R142,$L550)))))</f>
        <v/>
      </c>
      <c r="I550" s="42" t="n">
        <f aca="false">IF($M550="借",$O550,0)</f>
        <v>0</v>
      </c>
      <c r="J550" s="42" t="n">
        <f aca="false">IF($M550="贷",$O550,0)</f>
        <v>0</v>
      </c>
      <c r="K550" s="48" t="str">
        <f aca="false">IF($H550="","",购销流水!$E142)</f>
        <v/>
      </c>
      <c r="L550" s="66" t="str">
        <f aca="false">IF(购销流水!$D142="","",IFERROR(INDEX(记账规则!$A$6:$N$9,MATCH(购销流水!$D142,记账规则!$A$6:$A$9,0),3),""))</f>
        <v/>
      </c>
      <c r="M550" s="66" t="str">
        <f aca="false">IF($L550="","",IFERROR(INDEX(记账规则!$A$6:$N$9,MATCH(购销流水!$D142,记账规则!$A$6:$A$9,0),4),""))</f>
        <v/>
      </c>
      <c r="N550" s="66" t="str">
        <f aca="false">IF($L550="","",IFERROR(INDEX(记账规则!$A$6:$N$9,MATCH(购销流水!$D142,记账规则!$A$6:$A$9,0),5),""))</f>
        <v/>
      </c>
      <c r="O550" s="67" t="n">
        <f aca="false">IF($H550="",0,ROUND(IF($N550="成本金额",N(购销流水!$W142),IF($N550="金额",N(购销流水!$Q142),0)),2))</f>
        <v>0</v>
      </c>
      <c r="P550" s="64" t="str">
        <f aca="false">IF(AND($H550&lt;&gt;"",ROUND($O550,2)&lt;&gt;0),"有","")</f>
        <v/>
      </c>
    </row>
    <row r="551" customFormat="false" ht="15" hidden="true" customHeight="false" outlineLevel="0" collapsed="false">
      <c r="A551" s="53" t="str">
        <f aca="false">IF($H551="","",ROW()-5)</f>
        <v/>
      </c>
      <c r="B551" s="64" t="s">
        <v>36</v>
      </c>
      <c r="C551" s="53" t="n">
        <v>142</v>
      </c>
      <c r="D551" s="53" t="n">
        <v>2</v>
      </c>
      <c r="E551" s="65" t="str">
        <f aca="false">IF($H551="","",购销流水!$B142)</f>
        <v/>
      </c>
      <c r="F551" s="55" t="str">
        <f aca="false">IF($H551="","",购销流水!$C142)</f>
        <v/>
      </c>
      <c r="G551" s="48" t="str">
        <f aca="false">IF($H551="","",购销流水!$N142)</f>
        <v/>
      </c>
      <c r="H551" s="10" t="str">
        <f aca="false">IF($L551="","",IF($L551="@成本",购销流水!$U142,IF($L551="@收入",购销流水!$T142,IF($L551="@存货",购销流水!$S142,IF($L551="@结算",购销流水!$R142,$L551)))))</f>
        <v/>
      </c>
      <c r="I551" s="42" t="n">
        <f aca="false">IF($M551="借",$O551,0)</f>
        <v>0</v>
      </c>
      <c r="J551" s="42" t="n">
        <f aca="false">IF($M551="贷",$O551,0)</f>
        <v>0</v>
      </c>
      <c r="K551" s="48" t="str">
        <f aca="false">IF($H551="","",购销流水!$E142)</f>
        <v/>
      </c>
      <c r="L551" s="66" t="str">
        <f aca="false">IF(购销流水!$D142="","",IFERROR(INDEX(记账规则!$A$6:$N$9,MATCH(购销流水!$D142,记账规则!$A$6:$A$9,0),6),""))</f>
        <v/>
      </c>
      <c r="M551" s="66" t="str">
        <f aca="false">IF($L551="","",IFERROR(INDEX(记账规则!$A$6:$N$9,MATCH(购销流水!$D142,记账规则!$A$6:$A$9,0),7),""))</f>
        <v/>
      </c>
      <c r="N551" s="66" t="str">
        <f aca="false">IF($L551="","",IFERROR(INDEX(记账规则!$A$6:$N$9,MATCH(购销流水!$D142,记账规则!$A$6:$A$9,0),8),""))</f>
        <v/>
      </c>
      <c r="O551" s="67" t="n">
        <f aca="false">IF($H551="",0,ROUND(IF($N551="成本金额",N(购销流水!$W142),IF($N551="金额",N(购销流水!$Q142),0)),2))</f>
        <v>0</v>
      </c>
      <c r="P551" s="64" t="str">
        <f aca="false">IF(AND($H551&lt;&gt;"",ROUND($O551,2)&lt;&gt;0),"有","")</f>
        <v/>
      </c>
    </row>
    <row r="552" customFormat="false" ht="15" hidden="true" customHeight="false" outlineLevel="0" collapsed="false">
      <c r="A552" s="53" t="str">
        <f aca="false">IF($H552="","",ROW()-5)</f>
        <v/>
      </c>
      <c r="B552" s="64" t="s">
        <v>36</v>
      </c>
      <c r="C552" s="53" t="n">
        <v>142</v>
      </c>
      <c r="D552" s="53" t="n">
        <v>3</v>
      </c>
      <c r="E552" s="65" t="str">
        <f aca="false">IF($H552="","",购销流水!$B142)</f>
        <v/>
      </c>
      <c r="F552" s="55" t="str">
        <f aca="false">IF($H552="","",购销流水!$C142)</f>
        <v/>
      </c>
      <c r="G552" s="48" t="str">
        <f aca="false">IF($H552="","",购销流水!$N142)</f>
        <v/>
      </c>
      <c r="H552" s="10" t="str">
        <f aca="false">IF($L552="","",IF($L552="@成本",购销流水!$U142,IF($L552="@收入",购销流水!$T142,IF($L552="@存货",购销流水!$S142,IF($L552="@结算",购销流水!$R142,$L552)))))</f>
        <v/>
      </c>
      <c r="I552" s="42" t="n">
        <f aca="false">IF($M552="借",$O552,0)</f>
        <v>0</v>
      </c>
      <c r="J552" s="42" t="n">
        <f aca="false">IF($M552="贷",$O552,0)</f>
        <v>0</v>
      </c>
      <c r="K552" s="48" t="str">
        <f aca="false">IF($H552="","",购销流水!$E142)</f>
        <v/>
      </c>
      <c r="L552" s="66" t="str">
        <f aca="false">IF(购销流水!$D142="","",IFERROR(INDEX(记账规则!$A$6:$N$9,MATCH(购销流水!$D142,记账规则!$A$6:$A$9,0),9),""))</f>
        <v/>
      </c>
      <c r="M552" s="66" t="str">
        <f aca="false">IF($L552="","",IFERROR(INDEX(记账规则!$A$6:$N$9,MATCH(购销流水!$D142,记账规则!$A$6:$A$9,0),10),""))</f>
        <v/>
      </c>
      <c r="N552" s="66" t="str">
        <f aca="false">IF($L552="","",IFERROR(INDEX(记账规则!$A$6:$N$9,MATCH(购销流水!$D142,记账规则!$A$6:$A$9,0),11),""))</f>
        <v/>
      </c>
      <c r="O552" s="67" t="n">
        <f aca="false">IF($H552="",0,ROUND(IF($N552="成本金额",N(购销流水!$W142),IF($N552="金额",N(购销流水!$Q142),0)),2))</f>
        <v>0</v>
      </c>
      <c r="P552" s="64" t="str">
        <f aca="false">IF(AND($H552&lt;&gt;"",ROUND($O552,2)&lt;&gt;0),"有","")</f>
        <v/>
      </c>
    </row>
    <row r="553" customFormat="false" ht="15" hidden="true" customHeight="false" outlineLevel="0" collapsed="false">
      <c r="A553" s="53" t="str">
        <f aca="false">IF($H553="","",ROW()-5)</f>
        <v/>
      </c>
      <c r="B553" s="64" t="s">
        <v>36</v>
      </c>
      <c r="C553" s="53" t="n">
        <v>142</v>
      </c>
      <c r="D553" s="53" t="n">
        <v>4</v>
      </c>
      <c r="E553" s="65" t="str">
        <f aca="false">IF($H553="","",购销流水!$B142)</f>
        <v/>
      </c>
      <c r="F553" s="55" t="str">
        <f aca="false">IF($H553="","",购销流水!$C142)</f>
        <v/>
      </c>
      <c r="G553" s="48" t="str">
        <f aca="false">IF($H553="","",购销流水!$N142)</f>
        <v/>
      </c>
      <c r="H553" s="10" t="str">
        <f aca="false">IF($L553="","",IF($L553="@成本",购销流水!$U142,IF($L553="@收入",购销流水!$T142,IF($L553="@存货",购销流水!$S142,IF($L553="@结算",购销流水!$R142,$L553)))))</f>
        <v/>
      </c>
      <c r="I553" s="42" t="n">
        <f aca="false">IF($M553="借",$O553,0)</f>
        <v>0</v>
      </c>
      <c r="J553" s="42" t="n">
        <f aca="false">IF($M553="贷",$O553,0)</f>
        <v>0</v>
      </c>
      <c r="K553" s="48" t="str">
        <f aca="false">IF($H553="","",购销流水!$E142)</f>
        <v/>
      </c>
      <c r="L553" s="66" t="str">
        <f aca="false">IF(购销流水!$D142="","",IFERROR(INDEX(记账规则!$A$6:$N$9,MATCH(购销流水!$D142,记账规则!$A$6:$A$9,0),12),""))</f>
        <v/>
      </c>
      <c r="M553" s="66" t="str">
        <f aca="false">IF($L553="","",IFERROR(INDEX(记账规则!$A$6:$N$9,MATCH(购销流水!$D142,记账规则!$A$6:$A$9,0),13),""))</f>
        <v/>
      </c>
      <c r="N553" s="66" t="str">
        <f aca="false">IF($L553="","",IFERROR(INDEX(记账规则!$A$6:$N$9,MATCH(购销流水!$D142,记账规则!$A$6:$A$9,0),14),""))</f>
        <v/>
      </c>
      <c r="O553" s="67" t="n">
        <f aca="false">IF($H553="",0,ROUND(IF($N553="成本金额",N(购销流水!$W142),IF($N553="金额",N(购销流水!$Q142),0)),2))</f>
        <v>0</v>
      </c>
      <c r="P553" s="64" t="str">
        <f aca="false">IF(AND($H553&lt;&gt;"",ROUND($O553,2)&lt;&gt;0),"有","")</f>
        <v/>
      </c>
    </row>
    <row r="554" customFormat="false" ht="15" hidden="true" customHeight="false" outlineLevel="0" collapsed="false">
      <c r="A554" s="53" t="str">
        <f aca="false">IF($H554="","",ROW()-5)</f>
        <v/>
      </c>
      <c r="B554" s="64" t="s">
        <v>36</v>
      </c>
      <c r="C554" s="53" t="n">
        <v>143</v>
      </c>
      <c r="D554" s="53" t="n">
        <v>1</v>
      </c>
      <c r="E554" s="65" t="str">
        <f aca="false">IF($H554="","",购销流水!$B143)</f>
        <v/>
      </c>
      <c r="F554" s="55" t="str">
        <f aca="false">IF($H554="","",购销流水!$C143)</f>
        <v/>
      </c>
      <c r="G554" s="48" t="str">
        <f aca="false">IF($H554="","",购销流水!$N143)</f>
        <v/>
      </c>
      <c r="H554" s="10" t="str">
        <f aca="false">IF($L554="","",IF($L554="@成本",购销流水!$U143,IF($L554="@收入",购销流水!$T143,IF($L554="@存货",购销流水!$S143,IF($L554="@结算",购销流水!$R143,$L554)))))</f>
        <v/>
      </c>
      <c r="I554" s="42" t="n">
        <f aca="false">IF($M554="借",$O554,0)</f>
        <v>0</v>
      </c>
      <c r="J554" s="42" t="n">
        <f aca="false">IF($M554="贷",$O554,0)</f>
        <v>0</v>
      </c>
      <c r="K554" s="48" t="str">
        <f aca="false">IF($H554="","",购销流水!$E143)</f>
        <v/>
      </c>
      <c r="L554" s="66" t="str">
        <f aca="false">IF(购销流水!$D143="","",IFERROR(INDEX(记账规则!$A$6:$N$9,MATCH(购销流水!$D143,记账规则!$A$6:$A$9,0),3),""))</f>
        <v/>
      </c>
      <c r="M554" s="66" t="str">
        <f aca="false">IF($L554="","",IFERROR(INDEX(记账规则!$A$6:$N$9,MATCH(购销流水!$D143,记账规则!$A$6:$A$9,0),4),""))</f>
        <v/>
      </c>
      <c r="N554" s="66" t="str">
        <f aca="false">IF($L554="","",IFERROR(INDEX(记账规则!$A$6:$N$9,MATCH(购销流水!$D143,记账规则!$A$6:$A$9,0),5),""))</f>
        <v/>
      </c>
      <c r="O554" s="67" t="n">
        <f aca="false">IF($H554="",0,ROUND(IF($N554="成本金额",N(购销流水!$W143),IF($N554="金额",N(购销流水!$Q143),0)),2))</f>
        <v>0</v>
      </c>
      <c r="P554" s="64" t="str">
        <f aca="false">IF(AND($H554&lt;&gt;"",ROUND($O554,2)&lt;&gt;0),"有","")</f>
        <v/>
      </c>
    </row>
    <row r="555" customFormat="false" ht="15" hidden="true" customHeight="false" outlineLevel="0" collapsed="false">
      <c r="A555" s="53" t="str">
        <f aca="false">IF($H555="","",ROW()-5)</f>
        <v/>
      </c>
      <c r="B555" s="64" t="s">
        <v>36</v>
      </c>
      <c r="C555" s="53" t="n">
        <v>143</v>
      </c>
      <c r="D555" s="53" t="n">
        <v>2</v>
      </c>
      <c r="E555" s="65" t="str">
        <f aca="false">IF($H555="","",购销流水!$B143)</f>
        <v/>
      </c>
      <c r="F555" s="55" t="str">
        <f aca="false">IF($H555="","",购销流水!$C143)</f>
        <v/>
      </c>
      <c r="G555" s="48" t="str">
        <f aca="false">IF($H555="","",购销流水!$N143)</f>
        <v/>
      </c>
      <c r="H555" s="10" t="str">
        <f aca="false">IF($L555="","",IF($L555="@成本",购销流水!$U143,IF($L555="@收入",购销流水!$T143,IF($L555="@存货",购销流水!$S143,IF($L555="@结算",购销流水!$R143,$L555)))))</f>
        <v/>
      </c>
      <c r="I555" s="42" t="n">
        <f aca="false">IF($M555="借",$O555,0)</f>
        <v>0</v>
      </c>
      <c r="J555" s="42" t="n">
        <f aca="false">IF($M555="贷",$O555,0)</f>
        <v>0</v>
      </c>
      <c r="K555" s="48" t="str">
        <f aca="false">IF($H555="","",购销流水!$E143)</f>
        <v/>
      </c>
      <c r="L555" s="66" t="str">
        <f aca="false">IF(购销流水!$D143="","",IFERROR(INDEX(记账规则!$A$6:$N$9,MATCH(购销流水!$D143,记账规则!$A$6:$A$9,0),6),""))</f>
        <v/>
      </c>
      <c r="M555" s="66" t="str">
        <f aca="false">IF($L555="","",IFERROR(INDEX(记账规则!$A$6:$N$9,MATCH(购销流水!$D143,记账规则!$A$6:$A$9,0),7),""))</f>
        <v/>
      </c>
      <c r="N555" s="66" t="str">
        <f aca="false">IF($L555="","",IFERROR(INDEX(记账规则!$A$6:$N$9,MATCH(购销流水!$D143,记账规则!$A$6:$A$9,0),8),""))</f>
        <v/>
      </c>
      <c r="O555" s="67" t="n">
        <f aca="false">IF($H555="",0,ROUND(IF($N555="成本金额",N(购销流水!$W143),IF($N555="金额",N(购销流水!$Q143),0)),2))</f>
        <v>0</v>
      </c>
      <c r="P555" s="64" t="str">
        <f aca="false">IF(AND($H555&lt;&gt;"",ROUND($O555,2)&lt;&gt;0),"有","")</f>
        <v/>
      </c>
    </row>
    <row r="556" customFormat="false" ht="15" hidden="true" customHeight="false" outlineLevel="0" collapsed="false">
      <c r="A556" s="53" t="str">
        <f aca="false">IF($H556="","",ROW()-5)</f>
        <v/>
      </c>
      <c r="B556" s="64" t="s">
        <v>36</v>
      </c>
      <c r="C556" s="53" t="n">
        <v>143</v>
      </c>
      <c r="D556" s="53" t="n">
        <v>3</v>
      </c>
      <c r="E556" s="65" t="str">
        <f aca="false">IF($H556="","",购销流水!$B143)</f>
        <v/>
      </c>
      <c r="F556" s="55" t="str">
        <f aca="false">IF($H556="","",购销流水!$C143)</f>
        <v/>
      </c>
      <c r="G556" s="48" t="str">
        <f aca="false">IF($H556="","",购销流水!$N143)</f>
        <v/>
      </c>
      <c r="H556" s="10" t="str">
        <f aca="false">IF($L556="","",IF($L556="@成本",购销流水!$U143,IF($L556="@收入",购销流水!$T143,IF($L556="@存货",购销流水!$S143,IF($L556="@结算",购销流水!$R143,$L556)))))</f>
        <v/>
      </c>
      <c r="I556" s="42" t="n">
        <f aca="false">IF($M556="借",$O556,0)</f>
        <v>0</v>
      </c>
      <c r="J556" s="42" t="n">
        <f aca="false">IF($M556="贷",$O556,0)</f>
        <v>0</v>
      </c>
      <c r="K556" s="48" t="str">
        <f aca="false">IF($H556="","",购销流水!$E143)</f>
        <v/>
      </c>
      <c r="L556" s="66" t="str">
        <f aca="false">IF(购销流水!$D143="","",IFERROR(INDEX(记账规则!$A$6:$N$9,MATCH(购销流水!$D143,记账规则!$A$6:$A$9,0),9),""))</f>
        <v/>
      </c>
      <c r="M556" s="66" t="str">
        <f aca="false">IF($L556="","",IFERROR(INDEX(记账规则!$A$6:$N$9,MATCH(购销流水!$D143,记账规则!$A$6:$A$9,0),10),""))</f>
        <v/>
      </c>
      <c r="N556" s="66" t="str">
        <f aca="false">IF($L556="","",IFERROR(INDEX(记账规则!$A$6:$N$9,MATCH(购销流水!$D143,记账规则!$A$6:$A$9,0),11),""))</f>
        <v/>
      </c>
      <c r="O556" s="67" t="n">
        <f aca="false">IF($H556="",0,ROUND(IF($N556="成本金额",N(购销流水!$W143),IF($N556="金额",N(购销流水!$Q143),0)),2))</f>
        <v>0</v>
      </c>
      <c r="P556" s="64" t="str">
        <f aca="false">IF(AND($H556&lt;&gt;"",ROUND($O556,2)&lt;&gt;0),"有","")</f>
        <v/>
      </c>
    </row>
    <row r="557" customFormat="false" ht="15" hidden="true" customHeight="false" outlineLevel="0" collapsed="false">
      <c r="A557" s="53" t="str">
        <f aca="false">IF($H557="","",ROW()-5)</f>
        <v/>
      </c>
      <c r="B557" s="64" t="s">
        <v>36</v>
      </c>
      <c r="C557" s="53" t="n">
        <v>143</v>
      </c>
      <c r="D557" s="53" t="n">
        <v>4</v>
      </c>
      <c r="E557" s="65" t="str">
        <f aca="false">IF($H557="","",购销流水!$B143)</f>
        <v/>
      </c>
      <c r="F557" s="55" t="str">
        <f aca="false">IF($H557="","",购销流水!$C143)</f>
        <v/>
      </c>
      <c r="G557" s="48" t="str">
        <f aca="false">IF($H557="","",购销流水!$N143)</f>
        <v/>
      </c>
      <c r="H557" s="10" t="str">
        <f aca="false">IF($L557="","",IF($L557="@成本",购销流水!$U143,IF($L557="@收入",购销流水!$T143,IF($L557="@存货",购销流水!$S143,IF($L557="@结算",购销流水!$R143,$L557)))))</f>
        <v/>
      </c>
      <c r="I557" s="42" t="n">
        <f aca="false">IF($M557="借",$O557,0)</f>
        <v>0</v>
      </c>
      <c r="J557" s="42" t="n">
        <f aca="false">IF($M557="贷",$O557,0)</f>
        <v>0</v>
      </c>
      <c r="K557" s="48" t="str">
        <f aca="false">IF($H557="","",购销流水!$E143)</f>
        <v/>
      </c>
      <c r="L557" s="66" t="str">
        <f aca="false">IF(购销流水!$D143="","",IFERROR(INDEX(记账规则!$A$6:$N$9,MATCH(购销流水!$D143,记账规则!$A$6:$A$9,0),12),""))</f>
        <v/>
      </c>
      <c r="M557" s="66" t="str">
        <f aca="false">IF($L557="","",IFERROR(INDEX(记账规则!$A$6:$N$9,MATCH(购销流水!$D143,记账规则!$A$6:$A$9,0),13),""))</f>
        <v/>
      </c>
      <c r="N557" s="66" t="str">
        <f aca="false">IF($L557="","",IFERROR(INDEX(记账规则!$A$6:$N$9,MATCH(购销流水!$D143,记账规则!$A$6:$A$9,0),14),""))</f>
        <v/>
      </c>
      <c r="O557" s="67" t="n">
        <f aca="false">IF($H557="",0,ROUND(IF($N557="成本金额",N(购销流水!$W143),IF($N557="金额",N(购销流水!$Q143),0)),2))</f>
        <v>0</v>
      </c>
      <c r="P557" s="64" t="str">
        <f aca="false">IF(AND($H557&lt;&gt;"",ROUND($O557,2)&lt;&gt;0),"有","")</f>
        <v/>
      </c>
    </row>
    <row r="558" customFormat="false" ht="15" hidden="true" customHeight="false" outlineLevel="0" collapsed="false">
      <c r="A558" s="53" t="str">
        <f aca="false">IF($H558="","",ROW()-5)</f>
        <v/>
      </c>
      <c r="B558" s="64" t="s">
        <v>36</v>
      </c>
      <c r="C558" s="53" t="n">
        <v>144</v>
      </c>
      <c r="D558" s="53" t="n">
        <v>1</v>
      </c>
      <c r="E558" s="65" t="str">
        <f aca="false">IF($H558="","",购销流水!$B144)</f>
        <v/>
      </c>
      <c r="F558" s="55" t="str">
        <f aca="false">IF($H558="","",购销流水!$C144)</f>
        <v/>
      </c>
      <c r="G558" s="48" t="str">
        <f aca="false">IF($H558="","",购销流水!$N144)</f>
        <v/>
      </c>
      <c r="H558" s="10" t="str">
        <f aca="false">IF($L558="","",IF($L558="@成本",购销流水!$U144,IF($L558="@收入",购销流水!$T144,IF($L558="@存货",购销流水!$S144,IF($L558="@结算",购销流水!$R144,$L558)))))</f>
        <v/>
      </c>
      <c r="I558" s="42" t="n">
        <f aca="false">IF($M558="借",$O558,0)</f>
        <v>0</v>
      </c>
      <c r="J558" s="42" t="n">
        <f aca="false">IF($M558="贷",$O558,0)</f>
        <v>0</v>
      </c>
      <c r="K558" s="48" t="str">
        <f aca="false">IF($H558="","",购销流水!$E144)</f>
        <v/>
      </c>
      <c r="L558" s="66" t="str">
        <f aca="false">IF(购销流水!$D144="","",IFERROR(INDEX(记账规则!$A$6:$N$9,MATCH(购销流水!$D144,记账规则!$A$6:$A$9,0),3),""))</f>
        <v/>
      </c>
      <c r="M558" s="66" t="str">
        <f aca="false">IF($L558="","",IFERROR(INDEX(记账规则!$A$6:$N$9,MATCH(购销流水!$D144,记账规则!$A$6:$A$9,0),4),""))</f>
        <v/>
      </c>
      <c r="N558" s="66" t="str">
        <f aca="false">IF($L558="","",IFERROR(INDEX(记账规则!$A$6:$N$9,MATCH(购销流水!$D144,记账规则!$A$6:$A$9,0),5),""))</f>
        <v/>
      </c>
      <c r="O558" s="67" t="n">
        <f aca="false">IF($H558="",0,ROUND(IF($N558="成本金额",N(购销流水!$W144),IF($N558="金额",N(购销流水!$Q144),0)),2))</f>
        <v>0</v>
      </c>
      <c r="P558" s="64" t="str">
        <f aca="false">IF(AND($H558&lt;&gt;"",ROUND($O558,2)&lt;&gt;0),"有","")</f>
        <v/>
      </c>
    </row>
    <row r="559" customFormat="false" ht="15" hidden="true" customHeight="false" outlineLevel="0" collapsed="false">
      <c r="A559" s="53" t="str">
        <f aca="false">IF($H559="","",ROW()-5)</f>
        <v/>
      </c>
      <c r="B559" s="64" t="s">
        <v>36</v>
      </c>
      <c r="C559" s="53" t="n">
        <v>144</v>
      </c>
      <c r="D559" s="53" t="n">
        <v>2</v>
      </c>
      <c r="E559" s="65" t="str">
        <f aca="false">IF($H559="","",购销流水!$B144)</f>
        <v/>
      </c>
      <c r="F559" s="55" t="str">
        <f aca="false">IF($H559="","",购销流水!$C144)</f>
        <v/>
      </c>
      <c r="G559" s="48" t="str">
        <f aca="false">IF($H559="","",购销流水!$N144)</f>
        <v/>
      </c>
      <c r="H559" s="10" t="str">
        <f aca="false">IF($L559="","",IF($L559="@成本",购销流水!$U144,IF($L559="@收入",购销流水!$T144,IF($L559="@存货",购销流水!$S144,IF($L559="@结算",购销流水!$R144,$L559)))))</f>
        <v/>
      </c>
      <c r="I559" s="42" t="n">
        <f aca="false">IF($M559="借",$O559,0)</f>
        <v>0</v>
      </c>
      <c r="J559" s="42" t="n">
        <f aca="false">IF($M559="贷",$O559,0)</f>
        <v>0</v>
      </c>
      <c r="K559" s="48" t="str">
        <f aca="false">IF($H559="","",购销流水!$E144)</f>
        <v/>
      </c>
      <c r="L559" s="66" t="str">
        <f aca="false">IF(购销流水!$D144="","",IFERROR(INDEX(记账规则!$A$6:$N$9,MATCH(购销流水!$D144,记账规则!$A$6:$A$9,0),6),""))</f>
        <v/>
      </c>
      <c r="M559" s="66" t="str">
        <f aca="false">IF($L559="","",IFERROR(INDEX(记账规则!$A$6:$N$9,MATCH(购销流水!$D144,记账规则!$A$6:$A$9,0),7),""))</f>
        <v/>
      </c>
      <c r="N559" s="66" t="str">
        <f aca="false">IF($L559="","",IFERROR(INDEX(记账规则!$A$6:$N$9,MATCH(购销流水!$D144,记账规则!$A$6:$A$9,0),8),""))</f>
        <v/>
      </c>
      <c r="O559" s="67" t="n">
        <f aca="false">IF($H559="",0,ROUND(IF($N559="成本金额",N(购销流水!$W144),IF($N559="金额",N(购销流水!$Q144),0)),2))</f>
        <v>0</v>
      </c>
      <c r="P559" s="64" t="str">
        <f aca="false">IF(AND($H559&lt;&gt;"",ROUND($O559,2)&lt;&gt;0),"有","")</f>
        <v/>
      </c>
    </row>
    <row r="560" customFormat="false" ht="15" hidden="true" customHeight="false" outlineLevel="0" collapsed="false">
      <c r="A560" s="53" t="str">
        <f aca="false">IF($H560="","",ROW()-5)</f>
        <v/>
      </c>
      <c r="B560" s="64" t="s">
        <v>36</v>
      </c>
      <c r="C560" s="53" t="n">
        <v>144</v>
      </c>
      <c r="D560" s="53" t="n">
        <v>3</v>
      </c>
      <c r="E560" s="65" t="str">
        <f aca="false">IF($H560="","",购销流水!$B144)</f>
        <v/>
      </c>
      <c r="F560" s="55" t="str">
        <f aca="false">IF($H560="","",购销流水!$C144)</f>
        <v/>
      </c>
      <c r="G560" s="48" t="str">
        <f aca="false">IF($H560="","",购销流水!$N144)</f>
        <v/>
      </c>
      <c r="H560" s="10" t="str">
        <f aca="false">IF($L560="","",IF($L560="@成本",购销流水!$U144,IF($L560="@收入",购销流水!$T144,IF($L560="@存货",购销流水!$S144,IF($L560="@结算",购销流水!$R144,$L560)))))</f>
        <v/>
      </c>
      <c r="I560" s="42" t="n">
        <f aca="false">IF($M560="借",$O560,0)</f>
        <v>0</v>
      </c>
      <c r="J560" s="42" t="n">
        <f aca="false">IF($M560="贷",$O560,0)</f>
        <v>0</v>
      </c>
      <c r="K560" s="48" t="str">
        <f aca="false">IF($H560="","",购销流水!$E144)</f>
        <v/>
      </c>
      <c r="L560" s="66" t="str">
        <f aca="false">IF(购销流水!$D144="","",IFERROR(INDEX(记账规则!$A$6:$N$9,MATCH(购销流水!$D144,记账规则!$A$6:$A$9,0),9),""))</f>
        <v/>
      </c>
      <c r="M560" s="66" t="str">
        <f aca="false">IF($L560="","",IFERROR(INDEX(记账规则!$A$6:$N$9,MATCH(购销流水!$D144,记账规则!$A$6:$A$9,0),10),""))</f>
        <v/>
      </c>
      <c r="N560" s="66" t="str">
        <f aca="false">IF($L560="","",IFERROR(INDEX(记账规则!$A$6:$N$9,MATCH(购销流水!$D144,记账规则!$A$6:$A$9,0),11),""))</f>
        <v/>
      </c>
      <c r="O560" s="67" t="n">
        <f aca="false">IF($H560="",0,ROUND(IF($N560="成本金额",N(购销流水!$W144),IF($N560="金额",N(购销流水!$Q144),0)),2))</f>
        <v>0</v>
      </c>
      <c r="P560" s="64" t="str">
        <f aca="false">IF(AND($H560&lt;&gt;"",ROUND($O560,2)&lt;&gt;0),"有","")</f>
        <v/>
      </c>
    </row>
    <row r="561" customFormat="false" ht="15" hidden="true" customHeight="false" outlineLevel="0" collapsed="false">
      <c r="A561" s="53" t="str">
        <f aca="false">IF($H561="","",ROW()-5)</f>
        <v/>
      </c>
      <c r="B561" s="64" t="s">
        <v>36</v>
      </c>
      <c r="C561" s="53" t="n">
        <v>144</v>
      </c>
      <c r="D561" s="53" t="n">
        <v>4</v>
      </c>
      <c r="E561" s="65" t="str">
        <f aca="false">IF($H561="","",购销流水!$B144)</f>
        <v/>
      </c>
      <c r="F561" s="55" t="str">
        <f aca="false">IF($H561="","",购销流水!$C144)</f>
        <v/>
      </c>
      <c r="G561" s="48" t="str">
        <f aca="false">IF($H561="","",购销流水!$N144)</f>
        <v/>
      </c>
      <c r="H561" s="10" t="str">
        <f aca="false">IF($L561="","",IF($L561="@成本",购销流水!$U144,IF($L561="@收入",购销流水!$T144,IF($L561="@存货",购销流水!$S144,IF($L561="@结算",购销流水!$R144,$L561)))))</f>
        <v/>
      </c>
      <c r="I561" s="42" t="n">
        <f aca="false">IF($M561="借",$O561,0)</f>
        <v>0</v>
      </c>
      <c r="J561" s="42" t="n">
        <f aca="false">IF($M561="贷",$O561,0)</f>
        <v>0</v>
      </c>
      <c r="K561" s="48" t="str">
        <f aca="false">IF($H561="","",购销流水!$E144)</f>
        <v/>
      </c>
      <c r="L561" s="66" t="str">
        <f aca="false">IF(购销流水!$D144="","",IFERROR(INDEX(记账规则!$A$6:$N$9,MATCH(购销流水!$D144,记账规则!$A$6:$A$9,0),12),""))</f>
        <v/>
      </c>
      <c r="M561" s="66" t="str">
        <f aca="false">IF($L561="","",IFERROR(INDEX(记账规则!$A$6:$N$9,MATCH(购销流水!$D144,记账规则!$A$6:$A$9,0),13),""))</f>
        <v/>
      </c>
      <c r="N561" s="66" t="str">
        <f aca="false">IF($L561="","",IFERROR(INDEX(记账规则!$A$6:$N$9,MATCH(购销流水!$D144,记账规则!$A$6:$A$9,0),14),""))</f>
        <v/>
      </c>
      <c r="O561" s="67" t="n">
        <f aca="false">IF($H561="",0,ROUND(IF($N561="成本金额",N(购销流水!$W144),IF($N561="金额",N(购销流水!$Q144),0)),2))</f>
        <v>0</v>
      </c>
      <c r="P561" s="64" t="str">
        <f aca="false">IF(AND($H561&lt;&gt;"",ROUND($O561,2)&lt;&gt;0),"有","")</f>
        <v/>
      </c>
    </row>
    <row r="562" customFormat="false" ht="15" hidden="true" customHeight="false" outlineLevel="0" collapsed="false">
      <c r="A562" s="53" t="str">
        <f aca="false">IF($H562="","",ROW()-5)</f>
        <v/>
      </c>
      <c r="B562" s="64" t="s">
        <v>36</v>
      </c>
      <c r="C562" s="53" t="n">
        <v>145</v>
      </c>
      <c r="D562" s="53" t="n">
        <v>1</v>
      </c>
      <c r="E562" s="65" t="str">
        <f aca="false">IF($H562="","",购销流水!$B145)</f>
        <v/>
      </c>
      <c r="F562" s="55" t="str">
        <f aca="false">IF($H562="","",购销流水!$C145)</f>
        <v/>
      </c>
      <c r="G562" s="48" t="str">
        <f aca="false">IF($H562="","",购销流水!$N145)</f>
        <v/>
      </c>
      <c r="H562" s="10" t="str">
        <f aca="false">IF($L562="","",IF($L562="@成本",购销流水!$U145,IF($L562="@收入",购销流水!$T145,IF($L562="@存货",购销流水!$S145,IF($L562="@结算",购销流水!$R145,$L562)))))</f>
        <v/>
      </c>
      <c r="I562" s="42" t="n">
        <f aca="false">IF($M562="借",$O562,0)</f>
        <v>0</v>
      </c>
      <c r="J562" s="42" t="n">
        <f aca="false">IF($M562="贷",$O562,0)</f>
        <v>0</v>
      </c>
      <c r="K562" s="48" t="str">
        <f aca="false">IF($H562="","",购销流水!$E145)</f>
        <v/>
      </c>
      <c r="L562" s="66" t="str">
        <f aca="false">IF(购销流水!$D145="","",IFERROR(INDEX(记账规则!$A$6:$N$9,MATCH(购销流水!$D145,记账规则!$A$6:$A$9,0),3),""))</f>
        <v/>
      </c>
      <c r="M562" s="66" t="str">
        <f aca="false">IF($L562="","",IFERROR(INDEX(记账规则!$A$6:$N$9,MATCH(购销流水!$D145,记账规则!$A$6:$A$9,0),4),""))</f>
        <v/>
      </c>
      <c r="N562" s="66" t="str">
        <f aca="false">IF($L562="","",IFERROR(INDEX(记账规则!$A$6:$N$9,MATCH(购销流水!$D145,记账规则!$A$6:$A$9,0),5),""))</f>
        <v/>
      </c>
      <c r="O562" s="67" t="n">
        <f aca="false">IF($H562="",0,ROUND(IF($N562="成本金额",N(购销流水!$W145),IF($N562="金额",N(购销流水!$Q145),0)),2))</f>
        <v>0</v>
      </c>
      <c r="P562" s="64" t="str">
        <f aca="false">IF(AND($H562&lt;&gt;"",ROUND($O562,2)&lt;&gt;0),"有","")</f>
        <v/>
      </c>
    </row>
    <row r="563" customFormat="false" ht="15" hidden="true" customHeight="false" outlineLevel="0" collapsed="false">
      <c r="A563" s="53" t="str">
        <f aca="false">IF($H563="","",ROW()-5)</f>
        <v/>
      </c>
      <c r="B563" s="64" t="s">
        <v>36</v>
      </c>
      <c r="C563" s="53" t="n">
        <v>145</v>
      </c>
      <c r="D563" s="53" t="n">
        <v>2</v>
      </c>
      <c r="E563" s="65" t="str">
        <f aca="false">IF($H563="","",购销流水!$B145)</f>
        <v/>
      </c>
      <c r="F563" s="55" t="str">
        <f aca="false">IF($H563="","",购销流水!$C145)</f>
        <v/>
      </c>
      <c r="G563" s="48" t="str">
        <f aca="false">IF($H563="","",购销流水!$N145)</f>
        <v/>
      </c>
      <c r="H563" s="10" t="str">
        <f aca="false">IF($L563="","",IF($L563="@成本",购销流水!$U145,IF($L563="@收入",购销流水!$T145,IF($L563="@存货",购销流水!$S145,IF($L563="@结算",购销流水!$R145,$L563)))))</f>
        <v/>
      </c>
      <c r="I563" s="42" t="n">
        <f aca="false">IF($M563="借",$O563,0)</f>
        <v>0</v>
      </c>
      <c r="J563" s="42" t="n">
        <f aca="false">IF($M563="贷",$O563,0)</f>
        <v>0</v>
      </c>
      <c r="K563" s="48" t="str">
        <f aca="false">IF($H563="","",购销流水!$E145)</f>
        <v/>
      </c>
      <c r="L563" s="66" t="str">
        <f aca="false">IF(购销流水!$D145="","",IFERROR(INDEX(记账规则!$A$6:$N$9,MATCH(购销流水!$D145,记账规则!$A$6:$A$9,0),6),""))</f>
        <v/>
      </c>
      <c r="M563" s="66" t="str">
        <f aca="false">IF($L563="","",IFERROR(INDEX(记账规则!$A$6:$N$9,MATCH(购销流水!$D145,记账规则!$A$6:$A$9,0),7),""))</f>
        <v/>
      </c>
      <c r="N563" s="66" t="str">
        <f aca="false">IF($L563="","",IFERROR(INDEX(记账规则!$A$6:$N$9,MATCH(购销流水!$D145,记账规则!$A$6:$A$9,0),8),""))</f>
        <v/>
      </c>
      <c r="O563" s="67" t="n">
        <f aca="false">IF($H563="",0,ROUND(IF($N563="成本金额",N(购销流水!$W145),IF($N563="金额",N(购销流水!$Q145),0)),2))</f>
        <v>0</v>
      </c>
      <c r="P563" s="64" t="str">
        <f aca="false">IF(AND($H563&lt;&gt;"",ROUND($O563,2)&lt;&gt;0),"有","")</f>
        <v/>
      </c>
    </row>
    <row r="564" customFormat="false" ht="15" hidden="true" customHeight="false" outlineLevel="0" collapsed="false">
      <c r="A564" s="53" t="str">
        <f aca="false">IF($H564="","",ROW()-5)</f>
        <v/>
      </c>
      <c r="B564" s="64" t="s">
        <v>36</v>
      </c>
      <c r="C564" s="53" t="n">
        <v>145</v>
      </c>
      <c r="D564" s="53" t="n">
        <v>3</v>
      </c>
      <c r="E564" s="65" t="str">
        <f aca="false">IF($H564="","",购销流水!$B145)</f>
        <v/>
      </c>
      <c r="F564" s="55" t="str">
        <f aca="false">IF($H564="","",购销流水!$C145)</f>
        <v/>
      </c>
      <c r="G564" s="48" t="str">
        <f aca="false">IF($H564="","",购销流水!$N145)</f>
        <v/>
      </c>
      <c r="H564" s="10" t="str">
        <f aca="false">IF($L564="","",IF($L564="@成本",购销流水!$U145,IF($L564="@收入",购销流水!$T145,IF($L564="@存货",购销流水!$S145,IF($L564="@结算",购销流水!$R145,$L564)))))</f>
        <v/>
      </c>
      <c r="I564" s="42" t="n">
        <f aca="false">IF($M564="借",$O564,0)</f>
        <v>0</v>
      </c>
      <c r="J564" s="42" t="n">
        <f aca="false">IF($M564="贷",$O564,0)</f>
        <v>0</v>
      </c>
      <c r="K564" s="48" t="str">
        <f aca="false">IF($H564="","",购销流水!$E145)</f>
        <v/>
      </c>
      <c r="L564" s="66" t="str">
        <f aca="false">IF(购销流水!$D145="","",IFERROR(INDEX(记账规则!$A$6:$N$9,MATCH(购销流水!$D145,记账规则!$A$6:$A$9,0),9),""))</f>
        <v/>
      </c>
      <c r="M564" s="66" t="str">
        <f aca="false">IF($L564="","",IFERROR(INDEX(记账规则!$A$6:$N$9,MATCH(购销流水!$D145,记账规则!$A$6:$A$9,0),10),""))</f>
        <v/>
      </c>
      <c r="N564" s="66" t="str">
        <f aca="false">IF($L564="","",IFERROR(INDEX(记账规则!$A$6:$N$9,MATCH(购销流水!$D145,记账规则!$A$6:$A$9,0),11),""))</f>
        <v/>
      </c>
      <c r="O564" s="67" t="n">
        <f aca="false">IF($H564="",0,ROUND(IF($N564="成本金额",N(购销流水!$W145),IF($N564="金额",N(购销流水!$Q145),0)),2))</f>
        <v>0</v>
      </c>
      <c r="P564" s="64" t="str">
        <f aca="false">IF(AND($H564&lt;&gt;"",ROUND($O564,2)&lt;&gt;0),"有","")</f>
        <v/>
      </c>
    </row>
    <row r="565" customFormat="false" ht="15" hidden="true" customHeight="false" outlineLevel="0" collapsed="false">
      <c r="A565" s="53" t="str">
        <f aca="false">IF($H565="","",ROW()-5)</f>
        <v/>
      </c>
      <c r="B565" s="64" t="s">
        <v>36</v>
      </c>
      <c r="C565" s="53" t="n">
        <v>145</v>
      </c>
      <c r="D565" s="53" t="n">
        <v>4</v>
      </c>
      <c r="E565" s="65" t="str">
        <f aca="false">IF($H565="","",购销流水!$B145)</f>
        <v/>
      </c>
      <c r="F565" s="55" t="str">
        <f aca="false">IF($H565="","",购销流水!$C145)</f>
        <v/>
      </c>
      <c r="G565" s="48" t="str">
        <f aca="false">IF($H565="","",购销流水!$N145)</f>
        <v/>
      </c>
      <c r="H565" s="10" t="str">
        <f aca="false">IF($L565="","",IF($L565="@成本",购销流水!$U145,IF($L565="@收入",购销流水!$T145,IF($L565="@存货",购销流水!$S145,IF($L565="@结算",购销流水!$R145,$L565)))))</f>
        <v/>
      </c>
      <c r="I565" s="42" t="n">
        <f aca="false">IF($M565="借",$O565,0)</f>
        <v>0</v>
      </c>
      <c r="J565" s="42" t="n">
        <f aca="false">IF($M565="贷",$O565,0)</f>
        <v>0</v>
      </c>
      <c r="K565" s="48" t="str">
        <f aca="false">IF($H565="","",购销流水!$E145)</f>
        <v/>
      </c>
      <c r="L565" s="66" t="str">
        <f aca="false">IF(购销流水!$D145="","",IFERROR(INDEX(记账规则!$A$6:$N$9,MATCH(购销流水!$D145,记账规则!$A$6:$A$9,0),12),""))</f>
        <v/>
      </c>
      <c r="M565" s="66" t="str">
        <f aca="false">IF($L565="","",IFERROR(INDEX(记账规则!$A$6:$N$9,MATCH(购销流水!$D145,记账规则!$A$6:$A$9,0),13),""))</f>
        <v/>
      </c>
      <c r="N565" s="66" t="str">
        <f aca="false">IF($L565="","",IFERROR(INDEX(记账规则!$A$6:$N$9,MATCH(购销流水!$D145,记账规则!$A$6:$A$9,0),14),""))</f>
        <v/>
      </c>
      <c r="O565" s="67" t="n">
        <f aca="false">IF($H565="",0,ROUND(IF($N565="成本金额",N(购销流水!$W145),IF($N565="金额",N(购销流水!$Q145),0)),2))</f>
        <v>0</v>
      </c>
      <c r="P565" s="64" t="str">
        <f aca="false">IF(AND($H565&lt;&gt;"",ROUND($O565,2)&lt;&gt;0),"有","")</f>
        <v/>
      </c>
    </row>
    <row r="566" customFormat="false" ht="15" hidden="true" customHeight="false" outlineLevel="0" collapsed="false">
      <c r="A566" s="53" t="str">
        <f aca="false">IF($H566="","",ROW()-5)</f>
        <v/>
      </c>
      <c r="B566" s="64" t="s">
        <v>36</v>
      </c>
      <c r="C566" s="53" t="n">
        <v>146</v>
      </c>
      <c r="D566" s="53" t="n">
        <v>1</v>
      </c>
      <c r="E566" s="65" t="str">
        <f aca="false">IF($H566="","",购销流水!$B146)</f>
        <v/>
      </c>
      <c r="F566" s="55" t="str">
        <f aca="false">IF($H566="","",购销流水!$C146)</f>
        <v/>
      </c>
      <c r="G566" s="48" t="str">
        <f aca="false">IF($H566="","",购销流水!$N146)</f>
        <v/>
      </c>
      <c r="H566" s="10" t="str">
        <f aca="false">IF($L566="","",IF($L566="@成本",购销流水!$U146,IF($L566="@收入",购销流水!$T146,IF($L566="@存货",购销流水!$S146,IF($L566="@结算",购销流水!$R146,$L566)))))</f>
        <v/>
      </c>
      <c r="I566" s="42" t="n">
        <f aca="false">IF($M566="借",$O566,0)</f>
        <v>0</v>
      </c>
      <c r="J566" s="42" t="n">
        <f aca="false">IF($M566="贷",$O566,0)</f>
        <v>0</v>
      </c>
      <c r="K566" s="48" t="str">
        <f aca="false">IF($H566="","",购销流水!$E146)</f>
        <v/>
      </c>
      <c r="L566" s="66" t="str">
        <f aca="false">IF(购销流水!$D146="","",IFERROR(INDEX(记账规则!$A$6:$N$9,MATCH(购销流水!$D146,记账规则!$A$6:$A$9,0),3),""))</f>
        <v/>
      </c>
      <c r="M566" s="66" t="str">
        <f aca="false">IF($L566="","",IFERROR(INDEX(记账规则!$A$6:$N$9,MATCH(购销流水!$D146,记账规则!$A$6:$A$9,0),4),""))</f>
        <v/>
      </c>
      <c r="N566" s="66" t="str">
        <f aca="false">IF($L566="","",IFERROR(INDEX(记账规则!$A$6:$N$9,MATCH(购销流水!$D146,记账规则!$A$6:$A$9,0),5),""))</f>
        <v/>
      </c>
      <c r="O566" s="67" t="n">
        <f aca="false">IF($H566="",0,ROUND(IF($N566="成本金额",N(购销流水!$W146),IF($N566="金额",N(购销流水!$Q146),0)),2))</f>
        <v>0</v>
      </c>
      <c r="P566" s="64" t="str">
        <f aca="false">IF(AND($H566&lt;&gt;"",ROUND($O566,2)&lt;&gt;0),"有","")</f>
        <v/>
      </c>
    </row>
    <row r="567" customFormat="false" ht="15" hidden="true" customHeight="false" outlineLevel="0" collapsed="false">
      <c r="A567" s="53" t="str">
        <f aca="false">IF($H567="","",ROW()-5)</f>
        <v/>
      </c>
      <c r="B567" s="64" t="s">
        <v>36</v>
      </c>
      <c r="C567" s="53" t="n">
        <v>146</v>
      </c>
      <c r="D567" s="53" t="n">
        <v>2</v>
      </c>
      <c r="E567" s="65" t="str">
        <f aca="false">IF($H567="","",购销流水!$B146)</f>
        <v/>
      </c>
      <c r="F567" s="55" t="str">
        <f aca="false">IF($H567="","",购销流水!$C146)</f>
        <v/>
      </c>
      <c r="G567" s="48" t="str">
        <f aca="false">IF($H567="","",购销流水!$N146)</f>
        <v/>
      </c>
      <c r="H567" s="10" t="str">
        <f aca="false">IF($L567="","",IF($L567="@成本",购销流水!$U146,IF($L567="@收入",购销流水!$T146,IF($L567="@存货",购销流水!$S146,IF($L567="@结算",购销流水!$R146,$L567)))))</f>
        <v/>
      </c>
      <c r="I567" s="42" t="n">
        <f aca="false">IF($M567="借",$O567,0)</f>
        <v>0</v>
      </c>
      <c r="J567" s="42" t="n">
        <f aca="false">IF($M567="贷",$O567,0)</f>
        <v>0</v>
      </c>
      <c r="K567" s="48" t="str">
        <f aca="false">IF($H567="","",购销流水!$E146)</f>
        <v/>
      </c>
      <c r="L567" s="66" t="str">
        <f aca="false">IF(购销流水!$D146="","",IFERROR(INDEX(记账规则!$A$6:$N$9,MATCH(购销流水!$D146,记账规则!$A$6:$A$9,0),6),""))</f>
        <v/>
      </c>
      <c r="M567" s="66" t="str">
        <f aca="false">IF($L567="","",IFERROR(INDEX(记账规则!$A$6:$N$9,MATCH(购销流水!$D146,记账规则!$A$6:$A$9,0),7),""))</f>
        <v/>
      </c>
      <c r="N567" s="66" t="str">
        <f aca="false">IF($L567="","",IFERROR(INDEX(记账规则!$A$6:$N$9,MATCH(购销流水!$D146,记账规则!$A$6:$A$9,0),8),""))</f>
        <v/>
      </c>
      <c r="O567" s="67" t="n">
        <f aca="false">IF($H567="",0,ROUND(IF($N567="成本金额",N(购销流水!$W146),IF($N567="金额",N(购销流水!$Q146),0)),2))</f>
        <v>0</v>
      </c>
      <c r="P567" s="64" t="str">
        <f aca="false">IF(AND($H567&lt;&gt;"",ROUND($O567,2)&lt;&gt;0),"有","")</f>
        <v/>
      </c>
    </row>
    <row r="568" customFormat="false" ht="15" hidden="true" customHeight="false" outlineLevel="0" collapsed="false">
      <c r="A568" s="53" t="str">
        <f aca="false">IF($H568="","",ROW()-5)</f>
        <v/>
      </c>
      <c r="B568" s="64" t="s">
        <v>36</v>
      </c>
      <c r="C568" s="53" t="n">
        <v>146</v>
      </c>
      <c r="D568" s="53" t="n">
        <v>3</v>
      </c>
      <c r="E568" s="65" t="str">
        <f aca="false">IF($H568="","",购销流水!$B146)</f>
        <v/>
      </c>
      <c r="F568" s="55" t="str">
        <f aca="false">IF($H568="","",购销流水!$C146)</f>
        <v/>
      </c>
      <c r="G568" s="48" t="str">
        <f aca="false">IF($H568="","",购销流水!$N146)</f>
        <v/>
      </c>
      <c r="H568" s="10" t="str">
        <f aca="false">IF($L568="","",IF($L568="@成本",购销流水!$U146,IF($L568="@收入",购销流水!$T146,IF($L568="@存货",购销流水!$S146,IF($L568="@结算",购销流水!$R146,$L568)))))</f>
        <v/>
      </c>
      <c r="I568" s="42" t="n">
        <f aca="false">IF($M568="借",$O568,0)</f>
        <v>0</v>
      </c>
      <c r="J568" s="42" t="n">
        <f aca="false">IF($M568="贷",$O568,0)</f>
        <v>0</v>
      </c>
      <c r="K568" s="48" t="str">
        <f aca="false">IF($H568="","",购销流水!$E146)</f>
        <v/>
      </c>
      <c r="L568" s="66" t="str">
        <f aca="false">IF(购销流水!$D146="","",IFERROR(INDEX(记账规则!$A$6:$N$9,MATCH(购销流水!$D146,记账规则!$A$6:$A$9,0),9),""))</f>
        <v/>
      </c>
      <c r="M568" s="66" t="str">
        <f aca="false">IF($L568="","",IFERROR(INDEX(记账规则!$A$6:$N$9,MATCH(购销流水!$D146,记账规则!$A$6:$A$9,0),10),""))</f>
        <v/>
      </c>
      <c r="N568" s="66" t="str">
        <f aca="false">IF($L568="","",IFERROR(INDEX(记账规则!$A$6:$N$9,MATCH(购销流水!$D146,记账规则!$A$6:$A$9,0),11),""))</f>
        <v/>
      </c>
      <c r="O568" s="67" t="n">
        <f aca="false">IF($H568="",0,ROUND(IF($N568="成本金额",N(购销流水!$W146),IF($N568="金额",N(购销流水!$Q146),0)),2))</f>
        <v>0</v>
      </c>
      <c r="P568" s="64" t="str">
        <f aca="false">IF(AND($H568&lt;&gt;"",ROUND($O568,2)&lt;&gt;0),"有","")</f>
        <v/>
      </c>
    </row>
    <row r="569" customFormat="false" ht="15" hidden="true" customHeight="false" outlineLevel="0" collapsed="false">
      <c r="A569" s="53" t="str">
        <f aca="false">IF($H569="","",ROW()-5)</f>
        <v/>
      </c>
      <c r="B569" s="64" t="s">
        <v>36</v>
      </c>
      <c r="C569" s="53" t="n">
        <v>146</v>
      </c>
      <c r="D569" s="53" t="n">
        <v>4</v>
      </c>
      <c r="E569" s="65" t="str">
        <f aca="false">IF($H569="","",购销流水!$B146)</f>
        <v/>
      </c>
      <c r="F569" s="55" t="str">
        <f aca="false">IF($H569="","",购销流水!$C146)</f>
        <v/>
      </c>
      <c r="G569" s="48" t="str">
        <f aca="false">IF($H569="","",购销流水!$N146)</f>
        <v/>
      </c>
      <c r="H569" s="10" t="str">
        <f aca="false">IF($L569="","",IF($L569="@成本",购销流水!$U146,IF($L569="@收入",购销流水!$T146,IF($L569="@存货",购销流水!$S146,IF($L569="@结算",购销流水!$R146,$L569)))))</f>
        <v/>
      </c>
      <c r="I569" s="42" t="n">
        <f aca="false">IF($M569="借",$O569,0)</f>
        <v>0</v>
      </c>
      <c r="J569" s="42" t="n">
        <f aca="false">IF($M569="贷",$O569,0)</f>
        <v>0</v>
      </c>
      <c r="K569" s="48" t="str">
        <f aca="false">IF($H569="","",购销流水!$E146)</f>
        <v/>
      </c>
      <c r="L569" s="66" t="str">
        <f aca="false">IF(购销流水!$D146="","",IFERROR(INDEX(记账规则!$A$6:$N$9,MATCH(购销流水!$D146,记账规则!$A$6:$A$9,0),12),""))</f>
        <v/>
      </c>
      <c r="M569" s="66" t="str">
        <f aca="false">IF($L569="","",IFERROR(INDEX(记账规则!$A$6:$N$9,MATCH(购销流水!$D146,记账规则!$A$6:$A$9,0),13),""))</f>
        <v/>
      </c>
      <c r="N569" s="66" t="str">
        <f aca="false">IF($L569="","",IFERROR(INDEX(记账规则!$A$6:$N$9,MATCH(购销流水!$D146,记账规则!$A$6:$A$9,0),14),""))</f>
        <v/>
      </c>
      <c r="O569" s="67" t="n">
        <f aca="false">IF($H569="",0,ROUND(IF($N569="成本金额",N(购销流水!$W146),IF($N569="金额",N(购销流水!$Q146),0)),2))</f>
        <v>0</v>
      </c>
      <c r="P569" s="64" t="str">
        <f aca="false">IF(AND($H569&lt;&gt;"",ROUND($O569,2)&lt;&gt;0),"有","")</f>
        <v/>
      </c>
    </row>
    <row r="570" customFormat="false" ht="15" hidden="true" customHeight="false" outlineLevel="0" collapsed="false">
      <c r="A570" s="53" t="str">
        <f aca="false">IF($H570="","",ROW()-5)</f>
        <v/>
      </c>
      <c r="B570" s="64" t="s">
        <v>36</v>
      </c>
      <c r="C570" s="53" t="n">
        <v>147</v>
      </c>
      <c r="D570" s="53" t="n">
        <v>1</v>
      </c>
      <c r="E570" s="65" t="str">
        <f aca="false">IF($H570="","",购销流水!$B147)</f>
        <v/>
      </c>
      <c r="F570" s="55" t="str">
        <f aca="false">IF($H570="","",购销流水!$C147)</f>
        <v/>
      </c>
      <c r="G570" s="48" t="str">
        <f aca="false">IF($H570="","",购销流水!$N147)</f>
        <v/>
      </c>
      <c r="H570" s="10" t="str">
        <f aca="false">IF($L570="","",IF($L570="@成本",购销流水!$U147,IF($L570="@收入",购销流水!$T147,IF($L570="@存货",购销流水!$S147,IF($L570="@结算",购销流水!$R147,$L570)))))</f>
        <v/>
      </c>
      <c r="I570" s="42" t="n">
        <f aca="false">IF($M570="借",$O570,0)</f>
        <v>0</v>
      </c>
      <c r="J570" s="42" t="n">
        <f aca="false">IF($M570="贷",$O570,0)</f>
        <v>0</v>
      </c>
      <c r="K570" s="48" t="str">
        <f aca="false">IF($H570="","",购销流水!$E147)</f>
        <v/>
      </c>
      <c r="L570" s="66" t="str">
        <f aca="false">IF(购销流水!$D147="","",IFERROR(INDEX(记账规则!$A$6:$N$9,MATCH(购销流水!$D147,记账规则!$A$6:$A$9,0),3),""))</f>
        <v/>
      </c>
      <c r="M570" s="66" t="str">
        <f aca="false">IF($L570="","",IFERROR(INDEX(记账规则!$A$6:$N$9,MATCH(购销流水!$D147,记账规则!$A$6:$A$9,0),4),""))</f>
        <v/>
      </c>
      <c r="N570" s="66" t="str">
        <f aca="false">IF($L570="","",IFERROR(INDEX(记账规则!$A$6:$N$9,MATCH(购销流水!$D147,记账规则!$A$6:$A$9,0),5),""))</f>
        <v/>
      </c>
      <c r="O570" s="67" t="n">
        <f aca="false">IF($H570="",0,ROUND(IF($N570="成本金额",N(购销流水!$W147),IF($N570="金额",N(购销流水!$Q147),0)),2))</f>
        <v>0</v>
      </c>
      <c r="P570" s="64" t="str">
        <f aca="false">IF(AND($H570&lt;&gt;"",ROUND($O570,2)&lt;&gt;0),"有","")</f>
        <v/>
      </c>
    </row>
    <row r="571" customFormat="false" ht="15" hidden="true" customHeight="false" outlineLevel="0" collapsed="false">
      <c r="A571" s="53" t="str">
        <f aca="false">IF($H571="","",ROW()-5)</f>
        <v/>
      </c>
      <c r="B571" s="64" t="s">
        <v>36</v>
      </c>
      <c r="C571" s="53" t="n">
        <v>147</v>
      </c>
      <c r="D571" s="53" t="n">
        <v>2</v>
      </c>
      <c r="E571" s="65" t="str">
        <f aca="false">IF($H571="","",购销流水!$B147)</f>
        <v/>
      </c>
      <c r="F571" s="55" t="str">
        <f aca="false">IF($H571="","",购销流水!$C147)</f>
        <v/>
      </c>
      <c r="G571" s="48" t="str">
        <f aca="false">IF($H571="","",购销流水!$N147)</f>
        <v/>
      </c>
      <c r="H571" s="10" t="str">
        <f aca="false">IF($L571="","",IF($L571="@成本",购销流水!$U147,IF($L571="@收入",购销流水!$T147,IF($L571="@存货",购销流水!$S147,IF($L571="@结算",购销流水!$R147,$L571)))))</f>
        <v/>
      </c>
      <c r="I571" s="42" t="n">
        <f aca="false">IF($M571="借",$O571,0)</f>
        <v>0</v>
      </c>
      <c r="J571" s="42" t="n">
        <f aca="false">IF($M571="贷",$O571,0)</f>
        <v>0</v>
      </c>
      <c r="K571" s="48" t="str">
        <f aca="false">IF($H571="","",购销流水!$E147)</f>
        <v/>
      </c>
      <c r="L571" s="66" t="str">
        <f aca="false">IF(购销流水!$D147="","",IFERROR(INDEX(记账规则!$A$6:$N$9,MATCH(购销流水!$D147,记账规则!$A$6:$A$9,0),6),""))</f>
        <v/>
      </c>
      <c r="M571" s="66" t="str">
        <f aca="false">IF($L571="","",IFERROR(INDEX(记账规则!$A$6:$N$9,MATCH(购销流水!$D147,记账规则!$A$6:$A$9,0),7),""))</f>
        <v/>
      </c>
      <c r="N571" s="66" t="str">
        <f aca="false">IF($L571="","",IFERROR(INDEX(记账规则!$A$6:$N$9,MATCH(购销流水!$D147,记账规则!$A$6:$A$9,0),8),""))</f>
        <v/>
      </c>
      <c r="O571" s="67" t="n">
        <f aca="false">IF($H571="",0,ROUND(IF($N571="成本金额",N(购销流水!$W147),IF($N571="金额",N(购销流水!$Q147),0)),2))</f>
        <v>0</v>
      </c>
      <c r="P571" s="64" t="str">
        <f aca="false">IF(AND($H571&lt;&gt;"",ROUND($O571,2)&lt;&gt;0),"有","")</f>
        <v/>
      </c>
    </row>
    <row r="572" customFormat="false" ht="15" hidden="true" customHeight="false" outlineLevel="0" collapsed="false">
      <c r="A572" s="53" t="str">
        <f aca="false">IF($H572="","",ROW()-5)</f>
        <v/>
      </c>
      <c r="B572" s="64" t="s">
        <v>36</v>
      </c>
      <c r="C572" s="53" t="n">
        <v>147</v>
      </c>
      <c r="D572" s="53" t="n">
        <v>3</v>
      </c>
      <c r="E572" s="65" t="str">
        <f aca="false">IF($H572="","",购销流水!$B147)</f>
        <v/>
      </c>
      <c r="F572" s="55" t="str">
        <f aca="false">IF($H572="","",购销流水!$C147)</f>
        <v/>
      </c>
      <c r="G572" s="48" t="str">
        <f aca="false">IF($H572="","",购销流水!$N147)</f>
        <v/>
      </c>
      <c r="H572" s="10" t="str">
        <f aca="false">IF($L572="","",IF($L572="@成本",购销流水!$U147,IF($L572="@收入",购销流水!$T147,IF($L572="@存货",购销流水!$S147,IF($L572="@结算",购销流水!$R147,$L572)))))</f>
        <v/>
      </c>
      <c r="I572" s="42" t="n">
        <f aca="false">IF($M572="借",$O572,0)</f>
        <v>0</v>
      </c>
      <c r="J572" s="42" t="n">
        <f aca="false">IF($M572="贷",$O572,0)</f>
        <v>0</v>
      </c>
      <c r="K572" s="48" t="str">
        <f aca="false">IF($H572="","",购销流水!$E147)</f>
        <v/>
      </c>
      <c r="L572" s="66" t="str">
        <f aca="false">IF(购销流水!$D147="","",IFERROR(INDEX(记账规则!$A$6:$N$9,MATCH(购销流水!$D147,记账规则!$A$6:$A$9,0),9),""))</f>
        <v/>
      </c>
      <c r="M572" s="66" t="str">
        <f aca="false">IF($L572="","",IFERROR(INDEX(记账规则!$A$6:$N$9,MATCH(购销流水!$D147,记账规则!$A$6:$A$9,0),10),""))</f>
        <v/>
      </c>
      <c r="N572" s="66" t="str">
        <f aca="false">IF($L572="","",IFERROR(INDEX(记账规则!$A$6:$N$9,MATCH(购销流水!$D147,记账规则!$A$6:$A$9,0),11),""))</f>
        <v/>
      </c>
      <c r="O572" s="67" t="n">
        <f aca="false">IF($H572="",0,ROUND(IF($N572="成本金额",N(购销流水!$W147),IF($N572="金额",N(购销流水!$Q147),0)),2))</f>
        <v>0</v>
      </c>
      <c r="P572" s="64" t="str">
        <f aca="false">IF(AND($H572&lt;&gt;"",ROUND($O572,2)&lt;&gt;0),"有","")</f>
        <v/>
      </c>
    </row>
    <row r="573" customFormat="false" ht="15" hidden="true" customHeight="false" outlineLevel="0" collapsed="false">
      <c r="A573" s="53" t="str">
        <f aca="false">IF($H573="","",ROW()-5)</f>
        <v/>
      </c>
      <c r="B573" s="64" t="s">
        <v>36</v>
      </c>
      <c r="C573" s="53" t="n">
        <v>147</v>
      </c>
      <c r="D573" s="53" t="n">
        <v>4</v>
      </c>
      <c r="E573" s="65" t="str">
        <f aca="false">IF($H573="","",购销流水!$B147)</f>
        <v/>
      </c>
      <c r="F573" s="55" t="str">
        <f aca="false">IF($H573="","",购销流水!$C147)</f>
        <v/>
      </c>
      <c r="G573" s="48" t="str">
        <f aca="false">IF($H573="","",购销流水!$N147)</f>
        <v/>
      </c>
      <c r="H573" s="10" t="str">
        <f aca="false">IF($L573="","",IF($L573="@成本",购销流水!$U147,IF($L573="@收入",购销流水!$T147,IF($L573="@存货",购销流水!$S147,IF($L573="@结算",购销流水!$R147,$L573)))))</f>
        <v/>
      </c>
      <c r="I573" s="42" t="n">
        <f aca="false">IF($M573="借",$O573,0)</f>
        <v>0</v>
      </c>
      <c r="J573" s="42" t="n">
        <f aca="false">IF($M573="贷",$O573,0)</f>
        <v>0</v>
      </c>
      <c r="K573" s="48" t="str">
        <f aca="false">IF($H573="","",购销流水!$E147)</f>
        <v/>
      </c>
      <c r="L573" s="66" t="str">
        <f aca="false">IF(购销流水!$D147="","",IFERROR(INDEX(记账规则!$A$6:$N$9,MATCH(购销流水!$D147,记账规则!$A$6:$A$9,0),12),""))</f>
        <v/>
      </c>
      <c r="M573" s="66" t="str">
        <f aca="false">IF($L573="","",IFERROR(INDEX(记账规则!$A$6:$N$9,MATCH(购销流水!$D147,记账规则!$A$6:$A$9,0),13),""))</f>
        <v/>
      </c>
      <c r="N573" s="66" t="str">
        <f aca="false">IF($L573="","",IFERROR(INDEX(记账规则!$A$6:$N$9,MATCH(购销流水!$D147,记账规则!$A$6:$A$9,0),14),""))</f>
        <v/>
      </c>
      <c r="O573" s="67" t="n">
        <f aca="false">IF($H573="",0,ROUND(IF($N573="成本金额",N(购销流水!$W147),IF($N573="金额",N(购销流水!$Q147),0)),2))</f>
        <v>0</v>
      </c>
      <c r="P573" s="64" t="str">
        <f aca="false">IF(AND($H573&lt;&gt;"",ROUND($O573,2)&lt;&gt;0),"有","")</f>
        <v/>
      </c>
    </row>
    <row r="574" customFormat="false" ht="15" hidden="true" customHeight="false" outlineLevel="0" collapsed="false">
      <c r="A574" s="53" t="str">
        <f aca="false">IF($H574="","",ROW()-5)</f>
        <v/>
      </c>
      <c r="B574" s="64" t="s">
        <v>36</v>
      </c>
      <c r="C574" s="53" t="n">
        <v>148</v>
      </c>
      <c r="D574" s="53" t="n">
        <v>1</v>
      </c>
      <c r="E574" s="65" t="str">
        <f aca="false">IF($H574="","",购销流水!$B148)</f>
        <v/>
      </c>
      <c r="F574" s="55" t="str">
        <f aca="false">IF($H574="","",购销流水!$C148)</f>
        <v/>
      </c>
      <c r="G574" s="48" t="str">
        <f aca="false">IF($H574="","",购销流水!$N148)</f>
        <v/>
      </c>
      <c r="H574" s="10" t="str">
        <f aca="false">IF($L574="","",IF($L574="@成本",购销流水!$U148,IF($L574="@收入",购销流水!$T148,IF($L574="@存货",购销流水!$S148,IF($L574="@结算",购销流水!$R148,$L574)))))</f>
        <v/>
      </c>
      <c r="I574" s="42" t="n">
        <f aca="false">IF($M574="借",$O574,0)</f>
        <v>0</v>
      </c>
      <c r="J574" s="42" t="n">
        <f aca="false">IF($M574="贷",$O574,0)</f>
        <v>0</v>
      </c>
      <c r="K574" s="48" t="str">
        <f aca="false">IF($H574="","",购销流水!$E148)</f>
        <v/>
      </c>
      <c r="L574" s="66" t="str">
        <f aca="false">IF(购销流水!$D148="","",IFERROR(INDEX(记账规则!$A$6:$N$9,MATCH(购销流水!$D148,记账规则!$A$6:$A$9,0),3),""))</f>
        <v/>
      </c>
      <c r="M574" s="66" t="str">
        <f aca="false">IF($L574="","",IFERROR(INDEX(记账规则!$A$6:$N$9,MATCH(购销流水!$D148,记账规则!$A$6:$A$9,0),4),""))</f>
        <v/>
      </c>
      <c r="N574" s="66" t="str">
        <f aca="false">IF($L574="","",IFERROR(INDEX(记账规则!$A$6:$N$9,MATCH(购销流水!$D148,记账规则!$A$6:$A$9,0),5),""))</f>
        <v/>
      </c>
      <c r="O574" s="67" t="n">
        <f aca="false">IF($H574="",0,ROUND(IF($N574="成本金额",N(购销流水!$W148),IF($N574="金额",N(购销流水!$Q148),0)),2))</f>
        <v>0</v>
      </c>
      <c r="P574" s="64" t="str">
        <f aca="false">IF(AND($H574&lt;&gt;"",ROUND($O574,2)&lt;&gt;0),"有","")</f>
        <v/>
      </c>
    </row>
    <row r="575" customFormat="false" ht="15" hidden="true" customHeight="false" outlineLevel="0" collapsed="false">
      <c r="A575" s="53" t="str">
        <f aca="false">IF($H575="","",ROW()-5)</f>
        <v/>
      </c>
      <c r="B575" s="64" t="s">
        <v>36</v>
      </c>
      <c r="C575" s="53" t="n">
        <v>148</v>
      </c>
      <c r="D575" s="53" t="n">
        <v>2</v>
      </c>
      <c r="E575" s="65" t="str">
        <f aca="false">IF($H575="","",购销流水!$B148)</f>
        <v/>
      </c>
      <c r="F575" s="55" t="str">
        <f aca="false">IF($H575="","",购销流水!$C148)</f>
        <v/>
      </c>
      <c r="G575" s="48" t="str">
        <f aca="false">IF($H575="","",购销流水!$N148)</f>
        <v/>
      </c>
      <c r="H575" s="10" t="str">
        <f aca="false">IF($L575="","",IF($L575="@成本",购销流水!$U148,IF($L575="@收入",购销流水!$T148,IF($L575="@存货",购销流水!$S148,IF($L575="@结算",购销流水!$R148,$L575)))))</f>
        <v/>
      </c>
      <c r="I575" s="42" t="n">
        <f aca="false">IF($M575="借",$O575,0)</f>
        <v>0</v>
      </c>
      <c r="J575" s="42" t="n">
        <f aca="false">IF($M575="贷",$O575,0)</f>
        <v>0</v>
      </c>
      <c r="K575" s="48" t="str">
        <f aca="false">IF($H575="","",购销流水!$E148)</f>
        <v/>
      </c>
      <c r="L575" s="66" t="str">
        <f aca="false">IF(购销流水!$D148="","",IFERROR(INDEX(记账规则!$A$6:$N$9,MATCH(购销流水!$D148,记账规则!$A$6:$A$9,0),6),""))</f>
        <v/>
      </c>
      <c r="M575" s="66" t="str">
        <f aca="false">IF($L575="","",IFERROR(INDEX(记账规则!$A$6:$N$9,MATCH(购销流水!$D148,记账规则!$A$6:$A$9,0),7),""))</f>
        <v/>
      </c>
      <c r="N575" s="66" t="str">
        <f aca="false">IF($L575="","",IFERROR(INDEX(记账规则!$A$6:$N$9,MATCH(购销流水!$D148,记账规则!$A$6:$A$9,0),8),""))</f>
        <v/>
      </c>
      <c r="O575" s="67" t="n">
        <f aca="false">IF($H575="",0,ROUND(IF($N575="成本金额",N(购销流水!$W148),IF($N575="金额",N(购销流水!$Q148),0)),2))</f>
        <v>0</v>
      </c>
      <c r="P575" s="64" t="str">
        <f aca="false">IF(AND($H575&lt;&gt;"",ROUND($O575,2)&lt;&gt;0),"有","")</f>
        <v/>
      </c>
    </row>
    <row r="576" customFormat="false" ht="15" hidden="true" customHeight="false" outlineLevel="0" collapsed="false">
      <c r="A576" s="53" t="str">
        <f aca="false">IF($H576="","",ROW()-5)</f>
        <v/>
      </c>
      <c r="B576" s="64" t="s">
        <v>36</v>
      </c>
      <c r="C576" s="53" t="n">
        <v>148</v>
      </c>
      <c r="D576" s="53" t="n">
        <v>3</v>
      </c>
      <c r="E576" s="65" t="str">
        <f aca="false">IF($H576="","",购销流水!$B148)</f>
        <v/>
      </c>
      <c r="F576" s="55" t="str">
        <f aca="false">IF($H576="","",购销流水!$C148)</f>
        <v/>
      </c>
      <c r="G576" s="48" t="str">
        <f aca="false">IF($H576="","",购销流水!$N148)</f>
        <v/>
      </c>
      <c r="H576" s="10" t="str">
        <f aca="false">IF($L576="","",IF($L576="@成本",购销流水!$U148,IF($L576="@收入",购销流水!$T148,IF($L576="@存货",购销流水!$S148,IF($L576="@结算",购销流水!$R148,$L576)))))</f>
        <v/>
      </c>
      <c r="I576" s="42" t="n">
        <f aca="false">IF($M576="借",$O576,0)</f>
        <v>0</v>
      </c>
      <c r="J576" s="42" t="n">
        <f aca="false">IF($M576="贷",$O576,0)</f>
        <v>0</v>
      </c>
      <c r="K576" s="48" t="str">
        <f aca="false">IF($H576="","",购销流水!$E148)</f>
        <v/>
      </c>
      <c r="L576" s="66" t="str">
        <f aca="false">IF(购销流水!$D148="","",IFERROR(INDEX(记账规则!$A$6:$N$9,MATCH(购销流水!$D148,记账规则!$A$6:$A$9,0),9),""))</f>
        <v/>
      </c>
      <c r="M576" s="66" t="str">
        <f aca="false">IF($L576="","",IFERROR(INDEX(记账规则!$A$6:$N$9,MATCH(购销流水!$D148,记账规则!$A$6:$A$9,0),10),""))</f>
        <v/>
      </c>
      <c r="N576" s="66" t="str">
        <f aca="false">IF($L576="","",IFERROR(INDEX(记账规则!$A$6:$N$9,MATCH(购销流水!$D148,记账规则!$A$6:$A$9,0),11),""))</f>
        <v/>
      </c>
      <c r="O576" s="67" t="n">
        <f aca="false">IF($H576="",0,ROUND(IF($N576="成本金额",N(购销流水!$W148),IF($N576="金额",N(购销流水!$Q148),0)),2))</f>
        <v>0</v>
      </c>
      <c r="P576" s="64" t="str">
        <f aca="false">IF(AND($H576&lt;&gt;"",ROUND($O576,2)&lt;&gt;0),"有","")</f>
        <v/>
      </c>
    </row>
    <row r="577" customFormat="false" ht="15" hidden="true" customHeight="false" outlineLevel="0" collapsed="false">
      <c r="A577" s="53" t="str">
        <f aca="false">IF($H577="","",ROW()-5)</f>
        <v/>
      </c>
      <c r="B577" s="64" t="s">
        <v>36</v>
      </c>
      <c r="C577" s="53" t="n">
        <v>148</v>
      </c>
      <c r="D577" s="53" t="n">
        <v>4</v>
      </c>
      <c r="E577" s="65" t="str">
        <f aca="false">IF($H577="","",购销流水!$B148)</f>
        <v/>
      </c>
      <c r="F577" s="55" t="str">
        <f aca="false">IF($H577="","",购销流水!$C148)</f>
        <v/>
      </c>
      <c r="G577" s="48" t="str">
        <f aca="false">IF($H577="","",购销流水!$N148)</f>
        <v/>
      </c>
      <c r="H577" s="10" t="str">
        <f aca="false">IF($L577="","",IF($L577="@成本",购销流水!$U148,IF($L577="@收入",购销流水!$T148,IF($L577="@存货",购销流水!$S148,IF($L577="@结算",购销流水!$R148,$L577)))))</f>
        <v/>
      </c>
      <c r="I577" s="42" t="n">
        <f aca="false">IF($M577="借",$O577,0)</f>
        <v>0</v>
      </c>
      <c r="J577" s="42" t="n">
        <f aca="false">IF($M577="贷",$O577,0)</f>
        <v>0</v>
      </c>
      <c r="K577" s="48" t="str">
        <f aca="false">IF($H577="","",购销流水!$E148)</f>
        <v/>
      </c>
      <c r="L577" s="66" t="str">
        <f aca="false">IF(购销流水!$D148="","",IFERROR(INDEX(记账规则!$A$6:$N$9,MATCH(购销流水!$D148,记账规则!$A$6:$A$9,0),12),""))</f>
        <v/>
      </c>
      <c r="M577" s="66" t="str">
        <f aca="false">IF($L577="","",IFERROR(INDEX(记账规则!$A$6:$N$9,MATCH(购销流水!$D148,记账规则!$A$6:$A$9,0),13),""))</f>
        <v/>
      </c>
      <c r="N577" s="66" t="str">
        <f aca="false">IF($L577="","",IFERROR(INDEX(记账规则!$A$6:$N$9,MATCH(购销流水!$D148,记账规则!$A$6:$A$9,0),14),""))</f>
        <v/>
      </c>
      <c r="O577" s="67" t="n">
        <f aca="false">IF($H577="",0,ROUND(IF($N577="成本金额",N(购销流水!$W148),IF($N577="金额",N(购销流水!$Q148),0)),2))</f>
        <v>0</v>
      </c>
      <c r="P577" s="64" t="str">
        <f aca="false">IF(AND($H577&lt;&gt;"",ROUND($O577,2)&lt;&gt;0),"有","")</f>
        <v/>
      </c>
    </row>
    <row r="578" customFormat="false" ht="15" hidden="true" customHeight="false" outlineLevel="0" collapsed="false">
      <c r="A578" s="53" t="str">
        <f aca="false">IF($H578="","",ROW()-5)</f>
        <v/>
      </c>
      <c r="B578" s="64" t="s">
        <v>36</v>
      </c>
      <c r="C578" s="53" t="n">
        <v>149</v>
      </c>
      <c r="D578" s="53" t="n">
        <v>1</v>
      </c>
      <c r="E578" s="65" t="str">
        <f aca="false">IF($H578="","",购销流水!$B149)</f>
        <v/>
      </c>
      <c r="F578" s="55" t="str">
        <f aca="false">IF($H578="","",购销流水!$C149)</f>
        <v/>
      </c>
      <c r="G578" s="48" t="str">
        <f aca="false">IF($H578="","",购销流水!$N149)</f>
        <v/>
      </c>
      <c r="H578" s="10" t="str">
        <f aca="false">IF($L578="","",IF($L578="@成本",购销流水!$U149,IF($L578="@收入",购销流水!$T149,IF($L578="@存货",购销流水!$S149,IF($L578="@结算",购销流水!$R149,$L578)))))</f>
        <v/>
      </c>
      <c r="I578" s="42" t="n">
        <f aca="false">IF($M578="借",$O578,0)</f>
        <v>0</v>
      </c>
      <c r="J578" s="42" t="n">
        <f aca="false">IF($M578="贷",$O578,0)</f>
        <v>0</v>
      </c>
      <c r="K578" s="48" t="str">
        <f aca="false">IF($H578="","",购销流水!$E149)</f>
        <v/>
      </c>
      <c r="L578" s="66" t="str">
        <f aca="false">IF(购销流水!$D149="","",IFERROR(INDEX(记账规则!$A$6:$N$9,MATCH(购销流水!$D149,记账规则!$A$6:$A$9,0),3),""))</f>
        <v/>
      </c>
      <c r="M578" s="66" t="str">
        <f aca="false">IF($L578="","",IFERROR(INDEX(记账规则!$A$6:$N$9,MATCH(购销流水!$D149,记账规则!$A$6:$A$9,0),4),""))</f>
        <v/>
      </c>
      <c r="N578" s="66" t="str">
        <f aca="false">IF($L578="","",IFERROR(INDEX(记账规则!$A$6:$N$9,MATCH(购销流水!$D149,记账规则!$A$6:$A$9,0),5),""))</f>
        <v/>
      </c>
      <c r="O578" s="67" t="n">
        <f aca="false">IF($H578="",0,ROUND(IF($N578="成本金额",N(购销流水!$W149),IF($N578="金额",N(购销流水!$Q149),0)),2))</f>
        <v>0</v>
      </c>
      <c r="P578" s="64" t="str">
        <f aca="false">IF(AND($H578&lt;&gt;"",ROUND($O578,2)&lt;&gt;0),"有","")</f>
        <v/>
      </c>
    </row>
    <row r="579" customFormat="false" ht="15" hidden="true" customHeight="false" outlineLevel="0" collapsed="false">
      <c r="A579" s="53" t="str">
        <f aca="false">IF($H579="","",ROW()-5)</f>
        <v/>
      </c>
      <c r="B579" s="64" t="s">
        <v>36</v>
      </c>
      <c r="C579" s="53" t="n">
        <v>149</v>
      </c>
      <c r="D579" s="53" t="n">
        <v>2</v>
      </c>
      <c r="E579" s="65" t="str">
        <f aca="false">IF($H579="","",购销流水!$B149)</f>
        <v/>
      </c>
      <c r="F579" s="55" t="str">
        <f aca="false">IF($H579="","",购销流水!$C149)</f>
        <v/>
      </c>
      <c r="G579" s="48" t="str">
        <f aca="false">IF($H579="","",购销流水!$N149)</f>
        <v/>
      </c>
      <c r="H579" s="10" t="str">
        <f aca="false">IF($L579="","",IF($L579="@成本",购销流水!$U149,IF($L579="@收入",购销流水!$T149,IF($L579="@存货",购销流水!$S149,IF($L579="@结算",购销流水!$R149,$L579)))))</f>
        <v/>
      </c>
      <c r="I579" s="42" t="n">
        <f aca="false">IF($M579="借",$O579,0)</f>
        <v>0</v>
      </c>
      <c r="J579" s="42" t="n">
        <f aca="false">IF($M579="贷",$O579,0)</f>
        <v>0</v>
      </c>
      <c r="K579" s="48" t="str">
        <f aca="false">IF($H579="","",购销流水!$E149)</f>
        <v/>
      </c>
      <c r="L579" s="66" t="str">
        <f aca="false">IF(购销流水!$D149="","",IFERROR(INDEX(记账规则!$A$6:$N$9,MATCH(购销流水!$D149,记账规则!$A$6:$A$9,0),6),""))</f>
        <v/>
      </c>
      <c r="M579" s="66" t="str">
        <f aca="false">IF($L579="","",IFERROR(INDEX(记账规则!$A$6:$N$9,MATCH(购销流水!$D149,记账规则!$A$6:$A$9,0),7),""))</f>
        <v/>
      </c>
      <c r="N579" s="66" t="str">
        <f aca="false">IF($L579="","",IFERROR(INDEX(记账规则!$A$6:$N$9,MATCH(购销流水!$D149,记账规则!$A$6:$A$9,0),8),""))</f>
        <v/>
      </c>
      <c r="O579" s="67" t="n">
        <f aca="false">IF($H579="",0,ROUND(IF($N579="成本金额",N(购销流水!$W149),IF($N579="金额",N(购销流水!$Q149),0)),2))</f>
        <v>0</v>
      </c>
      <c r="P579" s="64" t="str">
        <f aca="false">IF(AND($H579&lt;&gt;"",ROUND($O579,2)&lt;&gt;0),"有","")</f>
        <v/>
      </c>
    </row>
    <row r="580" customFormat="false" ht="15" hidden="true" customHeight="false" outlineLevel="0" collapsed="false">
      <c r="A580" s="53" t="str">
        <f aca="false">IF($H580="","",ROW()-5)</f>
        <v/>
      </c>
      <c r="B580" s="64" t="s">
        <v>36</v>
      </c>
      <c r="C580" s="53" t="n">
        <v>149</v>
      </c>
      <c r="D580" s="53" t="n">
        <v>3</v>
      </c>
      <c r="E580" s="65" t="str">
        <f aca="false">IF($H580="","",购销流水!$B149)</f>
        <v/>
      </c>
      <c r="F580" s="55" t="str">
        <f aca="false">IF($H580="","",购销流水!$C149)</f>
        <v/>
      </c>
      <c r="G580" s="48" t="str">
        <f aca="false">IF($H580="","",购销流水!$N149)</f>
        <v/>
      </c>
      <c r="H580" s="10" t="str">
        <f aca="false">IF($L580="","",IF($L580="@成本",购销流水!$U149,IF($L580="@收入",购销流水!$T149,IF($L580="@存货",购销流水!$S149,IF($L580="@结算",购销流水!$R149,$L580)))))</f>
        <v/>
      </c>
      <c r="I580" s="42" t="n">
        <f aca="false">IF($M580="借",$O580,0)</f>
        <v>0</v>
      </c>
      <c r="J580" s="42" t="n">
        <f aca="false">IF($M580="贷",$O580,0)</f>
        <v>0</v>
      </c>
      <c r="K580" s="48" t="str">
        <f aca="false">IF($H580="","",购销流水!$E149)</f>
        <v/>
      </c>
      <c r="L580" s="66" t="str">
        <f aca="false">IF(购销流水!$D149="","",IFERROR(INDEX(记账规则!$A$6:$N$9,MATCH(购销流水!$D149,记账规则!$A$6:$A$9,0),9),""))</f>
        <v/>
      </c>
      <c r="M580" s="66" t="str">
        <f aca="false">IF($L580="","",IFERROR(INDEX(记账规则!$A$6:$N$9,MATCH(购销流水!$D149,记账规则!$A$6:$A$9,0),10),""))</f>
        <v/>
      </c>
      <c r="N580" s="66" t="str">
        <f aca="false">IF($L580="","",IFERROR(INDEX(记账规则!$A$6:$N$9,MATCH(购销流水!$D149,记账规则!$A$6:$A$9,0),11),""))</f>
        <v/>
      </c>
      <c r="O580" s="67" t="n">
        <f aca="false">IF($H580="",0,ROUND(IF($N580="成本金额",N(购销流水!$W149),IF($N580="金额",N(购销流水!$Q149),0)),2))</f>
        <v>0</v>
      </c>
      <c r="P580" s="64" t="str">
        <f aca="false">IF(AND($H580&lt;&gt;"",ROUND($O580,2)&lt;&gt;0),"有","")</f>
        <v/>
      </c>
    </row>
    <row r="581" customFormat="false" ht="15" hidden="true" customHeight="false" outlineLevel="0" collapsed="false">
      <c r="A581" s="53" t="str">
        <f aca="false">IF($H581="","",ROW()-5)</f>
        <v/>
      </c>
      <c r="B581" s="64" t="s">
        <v>36</v>
      </c>
      <c r="C581" s="53" t="n">
        <v>149</v>
      </c>
      <c r="D581" s="53" t="n">
        <v>4</v>
      </c>
      <c r="E581" s="65" t="str">
        <f aca="false">IF($H581="","",购销流水!$B149)</f>
        <v/>
      </c>
      <c r="F581" s="55" t="str">
        <f aca="false">IF($H581="","",购销流水!$C149)</f>
        <v/>
      </c>
      <c r="G581" s="48" t="str">
        <f aca="false">IF($H581="","",购销流水!$N149)</f>
        <v/>
      </c>
      <c r="H581" s="10" t="str">
        <f aca="false">IF($L581="","",IF($L581="@成本",购销流水!$U149,IF($L581="@收入",购销流水!$T149,IF($L581="@存货",购销流水!$S149,IF($L581="@结算",购销流水!$R149,$L581)))))</f>
        <v/>
      </c>
      <c r="I581" s="42" t="n">
        <f aca="false">IF($M581="借",$O581,0)</f>
        <v>0</v>
      </c>
      <c r="J581" s="42" t="n">
        <f aca="false">IF($M581="贷",$O581,0)</f>
        <v>0</v>
      </c>
      <c r="K581" s="48" t="str">
        <f aca="false">IF($H581="","",购销流水!$E149)</f>
        <v/>
      </c>
      <c r="L581" s="66" t="str">
        <f aca="false">IF(购销流水!$D149="","",IFERROR(INDEX(记账规则!$A$6:$N$9,MATCH(购销流水!$D149,记账规则!$A$6:$A$9,0),12),""))</f>
        <v/>
      </c>
      <c r="M581" s="66" t="str">
        <f aca="false">IF($L581="","",IFERROR(INDEX(记账规则!$A$6:$N$9,MATCH(购销流水!$D149,记账规则!$A$6:$A$9,0),13),""))</f>
        <v/>
      </c>
      <c r="N581" s="66" t="str">
        <f aca="false">IF($L581="","",IFERROR(INDEX(记账规则!$A$6:$N$9,MATCH(购销流水!$D149,记账规则!$A$6:$A$9,0),14),""))</f>
        <v/>
      </c>
      <c r="O581" s="67" t="n">
        <f aca="false">IF($H581="",0,ROUND(IF($N581="成本金额",N(购销流水!$W149),IF($N581="金额",N(购销流水!$Q149),0)),2))</f>
        <v>0</v>
      </c>
      <c r="P581" s="64" t="str">
        <f aca="false">IF(AND($H581&lt;&gt;"",ROUND($O581,2)&lt;&gt;0),"有","")</f>
        <v/>
      </c>
    </row>
    <row r="582" customFormat="false" ht="15" hidden="true" customHeight="false" outlineLevel="0" collapsed="false">
      <c r="A582" s="53" t="str">
        <f aca="false">IF($H582="","",ROW()-5)</f>
        <v/>
      </c>
      <c r="B582" s="64" t="s">
        <v>36</v>
      </c>
      <c r="C582" s="53" t="n">
        <v>150</v>
      </c>
      <c r="D582" s="53" t="n">
        <v>1</v>
      </c>
      <c r="E582" s="65" t="str">
        <f aca="false">IF($H582="","",购销流水!$B150)</f>
        <v/>
      </c>
      <c r="F582" s="55" t="str">
        <f aca="false">IF($H582="","",购销流水!$C150)</f>
        <v/>
      </c>
      <c r="G582" s="48" t="str">
        <f aca="false">IF($H582="","",购销流水!$N150)</f>
        <v/>
      </c>
      <c r="H582" s="10" t="str">
        <f aca="false">IF($L582="","",IF($L582="@成本",购销流水!$U150,IF($L582="@收入",购销流水!$T150,IF($L582="@存货",购销流水!$S150,IF($L582="@结算",购销流水!$R150,$L582)))))</f>
        <v/>
      </c>
      <c r="I582" s="42" t="n">
        <f aca="false">IF($M582="借",$O582,0)</f>
        <v>0</v>
      </c>
      <c r="J582" s="42" t="n">
        <f aca="false">IF($M582="贷",$O582,0)</f>
        <v>0</v>
      </c>
      <c r="K582" s="48" t="str">
        <f aca="false">IF($H582="","",购销流水!$E150)</f>
        <v/>
      </c>
      <c r="L582" s="66" t="str">
        <f aca="false">IF(购销流水!$D150="","",IFERROR(INDEX(记账规则!$A$6:$N$9,MATCH(购销流水!$D150,记账规则!$A$6:$A$9,0),3),""))</f>
        <v/>
      </c>
      <c r="M582" s="66" t="str">
        <f aca="false">IF($L582="","",IFERROR(INDEX(记账规则!$A$6:$N$9,MATCH(购销流水!$D150,记账规则!$A$6:$A$9,0),4),""))</f>
        <v/>
      </c>
      <c r="N582" s="66" t="str">
        <f aca="false">IF($L582="","",IFERROR(INDEX(记账规则!$A$6:$N$9,MATCH(购销流水!$D150,记账规则!$A$6:$A$9,0),5),""))</f>
        <v/>
      </c>
      <c r="O582" s="67" t="n">
        <f aca="false">IF($H582="",0,ROUND(IF($N582="成本金额",N(购销流水!$W150),IF($N582="金额",N(购销流水!$Q150),0)),2))</f>
        <v>0</v>
      </c>
      <c r="P582" s="64" t="str">
        <f aca="false">IF(AND($H582&lt;&gt;"",ROUND($O582,2)&lt;&gt;0),"有","")</f>
        <v/>
      </c>
    </row>
    <row r="583" customFormat="false" ht="15" hidden="true" customHeight="false" outlineLevel="0" collapsed="false">
      <c r="A583" s="53" t="str">
        <f aca="false">IF($H583="","",ROW()-5)</f>
        <v/>
      </c>
      <c r="B583" s="64" t="s">
        <v>36</v>
      </c>
      <c r="C583" s="53" t="n">
        <v>150</v>
      </c>
      <c r="D583" s="53" t="n">
        <v>2</v>
      </c>
      <c r="E583" s="65" t="str">
        <f aca="false">IF($H583="","",购销流水!$B150)</f>
        <v/>
      </c>
      <c r="F583" s="55" t="str">
        <f aca="false">IF($H583="","",购销流水!$C150)</f>
        <v/>
      </c>
      <c r="G583" s="48" t="str">
        <f aca="false">IF($H583="","",购销流水!$N150)</f>
        <v/>
      </c>
      <c r="H583" s="10" t="str">
        <f aca="false">IF($L583="","",IF($L583="@成本",购销流水!$U150,IF($L583="@收入",购销流水!$T150,IF($L583="@存货",购销流水!$S150,IF($L583="@结算",购销流水!$R150,$L583)))))</f>
        <v/>
      </c>
      <c r="I583" s="42" t="n">
        <f aca="false">IF($M583="借",$O583,0)</f>
        <v>0</v>
      </c>
      <c r="J583" s="42" t="n">
        <f aca="false">IF($M583="贷",$O583,0)</f>
        <v>0</v>
      </c>
      <c r="K583" s="48" t="str">
        <f aca="false">IF($H583="","",购销流水!$E150)</f>
        <v/>
      </c>
      <c r="L583" s="66" t="str">
        <f aca="false">IF(购销流水!$D150="","",IFERROR(INDEX(记账规则!$A$6:$N$9,MATCH(购销流水!$D150,记账规则!$A$6:$A$9,0),6),""))</f>
        <v/>
      </c>
      <c r="M583" s="66" t="str">
        <f aca="false">IF($L583="","",IFERROR(INDEX(记账规则!$A$6:$N$9,MATCH(购销流水!$D150,记账规则!$A$6:$A$9,0),7),""))</f>
        <v/>
      </c>
      <c r="N583" s="66" t="str">
        <f aca="false">IF($L583="","",IFERROR(INDEX(记账规则!$A$6:$N$9,MATCH(购销流水!$D150,记账规则!$A$6:$A$9,0),8),""))</f>
        <v/>
      </c>
      <c r="O583" s="67" t="n">
        <f aca="false">IF($H583="",0,ROUND(IF($N583="成本金额",N(购销流水!$W150),IF($N583="金额",N(购销流水!$Q150),0)),2))</f>
        <v>0</v>
      </c>
      <c r="P583" s="64" t="str">
        <f aca="false">IF(AND($H583&lt;&gt;"",ROUND($O583,2)&lt;&gt;0),"有","")</f>
        <v/>
      </c>
    </row>
    <row r="584" customFormat="false" ht="15" hidden="true" customHeight="false" outlineLevel="0" collapsed="false">
      <c r="A584" s="53" t="str">
        <f aca="false">IF($H584="","",ROW()-5)</f>
        <v/>
      </c>
      <c r="B584" s="64" t="s">
        <v>36</v>
      </c>
      <c r="C584" s="53" t="n">
        <v>150</v>
      </c>
      <c r="D584" s="53" t="n">
        <v>3</v>
      </c>
      <c r="E584" s="65" t="str">
        <f aca="false">IF($H584="","",购销流水!$B150)</f>
        <v/>
      </c>
      <c r="F584" s="55" t="str">
        <f aca="false">IF($H584="","",购销流水!$C150)</f>
        <v/>
      </c>
      <c r="G584" s="48" t="str">
        <f aca="false">IF($H584="","",购销流水!$N150)</f>
        <v/>
      </c>
      <c r="H584" s="10" t="str">
        <f aca="false">IF($L584="","",IF($L584="@成本",购销流水!$U150,IF($L584="@收入",购销流水!$T150,IF($L584="@存货",购销流水!$S150,IF($L584="@结算",购销流水!$R150,$L584)))))</f>
        <v/>
      </c>
      <c r="I584" s="42" t="n">
        <f aca="false">IF($M584="借",$O584,0)</f>
        <v>0</v>
      </c>
      <c r="J584" s="42" t="n">
        <f aca="false">IF($M584="贷",$O584,0)</f>
        <v>0</v>
      </c>
      <c r="K584" s="48" t="str">
        <f aca="false">IF($H584="","",购销流水!$E150)</f>
        <v/>
      </c>
      <c r="L584" s="66" t="str">
        <f aca="false">IF(购销流水!$D150="","",IFERROR(INDEX(记账规则!$A$6:$N$9,MATCH(购销流水!$D150,记账规则!$A$6:$A$9,0),9),""))</f>
        <v/>
      </c>
      <c r="M584" s="66" t="str">
        <f aca="false">IF($L584="","",IFERROR(INDEX(记账规则!$A$6:$N$9,MATCH(购销流水!$D150,记账规则!$A$6:$A$9,0),10),""))</f>
        <v/>
      </c>
      <c r="N584" s="66" t="str">
        <f aca="false">IF($L584="","",IFERROR(INDEX(记账规则!$A$6:$N$9,MATCH(购销流水!$D150,记账规则!$A$6:$A$9,0),11),""))</f>
        <v/>
      </c>
      <c r="O584" s="67" t="n">
        <f aca="false">IF($H584="",0,ROUND(IF($N584="成本金额",N(购销流水!$W150),IF($N584="金额",N(购销流水!$Q150),0)),2))</f>
        <v>0</v>
      </c>
      <c r="P584" s="64" t="str">
        <f aca="false">IF(AND($H584&lt;&gt;"",ROUND($O584,2)&lt;&gt;0),"有","")</f>
        <v/>
      </c>
    </row>
    <row r="585" customFormat="false" ht="15" hidden="true" customHeight="false" outlineLevel="0" collapsed="false">
      <c r="A585" s="53" t="str">
        <f aca="false">IF($H585="","",ROW()-5)</f>
        <v/>
      </c>
      <c r="B585" s="64" t="s">
        <v>36</v>
      </c>
      <c r="C585" s="53" t="n">
        <v>150</v>
      </c>
      <c r="D585" s="53" t="n">
        <v>4</v>
      </c>
      <c r="E585" s="65" t="str">
        <f aca="false">IF($H585="","",购销流水!$B150)</f>
        <v/>
      </c>
      <c r="F585" s="55" t="str">
        <f aca="false">IF($H585="","",购销流水!$C150)</f>
        <v/>
      </c>
      <c r="G585" s="48" t="str">
        <f aca="false">IF($H585="","",购销流水!$N150)</f>
        <v/>
      </c>
      <c r="H585" s="10" t="str">
        <f aca="false">IF($L585="","",IF($L585="@成本",购销流水!$U150,IF($L585="@收入",购销流水!$T150,IF($L585="@存货",购销流水!$S150,IF($L585="@结算",购销流水!$R150,$L585)))))</f>
        <v/>
      </c>
      <c r="I585" s="42" t="n">
        <f aca="false">IF($M585="借",$O585,0)</f>
        <v>0</v>
      </c>
      <c r="J585" s="42" t="n">
        <f aca="false">IF($M585="贷",$O585,0)</f>
        <v>0</v>
      </c>
      <c r="K585" s="48" t="str">
        <f aca="false">IF($H585="","",购销流水!$E150)</f>
        <v/>
      </c>
      <c r="L585" s="66" t="str">
        <f aca="false">IF(购销流水!$D150="","",IFERROR(INDEX(记账规则!$A$6:$N$9,MATCH(购销流水!$D150,记账规则!$A$6:$A$9,0),12),""))</f>
        <v/>
      </c>
      <c r="M585" s="66" t="str">
        <f aca="false">IF($L585="","",IFERROR(INDEX(记账规则!$A$6:$N$9,MATCH(购销流水!$D150,记账规则!$A$6:$A$9,0),13),""))</f>
        <v/>
      </c>
      <c r="N585" s="66" t="str">
        <f aca="false">IF($L585="","",IFERROR(INDEX(记账规则!$A$6:$N$9,MATCH(购销流水!$D150,记账规则!$A$6:$A$9,0),14),""))</f>
        <v/>
      </c>
      <c r="O585" s="67" t="n">
        <f aca="false">IF($H585="",0,ROUND(IF($N585="成本金额",N(购销流水!$W150),IF($N585="金额",N(购销流水!$Q150),0)),2))</f>
        <v>0</v>
      </c>
      <c r="P585" s="64" t="str">
        <f aca="false">IF(AND($H585&lt;&gt;"",ROUND($O585,2)&lt;&gt;0),"有","")</f>
        <v/>
      </c>
    </row>
    <row r="586" customFormat="false" ht="15" hidden="true" customHeight="false" outlineLevel="0" collapsed="false">
      <c r="A586" s="53" t="str">
        <f aca="false">IF($H586="","",ROW()-5)</f>
        <v/>
      </c>
      <c r="B586" s="64" t="s">
        <v>36</v>
      </c>
      <c r="C586" s="53" t="n">
        <v>151</v>
      </c>
      <c r="D586" s="53" t="n">
        <v>1</v>
      </c>
      <c r="E586" s="65" t="str">
        <f aca="false">IF($H586="","",购销流水!$B151)</f>
        <v/>
      </c>
      <c r="F586" s="55" t="str">
        <f aca="false">IF($H586="","",购销流水!$C151)</f>
        <v/>
      </c>
      <c r="G586" s="48" t="str">
        <f aca="false">IF($H586="","",购销流水!$N151)</f>
        <v/>
      </c>
      <c r="H586" s="10" t="str">
        <f aca="false">IF($L586="","",IF($L586="@成本",购销流水!$U151,IF($L586="@收入",购销流水!$T151,IF($L586="@存货",购销流水!$S151,IF($L586="@结算",购销流水!$R151,$L586)))))</f>
        <v/>
      </c>
      <c r="I586" s="42" t="n">
        <f aca="false">IF($M586="借",$O586,0)</f>
        <v>0</v>
      </c>
      <c r="J586" s="42" t="n">
        <f aca="false">IF($M586="贷",$O586,0)</f>
        <v>0</v>
      </c>
      <c r="K586" s="48" t="str">
        <f aca="false">IF($H586="","",购销流水!$E151)</f>
        <v/>
      </c>
      <c r="L586" s="66" t="str">
        <f aca="false">IF(购销流水!$D151="","",IFERROR(INDEX(记账规则!$A$6:$N$9,MATCH(购销流水!$D151,记账规则!$A$6:$A$9,0),3),""))</f>
        <v/>
      </c>
      <c r="M586" s="66" t="str">
        <f aca="false">IF($L586="","",IFERROR(INDEX(记账规则!$A$6:$N$9,MATCH(购销流水!$D151,记账规则!$A$6:$A$9,0),4),""))</f>
        <v/>
      </c>
      <c r="N586" s="66" t="str">
        <f aca="false">IF($L586="","",IFERROR(INDEX(记账规则!$A$6:$N$9,MATCH(购销流水!$D151,记账规则!$A$6:$A$9,0),5),""))</f>
        <v/>
      </c>
      <c r="O586" s="67" t="n">
        <f aca="false">IF($H586="",0,ROUND(IF($N586="成本金额",N(购销流水!$W151),IF($N586="金额",N(购销流水!$Q151),0)),2))</f>
        <v>0</v>
      </c>
      <c r="P586" s="64" t="str">
        <f aca="false">IF(AND($H586&lt;&gt;"",ROUND($O586,2)&lt;&gt;0),"有","")</f>
        <v/>
      </c>
    </row>
    <row r="587" customFormat="false" ht="15" hidden="true" customHeight="false" outlineLevel="0" collapsed="false">
      <c r="A587" s="53" t="str">
        <f aca="false">IF($H587="","",ROW()-5)</f>
        <v/>
      </c>
      <c r="B587" s="64" t="s">
        <v>36</v>
      </c>
      <c r="C587" s="53" t="n">
        <v>151</v>
      </c>
      <c r="D587" s="53" t="n">
        <v>2</v>
      </c>
      <c r="E587" s="65" t="str">
        <f aca="false">IF($H587="","",购销流水!$B151)</f>
        <v/>
      </c>
      <c r="F587" s="55" t="str">
        <f aca="false">IF($H587="","",购销流水!$C151)</f>
        <v/>
      </c>
      <c r="G587" s="48" t="str">
        <f aca="false">IF($H587="","",购销流水!$N151)</f>
        <v/>
      </c>
      <c r="H587" s="10" t="str">
        <f aca="false">IF($L587="","",IF($L587="@成本",购销流水!$U151,IF($L587="@收入",购销流水!$T151,IF($L587="@存货",购销流水!$S151,IF($L587="@结算",购销流水!$R151,$L587)))))</f>
        <v/>
      </c>
      <c r="I587" s="42" t="n">
        <f aca="false">IF($M587="借",$O587,0)</f>
        <v>0</v>
      </c>
      <c r="J587" s="42" t="n">
        <f aca="false">IF($M587="贷",$O587,0)</f>
        <v>0</v>
      </c>
      <c r="K587" s="48" t="str">
        <f aca="false">IF($H587="","",购销流水!$E151)</f>
        <v/>
      </c>
      <c r="L587" s="66" t="str">
        <f aca="false">IF(购销流水!$D151="","",IFERROR(INDEX(记账规则!$A$6:$N$9,MATCH(购销流水!$D151,记账规则!$A$6:$A$9,0),6),""))</f>
        <v/>
      </c>
      <c r="M587" s="66" t="str">
        <f aca="false">IF($L587="","",IFERROR(INDEX(记账规则!$A$6:$N$9,MATCH(购销流水!$D151,记账规则!$A$6:$A$9,0),7),""))</f>
        <v/>
      </c>
      <c r="N587" s="66" t="str">
        <f aca="false">IF($L587="","",IFERROR(INDEX(记账规则!$A$6:$N$9,MATCH(购销流水!$D151,记账规则!$A$6:$A$9,0),8),""))</f>
        <v/>
      </c>
      <c r="O587" s="67" t="n">
        <f aca="false">IF($H587="",0,ROUND(IF($N587="成本金额",N(购销流水!$W151),IF($N587="金额",N(购销流水!$Q151),0)),2))</f>
        <v>0</v>
      </c>
      <c r="P587" s="64" t="str">
        <f aca="false">IF(AND($H587&lt;&gt;"",ROUND($O587,2)&lt;&gt;0),"有","")</f>
        <v/>
      </c>
    </row>
    <row r="588" customFormat="false" ht="15" hidden="true" customHeight="false" outlineLevel="0" collapsed="false">
      <c r="A588" s="53" t="str">
        <f aca="false">IF($H588="","",ROW()-5)</f>
        <v/>
      </c>
      <c r="B588" s="64" t="s">
        <v>36</v>
      </c>
      <c r="C588" s="53" t="n">
        <v>151</v>
      </c>
      <c r="D588" s="53" t="n">
        <v>3</v>
      </c>
      <c r="E588" s="65" t="str">
        <f aca="false">IF($H588="","",购销流水!$B151)</f>
        <v/>
      </c>
      <c r="F588" s="55" t="str">
        <f aca="false">IF($H588="","",购销流水!$C151)</f>
        <v/>
      </c>
      <c r="G588" s="48" t="str">
        <f aca="false">IF($H588="","",购销流水!$N151)</f>
        <v/>
      </c>
      <c r="H588" s="10" t="str">
        <f aca="false">IF($L588="","",IF($L588="@成本",购销流水!$U151,IF($L588="@收入",购销流水!$T151,IF($L588="@存货",购销流水!$S151,IF($L588="@结算",购销流水!$R151,$L588)))))</f>
        <v/>
      </c>
      <c r="I588" s="42" t="n">
        <f aca="false">IF($M588="借",$O588,0)</f>
        <v>0</v>
      </c>
      <c r="J588" s="42" t="n">
        <f aca="false">IF($M588="贷",$O588,0)</f>
        <v>0</v>
      </c>
      <c r="K588" s="48" t="str">
        <f aca="false">IF($H588="","",购销流水!$E151)</f>
        <v/>
      </c>
      <c r="L588" s="66" t="str">
        <f aca="false">IF(购销流水!$D151="","",IFERROR(INDEX(记账规则!$A$6:$N$9,MATCH(购销流水!$D151,记账规则!$A$6:$A$9,0),9),""))</f>
        <v/>
      </c>
      <c r="M588" s="66" t="str">
        <f aca="false">IF($L588="","",IFERROR(INDEX(记账规则!$A$6:$N$9,MATCH(购销流水!$D151,记账规则!$A$6:$A$9,0),10),""))</f>
        <v/>
      </c>
      <c r="N588" s="66" t="str">
        <f aca="false">IF($L588="","",IFERROR(INDEX(记账规则!$A$6:$N$9,MATCH(购销流水!$D151,记账规则!$A$6:$A$9,0),11),""))</f>
        <v/>
      </c>
      <c r="O588" s="67" t="n">
        <f aca="false">IF($H588="",0,ROUND(IF($N588="成本金额",N(购销流水!$W151),IF($N588="金额",N(购销流水!$Q151),0)),2))</f>
        <v>0</v>
      </c>
      <c r="P588" s="64" t="str">
        <f aca="false">IF(AND($H588&lt;&gt;"",ROUND($O588,2)&lt;&gt;0),"有","")</f>
        <v/>
      </c>
    </row>
    <row r="589" customFormat="false" ht="15" hidden="true" customHeight="false" outlineLevel="0" collapsed="false">
      <c r="A589" s="53" t="str">
        <f aca="false">IF($H589="","",ROW()-5)</f>
        <v/>
      </c>
      <c r="B589" s="64" t="s">
        <v>36</v>
      </c>
      <c r="C589" s="53" t="n">
        <v>151</v>
      </c>
      <c r="D589" s="53" t="n">
        <v>4</v>
      </c>
      <c r="E589" s="65" t="str">
        <f aca="false">IF($H589="","",购销流水!$B151)</f>
        <v/>
      </c>
      <c r="F589" s="55" t="str">
        <f aca="false">IF($H589="","",购销流水!$C151)</f>
        <v/>
      </c>
      <c r="G589" s="48" t="str">
        <f aca="false">IF($H589="","",购销流水!$N151)</f>
        <v/>
      </c>
      <c r="H589" s="10" t="str">
        <f aca="false">IF($L589="","",IF($L589="@成本",购销流水!$U151,IF($L589="@收入",购销流水!$T151,IF($L589="@存货",购销流水!$S151,IF($L589="@结算",购销流水!$R151,$L589)))))</f>
        <v/>
      </c>
      <c r="I589" s="42" t="n">
        <f aca="false">IF($M589="借",$O589,0)</f>
        <v>0</v>
      </c>
      <c r="J589" s="42" t="n">
        <f aca="false">IF($M589="贷",$O589,0)</f>
        <v>0</v>
      </c>
      <c r="K589" s="48" t="str">
        <f aca="false">IF($H589="","",购销流水!$E151)</f>
        <v/>
      </c>
      <c r="L589" s="66" t="str">
        <f aca="false">IF(购销流水!$D151="","",IFERROR(INDEX(记账规则!$A$6:$N$9,MATCH(购销流水!$D151,记账规则!$A$6:$A$9,0),12),""))</f>
        <v/>
      </c>
      <c r="M589" s="66" t="str">
        <f aca="false">IF($L589="","",IFERROR(INDEX(记账规则!$A$6:$N$9,MATCH(购销流水!$D151,记账规则!$A$6:$A$9,0),13),""))</f>
        <v/>
      </c>
      <c r="N589" s="66" t="str">
        <f aca="false">IF($L589="","",IFERROR(INDEX(记账规则!$A$6:$N$9,MATCH(购销流水!$D151,记账规则!$A$6:$A$9,0),14),""))</f>
        <v/>
      </c>
      <c r="O589" s="67" t="n">
        <f aca="false">IF($H589="",0,ROUND(IF($N589="成本金额",N(购销流水!$W151),IF($N589="金额",N(购销流水!$Q151),0)),2))</f>
        <v>0</v>
      </c>
      <c r="P589" s="64" t="str">
        <f aca="false">IF(AND($H589&lt;&gt;"",ROUND($O589,2)&lt;&gt;0),"有","")</f>
        <v/>
      </c>
    </row>
    <row r="590" customFormat="false" ht="15" hidden="true" customHeight="false" outlineLevel="0" collapsed="false">
      <c r="A590" s="53" t="str">
        <f aca="false">IF($H590="","",ROW()-5)</f>
        <v/>
      </c>
      <c r="B590" s="64" t="s">
        <v>36</v>
      </c>
      <c r="C590" s="53" t="n">
        <v>152</v>
      </c>
      <c r="D590" s="53" t="n">
        <v>1</v>
      </c>
      <c r="E590" s="65" t="str">
        <f aca="false">IF($H590="","",购销流水!$B152)</f>
        <v/>
      </c>
      <c r="F590" s="55" t="str">
        <f aca="false">IF($H590="","",购销流水!$C152)</f>
        <v/>
      </c>
      <c r="G590" s="48" t="str">
        <f aca="false">IF($H590="","",购销流水!$N152)</f>
        <v/>
      </c>
      <c r="H590" s="10" t="str">
        <f aca="false">IF($L590="","",IF($L590="@成本",购销流水!$U152,IF($L590="@收入",购销流水!$T152,IF($L590="@存货",购销流水!$S152,IF($L590="@结算",购销流水!$R152,$L590)))))</f>
        <v/>
      </c>
      <c r="I590" s="42" t="n">
        <f aca="false">IF($M590="借",$O590,0)</f>
        <v>0</v>
      </c>
      <c r="J590" s="42" t="n">
        <f aca="false">IF($M590="贷",$O590,0)</f>
        <v>0</v>
      </c>
      <c r="K590" s="48" t="str">
        <f aca="false">IF($H590="","",购销流水!$E152)</f>
        <v/>
      </c>
      <c r="L590" s="66" t="str">
        <f aca="false">IF(购销流水!$D152="","",IFERROR(INDEX(记账规则!$A$6:$N$9,MATCH(购销流水!$D152,记账规则!$A$6:$A$9,0),3),""))</f>
        <v/>
      </c>
      <c r="M590" s="66" t="str">
        <f aca="false">IF($L590="","",IFERROR(INDEX(记账规则!$A$6:$N$9,MATCH(购销流水!$D152,记账规则!$A$6:$A$9,0),4),""))</f>
        <v/>
      </c>
      <c r="N590" s="66" t="str">
        <f aca="false">IF($L590="","",IFERROR(INDEX(记账规则!$A$6:$N$9,MATCH(购销流水!$D152,记账规则!$A$6:$A$9,0),5),""))</f>
        <v/>
      </c>
      <c r="O590" s="67" t="n">
        <f aca="false">IF($H590="",0,ROUND(IF($N590="成本金额",N(购销流水!$W152),IF($N590="金额",N(购销流水!$Q152),0)),2))</f>
        <v>0</v>
      </c>
      <c r="P590" s="64" t="str">
        <f aca="false">IF(AND($H590&lt;&gt;"",ROUND($O590,2)&lt;&gt;0),"有","")</f>
        <v/>
      </c>
    </row>
    <row r="591" customFormat="false" ht="15" hidden="true" customHeight="false" outlineLevel="0" collapsed="false">
      <c r="A591" s="53" t="str">
        <f aca="false">IF($H591="","",ROW()-5)</f>
        <v/>
      </c>
      <c r="B591" s="64" t="s">
        <v>36</v>
      </c>
      <c r="C591" s="53" t="n">
        <v>152</v>
      </c>
      <c r="D591" s="53" t="n">
        <v>2</v>
      </c>
      <c r="E591" s="65" t="str">
        <f aca="false">IF($H591="","",购销流水!$B152)</f>
        <v/>
      </c>
      <c r="F591" s="55" t="str">
        <f aca="false">IF($H591="","",购销流水!$C152)</f>
        <v/>
      </c>
      <c r="G591" s="48" t="str">
        <f aca="false">IF($H591="","",购销流水!$N152)</f>
        <v/>
      </c>
      <c r="H591" s="10" t="str">
        <f aca="false">IF($L591="","",IF($L591="@成本",购销流水!$U152,IF($L591="@收入",购销流水!$T152,IF($L591="@存货",购销流水!$S152,IF($L591="@结算",购销流水!$R152,$L591)))))</f>
        <v/>
      </c>
      <c r="I591" s="42" t="n">
        <f aca="false">IF($M591="借",$O591,0)</f>
        <v>0</v>
      </c>
      <c r="J591" s="42" t="n">
        <f aca="false">IF($M591="贷",$O591,0)</f>
        <v>0</v>
      </c>
      <c r="K591" s="48" t="str">
        <f aca="false">IF($H591="","",购销流水!$E152)</f>
        <v/>
      </c>
      <c r="L591" s="66" t="str">
        <f aca="false">IF(购销流水!$D152="","",IFERROR(INDEX(记账规则!$A$6:$N$9,MATCH(购销流水!$D152,记账规则!$A$6:$A$9,0),6),""))</f>
        <v/>
      </c>
      <c r="M591" s="66" t="str">
        <f aca="false">IF($L591="","",IFERROR(INDEX(记账规则!$A$6:$N$9,MATCH(购销流水!$D152,记账规则!$A$6:$A$9,0),7),""))</f>
        <v/>
      </c>
      <c r="N591" s="66" t="str">
        <f aca="false">IF($L591="","",IFERROR(INDEX(记账规则!$A$6:$N$9,MATCH(购销流水!$D152,记账规则!$A$6:$A$9,0),8),""))</f>
        <v/>
      </c>
      <c r="O591" s="67" t="n">
        <f aca="false">IF($H591="",0,ROUND(IF($N591="成本金额",N(购销流水!$W152),IF($N591="金额",N(购销流水!$Q152),0)),2))</f>
        <v>0</v>
      </c>
      <c r="P591" s="64" t="str">
        <f aca="false">IF(AND($H591&lt;&gt;"",ROUND($O591,2)&lt;&gt;0),"有","")</f>
        <v/>
      </c>
    </row>
    <row r="592" customFormat="false" ht="15" hidden="true" customHeight="false" outlineLevel="0" collapsed="false">
      <c r="A592" s="53" t="str">
        <f aca="false">IF($H592="","",ROW()-5)</f>
        <v/>
      </c>
      <c r="B592" s="64" t="s">
        <v>36</v>
      </c>
      <c r="C592" s="53" t="n">
        <v>152</v>
      </c>
      <c r="D592" s="53" t="n">
        <v>3</v>
      </c>
      <c r="E592" s="65" t="str">
        <f aca="false">IF($H592="","",购销流水!$B152)</f>
        <v/>
      </c>
      <c r="F592" s="55" t="str">
        <f aca="false">IF($H592="","",购销流水!$C152)</f>
        <v/>
      </c>
      <c r="G592" s="48" t="str">
        <f aca="false">IF($H592="","",购销流水!$N152)</f>
        <v/>
      </c>
      <c r="H592" s="10" t="str">
        <f aca="false">IF($L592="","",IF($L592="@成本",购销流水!$U152,IF($L592="@收入",购销流水!$T152,IF($L592="@存货",购销流水!$S152,IF($L592="@结算",购销流水!$R152,$L592)))))</f>
        <v/>
      </c>
      <c r="I592" s="42" t="n">
        <f aca="false">IF($M592="借",$O592,0)</f>
        <v>0</v>
      </c>
      <c r="J592" s="42" t="n">
        <f aca="false">IF($M592="贷",$O592,0)</f>
        <v>0</v>
      </c>
      <c r="K592" s="48" t="str">
        <f aca="false">IF($H592="","",购销流水!$E152)</f>
        <v/>
      </c>
      <c r="L592" s="66" t="str">
        <f aca="false">IF(购销流水!$D152="","",IFERROR(INDEX(记账规则!$A$6:$N$9,MATCH(购销流水!$D152,记账规则!$A$6:$A$9,0),9),""))</f>
        <v/>
      </c>
      <c r="M592" s="66" t="str">
        <f aca="false">IF($L592="","",IFERROR(INDEX(记账规则!$A$6:$N$9,MATCH(购销流水!$D152,记账规则!$A$6:$A$9,0),10),""))</f>
        <v/>
      </c>
      <c r="N592" s="66" t="str">
        <f aca="false">IF($L592="","",IFERROR(INDEX(记账规则!$A$6:$N$9,MATCH(购销流水!$D152,记账规则!$A$6:$A$9,0),11),""))</f>
        <v/>
      </c>
      <c r="O592" s="67" t="n">
        <f aca="false">IF($H592="",0,ROUND(IF($N592="成本金额",N(购销流水!$W152),IF($N592="金额",N(购销流水!$Q152),0)),2))</f>
        <v>0</v>
      </c>
      <c r="P592" s="64" t="str">
        <f aca="false">IF(AND($H592&lt;&gt;"",ROUND($O592,2)&lt;&gt;0),"有","")</f>
        <v/>
      </c>
    </row>
    <row r="593" customFormat="false" ht="15" hidden="true" customHeight="false" outlineLevel="0" collapsed="false">
      <c r="A593" s="53" t="str">
        <f aca="false">IF($H593="","",ROW()-5)</f>
        <v/>
      </c>
      <c r="B593" s="64" t="s">
        <v>36</v>
      </c>
      <c r="C593" s="53" t="n">
        <v>152</v>
      </c>
      <c r="D593" s="53" t="n">
        <v>4</v>
      </c>
      <c r="E593" s="65" t="str">
        <f aca="false">IF($H593="","",购销流水!$B152)</f>
        <v/>
      </c>
      <c r="F593" s="55" t="str">
        <f aca="false">IF($H593="","",购销流水!$C152)</f>
        <v/>
      </c>
      <c r="G593" s="48" t="str">
        <f aca="false">IF($H593="","",购销流水!$N152)</f>
        <v/>
      </c>
      <c r="H593" s="10" t="str">
        <f aca="false">IF($L593="","",IF($L593="@成本",购销流水!$U152,IF($L593="@收入",购销流水!$T152,IF($L593="@存货",购销流水!$S152,IF($L593="@结算",购销流水!$R152,$L593)))))</f>
        <v/>
      </c>
      <c r="I593" s="42" t="n">
        <f aca="false">IF($M593="借",$O593,0)</f>
        <v>0</v>
      </c>
      <c r="J593" s="42" t="n">
        <f aca="false">IF($M593="贷",$O593,0)</f>
        <v>0</v>
      </c>
      <c r="K593" s="48" t="str">
        <f aca="false">IF($H593="","",购销流水!$E152)</f>
        <v/>
      </c>
      <c r="L593" s="66" t="str">
        <f aca="false">IF(购销流水!$D152="","",IFERROR(INDEX(记账规则!$A$6:$N$9,MATCH(购销流水!$D152,记账规则!$A$6:$A$9,0),12),""))</f>
        <v/>
      </c>
      <c r="M593" s="66" t="str">
        <f aca="false">IF($L593="","",IFERROR(INDEX(记账规则!$A$6:$N$9,MATCH(购销流水!$D152,记账规则!$A$6:$A$9,0),13),""))</f>
        <v/>
      </c>
      <c r="N593" s="66" t="str">
        <f aca="false">IF($L593="","",IFERROR(INDEX(记账规则!$A$6:$N$9,MATCH(购销流水!$D152,记账规则!$A$6:$A$9,0),14),""))</f>
        <v/>
      </c>
      <c r="O593" s="67" t="n">
        <f aca="false">IF($H593="",0,ROUND(IF($N593="成本金额",N(购销流水!$W152),IF($N593="金额",N(购销流水!$Q152),0)),2))</f>
        <v>0</v>
      </c>
      <c r="P593" s="64" t="str">
        <f aca="false">IF(AND($H593&lt;&gt;"",ROUND($O593,2)&lt;&gt;0),"有","")</f>
        <v/>
      </c>
    </row>
    <row r="594" customFormat="false" ht="15" hidden="true" customHeight="false" outlineLevel="0" collapsed="false">
      <c r="A594" s="53" t="str">
        <f aca="false">IF($H594="","",ROW()-5)</f>
        <v/>
      </c>
      <c r="B594" s="64" t="s">
        <v>36</v>
      </c>
      <c r="C594" s="53" t="n">
        <v>153</v>
      </c>
      <c r="D594" s="53" t="n">
        <v>1</v>
      </c>
      <c r="E594" s="65" t="str">
        <f aca="false">IF($H594="","",购销流水!$B153)</f>
        <v/>
      </c>
      <c r="F594" s="55" t="str">
        <f aca="false">IF($H594="","",购销流水!$C153)</f>
        <v/>
      </c>
      <c r="G594" s="48" t="str">
        <f aca="false">IF($H594="","",购销流水!$N153)</f>
        <v/>
      </c>
      <c r="H594" s="10" t="str">
        <f aca="false">IF($L594="","",IF($L594="@成本",购销流水!$U153,IF($L594="@收入",购销流水!$T153,IF($L594="@存货",购销流水!$S153,IF($L594="@结算",购销流水!$R153,$L594)))))</f>
        <v/>
      </c>
      <c r="I594" s="42" t="n">
        <f aca="false">IF($M594="借",$O594,0)</f>
        <v>0</v>
      </c>
      <c r="J594" s="42" t="n">
        <f aca="false">IF($M594="贷",$O594,0)</f>
        <v>0</v>
      </c>
      <c r="K594" s="48" t="str">
        <f aca="false">IF($H594="","",购销流水!$E153)</f>
        <v/>
      </c>
      <c r="L594" s="66" t="str">
        <f aca="false">IF(购销流水!$D153="","",IFERROR(INDEX(记账规则!$A$6:$N$9,MATCH(购销流水!$D153,记账规则!$A$6:$A$9,0),3),""))</f>
        <v/>
      </c>
      <c r="M594" s="66" t="str">
        <f aca="false">IF($L594="","",IFERROR(INDEX(记账规则!$A$6:$N$9,MATCH(购销流水!$D153,记账规则!$A$6:$A$9,0),4),""))</f>
        <v/>
      </c>
      <c r="N594" s="66" t="str">
        <f aca="false">IF($L594="","",IFERROR(INDEX(记账规则!$A$6:$N$9,MATCH(购销流水!$D153,记账规则!$A$6:$A$9,0),5),""))</f>
        <v/>
      </c>
      <c r="O594" s="67" t="n">
        <f aca="false">IF($H594="",0,ROUND(IF($N594="成本金额",N(购销流水!$W153),IF($N594="金额",N(购销流水!$Q153),0)),2))</f>
        <v>0</v>
      </c>
      <c r="P594" s="64" t="str">
        <f aca="false">IF(AND($H594&lt;&gt;"",ROUND($O594,2)&lt;&gt;0),"有","")</f>
        <v/>
      </c>
    </row>
    <row r="595" customFormat="false" ht="15" hidden="true" customHeight="false" outlineLevel="0" collapsed="false">
      <c r="A595" s="53" t="str">
        <f aca="false">IF($H595="","",ROW()-5)</f>
        <v/>
      </c>
      <c r="B595" s="64" t="s">
        <v>36</v>
      </c>
      <c r="C595" s="53" t="n">
        <v>153</v>
      </c>
      <c r="D595" s="53" t="n">
        <v>2</v>
      </c>
      <c r="E595" s="65" t="str">
        <f aca="false">IF($H595="","",购销流水!$B153)</f>
        <v/>
      </c>
      <c r="F595" s="55" t="str">
        <f aca="false">IF($H595="","",购销流水!$C153)</f>
        <v/>
      </c>
      <c r="G595" s="48" t="str">
        <f aca="false">IF($H595="","",购销流水!$N153)</f>
        <v/>
      </c>
      <c r="H595" s="10" t="str">
        <f aca="false">IF($L595="","",IF($L595="@成本",购销流水!$U153,IF($L595="@收入",购销流水!$T153,IF($L595="@存货",购销流水!$S153,IF($L595="@结算",购销流水!$R153,$L595)))))</f>
        <v/>
      </c>
      <c r="I595" s="42" t="n">
        <f aca="false">IF($M595="借",$O595,0)</f>
        <v>0</v>
      </c>
      <c r="J595" s="42" t="n">
        <f aca="false">IF($M595="贷",$O595,0)</f>
        <v>0</v>
      </c>
      <c r="K595" s="48" t="str">
        <f aca="false">IF($H595="","",购销流水!$E153)</f>
        <v/>
      </c>
      <c r="L595" s="66" t="str">
        <f aca="false">IF(购销流水!$D153="","",IFERROR(INDEX(记账规则!$A$6:$N$9,MATCH(购销流水!$D153,记账规则!$A$6:$A$9,0),6),""))</f>
        <v/>
      </c>
      <c r="M595" s="66" t="str">
        <f aca="false">IF($L595="","",IFERROR(INDEX(记账规则!$A$6:$N$9,MATCH(购销流水!$D153,记账规则!$A$6:$A$9,0),7),""))</f>
        <v/>
      </c>
      <c r="N595" s="66" t="str">
        <f aca="false">IF($L595="","",IFERROR(INDEX(记账规则!$A$6:$N$9,MATCH(购销流水!$D153,记账规则!$A$6:$A$9,0),8),""))</f>
        <v/>
      </c>
      <c r="O595" s="67" t="n">
        <f aca="false">IF($H595="",0,ROUND(IF($N595="成本金额",N(购销流水!$W153),IF($N595="金额",N(购销流水!$Q153),0)),2))</f>
        <v>0</v>
      </c>
      <c r="P595" s="64" t="str">
        <f aca="false">IF(AND($H595&lt;&gt;"",ROUND($O595,2)&lt;&gt;0),"有","")</f>
        <v/>
      </c>
    </row>
    <row r="596" customFormat="false" ht="15" hidden="true" customHeight="false" outlineLevel="0" collapsed="false">
      <c r="A596" s="53" t="str">
        <f aca="false">IF($H596="","",ROW()-5)</f>
        <v/>
      </c>
      <c r="B596" s="64" t="s">
        <v>36</v>
      </c>
      <c r="C596" s="53" t="n">
        <v>153</v>
      </c>
      <c r="D596" s="53" t="n">
        <v>3</v>
      </c>
      <c r="E596" s="65" t="str">
        <f aca="false">IF($H596="","",购销流水!$B153)</f>
        <v/>
      </c>
      <c r="F596" s="55" t="str">
        <f aca="false">IF($H596="","",购销流水!$C153)</f>
        <v/>
      </c>
      <c r="G596" s="48" t="str">
        <f aca="false">IF($H596="","",购销流水!$N153)</f>
        <v/>
      </c>
      <c r="H596" s="10" t="str">
        <f aca="false">IF($L596="","",IF($L596="@成本",购销流水!$U153,IF($L596="@收入",购销流水!$T153,IF($L596="@存货",购销流水!$S153,IF($L596="@结算",购销流水!$R153,$L596)))))</f>
        <v/>
      </c>
      <c r="I596" s="42" t="n">
        <f aca="false">IF($M596="借",$O596,0)</f>
        <v>0</v>
      </c>
      <c r="J596" s="42" t="n">
        <f aca="false">IF($M596="贷",$O596,0)</f>
        <v>0</v>
      </c>
      <c r="K596" s="48" t="str">
        <f aca="false">IF($H596="","",购销流水!$E153)</f>
        <v/>
      </c>
      <c r="L596" s="66" t="str">
        <f aca="false">IF(购销流水!$D153="","",IFERROR(INDEX(记账规则!$A$6:$N$9,MATCH(购销流水!$D153,记账规则!$A$6:$A$9,0),9),""))</f>
        <v/>
      </c>
      <c r="M596" s="66" t="str">
        <f aca="false">IF($L596="","",IFERROR(INDEX(记账规则!$A$6:$N$9,MATCH(购销流水!$D153,记账规则!$A$6:$A$9,0),10),""))</f>
        <v/>
      </c>
      <c r="N596" s="66" t="str">
        <f aca="false">IF($L596="","",IFERROR(INDEX(记账规则!$A$6:$N$9,MATCH(购销流水!$D153,记账规则!$A$6:$A$9,0),11),""))</f>
        <v/>
      </c>
      <c r="O596" s="67" t="n">
        <f aca="false">IF($H596="",0,ROUND(IF($N596="成本金额",N(购销流水!$W153),IF($N596="金额",N(购销流水!$Q153),0)),2))</f>
        <v>0</v>
      </c>
      <c r="P596" s="64" t="str">
        <f aca="false">IF(AND($H596&lt;&gt;"",ROUND($O596,2)&lt;&gt;0),"有","")</f>
        <v/>
      </c>
    </row>
    <row r="597" customFormat="false" ht="15" hidden="true" customHeight="false" outlineLevel="0" collapsed="false">
      <c r="A597" s="53" t="str">
        <f aca="false">IF($H597="","",ROW()-5)</f>
        <v/>
      </c>
      <c r="B597" s="64" t="s">
        <v>36</v>
      </c>
      <c r="C597" s="53" t="n">
        <v>153</v>
      </c>
      <c r="D597" s="53" t="n">
        <v>4</v>
      </c>
      <c r="E597" s="65" t="str">
        <f aca="false">IF($H597="","",购销流水!$B153)</f>
        <v/>
      </c>
      <c r="F597" s="55" t="str">
        <f aca="false">IF($H597="","",购销流水!$C153)</f>
        <v/>
      </c>
      <c r="G597" s="48" t="str">
        <f aca="false">IF($H597="","",购销流水!$N153)</f>
        <v/>
      </c>
      <c r="H597" s="10" t="str">
        <f aca="false">IF($L597="","",IF($L597="@成本",购销流水!$U153,IF($L597="@收入",购销流水!$T153,IF($L597="@存货",购销流水!$S153,IF($L597="@结算",购销流水!$R153,$L597)))))</f>
        <v/>
      </c>
      <c r="I597" s="42" t="n">
        <f aca="false">IF($M597="借",$O597,0)</f>
        <v>0</v>
      </c>
      <c r="J597" s="42" t="n">
        <f aca="false">IF($M597="贷",$O597,0)</f>
        <v>0</v>
      </c>
      <c r="K597" s="48" t="str">
        <f aca="false">IF($H597="","",购销流水!$E153)</f>
        <v/>
      </c>
      <c r="L597" s="66" t="str">
        <f aca="false">IF(购销流水!$D153="","",IFERROR(INDEX(记账规则!$A$6:$N$9,MATCH(购销流水!$D153,记账规则!$A$6:$A$9,0),12),""))</f>
        <v/>
      </c>
      <c r="M597" s="66" t="str">
        <f aca="false">IF($L597="","",IFERROR(INDEX(记账规则!$A$6:$N$9,MATCH(购销流水!$D153,记账规则!$A$6:$A$9,0),13),""))</f>
        <v/>
      </c>
      <c r="N597" s="66" t="str">
        <f aca="false">IF($L597="","",IFERROR(INDEX(记账规则!$A$6:$N$9,MATCH(购销流水!$D153,记账规则!$A$6:$A$9,0),14),""))</f>
        <v/>
      </c>
      <c r="O597" s="67" t="n">
        <f aca="false">IF($H597="",0,ROUND(IF($N597="成本金额",N(购销流水!$W153),IF($N597="金额",N(购销流水!$Q153),0)),2))</f>
        <v>0</v>
      </c>
      <c r="P597" s="64" t="str">
        <f aca="false">IF(AND($H597&lt;&gt;"",ROUND($O597,2)&lt;&gt;0),"有","")</f>
        <v/>
      </c>
    </row>
    <row r="598" customFormat="false" ht="15" hidden="true" customHeight="false" outlineLevel="0" collapsed="false">
      <c r="A598" s="53" t="str">
        <f aca="false">IF($H598="","",ROW()-5)</f>
        <v/>
      </c>
      <c r="B598" s="64" t="s">
        <v>36</v>
      </c>
      <c r="C598" s="53" t="n">
        <v>154</v>
      </c>
      <c r="D598" s="53" t="n">
        <v>1</v>
      </c>
      <c r="E598" s="65" t="str">
        <f aca="false">IF($H598="","",购销流水!$B154)</f>
        <v/>
      </c>
      <c r="F598" s="55" t="str">
        <f aca="false">IF($H598="","",购销流水!$C154)</f>
        <v/>
      </c>
      <c r="G598" s="48" t="str">
        <f aca="false">IF($H598="","",购销流水!$N154)</f>
        <v/>
      </c>
      <c r="H598" s="10" t="str">
        <f aca="false">IF($L598="","",IF($L598="@成本",购销流水!$U154,IF($L598="@收入",购销流水!$T154,IF($L598="@存货",购销流水!$S154,IF($L598="@结算",购销流水!$R154,$L598)))))</f>
        <v/>
      </c>
      <c r="I598" s="42" t="n">
        <f aca="false">IF($M598="借",$O598,0)</f>
        <v>0</v>
      </c>
      <c r="J598" s="42" t="n">
        <f aca="false">IF($M598="贷",$O598,0)</f>
        <v>0</v>
      </c>
      <c r="K598" s="48" t="str">
        <f aca="false">IF($H598="","",购销流水!$E154)</f>
        <v/>
      </c>
      <c r="L598" s="66" t="str">
        <f aca="false">IF(购销流水!$D154="","",IFERROR(INDEX(记账规则!$A$6:$N$9,MATCH(购销流水!$D154,记账规则!$A$6:$A$9,0),3),""))</f>
        <v/>
      </c>
      <c r="M598" s="66" t="str">
        <f aca="false">IF($L598="","",IFERROR(INDEX(记账规则!$A$6:$N$9,MATCH(购销流水!$D154,记账规则!$A$6:$A$9,0),4),""))</f>
        <v/>
      </c>
      <c r="N598" s="66" t="str">
        <f aca="false">IF($L598="","",IFERROR(INDEX(记账规则!$A$6:$N$9,MATCH(购销流水!$D154,记账规则!$A$6:$A$9,0),5),""))</f>
        <v/>
      </c>
      <c r="O598" s="67" t="n">
        <f aca="false">IF($H598="",0,ROUND(IF($N598="成本金额",N(购销流水!$W154),IF($N598="金额",N(购销流水!$Q154),0)),2))</f>
        <v>0</v>
      </c>
      <c r="P598" s="64" t="str">
        <f aca="false">IF(AND($H598&lt;&gt;"",ROUND($O598,2)&lt;&gt;0),"有","")</f>
        <v/>
      </c>
    </row>
    <row r="599" customFormat="false" ht="15" hidden="true" customHeight="false" outlineLevel="0" collapsed="false">
      <c r="A599" s="53" t="str">
        <f aca="false">IF($H599="","",ROW()-5)</f>
        <v/>
      </c>
      <c r="B599" s="64" t="s">
        <v>36</v>
      </c>
      <c r="C599" s="53" t="n">
        <v>154</v>
      </c>
      <c r="D599" s="53" t="n">
        <v>2</v>
      </c>
      <c r="E599" s="65" t="str">
        <f aca="false">IF($H599="","",购销流水!$B154)</f>
        <v/>
      </c>
      <c r="F599" s="55" t="str">
        <f aca="false">IF($H599="","",购销流水!$C154)</f>
        <v/>
      </c>
      <c r="G599" s="48" t="str">
        <f aca="false">IF($H599="","",购销流水!$N154)</f>
        <v/>
      </c>
      <c r="H599" s="10" t="str">
        <f aca="false">IF($L599="","",IF($L599="@成本",购销流水!$U154,IF($L599="@收入",购销流水!$T154,IF($L599="@存货",购销流水!$S154,IF($L599="@结算",购销流水!$R154,$L599)))))</f>
        <v/>
      </c>
      <c r="I599" s="42" t="n">
        <f aca="false">IF($M599="借",$O599,0)</f>
        <v>0</v>
      </c>
      <c r="J599" s="42" t="n">
        <f aca="false">IF($M599="贷",$O599,0)</f>
        <v>0</v>
      </c>
      <c r="K599" s="48" t="str">
        <f aca="false">IF($H599="","",购销流水!$E154)</f>
        <v/>
      </c>
      <c r="L599" s="66" t="str">
        <f aca="false">IF(购销流水!$D154="","",IFERROR(INDEX(记账规则!$A$6:$N$9,MATCH(购销流水!$D154,记账规则!$A$6:$A$9,0),6),""))</f>
        <v/>
      </c>
      <c r="M599" s="66" t="str">
        <f aca="false">IF($L599="","",IFERROR(INDEX(记账规则!$A$6:$N$9,MATCH(购销流水!$D154,记账规则!$A$6:$A$9,0),7),""))</f>
        <v/>
      </c>
      <c r="N599" s="66" t="str">
        <f aca="false">IF($L599="","",IFERROR(INDEX(记账规则!$A$6:$N$9,MATCH(购销流水!$D154,记账规则!$A$6:$A$9,0),8),""))</f>
        <v/>
      </c>
      <c r="O599" s="67" t="n">
        <f aca="false">IF($H599="",0,ROUND(IF($N599="成本金额",N(购销流水!$W154),IF($N599="金额",N(购销流水!$Q154),0)),2))</f>
        <v>0</v>
      </c>
      <c r="P599" s="64" t="str">
        <f aca="false">IF(AND($H599&lt;&gt;"",ROUND($O599,2)&lt;&gt;0),"有","")</f>
        <v/>
      </c>
    </row>
    <row r="600" customFormat="false" ht="15" hidden="true" customHeight="false" outlineLevel="0" collapsed="false">
      <c r="A600" s="53" t="str">
        <f aca="false">IF($H600="","",ROW()-5)</f>
        <v/>
      </c>
      <c r="B600" s="64" t="s">
        <v>36</v>
      </c>
      <c r="C600" s="53" t="n">
        <v>154</v>
      </c>
      <c r="D600" s="53" t="n">
        <v>3</v>
      </c>
      <c r="E600" s="65" t="str">
        <f aca="false">IF($H600="","",购销流水!$B154)</f>
        <v/>
      </c>
      <c r="F600" s="55" t="str">
        <f aca="false">IF($H600="","",购销流水!$C154)</f>
        <v/>
      </c>
      <c r="G600" s="48" t="str">
        <f aca="false">IF($H600="","",购销流水!$N154)</f>
        <v/>
      </c>
      <c r="H600" s="10" t="str">
        <f aca="false">IF($L600="","",IF($L600="@成本",购销流水!$U154,IF($L600="@收入",购销流水!$T154,IF($L600="@存货",购销流水!$S154,IF($L600="@结算",购销流水!$R154,$L600)))))</f>
        <v/>
      </c>
      <c r="I600" s="42" t="n">
        <f aca="false">IF($M600="借",$O600,0)</f>
        <v>0</v>
      </c>
      <c r="J600" s="42" t="n">
        <f aca="false">IF($M600="贷",$O600,0)</f>
        <v>0</v>
      </c>
      <c r="K600" s="48" t="str">
        <f aca="false">IF($H600="","",购销流水!$E154)</f>
        <v/>
      </c>
      <c r="L600" s="66" t="str">
        <f aca="false">IF(购销流水!$D154="","",IFERROR(INDEX(记账规则!$A$6:$N$9,MATCH(购销流水!$D154,记账规则!$A$6:$A$9,0),9),""))</f>
        <v/>
      </c>
      <c r="M600" s="66" t="str">
        <f aca="false">IF($L600="","",IFERROR(INDEX(记账规则!$A$6:$N$9,MATCH(购销流水!$D154,记账规则!$A$6:$A$9,0),10),""))</f>
        <v/>
      </c>
      <c r="N600" s="66" t="str">
        <f aca="false">IF($L600="","",IFERROR(INDEX(记账规则!$A$6:$N$9,MATCH(购销流水!$D154,记账规则!$A$6:$A$9,0),11),""))</f>
        <v/>
      </c>
      <c r="O600" s="67" t="n">
        <f aca="false">IF($H600="",0,ROUND(IF($N600="成本金额",N(购销流水!$W154),IF($N600="金额",N(购销流水!$Q154),0)),2))</f>
        <v>0</v>
      </c>
      <c r="P600" s="64" t="str">
        <f aca="false">IF(AND($H600&lt;&gt;"",ROUND($O600,2)&lt;&gt;0),"有","")</f>
        <v/>
      </c>
    </row>
    <row r="601" customFormat="false" ht="15" hidden="true" customHeight="false" outlineLevel="0" collapsed="false">
      <c r="A601" s="53" t="str">
        <f aca="false">IF($H601="","",ROW()-5)</f>
        <v/>
      </c>
      <c r="B601" s="64" t="s">
        <v>36</v>
      </c>
      <c r="C601" s="53" t="n">
        <v>154</v>
      </c>
      <c r="D601" s="53" t="n">
        <v>4</v>
      </c>
      <c r="E601" s="65" t="str">
        <f aca="false">IF($H601="","",购销流水!$B154)</f>
        <v/>
      </c>
      <c r="F601" s="55" t="str">
        <f aca="false">IF($H601="","",购销流水!$C154)</f>
        <v/>
      </c>
      <c r="G601" s="48" t="str">
        <f aca="false">IF($H601="","",购销流水!$N154)</f>
        <v/>
      </c>
      <c r="H601" s="10" t="str">
        <f aca="false">IF($L601="","",IF($L601="@成本",购销流水!$U154,IF($L601="@收入",购销流水!$T154,IF($L601="@存货",购销流水!$S154,IF($L601="@结算",购销流水!$R154,$L601)))))</f>
        <v/>
      </c>
      <c r="I601" s="42" t="n">
        <f aca="false">IF($M601="借",$O601,0)</f>
        <v>0</v>
      </c>
      <c r="J601" s="42" t="n">
        <f aca="false">IF($M601="贷",$O601,0)</f>
        <v>0</v>
      </c>
      <c r="K601" s="48" t="str">
        <f aca="false">IF($H601="","",购销流水!$E154)</f>
        <v/>
      </c>
      <c r="L601" s="66" t="str">
        <f aca="false">IF(购销流水!$D154="","",IFERROR(INDEX(记账规则!$A$6:$N$9,MATCH(购销流水!$D154,记账规则!$A$6:$A$9,0),12),""))</f>
        <v/>
      </c>
      <c r="M601" s="66" t="str">
        <f aca="false">IF($L601="","",IFERROR(INDEX(记账规则!$A$6:$N$9,MATCH(购销流水!$D154,记账规则!$A$6:$A$9,0),13),""))</f>
        <v/>
      </c>
      <c r="N601" s="66" t="str">
        <f aca="false">IF($L601="","",IFERROR(INDEX(记账规则!$A$6:$N$9,MATCH(购销流水!$D154,记账规则!$A$6:$A$9,0),14),""))</f>
        <v/>
      </c>
      <c r="O601" s="67" t="n">
        <f aca="false">IF($H601="",0,ROUND(IF($N601="成本金额",N(购销流水!$W154),IF($N601="金额",N(购销流水!$Q154),0)),2))</f>
        <v>0</v>
      </c>
      <c r="P601" s="64" t="str">
        <f aca="false">IF(AND($H601&lt;&gt;"",ROUND($O601,2)&lt;&gt;0),"有","")</f>
        <v/>
      </c>
    </row>
    <row r="602" customFormat="false" ht="15" hidden="true" customHeight="false" outlineLevel="0" collapsed="false">
      <c r="A602" s="53" t="str">
        <f aca="false">IF($H602="","",ROW()-5)</f>
        <v/>
      </c>
      <c r="B602" s="64" t="s">
        <v>36</v>
      </c>
      <c r="C602" s="53" t="n">
        <v>155</v>
      </c>
      <c r="D602" s="53" t="n">
        <v>1</v>
      </c>
      <c r="E602" s="65" t="str">
        <f aca="false">IF($H602="","",购销流水!$B155)</f>
        <v/>
      </c>
      <c r="F602" s="55" t="str">
        <f aca="false">IF($H602="","",购销流水!$C155)</f>
        <v/>
      </c>
      <c r="G602" s="48" t="str">
        <f aca="false">IF($H602="","",购销流水!$N155)</f>
        <v/>
      </c>
      <c r="H602" s="10" t="str">
        <f aca="false">IF($L602="","",IF($L602="@成本",购销流水!$U155,IF($L602="@收入",购销流水!$T155,IF($L602="@存货",购销流水!$S155,IF($L602="@结算",购销流水!$R155,$L602)))))</f>
        <v/>
      </c>
      <c r="I602" s="42" t="n">
        <f aca="false">IF($M602="借",$O602,0)</f>
        <v>0</v>
      </c>
      <c r="J602" s="42" t="n">
        <f aca="false">IF($M602="贷",$O602,0)</f>
        <v>0</v>
      </c>
      <c r="K602" s="48" t="str">
        <f aca="false">IF($H602="","",购销流水!$E155)</f>
        <v/>
      </c>
      <c r="L602" s="66" t="str">
        <f aca="false">IF(购销流水!$D155="","",IFERROR(INDEX(记账规则!$A$6:$N$9,MATCH(购销流水!$D155,记账规则!$A$6:$A$9,0),3),""))</f>
        <v/>
      </c>
      <c r="M602" s="66" t="str">
        <f aca="false">IF($L602="","",IFERROR(INDEX(记账规则!$A$6:$N$9,MATCH(购销流水!$D155,记账规则!$A$6:$A$9,0),4),""))</f>
        <v/>
      </c>
      <c r="N602" s="66" t="str">
        <f aca="false">IF($L602="","",IFERROR(INDEX(记账规则!$A$6:$N$9,MATCH(购销流水!$D155,记账规则!$A$6:$A$9,0),5),""))</f>
        <v/>
      </c>
      <c r="O602" s="67" t="n">
        <f aca="false">IF($H602="",0,ROUND(IF($N602="成本金额",N(购销流水!$W155),IF($N602="金额",N(购销流水!$Q155),0)),2))</f>
        <v>0</v>
      </c>
      <c r="P602" s="64" t="str">
        <f aca="false">IF(AND($H602&lt;&gt;"",ROUND($O602,2)&lt;&gt;0),"有","")</f>
        <v/>
      </c>
    </row>
    <row r="603" customFormat="false" ht="15" hidden="true" customHeight="false" outlineLevel="0" collapsed="false">
      <c r="A603" s="53" t="str">
        <f aca="false">IF($H603="","",ROW()-5)</f>
        <v/>
      </c>
      <c r="B603" s="64" t="s">
        <v>36</v>
      </c>
      <c r="C603" s="53" t="n">
        <v>155</v>
      </c>
      <c r="D603" s="53" t="n">
        <v>2</v>
      </c>
      <c r="E603" s="65" t="str">
        <f aca="false">IF($H603="","",购销流水!$B155)</f>
        <v/>
      </c>
      <c r="F603" s="55" t="str">
        <f aca="false">IF($H603="","",购销流水!$C155)</f>
        <v/>
      </c>
      <c r="G603" s="48" t="str">
        <f aca="false">IF($H603="","",购销流水!$N155)</f>
        <v/>
      </c>
      <c r="H603" s="10" t="str">
        <f aca="false">IF($L603="","",IF($L603="@成本",购销流水!$U155,IF($L603="@收入",购销流水!$T155,IF($L603="@存货",购销流水!$S155,IF($L603="@结算",购销流水!$R155,$L603)))))</f>
        <v/>
      </c>
      <c r="I603" s="42" t="n">
        <f aca="false">IF($M603="借",$O603,0)</f>
        <v>0</v>
      </c>
      <c r="J603" s="42" t="n">
        <f aca="false">IF($M603="贷",$O603,0)</f>
        <v>0</v>
      </c>
      <c r="K603" s="48" t="str">
        <f aca="false">IF($H603="","",购销流水!$E155)</f>
        <v/>
      </c>
      <c r="L603" s="66" t="str">
        <f aca="false">IF(购销流水!$D155="","",IFERROR(INDEX(记账规则!$A$6:$N$9,MATCH(购销流水!$D155,记账规则!$A$6:$A$9,0),6),""))</f>
        <v/>
      </c>
      <c r="M603" s="66" t="str">
        <f aca="false">IF($L603="","",IFERROR(INDEX(记账规则!$A$6:$N$9,MATCH(购销流水!$D155,记账规则!$A$6:$A$9,0),7),""))</f>
        <v/>
      </c>
      <c r="N603" s="66" t="str">
        <f aca="false">IF($L603="","",IFERROR(INDEX(记账规则!$A$6:$N$9,MATCH(购销流水!$D155,记账规则!$A$6:$A$9,0),8),""))</f>
        <v/>
      </c>
      <c r="O603" s="67" t="n">
        <f aca="false">IF($H603="",0,ROUND(IF($N603="成本金额",N(购销流水!$W155),IF($N603="金额",N(购销流水!$Q155),0)),2))</f>
        <v>0</v>
      </c>
      <c r="P603" s="64" t="str">
        <f aca="false">IF(AND($H603&lt;&gt;"",ROUND($O603,2)&lt;&gt;0),"有","")</f>
        <v/>
      </c>
    </row>
    <row r="604" customFormat="false" ht="15" hidden="true" customHeight="false" outlineLevel="0" collapsed="false">
      <c r="A604" s="53" t="str">
        <f aca="false">IF($H604="","",ROW()-5)</f>
        <v/>
      </c>
      <c r="B604" s="64" t="s">
        <v>36</v>
      </c>
      <c r="C604" s="53" t="n">
        <v>155</v>
      </c>
      <c r="D604" s="53" t="n">
        <v>3</v>
      </c>
      <c r="E604" s="65" t="str">
        <f aca="false">IF($H604="","",购销流水!$B155)</f>
        <v/>
      </c>
      <c r="F604" s="55" t="str">
        <f aca="false">IF($H604="","",购销流水!$C155)</f>
        <v/>
      </c>
      <c r="G604" s="48" t="str">
        <f aca="false">IF($H604="","",购销流水!$N155)</f>
        <v/>
      </c>
      <c r="H604" s="10" t="str">
        <f aca="false">IF($L604="","",IF($L604="@成本",购销流水!$U155,IF($L604="@收入",购销流水!$T155,IF($L604="@存货",购销流水!$S155,IF($L604="@结算",购销流水!$R155,$L604)))))</f>
        <v/>
      </c>
      <c r="I604" s="42" t="n">
        <f aca="false">IF($M604="借",$O604,0)</f>
        <v>0</v>
      </c>
      <c r="J604" s="42" t="n">
        <f aca="false">IF($M604="贷",$O604,0)</f>
        <v>0</v>
      </c>
      <c r="K604" s="48" t="str">
        <f aca="false">IF($H604="","",购销流水!$E155)</f>
        <v/>
      </c>
      <c r="L604" s="66" t="str">
        <f aca="false">IF(购销流水!$D155="","",IFERROR(INDEX(记账规则!$A$6:$N$9,MATCH(购销流水!$D155,记账规则!$A$6:$A$9,0),9),""))</f>
        <v/>
      </c>
      <c r="M604" s="66" t="str">
        <f aca="false">IF($L604="","",IFERROR(INDEX(记账规则!$A$6:$N$9,MATCH(购销流水!$D155,记账规则!$A$6:$A$9,0),10),""))</f>
        <v/>
      </c>
      <c r="N604" s="66" t="str">
        <f aca="false">IF($L604="","",IFERROR(INDEX(记账规则!$A$6:$N$9,MATCH(购销流水!$D155,记账规则!$A$6:$A$9,0),11),""))</f>
        <v/>
      </c>
      <c r="O604" s="67" t="n">
        <f aca="false">IF($H604="",0,ROUND(IF($N604="成本金额",N(购销流水!$W155),IF($N604="金额",N(购销流水!$Q155),0)),2))</f>
        <v>0</v>
      </c>
      <c r="P604" s="64" t="str">
        <f aca="false">IF(AND($H604&lt;&gt;"",ROUND($O604,2)&lt;&gt;0),"有","")</f>
        <v/>
      </c>
    </row>
    <row r="605" customFormat="false" ht="15" hidden="true" customHeight="false" outlineLevel="0" collapsed="false">
      <c r="A605" s="53" t="str">
        <f aca="false">IF($H605="","",ROW()-5)</f>
        <v/>
      </c>
      <c r="B605" s="64" t="s">
        <v>36</v>
      </c>
      <c r="C605" s="53" t="n">
        <v>155</v>
      </c>
      <c r="D605" s="53" t="n">
        <v>4</v>
      </c>
      <c r="E605" s="65" t="str">
        <f aca="false">IF($H605="","",购销流水!$B155)</f>
        <v/>
      </c>
      <c r="F605" s="55" t="str">
        <f aca="false">IF($H605="","",购销流水!$C155)</f>
        <v/>
      </c>
      <c r="G605" s="48" t="str">
        <f aca="false">IF($H605="","",购销流水!$N155)</f>
        <v/>
      </c>
      <c r="H605" s="10" t="str">
        <f aca="false">IF($L605="","",IF($L605="@成本",购销流水!$U155,IF($L605="@收入",购销流水!$T155,IF($L605="@存货",购销流水!$S155,IF($L605="@结算",购销流水!$R155,$L605)))))</f>
        <v/>
      </c>
      <c r="I605" s="42" t="n">
        <f aca="false">IF($M605="借",$O605,0)</f>
        <v>0</v>
      </c>
      <c r="J605" s="42" t="n">
        <f aca="false">IF($M605="贷",$O605,0)</f>
        <v>0</v>
      </c>
      <c r="K605" s="48" t="str">
        <f aca="false">IF($H605="","",购销流水!$E155)</f>
        <v/>
      </c>
      <c r="L605" s="66" t="str">
        <f aca="false">IF(购销流水!$D155="","",IFERROR(INDEX(记账规则!$A$6:$N$9,MATCH(购销流水!$D155,记账规则!$A$6:$A$9,0),12),""))</f>
        <v/>
      </c>
      <c r="M605" s="66" t="str">
        <f aca="false">IF($L605="","",IFERROR(INDEX(记账规则!$A$6:$N$9,MATCH(购销流水!$D155,记账规则!$A$6:$A$9,0),13),""))</f>
        <v/>
      </c>
      <c r="N605" s="66" t="str">
        <f aca="false">IF($L605="","",IFERROR(INDEX(记账规则!$A$6:$N$9,MATCH(购销流水!$D155,记账规则!$A$6:$A$9,0),14),""))</f>
        <v/>
      </c>
      <c r="O605" s="67" t="n">
        <f aca="false">IF($H605="",0,ROUND(IF($N605="成本金额",N(购销流水!$W155),IF($N605="金额",N(购销流水!$Q155),0)),2))</f>
        <v>0</v>
      </c>
      <c r="P605" s="64" t="str">
        <f aca="false">IF(AND($H605&lt;&gt;"",ROUND($O605,2)&lt;&gt;0),"有","")</f>
        <v/>
      </c>
    </row>
    <row r="606" customFormat="false" ht="15" hidden="true" customHeight="false" outlineLevel="0" collapsed="false">
      <c r="A606" s="53" t="str">
        <f aca="false">IF($H606="","",ROW()-5)</f>
        <v/>
      </c>
      <c r="B606" s="64" t="s">
        <v>36</v>
      </c>
      <c r="C606" s="53" t="n">
        <v>156</v>
      </c>
      <c r="D606" s="53" t="n">
        <v>1</v>
      </c>
      <c r="E606" s="65" t="str">
        <f aca="false">IF($H606="","",购销流水!$B156)</f>
        <v/>
      </c>
      <c r="F606" s="55" t="str">
        <f aca="false">IF($H606="","",购销流水!$C156)</f>
        <v/>
      </c>
      <c r="G606" s="48" t="str">
        <f aca="false">IF($H606="","",购销流水!$N156)</f>
        <v/>
      </c>
      <c r="H606" s="10" t="str">
        <f aca="false">IF($L606="","",IF($L606="@成本",购销流水!$U156,IF($L606="@收入",购销流水!$T156,IF($L606="@存货",购销流水!$S156,IF($L606="@结算",购销流水!$R156,$L606)))))</f>
        <v/>
      </c>
      <c r="I606" s="42" t="n">
        <f aca="false">IF($M606="借",$O606,0)</f>
        <v>0</v>
      </c>
      <c r="J606" s="42" t="n">
        <f aca="false">IF($M606="贷",$O606,0)</f>
        <v>0</v>
      </c>
      <c r="K606" s="48" t="str">
        <f aca="false">IF($H606="","",购销流水!$E156)</f>
        <v/>
      </c>
      <c r="L606" s="66" t="str">
        <f aca="false">IF(购销流水!$D156="","",IFERROR(INDEX(记账规则!$A$6:$N$9,MATCH(购销流水!$D156,记账规则!$A$6:$A$9,0),3),""))</f>
        <v/>
      </c>
      <c r="M606" s="66" t="str">
        <f aca="false">IF($L606="","",IFERROR(INDEX(记账规则!$A$6:$N$9,MATCH(购销流水!$D156,记账规则!$A$6:$A$9,0),4),""))</f>
        <v/>
      </c>
      <c r="N606" s="66" t="str">
        <f aca="false">IF($L606="","",IFERROR(INDEX(记账规则!$A$6:$N$9,MATCH(购销流水!$D156,记账规则!$A$6:$A$9,0),5),""))</f>
        <v/>
      </c>
      <c r="O606" s="67" t="n">
        <f aca="false">IF($H606="",0,ROUND(IF($N606="成本金额",N(购销流水!$W156),IF($N606="金额",N(购销流水!$Q156),0)),2))</f>
        <v>0</v>
      </c>
      <c r="P606" s="64" t="str">
        <f aca="false">IF(AND($H606&lt;&gt;"",ROUND($O606,2)&lt;&gt;0),"有","")</f>
        <v/>
      </c>
    </row>
    <row r="607" customFormat="false" ht="15" hidden="true" customHeight="false" outlineLevel="0" collapsed="false">
      <c r="A607" s="53" t="str">
        <f aca="false">IF($H607="","",ROW()-5)</f>
        <v/>
      </c>
      <c r="B607" s="64" t="s">
        <v>36</v>
      </c>
      <c r="C607" s="53" t="n">
        <v>156</v>
      </c>
      <c r="D607" s="53" t="n">
        <v>2</v>
      </c>
      <c r="E607" s="65" t="str">
        <f aca="false">IF($H607="","",购销流水!$B156)</f>
        <v/>
      </c>
      <c r="F607" s="55" t="str">
        <f aca="false">IF($H607="","",购销流水!$C156)</f>
        <v/>
      </c>
      <c r="G607" s="48" t="str">
        <f aca="false">IF($H607="","",购销流水!$N156)</f>
        <v/>
      </c>
      <c r="H607" s="10" t="str">
        <f aca="false">IF($L607="","",IF($L607="@成本",购销流水!$U156,IF($L607="@收入",购销流水!$T156,IF($L607="@存货",购销流水!$S156,IF($L607="@结算",购销流水!$R156,$L607)))))</f>
        <v/>
      </c>
      <c r="I607" s="42" t="n">
        <f aca="false">IF($M607="借",$O607,0)</f>
        <v>0</v>
      </c>
      <c r="J607" s="42" t="n">
        <f aca="false">IF($M607="贷",$O607,0)</f>
        <v>0</v>
      </c>
      <c r="K607" s="48" t="str">
        <f aca="false">IF($H607="","",购销流水!$E156)</f>
        <v/>
      </c>
      <c r="L607" s="66" t="str">
        <f aca="false">IF(购销流水!$D156="","",IFERROR(INDEX(记账规则!$A$6:$N$9,MATCH(购销流水!$D156,记账规则!$A$6:$A$9,0),6),""))</f>
        <v/>
      </c>
      <c r="M607" s="66" t="str">
        <f aca="false">IF($L607="","",IFERROR(INDEX(记账规则!$A$6:$N$9,MATCH(购销流水!$D156,记账规则!$A$6:$A$9,0),7),""))</f>
        <v/>
      </c>
      <c r="N607" s="66" t="str">
        <f aca="false">IF($L607="","",IFERROR(INDEX(记账规则!$A$6:$N$9,MATCH(购销流水!$D156,记账规则!$A$6:$A$9,0),8),""))</f>
        <v/>
      </c>
      <c r="O607" s="67" t="n">
        <f aca="false">IF($H607="",0,ROUND(IF($N607="成本金额",N(购销流水!$W156),IF($N607="金额",N(购销流水!$Q156),0)),2))</f>
        <v>0</v>
      </c>
      <c r="P607" s="64" t="str">
        <f aca="false">IF(AND($H607&lt;&gt;"",ROUND($O607,2)&lt;&gt;0),"有","")</f>
        <v/>
      </c>
    </row>
    <row r="608" customFormat="false" ht="15" hidden="true" customHeight="false" outlineLevel="0" collapsed="false">
      <c r="A608" s="53" t="str">
        <f aca="false">IF($H608="","",ROW()-5)</f>
        <v/>
      </c>
      <c r="B608" s="64" t="s">
        <v>36</v>
      </c>
      <c r="C608" s="53" t="n">
        <v>156</v>
      </c>
      <c r="D608" s="53" t="n">
        <v>3</v>
      </c>
      <c r="E608" s="65" t="str">
        <f aca="false">IF($H608="","",购销流水!$B156)</f>
        <v/>
      </c>
      <c r="F608" s="55" t="str">
        <f aca="false">IF($H608="","",购销流水!$C156)</f>
        <v/>
      </c>
      <c r="G608" s="48" t="str">
        <f aca="false">IF($H608="","",购销流水!$N156)</f>
        <v/>
      </c>
      <c r="H608" s="10" t="str">
        <f aca="false">IF($L608="","",IF($L608="@成本",购销流水!$U156,IF($L608="@收入",购销流水!$T156,IF($L608="@存货",购销流水!$S156,IF($L608="@结算",购销流水!$R156,$L608)))))</f>
        <v/>
      </c>
      <c r="I608" s="42" t="n">
        <f aca="false">IF($M608="借",$O608,0)</f>
        <v>0</v>
      </c>
      <c r="J608" s="42" t="n">
        <f aca="false">IF($M608="贷",$O608,0)</f>
        <v>0</v>
      </c>
      <c r="K608" s="48" t="str">
        <f aca="false">IF($H608="","",购销流水!$E156)</f>
        <v/>
      </c>
      <c r="L608" s="66" t="str">
        <f aca="false">IF(购销流水!$D156="","",IFERROR(INDEX(记账规则!$A$6:$N$9,MATCH(购销流水!$D156,记账规则!$A$6:$A$9,0),9),""))</f>
        <v/>
      </c>
      <c r="M608" s="66" t="str">
        <f aca="false">IF($L608="","",IFERROR(INDEX(记账规则!$A$6:$N$9,MATCH(购销流水!$D156,记账规则!$A$6:$A$9,0),10),""))</f>
        <v/>
      </c>
      <c r="N608" s="66" t="str">
        <f aca="false">IF($L608="","",IFERROR(INDEX(记账规则!$A$6:$N$9,MATCH(购销流水!$D156,记账规则!$A$6:$A$9,0),11),""))</f>
        <v/>
      </c>
      <c r="O608" s="67" t="n">
        <f aca="false">IF($H608="",0,ROUND(IF($N608="成本金额",N(购销流水!$W156),IF($N608="金额",N(购销流水!$Q156),0)),2))</f>
        <v>0</v>
      </c>
      <c r="P608" s="64" t="str">
        <f aca="false">IF(AND($H608&lt;&gt;"",ROUND($O608,2)&lt;&gt;0),"有","")</f>
        <v/>
      </c>
    </row>
    <row r="609" customFormat="false" ht="15" hidden="true" customHeight="false" outlineLevel="0" collapsed="false">
      <c r="A609" s="53" t="str">
        <f aca="false">IF($H609="","",ROW()-5)</f>
        <v/>
      </c>
      <c r="B609" s="64" t="s">
        <v>36</v>
      </c>
      <c r="C609" s="53" t="n">
        <v>156</v>
      </c>
      <c r="D609" s="53" t="n">
        <v>4</v>
      </c>
      <c r="E609" s="65" t="str">
        <f aca="false">IF($H609="","",购销流水!$B156)</f>
        <v/>
      </c>
      <c r="F609" s="55" t="str">
        <f aca="false">IF($H609="","",购销流水!$C156)</f>
        <v/>
      </c>
      <c r="G609" s="48" t="str">
        <f aca="false">IF($H609="","",购销流水!$N156)</f>
        <v/>
      </c>
      <c r="H609" s="10" t="str">
        <f aca="false">IF($L609="","",IF($L609="@成本",购销流水!$U156,IF($L609="@收入",购销流水!$T156,IF($L609="@存货",购销流水!$S156,IF($L609="@结算",购销流水!$R156,$L609)))))</f>
        <v/>
      </c>
      <c r="I609" s="42" t="n">
        <f aca="false">IF($M609="借",$O609,0)</f>
        <v>0</v>
      </c>
      <c r="J609" s="42" t="n">
        <f aca="false">IF($M609="贷",$O609,0)</f>
        <v>0</v>
      </c>
      <c r="K609" s="48" t="str">
        <f aca="false">IF($H609="","",购销流水!$E156)</f>
        <v/>
      </c>
      <c r="L609" s="66" t="str">
        <f aca="false">IF(购销流水!$D156="","",IFERROR(INDEX(记账规则!$A$6:$N$9,MATCH(购销流水!$D156,记账规则!$A$6:$A$9,0),12),""))</f>
        <v/>
      </c>
      <c r="M609" s="66" t="str">
        <f aca="false">IF($L609="","",IFERROR(INDEX(记账规则!$A$6:$N$9,MATCH(购销流水!$D156,记账规则!$A$6:$A$9,0),13),""))</f>
        <v/>
      </c>
      <c r="N609" s="66" t="str">
        <f aca="false">IF($L609="","",IFERROR(INDEX(记账规则!$A$6:$N$9,MATCH(购销流水!$D156,记账规则!$A$6:$A$9,0),14),""))</f>
        <v/>
      </c>
      <c r="O609" s="67" t="n">
        <f aca="false">IF($H609="",0,ROUND(IF($N609="成本金额",N(购销流水!$W156),IF($N609="金额",N(购销流水!$Q156),0)),2))</f>
        <v>0</v>
      </c>
      <c r="P609" s="64" t="str">
        <f aca="false">IF(AND($H609&lt;&gt;"",ROUND($O609,2)&lt;&gt;0),"有","")</f>
        <v/>
      </c>
    </row>
    <row r="610" customFormat="false" ht="15" hidden="true" customHeight="false" outlineLevel="0" collapsed="false">
      <c r="A610" s="53" t="str">
        <f aca="false">IF($H610="","",ROW()-5)</f>
        <v/>
      </c>
      <c r="B610" s="64" t="s">
        <v>36</v>
      </c>
      <c r="C610" s="53" t="n">
        <v>157</v>
      </c>
      <c r="D610" s="53" t="n">
        <v>1</v>
      </c>
      <c r="E610" s="65" t="str">
        <f aca="false">IF($H610="","",购销流水!$B157)</f>
        <v/>
      </c>
      <c r="F610" s="55" t="str">
        <f aca="false">IF($H610="","",购销流水!$C157)</f>
        <v/>
      </c>
      <c r="G610" s="48" t="str">
        <f aca="false">IF($H610="","",购销流水!$N157)</f>
        <v/>
      </c>
      <c r="H610" s="10" t="str">
        <f aca="false">IF($L610="","",IF($L610="@成本",购销流水!$U157,IF($L610="@收入",购销流水!$T157,IF($L610="@存货",购销流水!$S157,IF($L610="@结算",购销流水!$R157,$L610)))))</f>
        <v/>
      </c>
      <c r="I610" s="42" t="n">
        <f aca="false">IF($M610="借",$O610,0)</f>
        <v>0</v>
      </c>
      <c r="J610" s="42" t="n">
        <f aca="false">IF($M610="贷",$O610,0)</f>
        <v>0</v>
      </c>
      <c r="K610" s="48" t="str">
        <f aca="false">IF($H610="","",购销流水!$E157)</f>
        <v/>
      </c>
      <c r="L610" s="66" t="str">
        <f aca="false">IF(购销流水!$D157="","",IFERROR(INDEX(记账规则!$A$6:$N$9,MATCH(购销流水!$D157,记账规则!$A$6:$A$9,0),3),""))</f>
        <v/>
      </c>
      <c r="M610" s="66" t="str">
        <f aca="false">IF($L610="","",IFERROR(INDEX(记账规则!$A$6:$N$9,MATCH(购销流水!$D157,记账规则!$A$6:$A$9,0),4),""))</f>
        <v/>
      </c>
      <c r="N610" s="66" t="str">
        <f aca="false">IF($L610="","",IFERROR(INDEX(记账规则!$A$6:$N$9,MATCH(购销流水!$D157,记账规则!$A$6:$A$9,0),5),""))</f>
        <v/>
      </c>
      <c r="O610" s="67" t="n">
        <f aca="false">IF($H610="",0,ROUND(IF($N610="成本金额",N(购销流水!$W157),IF($N610="金额",N(购销流水!$Q157),0)),2))</f>
        <v>0</v>
      </c>
      <c r="P610" s="64" t="str">
        <f aca="false">IF(AND($H610&lt;&gt;"",ROUND($O610,2)&lt;&gt;0),"有","")</f>
        <v/>
      </c>
    </row>
    <row r="611" customFormat="false" ht="15" hidden="true" customHeight="false" outlineLevel="0" collapsed="false">
      <c r="A611" s="53" t="str">
        <f aca="false">IF($H611="","",ROW()-5)</f>
        <v/>
      </c>
      <c r="B611" s="64" t="s">
        <v>36</v>
      </c>
      <c r="C611" s="53" t="n">
        <v>157</v>
      </c>
      <c r="D611" s="53" t="n">
        <v>2</v>
      </c>
      <c r="E611" s="65" t="str">
        <f aca="false">IF($H611="","",购销流水!$B157)</f>
        <v/>
      </c>
      <c r="F611" s="55" t="str">
        <f aca="false">IF($H611="","",购销流水!$C157)</f>
        <v/>
      </c>
      <c r="G611" s="48" t="str">
        <f aca="false">IF($H611="","",购销流水!$N157)</f>
        <v/>
      </c>
      <c r="H611" s="10" t="str">
        <f aca="false">IF($L611="","",IF($L611="@成本",购销流水!$U157,IF($L611="@收入",购销流水!$T157,IF($L611="@存货",购销流水!$S157,IF($L611="@结算",购销流水!$R157,$L611)))))</f>
        <v/>
      </c>
      <c r="I611" s="42" t="n">
        <f aca="false">IF($M611="借",$O611,0)</f>
        <v>0</v>
      </c>
      <c r="J611" s="42" t="n">
        <f aca="false">IF($M611="贷",$O611,0)</f>
        <v>0</v>
      </c>
      <c r="K611" s="48" t="str">
        <f aca="false">IF($H611="","",购销流水!$E157)</f>
        <v/>
      </c>
      <c r="L611" s="66" t="str">
        <f aca="false">IF(购销流水!$D157="","",IFERROR(INDEX(记账规则!$A$6:$N$9,MATCH(购销流水!$D157,记账规则!$A$6:$A$9,0),6),""))</f>
        <v/>
      </c>
      <c r="M611" s="66" t="str">
        <f aca="false">IF($L611="","",IFERROR(INDEX(记账规则!$A$6:$N$9,MATCH(购销流水!$D157,记账规则!$A$6:$A$9,0),7),""))</f>
        <v/>
      </c>
      <c r="N611" s="66" t="str">
        <f aca="false">IF($L611="","",IFERROR(INDEX(记账规则!$A$6:$N$9,MATCH(购销流水!$D157,记账规则!$A$6:$A$9,0),8),""))</f>
        <v/>
      </c>
      <c r="O611" s="67" t="n">
        <f aca="false">IF($H611="",0,ROUND(IF($N611="成本金额",N(购销流水!$W157),IF($N611="金额",N(购销流水!$Q157),0)),2))</f>
        <v>0</v>
      </c>
      <c r="P611" s="64" t="str">
        <f aca="false">IF(AND($H611&lt;&gt;"",ROUND($O611,2)&lt;&gt;0),"有","")</f>
        <v/>
      </c>
    </row>
    <row r="612" customFormat="false" ht="15" hidden="true" customHeight="false" outlineLevel="0" collapsed="false">
      <c r="A612" s="53" t="str">
        <f aca="false">IF($H612="","",ROW()-5)</f>
        <v/>
      </c>
      <c r="B612" s="64" t="s">
        <v>36</v>
      </c>
      <c r="C612" s="53" t="n">
        <v>157</v>
      </c>
      <c r="D612" s="53" t="n">
        <v>3</v>
      </c>
      <c r="E612" s="65" t="str">
        <f aca="false">IF($H612="","",购销流水!$B157)</f>
        <v/>
      </c>
      <c r="F612" s="55" t="str">
        <f aca="false">IF($H612="","",购销流水!$C157)</f>
        <v/>
      </c>
      <c r="G612" s="48" t="str">
        <f aca="false">IF($H612="","",购销流水!$N157)</f>
        <v/>
      </c>
      <c r="H612" s="10" t="str">
        <f aca="false">IF($L612="","",IF($L612="@成本",购销流水!$U157,IF($L612="@收入",购销流水!$T157,IF($L612="@存货",购销流水!$S157,IF($L612="@结算",购销流水!$R157,$L612)))))</f>
        <v/>
      </c>
      <c r="I612" s="42" t="n">
        <f aca="false">IF($M612="借",$O612,0)</f>
        <v>0</v>
      </c>
      <c r="J612" s="42" t="n">
        <f aca="false">IF($M612="贷",$O612,0)</f>
        <v>0</v>
      </c>
      <c r="K612" s="48" t="str">
        <f aca="false">IF($H612="","",购销流水!$E157)</f>
        <v/>
      </c>
      <c r="L612" s="66" t="str">
        <f aca="false">IF(购销流水!$D157="","",IFERROR(INDEX(记账规则!$A$6:$N$9,MATCH(购销流水!$D157,记账规则!$A$6:$A$9,0),9),""))</f>
        <v/>
      </c>
      <c r="M612" s="66" t="str">
        <f aca="false">IF($L612="","",IFERROR(INDEX(记账规则!$A$6:$N$9,MATCH(购销流水!$D157,记账规则!$A$6:$A$9,0),10),""))</f>
        <v/>
      </c>
      <c r="N612" s="66" t="str">
        <f aca="false">IF($L612="","",IFERROR(INDEX(记账规则!$A$6:$N$9,MATCH(购销流水!$D157,记账规则!$A$6:$A$9,0),11),""))</f>
        <v/>
      </c>
      <c r="O612" s="67" t="n">
        <f aca="false">IF($H612="",0,ROUND(IF($N612="成本金额",N(购销流水!$W157),IF($N612="金额",N(购销流水!$Q157),0)),2))</f>
        <v>0</v>
      </c>
      <c r="P612" s="64" t="str">
        <f aca="false">IF(AND($H612&lt;&gt;"",ROUND($O612,2)&lt;&gt;0),"有","")</f>
        <v/>
      </c>
    </row>
    <row r="613" customFormat="false" ht="15" hidden="true" customHeight="false" outlineLevel="0" collapsed="false">
      <c r="A613" s="53" t="str">
        <f aca="false">IF($H613="","",ROW()-5)</f>
        <v/>
      </c>
      <c r="B613" s="64" t="s">
        <v>36</v>
      </c>
      <c r="C613" s="53" t="n">
        <v>157</v>
      </c>
      <c r="D613" s="53" t="n">
        <v>4</v>
      </c>
      <c r="E613" s="65" t="str">
        <f aca="false">IF($H613="","",购销流水!$B157)</f>
        <v/>
      </c>
      <c r="F613" s="55" t="str">
        <f aca="false">IF($H613="","",购销流水!$C157)</f>
        <v/>
      </c>
      <c r="G613" s="48" t="str">
        <f aca="false">IF($H613="","",购销流水!$N157)</f>
        <v/>
      </c>
      <c r="H613" s="10" t="str">
        <f aca="false">IF($L613="","",IF($L613="@成本",购销流水!$U157,IF($L613="@收入",购销流水!$T157,IF($L613="@存货",购销流水!$S157,IF($L613="@结算",购销流水!$R157,$L613)))))</f>
        <v/>
      </c>
      <c r="I613" s="42" t="n">
        <f aca="false">IF($M613="借",$O613,0)</f>
        <v>0</v>
      </c>
      <c r="J613" s="42" t="n">
        <f aca="false">IF($M613="贷",$O613,0)</f>
        <v>0</v>
      </c>
      <c r="K613" s="48" t="str">
        <f aca="false">IF($H613="","",购销流水!$E157)</f>
        <v/>
      </c>
      <c r="L613" s="66" t="str">
        <f aca="false">IF(购销流水!$D157="","",IFERROR(INDEX(记账规则!$A$6:$N$9,MATCH(购销流水!$D157,记账规则!$A$6:$A$9,0),12),""))</f>
        <v/>
      </c>
      <c r="M613" s="66" t="str">
        <f aca="false">IF($L613="","",IFERROR(INDEX(记账规则!$A$6:$N$9,MATCH(购销流水!$D157,记账规则!$A$6:$A$9,0),13),""))</f>
        <v/>
      </c>
      <c r="N613" s="66" t="str">
        <f aca="false">IF($L613="","",IFERROR(INDEX(记账规则!$A$6:$N$9,MATCH(购销流水!$D157,记账规则!$A$6:$A$9,0),14),""))</f>
        <v/>
      </c>
      <c r="O613" s="67" t="n">
        <f aca="false">IF($H613="",0,ROUND(IF($N613="成本金额",N(购销流水!$W157),IF($N613="金额",N(购销流水!$Q157),0)),2))</f>
        <v>0</v>
      </c>
      <c r="P613" s="64" t="str">
        <f aca="false">IF(AND($H613&lt;&gt;"",ROUND($O613,2)&lt;&gt;0),"有","")</f>
        <v/>
      </c>
    </row>
    <row r="614" customFormat="false" ht="15" hidden="true" customHeight="false" outlineLevel="0" collapsed="false">
      <c r="A614" s="53" t="str">
        <f aca="false">IF($H614="","",ROW()-5)</f>
        <v/>
      </c>
      <c r="B614" s="64" t="s">
        <v>36</v>
      </c>
      <c r="C614" s="53" t="n">
        <v>158</v>
      </c>
      <c r="D614" s="53" t="n">
        <v>1</v>
      </c>
      <c r="E614" s="65" t="str">
        <f aca="false">IF($H614="","",购销流水!$B158)</f>
        <v/>
      </c>
      <c r="F614" s="55" t="str">
        <f aca="false">IF($H614="","",购销流水!$C158)</f>
        <v/>
      </c>
      <c r="G614" s="48" t="str">
        <f aca="false">IF($H614="","",购销流水!$N158)</f>
        <v/>
      </c>
      <c r="H614" s="10" t="str">
        <f aca="false">IF($L614="","",IF($L614="@成本",购销流水!$U158,IF($L614="@收入",购销流水!$T158,IF($L614="@存货",购销流水!$S158,IF($L614="@结算",购销流水!$R158,$L614)))))</f>
        <v/>
      </c>
      <c r="I614" s="42" t="n">
        <f aca="false">IF($M614="借",$O614,0)</f>
        <v>0</v>
      </c>
      <c r="J614" s="42" t="n">
        <f aca="false">IF($M614="贷",$O614,0)</f>
        <v>0</v>
      </c>
      <c r="K614" s="48" t="str">
        <f aca="false">IF($H614="","",购销流水!$E158)</f>
        <v/>
      </c>
      <c r="L614" s="66" t="str">
        <f aca="false">IF(购销流水!$D158="","",IFERROR(INDEX(记账规则!$A$6:$N$9,MATCH(购销流水!$D158,记账规则!$A$6:$A$9,0),3),""))</f>
        <v/>
      </c>
      <c r="M614" s="66" t="str">
        <f aca="false">IF($L614="","",IFERROR(INDEX(记账规则!$A$6:$N$9,MATCH(购销流水!$D158,记账规则!$A$6:$A$9,0),4),""))</f>
        <v/>
      </c>
      <c r="N614" s="66" t="str">
        <f aca="false">IF($L614="","",IFERROR(INDEX(记账规则!$A$6:$N$9,MATCH(购销流水!$D158,记账规则!$A$6:$A$9,0),5),""))</f>
        <v/>
      </c>
      <c r="O614" s="67" t="n">
        <f aca="false">IF($H614="",0,ROUND(IF($N614="成本金额",N(购销流水!$W158),IF($N614="金额",N(购销流水!$Q158),0)),2))</f>
        <v>0</v>
      </c>
      <c r="P614" s="64" t="str">
        <f aca="false">IF(AND($H614&lt;&gt;"",ROUND($O614,2)&lt;&gt;0),"有","")</f>
        <v/>
      </c>
    </row>
    <row r="615" customFormat="false" ht="15" hidden="true" customHeight="false" outlineLevel="0" collapsed="false">
      <c r="A615" s="53" t="str">
        <f aca="false">IF($H615="","",ROW()-5)</f>
        <v/>
      </c>
      <c r="B615" s="64" t="s">
        <v>36</v>
      </c>
      <c r="C615" s="53" t="n">
        <v>158</v>
      </c>
      <c r="D615" s="53" t="n">
        <v>2</v>
      </c>
      <c r="E615" s="65" t="str">
        <f aca="false">IF($H615="","",购销流水!$B158)</f>
        <v/>
      </c>
      <c r="F615" s="55" t="str">
        <f aca="false">IF($H615="","",购销流水!$C158)</f>
        <v/>
      </c>
      <c r="G615" s="48" t="str">
        <f aca="false">IF($H615="","",购销流水!$N158)</f>
        <v/>
      </c>
      <c r="H615" s="10" t="str">
        <f aca="false">IF($L615="","",IF($L615="@成本",购销流水!$U158,IF($L615="@收入",购销流水!$T158,IF($L615="@存货",购销流水!$S158,IF($L615="@结算",购销流水!$R158,$L615)))))</f>
        <v/>
      </c>
      <c r="I615" s="42" t="n">
        <f aca="false">IF($M615="借",$O615,0)</f>
        <v>0</v>
      </c>
      <c r="J615" s="42" t="n">
        <f aca="false">IF($M615="贷",$O615,0)</f>
        <v>0</v>
      </c>
      <c r="K615" s="48" t="str">
        <f aca="false">IF($H615="","",购销流水!$E158)</f>
        <v/>
      </c>
      <c r="L615" s="66" t="str">
        <f aca="false">IF(购销流水!$D158="","",IFERROR(INDEX(记账规则!$A$6:$N$9,MATCH(购销流水!$D158,记账规则!$A$6:$A$9,0),6),""))</f>
        <v/>
      </c>
      <c r="M615" s="66" t="str">
        <f aca="false">IF($L615="","",IFERROR(INDEX(记账规则!$A$6:$N$9,MATCH(购销流水!$D158,记账规则!$A$6:$A$9,0),7),""))</f>
        <v/>
      </c>
      <c r="N615" s="66" t="str">
        <f aca="false">IF($L615="","",IFERROR(INDEX(记账规则!$A$6:$N$9,MATCH(购销流水!$D158,记账规则!$A$6:$A$9,0),8),""))</f>
        <v/>
      </c>
      <c r="O615" s="67" t="n">
        <f aca="false">IF($H615="",0,ROUND(IF($N615="成本金额",N(购销流水!$W158),IF($N615="金额",N(购销流水!$Q158),0)),2))</f>
        <v>0</v>
      </c>
      <c r="P615" s="64" t="str">
        <f aca="false">IF(AND($H615&lt;&gt;"",ROUND($O615,2)&lt;&gt;0),"有","")</f>
        <v/>
      </c>
    </row>
    <row r="616" customFormat="false" ht="15" hidden="true" customHeight="false" outlineLevel="0" collapsed="false">
      <c r="A616" s="53" t="str">
        <f aca="false">IF($H616="","",ROW()-5)</f>
        <v/>
      </c>
      <c r="B616" s="64" t="s">
        <v>36</v>
      </c>
      <c r="C616" s="53" t="n">
        <v>158</v>
      </c>
      <c r="D616" s="53" t="n">
        <v>3</v>
      </c>
      <c r="E616" s="65" t="str">
        <f aca="false">IF($H616="","",购销流水!$B158)</f>
        <v/>
      </c>
      <c r="F616" s="55" t="str">
        <f aca="false">IF($H616="","",购销流水!$C158)</f>
        <v/>
      </c>
      <c r="G616" s="48" t="str">
        <f aca="false">IF($H616="","",购销流水!$N158)</f>
        <v/>
      </c>
      <c r="H616" s="10" t="str">
        <f aca="false">IF($L616="","",IF($L616="@成本",购销流水!$U158,IF($L616="@收入",购销流水!$T158,IF($L616="@存货",购销流水!$S158,IF($L616="@结算",购销流水!$R158,$L616)))))</f>
        <v/>
      </c>
      <c r="I616" s="42" t="n">
        <f aca="false">IF($M616="借",$O616,0)</f>
        <v>0</v>
      </c>
      <c r="J616" s="42" t="n">
        <f aca="false">IF($M616="贷",$O616,0)</f>
        <v>0</v>
      </c>
      <c r="K616" s="48" t="str">
        <f aca="false">IF($H616="","",购销流水!$E158)</f>
        <v/>
      </c>
      <c r="L616" s="66" t="str">
        <f aca="false">IF(购销流水!$D158="","",IFERROR(INDEX(记账规则!$A$6:$N$9,MATCH(购销流水!$D158,记账规则!$A$6:$A$9,0),9),""))</f>
        <v/>
      </c>
      <c r="M616" s="66" t="str">
        <f aca="false">IF($L616="","",IFERROR(INDEX(记账规则!$A$6:$N$9,MATCH(购销流水!$D158,记账规则!$A$6:$A$9,0),10),""))</f>
        <v/>
      </c>
      <c r="N616" s="66" t="str">
        <f aca="false">IF($L616="","",IFERROR(INDEX(记账规则!$A$6:$N$9,MATCH(购销流水!$D158,记账规则!$A$6:$A$9,0),11),""))</f>
        <v/>
      </c>
      <c r="O616" s="67" t="n">
        <f aca="false">IF($H616="",0,ROUND(IF($N616="成本金额",N(购销流水!$W158),IF($N616="金额",N(购销流水!$Q158),0)),2))</f>
        <v>0</v>
      </c>
      <c r="P616" s="64" t="str">
        <f aca="false">IF(AND($H616&lt;&gt;"",ROUND($O616,2)&lt;&gt;0),"有","")</f>
        <v/>
      </c>
    </row>
    <row r="617" customFormat="false" ht="15" hidden="true" customHeight="false" outlineLevel="0" collapsed="false">
      <c r="A617" s="53" t="str">
        <f aca="false">IF($H617="","",ROW()-5)</f>
        <v/>
      </c>
      <c r="B617" s="64" t="s">
        <v>36</v>
      </c>
      <c r="C617" s="53" t="n">
        <v>158</v>
      </c>
      <c r="D617" s="53" t="n">
        <v>4</v>
      </c>
      <c r="E617" s="65" t="str">
        <f aca="false">IF($H617="","",购销流水!$B158)</f>
        <v/>
      </c>
      <c r="F617" s="55" t="str">
        <f aca="false">IF($H617="","",购销流水!$C158)</f>
        <v/>
      </c>
      <c r="G617" s="48" t="str">
        <f aca="false">IF($H617="","",购销流水!$N158)</f>
        <v/>
      </c>
      <c r="H617" s="10" t="str">
        <f aca="false">IF($L617="","",IF($L617="@成本",购销流水!$U158,IF($L617="@收入",购销流水!$T158,IF($L617="@存货",购销流水!$S158,IF($L617="@结算",购销流水!$R158,$L617)))))</f>
        <v/>
      </c>
      <c r="I617" s="42" t="n">
        <f aca="false">IF($M617="借",$O617,0)</f>
        <v>0</v>
      </c>
      <c r="J617" s="42" t="n">
        <f aca="false">IF($M617="贷",$O617,0)</f>
        <v>0</v>
      </c>
      <c r="K617" s="48" t="str">
        <f aca="false">IF($H617="","",购销流水!$E158)</f>
        <v/>
      </c>
      <c r="L617" s="66" t="str">
        <f aca="false">IF(购销流水!$D158="","",IFERROR(INDEX(记账规则!$A$6:$N$9,MATCH(购销流水!$D158,记账规则!$A$6:$A$9,0),12),""))</f>
        <v/>
      </c>
      <c r="M617" s="66" t="str">
        <f aca="false">IF($L617="","",IFERROR(INDEX(记账规则!$A$6:$N$9,MATCH(购销流水!$D158,记账规则!$A$6:$A$9,0),13),""))</f>
        <v/>
      </c>
      <c r="N617" s="66" t="str">
        <f aca="false">IF($L617="","",IFERROR(INDEX(记账规则!$A$6:$N$9,MATCH(购销流水!$D158,记账规则!$A$6:$A$9,0),14),""))</f>
        <v/>
      </c>
      <c r="O617" s="67" t="n">
        <f aca="false">IF($H617="",0,ROUND(IF($N617="成本金额",N(购销流水!$W158),IF($N617="金额",N(购销流水!$Q158),0)),2))</f>
        <v>0</v>
      </c>
      <c r="P617" s="64" t="str">
        <f aca="false">IF(AND($H617&lt;&gt;"",ROUND($O617,2)&lt;&gt;0),"有","")</f>
        <v/>
      </c>
    </row>
    <row r="618" customFormat="false" ht="15" hidden="true" customHeight="false" outlineLevel="0" collapsed="false">
      <c r="A618" s="53" t="str">
        <f aca="false">IF($H618="","",ROW()-5)</f>
        <v/>
      </c>
      <c r="B618" s="64" t="s">
        <v>36</v>
      </c>
      <c r="C618" s="53" t="n">
        <v>159</v>
      </c>
      <c r="D618" s="53" t="n">
        <v>1</v>
      </c>
      <c r="E618" s="65" t="str">
        <f aca="false">IF($H618="","",购销流水!$B159)</f>
        <v/>
      </c>
      <c r="F618" s="55" t="str">
        <f aca="false">IF($H618="","",购销流水!$C159)</f>
        <v/>
      </c>
      <c r="G618" s="48" t="str">
        <f aca="false">IF($H618="","",购销流水!$N159)</f>
        <v/>
      </c>
      <c r="H618" s="10" t="str">
        <f aca="false">IF($L618="","",IF($L618="@成本",购销流水!$U159,IF($L618="@收入",购销流水!$T159,IF($L618="@存货",购销流水!$S159,IF($L618="@结算",购销流水!$R159,$L618)))))</f>
        <v/>
      </c>
      <c r="I618" s="42" t="n">
        <f aca="false">IF($M618="借",$O618,0)</f>
        <v>0</v>
      </c>
      <c r="J618" s="42" t="n">
        <f aca="false">IF($M618="贷",$O618,0)</f>
        <v>0</v>
      </c>
      <c r="K618" s="48" t="str">
        <f aca="false">IF($H618="","",购销流水!$E159)</f>
        <v/>
      </c>
      <c r="L618" s="66" t="str">
        <f aca="false">IF(购销流水!$D159="","",IFERROR(INDEX(记账规则!$A$6:$N$9,MATCH(购销流水!$D159,记账规则!$A$6:$A$9,0),3),""))</f>
        <v/>
      </c>
      <c r="M618" s="66" t="str">
        <f aca="false">IF($L618="","",IFERROR(INDEX(记账规则!$A$6:$N$9,MATCH(购销流水!$D159,记账规则!$A$6:$A$9,0),4),""))</f>
        <v/>
      </c>
      <c r="N618" s="66" t="str">
        <f aca="false">IF($L618="","",IFERROR(INDEX(记账规则!$A$6:$N$9,MATCH(购销流水!$D159,记账规则!$A$6:$A$9,0),5),""))</f>
        <v/>
      </c>
      <c r="O618" s="67" t="n">
        <f aca="false">IF($H618="",0,ROUND(IF($N618="成本金额",N(购销流水!$W159),IF($N618="金额",N(购销流水!$Q159),0)),2))</f>
        <v>0</v>
      </c>
      <c r="P618" s="64" t="str">
        <f aca="false">IF(AND($H618&lt;&gt;"",ROUND($O618,2)&lt;&gt;0),"有","")</f>
        <v/>
      </c>
    </row>
    <row r="619" customFormat="false" ht="15" hidden="true" customHeight="false" outlineLevel="0" collapsed="false">
      <c r="A619" s="53" t="str">
        <f aca="false">IF($H619="","",ROW()-5)</f>
        <v/>
      </c>
      <c r="B619" s="64" t="s">
        <v>36</v>
      </c>
      <c r="C619" s="53" t="n">
        <v>159</v>
      </c>
      <c r="D619" s="53" t="n">
        <v>2</v>
      </c>
      <c r="E619" s="65" t="str">
        <f aca="false">IF($H619="","",购销流水!$B159)</f>
        <v/>
      </c>
      <c r="F619" s="55" t="str">
        <f aca="false">IF($H619="","",购销流水!$C159)</f>
        <v/>
      </c>
      <c r="G619" s="48" t="str">
        <f aca="false">IF($H619="","",购销流水!$N159)</f>
        <v/>
      </c>
      <c r="H619" s="10" t="str">
        <f aca="false">IF($L619="","",IF($L619="@成本",购销流水!$U159,IF($L619="@收入",购销流水!$T159,IF($L619="@存货",购销流水!$S159,IF($L619="@结算",购销流水!$R159,$L619)))))</f>
        <v/>
      </c>
      <c r="I619" s="42" t="n">
        <f aca="false">IF($M619="借",$O619,0)</f>
        <v>0</v>
      </c>
      <c r="J619" s="42" t="n">
        <f aca="false">IF($M619="贷",$O619,0)</f>
        <v>0</v>
      </c>
      <c r="K619" s="48" t="str">
        <f aca="false">IF($H619="","",购销流水!$E159)</f>
        <v/>
      </c>
      <c r="L619" s="66" t="str">
        <f aca="false">IF(购销流水!$D159="","",IFERROR(INDEX(记账规则!$A$6:$N$9,MATCH(购销流水!$D159,记账规则!$A$6:$A$9,0),6),""))</f>
        <v/>
      </c>
      <c r="M619" s="66" t="str">
        <f aca="false">IF($L619="","",IFERROR(INDEX(记账规则!$A$6:$N$9,MATCH(购销流水!$D159,记账规则!$A$6:$A$9,0),7),""))</f>
        <v/>
      </c>
      <c r="N619" s="66" t="str">
        <f aca="false">IF($L619="","",IFERROR(INDEX(记账规则!$A$6:$N$9,MATCH(购销流水!$D159,记账规则!$A$6:$A$9,0),8),""))</f>
        <v/>
      </c>
      <c r="O619" s="67" t="n">
        <f aca="false">IF($H619="",0,ROUND(IF($N619="成本金额",N(购销流水!$W159),IF($N619="金额",N(购销流水!$Q159),0)),2))</f>
        <v>0</v>
      </c>
      <c r="P619" s="64" t="str">
        <f aca="false">IF(AND($H619&lt;&gt;"",ROUND($O619,2)&lt;&gt;0),"有","")</f>
        <v/>
      </c>
    </row>
    <row r="620" customFormat="false" ht="15" hidden="true" customHeight="false" outlineLevel="0" collapsed="false">
      <c r="A620" s="53" t="str">
        <f aca="false">IF($H620="","",ROW()-5)</f>
        <v/>
      </c>
      <c r="B620" s="64" t="s">
        <v>36</v>
      </c>
      <c r="C620" s="53" t="n">
        <v>159</v>
      </c>
      <c r="D620" s="53" t="n">
        <v>3</v>
      </c>
      <c r="E620" s="65" t="str">
        <f aca="false">IF($H620="","",购销流水!$B159)</f>
        <v/>
      </c>
      <c r="F620" s="55" t="str">
        <f aca="false">IF($H620="","",购销流水!$C159)</f>
        <v/>
      </c>
      <c r="G620" s="48" t="str">
        <f aca="false">IF($H620="","",购销流水!$N159)</f>
        <v/>
      </c>
      <c r="H620" s="10" t="str">
        <f aca="false">IF($L620="","",IF($L620="@成本",购销流水!$U159,IF($L620="@收入",购销流水!$T159,IF($L620="@存货",购销流水!$S159,IF($L620="@结算",购销流水!$R159,$L620)))))</f>
        <v/>
      </c>
      <c r="I620" s="42" t="n">
        <f aca="false">IF($M620="借",$O620,0)</f>
        <v>0</v>
      </c>
      <c r="J620" s="42" t="n">
        <f aca="false">IF($M620="贷",$O620,0)</f>
        <v>0</v>
      </c>
      <c r="K620" s="48" t="str">
        <f aca="false">IF($H620="","",购销流水!$E159)</f>
        <v/>
      </c>
      <c r="L620" s="66" t="str">
        <f aca="false">IF(购销流水!$D159="","",IFERROR(INDEX(记账规则!$A$6:$N$9,MATCH(购销流水!$D159,记账规则!$A$6:$A$9,0),9),""))</f>
        <v/>
      </c>
      <c r="M620" s="66" t="str">
        <f aca="false">IF($L620="","",IFERROR(INDEX(记账规则!$A$6:$N$9,MATCH(购销流水!$D159,记账规则!$A$6:$A$9,0),10),""))</f>
        <v/>
      </c>
      <c r="N620" s="66" t="str">
        <f aca="false">IF($L620="","",IFERROR(INDEX(记账规则!$A$6:$N$9,MATCH(购销流水!$D159,记账规则!$A$6:$A$9,0),11),""))</f>
        <v/>
      </c>
      <c r="O620" s="67" t="n">
        <f aca="false">IF($H620="",0,ROUND(IF($N620="成本金额",N(购销流水!$W159),IF($N620="金额",N(购销流水!$Q159),0)),2))</f>
        <v>0</v>
      </c>
      <c r="P620" s="64" t="str">
        <f aca="false">IF(AND($H620&lt;&gt;"",ROUND($O620,2)&lt;&gt;0),"有","")</f>
        <v/>
      </c>
    </row>
    <row r="621" customFormat="false" ht="15" hidden="true" customHeight="false" outlineLevel="0" collapsed="false">
      <c r="A621" s="53" t="str">
        <f aca="false">IF($H621="","",ROW()-5)</f>
        <v/>
      </c>
      <c r="B621" s="64" t="s">
        <v>36</v>
      </c>
      <c r="C621" s="53" t="n">
        <v>159</v>
      </c>
      <c r="D621" s="53" t="n">
        <v>4</v>
      </c>
      <c r="E621" s="65" t="str">
        <f aca="false">IF($H621="","",购销流水!$B159)</f>
        <v/>
      </c>
      <c r="F621" s="55" t="str">
        <f aca="false">IF($H621="","",购销流水!$C159)</f>
        <v/>
      </c>
      <c r="G621" s="48" t="str">
        <f aca="false">IF($H621="","",购销流水!$N159)</f>
        <v/>
      </c>
      <c r="H621" s="10" t="str">
        <f aca="false">IF($L621="","",IF($L621="@成本",购销流水!$U159,IF($L621="@收入",购销流水!$T159,IF($L621="@存货",购销流水!$S159,IF($L621="@结算",购销流水!$R159,$L621)))))</f>
        <v/>
      </c>
      <c r="I621" s="42" t="n">
        <f aca="false">IF($M621="借",$O621,0)</f>
        <v>0</v>
      </c>
      <c r="J621" s="42" t="n">
        <f aca="false">IF($M621="贷",$O621,0)</f>
        <v>0</v>
      </c>
      <c r="K621" s="48" t="str">
        <f aca="false">IF($H621="","",购销流水!$E159)</f>
        <v/>
      </c>
      <c r="L621" s="66" t="str">
        <f aca="false">IF(购销流水!$D159="","",IFERROR(INDEX(记账规则!$A$6:$N$9,MATCH(购销流水!$D159,记账规则!$A$6:$A$9,0),12),""))</f>
        <v/>
      </c>
      <c r="M621" s="66" t="str">
        <f aca="false">IF($L621="","",IFERROR(INDEX(记账规则!$A$6:$N$9,MATCH(购销流水!$D159,记账规则!$A$6:$A$9,0),13),""))</f>
        <v/>
      </c>
      <c r="N621" s="66" t="str">
        <f aca="false">IF($L621="","",IFERROR(INDEX(记账规则!$A$6:$N$9,MATCH(购销流水!$D159,记账规则!$A$6:$A$9,0),14),""))</f>
        <v/>
      </c>
      <c r="O621" s="67" t="n">
        <f aca="false">IF($H621="",0,ROUND(IF($N621="成本金额",N(购销流水!$W159),IF($N621="金额",N(购销流水!$Q159),0)),2))</f>
        <v>0</v>
      </c>
      <c r="P621" s="64" t="str">
        <f aca="false">IF(AND($H621&lt;&gt;"",ROUND($O621,2)&lt;&gt;0),"有","")</f>
        <v/>
      </c>
    </row>
    <row r="622" customFormat="false" ht="15" hidden="true" customHeight="false" outlineLevel="0" collapsed="false">
      <c r="A622" s="53" t="str">
        <f aca="false">IF($H622="","",ROW()-5)</f>
        <v/>
      </c>
      <c r="B622" s="64" t="s">
        <v>36</v>
      </c>
      <c r="C622" s="53" t="n">
        <v>160</v>
      </c>
      <c r="D622" s="53" t="n">
        <v>1</v>
      </c>
      <c r="E622" s="65" t="str">
        <f aca="false">IF($H622="","",购销流水!$B160)</f>
        <v/>
      </c>
      <c r="F622" s="55" t="str">
        <f aca="false">IF($H622="","",购销流水!$C160)</f>
        <v/>
      </c>
      <c r="G622" s="48" t="str">
        <f aca="false">IF($H622="","",购销流水!$N160)</f>
        <v/>
      </c>
      <c r="H622" s="10" t="str">
        <f aca="false">IF($L622="","",IF($L622="@成本",购销流水!$U160,IF($L622="@收入",购销流水!$T160,IF($L622="@存货",购销流水!$S160,IF($L622="@结算",购销流水!$R160,$L622)))))</f>
        <v/>
      </c>
      <c r="I622" s="42" t="n">
        <f aca="false">IF($M622="借",$O622,0)</f>
        <v>0</v>
      </c>
      <c r="J622" s="42" t="n">
        <f aca="false">IF($M622="贷",$O622,0)</f>
        <v>0</v>
      </c>
      <c r="K622" s="48" t="str">
        <f aca="false">IF($H622="","",购销流水!$E160)</f>
        <v/>
      </c>
      <c r="L622" s="66" t="str">
        <f aca="false">IF(购销流水!$D160="","",IFERROR(INDEX(记账规则!$A$6:$N$9,MATCH(购销流水!$D160,记账规则!$A$6:$A$9,0),3),""))</f>
        <v/>
      </c>
      <c r="M622" s="66" t="str">
        <f aca="false">IF($L622="","",IFERROR(INDEX(记账规则!$A$6:$N$9,MATCH(购销流水!$D160,记账规则!$A$6:$A$9,0),4),""))</f>
        <v/>
      </c>
      <c r="N622" s="66" t="str">
        <f aca="false">IF($L622="","",IFERROR(INDEX(记账规则!$A$6:$N$9,MATCH(购销流水!$D160,记账规则!$A$6:$A$9,0),5),""))</f>
        <v/>
      </c>
      <c r="O622" s="67" t="n">
        <f aca="false">IF($H622="",0,ROUND(IF($N622="成本金额",N(购销流水!$W160),IF($N622="金额",N(购销流水!$Q160),0)),2))</f>
        <v>0</v>
      </c>
      <c r="P622" s="64" t="str">
        <f aca="false">IF(AND($H622&lt;&gt;"",ROUND($O622,2)&lt;&gt;0),"有","")</f>
        <v/>
      </c>
    </row>
    <row r="623" customFormat="false" ht="15" hidden="true" customHeight="false" outlineLevel="0" collapsed="false">
      <c r="A623" s="53" t="str">
        <f aca="false">IF($H623="","",ROW()-5)</f>
        <v/>
      </c>
      <c r="B623" s="64" t="s">
        <v>36</v>
      </c>
      <c r="C623" s="53" t="n">
        <v>160</v>
      </c>
      <c r="D623" s="53" t="n">
        <v>2</v>
      </c>
      <c r="E623" s="65" t="str">
        <f aca="false">IF($H623="","",购销流水!$B160)</f>
        <v/>
      </c>
      <c r="F623" s="55" t="str">
        <f aca="false">IF($H623="","",购销流水!$C160)</f>
        <v/>
      </c>
      <c r="G623" s="48" t="str">
        <f aca="false">IF($H623="","",购销流水!$N160)</f>
        <v/>
      </c>
      <c r="H623" s="10" t="str">
        <f aca="false">IF($L623="","",IF($L623="@成本",购销流水!$U160,IF($L623="@收入",购销流水!$T160,IF($L623="@存货",购销流水!$S160,IF($L623="@结算",购销流水!$R160,$L623)))))</f>
        <v/>
      </c>
      <c r="I623" s="42" t="n">
        <f aca="false">IF($M623="借",$O623,0)</f>
        <v>0</v>
      </c>
      <c r="J623" s="42" t="n">
        <f aca="false">IF($M623="贷",$O623,0)</f>
        <v>0</v>
      </c>
      <c r="K623" s="48" t="str">
        <f aca="false">IF($H623="","",购销流水!$E160)</f>
        <v/>
      </c>
      <c r="L623" s="66" t="str">
        <f aca="false">IF(购销流水!$D160="","",IFERROR(INDEX(记账规则!$A$6:$N$9,MATCH(购销流水!$D160,记账规则!$A$6:$A$9,0),6),""))</f>
        <v/>
      </c>
      <c r="M623" s="66" t="str">
        <f aca="false">IF($L623="","",IFERROR(INDEX(记账规则!$A$6:$N$9,MATCH(购销流水!$D160,记账规则!$A$6:$A$9,0),7),""))</f>
        <v/>
      </c>
      <c r="N623" s="66" t="str">
        <f aca="false">IF($L623="","",IFERROR(INDEX(记账规则!$A$6:$N$9,MATCH(购销流水!$D160,记账规则!$A$6:$A$9,0),8),""))</f>
        <v/>
      </c>
      <c r="O623" s="67" t="n">
        <f aca="false">IF($H623="",0,ROUND(IF($N623="成本金额",N(购销流水!$W160),IF($N623="金额",N(购销流水!$Q160),0)),2))</f>
        <v>0</v>
      </c>
      <c r="P623" s="64" t="str">
        <f aca="false">IF(AND($H623&lt;&gt;"",ROUND($O623,2)&lt;&gt;0),"有","")</f>
        <v/>
      </c>
    </row>
    <row r="624" customFormat="false" ht="15" hidden="true" customHeight="false" outlineLevel="0" collapsed="false">
      <c r="A624" s="53" t="str">
        <f aca="false">IF($H624="","",ROW()-5)</f>
        <v/>
      </c>
      <c r="B624" s="64" t="s">
        <v>36</v>
      </c>
      <c r="C624" s="53" t="n">
        <v>160</v>
      </c>
      <c r="D624" s="53" t="n">
        <v>3</v>
      </c>
      <c r="E624" s="65" t="str">
        <f aca="false">IF($H624="","",购销流水!$B160)</f>
        <v/>
      </c>
      <c r="F624" s="55" t="str">
        <f aca="false">IF($H624="","",购销流水!$C160)</f>
        <v/>
      </c>
      <c r="G624" s="48" t="str">
        <f aca="false">IF($H624="","",购销流水!$N160)</f>
        <v/>
      </c>
      <c r="H624" s="10" t="str">
        <f aca="false">IF($L624="","",IF($L624="@成本",购销流水!$U160,IF($L624="@收入",购销流水!$T160,IF($L624="@存货",购销流水!$S160,IF($L624="@结算",购销流水!$R160,$L624)))))</f>
        <v/>
      </c>
      <c r="I624" s="42" t="n">
        <f aca="false">IF($M624="借",$O624,0)</f>
        <v>0</v>
      </c>
      <c r="J624" s="42" t="n">
        <f aca="false">IF($M624="贷",$O624,0)</f>
        <v>0</v>
      </c>
      <c r="K624" s="48" t="str">
        <f aca="false">IF($H624="","",购销流水!$E160)</f>
        <v/>
      </c>
      <c r="L624" s="66" t="str">
        <f aca="false">IF(购销流水!$D160="","",IFERROR(INDEX(记账规则!$A$6:$N$9,MATCH(购销流水!$D160,记账规则!$A$6:$A$9,0),9),""))</f>
        <v/>
      </c>
      <c r="M624" s="66" t="str">
        <f aca="false">IF($L624="","",IFERROR(INDEX(记账规则!$A$6:$N$9,MATCH(购销流水!$D160,记账规则!$A$6:$A$9,0),10),""))</f>
        <v/>
      </c>
      <c r="N624" s="66" t="str">
        <f aca="false">IF($L624="","",IFERROR(INDEX(记账规则!$A$6:$N$9,MATCH(购销流水!$D160,记账规则!$A$6:$A$9,0),11),""))</f>
        <v/>
      </c>
      <c r="O624" s="67" t="n">
        <f aca="false">IF($H624="",0,ROUND(IF($N624="成本金额",N(购销流水!$W160),IF($N624="金额",N(购销流水!$Q160),0)),2))</f>
        <v>0</v>
      </c>
      <c r="P624" s="64" t="str">
        <f aca="false">IF(AND($H624&lt;&gt;"",ROUND($O624,2)&lt;&gt;0),"有","")</f>
        <v/>
      </c>
    </row>
    <row r="625" customFormat="false" ht="15" hidden="true" customHeight="false" outlineLevel="0" collapsed="false">
      <c r="A625" s="53" t="str">
        <f aca="false">IF($H625="","",ROW()-5)</f>
        <v/>
      </c>
      <c r="B625" s="64" t="s">
        <v>36</v>
      </c>
      <c r="C625" s="53" t="n">
        <v>160</v>
      </c>
      <c r="D625" s="53" t="n">
        <v>4</v>
      </c>
      <c r="E625" s="65" t="str">
        <f aca="false">IF($H625="","",购销流水!$B160)</f>
        <v/>
      </c>
      <c r="F625" s="55" t="str">
        <f aca="false">IF($H625="","",购销流水!$C160)</f>
        <v/>
      </c>
      <c r="G625" s="48" t="str">
        <f aca="false">IF($H625="","",购销流水!$N160)</f>
        <v/>
      </c>
      <c r="H625" s="10" t="str">
        <f aca="false">IF($L625="","",IF($L625="@成本",购销流水!$U160,IF($L625="@收入",购销流水!$T160,IF($L625="@存货",购销流水!$S160,IF($L625="@结算",购销流水!$R160,$L625)))))</f>
        <v/>
      </c>
      <c r="I625" s="42" t="n">
        <f aca="false">IF($M625="借",$O625,0)</f>
        <v>0</v>
      </c>
      <c r="J625" s="42" t="n">
        <f aca="false">IF($M625="贷",$O625,0)</f>
        <v>0</v>
      </c>
      <c r="K625" s="48" t="str">
        <f aca="false">IF($H625="","",购销流水!$E160)</f>
        <v/>
      </c>
      <c r="L625" s="66" t="str">
        <f aca="false">IF(购销流水!$D160="","",IFERROR(INDEX(记账规则!$A$6:$N$9,MATCH(购销流水!$D160,记账规则!$A$6:$A$9,0),12),""))</f>
        <v/>
      </c>
      <c r="M625" s="66" t="str">
        <f aca="false">IF($L625="","",IFERROR(INDEX(记账规则!$A$6:$N$9,MATCH(购销流水!$D160,记账规则!$A$6:$A$9,0),13),""))</f>
        <v/>
      </c>
      <c r="N625" s="66" t="str">
        <f aca="false">IF($L625="","",IFERROR(INDEX(记账规则!$A$6:$N$9,MATCH(购销流水!$D160,记账规则!$A$6:$A$9,0),14),""))</f>
        <v/>
      </c>
      <c r="O625" s="67" t="n">
        <f aca="false">IF($H625="",0,ROUND(IF($N625="成本金额",N(购销流水!$W160),IF($N625="金额",N(购销流水!$Q160),0)),2))</f>
        <v>0</v>
      </c>
      <c r="P625" s="64" t="str">
        <f aca="false">IF(AND($H625&lt;&gt;"",ROUND($O625,2)&lt;&gt;0),"有","")</f>
        <v/>
      </c>
    </row>
    <row r="626" customFormat="false" ht="15" hidden="true" customHeight="false" outlineLevel="0" collapsed="false">
      <c r="A626" s="53" t="str">
        <f aca="false">IF($H626="","",ROW()-5)</f>
        <v/>
      </c>
      <c r="B626" s="64" t="s">
        <v>36</v>
      </c>
      <c r="C626" s="53" t="n">
        <v>161</v>
      </c>
      <c r="D626" s="53" t="n">
        <v>1</v>
      </c>
      <c r="E626" s="65" t="str">
        <f aca="false">IF($H626="","",购销流水!$B161)</f>
        <v/>
      </c>
      <c r="F626" s="55" t="str">
        <f aca="false">IF($H626="","",购销流水!$C161)</f>
        <v/>
      </c>
      <c r="G626" s="48" t="str">
        <f aca="false">IF($H626="","",购销流水!$N161)</f>
        <v/>
      </c>
      <c r="H626" s="10" t="str">
        <f aca="false">IF($L626="","",IF($L626="@成本",购销流水!$U161,IF($L626="@收入",购销流水!$T161,IF($L626="@存货",购销流水!$S161,IF($L626="@结算",购销流水!$R161,$L626)))))</f>
        <v/>
      </c>
      <c r="I626" s="42" t="n">
        <f aca="false">IF($M626="借",$O626,0)</f>
        <v>0</v>
      </c>
      <c r="J626" s="42" t="n">
        <f aca="false">IF($M626="贷",$O626,0)</f>
        <v>0</v>
      </c>
      <c r="K626" s="48" t="str">
        <f aca="false">IF($H626="","",购销流水!$E161)</f>
        <v/>
      </c>
      <c r="L626" s="66" t="str">
        <f aca="false">IF(购销流水!$D161="","",IFERROR(INDEX(记账规则!$A$6:$N$9,MATCH(购销流水!$D161,记账规则!$A$6:$A$9,0),3),""))</f>
        <v/>
      </c>
      <c r="M626" s="66" t="str">
        <f aca="false">IF($L626="","",IFERROR(INDEX(记账规则!$A$6:$N$9,MATCH(购销流水!$D161,记账规则!$A$6:$A$9,0),4),""))</f>
        <v/>
      </c>
      <c r="N626" s="66" t="str">
        <f aca="false">IF($L626="","",IFERROR(INDEX(记账规则!$A$6:$N$9,MATCH(购销流水!$D161,记账规则!$A$6:$A$9,0),5),""))</f>
        <v/>
      </c>
      <c r="O626" s="67" t="n">
        <f aca="false">IF($H626="",0,ROUND(IF($N626="成本金额",N(购销流水!$W161),IF($N626="金额",N(购销流水!$Q161),0)),2))</f>
        <v>0</v>
      </c>
      <c r="P626" s="64" t="str">
        <f aca="false">IF(AND($H626&lt;&gt;"",ROUND($O626,2)&lt;&gt;0),"有","")</f>
        <v/>
      </c>
    </row>
    <row r="627" customFormat="false" ht="15" hidden="true" customHeight="false" outlineLevel="0" collapsed="false">
      <c r="A627" s="53" t="str">
        <f aca="false">IF($H627="","",ROW()-5)</f>
        <v/>
      </c>
      <c r="B627" s="64" t="s">
        <v>36</v>
      </c>
      <c r="C627" s="53" t="n">
        <v>161</v>
      </c>
      <c r="D627" s="53" t="n">
        <v>2</v>
      </c>
      <c r="E627" s="65" t="str">
        <f aca="false">IF($H627="","",购销流水!$B161)</f>
        <v/>
      </c>
      <c r="F627" s="55" t="str">
        <f aca="false">IF($H627="","",购销流水!$C161)</f>
        <v/>
      </c>
      <c r="G627" s="48" t="str">
        <f aca="false">IF($H627="","",购销流水!$N161)</f>
        <v/>
      </c>
      <c r="H627" s="10" t="str">
        <f aca="false">IF($L627="","",IF($L627="@成本",购销流水!$U161,IF($L627="@收入",购销流水!$T161,IF($L627="@存货",购销流水!$S161,IF($L627="@结算",购销流水!$R161,$L627)))))</f>
        <v/>
      </c>
      <c r="I627" s="42" t="n">
        <f aca="false">IF($M627="借",$O627,0)</f>
        <v>0</v>
      </c>
      <c r="J627" s="42" t="n">
        <f aca="false">IF($M627="贷",$O627,0)</f>
        <v>0</v>
      </c>
      <c r="K627" s="48" t="str">
        <f aca="false">IF($H627="","",购销流水!$E161)</f>
        <v/>
      </c>
      <c r="L627" s="66" t="str">
        <f aca="false">IF(购销流水!$D161="","",IFERROR(INDEX(记账规则!$A$6:$N$9,MATCH(购销流水!$D161,记账规则!$A$6:$A$9,0),6),""))</f>
        <v/>
      </c>
      <c r="M627" s="66" t="str">
        <f aca="false">IF($L627="","",IFERROR(INDEX(记账规则!$A$6:$N$9,MATCH(购销流水!$D161,记账规则!$A$6:$A$9,0),7),""))</f>
        <v/>
      </c>
      <c r="N627" s="66" t="str">
        <f aca="false">IF($L627="","",IFERROR(INDEX(记账规则!$A$6:$N$9,MATCH(购销流水!$D161,记账规则!$A$6:$A$9,0),8),""))</f>
        <v/>
      </c>
      <c r="O627" s="67" t="n">
        <f aca="false">IF($H627="",0,ROUND(IF($N627="成本金额",N(购销流水!$W161),IF($N627="金额",N(购销流水!$Q161),0)),2))</f>
        <v>0</v>
      </c>
      <c r="P627" s="64" t="str">
        <f aca="false">IF(AND($H627&lt;&gt;"",ROUND($O627,2)&lt;&gt;0),"有","")</f>
        <v/>
      </c>
    </row>
    <row r="628" customFormat="false" ht="15" hidden="true" customHeight="false" outlineLevel="0" collapsed="false">
      <c r="A628" s="53" t="str">
        <f aca="false">IF($H628="","",ROW()-5)</f>
        <v/>
      </c>
      <c r="B628" s="64" t="s">
        <v>36</v>
      </c>
      <c r="C628" s="53" t="n">
        <v>161</v>
      </c>
      <c r="D628" s="53" t="n">
        <v>3</v>
      </c>
      <c r="E628" s="65" t="str">
        <f aca="false">IF($H628="","",购销流水!$B161)</f>
        <v/>
      </c>
      <c r="F628" s="55" t="str">
        <f aca="false">IF($H628="","",购销流水!$C161)</f>
        <v/>
      </c>
      <c r="G628" s="48" t="str">
        <f aca="false">IF($H628="","",购销流水!$N161)</f>
        <v/>
      </c>
      <c r="H628" s="10" t="str">
        <f aca="false">IF($L628="","",IF($L628="@成本",购销流水!$U161,IF($L628="@收入",购销流水!$T161,IF($L628="@存货",购销流水!$S161,IF($L628="@结算",购销流水!$R161,$L628)))))</f>
        <v/>
      </c>
      <c r="I628" s="42" t="n">
        <f aca="false">IF($M628="借",$O628,0)</f>
        <v>0</v>
      </c>
      <c r="J628" s="42" t="n">
        <f aca="false">IF($M628="贷",$O628,0)</f>
        <v>0</v>
      </c>
      <c r="K628" s="48" t="str">
        <f aca="false">IF($H628="","",购销流水!$E161)</f>
        <v/>
      </c>
      <c r="L628" s="66" t="str">
        <f aca="false">IF(购销流水!$D161="","",IFERROR(INDEX(记账规则!$A$6:$N$9,MATCH(购销流水!$D161,记账规则!$A$6:$A$9,0),9),""))</f>
        <v/>
      </c>
      <c r="M628" s="66" t="str">
        <f aca="false">IF($L628="","",IFERROR(INDEX(记账规则!$A$6:$N$9,MATCH(购销流水!$D161,记账规则!$A$6:$A$9,0),10),""))</f>
        <v/>
      </c>
      <c r="N628" s="66" t="str">
        <f aca="false">IF($L628="","",IFERROR(INDEX(记账规则!$A$6:$N$9,MATCH(购销流水!$D161,记账规则!$A$6:$A$9,0),11),""))</f>
        <v/>
      </c>
      <c r="O628" s="67" t="n">
        <f aca="false">IF($H628="",0,ROUND(IF($N628="成本金额",N(购销流水!$W161),IF($N628="金额",N(购销流水!$Q161),0)),2))</f>
        <v>0</v>
      </c>
      <c r="P628" s="64" t="str">
        <f aca="false">IF(AND($H628&lt;&gt;"",ROUND($O628,2)&lt;&gt;0),"有","")</f>
        <v/>
      </c>
    </row>
    <row r="629" customFormat="false" ht="15" hidden="true" customHeight="false" outlineLevel="0" collapsed="false">
      <c r="A629" s="53" t="str">
        <f aca="false">IF($H629="","",ROW()-5)</f>
        <v/>
      </c>
      <c r="B629" s="64" t="s">
        <v>36</v>
      </c>
      <c r="C629" s="53" t="n">
        <v>161</v>
      </c>
      <c r="D629" s="53" t="n">
        <v>4</v>
      </c>
      <c r="E629" s="65" t="str">
        <f aca="false">IF($H629="","",购销流水!$B161)</f>
        <v/>
      </c>
      <c r="F629" s="55" t="str">
        <f aca="false">IF($H629="","",购销流水!$C161)</f>
        <v/>
      </c>
      <c r="G629" s="48" t="str">
        <f aca="false">IF($H629="","",购销流水!$N161)</f>
        <v/>
      </c>
      <c r="H629" s="10" t="str">
        <f aca="false">IF($L629="","",IF($L629="@成本",购销流水!$U161,IF($L629="@收入",购销流水!$T161,IF($L629="@存货",购销流水!$S161,IF($L629="@结算",购销流水!$R161,$L629)))))</f>
        <v/>
      </c>
      <c r="I629" s="42" t="n">
        <f aca="false">IF($M629="借",$O629,0)</f>
        <v>0</v>
      </c>
      <c r="J629" s="42" t="n">
        <f aca="false">IF($M629="贷",$O629,0)</f>
        <v>0</v>
      </c>
      <c r="K629" s="48" t="str">
        <f aca="false">IF($H629="","",购销流水!$E161)</f>
        <v/>
      </c>
      <c r="L629" s="66" t="str">
        <f aca="false">IF(购销流水!$D161="","",IFERROR(INDEX(记账规则!$A$6:$N$9,MATCH(购销流水!$D161,记账规则!$A$6:$A$9,0),12),""))</f>
        <v/>
      </c>
      <c r="M629" s="66" t="str">
        <f aca="false">IF($L629="","",IFERROR(INDEX(记账规则!$A$6:$N$9,MATCH(购销流水!$D161,记账规则!$A$6:$A$9,0),13),""))</f>
        <v/>
      </c>
      <c r="N629" s="66" t="str">
        <f aca="false">IF($L629="","",IFERROR(INDEX(记账规则!$A$6:$N$9,MATCH(购销流水!$D161,记账规则!$A$6:$A$9,0),14),""))</f>
        <v/>
      </c>
      <c r="O629" s="67" t="n">
        <f aca="false">IF($H629="",0,ROUND(IF($N629="成本金额",N(购销流水!$W161),IF($N629="金额",N(购销流水!$Q161),0)),2))</f>
        <v>0</v>
      </c>
      <c r="P629" s="64" t="str">
        <f aca="false">IF(AND($H629&lt;&gt;"",ROUND($O629,2)&lt;&gt;0),"有","")</f>
        <v/>
      </c>
    </row>
    <row r="630" customFormat="false" ht="15" hidden="true" customHeight="false" outlineLevel="0" collapsed="false">
      <c r="A630" s="53" t="str">
        <f aca="false">IF($H630="","",ROW()-5)</f>
        <v/>
      </c>
      <c r="B630" s="64" t="s">
        <v>36</v>
      </c>
      <c r="C630" s="53" t="n">
        <v>162</v>
      </c>
      <c r="D630" s="53" t="n">
        <v>1</v>
      </c>
      <c r="E630" s="65" t="str">
        <f aca="false">IF($H630="","",购销流水!$B162)</f>
        <v/>
      </c>
      <c r="F630" s="55" t="str">
        <f aca="false">IF($H630="","",购销流水!$C162)</f>
        <v/>
      </c>
      <c r="G630" s="48" t="str">
        <f aca="false">IF($H630="","",购销流水!$N162)</f>
        <v/>
      </c>
      <c r="H630" s="10" t="str">
        <f aca="false">IF($L630="","",IF($L630="@成本",购销流水!$U162,IF($L630="@收入",购销流水!$T162,IF($L630="@存货",购销流水!$S162,IF($L630="@结算",购销流水!$R162,$L630)))))</f>
        <v/>
      </c>
      <c r="I630" s="42" t="n">
        <f aca="false">IF($M630="借",$O630,0)</f>
        <v>0</v>
      </c>
      <c r="J630" s="42" t="n">
        <f aca="false">IF($M630="贷",$O630,0)</f>
        <v>0</v>
      </c>
      <c r="K630" s="48" t="str">
        <f aca="false">IF($H630="","",购销流水!$E162)</f>
        <v/>
      </c>
      <c r="L630" s="66" t="str">
        <f aca="false">IF(购销流水!$D162="","",IFERROR(INDEX(记账规则!$A$6:$N$9,MATCH(购销流水!$D162,记账规则!$A$6:$A$9,0),3),""))</f>
        <v/>
      </c>
      <c r="M630" s="66" t="str">
        <f aca="false">IF($L630="","",IFERROR(INDEX(记账规则!$A$6:$N$9,MATCH(购销流水!$D162,记账规则!$A$6:$A$9,0),4),""))</f>
        <v/>
      </c>
      <c r="N630" s="66" t="str">
        <f aca="false">IF($L630="","",IFERROR(INDEX(记账规则!$A$6:$N$9,MATCH(购销流水!$D162,记账规则!$A$6:$A$9,0),5),""))</f>
        <v/>
      </c>
      <c r="O630" s="67" t="n">
        <f aca="false">IF($H630="",0,ROUND(IF($N630="成本金额",N(购销流水!$W162),IF($N630="金额",N(购销流水!$Q162),0)),2))</f>
        <v>0</v>
      </c>
      <c r="P630" s="64" t="str">
        <f aca="false">IF(AND($H630&lt;&gt;"",ROUND($O630,2)&lt;&gt;0),"有","")</f>
        <v/>
      </c>
    </row>
    <row r="631" customFormat="false" ht="15" hidden="true" customHeight="false" outlineLevel="0" collapsed="false">
      <c r="A631" s="53" t="str">
        <f aca="false">IF($H631="","",ROW()-5)</f>
        <v/>
      </c>
      <c r="B631" s="64" t="s">
        <v>36</v>
      </c>
      <c r="C631" s="53" t="n">
        <v>162</v>
      </c>
      <c r="D631" s="53" t="n">
        <v>2</v>
      </c>
      <c r="E631" s="65" t="str">
        <f aca="false">IF($H631="","",购销流水!$B162)</f>
        <v/>
      </c>
      <c r="F631" s="55" t="str">
        <f aca="false">IF($H631="","",购销流水!$C162)</f>
        <v/>
      </c>
      <c r="G631" s="48" t="str">
        <f aca="false">IF($H631="","",购销流水!$N162)</f>
        <v/>
      </c>
      <c r="H631" s="10" t="str">
        <f aca="false">IF($L631="","",IF($L631="@成本",购销流水!$U162,IF($L631="@收入",购销流水!$T162,IF($L631="@存货",购销流水!$S162,IF($L631="@结算",购销流水!$R162,$L631)))))</f>
        <v/>
      </c>
      <c r="I631" s="42" t="n">
        <f aca="false">IF($M631="借",$O631,0)</f>
        <v>0</v>
      </c>
      <c r="J631" s="42" t="n">
        <f aca="false">IF($M631="贷",$O631,0)</f>
        <v>0</v>
      </c>
      <c r="K631" s="48" t="str">
        <f aca="false">IF($H631="","",购销流水!$E162)</f>
        <v/>
      </c>
      <c r="L631" s="66" t="str">
        <f aca="false">IF(购销流水!$D162="","",IFERROR(INDEX(记账规则!$A$6:$N$9,MATCH(购销流水!$D162,记账规则!$A$6:$A$9,0),6),""))</f>
        <v/>
      </c>
      <c r="M631" s="66" t="str">
        <f aca="false">IF($L631="","",IFERROR(INDEX(记账规则!$A$6:$N$9,MATCH(购销流水!$D162,记账规则!$A$6:$A$9,0),7),""))</f>
        <v/>
      </c>
      <c r="N631" s="66" t="str">
        <f aca="false">IF($L631="","",IFERROR(INDEX(记账规则!$A$6:$N$9,MATCH(购销流水!$D162,记账规则!$A$6:$A$9,0),8),""))</f>
        <v/>
      </c>
      <c r="O631" s="67" t="n">
        <f aca="false">IF($H631="",0,ROUND(IF($N631="成本金额",N(购销流水!$W162),IF($N631="金额",N(购销流水!$Q162),0)),2))</f>
        <v>0</v>
      </c>
      <c r="P631" s="64" t="str">
        <f aca="false">IF(AND($H631&lt;&gt;"",ROUND($O631,2)&lt;&gt;0),"有","")</f>
        <v/>
      </c>
    </row>
    <row r="632" customFormat="false" ht="15" hidden="true" customHeight="false" outlineLevel="0" collapsed="false">
      <c r="A632" s="53" t="str">
        <f aca="false">IF($H632="","",ROW()-5)</f>
        <v/>
      </c>
      <c r="B632" s="64" t="s">
        <v>36</v>
      </c>
      <c r="C632" s="53" t="n">
        <v>162</v>
      </c>
      <c r="D632" s="53" t="n">
        <v>3</v>
      </c>
      <c r="E632" s="65" t="str">
        <f aca="false">IF($H632="","",购销流水!$B162)</f>
        <v/>
      </c>
      <c r="F632" s="55" t="str">
        <f aca="false">IF($H632="","",购销流水!$C162)</f>
        <v/>
      </c>
      <c r="G632" s="48" t="str">
        <f aca="false">IF($H632="","",购销流水!$N162)</f>
        <v/>
      </c>
      <c r="H632" s="10" t="str">
        <f aca="false">IF($L632="","",IF($L632="@成本",购销流水!$U162,IF($L632="@收入",购销流水!$T162,IF($L632="@存货",购销流水!$S162,IF($L632="@结算",购销流水!$R162,$L632)))))</f>
        <v/>
      </c>
      <c r="I632" s="42" t="n">
        <f aca="false">IF($M632="借",$O632,0)</f>
        <v>0</v>
      </c>
      <c r="J632" s="42" t="n">
        <f aca="false">IF($M632="贷",$O632,0)</f>
        <v>0</v>
      </c>
      <c r="K632" s="48" t="str">
        <f aca="false">IF($H632="","",购销流水!$E162)</f>
        <v/>
      </c>
      <c r="L632" s="66" t="str">
        <f aca="false">IF(购销流水!$D162="","",IFERROR(INDEX(记账规则!$A$6:$N$9,MATCH(购销流水!$D162,记账规则!$A$6:$A$9,0),9),""))</f>
        <v/>
      </c>
      <c r="M632" s="66" t="str">
        <f aca="false">IF($L632="","",IFERROR(INDEX(记账规则!$A$6:$N$9,MATCH(购销流水!$D162,记账规则!$A$6:$A$9,0),10),""))</f>
        <v/>
      </c>
      <c r="N632" s="66" t="str">
        <f aca="false">IF($L632="","",IFERROR(INDEX(记账规则!$A$6:$N$9,MATCH(购销流水!$D162,记账规则!$A$6:$A$9,0),11),""))</f>
        <v/>
      </c>
      <c r="O632" s="67" t="n">
        <f aca="false">IF($H632="",0,ROUND(IF($N632="成本金额",N(购销流水!$W162),IF($N632="金额",N(购销流水!$Q162),0)),2))</f>
        <v>0</v>
      </c>
      <c r="P632" s="64" t="str">
        <f aca="false">IF(AND($H632&lt;&gt;"",ROUND($O632,2)&lt;&gt;0),"有","")</f>
        <v/>
      </c>
    </row>
    <row r="633" customFormat="false" ht="15" hidden="true" customHeight="false" outlineLevel="0" collapsed="false">
      <c r="A633" s="53" t="str">
        <f aca="false">IF($H633="","",ROW()-5)</f>
        <v/>
      </c>
      <c r="B633" s="64" t="s">
        <v>36</v>
      </c>
      <c r="C633" s="53" t="n">
        <v>162</v>
      </c>
      <c r="D633" s="53" t="n">
        <v>4</v>
      </c>
      <c r="E633" s="65" t="str">
        <f aca="false">IF($H633="","",购销流水!$B162)</f>
        <v/>
      </c>
      <c r="F633" s="55" t="str">
        <f aca="false">IF($H633="","",购销流水!$C162)</f>
        <v/>
      </c>
      <c r="G633" s="48" t="str">
        <f aca="false">IF($H633="","",购销流水!$N162)</f>
        <v/>
      </c>
      <c r="H633" s="10" t="str">
        <f aca="false">IF($L633="","",IF($L633="@成本",购销流水!$U162,IF($L633="@收入",购销流水!$T162,IF($L633="@存货",购销流水!$S162,IF($L633="@结算",购销流水!$R162,$L633)))))</f>
        <v/>
      </c>
      <c r="I633" s="42" t="n">
        <f aca="false">IF($M633="借",$O633,0)</f>
        <v>0</v>
      </c>
      <c r="J633" s="42" t="n">
        <f aca="false">IF($M633="贷",$O633,0)</f>
        <v>0</v>
      </c>
      <c r="K633" s="48" t="str">
        <f aca="false">IF($H633="","",购销流水!$E162)</f>
        <v/>
      </c>
      <c r="L633" s="66" t="str">
        <f aca="false">IF(购销流水!$D162="","",IFERROR(INDEX(记账规则!$A$6:$N$9,MATCH(购销流水!$D162,记账规则!$A$6:$A$9,0),12),""))</f>
        <v/>
      </c>
      <c r="M633" s="66" t="str">
        <f aca="false">IF($L633="","",IFERROR(INDEX(记账规则!$A$6:$N$9,MATCH(购销流水!$D162,记账规则!$A$6:$A$9,0),13),""))</f>
        <v/>
      </c>
      <c r="N633" s="66" t="str">
        <f aca="false">IF($L633="","",IFERROR(INDEX(记账规则!$A$6:$N$9,MATCH(购销流水!$D162,记账规则!$A$6:$A$9,0),14),""))</f>
        <v/>
      </c>
      <c r="O633" s="67" t="n">
        <f aca="false">IF($H633="",0,ROUND(IF($N633="成本金额",N(购销流水!$W162),IF($N633="金额",N(购销流水!$Q162),0)),2))</f>
        <v>0</v>
      </c>
      <c r="P633" s="64" t="str">
        <f aca="false">IF(AND($H633&lt;&gt;"",ROUND($O633,2)&lt;&gt;0),"有","")</f>
        <v/>
      </c>
    </row>
    <row r="634" customFormat="false" ht="15" hidden="true" customHeight="false" outlineLevel="0" collapsed="false">
      <c r="A634" s="53" t="str">
        <f aca="false">IF($H634="","",ROW()-5)</f>
        <v/>
      </c>
      <c r="B634" s="64" t="s">
        <v>36</v>
      </c>
      <c r="C634" s="53" t="n">
        <v>163</v>
      </c>
      <c r="D634" s="53" t="n">
        <v>1</v>
      </c>
      <c r="E634" s="65" t="str">
        <f aca="false">IF($H634="","",购销流水!$B163)</f>
        <v/>
      </c>
      <c r="F634" s="55" t="str">
        <f aca="false">IF($H634="","",购销流水!$C163)</f>
        <v/>
      </c>
      <c r="G634" s="48" t="str">
        <f aca="false">IF($H634="","",购销流水!$N163)</f>
        <v/>
      </c>
      <c r="H634" s="10" t="str">
        <f aca="false">IF($L634="","",IF($L634="@成本",购销流水!$U163,IF($L634="@收入",购销流水!$T163,IF($L634="@存货",购销流水!$S163,IF($L634="@结算",购销流水!$R163,$L634)))))</f>
        <v/>
      </c>
      <c r="I634" s="42" t="n">
        <f aca="false">IF($M634="借",$O634,0)</f>
        <v>0</v>
      </c>
      <c r="J634" s="42" t="n">
        <f aca="false">IF($M634="贷",$O634,0)</f>
        <v>0</v>
      </c>
      <c r="K634" s="48" t="str">
        <f aca="false">IF($H634="","",购销流水!$E163)</f>
        <v/>
      </c>
      <c r="L634" s="66" t="str">
        <f aca="false">IF(购销流水!$D163="","",IFERROR(INDEX(记账规则!$A$6:$N$9,MATCH(购销流水!$D163,记账规则!$A$6:$A$9,0),3),""))</f>
        <v/>
      </c>
      <c r="M634" s="66" t="str">
        <f aca="false">IF($L634="","",IFERROR(INDEX(记账规则!$A$6:$N$9,MATCH(购销流水!$D163,记账规则!$A$6:$A$9,0),4),""))</f>
        <v/>
      </c>
      <c r="N634" s="66" t="str">
        <f aca="false">IF($L634="","",IFERROR(INDEX(记账规则!$A$6:$N$9,MATCH(购销流水!$D163,记账规则!$A$6:$A$9,0),5),""))</f>
        <v/>
      </c>
      <c r="O634" s="67" t="n">
        <f aca="false">IF($H634="",0,ROUND(IF($N634="成本金额",N(购销流水!$W163),IF($N634="金额",N(购销流水!$Q163),0)),2))</f>
        <v>0</v>
      </c>
      <c r="P634" s="64" t="str">
        <f aca="false">IF(AND($H634&lt;&gt;"",ROUND($O634,2)&lt;&gt;0),"有","")</f>
        <v/>
      </c>
    </row>
    <row r="635" customFormat="false" ht="15" hidden="true" customHeight="false" outlineLevel="0" collapsed="false">
      <c r="A635" s="53" t="str">
        <f aca="false">IF($H635="","",ROW()-5)</f>
        <v/>
      </c>
      <c r="B635" s="64" t="s">
        <v>36</v>
      </c>
      <c r="C635" s="53" t="n">
        <v>163</v>
      </c>
      <c r="D635" s="53" t="n">
        <v>2</v>
      </c>
      <c r="E635" s="65" t="str">
        <f aca="false">IF($H635="","",购销流水!$B163)</f>
        <v/>
      </c>
      <c r="F635" s="55" t="str">
        <f aca="false">IF($H635="","",购销流水!$C163)</f>
        <v/>
      </c>
      <c r="G635" s="48" t="str">
        <f aca="false">IF($H635="","",购销流水!$N163)</f>
        <v/>
      </c>
      <c r="H635" s="10" t="str">
        <f aca="false">IF($L635="","",IF($L635="@成本",购销流水!$U163,IF($L635="@收入",购销流水!$T163,IF($L635="@存货",购销流水!$S163,IF($L635="@结算",购销流水!$R163,$L635)))))</f>
        <v/>
      </c>
      <c r="I635" s="42" t="n">
        <f aca="false">IF($M635="借",$O635,0)</f>
        <v>0</v>
      </c>
      <c r="J635" s="42" t="n">
        <f aca="false">IF($M635="贷",$O635,0)</f>
        <v>0</v>
      </c>
      <c r="K635" s="48" t="str">
        <f aca="false">IF($H635="","",购销流水!$E163)</f>
        <v/>
      </c>
      <c r="L635" s="66" t="str">
        <f aca="false">IF(购销流水!$D163="","",IFERROR(INDEX(记账规则!$A$6:$N$9,MATCH(购销流水!$D163,记账规则!$A$6:$A$9,0),6),""))</f>
        <v/>
      </c>
      <c r="M635" s="66" t="str">
        <f aca="false">IF($L635="","",IFERROR(INDEX(记账规则!$A$6:$N$9,MATCH(购销流水!$D163,记账规则!$A$6:$A$9,0),7),""))</f>
        <v/>
      </c>
      <c r="N635" s="66" t="str">
        <f aca="false">IF($L635="","",IFERROR(INDEX(记账规则!$A$6:$N$9,MATCH(购销流水!$D163,记账规则!$A$6:$A$9,0),8),""))</f>
        <v/>
      </c>
      <c r="O635" s="67" t="n">
        <f aca="false">IF($H635="",0,ROUND(IF($N635="成本金额",N(购销流水!$W163),IF($N635="金额",N(购销流水!$Q163),0)),2))</f>
        <v>0</v>
      </c>
      <c r="P635" s="64" t="str">
        <f aca="false">IF(AND($H635&lt;&gt;"",ROUND($O635,2)&lt;&gt;0),"有","")</f>
        <v/>
      </c>
    </row>
    <row r="636" customFormat="false" ht="15" hidden="true" customHeight="false" outlineLevel="0" collapsed="false">
      <c r="A636" s="53" t="str">
        <f aca="false">IF($H636="","",ROW()-5)</f>
        <v/>
      </c>
      <c r="B636" s="64" t="s">
        <v>36</v>
      </c>
      <c r="C636" s="53" t="n">
        <v>163</v>
      </c>
      <c r="D636" s="53" t="n">
        <v>3</v>
      </c>
      <c r="E636" s="65" t="str">
        <f aca="false">IF($H636="","",购销流水!$B163)</f>
        <v/>
      </c>
      <c r="F636" s="55" t="str">
        <f aca="false">IF($H636="","",购销流水!$C163)</f>
        <v/>
      </c>
      <c r="G636" s="48" t="str">
        <f aca="false">IF($H636="","",购销流水!$N163)</f>
        <v/>
      </c>
      <c r="H636" s="10" t="str">
        <f aca="false">IF($L636="","",IF($L636="@成本",购销流水!$U163,IF($L636="@收入",购销流水!$T163,IF($L636="@存货",购销流水!$S163,IF($L636="@结算",购销流水!$R163,$L636)))))</f>
        <v/>
      </c>
      <c r="I636" s="42" t="n">
        <f aca="false">IF($M636="借",$O636,0)</f>
        <v>0</v>
      </c>
      <c r="J636" s="42" t="n">
        <f aca="false">IF($M636="贷",$O636,0)</f>
        <v>0</v>
      </c>
      <c r="K636" s="48" t="str">
        <f aca="false">IF($H636="","",购销流水!$E163)</f>
        <v/>
      </c>
      <c r="L636" s="66" t="str">
        <f aca="false">IF(购销流水!$D163="","",IFERROR(INDEX(记账规则!$A$6:$N$9,MATCH(购销流水!$D163,记账规则!$A$6:$A$9,0),9),""))</f>
        <v/>
      </c>
      <c r="M636" s="66" t="str">
        <f aca="false">IF($L636="","",IFERROR(INDEX(记账规则!$A$6:$N$9,MATCH(购销流水!$D163,记账规则!$A$6:$A$9,0),10),""))</f>
        <v/>
      </c>
      <c r="N636" s="66" t="str">
        <f aca="false">IF($L636="","",IFERROR(INDEX(记账规则!$A$6:$N$9,MATCH(购销流水!$D163,记账规则!$A$6:$A$9,0),11),""))</f>
        <v/>
      </c>
      <c r="O636" s="67" t="n">
        <f aca="false">IF($H636="",0,ROUND(IF($N636="成本金额",N(购销流水!$W163),IF($N636="金额",N(购销流水!$Q163),0)),2))</f>
        <v>0</v>
      </c>
      <c r="P636" s="64" t="str">
        <f aca="false">IF(AND($H636&lt;&gt;"",ROUND($O636,2)&lt;&gt;0),"有","")</f>
        <v/>
      </c>
    </row>
    <row r="637" customFormat="false" ht="15" hidden="true" customHeight="false" outlineLevel="0" collapsed="false">
      <c r="A637" s="53" t="str">
        <f aca="false">IF($H637="","",ROW()-5)</f>
        <v/>
      </c>
      <c r="B637" s="64" t="s">
        <v>36</v>
      </c>
      <c r="C637" s="53" t="n">
        <v>163</v>
      </c>
      <c r="D637" s="53" t="n">
        <v>4</v>
      </c>
      <c r="E637" s="65" t="str">
        <f aca="false">IF($H637="","",购销流水!$B163)</f>
        <v/>
      </c>
      <c r="F637" s="55" t="str">
        <f aca="false">IF($H637="","",购销流水!$C163)</f>
        <v/>
      </c>
      <c r="G637" s="48" t="str">
        <f aca="false">IF($H637="","",购销流水!$N163)</f>
        <v/>
      </c>
      <c r="H637" s="10" t="str">
        <f aca="false">IF($L637="","",IF($L637="@成本",购销流水!$U163,IF($L637="@收入",购销流水!$T163,IF($L637="@存货",购销流水!$S163,IF($L637="@结算",购销流水!$R163,$L637)))))</f>
        <v/>
      </c>
      <c r="I637" s="42" t="n">
        <f aca="false">IF($M637="借",$O637,0)</f>
        <v>0</v>
      </c>
      <c r="J637" s="42" t="n">
        <f aca="false">IF($M637="贷",$O637,0)</f>
        <v>0</v>
      </c>
      <c r="K637" s="48" t="str">
        <f aca="false">IF($H637="","",购销流水!$E163)</f>
        <v/>
      </c>
      <c r="L637" s="66" t="str">
        <f aca="false">IF(购销流水!$D163="","",IFERROR(INDEX(记账规则!$A$6:$N$9,MATCH(购销流水!$D163,记账规则!$A$6:$A$9,0),12),""))</f>
        <v/>
      </c>
      <c r="M637" s="66" t="str">
        <f aca="false">IF($L637="","",IFERROR(INDEX(记账规则!$A$6:$N$9,MATCH(购销流水!$D163,记账规则!$A$6:$A$9,0),13),""))</f>
        <v/>
      </c>
      <c r="N637" s="66" t="str">
        <f aca="false">IF($L637="","",IFERROR(INDEX(记账规则!$A$6:$N$9,MATCH(购销流水!$D163,记账规则!$A$6:$A$9,0),14),""))</f>
        <v/>
      </c>
      <c r="O637" s="67" t="n">
        <f aca="false">IF($H637="",0,ROUND(IF($N637="成本金额",N(购销流水!$W163),IF($N637="金额",N(购销流水!$Q163),0)),2))</f>
        <v>0</v>
      </c>
      <c r="P637" s="64" t="str">
        <f aca="false">IF(AND($H637&lt;&gt;"",ROUND($O637,2)&lt;&gt;0),"有","")</f>
        <v/>
      </c>
    </row>
    <row r="638" customFormat="false" ht="15" hidden="true" customHeight="false" outlineLevel="0" collapsed="false">
      <c r="A638" s="53" t="str">
        <f aca="false">IF($H638="","",ROW()-5)</f>
        <v/>
      </c>
      <c r="B638" s="64" t="s">
        <v>36</v>
      </c>
      <c r="C638" s="53" t="n">
        <v>164</v>
      </c>
      <c r="D638" s="53" t="n">
        <v>1</v>
      </c>
      <c r="E638" s="65" t="str">
        <f aca="false">IF($H638="","",购销流水!$B164)</f>
        <v/>
      </c>
      <c r="F638" s="55" t="str">
        <f aca="false">IF($H638="","",购销流水!$C164)</f>
        <v/>
      </c>
      <c r="G638" s="48" t="str">
        <f aca="false">IF($H638="","",购销流水!$N164)</f>
        <v/>
      </c>
      <c r="H638" s="10" t="str">
        <f aca="false">IF($L638="","",IF($L638="@成本",购销流水!$U164,IF($L638="@收入",购销流水!$T164,IF($L638="@存货",购销流水!$S164,IF($L638="@结算",购销流水!$R164,$L638)))))</f>
        <v/>
      </c>
      <c r="I638" s="42" t="n">
        <f aca="false">IF($M638="借",$O638,0)</f>
        <v>0</v>
      </c>
      <c r="J638" s="42" t="n">
        <f aca="false">IF($M638="贷",$O638,0)</f>
        <v>0</v>
      </c>
      <c r="K638" s="48" t="str">
        <f aca="false">IF($H638="","",购销流水!$E164)</f>
        <v/>
      </c>
      <c r="L638" s="66" t="str">
        <f aca="false">IF(购销流水!$D164="","",IFERROR(INDEX(记账规则!$A$6:$N$9,MATCH(购销流水!$D164,记账规则!$A$6:$A$9,0),3),""))</f>
        <v/>
      </c>
      <c r="M638" s="66" t="str">
        <f aca="false">IF($L638="","",IFERROR(INDEX(记账规则!$A$6:$N$9,MATCH(购销流水!$D164,记账规则!$A$6:$A$9,0),4),""))</f>
        <v/>
      </c>
      <c r="N638" s="66" t="str">
        <f aca="false">IF($L638="","",IFERROR(INDEX(记账规则!$A$6:$N$9,MATCH(购销流水!$D164,记账规则!$A$6:$A$9,0),5),""))</f>
        <v/>
      </c>
      <c r="O638" s="67" t="n">
        <f aca="false">IF($H638="",0,ROUND(IF($N638="成本金额",N(购销流水!$W164),IF($N638="金额",N(购销流水!$Q164),0)),2))</f>
        <v>0</v>
      </c>
      <c r="P638" s="64" t="str">
        <f aca="false">IF(AND($H638&lt;&gt;"",ROUND($O638,2)&lt;&gt;0),"有","")</f>
        <v/>
      </c>
    </row>
    <row r="639" customFormat="false" ht="15" hidden="true" customHeight="false" outlineLevel="0" collapsed="false">
      <c r="A639" s="53" t="str">
        <f aca="false">IF($H639="","",ROW()-5)</f>
        <v/>
      </c>
      <c r="B639" s="64" t="s">
        <v>36</v>
      </c>
      <c r="C639" s="53" t="n">
        <v>164</v>
      </c>
      <c r="D639" s="53" t="n">
        <v>2</v>
      </c>
      <c r="E639" s="65" t="str">
        <f aca="false">IF($H639="","",购销流水!$B164)</f>
        <v/>
      </c>
      <c r="F639" s="55" t="str">
        <f aca="false">IF($H639="","",购销流水!$C164)</f>
        <v/>
      </c>
      <c r="G639" s="48" t="str">
        <f aca="false">IF($H639="","",购销流水!$N164)</f>
        <v/>
      </c>
      <c r="H639" s="10" t="str">
        <f aca="false">IF($L639="","",IF($L639="@成本",购销流水!$U164,IF($L639="@收入",购销流水!$T164,IF($L639="@存货",购销流水!$S164,IF($L639="@结算",购销流水!$R164,$L639)))))</f>
        <v/>
      </c>
      <c r="I639" s="42" t="n">
        <f aca="false">IF($M639="借",$O639,0)</f>
        <v>0</v>
      </c>
      <c r="J639" s="42" t="n">
        <f aca="false">IF($M639="贷",$O639,0)</f>
        <v>0</v>
      </c>
      <c r="K639" s="48" t="str">
        <f aca="false">IF($H639="","",购销流水!$E164)</f>
        <v/>
      </c>
      <c r="L639" s="66" t="str">
        <f aca="false">IF(购销流水!$D164="","",IFERROR(INDEX(记账规则!$A$6:$N$9,MATCH(购销流水!$D164,记账规则!$A$6:$A$9,0),6),""))</f>
        <v/>
      </c>
      <c r="M639" s="66" t="str">
        <f aca="false">IF($L639="","",IFERROR(INDEX(记账规则!$A$6:$N$9,MATCH(购销流水!$D164,记账规则!$A$6:$A$9,0),7),""))</f>
        <v/>
      </c>
      <c r="N639" s="66" t="str">
        <f aca="false">IF($L639="","",IFERROR(INDEX(记账规则!$A$6:$N$9,MATCH(购销流水!$D164,记账规则!$A$6:$A$9,0),8),""))</f>
        <v/>
      </c>
      <c r="O639" s="67" t="n">
        <f aca="false">IF($H639="",0,ROUND(IF($N639="成本金额",N(购销流水!$W164),IF($N639="金额",N(购销流水!$Q164),0)),2))</f>
        <v>0</v>
      </c>
      <c r="P639" s="64" t="str">
        <f aca="false">IF(AND($H639&lt;&gt;"",ROUND($O639,2)&lt;&gt;0),"有","")</f>
        <v/>
      </c>
    </row>
    <row r="640" customFormat="false" ht="15" hidden="true" customHeight="false" outlineLevel="0" collapsed="false">
      <c r="A640" s="53" t="str">
        <f aca="false">IF($H640="","",ROW()-5)</f>
        <v/>
      </c>
      <c r="B640" s="64" t="s">
        <v>36</v>
      </c>
      <c r="C640" s="53" t="n">
        <v>164</v>
      </c>
      <c r="D640" s="53" t="n">
        <v>3</v>
      </c>
      <c r="E640" s="65" t="str">
        <f aca="false">IF($H640="","",购销流水!$B164)</f>
        <v/>
      </c>
      <c r="F640" s="55" t="str">
        <f aca="false">IF($H640="","",购销流水!$C164)</f>
        <v/>
      </c>
      <c r="G640" s="48" t="str">
        <f aca="false">IF($H640="","",购销流水!$N164)</f>
        <v/>
      </c>
      <c r="H640" s="10" t="str">
        <f aca="false">IF($L640="","",IF($L640="@成本",购销流水!$U164,IF($L640="@收入",购销流水!$T164,IF($L640="@存货",购销流水!$S164,IF($L640="@结算",购销流水!$R164,$L640)))))</f>
        <v/>
      </c>
      <c r="I640" s="42" t="n">
        <f aca="false">IF($M640="借",$O640,0)</f>
        <v>0</v>
      </c>
      <c r="J640" s="42" t="n">
        <f aca="false">IF($M640="贷",$O640,0)</f>
        <v>0</v>
      </c>
      <c r="K640" s="48" t="str">
        <f aca="false">IF($H640="","",购销流水!$E164)</f>
        <v/>
      </c>
      <c r="L640" s="66" t="str">
        <f aca="false">IF(购销流水!$D164="","",IFERROR(INDEX(记账规则!$A$6:$N$9,MATCH(购销流水!$D164,记账规则!$A$6:$A$9,0),9),""))</f>
        <v/>
      </c>
      <c r="M640" s="66" t="str">
        <f aca="false">IF($L640="","",IFERROR(INDEX(记账规则!$A$6:$N$9,MATCH(购销流水!$D164,记账规则!$A$6:$A$9,0),10),""))</f>
        <v/>
      </c>
      <c r="N640" s="66" t="str">
        <f aca="false">IF($L640="","",IFERROR(INDEX(记账规则!$A$6:$N$9,MATCH(购销流水!$D164,记账规则!$A$6:$A$9,0),11),""))</f>
        <v/>
      </c>
      <c r="O640" s="67" t="n">
        <f aca="false">IF($H640="",0,ROUND(IF($N640="成本金额",N(购销流水!$W164),IF($N640="金额",N(购销流水!$Q164),0)),2))</f>
        <v>0</v>
      </c>
      <c r="P640" s="64" t="str">
        <f aca="false">IF(AND($H640&lt;&gt;"",ROUND($O640,2)&lt;&gt;0),"有","")</f>
        <v/>
      </c>
    </row>
    <row r="641" customFormat="false" ht="15" hidden="true" customHeight="false" outlineLevel="0" collapsed="false">
      <c r="A641" s="53" t="str">
        <f aca="false">IF($H641="","",ROW()-5)</f>
        <v/>
      </c>
      <c r="B641" s="64" t="s">
        <v>36</v>
      </c>
      <c r="C641" s="53" t="n">
        <v>164</v>
      </c>
      <c r="D641" s="53" t="n">
        <v>4</v>
      </c>
      <c r="E641" s="65" t="str">
        <f aca="false">IF($H641="","",购销流水!$B164)</f>
        <v/>
      </c>
      <c r="F641" s="55" t="str">
        <f aca="false">IF($H641="","",购销流水!$C164)</f>
        <v/>
      </c>
      <c r="G641" s="48" t="str">
        <f aca="false">IF($H641="","",购销流水!$N164)</f>
        <v/>
      </c>
      <c r="H641" s="10" t="str">
        <f aca="false">IF($L641="","",IF($L641="@成本",购销流水!$U164,IF($L641="@收入",购销流水!$T164,IF($L641="@存货",购销流水!$S164,IF($L641="@结算",购销流水!$R164,$L641)))))</f>
        <v/>
      </c>
      <c r="I641" s="42" t="n">
        <f aca="false">IF($M641="借",$O641,0)</f>
        <v>0</v>
      </c>
      <c r="J641" s="42" t="n">
        <f aca="false">IF($M641="贷",$O641,0)</f>
        <v>0</v>
      </c>
      <c r="K641" s="48" t="str">
        <f aca="false">IF($H641="","",购销流水!$E164)</f>
        <v/>
      </c>
      <c r="L641" s="66" t="str">
        <f aca="false">IF(购销流水!$D164="","",IFERROR(INDEX(记账规则!$A$6:$N$9,MATCH(购销流水!$D164,记账规则!$A$6:$A$9,0),12),""))</f>
        <v/>
      </c>
      <c r="M641" s="66" t="str">
        <f aca="false">IF($L641="","",IFERROR(INDEX(记账规则!$A$6:$N$9,MATCH(购销流水!$D164,记账规则!$A$6:$A$9,0),13),""))</f>
        <v/>
      </c>
      <c r="N641" s="66" t="str">
        <f aca="false">IF($L641="","",IFERROR(INDEX(记账规则!$A$6:$N$9,MATCH(购销流水!$D164,记账规则!$A$6:$A$9,0),14),""))</f>
        <v/>
      </c>
      <c r="O641" s="67" t="n">
        <f aca="false">IF($H641="",0,ROUND(IF($N641="成本金额",N(购销流水!$W164),IF($N641="金额",N(购销流水!$Q164),0)),2))</f>
        <v>0</v>
      </c>
      <c r="P641" s="64" t="str">
        <f aca="false">IF(AND($H641&lt;&gt;"",ROUND($O641,2)&lt;&gt;0),"有","")</f>
        <v/>
      </c>
    </row>
    <row r="642" customFormat="false" ht="15" hidden="true" customHeight="false" outlineLevel="0" collapsed="false">
      <c r="A642" s="53" t="str">
        <f aca="false">IF($H642="","",ROW()-5)</f>
        <v/>
      </c>
      <c r="B642" s="64" t="s">
        <v>36</v>
      </c>
      <c r="C642" s="53" t="n">
        <v>165</v>
      </c>
      <c r="D642" s="53" t="n">
        <v>1</v>
      </c>
      <c r="E642" s="65" t="str">
        <f aca="false">IF($H642="","",购销流水!$B165)</f>
        <v/>
      </c>
      <c r="F642" s="55" t="str">
        <f aca="false">IF($H642="","",购销流水!$C165)</f>
        <v/>
      </c>
      <c r="G642" s="48" t="str">
        <f aca="false">IF($H642="","",购销流水!$N165)</f>
        <v/>
      </c>
      <c r="H642" s="10" t="str">
        <f aca="false">IF($L642="","",IF($L642="@成本",购销流水!$U165,IF($L642="@收入",购销流水!$T165,IF($L642="@存货",购销流水!$S165,IF($L642="@结算",购销流水!$R165,$L642)))))</f>
        <v/>
      </c>
      <c r="I642" s="42" t="n">
        <f aca="false">IF($M642="借",$O642,0)</f>
        <v>0</v>
      </c>
      <c r="J642" s="42" t="n">
        <f aca="false">IF($M642="贷",$O642,0)</f>
        <v>0</v>
      </c>
      <c r="K642" s="48" t="str">
        <f aca="false">IF($H642="","",购销流水!$E165)</f>
        <v/>
      </c>
      <c r="L642" s="66" t="str">
        <f aca="false">IF(购销流水!$D165="","",IFERROR(INDEX(记账规则!$A$6:$N$9,MATCH(购销流水!$D165,记账规则!$A$6:$A$9,0),3),""))</f>
        <v/>
      </c>
      <c r="M642" s="66" t="str">
        <f aca="false">IF($L642="","",IFERROR(INDEX(记账规则!$A$6:$N$9,MATCH(购销流水!$D165,记账规则!$A$6:$A$9,0),4),""))</f>
        <v/>
      </c>
      <c r="N642" s="66" t="str">
        <f aca="false">IF($L642="","",IFERROR(INDEX(记账规则!$A$6:$N$9,MATCH(购销流水!$D165,记账规则!$A$6:$A$9,0),5),""))</f>
        <v/>
      </c>
      <c r="O642" s="67" t="n">
        <f aca="false">IF($H642="",0,ROUND(IF($N642="成本金额",N(购销流水!$W165),IF($N642="金额",N(购销流水!$Q165),0)),2))</f>
        <v>0</v>
      </c>
      <c r="P642" s="64" t="str">
        <f aca="false">IF(AND($H642&lt;&gt;"",ROUND($O642,2)&lt;&gt;0),"有","")</f>
        <v/>
      </c>
    </row>
    <row r="643" customFormat="false" ht="15" hidden="true" customHeight="false" outlineLevel="0" collapsed="false">
      <c r="A643" s="53" t="str">
        <f aca="false">IF($H643="","",ROW()-5)</f>
        <v/>
      </c>
      <c r="B643" s="64" t="s">
        <v>36</v>
      </c>
      <c r="C643" s="53" t="n">
        <v>165</v>
      </c>
      <c r="D643" s="53" t="n">
        <v>2</v>
      </c>
      <c r="E643" s="65" t="str">
        <f aca="false">IF($H643="","",购销流水!$B165)</f>
        <v/>
      </c>
      <c r="F643" s="55" t="str">
        <f aca="false">IF($H643="","",购销流水!$C165)</f>
        <v/>
      </c>
      <c r="G643" s="48" t="str">
        <f aca="false">IF($H643="","",购销流水!$N165)</f>
        <v/>
      </c>
      <c r="H643" s="10" t="str">
        <f aca="false">IF($L643="","",IF($L643="@成本",购销流水!$U165,IF($L643="@收入",购销流水!$T165,IF($L643="@存货",购销流水!$S165,IF($L643="@结算",购销流水!$R165,$L643)))))</f>
        <v/>
      </c>
      <c r="I643" s="42" t="n">
        <f aca="false">IF($M643="借",$O643,0)</f>
        <v>0</v>
      </c>
      <c r="J643" s="42" t="n">
        <f aca="false">IF($M643="贷",$O643,0)</f>
        <v>0</v>
      </c>
      <c r="K643" s="48" t="str">
        <f aca="false">IF($H643="","",购销流水!$E165)</f>
        <v/>
      </c>
      <c r="L643" s="66" t="str">
        <f aca="false">IF(购销流水!$D165="","",IFERROR(INDEX(记账规则!$A$6:$N$9,MATCH(购销流水!$D165,记账规则!$A$6:$A$9,0),6),""))</f>
        <v/>
      </c>
      <c r="M643" s="66" t="str">
        <f aca="false">IF($L643="","",IFERROR(INDEX(记账规则!$A$6:$N$9,MATCH(购销流水!$D165,记账规则!$A$6:$A$9,0),7),""))</f>
        <v/>
      </c>
      <c r="N643" s="66" t="str">
        <f aca="false">IF($L643="","",IFERROR(INDEX(记账规则!$A$6:$N$9,MATCH(购销流水!$D165,记账规则!$A$6:$A$9,0),8),""))</f>
        <v/>
      </c>
      <c r="O643" s="67" t="n">
        <f aca="false">IF($H643="",0,ROUND(IF($N643="成本金额",N(购销流水!$W165),IF($N643="金额",N(购销流水!$Q165),0)),2))</f>
        <v>0</v>
      </c>
      <c r="P643" s="64" t="str">
        <f aca="false">IF(AND($H643&lt;&gt;"",ROUND($O643,2)&lt;&gt;0),"有","")</f>
        <v/>
      </c>
    </row>
    <row r="644" customFormat="false" ht="15" hidden="true" customHeight="false" outlineLevel="0" collapsed="false">
      <c r="A644" s="53" t="str">
        <f aca="false">IF($H644="","",ROW()-5)</f>
        <v/>
      </c>
      <c r="B644" s="64" t="s">
        <v>36</v>
      </c>
      <c r="C644" s="53" t="n">
        <v>165</v>
      </c>
      <c r="D644" s="53" t="n">
        <v>3</v>
      </c>
      <c r="E644" s="65" t="str">
        <f aca="false">IF($H644="","",购销流水!$B165)</f>
        <v/>
      </c>
      <c r="F644" s="55" t="str">
        <f aca="false">IF($H644="","",购销流水!$C165)</f>
        <v/>
      </c>
      <c r="G644" s="48" t="str">
        <f aca="false">IF($H644="","",购销流水!$N165)</f>
        <v/>
      </c>
      <c r="H644" s="10" t="str">
        <f aca="false">IF($L644="","",IF($L644="@成本",购销流水!$U165,IF($L644="@收入",购销流水!$T165,IF($L644="@存货",购销流水!$S165,IF($L644="@结算",购销流水!$R165,$L644)))))</f>
        <v/>
      </c>
      <c r="I644" s="42" t="n">
        <f aca="false">IF($M644="借",$O644,0)</f>
        <v>0</v>
      </c>
      <c r="J644" s="42" t="n">
        <f aca="false">IF($M644="贷",$O644,0)</f>
        <v>0</v>
      </c>
      <c r="K644" s="48" t="str">
        <f aca="false">IF($H644="","",购销流水!$E165)</f>
        <v/>
      </c>
      <c r="L644" s="66" t="str">
        <f aca="false">IF(购销流水!$D165="","",IFERROR(INDEX(记账规则!$A$6:$N$9,MATCH(购销流水!$D165,记账规则!$A$6:$A$9,0),9),""))</f>
        <v/>
      </c>
      <c r="M644" s="66" t="str">
        <f aca="false">IF($L644="","",IFERROR(INDEX(记账规则!$A$6:$N$9,MATCH(购销流水!$D165,记账规则!$A$6:$A$9,0),10),""))</f>
        <v/>
      </c>
      <c r="N644" s="66" t="str">
        <f aca="false">IF($L644="","",IFERROR(INDEX(记账规则!$A$6:$N$9,MATCH(购销流水!$D165,记账规则!$A$6:$A$9,0),11),""))</f>
        <v/>
      </c>
      <c r="O644" s="67" t="n">
        <f aca="false">IF($H644="",0,ROUND(IF($N644="成本金额",N(购销流水!$W165),IF($N644="金额",N(购销流水!$Q165),0)),2))</f>
        <v>0</v>
      </c>
      <c r="P644" s="64" t="str">
        <f aca="false">IF(AND($H644&lt;&gt;"",ROUND($O644,2)&lt;&gt;0),"有","")</f>
        <v/>
      </c>
    </row>
    <row r="645" customFormat="false" ht="15" hidden="true" customHeight="false" outlineLevel="0" collapsed="false">
      <c r="A645" s="53" t="str">
        <f aca="false">IF($H645="","",ROW()-5)</f>
        <v/>
      </c>
      <c r="B645" s="64" t="s">
        <v>36</v>
      </c>
      <c r="C645" s="53" t="n">
        <v>165</v>
      </c>
      <c r="D645" s="53" t="n">
        <v>4</v>
      </c>
      <c r="E645" s="65" t="str">
        <f aca="false">IF($H645="","",购销流水!$B165)</f>
        <v/>
      </c>
      <c r="F645" s="55" t="str">
        <f aca="false">IF($H645="","",购销流水!$C165)</f>
        <v/>
      </c>
      <c r="G645" s="48" t="str">
        <f aca="false">IF($H645="","",购销流水!$N165)</f>
        <v/>
      </c>
      <c r="H645" s="10" t="str">
        <f aca="false">IF($L645="","",IF($L645="@成本",购销流水!$U165,IF($L645="@收入",购销流水!$T165,IF($L645="@存货",购销流水!$S165,IF($L645="@结算",购销流水!$R165,$L645)))))</f>
        <v/>
      </c>
      <c r="I645" s="42" t="n">
        <f aca="false">IF($M645="借",$O645,0)</f>
        <v>0</v>
      </c>
      <c r="J645" s="42" t="n">
        <f aca="false">IF($M645="贷",$O645,0)</f>
        <v>0</v>
      </c>
      <c r="K645" s="48" t="str">
        <f aca="false">IF($H645="","",购销流水!$E165)</f>
        <v/>
      </c>
      <c r="L645" s="66" t="str">
        <f aca="false">IF(购销流水!$D165="","",IFERROR(INDEX(记账规则!$A$6:$N$9,MATCH(购销流水!$D165,记账规则!$A$6:$A$9,0),12),""))</f>
        <v/>
      </c>
      <c r="M645" s="66" t="str">
        <f aca="false">IF($L645="","",IFERROR(INDEX(记账规则!$A$6:$N$9,MATCH(购销流水!$D165,记账规则!$A$6:$A$9,0),13),""))</f>
        <v/>
      </c>
      <c r="N645" s="66" t="str">
        <f aca="false">IF($L645="","",IFERROR(INDEX(记账规则!$A$6:$N$9,MATCH(购销流水!$D165,记账规则!$A$6:$A$9,0),14),""))</f>
        <v/>
      </c>
      <c r="O645" s="67" t="n">
        <f aca="false">IF($H645="",0,ROUND(IF($N645="成本金额",N(购销流水!$W165),IF($N645="金额",N(购销流水!$Q165),0)),2))</f>
        <v>0</v>
      </c>
      <c r="P645" s="64" t="str">
        <f aca="false">IF(AND($H645&lt;&gt;"",ROUND($O645,2)&lt;&gt;0),"有","")</f>
        <v/>
      </c>
    </row>
    <row r="646" customFormat="false" ht="15" hidden="true" customHeight="false" outlineLevel="0" collapsed="false">
      <c r="A646" s="53" t="str">
        <f aca="false">IF($H646="","",ROW()-5)</f>
        <v/>
      </c>
      <c r="B646" s="64" t="s">
        <v>36</v>
      </c>
      <c r="C646" s="53" t="n">
        <v>166</v>
      </c>
      <c r="D646" s="53" t="n">
        <v>1</v>
      </c>
      <c r="E646" s="65" t="str">
        <f aca="false">IF($H646="","",购销流水!$B166)</f>
        <v/>
      </c>
      <c r="F646" s="55" t="str">
        <f aca="false">IF($H646="","",购销流水!$C166)</f>
        <v/>
      </c>
      <c r="G646" s="48" t="str">
        <f aca="false">IF($H646="","",购销流水!$N166)</f>
        <v/>
      </c>
      <c r="H646" s="10" t="str">
        <f aca="false">IF($L646="","",IF($L646="@成本",购销流水!$U166,IF($L646="@收入",购销流水!$T166,IF($L646="@存货",购销流水!$S166,IF($L646="@结算",购销流水!$R166,$L646)))))</f>
        <v/>
      </c>
      <c r="I646" s="42" t="n">
        <f aca="false">IF($M646="借",$O646,0)</f>
        <v>0</v>
      </c>
      <c r="J646" s="42" t="n">
        <f aca="false">IF($M646="贷",$O646,0)</f>
        <v>0</v>
      </c>
      <c r="K646" s="48" t="str">
        <f aca="false">IF($H646="","",购销流水!$E166)</f>
        <v/>
      </c>
      <c r="L646" s="66" t="str">
        <f aca="false">IF(购销流水!$D166="","",IFERROR(INDEX(记账规则!$A$6:$N$9,MATCH(购销流水!$D166,记账规则!$A$6:$A$9,0),3),""))</f>
        <v/>
      </c>
      <c r="M646" s="66" t="str">
        <f aca="false">IF($L646="","",IFERROR(INDEX(记账规则!$A$6:$N$9,MATCH(购销流水!$D166,记账规则!$A$6:$A$9,0),4),""))</f>
        <v/>
      </c>
      <c r="N646" s="66" t="str">
        <f aca="false">IF($L646="","",IFERROR(INDEX(记账规则!$A$6:$N$9,MATCH(购销流水!$D166,记账规则!$A$6:$A$9,0),5),""))</f>
        <v/>
      </c>
      <c r="O646" s="67" t="n">
        <f aca="false">IF($H646="",0,ROUND(IF($N646="成本金额",N(购销流水!$W166),IF($N646="金额",N(购销流水!$Q166),0)),2))</f>
        <v>0</v>
      </c>
      <c r="P646" s="64" t="str">
        <f aca="false">IF(AND($H646&lt;&gt;"",ROUND($O646,2)&lt;&gt;0),"有","")</f>
        <v/>
      </c>
    </row>
    <row r="647" customFormat="false" ht="15" hidden="true" customHeight="false" outlineLevel="0" collapsed="false">
      <c r="A647" s="53" t="str">
        <f aca="false">IF($H647="","",ROW()-5)</f>
        <v/>
      </c>
      <c r="B647" s="64" t="s">
        <v>36</v>
      </c>
      <c r="C647" s="53" t="n">
        <v>166</v>
      </c>
      <c r="D647" s="53" t="n">
        <v>2</v>
      </c>
      <c r="E647" s="65" t="str">
        <f aca="false">IF($H647="","",购销流水!$B166)</f>
        <v/>
      </c>
      <c r="F647" s="55" t="str">
        <f aca="false">IF($H647="","",购销流水!$C166)</f>
        <v/>
      </c>
      <c r="G647" s="48" t="str">
        <f aca="false">IF($H647="","",购销流水!$N166)</f>
        <v/>
      </c>
      <c r="H647" s="10" t="str">
        <f aca="false">IF($L647="","",IF($L647="@成本",购销流水!$U166,IF($L647="@收入",购销流水!$T166,IF($L647="@存货",购销流水!$S166,IF($L647="@结算",购销流水!$R166,$L647)))))</f>
        <v/>
      </c>
      <c r="I647" s="42" t="n">
        <f aca="false">IF($M647="借",$O647,0)</f>
        <v>0</v>
      </c>
      <c r="J647" s="42" t="n">
        <f aca="false">IF($M647="贷",$O647,0)</f>
        <v>0</v>
      </c>
      <c r="K647" s="48" t="str">
        <f aca="false">IF($H647="","",购销流水!$E166)</f>
        <v/>
      </c>
      <c r="L647" s="66" t="str">
        <f aca="false">IF(购销流水!$D166="","",IFERROR(INDEX(记账规则!$A$6:$N$9,MATCH(购销流水!$D166,记账规则!$A$6:$A$9,0),6),""))</f>
        <v/>
      </c>
      <c r="M647" s="66" t="str">
        <f aca="false">IF($L647="","",IFERROR(INDEX(记账规则!$A$6:$N$9,MATCH(购销流水!$D166,记账规则!$A$6:$A$9,0),7),""))</f>
        <v/>
      </c>
      <c r="N647" s="66" t="str">
        <f aca="false">IF($L647="","",IFERROR(INDEX(记账规则!$A$6:$N$9,MATCH(购销流水!$D166,记账规则!$A$6:$A$9,0),8),""))</f>
        <v/>
      </c>
      <c r="O647" s="67" t="n">
        <f aca="false">IF($H647="",0,ROUND(IF($N647="成本金额",N(购销流水!$W166),IF($N647="金额",N(购销流水!$Q166),0)),2))</f>
        <v>0</v>
      </c>
      <c r="P647" s="64" t="str">
        <f aca="false">IF(AND($H647&lt;&gt;"",ROUND($O647,2)&lt;&gt;0),"有","")</f>
        <v/>
      </c>
    </row>
    <row r="648" customFormat="false" ht="15" hidden="true" customHeight="false" outlineLevel="0" collapsed="false">
      <c r="A648" s="53" t="str">
        <f aca="false">IF($H648="","",ROW()-5)</f>
        <v/>
      </c>
      <c r="B648" s="64" t="s">
        <v>36</v>
      </c>
      <c r="C648" s="53" t="n">
        <v>166</v>
      </c>
      <c r="D648" s="53" t="n">
        <v>3</v>
      </c>
      <c r="E648" s="65" t="str">
        <f aca="false">IF($H648="","",购销流水!$B166)</f>
        <v/>
      </c>
      <c r="F648" s="55" t="str">
        <f aca="false">IF($H648="","",购销流水!$C166)</f>
        <v/>
      </c>
      <c r="G648" s="48" t="str">
        <f aca="false">IF($H648="","",购销流水!$N166)</f>
        <v/>
      </c>
      <c r="H648" s="10" t="str">
        <f aca="false">IF($L648="","",IF($L648="@成本",购销流水!$U166,IF($L648="@收入",购销流水!$T166,IF($L648="@存货",购销流水!$S166,IF($L648="@结算",购销流水!$R166,$L648)))))</f>
        <v/>
      </c>
      <c r="I648" s="42" t="n">
        <f aca="false">IF($M648="借",$O648,0)</f>
        <v>0</v>
      </c>
      <c r="J648" s="42" t="n">
        <f aca="false">IF($M648="贷",$O648,0)</f>
        <v>0</v>
      </c>
      <c r="K648" s="48" t="str">
        <f aca="false">IF($H648="","",购销流水!$E166)</f>
        <v/>
      </c>
      <c r="L648" s="66" t="str">
        <f aca="false">IF(购销流水!$D166="","",IFERROR(INDEX(记账规则!$A$6:$N$9,MATCH(购销流水!$D166,记账规则!$A$6:$A$9,0),9),""))</f>
        <v/>
      </c>
      <c r="M648" s="66" t="str">
        <f aca="false">IF($L648="","",IFERROR(INDEX(记账规则!$A$6:$N$9,MATCH(购销流水!$D166,记账规则!$A$6:$A$9,0),10),""))</f>
        <v/>
      </c>
      <c r="N648" s="66" t="str">
        <f aca="false">IF($L648="","",IFERROR(INDEX(记账规则!$A$6:$N$9,MATCH(购销流水!$D166,记账规则!$A$6:$A$9,0),11),""))</f>
        <v/>
      </c>
      <c r="O648" s="67" t="n">
        <f aca="false">IF($H648="",0,ROUND(IF($N648="成本金额",N(购销流水!$W166),IF($N648="金额",N(购销流水!$Q166),0)),2))</f>
        <v>0</v>
      </c>
      <c r="P648" s="64" t="str">
        <f aca="false">IF(AND($H648&lt;&gt;"",ROUND($O648,2)&lt;&gt;0),"有","")</f>
        <v/>
      </c>
    </row>
    <row r="649" customFormat="false" ht="15" hidden="true" customHeight="false" outlineLevel="0" collapsed="false">
      <c r="A649" s="53" t="str">
        <f aca="false">IF($H649="","",ROW()-5)</f>
        <v/>
      </c>
      <c r="B649" s="64" t="s">
        <v>36</v>
      </c>
      <c r="C649" s="53" t="n">
        <v>166</v>
      </c>
      <c r="D649" s="53" t="n">
        <v>4</v>
      </c>
      <c r="E649" s="65" t="str">
        <f aca="false">IF($H649="","",购销流水!$B166)</f>
        <v/>
      </c>
      <c r="F649" s="55" t="str">
        <f aca="false">IF($H649="","",购销流水!$C166)</f>
        <v/>
      </c>
      <c r="G649" s="48" t="str">
        <f aca="false">IF($H649="","",购销流水!$N166)</f>
        <v/>
      </c>
      <c r="H649" s="10" t="str">
        <f aca="false">IF($L649="","",IF($L649="@成本",购销流水!$U166,IF($L649="@收入",购销流水!$T166,IF($L649="@存货",购销流水!$S166,IF($L649="@结算",购销流水!$R166,$L649)))))</f>
        <v/>
      </c>
      <c r="I649" s="42" t="n">
        <f aca="false">IF($M649="借",$O649,0)</f>
        <v>0</v>
      </c>
      <c r="J649" s="42" t="n">
        <f aca="false">IF($M649="贷",$O649,0)</f>
        <v>0</v>
      </c>
      <c r="K649" s="48" t="str">
        <f aca="false">IF($H649="","",购销流水!$E166)</f>
        <v/>
      </c>
      <c r="L649" s="66" t="str">
        <f aca="false">IF(购销流水!$D166="","",IFERROR(INDEX(记账规则!$A$6:$N$9,MATCH(购销流水!$D166,记账规则!$A$6:$A$9,0),12),""))</f>
        <v/>
      </c>
      <c r="M649" s="66" t="str">
        <f aca="false">IF($L649="","",IFERROR(INDEX(记账规则!$A$6:$N$9,MATCH(购销流水!$D166,记账规则!$A$6:$A$9,0),13),""))</f>
        <v/>
      </c>
      <c r="N649" s="66" t="str">
        <f aca="false">IF($L649="","",IFERROR(INDEX(记账规则!$A$6:$N$9,MATCH(购销流水!$D166,记账规则!$A$6:$A$9,0),14),""))</f>
        <v/>
      </c>
      <c r="O649" s="67" t="n">
        <f aca="false">IF($H649="",0,ROUND(IF($N649="成本金额",N(购销流水!$W166),IF($N649="金额",N(购销流水!$Q166),0)),2))</f>
        <v>0</v>
      </c>
      <c r="P649" s="64" t="str">
        <f aca="false">IF(AND($H649&lt;&gt;"",ROUND($O649,2)&lt;&gt;0),"有","")</f>
        <v/>
      </c>
    </row>
    <row r="650" customFormat="false" ht="15" hidden="true" customHeight="false" outlineLevel="0" collapsed="false">
      <c r="A650" s="53" t="str">
        <f aca="false">IF($H650="","",ROW()-5)</f>
        <v/>
      </c>
      <c r="B650" s="64" t="s">
        <v>36</v>
      </c>
      <c r="C650" s="53" t="n">
        <v>167</v>
      </c>
      <c r="D650" s="53" t="n">
        <v>1</v>
      </c>
      <c r="E650" s="65" t="str">
        <f aca="false">IF($H650="","",购销流水!$B167)</f>
        <v/>
      </c>
      <c r="F650" s="55" t="str">
        <f aca="false">IF($H650="","",购销流水!$C167)</f>
        <v/>
      </c>
      <c r="G650" s="48" t="str">
        <f aca="false">IF($H650="","",购销流水!$N167)</f>
        <v/>
      </c>
      <c r="H650" s="10" t="str">
        <f aca="false">IF($L650="","",IF($L650="@成本",购销流水!$U167,IF($L650="@收入",购销流水!$T167,IF($L650="@存货",购销流水!$S167,IF($L650="@结算",购销流水!$R167,$L650)))))</f>
        <v/>
      </c>
      <c r="I650" s="42" t="n">
        <f aca="false">IF($M650="借",$O650,0)</f>
        <v>0</v>
      </c>
      <c r="J650" s="42" t="n">
        <f aca="false">IF($M650="贷",$O650,0)</f>
        <v>0</v>
      </c>
      <c r="K650" s="48" t="str">
        <f aca="false">IF($H650="","",购销流水!$E167)</f>
        <v/>
      </c>
      <c r="L650" s="66" t="str">
        <f aca="false">IF(购销流水!$D167="","",IFERROR(INDEX(记账规则!$A$6:$N$9,MATCH(购销流水!$D167,记账规则!$A$6:$A$9,0),3),""))</f>
        <v/>
      </c>
      <c r="M650" s="66" t="str">
        <f aca="false">IF($L650="","",IFERROR(INDEX(记账规则!$A$6:$N$9,MATCH(购销流水!$D167,记账规则!$A$6:$A$9,0),4),""))</f>
        <v/>
      </c>
      <c r="N650" s="66" t="str">
        <f aca="false">IF($L650="","",IFERROR(INDEX(记账规则!$A$6:$N$9,MATCH(购销流水!$D167,记账规则!$A$6:$A$9,0),5),""))</f>
        <v/>
      </c>
      <c r="O650" s="67" t="n">
        <f aca="false">IF($H650="",0,ROUND(IF($N650="成本金额",N(购销流水!$W167),IF($N650="金额",N(购销流水!$Q167),0)),2))</f>
        <v>0</v>
      </c>
      <c r="P650" s="64" t="str">
        <f aca="false">IF(AND($H650&lt;&gt;"",ROUND($O650,2)&lt;&gt;0),"有","")</f>
        <v/>
      </c>
    </row>
    <row r="651" customFormat="false" ht="15" hidden="true" customHeight="false" outlineLevel="0" collapsed="false">
      <c r="A651" s="53" t="str">
        <f aca="false">IF($H651="","",ROW()-5)</f>
        <v/>
      </c>
      <c r="B651" s="64" t="s">
        <v>36</v>
      </c>
      <c r="C651" s="53" t="n">
        <v>167</v>
      </c>
      <c r="D651" s="53" t="n">
        <v>2</v>
      </c>
      <c r="E651" s="65" t="str">
        <f aca="false">IF($H651="","",购销流水!$B167)</f>
        <v/>
      </c>
      <c r="F651" s="55" t="str">
        <f aca="false">IF($H651="","",购销流水!$C167)</f>
        <v/>
      </c>
      <c r="G651" s="48" t="str">
        <f aca="false">IF($H651="","",购销流水!$N167)</f>
        <v/>
      </c>
      <c r="H651" s="10" t="str">
        <f aca="false">IF($L651="","",IF($L651="@成本",购销流水!$U167,IF($L651="@收入",购销流水!$T167,IF($L651="@存货",购销流水!$S167,IF($L651="@结算",购销流水!$R167,$L651)))))</f>
        <v/>
      </c>
      <c r="I651" s="42" t="n">
        <f aca="false">IF($M651="借",$O651,0)</f>
        <v>0</v>
      </c>
      <c r="J651" s="42" t="n">
        <f aca="false">IF($M651="贷",$O651,0)</f>
        <v>0</v>
      </c>
      <c r="K651" s="48" t="str">
        <f aca="false">IF($H651="","",购销流水!$E167)</f>
        <v/>
      </c>
      <c r="L651" s="66" t="str">
        <f aca="false">IF(购销流水!$D167="","",IFERROR(INDEX(记账规则!$A$6:$N$9,MATCH(购销流水!$D167,记账规则!$A$6:$A$9,0),6),""))</f>
        <v/>
      </c>
      <c r="M651" s="66" t="str">
        <f aca="false">IF($L651="","",IFERROR(INDEX(记账规则!$A$6:$N$9,MATCH(购销流水!$D167,记账规则!$A$6:$A$9,0),7),""))</f>
        <v/>
      </c>
      <c r="N651" s="66" t="str">
        <f aca="false">IF($L651="","",IFERROR(INDEX(记账规则!$A$6:$N$9,MATCH(购销流水!$D167,记账规则!$A$6:$A$9,0),8),""))</f>
        <v/>
      </c>
      <c r="O651" s="67" t="n">
        <f aca="false">IF($H651="",0,ROUND(IF($N651="成本金额",N(购销流水!$W167),IF($N651="金额",N(购销流水!$Q167),0)),2))</f>
        <v>0</v>
      </c>
      <c r="P651" s="64" t="str">
        <f aca="false">IF(AND($H651&lt;&gt;"",ROUND($O651,2)&lt;&gt;0),"有","")</f>
        <v/>
      </c>
    </row>
    <row r="652" customFormat="false" ht="15" hidden="true" customHeight="false" outlineLevel="0" collapsed="false">
      <c r="A652" s="53" t="str">
        <f aca="false">IF($H652="","",ROW()-5)</f>
        <v/>
      </c>
      <c r="B652" s="64" t="s">
        <v>36</v>
      </c>
      <c r="C652" s="53" t="n">
        <v>167</v>
      </c>
      <c r="D652" s="53" t="n">
        <v>3</v>
      </c>
      <c r="E652" s="65" t="str">
        <f aca="false">IF($H652="","",购销流水!$B167)</f>
        <v/>
      </c>
      <c r="F652" s="55" t="str">
        <f aca="false">IF($H652="","",购销流水!$C167)</f>
        <v/>
      </c>
      <c r="G652" s="48" t="str">
        <f aca="false">IF($H652="","",购销流水!$N167)</f>
        <v/>
      </c>
      <c r="H652" s="10" t="str">
        <f aca="false">IF($L652="","",IF($L652="@成本",购销流水!$U167,IF($L652="@收入",购销流水!$T167,IF($L652="@存货",购销流水!$S167,IF($L652="@结算",购销流水!$R167,$L652)))))</f>
        <v/>
      </c>
      <c r="I652" s="42" t="n">
        <f aca="false">IF($M652="借",$O652,0)</f>
        <v>0</v>
      </c>
      <c r="J652" s="42" t="n">
        <f aca="false">IF($M652="贷",$O652,0)</f>
        <v>0</v>
      </c>
      <c r="K652" s="48" t="str">
        <f aca="false">IF($H652="","",购销流水!$E167)</f>
        <v/>
      </c>
      <c r="L652" s="66" t="str">
        <f aca="false">IF(购销流水!$D167="","",IFERROR(INDEX(记账规则!$A$6:$N$9,MATCH(购销流水!$D167,记账规则!$A$6:$A$9,0),9),""))</f>
        <v/>
      </c>
      <c r="M652" s="66" t="str">
        <f aca="false">IF($L652="","",IFERROR(INDEX(记账规则!$A$6:$N$9,MATCH(购销流水!$D167,记账规则!$A$6:$A$9,0),10),""))</f>
        <v/>
      </c>
      <c r="N652" s="66" t="str">
        <f aca="false">IF($L652="","",IFERROR(INDEX(记账规则!$A$6:$N$9,MATCH(购销流水!$D167,记账规则!$A$6:$A$9,0),11),""))</f>
        <v/>
      </c>
      <c r="O652" s="67" t="n">
        <f aca="false">IF($H652="",0,ROUND(IF($N652="成本金额",N(购销流水!$W167),IF($N652="金额",N(购销流水!$Q167),0)),2))</f>
        <v>0</v>
      </c>
      <c r="P652" s="64" t="str">
        <f aca="false">IF(AND($H652&lt;&gt;"",ROUND($O652,2)&lt;&gt;0),"有","")</f>
        <v/>
      </c>
    </row>
    <row r="653" customFormat="false" ht="15" hidden="true" customHeight="false" outlineLevel="0" collapsed="false">
      <c r="A653" s="53" t="str">
        <f aca="false">IF($H653="","",ROW()-5)</f>
        <v/>
      </c>
      <c r="B653" s="64" t="s">
        <v>36</v>
      </c>
      <c r="C653" s="53" t="n">
        <v>167</v>
      </c>
      <c r="D653" s="53" t="n">
        <v>4</v>
      </c>
      <c r="E653" s="65" t="str">
        <f aca="false">IF($H653="","",购销流水!$B167)</f>
        <v/>
      </c>
      <c r="F653" s="55" t="str">
        <f aca="false">IF($H653="","",购销流水!$C167)</f>
        <v/>
      </c>
      <c r="G653" s="48" t="str">
        <f aca="false">IF($H653="","",购销流水!$N167)</f>
        <v/>
      </c>
      <c r="H653" s="10" t="str">
        <f aca="false">IF($L653="","",IF($L653="@成本",购销流水!$U167,IF($L653="@收入",购销流水!$T167,IF($L653="@存货",购销流水!$S167,IF($L653="@结算",购销流水!$R167,$L653)))))</f>
        <v/>
      </c>
      <c r="I653" s="42" t="n">
        <f aca="false">IF($M653="借",$O653,0)</f>
        <v>0</v>
      </c>
      <c r="J653" s="42" t="n">
        <f aca="false">IF($M653="贷",$O653,0)</f>
        <v>0</v>
      </c>
      <c r="K653" s="48" t="str">
        <f aca="false">IF($H653="","",购销流水!$E167)</f>
        <v/>
      </c>
      <c r="L653" s="66" t="str">
        <f aca="false">IF(购销流水!$D167="","",IFERROR(INDEX(记账规则!$A$6:$N$9,MATCH(购销流水!$D167,记账规则!$A$6:$A$9,0),12),""))</f>
        <v/>
      </c>
      <c r="M653" s="66" t="str">
        <f aca="false">IF($L653="","",IFERROR(INDEX(记账规则!$A$6:$N$9,MATCH(购销流水!$D167,记账规则!$A$6:$A$9,0),13),""))</f>
        <v/>
      </c>
      <c r="N653" s="66" t="str">
        <f aca="false">IF($L653="","",IFERROR(INDEX(记账规则!$A$6:$N$9,MATCH(购销流水!$D167,记账规则!$A$6:$A$9,0),14),""))</f>
        <v/>
      </c>
      <c r="O653" s="67" t="n">
        <f aca="false">IF($H653="",0,ROUND(IF($N653="成本金额",N(购销流水!$W167),IF($N653="金额",N(购销流水!$Q167),0)),2))</f>
        <v>0</v>
      </c>
      <c r="P653" s="64" t="str">
        <f aca="false">IF(AND($H653&lt;&gt;"",ROUND($O653,2)&lt;&gt;0),"有","")</f>
        <v/>
      </c>
    </row>
    <row r="654" customFormat="false" ht="15" hidden="true" customHeight="false" outlineLevel="0" collapsed="false">
      <c r="A654" s="53" t="str">
        <f aca="false">IF($H654="","",ROW()-5)</f>
        <v/>
      </c>
      <c r="B654" s="64" t="s">
        <v>36</v>
      </c>
      <c r="C654" s="53" t="n">
        <v>168</v>
      </c>
      <c r="D654" s="53" t="n">
        <v>1</v>
      </c>
      <c r="E654" s="65" t="str">
        <f aca="false">IF($H654="","",购销流水!$B168)</f>
        <v/>
      </c>
      <c r="F654" s="55" t="str">
        <f aca="false">IF($H654="","",购销流水!$C168)</f>
        <v/>
      </c>
      <c r="G654" s="48" t="str">
        <f aca="false">IF($H654="","",购销流水!$N168)</f>
        <v/>
      </c>
      <c r="H654" s="10" t="str">
        <f aca="false">IF($L654="","",IF($L654="@成本",购销流水!$U168,IF($L654="@收入",购销流水!$T168,IF($L654="@存货",购销流水!$S168,IF($L654="@结算",购销流水!$R168,$L654)))))</f>
        <v/>
      </c>
      <c r="I654" s="42" t="n">
        <f aca="false">IF($M654="借",$O654,0)</f>
        <v>0</v>
      </c>
      <c r="J654" s="42" t="n">
        <f aca="false">IF($M654="贷",$O654,0)</f>
        <v>0</v>
      </c>
      <c r="K654" s="48" t="str">
        <f aca="false">IF($H654="","",购销流水!$E168)</f>
        <v/>
      </c>
      <c r="L654" s="66" t="str">
        <f aca="false">IF(购销流水!$D168="","",IFERROR(INDEX(记账规则!$A$6:$N$9,MATCH(购销流水!$D168,记账规则!$A$6:$A$9,0),3),""))</f>
        <v/>
      </c>
      <c r="M654" s="66" t="str">
        <f aca="false">IF($L654="","",IFERROR(INDEX(记账规则!$A$6:$N$9,MATCH(购销流水!$D168,记账规则!$A$6:$A$9,0),4),""))</f>
        <v/>
      </c>
      <c r="N654" s="66" t="str">
        <f aca="false">IF($L654="","",IFERROR(INDEX(记账规则!$A$6:$N$9,MATCH(购销流水!$D168,记账规则!$A$6:$A$9,0),5),""))</f>
        <v/>
      </c>
      <c r="O654" s="67" t="n">
        <f aca="false">IF($H654="",0,ROUND(IF($N654="成本金额",N(购销流水!$W168),IF($N654="金额",N(购销流水!$Q168),0)),2))</f>
        <v>0</v>
      </c>
      <c r="P654" s="64" t="str">
        <f aca="false">IF(AND($H654&lt;&gt;"",ROUND($O654,2)&lt;&gt;0),"有","")</f>
        <v/>
      </c>
    </row>
    <row r="655" customFormat="false" ht="15" hidden="true" customHeight="false" outlineLevel="0" collapsed="false">
      <c r="A655" s="53" t="str">
        <f aca="false">IF($H655="","",ROW()-5)</f>
        <v/>
      </c>
      <c r="B655" s="64" t="s">
        <v>36</v>
      </c>
      <c r="C655" s="53" t="n">
        <v>168</v>
      </c>
      <c r="D655" s="53" t="n">
        <v>2</v>
      </c>
      <c r="E655" s="65" t="str">
        <f aca="false">IF($H655="","",购销流水!$B168)</f>
        <v/>
      </c>
      <c r="F655" s="55" t="str">
        <f aca="false">IF($H655="","",购销流水!$C168)</f>
        <v/>
      </c>
      <c r="G655" s="48" t="str">
        <f aca="false">IF($H655="","",购销流水!$N168)</f>
        <v/>
      </c>
      <c r="H655" s="10" t="str">
        <f aca="false">IF($L655="","",IF($L655="@成本",购销流水!$U168,IF($L655="@收入",购销流水!$T168,IF($L655="@存货",购销流水!$S168,IF($L655="@结算",购销流水!$R168,$L655)))))</f>
        <v/>
      </c>
      <c r="I655" s="42" t="n">
        <f aca="false">IF($M655="借",$O655,0)</f>
        <v>0</v>
      </c>
      <c r="J655" s="42" t="n">
        <f aca="false">IF($M655="贷",$O655,0)</f>
        <v>0</v>
      </c>
      <c r="K655" s="48" t="str">
        <f aca="false">IF($H655="","",购销流水!$E168)</f>
        <v/>
      </c>
      <c r="L655" s="66" t="str">
        <f aca="false">IF(购销流水!$D168="","",IFERROR(INDEX(记账规则!$A$6:$N$9,MATCH(购销流水!$D168,记账规则!$A$6:$A$9,0),6),""))</f>
        <v/>
      </c>
      <c r="M655" s="66" t="str">
        <f aca="false">IF($L655="","",IFERROR(INDEX(记账规则!$A$6:$N$9,MATCH(购销流水!$D168,记账规则!$A$6:$A$9,0),7),""))</f>
        <v/>
      </c>
      <c r="N655" s="66" t="str">
        <f aca="false">IF($L655="","",IFERROR(INDEX(记账规则!$A$6:$N$9,MATCH(购销流水!$D168,记账规则!$A$6:$A$9,0),8),""))</f>
        <v/>
      </c>
      <c r="O655" s="67" t="n">
        <f aca="false">IF($H655="",0,ROUND(IF($N655="成本金额",N(购销流水!$W168),IF($N655="金额",N(购销流水!$Q168),0)),2))</f>
        <v>0</v>
      </c>
      <c r="P655" s="64" t="str">
        <f aca="false">IF(AND($H655&lt;&gt;"",ROUND($O655,2)&lt;&gt;0),"有","")</f>
        <v/>
      </c>
    </row>
    <row r="656" customFormat="false" ht="15" hidden="true" customHeight="false" outlineLevel="0" collapsed="false">
      <c r="A656" s="53" t="str">
        <f aca="false">IF($H656="","",ROW()-5)</f>
        <v/>
      </c>
      <c r="B656" s="64" t="s">
        <v>36</v>
      </c>
      <c r="C656" s="53" t="n">
        <v>168</v>
      </c>
      <c r="D656" s="53" t="n">
        <v>3</v>
      </c>
      <c r="E656" s="65" t="str">
        <f aca="false">IF($H656="","",购销流水!$B168)</f>
        <v/>
      </c>
      <c r="F656" s="55" t="str">
        <f aca="false">IF($H656="","",购销流水!$C168)</f>
        <v/>
      </c>
      <c r="G656" s="48" t="str">
        <f aca="false">IF($H656="","",购销流水!$N168)</f>
        <v/>
      </c>
      <c r="H656" s="10" t="str">
        <f aca="false">IF($L656="","",IF($L656="@成本",购销流水!$U168,IF($L656="@收入",购销流水!$T168,IF($L656="@存货",购销流水!$S168,IF($L656="@结算",购销流水!$R168,$L656)))))</f>
        <v/>
      </c>
      <c r="I656" s="42" t="n">
        <f aca="false">IF($M656="借",$O656,0)</f>
        <v>0</v>
      </c>
      <c r="J656" s="42" t="n">
        <f aca="false">IF($M656="贷",$O656,0)</f>
        <v>0</v>
      </c>
      <c r="K656" s="48" t="str">
        <f aca="false">IF($H656="","",购销流水!$E168)</f>
        <v/>
      </c>
      <c r="L656" s="66" t="str">
        <f aca="false">IF(购销流水!$D168="","",IFERROR(INDEX(记账规则!$A$6:$N$9,MATCH(购销流水!$D168,记账规则!$A$6:$A$9,0),9),""))</f>
        <v/>
      </c>
      <c r="M656" s="66" t="str">
        <f aca="false">IF($L656="","",IFERROR(INDEX(记账规则!$A$6:$N$9,MATCH(购销流水!$D168,记账规则!$A$6:$A$9,0),10),""))</f>
        <v/>
      </c>
      <c r="N656" s="66" t="str">
        <f aca="false">IF($L656="","",IFERROR(INDEX(记账规则!$A$6:$N$9,MATCH(购销流水!$D168,记账规则!$A$6:$A$9,0),11),""))</f>
        <v/>
      </c>
      <c r="O656" s="67" t="n">
        <f aca="false">IF($H656="",0,ROUND(IF($N656="成本金额",N(购销流水!$W168),IF($N656="金额",N(购销流水!$Q168),0)),2))</f>
        <v>0</v>
      </c>
      <c r="P656" s="64" t="str">
        <f aca="false">IF(AND($H656&lt;&gt;"",ROUND($O656,2)&lt;&gt;0),"有","")</f>
        <v/>
      </c>
    </row>
    <row r="657" customFormat="false" ht="15" hidden="true" customHeight="false" outlineLevel="0" collapsed="false">
      <c r="A657" s="53" t="str">
        <f aca="false">IF($H657="","",ROW()-5)</f>
        <v/>
      </c>
      <c r="B657" s="64" t="s">
        <v>36</v>
      </c>
      <c r="C657" s="53" t="n">
        <v>168</v>
      </c>
      <c r="D657" s="53" t="n">
        <v>4</v>
      </c>
      <c r="E657" s="65" t="str">
        <f aca="false">IF($H657="","",购销流水!$B168)</f>
        <v/>
      </c>
      <c r="F657" s="55" t="str">
        <f aca="false">IF($H657="","",购销流水!$C168)</f>
        <v/>
      </c>
      <c r="G657" s="48" t="str">
        <f aca="false">IF($H657="","",购销流水!$N168)</f>
        <v/>
      </c>
      <c r="H657" s="10" t="str">
        <f aca="false">IF($L657="","",IF($L657="@成本",购销流水!$U168,IF($L657="@收入",购销流水!$T168,IF($L657="@存货",购销流水!$S168,IF($L657="@结算",购销流水!$R168,$L657)))))</f>
        <v/>
      </c>
      <c r="I657" s="42" t="n">
        <f aca="false">IF($M657="借",$O657,0)</f>
        <v>0</v>
      </c>
      <c r="J657" s="42" t="n">
        <f aca="false">IF($M657="贷",$O657,0)</f>
        <v>0</v>
      </c>
      <c r="K657" s="48" t="str">
        <f aca="false">IF($H657="","",购销流水!$E168)</f>
        <v/>
      </c>
      <c r="L657" s="66" t="str">
        <f aca="false">IF(购销流水!$D168="","",IFERROR(INDEX(记账规则!$A$6:$N$9,MATCH(购销流水!$D168,记账规则!$A$6:$A$9,0),12),""))</f>
        <v/>
      </c>
      <c r="M657" s="66" t="str">
        <f aca="false">IF($L657="","",IFERROR(INDEX(记账规则!$A$6:$N$9,MATCH(购销流水!$D168,记账规则!$A$6:$A$9,0),13),""))</f>
        <v/>
      </c>
      <c r="N657" s="66" t="str">
        <f aca="false">IF($L657="","",IFERROR(INDEX(记账规则!$A$6:$N$9,MATCH(购销流水!$D168,记账规则!$A$6:$A$9,0),14),""))</f>
        <v/>
      </c>
      <c r="O657" s="67" t="n">
        <f aca="false">IF($H657="",0,ROUND(IF($N657="成本金额",N(购销流水!$W168),IF($N657="金额",N(购销流水!$Q168),0)),2))</f>
        <v>0</v>
      </c>
      <c r="P657" s="64" t="str">
        <f aca="false">IF(AND($H657&lt;&gt;"",ROUND($O657,2)&lt;&gt;0),"有","")</f>
        <v/>
      </c>
    </row>
    <row r="658" customFormat="false" ht="15" hidden="true" customHeight="false" outlineLevel="0" collapsed="false">
      <c r="A658" s="53" t="str">
        <f aca="false">IF($H658="","",ROW()-5)</f>
        <v/>
      </c>
      <c r="B658" s="64" t="s">
        <v>36</v>
      </c>
      <c r="C658" s="53" t="n">
        <v>169</v>
      </c>
      <c r="D658" s="53" t="n">
        <v>1</v>
      </c>
      <c r="E658" s="65" t="str">
        <f aca="false">IF($H658="","",购销流水!$B169)</f>
        <v/>
      </c>
      <c r="F658" s="55" t="str">
        <f aca="false">IF($H658="","",购销流水!$C169)</f>
        <v/>
      </c>
      <c r="G658" s="48" t="str">
        <f aca="false">IF($H658="","",购销流水!$N169)</f>
        <v/>
      </c>
      <c r="H658" s="10" t="str">
        <f aca="false">IF($L658="","",IF($L658="@成本",购销流水!$U169,IF($L658="@收入",购销流水!$T169,IF($L658="@存货",购销流水!$S169,IF($L658="@结算",购销流水!$R169,$L658)))))</f>
        <v/>
      </c>
      <c r="I658" s="42" t="n">
        <f aca="false">IF($M658="借",$O658,0)</f>
        <v>0</v>
      </c>
      <c r="J658" s="42" t="n">
        <f aca="false">IF($M658="贷",$O658,0)</f>
        <v>0</v>
      </c>
      <c r="K658" s="48" t="str">
        <f aca="false">IF($H658="","",购销流水!$E169)</f>
        <v/>
      </c>
      <c r="L658" s="66" t="str">
        <f aca="false">IF(购销流水!$D169="","",IFERROR(INDEX(记账规则!$A$6:$N$9,MATCH(购销流水!$D169,记账规则!$A$6:$A$9,0),3),""))</f>
        <v/>
      </c>
      <c r="M658" s="66" t="str">
        <f aca="false">IF($L658="","",IFERROR(INDEX(记账规则!$A$6:$N$9,MATCH(购销流水!$D169,记账规则!$A$6:$A$9,0),4),""))</f>
        <v/>
      </c>
      <c r="N658" s="66" t="str">
        <f aca="false">IF($L658="","",IFERROR(INDEX(记账规则!$A$6:$N$9,MATCH(购销流水!$D169,记账规则!$A$6:$A$9,0),5),""))</f>
        <v/>
      </c>
      <c r="O658" s="67" t="n">
        <f aca="false">IF($H658="",0,ROUND(IF($N658="成本金额",N(购销流水!$W169),IF($N658="金额",N(购销流水!$Q169),0)),2))</f>
        <v>0</v>
      </c>
      <c r="P658" s="64" t="str">
        <f aca="false">IF(AND($H658&lt;&gt;"",ROUND($O658,2)&lt;&gt;0),"有","")</f>
        <v/>
      </c>
    </row>
    <row r="659" customFormat="false" ht="15" hidden="true" customHeight="false" outlineLevel="0" collapsed="false">
      <c r="A659" s="53" t="str">
        <f aca="false">IF($H659="","",ROW()-5)</f>
        <v/>
      </c>
      <c r="B659" s="64" t="s">
        <v>36</v>
      </c>
      <c r="C659" s="53" t="n">
        <v>169</v>
      </c>
      <c r="D659" s="53" t="n">
        <v>2</v>
      </c>
      <c r="E659" s="65" t="str">
        <f aca="false">IF($H659="","",购销流水!$B169)</f>
        <v/>
      </c>
      <c r="F659" s="55" t="str">
        <f aca="false">IF($H659="","",购销流水!$C169)</f>
        <v/>
      </c>
      <c r="G659" s="48" t="str">
        <f aca="false">IF($H659="","",购销流水!$N169)</f>
        <v/>
      </c>
      <c r="H659" s="10" t="str">
        <f aca="false">IF($L659="","",IF($L659="@成本",购销流水!$U169,IF($L659="@收入",购销流水!$T169,IF($L659="@存货",购销流水!$S169,IF($L659="@结算",购销流水!$R169,$L659)))))</f>
        <v/>
      </c>
      <c r="I659" s="42" t="n">
        <f aca="false">IF($M659="借",$O659,0)</f>
        <v>0</v>
      </c>
      <c r="J659" s="42" t="n">
        <f aca="false">IF($M659="贷",$O659,0)</f>
        <v>0</v>
      </c>
      <c r="K659" s="48" t="str">
        <f aca="false">IF($H659="","",购销流水!$E169)</f>
        <v/>
      </c>
      <c r="L659" s="66" t="str">
        <f aca="false">IF(购销流水!$D169="","",IFERROR(INDEX(记账规则!$A$6:$N$9,MATCH(购销流水!$D169,记账规则!$A$6:$A$9,0),6),""))</f>
        <v/>
      </c>
      <c r="M659" s="66" t="str">
        <f aca="false">IF($L659="","",IFERROR(INDEX(记账规则!$A$6:$N$9,MATCH(购销流水!$D169,记账规则!$A$6:$A$9,0),7),""))</f>
        <v/>
      </c>
      <c r="N659" s="66" t="str">
        <f aca="false">IF($L659="","",IFERROR(INDEX(记账规则!$A$6:$N$9,MATCH(购销流水!$D169,记账规则!$A$6:$A$9,0),8),""))</f>
        <v/>
      </c>
      <c r="O659" s="67" t="n">
        <f aca="false">IF($H659="",0,ROUND(IF($N659="成本金额",N(购销流水!$W169),IF($N659="金额",N(购销流水!$Q169),0)),2))</f>
        <v>0</v>
      </c>
      <c r="P659" s="64" t="str">
        <f aca="false">IF(AND($H659&lt;&gt;"",ROUND($O659,2)&lt;&gt;0),"有","")</f>
        <v/>
      </c>
    </row>
    <row r="660" customFormat="false" ht="15" hidden="true" customHeight="false" outlineLevel="0" collapsed="false">
      <c r="A660" s="53" t="str">
        <f aca="false">IF($H660="","",ROW()-5)</f>
        <v/>
      </c>
      <c r="B660" s="64" t="s">
        <v>36</v>
      </c>
      <c r="C660" s="53" t="n">
        <v>169</v>
      </c>
      <c r="D660" s="53" t="n">
        <v>3</v>
      </c>
      <c r="E660" s="65" t="str">
        <f aca="false">IF($H660="","",购销流水!$B169)</f>
        <v/>
      </c>
      <c r="F660" s="55" t="str">
        <f aca="false">IF($H660="","",购销流水!$C169)</f>
        <v/>
      </c>
      <c r="G660" s="48" t="str">
        <f aca="false">IF($H660="","",购销流水!$N169)</f>
        <v/>
      </c>
      <c r="H660" s="10" t="str">
        <f aca="false">IF($L660="","",IF($L660="@成本",购销流水!$U169,IF($L660="@收入",购销流水!$T169,IF($L660="@存货",购销流水!$S169,IF($L660="@结算",购销流水!$R169,$L660)))))</f>
        <v/>
      </c>
      <c r="I660" s="42" t="n">
        <f aca="false">IF($M660="借",$O660,0)</f>
        <v>0</v>
      </c>
      <c r="J660" s="42" t="n">
        <f aca="false">IF($M660="贷",$O660,0)</f>
        <v>0</v>
      </c>
      <c r="K660" s="48" t="str">
        <f aca="false">IF($H660="","",购销流水!$E169)</f>
        <v/>
      </c>
      <c r="L660" s="66" t="str">
        <f aca="false">IF(购销流水!$D169="","",IFERROR(INDEX(记账规则!$A$6:$N$9,MATCH(购销流水!$D169,记账规则!$A$6:$A$9,0),9),""))</f>
        <v/>
      </c>
      <c r="M660" s="66" t="str">
        <f aca="false">IF($L660="","",IFERROR(INDEX(记账规则!$A$6:$N$9,MATCH(购销流水!$D169,记账规则!$A$6:$A$9,0),10),""))</f>
        <v/>
      </c>
      <c r="N660" s="66" t="str">
        <f aca="false">IF($L660="","",IFERROR(INDEX(记账规则!$A$6:$N$9,MATCH(购销流水!$D169,记账规则!$A$6:$A$9,0),11),""))</f>
        <v/>
      </c>
      <c r="O660" s="67" t="n">
        <f aca="false">IF($H660="",0,ROUND(IF($N660="成本金额",N(购销流水!$W169),IF($N660="金额",N(购销流水!$Q169),0)),2))</f>
        <v>0</v>
      </c>
      <c r="P660" s="64" t="str">
        <f aca="false">IF(AND($H660&lt;&gt;"",ROUND($O660,2)&lt;&gt;0),"有","")</f>
        <v/>
      </c>
    </row>
    <row r="661" customFormat="false" ht="15" hidden="true" customHeight="false" outlineLevel="0" collapsed="false">
      <c r="A661" s="53" t="str">
        <f aca="false">IF($H661="","",ROW()-5)</f>
        <v/>
      </c>
      <c r="B661" s="64" t="s">
        <v>36</v>
      </c>
      <c r="C661" s="53" t="n">
        <v>169</v>
      </c>
      <c r="D661" s="53" t="n">
        <v>4</v>
      </c>
      <c r="E661" s="65" t="str">
        <f aca="false">IF($H661="","",购销流水!$B169)</f>
        <v/>
      </c>
      <c r="F661" s="55" t="str">
        <f aca="false">IF($H661="","",购销流水!$C169)</f>
        <v/>
      </c>
      <c r="G661" s="48" t="str">
        <f aca="false">IF($H661="","",购销流水!$N169)</f>
        <v/>
      </c>
      <c r="H661" s="10" t="str">
        <f aca="false">IF($L661="","",IF($L661="@成本",购销流水!$U169,IF($L661="@收入",购销流水!$T169,IF($L661="@存货",购销流水!$S169,IF($L661="@结算",购销流水!$R169,$L661)))))</f>
        <v/>
      </c>
      <c r="I661" s="42" t="n">
        <f aca="false">IF($M661="借",$O661,0)</f>
        <v>0</v>
      </c>
      <c r="J661" s="42" t="n">
        <f aca="false">IF($M661="贷",$O661,0)</f>
        <v>0</v>
      </c>
      <c r="K661" s="48" t="str">
        <f aca="false">IF($H661="","",购销流水!$E169)</f>
        <v/>
      </c>
      <c r="L661" s="66" t="str">
        <f aca="false">IF(购销流水!$D169="","",IFERROR(INDEX(记账规则!$A$6:$N$9,MATCH(购销流水!$D169,记账规则!$A$6:$A$9,0),12),""))</f>
        <v/>
      </c>
      <c r="M661" s="66" t="str">
        <f aca="false">IF($L661="","",IFERROR(INDEX(记账规则!$A$6:$N$9,MATCH(购销流水!$D169,记账规则!$A$6:$A$9,0),13),""))</f>
        <v/>
      </c>
      <c r="N661" s="66" t="str">
        <f aca="false">IF($L661="","",IFERROR(INDEX(记账规则!$A$6:$N$9,MATCH(购销流水!$D169,记账规则!$A$6:$A$9,0),14),""))</f>
        <v/>
      </c>
      <c r="O661" s="67" t="n">
        <f aca="false">IF($H661="",0,ROUND(IF($N661="成本金额",N(购销流水!$W169),IF($N661="金额",N(购销流水!$Q169),0)),2))</f>
        <v>0</v>
      </c>
      <c r="P661" s="64" t="str">
        <f aca="false">IF(AND($H661&lt;&gt;"",ROUND($O661,2)&lt;&gt;0),"有","")</f>
        <v/>
      </c>
    </row>
    <row r="662" customFormat="false" ht="15" hidden="true" customHeight="false" outlineLevel="0" collapsed="false">
      <c r="A662" s="53" t="str">
        <f aca="false">IF($H662="","",ROW()-5)</f>
        <v/>
      </c>
      <c r="B662" s="64" t="s">
        <v>36</v>
      </c>
      <c r="C662" s="53" t="n">
        <v>170</v>
      </c>
      <c r="D662" s="53" t="n">
        <v>1</v>
      </c>
      <c r="E662" s="65" t="str">
        <f aca="false">IF($H662="","",购销流水!$B170)</f>
        <v/>
      </c>
      <c r="F662" s="55" t="str">
        <f aca="false">IF($H662="","",购销流水!$C170)</f>
        <v/>
      </c>
      <c r="G662" s="48" t="str">
        <f aca="false">IF($H662="","",购销流水!$N170)</f>
        <v/>
      </c>
      <c r="H662" s="10" t="str">
        <f aca="false">IF($L662="","",IF($L662="@成本",购销流水!$U170,IF($L662="@收入",购销流水!$T170,IF($L662="@存货",购销流水!$S170,IF($L662="@结算",购销流水!$R170,$L662)))))</f>
        <v/>
      </c>
      <c r="I662" s="42" t="n">
        <f aca="false">IF($M662="借",$O662,0)</f>
        <v>0</v>
      </c>
      <c r="J662" s="42" t="n">
        <f aca="false">IF($M662="贷",$O662,0)</f>
        <v>0</v>
      </c>
      <c r="K662" s="48" t="str">
        <f aca="false">IF($H662="","",购销流水!$E170)</f>
        <v/>
      </c>
      <c r="L662" s="66" t="str">
        <f aca="false">IF(购销流水!$D170="","",IFERROR(INDEX(记账规则!$A$6:$N$9,MATCH(购销流水!$D170,记账规则!$A$6:$A$9,0),3),""))</f>
        <v/>
      </c>
      <c r="M662" s="66" t="str">
        <f aca="false">IF($L662="","",IFERROR(INDEX(记账规则!$A$6:$N$9,MATCH(购销流水!$D170,记账规则!$A$6:$A$9,0),4),""))</f>
        <v/>
      </c>
      <c r="N662" s="66" t="str">
        <f aca="false">IF($L662="","",IFERROR(INDEX(记账规则!$A$6:$N$9,MATCH(购销流水!$D170,记账规则!$A$6:$A$9,0),5),""))</f>
        <v/>
      </c>
      <c r="O662" s="67" t="n">
        <f aca="false">IF($H662="",0,ROUND(IF($N662="成本金额",N(购销流水!$W170),IF($N662="金额",N(购销流水!$Q170),0)),2))</f>
        <v>0</v>
      </c>
      <c r="P662" s="64" t="str">
        <f aca="false">IF(AND($H662&lt;&gt;"",ROUND($O662,2)&lt;&gt;0),"有","")</f>
        <v/>
      </c>
    </row>
    <row r="663" customFormat="false" ht="15" hidden="true" customHeight="false" outlineLevel="0" collapsed="false">
      <c r="A663" s="53" t="str">
        <f aca="false">IF($H663="","",ROW()-5)</f>
        <v/>
      </c>
      <c r="B663" s="64" t="s">
        <v>36</v>
      </c>
      <c r="C663" s="53" t="n">
        <v>170</v>
      </c>
      <c r="D663" s="53" t="n">
        <v>2</v>
      </c>
      <c r="E663" s="65" t="str">
        <f aca="false">IF($H663="","",购销流水!$B170)</f>
        <v/>
      </c>
      <c r="F663" s="55" t="str">
        <f aca="false">IF($H663="","",购销流水!$C170)</f>
        <v/>
      </c>
      <c r="G663" s="48" t="str">
        <f aca="false">IF($H663="","",购销流水!$N170)</f>
        <v/>
      </c>
      <c r="H663" s="10" t="str">
        <f aca="false">IF($L663="","",IF($L663="@成本",购销流水!$U170,IF($L663="@收入",购销流水!$T170,IF($L663="@存货",购销流水!$S170,IF($L663="@结算",购销流水!$R170,$L663)))))</f>
        <v/>
      </c>
      <c r="I663" s="42" t="n">
        <f aca="false">IF($M663="借",$O663,0)</f>
        <v>0</v>
      </c>
      <c r="J663" s="42" t="n">
        <f aca="false">IF($M663="贷",$O663,0)</f>
        <v>0</v>
      </c>
      <c r="K663" s="48" t="str">
        <f aca="false">IF($H663="","",购销流水!$E170)</f>
        <v/>
      </c>
      <c r="L663" s="66" t="str">
        <f aca="false">IF(购销流水!$D170="","",IFERROR(INDEX(记账规则!$A$6:$N$9,MATCH(购销流水!$D170,记账规则!$A$6:$A$9,0),6),""))</f>
        <v/>
      </c>
      <c r="M663" s="66" t="str">
        <f aca="false">IF($L663="","",IFERROR(INDEX(记账规则!$A$6:$N$9,MATCH(购销流水!$D170,记账规则!$A$6:$A$9,0),7),""))</f>
        <v/>
      </c>
      <c r="N663" s="66" t="str">
        <f aca="false">IF($L663="","",IFERROR(INDEX(记账规则!$A$6:$N$9,MATCH(购销流水!$D170,记账规则!$A$6:$A$9,0),8),""))</f>
        <v/>
      </c>
      <c r="O663" s="67" t="n">
        <f aca="false">IF($H663="",0,ROUND(IF($N663="成本金额",N(购销流水!$W170),IF($N663="金额",N(购销流水!$Q170),0)),2))</f>
        <v>0</v>
      </c>
      <c r="P663" s="64" t="str">
        <f aca="false">IF(AND($H663&lt;&gt;"",ROUND($O663,2)&lt;&gt;0),"有","")</f>
        <v/>
      </c>
    </row>
    <row r="664" customFormat="false" ht="15" hidden="true" customHeight="false" outlineLevel="0" collapsed="false">
      <c r="A664" s="53" t="str">
        <f aca="false">IF($H664="","",ROW()-5)</f>
        <v/>
      </c>
      <c r="B664" s="64" t="s">
        <v>36</v>
      </c>
      <c r="C664" s="53" t="n">
        <v>170</v>
      </c>
      <c r="D664" s="53" t="n">
        <v>3</v>
      </c>
      <c r="E664" s="65" t="str">
        <f aca="false">IF($H664="","",购销流水!$B170)</f>
        <v/>
      </c>
      <c r="F664" s="55" t="str">
        <f aca="false">IF($H664="","",购销流水!$C170)</f>
        <v/>
      </c>
      <c r="G664" s="48" t="str">
        <f aca="false">IF($H664="","",购销流水!$N170)</f>
        <v/>
      </c>
      <c r="H664" s="10" t="str">
        <f aca="false">IF($L664="","",IF($L664="@成本",购销流水!$U170,IF($L664="@收入",购销流水!$T170,IF($L664="@存货",购销流水!$S170,IF($L664="@结算",购销流水!$R170,$L664)))))</f>
        <v/>
      </c>
      <c r="I664" s="42" t="n">
        <f aca="false">IF($M664="借",$O664,0)</f>
        <v>0</v>
      </c>
      <c r="J664" s="42" t="n">
        <f aca="false">IF($M664="贷",$O664,0)</f>
        <v>0</v>
      </c>
      <c r="K664" s="48" t="str">
        <f aca="false">IF($H664="","",购销流水!$E170)</f>
        <v/>
      </c>
      <c r="L664" s="66" t="str">
        <f aca="false">IF(购销流水!$D170="","",IFERROR(INDEX(记账规则!$A$6:$N$9,MATCH(购销流水!$D170,记账规则!$A$6:$A$9,0),9),""))</f>
        <v/>
      </c>
      <c r="M664" s="66" t="str">
        <f aca="false">IF($L664="","",IFERROR(INDEX(记账规则!$A$6:$N$9,MATCH(购销流水!$D170,记账规则!$A$6:$A$9,0),10),""))</f>
        <v/>
      </c>
      <c r="N664" s="66" t="str">
        <f aca="false">IF($L664="","",IFERROR(INDEX(记账规则!$A$6:$N$9,MATCH(购销流水!$D170,记账规则!$A$6:$A$9,0),11),""))</f>
        <v/>
      </c>
      <c r="O664" s="67" t="n">
        <f aca="false">IF($H664="",0,ROUND(IF($N664="成本金额",N(购销流水!$W170),IF($N664="金额",N(购销流水!$Q170),0)),2))</f>
        <v>0</v>
      </c>
      <c r="P664" s="64" t="str">
        <f aca="false">IF(AND($H664&lt;&gt;"",ROUND($O664,2)&lt;&gt;0),"有","")</f>
        <v/>
      </c>
    </row>
    <row r="665" customFormat="false" ht="15" hidden="true" customHeight="false" outlineLevel="0" collapsed="false">
      <c r="A665" s="53" t="str">
        <f aca="false">IF($H665="","",ROW()-5)</f>
        <v/>
      </c>
      <c r="B665" s="64" t="s">
        <v>36</v>
      </c>
      <c r="C665" s="53" t="n">
        <v>170</v>
      </c>
      <c r="D665" s="53" t="n">
        <v>4</v>
      </c>
      <c r="E665" s="65" t="str">
        <f aca="false">IF($H665="","",购销流水!$B170)</f>
        <v/>
      </c>
      <c r="F665" s="55" t="str">
        <f aca="false">IF($H665="","",购销流水!$C170)</f>
        <v/>
      </c>
      <c r="G665" s="48" t="str">
        <f aca="false">IF($H665="","",购销流水!$N170)</f>
        <v/>
      </c>
      <c r="H665" s="10" t="str">
        <f aca="false">IF($L665="","",IF($L665="@成本",购销流水!$U170,IF($L665="@收入",购销流水!$T170,IF($L665="@存货",购销流水!$S170,IF($L665="@结算",购销流水!$R170,$L665)))))</f>
        <v/>
      </c>
      <c r="I665" s="42" t="n">
        <f aca="false">IF($M665="借",$O665,0)</f>
        <v>0</v>
      </c>
      <c r="J665" s="42" t="n">
        <f aca="false">IF($M665="贷",$O665,0)</f>
        <v>0</v>
      </c>
      <c r="K665" s="48" t="str">
        <f aca="false">IF($H665="","",购销流水!$E170)</f>
        <v/>
      </c>
      <c r="L665" s="66" t="str">
        <f aca="false">IF(购销流水!$D170="","",IFERROR(INDEX(记账规则!$A$6:$N$9,MATCH(购销流水!$D170,记账规则!$A$6:$A$9,0),12),""))</f>
        <v/>
      </c>
      <c r="M665" s="66" t="str">
        <f aca="false">IF($L665="","",IFERROR(INDEX(记账规则!$A$6:$N$9,MATCH(购销流水!$D170,记账规则!$A$6:$A$9,0),13),""))</f>
        <v/>
      </c>
      <c r="N665" s="66" t="str">
        <f aca="false">IF($L665="","",IFERROR(INDEX(记账规则!$A$6:$N$9,MATCH(购销流水!$D170,记账规则!$A$6:$A$9,0),14),""))</f>
        <v/>
      </c>
      <c r="O665" s="67" t="n">
        <f aca="false">IF($H665="",0,ROUND(IF($N665="成本金额",N(购销流水!$W170),IF($N665="金额",N(购销流水!$Q170),0)),2))</f>
        <v>0</v>
      </c>
      <c r="P665" s="64" t="str">
        <f aca="false">IF(AND($H665&lt;&gt;"",ROUND($O665,2)&lt;&gt;0),"有","")</f>
        <v/>
      </c>
    </row>
    <row r="666" customFormat="false" ht="15" hidden="true" customHeight="false" outlineLevel="0" collapsed="false">
      <c r="A666" s="53" t="str">
        <f aca="false">IF($H666="","",ROW()-5)</f>
        <v/>
      </c>
      <c r="B666" s="64" t="s">
        <v>36</v>
      </c>
      <c r="C666" s="53" t="n">
        <v>171</v>
      </c>
      <c r="D666" s="53" t="n">
        <v>1</v>
      </c>
      <c r="E666" s="65" t="str">
        <f aca="false">IF($H666="","",购销流水!$B171)</f>
        <v/>
      </c>
      <c r="F666" s="55" t="str">
        <f aca="false">IF($H666="","",购销流水!$C171)</f>
        <v/>
      </c>
      <c r="G666" s="48" t="str">
        <f aca="false">IF($H666="","",购销流水!$N171)</f>
        <v/>
      </c>
      <c r="H666" s="10" t="str">
        <f aca="false">IF($L666="","",IF($L666="@成本",购销流水!$U171,IF($L666="@收入",购销流水!$T171,IF($L666="@存货",购销流水!$S171,IF($L666="@结算",购销流水!$R171,$L666)))))</f>
        <v/>
      </c>
      <c r="I666" s="42" t="n">
        <f aca="false">IF($M666="借",$O666,0)</f>
        <v>0</v>
      </c>
      <c r="J666" s="42" t="n">
        <f aca="false">IF($M666="贷",$O666,0)</f>
        <v>0</v>
      </c>
      <c r="K666" s="48" t="str">
        <f aca="false">IF($H666="","",购销流水!$E171)</f>
        <v/>
      </c>
      <c r="L666" s="66" t="str">
        <f aca="false">IF(购销流水!$D171="","",IFERROR(INDEX(记账规则!$A$6:$N$9,MATCH(购销流水!$D171,记账规则!$A$6:$A$9,0),3),""))</f>
        <v/>
      </c>
      <c r="M666" s="66" t="str">
        <f aca="false">IF($L666="","",IFERROR(INDEX(记账规则!$A$6:$N$9,MATCH(购销流水!$D171,记账规则!$A$6:$A$9,0),4),""))</f>
        <v/>
      </c>
      <c r="N666" s="66" t="str">
        <f aca="false">IF($L666="","",IFERROR(INDEX(记账规则!$A$6:$N$9,MATCH(购销流水!$D171,记账规则!$A$6:$A$9,0),5),""))</f>
        <v/>
      </c>
      <c r="O666" s="67" t="n">
        <f aca="false">IF($H666="",0,ROUND(IF($N666="成本金额",N(购销流水!$W171),IF($N666="金额",N(购销流水!$Q171),0)),2))</f>
        <v>0</v>
      </c>
      <c r="P666" s="64" t="str">
        <f aca="false">IF(AND($H666&lt;&gt;"",ROUND($O666,2)&lt;&gt;0),"有","")</f>
        <v/>
      </c>
    </row>
    <row r="667" customFormat="false" ht="15" hidden="true" customHeight="false" outlineLevel="0" collapsed="false">
      <c r="A667" s="53" t="str">
        <f aca="false">IF($H667="","",ROW()-5)</f>
        <v/>
      </c>
      <c r="B667" s="64" t="s">
        <v>36</v>
      </c>
      <c r="C667" s="53" t="n">
        <v>171</v>
      </c>
      <c r="D667" s="53" t="n">
        <v>2</v>
      </c>
      <c r="E667" s="65" t="str">
        <f aca="false">IF($H667="","",购销流水!$B171)</f>
        <v/>
      </c>
      <c r="F667" s="55" t="str">
        <f aca="false">IF($H667="","",购销流水!$C171)</f>
        <v/>
      </c>
      <c r="G667" s="48" t="str">
        <f aca="false">IF($H667="","",购销流水!$N171)</f>
        <v/>
      </c>
      <c r="H667" s="10" t="str">
        <f aca="false">IF($L667="","",IF($L667="@成本",购销流水!$U171,IF($L667="@收入",购销流水!$T171,IF($L667="@存货",购销流水!$S171,IF($L667="@结算",购销流水!$R171,$L667)))))</f>
        <v/>
      </c>
      <c r="I667" s="42" t="n">
        <f aca="false">IF($M667="借",$O667,0)</f>
        <v>0</v>
      </c>
      <c r="J667" s="42" t="n">
        <f aca="false">IF($M667="贷",$O667,0)</f>
        <v>0</v>
      </c>
      <c r="K667" s="48" t="str">
        <f aca="false">IF($H667="","",购销流水!$E171)</f>
        <v/>
      </c>
      <c r="L667" s="66" t="str">
        <f aca="false">IF(购销流水!$D171="","",IFERROR(INDEX(记账规则!$A$6:$N$9,MATCH(购销流水!$D171,记账规则!$A$6:$A$9,0),6),""))</f>
        <v/>
      </c>
      <c r="M667" s="66" t="str">
        <f aca="false">IF($L667="","",IFERROR(INDEX(记账规则!$A$6:$N$9,MATCH(购销流水!$D171,记账规则!$A$6:$A$9,0),7),""))</f>
        <v/>
      </c>
      <c r="N667" s="66" t="str">
        <f aca="false">IF($L667="","",IFERROR(INDEX(记账规则!$A$6:$N$9,MATCH(购销流水!$D171,记账规则!$A$6:$A$9,0),8),""))</f>
        <v/>
      </c>
      <c r="O667" s="67" t="n">
        <f aca="false">IF($H667="",0,ROUND(IF($N667="成本金额",N(购销流水!$W171),IF($N667="金额",N(购销流水!$Q171),0)),2))</f>
        <v>0</v>
      </c>
      <c r="P667" s="64" t="str">
        <f aca="false">IF(AND($H667&lt;&gt;"",ROUND($O667,2)&lt;&gt;0),"有","")</f>
        <v/>
      </c>
    </row>
    <row r="668" customFormat="false" ht="15" hidden="true" customHeight="false" outlineLevel="0" collapsed="false">
      <c r="A668" s="53" t="str">
        <f aca="false">IF($H668="","",ROW()-5)</f>
        <v/>
      </c>
      <c r="B668" s="64" t="s">
        <v>36</v>
      </c>
      <c r="C668" s="53" t="n">
        <v>171</v>
      </c>
      <c r="D668" s="53" t="n">
        <v>3</v>
      </c>
      <c r="E668" s="65" t="str">
        <f aca="false">IF($H668="","",购销流水!$B171)</f>
        <v/>
      </c>
      <c r="F668" s="55" t="str">
        <f aca="false">IF($H668="","",购销流水!$C171)</f>
        <v/>
      </c>
      <c r="G668" s="48" t="str">
        <f aca="false">IF($H668="","",购销流水!$N171)</f>
        <v/>
      </c>
      <c r="H668" s="10" t="str">
        <f aca="false">IF($L668="","",IF($L668="@成本",购销流水!$U171,IF($L668="@收入",购销流水!$T171,IF($L668="@存货",购销流水!$S171,IF($L668="@结算",购销流水!$R171,$L668)))))</f>
        <v/>
      </c>
      <c r="I668" s="42" t="n">
        <f aca="false">IF($M668="借",$O668,0)</f>
        <v>0</v>
      </c>
      <c r="J668" s="42" t="n">
        <f aca="false">IF($M668="贷",$O668,0)</f>
        <v>0</v>
      </c>
      <c r="K668" s="48" t="str">
        <f aca="false">IF($H668="","",购销流水!$E171)</f>
        <v/>
      </c>
      <c r="L668" s="66" t="str">
        <f aca="false">IF(购销流水!$D171="","",IFERROR(INDEX(记账规则!$A$6:$N$9,MATCH(购销流水!$D171,记账规则!$A$6:$A$9,0),9),""))</f>
        <v/>
      </c>
      <c r="M668" s="66" t="str">
        <f aca="false">IF($L668="","",IFERROR(INDEX(记账规则!$A$6:$N$9,MATCH(购销流水!$D171,记账规则!$A$6:$A$9,0),10),""))</f>
        <v/>
      </c>
      <c r="N668" s="66" t="str">
        <f aca="false">IF($L668="","",IFERROR(INDEX(记账规则!$A$6:$N$9,MATCH(购销流水!$D171,记账规则!$A$6:$A$9,0),11),""))</f>
        <v/>
      </c>
      <c r="O668" s="67" t="n">
        <f aca="false">IF($H668="",0,ROUND(IF($N668="成本金额",N(购销流水!$W171),IF($N668="金额",N(购销流水!$Q171),0)),2))</f>
        <v>0</v>
      </c>
      <c r="P668" s="64" t="str">
        <f aca="false">IF(AND($H668&lt;&gt;"",ROUND($O668,2)&lt;&gt;0),"有","")</f>
        <v/>
      </c>
    </row>
    <row r="669" customFormat="false" ht="15" hidden="true" customHeight="false" outlineLevel="0" collapsed="false">
      <c r="A669" s="53" t="str">
        <f aca="false">IF($H669="","",ROW()-5)</f>
        <v/>
      </c>
      <c r="B669" s="64" t="s">
        <v>36</v>
      </c>
      <c r="C669" s="53" t="n">
        <v>171</v>
      </c>
      <c r="D669" s="53" t="n">
        <v>4</v>
      </c>
      <c r="E669" s="65" t="str">
        <f aca="false">IF($H669="","",购销流水!$B171)</f>
        <v/>
      </c>
      <c r="F669" s="55" t="str">
        <f aca="false">IF($H669="","",购销流水!$C171)</f>
        <v/>
      </c>
      <c r="G669" s="48" t="str">
        <f aca="false">IF($H669="","",购销流水!$N171)</f>
        <v/>
      </c>
      <c r="H669" s="10" t="str">
        <f aca="false">IF($L669="","",IF($L669="@成本",购销流水!$U171,IF($L669="@收入",购销流水!$T171,IF($L669="@存货",购销流水!$S171,IF($L669="@结算",购销流水!$R171,$L669)))))</f>
        <v/>
      </c>
      <c r="I669" s="42" t="n">
        <f aca="false">IF($M669="借",$O669,0)</f>
        <v>0</v>
      </c>
      <c r="J669" s="42" t="n">
        <f aca="false">IF($M669="贷",$O669,0)</f>
        <v>0</v>
      </c>
      <c r="K669" s="48" t="str">
        <f aca="false">IF($H669="","",购销流水!$E171)</f>
        <v/>
      </c>
      <c r="L669" s="66" t="str">
        <f aca="false">IF(购销流水!$D171="","",IFERROR(INDEX(记账规则!$A$6:$N$9,MATCH(购销流水!$D171,记账规则!$A$6:$A$9,0),12),""))</f>
        <v/>
      </c>
      <c r="M669" s="66" t="str">
        <f aca="false">IF($L669="","",IFERROR(INDEX(记账规则!$A$6:$N$9,MATCH(购销流水!$D171,记账规则!$A$6:$A$9,0),13),""))</f>
        <v/>
      </c>
      <c r="N669" s="66" t="str">
        <f aca="false">IF($L669="","",IFERROR(INDEX(记账规则!$A$6:$N$9,MATCH(购销流水!$D171,记账规则!$A$6:$A$9,0),14),""))</f>
        <v/>
      </c>
      <c r="O669" s="67" t="n">
        <f aca="false">IF($H669="",0,ROUND(IF($N669="成本金额",N(购销流水!$W171),IF($N669="金额",N(购销流水!$Q171),0)),2))</f>
        <v>0</v>
      </c>
      <c r="P669" s="64" t="str">
        <f aca="false">IF(AND($H669&lt;&gt;"",ROUND($O669,2)&lt;&gt;0),"有","")</f>
        <v/>
      </c>
    </row>
    <row r="670" customFormat="false" ht="15" hidden="true" customHeight="false" outlineLevel="0" collapsed="false">
      <c r="A670" s="53" t="str">
        <f aca="false">IF($H670="","",ROW()-5)</f>
        <v/>
      </c>
      <c r="B670" s="64" t="s">
        <v>36</v>
      </c>
      <c r="C670" s="53" t="n">
        <v>172</v>
      </c>
      <c r="D670" s="53" t="n">
        <v>1</v>
      </c>
      <c r="E670" s="65" t="str">
        <f aca="false">IF($H670="","",购销流水!$B172)</f>
        <v/>
      </c>
      <c r="F670" s="55" t="str">
        <f aca="false">IF($H670="","",购销流水!$C172)</f>
        <v/>
      </c>
      <c r="G670" s="48" t="str">
        <f aca="false">IF($H670="","",购销流水!$N172)</f>
        <v/>
      </c>
      <c r="H670" s="10" t="str">
        <f aca="false">IF($L670="","",IF($L670="@成本",购销流水!$U172,IF($L670="@收入",购销流水!$T172,IF($L670="@存货",购销流水!$S172,IF($L670="@结算",购销流水!$R172,$L670)))))</f>
        <v/>
      </c>
      <c r="I670" s="42" t="n">
        <f aca="false">IF($M670="借",$O670,0)</f>
        <v>0</v>
      </c>
      <c r="J670" s="42" t="n">
        <f aca="false">IF($M670="贷",$O670,0)</f>
        <v>0</v>
      </c>
      <c r="K670" s="48" t="str">
        <f aca="false">IF($H670="","",购销流水!$E172)</f>
        <v/>
      </c>
      <c r="L670" s="66" t="str">
        <f aca="false">IF(购销流水!$D172="","",IFERROR(INDEX(记账规则!$A$6:$N$9,MATCH(购销流水!$D172,记账规则!$A$6:$A$9,0),3),""))</f>
        <v/>
      </c>
      <c r="M670" s="66" t="str">
        <f aca="false">IF($L670="","",IFERROR(INDEX(记账规则!$A$6:$N$9,MATCH(购销流水!$D172,记账规则!$A$6:$A$9,0),4),""))</f>
        <v/>
      </c>
      <c r="N670" s="66" t="str">
        <f aca="false">IF($L670="","",IFERROR(INDEX(记账规则!$A$6:$N$9,MATCH(购销流水!$D172,记账规则!$A$6:$A$9,0),5),""))</f>
        <v/>
      </c>
      <c r="O670" s="67" t="n">
        <f aca="false">IF($H670="",0,ROUND(IF($N670="成本金额",N(购销流水!$W172),IF($N670="金额",N(购销流水!$Q172),0)),2))</f>
        <v>0</v>
      </c>
      <c r="P670" s="64" t="str">
        <f aca="false">IF(AND($H670&lt;&gt;"",ROUND($O670,2)&lt;&gt;0),"有","")</f>
        <v/>
      </c>
    </row>
    <row r="671" customFormat="false" ht="15" hidden="true" customHeight="false" outlineLevel="0" collapsed="false">
      <c r="A671" s="53" t="str">
        <f aca="false">IF($H671="","",ROW()-5)</f>
        <v/>
      </c>
      <c r="B671" s="64" t="s">
        <v>36</v>
      </c>
      <c r="C671" s="53" t="n">
        <v>172</v>
      </c>
      <c r="D671" s="53" t="n">
        <v>2</v>
      </c>
      <c r="E671" s="65" t="str">
        <f aca="false">IF($H671="","",购销流水!$B172)</f>
        <v/>
      </c>
      <c r="F671" s="55" t="str">
        <f aca="false">IF($H671="","",购销流水!$C172)</f>
        <v/>
      </c>
      <c r="G671" s="48" t="str">
        <f aca="false">IF($H671="","",购销流水!$N172)</f>
        <v/>
      </c>
      <c r="H671" s="10" t="str">
        <f aca="false">IF($L671="","",IF($L671="@成本",购销流水!$U172,IF($L671="@收入",购销流水!$T172,IF($L671="@存货",购销流水!$S172,IF($L671="@结算",购销流水!$R172,$L671)))))</f>
        <v/>
      </c>
      <c r="I671" s="42" t="n">
        <f aca="false">IF($M671="借",$O671,0)</f>
        <v>0</v>
      </c>
      <c r="J671" s="42" t="n">
        <f aca="false">IF($M671="贷",$O671,0)</f>
        <v>0</v>
      </c>
      <c r="K671" s="48" t="str">
        <f aca="false">IF($H671="","",购销流水!$E172)</f>
        <v/>
      </c>
      <c r="L671" s="66" t="str">
        <f aca="false">IF(购销流水!$D172="","",IFERROR(INDEX(记账规则!$A$6:$N$9,MATCH(购销流水!$D172,记账规则!$A$6:$A$9,0),6),""))</f>
        <v/>
      </c>
      <c r="M671" s="66" t="str">
        <f aca="false">IF($L671="","",IFERROR(INDEX(记账规则!$A$6:$N$9,MATCH(购销流水!$D172,记账规则!$A$6:$A$9,0),7),""))</f>
        <v/>
      </c>
      <c r="N671" s="66" t="str">
        <f aca="false">IF($L671="","",IFERROR(INDEX(记账规则!$A$6:$N$9,MATCH(购销流水!$D172,记账规则!$A$6:$A$9,0),8),""))</f>
        <v/>
      </c>
      <c r="O671" s="67" t="n">
        <f aca="false">IF($H671="",0,ROUND(IF($N671="成本金额",N(购销流水!$W172),IF($N671="金额",N(购销流水!$Q172),0)),2))</f>
        <v>0</v>
      </c>
      <c r="P671" s="64" t="str">
        <f aca="false">IF(AND($H671&lt;&gt;"",ROUND($O671,2)&lt;&gt;0),"有","")</f>
        <v/>
      </c>
    </row>
    <row r="672" customFormat="false" ht="15" hidden="true" customHeight="false" outlineLevel="0" collapsed="false">
      <c r="A672" s="53" t="str">
        <f aca="false">IF($H672="","",ROW()-5)</f>
        <v/>
      </c>
      <c r="B672" s="64" t="s">
        <v>36</v>
      </c>
      <c r="C672" s="53" t="n">
        <v>172</v>
      </c>
      <c r="D672" s="53" t="n">
        <v>3</v>
      </c>
      <c r="E672" s="65" t="str">
        <f aca="false">IF($H672="","",购销流水!$B172)</f>
        <v/>
      </c>
      <c r="F672" s="55" t="str">
        <f aca="false">IF($H672="","",购销流水!$C172)</f>
        <v/>
      </c>
      <c r="G672" s="48" t="str">
        <f aca="false">IF($H672="","",购销流水!$N172)</f>
        <v/>
      </c>
      <c r="H672" s="10" t="str">
        <f aca="false">IF($L672="","",IF($L672="@成本",购销流水!$U172,IF($L672="@收入",购销流水!$T172,IF($L672="@存货",购销流水!$S172,IF($L672="@结算",购销流水!$R172,$L672)))))</f>
        <v/>
      </c>
      <c r="I672" s="42" t="n">
        <f aca="false">IF($M672="借",$O672,0)</f>
        <v>0</v>
      </c>
      <c r="J672" s="42" t="n">
        <f aca="false">IF($M672="贷",$O672,0)</f>
        <v>0</v>
      </c>
      <c r="K672" s="48" t="str">
        <f aca="false">IF($H672="","",购销流水!$E172)</f>
        <v/>
      </c>
      <c r="L672" s="66" t="str">
        <f aca="false">IF(购销流水!$D172="","",IFERROR(INDEX(记账规则!$A$6:$N$9,MATCH(购销流水!$D172,记账规则!$A$6:$A$9,0),9),""))</f>
        <v/>
      </c>
      <c r="M672" s="66" t="str">
        <f aca="false">IF($L672="","",IFERROR(INDEX(记账规则!$A$6:$N$9,MATCH(购销流水!$D172,记账规则!$A$6:$A$9,0),10),""))</f>
        <v/>
      </c>
      <c r="N672" s="66" t="str">
        <f aca="false">IF($L672="","",IFERROR(INDEX(记账规则!$A$6:$N$9,MATCH(购销流水!$D172,记账规则!$A$6:$A$9,0),11),""))</f>
        <v/>
      </c>
      <c r="O672" s="67" t="n">
        <f aca="false">IF($H672="",0,ROUND(IF($N672="成本金额",N(购销流水!$W172),IF($N672="金额",N(购销流水!$Q172),0)),2))</f>
        <v>0</v>
      </c>
      <c r="P672" s="64" t="str">
        <f aca="false">IF(AND($H672&lt;&gt;"",ROUND($O672,2)&lt;&gt;0),"有","")</f>
        <v/>
      </c>
    </row>
    <row r="673" customFormat="false" ht="15" hidden="true" customHeight="false" outlineLevel="0" collapsed="false">
      <c r="A673" s="53" t="str">
        <f aca="false">IF($H673="","",ROW()-5)</f>
        <v/>
      </c>
      <c r="B673" s="64" t="s">
        <v>36</v>
      </c>
      <c r="C673" s="53" t="n">
        <v>172</v>
      </c>
      <c r="D673" s="53" t="n">
        <v>4</v>
      </c>
      <c r="E673" s="65" t="str">
        <f aca="false">IF($H673="","",购销流水!$B172)</f>
        <v/>
      </c>
      <c r="F673" s="55" t="str">
        <f aca="false">IF($H673="","",购销流水!$C172)</f>
        <v/>
      </c>
      <c r="G673" s="48" t="str">
        <f aca="false">IF($H673="","",购销流水!$N172)</f>
        <v/>
      </c>
      <c r="H673" s="10" t="str">
        <f aca="false">IF($L673="","",IF($L673="@成本",购销流水!$U172,IF($L673="@收入",购销流水!$T172,IF($L673="@存货",购销流水!$S172,IF($L673="@结算",购销流水!$R172,$L673)))))</f>
        <v/>
      </c>
      <c r="I673" s="42" t="n">
        <f aca="false">IF($M673="借",$O673,0)</f>
        <v>0</v>
      </c>
      <c r="J673" s="42" t="n">
        <f aca="false">IF($M673="贷",$O673,0)</f>
        <v>0</v>
      </c>
      <c r="K673" s="48" t="str">
        <f aca="false">IF($H673="","",购销流水!$E172)</f>
        <v/>
      </c>
      <c r="L673" s="66" t="str">
        <f aca="false">IF(购销流水!$D172="","",IFERROR(INDEX(记账规则!$A$6:$N$9,MATCH(购销流水!$D172,记账规则!$A$6:$A$9,0),12),""))</f>
        <v/>
      </c>
      <c r="M673" s="66" t="str">
        <f aca="false">IF($L673="","",IFERROR(INDEX(记账规则!$A$6:$N$9,MATCH(购销流水!$D172,记账规则!$A$6:$A$9,0),13),""))</f>
        <v/>
      </c>
      <c r="N673" s="66" t="str">
        <f aca="false">IF($L673="","",IFERROR(INDEX(记账规则!$A$6:$N$9,MATCH(购销流水!$D172,记账规则!$A$6:$A$9,0),14),""))</f>
        <v/>
      </c>
      <c r="O673" s="67" t="n">
        <f aca="false">IF($H673="",0,ROUND(IF($N673="成本金额",N(购销流水!$W172),IF($N673="金额",N(购销流水!$Q172),0)),2))</f>
        <v>0</v>
      </c>
      <c r="P673" s="64" t="str">
        <f aca="false">IF(AND($H673&lt;&gt;"",ROUND($O673,2)&lt;&gt;0),"有","")</f>
        <v/>
      </c>
    </row>
    <row r="674" customFormat="false" ht="15" hidden="true" customHeight="false" outlineLevel="0" collapsed="false">
      <c r="A674" s="53" t="str">
        <f aca="false">IF($H674="","",ROW()-5)</f>
        <v/>
      </c>
      <c r="B674" s="64" t="s">
        <v>36</v>
      </c>
      <c r="C674" s="53" t="n">
        <v>173</v>
      </c>
      <c r="D674" s="53" t="n">
        <v>1</v>
      </c>
      <c r="E674" s="65" t="str">
        <f aca="false">IF($H674="","",购销流水!$B173)</f>
        <v/>
      </c>
      <c r="F674" s="55" t="str">
        <f aca="false">IF($H674="","",购销流水!$C173)</f>
        <v/>
      </c>
      <c r="G674" s="48" t="str">
        <f aca="false">IF($H674="","",购销流水!$N173)</f>
        <v/>
      </c>
      <c r="H674" s="10" t="str">
        <f aca="false">IF($L674="","",IF($L674="@成本",购销流水!$U173,IF($L674="@收入",购销流水!$T173,IF($L674="@存货",购销流水!$S173,IF($L674="@结算",购销流水!$R173,$L674)))))</f>
        <v/>
      </c>
      <c r="I674" s="42" t="n">
        <f aca="false">IF($M674="借",$O674,0)</f>
        <v>0</v>
      </c>
      <c r="J674" s="42" t="n">
        <f aca="false">IF($M674="贷",$O674,0)</f>
        <v>0</v>
      </c>
      <c r="K674" s="48" t="str">
        <f aca="false">IF($H674="","",购销流水!$E173)</f>
        <v/>
      </c>
      <c r="L674" s="66" t="str">
        <f aca="false">IF(购销流水!$D173="","",IFERROR(INDEX(记账规则!$A$6:$N$9,MATCH(购销流水!$D173,记账规则!$A$6:$A$9,0),3),""))</f>
        <v/>
      </c>
      <c r="M674" s="66" t="str">
        <f aca="false">IF($L674="","",IFERROR(INDEX(记账规则!$A$6:$N$9,MATCH(购销流水!$D173,记账规则!$A$6:$A$9,0),4),""))</f>
        <v/>
      </c>
      <c r="N674" s="66" t="str">
        <f aca="false">IF($L674="","",IFERROR(INDEX(记账规则!$A$6:$N$9,MATCH(购销流水!$D173,记账规则!$A$6:$A$9,0),5),""))</f>
        <v/>
      </c>
      <c r="O674" s="67" t="n">
        <f aca="false">IF($H674="",0,ROUND(IF($N674="成本金额",N(购销流水!$W173),IF($N674="金额",N(购销流水!$Q173),0)),2))</f>
        <v>0</v>
      </c>
      <c r="P674" s="64" t="str">
        <f aca="false">IF(AND($H674&lt;&gt;"",ROUND($O674,2)&lt;&gt;0),"有","")</f>
        <v/>
      </c>
    </row>
    <row r="675" customFormat="false" ht="15" hidden="true" customHeight="false" outlineLevel="0" collapsed="false">
      <c r="A675" s="53" t="str">
        <f aca="false">IF($H675="","",ROW()-5)</f>
        <v/>
      </c>
      <c r="B675" s="64" t="s">
        <v>36</v>
      </c>
      <c r="C675" s="53" t="n">
        <v>173</v>
      </c>
      <c r="D675" s="53" t="n">
        <v>2</v>
      </c>
      <c r="E675" s="65" t="str">
        <f aca="false">IF($H675="","",购销流水!$B173)</f>
        <v/>
      </c>
      <c r="F675" s="55" t="str">
        <f aca="false">IF($H675="","",购销流水!$C173)</f>
        <v/>
      </c>
      <c r="G675" s="48" t="str">
        <f aca="false">IF($H675="","",购销流水!$N173)</f>
        <v/>
      </c>
      <c r="H675" s="10" t="str">
        <f aca="false">IF($L675="","",IF($L675="@成本",购销流水!$U173,IF($L675="@收入",购销流水!$T173,IF($L675="@存货",购销流水!$S173,IF($L675="@结算",购销流水!$R173,$L675)))))</f>
        <v/>
      </c>
      <c r="I675" s="42" t="n">
        <f aca="false">IF($M675="借",$O675,0)</f>
        <v>0</v>
      </c>
      <c r="J675" s="42" t="n">
        <f aca="false">IF($M675="贷",$O675,0)</f>
        <v>0</v>
      </c>
      <c r="K675" s="48" t="str">
        <f aca="false">IF($H675="","",购销流水!$E173)</f>
        <v/>
      </c>
      <c r="L675" s="66" t="str">
        <f aca="false">IF(购销流水!$D173="","",IFERROR(INDEX(记账规则!$A$6:$N$9,MATCH(购销流水!$D173,记账规则!$A$6:$A$9,0),6),""))</f>
        <v/>
      </c>
      <c r="M675" s="66" t="str">
        <f aca="false">IF($L675="","",IFERROR(INDEX(记账规则!$A$6:$N$9,MATCH(购销流水!$D173,记账规则!$A$6:$A$9,0),7),""))</f>
        <v/>
      </c>
      <c r="N675" s="66" t="str">
        <f aca="false">IF($L675="","",IFERROR(INDEX(记账规则!$A$6:$N$9,MATCH(购销流水!$D173,记账规则!$A$6:$A$9,0),8),""))</f>
        <v/>
      </c>
      <c r="O675" s="67" t="n">
        <f aca="false">IF($H675="",0,ROUND(IF($N675="成本金额",N(购销流水!$W173),IF($N675="金额",N(购销流水!$Q173),0)),2))</f>
        <v>0</v>
      </c>
      <c r="P675" s="64" t="str">
        <f aca="false">IF(AND($H675&lt;&gt;"",ROUND($O675,2)&lt;&gt;0),"有","")</f>
        <v/>
      </c>
    </row>
    <row r="676" customFormat="false" ht="15" hidden="true" customHeight="false" outlineLevel="0" collapsed="false">
      <c r="A676" s="53" t="str">
        <f aca="false">IF($H676="","",ROW()-5)</f>
        <v/>
      </c>
      <c r="B676" s="64" t="s">
        <v>36</v>
      </c>
      <c r="C676" s="53" t="n">
        <v>173</v>
      </c>
      <c r="D676" s="53" t="n">
        <v>3</v>
      </c>
      <c r="E676" s="65" t="str">
        <f aca="false">IF($H676="","",购销流水!$B173)</f>
        <v/>
      </c>
      <c r="F676" s="55" t="str">
        <f aca="false">IF($H676="","",购销流水!$C173)</f>
        <v/>
      </c>
      <c r="G676" s="48" t="str">
        <f aca="false">IF($H676="","",购销流水!$N173)</f>
        <v/>
      </c>
      <c r="H676" s="10" t="str">
        <f aca="false">IF($L676="","",IF($L676="@成本",购销流水!$U173,IF($L676="@收入",购销流水!$T173,IF($L676="@存货",购销流水!$S173,IF($L676="@结算",购销流水!$R173,$L676)))))</f>
        <v/>
      </c>
      <c r="I676" s="42" t="n">
        <f aca="false">IF($M676="借",$O676,0)</f>
        <v>0</v>
      </c>
      <c r="J676" s="42" t="n">
        <f aca="false">IF($M676="贷",$O676,0)</f>
        <v>0</v>
      </c>
      <c r="K676" s="48" t="str">
        <f aca="false">IF($H676="","",购销流水!$E173)</f>
        <v/>
      </c>
      <c r="L676" s="66" t="str">
        <f aca="false">IF(购销流水!$D173="","",IFERROR(INDEX(记账规则!$A$6:$N$9,MATCH(购销流水!$D173,记账规则!$A$6:$A$9,0),9),""))</f>
        <v/>
      </c>
      <c r="M676" s="66" t="str">
        <f aca="false">IF($L676="","",IFERROR(INDEX(记账规则!$A$6:$N$9,MATCH(购销流水!$D173,记账规则!$A$6:$A$9,0),10),""))</f>
        <v/>
      </c>
      <c r="N676" s="66" t="str">
        <f aca="false">IF($L676="","",IFERROR(INDEX(记账规则!$A$6:$N$9,MATCH(购销流水!$D173,记账规则!$A$6:$A$9,0),11),""))</f>
        <v/>
      </c>
      <c r="O676" s="67" t="n">
        <f aca="false">IF($H676="",0,ROUND(IF($N676="成本金额",N(购销流水!$W173),IF($N676="金额",N(购销流水!$Q173),0)),2))</f>
        <v>0</v>
      </c>
      <c r="P676" s="64" t="str">
        <f aca="false">IF(AND($H676&lt;&gt;"",ROUND($O676,2)&lt;&gt;0),"有","")</f>
        <v/>
      </c>
    </row>
    <row r="677" customFormat="false" ht="15" hidden="true" customHeight="false" outlineLevel="0" collapsed="false">
      <c r="A677" s="53" t="str">
        <f aca="false">IF($H677="","",ROW()-5)</f>
        <v/>
      </c>
      <c r="B677" s="64" t="s">
        <v>36</v>
      </c>
      <c r="C677" s="53" t="n">
        <v>173</v>
      </c>
      <c r="D677" s="53" t="n">
        <v>4</v>
      </c>
      <c r="E677" s="65" t="str">
        <f aca="false">IF($H677="","",购销流水!$B173)</f>
        <v/>
      </c>
      <c r="F677" s="55" t="str">
        <f aca="false">IF($H677="","",购销流水!$C173)</f>
        <v/>
      </c>
      <c r="G677" s="48" t="str">
        <f aca="false">IF($H677="","",购销流水!$N173)</f>
        <v/>
      </c>
      <c r="H677" s="10" t="str">
        <f aca="false">IF($L677="","",IF($L677="@成本",购销流水!$U173,IF($L677="@收入",购销流水!$T173,IF($L677="@存货",购销流水!$S173,IF($L677="@结算",购销流水!$R173,$L677)))))</f>
        <v/>
      </c>
      <c r="I677" s="42" t="n">
        <f aca="false">IF($M677="借",$O677,0)</f>
        <v>0</v>
      </c>
      <c r="J677" s="42" t="n">
        <f aca="false">IF($M677="贷",$O677,0)</f>
        <v>0</v>
      </c>
      <c r="K677" s="48" t="str">
        <f aca="false">IF($H677="","",购销流水!$E173)</f>
        <v/>
      </c>
      <c r="L677" s="66" t="str">
        <f aca="false">IF(购销流水!$D173="","",IFERROR(INDEX(记账规则!$A$6:$N$9,MATCH(购销流水!$D173,记账规则!$A$6:$A$9,0),12),""))</f>
        <v/>
      </c>
      <c r="M677" s="66" t="str">
        <f aca="false">IF($L677="","",IFERROR(INDEX(记账规则!$A$6:$N$9,MATCH(购销流水!$D173,记账规则!$A$6:$A$9,0),13),""))</f>
        <v/>
      </c>
      <c r="N677" s="66" t="str">
        <f aca="false">IF($L677="","",IFERROR(INDEX(记账规则!$A$6:$N$9,MATCH(购销流水!$D173,记账规则!$A$6:$A$9,0),14),""))</f>
        <v/>
      </c>
      <c r="O677" s="67" t="n">
        <f aca="false">IF($H677="",0,ROUND(IF($N677="成本金额",N(购销流水!$W173),IF($N677="金额",N(购销流水!$Q173),0)),2))</f>
        <v>0</v>
      </c>
      <c r="P677" s="64" t="str">
        <f aca="false">IF(AND($H677&lt;&gt;"",ROUND($O677,2)&lt;&gt;0),"有","")</f>
        <v/>
      </c>
    </row>
    <row r="678" customFormat="false" ht="15" hidden="true" customHeight="false" outlineLevel="0" collapsed="false">
      <c r="A678" s="53" t="str">
        <f aca="false">IF($H678="","",ROW()-5)</f>
        <v/>
      </c>
      <c r="B678" s="64" t="s">
        <v>36</v>
      </c>
      <c r="C678" s="53" t="n">
        <v>174</v>
      </c>
      <c r="D678" s="53" t="n">
        <v>1</v>
      </c>
      <c r="E678" s="65" t="str">
        <f aca="false">IF($H678="","",购销流水!$B174)</f>
        <v/>
      </c>
      <c r="F678" s="55" t="str">
        <f aca="false">IF($H678="","",购销流水!$C174)</f>
        <v/>
      </c>
      <c r="G678" s="48" t="str">
        <f aca="false">IF($H678="","",购销流水!$N174)</f>
        <v/>
      </c>
      <c r="H678" s="10" t="str">
        <f aca="false">IF($L678="","",IF($L678="@成本",购销流水!$U174,IF($L678="@收入",购销流水!$T174,IF($L678="@存货",购销流水!$S174,IF($L678="@结算",购销流水!$R174,$L678)))))</f>
        <v/>
      </c>
      <c r="I678" s="42" t="n">
        <f aca="false">IF($M678="借",$O678,0)</f>
        <v>0</v>
      </c>
      <c r="J678" s="42" t="n">
        <f aca="false">IF($M678="贷",$O678,0)</f>
        <v>0</v>
      </c>
      <c r="K678" s="48" t="str">
        <f aca="false">IF($H678="","",购销流水!$E174)</f>
        <v/>
      </c>
      <c r="L678" s="66" t="str">
        <f aca="false">IF(购销流水!$D174="","",IFERROR(INDEX(记账规则!$A$6:$N$9,MATCH(购销流水!$D174,记账规则!$A$6:$A$9,0),3),""))</f>
        <v/>
      </c>
      <c r="M678" s="66" t="str">
        <f aca="false">IF($L678="","",IFERROR(INDEX(记账规则!$A$6:$N$9,MATCH(购销流水!$D174,记账规则!$A$6:$A$9,0),4),""))</f>
        <v/>
      </c>
      <c r="N678" s="66" t="str">
        <f aca="false">IF($L678="","",IFERROR(INDEX(记账规则!$A$6:$N$9,MATCH(购销流水!$D174,记账规则!$A$6:$A$9,0),5),""))</f>
        <v/>
      </c>
      <c r="O678" s="67" t="n">
        <f aca="false">IF($H678="",0,ROUND(IF($N678="成本金额",N(购销流水!$W174),IF($N678="金额",N(购销流水!$Q174),0)),2))</f>
        <v>0</v>
      </c>
      <c r="P678" s="64" t="str">
        <f aca="false">IF(AND($H678&lt;&gt;"",ROUND($O678,2)&lt;&gt;0),"有","")</f>
        <v/>
      </c>
    </row>
    <row r="679" customFormat="false" ht="15" hidden="true" customHeight="false" outlineLevel="0" collapsed="false">
      <c r="A679" s="53" t="str">
        <f aca="false">IF($H679="","",ROW()-5)</f>
        <v/>
      </c>
      <c r="B679" s="64" t="s">
        <v>36</v>
      </c>
      <c r="C679" s="53" t="n">
        <v>174</v>
      </c>
      <c r="D679" s="53" t="n">
        <v>2</v>
      </c>
      <c r="E679" s="65" t="str">
        <f aca="false">IF($H679="","",购销流水!$B174)</f>
        <v/>
      </c>
      <c r="F679" s="55" t="str">
        <f aca="false">IF($H679="","",购销流水!$C174)</f>
        <v/>
      </c>
      <c r="G679" s="48" t="str">
        <f aca="false">IF($H679="","",购销流水!$N174)</f>
        <v/>
      </c>
      <c r="H679" s="10" t="str">
        <f aca="false">IF($L679="","",IF($L679="@成本",购销流水!$U174,IF($L679="@收入",购销流水!$T174,IF($L679="@存货",购销流水!$S174,IF($L679="@结算",购销流水!$R174,$L679)))))</f>
        <v/>
      </c>
      <c r="I679" s="42" t="n">
        <f aca="false">IF($M679="借",$O679,0)</f>
        <v>0</v>
      </c>
      <c r="J679" s="42" t="n">
        <f aca="false">IF($M679="贷",$O679,0)</f>
        <v>0</v>
      </c>
      <c r="K679" s="48" t="str">
        <f aca="false">IF($H679="","",购销流水!$E174)</f>
        <v/>
      </c>
      <c r="L679" s="66" t="str">
        <f aca="false">IF(购销流水!$D174="","",IFERROR(INDEX(记账规则!$A$6:$N$9,MATCH(购销流水!$D174,记账规则!$A$6:$A$9,0),6),""))</f>
        <v/>
      </c>
      <c r="M679" s="66" t="str">
        <f aca="false">IF($L679="","",IFERROR(INDEX(记账规则!$A$6:$N$9,MATCH(购销流水!$D174,记账规则!$A$6:$A$9,0),7),""))</f>
        <v/>
      </c>
      <c r="N679" s="66" t="str">
        <f aca="false">IF($L679="","",IFERROR(INDEX(记账规则!$A$6:$N$9,MATCH(购销流水!$D174,记账规则!$A$6:$A$9,0),8),""))</f>
        <v/>
      </c>
      <c r="O679" s="67" t="n">
        <f aca="false">IF($H679="",0,ROUND(IF($N679="成本金额",N(购销流水!$W174),IF($N679="金额",N(购销流水!$Q174),0)),2))</f>
        <v>0</v>
      </c>
      <c r="P679" s="64" t="str">
        <f aca="false">IF(AND($H679&lt;&gt;"",ROUND($O679,2)&lt;&gt;0),"有","")</f>
        <v/>
      </c>
    </row>
    <row r="680" customFormat="false" ht="15" hidden="true" customHeight="false" outlineLevel="0" collapsed="false">
      <c r="A680" s="53" t="str">
        <f aca="false">IF($H680="","",ROW()-5)</f>
        <v/>
      </c>
      <c r="B680" s="64" t="s">
        <v>36</v>
      </c>
      <c r="C680" s="53" t="n">
        <v>174</v>
      </c>
      <c r="D680" s="53" t="n">
        <v>3</v>
      </c>
      <c r="E680" s="65" t="str">
        <f aca="false">IF($H680="","",购销流水!$B174)</f>
        <v/>
      </c>
      <c r="F680" s="55" t="str">
        <f aca="false">IF($H680="","",购销流水!$C174)</f>
        <v/>
      </c>
      <c r="G680" s="48" t="str">
        <f aca="false">IF($H680="","",购销流水!$N174)</f>
        <v/>
      </c>
      <c r="H680" s="10" t="str">
        <f aca="false">IF($L680="","",IF($L680="@成本",购销流水!$U174,IF($L680="@收入",购销流水!$T174,IF($L680="@存货",购销流水!$S174,IF($L680="@结算",购销流水!$R174,$L680)))))</f>
        <v/>
      </c>
      <c r="I680" s="42" t="n">
        <f aca="false">IF($M680="借",$O680,0)</f>
        <v>0</v>
      </c>
      <c r="J680" s="42" t="n">
        <f aca="false">IF($M680="贷",$O680,0)</f>
        <v>0</v>
      </c>
      <c r="K680" s="48" t="str">
        <f aca="false">IF($H680="","",购销流水!$E174)</f>
        <v/>
      </c>
      <c r="L680" s="66" t="str">
        <f aca="false">IF(购销流水!$D174="","",IFERROR(INDEX(记账规则!$A$6:$N$9,MATCH(购销流水!$D174,记账规则!$A$6:$A$9,0),9),""))</f>
        <v/>
      </c>
      <c r="M680" s="66" t="str">
        <f aca="false">IF($L680="","",IFERROR(INDEX(记账规则!$A$6:$N$9,MATCH(购销流水!$D174,记账规则!$A$6:$A$9,0),10),""))</f>
        <v/>
      </c>
      <c r="N680" s="66" t="str">
        <f aca="false">IF($L680="","",IFERROR(INDEX(记账规则!$A$6:$N$9,MATCH(购销流水!$D174,记账规则!$A$6:$A$9,0),11),""))</f>
        <v/>
      </c>
      <c r="O680" s="67" t="n">
        <f aca="false">IF($H680="",0,ROUND(IF($N680="成本金额",N(购销流水!$W174),IF($N680="金额",N(购销流水!$Q174),0)),2))</f>
        <v>0</v>
      </c>
      <c r="P680" s="64" t="str">
        <f aca="false">IF(AND($H680&lt;&gt;"",ROUND($O680,2)&lt;&gt;0),"有","")</f>
        <v/>
      </c>
    </row>
    <row r="681" customFormat="false" ht="15" hidden="true" customHeight="false" outlineLevel="0" collapsed="false">
      <c r="A681" s="53" t="str">
        <f aca="false">IF($H681="","",ROW()-5)</f>
        <v/>
      </c>
      <c r="B681" s="64" t="s">
        <v>36</v>
      </c>
      <c r="C681" s="53" t="n">
        <v>174</v>
      </c>
      <c r="D681" s="53" t="n">
        <v>4</v>
      </c>
      <c r="E681" s="65" t="str">
        <f aca="false">IF($H681="","",购销流水!$B174)</f>
        <v/>
      </c>
      <c r="F681" s="55" t="str">
        <f aca="false">IF($H681="","",购销流水!$C174)</f>
        <v/>
      </c>
      <c r="G681" s="48" t="str">
        <f aca="false">IF($H681="","",购销流水!$N174)</f>
        <v/>
      </c>
      <c r="H681" s="10" t="str">
        <f aca="false">IF($L681="","",IF($L681="@成本",购销流水!$U174,IF($L681="@收入",购销流水!$T174,IF($L681="@存货",购销流水!$S174,IF($L681="@结算",购销流水!$R174,$L681)))))</f>
        <v/>
      </c>
      <c r="I681" s="42" t="n">
        <f aca="false">IF($M681="借",$O681,0)</f>
        <v>0</v>
      </c>
      <c r="J681" s="42" t="n">
        <f aca="false">IF($M681="贷",$O681,0)</f>
        <v>0</v>
      </c>
      <c r="K681" s="48" t="str">
        <f aca="false">IF($H681="","",购销流水!$E174)</f>
        <v/>
      </c>
      <c r="L681" s="66" t="str">
        <f aca="false">IF(购销流水!$D174="","",IFERROR(INDEX(记账规则!$A$6:$N$9,MATCH(购销流水!$D174,记账规则!$A$6:$A$9,0),12),""))</f>
        <v/>
      </c>
      <c r="M681" s="66" t="str">
        <f aca="false">IF($L681="","",IFERROR(INDEX(记账规则!$A$6:$N$9,MATCH(购销流水!$D174,记账规则!$A$6:$A$9,0),13),""))</f>
        <v/>
      </c>
      <c r="N681" s="66" t="str">
        <f aca="false">IF($L681="","",IFERROR(INDEX(记账规则!$A$6:$N$9,MATCH(购销流水!$D174,记账规则!$A$6:$A$9,0),14),""))</f>
        <v/>
      </c>
      <c r="O681" s="67" t="n">
        <f aca="false">IF($H681="",0,ROUND(IF($N681="成本金额",N(购销流水!$W174),IF($N681="金额",N(购销流水!$Q174),0)),2))</f>
        <v>0</v>
      </c>
      <c r="P681" s="64" t="str">
        <f aca="false">IF(AND($H681&lt;&gt;"",ROUND($O681,2)&lt;&gt;0),"有","")</f>
        <v/>
      </c>
    </row>
    <row r="682" customFormat="false" ht="15" hidden="true" customHeight="false" outlineLevel="0" collapsed="false">
      <c r="A682" s="53" t="str">
        <f aca="false">IF($H682="","",ROW()-5)</f>
        <v/>
      </c>
      <c r="B682" s="64" t="s">
        <v>36</v>
      </c>
      <c r="C682" s="53" t="n">
        <v>175</v>
      </c>
      <c r="D682" s="53" t="n">
        <v>1</v>
      </c>
      <c r="E682" s="65" t="str">
        <f aca="false">IF($H682="","",购销流水!$B175)</f>
        <v/>
      </c>
      <c r="F682" s="55" t="str">
        <f aca="false">IF($H682="","",购销流水!$C175)</f>
        <v/>
      </c>
      <c r="G682" s="48" t="str">
        <f aca="false">IF($H682="","",购销流水!$N175)</f>
        <v/>
      </c>
      <c r="H682" s="10" t="str">
        <f aca="false">IF($L682="","",IF($L682="@成本",购销流水!$U175,IF($L682="@收入",购销流水!$T175,IF($L682="@存货",购销流水!$S175,IF($L682="@结算",购销流水!$R175,$L682)))))</f>
        <v/>
      </c>
      <c r="I682" s="42" t="n">
        <f aca="false">IF($M682="借",$O682,0)</f>
        <v>0</v>
      </c>
      <c r="J682" s="42" t="n">
        <f aca="false">IF($M682="贷",$O682,0)</f>
        <v>0</v>
      </c>
      <c r="K682" s="48" t="str">
        <f aca="false">IF($H682="","",购销流水!$E175)</f>
        <v/>
      </c>
      <c r="L682" s="66" t="str">
        <f aca="false">IF(购销流水!$D175="","",IFERROR(INDEX(记账规则!$A$6:$N$9,MATCH(购销流水!$D175,记账规则!$A$6:$A$9,0),3),""))</f>
        <v/>
      </c>
      <c r="M682" s="66" t="str">
        <f aca="false">IF($L682="","",IFERROR(INDEX(记账规则!$A$6:$N$9,MATCH(购销流水!$D175,记账规则!$A$6:$A$9,0),4),""))</f>
        <v/>
      </c>
      <c r="N682" s="66" t="str">
        <f aca="false">IF($L682="","",IFERROR(INDEX(记账规则!$A$6:$N$9,MATCH(购销流水!$D175,记账规则!$A$6:$A$9,0),5),""))</f>
        <v/>
      </c>
      <c r="O682" s="67" t="n">
        <f aca="false">IF($H682="",0,ROUND(IF($N682="成本金额",N(购销流水!$W175),IF($N682="金额",N(购销流水!$Q175),0)),2))</f>
        <v>0</v>
      </c>
      <c r="P682" s="64" t="str">
        <f aca="false">IF(AND($H682&lt;&gt;"",ROUND($O682,2)&lt;&gt;0),"有","")</f>
        <v/>
      </c>
    </row>
    <row r="683" customFormat="false" ht="15" hidden="true" customHeight="false" outlineLevel="0" collapsed="false">
      <c r="A683" s="53" t="str">
        <f aca="false">IF($H683="","",ROW()-5)</f>
        <v/>
      </c>
      <c r="B683" s="64" t="s">
        <v>36</v>
      </c>
      <c r="C683" s="53" t="n">
        <v>175</v>
      </c>
      <c r="D683" s="53" t="n">
        <v>2</v>
      </c>
      <c r="E683" s="65" t="str">
        <f aca="false">IF($H683="","",购销流水!$B175)</f>
        <v/>
      </c>
      <c r="F683" s="55" t="str">
        <f aca="false">IF($H683="","",购销流水!$C175)</f>
        <v/>
      </c>
      <c r="G683" s="48" t="str">
        <f aca="false">IF($H683="","",购销流水!$N175)</f>
        <v/>
      </c>
      <c r="H683" s="10" t="str">
        <f aca="false">IF($L683="","",IF($L683="@成本",购销流水!$U175,IF($L683="@收入",购销流水!$T175,IF($L683="@存货",购销流水!$S175,IF($L683="@结算",购销流水!$R175,$L683)))))</f>
        <v/>
      </c>
      <c r="I683" s="42" t="n">
        <f aca="false">IF($M683="借",$O683,0)</f>
        <v>0</v>
      </c>
      <c r="J683" s="42" t="n">
        <f aca="false">IF($M683="贷",$O683,0)</f>
        <v>0</v>
      </c>
      <c r="K683" s="48" t="str">
        <f aca="false">IF($H683="","",购销流水!$E175)</f>
        <v/>
      </c>
      <c r="L683" s="66" t="str">
        <f aca="false">IF(购销流水!$D175="","",IFERROR(INDEX(记账规则!$A$6:$N$9,MATCH(购销流水!$D175,记账规则!$A$6:$A$9,0),6),""))</f>
        <v/>
      </c>
      <c r="M683" s="66" t="str">
        <f aca="false">IF($L683="","",IFERROR(INDEX(记账规则!$A$6:$N$9,MATCH(购销流水!$D175,记账规则!$A$6:$A$9,0),7),""))</f>
        <v/>
      </c>
      <c r="N683" s="66" t="str">
        <f aca="false">IF($L683="","",IFERROR(INDEX(记账规则!$A$6:$N$9,MATCH(购销流水!$D175,记账规则!$A$6:$A$9,0),8),""))</f>
        <v/>
      </c>
      <c r="O683" s="67" t="n">
        <f aca="false">IF($H683="",0,ROUND(IF($N683="成本金额",N(购销流水!$W175),IF($N683="金额",N(购销流水!$Q175),0)),2))</f>
        <v>0</v>
      </c>
      <c r="P683" s="64" t="str">
        <f aca="false">IF(AND($H683&lt;&gt;"",ROUND($O683,2)&lt;&gt;0),"有","")</f>
        <v/>
      </c>
    </row>
    <row r="684" customFormat="false" ht="15" hidden="true" customHeight="false" outlineLevel="0" collapsed="false">
      <c r="A684" s="53" t="str">
        <f aca="false">IF($H684="","",ROW()-5)</f>
        <v/>
      </c>
      <c r="B684" s="64" t="s">
        <v>36</v>
      </c>
      <c r="C684" s="53" t="n">
        <v>175</v>
      </c>
      <c r="D684" s="53" t="n">
        <v>3</v>
      </c>
      <c r="E684" s="65" t="str">
        <f aca="false">IF($H684="","",购销流水!$B175)</f>
        <v/>
      </c>
      <c r="F684" s="55" t="str">
        <f aca="false">IF($H684="","",购销流水!$C175)</f>
        <v/>
      </c>
      <c r="G684" s="48" t="str">
        <f aca="false">IF($H684="","",购销流水!$N175)</f>
        <v/>
      </c>
      <c r="H684" s="10" t="str">
        <f aca="false">IF($L684="","",IF($L684="@成本",购销流水!$U175,IF($L684="@收入",购销流水!$T175,IF($L684="@存货",购销流水!$S175,IF($L684="@结算",购销流水!$R175,$L684)))))</f>
        <v/>
      </c>
      <c r="I684" s="42" t="n">
        <f aca="false">IF($M684="借",$O684,0)</f>
        <v>0</v>
      </c>
      <c r="J684" s="42" t="n">
        <f aca="false">IF($M684="贷",$O684,0)</f>
        <v>0</v>
      </c>
      <c r="K684" s="48" t="str">
        <f aca="false">IF($H684="","",购销流水!$E175)</f>
        <v/>
      </c>
      <c r="L684" s="66" t="str">
        <f aca="false">IF(购销流水!$D175="","",IFERROR(INDEX(记账规则!$A$6:$N$9,MATCH(购销流水!$D175,记账规则!$A$6:$A$9,0),9),""))</f>
        <v/>
      </c>
      <c r="M684" s="66" t="str">
        <f aca="false">IF($L684="","",IFERROR(INDEX(记账规则!$A$6:$N$9,MATCH(购销流水!$D175,记账规则!$A$6:$A$9,0),10),""))</f>
        <v/>
      </c>
      <c r="N684" s="66" t="str">
        <f aca="false">IF($L684="","",IFERROR(INDEX(记账规则!$A$6:$N$9,MATCH(购销流水!$D175,记账规则!$A$6:$A$9,0),11),""))</f>
        <v/>
      </c>
      <c r="O684" s="67" t="n">
        <f aca="false">IF($H684="",0,ROUND(IF($N684="成本金额",N(购销流水!$W175),IF($N684="金额",N(购销流水!$Q175),0)),2))</f>
        <v>0</v>
      </c>
      <c r="P684" s="64" t="str">
        <f aca="false">IF(AND($H684&lt;&gt;"",ROUND($O684,2)&lt;&gt;0),"有","")</f>
        <v/>
      </c>
    </row>
    <row r="685" customFormat="false" ht="15" hidden="true" customHeight="false" outlineLevel="0" collapsed="false">
      <c r="A685" s="53" t="str">
        <f aca="false">IF($H685="","",ROW()-5)</f>
        <v/>
      </c>
      <c r="B685" s="64" t="s">
        <v>36</v>
      </c>
      <c r="C685" s="53" t="n">
        <v>175</v>
      </c>
      <c r="D685" s="53" t="n">
        <v>4</v>
      </c>
      <c r="E685" s="65" t="str">
        <f aca="false">IF($H685="","",购销流水!$B175)</f>
        <v/>
      </c>
      <c r="F685" s="55" t="str">
        <f aca="false">IF($H685="","",购销流水!$C175)</f>
        <v/>
      </c>
      <c r="G685" s="48" t="str">
        <f aca="false">IF($H685="","",购销流水!$N175)</f>
        <v/>
      </c>
      <c r="H685" s="10" t="str">
        <f aca="false">IF($L685="","",IF($L685="@成本",购销流水!$U175,IF($L685="@收入",购销流水!$T175,IF($L685="@存货",购销流水!$S175,IF($L685="@结算",购销流水!$R175,$L685)))))</f>
        <v/>
      </c>
      <c r="I685" s="42" t="n">
        <f aca="false">IF($M685="借",$O685,0)</f>
        <v>0</v>
      </c>
      <c r="J685" s="42" t="n">
        <f aca="false">IF($M685="贷",$O685,0)</f>
        <v>0</v>
      </c>
      <c r="K685" s="48" t="str">
        <f aca="false">IF($H685="","",购销流水!$E175)</f>
        <v/>
      </c>
      <c r="L685" s="66" t="str">
        <f aca="false">IF(购销流水!$D175="","",IFERROR(INDEX(记账规则!$A$6:$N$9,MATCH(购销流水!$D175,记账规则!$A$6:$A$9,0),12),""))</f>
        <v/>
      </c>
      <c r="M685" s="66" t="str">
        <f aca="false">IF($L685="","",IFERROR(INDEX(记账规则!$A$6:$N$9,MATCH(购销流水!$D175,记账规则!$A$6:$A$9,0),13),""))</f>
        <v/>
      </c>
      <c r="N685" s="66" t="str">
        <f aca="false">IF($L685="","",IFERROR(INDEX(记账规则!$A$6:$N$9,MATCH(购销流水!$D175,记账规则!$A$6:$A$9,0),14),""))</f>
        <v/>
      </c>
      <c r="O685" s="67" t="n">
        <f aca="false">IF($H685="",0,ROUND(IF($N685="成本金额",N(购销流水!$W175),IF($N685="金额",N(购销流水!$Q175),0)),2))</f>
        <v>0</v>
      </c>
      <c r="P685" s="64" t="str">
        <f aca="false">IF(AND($H685&lt;&gt;"",ROUND($O685,2)&lt;&gt;0),"有","")</f>
        <v/>
      </c>
    </row>
    <row r="686" customFormat="false" ht="15" hidden="true" customHeight="false" outlineLevel="0" collapsed="false">
      <c r="A686" s="53" t="str">
        <f aca="false">IF($H686="","",ROW()-5)</f>
        <v/>
      </c>
      <c r="B686" s="64" t="s">
        <v>36</v>
      </c>
      <c r="C686" s="53" t="n">
        <v>176</v>
      </c>
      <c r="D686" s="53" t="n">
        <v>1</v>
      </c>
      <c r="E686" s="65" t="str">
        <f aca="false">IF($H686="","",购销流水!$B176)</f>
        <v/>
      </c>
      <c r="F686" s="55" t="str">
        <f aca="false">IF($H686="","",购销流水!$C176)</f>
        <v/>
      </c>
      <c r="G686" s="48" t="str">
        <f aca="false">IF($H686="","",购销流水!$N176)</f>
        <v/>
      </c>
      <c r="H686" s="10" t="str">
        <f aca="false">IF($L686="","",IF($L686="@成本",购销流水!$U176,IF($L686="@收入",购销流水!$T176,IF($L686="@存货",购销流水!$S176,IF($L686="@结算",购销流水!$R176,$L686)))))</f>
        <v/>
      </c>
      <c r="I686" s="42" t="n">
        <f aca="false">IF($M686="借",$O686,0)</f>
        <v>0</v>
      </c>
      <c r="J686" s="42" t="n">
        <f aca="false">IF($M686="贷",$O686,0)</f>
        <v>0</v>
      </c>
      <c r="K686" s="48" t="str">
        <f aca="false">IF($H686="","",购销流水!$E176)</f>
        <v/>
      </c>
      <c r="L686" s="66" t="str">
        <f aca="false">IF(购销流水!$D176="","",IFERROR(INDEX(记账规则!$A$6:$N$9,MATCH(购销流水!$D176,记账规则!$A$6:$A$9,0),3),""))</f>
        <v/>
      </c>
      <c r="M686" s="66" t="str">
        <f aca="false">IF($L686="","",IFERROR(INDEX(记账规则!$A$6:$N$9,MATCH(购销流水!$D176,记账规则!$A$6:$A$9,0),4),""))</f>
        <v/>
      </c>
      <c r="N686" s="66" t="str">
        <f aca="false">IF($L686="","",IFERROR(INDEX(记账规则!$A$6:$N$9,MATCH(购销流水!$D176,记账规则!$A$6:$A$9,0),5),""))</f>
        <v/>
      </c>
      <c r="O686" s="67" t="n">
        <f aca="false">IF($H686="",0,ROUND(IF($N686="成本金额",N(购销流水!$W176),IF($N686="金额",N(购销流水!$Q176),0)),2))</f>
        <v>0</v>
      </c>
      <c r="P686" s="64" t="str">
        <f aca="false">IF(AND($H686&lt;&gt;"",ROUND($O686,2)&lt;&gt;0),"有","")</f>
        <v/>
      </c>
    </row>
    <row r="687" customFormat="false" ht="15" hidden="true" customHeight="false" outlineLevel="0" collapsed="false">
      <c r="A687" s="53" t="str">
        <f aca="false">IF($H687="","",ROW()-5)</f>
        <v/>
      </c>
      <c r="B687" s="64" t="s">
        <v>36</v>
      </c>
      <c r="C687" s="53" t="n">
        <v>176</v>
      </c>
      <c r="D687" s="53" t="n">
        <v>2</v>
      </c>
      <c r="E687" s="65" t="str">
        <f aca="false">IF($H687="","",购销流水!$B176)</f>
        <v/>
      </c>
      <c r="F687" s="55" t="str">
        <f aca="false">IF($H687="","",购销流水!$C176)</f>
        <v/>
      </c>
      <c r="G687" s="48" t="str">
        <f aca="false">IF($H687="","",购销流水!$N176)</f>
        <v/>
      </c>
      <c r="H687" s="10" t="str">
        <f aca="false">IF($L687="","",IF($L687="@成本",购销流水!$U176,IF($L687="@收入",购销流水!$T176,IF($L687="@存货",购销流水!$S176,IF($L687="@结算",购销流水!$R176,$L687)))))</f>
        <v/>
      </c>
      <c r="I687" s="42" t="n">
        <f aca="false">IF($M687="借",$O687,0)</f>
        <v>0</v>
      </c>
      <c r="J687" s="42" t="n">
        <f aca="false">IF($M687="贷",$O687,0)</f>
        <v>0</v>
      </c>
      <c r="K687" s="48" t="str">
        <f aca="false">IF($H687="","",购销流水!$E176)</f>
        <v/>
      </c>
      <c r="L687" s="66" t="str">
        <f aca="false">IF(购销流水!$D176="","",IFERROR(INDEX(记账规则!$A$6:$N$9,MATCH(购销流水!$D176,记账规则!$A$6:$A$9,0),6),""))</f>
        <v/>
      </c>
      <c r="M687" s="66" t="str">
        <f aca="false">IF($L687="","",IFERROR(INDEX(记账规则!$A$6:$N$9,MATCH(购销流水!$D176,记账规则!$A$6:$A$9,0),7),""))</f>
        <v/>
      </c>
      <c r="N687" s="66" t="str">
        <f aca="false">IF($L687="","",IFERROR(INDEX(记账规则!$A$6:$N$9,MATCH(购销流水!$D176,记账规则!$A$6:$A$9,0),8),""))</f>
        <v/>
      </c>
      <c r="O687" s="67" t="n">
        <f aca="false">IF($H687="",0,ROUND(IF($N687="成本金额",N(购销流水!$W176),IF($N687="金额",N(购销流水!$Q176),0)),2))</f>
        <v>0</v>
      </c>
      <c r="P687" s="64" t="str">
        <f aca="false">IF(AND($H687&lt;&gt;"",ROUND($O687,2)&lt;&gt;0),"有","")</f>
        <v/>
      </c>
    </row>
    <row r="688" customFormat="false" ht="15" hidden="true" customHeight="false" outlineLevel="0" collapsed="false">
      <c r="A688" s="53" t="str">
        <f aca="false">IF($H688="","",ROW()-5)</f>
        <v/>
      </c>
      <c r="B688" s="64" t="s">
        <v>36</v>
      </c>
      <c r="C688" s="53" t="n">
        <v>176</v>
      </c>
      <c r="D688" s="53" t="n">
        <v>3</v>
      </c>
      <c r="E688" s="65" t="str">
        <f aca="false">IF($H688="","",购销流水!$B176)</f>
        <v/>
      </c>
      <c r="F688" s="55" t="str">
        <f aca="false">IF($H688="","",购销流水!$C176)</f>
        <v/>
      </c>
      <c r="G688" s="48" t="str">
        <f aca="false">IF($H688="","",购销流水!$N176)</f>
        <v/>
      </c>
      <c r="H688" s="10" t="str">
        <f aca="false">IF($L688="","",IF($L688="@成本",购销流水!$U176,IF($L688="@收入",购销流水!$T176,IF($L688="@存货",购销流水!$S176,IF($L688="@结算",购销流水!$R176,$L688)))))</f>
        <v/>
      </c>
      <c r="I688" s="42" t="n">
        <f aca="false">IF($M688="借",$O688,0)</f>
        <v>0</v>
      </c>
      <c r="J688" s="42" t="n">
        <f aca="false">IF($M688="贷",$O688,0)</f>
        <v>0</v>
      </c>
      <c r="K688" s="48" t="str">
        <f aca="false">IF($H688="","",购销流水!$E176)</f>
        <v/>
      </c>
      <c r="L688" s="66" t="str">
        <f aca="false">IF(购销流水!$D176="","",IFERROR(INDEX(记账规则!$A$6:$N$9,MATCH(购销流水!$D176,记账规则!$A$6:$A$9,0),9),""))</f>
        <v/>
      </c>
      <c r="M688" s="66" t="str">
        <f aca="false">IF($L688="","",IFERROR(INDEX(记账规则!$A$6:$N$9,MATCH(购销流水!$D176,记账规则!$A$6:$A$9,0),10),""))</f>
        <v/>
      </c>
      <c r="N688" s="66" t="str">
        <f aca="false">IF($L688="","",IFERROR(INDEX(记账规则!$A$6:$N$9,MATCH(购销流水!$D176,记账规则!$A$6:$A$9,0),11),""))</f>
        <v/>
      </c>
      <c r="O688" s="67" t="n">
        <f aca="false">IF($H688="",0,ROUND(IF($N688="成本金额",N(购销流水!$W176),IF($N688="金额",N(购销流水!$Q176),0)),2))</f>
        <v>0</v>
      </c>
      <c r="P688" s="64" t="str">
        <f aca="false">IF(AND($H688&lt;&gt;"",ROUND($O688,2)&lt;&gt;0),"有","")</f>
        <v/>
      </c>
    </row>
    <row r="689" customFormat="false" ht="15" hidden="true" customHeight="false" outlineLevel="0" collapsed="false">
      <c r="A689" s="53" t="str">
        <f aca="false">IF($H689="","",ROW()-5)</f>
        <v/>
      </c>
      <c r="B689" s="64" t="s">
        <v>36</v>
      </c>
      <c r="C689" s="53" t="n">
        <v>176</v>
      </c>
      <c r="D689" s="53" t="n">
        <v>4</v>
      </c>
      <c r="E689" s="65" t="str">
        <f aca="false">IF($H689="","",购销流水!$B176)</f>
        <v/>
      </c>
      <c r="F689" s="55" t="str">
        <f aca="false">IF($H689="","",购销流水!$C176)</f>
        <v/>
      </c>
      <c r="G689" s="48" t="str">
        <f aca="false">IF($H689="","",购销流水!$N176)</f>
        <v/>
      </c>
      <c r="H689" s="10" t="str">
        <f aca="false">IF($L689="","",IF($L689="@成本",购销流水!$U176,IF($L689="@收入",购销流水!$T176,IF($L689="@存货",购销流水!$S176,IF($L689="@结算",购销流水!$R176,$L689)))))</f>
        <v/>
      </c>
      <c r="I689" s="42" t="n">
        <f aca="false">IF($M689="借",$O689,0)</f>
        <v>0</v>
      </c>
      <c r="J689" s="42" t="n">
        <f aca="false">IF($M689="贷",$O689,0)</f>
        <v>0</v>
      </c>
      <c r="K689" s="48" t="str">
        <f aca="false">IF($H689="","",购销流水!$E176)</f>
        <v/>
      </c>
      <c r="L689" s="66" t="str">
        <f aca="false">IF(购销流水!$D176="","",IFERROR(INDEX(记账规则!$A$6:$N$9,MATCH(购销流水!$D176,记账规则!$A$6:$A$9,0),12),""))</f>
        <v/>
      </c>
      <c r="M689" s="66" t="str">
        <f aca="false">IF($L689="","",IFERROR(INDEX(记账规则!$A$6:$N$9,MATCH(购销流水!$D176,记账规则!$A$6:$A$9,0),13),""))</f>
        <v/>
      </c>
      <c r="N689" s="66" t="str">
        <f aca="false">IF($L689="","",IFERROR(INDEX(记账规则!$A$6:$N$9,MATCH(购销流水!$D176,记账规则!$A$6:$A$9,0),14),""))</f>
        <v/>
      </c>
      <c r="O689" s="67" t="n">
        <f aca="false">IF($H689="",0,ROUND(IF($N689="成本金额",N(购销流水!$W176),IF($N689="金额",N(购销流水!$Q176),0)),2))</f>
        <v>0</v>
      </c>
      <c r="P689" s="64" t="str">
        <f aca="false">IF(AND($H689&lt;&gt;"",ROUND($O689,2)&lt;&gt;0),"有","")</f>
        <v/>
      </c>
    </row>
    <row r="690" customFormat="false" ht="15" hidden="true" customHeight="false" outlineLevel="0" collapsed="false">
      <c r="A690" s="53" t="str">
        <f aca="false">IF($H690="","",ROW()-5)</f>
        <v/>
      </c>
      <c r="B690" s="64" t="s">
        <v>36</v>
      </c>
      <c r="C690" s="53" t="n">
        <v>177</v>
      </c>
      <c r="D690" s="53" t="n">
        <v>1</v>
      </c>
      <c r="E690" s="65" t="str">
        <f aca="false">IF($H690="","",购销流水!$B177)</f>
        <v/>
      </c>
      <c r="F690" s="55" t="str">
        <f aca="false">IF($H690="","",购销流水!$C177)</f>
        <v/>
      </c>
      <c r="G690" s="48" t="str">
        <f aca="false">IF($H690="","",购销流水!$N177)</f>
        <v/>
      </c>
      <c r="H690" s="10" t="str">
        <f aca="false">IF($L690="","",IF($L690="@成本",购销流水!$U177,IF($L690="@收入",购销流水!$T177,IF($L690="@存货",购销流水!$S177,IF($L690="@结算",购销流水!$R177,$L690)))))</f>
        <v/>
      </c>
      <c r="I690" s="42" t="n">
        <f aca="false">IF($M690="借",$O690,0)</f>
        <v>0</v>
      </c>
      <c r="J690" s="42" t="n">
        <f aca="false">IF($M690="贷",$O690,0)</f>
        <v>0</v>
      </c>
      <c r="K690" s="48" t="str">
        <f aca="false">IF($H690="","",购销流水!$E177)</f>
        <v/>
      </c>
      <c r="L690" s="66" t="str">
        <f aca="false">IF(购销流水!$D177="","",IFERROR(INDEX(记账规则!$A$6:$N$9,MATCH(购销流水!$D177,记账规则!$A$6:$A$9,0),3),""))</f>
        <v/>
      </c>
      <c r="M690" s="66" t="str">
        <f aca="false">IF($L690="","",IFERROR(INDEX(记账规则!$A$6:$N$9,MATCH(购销流水!$D177,记账规则!$A$6:$A$9,0),4),""))</f>
        <v/>
      </c>
      <c r="N690" s="66" t="str">
        <f aca="false">IF($L690="","",IFERROR(INDEX(记账规则!$A$6:$N$9,MATCH(购销流水!$D177,记账规则!$A$6:$A$9,0),5),""))</f>
        <v/>
      </c>
      <c r="O690" s="67" t="n">
        <f aca="false">IF($H690="",0,ROUND(IF($N690="成本金额",N(购销流水!$W177),IF($N690="金额",N(购销流水!$Q177),0)),2))</f>
        <v>0</v>
      </c>
      <c r="P690" s="64" t="str">
        <f aca="false">IF(AND($H690&lt;&gt;"",ROUND($O690,2)&lt;&gt;0),"有","")</f>
        <v/>
      </c>
    </row>
    <row r="691" customFormat="false" ht="15" hidden="true" customHeight="false" outlineLevel="0" collapsed="false">
      <c r="A691" s="53" t="str">
        <f aca="false">IF($H691="","",ROW()-5)</f>
        <v/>
      </c>
      <c r="B691" s="64" t="s">
        <v>36</v>
      </c>
      <c r="C691" s="53" t="n">
        <v>177</v>
      </c>
      <c r="D691" s="53" t="n">
        <v>2</v>
      </c>
      <c r="E691" s="65" t="str">
        <f aca="false">IF($H691="","",购销流水!$B177)</f>
        <v/>
      </c>
      <c r="F691" s="55" t="str">
        <f aca="false">IF($H691="","",购销流水!$C177)</f>
        <v/>
      </c>
      <c r="G691" s="48" t="str">
        <f aca="false">IF($H691="","",购销流水!$N177)</f>
        <v/>
      </c>
      <c r="H691" s="10" t="str">
        <f aca="false">IF($L691="","",IF($L691="@成本",购销流水!$U177,IF($L691="@收入",购销流水!$T177,IF($L691="@存货",购销流水!$S177,IF($L691="@结算",购销流水!$R177,$L691)))))</f>
        <v/>
      </c>
      <c r="I691" s="42" t="n">
        <f aca="false">IF($M691="借",$O691,0)</f>
        <v>0</v>
      </c>
      <c r="J691" s="42" t="n">
        <f aca="false">IF($M691="贷",$O691,0)</f>
        <v>0</v>
      </c>
      <c r="K691" s="48" t="str">
        <f aca="false">IF($H691="","",购销流水!$E177)</f>
        <v/>
      </c>
      <c r="L691" s="66" t="str">
        <f aca="false">IF(购销流水!$D177="","",IFERROR(INDEX(记账规则!$A$6:$N$9,MATCH(购销流水!$D177,记账规则!$A$6:$A$9,0),6),""))</f>
        <v/>
      </c>
      <c r="M691" s="66" t="str">
        <f aca="false">IF($L691="","",IFERROR(INDEX(记账规则!$A$6:$N$9,MATCH(购销流水!$D177,记账规则!$A$6:$A$9,0),7),""))</f>
        <v/>
      </c>
      <c r="N691" s="66" t="str">
        <f aca="false">IF($L691="","",IFERROR(INDEX(记账规则!$A$6:$N$9,MATCH(购销流水!$D177,记账规则!$A$6:$A$9,0),8),""))</f>
        <v/>
      </c>
      <c r="O691" s="67" t="n">
        <f aca="false">IF($H691="",0,ROUND(IF($N691="成本金额",N(购销流水!$W177),IF($N691="金额",N(购销流水!$Q177),0)),2))</f>
        <v>0</v>
      </c>
      <c r="P691" s="64" t="str">
        <f aca="false">IF(AND($H691&lt;&gt;"",ROUND($O691,2)&lt;&gt;0),"有","")</f>
        <v/>
      </c>
    </row>
    <row r="692" customFormat="false" ht="15" hidden="true" customHeight="false" outlineLevel="0" collapsed="false">
      <c r="A692" s="53" t="str">
        <f aca="false">IF($H692="","",ROW()-5)</f>
        <v/>
      </c>
      <c r="B692" s="64" t="s">
        <v>36</v>
      </c>
      <c r="C692" s="53" t="n">
        <v>177</v>
      </c>
      <c r="D692" s="53" t="n">
        <v>3</v>
      </c>
      <c r="E692" s="65" t="str">
        <f aca="false">IF($H692="","",购销流水!$B177)</f>
        <v/>
      </c>
      <c r="F692" s="55" t="str">
        <f aca="false">IF($H692="","",购销流水!$C177)</f>
        <v/>
      </c>
      <c r="G692" s="48" t="str">
        <f aca="false">IF($H692="","",购销流水!$N177)</f>
        <v/>
      </c>
      <c r="H692" s="10" t="str">
        <f aca="false">IF($L692="","",IF($L692="@成本",购销流水!$U177,IF($L692="@收入",购销流水!$T177,IF($L692="@存货",购销流水!$S177,IF($L692="@结算",购销流水!$R177,$L692)))))</f>
        <v/>
      </c>
      <c r="I692" s="42" t="n">
        <f aca="false">IF($M692="借",$O692,0)</f>
        <v>0</v>
      </c>
      <c r="J692" s="42" t="n">
        <f aca="false">IF($M692="贷",$O692,0)</f>
        <v>0</v>
      </c>
      <c r="K692" s="48" t="str">
        <f aca="false">IF($H692="","",购销流水!$E177)</f>
        <v/>
      </c>
      <c r="L692" s="66" t="str">
        <f aca="false">IF(购销流水!$D177="","",IFERROR(INDEX(记账规则!$A$6:$N$9,MATCH(购销流水!$D177,记账规则!$A$6:$A$9,0),9),""))</f>
        <v/>
      </c>
      <c r="M692" s="66" t="str">
        <f aca="false">IF($L692="","",IFERROR(INDEX(记账规则!$A$6:$N$9,MATCH(购销流水!$D177,记账规则!$A$6:$A$9,0),10),""))</f>
        <v/>
      </c>
      <c r="N692" s="66" t="str">
        <f aca="false">IF($L692="","",IFERROR(INDEX(记账规则!$A$6:$N$9,MATCH(购销流水!$D177,记账规则!$A$6:$A$9,0),11),""))</f>
        <v/>
      </c>
      <c r="O692" s="67" t="n">
        <f aca="false">IF($H692="",0,ROUND(IF($N692="成本金额",N(购销流水!$W177),IF($N692="金额",N(购销流水!$Q177),0)),2))</f>
        <v>0</v>
      </c>
      <c r="P692" s="64" t="str">
        <f aca="false">IF(AND($H692&lt;&gt;"",ROUND($O692,2)&lt;&gt;0),"有","")</f>
        <v/>
      </c>
    </row>
    <row r="693" customFormat="false" ht="15" hidden="true" customHeight="false" outlineLevel="0" collapsed="false">
      <c r="A693" s="53" t="str">
        <f aca="false">IF($H693="","",ROW()-5)</f>
        <v/>
      </c>
      <c r="B693" s="64" t="s">
        <v>36</v>
      </c>
      <c r="C693" s="53" t="n">
        <v>177</v>
      </c>
      <c r="D693" s="53" t="n">
        <v>4</v>
      </c>
      <c r="E693" s="65" t="str">
        <f aca="false">IF($H693="","",购销流水!$B177)</f>
        <v/>
      </c>
      <c r="F693" s="55" t="str">
        <f aca="false">IF($H693="","",购销流水!$C177)</f>
        <v/>
      </c>
      <c r="G693" s="48" t="str">
        <f aca="false">IF($H693="","",购销流水!$N177)</f>
        <v/>
      </c>
      <c r="H693" s="10" t="str">
        <f aca="false">IF($L693="","",IF($L693="@成本",购销流水!$U177,IF($L693="@收入",购销流水!$T177,IF($L693="@存货",购销流水!$S177,IF($L693="@结算",购销流水!$R177,$L693)))))</f>
        <v/>
      </c>
      <c r="I693" s="42" t="n">
        <f aca="false">IF($M693="借",$O693,0)</f>
        <v>0</v>
      </c>
      <c r="J693" s="42" t="n">
        <f aca="false">IF($M693="贷",$O693,0)</f>
        <v>0</v>
      </c>
      <c r="K693" s="48" t="str">
        <f aca="false">IF($H693="","",购销流水!$E177)</f>
        <v/>
      </c>
      <c r="L693" s="66" t="str">
        <f aca="false">IF(购销流水!$D177="","",IFERROR(INDEX(记账规则!$A$6:$N$9,MATCH(购销流水!$D177,记账规则!$A$6:$A$9,0),12),""))</f>
        <v/>
      </c>
      <c r="M693" s="66" t="str">
        <f aca="false">IF($L693="","",IFERROR(INDEX(记账规则!$A$6:$N$9,MATCH(购销流水!$D177,记账规则!$A$6:$A$9,0),13),""))</f>
        <v/>
      </c>
      <c r="N693" s="66" t="str">
        <f aca="false">IF($L693="","",IFERROR(INDEX(记账规则!$A$6:$N$9,MATCH(购销流水!$D177,记账规则!$A$6:$A$9,0),14),""))</f>
        <v/>
      </c>
      <c r="O693" s="67" t="n">
        <f aca="false">IF($H693="",0,ROUND(IF($N693="成本金额",N(购销流水!$W177),IF($N693="金额",N(购销流水!$Q177),0)),2))</f>
        <v>0</v>
      </c>
      <c r="P693" s="64" t="str">
        <f aca="false">IF(AND($H693&lt;&gt;"",ROUND($O693,2)&lt;&gt;0),"有","")</f>
        <v/>
      </c>
    </row>
    <row r="694" customFormat="false" ht="15" hidden="true" customHeight="false" outlineLevel="0" collapsed="false">
      <c r="A694" s="53" t="str">
        <f aca="false">IF($H694="","",ROW()-5)</f>
        <v/>
      </c>
      <c r="B694" s="64" t="s">
        <v>36</v>
      </c>
      <c r="C694" s="53" t="n">
        <v>178</v>
      </c>
      <c r="D694" s="53" t="n">
        <v>1</v>
      </c>
      <c r="E694" s="65" t="str">
        <f aca="false">IF($H694="","",购销流水!$B178)</f>
        <v/>
      </c>
      <c r="F694" s="55" t="str">
        <f aca="false">IF($H694="","",购销流水!$C178)</f>
        <v/>
      </c>
      <c r="G694" s="48" t="str">
        <f aca="false">IF($H694="","",购销流水!$N178)</f>
        <v/>
      </c>
      <c r="H694" s="10" t="str">
        <f aca="false">IF($L694="","",IF($L694="@成本",购销流水!$U178,IF($L694="@收入",购销流水!$T178,IF($L694="@存货",购销流水!$S178,IF($L694="@结算",购销流水!$R178,$L694)))))</f>
        <v/>
      </c>
      <c r="I694" s="42" t="n">
        <f aca="false">IF($M694="借",$O694,0)</f>
        <v>0</v>
      </c>
      <c r="J694" s="42" t="n">
        <f aca="false">IF($M694="贷",$O694,0)</f>
        <v>0</v>
      </c>
      <c r="K694" s="48" t="str">
        <f aca="false">IF($H694="","",购销流水!$E178)</f>
        <v/>
      </c>
      <c r="L694" s="66" t="str">
        <f aca="false">IF(购销流水!$D178="","",IFERROR(INDEX(记账规则!$A$6:$N$9,MATCH(购销流水!$D178,记账规则!$A$6:$A$9,0),3),""))</f>
        <v/>
      </c>
      <c r="M694" s="66" t="str">
        <f aca="false">IF($L694="","",IFERROR(INDEX(记账规则!$A$6:$N$9,MATCH(购销流水!$D178,记账规则!$A$6:$A$9,0),4),""))</f>
        <v/>
      </c>
      <c r="N694" s="66" t="str">
        <f aca="false">IF($L694="","",IFERROR(INDEX(记账规则!$A$6:$N$9,MATCH(购销流水!$D178,记账规则!$A$6:$A$9,0),5),""))</f>
        <v/>
      </c>
      <c r="O694" s="67" t="n">
        <f aca="false">IF($H694="",0,ROUND(IF($N694="成本金额",N(购销流水!$W178),IF($N694="金额",N(购销流水!$Q178),0)),2))</f>
        <v>0</v>
      </c>
      <c r="P694" s="64" t="str">
        <f aca="false">IF(AND($H694&lt;&gt;"",ROUND($O694,2)&lt;&gt;0),"有","")</f>
        <v/>
      </c>
    </row>
    <row r="695" customFormat="false" ht="15" hidden="true" customHeight="false" outlineLevel="0" collapsed="false">
      <c r="A695" s="53" t="str">
        <f aca="false">IF($H695="","",ROW()-5)</f>
        <v/>
      </c>
      <c r="B695" s="64" t="s">
        <v>36</v>
      </c>
      <c r="C695" s="53" t="n">
        <v>178</v>
      </c>
      <c r="D695" s="53" t="n">
        <v>2</v>
      </c>
      <c r="E695" s="65" t="str">
        <f aca="false">IF($H695="","",购销流水!$B178)</f>
        <v/>
      </c>
      <c r="F695" s="55" t="str">
        <f aca="false">IF($H695="","",购销流水!$C178)</f>
        <v/>
      </c>
      <c r="G695" s="48" t="str">
        <f aca="false">IF($H695="","",购销流水!$N178)</f>
        <v/>
      </c>
      <c r="H695" s="10" t="str">
        <f aca="false">IF($L695="","",IF($L695="@成本",购销流水!$U178,IF($L695="@收入",购销流水!$T178,IF($L695="@存货",购销流水!$S178,IF($L695="@结算",购销流水!$R178,$L695)))))</f>
        <v/>
      </c>
      <c r="I695" s="42" t="n">
        <f aca="false">IF($M695="借",$O695,0)</f>
        <v>0</v>
      </c>
      <c r="J695" s="42" t="n">
        <f aca="false">IF($M695="贷",$O695,0)</f>
        <v>0</v>
      </c>
      <c r="K695" s="48" t="str">
        <f aca="false">IF($H695="","",购销流水!$E178)</f>
        <v/>
      </c>
      <c r="L695" s="66" t="str">
        <f aca="false">IF(购销流水!$D178="","",IFERROR(INDEX(记账规则!$A$6:$N$9,MATCH(购销流水!$D178,记账规则!$A$6:$A$9,0),6),""))</f>
        <v/>
      </c>
      <c r="M695" s="66" t="str">
        <f aca="false">IF($L695="","",IFERROR(INDEX(记账规则!$A$6:$N$9,MATCH(购销流水!$D178,记账规则!$A$6:$A$9,0),7),""))</f>
        <v/>
      </c>
      <c r="N695" s="66" t="str">
        <f aca="false">IF($L695="","",IFERROR(INDEX(记账规则!$A$6:$N$9,MATCH(购销流水!$D178,记账规则!$A$6:$A$9,0),8),""))</f>
        <v/>
      </c>
      <c r="O695" s="67" t="n">
        <f aca="false">IF($H695="",0,ROUND(IF($N695="成本金额",N(购销流水!$W178),IF($N695="金额",N(购销流水!$Q178),0)),2))</f>
        <v>0</v>
      </c>
      <c r="P695" s="64" t="str">
        <f aca="false">IF(AND($H695&lt;&gt;"",ROUND($O695,2)&lt;&gt;0),"有","")</f>
        <v/>
      </c>
    </row>
    <row r="696" customFormat="false" ht="15" hidden="true" customHeight="false" outlineLevel="0" collapsed="false">
      <c r="A696" s="53" t="str">
        <f aca="false">IF($H696="","",ROW()-5)</f>
        <v/>
      </c>
      <c r="B696" s="64" t="s">
        <v>36</v>
      </c>
      <c r="C696" s="53" t="n">
        <v>178</v>
      </c>
      <c r="D696" s="53" t="n">
        <v>3</v>
      </c>
      <c r="E696" s="65" t="str">
        <f aca="false">IF($H696="","",购销流水!$B178)</f>
        <v/>
      </c>
      <c r="F696" s="55" t="str">
        <f aca="false">IF($H696="","",购销流水!$C178)</f>
        <v/>
      </c>
      <c r="G696" s="48" t="str">
        <f aca="false">IF($H696="","",购销流水!$N178)</f>
        <v/>
      </c>
      <c r="H696" s="10" t="str">
        <f aca="false">IF($L696="","",IF($L696="@成本",购销流水!$U178,IF($L696="@收入",购销流水!$T178,IF($L696="@存货",购销流水!$S178,IF($L696="@结算",购销流水!$R178,$L696)))))</f>
        <v/>
      </c>
      <c r="I696" s="42" t="n">
        <f aca="false">IF($M696="借",$O696,0)</f>
        <v>0</v>
      </c>
      <c r="J696" s="42" t="n">
        <f aca="false">IF($M696="贷",$O696,0)</f>
        <v>0</v>
      </c>
      <c r="K696" s="48" t="str">
        <f aca="false">IF($H696="","",购销流水!$E178)</f>
        <v/>
      </c>
      <c r="L696" s="66" t="str">
        <f aca="false">IF(购销流水!$D178="","",IFERROR(INDEX(记账规则!$A$6:$N$9,MATCH(购销流水!$D178,记账规则!$A$6:$A$9,0),9),""))</f>
        <v/>
      </c>
      <c r="M696" s="66" t="str">
        <f aca="false">IF($L696="","",IFERROR(INDEX(记账规则!$A$6:$N$9,MATCH(购销流水!$D178,记账规则!$A$6:$A$9,0),10),""))</f>
        <v/>
      </c>
      <c r="N696" s="66" t="str">
        <f aca="false">IF($L696="","",IFERROR(INDEX(记账规则!$A$6:$N$9,MATCH(购销流水!$D178,记账规则!$A$6:$A$9,0),11),""))</f>
        <v/>
      </c>
      <c r="O696" s="67" t="n">
        <f aca="false">IF($H696="",0,ROUND(IF($N696="成本金额",N(购销流水!$W178),IF($N696="金额",N(购销流水!$Q178),0)),2))</f>
        <v>0</v>
      </c>
      <c r="P696" s="64" t="str">
        <f aca="false">IF(AND($H696&lt;&gt;"",ROUND($O696,2)&lt;&gt;0),"有","")</f>
        <v/>
      </c>
    </row>
    <row r="697" customFormat="false" ht="15" hidden="true" customHeight="false" outlineLevel="0" collapsed="false">
      <c r="A697" s="53" t="str">
        <f aca="false">IF($H697="","",ROW()-5)</f>
        <v/>
      </c>
      <c r="B697" s="64" t="s">
        <v>36</v>
      </c>
      <c r="C697" s="53" t="n">
        <v>178</v>
      </c>
      <c r="D697" s="53" t="n">
        <v>4</v>
      </c>
      <c r="E697" s="65" t="str">
        <f aca="false">IF($H697="","",购销流水!$B178)</f>
        <v/>
      </c>
      <c r="F697" s="55" t="str">
        <f aca="false">IF($H697="","",购销流水!$C178)</f>
        <v/>
      </c>
      <c r="G697" s="48" t="str">
        <f aca="false">IF($H697="","",购销流水!$N178)</f>
        <v/>
      </c>
      <c r="H697" s="10" t="str">
        <f aca="false">IF($L697="","",IF($L697="@成本",购销流水!$U178,IF($L697="@收入",购销流水!$T178,IF($L697="@存货",购销流水!$S178,IF($L697="@结算",购销流水!$R178,$L697)))))</f>
        <v/>
      </c>
      <c r="I697" s="42" t="n">
        <f aca="false">IF($M697="借",$O697,0)</f>
        <v>0</v>
      </c>
      <c r="J697" s="42" t="n">
        <f aca="false">IF($M697="贷",$O697,0)</f>
        <v>0</v>
      </c>
      <c r="K697" s="48" t="str">
        <f aca="false">IF($H697="","",购销流水!$E178)</f>
        <v/>
      </c>
      <c r="L697" s="66" t="str">
        <f aca="false">IF(购销流水!$D178="","",IFERROR(INDEX(记账规则!$A$6:$N$9,MATCH(购销流水!$D178,记账规则!$A$6:$A$9,0),12),""))</f>
        <v/>
      </c>
      <c r="M697" s="66" t="str">
        <f aca="false">IF($L697="","",IFERROR(INDEX(记账规则!$A$6:$N$9,MATCH(购销流水!$D178,记账规则!$A$6:$A$9,0),13),""))</f>
        <v/>
      </c>
      <c r="N697" s="66" t="str">
        <f aca="false">IF($L697="","",IFERROR(INDEX(记账规则!$A$6:$N$9,MATCH(购销流水!$D178,记账规则!$A$6:$A$9,0),14),""))</f>
        <v/>
      </c>
      <c r="O697" s="67" t="n">
        <f aca="false">IF($H697="",0,ROUND(IF($N697="成本金额",N(购销流水!$W178),IF($N697="金额",N(购销流水!$Q178),0)),2))</f>
        <v>0</v>
      </c>
      <c r="P697" s="64" t="str">
        <f aca="false">IF(AND($H697&lt;&gt;"",ROUND($O697,2)&lt;&gt;0),"有","")</f>
        <v/>
      </c>
    </row>
    <row r="698" customFormat="false" ht="15" hidden="true" customHeight="false" outlineLevel="0" collapsed="false">
      <c r="A698" s="53" t="str">
        <f aca="false">IF($H698="","",ROW()-5)</f>
        <v/>
      </c>
      <c r="B698" s="64" t="s">
        <v>36</v>
      </c>
      <c r="C698" s="53" t="n">
        <v>179</v>
      </c>
      <c r="D698" s="53" t="n">
        <v>1</v>
      </c>
      <c r="E698" s="65" t="str">
        <f aca="false">IF($H698="","",购销流水!$B179)</f>
        <v/>
      </c>
      <c r="F698" s="55" t="str">
        <f aca="false">IF($H698="","",购销流水!$C179)</f>
        <v/>
      </c>
      <c r="G698" s="48" t="str">
        <f aca="false">IF($H698="","",购销流水!$N179)</f>
        <v/>
      </c>
      <c r="H698" s="10" t="str">
        <f aca="false">IF($L698="","",IF($L698="@成本",购销流水!$U179,IF($L698="@收入",购销流水!$T179,IF($L698="@存货",购销流水!$S179,IF($L698="@结算",购销流水!$R179,$L698)))))</f>
        <v/>
      </c>
      <c r="I698" s="42" t="n">
        <f aca="false">IF($M698="借",$O698,0)</f>
        <v>0</v>
      </c>
      <c r="J698" s="42" t="n">
        <f aca="false">IF($M698="贷",$O698,0)</f>
        <v>0</v>
      </c>
      <c r="K698" s="48" t="str">
        <f aca="false">IF($H698="","",购销流水!$E179)</f>
        <v/>
      </c>
      <c r="L698" s="66" t="str">
        <f aca="false">IF(购销流水!$D179="","",IFERROR(INDEX(记账规则!$A$6:$N$9,MATCH(购销流水!$D179,记账规则!$A$6:$A$9,0),3),""))</f>
        <v/>
      </c>
      <c r="M698" s="66" t="str">
        <f aca="false">IF($L698="","",IFERROR(INDEX(记账规则!$A$6:$N$9,MATCH(购销流水!$D179,记账规则!$A$6:$A$9,0),4),""))</f>
        <v/>
      </c>
      <c r="N698" s="66" t="str">
        <f aca="false">IF($L698="","",IFERROR(INDEX(记账规则!$A$6:$N$9,MATCH(购销流水!$D179,记账规则!$A$6:$A$9,0),5),""))</f>
        <v/>
      </c>
      <c r="O698" s="67" t="n">
        <f aca="false">IF($H698="",0,ROUND(IF($N698="成本金额",N(购销流水!$W179),IF($N698="金额",N(购销流水!$Q179),0)),2))</f>
        <v>0</v>
      </c>
      <c r="P698" s="64" t="str">
        <f aca="false">IF(AND($H698&lt;&gt;"",ROUND($O698,2)&lt;&gt;0),"有","")</f>
        <v/>
      </c>
    </row>
    <row r="699" customFormat="false" ht="15" hidden="true" customHeight="false" outlineLevel="0" collapsed="false">
      <c r="A699" s="53" t="str">
        <f aca="false">IF($H699="","",ROW()-5)</f>
        <v/>
      </c>
      <c r="B699" s="64" t="s">
        <v>36</v>
      </c>
      <c r="C699" s="53" t="n">
        <v>179</v>
      </c>
      <c r="D699" s="53" t="n">
        <v>2</v>
      </c>
      <c r="E699" s="65" t="str">
        <f aca="false">IF($H699="","",购销流水!$B179)</f>
        <v/>
      </c>
      <c r="F699" s="55" t="str">
        <f aca="false">IF($H699="","",购销流水!$C179)</f>
        <v/>
      </c>
      <c r="G699" s="48" t="str">
        <f aca="false">IF($H699="","",购销流水!$N179)</f>
        <v/>
      </c>
      <c r="H699" s="10" t="str">
        <f aca="false">IF($L699="","",IF($L699="@成本",购销流水!$U179,IF($L699="@收入",购销流水!$T179,IF($L699="@存货",购销流水!$S179,IF($L699="@结算",购销流水!$R179,$L699)))))</f>
        <v/>
      </c>
      <c r="I699" s="42" t="n">
        <f aca="false">IF($M699="借",$O699,0)</f>
        <v>0</v>
      </c>
      <c r="J699" s="42" t="n">
        <f aca="false">IF($M699="贷",$O699,0)</f>
        <v>0</v>
      </c>
      <c r="K699" s="48" t="str">
        <f aca="false">IF($H699="","",购销流水!$E179)</f>
        <v/>
      </c>
      <c r="L699" s="66" t="str">
        <f aca="false">IF(购销流水!$D179="","",IFERROR(INDEX(记账规则!$A$6:$N$9,MATCH(购销流水!$D179,记账规则!$A$6:$A$9,0),6),""))</f>
        <v/>
      </c>
      <c r="M699" s="66" t="str">
        <f aca="false">IF($L699="","",IFERROR(INDEX(记账规则!$A$6:$N$9,MATCH(购销流水!$D179,记账规则!$A$6:$A$9,0),7),""))</f>
        <v/>
      </c>
      <c r="N699" s="66" t="str">
        <f aca="false">IF($L699="","",IFERROR(INDEX(记账规则!$A$6:$N$9,MATCH(购销流水!$D179,记账规则!$A$6:$A$9,0),8),""))</f>
        <v/>
      </c>
      <c r="O699" s="67" t="n">
        <f aca="false">IF($H699="",0,ROUND(IF($N699="成本金额",N(购销流水!$W179),IF($N699="金额",N(购销流水!$Q179),0)),2))</f>
        <v>0</v>
      </c>
      <c r="P699" s="64" t="str">
        <f aca="false">IF(AND($H699&lt;&gt;"",ROUND($O699,2)&lt;&gt;0),"有","")</f>
        <v/>
      </c>
    </row>
    <row r="700" customFormat="false" ht="15" hidden="true" customHeight="false" outlineLevel="0" collapsed="false">
      <c r="A700" s="53" t="str">
        <f aca="false">IF($H700="","",ROW()-5)</f>
        <v/>
      </c>
      <c r="B700" s="64" t="s">
        <v>36</v>
      </c>
      <c r="C700" s="53" t="n">
        <v>179</v>
      </c>
      <c r="D700" s="53" t="n">
        <v>3</v>
      </c>
      <c r="E700" s="65" t="str">
        <f aca="false">IF($H700="","",购销流水!$B179)</f>
        <v/>
      </c>
      <c r="F700" s="55" t="str">
        <f aca="false">IF($H700="","",购销流水!$C179)</f>
        <v/>
      </c>
      <c r="G700" s="48" t="str">
        <f aca="false">IF($H700="","",购销流水!$N179)</f>
        <v/>
      </c>
      <c r="H700" s="10" t="str">
        <f aca="false">IF($L700="","",IF($L700="@成本",购销流水!$U179,IF($L700="@收入",购销流水!$T179,IF($L700="@存货",购销流水!$S179,IF($L700="@结算",购销流水!$R179,$L700)))))</f>
        <v/>
      </c>
      <c r="I700" s="42" t="n">
        <f aca="false">IF($M700="借",$O700,0)</f>
        <v>0</v>
      </c>
      <c r="J700" s="42" t="n">
        <f aca="false">IF($M700="贷",$O700,0)</f>
        <v>0</v>
      </c>
      <c r="K700" s="48" t="str">
        <f aca="false">IF($H700="","",购销流水!$E179)</f>
        <v/>
      </c>
      <c r="L700" s="66" t="str">
        <f aca="false">IF(购销流水!$D179="","",IFERROR(INDEX(记账规则!$A$6:$N$9,MATCH(购销流水!$D179,记账规则!$A$6:$A$9,0),9),""))</f>
        <v/>
      </c>
      <c r="M700" s="66" t="str">
        <f aca="false">IF($L700="","",IFERROR(INDEX(记账规则!$A$6:$N$9,MATCH(购销流水!$D179,记账规则!$A$6:$A$9,0),10),""))</f>
        <v/>
      </c>
      <c r="N700" s="66" t="str">
        <f aca="false">IF($L700="","",IFERROR(INDEX(记账规则!$A$6:$N$9,MATCH(购销流水!$D179,记账规则!$A$6:$A$9,0),11),""))</f>
        <v/>
      </c>
      <c r="O700" s="67" t="n">
        <f aca="false">IF($H700="",0,ROUND(IF($N700="成本金额",N(购销流水!$W179),IF($N700="金额",N(购销流水!$Q179),0)),2))</f>
        <v>0</v>
      </c>
      <c r="P700" s="64" t="str">
        <f aca="false">IF(AND($H700&lt;&gt;"",ROUND($O700,2)&lt;&gt;0),"有","")</f>
        <v/>
      </c>
    </row>
    <row r="701" customFormat="false" ht="15" hidden="true" customHeight="false" outlineLevel="0" collapsed="false">
      <c r="A701" s="53" t="str">
        <f aca="false">IF($H701="","",ROW()-5)</f>
        <v/>
      </c>
      <c r="B701" s="64" t="s">
        <v>36</v>
      </c>
      <c r="C701" s="53" t="n">
        <v>179</v>
      </c>
      <c r="D701" s="53" t="n">
        <v>4</v>
      </c>
      <c r="E701" s="65" t="str">
        <f aca="false">IF($H701="","",购销流水!$B179)</f>
        <v/>
      </c>
      <c r="F701" s="55" t="str">
        <f aca="false">IF($H701="","",购销流水!$C179)</f>
        <v/>
      </c>
      <c r="G701" s="48" t="str">
        <f aca="false">IF($H701="","",购销流水!$N179)</f>
        <v/>
      </c>
      <c r="H701" s="10" t="str">
        <f aca="false">IF($L701="","",IF($L701="@成本",购销流水!$U179,IF($L701="@收入",购销流水!$T179,IF($L701="@存货",购销流水!$S179,IF($L701="@结算",购销流水!$R179,$L701)))))</f>
        <v/>
      </c>
      <c r="I701" s="42" t="n">
        <f aca="false">IF($M701="借",$O701,0)</f>
        <v>0</v>
      </c>
      <c r="J701" s="42" t="n">
        <f aca="false">IF($M701="贷",$O701,0)</f>
        <v>0</v>
      </c>
      <c r="K701" s="48" t="str">
        <f aca="false">IF($H701="","",购销流水!$E179)</f>
        <v/>
      </c>
      <c r="L701" s="66" t="str">
        <f aca="false">IF(购销流水!$D179="","",IFERROR(INDEX(记账规则!$A$6:$N$9,MATCH(购销流水!$D179,记账规则!$A$6:$A$9,0),12),""))</f>
        <v/>
      </c>
      <c r="M701" s="66" t="str">
        <f aca="false">IF($L701="","",IFERROR(INDEX(记账规则!$A$6:$N$9,MATCH(购销流水!$D179,记账规则!$A$6:$A$9,0),13),""))</f>
        <v/>
      </c>
      <c r="N701" s="66" t="str">
        <f aca="false">IF($L701="","",IFERROR(INDEX(记账规则!$A$6:$N$9,MATCH(购销流水!$D179,记账规则!$A$6:$A$9,0),14),""))</f>
        <v/>
      </c>
      <c r="O701" s="67" t="n">
        <f aca="false">IF($H701="",0,ROUND(IF($N701="成本金额",N(购销流水!$W179),IF($N701="金额",N(购销流水!$Q179),0)),2))</f>
        <v>0</v>
      </c>
      <c r="P701" s="64" t="str">
        <f aca="false">IF(AND($H701&lt;&gt;"",ROUND($O701,2)&lt;&gt;0),"有","")</f>
        <v/>
      </c>
    </row>
    <row r="702" customFormat="false" ht="15" hidden="true" customHeight="false" outlineLevel="0" collapsed="false">
      <c r="A702" s="53" t="str">
        <f aca="false">IF($H702="","",ROW()-5)</f>
        <v/>
      </c>
      <c r="B702" s="64" t="s">
        <v>36</v>
      </c>
      <c r="C702" s="53" t="n">
        <v>180</v>
      </c>
      <c r="D702" s="53" t="n">
        <v>1</v>
      </c>
      <c r="E702" s="65" t="str">
        <f aca="false">IF($H702="","",购销流水!$B180)</f>
        <v/>
      </c>
      <c r="F702" s="55" t="str">
        <f aca="false">IF($H702="","",购销流水!$C180)</f>
        <v/>
      </c>
      <c r="G702" s="48" t="str">
        <f aca="false">IF($H702="","",购销流水!$N180)</f>
        <v/>
      </c>
      <c r="H702" s="10" t="str">
        <f aca="false">IF($L702="","",IF($L702="@成本",购销流水!$U180,IF($L702="@收入",购销流水!$T180,IF($L702="@存货",购销流水!$S180,IF($L702="@结算",购销流水!$R180,$L702)))))</f>
        <v/>
      </c>
      <c r="I702" s="42" t="n">
        <f aca="false">IF($M702="借",$O702,0)</f>
        <v>0</v>
      </c>
      <c r="J702" s="42" t="n">
        <f aca="false">IF($M702="贷",$O702,0)</f>
        <v>0</v>
      </c>
      <c r="K702" s="48" t="str">
        <f aca="false">IF($H702="","",购销流水!$E180)</f>
        <v/>
      </c>
      <c r="L702" s="66" t="str">
        <f aca="false">IF(购销流水!$D180="","",IFERROR(INDEX(记账规则!$A$6:$N$9,MATCH(购销流水!$D180,记账规则!$A$6:$A$9,0),3),""))</f>
        <v/>
      </c>
      <c r="M702" s="66" t="str">
        <f aca="false">IF($L702="","",IFERROR(INDEX(记账规则!$A$6:$N$9,MATCH(购销流水!$D180,记账规则!$A$6:$A$9,0),4),""))</f>
        <v/>
      </c>
      <c r="N702" s="66" t="str">
        <f aca="false">IF($L702="","",IFERROR(INDEX(记账规则!$A$6:$N$9,MATCH(购销流水!$D180,记账规则!$A$6:$A$9,0),5),""))</f>
        <v/>
      </c>
      <c r="O702" s="67" t="n">
        <f aca="false">IF($H702="",0,ROUND(IF($N702="成本金额",N(购销流水!$W180),IF($N702="金额",N(购销流水!$Q180),0)),2))</f>
        <v>0</v>
      </c>
      <c r="P702" s="64" t="str">
        <f aca="false">IF(AND($H702&lt;&gt;"",ROUND($O702,2)&lt;&gt;0),"有","")</f>
        <v/>
      </c>
    </row>
    <row r="703" customFormat="false" ht="15" hidden="true" customHeight="false" outlineLevel="0" collapsed="false">
      <c r="A703" s="53" t="str">
        <f aca="false">IF($H703="","",ROW()-5)</f>
        <v/>
      </c>
      <c r="B703" s="64" t="s">
        <v>36</v>
      </c>
      <c r="C703" s="53" t="n">
        <v>180</v>
      </c>
      <c r="D703" s="53" t="n">
        <v>2</v>
      </c>
      <c r="E703" s="65" t="str">
        <f aca="false">IF($H703="","",购销流水!$B180)</f>
        <v/>
      </c>
      <c r="F703" s="55" t="str">
        <f aca="false">IF($H703="","",购销流水!$C180)</f>
        <v/>
      </c>
      <c r="G703" s="48" t="str">
        <f aca="false">IF($H703="","",购销流水!$N180)</f>
        <v/>
      </c>
      <c r="H703" s="10" t="str">
        <f aca="false">IF($L703="","",IF($L703="@成本",购销流水!$U180,IF($L703="@收入",购销流水!$T180,IF($L703="@存货",购销流水!$S180,IF($L703="@结算",购销流水!$R180,$L703)))))</f>
        <v/>
      </c>
      <c r="I703" s="42" t="n">
        <f aca="false">IF($M703="借",$O703,0)</f>
        <v>0</v>
      </c>
      <c r="J703" s="42" t="n">
        <f aca="false">IF($M703="贷",$O703,0)</f>
        <v>0</v>
      </c>
      <c r="K703" s="48" t="str">
        <f aca="false">IF($H703="","",购销流水!$E180)</f>
        <v/>
      </c>
      <c r="L703" s="66" t="str">
        <f aca="false">IF(购销流水!$D180="","",IFERROR(INDEX(记账规则!$A$6:$N$9,MATCH(购销流水!$D180,记账规则!$A$6:$A$9,0),6),""))</f>
        <v/>
      </c>
      <c r="M703" s="66" t="str">
        <f aca="false">IF($L703="","",IFERROR(INDEX(记账规则!$A$6:$N$9,MATCH(购销流水!$D180,记账规则!$A$6:$A$9,0),7),""))</f>
        <v/>
      </c>
      <c r="N703" s="66" t="str">
        <f aca="false">IF($L703="","",IFERROR(INDEX(记账规则!$A$6:$N$9,MATCH(购销流水!$D180,记账规则!$A$6:$A$9,0),8),""))</f>
        <v/>
      </c>
      <c r="O703" s="67" t="n">
        <f aca="false">IF($H703="",0,ROUND(IF($N703="成本金额",N(购销流水!$W180),IF($N703="金额",N(购销流水!$Q180),0)),2))</f>
        <v>0</v>
      </c>
      <c r="P703" s="64" t="str">
        <f aca="false">IF(AND($H703&lt;&gt;"",ROUND($O703,2)&lt;&gt;0),"有","")</f>
        <v/>
      </c>
    </row>
    <row r="704" customFormat="false" ht="15" hidden="true" customHeight="false" outlineLevel="0" collapsed="false">
      <c r="A704" s="53" t="str">
        <f aca="false">IF($H704="","",ROW()-5)</f>
        <v/>
      </c>
      <c r="B704" s="64" t="s">
        <v>36</v>
      </c>
      <c r="C704" s="53" t="n">
        <v>180</v>
      </c>
      <c r="D704" s="53" t="n">
        <v>3</v>
      </c>
      <c r="E704" s="65" t="str">
        <f aca="false">IF($H704="","",购销流水!$B180)</f>
        <v/>
      </c>
      <c r="F704" s="55" t="str">
        <f aca="false">IF($H704="","",购销流水!$C180)</f>
        <v/>
      </c>
      <c r="G704" s="48" t="str">
        <f aca="false">IF($H704="","",购销流水!$N180)</f>
        <v/>
      </c>
      <c r="H704" s="10" t="str">
        <f aca="false">IF($L704="","",IF($L704="@成本",购销流水!$U180,IF($L704="@收入",购销流水!$T180,IF($L704="@存货",购销流水!$S180,IF($L704="@结算",购销流水!$R180,$L704)))))</f>
        <v/>
      </c>
      <c r="I704" s="42" t="n">
        <f aca="false">IF($M704="借",$O704,0)</f>
        <v>0</v>
      </c>
      <c r="J704" s="42" t="n">
        <f aca="false">IF($M704="贷",$O704,0)</f>
        <v>0</v>
      </c>
      <c r="K704" s="48" t="str">
        <f aca="false">IF($H704="","",购销流水!$E180)</f>
        <v/>
      </c>
      <c r="L704" s="66" t="str">
        <f aca="false">IF(购销流水!$D180="","",IFERROR(INDEX(记账规则!$A$6:$N$9,MATCH(购销流水!$D180,记账规则!$A$6:$A$9,0),9),""))</f>
        <v/>
      </c>
      <c r="M704" s="66" t="str">
        <f aca="false">IF($L704="","",IFERROR(INDEX(记账规则!$A$6:$N$9,MATCH(购销流水!$D180,记账规则!$A$6:$A$9,0),10),""))</f>
        <v/>
      </c>
      <c r="N704" s="66" t="str">
        <f aca="false">IF($L704="","",IFERROR(INDEX(记账规则!$A$6:$N$9,MATCH(购销流水!$D180,记账规则!$A$6:$A$9,0),11),""))</f>
        <v/>
      </c>
      <c r="O704" s="67" t="n">
        <f aca="false">IF($H704="",0,ROUND(IF($N704="成本金额",N(购销流水!$W180),IF($N704="金额",N(购销流水!$Q180),0)),2))</f>
        <v>0</v>
      </c>
      <c r="P704" s="64" t="str">
        <f aca="false">IF(AND($H704&lt;&gt;"",ROUND($O704,2)&lt;&gt;0),"有","")</f>
        <v/>
      </c>
    </row>
    <row r="705" customFormat="false" ht="15" hidden="true" customHeight="false" outlineLevel="0" collapsed="false">
      <c r="A705" s="53" t="str">
        <f aca="false">IF($H705="","",ROW()-5)</f>
        <v/>
      </c>
      <c r="B705" s="64" t="s">
        <v>36</v>
      </c>
      <c r="C705" s="53" t="n">
        <v>180</v>
      </c>
      <c r="D705" s="53" t="n">
        <v>4</v>
      </c>
      <c r="E705" s="65" t="str">
        <f aca="false">IF($H705="","",购销流水!$B180)</f>
        <v/>
      </c>
      <c r="F705" s="55" t="str">
        <f aca="false">IF($H705="","",购销流水!$C180)</f>
        <v/>
      </c>
      <c r="G705" s="48" t="str">
        <f aca="false">IF($H705="","",购销流水!$N180)</f>
        <v/>
      </c>
      <c r="H705" s="10" t="str">
        <f aca="false">IF($L705="","",IF($L705="@成本",购销流水!$U180,IF($L705="@收入",购销流水!$T180,IF($L705="@存货",购销流水!$S180,IF($L705="@结算",购销流水!$R180,$L705)))))</f>
        <v/>
      </c>
      <c r="I705" s="42" t="n">
        <f aca="false">IF($M705="借",$O705,0)</f>
        <v>0</v>
      </c>
      <c r="J705" s="42" t="n">
        <f aca="false">IF($M705="贷",$O705,0)</f>
        <v>0</v>
      </c>
      <c r="K705" s="48" t="str">
        <f aca="false">IF($H705="","",购销流水!$E180)</f>
        <v/>
      </c>
      <c r="L705" s="66" t="str">
        <f aca="false">IF(购销流水!$D180="","",IFERROR(INDEX(记账规则!$A$6:$N$9,MATCH(购销流水!$D180,记账规则!$A$6:$A$9,0),12),""))</f>
        <v/>
      </c>
      <c r="M705" s="66" t="str">
        <f aca="false">IF($L705="","",IFERROR(INDEX(记账规则!$A$6:$N$9,MATCH(购销流水!$D180,记账规则!$A$6:$A$9,0),13),""))</f>
        <v/>
      </c>
      <c r="N705" s="66" t="str">
        <f aca="false">IF($L705="","",IFERROR(INDEX(记账规则!$A$6:$N$9,MATCH(购销流水!$D180,记账规则!$A$6:$A$9,0),14),""))</f>
        <v/>
      </c>
      <c r="O705" s="67" t="n">
        <f aca="false">IF($H705="",0,ROUND(IF($N705="成本金额",N(购销流水!$W180),IF($N705="金额",N(购销流水!$Q180),0)),2))</f>
        <v>0</v>
      </c>
      <c r="P705" s="64" t="str">
        <f aca="false">IF(AND($H705&lt;&gt;"",ROUND($O705,2)&lt;&gt;0),"有","")</f>
        <v/>
      </c>
    </row>
    <row r="706" customFormat="false" ht="15" hidden="true" customHeight="false" outlineLevel="0" collapsed="false">
      <c r="A706" s="53" t="str">
        <f aca="false">IF($H706="","",ROW()-5)</f>
        <v/>
      </c>
      <c r="B706" s="64" t="s">
        <v>36</v>
      </c>
      <c r="C706" s="53" t="n">
        <v>181</v>
      </c>
      <c r="D706" s="53" t="n">
        <v>1</v>
      </c>
      <c r="E706" s="65" t="str">
        <f aca="false">IF($H706="","",购销流水!$B181)</f>
        <v/>
      </c>
      <c r="F706" s="55" t="str">
        <f aca="false">IF($H706="","",购销流水!$C181)</f>
        <v/>
      </c>
      <c r="G706" s="48" t="str">
        <f aca="false">IF($H706="","",购销流水!$N181)</f>
        <v/>
      </c>
      <c r="H706" s="10" t="str">
        <f aca="false">IF($L706="","",IF($L706="@成本",购销流水!$U181,IF($L706="@收入",购销流水!$T181,IF($L706="@存货",购销流水!$S181,IF($L706="@结算",购销流水!$R181,$L706)))))</f>
        <v/>
      </c>
      <c r="I706" s="42" t="n">
        <f aca="false">IF($M706="借",$O706,0)</f>
        <v>0</v>
      </c>
      <c r="J706" s="42" t="n">
        <f aca="false">IF($M706="贷",$O706,0)</f>
        <v>0</v>
      </c>
      <c r="K706" s="48" t="str">
        <f aca="false">IF($H706="","",购销流水!$E181)</f>
        <v/>
      </c>
      <c r="L706" s="66" t="str">
        <f aca="false">IF(购销流水!$D181="","",IFERROR(INDEX(记账规则!$A$6:$N$9,MATCH(购销流水!$D181,记账规则!$A$6:$A$9,0),3),""))</f>
        <v/>
      </c>
      <c r="M706" s="66" t="str">
        <f aca="false">IF($L706="","",IFERROR(INDEX(记账规则!$A$6:$N$9,MATCH(购销流水!$D181,记账规则!$A$6:$A$9,0),4),""))</f>
        <v/>
      </c>
      <c r="N706" s="66" t="str">
        <f aca="false">IF($L706="","",IFERROR(INDEX(记账规则!$A$6:$N$9,MATCH(购销流水!$D181,记账规则!$A$6:$A$9,0),5),""))</f>
        <v/>
      </c>
      <c r="O706" s="67" t="n">
        <f aca="false">IF($H706="",0,ROUND(IF($N706="成本金额",N(购销流水!$W181),IF($N706="金额",N(购销流水!$Q181),0)),2))</f>
        <v>0</v>
      </c>
      <c r="P706" s="64" t="str">
        <f aca="false">IF(AND($H706&lt;&gt;"",ROUND($O706,2)&lt;&gt;0),"有","")</f>
        <v/>
      </c>
    </row>
    <row r="707" customFormat="false" ht="15" hidden="true" customHeight="false" outlineLevel="0" collapsed="false">
      <c r="A707" s="53" t="str">
        <f aca="false">IF($H707="","",ROW()-5)</f>
        <v/>
      </c>
      <c r="B707" s="64" t="s">
        <v>36</v>
      </c>
      <c r="C707" s="53" t="n">
        <v>181</v>
      </c>
      <c r="D707" s="53" t="n">
        <v>2</v>
      </c>
      <c r="E707" s="65" t="str">
        <f aca="false">IF($H707="","",购销流水!$B181)</f>
        <v/>
      </c>
      <c r="F707" s="55" t="str">
        <f aca="false">IF($H707="","",购销流水!$C181)</f>
        <v/>
      </c>
      <c r="G707" s="48" t="str">
        <f aca="false">IF($H707="","",购销流水!$N181)</f>
        <v/>
      </c>
      <c r="H707" s="10" t="str">
        <f aca="false">IF($L707="","",IF($L707="@成本",购销流水!$U181,IF($L707="@收入",购销流水!$T181,IF($L707="@存货",购销流水!$S181,IF($L707="@结算",购销流水!$R181,$L707)))))</f>
        <v/>
      </c>
      <c r="I707" s="42" t="n">
        <f aca="false">IF($M707="借",$O707,0)</f>
        <v>0</v>
      </c>
      <c r="J707" s="42" t="n">
        <f aca="false">IF($M707="贷",$O707,0)</f>
        <v>0</v>
      </c>
      <c r="K707" s="48" t="str">
        <f aca="false">IF($H707="","",购销流水!$E181)</f>
        <v/>
      </c>
      <c r="L707" s="66" t="str">
        <f aca="false">IF(购销流水!$D181="","",IFERROR(INDEX(记账规则!$A$6:$N$9,MATCH(购销流水!$D181,记账规则!$A$6:$A$9,0),6),""))</f>
        <v/>
      </c>
      <c r="M707" s="66" t="str">
        <f aca="false">IF($L707="","",IFERROR(INDEX(记账规则!$A$6:$N$9,MATCH(购销流水!$D181,记账规则!$A$6:$A$9,0),7),""))</f>
        <v/>
      </c>
      <c r="N707" s="66" t="str">
        <f aca="false">IF($L707="","",IFERROR(INDEX(记账规则!$A$6:$N$9,MATCH(购销流水!$D181,记账规则!$A$6:$A$9,0),8),""))</f>
        <v/>
      </c>
      <c r="O707" s="67" t="n">
        <f aca="false">IF($H707="",0,ROUND(IF($N707="成本金额",N(购销流水!$W181),IF($N707="金额",N(购销流水!$Q181),0)),2))</f>
        <v>0</v>
      </c>
      <c r="P707" s="64" t="str">
        <f aca="false">IF(AND($H707&lt;&gt;"",ROUND($O707,2)&lt;&gt;0),"有","")</f>
        <v/>
      </c>
    </row>
    <row r="708" customFormat="false" ht="15" hidden="true" customHeight="false" outlineLevel="0" collapsed="false">
      <c r="A708" s="53" t="str">
        <f aca="false">IF($H708="","",ROW()-5)</f>
        <v/>
      </c>
      <c r="B708" s="64" t="s">
        <v>36</v>
      </c>
      <c r="C708" s="53" t="n">
        <v>181</v>
      </c>
      <c r="D708" s="53" t="n">
        <v>3</v>
      </c>
      <c r="E708" s="65" t="str">
        <f aca="false">IF($H708="","",购销流水!$B181)</f>
        <v/>
      </c>
      <c r="F708" s="55" t="str">
        <f aca="false">IF($H708="","",购销流水!$C181)</f>
        <v/>
      </c>
      <c r="G708" s="48" t="str">
        <f aca="false">IF($H708="","",购销流水!$N181)</f>
        <v/>
      </c>
      <c r="H708" s="10" t="str">
        <f aca="false">IF($L708="","",IF($L708="@成本",购销流水!$U181,IF($L708="@收入",购销流水!$T181,IF($L708="@存货",购销流水!$S181,IF($L708="@结算",购销流水!$R181,$L708)))))</f>
        <v/>
      </c>
      <c r="I708" s="42" t="n">
        <f aca="false">IF($M708="借",$O708,0)</f>
        <v>0</v>
      </c>
      <c r="J708" s="42" t="n">
        <f aca="false">IF($M708="贷",$O708,0)</f>
        <v>0</v>
      </c>
      <c r="K708" s="48" t="str">
        <f aca="false">IF($H708="","",购销流水!$E181)</f>
        <v/>
      </c>
      <c r="L708" s="66" t="str">
        <f aca="false">IF(购销流水!$D181="","",IFERROR(INDEX(记账规则!$A$6:$N$9,MATCH(购销流水!$D181,记账规则!$A$6:$A$9,0),9),""))</f>
        <v/>
      </c>
      <c r="M708" s="66" t="str">
        <f aca="false">IF($L708="","",IFERROR(INDEX(记账规则!$A$6:$N$9,MATCH(购销流水!$D181,记账规则!$A$6:$A$9,0),10),""))</f>
        <v/>
      </c>
      <c r="N708" s="66" t="str">
        <f aca="false">IF($L708="","",IFERROR(INDEX(记账规则!$A$6:$N$9,MATCH(购销流水!$D181,记账规则!$A$6:$A$9,0),11),""))</f>
        <v/>
      </c>
      <c r="O708" s="67" t="n">
        <f aca="false">IF($H708="",0,ROUND(IF($N708="成本金额",N(购销流水!$W181),IF($N708="金额",N(购销流水!$Q181),0)),2))</f>
        <v>0</v>
      </c>
      <c r="P708" s="64" t="str">
        <f aca="false">IF(AND($H708&lt;&gt;"",ROUND($O708,2)&lt;&gt;0),"有","")</f>
        <v/>
      </c>
    </row>
    <row r="709" customFormat="false" ht="15" hidden="true" customHeight="false" outlineLevel="0" collapsed="false">
      <c r="A709" s="53" t="str">
        <f aca="false">IF($H709="","",ROW()-5)</f>
        <v/>
      </c>
      <c r="B709" s="64" t="s">
        <v>36</v>
      </c>
      <c r="C709" s="53" t="n">
        <v>181</v>
      </c>
      <c r="D709" s="53" t="n">
        <v>4</v>
      </c>
      <c r="E709" s="65" t="str">
        <f aca="false">IF($H709="","",购销流水!$B181)</f>
        <v/>
      </c>
      <c r="F709" s="55" t="str">
        <f aca="false">IF($H709="","",购销流水!$C181)</f>
        <v/>
      </c>
      <c r="G709" s="48" t="str">
        <f aca="false">IF($H709="","",购销流水!$N181)</f>
        <v/>
      </c>
      <c r="H709" s="10" t="str">
        <f aca="false">IF($L709="","",IF($L709="@成本",购销流水!$U181,IF($L709="@收入",购销流水!$T181,IF($L709="@存货",购销流水!$S181,IF($L709="@结算",购销流水!$R181,$L709)))))</f>
        <v/>
      </c>
      <c r="I709" s="42" t="n">
        <f aca="false">IF($M709="借",$O709,0)</f>
        <v>0</v>
      </c>
      <c r="J709" s="42" t="n">
        <f aca="false">IF($M709="贷",$O709,0)</f>
        <v>0</v>
      </c>
      <c r="K709" s="48" t="str">
        <f aca="false">IF($H709="","",购销流水!$E181)</f>
        <v/>
      </c>
      <c r="L709" s="66" t="str">
        <f aca="false">IF(购销流水!$D181="","",IFERROR(INDEX(记账规则!$A$6:$N$9,MATCH(购销流水!$D181,记账规则!$A$6:$A$9,0),12),""))</f>
        <v/>
      </c>
      <c r="M709" s="66" t="str">
        <f aca="false">IF($L709="","",IFERROR(INDEX(记账规则!$A$6:$N$9,MATCH(购销流水!$D181,记账规则!$A$6:$A$9,0),13),""))</f>
        <v/>
      </c>
      <c r="N709" s="66" t="str">
        <f aca="false">IF($L709="","",IFERROR(INDEX(记账规则!$A$6:$N$9,MATCH(购销流水!$D181,记账规则!$A$6:$A$9,0),14),""))</f>
        <v/>
      </c>
      <c r="O709" s="67" t="n">
        <f aca="false">IF($H709="",0,ROUND(IF($N709="成本金额",N(购销流水!$W181),IF($N709="金额",N(购销流水!$Q181),0)),2))</f>
        <v>0</v>
      </c>
      <c r="P709" s="64" t="str">
        <f aca="false">IF(AND($H709&lt;&gt;"",ROUND($O709,2)&lt;&gt;0),"有","")</f>
        <v/>
      </c>
    </row>
    <row r="710" customFormat="false" ht="15" hidden="true" customHeight="false" outlineLevel="0" collapsed="false">
      <c r="A710" s="53" t="str">
        <f aca="false">IF($H710="","",ROW()-5)</f>
        <v/>
      </c>
      <c r="B710" s="64" t="s">
        <v>36</v>
      </c>
      <c r="C710" s="53" t="n">
        <v>182</v>
      </c>
      <c r="D710" s="53" t="n">
        <v>1</v>
      </c>
      <c r="E710" s="65" t="str">
        <f aca="false">IF($H710="","",购销流水!$B182)</f>
        <v/>
      </c>
      <c r="F710" s="55" t="str">
        <f aca="false">IF($H710="","",购销流水!$C182)</f>
        <v/>
      </c>
      <c r="G710" s="48" t="str">
        <f aca="false">IF($H710="","",购销流水!$N182)</f>
        <v/>
      </c>
      <c r="H710" s="10" t="str">
        <f aca="false">IF($L710="","",IF($L710="@成本",购销流水!$U182,IF($L710="@收入",购销流水!$T182,IF($L710="@存货",购销流水!$S182,IF($L710="@结算",购销流水!$R182,$L710)))))</f>
        <v/>
      </c>
      <c r="I710" s="42" t="n">
        <f aca="false">IF($M710="借",$O710,0)</f>
        <v>0</v>
      </c>
      <c r="J710" s="42" t="n">
        <f aca="false">IF($M710="贷",$O710,0)</f>
        <v>0</v>
      </c>
      <c r="K710" s="48" t="str">
        <f aca="false">IF($H710="","",购销流水!$E182)</f>
        <v/>
      </c>
      <c r="L710" s="66" t="str">
        <f aca="false">IF(购销流水!$D182="","",IFERROR(INDEX(记账规则!$A$6:$N$9,MATCH(购销流水!$D182,记账规则!$A$6:$A$9,0),3),""))</f>
        <v/>
      </c>
      <c r="M710" s="66" t="str">
        <f aca="false">IF($L710="","",IFERROR(INDEX(记账规则!$A$6:$N$9,MATCH(购销流水!$D182,记账规则!$A$6:$A$9,0),4),""))</f>
        <v/>
      </c>
      <c r="N710" s="66" t="str">
        <f aca="false">IF($L710="","",IFERROR(INDEX(记账规则!$A$6:$N$9,MATCH(购销流水!$D182,记账规则!$A$6:$A$9,0),5),""))</f>
        <v/>
      </c>
      <c r="O710" s="67" t="n">
        <f aca="false">IF($H710="",0,ROUND(IF($N710="成本金额",N(购销流水!$W182),IF($N710="金额",N(购销流水!$Q182),0)),2))</f>
        <v>0</v>
      </c>
      <c r="P710" s="64" t="str">
        <f aca="false">IF(AND($H710&lt;&gt;"",ROUND($O710,2)&lt;&gt;0),"有","")</f>
        <v/>
      </c>
    </row>
    <row r="711" customFormat="false" ht="15" hidden="true" customHeight="false" outlineLevel="0" collapsed="false">
      <c r="A711" s="53" t="str">
        <f aca="false">IF($H711="","",ROW()-5)</f>
        <v/>
      </c>
      <c r="B711" s="64" t="s">
        <v>36</v>
      </c>
      <c r="C711" s="53" t="n">
        <v>182</v>
      </c>
      <c r="D711" s="53" t="n">
        <v>2</v>
      </c>
      <c r="E711" s="65" t="str">
        <f aca="false">IF($H711="","",购销流水!$B182)</f>
        <v/>
      </c>
      <c r="F711" s="55" t="str">
        <f aca="false">IF($H711="","",购销流水!$C182)</f>
        <v/>
      </c>
      <c r="G711" s="48" t="str">
        <f aca="false">IF($H711="","",购销流水!$N182)</f>
        <v/>
      </c>
      <c r="H711" s="10" t="str">
        <f aca="false">IF($L711="","",IF($L711="@成本",购销流水!$U182,IF($L711="@收入",购销流水!$T182,IF($L711="@存货",购销流水!$S182,IF($L711="@结算",购销流水!$R182,$L711)))))</f>
        <v/>
      </c>
      <c r="I711" s="42" t="n">
        <f aca="false">IF($M711="借",$O711,0)</f>
        <v>0</v>
      </c>
      <c r="J711" s="42" t="n">
        <f aca="false">IF($M711="贷",$O711,0)</f>
        <v>0</v>
      </c>
      <c r="K711" s="48" t="str">
        <f aca="false">IF($H711="","",购销流水!$E182)</f>
        <v/>
      </c>
      <c r="L711" s="66" t="str">
        <f aca="false">IF(购销流水!$D182="","",IFERROR(INDEX(记账规则!$A$6:$N$9,MATCH(购销流水!$D182,记账规则!$A$6:$A$9,0),6),""))</f>
        <v/>
      </c>
      <c r="M711" s="66" t="str">
        <f aca="false">IF($L711="","",IFERROR(INDEX(记账规则!$A$6:$N$9,MATCH(购销流水!$D182,记账规则!$A$6:$A$9,0),7),""))</f>
        <v/>
      </c>
      <c r="N711" s="66" t="str">
        <f aca="false">IF($L711="","",IFERROR(INDEX(记账规则!$A$6:$N$9,MATCH(购销流水!$D182,记账规则!$A$6:$A$9,0),8),""))</f>
        <v/>
      </c>
      <c r="O711" s="67" t="n">
        <f aca="false">IF($H711="",0,ROUND(IF($N711="成本金额",N(购销流水!$W182),IF($N711="金额",N(购销流水!$Q182),0)),2))</f>
        <v>0</v>
      </c>
      <c r="P711" s="64" t="str">
        <f aca="false">IF(AND($H711&lt;&gt;"",ROUND($O711,2)&lt;&gt;0),"有","")</f>
        <v/>
      </c>
    </row>
    <row r="712" customFormat="false" ht="15" hidden="true" customHeight="false" outlineLevel="0" collapsed="false">
      <c r="A712" s="53" t="str">
        <f aca="false">IF($H712="","",ROW()-5)</f>
        <v/>
      </c>
      <c r="B712" s="64" t="s">
        <v>36</v>
      </c>
      <c r="C712" s="53" t="n">
        <v>182</v>
      </c>
      <c r="D712" s="53" t="n">
        <v>3</v>
      </c>
      <c r="E712" s="65" t="str">
        <f aca="false">IF($H712="","",购销流水!$B182)</f>
        <v/>
      </c>
      <c r="F712" s="55" t="str">
        <f aca="false">IF($H712="","",购销流水!$C182)</f>
        <v/>
      </c>
      <c r="G712" s="48" t="str">
        <f aca="false">IF($H712="","",购销流水!$N182)</f>
        <v/>
      </c>
      <c r="H712" s="10" t="str">
        <f aca="false">IF($L712="","",IF($L712="@成本",购销流水!$U182,IF($L712="@收入",购销流水!$T182,IF($L712="@存货",购销流水!$S182,IF($L712="@结算",购销流水!$R182,$L712)))))</f>
        <v/>
      </c>
      <c r="I712" s="42" t="n">
        <f aca="false">IF($M712="借",$O712,0)</f>
        <v>0</v>
      </c>
      <c r="J712" s="42" t="n">
        <f aca="false">IF($M712="贷",$O712,0)</f>
        <v>0</v>
      </c>
      <c r="K712" s="48" t="str">
        <f aca="false">IF($H712="","",购销流水!$E182)</f>
        <v/>
      </c>
      <c r="L712" s="66" t="str">
        <f aca="false">IF(购销流水!$D182="","",IFERROR(INDEX(记账规则!$A$6:$N$9,MATCH(购销流水!$D182,记账规则!$A$6:$A$9,0),9),""))</f>
        <v/>
      </c>
      <c r="M712" s="66" t="str">
        <f aca="false">IF($L712="","",IFERROR(INDEX(记账规则!$A$6:$N$9,MATCH(购销流水!$D182,记账规则!$A$6:$A$9,0),10),""))</f>
        <v/>
      </c>
      <c r="N712" s="66" t="str">
        <f aca="false">IF($L712="","",IFERROR(INDEX(记账规则!$A$6:$N$9,MATCH(购销流水!$D182,记账规则!$A$6:$A$9,0),11),""))</f>
        <v/>
      </c>
      <c r="O712" s="67" t="n">
        <f aca="false">IF($H712="",0,ROUND(IF($N712="成本金额",N(购销流水!$W182),IF($N712="金额",N(购销流水!$Q182),0)),2))</f>
        <v>0</v>
      </c>
      <c r="P712" s="64" t="str">
        <f aca="false">IF(AND($H712&lt;&gt;"",ROUND($O712,2)&lt;&gt;0),"有","")</f>
        <v/>
      </c>
    </row>
    <row r="713" customFormat="false" ht="15" hidden="true" customHeight="false" outlineLevel="0" collapsed="false">
      <c r="A713" s="53" t="str">
        <f aca="false">IF($H713="","",ROW()-5)</f>
        <v/>
      </c>
      <c r="B713" s="64" t="s">
        <v>36</v>
      </c>
      <c r="C713" s="53" t="n">
        <v>182</v>
      </c>
      <c r="D713" s="53" t="n">
        <v>4</v>
      </c>
      <c r="E713" s="65" t="str">
        <f aca="false">IF($H713="","",购销流水!$B182)</f>
        <v/>
      </c>
      <c r="F713" s="55" t="str">
        <f aca="false">IF($H713="","",购销流水!$C182)</f>
        <v/>
      </c>
      <c r="G713" s="48" t="str">
        <f aca="false">IF($H713="","",购销流水!$N182)</f>
        <v/>
      </c>
      <c r="H713" s="10" t="str">
        <f aca="false">IF($L713="","",IF($L713="@成本",购销流水!$U182,IF($L713="@收入",购销流水!$T182,IF($L713="@存货",购销流水!$S182,IF($L713="@结算",购销流水!$R182,$L713)))))</f>
        <v/>
      </c>
      <c r="I713" s="42" t="n">
        <f aca="false">IF($M713="借",$O713,0)</f>
        <v>0</v>
      </c>
      <c r="J713" s="42" t="n">
        <f aca="false">IF($M713="贷",$O713,0)</f>
        <v>0</v>
      </c>
      <c r="K713" s="48" t="str">
        <f aca="false">IF($H713="","",购销流水!$E182)</f>
        <v/>
      </c>
      <c r="L713" s="66" t="str">
        <f aca="false">IF(购销流水!$D182="","",IFERROR(INDEX(记账规则!$A$6:$N$9,MATCH(购销流水!$D182,记账规则!$A$6:$A$9,0),12),""))</f>
        <v/>
      </c>
      <c r="M713" s="66" t="str">
        <f aca="false">IF($L713="","",IFERROR(INDEX(记账规则!$A$6:$N$9,MATCH(购销流水!$D182,记账规则!$A$6:$A$9,0),13),""))</f>
        <v/>
      </c>
      <c r="N713" s="66" t="str">
        <f aca="false">IF($L713="","",IFERROR(INDEX(记账规则!$A$6:$N$9,MATCH(购销流水!$D182,记账规则!$A$6:$A$9,0),14),""))</f>
        <v/>
      </c>
      <c r="O713" s="67" t="n">
        <f aca="false">IF($H713="",0,ROUND(IF($N713="成本金额",N(购销流水!$W182),IF($N713="金额",N(购销流水!$Q182),0)),2))</f>
        <v>0</v>
      </c>
      <c r="P713" s="64" t="str">
        <f aca="false">IF(AND($H713&lt;&gt;"",ROUND($O713,2)&lt;&gt;0),"有","")</f>
        <v/>
      </c>
    </row>
    <row r="714" customFormat="false" ht="15" hidden="true" customHeight="false" outlineLevel="0" collapsed="false">
      <c r="A714" s="53" t="str">
        <f aca="false">IF($H714="","",ROW()-5)</f>
        <v/>
      </c>
      <c r="B714" s="64" t="s">
        <v>36</v>
      </c>
      <c r="C714" s="53" t="n">
        <v>183</v>
      </c>
      <c r="D714" s="53" t="n">
        <v>1</v>
      </c>
      <c r="E714" s="65" t="str">
        <f aca="false">IF($H714="","",购销流水!$B183)</f>
        <v/>
      </c>
      <c r="F714" s="55" t="str">
        <f aca="false">IF($H714="","",购销流水!$C183)</f>
        <v/>
      </c>
      <c r="G714" s="48" t="str">
        <f aca="false">IF($H714="","",购销流水!$N183)</f>
        <v/>
      </c>
      <c r="H714" s="10" t="str">
        <f aca="false">IF($L714="","",IF($L714="@成本",购销流水!$U183,IF($L714="@收入",购销流水!$T183,IF($L714="@存货",购销流水!$S183,IF($L714="@结算",购销流水!$R183,$L714)))))</f>
        <v/>
      </c>
      <c r="I714" s="42" t="n">
        <f aca="false">IF($M714="借",$O714,0)</f>
        <v>0</v>
      </c>
      <c r="J714" s="42" t="n">
        <f aca="false">IF($M714="贷",$O714,0)</f>
        <v>0</v>
      </c>
      <c r="K714" s="48" t="str">
        <f aca="false">IF($H714="","",购销流水!$E183)</f>
        <v/>
      </c>
      <c r="L714" s="66" t="str">
        <f aca="false">IF(购销流水!$D183="","",IFERROR(INDEX(记账规则!$A$6:$N$9,MATCH(购销流水!$D183,记账规则!$A$6:$A$9,0),3),""))</f>
        <v/>
      </c>
      <c r="M714" s="66" t="str">
        <f aca="false">IF($L714="","",IFERROR(INDEX(记账规则!$A$6:$N$9,MATCH(购销流水!$D183,记账规则!$A$6:$A$9,0),4),""))</f>
        <v/>
      </c>
      <c r="N714" s="66" t="str">
        <f aca="false">IF($L714="","",IFERROR(INDEX(记账规则!$A$6:$N$9,MATCH(购销流水!$D183,记账规则!$A$6:$A$9,0),5),""))</f>
        <v/>
      </c>
      <c r="O714" s="67" t="n">
        <f aca="false">IF($H714="",0,ROUND(IF($N714="成本金额",N(购销流水!$W183),IF($N714="金额",N(购销流水!$Q183),0)),2))</f>
        <v>0</v>
      </c>
      <c r="P714" s="64" t="str">
        <f aca="false">IF(AND($H714&lt;&gt;"",ROUND($O714,2)&lt;&gt;0),"有","")</f>
        <v/>
      </c>
    </row>
    <row r="715" customFormat="false" ht="15" hidden="true" customHeight="false" outlineLevel="0" collapsed="false">
      <c r="A715" s="53" t="str">
        <f aca="false">IF($H715="","",ROW()-5)</f>
        <v/>
      </c>
      <c r="B715" s="64" t="s">
        <v>36</v>
      </c>
      <c r="C715" s="53" t="n">
        <v>183</v>
      </c>
      <c r="D715" s="53" t="n">
        <v>2</v>
      </c>
      <c r="E715" s="65" t="str">
        <f aca="false">IF($H715="","",购销流水!$B183)</f>
        <v/>
      </c>
      <c r="F715" s="55" t="str">
        <f aca="false">IF($H715="","",购销流水!$C183)</f>
        <v/>
      </c>
      <c r="G715" s="48" t="str">
        <f aca="false">IF($H715="","",购销流水!$N183)</f>
        <v/>
      </c>
      <c r="H715" s="10" t="str">
        <f aca="false">IF($L715="","",IF($L715="@成本",购销流水!$U183,IF($L715="@收入",购销流水!$T183,IF($L715="@存货",购销流水!$S183,IF($L715="@结算",购销流水!$R183,$L715)))))</f>
        <v/>
      </c>
      <c r="I715" s="42" t="n">
        <f aca="false">IF($M715="借",$O715,0)</f>
        <v>0</v>
      </c>
      <c r="J715" s="42" t="n">
        <f aca="false">IF($M715="贷",$O715,0)</f>
        <v>0</v>
      </c>
      <c r="K715" s="48" t="str">
        <f aca="false">IF($H715="","",购销流水!$E183)</f>
        <v/>
      </c>
      <c r="L715" s="66" t="str">
        <f aca="false">IF(购销流水!$D183="","",IFERROR(INDEX(记账规则!$A$6:$N$9,MATCH(购销流水!$D183,记账规则!$A$6:$A$9,0),6),""))</f>
        <v/>
      </c>
      <c r="M715" s="66" t="str">
        <f aca="false">IF($L715="","",IFERROR(INDEX(记账规则!$A$6:$N$9,MATCH(购销流水!$D183,记账规则!$A$6:$A$9,0),7),""))</f>
        <v/>
      </c>
      <c r="N715" s="66" t="str">
        <f aca="false">IF($L715="","",IFERROR(INDEX(记账规则!$A$6:$N$9,MATCH(购销流水!$D183,记账规则!$A$6:$A$9,0),8),""))</f>
        <v/>
      </c>
      <c r="O715" s="67" t="n">
        <f aca="false">IF($H715="",0,ROUND(IF($N715="成本金额",N(购销流水!$W183),IF($N715="金额",N(购销流水!$Q183),0)),2))</f>
        <v>0</v>
      </c>
      <c r="P715" s="64" t="str">
        <f aca="false">IF(AND($H715&lt;&gt;"",ROUND($O715,2)&lt;&gt;0),"有","")</f>
        <v/>
      </c>
    </row>
    <row r="716" customFormat="false" ht="15" hidden="true" customHeight="false" outlineLevel="0" collapsed="false">
      <c r="A716" s="53" t="str">
        <f aca="false">IF($H716="","",ROW()-5)</f>
        <v/>
      </c>
      <c r="B716" s="64" t="s">
        <v>36</v>
      </c>
      <c r="C716" s="53" t="n">
        <v>183</v>
      </c>
      <c r="D716" s="53" t="n">
        <v>3</v>
      </c>
      <c r="E716" s="65" t="str">
        <f aca="false">IF($H716="","",购销流水!$B183)</f>
        <v/>
      </c>
      <c r="F716" s="55" t="str">
        <f aca="false">IF($H716="","",购销流水!$C183)</f>
        <v/>
      </c>
      <c r="G716" s="48" t="str">
        <f aca="false">IF($H716="","",购销流水!$N183)</f>
        <v/>
      </c>
      <c r="H716" s="10" t="str">
        <f aca="false">IF($L716="","",IF($L716="@成本",购销流水!$U183,IF($L716="@收入",购销流水!$T183,IF($L716="@存货",购销流水!$S183,IF($L716="@结算",购销流水!$R183,$L716)))))</f>
        <v/>
      </c>
      <c r="I716" s="42" t="n">
        <f aca="false">IF($M716="借",$O716,0)</f>
        <v>0</v>
      </c>
      <c r="J716" s="42" t="n">
        <f aca="false">IF($M716="贷",$O716,0)</f>
        <v>0</v>
      </c>
      <c r="K716" s="48" t="str">
        <f aca="false">IF($H716="","",购销流水!$E183)</f>
        <v/>
      </c>
      <c r="L716" s="66" t="str">
        <f aca="false">IF(购销流水!$D183="","",IFERROR(INDEX(记账规则!$A$6:$N$9,MATCH(购销流水!$D183,记账规则!$A$6:$A$9,0),9),""))</f>
        <v/>
      </c>
      <c r="M716" s="66" t="str">
        <f aca="false">IF($L716="","",IFERROR(INDEX(记账规则!$A$6:$N$9,MATCH(购销流水!$D183,记账规则!$A$6:$A$9,0),10),""))</f>
        <v/>
      </c>
      <c r="N716" s="66" t="str">
        <f aca="false">IF($L716="","",IFERROR(INDEX(记账规则!$A$6:$N$9,MATCH(购销流水!$D183,记账规则!$A$6:$A$9,0),11),""))</f>
        <v/>
      </c>
      <c r="O716" s="67" t="n">
        <f aca="false">IF($H716="",0,ROUND(IF($N716="成本金额",N(购销流水!$W183),IF($N716="金额",N(购销流水!$Q183),0)),2))</f>
        <v>0</v>
      </c>
      <c r="P716" s="64" t="str">
        <f aca="false">IF(AND($H716&lt;&gt;"",ROUND($O716,2)&lt;&gt;0),"有","")</f>
        <v/>
      </c>
    </row>
    <row r="717" customFormat="false" ht="15" hidden="true" customHeight="false" outlineLevel="0" collapsed="false">
      <c r="A717" s="53" t="str">
        <f aca="false">IF($H717="","",ROW()-5)</f>
        <v/>
      </c>
      <c r="B717" s="64" t="s">
        <v>36</v>
      </c>
      <c r="C717" s="53" t="n">
        <v>183</v>
      </c>
      <c r="D717" s="53" t="n">
        <v>4</v>
      </c>
      <c r="E717" s="65" t="str">
        <f aca="false">IF($H717="","",购销流水!$B183)</f>
        <v/>
      </c>
      <c r="F717" s="55" t="str">
        <f aca="false">IF($H717="","",购销流水!$C183)</f>
        <v/>
      </c>
      <c r="G717" s="48" t="str">
        <f aca="false">IF($H717="","",购销流水!$N183)</f>
        <v/>
      </c>
      <c r="H717" s="10" t="str">
        <f aca="false">IF($L717="","",IF($L717="@成本",购销流水!$U183,IF($L717="@收入",购销流水!$T183,IF($L717="@存货",购销流水!$S183,IF($L717="@结算",购销流水!$R183,$L717)))))</f>
        <v/>
      </c>
      <c r="I717" s="42" t="n">
        <f aca="false">IF($M717="借",$O717,0)</f>
        <v>0</v>
      </c>
      <c r="J717" s="42" t="n">
        <f aca="false">IF($M717="贷",$O717,0)</f>
        <v>0</v>
      </c>
      <c r="K717" s="48" t="str">
        <f aca="false">IF($H717="","",购销流水!$E183)</f>
        <v/>
      </c>
      <c r="L717" s="66" t="str">
        <f aca="false">IF(购销流水!$D183="","",IFERROR(INDEX(记账规则!$A$6:$N$9,MATCH(购销流水!$D183,记账规则!$A$6:$A$9,0),12),""))</f>
        <v/>
      </c>
      <c r="M717" s="66" t="str">
        <f aca="false">IF($L717="","",IFERROR(INDEX(记账规则!$A$6:$N$9,MATCH(购销流水!$D183,记账规则!$A$6:$A$9,0),13),""))</f>
        <v/>
      </c>
      <c r="N717" s="66" t="str">
        <f aca="false">IF($L717="","",IFERROR(INDEX(记账规则!$A$6:$N$9,MATCH(购销流水!$D183,记账规则!$A$6:$A$9,0),14),""))</f>
        <v/>
      </c>
      <c r="O717" s="67" t="n">
        <f aca="false">IF($H717="",0,ROUND(IF($N717="成本金额",N(购销流水!$W183),IF($N717="金额",N(购销流水!$Q183),0)),2))</f>
        <v>0</v>
      </c>
      <c r="P717" s="64" t="str">
        <f aca="false">IF(AND($H717&lt;&gt;"",ROUND($O717,2)&lt;&gt;0),"有","")</f>
        <v/>
      </c>
    </row>
    <row r="718" customFormat="false" ht="15" hidden="true" customHeight="false" outlineLevel="0" collapsed="false">
      <c r="A718" s="53" t="str">
        <f aca="false">IF($H718="","",ROW()-5)</f>
        <v/>
      </c>
      <c r="B718" s="64" t="s">
        <v>36</v>
      </c>
      <c r="C718" s="53" t="n">
        <v>184</v>
      </c>
      <c r="D718" s="53" t="n">
        <v>1</v>
      </c>
      <c r="E718" s="65" t="str">
        <f aca="false">IF($H718="","",购销流水!$B184)</f>
        <v/>
      </c>
      <c r="F718" s="55" t="str">
        <f aca="false">IF($H718="","",购销流水!$C184)</f>
        <v/>
      </c>
      <c r="G718" s="48" t="str">
        <f aca="false">IF($H718="","",购销流水!$N184)</f>
        <v/>
      </c>
      <c r="H718" s="10" t="str">
        <f aca="false">IF($L718="","",IF($L718="@成本",购销流水!$U184,IF($L718="@收入",购销流水!$T184,IF($L718="@存货",购销流水!$S184,IF($L718="@结算",购销流水!$R184,$L718)))))</f>
        <v/>
      </c>
      <c r="I718" s="42" t="n">
        <f aca="false">IF($M718="借",$O718,0)</f>
        <v>0</v>
      </c>
      <c r="J718" s="42" t="n">
        <f aca="false">IF($M718="贷",$O718,0)</f>
        <v>0</v>
      </c>
      <c r="K718" s="48" t="str">
        <f aca="false">IF($H718="","",购销流水!$E184)</f>
        <v/>
      </c>
      <c r="L718" s="66" t="str">
        <f aca="false">IF(购销流水!$D184="","",IFERROR(INDEX(记账规则!$A$6:$N$9,MATCH(购销流水!$D184,记账规则!$A$6:$A$9,0),3),""))</f>
        <v/>
      </c>
      <c r="M718" s="66" t="str">
        <f aca="false">IF($L718="","",IFERROR(INDEX(记账规则!$A$6:$N$9,MATCH(购销流水!$D184,记账规则!$A$6:$A$9,0),4),""))</f>
        <v/>
      </c>
      <c r="N718" s="66" t="str">
        <f aca="false">IF($L718="","",IFERROR(INDEX(记账规则!$A$6:$N$9,MATCH(购销流水!$D184,记账规则!$A$6:$A$9,0),5),""))</f>
        <v/>
      </c>
      <c r="O718" s="67" t="n">
        <f aca="false">IF($H718="",0,ROUND(IF($N718="成本金额",N(购销流水!$W184),IF($N718="金额",N(购销流水!$Q184),0)),2))</f>
        <v>0</v>
      </c>
      <c r="P718" s="64" t="str">
        <f aca="false">IF(AND($H718&lt;&gt;"",ROUND($O718,2)&lt;&gt;0),"有","")</f>
        <v/>
      </c>
    </row>
    <row r="719" customFormat="false" ht="15" hidden="true" customHeight="false" outlineLevel="0" collapsed="false">
      <c r="A719" s="53" t="str">
        <f aca="false">IF($H719="","",ROW()-5)</f>
        <v/>
      </c>
      <c r="B719" s="64" t="s">
        <v>36</v>
      </c>
      <c r="C719" s="53" t="n">
        <v>184</v>
      </c>
      <c r="D719" s="53" t="n">
        <v>2</v>
      </c>
      <c r="E719" s="65" t="str">
        <f aca="false">IF($H719="","",购销流水!$B184)</f>
        <v/>
      </c>
      <c r="F719" s="55" t="str">
        <f aca="false">IF($H719="","",购销流水!$C184)</f>
        <v/>
      </c>
      <c r="G719" s="48" t="str">
        <f aca="false">IF($H719="","",购销流水!$N184)</f>
        <v/>
      </c>
      <c r="H719" s="10" t="str">
        <f aca="false">IF($L719="","",IF($L719="@成本",购销流水!$U184,IF($L719="@收入",购销流水!$T184,IF($L719="@存货",购销流水!$S184,IF($L719="@结算",购销流水!$R184,$L719)))))</f>
        <v/>
      </c>
      <c r="I719" s="42" t="n">
        <f aca="false">IF($M719="借",$O719,0)</f>
        <v>0</v>
      </c>
      <c r="J719" s="42" t="n">
        <f aca="false">IF($M719="贷",$O719,0)</f>
        <v>0</v>
      </c>
      <c r="K719" s="48" t="str">
        <f aca="false">IF($H719="","",购销流水!$E184)</f>
        <v/>
      </c>
      <c r="L719" s="66" t="str">
        <f aca="false">IF(购销流水!$D184="","",IFERROR(INDEX(记账规则!$A$6:$N$9,MATCH(购销流水!$D184,记账规则!$A$6:$A$9,0),6),""))</f>
        <v/>
      </c>
      <c r="M719" s="66" t="str">
        <f aca="false">IF($L719="","",IFERROR(INDEX(记账规则!$A$6:$N$9,MATCH(购销流水!$D184,记账规则!$A$6:$A$9,0),7),""))</f>
        <v/>
      </c>
      <c r="N719" s="66" t="str">
        <f aca="false">IF($L719="","",IFERROR(INDEX(记账规则!$A$6:$N$9,MATCH(购销流水!$D184,记账规则!$A$6:$A$9,0),8),""))</f>
        <v/>
      </c>
      <c r="O719" s="67" t="n">
        <f aca="false">IF($H719="",0,ROUND(IF($N719="成本金额",N(购销流水!$W184),IF($N719="金额",N(购销流水!$Q184),0)),2))</f>
        <v>0</v>
      </c>
      <c r="P719" s="64" t="str">
        <f aca="false">IF(AND($H719&lt;&gt;"",ROUND($O719,2)&lt;&gt;0),"有","")</f>
        <v/>
      </c>
    </row>
    <row r="720" customFormat="false" ht="15" hidden="true" customHeight="false" outlineLevel="0" collapsed="false">
      <c r="A720" s="53" t="str">
        <f aca="false">IF($H720="","",ROW()-5)</f>
        <v/>
      </c>
      <c r="B720" s="64" t="s">
        <v>36</v>
      </c>
      <c r="C720" s="53" t="n">
        <v>184</v>
      </c>
      <c r="D720" s="53" t="n">
        <v>3</v>
      </c>
      <c r="E720" s="65" t="str">
        <f aca="false">IF($H720="","",购销流水!$B184)</f>
        <v/>
      </c>
      <c r="F720" s="55" t="str">
        <f aca="false">IF($H720="","",购销流水!$C184)</f>
        <v/>
      </c>
      <c r="G720" s="48" t="str">
        <f aca="false">IF($H720="","",购销流水!$N184)</f>
        <v/>
      </c>
      <c r="H720" s="10" t="str">
        <f aca="false">IF($L720="","",IF($L720="@成本",购销流水!$U184,IF($L720="@收入",购销流水!$T184,IF($L720="@存货",购销流水!$S184,IF($L720="@结算",购销流水!$R184,$L720)))))</f>
        <v/>
      </c>
      <c r="I720" s="42" t="n">
        <f aca="false">IF($M720="借",$O720,0)</f>
        <v>0</v>
      </c>
      <c r="J720" s="42" t="n">
        <f aca="false">IF($M720="贷",$O720,0)</f>
        <v>0</v>
      </c>
      <c r="K720" s="48" t="str">
        <f aca="false">IF($H720="","",购销流水!$E184)</f>
        <v/>
      </c>
      <c r="L720" s="66" t="str">
        <f aca="false">IF(购销流水!$D184="","",IFERROR(INDEX(记账规则!$A$6:$N$9,MATCH(购销流水!$D184,记账规则!$A$6:$A$9,0),9),""))</f>
        <v/>
      </c>
      <c r="M720" s="66" t="str">
        <f aca="false">IF($L720="","",IFERROR(INDEX(记账规则!$A$6:$N$9,MATCH(购销流水!$D184,记账规则!$A$6:$A$9,0),10),""))</f>
        <v/>
      </c>
      <c r="N720" s="66" t="str">
        <f aca="false">IF($L720="","",IFERROR(INDEX(记账规则!$A$6:$N$9,MATCH(购销流水!$D184,记账规则!$A$6:$A$9,0),11),""))</f>
        <v/>
      </c>
      <c r="O720" s="67" t="n">
        <f aca="false">IF($H720="",0,ROUND(IF($N720="成本金额",N(购销流水!$W184),IF($N720="金额",N(购销流水!$Q184),0)),2))</f>
        <v>0</v>
      </c>
      <c r="P720" s="64" t="str">
        <f aca="false">IF(AND($H720&lt;&gt;"",ROUND($O720,2)&lt;&gt;0),"有","")</f>
        <v/>
      </c>
    </row>
    <row r="721" customFormat="false" ht="15" hidden="true" customHeight="false" outlineLevel="0" collapsed="false">
      <c r="A721" s="53" t="str">
        <f aca="false">IF($H721="","",ROW()-5)</f>
        <v/>
      </c>
      <c r="B721" s="64" t="s">
        <v>36</v>
      </c>
      <c r="C721" s="53" t="n">
        <v>184</v>
      </c>
      <c r="D721" s="53" t="n">
        <v>4</v>
      </c>
      <c r="E721" s="65" t="str">
        <f aca="false">IF($H721="","",购销流水!$B184)</f>
        <v/>
      </c>
      <c r="F721" s="55" t="str">
        <f aca="false">IF($H721="","",购销流水!$C184)</f>
        <v/>
      </c>
      <c r="G721" s="48" t="str">
        <f aca="false">IF($H721="","",购销流水!$N184)</f>
        <v/>
      </c>
      <c r="H721" s="10" t="str">
        <f aca="false">IF($L721="","",IF($L721="@成本",购销流水!$U184,IF($L721="@收入",购销流水!$T184,IF($L721="@存货",购销流水!$S184,IF($L721="@结算",购销流水!$R184,$L721)))))</f>
        <v/>
      </c>
      <c r="I721" s="42" t="n">
        <f aca="false">IF($M721="借",$O721,0)</f>
        <v>0</v>
      </c>
      <c r="J721" s="42" t="n">
        <f aca="false">IF($M721="贷",$O721,0)</f>
        <v>0</v>
      </c>
      <c r="K721" s="48" t="str">
        <f aca="false">IF($H721="","",购销流水!$E184)</f>
        <v/>
      </c>
      <c r="L721" s="66" t="str">
        <f aca="false">IF(购销流水!$D184="","",IFERROR(INDEX(记账规则!$A$6:$N$9,MATCH(购销流水!$D184,记账规则!$A$6:$A$9,0),12),""))</f>
        <v/>
      </c>
      <c r="M721" s="66" t="str">
        <f aca="false">IF($L721="","",IFERROR(INDEX(记账规则!$A$6:$N$9,MATCH(购销流水!$D184,记账规则!$A$6:$A$9,0),13),""))</f>
        <v/>
      </c>
      <c r="N721" s="66" t="str">
        <f aca="false">IF($L721="","",IFERROR(INDEX(记账规则!$A$6:$N$9,MATCH(购销流水!$D184,记账规则!$A$6:$A$9,0),14),""))</f>
        <v/>
      </c>
      <c r="O721" s="67" t="n">
        <f aca="false">IF($H721="",0,ROUND(IF($N721="成本金额",N(购销流水!$W184),IF($N721="金额",N(购销流水!$Q184),0)),2))</f>
        <v>0</v>
      </c>
      <c r="P721" s="64" t="str">
        <f aca="false">IF(AND($H721&lt;&gt;"",ROUND($O721,2)&lt;&gt;0),"有","")</f>
        <v/>
      </c>
    </row>
    <row r="722" customFormat="false" ht="15" hidden="true" customHeight="false" outlineLevel="0" collapsed="false">
      <c r="A722" s="53" t="str">
        <f aca="false">IF($H722="","",ROW()-5)</f>
        <v/>
      </c>
      <c r="B722" s="64" t="s">
        <v>36</v>
      </c>
      <c r="C722" s="53" t="n">
        <v>185</v>
      </c>
      <c r="D722" s="53" t="n">
        <v>1</v>
      </c>
      <c r="E722" s="65" t="str">
        <f aca="false">IF($H722="","",购销流水!$B185)</f>
        <v/>
      </c>
      <c r="F722" s="55" t="str">
        <f aca="false">IF($H722="","",购销流水!$C185)</f>
        <v/>
      </c>
      <c r="G722" s="48" t="str">
        <f aca="false">IF($H722="","",购销流水!$N185)</f>
        <v/>
      </c>
      <c r="H722" s="10" t="str">
        <f aca="false">IF($L722="","",IF($L722="@成本",购销流水!$U185,IF($L722="@收入",购销流水!$T185,IF($L722="@存货",购销流水!$S185,IF($L722="@结算",购销流水!$R185,$L722)))))</f>
        <v/>
      </c>
      <c r="I722" s="42" t="n">
        <f aca="false">IF($M722="借",$O722,0)</f>
        <v>0</v>
      </c>
      <c r="J722" s="42" t="n">
        <f aca="false">IF($M722="贷",$O722,0)</f>
        <v>0</v>
      </c>
      <c r="K722" s="48" t="str">
        <f aca="false">IF($H722="","",购销流水!$E185)</f>
        <v/>
      </c>
      <c r="L722" s="66" t="str">
        <f aca="false">IF(购销流水!$D185="","",IFERROR(INDEX(记账规则!$A$6:$N$9,MATCH(购销流水!$D185,记账规则!$A$6:$A$9,0),3),""))</f>
        <v/>
      </c>
      <c r="M722" s="66" t="str">
        <f aca="false">IF($L722="","",IFERROR(INDEX(记账规则!$A$6:$N$9,MATCH(购销流水!$D185,记账规则!$A$6:$A$9,0),4),""))</f>
        <v/>
      </c>
      <c r="N722" s="66" t="str">
        <f aca="false">IF($L722="","",IFERROR(INDEX(记账规则!$A$6:$N$9,MATCH(购销流水!$D185,记账规则!$A$6:$A$9,0),5),""))</f>
        <v/>
      </c>
      <c r="O722" s="67" t="n">
        <f aca="false">IF($H722="",0,ROUND(IF($N722="成本金额",N(购销流水!$W185),IF($N722="金额",N(购销流水!$Q185),0)),2))</f>
        <v>0</v>
      </c>
      <c r="P722" s="64" t="str">
        <f aca="false">IF(AND($H722&lt;&gt;"",ROUND($O722,2)&lt;&gt;0),"有","")</f>
        <v/>
      </c>
    </row>
    <row r="723" customFormat="false" ht="15" hidden="true" customHeight="false" outlineLevel="0" collapsed="false">
      <c r="A723" s="53" t="str">
        <f aca="false">IF($H723="","",ROW()-5)</f>
        <v/>
      </c>
      <c r="B723" s="64" t="s">
        <v>36</v>
      </c>
      <c r="C723" s="53" t="n">
        <v>185</v>
      </c>
      <c r="D723" s="53" t="n">
        <v>2</v>
      </c>
      <c r="E723" s="65" t="str">
        <f aca="false">IF($H723="","",购销流水!$B185)</f>
        <v/>
      </c>
      <c r="F723" s="55" t="str">
        <f aca="false">IF($H723="","",购销流水!$C185)</f>
        <v/>
      </c>
      <c r="G723" s="48" t="str">
        <f aca="false">IF($H723="","",购销流水!$N185)</f>
        <v/>
      </c>
      <c r="H723" s="10" t="str">
        <f aca="false">IF($L723="","",IF($L723="@成本",购销流水!$U185,IF($L723="@收入",购销流水!$T185,IF($L723="@存货",购销流水!$S185,IF($L723="@结算",购销流水!$R185,$L723)))))</f>
        <v/>
      </c>
      <c r="I723" s="42" t="n">
        <f aca="false">IF($M723="借",$O723,0)</f>
        <v>0</v>
      </c>
      <c r="J723" s="42" t="n">
        <f aca="false">IF($M723="贷",$O723,0)</f>
        <v>0</v>
      </c>
      <c r="K723" s="48" t="str">
        <f aca="false">IF($H723="","",购销流水!$E185)</f>
        <v/>
      </c>
      <c r="L723" s="66" t="str">
        <f aca="false">IF(购销流水!$D185="","",IFERROR(INDEX(记账规则!$A$6:$N$9,MATCH(购销流水!$D185,记账规则!$A$6:$A$9,0),6),""))</f>
        <v/>
      </c>
      <c r="M723" s="66" t="str">
        <f aca="false">IF($L723="","",IFERROR(INDEX(记账规则!$A$6:$N$9,MATCH(购销流水!$D185,记账规则!$A$6:$A$9,0),7),""))</f>
        <v/>
      </c>
      <c r="N723" s="66" t="str">
        <f aca="false">IF($L723="","",IFERROR(INDEX(记账规则!$A$6:$N$9,MATCH(购销流水!$D185,记账规则!$A$6:$A$9,0),8),""))</f>
        <v/>
      </c>
      <c r="O723" s="67" t="n">
        <f aca="false">IF($H723="",0,ROUND(IF($N723="成本金额",N(购销流水!$W185),IF($N723="金额",N(购销流水!$Q185),0)),2))</f>
        <v>0</v>
      </c>
      <c r="P723" s="64" t="str">
        <f aca="false">IF(AND($H723&lt;&gt;"",ROUND($O723,2)&lt;&gt;0),"有","")</f>
        <v/>
      </c>
    </row>
    <row r="724" customFormat="false" ht="15" hidden="true" customHeight="false" outlineLevel="0" collapsed="false">
      <c r="A724" s="53" t="str">
        <f aca="false">IF($H724="","",ROW()-5)</f>
        <v/>
      </c>
      <c r="B724" s="64" t="s">
        <v>36</v>
      </c>
      <c r="C724" s="53" t="n">
        <v>185</v>
      </c>
      <c r="D724" s="53" t="n">
        <v>3</v>
      </c>
      <c r="E724" s="65" t="str">
        <f aca="false">IF($H724="","",购销流水!$B185)</f>
        <v/>
      </c>
      <c r="F724" s="55" t="str">
        <f aca="false">IF($H724="","",购销流水!$C185)</f>
        <v/>
      </c>
      <c r="G724" s="48" t="str">
        <f aca="false">IF($H724="","",购销流水!$N185)</f>
        <v/>
      </c>
      <c r="H724" s="10" t="str">
        <f aca="false">IF($L724="","",IF($L724="@成本",购销流水!$U185,IF($L724="@收入",购销流水!$T185,IF($L724="@存货",购销流水!$S185,IF($L724="@结算",购销流水!$R185,$L724)))))</f>
        <v/>
      </c>
      <c r="I724" s="42" t="n">
        <f aca="false">IF($M724="借",$O724,0)</f>
        <v>0</v>
      </c>
      <c r="J724" s="42" t="n">
        <f aca="false">IF($M724="贷",$O724,0)</f>
        <v>0</v>
      </c>
      <c r="K724" s="48" t="str">
        <f aca="false">IF($H724="","",购销流水!$E185)</f>
        <v/>
      </c>
      <c r="L724" s="66" t="str">
        <f aca="false">IF(购销流水!$D185="","",IFERROR(INDEX(记账规则!$A$6:$N$9,MATCH(购销流水!$D185,记账规则!$A$6:$A$9,0),9),""))</f>
        <v/>
      </c>
      <c r="M724" s="66" t="str">
        <f aca="false">IF($L724="","",IFERROR(INDEX(记账规则!$A$6:$N$9,MATCH(购销流水!$D185,记账规则!$A$6:$A$9,0),10),""))</f>
        <v/>
      </c>
      <c r="N724" s="66" t="str">
        <f aca="false">IF($L724="","",IFERROR(INDEX(记账规则!$A$6:$N$9,MATCH(购销流水!$D185,记账规则!$A$6:$A$9,0),11),""))</f>
        <v/>
      </c>
      <c r="O724" s="67" t="n">
        <f aca="false">IF($H724="",0,ROUND(IF($N724="成本金额",N(购销流水!$W185),IF($N724="金额",N(购销流水!$Q185),0)),2))</f>
        <v>0</v>
      </c>
      <c r="P724" s="64" t="str">
        <f aca="false">IF(AND($H724&lt;&gt;"",ROUND($O724,2)&lt;&gt;0),"有","")</f>
        <v/>
      </c>
    </row>
    <row r="725" customFormat="false" ht="15" hidden="true" customHeight="false" outlineLevel="0" collapsed="false">
      <c r="A725" s="53" t="str">
        <f aca="false">IF($H725="","",ROW()-5)</f>
        <v/>
      </c>
      <c r="B725" s="64" t="s">
        <v>36</v>
      </c>
      <c r="C725" s="53" t="n">
        <v>185</v>
      </c>
      <c r="D725" s="53" t="n">
        <v>4</v>
      </c>
      <c r="E725" s="65" t="str">
        <f aca="false">IF($H725="","",购销流水!$B185)</f>
        <v/>
      </c>
      <c r="F725" s="55" t="str">
        <f aca="false">IF($H725="","",购销流水!$C185)</f>
        <v/>
      </c>
      <c r="G725" s="48" t="str">
        <f aca="false">IF($H725="","",购销流水!$N185)</f>
        <v/>
      </c>
      <c r="H725" s="10" t="str">
        <f aca="false">IF($L725="","",IF($L725="@成本",购销流水!$U185,IF($L725="@收入",购销流水!$T185,IF($L725="@存货",购销流水!$S185,IF($L725="@结算",购销流水!$R185,$L725)))))</f>
        <v/>
      </c>
      <c r="I725" s="42" t="n">
        <f aca="false">IF($M725="借",$O725,0)</f>
        <v>0</v>
      </c>
      <c r="J725" s="42" t="n">
        <f aca="false">IF($M725="贷",$O725,0)</f>
        <v>0</v>
      </c>
      <c r="K725" s="48" t="str">
        <f aca="false">IF($H725="","",购销流水!$E185)</f>
        <v/>
      </c>
      <c r="L725" s="66" t="str">
        <f aca="false">IF(购销流水!$D185="","",IFERROR(INDEX(记账规则!$A$6:$N$9,MATCH(购销流水!$D185,记账规则!$A$6:$A$9,0),12),""))</f>
        <v/>
      </c>
      <c r="M725" s="66" t="str">
        <f aca="false">IF($L725="","",IFERROR(INDEX(记账规则!$A$6:$N$9,MATCH(购销流水!$D185,记账规则!$A$6:$A$9,0),13),""))</f>
        <v/>
      </c>
      <c r="N725" s="66" t="str">
        <f aca="false">IF($L725="","",IFERROR(INDEX(记账规则!$A$6:$N$9,MATCH(购销流水!$D185,记账规则!$A$6:$A$9,0),14),""))</f>
        <v/>
      </c>
      <c r="O725" s="67" t="n">
        <f aca="false">IF($H725="",0,ROUND(IF($N725="成本金额",N(购销流水!$W185),IF($N725="金额",N(购销流水!$Q185),0)),2))</f>
        <v>0</v>
      </c>
      <c r="P725" s="64" t="str">
        <f aca="false">IF(AND($H725&lt;&gt;"",ROUND($O725,2)&lt;&gt;0),"有","")</f>
        <v/>
      </c>
    </row>
    <row r="726" customFormat="false" ht="15" hidden="true" customHeight="false" outlineLevel="0" collapsed="false">
      <c r="A726" s="53" t="str">
        <f aca="false">IF($H726="","",ROW()-5)</f>
        <v/>
      </c>
      <c r="B726" s="64" t="s">
        <v>36</v>
      </c>
      <c r="C726" s="53" t="n">
        <v>186</v>
      </c>
      <c r="D726" s="53" t="n">
        <v>1</v>
      </c>
      <c r="E726" s="65" t="str">
        <f aca="false">IF($H726="","",购销流水!$B186)</f>
        <v/>
      </c>
      <c r="F726" s="55" t="str">
        <f aca="false">IF($H726="","",购销流水!$C186)</f>
        <v/>
      </c>
      <c r="G726" s="48" t="str">
        <f aca="false">IF($H726="","",购销流水!$N186)</f>
        <v/>
      </c>
      <c r="H726" s="10" t="str">
        <f aca="false">IF($L726="","",IF($L726="@成本",购销流水!$U186,IF($L726="@收入",购销流水!$T186,IF($L726="@存货",购销流水!$S186,IF($L726="@结算",购销流水!$R186,$L726)))))</f>
        <v/>
      </c>
      <c r="I726" s="42" t="n">
        <f aca="false">IF($M726="借",$O726,0)</f>
        <v>0</v>
      </c>
      <c r="J726" s="42" t="n">
        <f aca="false">IF($M726="贷",$O726,0)</f>
        <v>0</v>
      </c>
      <c r="K726" s="48" t="str">
        <f aca="false">IF($H726="","",购销流水!$E186)</f>
        <v/>
      </c>
      <c r="L726" s="66" t="str">
        <f aca="false">IF(购销流水!$D186="","",IFERROR(INDEX(记账规则!$A$6:$N$9,MATCH(购销流水!$D186,记账规则!$A$6:$A$9,0),3),""))</f>
        <v/>
      </c>
      <c r="M726" s="66" t="str">
        <f aca="false">IF($L726="","",IFERROR(INDEX(记账规则!$A$6:$N$9,MATCH(购销流水!$D186,记账规则!$A$6:$A$9,0),4),""))</f>
        <v/>
      </c>
      <c r="N726" s="66" t="str">
        <f aca="false">IF($L726="","",IFERROR(INDEX(记账规则!$A$6:$N$9,MATCH(购销流水!$D186,记账规则!$A$6:$A$9,0),5),""))</f>
        <v/>
      </c>
      <c r="O726" s="67" t="n">
        <f aca="false">IF($H726="",0,ROUND(IF($N726="成本金额",N(购销流水!$W186),IF($N726="金额",N(购销流水!$Q186),0)),2))</f>
        <v>0</v>
      </c>
      <c r="P726" s="64" t="str">
        <f aca="false">IF(AND($H726&lt;&gt;"",ROUND($O726,2)&lt;&gt;0),"有","")</f>
        <v/>
      </c>
    </row>
    <row r="727" customFormat="false" ht="15" hidden="true" customHeight="false" outlineLevel="0" collapsed="false">
      <c r="A727" s="53" t="str">
        <f aca="false">IF($H727="","",ROW()-5)</f>
        <v/>
      </c>
      <c r="B727" s="64" t="s">
        <v>36</v>
      </c>
      <c r="C727" s="53" t="n">
        <v>186</v>
      </c>
      <c r="D727" s="53" t="n">
        <v>2</v>
      </c>
      <c r="E727" s="65" t="str">
        <f aca="false">IF($H727="","",购销流水!$B186)</f>
        <v/>
      </c>
      <c r="F727" s="55" t="str">
        <f aca="false">IF($H727="","",购销流水!$C186)</f>
        <v/>
      </c>
      <c r="G727" s="48" t="str">
        <f aca="false">IF($H727="","",购销流水!$N186)</f>
        <v/>
      </c>
      <c r="H727" s="10" t="str">
        <f aca="false">IF($L727="","",IF($L727="@成本",购销流水!$U186,IF($L727="@收入",购销流水!$T186,IF($L727="@存货",购销流水!$S186,IF($L727="@结算",购销流水!$R186,$L727)))))</f>
        <v/>
      </c>
      <c r="I727" s="42" t="n">
        <f aca="false">IF($M727="借",$O727,0)</f>
        <v>0</v>
      </c>
      <c r="J727" s="42" t="n">
        <f aca="false">IF($M727="贷",$O727,0)</f>
        <v>0</v>
      </c>
      <c r="K727" s="48" t="str">
        <f aca="false">IF($H727="","",购销流水!$E186)</f>
        <v/>
      </c>
      <c r="L727" s="66" t="str">
        <f aca="false">IF(购销流水!$D186="","",IFERROR(INDEX(记账规则!$A$6:$N$9,MATCH(购销流水!$D186,记账规则!$A$6:$A$9,0),6),""))</f>
        <v/>
      </c>
      <c r="M727" s="66" t="str">
        <f aca="false">IF($L727="","",IFERROR(INDEX(记账规则!$A$6:$N$9,MATCH(购销流水!$D186,记账规则!$A$6:$A$9,0),7),""))</f>
        <v/>
      </c>
      <c r="N727" s="66" t="str">
        <f aca="false">IF($L727="","",IFERROR(INDEX(记账规则!$A$6:$N$9,MATCH(购销流水!$D186,记账规则!$A$6:$A$9,0),8),""))</f>
        <v/>
      </c>
      <c r="O727" s="67" t="n">
        <f aca="false">IF($H727="",0,ROUND(IF($N727="成本金额",N(购销流水!$W186),IF($N727="金额",N(购销流水!$Q186),0)),2))</f>
        <v>0</v>
      </c>
      <c r="P727" s="64" t="str">
        <f aca="false">IF(AND($H727&lt;&gt;"",ROUND($O727,2)&lt;&gt;0),"有","")</f>
        <v/>
      </c>
    </row>
    <row r="728" customFormat="false" ht="15" hidden="true" customHeight="false" outlineLevel="0" collapsed="false">
      <c r="A728" s="53" t="str">
        <f aca="false">IF($H728="","",ROW()-5)</f>
        <v/>
      </c>
      <c r="B728" s="64" t="s">
        <v>36</v>
      </c>
      <c r="C728" s="53" t="n">
        <v>186</v>
      </c>
      <c r="D728" s="53" t="n">
        <v>3</v>
      </c>
      <c r="E728" s="65" t="str">
        <f aca="false">IF($H728="","",购销流水!$B186)</f>
        <v/>
      </c>
      <c r="F728" s="55" t="str">
        <f aca="false">IF($H728="","",购销流水!$C186)</f>
        <v/>
      </c>
      <c r="G728" s="48" t="str">
        <f aca="false">IF($H728="","",购销流水!$N186)</f>
        <v/>
      </c>
      <c r="H728" s="10" t="str">
        <f aca="false">IF($L728="","",IF($L728="@成本",购销流水!$U186,IF($L728="@收入",购销流水!$T186,IF($L728="@存货",购销流水!$S186,IF($L728="@结算",购销流水!$R186,$L728)))))</f>
        <v/>
      </c>
      <c r="I728" s="42" t="n">
        <f aca="false">IF($M728="借",$O728,0)</f>
        <v>0</v>
      </c>
      <c r="J728" s="42" t="n">
        <f aca="false">IF($M728="贷",$O728,0)</f>
        <v>0</v>
      </c>
      <c r="K728" s="48" t="str">
        <f aca="false">IF($H728="","",购销流水!$E186)</f>
        <v/>
      </c>
      <c r="L728" s="66" t="str">
        <f aca="false">IF(购销流水!$D186="","",IFERROR(INDEX(记账规则!$A$6:$N$9,MATCH(购销流水!$D186,记账规则!$A$6:$A$9,0),9),""))</f>
        <v/>
      </c>
      <c r="M728" s="66" t="str">
        <f aca="false">IF($L728="","",IFERROR(INDEX(记账规则!$A$6:$N$9,MATCH(购销流水!$D186,记账规则!$A$6:$A$9,0),10),""))</f>
        <v/>
      </c>
      <c r="N728" s="66" t="str">
        <f aca="false">IF($L728="","",IFERROR(INDEX(记账规则!$A$6:$N$9,MATCH(购销流水!$D186,记账规则!$A$6:$A$9,0),11),""))</f>
        <v/>
      </c>
      <c r="O728" s="67" t="n">
        <f aca="false">IF($H728="",0,ROUND(IF($N728="成本金额",N(购销流水!$W186),IF($N728="金额",N(购销流水!$Q186),0)),2))</f>
        <v>0</v>
      </c>
      <c r="P728" s="64" t="str">
        <f aca="false">IF(AND($H728&lt;&gt;"",ROUND($O728,2)&lt;&gt;0),"有","")</f>
        <v/>
      </c>
    </row>
    <row r="729" customFormat="false" ht="15" hidden="true" customHeight="false" outlineLevel="0" collapsed="false">
      <c r="A729" s="53" t="str">
        <f aca="false">IF($H729="","",ROW()-5)</f>
        <v/>
      </c>
      <c r="B729" s="64" t="s">
        <v>36</v>
      </c>
      <c r="C729" s="53" t="n">
        <v>186</v>
      </c>
      <c r="D729" s="53" t="n">
        <v>4</v>
      </c>
      <c r="E729" s="65" t="str">
        <f aca="false">IF($H729="","",购销流水!$B186)</f>
        <v/>
      </c>
      <c r="F729" s="55" t="str">
        <f aca="false">IF($H729="","",购销流水!$C186)</f>
        <v/>
      </c>
      <c r="G729" s="48" t="str">
        <f aca="false">IF($H729="","",购销流水!$N186)</f>
        <v/>
      </c>
      <c r="H729" s="10" t="str">
        <f aca="false">IF($L729="","",IF($L729="@成本",购销流水!$U186,IF($L729="@收入",购销流水!$T186,IF($L729="@存货",购销流水!$S186,IF($L729="@结算",购销流水!$R186,$L729)))))</f>
        <v/>
      </c>
      <c r="I729" s="42" t="n">
        <f aca="false">IF($M729="借",$O729,0)</f>
        <v>0</v>
      </c>
      <c r="J729" s="42" t="n">
        <f aca="false">IF($M729="贷",$O729,0)</f>
        <v>0</v>
      </c>
      <c r="K729" s="48" t="str">
        <f aca="false">IF($H729="","",购销流水!$E186)</f>
        <v/>
      </c>
      <c r="L729" s="66" t="str">
        <f aca="false">IF(购销流水!$D186="","",IFERROR(INDEX(记账规则!$A$6:$N$9,MATCH(购销流水!$D186,记账规则!$A$6:$A$9,0),12),""))</f>
        <v/>
      </c>
      <c r="M729" s="66" t="str">
        <f aca="false">IF($L729="","",IFERROR(INDEX(记账规则!$A$6:$N$9,MATCH(购销流水!$D186,记账规则!$A$6:$A$9,0),13),""))</f>
        <v/>
      </c>
      <c r="N729" s="66" t="str">
        <f aca="false">IF($L729="","",IFERROR(INDEX(记账规则!$A$6:$N$9,MATCH(购销流水!$D186,记账规则!$A$6:$A$9,0),14),""))</f>
        <v/>
      </c>
      <c r="O729" s="67" t="n">
        <f aca="false">IF($H729="",0,ROUND(IF($N729="成本金额",N(购销流水!$W186),IF($N729="金额",N(购销流水!$Q186),0)),2))</f>
        <v>0</v>
      </c>
      <c r="P729" s="64" t="str">
        <f aca="false">IF(AND($H729&lt;&gt;"",ROUND($O729,2)&lt;&gt;0),"有","")</f>
        <v/>
      </c>
    </row>
    <row r="730" customFormat="false" ht="15" hidden="true" customHeight="false" outlineLevel="0" collapsed="false">
      <c r="A730" s="53" t="str">
        <f aca="false">IF($H730="","",ROW()-5)</f>
        <v/>
      </c>
      <c r="B730" s="64" t="s">
        <v>36</v>
      </c>
      <c r="C730" s="53" t="n">
        <v>187</v>
      </c>
      <c r="D730" s="53" t="n">
        <v>1</v>
      </c>
      <c r="E730" s="65" t="str">
        <f aca="false">IF($H730="","",购销流水!$B187)</f>
        <v/>
      </c>
      <c r="F730" s="55" t="str">
        <f aca="false">IF($H730="","",购销流水!$C187)</f>
        <v/>
      </c>
      <c r="G730" s="48" t="str">
        <f aca="false">IF($H730="","",购销流水!$N187)</f>
        <v/>
      </c>
      <c r="H730" s="10" t="str">
        <f aca="false">IF($L730="","",IF($L730="@成本",购销流水!$U187,IF($L730="@收入",购销流水!$T187,IF($L730="@存货",购销流水!$S187,IF($L730="@结算",购销流水!$R187,$L730)))))</f>
        <v/>
      </c>
      <c r="I730" s="42" t="n">
        <f aca="false">IF($M730="借",$O730,0)</f>
        <v>0</v>
      </c>
      <c r="J730" s="42" t="n">
        <f aca="false">IF($M730="贷",$O730,0)</f>
        <v>0</v>
      </c>
      <c r="K730" s="48" t="str">
        <f aca="false">IF($H730="","",购销流水!$E187)</f>
        <v/>
      </c>
      <c r="L730" s="66" t="str">
        <f aca="false">IF(购销流水!$D187="","",IFERROR(INDEX(记账规则!$A$6:$N$9,MATCH(购销流水!$D187,记账规则!$A$6:$A$9,0),3),""))</f>
        <v/>
      </c>
      <c r="M730" s="66" t="str">
        <f aca="false">IF($L730="","",IFERROR(INDEX(记账规则!$A$6:$N$9,MATCH(购销流水!$D187,记账规则!$A$6:$A$9,0),4),""))</f>
        <v/>
      </c>
      <c r="N730" s="66" t="str">
        <f aca="false">IF($L730="","",IFERROR(INDEX(记账规则!$A$6:$N$9,MATCH(购销流水!$D187,记账规则!$A$6:$A$9,0),5),""))</f>
        <v/>
      </c>
      <c r="O730" s="67" t="n">
        <f aca="false">IF($H730="",0,ROUND(IF($N730="成本金额",N(购销流水!$W187),IF($N730="金额",N(购销流水!$Q187),0)),2))</f>
        <v>0</v>
      </c>
      <c r="P730" s="64" t="str">
        <f aca="false">IF(AND($H730&lt;&gt;"",ROUND($O730,2)&lt;&gt;0),"有","")</f>
        <v/>
      </c>
    </row>
    <row r="731" customFormat="false" ht="15" hidden="true" customHeight="false" outlineLevel="0" collapsed="false">
      <c r="A731" s="53" t="str">
        <f aca="false">IF($H731="","",ROW()-5)</f>
        <v/>
      </c>
      <c r="B731" s="64" t="s">
        <v>36</v>
      </c>
      <c r="C731" s="53" t="n">
        <v>187</v>
      </c>
      <c r="D731" s="53" t="n">
        <v>2</v>
      </c>
      <c r="E731" s="65" t="str">
        <f aca="false">IF($H731="","",购销流水!$B187)</f>
        <v/>
      </c>
      <c r="F731" s="55" t="str">
        <f aca="false">IF($H731="","",购销流水!$C187)</f>
        <v/>
      </c>
      <c r="G731" s="48" t="str">
        <f aca="false">IF($H731="","",购销流水!$N187)</f>
        <v/>
      </c>
      <c r="H731" s="10" t="str">
        <f aca="false">IF($L731="","",IF($L731="@成本",购销流水!$U187,IF($L731="@收入",购销流水!$T187,IF($L731="@存货",购销流水!$S187,IF($L731="@结算",购销流水!$R187,$L731)))))</f>
        <v/>
      </c>
      <c r="I731" s="42" t="n">
        <f aca="false">IF($M731="借",$O731,0)</f>
        <v>0</v>
      </c>
      <c r="J731" s="42" t="n">
        <f aca="false">IF($M731="贷",$O731,0)</f>
        <v>0</v>
      </c>
      <c r="K731" s="48" t="str">
        <f aca="false">IF($H731="","",购销流水!$E187)</f>
        <v/>
      </c>
      <c r="L731" s="66" t="str">
        <f aca="false">IF(购销流水!$D187="","",IFERROR(INDEX(记账规则!$A$6:$N$9,MATCH(购销流水!$D187,记账规则!$A$6:$A$9,0),6),""))</f>
        <v/>
      </c>
      <c r="M731" s="66" t="str">
        <f aca="false">IF($L731="","",IFERROR(INDEX(记账规则!$A$6:$N$9,MATCH(购销流水!$D187,记账规则!$A$6:$A$9,0),7),""))</f>
        <v/>
      </c>
      <c r="N731" s="66" t="str">
        <f aca="false">IF($L731="","",IFERROR(INDEX(记账规则!$A$6:$N$9,MATCH(购销流水!$D187,记账规则!$A$6:$A$9,0),8),""))</f>
        <v/>
      </c>
      <c r="O731" s="67" t="n">
        <f aca="false">IF($H731="",0,ROUND(IF($N731="成本金额",N(购销流水!$W187),IF($N731="金额",N(购销流水!$Q187),0)),2))</f>
        <v>0</v>
      </c>
      <c r="P731" s="64" t="str">
        <f aca="false">IF(AND($H731&lt;&gt;"",ROUND($O731,2)&lt;&gt;0),"有","")</f>
        <v/>
      </c>
    </row>
    <row r="732" customFormat="false" ht="15" hidden="true" customHeight="false" outlineLevel="0" collapsed="false">
      <c r="A732" s="53" t="str">
        <f aca="false">IF($H732="","",ROW()-5)</f>
        <v/>
      </c>
      <c r="B732" s="64" t="s">
        <v>36</v>
      </c>
      <c r="C732" s="53" t="n">
        <v>187</v>
      </c>
      <c r="D732" s="53" t="n">
        <v>3</v>
      </c>
      <c r="E732" s="65" t="str">
        <f aca="false">IF($H732="","",购销流水!$B187)</f>
        <v/>
      </c>
      <c r="F732" s="55" t="str">
        <f aca="false">IF($H732="","",购销流水!$C187)</f>
        <v/>
      </c>
      <c r="G732" s="48" t="str">
        <f aca="false">IF($H732="","",购销流水!$N187)</f>
        <v/>
      </c>
      <c r="H732" s="10" t="str">
        <f aca="false">IF($L732="","",IF($L732="@成本",购销流水!$U187,IF($L732="@收入",购销流水!$T187,IF($L732="@存货",购销流水!$S187,IF($L732="@结算",购销流水!$R187,$L732)))))</f>
        <v/>
      </c>
      <c r="I732" s="42" t="n">
        <f aca="false">IF($M732="借",$O732,0)</f>
        <v>0</v>
      </c>
      <c r="J732" s="42" t="n">
        <f aca="false">IF($M732="贷",$O732,0)</f>
        <v>0</v>
      </c>
      <c r="K732" s="48" t="str">
        <f aca="false">IF($H732="","",购销流水!$E187)</f>
        <v/>
      </c>
      <c r="L732" s="66" t="str">
        <f aca="false">IF(购销流水!$D187="","",IFERROR(INDEX(记账规则!$A$6:$N$9,MATCH(购销流水!$D187,记账规则!$A$6:$A$9,0),9),""))</f>
        <v/>
      </c>
      <c r="M732" s="66" t="str">
        <f aca="false">IF($L732="","",IFERROR(INDEX(记账规则!$A$6:$N$9,MATCH(购销流水!$D187,记账规则!$A$6:$A$9,0),10),""))</f>
        <v/>
      </c>
      <c r="N732" s="66" t="str">
        <f aca="false">IF($L732="","",IFERROR(INDEX(记账规则!$A$6:$N$9,MATCH(购销流水!$D187,记账规则!$A$6:$A$9,0),11),""))</f>
        <v/>
      </c>
      <c r="O732" s="67" t="n">
        <f aca="false">IF($H732="",0,ROUND(IF($N732="成本金额",N(购销流水!$W187),IF($N732="金额",N(购销流水!$Q187),0)),2))</f>
        <v>0</v>
      </c>
      <c r="P732" s="64" t="str">
        <f aca="false">IF(AND($H732&lt;&gt;"",ROUND($O732,2)&lt;&gt;0),"有","")</f>
        <v/>
      </c>
    </row>
    <row r="733" customFormat="false" ht="15" hidden="true" customHeight="false" outlineLevel="0" collapsed="false">
      <c r="A733" s="53" t="str">
        <f aca="false">IF($H733="","",ROW()-5)</f>
        <v/>
      </c>
      <c r="B733" s="64" t="s">
        <v>36</v>
      </c>
      <c r="C733" s="53" t="n">
        <v>187</v>
      </c>
      <c r="D733" s="53" t="n">
        <v>4</v>
      </c>
      <c r="E733" s="65" t="str">
        <f aca="false">IF($H733="","",购销流水!$B187)</f>
        <v/>
      </c>
      <c r="F733" s="55" t="str">
        <f aca="false">IF($H733="","",购销流水!$C187)</f>
        <v/>
      </c>
      <c r="G733" s="48" t="str">
        <f aca="false">IF($H733="","",购销流水!$N187)</f>
        <v/>
      </c>
      <c r="H733" s="10" t="str">
        <f aca="false">IF($L733="","",IF($L733="@成本",购销流水!$U187,IF($L733="@收入",购销流水!$T187,IF($L733="@存货",购销流水!$S187,IF($L733="@结算",购销流水!$R187,$L733)))))</f>
        <v/>
      </c>
      <c r="I733" s="42" t="n">
        <f aca="false">IF($M733="借",$O733,0)</f>
        <v>0</v>
      </c>
      <c r="J733" s="42" t="n">
        <f aca="false">IF($M733="贷",$O733,0)</f>
        <v>0</v>
      </c>
      <c r="K733" s="48" t="str">
        <f aca="false">IF($H733="","",购销流水!$E187)</f>
        <v/>
      </c>
      <c r="L733" s="66" t="str">
        <f aca="false">IF(购销流水!$D187="","",IFERROR(INDEX(记账规则!$A$6:$N$9,MATCH(购销流水!$D187,记账规则!$A$6:$A$9,0),12),""))</f>
        <v/>
      </c>
      <c r="M733" s="66" t="str">
        <f aca="false">IF($L733="","",IFERROR(INDEX(记账规则!$A$6:$N$9,MATCH(购销流水!$D187,记账规则!$A$6:$A$9,0),13),""))</f>
        <v/>
      </c>
      <c r="N733" s="66" t="str">
        <f aca="false">IF($L733="","",IFERROR(INDEX(记账规则!$A$6:$N$9,MATCH(购销流水!$D187,记账规则!$A$6:$A$9,0),14),""))</f>
        <v/>
      </c>
      <c r="O733" s="67" t="n">
        <f aca="false">IF($H733="",0,ROUND(IF($N733="成本金额",N(购销流水!$W187),IF($N733="金额",N(购销流水!$Q187),0)),2))</f>
        <v>0</v>
      </c>
      <c r="P733" s="64" t="str">
        <f aca="false">IF(AND($H733&lt;&gt;"",ROUND($O733,2)&lt;&gt;0),"有","")</f>
        <v/>
      </c>
    </row>
    <row r="734" customFormat="false" ht="15" hidden="true" customHeight="false" outlineLevel="0" collapsed="false">
      <c r="A734" s="53" t="str">
        <f aca="false">IF($H734="","",ROW()-5)</f>
        <v/>
      </c>
      <c r="B734" s="64" t="s">
        <v>36</v>
      </c>
      <c r="C734" s="53" t="n">
        <v>188</v>
      </c>
      <c r="D734" s="53" t="n">
        <v>1</v>
      </c>
      <c r="E734" s="65" t="str">
        <f aca="false">IF($H734="","",购销流水!$B188)</f>
        <v/>
      </c>
      <c r="F734" s="55" t="str">
        <f aca="false">IF($H734="","",购销流水!$C188)</f>
        <v/>
      </c>
      <c r="G734" s="48" t="str">
        <f aca="false">IF($H734="","",购销流水!$N188)</f>
        <v/>
      </c>
      <c r="H734" s="10" t="str">
        <f aca="false">IF($L734="","",IF($L734="@成本",购销流水!$U188,IF($L734="@收入",购销流水!$T188,IF($L734="@存货",购销流水!$S188,IF($L734="@结算",购销流水!$R188,$L734)))))</f>
        <v/>
      </c>
      <c r="I734" s="42" t="n">
        <f aca="false">IF($M734="借",$O734,0)</f>
        <v>0</v>
      </c>
      <c r="J734" s="42" t="n">
        <f aca="false">IF($M734="贷",$O734,0)</f>
        <v>0</v>
      </c>
      <c r="K734" s="48" t="str">
        <f aca="false">IF($H734="","",购销流水!$E188)</f>
        <v/>
      </c>
      <c r="L734" s="66" t="str">
        <f aca="false">IF(购销流水!$D188="","",IFERROR(INDEX(记账规则!$A$6:$N$9,MATCH(购销流水!$D188,记账规则!$A$6:$A$9,0),3),""))</f>
        <v/>
      </c>
      <c r="M734" s="66" t="str">
        <f aca="false">IF($L734="","",IFERROR(INDEX(记账规则!$A$6:$N$9,MATCH(购销流水!$D188,记账规则!$A$6:$A$9,0),4),""))</f>
        <v/>
      </c>
      <c r="N734" s="66" t="str">
        <f aca="false">IF($L734="","",IFERROR(INDEX(记账规则!$A$6:$N$9,MATCH(购销流水!$D188,记账规则!$A$6:$A$9,0),5),""))</f>
        <v/>
      </c>
      <c r="O734" s="67" t="n">
        <f aca="false">IF($H734="",0,ROUND(IF($N734="成本金额",N(购销流水!$W188),IF($N734="金额",N(购销流水!$Q188),0)),2))</f>
        <v>0</v>
      </c>
      <c r="P734" s="64" t="str">
        <f aca="false">IF(AND($H734&lt;&gt;"",ROUND($O734,2)&lt;&gt;0),"有","")</f>
        <v/>
      </c>
    </row>
    <row r="735" customFormat="false" ht="15" hidden="true" customHeight="false" outlineLevel="0" collapsed="false">
      <c r="A735" s="53" t="str">
        <f aca="false">IF($H735="","",ROW()-5)</f>
        <v/>
      </c>
      <c r="B735" s="64" t="s">
        <v>36</v>
      </c>
      <c r="C735" s="53" t="n">
        <v>188</v>
      </c>
      <c r="D735" s="53" t="n">
        <v>2</v>
      </c>
      <c r="E735" s="65" t="str">
        <f aca="false">IF($H735="","",购销流水!$B188)</f>
        <v/>
      </c>
      <c r="F735" s="55" t="str">
        <f aca="false">IF($H735="","",购销流水!$C188)</f>
        <v/>
      </c>
      <c r="G735" s="48" t="str">
        <f aca="false">IF($H735="","",购销流水!$N188)</f>
        <v/>
      </c>
      <c r="H735" s="10" t="str">
        <f aca="false">IF($L735="","",IF($L735="@成本",购销流水!$U188,IF($L735="@收入",购销流水!$T188,IF($L735="@存货",购销流水!$S188,IF($L735="@结算",购销流水!$R188,$L735)))))</f>
        <v/>
      </c>
      <c r="I735" s="42" t="n">
        <f aca="false">IF($M735="借",$O735,0)</f>
        <v>0</v>
      </c>
      <c r="J735" s="42" t="n">
        <f aca="false">IF($M735="贷",$O735,0)</f>
        <v>0</v>
      </c>
      <c r="K735" s="48" t="str">
        <f aca="false">IF($H735="","",购销流水!$E188)</f>
        <v/>
      </c>
      <c r="L735" s="66" t="str">
        <f aca="false">IF(购销流水!$D188="","",IFERROR(INDEX(记账规则!$A$6:$N$9,MATCH(购销流水!$D188,记账规则!$A$6:$A$9,0),6),""))</f>
        <v/>
      </c>
      <c r="M735" s="66" t="str">
        <f aca="false">IF($L735="","",IFERROR(INDEX(记账规则!$A$6:$N$9,MATCH(购销流水!$D188,记账规则!$A$6:$A$9,0),7),""))</f>
        <v/>
      </c>
      <c r="N735" s="66" t="str">
        <f aca="false">IF($L735="","",IFERROR(INDEX(记账规则!$A$6:$N$9,MATCH(购销流水!$D188,记账规则!$A$6:$A$9,0),8),""))</f>
        <v/>
      </c>
      <c r="O735" s="67" t="n">
        <f aca="false">IF($H735="",0,ROUND(IF($N735="成本金额",N(购销流水!$W188),IF($N735="金额",N(购销流水!$Q188),0)),2))</f>
        <v>0</v>
      </c>
      <c r="P735" s="64" t="str">
        <f aca="false">IF(AND($H735&lt;&gt;"",ROUND($O735,2)&lt;&gt;0),"有","")</f>
        <v/>
      </c>
    </row>
    <row r="736" customFormat="false" ht="15" hidden="true" customHeight="false" outlineLevel="0" collapsed="false">
      <c r="A736" s="53" t="str">
        <f aca="false">IF($H736="","",ROW()-5)</f>
        <v/>
      </c>
      <c r="B736" s="64" t="s">
        <v>36</v>
      </c>
      <c r="C736" s="53" t="n">
        <v>188</v>
      </c>
      <c r="D736" s="53" t="n">
        <v>3</v>
      </c>
      <c r="E736" s="65" t="str">
        <f aca="false">IF($H736="","",购销流水!$B188)</f>
        <v/>
      </c>
      <c r="F736" s="55" t="str">
        <f aca="false">IF($H736="","",购销流水!$C188)</f>
        <v/>
      </c>
      <c r="G736" s="48" t="str">
        <f aca="false">IF($H736="","",购销流水!$N188)</f>
        <v/>
      </c>
      <c r="H736" s="10" t="str">
        <f aca="false">IF($L736="","",IF($L736="@成本",购销流水!$U188,IF($L736="@收入",购销流水!$T188,IF($L736="@存货",购销流水!$S188,IF($L736="@结算",购销流水!$R188,$L736)))))</f>
        <v/>
      </c>
      <c r="I736" s="42" t="n">
        <f aca="false">IF($M736="借",$O736,0)</f>
        <v>0</v>
      </c>
      <c r="J736" s="42" t="n">
        <f aca="false">IF($M736="贷",$O736,0)</f>
        <v>0</v>
      </c>
      <c r="K736" s="48" t="str">
        <f aca="false">IF($H736="","",购销流水!$E188)</f>
        <v/>
      </c>
      <c r="L736" s="66" t="str">
        <f aca="false">IF(购销流水!$D188="","",IFERROR(INDEX(记账规则!$A$6:$N$9,MATCH(购销流水!$D188,记账规则!$A$6:$A$9,0),9),""))</f>
        <v/>
      </c>
      <c r="M736" s="66" t="str">
        <f aca="false">IF($L736="","",IFERROR(INDEX(记账规则!$A$6:$N$9,MATCH(购销流水!$D188,记账规则!$A$6:$A$9,0),10),""))</f>
        <v/>
      </c>
      <c r="N736" s="66" t="str">
        <f aca="false">IF($L736="","",IFERROR(INDEX(记账规则!$A$6:$N$9,MATCH(购销流水!$D188,记账规则!$A$6:$A$9,0),11),""))</f>
        <v/>
      </c>
      <c r="O736" s="67" t="n">
        <f aca="false">IF($H736="",0,ROUND(IF($N736="成本金额",N(购销流水!$W188),IF($N736="金额",N(购销流水!$Q188),0)),2))</f>
        <v>0</v>
      </c>
      <c r="P736" s="64" t="str">
        <f aca="false">IF(AND($H736&lt;&gt;"",ROUND($O736,2)&lt;&gt;0),"有","")</f>
        <v/>
      </c>
    </row>
    <row r="737" customFormat="false" ht="15" hidden="true" customHeight="false" outlineLevel="0" collapsed="false">
      <c r="A737" s="53" t="str">
        <f aca="false">IF($H737="","",ROW()-5)</f>
        <v/>
      </c>
      <c r="B737" s="64" t="s">
        <v>36</v>
      </c>
      <c r="C737" s="53" t="n">
        <v>188</v>
      </c>
      <c r="D737" s="53" t="n">
        <v>4</v>
      </c>
      <c r="E737" s="65" t="str">
        <f aca="false">IF($H737="","",购销流水!$B188)</f>
        <v/>
      </c>
      <c r="F737" s="55" t="str">
        <f aca="false">IF($H737="","",购销流水!$C188)</f>
        <v/>
      </c>
      <c r="G737" s="48" t="str">
        <f aca="false">IF($H737="","",购销流水!$N188)</f>
        <v/>
      </c>
      <c r="H737" s="10" t="str">
        <f aca="false">IF($L737="","",IF($L737="@成本",购销流水!$U188,IF($L737="@收入",购销流水!$T188,IF($L737="@存货",购销流水!$S188,IF($L737="@结算",购销流水!$R188,$L737)))))</f>
        <v/>
      </c>
      <c r="I737" s="42" t="n">
        <f aca="false">IF($M737="借",$O737,0)</f>
        <v>0</v>
      </c>
      <c r="J737" s="42" t="n">
        <f aca="false">IF($M737="贷",$O737,0)</f>
        <v>0</v>
      </c>
      <c r="K737" s="48" t="str">
        <f aca="false">IF($H737="","",购销流水!$E188)</f>
        <v/>
      </c>
      <c r="L737" s="66" t="str">
        <f aca="false">IF(购销流水!$D188="","",IFERROR(INDEX(记账规则!$A$6:$N$9,MATCH(购销流水!$D188,记账规则!$A$6:$A$9,0),12),""))</f>
        <v/>
      </c>
      <c r="M737" s="66" t="str">
        <f aca="false">IF($L737="","",IFERROR(INDEX(记账规则!$A$6:$N$9,MATCH(购销流水!$D188,记账规则!$A$6:$A$9,0),13),""))</f>
        <v/>
      </c>
      <c r="N737" s="66" t="str">
        <f aca="false">IF($L737="","",IFERROR(INDEX(记账规则!$A$6:$N$9,MATCH(购销流水!$D188,记账规则!$A$6:$A$9,0),14),""))</f>
        <v/>
      </c>
      <c r="O737" s="67" t="n">
        <f aca="false">IF($H737="",0,ROUND(IF($N737="成本金额",N(购销流水!$W188),IF($N737="金额",N(购销流水!$Q188),0)),2))</f>
        <v>0</v>
      </c>
      <c r="P737" s="64" t="str">
        <f aca="false">IF(AND($H737&lt;&gt;"",ROUND($O737,2)&lt;&gt;0),"有","")</f>
        <v/>
      </c>
    </row>
    <row r="738" customFormat="false" ht="15" hidden="true" customHeight="false" outlineLevel="0" collapsed="false">
      <c r="A738" s="53" t="str">
        <f aca="false">IF($H738="","",ROW()-5)</f>
        <v/>
      </c>
      <c r="B738" s="64" t="s">
        <v>36</v>
      </c>
      <c r="C738" s="53" t="n">
        <v>189</v>
      </c>
      <c r="D738" s="53" t="n">
        <v>1</v>
      </c>
      <c r="E738" s="65" t="str">
        <f aca="false">IF($H738="","",购销流水!$B189)</f>
        <v/>
      </c>
      <c r="F738" s="55" t="str">
        <f aca="false">IF($H738="","",购销流水!$C189)</f>
        <v/>
      </c>
      <c r="G738" s="48" t="str">
        <f aca="false">IF($H738="","",购销流水!$N189)</f>
        <v/>
      </c>
      <c r="H738" s="10" t="str">
        <f aca="false">IF($L738="","",IF($L738="@成本",购销流水!$U189,IF($L738="@收入",购销流水!$T189,IF($L738="@存货",购销流水!$S189,IF($L738="@结算",购销流水!$R189,$L738)))))</f>
        <v/>
      </c>
      <c r="I738" s="42" t="n">
        <f aca="false">IF($M738="借",$O738,0)</f>
        <v>0</v>
      </c>
      <c r="J738" s="42" t="n">
        <f aca="false">IF($M738="贷",$O738,0)</f>
        <v>0</v>
      </c>
      <c r="K738" s="48" t="str">
        <f aca="false">IF($H738="","",购销流水!$E189)</f>
        <v/>
      </c>
      <c r="L738" s="66" t="str">
        <f aca="false">IF(购销流水!$D189="","",IFERROR(INDEX(记账规则!$A$6:$N$9,MATCH(购销流水!$D189,记账规则!$A$6:$A$9,0),3),""))</f>
        <v/>
      </c>
      <c r="M738" s="66" t="str">
        <f aca="false">IF($L738="","",IFERROR(INDEX(记账规则!$A$6:$N$9,MATCH(购销流水!$D189,记账规则!$A$6:$A$9,0),4),""))</f>
        <v/>
      </c>
      <c r="N738" s="66" t="str">
        <f aca="false">IF($L738="","",IFERROR(INDEX(记账规则!$A$6:$N$9,MATCH(购销流水!$D189,记账规则!$A$6:$A$9,0),5),""))</f>
        <v/>
      </c>
      <c r="O738" s="67" t="n">
        <f aca="false">IF($H738="",0,ROUND(IF($N738="成本金额",N(购销流水!$W189),IF($N738="金额",N(购销流水!$Q189),0)),2))</f>
        <v>0</v>
      </c>
      <c r="P738" s="64" t="str">
        <f aca="false">IF(AND($H738&lt;&gt;"",ROUND($O738,2)&lt;&gt;0),"有","")</f>
        <v/>
      </c>
    </row>
    <row r="739" customFormat="false" ht="15" hidden="true" customHeight="false" outlineLevel="0" collapsed="false">
      <c r="A739" s="53" t="str">
        <f aca="false">IF($H739="","",ROW()-5)</f>
        <v/>
      </c>
      <c r="B739" s="64" t="s">
        <v>36</v>
      </c>
      <c r="C739" s="53" t="n">
        <v>189</v>
      </c>
      <c r="D739" s="53" t="n">
        <v>2</v>
      </c>
      <c r="E739" s="65" t="str">
        <f aca="false">IF($H739="","",购销流水!$B189)</f>
        <v/>
      </c>
      <c r="F739" s="55" t="str">
        <f aca="false">IF($H739="","",购销流水!$C189)</f>
        <v/>
      </c>
      <c r="G739" s="48" t="str">
        <f aca="false">IF($H739="","",购销流水!$N189)</f>
        <v/>
      </c>
      <c r="H739" s="10" t="str">
        <f aca="false">IF($L739="","",IF($L739="@成本",购销流水!$U189,IF($L739="@收入",购销流水!$T189,IF($L739="@存货",购销流水!$S189,IF($L739="@结算",购销流水!$R189,$L739)))))</f>
        <v/>
      </c>
      <c r="I739" s="42" t="n">
        <f aca="false">IF($M739="借",$O739,0)</f>
        <v>0</v>
      </c>
      <c r="J739" s="42" t="n">
        <f aca="false">IF($M739="贷",$O739,0)</f>
        <v>0</v>
      </c>
      <c r="K739" s="48" t="str">
        <f aca="false">IF($H739="","",购销流水!$E189)</f>
        <v/>
      </c>
      <c r="L739" s="66" t="str">
        <f aca="false">IF(购销流水!$D189="","",IFERROR(INDEX(记账规则!$A$6:$N$9,MATCH(购销流水!$D189,记账规则!$A$6:$A$9,0),6),""))</f>
        <v/>
      </c>
      <c r="M739" s="66" t="str">
        <f aca="false">IF($L739="","",IFERROR(INDEX(记账规则!$A$6:$N$9,MATCH(购销流水!$D189,记账规则!$A$6:$A$9,0),7),""))</f>
        <v/>
      </c>
      <c r="N739" s="66" t="str">
        <f aca="false">IF($L739="","",IFERROR(INDEX(记账规则!$A$6:$N$9,MATCH(购销流水!$D189,记账规则!$A$6:$A$9,0),8),""))</f>
        <v/>
      </c>
      <c r="O739" s="67" t="n">
        <f aca="false">IF($H739="",0,ROUND(IF($N739="成本金额",N(购销流水!$W189),IF($N739="金额",N(购销流水!$Q189),0)),2))</f>
        <v>0</v>
      </c>
      <c r="P739" s="64" t="str">
        <f aca="false">IF(AND($H739&lt;&gt;"",ROUND($O739,2)&lt;&gt;0),"有","")</f>
        <v/>
      </c>
    </row>
    <row r="740" customFormat="false" ht="15" hidden="true" customHeight="false" outlineLevel="0" collapsed="false">
      <c r="A740" s="53" t="str">
        <f aca="false">IF($H740="","",ROW()-5)</f>
        <v/>
      </c>
      <c r="B740" s="64" t="s">
        <v>36</v>
      </c>
      <c r="C740" s="53" t="n">
        <v>189</v>
      </c>
      <c r="D740" s="53" t="n">
        <v>3</v>
      </c>
      <c r="E740" s="65" t="str">
        <f aca="false">IF($H740="","",购销流水!$B189)</f>
        <v/>
      </c>
      <c r="F740" s="55" t="str">
        <f aca="false">IF($H740="","",购销流水!$C189)</f>
        <v/>
      </c>
      <c r="G740" s="48" t="str">
        <f aca="false">IF($H740="","",购销流水!$N189)</f>
        <v/>
      </c>
      <c r="H740" s="10" t="str">
        <f aca="false">IF($L740="","",IF($L740="@成本",购销流水!$U189,IF($L740="@收入",购销流水!$T189,IF($L740="@存货",购销流水!$S189,IF($L740="@结算",购销流水!$R189,$L740)))))</f>
        <v/>
      </c>
      <c r="I740" s="42" t="n">
        <f aca="false">IF($M740="借",$O740,0)</f>
        <v>0</v>
      </c>
      <c r="J740" s="42" t="n">
        <f aca="false">IF($M740="贷",$O740,0)</f>
        <v>0</v>
      </c>
      <c r="K740" s="48" t="str">
        <f aca="false">IF($H740="","",购销流水!$E189)</f>
        <v/>
      </c>
      <c r="L740" s="66" t="str">
        <f aca="false">IF(购销流水!$D189="","",IFERROR(INDEX(记账规则!$A$6:$N$9,MATCH(购销流水!$D189,记账规则!$A$6:$A$9,0),9),""))</f>
        <v/>
      </c>
      <c r="M740" s="66" t="str">
        <f aca="false">IF($L740="","",IFERROR(INDEX(记账规则!$A$6:$N$9,MATCH(购销流水!$D189,记账规则!$A$6:$A$9,0),10),""))</f>
        <v/>
      </c>
      <c r="N740" s="66" t="str">
        <f aca="false">IF($L740="","",IFERROR(INDEX(记账规则!$A$6:$N$9,MATCH(购销流水!$D189,记账规则!$A$6:$A$9,0),11),""))</f>
        <v/>
      </c>
      <c r="O740" s="67" t="n">
        <f aca="false">IF($H740="",0,ROUND(IF($N740="成本金额",N(购销流水!$W189),IF($N740="金额",N(购销流水!$Q189),0)),2))</f>
        <v>0</v>
      </c>
      <c r="P740" s="64" t="str">
        <f aca="false">IF(AND($H740&lt;&gt;"",ROUND($O740,2)&lt;&gt;0),"有","")</f>
        <v/>
      </c>
    </row>
    <row r="741" customFormat="false" ht="15" hidden="true" customHeight="false" outlineLevel="0" collapsed="false">
      <c r="A741" s="53" t="str">
        <f aca="false">IF($H741="","",ROW()-5)</f>
        <v/>
      </c>
      <c r="B741" s="64" t="s">
        <v>36</v>
      </c>
      <c r="C741" s="53" t="n">
        <v>189</v>
      </c>
      <c r="D741" s="53" t="n">
        <v>4</v>
      </c>
      <c r="E741" s="65" t="str">
        <f aca="false">IF($H741="","",购销流水!$B189)</f>
        <v/>
      </c>
      <c r="F741" s="55" t="str">
        <f aca="false">IF($H741="","",购销流水!$C189)</f>
        <v/>
      </c>
      <c r="G741" s="48" t="str">
        <f aca="false">IF($H741="","",购销流水!$N189)</f>
        <v/>
      </c>
      <c r="H741" s="10" t="str">
        <f aca="false">IF($L741="","",IF($L741="@成本",购销流水!$U189,IF($L741="@收入",购销流水!$T189,IF($L741="@存货",购销流水!$S189,IF($L741="@结算",购销流水!$R189,$L741)))))</f>
        <v/>
      </c>
      <c r="I741" s="42" t="n">
        <f aca="false">IF($M741="借",$O741,0)</f>
        <v>0</v>
      </c>
      <c r="J741" s="42" t="n">
        <f aca="false">IF($M741="贷",$O741,0)</f>
        <v>0</v>
      </c>
      <c r="K741" s="48" t="str">
        <f aca="false">IF($H741="","",购销流水!$E189)</f>
        <v/>
      </c>
      <c r="L741" s="66" t="str">
        <f aca="false">IF(购销流水!$D189="","",IFERROR(INDEX(记账规则!$A$6:$N$9,MATCH(购销流水!$D189,记账规则!$A$6:$A$9,0),12),""))</f>
        <v/>
      </c>
      <c r="M741" s="66" t="str">
        <f aca="false">IF($L741="","",IFERROR(INDEX(记账规则!$A$6:$N$9,MATCH(购销流水!$D189,记账规则!$A$6:$A$9,0),13),""))</f>
        <v/>
      </c>
      <c r="N741" s="66" t="str">
        <f aca="false">IF($L741="","",IFERROR(INDEX(记账规则!$A$6:$N$9,MATCH(购销流水!$D189,记账规则!$A$6:$A$9,0),14),""))</f>
        <v/>
      </c>
      <c r="O741" s="67" t="n">
        <f aca="false">IF($H741="",0,ROUND(IF($N741="成本金额",N(购销流水!$W189),IF($N741="金额",N(购销流水!$Q189),0)),2))</f>
        <v>0</v>
      </c>
      <c r="P741" s="64" t="str">
        <f aca="false">IF(AND($H741&lt;&gt;"",ROUND($O741,2)&lt;&gt;0),"有","")</f>
        <v/>
      </c>
    </row>
    <row r="742" customFormat="false" ht="15" hidden="true" customHeight="false" outlineLevel="0" collapsed="false">
      <c r="A742" s="53" t="str">
        <f aca="false">IF($H742="","",ROW()-5)</f>
        <v/>
      </c>
      <c r="B742" s="64" t="s">
        <v>36</v>
      </c>
      <c r="C742" s="53" t="n">
        <v>190</v>
      </c>
      <c r="D742" s="53" t="n">
        <v>1</v>
      </c>
      <c r="E742" s="65" t="str">
        <f aca="false">IF($H742="","",购销流水!$B190)</f>
        <v/>
      </c>
      <c r="F742" s="55" t="str">
        <f aca="false">IF($H742="","",购销流水!$C190)</f>
        <v/>
      </c>
      <c r="G742" s="48" t="str">
        <f aca="false">IF($H742="","",购销流水!$N190)</f>
        <v/>
      </c>
      <c r="H742" s="10" t="str">
        <f aca="false">IF($L742="","",IF($L742="@成本",购销流水!$U190,IF($L742="@收入",购销流水!$T190,IF($L742="@存货",购销流水!$S190,IF($L742="@结算",购销流水!$R190,$L742)))))</f>
        <v/>
      </c>
      <c r="I742" s="42" t="n">
        <f aca="false">IF($M742="借",$O742,0)</f>
        <v>0</v>
      </c>
      <c r="J742" s="42" t="n">
        <f aca="false">IF($M742="贷",$O742,0)</f>
        <v>0</v>
      </c>
      <c r="K742" s="48" t="str">
        <f aca="false">IF($H742="","",购销流水!$E190)</f>
        <v/>
      </c>
      <c r="L742" s="66" t="str">
        <f aca="false">IF(购销流水!$D190="","",IFERROR(INDEX(记账规则!$A$6:$N$9,MATCH(购销流水!$D190,记账规则!$A$6:$A$9,0),3),""))</f>
        <v/>
      </c>
      <c r="M742" s="66" t="str">
        <f aca="false">IF($L742="","",IFERROR(INDEX(记账规则!$A$6:$N$9,MATCH(购销流水!$D190,记账规则!$A$6:$A$9,0),4),""))</f>
        <v/>
      </c>
      <c r="N742" s="66" t="str">
        <f aca="false">IF($L742="","",IFERROR(INDEX(记账规则!$A$6:$N$9,MATCH(购销流水!$D190,记账规则!$A$6:$A$9,0),5),""))</f>
        <v/>
      </c>
      <c r="O742" s="67" t="n">
        <f aca="false">IF($H742="",0,ROUND(IF($N742="成本金额",N(购销流水!$W190),IF($N742="金额",N(购销流水!$Q190),0)),2))</f>
        <v>0</v>
      </c>
      <c r="P742" s="64" t="str">
        <f aca="false">IF(AND($H742&lt;&gt;"",ROUND($O742,2)&lt;&gt;0),"有","")</f>
        <v/>
      </c>
    </row>
    <row r="743" customFormat="false" ht="15" hidden="true" customHeight="false" outlineLevel="0" collapsed="false">
      <c r="A743" s="53" t="str">
        <f aca="false">IF($H743="","",ROW()-5)</f>
        <v/>
      </c>
      <c r="B743" s="64" t="s">
        <v>36</v>
      </c>
      <c r="C743" s="53" t="n">
        <v>190</v>
      </c>
      <c r="D743" s="53" t="n">
        <v>2</v>
      </c>
      <c r="E743" s="65" t="str">
        <f aca="false">IF($H743="","",购销流水!$B190)</f>
        <v/>
      </c>
      <c r="F743" s="55" t="str">
        <f aca="false">IF($H743="","",购销流水!$C190)</f>
        <v/>
      </c>
      <c r="G743" s="48" t="str">
        <f aca="false">IF($H743="","",购销流水!$N190)</f>
        <v/>
      </c>
      <c r="H743" s="10" t="str">
        <f aca="false">IF($L743="","",IF($L743="@成本",购销流水!$U190,IF($L743="@收入",购销流水!$T190,IF($L743="@存货",购销流水!$S190,IF($L743="@结算",购销流水!$R190,$L743)))))</f>
        <v/>
      </c>
      <c r="I743" s="42" t="n">
        <f aca="false">IF($M743="借",$O743,0)</f>
        <v>0</v>
      </c>
      <c r="J743" s="42" t="n">
        <f aca="false">IF($M743="贷",$O743,0)</f>
        <v>0</v>
      </c>
      <c r="K743" s="48" t="str">
        <f aca="false">IF($H743="","",购销流水!$E190)</f>
        <v/>
      </c>
      <c r="L743" s="66" t="str">
        <f aca="false">IF(购销流水!$D190="","",IFERROR(INDEX(记账规则!$A$6:$N$9,MATCH(购销流水!$D190,记账规则!$A$6:$A$9,0),6),""))</f>
        <v/>
      </c>
      <c r="M743" s="66" t="str">
        <f aca="false">IF($L743="","",IFERROR(INDEX(记账规则!$A$6:$N$9,MATCH(购销流水!$D190,记账规则!$A$6:$A$9,0),7),""))</f>
        <v/>
      </c>
      <c r="N743" s="66" t="str">
        <f aca="false">IF($L743="","",IFERROR(INDEX(记账规则!$A$6:$N$9,MATCH(购销流水!$D190,记账规则!$A$6:$A$9,0),8),""))</f>
        <v/>
      </c>
      <c r="O743" s="67" t="n">
        <f aca="false">IF($H743="",0,ROUND(IF($N743="成本金额",N(购销流水!$W190),IF($N743="金额",N(购销流水!$Q190),0)),2))</f>
        <v>0</v>
      </c>
      <c r="P743" s="64" t="str">
        <f aca="false">IF(AND($H743&lt;&gt;"",ROUND($O743,2)&lt;&gt;0),"有","")</f>
        <v/>
      </c>
    </row>
    <row r="744" customFormat="false" ht="15" hidden="true" customHeight="false" outlineLevel="0" collapsed="false">
      <c r="A744" s="53" t="str">
        <f aca="false">IF($H744="","",ROW()-5)</f>
        <v/>
      </c>
      <c r="B744" s="64" t="s">
        <v>36</v>
      </c>
      <c r="C744" s="53" t="n">
        <v>190</v>
      </c>
      <c r="D744" s="53" t="n">
        <v>3</v>
      </c>
      <c r="E744" s="65" t="str">
        <f aca="false">IF($H744="","",购销流水!$B190)</f>
        <v/>
      </c>
      <c r="F744" s="55" t="str">
        <f aca="false">IF($H744="","",购销流水!$C190)</f>
        <v/>
      </c>
      <c r="G744" s="48" t="str">
        <f aca="false">IF($H744="","",购销流水!$N190)</f>
        <v/>
      </c>
      <c r="H744" s="10" t="str">
        <f aca="false">IF($L744="","",IF($L744="@成本",购销流水!$U190,IF($L744="@收入",购销流水!$T190,IF($L744="@存货",购销流水!$S190,IF($L744="@结算",购销流水!$R190,$L744)))))</f>
        <v/>
      </c>
      <c r="I744" s="42" t="n">
        <f aca="false">IF($M744="借",$O744,0)</f>
        <v>0</v>
      </c>
      <c r="J744" s="42" t="n">
        <f aca="false">IF($M744="贷",$O744,0)</f>
        <v>0</v>
      </c>
      <c r="K744" s="48" t="str">
        <f aca="false">IF($H744="","",购销流水!$E190)</f>
        <v/>
      </c>
      <c r="L744" s="66" t="str">
        <f aca="false">IF(购销流水!$D190="","",IFERROR(INDEX(记账规则!$A$6:$N$9,MATCH(购销流水!$D190,记账规则!$A$6:$A$9,0),9),""))</f>
        <v/>
      </c>
      <c r="M744" s="66" t="str">
        <f aca="false">IF($L744="","",IFERROR(INDEX(记账规则!$A$6:$N$9,MATCH(购销流水!$D190,记账规则!$A$6:$A$9,0),10),""))</f>
        <v/>
      </c>
      <c r="N744" s="66" t="str">
        <f aca="false">IF($L744="","",IFERROR(INDEX(记账规则!$A$6:$N$9,MATCH(购销流水!$D190,记账规则!$A$6:$A$9,0),11),""))</f>
        <v/>
      </c>
      <c r="O744" s="67" t="n">
        <f aca="false">IF($H744="",0,ROUND(IF($N744="成本金额",N(购销流水!$W190),IF($N744="金额",N(购销流水!$Q190),0)),2))</f>
        <v>0</v>
      </c>
      <c r="P744" s="64" t="str">
        <f aca="false">IF(AND($H744&lt;&gt;"",ROUND($O744,2)&lt;&gt;0),"有","")</f>
        <v/>
      </c>
    </row>
    <row r="745" customFormat="false" ht="15" hidden="true" customHeight="false" outlineLevel="0" collapsed="false">
      <c r="A745" s="53" t="str">
        <f aca="false">IF($H745="","",ROW()-5)</f>
        <v/>
      </c>
      <c r="B745" s="64" t="s">
        <v>36</v>
      </c>
      <c r="C745" s="53" t="n">
        <v>190</v>
      </c>
      <c r="D745" s="53" t="n">
        <v>4</v>
      </c>
      <c r="E745" s="65" t="str">
        <f aca="false">IF($H745="","",购销流水!$B190)</f>
        <v/>
      </c>
      <c r="F745" s="55" t="str">
        <f aca="false">IF($H745="","",购销流水!$C190)</f>
        <v/>
      </c>
      <c r="G745" s="48" t="str">
        <f aca="false">IF($H745="","",购销流水!$N190)</f>
        <v/>
      </c>
      <c r="H745" s="10" t="str">
        <f aca="false">IF($L745="","",IF($L745="@成本",购销流水!$U190,IF($L745="@收入",购销流水!$T190,IF($L745="@存货",购销流水!$S190,IF($L745="@结算",购销流水!$R190,$L745)))))</f>
        <v/>
      </c>
      <c r="I745" s="42" t="n">
        <f aca="false">IF($M745="借",$O745,0)</f>
        <v>0</v>
      </c>
      <c r="J745" s="42" t="n">
        <f aca="false">IF($M745="贷",$O745,0)</f>
        <v>0</v>
      </c>
      <c r="K745" s="48" t="str">
        <f aca="false">IF($H745="","",购销流水!$E190)</f>
        <v/>
      </c>
      <c r="L745" s="66" t="str">
        <f aca="false">IF(购销流水!$D190="","",IFERROR(INDEX(记账规则!$A$6:$N$9,MATCH(购销流水!$D190,记账规则!$A$6:$A$9,0),12),""))</f>
        <v/>
      </c>
      <c r="M745" s="66" t="str">
        <f aca="false">IF($L745="","",IFERROR(INDEX(记账规则!$A$6:$N$9,MATCH(购销流水!$D190,记账规则!$A$6:$A$9,0),13),""))</f>
        <v/>
      </c>
      <c r="N745" s="66" t="str">
        <f aca="false">IF($L745="","",IFERROR(INDEX(记账规则!$A$6:$N$9,MATCH(购销流水!$D190,记账规则!$A$6:$A$9,0),14),""))</f>
        <v/>
      </c>
      <c r="O745" s="67" t="n">
        <f aca="false">IF($H745="",0,ROUND(IF($N745="成本金额",N(购销流水!$W190),IF($N745="金额",N(购销流水!$Q190),0)),2))</f>
        <v>0</v>
      </c>
      <c r="P745" s="64" t="str">
        <f aca="false">IF(AND($H745&lt;&gt;"",ROUND($O745,2)&lt;&gt;0),"有","")</f>
        <v/>
      </c>
    </row>
    <row r="746" customFormat="false" ht="15" hidden="true" customHeight="false" outlineLevel="0" collapsed="false">
      <c r="A746" s="53" t="str">
        <f aca="false">IF($H746="","",ROW()-5)</f>
        <v/>
      </c>
      <c r="B746" s="64" t="s">
        <v>36</v>
      </c>
      <c r="C746" s="53" t="n">
        <v>191</v>
      </c>
      <c r="D746" s="53" t="n">
        <v>1</v>
      </c>
      <c r="E746" s="65" t="str">
        <f aca="false">IF($H746="","",购销流水!$B191)</f>
        <v/>
      </c>
      <c r="F746" s="55" t="str">
        <f aca="false">IF($H746="","",购销流水!$C191)</f>
        <v/>
      </c>
      <c r="G746" s="48" t="str">
        <f aca="false">IF($H746="","",购销流水!$N191)</f>
        <v/>
      </c>
      <c r="H746" s="10" t="str">
        <f aca="false">IF($L746="","",IF($L746="@成本",购销流水!$U191,IF($L746="@收入",购销流水!$T191,IF($L746="@存货",购销流水!$S191,IF($L746="@结算",购销流水!$R191,$L746)))))</f>
        <v/>
      </c>
      <c r="I746" s="42" t="n">
        <f aca="false">IF($M746="借",$O746,0)</f>
        <v>0</v>
      </c>
      <c r="J746" s="42" t="n">
        <f aca="false">IF($M746="贷",$O746,0)</f>
        <v>0</v>
      </c>
      <c r="K746" s="48" t="str">
        <f aca="false">IF($H746="","",购销流水!$E191)</f>
        <v/>
      </c>
      <c r="L746" s="66" t="str">
        <f aca="false">IF(购销流水!$D191="","",IFERROR(INDEX(记账规则!$A$6:$N$9,MATCH(购销流水!$D191,记账规则!$A$6:$A$9,0),3),""))</f>
        <v/>
      </c>
      <c r="M746" s="66" t="str">
        <f aca="false">IF($L746="","",IFERROR(INDEX(记账规则!$A$6:$N$9,MATCH(购销流水!$D191,记账规则!$A$6:$A$9,0),4),""))</f>
        <v/>
      </c>
      <c r="N746" s="66" t="str">
        <f aca="false">IF($L746="","",IFERROR(INDEX(记账规则!$A$6:$N$9,MATCH(购销流水!$D191,记账规则!$A$6:$A$9,0),5),""))</f>
        <v/>
      </c>
      <c r="O746" s="67" t="n">
        <f aca="false">IF($H746="",0,ROUND(IF($N746="成本金额",N(购销流水!$W191),IF($N746="金额",N(购销流水!$Q191),0)),2))</f>
        <v>0</v>
      </c>
      <c r="P746" s="64" t="str">
        <f aca="false">IF(AND($H746&lt;&gt;"",ROUND($O746,2)&lt;&gt;0),"有","")</f>
        <v/>
      </c>
    </row>
    <row r="747" customFormat="false" ht="15" hidden="true" customHeight="false" outlineLevel="0" collapsed="false">
      <c r="A747" s="53" t="str">
        <f aca="false">IF($H747="","",ROW()-5)</f>
        <v/>
      </c>
      <c r="B747" s="64" t="s">
        <v>36</v>
      </c>
      <c r="C747" s="53" t="n">
        <v>191</v>
      </c>
      <c r="D747" s="53" t="n">
        <v>2</v>
      </c>
      <c r="E747" s="65" t="str">
        <f aca="false">IF($H747="","",购销流水!$B191)</f>
        <v/>
      </c>
      <c r="F747" s="55" t="str">
        <f aca="false">IF($H747="","",购销流水!$C191)</f>
        <v/>
      </c>
      <c r="G747" s="48" t="str">
        <f aca="false">IF($H747="","",购销流水!$N191)</f>
        <v/>
      </c>
      <c r="H747" s="10" t="str">
        <f aca="false">IF($L747="","",IF($L747="@成本",购销流水!$U191,IF($L747="@收入",购销流水!$T191,IF($L747="@存货",购销流水!$S191,IF($L747="@结算",购销流水!$R191,$L747)))))</f>
        <v/>
      </c>
      <c r="I747" s="42" t="n">
        <f aca="false">IF($M747="借",$O747,0)</f>
        <v>0</v>
      </c>
      <c r="J747" s="42" t="n">
        <f aca="false">IF($M747="贷",$O747,0)</f>
        <v>0</v>
      </c>
      <c r="K747" s="48" t="str">
        <f aca="false">IF($H747="","",购销流水!$E191)</f>
        <v/>
      </c>
      <c r="L747" s="66" t="str">
        <f aca="false">IF(购销流水!$D191="","",IFERROR(INDEX(记账规则!$A$6:$N$9,MATCH(购销流水!$D191,记账规则!$A$6:$A$9,0),6),""))</f>
        <v/>
      </c>
      <c r="M747" s="66" t="str">
        <f aca="false">IF($L747="","",IFERROR(INDEX(记账规则!$A$6:$N$9,MATCH(购销流水!$D191,记账规则!$A$6:$A$9,0),7),""))</f>
        <v/>
      </c>
      <c r="N747" s="66" t="str">
        <f aca="false">IF($L747="","",IFERROR(INDEX(记账规则!$A$6:$N$9,MATCH(购销流水!$D191,记账规则!$A$6:$A$9,0),8),""))</f>
        <v/>
      </c>
      <c r="O747" s="67" t="n">
        <f aca="false">IF($H747="",0,ROUND(IF($N747="成本金额",N(购销流水!$W191),IF($N747="金额",N(购销流水!$Q191),0)),2))</f>
        <v>0</v>
      </c>
      <c r="P747" s="64" t="str">
        <f aca="false">IF(AND($H747&lt;&gt;"",ROUND($O747,2)&lt;&gt;0),"有","")</f>
        <v/>
      </c>
    </row>
    <row r="748" customFormat="false" ht="15" hidden="true" customHeight="false" outlineLevel="0" collapsed="false">
      <c r="A748" s="53" t="str">
        <f aca="false">IF($H748="","",ROW()-5)</f>
        <v/>
      </c>
      <c r="B748" s="64" t="s">
        <v>36</v>
      </c>
      <c r="C748" s="53" t="n">
        <v>191</v>
      </c>
      <c r="D748" s="53" t="n">
        <v>3</v>
      </c>
      <c r="E748" s="65" t="str">
        <f aca="false">IF($H748="","",购销流水!$B191)</f>
        <v/>
      </c>
      <c r="F748" s="55" t="str">
        <f aca="false">IF($H748="","",购销流水!$C191)</f>
        <v/>
      </c>
      <c r="G748" s="48" t="str">
        <f aca="false">IF($H748="","",购销流水!$N191)</f>
        <v/>
      </c>
      <c r="H748" s="10" t="str">
        <f aca="false">IF($L748="","",IF($L748="@成本",购销流水!$U191,IF($L748="@收入",购销流水!$T191,IF($L748="@存货",购销流水!$S191,IF($L748="@结算",购销流水!$R191,$L748)))))</f>
        <v/>
      </c>
      <c r="I748" s="42" t="n">
        <f aca="false">IF($M748="借",$O748,0)</f>
        <v>0</v>
      </c>
      <c r="J748" s="42" t="n">
        <f aca="false">IF($M748="贷",$O748,0)</f>
        <v>0</v>
      </c>
      <c r="K748" s="48" t="str">
        <f aca="false">IF($H748="","",购销流水!$E191)</f>
        <v/>
      </c>
      <c r="L748" s="66" t="str">
        <f aca="false">IF(购销流水!$D191="","",IFERROR(INDEX(记账规则!$A$6:$N$9,MATCH(购销流水!$D191,记账规则!$A$6:$A$9,0),9),""))</f>
        <v/>
      </c>
      <c r="M748" s="66" t="str">
        <f aca="false">IF($L748="","",IFERROR(INDEX(记账规则!$A$6:$N$9,MATCH(购销流水!$D191,记账规则!$A$6:$A$9,0),10),""))</f>
        <v/>
      </c>
      <c r="N748" s="66" t="str">
        <f aca="false">IF($L748="","",IFERROR(INDEX(记账规则!$A$6:$N$9,MATCH(购销流水!$D191,记账规则!$A$6:$A$9,0),11),""))</f>
        <v/>
      </c>
      <c r="O748" s="67" t="n">
        <f aca="false">IF($H748="",0,ROUND(IF($N748="成本金额",N(购销流水!$W191),IF($N748="金额",N(购销流水!$Q191),0)),2))</f>
        <v>0</v>
      </c>
      <c r="P748" s="64" t="str">
        <f aca="false">IF(AND($H748&lt;&gt;"",ROUND($O748,2)&lt;&gt;0),"有","")</f>
        <v/>
      </c>
    </row>
    <row r="749" customFormat="false" ht="15" hidden="true" customHeight="false" outlineLevel="0" collapsed="false">
      <c r="A749" s="53" t="str">
        <f aca="false">IF($H749="","",ROW()-5)</f>
        <v/>
      </c>
      <c r="B749" s="64" t="s">
        <v>36</v>
      </c>
      <c r="C749" s="53" t="n">
        <v>191</v>
      </c>
      <c r="D749" s="53" t="n">
        <v>4</v>
      </c>
      <c r="E749" s="65" t="str">
        <f aca="false">IF($H749="","",购销流水!$B191)</f>
        <v/>
      </c>
      <c r="F749" s="55" t="str">
        <f aca="false">IF($H749="","",购销流水!$C191)</f>
        <v/>
      </c>
      <c r="G749" s="48" t="str">
        <f aca="false">IF($H749="","",购销流水!$N191)</f>
        <v/>
      </c>
      <c r="H749" s="10" t="str">
        <f aca="false">IF($L749="","",IF($L749="@成本",购销流水!$U191,IF($L749="@收入",购销流水!$T191,IF($L749="@存货",购销流水!$S191,IF($L749="@结算",购销流水!$R191,$L749)))))</f>
        <v/>
      </c>
      <c r="I749" s="42" t="n">
        <f aca="false">IF($M749="借",$O749,0)</f>
        <v>0</v>
      </c>
      <c r="J749" s="42" t="n">
        <f aca="false">IF($M749="贷",$O749,0)</f>
        <v>0</v>
      </c>
      <c r="K749" s="48" t="str">
        <f aca="false">IF($H749="","",购销流水!$E191)</f>
        <v/>
      </c>
      <c r="L749" s="66" t="str">
        <f aca="false">IF(购销流水!$D191="","",IFERROR(INDEX(记账规则!$A$6:$N$9,MATCH(购销流水!$D191,记账规则!$A$6:$A$9,0),12),""))</f>
        <v/>
      </c>
      <c r="M749" s="66" t="str">
        <f aca="false">IF($L749="","",IFERROR(INDEX(记账规则!$A$6:$N$9,MATCH(购销流水!$D191,记账规则!$A$6:$A$9,0),13),""))</f>
        <v/>
      </c>
      <c r="N749" s="66" t="str">
        <f aca="false">IF($L749="","",IFERROR(INDEX(记账规则!$A$6:$N$9,MATCH(购销流水!$D191,记账规则!$A$6:$A$9,0),14),""))</f>
        <v/>
      </c>
      <c r="O749" s="67" t="n">
        <f aca="false">IF($H749="",0,ROUND(IF($N749="成本金额",N(购销流水!$W191),IF($N749="金额",N(购销流水!$Q191),0)),2))</f>
        <v>0</v>
      </c>
      <c r="P749" s="64" t="str">
        <f aca="false">IF(AND($H749&lt;&gt;"",ROUND($O749,2)&lt;&gt;0),"有","")</f>
        <v/>
      </c>
    </row>
    <row r="750" customFormat="false" ht="15" hidden="true" customHeight="false" outlineLevel="0" collapsed="false">
      <c r="A750" s="53" t="str">
        <f aca="false">IF($H750="","",ROW()-5)</f>
        <v/>
      </c>
      <c r="B750" s="64" t="s">
        <v>36</v>
      </c>
      <c r="C750" s="53" t="n">
        <v>192</v>
      </c>
      <c r="D750" s="53" t="n">
        <v>1</v>
      </c>
      <c r="E750" s="65" t="str">
        <f aca="false">IF($H750="","",购销流水!$B192)</f>
        <v/>
      </c>
      <c r="F750" s="55" t="str">
        <f aca="false">IF($H750="","",购销流水!$C192)</f>
        <v/>
      </c>
      <c r="G750" s="48" t="str">
        <f aca="false">IF($H750="","",购销流水!$N192)</f>
        <v/>
      </c>
      <c r="H750" s="10" t="str">
        <f aca="false">IF($L750="","",IF($L750="@成本",购销流水!$U192,IF($L750="@收入",购销流水!$T192,IF($L750="@存货",购销流水!$S192,IF($L750="@结算",购销流水!$R192,$L750)))))</f>
        <v/>
      </c>
      <c r="I750" s="42" t="n">
        <f aca="false">IF($M750="借",$O750,0)</f>
        <v>0</v>
      </c>
      <c r="J750" s="42" t="n">
        <f aca="false">IF($M750="贷",$O750,0)</f>
        <v>0</v>
      </c>
      <c r="K750" s="48" t="str">
        <f aca="false">IF($H750="","",购销流水!$E192)</f>
        <v/>
      </c>
      <c r="L750" s="66" t="str">
        <f aca="false">IF(购销流水!$D192="","",IFERROR(INDEX(记账规则!$A$6:$N$9,MATCH(购销流水!$D192,记账规则!$A$6:$A$9,0),3),""))</f>
        <v/>
      </c>
      <c r="M750" s="66" t="str">
        <f aca="false">IF($L750="","",IFERROR(INDEX(记账规则!$A$6:$N$9,MATCH(购销流水!$D192,记账规则!$A$6:$A$9,0),4),""))</f>
        <v/>
      </c>
      <c r="N750" s="66" t="str">
        <f aca="false">IF($L750="","",IFERROR(INDEX(记账规则!$A$6:$N$9,MATCH(购销流水!$D192,记账规则!$A$6:$A$9,0),5),""))</f>
        <v/>
      </c>
      <c r="O750" s="67" t="n">
        <f aca="false">IF($H750="",0,ROUND(IF($N750="成本金额",N(购销流水!$W192),IF($N750="金额",N(购销流水!$Q192),0)),2))</f>
        <v>0</v>
      </c>
      <c r="P750" s="64" t="str">
        <f aca="false">IF(AND($H750&lt;&gt;"",ROUND($O750,2)&lt;&gt;0),"有","")</f>
        <v/>
      </c>
    </row>
    <row r="751" customFormat="false" ht="15" hidden="true" customHeight="false" outlineLevel="0" collapsed="false">
      <c r="A751" s="53" t="str">
        <f aca="false">IF($H751="","",ROW()-5)</f>
        <v/>
      </c>
      <c r="B751" s="64" t="s">
        <v>36</v>
      </c>
      <c r="C751" s="53" t="n">
        <v>192</v>
      </c>
      <c r="D751" s="53" t="n">
        <v>2</v>
      </c>
      <c r="E751" s="65" t="str">
        <f aca="false">IF($H751="","",购销流水!$B192)</f>
        <v/>
      </c>
      <c r="F751" s="55" t="str">
        <f aca="false">IF($H751="","",购销流水!$C192)</f>
        <v/>
      </c>
      <c r="G751" s="48" t="str">
        <f aca="false">IF($H751="","",购销流水!$N192)</f>
        <v/>
      </c>
      <c r="H751" s="10" t="str">
        <f aca="false">IF($L751="","",IF($L751="@成本",购销流水!$U192,IF($L751="@收入",购销流水!$T192,IF($L751="@存货",购销流水!$S192,IF($L751="@结算",购销流水!$R192,$L751)))))</f>
        <v/>
      </c>
      <c r="I751" s="42" t="n">
        <f aca="false">IF($M751="借",$O751,0)</f>
        <v>0</v>
      </c>
      <c r="J751" s="42" t="n">
        <f aca="false">IF($M751="贷",$O751,0)</f>
        <v>0</v>
      </c>
      <c r="K751" s="48" t="str">
        <f aca="false">IF($H751="","",购销流水!$E192)</f>
        <v/>
      </c>
      <c r="L751" s="66" t="str">
        <f aca="false">IF(购销流水!$D192="","",IFERROR(INDEX(记账规则!$A$6:$N$9,MATCH(购销流水!$D192,记账规则!$A$6:$A$9,0),6),""))</f>
        <v/>
      </c>
      <c r="M751" s="66" t="str">
        <f aca="false">IF($L751="","",IFERROR(INDEX(记账规则!$A$6:$N$9,MATCH(购销流水!$D192,记账规则!$A$6:$A$9,0),7),""))</f>
        <v/>
      </c>
      <c r="N751" s="66" t="str">
        <f aca="false">IF($L751="","",IFERROR(INDEX(记账规则!$A$6:$N$9,MATCH(购销流水!$D192,记账规则!$A$6:$A$9,0),8),""))</f>
        <v/>
      </c>
      <c r="O751" s="67" t="n">
        <f aca="false">IF($H751="",0,ROUND(IF($N751="成本金额",N(购销流水!$W192),IF($N751="金额",N(购销流水!$Q192),0)),2))</f>
        <v>0</v>
      </c>
      <c r="P751" s="64" t="str">
        <f aca="false">IF(AND($H751&lt;&gt;"",ROUND($O751,2)&lt;&gt;0),"有","")</f>
        <v/>
      </c>
    </row>
    <row r="752" customFormat="false" ht="15" hidden="true" customHeight="false" outlineLevel="0" collapsed="false">
      <c r="A752" s="53" t="str">
        <f aca="false">IF($H752="","",ROW()-5)</f>
        <v/>
      </c>
      <c r="B752" s="64" t="s">
        <v>36</v>
      </c>
      <c r="C752" s="53" t="n">
        <v>192</v>
      </c>
      <c r="D752" s="53" t="n">
        <v>3</v>
      </c>
      <c r="E752" s="65" t="str">
        <f aca="false">IF($H752="","",购销流水!$B192)</f>
        <v/>
      </c>
      <c r="F752" s="55" t="str">
        <f aca="false">IF($H752="","",购销流水!$C192)</f>
        <v/>
      </c>
      <c r="G752" s="48" t="str">
        <f aca="false">IF($H752="","",购销流水!$N192)</f>
        <v/>
      </c>
      <c r="H752" s="10" t="str">
        <f aca="false">IF($L752="","",IF($L752="@成本",购销流水!$U192,IF($L752="@收入",购销流水!$T192,IF($L752="@存货",购销流水!$S192,IF($L752="@结算",购销流水!$R192,$L752)))))</f>
        <v/>
      </c>
      <c r="I752" s="42" t="n">
        <f aca="false">IF($M752="借",$O752,0)</f>
        <v>0</v>
      </c>
      <c r="J752" s="42" t="n">
        <f aca="false">IF($M752="贷",$O752,0)</f>
        <v>0</v>
      </c>
      <c r="K752" s="48" t="str">
        <f aca="false">IF($H752="","",购销流水!$E192)</f>
        <v/>
      </c>
      <c r="L752" s="66" t="str">
        <f aca="false">IF(购销流水!$D192="","",IFERROR(INDEX(记账规则!$A$6:$N$9,MATCH(购销流水!$D192,记账规则!$A$6:$A$9,0),9),""))</f>
        <v/>
      </c>
      <c r="M752" s="66" t="str">
        <f aca="false">IF($L752="","",IFERROR(INDEX(记账规则!$A$6:$N$9,MATCH(购销流水!$D192,记账规则!$A$6:$A$9,0),10),""))</f>
        <v/>
      </c>
      <c r="N752" s="66" t="str">
        <f aca="false">IF($L752="","",IFERROR(INDEX(记账规则!$A$6:$N$9,MATCH(购销流水!$D192,记账规则!$A$6:$A$9,0),11),""))</f>
        <v/>
      </c>
      <c r="O752" s="67" t="n">
        <f aca="false">IF($H752="",0,ROUND(IF($N752="成本金额",N(购销流水!$W192),IF($N752="金额",N(购销流水!$Q192),0)),2))</f>
        <v>0</v>
      </c>
      <c r="P752" s="64" t="str">
        <f aca="false">IF(AND($H752&lt;&gt;"",ROUND($O752,2)&lt;&gt;0),"有","")</f>
        <v/>
      </c>
    </row>
    <row r="753" customFormat="false" ht="15" hidden="true" customHeight="false" outlineLevel="0" collapsed="false">
      <c r="A753" s="53" t="str">
        <f aca="false">IF($H753="","",ROW()-5)</f>
        <v/>
      </c>
      <c r="B753" s="64" t="s">
        <v>36</v>
      </c>
      <c r="C753" s="53" t="n">
        <v>192</v>
      </c>
      <c r="D753" s="53" t="n">
        <v>4</v>
      </c>
      <c r="E753" s="65" t="str">
        <f aca="false">IF($H753="","",购销流水!$B192)</f>
        <v/>
      </c>
      <c r="F753" s="55" t="str">
        <f aca="false">IF($H753="","",购销流水!$C192)</f>
        <v/>
      </c>
      <c r="G753" s="48" t="str">
        <f aca="false">IF($H753="","",购销流水!$N192)</f>
        <v/>
      </c>
      <c r="H753" s="10" t="str">
        <f aca="false">IF($L753="","",IF($L753="@成本",购销流水!$U192,IF($L753="@收入",购销流水!$T192,IF($L753="@存货",购销流水!$S192,IF($L753="@结算",购销流水!$R192,$L753)))))</f>
        <v/>
      </c>
      <c r="I753" s="42" t="n">
        <f aca="false">IF($M753="借",$O753,0)</f>
        <v>0</v>
      </c>
      <c r="J753" s="42" t="n">
        <f aca="false">IF($M753="贷",$O753,0)</f>
        <v>0</v>
      </c>
      <c r="K753" s="48" t="str">
        <f aca="false">IF($H753="","",购销流水!$E192)</f>
        <v/>
      </c>
      <c r="L753" s="66" t="str">
        <f aca="false">IF(购销流水!$D192="","",IFERROR(INDEX(记账规则!$A$6:$N$9,MATCH(购销流水!$D192,记账规则!$A$6:$A$9,0),12),""))</f>
        <v/>
      </c>
      <c r="M753" s="66" t="str">
        <f aca="false">IF($L753="","",IFERROR(INDEX(记账规则!$A$6:$N$9,MATCH(购销流水!$D192,记账规则!$A$6:$A$9,0),13),""))</f>
        <v/>
      </c>
      <c r="N753" s="66" t="str">
        <f aca="false">IF($L753="","",IFERROR(INDEX(记账规则!$A$6:$N$9,MATCH(购销流水!$D192,记账规则!$A$6:$A$9,0),14),""))</f>
        <v/>
      </c>
      <c r="O753" s="67" t="n">
        <f aca="false">IF($H753="",0,ROUND(IF($N753="成本金额",N(购销流水!$W192),IF($N753="金额",N(购销流水!$Q192),0)),2))</f>
        <v>0</v>
      </c>
      <c r="P753" s="64" t="str">
        <f aca="false">IF(AND($H753&lt;&gt;"",ROUND($O753,2)&lt;&gt;0),"有","")</f>
        <v/>
      </c>
    </row>
    <row r="754" customFormat="false" ht="15" hidden="true" customHeight="false" outlineLevel="0" collapsed="false">
      <c r="A754" s="53" t="str">
        <f aca="false">IF($H754="","",ROW()-5)</f>
        <v/>
      </c>
      <c r="B754" s="64" t="s">
        <v>36</v>
      </c>
      <c r="C754" s="53" t="n">
        <v>193</v>
      </c>
      <c r="D754" s="53" t="n">
        <v>1</v>
      </c>
      <c r="E754" s="65" t="str">
        <f aca="false">IF($H754="","",购销流水!$B193)</f>
        <v/>
      </c>
      <c r="F754" s="55" t="str">
        <f aca="false">IF($H754="","",购销流水!$C193)</f>
        <v/>
      </c>
      <c r="G754" s="48" t="str">
        <f aca="false">IF($H754="","",购销流水!$N193)</f>
        <v/>
      </c>
      <c r="H754" s="10" t="str">
        <f aca="false">IF($L754="","",IF($L754="@成本",购销流水!$U193,IF($L754="@收入",购销流水!$T193,IF($L754="@存货",购销流水!$S193,IF($L754="@结算",购销流水!$R193,$L754)))))</f>
        <v/>
      </c>
      <c r="I754" s="42" t="n">
        <f aca="false">IF($M754="借",$O754,0)</f>
        <v>0</v>
      </c>
      <c r="J754" s="42" t="n">
        <f aca="false">IF($M754="贷",$O754,0)</f>
        <v>0</v>
      </c>
      <c r="K754" s="48" t="str">
        <f aca="false">IF($H754="","",购销流水!$E193)</f>
        <v/>
      </c>
      <c r="L754" s="66" t="str">
        <f aca="false">IF(购销流水!$D193="","",IFERROR(INDEX(记账规则!$A$6:$N$9,MATCH(购销流水!$D193,记账规则!$A$6:$A$9,0),3),""))</f>
        <v/>
      </c>
      <c r="M754" s="66" t="str">
        <f aca="false">IF($L754="","",IFERROR(INDEX(记账规则!$A$6:$N$9,MATCH(购销流水!$D193,记账规则!$A$6:$A$9,0),4),""))</f>
        <v/>
      </c>
      <c r="N754" s="66" t="str">
        <f aca="false">IF($L754="","",IFERROR(INDEX(记账规则!$A$6:$N$9,MATCH(购销流水!$D193,记账规则!$A$6:$A$9,0),5),""))</f>
        <v/>
      </c>
      <c r="O754" s="67" t="n">
        <f aca="false">IF($H754="",0,ROUND(IF($N754="成本金额",N(购销流水!$W193),IF($N754="金额",N(购销流水!$Q193),0)),2))</f>
        <v>0</v>
      </c>
      <c r="P754" s="64" t="str">
        <f aca="false">IF(AND($H754&lt;&gt;"",ROUND($O754,2)&lt;&gt;0),"有","")</f>
        <v/>
      </c>
    </row>
    <row r="755" customFormat="false" ht="15" hidden="true" customHeight="false" outlineLevel="0" collapsed="false">
      <c r="A755" s="53" t="str">
        <f aca="false">IF($H755="","",ROW()-5)</f>
        <v/>
      </c>
      <c r="B755" s="64" t="s">
        <v>36</v>
      </c>
      <c r="C755" s="53" t="n">
        <v>193</v>
      </c>
      <c r="D755" s="53" t="n">
        <v>2</v>
      </c>
      <c r="E755" s="65" t="str">
        <f aca="false">IF($H755="","",购销流水!$B193)</f>
        <v/>
      </c>
      <c r="F755" s="55" t="str">
        <f aca="false">IF($H755="","",购销流水!$C193)</f>
        <v/>
      </c>
      <c r="G755" s="48" t="str">
        <f aca="false">IF($H755="","",购销流水!$N193)</f>
        <v/>
      </c>
      <c r="H755" s="10" t="str">
        <f aca="false">IF($L755="","",IF($L755="@成本",购销流水!$U193,IF($L755="@收入",购销流水!$T193,IF($L755="@存货",购销流水!$S193,IF($L755="@结算",购销流水!$R193,$L755)))))</f>
        <v/>
      </c>
      <c r="I755" s="42" t="n">
        <f aca="false">IF($M755="借",$O755,0)</f>
        <v>0</v>
      </c>
      <c r="J755" s="42" t="n">
        <f aca="false">IF($M755="贷",$O755,0)</f>
        <v>0</v>
      </c>
      <c r="K755" s="48" t="str">
        <f aca="false">IF($H755="","",购销流水!$E193)</f>
        <v/>
      </c>
      <c r="L755" s="66" t="str">
        <f aca="false">IF(购销流水!$D193="","",IFERROR(INDEX(记账规则!$A$6:$N$9,MATCH(购销流水!$D193,记账规则!$A$6:$A$9,0),6),""))</f>
        <v/>
      </c>
      <c r="M755" s="66" t="str">
        <f aca="false">IF($L755="","",IFERROR(INDEX(记账规则!$A$6:$N$9,MATCH(购销流水!$D193,记账规则!$A$6:$A$9,0),7),""))</f>
        <v/>
      </c>
      <c r="N755" s="66" t="str">
        <f aca="false">IF($L755="","",IFERROR(INDEX(记账规则!$A$6:$N$9,MATCH(购销流水!$D193,记账规则!$A$6:$A$9,0),8),""))</f>
        <v/>
      </c>
      <c r="O755" s="67" t="n">
        <f aca="false">IF($H755="",0,ROUND(IF($N755="成本金额",N(购销流水!$W193),IF($N755="金额",N(购销流水!$Q193),0)),2))</f>
        <v>0</v>
      </c>
      <c r="P755" s="64" t="str">
        <f aca="false">IF(AND($H755&lt;&gt;"",ROUND($O755,2)&lt;&gt;0),"有","")</f>
        <v/>
      </c>
    </row>
    <row r="756" customFormat="false" ht="15" hidden="true" customHeight="false" outlineLevel="0" collapsed="false">
      <c r="A756" s="53" t="str">
        <f aca="false">IF($H756="","",ROW()-5)</f>
        <v/>
      </c>
      <c r="B756" s="64" t="s">
        <v>36</v>
      </c>
      <c r="C756" s="53" t="n">
        <v>193</v>
      </c>
      <c r="D756" s="53" t="n">
        <v>3</v>
      </c>
      <c r="E756" s="65" t="str">
        <f aca="false">IF($H756="","",购销流水!$B193)</f>
        <v/>
      </c>
      <c r="F756" s="55" t="str">
        <f aca="false">IF($H756="","",购销流水!$C193)</f>
        <v/>
      </c>
      <c r="G756" s="48" t="str">
        <f aca="false">IF($H756="","",购销流水!$N193)</f>
        <v/>
      </c>
      <c r="H756" s="10" t="str">
        <f aca="false">IF($L756="","",IF($L756="@成本",购销流水!$U193,IF($L756="@收入",购销流水!$T193,IF($L756="@存货",购销流水!$S193,IF($L756="@结算",购销流水!$R193,$L756)))))</f>
        <v/>
      </c>
      <c r="I756" s="42" t="n">
        <f aca="false">IF($M756="借",$O756,0)</f>
        <v>0</v>
      </c>
      <c r="J756" s="42" t="n">
        <f aca="false">IF($M756="贷",$O756,0)</f>
        <v>0</v>
      </c>
      <c r="K756" s="48" t="str">
        <f aca="false">IF($H756="","",购销流水!$E193)</f>
        <v/>
      </c>
      <c r="L756" s="66" t="str">
        <f aca="false">IF(购销流水!$D193="","",IFERROR(INDEX(记账规则!$A$6:$N$9,MATCH(购销流水!$D193,记账规则!$A$6:$A$9,0),9),""))</f>
        <v/>
      </c>
      <c r="M756" s="66" t="str">
        <f aca="false">IF($L756="","",IFERROR(INDEX(记账规则!$A$6:$N$9,MATCH(购销流水!$D193,记账规则!$A$6:$A$9,0),10),""))</f>
        <v/>
      </c>
      <c r="N756" s="66" t="str">
        <f aca="false">IF($L756="","",IFERROR(INDEX(记账规则!$A$6:$N$9,MATCH(购销流水!$D193,记账规则!$A$6:$A$9,0),11),""))</f>
        <v/>
      </c>
      <c r="O756" s="67" t="n">
        <f aca="false">IF($H756="",0,ROUND(IF($N756="成本金额",N(购销流水!$W193),IF($N756="金额",N(购销流水!$Q193),0)),2))</f>
        <v>0</v>
      </c>
      <c r="P756" s="64" t="str">
        <f aca="false">IF(AND($H756&lt;&gt;"",ROUND($O756,2)&lt;&gt;0),"有","")</f>
        <v/>
      </c>
    </row>
    <row r="757" customFormat="false" ht="15" hidden="true" customHeight="false" outlineLevel="0" collapsed="false">
      <c r="A757" s="53" t="str">
        <f aca="false">IF($H757="","",ROW()-5)</f>
        <v/>
      </c>
      <c r="B757" s="64" t="s">
        <v>36</v>
      </c>
      <c r="C757" s="53" t="n">
        <v>193</v>
      </c>
      <c r="D757" s="53" t="n">
        <v>4</v>
      </c>
      <c r="E757" s="65" t="str">
        <f aca="false">IF($H757="","",购销流水!$B193)</f>
        <v/>
      </c>
      <c r="F757" s="55" t="str">
        <f aca="false">IF($H757="","",购销流水!$C193)</f>
        <v/>
      </c>
      <c r="G757" s="48" t="str">
        <f aca="false">IF($H757="","",购销流水!$N193)</f>
        <v/>
      </c>
      <c r="H757" s="10" t="str">
        <f aca="false">IF($L757="","",IF($L757="@成本",购销流水!$U193,IF($L757="@收入",购销流水!$T193,IF($L757="@存货",购销流水!$S193,IF($L757="@结算",购销流水!$R193,$L757)))))</f>
        <v/>
      </c>
      <c r="I757" s="42" t="n">
        <f aca="false">IF($M757="借",$O757,0)</f>
        <v>0</v>
      </c>
      <c r="J757" s="42" t="n">
        <f aca="false">IF($M757="贷",$O757,0)</f>
        <v>0</v>
      </c>
      <c r="K757" s="48" t="str">
        <f aca="false">IF($H757="","",购销流水!$E193)</f>
        <v/>
      </c>
      <c r="L757" s="66" t="str">
        <f aca="false">IF(购销流水!$D193="","",IFERROR(INDEX(记账规则!$A$6:$N$9,MATCH(购销流水!$D193,记账规则!$A$6:$A$9,0),12),""))</f>
        <v/>
      </c>
      <c r="M757" s="66" t="str">
        <f aca="false">IF($L757="","",IFERROR(INDEX(记账规则!$A$6:$N$9,MATCH(购销流水!$D193,记账规则!$A$6:$A$9,0),13),""))</f>
        <v/>
      </c>
      <c r="N757" s="66" t="str">
        <f aca="false">IF($L757="","",IFERROR(INDEX(记账规则!$A$6:$N$9,MATCH(购销流水!$D193,记账规则!$A$6:$A$9,0),14),""))</f>
        <v/>
      </c>
      <c r="O757" s="67" t="n">
        <f aca="false">IF($H757="",0,ROUND(IF($N757="成本金额",N(购销流水!$W193),IF($N757="金额",N(购销流水!$Q193),0)),2))</f>
        <v>0</v>
      </c>
      <c r="P757" s="64" t="str">
        <f aca="false">IF(AND($H757&lt;&gt;"",ROUND($O757,2)&lt;&gt;0),"有","")</f>
        <v/>
      </c>
    </row>
    <row r="758" customFormat="false" ht="15" hidden="true" customHeight="false" outlineLevel="0" collapsed="false">
      <c r="A758" s="53" t="str">
        <f aca="false">IF($H758="","",ROW()-5)</f>
        <v/>
      </c>
      <c r="B758" s="64" t="s">
        <v>36</v>
      </c>
      <c r="C758" s="53" t="n">
        <v>194</v>
      </c>
      <c r="D758" s="53" t="n">
        <v>1</v>
      </c>
      <c r="E758" s="65" t="str">
        <f aca="false">IF($H758="","",购销流水!$B194)</f>
        <v/>
      </c>
      <c r="F758" s="55" t="str">
        <f aca="false">IF($H758="","",购销流水!$C194)</f>
        <v/>
      </c>
      <c r="G758" s="48" t="str">
        <f aca="false">IF($H758="","",购销流水!$N194)</f>
        <v/>
      </c>
      <c r="H758" s="10" t="str">
        <f aca="false">IF($L758="","",IF($L758="@成本",购销流水!$U194,IF($L758="@收入",购销流水!$T194,IF($L758="@存货",购销流水!$S194,IF($L758="@结算",购销流水!$R194,$L758)))))</f>
        <v/>
      </c>
      <c r="I758" s="42" t="n">
        <f aca="false">IF($M758="借",$O758,0)</f>
        <v>0</v>
      </c>
      <c r="J758" s="42" t="n">
        <f aca="false">IF($M758="贷",$O758,0)</f>
        <v>0</v>
      </c>
      <c r="K758" s="48" t="str">
        <f aca="false">IF($H758="","",购销流水!$E194)</f>
        <v/>
      </c>
      <c r="L758" s="66" t="str">
        <f aca="false">IF(购销流水!$D194="","",IFERROR(INDEX(记账规则!$A$6:$N$9,MATCH(购销流水!$D194,记账规则!$A$6:$A$9,0),3),""))</f>
        <v/>
      </c>
      <c r="M758" s="66" t="str">
        <f aca="false">IF($L758="","",IFERROR(INDEX(记账规则!$A$6:$N$9,MATCH(购销流水!$D194,记账规则!$A$6:$A$9,0),4),""))</f>
        <v/>
      </c>
      <c r="N758" s="66" t="str">
        <f aca="false">IF($L758="","",IFERROR(INDEX(记账规则!$A$6:$N$9,MATCH(购销流水!$D194,记账规则!$A$6:$A$9,0),5),""))</f>
        <v/>
      </c>
      <c r="O758" s="67" t="n">
        <f aca="false">IF($H758="",0,ROUND(IF($N758="成本金额",N(购销流水!$W194),IF($N758="金额",N(购销流水!$Q194),0)),2))</f>
        <v>0</v>
      </c>
      <c r="P758" s="64" t="str">
        <f aca="false">IF(AND($H758&lt;&gt;"",ROUND($O758,2)&lt;&gt;0),"有","")</f>
        <v/>
      </c>
    </row>
    <row r="759" customFormat="false" ht="15" hidden="true" customHeight="false" outlineLevel="0" collapsed="false">
      <c r="A759" s="53" t="str">
        <f aca="false">IF($H759="","",ROW()-5)</f>
        <v/>
      </c>
      <c r="B759" s="64" t="s">
        <v>36</v>
      </c>
      <c r="C759" s="53" t="n">
        <v>194</v>
      </c>
      <c r="D759" s="53" t="n">
        <v>2</v>
      </c>
      <c r="E759" s="65" t="str">
        <f aca="false">IF($H759="","",购销流水!$B194)</f>
        <v/>
      </c>
      <c r="F759" s="55" t="str">
        <f aca="false">IF($H759="","",购销流水!$C194)</f>
        <v/>
      </c>
      <c r="G759" s="48" t="str">
        <f aca="false">IF($H759="","",购销流水!$N194)</f>
        <v/>
      </c>
      <c r="H759" s="10" t="str">
        <f aca="false">IF($L759="","",IF($L759="@成本",购销流水!$U194,IF($L759="@收入",购销流水!$T194,IF($L759="@存货",购销流水!$S194,IF($L759="@结算",购销流水!$R194,$L759)))))</f>
        <v/>
      </c>
      <c r="I759" s="42" t="n">
        <f aca="false">IF($M759="借",$O759,0)</f>
        <v>0</v>
      </c>
      <c r="J759" s="42" t="n">
        <f aca="false">IF($M759="贷",$O759,0)</f>
        <v>0</v>
      </c>
      <c r="K759" s="48" t="str">
        <f aca="false">IF($H759="","",购销流水!$E194)</f>
        <v/>
      </c>
      <c r="L759" s="66" t="str">
        <f aca="false">IF(购销流水!$D194="","",IFERROR(INDEX(记账规则!$A$6:$N$9,MATCH(购销流水!$D194,记账规则!$A$6:$A$9,0),6),""))</f>
        <v/>
      </c>
      <c r="M759" s="66" t="str">
        <f aca="false">IF($L759="","",IFERROR(INDEX(记账规则!$A$6:$N$9,MATCH(购销流水!$D194,记账规则!$A$6:$A$9,0),7),""))</f>
        <v/>
      </c>
      <c r="N759" s="66" t="str">
        <f aca="false">IF($L759="","",IFERROR(INDEX(记账规则!$A$6:$N$9,MATCH(购销流水!$D194,记账规则!$A$6:$A$9,0),8),""))</f>
        <v/>
      </c>
      <c r="O759" s="67" t="n">
        <f aca="false">IF($H759="",0,ROUND(IF($N759="成本金额",N(购销流水!$W194),IF($N759="金额",N(购销流水!$Q194),0)),2))</f>
        <v>0</v>
      </c>
      <c r="P759" s="64" t="str">
        <f aca="false">IF(AND($H759&lt;&gt;"",ROUND($O759,2)&lt;&gt;0),"有","")</f>
        <v/>
      </c>
    </row>
    <row r="760" customFormat="false" ht="15" hidden="true" customHeight="false" outlineLevel="0" collapsed="false">
      <c r="A760" s="53" t="str">
        <f aca="false">IF($H760="","",ROW()-5)</f>
        <v/>
      </c>
      <c r="B760" s="64" t="s">
        <v>36</v>
      </c>
      <c r="C760" s="53" t="n">
        <v>194</v>
      </c>
      <c r="D760" s="53" t="n">
        <v>3</v>
      </c>
      <c r="E760" s="65" t="str">
        <f aca="false">IF($H760="","",购销流水!$B194)</f>
        <v/>
      </c>
      <c r="F760" s="55" t="str">
        <f aca="false">IF($H760="","",购销流水!$C194)</f>
        <v/>
      </c>
      <c r="G760" s="48" t="str">
        <f aca="false">IF($H760="","",购销流水!$N194)</f>
        <v/>
      </c>
      <c r="H760" s="10" t="str">
        <f aca="false">IF($L760="","",IF($L760="@成本",购销流水!$U194,IF($L760="@收入",购销流水!$T194,IF($L760="@存货",购销流水!$S194,IF($L760="@结算",购销流水!$R194,$L760)))))</f>
        <v/>
      </c>
      <c r="I760" s="42" t="n">
        <f aca="false">IF($M760="借",$O760,0)</f>
        <v>0</v>
      </c>
      <c r="J760" s="42" t="n">
        <f aca="false">IF($M760="贷",$O760,0)</f>
        <v>0</v>
      </c>
      <c r="K760" s="48" t="str">
        <f aca="false">IF($H760="","",购销流水!$E194)</f>
        <v/>
      </c>
      <c r="L760" s="66" t="str">
        <f aca="false">IF(购销流水!$D194="","",IFERROR(INDEX(记账规则!$A$6:$N$9,MATCH(购销流水!$D194,记账规则!$A$6:$A$9,0),9),""))</f>
        <v/>
      </c>
      <c r="M760" s="66" t="str">
        <f aca="false">IF($L760="","",IFERROR(INDEX(记账规则!$A$6:$N$9,MATCH(购销流水!$D194,记账规则!$A$6:$A$9,0),10),""))</f>
        <v/>
      </c>
      <c r="N760" s="66" t="str">
        <f aca="false">IF($L760="","",IFERROR(INDEX(记账规则!$A$6:$N$9,MATCH(购销流水!$D194,记账规则!$A$6:$A$9,0),11),""))</f>
        <v/>
      </c>
      <c r="O760" s="67" t="n">
        <f aca="false">IF($H760="",0,ROUND(IF($N760="成本金额",N(购销流水!$W194),IF($N760="金额",N(购销流水!$Q194),0)),2))</f>
        <v>0</v>
      </c>
      <c r="P760" s="64" t="str">
        <f aca="false">IF(AND($H760&lt;&gt;"",ROUND($O760,2)&lt;&gt;0),"有","")</f>
        <v/>
      </c>
    </row>
    <row r="761" customFormat="false" ht="15" hidden="true" customHeight="false" outlineLevel="0" collapsed="false">
      <c r="A761" s="53" t="str">
        <f aca="false">IF($H761="","",ROW()-5)</f>
        <v/>
      </c>
      <c r="B761" s="64" t="s">
        <v>36</v>
      </c>
      <c r="C761" s="53" t="n">
        <v>194</v>
      </c>
      <c r="D761" s="53" t="n">
        <v>4</v>
      </c>
      <c r="E761" s="65" t="str">
        <f aca="false">IF($H761="","",购销流水!$B194)</f>
        <v/>
      </c>
      <c r="F761" s="55" t="str">
        <f aca="false">IF($H761="","",购销流水!$C194)</f>
        <v/>
      </c>
      <c r="G761" s="48" t="str">
        <f aca="false">IF($H761="","",购销流水!$N194)</f>
        <v/>
      </c>
      <c r="H761" s="10" t="str">
        <f aca="false">IF($L761="","",IF($L761="@成本",购销流水!$U194,IF($L761="@收入",购销流水!$T194,IF($L761="@存货",购销流水!$S194,IF($L761="@结算",购销流水!$R194,$L761)))))</f>
        <v/>
      </c>
      <c r="I761" s="42" t="n">
        <f aca="false">IF($M761="借",$O761,0)</f>
        <v>0</v>
      </c>
      <c r="J761" s="42" t="n">
        <f aca="false">IF($M761="贷",$O761,0)</f>
        <v>0</v>
      </c>
      <c r="K761" s="48" t="str">
        <f aca="false">IF($H761="","",购销流水!$E194)</f>
        <v/>
      </c>
      <c r="L761" s="66" t="str">
        <f aca="false">IF(购销流水!$D194="","",IFERROR(INDEX(记账规则!$A$6:$N$9,MATCH(购销流水!$D194,记账规则!$A$6:$A$9,0),12),""))</f>
        <v/>
      </c>
      <c r="M761" s="66" t="str">
        <f aca="false">IF($L761="","",IFERROR(INDEX(记账规则!$A$6:$N$9,MATCH(购销流水!$D194,记账规则!$A$6:$A$9,0),13),""))</f>
        <v/>
      </c>
      <c r="N761" s="66" t="str">
        <f aca="false">IF($L761="","",IFERROR(INDEX(记账规则!$A$6:$N$9,MATCH(购销流水!$D194,记账规则!$A$6:$A$9,0),14),""))</f>
        <v/>
      </c>
      <c r="O761" s="67" t="n">
        <f aca="false">IF($H761="",0,ROUND(IF($N761="成本金额",N(购销流水!$W194),IF($N761="金额",N(购销流水!$Q194),0)),2))</f>
        <v>0</v>
      </c>
      <c r="P761" s="64" t="str">
        <f aca="false">IF(AND($H761&lt;&gt;"",ROUND($O761,2)&lt;&gt;0),"有","")</f>
        <v/>
      </c>
    </row>
    <row r="762" customFormat="false" ht="15" hidden="true" customHeight="false" outlineLevel="0" collapsed="false">
      <c r="A762" s="53" t="str">
        <f aca="false">IF($H762="","",ROW()-5)</f>
        <v/>
      </c>
      <c r="B762" s="64" t="s">
        <v>36</v>
      </c>
      <c r="C762" s="53" t="n">
        <v>195</v>
      </c>
      <c r="D762" s="53" t="n">
        <v>1</v>
      </c>
      <c r="E762" s="65" t="str">
        <f aca="false">IF($H762="","",购销流水!$B195)</f>
        <v/>
      </c>
      <c r="F762" s="55" t="str">
        <f aca="false">IF($H762="","",购销流水!$C195)</f>
        <v/>
      </c>
      <c r="G762" s="48" t="str">
        <f aca="false">IF($H762="","",购销流水!$N195)</f>
        <v/>
      </c>
      <c r="H762" s="10" t="str">
        <f aca="false">IF($L762="","",IF($L762="@成本",购销流水!$U195,IF($L762="@收入",购销流水!$T195,IF($L762="@存货",购销流水!$S195,IF($L762="@结算",购销流水!$R195,$L762)))))</f>
        <v/>
      </c>
      <c r="I762" s="42" t="n">
        <f aca="false">IF($M762="借",$O762,0)</f>
        <v>0</v>
      </c>
      <c r="J762" s="42" t="n">
        <f aca="false">IF($M762="贷",$O762,0)</f>
        <v>0</v>
      </c>
      <c r="K762" s="48" t="str">
        <f aca="false">IF($H762="","",购销流水!$E195)</f>
        <v/>
      </c>
      <c r="L762" s="66" t="str">
        <f aca="false">IF(购销流水!$D195="","",IFERROR(INDEX(记账规则!$A$6:$N$9,MATCH(购销流水!$D195,记账规则!$A$6:$A$9,0),3),""))</f>
        <v/>
      </c>
      <c r="M762" s="66" t="str">
        <f aca="false">IF($L762="","",IFERROR(INDEX(记账规则!$A$6:$N$9,MATCH(购销流水!$D195,记账规则!$A$6:$A$9,0),4),""))</f>
        <v/>
      </c>
      <c r="N762" s="66" t="str">
        <f aca="false">IF($L762="","",IFERROR(INDEX(记账规则!$A$6:$N$9,MATCH(购销流水!$D195,记账规则!$A$6:$A$9,0),5),""))</f>
        <v/>
      </c>
      <c r="O762" s="67" t="n">
        <f aca="false">IF($H762="",0,ROUND(IF($N762="成本金额",N(购销流水!$W195),IF($N762="金额",N(购销流水!$Q195),0)),2))</f>
        <v>0</v>
      </c>
      <c r="P762" s="64" t="str">
        <f aca="false">IF(AND($H762&lt;&gt;"",ROUND($O762,2)&lt;&gt;0),"有","")</f>
        <v/>
      </c>
    </row>
    <row r="763" customFormat="false" ht="15" hidden="true" customHeight="false" outlineLevel="0" collapsed="false">
      <c r="A763" s="53" t="str">
        <f aca="false">IF($H763="","",ROW()-5)</f>
        <v/>
      </c>
      <c r="B763" s="64" t="s">
        <v>36</v>
      </c>
      <c r="C763" s="53" t="n">
        <v>195</v>
      </c>
      <c r="D763" s="53" t="n">
        <v>2</v>
      </c>
      <c r="E763" s="65" t="str">
        <f aca="false">IF($H763="","",购销流水!$B195)</f>
        <v/>
      </c>
      <c r="F763" s="55" t="str">
        <f aca="false">IF($H763="","",购销流水!$C195)</f>
        <v/>
      </c>
      <c r="G763" s="48" t="str">
        <f aca="false">IF($H763="","",购销流水!$N195)</f>
        <v/>
      </c>
      <c r="H763" s="10" t="str">
        <f aca="false">IF($L763="","",IF($L763="@成本",购销流水!$U195,IF($L763="@收入",购销流水!$T195,IF($L763="@存货",购销流水!$S195,IF($L763="@结算",购销流水!$R195,$L763)))))</f>
        <v/>
      </c>
      <c r="I763" s="42" t="n">
        <f aca="false">IF($M763="借",$O763,0)</f>
        <v>0</v>
      </c>
      <c r="J763" s="42" t="n">
        <f aca="false">IF($M763="贷",$O763,0)</f>
        <v>0</v>
      </c>
      <c r="K763" s="48" t="str">
        <f aca="false">IF($H763="","",购销流水!$E195)</f>
        <v/>
      </c>
      <c r="L763" s="66" t="str">
        <f aca="false">IF(购销流水!$D195="","",IFERROR(INDEX(记账规则!$A$6:$N$9,MATCH(购销流水!$D195,记账规则!$A$6:$A$9,0),6),""))</f>
        <v/>
      </c>
      <c r="M763" s="66" t="str">
        <f aca="false">IF($L763="","",IFERROR(INDEX(记账规则!$A$6:$N$9,MATCH(购销流水!$D195,记账规则!$A$6:$A$9,0),7),""))</f>
        <v/>
      </c>
      <c r="N763" s="66" t="str">
        <f aca="false">IF($L763="","",IFERROR(INDEX(记账规则!$A$6:$N$9,MATCH(购销流水!$D195,记账规则!$A$6:$A$9,0),8),""))</f>
        <v/>
      </c>
      <c r="O763" s="67" t="n">
        <f aca="false">IF($H763="",0,ROUND(IF($N763="成本金额",N(购销流水!$W195),IF($N763="金额",N(购销流水!$Q195),0)),2))</f>
        <v>0</v>
      </c>
      <c r="P763" s="64" t="str">
        <f aca="false">IF(AND($H763&lt;&gt;"",ROUND($O763,2)&lt;&gt;0),"有","")</f>
        <v/>
      </c>
    </row>
    <row r="764" customFormat="false" ht="15" hidden="true" customHeight="false" outlineLevel="0" collapsed="false">
      <c r="A764" s="53" t="str">
        <f aca="false">IF($H764="","",ROW()-5)</f>
        <v/>
      </c>
      <c r="B764" s="64" t="s">
        <v>36</v>
      </c>
      <c r="C764" s="53" t="n">
        <v>195</v>
      </c>
      <c r="D764" s="53" t="n">
        <v>3</v>
      </c>
      <c r="E764" s="65" t="str">
        <f aca="false">IF($H764="","",购销流水!$B195)</f>
        <v/>
      </c>
      <c r="F764" s="55" t="str">
        <f aca="false">IF($H764="","",购销流水!$C195)</f>
        <v/>
      </c>
      <c r="G764" s="48" t="str">
        <f aca="false">IF($H764="","",购销流水!$N195)</f>
        <v/>
      </c>
      <c r="H764" s="10" t="str">
        <f aca="false">IF($L764="","",IF($L764="@成本",购销流水!$U195,IF($L764="@收入",购销流水!$T195,IF($L764="@存货",购销流水!$S195,IF($L764="@结算",购销流水!$R195,$L764)))))</f>
        <v/>
      </c>
      <c r="I764" s="42" t="n">
        <f aca="false">IF($M764="借",$O764,0)</f>
        <v>0</v>
      </c>
      <c r="J764" s="42" t="n">
        <f aca="false">IF($M764="贷",$O764,0)</f>
        <v>0</v>
      </c>
      <c r="K764" s="48" t="str">
        <f aca="false">IF($H764="","",购销流水!$E195)</f>
        <v/>
      </c>
      <c r="L764" s="66" t="str">
        <f aca="false">IF(购销流水!$D195="","",IFERROR(INDEX(记账规则!$A$6:$N$9,MATCH(购销流水!$D195,记账规则!$A$6:$A$9,0),9),""))</f>
        <v/>
      </c>
      <c r="M764" s="66" t="str">
        <f aca="false">IF($L764="","",IFERROR(INDEX(记账规则!$A$6:$N$9,MATCH(购销流水!$D195,记账规则!$A$6:$A$9,0),10),""))</f>
        <v/>
      </c>
      <c r="N764" s="66" t="str">
        <f aca="false">IF($L764="","",IFERROR(INDEX(记账规则!$A$6:$N$9,MATCH(购销流水!$D195,记账规则!$A$6:$A$9,0),11),""))</f>
        <v/>
      </c>
      <c r="O764" s="67" t="n">
        <f aca="false">IF($H764="",0,ROUND(IF($N764="成本金额",N(购销流水!$W195),IF($N764="金额",N(购销流水!$Q195),0)),2))</f>
        <v>0</v>
      </c>
      <c r="P764" s="64" t="str">
        <f aca="false">IF(AND($H764&lt;&gt;"",ROUND($O764,2)&lt;&gt;0),"有","")</f>
        <v/>
      </c>
    </row>
    <row r="765" customFormat="false" ht="15" hidden="true" customHeight="false" outlineLevel="0" collapsed="false">
      <c r="A765" s="53" t="str">
        <f aca="false">IF($H765="","",ROW()-5)</f>
        <v/>
      </c>
      <c r="B765" s="64" t="s">
        <v>36</v>
      </c>
      <c r="C765" s="53" t="n">
        <v>195</v>
      </c>
      <c r="D765" s="53" t="n">
        <v>4</v>
      </c>
      <c r="E765" s="65" t="str">
        <f aca="false">IF($H765="","",购销流水!$B195)</f>
        <v/>
      </c>
      <c r="F765" s="55" t="str">
        <f aca="false">IF($H765="","",购销流水!$C195)</f>
        <v/>
      </c>
      <c r="G765" s="48" t="str">
        <f aca="false">IF($H765="","",购销流水!$N195)</f>
        <v/>
      </c>
      <c r="H765" s="10" t="str">
        <f aca="false">IF($L765="","",IF($L765="@成本",购销流水!$U195,IF($L765="@收入",购销流水!$T195,IF($L765="@存货",购销流水!$S195,IF($L765="@结算",购销流水!$R195,$L765)))))</f>
        <v/>
      </c>
      <c r="I765" s="42" t="n">
        <f aca="false">IF($M765="借",$O765,0)</f>
        <v>0</v>
      </c>
      <c r="J765" s="42" t="n">
        <f aca="false">IF($M765="贷",$O765,0)</f>
        <v>0</v>
      </c>
      <c r="K765" s="48" t="str">
        <f aca="false">IF($H765="","",购销流水!$E195)</f>
        <v/>
      </c>
      <c r="L765" s="66" t="str">
        <f aca="false">IF(购销流水!$D195="","",IFERROR(INDEX(记账规则!$A$6:$N$9,MATCH(购销流水!$D195,记账规则!$A$6:$A$9,0),12),""))</f>
        <v/>
      </c>
      <c r="M765" s="66" t="str">
        <f aca="false">IF($L765="","",IFERROR(INDEX(记账规则!$A$6:$N$9,MATCH(购销流水!$D195,记账规则!$A$6:$A$9,0),13),""))</f>
        <v/>
      </c>
      <c r="N765" s="66" t="str">
        <f aca="false">IF($L765="","",IFERROR(INDEX(记账规则!$A$6:$N$9,MATCH(购销流水!$D195,记账规则!$A$6:$A$9,0),14),""))</f>
        <v/>
      </c>
      <c r="O765" s="67" t="n">
        <f aca="false">IF($H765="",0,ROUND(IF($N765="成本金额",N(购销流水!$W195),IF($N765="金额",N(购销流水!$Q195),0)),2))</f>
        <v>0</v>
      </c>
      <c r="P765" s="64" t="str">
        <f aca="false">IF(AND($H765&lt;&gt;"",ROUND($O765,2)&lt;&gt;0),"有","")</f>
        <v/>
      </c>
    </row>
    <row r="766" customFormat="false" ht="15" hidden="true" customHeight="false" outlineLevel="0" collapsed="false">
      <c r="A766" s="53" t="str">
        <f aca="false">IF($H766="","",ROW()-5)</f>
        <v/>
      </c>
      <c r="B766" s="64" t="s">
        <v>36</v>
      </c>
      <c r="C766" s="53" t="n">
        <v>196</v>
      </c>
      <c r="D766" s="53" t="n">
        <v>1</v>
      </c>
      <c r="E766" s="65" t="str">
        <f aca="false">IF($H766="","",购销流水!$B196)</f>
        <v/>
      </c>
      <c r="F766" s="55" t="str">
        <f aca="false">IF($H766="","",购销流水!$C196)</f>
        <v/>
      </c>
      <c r="G766" s="48" t="str">
        <f aca="false">IF($H766="","",购销流水!$N196)</f>
        <v/>
      </c>
      <c r="H766" s="10" t="str">
        <f aca="false">IF($L766="","",IF($L766="@成本",购销流水!$U196,IF($L766="@收入",购销流水!$T196,IF($L766="@存货",购销流水!$S196,IF($L766="@结算",购销流水!$R196,$L766)))))</f>
        <v/>
      </c>
      <c r="I766" s="42" t="n">
        <f aca="false">IF($M766="借",$O766,0)</f>
        <v>0</v>
      </c>
      <c r="J766" s="42" t="n">
        <f aca="false">IF($M766="贷",$O766,0)</f>
        <v>0</v>
      </c>
      <c r="K766" s="48" t="str">
        <f aca="false">IF($H766="","",购销流水!$E196)</f>
        <v/>
      </c>
      <c r="L766" s="66" t="str">
        <f aca="false">IF(购销流水!$D196="","",IFERROR(INDEX(记账规则!$A$6:$N$9,MATCH(购销流水!$D196,记账规则!$A$6:$A$9,0),3),""))</f>
        <v/>
      </c>
      <c r="M766" s="66" t="str">
        <f aca="false">IF($L766="","",IFERROR(INDEX(记账规则!$A$6:$N$9,MATCH(购销流水!$D196,记账规则!$A$6:$A$9,0),4),""))</f>
        <v/>
      </c>
      <c r="N766" s="66" t="str">
        <f aca="false">IF($L766="","",IFERROR(INDEX(记账规则!$A$6:$N$9,MATCH(购销流水!$D196,记账规则!$A$6:$A$9,0),5),""))</f>
        <v/>
      </c>
      <c r="O766" s="67" t="n">
        <f aca="false">IF($H766="",0,ROUND(IF($N766="成本金额",N(购销流水!$W196),IF($N766="金额",N(购销流水!$Q196),0)),2))</f>
        <v>0</v>
      </c>
      <c r="P766" s="64" t="str">
        <f aca="false">IF(AND($H766&lt;&gt;"",ROUND($O766,2)&lt;&gt;0),"有","")</f>
        <v/>
      </c>
    </row>
    <row r="767" customFormat="false" ht="15" hidden="true" customHeight="false" outlineLevel="0" collapsed="false">
      <c r="A767" s="53" t="str">
        <f aca="false">IF($H767="","",ROW()-5)</f>
        <v/>
      </c>
      <c r="B767" s="64" t="s">
        <v>36</v>
      </c>
      <c r="C767" s="53" t="n">
        <v>196</v>
      </c>
      <c r="D767" s="53" t="n">
        <v>2</v>
      </c>
      <c r="E767" s="65" t="str">
        <f aca="false">IF($H767="","",购销流水!$B196)</f>
        <v/>
      </c>
      <c r="F767" s="55" t="str">
        <f aca="false">IF($H767="","",购销流水!$C196)</f>
        <v/>
      </c>
      <c r="G767" s="48" t="str">
        <f aca="false">IF($H767="","",购销流水!$N196)</f>
        <v/>
      </c>
      <c r="H767" s="10" t="str">
        <f aca="false">IF($L767="","",IF($L767="@成本",购销流水!$U196,IF($L767="@收入",购销流水!$T196,IF($L767="@存货",购销流水!$S196,IF($L767="@结算",购销流水!$R196,$L767)))))</f>
        <v/>
      </c>
      <c r="I767" s="42" t="n">
        <f aca="false">IF($M767="借",$O767,0)</f>
        <v>0</v>
      </c>
      <c r="J767" s="42" t="n">
        <f aca="false">IF($M767="贷",$O767,0)</f>
        <v>0</v>
      </c>
      <c r="K767" s="48" t="str">
        <f aca="false">IF($H767="","",购销流水!$E196)</f>
        <v/>
      </c>
      <c r="L767" s="66" t="str">
        <f aca="false">IF(购销流水!$D196="","",IFERROR(INDEX(记账规则!$A$6:$N$9,MATCH(购销流水!$D196,记账规则!$A$6:$A$9,0),6),""))</f>
        <v/>
      </c>
      <c r="M767" s="66" t="str">
        <f aca="false">IF($L767="","",IFERROR(INDEX(记账规则!$A$6:$N$9,MATCH(购销流水!$D196,记账规则!$A$6:$A$9,0),7),""))</f>
        <v/>
      </c>
      <c r="N767" s="66" t="str">
        <f aca="false">IF($L767="","",IFERROR(INDEX(记账规则!$A$6:$N$9,MATCH(购销流水!$D196,记账规则!$A$6:$A$9,0),8),""))</f>
        <v/>
      </c>
      <c r="O767" s="67" t="n">
        <f aca="false">IF($H767="",0,ROUND(IF($N767="成本金额",N(购销流水!$W196),IF($N767="金额",N(购销流水!$Q196),0)),2))</f>
        <v>0</v>
      </c>
      <c r="P767" s="64" t="str">
        <f aca="false">IF(AND($H767&lt;&gt;"",ROUND($O767,2)&lt;&gt;0),"有","")</f>
        <v/>
      </c>
    </row>
    <row r="768" customFormat="false" ht="15" hidden="true" customHeight="false" outlineLevel="0" collapsed="false">
      <c r="A768" s="53" t="str">
        <f aca="false">IF($H768="","",ROW()-5)</f>
        <v/>
      </c>
      <c r="B768" s="64" t="s">
        <v>36</v>
      </c>
      <c r="C768" s="53" t="n">
        <v>196</v>
      </c>
      <c r="D768" s="53" t="n">
        <v>3</v>
      </c>
      <c r="E768" s="65" t="str">
        <f aca="false">IF($H768="","",购销流水!$B196)</f>
        <v/>
      </c>
      <c r="F768" s="55" t="str">
        <f aca="false">IF($H768="","",购销流水!$C196)</f>
        <v/>
      </c>
      <c r="G768" s="48" t="str">
        <f aca="false">IF($H768="","",购销流水!$N196)</f>
        <v/>
      </c>
      <c r="H768" s="10" t="str">
        <f aca="false">IF($L768="","",IF($L768="@成本",购销流水!$U196,IF($L768="@收入",购销流水!$T196,IF($L768="@存货",购销流水!$S196,IF($L768="@结算",购销流水!$R196,$L768)))))</f>
        <v/>
      </c>
      <c r="I768" s="42" t="n">
        <f aca="false">IF($M768="借",$O768,0)</f>
        <v>0</v>
      </c>
      <c r="J768" s="42" t="n">
        <f aca="false">IF($M768="贷",$O768,0)</f>
        <v>0</v>
      </c>
      <c r="K768" s="48" t="str">
        <f aca="false">IF($H768="","",购销流水!$E196)</f>
        <v/>
      </c>
      <c r="L768" s="66" t="str">
        <f aca="false">IF(购销流水!$D196="","",IFERROR(INDEX(记账规则!$A$6:$N$9,MATCH(购销流水!$D196,记账规则!$A$6:$A$9,0),9),""))</f>
        <v/>
      </c>
      <c r="M768" s="66" t="str">
        <f aca="false">IF($L768="","",IFERROR(INDEX(记账规则!$A$6:$N$9,MATCH(购销流水!$D196,记账规则!$A$6:$A$9,0),10),""))</f>
        <v/>
      </c>
      <c r="N768" s="66" t="str">
        <f aca="false">IF($L768="","",IFERROR(INDEX(记账规则!$A$6:$N$9,MATCH(购销流水!$D196,记账规则!$A$6:$A$9,0),11),""))</f>
        <v/>
      </c>
      <c r="O768" s="67" t="n">
        <f aca="false">IF($H768="",0,ROUND(IF($N768="成本金额",N(购销流水!$W196),IF($N768="金额",N(购销流水!$Q196),0)),2))</f>
        <v>0</v>
      </c>
      <c r="P768" s="64" t="str">
        <f aca="false">IF(AND($H768&lt;&gt;"",ROUND($O768,2)&lt;&gt;0),"有","")</f>
        <v/>
      </c>
    </row>
    <row r="769" customFormat="false" ht="15" hidden="true" customHeight="false" outlineLevel="0" collapsed="false">
      <c r="A769" s="53" t="str">
        <f aca="false">IF($H769="","",ROW()-5)</f>
        <v/>
      </c>
      <c r="B769" s="64" t="s">
        <v>36</v>
      </c>
      <c r="C769" s="53" t="n">
        <v>196</v>
      </c>
      <c r="D769" s="53" t="n">
        <v>4</v>
      </c>
      <c r="E769" s="65" t="str">
        <f aca="false">IF($H769="","",购销流水!$B196)</f>
        <v/>
      </c>
      <c r="F769" s="55" t="str">
        <f aca="false">IF($H769="","",购销流水!$C196)</f>
        <v/>
      </c>
      <c r="G769" s="48" t="str">
        <f aca="false">IF($H769="","",购销流水!$N196)</f>
        <v/>
      </c>
      <c r="H769" s="10" t="str">
        <f aca="false">IF($L769="","",IF($L769="@成本",购销流水!$U196,IF($L769="@收入",购销流水!$T196,IF($L769="@存货",购销流水!$S196,IF($L769="@结算",购销流水!$R196,$L769)))))</f>
        <v/>
      </c>
      <c r="I769" s="42" t="n">
        <f aca="false">IF($M769="借",$O769,0)</f>
        <v>0</v>
      </c>
      <c r="J769" s="42" t="n">
        <f aca="false">IF($M769="贷",$O769,0)</f>
        <v>0</v>
      </c>
      <c r="K769" s="48" t="str">
        <f aca="false">IF($H769="","",购销流水!$E196)</f>
        <v/>
      </c>
      <c r="L769" s="66" t="str">
        <f aca="false">IF(购销流水!$D196="","",IFERROR(INDEX(记账规则!$A$6:$N$9,MATCH(购销流水!$D196,记账规则!$A$6:$A$9,0),12),""))</f>
        <v/>
      </c>
      <c r="M769" s="66" t="str">
        <f aca="false">IF($L769="","",IFERROR(INDEX(记账规则!$A$6:$N$9,MATCH(购销流水!$D196,记账规则!$A$6:$A$9,0),13),""))</f>
        <v/>
      </c>
      <c r="N769" s="66" t="str">
        <f aca="false">IF($L769="","",IFERROR(INDEX(记账规则!$A$6:$N$9,MATCH(购销流水!$D196,记账规则!$A$6:$A$9,0),14),""))</f>
        <v/>
      </c>
      <c r="O769" s="67" t="n">
        <f aca="false">IF($H769="",0,ROUND(IF($N769="成本金额",N(购销流水!$W196),IF($N769="金额",N(购销流水!$Q196),0)),2))</f>
        <v>0</v>
      </c>
      <c r="P769" s="64" t="str">
        <f aca="false">IF(AND($H769&lt;&gt;"",ROUND($O769,2)&lt;&gt;0),"有","")</f>
        <v/>
      </c>
    </row>
    <row r="770" customFormat="false" ht="15" hidden="true" customHeight="false" outlineLevel="0" collapsed="false">
      <c r="A770" s="53" t="str">
        <f aca="false">IF($H770="","",ROW()-5)</f>
        <v/>
      </c>
      <c r="B770" s="64" t="s">
        <v>36</v>
      </c>
      <c r="C770" s="53" t="n">
        <v>197</v>
      </c>
      <c r="D770" s="53" t="n">
        <v>1</v>
      </c>
      <c r="E770" s="65" t="str">
        <f aca="false">IF($H770="","",购销流水!$B197)</f>
        <v/>
      </c>
      <c r="F770" s="55" t="str">
        <f aca="false">IF($H770="","",购销流水!$C197)</f>
        <v/>
      </c>
      <c r="G770" s="48" t="str">
        <f aca="false">IF($H770="","",购销流水!$N197)</f>
        <v/>
      </c>
      <c r="H770" s="10" t="str">
        <f aca="false">IF($L770="","",IF($L770="@成本",购销流水!$U197,IF($L770="@收入",购销流水!$T197,IF($L770="@存货",购销流水!$S197,IF($L770="@结算",购销流水!$R197,$L770)))))</f>
        <v/>
      </c>
      <c r="I770" s="42" t="n">
        <f aca="false">IF($M770="借",$O770,0)</f>
        <v>0</v>
      </c>
      <c r="J770" s="42" t="n">
        <f aca="false">IF($M770="贷",$O770,0)</f>
        <v>0</v>
      </c>
      <c r="K770" s="48" t="str">
        <f aca="false">IF($H770="","",购销流水!$E197)</f>
        <v/>
      </c>
      <c r="L770" s="66" t="str">
        <f aca="false">IF(购销流水!$D197="","",IFERROR(INDEX(记账规则!$A$6:$N$9,MATCH(购销流水!$D197,记账规则!$A$6:$A$9,0),3),""))</f>
        <v/>
      </c>
      <c r="M770" s="66" t="str">
        <f aca="false">IF($L770="","",IFERROR(INDEX(记账规则!$A$6:$N$9,MATCH(购销流水!$D197,记账规则!$A$6:$A$9,0),4),""))</f>
        <v/>
      </c>
      <c r="N770" s="66" t="str">
        <f aca="false">IF($L770="","",IFERROR(INDEX(记账规则!$A$6:$N$9,MATCH(购销流水!$D197,记账规则!$A$6:$A$9,0),5),""))</f>
        <v/>
      </c>
      <c r="O770" s="67" t="n">
        <f aca="false">IF($H770="",0,ROUND(IF($N770="成本金额",N(购销流水!$W197),IF($N770="金额",N(购销流水!$Q197),0)),2))</f>
        <v>0</v>
      </c>
      <c r="P770" s="64" t="str">
        <f aca="false">IF(AND($H770&lt;&gt;"",ROUND($O770,2)&lt;&gt;0),"有","")</f>
        <v/>
      </c>
    </row>
    <row r="771" customFormat="false" ht="15" hidden="true" customHeight="false" outlineLevel="0" collapsed="false">
      <c r="A771" s="53" t="str">
        <f aca="false">IF($H771="","",ROW()-5)</f>
        <v/>
      </c>
      <c r="B771" s="64" t="s">
        <v>36</v>
      </c>
      <c r="C771" s="53" t="n">
        <v>197</v>
      </c>
      <c r="D771" s="53" t="n">
        <v>2</v>
      </c>
      <c r="E771" s="65" t="str">
        <f aca="false">IF($H771="","",购销流水!$B197)</f>
        <v/>
      </c>
      <c r="F771" s="55" t="str">
        <f aca="false">IF($H771="","",购销流水!$C197)</f>
        <v/>
      </c>
      <c r="G771" s="48" t="str">
        <f aca="false">IF($H771="","",购销流水!$N197)</f>
        <v/>
      </c>
      <c r="H771" s="10" t="str">
        <f aca="false">IF($L771="","",IF($L771="@成本",购销流水!$U197,IF($L771="@收入",购销流水!$T197,IF($L771="@存货",购销流水!$S197,IF($L771="@结算",购销流水!$R197,$L771)))))</f>
        <v/>
      </c>
      <c r="I771" s="42" t="n">
        <f aca="false">IF($M771="借",$O771,0)</f>
        <v>0</v>
      </c>
      <c r="J771" s="42" t="n">
        <f aca="false">IF($M771="贷",$O771,0)</f>
        <v>0</v>
      </c>
      <c r="K771" s="48" t="str">
        <f aca="false">IF($H771="","",购销流水!$E197)</f>
        <v/>
      </c>
      <c r="L771" s="66" t="str">
        <f aca="false">IF(购销流水!$D197="","",IFERROR(INDEX(记账规则!$A$6:$N$9,MATCH(购销流水!$D197,记账规则!$A$6:$A$9,0),6),""))</f>
        <v/>
      </c>
      <c r="M771" s="66" t="str">
        <f aca="false">IF($L771="","",IFERROR(INDEX(记账规则!$A$6:$N$9,MATCH(购销流水!$D197,记账规则!$A$6:$A$9,0),7),""))</f>
        <v/>
      </c>
      <c r="N771" s="66" t="str">
        <f aca="false">IF($L771="","",IFERROR(INDEX(记账规则!$A$6:$N$9,MATCH(购销流水!$D197,记账规则!$A$6:$A$9,0),8),""))</f>
        <v/>
      </c>
      <c r="O771" s="67" t="n">
        <f aca="false">IF($H771="",0,ROUND(IF($N771="成本金额",N(购销流水!$W197),IF($N771="金额",N(购销流水!$Q197),0)),2))</f>
        <v>0</v>
      </c>
      <c r="P771" s="64" t="str">
        <f aca="false">IF(AND($H771&lt;&gt;"",ROUND($O771,2)&lt;&gt;0),"有","")</f>
        <v/>
      </c>
    </row>
    <row r="772" customFormat="false" ht="15" hidden="true" customHeight="false" outlineLevel="0" collapsed="false">
      <c r="A772" s="53" t="str">
        <f aca="false">IF($H772="","",ROW()-5)</f>
        <v/>
      </c>
      <c r="B772" s="64" t="s">
        <v>36</v>
      </c>
      <c r="C772" s="53" t="n">
        <v>197</v>
      </c>
      <c r="D772" s="53" t="n">
        <v>3</v>
      </c>
      <c r="E772" s="65" t="str">
        <f aca="false">IF($H772="","",购销流水!$B197)</f>
        <v/>
      </c>
      <c r="F772" s="55" t="str">
        <f aca="false">IF($H772="","",购销流水!$C197)</f>
        <v/>
      </c>
      <c r="G772" s="48" t="str">
        <f aca="false">IF($H772="","",购销流水!$N197)</f>
        <v/>
      </c>
      <c r="H772" s="10" t="str">
        <f aca="false">IF($L772="","",IF($L772="@成本",购销流水!$U197,IF($L772="@收入",购销流水!$T197,IF($L772="@存货",购销流水!$S197,IF($L772="@结算",购销流水!$R197,$L772)))))</f>
        <v/>
      </c>
      <c r="I772" s="42" t="n">
        <f aca="false">IF($M772="借",$O772,0)</f>
        <v>0</v>
      </c>
      <c r="J772" s="42" t="n">
        <f aca="false">IF($M772="贷",$O772,0)</f>
        <v>0</v>
      </c>
      <c r="K772" s="48" t="str">
        <f aca="false">IF($H772="","",购销流水!$E197)</f>
        <v/>
      </c>
      <c r="L772" s="66" t="str">
        <f aca="false">IF(购销流水!$D197="","",IFERROR(INDEX(记账规则!$A$6:$N$9,MATCH(购销流水!$D197,记账规则!$A$6:$A$9,0),9),""))</f>
        <v/>
      </c>
      <c r="M772" s="66" t="str">
        <f aca="false">IF($L772="","",IFERROR(INDEX(记账规则!$A$6:$N$9,MATCH(购销流水!$D197,记账规则!$A$6:$A$9,0),10),""))</f>
        <v/>
      </c>
      <c r="N772" s="66" t="str">
        <f aca="false">IF($L772="","",IFERROR(INDEX(记账规则!$A$6:$N$9,MATCH(购销流水!$D197,记账规则!$A$6:$A$9,0),11),""))</f>
        <v/>
      </c>
      <c r="O772" s="67" t="n">
        <f aca="false">IF($H772="",0,ROUND(IF($N772="成本金额",N(购销流水!$W197),IF($N772="金额",N(购销流水!$Q197),0)),2))</f>
        <v>0</v>
      </c>
      <c r="P772" s="64" t="str">
        <f aca="false">IF(AND($H772&lt;&gt;"",ROUND($O772,2)&lt;&gt;0),"有","")</f>
        <v/>
      </c>
    </row>
    <row r="773" customFormat="false" ht="15" hidden="true" customHeight="false" outlineLevel="0" collapsed="false">
      <c r="A773" s="53" t="str">
        <f aca="false">IF($H773="","",ROW()-5)</f>
        <v/>
      </c>
      <c r="B773" s="64" t="s">
        <v>36</v>
      </c>
      <c r="C773" s="53" t="n">
        <v>197</v>
      </c>
      <c r="D773" s="53" t="n">
        <v>4</v>
      </c>
      <c r="E773" s="65" t="str">
        <f aca="false">IF($H773="","",购销流水!$B197)</f>
        <v/>
      </c>
      <c r="F773" s="55" t="str">
        <f aca="false">IF($H773="","",购销流水!$C197)</f>
        <v/>
      </c>
      <c r="G773" s="48" t="str">
        <f aca="false">IF($H773="","",购销流水!$N197)</f>
        <v/>
      </c>
      <c r="H773" s="10" t="str">
        <f aca="false">IF($L773="","",IF($L773="@成本",购销流水!$U197,IF($L773="@收入",购销流水!$T197,IF($L773="@存货",购销流水!$S197,IF($L773="@结算",购销流水!$R197,$L773)))))</f>
        <v/>
      </c>
      <c r="I773" s="42" t="n">
        <f aca="false">IF($M773="借",$O773,0)</f>
        <v>0</v>
      </c>
      <c r="J773" s="42" t="n">
        <f aca="false">IF($M773="贷",$O773,0)</f>
        <v>0</v>
      </c>
      <c r="K773" s="48" t="str">
        <f aca="false">IF($H773="","",购销流水!$E197)</f>
        <v/>
      </c>
      <c r="L773" s="66" t="str">
        <f aca="false">IF(购销流水!$D197="","",IFERROR(INDEX(记账规则!$A$6:$N$9,MATCH(购销流水!$D197,记账规则!$A$6:$A$9,0),12),""))</f>
        <v/>
      </c>
      <c r="M773" s="66" t="str">
        <f aca="false">IF($L773="","",IFERROR(INDEX(记账规则!$A$6:$N$9,MATCH(购销流水!$D197,记账规则!$A$6:$A$9,0),13),""))</f>
        <v/>
      </c>
      <c r="N773" s="66" t="str">
        <f aca="false">IF($L773="","",IFERROR(INDEX(记账规则!$A$6:$N$9,MATCH(购销流水!$D197,记账规则!$A$6:$A$9,0),14),""))</f>
        <v/>
      </c>
      <c r="O773" s="67" t="n">
        <f aca="false">IF($H773="",0,ROUND(IF($N773="成本金额",N(购销流水!$W197),IF($N773="金额",N(购销流水!$Q197),0)),2))</f>
        <v>0</v>
      </c>
      <c r="P773" s="64" t="str">
        <f aca="false">IF(AND($H773&lt;&gt;"",ROUND($O773,2)&lt;&gt;0),"有","")</f>
        <v/>
      </c>
    </row>
    <row r="774" customFormat="false" ht="15" hidden="true" customHeight="false" outlineLevel="0" collapsed="false">
      <c r="A774" s="53" t="str">
        <f aca="false">IF($H774="","",ROW()-5)</f>
        <v/>
      </c>
      <c r="B774" s="64" t="s">
        <v>36</v>
      </c>
      <c r="C774" s="53" t="n">
        <v>198</v>
      </c>
      <c r="D774" s="53" t="n">
        <v>1</v>
      </c>
      <c r="E774" s="65" t="str">
        <f aca="false">IF($H774="","",购销流水!$B198)</f>
        <v/>
      </c>
      <c r="F774" s="55" t="str">
        <f aca="false">IF($H774="","",购销流水!$C198)</f>
        <v/>
      </c>
      <c r="G774" s="48" t="str">
        <f aca="false">IF($H774="","",购销流水!$N198)</f>
        <v/>
      </c>
      <c r="H774" s="10" t="str">
        <f aca="false">IF($L774="","",IF($L774="@成本",购销流水!$U198,IF($L774="@收入",购销流水!$T198,IF($L774="@存货",购销流水!$S198,IF($L774="@结算",购销流水!$R198,$L774)))))</f>
        <v/>
      </c>
      <c r="I774" s="42" t="n">
        <f aca="false">IF($M774="借",$O774,0)</f>
        <v>0</v>
      </c>
      <c r="J774" s="42" t="n">
        <f aca="false">IF($M774="贷",$O774,0)</f>
        <v>0</v>
      </c>
      <c r="K774" s="48" t="str">
        <f aca="false">IF($H774="","",购销流水!$E198)</f>
        <v/>
      </c>
      <c r="L774" s="66" t="str">
        <f aca="false">IF(购销流水!$D198="","",IFERROR(INDEX(记账规则!$A$6:$N$9,MATCH(购销流水!$D198,记账规则!$A$6:$A$9,0),3),""))</f>
        <v/>
      </c>
      <c r="M774" s="66" t="str">
        <f aca="false">IF($L774="","",IFERROR(INDEX(记账规则!$A$6:$N$9,MATCH(购销流水!$D198,记账规则!$A$6:$A$9,0),4),""))</f>
        <v/>
      </c>
      <c r="N774" s="66" t="str">
        <f aca="false">IF($L774="","",IFERROR(INDEX(记账规则!$A$6:$N$9,MATCH(购销流水!$D198,记账规则!$A$6:$A$9,0),5),""))</f>
        <v/>
      </c>
      <c r="O774" s="67" t="n">
        <f aca="false">IF($H774="",0,ROUND(IF($N774="成本金额",N(购销流水!$W198),IF($N774="金额",N(购销流水!$Q198),0)),2))</f>
        <v>0</v>
      </c>
      <c r="P774" s="64" t="str">
        <f aca="false">IF(AND($H774&lt;&gt;"",ROUND($O774,2)&lt;&gt;0),"有","")</f>
        <v/>
      </c>
    </row>
    <row r="775" customFormat="false" ht="15" hidden="true" customHeight="false" outlineLevel="0" collapsed="false">
      <c r="A775" s="53" t="str">
        <f aca="false">IF($H775="","",ROW()-5)</f>
        <v/>
      </c>
      <c r="B775" s="64" t="s">
        <v>36</v>
      </c>
      <c r="C775" s="53" t="n">
        <v>198</v>
      </c>
      <c r="D775" s="53" t="n">
        <v>2</v>
      </c>
      <c r="E775" s="65" t="str">
        <f aca="false">IF($H775="","",购销流水!$B198)</f>
        <v/>
      </c>
      <c r="F775" s="55" t="str">
        <f aca="false">IF($H775="","",购销流水!$C198)</f>
        <v/>
      </c>
      <c r="G775" s="48" t="str">
        <f aca="false">IF($H775="","",购销流水!$N198)</f>
        <v/>
      </c>
      <c r="H775" s="10" t="str">
        <f aca="false">IF($L775="","",IF($L775="@成本",购销流水!$U198,IF($L775="@收入",购销流水!$T198,IF($L775="@存货",购销流水!$S198,IF($L775="@结算",购销流水!$R198,$L775)))))</f>
        <v/>
      </c>
      <c r="I775" s="42" t="n">
        <f aca="false">IF($M775="借",$O775,0)</f>
        <v>0</v>
      </c>
      <c r="J775" s="42" t="n">
        <f aca="false">IF($M775="贷",$O775,0)</f>
        <v>0</v>
      </c>
      <c r="K775" s="48" t="str">
        <f aca="false">IF($H775="","",购销流水!$E198)</f>
        <v/>
      </c>
      <c r="L775" s="66" t="str">
        <f aca="false">IF(购销流水!$D198="","",IFERROR(INDEX(记账规则!$A$6:$N$9,MATCH(购销流水!$D198,记账规则!$A$6:$A$9,0),6),""))</f>
        <v/>
      </c>
      <c r="M775" s="66" t="str">
        <f aca="false">IF($L775="","",IFERROR(INDEX(记账规则!$A$6:$N$9,MATCH(购销流水!$D198,记账规则!$A$6:$A$9,0),7),""))</f>
        <v/>
      </c>
      <c r="N775" s="66" t="str">
        <f aca="false">IF($L775="","",IFERROR(INDEX(记账规则!$A$6:$N$9,MATCH(购销流水!$D198,记账规则!$A$6:$A$9,0),8),""))</f>
        <v/>
      </c>
      <c r="O775" s="67" t="n">
        <f aca="false">IF($H775="",0,ROUND(IF($N775="成本金额",N(购销流水!$W198),IF($N775="金额",N(购销流水!$Q198),0)),2))</f>
        <v>0</v>
      </c>
      <c r="P775" s="64" t="str">
        <f aca="false">IF(AND($H775&lt;&gt;"",ROUND($O775,2)&lt;&gt;0),"有","")</f>
        <v/>
      </c>
    </row>
    <row r="776" customFormat="false" ht="15" hidden="true" customHeight="false" outlineLevel="0" collapsed="false">
      <c r="A776" s="53" t="str">
        <f aca="false">IF($H776="","",ROW()-5)</f>
        <v/>
      </c>
      <c r="B776" s="64" t="s">
        <v>36</v>
      </c>
      <c r="C776" s="53" t="n">
        <v>198</v>
      </c>
      <c r="D776" s="53" t="n">
        <v>3</v>
      </c>
      <c r="E776" s="65" t="str">
        <f aca="false">IF($H776="","",购销流水!$B198)</f>
        <v/>
      </c>
      <c r="F776" s="55" t="str">
        <f aca="false">IF($H776="","",购销流水!$C198)</f>
        <v/>
      </c>
      <c r="G776" s="48" t="str">
        <f aca="false">IF($H776="","",购销流水!$N198)</f>
        <v/>
      </c>
      <c r="H776" s="10" t="str">
        <f aca="false">IF($L776="","",IF($L776="@成本",购销流水!$U198,IF($L776="@收入",购销流水!$T198,IF($L776="@存货",购销流水!$S198,IF($L776="@结算",购销流水!$R198,$L776)))))</f>
        <v/>
      </c>
      <c r="I776" s="42" t="n">
        <f aca="false">IF($M776="借",$O776,0)</f>
        <v>0</v>
      </c>
      <c r="J776" s="42" t="n">
        <f aca="false">IF($M776="贷",$O776,0)</f>
        <v>0</v>
      </c>
      <c r="K776" s="48" t="str">
        <f aca="false">IF($H776="","",购销流水!$E198)</f>
        <v/>
      </c>
      <c r="L776" s="66" t="str">
        <f aca="false">IF(购销流水!$D198="","",IFERROR(INDEX(记账规则!$A$6:$N$9,MATCH(购销流水!$D198,记账规则!$A$6:$A$9,0),9),""))</f>
        <v/>
      </c>
      <c r="M776" s="66" t="str">
        <f aca="false">IF($L776="","",IFERROR(INDEX(记账规则!$A$6:$N$9,MATCH(购销流水!$D198,记账规则!$A$6:$A$9,0),10),""))</f>
        <v/>
      </c>
      <c r="N776" s="66" t="str">
        <f aca="false">IF($L776="","",IFERROR(INDEX(记账规则!$A$6:$N$9,MATCH(购销流水!$D198,记账规则!$A$6:$A$9,0),11),""))</f>
        <v/>
      </c>
      <c r="O776" s="67" t="n">
        <f aca="false">IF($H776="",0,ROUND(IF($N776="成本金额",N(购销流水!$W198),IF($N776="金额",N(购销流水!$Q198),0)),2))</f>
        <v>0</v>
      </c>
      <c r="P776" s="64" t="str">
        <f aca="false">IF(AND($H776&lt;&gt;"",ROUND($O776,2)&lt;&gt;0),"有","")</f>
        <v/>
      </c>
    </row>
    <row r="777" customFormat="false" ht="15" hidden="true" customHeight="false" outlineLevel="0" collapsed="false">
      <c r="A777" s="53" t="str">
        <f aca="false">IF($H777="","",ROW()-5)</f>
        <v/>
      </c>
      <c r="B777" s="64" t="s">
        <v>36</v>
      </c>
      <c r="C777" s="53" t="n">
        <v>198</v>
      </c>
      <c r="D777" s="53" t="n">
        <v>4</v>
      </c>
      <c r="E777" s="65" t="str">
        <f aca="false">IF($H777="","",购销流水!$B198)</f>
        <v/>
      </c>
      <c r="F777" s="55" t="str">
        <f aca="false">IF($H777="","",购销流水!$C198)</f>
        <v/>
      </c>
      <c r="G777" s="48" t="str">
        <f aca="false">IF($H777="","",购销流水!$N198)</f>
        <v/>
      </c>
      <c r="H777" s="10" t="str">
        <f aca="false">IF($L777="","",IF($L777="@成本",购销流水!$U198,IF($L777="@收入",购销流水!$T198,IF($L777="@存货",购销流水!$S198,IF($L777="@结算",购销流水!$R198,$L777)))))</f>
        <v/>
      </c>
      <c r="I777" s="42" t="n">
        <f aca="false">IF($M777="借",$O777,0)</f>
        <v>0</v>
      </c>
      <c r="J777" s="42" t="n">
        <f aca="false">IF($M777="贷",$O777,0)</f>
        <v>0</v>
      </c>
      <c r="K777" s="48" t="str">
        <f aca="false">IF($H777="","",购销流水!$E198)</f>
        <v/>
      </c>
      <c r="L777" s="66" t="str">
        <f aca="false">IF(购销流水!$D198="","",IFERROR(INDEX(记账规则!$A$6:$N$9,MATCH(购销流水!$D198,记账规则!$A$6:$A$9,0),12),""))</f>
        <v/>
      </c>
      <c r="M777" s="66" t="str">
        <f aca="false">IF($L777="","",IFERROR(INDEX(记账规则!$A$6:$N$9,MATCH(购销流水!$D198,记账规则!$A$6:$A$9,0),13),""))</f>
        <v/>
      </c>
      <c r="N777" s="66" t="str">
        <f aca="false">IF($L777="","",IFERROR(INDEX(记账规则!$A$6:$N$9,MATCH(购销流水!$D198,记账规则!$A$6:$A$9,0),14),""))</f>
        <v/>
      </c>
      <c r="O777" s="67" t="n">
        <f aca="false">IF($H777="",0,ROUND(IF($N777="成本金额",N(购销流水!$W198),IF($N777="金额",N(购销流水!$Q198),0)),2))</f>
        <v>0</v>
      </c>
      <c r="P777" s="64" t="str">
        <f aca="false">IF(AND($H777&lt;&gt;"",ROUND($O777,2)&lt;&gt;0),"有","")</f>
        <v/>
      </c>
    </row>
    <row r="778" customFormat="false" ht="15" hidden="true" customHeight="false" outlineLevel="0" collapsed="false">
      <c r="A778" s="53" t="str">
        <f aca="false">IF($H778="","",ROW()-5)</f>
        <v/>
      </c>
      <c r="B778" s="64" t="s">
        <v>36</v>
      </c>
      <c r="C778" s="53" t="n">
        <v>199</v>
      </c>
      <c r="D778" s="53" t="n">
        <v>1</v>
      </c>
      <c r="E778" s="65" t="str">
        <f aca="false">IF($H778="","",购销流水!$B199)</f>
        <v/>
      </c>
      <c r="F778" s="55" t="str">
        <f aca="false">IF($H778="","",购销流水!$C199)</f>
        <v/>
      </c>
      <c r="G778" s="48" t="str">
        <f aca="false">IF($H778="","",购销流水!$N199)</f>
        <v/>
      </c>
      <c r="H778" s="10" t="str">
        <f aca="false">IF($L778="","",IF($L778="@成本",购销流水!$U199,IF($L778="@收入",购销流水!$T199,IF($L778="@存货",购销流水!$S199,IF($L778="@结算",购销流水!$R199,$L778)))))</f>
        <v/>
      </c>
      <c r="I778" s="42" t="n">
        <f aca="false">IF($M778="借",$O778,0)</f>
        <v>0</v>
      </c>
      <c r="J778" s="42" t="n">
        <f aca="false">IF($M778="贷",$O778,0)</f>
        <v>0</v>
      </c>
      <c r="K778" s="48" t="str">
        <f aca="false">IF($H778="","",购销流水!$E199)</f>
        <v/>
      </c>
      <c r="L778" s="66" t="str">
        <f aca="false">IF(购销流水!$D199="","",IFERROR(INDEX(记账规则!$A$6:$N$9,MATCH(购销流水!$D199,记账规则!$A$6:$A$9,0),3),""))</f>
        <v/>
      </c>
      <c r="M778" s="66" t="str">
        <f aca="false">IF($L778="","",IFERROR(INDEX(记账规则!$A$6:$N$9,MATCH(购销流水!$D199,记账规则!$A$6:$A$9,0),4),""))</f>
        <v/>
      </c>
      <c r="N778" s="66" t="str">
        <f aca="false">IF($L778="","",IFERROR(INDEX(记账规则!$A$6:$N$9,MATCH(购销流水!$D199,记账规则!$A$6:$A$9,0),5),""))</f>
        <v/>
      </c>
      <c r="O778" s="67" t="n">
        <f aca="false">IF($H778="",0,ROUND(IF($N778="成本金额",N(购销流水!$W199),IF($N778="金额",N(购销流水!$Q199),0)),2))</f>
        <v>0</v>
      </c>
      <c r="P778" s="64" t="str">
        <f aca="false">IF(AND($H778&lt;&gt;"",ROUND($O778,2)&lt;&gt;0),"有","")</f>
        <v/>
      </c>
    </row>
    <row r="779" customFormat="false" ht="15" hidden="true" customHeight="false" outlineLevel="0" collapsed="false">
      <c r="A779" s="53" t="str">
        <f aca="false">IF($H779="","",ROW()-5)</f>
        <v/>
      </c>
      <c r="B779" s="64" t="s">
        <v>36</v>
      </c>
      <c r="C779" s="53" t="n">
        <v>199</v>
      </c>
      <c r="D779" s="53" t="n">
        <v>2</v>
      </c>
      <c r="E779" s="65" t="str">
        <f aca="false">IF($H779="","",购销流水!$B199)</f>
        <v/>
      </c>
      <c r="F779" s="55" t="str">
        <f aca="false">IF($H779="","",购销流水!$C199)</f>
        <v/>
      </c>
      <c r="G779" s="48" t="str">
        <f aca="false">IF($H779="","",购销流水!$N199)</f>
        <v/>
      </c>
      <c r="H779" s="10" t="str">
        <f aca="false">IF($L779="","",IF($L779="@成本",购销流水!$U199,IF($L779="@收入",购销流水!$T199,IF($L779="@存货",购销流水!$S199,IF($L779="@结算",购销流水!$R199,$L779)))))</f>
        <v/>
      </c>
      <c r="I779" s="42" t="n">
        <f aca="false">IF($M779="借",$O779,0)</f>
        <v>0</v>
      </c>
      <c r="J779" s="42" t="n">
        <f aca="false">IF($M779="贷",$O779,0)</f>
        <v>0</v>
      </c>
      <c r="K779" s="48" t="str">
        <f aca="false">IF($H779="","",购销流水!$E199)</f>
        <v/>
      </c>
      <c r="L779" s="66" t="str">
        <f aca="false">IF(购销流水!$D199="","",IFERROR(INDEX(记账规则!$A$6:$N$9,MATCH(购销流水!$D199,记账规则!$A$6:$A$9,0),6),""))</f>
        <v/>
      </c>
      <c r="M779" s="66" t="str">
        <f aca="false">IF($L779="","",IFERROR(INDEX(记账规则!$A$6:$N$9,MATCH(购销流水!$D199,记账规则!$A$6:$A$9,0),7),""))</f>
        <v/>
      </c>
      <c r="N779" s="66" t="str">
        <f aca="false">IF($L779="","",IFERROR(INDEX(记账规则!$A$6:$N$9,MATCH(购销流水!$D199,记账规则!$A$6:$A$9,0),8),""))</f>
        <v/>
      </c>
      <c r="O779" s="67" t="n">
        <f aca="false">IF($H779="",0,ROUND(IF($N779="成本金额",N(购销流水!$W199),IF($N779="金额",N(购销流水!$Q199),0)),2))</f>
        <v>0</v>
      </c>
      <c r="P779" s="64" t="str">
        <f aca="false">IF(AND($H779&lt;&gt;"",ROUND($O779,2)&lt;&gt;0),"有","")</f>
        <v/>
      </c>
    </row>
    <row r="780" customFormat="false" ht="15" hidden="true" customHeight="false" outlineLevel="0" collapsed="false">
      <c r="A780" s="53" t="str">
        <f aca="false">IF($H780="","",ROW()-5)</f>
        <v/>
      </c>
      <c r="B780" s="64" t="s">
        <v>36</v>
      </c>
      <c r="C780" s="53" t="n">
        <v>199</v>
      </c>
      <c r="D780" s="53" t="n">
        <v>3</v>
      </c>
      <c r="E780" s="65" t="str">
        <f aca="false">IF($H780="","",购销流水!$B199)</f>
        <v/>
      </c>
      <c r="F780" s="55" t="str">
        <f aca="false">IF($H780="","",购销流水!$C199)</f>
        <v/>
      </c>
      <c r="G780" s="48" t="str">
        <f aca="false">IF($H780="","",购销流水!$N199)</f>
        <v/>
      </c>
      <c r="H780" s="10" t="str">
        <f aca="false">IF($L780="","",IF($L780="@成本",购销流水!$U199,IF($L780="@收入",购销流水!$T199,IF($L780="@存货",购销流水!$S199,IF($L780="@结算",购销流水!$R199,$L780)))))</f>
        <v/>
      </c>
      <c r="I780" s="42" t="n">
        <f aca="false">IF($M780="借",$O780,0)</f>
        <v>0</v>
      </c>
      <c r="J780" s="42" t="n">
        <f aca="false">IF($M780="贷",$O780,0)</f>
        <v>0</v>
      </c>
      <c r="K780" s="48" t="str">
        <f aca="false">IF($H780="","",购销流水!$E199)</f>
        <v/>
      </c>
      <c r="L780" s="66" t="str">
        <f aca="false">IF(购销流水!$D199="","",IFERROR(INDEX(记账规则!$A$6:$N$9,MATCH(购销流水!$D199,记账规则!$A$6:$A$9,0),9),""))</f>
        <v/>
      </c>
      <c r="M780" s="66" t="str">
        <f aca="false">IF($L780="","",IFERROR(INDEX(记账规则!$A$6:$N$9,MATCH(购销流水!$D199,记账规则!$A$6:$A$9,0),10),""))</f>
        <v/>
      </c>
      <c r="N780" s="66" t="str">
        <f aca="false">IF($L780="","",IFERROR(INDEX(记账规则!$A$6:$N$9,MATCH(购销流水!$D199,记账规则!$A$6:$A$9,0),11),""))</f>
        <v/>
      </c>
      <c r="O780" s="67" t="n">
        <f aca="false">IF($H780="",0,ROUND(IF($N780="成本金额",N(购销流水!$W199),IF($N780="金额",N(购销流水!$Q199),0)),2))</f>
        <v>0</v>
      </c>
      <c r="P780" s="64" t="str">
        <f aca="false">IF(AND($H780&lt;&gt;"",ROUND($O780,2)&lt;&gt;0),"有","")</f>
        <v/>
      </c>
    </row>
    <row r="781" customFormat="false" ht="15" hidden="true" customHeight="false" outlineLevel="0" collapsed="false">
      <c r="A781" s="53" t="str">
        <f aca="false">IF($H781="","",ROW()-5)</f>
        <v/>
      </c>
      <c r="B781" s="64" t="s">
        <v>36</v>
      </c>
      <c r="C781" s="53" t="n">
        <v>199</v>
      </c>
      <c r="D781" s="53" t="n">
        <v>4</v>
      </c>
      <c r="E781" s="65" t="str">
        <f aca="false">IF($H781="","",购销流水!$B199)</f>
        <v/>
      </c>
      <c r="F781" s="55" t="str">
        <f aca="false">IF($H781="","",购销流水!$C199)</f>
        <v/>
      </c>
      <c r="G781" s="48" t="str">
        <f aca="false">IF($H781="","",购销流水!$N199)</f>
        <v/>
      </c>
      <c r="H781" s="10" t="str">
        <f aca="false">IF($L781="","",IF($L781="@成本",购销流水!$U199,IF($L781="@收入",购销流水!$T199,IF($L781="@存货",购销流水!$S199,IF($L781="@结算",购销流水!$R199,$L781)))))</f>
        <v/>
      </c>
      <c r="I781" s="42" t="n">
        <f aca="false">IF($M781="借",$O781,0)</f>
        <v>0</v>
      </c>
      <c r="J781" s="42" t="n">
        <f aca="false">IF($M781="贷",$O781,0)</f>
        <v>0</v>
      </c>
      <c r="K781" s="48" t="str">
        <f aca="false">IF($H781="","",购销流水!$E199)</f>
        <v/>
      </c>
      <c r="L781" s="66" t="str">
        <f aca="false">IF(购销流水!$D199="","",IFERROR(INDEX(记账规则!$A$6:$N$9,MATCH(购销流水!$D199,记账规则!$A$6:$A$9,0),12),""))</f>
        <v/>
      </c>
      <c r="M781" s="66" t="str">
        <f aca="false">IF($L781="","",IFERROR(INDEX(记账规则!$A$6:$N$9,MATCH(购销流水!$D199,记账规则!$A$6:$A$9,0),13),""))</f>
        <v/>
      </c>
      <c r="N781" s="66" t="str">
        <f aca="false">IF($L781="","",IFERROR(INDEX(记账规则!$A$6:$N$9,MATCH(购销流水!$D199,记账规则!$A$6:$A$9,0),14),""))</f>
        <v/>
      </c>
      <c r="O781" s="67" t="n">
        <f aca="false">IF($H781="",0,ROUND(IF($N781="成本金额",N(购销流水!$W199),IF($N781="金额",N(购销流水!$Q199),0)),2))</f>
        <v>0</v>
      </c>
      <c r="P781" s="64" t="str">
        <f aca="false">IF(AND($H781&lt;&gt;"",ROUND($O781,2)&lt;&gt;0),"有","")</f>
        <v/>
      </c>
    </row>
    <row r="782" customFormat="false" ht="15" hidden="true" customHeight="false" outlineLevel="0" collapsed="false">
      <c r="A782" s="53" t="str">
        <f aca="false">IF($H782="","",ROW()-5)</f>
        <v/>
      </c>
      <c r="B782" s="64" t="s">
        <v>36</v>
      </c>
      <c r="C782" s="53" t="n">
        <v>200</v>
      </c>
      <c r="D782" s="53" t="n">
        <v>1</v>
      </c>
      <c r="E782" s="65" t="str">
        <f aca="false">IF($H782="","",购销流水!$B200)</f>
        <v/>
      </c>
      <c r="F782" s="55" t="str">
        <f aca="false">IF($H782="","",购销流水!$C200)</f>
        <v/>
      </c>
      <c r="G782" s="48" t="str">
        <f aca="false">IF($H782="","",购销流水!$N200)</f>
        <v/>
      </c>
      <c r="H782" s="10" t="str">
        <f aca="false">IF($L782="","",IF($L782="@成本",购销流水!$U200,IF($L782="@收入",购销流水!$T200,IF($L782="@存货",购销流水!$S200,IF($L782="@结算",购销流水!$R200,$L782)))))</f>
        <v/>
      </c>
      <c r="I782" s="42" t="n">
        <f aca="false">IF($M782="借",$O782,0)</f>
        <v>0</v>
      </c>
      <c r="J782" s="42" t="n">
        <f aca="false">IF($M782="贷",$O782,0)</f>
        <v>0</v>
      </c>
      <c r="K782" s="48" t="str">
        <f aca="false">IF($H782="","",购销流水!$E200)</f>
        <v/>
      </c>
      <c r="L782" s="66" t="str">
        <f aca="false">IF(购销流水!$D200="","",IFERROR(INDEX(记账规则!$A$6:$N$9,MATCH(购销流水!$D200,记账规则!$A$6:$A$9,0),3),""))</f>
        <v/>
      </c>
      <c r="M782" s="66" t="str">
        <f aca="false">IF($L782="","",IFERROR(INDEX(记账规则!$A$6:$N$9,MATCH(购销流水!$D200,记账规则!$A$6:$A$9,0),4),""))</f>
        <v/>
      </c>
      <c r="N782" s="66" t="str">
        <f aca="false">IF($L782="","",IFERROR(INDEX(记账规则!$A$6:$N$9,MATCH(购销流水!$D200,记账规则!$A$6:$A$9,0),5),""))</f>
        <v/>
      </c>
      <c r="O782" s="67" t="n">
        <f aca="false">IF($H782="",0,ROUND(IF($N782="成本金额",N(购销流水!$W200),IF($N782="金额",N(购销流水!$Q200),0)),2))</f>
        <v>0</v>
      </c>
      <c r="P782" s="64" t="str">
        <f aca="false">IF(AND($H782&lt;&gt;"",ROUND($O782,2)&lt;&gt;0),"有","")</f>
        <v/>
      </c>
    </row>
    <row r="783" customFormat="false" ht="15" hidden="true" customHeight="false" outlineLevel="0" collapsed="false">
      <c r="A783" s="53" t="str">
        <f aca="false">IF($H783="","",ROW()-5)</f>
        <v/>
      </c>
      <c r="B783" s="64" t="s">
        <v>36</v>
      </c>
      <c r="C783" s="53" t="n">
        <v>200</v>
      </c>
      <c r="D783" s="53" t="n">
        <v>2</v>
      </c>
      <c r="E783" s="65" t="str">
        <f aca="false">IF($H783="","",购销流水!$B200)</f>
        <v/>
      </c>
      <c r="F783" s="55" t="str">
        <f aca="false">IF($H783="","",购销流水!$C200)</f>
        <v/>
      </c>
      <c r="G783" s="48" t="str">
        <f aca="false">IF($H783="","",购销流水!$N200)</f>
        <v/>
      </c>
      <c r="H783" s="10" t="str">
        <f aca="false">IF($L783="","",IF($L783="@成本",购销流水!$U200,IF($L783="@收入",购销流水!$T200,IF($L783="@存货",购销流水!$S200,IF($L783="@结算",购销流水!$R200,$L783)))))</f>
        <v/>
      </c>
      <c r="I783" s="42" t="n">
        <f aca="false">IF($M783="借",$O783,0)</f>
        <v>0</v>
      </c>
      <c r="J783" s="42" t="n">
        <f aca="false">IF($M783="贷",$O783,0)</f>
        <v>0</v>
      </c>
      <c r="K783" s="48" t="str">
        <f aca="false">IF($H783="","",购销流水!$E200)</f>
        <v/>
      </c>
      <c r="L783" s="66" t="str">
        <f aca="false">IF(购销流水!$D200="","",IFERROR(INDEX(记账规则!$A$6:$N$9,MATCH(购销流水!$D200,记账规则!$A$6:$A$9,0),6),""))</f>
        <v/>
      </c>
      <c r="M783" s="66" t="str">
        <f aca="false">IF($L783="","",IFERROR(INDEX(记账规则!$A$6:$N$9,MATCH(购销流水!$D200,记账规则!$A$6:$A$9,0),7),""))</f>
        <v/>
      </c>
      <c r="N783" s="66" t="str">
        <f aca="false">IF($L783="","",IFERROR(INDEX(记账规则!$A$6:$N$9,MATCH(购销流水!$D200,记账规则!$A$6:$A$9,0),8),""))</f>
        <v/>
      </c>
      <c r="O783" s="67" t="n">
        <f aca="false">IF($H783="",0,ROUND(IF($N783="成本金额",N(购销流水!$W200),IF($N783="金额",N(购销流水!$Q200),0)),2))</f>
        <v>0</v>
      </c>
      <c r="P783" s="64" t="str">
        <f aca="false">IF(AND($H783&lt;&gt;"",ROUND($O783,2)&lt;&gt;0),"有","")</f>
        <v/>
      </c>
    </row>
    <row r="784" customFormat="false" ht="15" hidden="true" customHeight="false" outlineLevel="0" collapsed="false">
      <c r="A784" s="53" t="str">
        <f aca="false">IF($H784="","",ROW()-5)</f>
        <v/>
      </c>
      <c r="B784" s="64" t="s">
        <v>36</v>
      </c>
      <c r="C784" s="53" t="n">
        <v>200</v>
      </c>
      <c r="D784" s="53" t="n">
        <v>3</v>
      </c>
      <c r="E784" s="65" t="str">
        <f aca="false">IF($H784="","",购销流水!$B200)</f>
        <v/>
      </c>
      <c r="F784" s="55" t="str">
        <f aca="false">IF($H784="","",购销流水!$C200)</f>
        <v/>
      </c>
      <c r="G784" s="48" t="str">
        <f aca="false">IF($H784="","",购销流水!$N200)</f>
        <v/>
      </c>
      <c r="H784" s="10" t="str">
        <f aca="false">IF($L784="","",IF($L784="@成本",购销流水!$U200,IF($L784="@收入",购销流水!$T200,IF($L784="@存货",购销流水!$S200,IF($L784="@结算",购销流水!$R200,$L784)))))</f>
        <v/>
      </c>
      <c r="I784" s="42" t="n">
        <f aca="false">IF($M784="借",$O784,0)</f>
        <v>0</v>
      </c>
      <c r="J784" s="42" t="n">
        <f aca="false">IF($M784="贷",$O784,0)</f>
        <v>0</v>
      </c>
      <c r="K784" s="48" t="str">
        <f aca="false">IF($H784="","",购销流水!$E200)</f>
        <v/>
      </c>
      <c r="L784" s="66" t="str">
        <f aca="false">IF(购销流水!$D200="","",IFERROR(INDEX(记账规则!$A$6:$N$9,MATCH(购销流水!$D200,记账规则!$A$6:$A$9,0),9),""))</f>
        <v/>
      </c>
      <c r="M784" s="66" t="str">
        <f aca="false">IF($L784="","",IFERROR(INDEX(记账规则!$A$6:$N$9,MATCH(购销流水!$D200,记账规则!$A$6:$A$9,0),10),""))</f>
        <v/>
      </c>
      <c r="N784" s="66" t="str">
        <f aca="false">IF($L784="","",IFERROR(INDEX(记账规则!$A$6:$N$9,MATCH(购销流水!$D200,记账规则!$A$6:$A$9,0),11),""))</f>
        <v/>
      </c>
      <c r="O784" s="67" t="n">
        <f aca="false">IF($H784="",0,ROUND(IF($N784="成本金额",N(购销流水!$W200),IF($N784="金额",N(购销流水!$Q200),0)),2))</f>
        <v>0</v>
      </c>
      <c r="P784" s="64" t="str">
        <f aca="false">IF(AND($H784&lt;&gt;"",ROUND($O784,2)&lt;&gt;0),"有","")</f>
        <v/>
      </c>
    </row>
    <row r="785" customFormat="false" ht="15" hidden="true" customHeight="false" outlineLevel="0" collapsed="false">
      <c r="A785" s="53" t="str">
        <f aca="false">IF($H785="","",ROW()-5)</f>
        <v/>
      </c>
      <c r="B785" s="64" t="s">
        <v>36</v>
      </c>
      <c r="C785" s="53" t="n">
        <v>200</v>
      </c>
      <c r="D785" s="53" t="n">
        <v>4</v>
      </c>
      <c r="E785" s="65" t="str">
        <f aca="false">IF($H785="","",购销流水!$B200)</f>
        <v/>
      </c>
      <c r="F785" s="55" t="str">
        <f aca="false">IF($H785="","",购销流水!$C200)</f>
        <v/>
      </c>
      <c r="G785" s="48" t="str">
        <f aca="false">IF($H785="","",购销流水!$N200)</f>
        <v/>
      </c>
      <c r="H785" s="10" t="str">
        <f aca="false">IF($L785="","",IF($L785="@成本",购销流水!$U200,IF($L785="@收入",购销流水!$T200,IF($L785="@存货",购销流水!$S200,IF($L785="@结算",购销流水!$R200,$L785)))))</f>
        <v/>
      </c>
      <c r="I785" s="42" t="n">
        <f aca="false">IF($M785="借",$O785,0)</f>
        <v>0</v>
      </c>
      <c r="J785" s="42" t="n">
        <f aca="false">IF($M785="贷",$O785,0)</f>
        <v>0</v>
      </c>
      <c r="K785" s="48" t="str">
        <f aca="false">IF($H785="","",购销流水!$E200)</f>
        <v/>
      </c>
      <c r="L785" s="66" t="str">
        <f aca="false">IF(购销流水!$D200="","",IFERROR(INDEX(记账规则!$A$6:$N$9,MATCH(购销流水!$D200,记账规则!$A$6:$A$9,0),12),""))</f>
        <v/>
      </c>
      <c r="M785" s="66" t="str">
        <f aca="false">IF($L785="","",IFERROR(INDEX(记账规则!$A$6:$N$9,MATCH(购销流水!$D200,记账规则!$A$6:$A$9,0),13),""))</f>
        <v/>
      </c>
      <c r="N785" s="66" t="str">
        <f aca="false">IF($L785="","",IFERROR(INDEX(记账规则!$A$6:$N$9,MATCH(购销流水!$D200,记账规则!$A$6:$A$9,0),14),""))</f>
        <v/>
      </c>
      <c r="O785" s="67" t="n">
        <f aca="false">IF($H785="",0,ROUND(IF($N785="成本金额",N(购销流水!$W200),IF($N785="金额",N(购销流水!$Q200),0)),2))</f>
        <v>0</v>
      </c>
      <c r="P785" s="64" t="str">
        <f aca="false">IF(AND($H785&lt;&gt;"",ROUND($O785,2)&lt;&gt;0),"有","")</f>
        <v/>
      </c>
    </row>
    <row r="786" customFormat="false" ht="15" hidden="true" customHeight="false" outlineLevel="0" collapsed="false">
      <c r="A786" s="53" t="str">
        <f aca="false">IF($H786="","",ROW()-5)</f>
        <v/>
      </c>
      <c r="B786" s="64" t="s">
        <v>36</v>
      </c>
      <c r="C786" s="53" t="n">
        <v>201</v>
      </c>
      <c r="D786" s="53" t="n">
        <v>1</v>
      </c>
      <c r="E786" s="65" t="str">
        <f aca="false">IF($H786="","",购销流水!$B201)</f>
        <v/>
      </c>
      <c r="F786" s="55" t="str">
        <f aca="false">IF($H786="","",购销流水!$C201)</f>
        <v/>
      </c>
      <c r="G786" s="48" t="str">
        <f aca="false">IF($H786="","",购销流水!$N201)</f>
        <v/>
      </c>
      <c r="H786" s="10" t="str">
        <f aca="false">IF($L786="","",IF($L786="@成本",购销流水!$U201,IF($L786="@收入",购销流水!$T201,IF($L786="@存货",购销流水!$S201,IF($L786="@结算",购销流水!$R201,$L786)))))</f>
        <v/>
      </c>
      <c r="I786" s="42" t="n">
        <f aca="false">IF($M786="借",$O786,0)</f>
        <v>0</v>
      </c>
      <c r="J786" s="42" t="n">
        <f aca="false">IF($M786="贷",$O786,0)</f>
        <v>0</v>
      </c>
      <c r="K786" s="48" t="str">
        <f aca="false">IF($H786="","",购销流水!$E201)</f>
        <v/>
      </c>
      <c r="L786" s="66" t="str">
        <f aca="false">IF(购销流水!$D201="","",IFERROR(INDEX(记账规则!$A$6:$N$9,MATCH(购销流水!$D201,记账规则!$A$6:$A$9,0),3),""))</f>
        <v/>
      </c>
      <c r="M786" s="66" t="str">
        <f aca="false">IF($L786="","",IFERROR(INDEX(记账规则!$A$6:$N$9,MATCH(购销流水!$D201,记账规则!$A$6:$A$9,0),4),""))</f>
        <v/>
      </c>
      <c r="N786" s="66" t="str">
        <f aca="false">IF($L786="","",IFERROR(INDEX(记账规则!$A$6:$N$9,MATCH(购销流水!$D201,记账规则!$A$6:$A$9,0),5),""))</f>
        <v/>
      </c>
      <c r="O786" s="67" t="n">
        <f aca="false">IF($H786="",0,ROUND(IF($N786="成本金额",N(购销流水!$W201),IF($N786="金额",N(购销流水!$Q201),0)),2))</f>
        <v>0</v>
      </c>
      <c r="P786" s="64" t="str">
        <f aca="false">IF(AND($H786&lt;&gt;"",ROUND($O786,2)&lt;&gt;0),"有","")</f>
        <v/>
      </c>
    </row>
    <row r="787" customFormat="false" ht="15" hidden="true" customHeight="false" outlineLevel="0" collapsed="false">
      <c r="A787" s="53" t="str">
        <f aca="false">IF($H787="","",ROW()-5)</f>
        <v/>
      </c>
      <c r="B787" s="64" t="s">
        <v>36</v>
      </c>
      <c r="C787" s="53" t="n">
        <v>201</v>
      </c>
      <c r="D787" s="53" t="n">
        <v>2</v>
      </c>
      <c r="E787" s="65" t="str">
        <f aca="false">IF($H787="","",购销流水!$B201)</f>
        <v/>
      </c>
      <c r="F787" s="55" t="str">
        <f aca="false">IF($H787="","",购销流水!$C201)</f>
        <v/>
      </c>
      <c r="G787" s="48" t="str">
        <f aca="false">IF($H787="","",购销流水!$N201)</f>
        <v/>
      </c>
      <c r="H787" s="10" t="str">
        <f aca="false">IF($L787="","",IF($L787="@成本",购销流水!$U201,IF($L787="@收入",购销流水!$T201,IF($L787="@存货",购销流水!$S201,IF($L787="@结算",购销流水!$R201,$L787)))))</f>
        <v/>
      </c>
      <c r="I787" s="42" t="n">
        <f aca="false">IF($M787="借",$O787,0)</f>
        <v>0</v>
      </c>
      <c r="J787" s="42" t="n">
        <f aca="false">IF($M787="贷",$O787,0)</f>
        <v>0</v>
      </c>
      <c r="K787" s="48" t="str">
        <f aca="false">IF($H787="","",购销流水!$E201)</f>
        <v/>
      </c>
      <c r="L787" s="66" t="str">
        <f aca="false">IF(购销流水!$D201="","",IFERROR(INDEX(记账规则!$A$6:$N$9,MATCH(购销流水!$D201,记账规则!$A$6:$A$9,0),6),""))</f>
        <v/>
      </c>
      <c r="M787" s="66" t="str">
        <f aca="false">IF($L787="","",IFERROR(INDEX(记账规则!$A$6:$N$9,MATCH(购销流水!$D201,记账规则!$A$6:$A$9,0),7),""))</f>
        <v/>
      </c>
      <c r="N787" s="66" t="str">
        <f aca="false">IF($L787="","",IFERROR(INDEX(记账规则!$A$6:$N$9,MATCH(购销流水!$D201,记账规则!$A$6:$A$9,0),8),""))</f>
        <v/>
      </c>
      <c r="O787" s="67" t="n">
        <f aca="false">IF($H787="",0,ROUND(IF($N787="成本金额",N(购销流水!$W201),IF($N787="金额",N(购销流水!$Q201),0)),2))</f>
        <v>0</v>
      </c>
      <c r="P787" s="64" t="str">
        <f aca="false">IF(AND($H787&lt;&gt;"",ROUND($O787,2)&lt;&gt;0),"有","")</f>
        <v/>
      </c>
    </row>
    <row r="788" customFormat="false" ht="15" hidden="true" customHeight="false" outlineLevel="0" collapsed="false">
      <c r="A788" s="53" t="str">
        <f aca="false">IF($H788="","",ROW()-5)</f>
        <v/>
      </c>
      <c r="B788" s="64" t="s">
        <v>36</v>
      </c>
      <c r="C788" s="53" t="n">
        <v>201</v>
      </c>
      <c r="D788" s="53" t="n">
        <v>3</v>
      </c>
      <c r="E788" s="65" t="str">
        <f aca="false">IF($H788="","",购销流水!$B201)</f>
        <v/>
      </c>
      <c r="F788" s="55" t="str">
        <f aca="false">IF($H788="","",购销流水!$C201)</f>
        <v/>
      </c>
      <c r="G788" s="48" t="str">
        <f aca="false">IF($H788="","",购销流水!$N201)</f>
        <v/>
      </c>
      <c r="H788" s="10" t="str">
        <f aca="false">IF($L788="","",IF($L788="@成本",购销流水!$U201,IF($L788="@收入",购销流水!$T201,IF($L788="@存货",购销流水!$S201,IF($L788="@结算",购销流水!$R201,$L788)))))</f>
        <v/>
      </c>
      <c r="I788" s="42" t="n">
        <f aca="false">IF($M788="借",$O788,0)</f>
        <v>0</v>
      </c>
      <c r="J788" s="42" t="n">
        <f aca="false">IF($M788="贷",$O788,0)</f>
        <v>0</v>
      </c>
      <c r="K788" s="48" t="str">
        <f aca="false">IF($H788="","",购销流水!$E201)</f>
        <v/>
      </c>
      <c r="L788" s="66" t="str">
        <f aca="false">IF(购销流水!$D201="","",IFERROR(INDEX(记账规则!$A$6:$N$9,MATCH(购销流水!$D201,记账规则!$A$6:$A$9,0),9),""))</f>
        <v/>
      </c>
      <c r="M788" s="66" t="str">
        <f aca="false">IF($L788="","",IFERROR(INDEX(记账规则!$A$6:$N$9,MATCH(购销流水!$D201,记账规则!$A$6:$A$9,0),10),""))</f>
        <v/>
      </c>
      <c r="N788" s="66" t="str">
        <f aca="false">IF($L788="","",IFERROR(INDEX(记账规则!$A$6:$N$9,MATCH(购销流水!$D201,记账规则!$A$6:$A$9,0),11),""))</f>
        <v/>
      </c>
      <c r="O788" s="67" t="n">
        <f aca="false">IF($H788="",0,ROUND(IF($N788="成本金额",N(购销流水!$W201),IF($N788="金额",N(购销流水!$Q201),0)),2))</f>
        <v>0</v>
      </c>
      <c r="P788" s="64" t="str">
        <f aca="false">IF(AND($H788&lt;&gt;"",ROUND($O788,2)&lt;&gt;0),"有","")</f>
        <v/>
      </c>
    </row>
    <row r="789" customFormat="false" ht="15" hidden="true" customHeight="false" outlineLevel="0" collapsed="false">
      <c r="A789" s="53" t="str">
        <f aca="false">IF($H789="","",ROW()-5)</f>
        <v/>
      </c>
      <c r="B789" s="64" t="s">
        <v>36</v>
      </c>
      <c r="C789" s="53" t="n">
        <v>201</v>
      </c>
      <c r="D789" s="53" t="n">
        <v>4</v>
      </c>
      <c r="E789" s="65" t="str">
        <f aca="false">IF($H789="","",购销流水!$B201)</f>
        <v/>
      </c>
      <c r="F789" s="55" t="str">
        <f aca="false">IF($H789="","",购销流水!$C201)</f>
        <v/>
      </c>
      <c r="G789" s="48" t="str">
        <f aca="false">IF($H789="","",购销流水!$N201)</f>
        <v/>
      </c>
      <c r="H789" s="10" t="str">
        <f aca="false">IF($L789="","",IF($L789="@成本",购销流水!$U201,IF($L789="@收入",购销流水!$T201,IF($L789="@存货",购销流水!$S201,IF($L789="@结算",购销流水!$R201,$L789)))))</f>
        <v/>
      </c>
      <c r="I789" s="42" t="n">
        <f aca="false">IF($M789="借",$O789,0)</f>
        <v>0</v>
      </c>
      <c r="J789" s="42" t="n">
        <f aca="false">IF($M789="贷",$O789,0)</f>
        <v>0</v>
      </c>
      <c r="K789" s="48" t="str">
        <f aca="false">IF($H789="","",购销流水!$E201)</f>
        <v/>
      </c>
      <c r="L789" s="66" t="str">
        <f aca="false">IF(购销流水!$D201="","",IFERROR(INDEX(记账规则!$A$6:$N$9,MATCH(购销流水!$D201,记账规则!$A$6:$A$9,0),12),""))</f>
        <v/>
      </c>
      <c r="M789" s="66" t="str">
        <f aca="false">IF($L789="","",IFERROR(INDEX(记账规则!$A$6:$N$9,MATCH(购销流水!$D201,记账规则!$A$6:$A$9,0),13),""))</f>
        <v/>
      </c>
      <c r="N789" s="66" t="str">
        <f aca="false">IF($L789="","",IFERROR(INDEX(记账规则!$A$6:$N$9,MATCH(购销流水!$D201,记账规则!$A$6:$A$9,0),14),""))</f>
        <v/>
      </c>
      <c r="O789" s="67" t="n">
        <f aca="false">IF($H789="",0,ROUND(IF($N789="成本金额",N(购销流水!$W201),IF($N789="金额",N(购销流水!$Q201),0)),2))</f>
        <v>0</v>
      </c>
      <c r="P789" s="64" t="str">
        <f aca="false">IF(AND($H789&lt;&gt;"",ROUND($O789,2)&lt;&gt;0),"有","")</f>
        <v/>
      </c>
    </row>
    <row r="790" customFormat="false" ht="15" hidden="true" customHeight="false" outlineLevel="0" collapsed="false">
      <c r="A790" s="53" t="str">
        <f aca="false">IF($H790="","",ROW()-5)</f>
        <v/>
      </c>
      <c r="B790" s="64" t="s">
        <v>36</v>
      </c>
      <c r="C790" s="53" t="n">
        <v>202</v>
      </c>
      <c r="D790" s="53" t="n">
        <v>1</v>
      </c>
      <c r="E790" s="65" t="str">
        <f aca="false">IF($H790="","",购销流水!$B202)</f>
        <v/>
      </c>
      <c r="F790" s="55" t="str">
        <f aca="false">IF($H790="","",购销流水!$C202)</f>
        <v/>
      </c>
      <c r="G790" s="48" t="str">
        <f aca="false">IF($H790="","",购销流水!$N202)</f>
        <v/>
      </c>
      <c r="H790" s="10" t="str">
        <f aca="false">IF($L790="","",IF($L790="@成本",购销流水!$U202,IF($L790="@收入",购销流水!$T202,IF($L790="@存货",购销流水!$S202,IF($L790="@结算",购销流水!$R202,$L790)))))</f>
        <v/>
      </c>
      <c r="I790" s="42" t="n">
        <f aca="false">IF($M790="借",$O790,0)</f>
        <v>0</v>
      </c>
      <c r="J790" s="42" t="n">
        <f aca="false">IF($M790="贷",$O790,0)</f>
        <v>0</v>
      </c>
      <c r="K790" s="48" t="str">
        <f aca="false">IF($H790="","",购销流水!$E202)</f>
        <v/>
      </c>
      <c r="L790" s="66" t="str">
        <f aca="false">IF(购销流水!$D202="","",IFERROR(INDEX(记账规则!$A$6:$N$9,MATCH(购销流水!$D202,记账规则!$A$6:$A$9,0),3),""))</f>
        <v/>
      </c>
      <c r="M790" s="66" t="str">
        <f aca="false">IF($L790="","",IFERROR(INDEX(记账规则!$A$6:$N$9,MATCH(购销流水!$D202,记账规则!$A$6:$A$9,0),4),""))</f>
        <v/>
      </c>
      <c r="N790" s="66" t="str">
        <f aca="false">IF($L790="","",IFERROR(INDEX(记账规则!$A$6:$N$9,MATCH(购销流水!$D202,记账规则!$A$6:$A$9,0),5),""))</f>
        <v/>
      </c>
      <c r="O790" s="67" t="n">
        <f aca="false">IF($H790="",0,ROUND(IF($N790="成本金额",N(购销流水!$W202),IF($N790="金额",N(购销流水!$Q202),0)),2))</f>
        <v>0</v>
      </c>
      <c r="P790" s="64" t="str">
        <f aca="false">IF(AND($H790&lt;&gt;"",ROUND($O790,2)&lt;&gt;0),"有","")</f>
        <v/>
      </c>
    </row>
    <row r="791" customFormat="false" ht="15" hidden="true" customHeight="false" outlineLevel="0" collapsed="false">
      <c r="A791" s="53" t="str">
        <f aca="false">IF($H791="","",ROW()-5)</f>
        <v/>
      </c>
      <c r="B791" s="64" t="s">
        <v>36</v>
      </c>
      <c r="C791" s="53" t="n">
        <v>202</v>
      </c>
      <c r="D791" s="53" t="n">
        <v>2</v>
      </c>
      <c r="E791" s="65" t="str">
        <f aca="false">IF($H791="","",购销流水!$B202)</f>
        <v/>
      </c>
      <c r="F791" s="55" t="str">
        <f aca="false">IF($H791="","",购销流水!$C202)</f>
        <v/>
      </c>
      <c r="G791" s="48" t="str">
        <f aca="false">IF($H791="","",购销流水!$N202)</f>
        <v/>
      </c>
      <c r="H791" s="10" t="str">
        <f aca="false">IF($L791="","",IF($L791="@成本",购销流水!$U202,IF($L791="@收入",购销流水!$T202,IF($L791="@存货",购销流水!$S202,IF($L791="@结算",购销流水!$R202,$L791)))))</f>
        <v/>
      </c>
      <c r="I791" s="42" t="n">
        <f aca="false">IF($M791="借",$O791,0)</f>
        <v>0</v>
      </c>
      <c r="J791" s="42" t="n">
        <f aca="false">IF($M791="贷",$O791,0)</f>
        <v>0</v>
      </c>
      <c r="K791" s="48" t="str">
        <f aca="false">IF($H791="","",购销流水!$E202)</f>
        <v/>
      </c>
      <c r="L791" s="66" t="str">
        <f aca="false">IF(购销流水!$D202="","",IFERROR(INDEX(记账规则!$A$6:$N$9,MATCH(购销流水!$D202,记账规则!$A$6:$A$9,0),6),""))</f>
        <v/>
      </c>
      <c r="M791" s="66" t="str">
        <f aca="false">IF($L791="","",IFERROR(INDEX(记账规则!$A$6:$N$9,MATCH(购销流水!$D202,记账规则!$A$6:$A$9,0),7),""))</f>
        <v/>
      </c>
      <c r="N791" s="66" t="str">
        <f aca="false">IF($L791="","",IFERROR(INDEX(记账规则!$A$6:$N$9,MATCH(购销流水!$D202,记账规则!$A$6:$A$9,0),8),""))</f>
        <v/>
      </c>
      <c r="O791" s="67" t="n">
        <f aca="false">IF($H791="",0,ROUND(IF($N791="成本金额",N(购销流水!$W202),IF($N791="金额",N(购销流水!$Q202),0)),2))</f>
        <v>0</v>
      </c>
      <c r="P791" s="64" t="str">
        <f aca="false">IF(AND($H791&lt;&gt;"",ROUND($O791,2)&lt;&gt;0),"有","")</f>
        <v/>
      </c>
    </row>
    <row r="792" customFormat="false" ht="15" hidden="true" customHeight="false" outlineLevel="0" collapsed="false">
      <c r="A792" s="53" t="str">
        <f aca="false">IF($H792="","",ROW()-5)</f>
        <v/>
      </c>
      <c r="B792" s="64" t="s">
        <v>36</v>
      </c>
      <c r="C792" s="53" t="n">
        <v>202</v>
      </c>
      <c r="D792" s="53" t="n">
        <v>3</v>
      </c>
      <c r="E792" s="65" t="str">
        <f aca="false">IF($H792="","",购销流水!$B202)</f>
        <v/>
      </c>
      <c r="F792" s="55" t="str">
        <f aca="false">IF($H792="","",购销流水!$C202)</f>
        <v/>
      </c>
      <c r="G792" s="48" t="str">
        <f aca="false">IF($H792="","",购销流水!$N202)</f>
        <v/>
      </c>
      <c r="H792" s="10" t="str">
        <f aca="false">IF($L792="","",IF($L792="@成本",购销流水!$U202,IF($L792="@收入",购销流水!$T202,IF($L792="@存货",购销流水!$S202,IF($L792="@结算",购销流水!$R202,$L792)))))</f>
        <v/>
      </c>
      <c r="I792" s="42" t="n">
        <f aca="false">IF($M792="借",$O792,0)</f>
        <v>0</v>
      </c>
      <c r="J792" s="42" t="n">
        <f aca="false">IF($M792="贷",$O792,0)</f>
        <v>0</v>
      </c>
      <c r="K792" s="48" t="str">
        <f aca="false">IF($H792="","",购销流水!$E202)</f>
        <v/>
      </c>
      <c r="L792" s="66" t="str">
        <f aca="false">IF(购销流水!$D202="","",IFERROR(INDEX(记账规则!$A$6:$N$9,MATCH(购销流水!$D202,记账规则!$A$6:$A$9,0),9),""))</f>
        <v/>
      </c>
      <c r="M792" s="66" t="str">
        <f aca="false">IF($L792="","",IFERROR(INDEX(记账规则!$A$6:$N$9,MATCH(购销流水!$D202,记账规则!$A$6:$A$9,0),10),""))</f>
        <v/>
      </c>
      <c r="N792" s="66" t="str">
        <f aca="false">IF($L792="","",IFERROR(INDEX(记账规则!$A$6:$N$9,MATCH(购销流水!$D202,记账规则!$A$6:$A$9,0),11),""))</f>
        <v/>
      </c>
      <c r="O792" s="67" t="n">
        <f aca="false">IF($H792="",0,ROUND(IF($N792="成本金额",N(购销流水!$W202),IF($N792="金额",N(购销流水!$Q202),0)),2))</f>
        <v>0</v>
      </c>
      <c r="P792" s="64" t="str">
        <f aca="false">IF(AND($H792&lt;&gt;"",ROUND($O792,2)&lt;&gt;0),"有","")</f>
        <v/>
      </c>
    </row>
    <row r="793" customFormat="false" ht="15" hidden="true" customHeight="false" outlineLevel="0" collapsed="false">
      <c r="A793" s="53" t="str">
        <f aca="false">IF($H793="","",ROW()-5)</f>
        <v/>
      </c>
      <c r="B793" s="64" t="s">
        <v>36</v>
      </c>
      <c r="C793" s="53" t="n">
        <v>202</v>
      </c>
      <c r="D793" s="53" t="n">
        <v>4</v>
      </c>
      <c r="E793" s="65" t="str">
        <f aca="false">IF($H793="","",购销流水!$B202)</f>
        <v/>
      </c>
      <c r="F793" s="55" t="str">
        <f aca="false">IF($H793="","",购销流水!$C202)</f>
        <v/>
      </c>
      <c r="G793" s="48" t="str">
        <f aca="false">IF($H793="","",购销流水!$N202)</f>
        <v/>
      </c>
      <c r="H793" s="10" t="str">
        <f aca="false">IF($L793="","",IF($L793="@成本",购销流水!$U202,IF($L793="@收入",购销流水!$T202,IF($L793="@存货",购销流水!$S202,IF($L793="@结算",购销流水!$R202,$L793)))))</f>
        <v/>
      </c>
      <c r="I793" s="42" t="n">
        <f aca="false">IF($M793="借",$O793,0)</f>
        <v>0</v>
      </c>
      <c r="J793" s="42" t="n">
        <f aca="false">IF($M793="贷",$O793,0)</f>
        <v>0</v>
      </c>
      <c r="K793" s="48" t="str">
        <f aca="false">IF($H793="","",购销流水!$E202)</f>
        <v/>
      </c>
      <c r="L793" s="66" t="str">
        <f aca="false">IF(购销流水!$D202="","",IFERROR(INDEX(记账规则!$A$6:$N$9,MATCH(购销流水!$D202,记账规则!$A$6:$A$9,0),12),""))</f>
        <v/>
      </c>
      <c r="M793" s="66" t="str">
        <f aca="false">IF($L793="","",IFERROR(INDEX(记账规则!$A$6:$N$9,MATCH(购销流水!$D202,记账规则!$A$6:$A$9,0),13),""))</f>
        <v/>
      </c>
      <c r="N793" s="66" t="str">
        <f aca="false">IF($L793="","",IFERROR(INDEX(记账规则!$A$6:$N$9,MATCH(购销流水!$D202,记账规则!$A$6:$A$9,0),14),""))</f>
        <v/>
      </c>
      <c r="O793" s="67" t="n">
        <f aca="false">IF($H793="",0,ROUND(IF($N793="成本金额",N(购销流水!$W202),IF($N793="金额",N(购销流水!$Q202),0)),2))</f>
        <v>0</v>
      </c>
      <c r="P793" s="64" t="str">
        <f aca="false">IF(AND($H793&lt;&gt;"",ROUND($O793,2)&lt;&gt;0),"有","")</f>
        <v/>
      </c>
    </row>
    <row r="794" customFormat="false" ht="15" hidden="true" customHeight="false" outlineLevel="0" collapsed="false">
      <c r="A794" s="53" t="str">
        <f aca="false">IF($H794="","",ROW()-5)</f>
        <v/>
      </c>
      <c r="B794" s="64" t="s">
        <v>36</v>
      </c>
      <c r="C794" s="53" t="n">
        <v>203</v>
      </c>
      <c r="D794" s="53" t="n">
        <v>1</v>
      </c>
      <c r="E794" s="65" t="str">
        <f aca="false">IF($H794="","",购销流水!$B203)</f>
        <v/>
      </c>
      <c r="F794" s="55" t="str">
        <f aca="false">IF($H794="","",购销流水!$C203)</f>
        <v/>
      </c>
      <c r="G794" s="48" t="str">
        <f aca="false">IF($H794="","",购销流水!$N203)</f>
        <v/>
      </c>
      <c r="H794" s="10" t="str">
        <f aca="false">IF($L794="","",IF($L794="@成本",购销流水!$U203,IF($L794="@收入",购销流水!$T203,IF($L794="@存货",购销流水!$S203,IF($L794="@结算",购销流水!$R203,$L794)))))</f>
        <v/>
      </c>
      <c r="I794" s="42" t="n">
        <f aca="false">IF($M794="借",$O794,0)</f>
        <v>0</v>
      </c>
      <c r="J794" s="42" t="n">
        <f aca="false">IF($M794="贷",$O794,0)</f>
        <v>0</v>
      </c>
      <c r="K794" s="48" t="str">
        <f aca="false">IF($H794="","",购销流水!$E203)</f>
        <v/>
      </c>
      <c r="L794" s="66" t="str">
        <f aca="false">IF(购销流水!$D203="","",IFERROR(INDEX(记账规则!$A$6:$N$9,MATCH(购销流水!$D203,记账规则!$A$6:$A$9,0),3),""))</f>
        <v/>
      </c>
      <c r="M794" s="66" t="str">
        <f aca="false">IF($L794="","",IFERROR(INDEX(记账规则!$A$6:$N$9,MATCH(购销流水!$D203,记账规则!$A$6:$A$9,0),4),""))</f>
        <v/>
      </c>
      <c r="N794" s="66" t="str">
        <f aca="false">IF($L794="","",IFERROR(INDEX(记账规则!$A$6:$N$9,MATCH(购销流水!$D203,记账规则!$A$6:$A$9,0),5),""))</f>
        <v/>
      </c>
      <c r="O794" s="67" t="n">
        <f aca="false">IF($H794="",0,ROUND(IF($N794="成本金额",N(购销流水!$W203),IF($N794="金额",N(购销流水!$Q203),0)),2))</f>
        <v>0</v>
      </c>
      <c r="P794" s="64" t="str">
        <f aca="false">IF(AND($H794&lt;&gt;"",ROUND($O794,2)&lt;&gt;0),"有","")</f>
        <v/>
      </c>
    </row>
    <row r="795" customFormat="false" ht="15" hidden="true" customHeight="false" outlineLevel="0" collapsed="false">
      <c r="A795" s="53" t="str">
        <f aca="false">IF($H795="","",ROW()-5)</f>
        <v/>
      </c>
      <c r="B795" s="64" t="s">
        <v>36</v>
      </c>
      <c r="C795" s="53" t="n">
        <v>203</v>
      </c>
      <c r="D795" s="53" t="n">
        <v>2</v>
      </c>
      <c r="E795" s="65" t="str">
        <f aca="false">IF($H795="","",购销流水!$B203)</f>
        <v/>
      </c>
      <c r="F795" s="55" t="str">
        <f aca="false">IF($H795="","",购销流水!$C203)</f>
        <v/>
      </c>
      <c r="G795" s="48" t="str">
        <f aca="false">IF($H795="","",购销流水!$N203)</f>
        <v/>
      </c>
      <c r="H795" s="10" t="str">
        <f aca="false">IF($L795="","",IF($L795="@成本",购销流水!$U203,IF($L795="@收入",购销流水!$T203,IF($L795="@存货",购销流水!$S203,IF($L795="@结算",购销流水!$R203,$L795)))))</f>
        <v/>
      </c>
      <c r="I795" s="42" t="n">
        <f aca="false">IF($M795="借",$O795,0)</f>
        <v>0</v>
      </c>
      <c r="J795" s="42" t="n">
        <f aca="false">IF($M795="贷",$O795,0)</f>
        <v>0</v>
      </c>
      <c r="K795" s="48" t="str">
        <f aca="false">IF($H795="","",购销流水!$E203)</f>
        <v/>
      </c>
      <c r="L795" s="66" t="str">
        <f aca="false">IF(购销流水!$D203="","",IFERROR(INDEX(记账规则!$A$6:$N$9,MATCH(购销流水!$D203,记账规则!$A$6:$A$9,0),6),""))</f>
        <v/>
      </c>
      <c r="M795" s="66" t="str">
        <f aca="false">IF($L795="","",IFERROR(INDEX(记账规则!$A$6:$N$9,MATCH(购销流水!$D203,记账规则!$A$6:$A$9,0),7),""))</f>
        <v/>
      </c>
      <c r="N795" s="66" t="str">
        <f aca="false">IF($L795="","",IFERROR(INDEX(记账规则!$A$6:$N$9,MATCH(购销流水!$D203,记账规则!$A$6:$A$9,0),8),""))</f>
        <v/>
      </c>
      <c r="O795" s="67" t="n">
        <f aca="false">IF($H795="",0,ROUND(IF($N795="成本金额",N(购销流水!$W203),IF($N795="金额",N(购销流水!$Q203),0)),2))</f>
        <v>0</v>
      </c>
      <c r="P795" s="64" t="str">
        <f aca="false">IF(AND($H795&lt;&gt;"",ROUND($O795,2)&lt;&gt;0),"有","")</f>
        <v/>
      </c>
    </row>
    <row r="796" customFormat="false" ht="15" hidden="true" customHeight="false" outlineLevel="0" collapsed="false">
      <c r="A796" s="53" t="str">
        <f aca="false">IF($H796="","",ROW()-5)</f>
        <v/>
      </c>
      <c r="B796" s="64" t="s">
        <v>36</v>
      </c>
      <c r="C796" s="53" t="n">
        <v>203</v>
      </c>
      <c r="D796" s="53" t="n">
        <v>3</v>
      </c>
      <c r="E796" s="65" t="str">
        <f aca="false">IF($H796="","",购销流水!$B203)</f>
        <v/>
      </c>
      <c r="F796" s="55" t="str">
        <f aca="false">IF($H796="","",购销流水!$C203)</f>
        <v/>
      </c>
      <c r="G796" s="48" t="str">
        <f aca="false">IF($H796="","",购销流水!$N203)</f>
        <v/>
      </c>
      <c r="H796" s="10" t="str">
        <f aca="false">IF($L796="","",IF($L796="@成本",购销流水!$U203,IF($L796="@收入",购销流水!$T203,IF($L796="@存货",购销流水!$S203,IF($L796="@结算",购销流水!$R203,$L796)))))</f>
        <v/>
      </c>
      <c r="I796" s="42" t="n">
        <f aca="false">IF($M796="借",$O796,0)</f>
        <v>0</v>
      </c>
      <c r="J796" s="42" t="n">
        <f aca="false">IF($M796="贷",$O796,0)</f>
        <v>0</v>
      </c>
      <c r="K796" s="48" t="str">
        <f aca="false">IF($H796="","",购销流水!$E203)</f>
        <v/>
      </c>
      <c r="L796" s="66" t="str">
        <f aca="false">IF(购销流水!$D203="","",IFERROR(INDEX(记账规则!$A$6:$N$9,MATCH(购销流水!$D203,记账规则!$A$6:$A$9,0),9),""))</f>
        <v/>
      </c>
      <c r="M796" s="66" t="str">
        <f aca="false">IF($L796="","",IFERROR(INDEX(记账规则!$A$6:$N$9,MATCH(购销流水!$D203,记账规则!$A$6:$A$9,0),10),""))</f>
        <v/>
      </c>
      <c r="N796" s="66" t="str">
        <f aca="false">IF($L796="","",IFERROR(INDEX(记账规则!$A$6:$N$9,MATCH(购销流水!$D203,记账规则!$A$6:$A$9,0),11),""))</f>
        <v/>
      </c>
      <c r="O796" s="67" t="n">
        <f aca="false">IF($H796="",0,ROUND(IF($N796="成本金额",N(购销流水!$W203),IF($N796="金额",N(购销流水!$Q203),0)),2))</f>
        <v>0</v>
      </c>
      <c r="P796" s="64" t="str">
        <f aca="false">IF(AND($H796&lt;&gt;"",ROUND($O796,2)&lt;&gt;0),"有","")</f>
        <v/>
      </c>
    </row>
    <row r="797" customFormat="false" ht="15" hidden="true" customHeight="false" outlineLevel="0" collapsed="false">
      <c r="A797" s="53" t="str">
        <f aca="false">IF($H797="","",ROW()-5)</f>
        <v/>
      </c>
      <c r="B797" s="64" t="s">
        <v>36</v>
      </c>
      <c r="C797" s="53" t="n">
        <v>203</v>
      </c>
      <c r="D797" s="53" t="n">
        <v>4</v>
      </c>
      <c r="E797" s="65" t="str">
        <f aca="false">IF($H797="","",购销流水!$B203)</f>
        <v/>
      </c>
      <c r="F797" s="55" t="str">
        <f aca="false">IF($H797="","",购销流水!$C203)</f>
        <v/>
      </c>
      <c r="G797" s="48" t="str">
        <f aca="false">IF($H797="","",购销流水!$N203)</f>
        <v/>
      </c>
      <c r="H797" s="10" t="str">
        <f aca="false">IF($L797="","",IF($L797="@成本",购销流水!$U203,IF($L797="@收入",购销流水!$T203,IF($L797="@存货",购销流水!$S203,IF($L797="@结算",购销流水!$R203,$L797)))))</f>
        <v/>
      </c>
      <c r="I797" s="42" t="n">
        <f aca="false">IF($M797="借",$O797,0)</f>
        <v>0</v>
      </c>
      <c r="J797" s="42" t="n">
        <f aca="false">IF($M797="贷",$O797,0)</f>
        <v>0</v>
      </c>
      <c r="K797" s="48" t="str">
        <f aca="false">IF($H797="","",购销流水!$E203)</f>
        <v/>
      </c>
      <c r="L797" s="66" t="str">
        <f aca="false">IF(购销流水!$D203="","",IFERROR(INDEX(记账规则!$A$6:$N$9,MATCH(购销流水!$D203,记账规则!$A$6:$A$9,0),12),""))</f>
        <v/>
      </c>
      <c r="M797" s="66" t="str">
        <f aca="false">IF($L797="","",IFERROR(INDEX(记账规则!$A$6:$N$9,MATCH(购销流水!$D203,记账规则!$A$6:$A$9,0),13),""))</f>
        <v/>
      </c>
      <c r="N797" s="66" t="str">
        <f aca="false">IF($L797="","",IFERROR(INDEX(记账规则!$A$6:$N$9,MATCH(购销流水!$D203,记账规则!$A$6:$A$9,0),14),""))</f>
        <v/>
      </c>
      <c r="O797" s="67" t="n">
        <f aca="false">IF($H797="",0,ROUND(IF($N797="成本金额",N(购销流水!$W203),IF($N797="金额",N(购销流水!$Q203),0)),2))</f>
        <v>0</v>
      </c>
      <c r="P797" s="64" t="str">
        <f aca="false">IF(AND($H797&lt;&gt;"",ROUND($O797,2)&lt;&gt;0),"有","")</f>
        <v/>
      </c>
    </row>
    <row r="798" customFormat="false" ht="15" hidden="true" customHeight="false" outlineLevel="0" collapsed="false">
      <c r="A798" s="53" t="str">
        <f aca="false">IF($H798="","",ROW()-5)</f>
        <v/>
      </c>
      <c r="B798" s="64" t="s">
        <v>36</v>
      </c>
      <c r="C798" s="53" t="n">
        <v>204</v>
      </c>
      <c r="D798" s="53" t="n">
        <v>1</v>
      </c>
      <c r="E798" s="65" t="str">
        <f aca="false">IF($H798="","",购销流水!$B204)</f>
        <v/>
      </c>
      <c r="F798" s="55" t="str">
        <f aca="false">IF($H798="","",购销流水!$C204)</f>
        <v/>
      </c>
      <c r="G798" s="48" t="str">
        <f aca="false">IF($H798="","",购销流水!$N204)</f>
        <v/>
      </c>
      <c r="H798" s="10" t="str">
        <f aca="false">IF($L798="","",IF($L798="@成本",购销流水!$U204,IF($L798="@收入",购销流水!$T204,IF($L798="@存货",购销流水!$S204,IF($L798="@结算",购销流水!$R204,$L798)))))</f>
        <v/>
      </c>
      <c r="I798" s="42" t="n">
        <f aca="false">IF($M798="借",$O798,0)</f>
        <v>0</v>
      </c>
      <c r="J798" s="42" t="n">
        <f aca="false">IF($M798="贷",$O798,0)</f>
        <v>0</v>
      </c>
      <c r="K798" s="48" t="str">
        <f aca="false">IF($H798="","",购销流水!$E204)</f>
        <v/>
      </c>
      <c r="L798" s="66" t="str">
        <f aca="false">IF(购销流水!$D204="","",IFERROR(INDEX(记账规则!$A$6:$N$9,MATCH(购销流水!$D204,记账规则!$A$6:$A$9,0),3),""))</f>
        <v/>
      </c>
      <c r="M798" s="66" t="str">
        <f aca="false">IF($L798="","",IFERROR(INDEX(记账规则!$A$6:$N$9,MATCH(购销流水!$D204,记账规则!$A$6:$A$9,0),4),""))</f>
        <v/>
      </c>
      <c r="N798" s="66" t="str">
        <f aca="false">IF($L798="","",IFERROR(INDEX(记账规则!$A$6:$N$9,MATCH(购销流水!$D204,记账规则!$A$6:$A$9,0),5),""))</f>
        <v/>
      </c>
      <c r="O798" s="67" t="n">
        <f aca="false">IF($H798="",0,ROUND(IF($N798="成本金额",N(购销流水!$W204),IF($N798="金额",N(购销流水!$Q204),0)),2))</f>
        <v>0</v>
      </c>
      <c r="P798" s="64" t="str">
        <f aca="false">IF(AND($H798&lt;&gt;"",ROUND($O798,2)&lt;&gt;0),"有","")</f>
        <v/>
      </c>
    </row>
    <row r="799" customFormat="false" ht="15" hidden="true" customHeight="false" outlineLevel="0" collapsed="false">
      <c r="A799" s="53" t="str">
        <f aca="false">IF($H799="","",ROW()-5)</f>
        <v/>
      </c>
      <c r="B799" s="64" t="s">
        <v>36</v>
      </c>
      <c r="C799" s="53" t="n">
        <v>204</v>
      </c>
      <c r="D799" s="53" t="n">
        <v>2</v>
      </c>
      <c r="E799" s="65" t="str">
        <f aca="false">IF($H799="","",购销流水!$B204)</f>
        <v/>
      </c>
      <c r="F799" s="55" t="str">
        <f aca="false">IF($H799="","",购销流水!$C204)</f>
        <v/>
      </c>
      <c r="G799" s="48" t="str">
        <f aca="false">IF($H799="","",购销流水!$N204)</f>
        <v/>
      </c>
      <c r="H799" s="10" t="str">
        <f aca="false">IF($L799="","",IF($L799="@成本",购销流水!$U204,IF($L799="@收入",购销流水!$T204,IF($L799="@存货",购销流水!$S204,IF($L799="@结算",购销流水!$R204,$L799)))))</f>
        <v/>
      </c>
      <c r="I799" s="42" t="n">
        <f aca="false">IF($M799="借",$O799,0)</f>
        <v>0</v>
      </c>
      <c r="J799" s="42" t="n">
        <f aca="false">IF($M799="贷",$O799,0)</f>
        <v>0</v>
      </c>
      <c r="K799" s="48" t="str">
        <f aca="false">IF($H799="","",购销流水!$E204)</f>
        <v/>
      </c>
      <c r="L799" s="66" t="str">
        <f aca="false">IF(购销流水!$D204="","",IFERROR(INDEX(记账规则!$A$6:$N$9,MATCH(购销流水!$D204,记账规则!$A$6:$A$9,0),6),""))</f>
        <v/>
      </c>
      <c r="M799" s="66" t="str">
        <f aca="false">IF($L799="","",IFERROR(INDEX(记账规则!$A$6:$N$9,MATCH(购销流水!$D204,记账规则!$A$6:$A$9,0),7),""))</f>
        <v/>
      </c>
      <c r="N799" s="66" t="str">
        <f aca="false">IF($L799="","",IFERROR(INDEX(记账规则!$A$6:$N$9,MATCH(购销流水!$D204,记账规则!$A$6:$A$9,0),8),""))</f>
        <v/>
      </c>
      <c r="O799" s="67" t="n">
        <f aca="false">IF($H799="",0,ROUND(IF($N799="成本金额",N(购销流水!$W204),IF($N799="金额",N(购销流水!$Q204),0)),2))</f>
        <v>0</v>
      </c>
      <c r="P799" s="64" t="str">
        <f aca="false">IF(AND($H799&lt;&gt;"",ROUND($O799,2)&lt;&gt;0),"有","")</f>
        <v/>
      </c>
    </row>
    <row r="800" customFormat="false" ht="15" hidden="true" customHeight="false" outlineLevel="0" collapsed="false">
      <c r="A800" s="53" t="str">
        <f aca="false">IF($H800="","",ROW()-5)</f>
        <v/>
      </c>
      <c r="B800" s="64" t="s">
        <v>36</v>
      </c>
      <c r="C800" s="53" t="n">
        <v>204</v>
      </c>
      <c r="D800" s="53" t="n">
        <v>3</v>
      </c>
      <c r="E800" s="65" t="str">
        <f aca="false">IF($H800="","",购销流水!$B204)</f>
        <v/>
      </c>
      <c r="F800" s="55" t="str">
        <f aca="false">IF($H800="","",购销流水!$C204)</f>
        <v/>
      </c>
      <c r="G800" s="48" t="str">
        <f aca="false">IF($H800="","",购销流水!$N204)</f>
        <v/>
      </c>
      <c r="H800" s="10" t="str">
        <f aca="false">IF($L800="","",IF($L800="@成本",购销流水!$U204,IF($L800="@收入",购销流水!$T204,IF($L800="@存货",购销流水!$S204,IF($L800="@结算",购销流水!$R204,$L800)))))</f>
        <v/>
      </c>
      <c r="I800" s="42" t="n">
        <f aca="false">IF($M800="借",$O800,0)</f>
        <v>0</v>
      </c>
      <c r="J800" s="42" t="n">
        <f aca="false">IF($M800="贷",$O800,0)</f>
        <v>0</v>
      </c>
      <c r="K800" s="48" t="str">
        <f aca="false">IF($H800="","",购销流水!$E204)</f>
        <v/>
      </c>
      <c r="L800" s="66" t="str">
        <f aca="false">IF(购销流水!$D204="","",IFERROR(INDEX(记账规则!$A$6:$N$9,MATCH(购销流水!$D204,记账规则!$A$6:$A$9,0),9),""))</f>
        <v/>
      </c>
      <c r="M800" s="66" t="str">
        <f aca="false">IF($L800="","",IFERROR(INDEX(记账规则!$A$6:$N$9,MATCH(购销流水!$D204,记账规则!$A$6:$A$9,0),10),""))</f>
        <v/>
      </c>
      <c r="N800" s="66" t="str">
        <f aca="false">IF($L800="","",IFERROR(INDEX(记账规则!$A$6:$N$9,MATCH(购销流水!$D204,记账规则!$A$6:$A$9,0),11),""))</f>
        <v/>
      </c>
      <c r="O800" s="67" t="n">
        <f aca="false">IF($H800="",0,ROUND(IF($N800="成本金额",N(购销流水!$W204),IF($N800="金额",N(购销流水!$Q204),0)),2))</f>
        <v>0</v>
      </c>
      <c r="P800" s="64" t="str">
        <f aca="false">IF(AND($H800&lt;&gt;"",ROUND($O800,2)&lt;&gt;0),"有","")</f>
        <v/>
      </c>
    </row>
    <row r="801" customFormat="false" ht="15" hidden="true" customHeight="false" outlineLevel="0" collapsed="false">
      <c r="A801" s="53" t="str">
        <f aca="false">IF($H801="","",ROW()-5)</f>
        <v/>
      </c>
      <c r="B801" s="64" t="s">
        <v>36</v>
      </c>
      <c r="C801" s="53" t="n">
        <v>204</v>
      </c>
      <c r="D801" s="53" t="n">
        <v>4</v>
      </c>
      <c r="E801" s="65" t="str">
        <f aca="false">IF($H801="","",购销流水!$B204)</f>
        <v/>
      </c>
      <c r="F801" s="55" t="str">
        <f aca="false">IF($H801="","",购销流水!$C204)</f>
        <v/>
      </c>
      <c r="G801" s="48" t="str">
        <f aca="false">IF($H801="","",购销流水!$N204)</f>
        <v/>
      </c>
      <c r="H801" s="10" t="str">
        <f aca="false">IF($L801="","",IF($L801="@成本",购销流水!$U204,IF($L801="@收入",购销流水!$T204,IF($L801="@存货",购销流水!$S204,IF($L801="@结算",购销流水!$R204,$L801)))))</f>
        <v/>
      </c>
      <c r="I801" s="42" t="n">
        <f aca="false">IF($M801="借",$O801,0)</f>
        <v>0</v>
      </c>
      <c r="J801" s="42" t="n">
        <f aca="false">IF($M801="贷",$O801,0)</f>
        <v>0</v>
      </c>
      <c r="K801" s="48" t="str">
        <f aca="false">IF($H801="","",购销流水!$E204)</f>
        <v/>
      </c>
      <c r="L801" s="66" t="str">
        <f aca="false">IF(购销流水!$D204="","",IFERROR(INDEX(记账规则!$A$6:$N$9,MATCH(购销流水!$D204,记账规则!$A$6:$A$9,0),12),""))</f>
        <v/>
      </c>
      <c r="M801" s="66" t="str">
        <f aca="false">IF($L801="","",IFERROR(INDEX(记账规则!$A$6:$N$9,MATCH(购销流水!$D204,记账规则!$A$6:$A$9,0),13),""))</f>
        <v/>
      </c>
      <c r="N801" s="66" t="str">
        <f aca="false">IF($L801="","",IFERROR(INDEX(记账规则!$A$6:$N$9,MATCH(购销流水!$D204,记账规则!$A$6:$A$9,0),14),""))</f>
        <v/>
      </c>
      <c r="O801" s="67" t="n">
        <f aca="false">IF($H801="",0,ROUND(IF($N801="成本金额",N(购销流水!$W204),IF($N801="金额",N(购销流水!$Q204),0)),2))</f>
        <v>0</v>
      </c>
      <c r="P801" s="64" t="str">
        <f aca="false">IF(AND($H801&lt;&gt;"",ROUND($O801,2)&lt;&gt;0),"有","")</f>
        <v/>
      </c>
    </row>
    <row r="802" customFormat="false" ht="15" hidden="true" customHeight="false" outlineLevel="0" collapsed="false">
      <c r="A802" s="53" t="str">
        <f aca="false">IF($H802="","",ROW()-5)</f>
        <v/>
      </c>
      <c r="B802" s="64" t="s">
        <v>36</v>
      </c>
      <c r="C802" s="53" t="n">
        <v>205</v>
      </c>
      <c r="D802" s="53" t="n">
        <v>1</v>
      </c>
      <c r="E802" s="65" t="str">
        <f aca="false">IF($H802="","",购销流水!$B205)</f>
        <v/>
      </c>
      <c r="F802" s="55" t="str">
        <f aca="false">IF($H802="","",购销流水!$C205)</f>
        <v/>
      </c>
      <c r="G802" s="48" t="str">
        <f aca="false">IF($H802="","",购销流水!$N205)</f>
        <v/>
      </c>
      <c r="H802" s="10" t="str">
        <f aca="false">IF($L802="","",IF($L802="@成本",购销流水!$U205,IF($L802="@收入",购销流水!$T205,IF($L802="@存货",购销流水!$S205,IF($L802="@结算",购销流水!$R205,$L802)))))</f>
        <v/>
      </c>
      <c r="I802" s="42" t="n">
        <f aca="false">IF($M802="借",$O802,0)</f>
        <v>0</v>
      </c>
      <c r="J802" s="42" t="n">
        <f aca="false">IF($M802="贷",$O802,0)</f>
        <v>0</v>
      </c>
      <c r="K802" s="48" t="str">
        <f aca="false">IF($H802="","",购销流水!$E205)</f>
        <v/>
      </c>
      <c r="L802" s="66" t="str">
        <f aca="false">IF(购销流水!$D205="","",IFERROR(INDEX(记账规则!$A$6:$N$9,MATCH(购销流水!$D205,记账规则!$A$6:$A$9,0),3),""))</f>
        <v/>
      </c>
      <c r="M802" s="66" t="str">
        <f aca="false">IF($L802="","",IFERROR(INDEX(记账规则!$A$6:$N$9,MATCH(购销流水!$D205,记账规则!$A$6:$A$9,0),4),""))</f>
        <v/>
      </c>
      <c r="N802" s="66" t="str">
        <f aca="false">IF($L802="","",IFERROR(INDEX(记账规则!$A$6:$N$9,MATCH(购销流水!$D205,记账规则!$A$6:$A$9,0),5),""))</f>
        <v/>
      </c>
      <c r="O802" s="67" t="n">
        <f aca="false">IF($H802="",0,ROUND(IF($N802="成本金额",N(购销流水!$W205),IF($N802="金额",N(购销流水!$Q205),0)),2))</f>
        <v>0</v>
      </c>
      <c r="P802" s="64" t="str">
        <f aca="false">IF(AND($H802&lt;&gt;"",ROUND($O802,2)&lt;&gt;0),"有","")</f>
        <v/>
      </c>
    </row>
    <row r="803" customFormat="false" ht="15" hidden="true" customHeight="false" outlineLevel="0" collapsed="false">
      <c r="A803" s="53" t="str">
        <f aca="false">IF($H803="","",ROW()-5)</f>
        <v/>
      </c>
      <c r="B803" s="64" t="s">
        <v>36</v>
      </c>
      <c r="C803" s="53" t="n">
        <v>205</v>
      </c>
      <c r="D803" s="53" t="n">
        <v>2</v>
      </c>
      <c r="E803" s="65" t="str">
        <f aca="false">IF($H803="","",购销流水!$B205)</f>
        <v/>
      </c>
      <c r="F803" s="55" t="str">
        <f aca="false">IF($H803="","",购销流水!$C205)</f>
        <v/>
      </c>
      <c r="G803" s="48" t="str">
        <f aca="false">IF($H803="","",购销流水!$N205)</f>
        <v/>
      </c>
      <c r="H803" s="10" t="str">
        <f aca="false">IF($L803="","",IF($L803="@成本",购销流水!$U205,IF($L803="@收入",购销流水!$T205,IF($L803="@存货",购销流水!$S205,IF($L803="@结算",购销流水!$R205,$L803)))))</f>
        <v/>
      </c>
      <c r="I803" s="42" t="n">
        <f aca="false">IF($M803="借",$O803,0)</f>
        <v>0</v>
      </c>
      <c r="J803" s="42" t="n">
        <f aca="false">IF($M803="贷",$O803,0)</f>
        <v>0</v>
      </c>
      <c r="K803" s="48" t="str">
        <f aca="false">IF($H803="","",购销流水!$E205)</f>
        <v/>
      </c>
      <c r="L803" s="66" t="str">
        <f aca="false">IF(购销流水!$D205="","",IFERROR(INDEX(记账规则!$A$6:$N$9,MATCH(购销流水!$D205,记账规则!$A$6:$A$9,0),6),""))</f>
        <v/>
      </c>
      <c r="M803" s="66" t="str">
        <f aca="false">IF($L803="","",IFERROR(INDEX(记账规则!$A$6:$N$9,MATCH(购销流水!$D205,记账规则!$A$6:$A$9,0),7),""))</f>
        <v/>
      </c>
      <c r="N803" s="66" t="str">
        <f aca="false">IF($L803="","",IFERROR(INDEX(记账规则!$A$6:$N$9,MATCH(购销流水!$D205,记账规则!$A$6:$A$9,0),8),""))</f>
        <v/>
      </c>
      <c r="O803" s="67" t="n">
        <f aca="false">IF($H803="",0,ROUND(IF($N803="成本金额",N(购销流水!$W205),IF($N803="金额",N(购销流水!$Q205),0)),2))</f>
        <v>0</v>
      </c>
      <c r="P803" s="64" t="str">
        <f aca="false">IF(AND($H803&lt;&gt;"",ROUND($O803,2)&lt;&gt;0),"有","")</f>
        <v/>
      </c>
    </row>
    <row r="804" customFormat="false" ht="15" hidden="true" customHeight="false" outlineLevel="0" collapsed="false">
      <c r="A804" s="53" t="str">
        <f aca="false">IF($H804="","",ROW()-5)</f>
        <v/>
      </c>
      <c r="B804" s="64" t="s">
        <v>36</v>
      </c>
      <c r="C804" s="53" t="n">
        <v>205</v>
      </c>
      <c r="D804" s="53" t="n">
        <v>3</v>
      </c>
      <c r="E804" s="65" t="str">
        <f aca="false">IF($H804="","",购销流水!$B205)</f>
        <v/>
      </c>
      <c r="F804" s="55" t="str">
        <f aca="false">IF($H804="","",购销流水!$C205)</f>
        <v/>
      </c>
      <c r="G804" s="48" t="str">
        <f aca="false">IF($H804="","",购销流水!$N205)</f>
        <v/>
      </c>
      <c r="H804" s="10" t="str">
        <f aca="false">IF($L804="","",IF($L804="@成本",购销流水!$U205,IF($L804="@收入",购销流水!$T205,IF($L804="@存货",购销流水!$S205,IF($L804="@结算",购销流水!$R205,$L804)))))</f>
        <v/>
      </c>
      <c r="I804" s="42" t="n">
        <f aca="false">IF($M804="借",$O804,0)</f>
        <v>0</v>
      </c>
      <c r="J804" s="42" t="n">
        <f aca="false">IF($M804="贷",$O804,0)</f>
        <v>0</v>
      </c>
      <c r="K804" s="48" t="str">
        <f aca="false">IF($H804="","",购销流水!$E205)</f>
        <v/>
      </c>
      <c r="L804" s="66" t="str">
        <f aca="false">IF(购销流水!$D205="","",IFERROR(INDEX(记账规则!$A$6:$N$9,MATCH(购销流水!$D205,记账规则!$A$6:$A$9,0),9),""))</f>
        <v/>
      </c>
      <c r="M804" s="66" t="str">
        <f aca="false">IF($L804="","",IFERROR(INDEX(记账规则!$A$6:$N$9,MATCH(购销流水!$D205,记账规则!$A$6:$A$9,0),10),""))</f>
        <v/>
      </c>
      <c r="N804" s="66" t="str">
        <f aca="false">IF($L804="","",IFERROR(INDEX(记账规则!$A$6:$N$9,MATCH(购销流水!$D205,记账规则!$A$6:$A$9,0),11),""))</f>
        <v/>
      </c>
      <c r="O804" s="67" t="n">
        <f aca="false">IF($H804="",0,ROUND(IF($N804="成本金额",N(购销流水!$W205),IF($N804="金额",N(购销流水!$Q205),0)),2))</f>
        <v>0</v>
      </c>
      <c r="P804" s="64" t="str">
        <f aca="false">IF(AND($H804&lt;&gt;"",ROUND($O804,2)&lt;&gt;0),"有","")</f>
        <v/>
      </c>
    </row>
    <row r="805" customFormat="false" ht="15" hidden="true" customHeight="false" outlineLevel="0" collapsed="false">
      <c r="A805" s="53" t="str">
        <f aca="false">IF($H805="","",ROW()-5)</f>
        <v/>
      </c>
      <c r="B805" s="64" t="s">
        <v>36</v>
      </c>
      <c r="C805" s="53" t="n">
        <v>205</v>
      </c>
      <c r="D805" s="53" t="n">
        <v>4</v>
      </c>
      <c r="E805" s="65" t="str">
        <f aca="false">IF($H805="","",购销流水!$B205)</f>
        <v/>
      </c>
      <c r="F805" s="55" t="str">
        <f aca="false">IF($H805="","",购销流水!$C205)</f>
        <v/>
      </c>
      <c r="G805" s="48" t="str">
        <f aca="false">IF($H805="","",购销流水!$N205)</f>
        <v/>
      </c>
      <c r="H805" s="10" t="str">
        <f aca="false">IF($L805="","",IF($L805="@成本",购销流水!$U205,IF($L805="@收入",购销流水!$T205,IF($L805="@存货",购销流水!$S205,IF($L805="@结算",购销流水!$R205,$L805)))))</f>
        <v/>
      </c>
      <c r="I805" s="42" t="n">
        <f aca="false">IF($M805="借",$O805,0)</f>
        <v>0</v>
      </c>
      <c r="J805" s="42" t="n">
        <f aca="false">IF($M805="贷",$O805,0)</f>
        <v>0</v>
      </c>
      <c r="K805" s="48" t="str">
        <f aca="false">IF($H805="","",购销流水!$E205)</f>
        <v/>
      </c>
      <c r="L805" s="66" t="str">
        <f aca="false">IF(购销流水!$D205="","",IFERROR(INDEX(记账规则!$A$6:$N$9,MATCH(购销流水!$D205,记账规则!$A$6:$A$9,0),12),""))</f>
        <v/>
      </c>
      <c r="M805" s="66" t="str">
        <f aca="false">IF($L805="","",IFERROR(INDEX(记账规则!$A$6:$N$9,MATCH(购销流水!$D205,记账规则!$A$6:$A$9,0),13),""))</f>
        <v/>
      </c>
      <c r="N805" s="66" t="str">
        <f aca="false">IF($L805="","",IFERROR(INDEX(记账规则!$A$6:$N$9,MATCH(购销流水!$D205,记账规则!$A$6:$A$9,0),14),""))</f>
        <v/>
      </c>
      <c r="O805" s="67" t="n">
        <f aca="false">IF($H805="",0,ROUND(IF($N805="成本金额",N(购销流水!$W205),IF($N805="金额",N(购销流水!$Q205),0)),2))</f>
        <v>0</v>
      </c>
      <c r="P805" s="64" t="str">
        <f aca="false">IF(AND($H805&lt;&gt;"",ROUND($O805,2)&lt;&gt;0),"有","")</f>
        <v/>
      </c>
    </row>
    <row r="806" customFormat="false" ht="15" hidden="true" customHeight="false" outlineLevel="0" collapsed="false">
      <c r="A806" s="53" t="str">
        <f aca="false">IF($H806="","",ROW()-5)</f>
        <v/>
      </c>
      <c r="B806" s="64" t="s">
        <v>36</v>
      </c>
      <c r="C806" s="53" t="n">
        <v>206</v>
      </c>
      <c r="D806" s="53" t="n">
        <v>1</v>
      </c>
      <c r="E806" s="65" t="str">
        <f aca="false">IF($H806="","",购销流水!$B206)</f>
        <v/>
      </c>
      <c r="F806" s="55" t="str">
        <f aca="false">IF($H806="","",购销流水!$C206)</f>
        <v/>
      </c>
      <c r="G806" s="48" t="str">
        <f aca="false">IF($H806="","",购销流水!$N206)</f>
        <v/>
      </c>
      <c r="H806" s="10" t="str">
        <f aca="false">IF($L806="","",IF($L806="@成本",购销流水!$U206,IF($L806="@收入",购销流水!$T206,IF($L806="@存货",购销流水!$S206,IF($L806="@结算",购销流水!$R206,$L806)))))</f>
        <v/>
      </c>
      <c r="I806" s="42" t="n">
        <f aca="false">IF($M806="借",$O806,0)</f>
        <v>0</v>
      </c>
      <c r="J806" s="42" t="n">
        <f aca="false">IF($M806="贷",$O806,0)</f>
        <v>0</v>
      </c>
      <c r="K806" s="48" t="str">
        <f aca="false">IF($H806="","",购销流水!$E206)</f>
        <v/>
      </c>
      <c r="L806" s="66" t="str">
        <f aca="false">IF(购销流水!$D206="","",IFERROR(INDEX(记账规则!$A$6:$N$9,MATCH(购销流水!$D206,记账规则!$A$6:$A$9,0),3),""))</f>
        <v/>
      </c>
      <c r="M806" s="66" t="str">
        <f aca="false">IF($L806="","",IFERROR(INDEX(记账规则!$A$6:$N$9,MATCH(购销流水!$D206,记账规则!$A$6:$A$9,0),4),""))</f>
        <v/>
      </c>
      <c r="N806" s="66" t="str">
        <f aca="false">IF($L806="","",IFERROR(INDEX(记账规则!$A$6:$N$9,MATCH(购销流水!$D206,记账规则!$A$6:$A$9,0),5),""))</f>
        <v/>
      </c>
      <c r="O806" s="67" t="n">
        <f aca="false">IF($H806="",0,ROUND(IF($N806="成本金额",N(购销流水!$W206),IF($N806="金额",N(购销流水!$Q206),0)),2))</f>
        <v>0</v>
      </c>
      <c r="P806" s="64" t="str">
        <f aca="false">IF(AND($H806&lt;&gt;"",ROUND($O806,2)&lt;&gt;0),"有","")</f>
        <v/>
      </c>
    </row>
    <row r="807" customFormat="false" ht="15" hidden="true" customHeight="false" outlineLevel="0" collapsed="false">
      <c r="A807" s="53" t="str">
        <f aca="false">IF($H807="","",ROW()-5)</f>
        <v/>
      </c>
      <c r="B807" s="64" t="s">
        <v>36</v>
      </c>
      <c r="C807" s="53" t="n">
        <v>206</v>
      </c>
      <c r="D807" s="53" t="n">
        <v>2</v>
      </c>
      <c r="E807" s="65" t="str">
        <f aca="false">IF($H807="","",购销流水!$B206)</f>
        <v/>
      </c>
      <c r="F807" s="55" t="str">
        <f aca="false">IF($H807="","",购销流水!$C206)</f>
        <v/>
      </c>
      <c r="G807" s="48" t="str">
        <f aca="false">IF($H807="","",购销流水!$N206)</f>
        <v/>
      </c>
      <c r="H807" s="10" t="str">
        <f aca="false">IF($L807="","",IF($L807="@成本",购销流水!$U206,IF($L807="@收入",购销流水!$T206,IF($L807="@存货",购销流水!$S206,IF($L807="@结算",购销流水!$R206,$L807)))))</f>
        <v/>
      </c>
      <c r="I807" s="42" t="n">
        <f aca="false">IF($M807="借",$O807,0)</f>
        <v>0</v>
      </c>
      <c r="J807" s="42" t="n">
        <f aca="false">IF($M807="贷",$O807,0)</f>
        <v>0</v>
      </c>
      <c r="K807" s="48" t="str">
        <f aca="false">IF($H807="","",购销流水!$E206)</f>
        <v/>
      </c>
      <c r="L807" s="66" t="str">
        <f aca="false">IF(购销流水!$D206="","",IFERROR(INDEX(记账规则!$A$6:$N$9,MATCH(购销流水!$D206,记账规则!$A$6:$A$9,0),6),""))</f>
        <v/>
      </c>
      <c r="M807" s="66" t="str">
        <f aca="false">IF($L807="","",IFERROR(INDEX(记账规则!$A$6:$N$9,MATCH(购销流水!$D206,记账规则!$A$6:$A$9,0),7),""))</f>
        <v/>
      </c>
      <c r="N807" s="66" t="str">
        <f aca="false">IF($L807="","",IFERROR(INDEX(记账规则!$A$6:$N$9,MATCH(购销流水!$D206,记账规则!$A$6:$A$9,0),8),""))</f>
        <v/>
      </c>
      <c r="O807" s="67" t="n">
        <f aca="false">IF($H807="",0,ROUND(IF($N807="成本金额",N(购销流水!$W206),IF($N807="金额",N(购销流水!$Q206),0)),2))</f>
        <v>0</v>
      </c>
      <c r="P807" s="64" t="str">
        <f aca="false">IF(AND($H807&lt;&gt;"",ROUND($O807,2)&lt;&gt;0),"有","")</f>
        <v/>
      </c>
    </row>
    <row r="808" customFormat="false" ht="15" hidden="true" customHeight="false" outlineLevel="0" collapsed="false">
      <c r="A808" s="53" t="str">
        <f aca="false">IF($H808="","",ROW()-5)</f>
        <v/>
      </c>
      <c r="B808" s="64" t="s">
        <v>36</v>
      </c>
      <c r="C808" s="53" t="n">
        <v>206</v>
      </c>
      <c r="D808" s="53" t="n">
        <v>3</v>
      </c>
      <c r="E808" s="65" t="str">
        <f aca="false">IF($H808="","",购销流水!$B206)</f>
        <v/>
      </c>
      <c r="F808" s="55" t="str">
        <f aca="false">IF($H808="","",购销流水!$C206)</f>
        <v/>
      </c>
      <c r="G808" s="48" t="str">
        <f aca="false">IF($H808="","",购销流水!$N206)</f>
        <v/>
      </c>
      <c r="H808" s="10" t="str">
        <f aca="false">IF($L808="","",IF($L808="@成本",购销流水!$U206,IF($L808="@收入",购销流水!$T206,IF($L808="@存货",购销流水!$S206,IF($L808="@结算",购销流水!$R206,$L808)))))</f>
        <v/>
      </c>
      <c r="I808" s="42" t="n">
        <f aca="false">IF($M808="借",$O808,0)</f>
        <v>0</v>
      </c>
      <c r="J808" s="42" t="n">
        <f aca="false">IF($M808="贷",$O808,0)</f>
        <v>0</v>
      </c>
      <c r="K808" s="48" t="str">
        <f aca="false">IF($H808="","",购销流水!$E206)</f>
        <v/>
      </c>
      <c r="L808" s="66" t="str">
        <f aca="false">IF(购销流水!$D206="","",IFERROR(INDEX(记账规则!$A$6:$N$9,MATCH(购销流水!$D206,记账规则!$A$6:$A$9,0),9),""))</f>
        <v/>
      </c>
      <c r="M808" s="66" t="str">
        <f aca="false">IF($L808="","",IFERROR(INDEX(记账规则!$A$6:$N$9,MATCH(购销流水!$D206,记账规则!$A$6:$A$9,0),10),""))</f>
        <v/>
      </c>
      <c r="N808" s="66" t="str">
        <f aca="false">IF($L808="","",IFERROR(INDEX(记账规则!$A$6:$N$9,MATCH(购销流水!$D206,记账规则!$A$6:$A$9,0),11),""))</f>
        <v/>
      </c>
      <c r="O808" s="67" t="n">
        <f aca="false">IF($H808="",0,ROUND(IF($N808="成本金额",N(购销流水!$W206),IF($N808="金额",N(购销流水!$Q206),0)),2))</f>
        <v>0</v>
      </c>
      <c r="P808" s="64" t="str">
        <f aca="false">IF(AND($H808&lt;&gt;"",ROUND($O808,2)&lt;&gt;0),"有","")</f>
        <v/>
      </c>
    </row>
    <row r="809" customFormat="false" ht="15" hidden="true" customHeight="false" outlineLevel="0" collapsed="false">
      <c r="A809" s="53" t="str">
        <f aca="false">IF($H809="","",ROW()-5)</f>
        <v/>
      </c>
      <c r="B809" s="64" t="s">
        <v>36</v>
      </c>
      <c r="C809" s="53" t="n">
        <v>206</v>
      </c>
      <c r="D809" s="53" t="n">
        <v>4</v>
      </c>
      <c r="E809" s="65" t="str">
        <f aca="false">IF($H809="","",购销流水!$B206)</f>
        <v/>
      </c>
      <c r="F809" s="55" t="str">
        <f aca="false">IF($H809="","",购销流水!$C206)</f>
        <v/>
      </c>
      <c r="G809" s="48" t="str">
        <f aca="false">IF($H809="","",购销流水!$N206)</f>
        <v/>
      </c>
      <c r="H809" s="10" t="str">
        <f aca="false">IF($L809="","",IF($L809="@成本",购销流水!$U206,IF($L809="@收入",购销流水!$T206,IF($L809="@存货",购销流水!$S206,IF($L809="@结算",购销流水!$R206,$L809)))))</f>
        <v/>
      </c>
      <c r="I809" s="42" t="n">
        <f aca="false">IF($M809="借",$O809,0)</f>
        <v>0</v>
      </c>
      <c r="J809" s="42" t="n">
        <f aca="false">IF($M809="贷",$O809,0)</f>
        <v>0</v>
      </c>
      <c r="K809" s="48" t="str">
        <f aca="false">IF($H809="","",购销流水!$E206)</f>
        <v/>
      </c>
      <c r="L809" s="66" t="str">
        <f aca="false">IF(购销流水!$D206="","",IFERROR(INDEX(记账规则!$A$6:$N$9,MATCH(购销流水!$D206,记账规则!$A$6:$A$9,0),12),""))</f>
        <v/>
      </c>
      <c r="M809" s="66" t="str">
        <f aca="false">IF($L809="","",IFERROR(INDEX(记账规则!$A$6:$N$9,MATCH(购销流水!$D206,记账规则!$A$6:$A$9,0),13),""))</f>
        <v/>
      </c>
      <c r="N809" s="66" t="str">
        <f aca="false">IF($L809="","",IFERROR(INDEX(记账规则!$A$6:$N$9,MATCH(购销流水!$D206,记账规则!$A$6:$A$9,0),14),""))</f>
        <v/>
      </c>
      <c r="O809" s="67" t="n">
        <f aca="false">IF($H809="",0,ROUND(IF($N809="成本金额",N(购销流水!$W206),IF($N809="金额",N(购销流水!$Q206),0)),2))</f>
        <v>0</v>
      </c>
      <c r="P809" s="64" t="str">
        <f aca="false">IF(AND($H809&lt;&gt;"",ROUND($O809,2)&lt;&gt;0),"有","")</f>
        <v/>
      </c>
    </row>
    <row r="810" customFormat="false" ht="15" hidden="true" customHeight="false" outlineLevel="0" collapsed="false">
      <c r="A810" s="53" t="str">
        <f aca="false">IF($H810="","",ROW()-5)</f>
        <v/>
      </c>
      <c r="B810" s="64" t="s">
        <v>36</v>
      </c>
      <c r="C810" s="53" t="n">
        <v>207</v>
      </c>
      <c r="D810" s="53" t="n">
        <v>1</v>
      </c>
      <c r="E810" s="65" t="str">
        <f aca="false">IF($H810="","",购销流水!$B207)</f>
        <v/>
      </c>
      <c r="F810" s="55" t="str">
        <f aca="false">IF($H810="","",购销流水!$C207)</f>
        <v/>
      </c>
      <c r="G810" s="48" t="str">
        <f aca="false">IF($H810="","",购销流水!$N207)</f>
        <v/>
      </c>
      <c r="H810" s="10" t="str">
        <f aca="false">IF($L810="","",IF($L810="@成本",购销流水!$U207,IF($L810="@收入",购销流水!$T207,IF($L810="@存货",购销流水!$S207,IF($L810="@结算",购销流水!$R207,$L810)))))</f>
        <v/>
      </c>
      <c r="I810" s="42" t="n">
        <f aca="false">IF($M810="借",$O810,0)</f>
        <v>0</v>
      </c>
      <c r="J810" s="42" t="n">
        <f aca="false">IF($M810="贷",$O810,0)</f>
        <v>0</v>
      </c>
      <c r="K810" s="48" t="str">
        <f aca="false">IF($H810="","",购销流水!$E207)</f>
        <v/>
      </c>
      <c r="L810" s="66" t="str">
        <f aca="false">IF(购销流水!$D207="","",IFERROR(INDEX(记账规则!$A$6:$N$9,MATCH(购销流水!$D207,记账规则!$A$6:$A$9,0),3),""))</f>
        <v/>
      </c>
      <c r="M810" s="66" t="str">
        <f aca="false">IF($L810="","",IFERROR(INDEX(记账规则!$A$6:$N$9,MATCH(购销流水!$D207,记账规则!$A$6:$A$9,0),4),""))</f>
        <v/>
      </c>
      <c r="N810" s="66" t="str">
        <f aca="false">IF($L810="","",IFERROR(INDEX(记账规则!$A$6:$N$9,MATCH(购销流水!$D207,记账规则!$A$6:$A$9,0),5),""))</f>
        <v/>
      </c>
      <c r="O810" s="67" t="n">
        <f aca="false">IF($H810="",0,ROUND(IF($N810="成本金额",N(购销流水!$W207),IF($N810="金额",N(购销流水!$Q207),0)),2))</f>
        <v>0</v>
      </c>
      <c r="P810" s="64" t="str">
        <f aca="false">IF(AND($H810&lt;&gt;"",ROUND($O810,2)&lt;&gt;0),"有","")</f>
        <v/>
      </c>
    </row>
    <row r="811" customFormat="false" ht="15" hidden="true" customHeight="false" outlineLevel="0" collapsed="false">
      <c r="A811" s="53" t="str">
        <f aca="false">IF($H811="","",ROW()-5)</f>
        <v/>
      </c>
      <c r="B811" s="64" t="s">
        <v>36</v>
      </c>
      <c r="C811" s="53" t="n">
        <v>207</v>
      </c>
      <c r="D811" s="53" t="n">
        <v>2</v>
      </c>
      <c r="E811" s="65" t="str">
        <f aca="false">IF($H811="","",购销流水!$B207)</f>
        <v/>
      </c>
      <c r="F811" s="55" t="str">
        <f aca="false">IF($H811="","",购销流水!$C207)</f>
        <v/>
      </c>
      <c r="G811" s="48" t="str">
        <f aca="false">IF($H811="","",购销流水!$N207)</f>
        <v/>
      </c>
      <c r="H811" s="10" t="str">
        <f aca="false">IF($L811="","",IF($L811="@成本",购销流水!$U207,IF($L811="@收入",购销流水!$T207,IF($L811="@存货",购销流水!$S207,IF($L811="@结算",购销流水!$R207,$L811)))))</f>
        <v/>
      </c>
      <c r="I811" s="42" t="n">
        <f aca="false">IF($M811="借",$O811,0)</f>
        <v>0</v>
      </c>
      <c r="J811" s="42" t="n">
        <f aca="false">IF($M811="贷",$O811,0)</f>
        <v>0</v>
      </c>
      <c r="K811" s="48" t="str">
        <f aca="false">IF($H811="","",购销流水!$E207)</f>
        <v/>
      </c>
      <c r="L811" s="66" t="str">
        <f aca="false">IF(购销流水!$D207="","",IFERROR(INDEX(记账规则!$A$6:$N$9,MATCH(购销流水!$D207,记账规则!$A$6:$A$9,0),6),""))</f>
        <v/>
      </c>
      <c r="M811" s="66" t="str">
        <f aca="false">IF($L811="","",IFERROR(INDEX(记账规则!$A$6:$N$9,MATCH(购销流水!$D207,记账规则!$A$6:$A$9,0),7),""))</f>
        <v/>
      </c>
      <c r="N811" s="66" t="str">
        <f aca="false">IF($L811="","",IFERROR(INDEX(记账规则!$A$6:$N$9,MATCH(购销流水!$D207,记账规则!$A$6:$A$9,0),8),""))</f>
        <v/>
      </c>
      <c r="O811" s="67" t="n">
        <f aca="false">IF($H811="",0,ROUND(IF($N811="成本金额",N(购销流水!$W207),IF($N811="金额",N(购销流水!$Q207),0)),2))</f>
        <v>0</v>
      </c>
      <c r="P811" s="64" t="str">
        <f aca="false">IF(AND($H811&lt;&gt;"",ROUND($O811,2)&lt;&gt;0),"有","")</f>
        <v/>
      </c>
    </row>
    <row r="812" customFormat="false" ht="15" hidden="true" customHeight="false" outlineLevel="0" collapsed="false">
      <c r="A812" s="53" t="str">
        <f aca="false">IF($H812="","",ROW()-5)</f>
        <v/>
      </c>
      <c r="B812" s="64" t="s">
        <v>36</v>
      </c>
      <c r="C812" s="53" t="n">
        <v>207</v>
      </c>
      <c r="D812" s="53" t="n">
        <v>3</v>
      </c>
      <c r="E812" s="65" t="str">
        <f aca="false">IF($H812="","",购销流水!$B207)</f>
        <v/>
      </c>
      <c r="F812" s="55" t="str">
        <f aca="false">IF($H812="","",购销流水!$C207)</f>
        <v/>
      </c>
      <c r="G812" s="48" t="str">
        <f aca="false">IF($H812="","",购销流水!$N207)</f>
        <v/>
      </c>
      <c r="H812" s="10" t="str">
        <f aca="false">IF($L812="","",IF($L812="@成本",购销流水!$U207,IF($L812="@收入",购销流水!$T207,IF($L812="@存货",购销流水!$S207,IF($L812="@结算",购销流水!$R207,$L812)))))</f>
        <v/>
      </c>
      <c r="I812" s="42" t="n">
        <f aca="false">IF($M812="借",$O812,0)</f>
        <v>0</v>
      </c>
      <c r="J812" s="42" t="n">
        <f aca="false">IF($M812="贷",$O812,0)</f>
        <v>0</v>
      </c>
      <c r="K812" s="48" t="str">
        <f aca="false">IF($H812="","",购销流水!$E207)</f>
        <v/>
      </c>
      <c r="L812" s="66" t="str">
        <f aca="false">IF(购销流水!$D207="","",IFERROR(INDEX(记账规则!$A$6:$N$9,MATCH(购销流水!$D207,记账规则!$A$6:$A$9,0),9),""))</f>
        <v/>
      </c>
      <c r="M812" s="66" t="str">
        <f aca="false">IF($L812="","",IFERROR(INDEX(记账规则!$A$6:$N$9,MATCH(购销流水!$D207,记账规则!$A$6:$A$9,0),10),""))</f>
        <v/>
      </c>
      <c r="N812" s="66" t="str">
        <f aca="false">IF($L812="","",IFERROR(INDEX(记账规则!$A$6:$N$9,MATCH(购销流水!$D207,记账规则!$A$6:$A$9,0),11),""))</f>
        <v/>
      </c>
      <c r="O812" s="67" t="n">
        <f aca="false">IF($H812="",0,ROUND(IF($N812="成本金额",N(购销流水!$W207),IF($N812="金额",N(购销流水!$Q207),0)),2))</f>
        <v>0</v>
      </c>
      <c r="P812" s="64" t="str">
        <f aca="false">IF(AND($H812&lt;&gt;"",ROUND($O812,2)&lt;&gt;0),"有","")</f>
        <v/>
      </c>
    </row>
    <row r="813" customFormat="false" ht="15" hidden="true" customHeight="false" outlineLevel="0" collapsed="false">
      <c r="A813" s="53" t="str">
        <f aca="false">IF($H813="","",ROW()-5)</f>
        <v/>
      </c>
      <c r="B813" s="64" t="s">
        <v>36</v>
      </c>
      <c r="C813" s="53" t="n">
        <v>207</v>
      </c>
      <c r="D813" s="53" t="n">
        <v>4</v>
      </c>
      <c r="E813" s="65" t="str">
        <f aca="false">IF($H813="","",购销流水!$B207)</f>
        <v/>
      </c>
      <c r="F813" s="55" t="str">
        <f aca="false">IF($H813="","",购销流水!$C207)</f>
        <v/>
      </c>
      <c r="G813" s="48" t="str">
        <f aca="false">IF($H813="","",购销流水!$N207)</f>
        <v/>
      </c>
      <c r="H813" s="10" t="str">
        <f aca="false">IF($L813="","",IF($L813="@成本",购销流水!$U207,IF($L813="@收入",购销流水!$T207,IF($L813="@存货",购销流水!$S207,IF($L813="@结算",购销流水!$R207,$L813)))))</f>
        <v/>
      </c>
      <c r="I813" s="42" t="n">
        <f aca="false">IF($M813="借",$O813,0)</f>
        <v>0</v>
      </c>
      <c r="J813" s="42" t="n">
        <f aca="false">IF($M813="贷",$O813,0)</f>
        <v>0</v>
      </c>
      <c r="K813" s="48" t="str">
        <f aca="false">IF($H813="","",购销流水!$E207)</f>
        <v/>
      </c>
      <c r="L813" s="66" t="str">
        <f aca="false">IF(购销流水!$D207="","",IFERROR(INDEX(记账规则!$A$6:$N$9,MATCH(购销流水!$D207,记账规则!$A$6:$A$9,0),12),""))</f>
        <v/>
      </c>
      <c r="M813" s="66" t="str">
        <f aca="false">IF($L813="","",IFERROR(INDEX(记账规则!$A$6:$N$9,MATCH(购销流水!$D207,记账规则!$A$6:$A$9,0),13),""))</f>
        <v/>
      </c>
      <c r="N813" s="66" t="str">
        <f aca="false">IF($L813="","",IFERROR(INDEX(记账规则!$A$6:$N$9,MATCH(购销流水!$D207,记账规则!$A$6:$A$9,0),14),""))</f>
        <v/>
      </c>
      <c r="O813" s="67" t="n">
        <f aca="false">IF($H813="",0,ROUND(IF($N813="成本金额",N(购销流水!$W207),IF($N813="金额",N(购销流水!$Q207),0)),2))</f>
        <v>0</v>
      </c>
      <c r="P813" s="64" t="str">
        <f aca="false">IF(AND($H813&lt;&gt;"",ROUND($O813,2)&lt;&gt;0),"有","")</f>
        <v/>
      </c>
    </row>
    <row r="814" customFormat="false" ht="15" hidden="true" customHeight="false" outlineLevel="0" collapsed="false">
      <c r="A814" s="53" t="str">
        <f aca="false">IF($H814="","",ROW()-5)</f>
        <v/>
      </c>
      <c r="B814" s="64" t="s">
        <v>36</v>
      </c>
      <c r="C814" s="53" t="n">
        <v>208</v>
      </c>
      <c r="D814" s="53" t="n">
        <v>1</v>
      </c>
      <c r="E814" s="65" t="str">
        <f aca="false">IF($H814="","",购销流水!$B208)</f>
        <v/>
      </c>
      <c r="F814" s="55" t="str">
        <f aca="false">IF($H814="","",购销流水!$C208)</f>
        <v/>
      </c>
      <c r="G814" s="48" t="str">
        <f aca="false">IF($H814="","",购销流水!$N208)</f>
        <v/>
      </c>
      <c r="H814" s="10" t="str">
        <f aca="false">IF($L814="","",IF($L814="@成本",购销流水!$U208,IF($L814="@收入",购销流水!$T208,IF($L814="@存货",购销流水!$S208,IF($L814="@结算",购销流水!$R208,$L814)))))</f>
        <v/>
      </c>
      <c r="I814" s="42" t="n">
        <f aca="false">IF($M814="借",$O814,0)</f>
        <v>0</v>
      </c>
      <c r="J814" s="42" t="n">
        <f aca="false">IF($M814="贷",$O814,0)</f>
        <v>0</v>
      </c>
      <c r="K814" s="48" t="str">
        <f aca="false">IF($H814="","",购销流水!$E208)</f>
        <v/>
      </c>
      <c r="L814" s="66" t="str">
        <f aca="false">IF(购销流水!$D208="","",IFERROR(INDEX(记账规则!$A$6:$N$9,MATCH(购销流水!$D208,记账规则!$A$6:$A$9,0),3),""))</f>
        <v/>
      </c>
      <c r="M814" s="66" t="str">
        <f aca="false">IF($L814="","",IFERROR(INDEX(记账规则!$A$6:$N$9,MATCH(购销流水!$D208,记账规则!$A$6:$A$9,0),4),""))</f>
        <v/>
      </c>
      <c r="N814" s="66" t="str">
        <f aca="false">IF($L814="","",IFERROR(INDEX(记账规则!$A$6:$N$9,MATCH(购销流水!$D208,记账规则!$A$6:$A$9,0),5),""))</f>
        <v/>
      </c>
      <c r="O814" s="67" t="n">
        <f aca="false">IF($H814="",0,ROUND(IF($N814="成本金额",N(购销流水!$W208),IF($N814="金额",N(购销流水!$Q208),0)),2))</f>
        <v>0</v>
      </c>
      <c r="P814" s="64" t="str">
        <f aca="false">IF(AND($H814&lt;&gt;"",ROUND($O814,2)&lt;&gt;0),"有","")</f>
        <v/>
      </c>
    </row>
    <row r="815" customFormat="false" ht="15" hidden="true" customHeight="false" outlineLevel="0" collapsed="false">
      <c r="A815" s="53" t="str">
        <f aca="false">IF($H815="","",ROW()-5)</f>
        <v/>
      </c>
      <c r="B815" s="64" t="s">
        <v>36</v>
      </c>
      <c r="C815" s="53" t="n">
        <v>208</v>
      </c>
      <c r="D815" s="53" t="n">
        <v>2</v>
      </c>
      <c r="E815" s="65" t="str">
        <f aca="false">IF($H815="","",购销流水!$B208)</f>
        <v/>
      </c>
      <c r="F815" s="55" t="str">
        <f aca="false">IF($H815="","",购销流水!$C208)</f>
        <v/>
      </c>
      <c r="G815" s="48" t="str">
        <f aca="false">IF($H815="","",购销流水!$N208)</f>
        <v/>
      </c>
      <c r="H815" s="10" t="str">
        <f aca="false">IF($L815="","",IF($L815="@成本",购销流水!$U208,IF($L815="@收入",购销流水!$T208,IF($L815="@存货",购销流水!$S208,IF($L815="@结算",购销流水!$R208,$L815)))))</f>
        <v/>
      </c>
      <c r="I815" s="42" t="n">
        <f aca="false">IF($M815="借",$O815,0)</f>
        <v>0</v>
      </c>
      <c r="J815" s="42" t="n">
        <f aca="false">IF($M815="贷",$O815,0)</f>
        <v>0</v>
      </c>
      <c r="K815" s="48" t="str">
        <f aca="false">IF($H815="","",购销流水!$E208)</f>
        <v/>
      </c>
      <c r="L815" s="66" t="str">
        <f aca="false">IF(购销流水!$D208="","",IFERROR(INDEX(记账规则!$A$6:$N$9,MATCH(购销流水!$D208,记账规则!$A$6:$A$9,0),6),""))</f>
        <v/>
      </c>
      <c r="M815" s="66" t="str">
        <f aca="false">IF($L815="","",IFERROR(INDEX(记账规则!$A$6:$N$9,MATCH(购销流水!$D208,记账规则!$A$6:$A$9,0),7),""))</f>
        <v/>
      </c>
      <c r="N815" s="66" t="str">
        <f aca="false">IF($L815="","",IFERROR(INDEX(记账规则!$A$6:$N$9,MATCH(购销流水!$D208,记账规则!$A$6:$A$9,0),8),""))</f>
        <v/>
      </c>
      <c r="O815" s="67" t="n">
        <f aca="false">IF($H815="",0,ROUND(IF($N815="成本金额",N(购销流水!$W208),IF($N815="金额",N(购销流水!$Q208),0)),2))</f>
        <v>0</v>
      </c>
      <c r="P815" s="64" t="str">
        <f aca="false">IF(AND($H815&lt;&gt;"",ROUND($O815,2)&lt;&gt;0),"有","")</f>
        <v/>
      </c>
    </row>
    <row r="816" customFormat="false" ht="15" hidden="true" customHeight="false" outlineLevel="0" collapsed="false">
      <c r="A816" s="53" t="str">
        <f aca="false">IF($H816="","",ROW()-5)</f>
        <v/>
      </c>
      <c r="B816" s="64" t="s">
        <v>36</v>
      </c>
      <c r="C816" s="53" t="n">
        <v>208</v>
      </c>
      <c r="D816" s="53" t="n">
        <v>3</v>
      </c>
      <c r="E816" s="65" t="str">
        <f aca="false">IF($H816="","",购销流水!$B208)</f>
        <v/>
      </c>
      <c r="F816" s="55" t="str">
        <f aca="false">IF($H816="","",购销流水!$C208)</f>
        <v/>
      </c>
      <c r="G816" s="48" t="str">
        <f aca="false">IF($H816="","",购销流水!$N208)</f>
        <v/>
      </c>
      <c r="H816" s="10" t="str">
        <f aca="false">IF($L816="","",IF($L816="@成本",购销流水!$U208,IF($L816="@收入",购销流水!$T208,IF($L816="@存货",购销流水!$S208,IF($L816="@结算",购销流水!$R208,$L816)))))</f>
        <v/>
      </c>
      <c r="I816" s="42" t="n">
        <f aca="false">IF($M816="借",$O816,0)</f>
        <v>0</v>
      </c>
      <c r="J816" s="42" t="n">
        <f aca="false">IF($M816="贷",$O816,0)</f>
        <v>0</v>
      </c>
      <c r="K816" s="48" t="str">
        <f aca="false">IF($H816="","",购销流水!$E208)</f>
        <v/>
      </c>
      <c r="L816" s="66" t="str">
        <f aca="false">IF(购销流水!$D208="","",IFERROR(INDEX(记账规则!$A$6:$N$9,MATCH(购销流水!$D208,记账规则!$A$6:$A$9,0),9),""))</f>
        <v/>
      </c>
      <c r="M816" s="66" t="str">
        <f aca="false">IF($L816="","",IFERROR(INDEX(记账规则!$A$6:$N$9,MATCH(购销流水!$D208,记账规则!$A$6:$A$9,0),10),""))</f>
        <v/>
      </c>
      <c r="N816" s="66" t="str">
        <f aca="false">IF($L816="","",IFERROR(INDEX(记账规则!$A$6:$N$9,MATCH(购销流水!$D208,记账规则!$A$6:$A$9,0),11),""))</f>
        <v/>
      </c>
      <c r="O816" s="67" t="n">
        <f aca="false">IF($H816="",0,ROUND(IF($N816="成本金额",N(购销流水!$W208),IF($N816="金额",N(购销流水!$Q208),0)),2))</f>
        <v>0</v>
      </c>
      <c r="P816" s="64" t="str">
        <f aca="false">IF(AND($H816&lt;&gt;"",ROUND($O816,2)&lt;&gt;0),"有","")</f>
        <v/>
      </c>
    </row>
    <row r="817" customFormat="false" ht="15" hidden="true" customHeight="false" outlineLevel="0" collapsed="false">
      <c r="A817" s="53" t="str">
        <f aca="false">IF($H817="","",ROW()-5)</f>
        <v/>
      </c>
      <c r="B817" s="64" t="s">
        <v>36</v>
      </c>
      <c r="C817" s="53" t="n">
        <v>208</v>
      </c>
      <c r="D817" s="53" t="n">
        <v>4</v>
      </c>
      <c r="E817" s="65" t="str">
        <f aca="false">IF($H817="","",购销流水!$B208)</f>
        <v/>
      </c>
      <c r="F817" s="55" t="str">
        <f aca="false">IF($H817="","",购销流水!$C208)</f>
        <v/>
      </c>
      <c r="G817" s="48" t="str">
        <f aca="false">IF($H817="","",购销流水!$N208)</f>
        <v/>
      </c>
      <c r="H817" s="10" t="str">
        <f aca="false">IF($L817="","",IF($L817="@成本",购销流水!$U208,IF($L817="@收入",购销流水!$T208,IF($L817="@存货",购销流水!$S208,IF($L817="@结算",购销流水!$R208,$L817)))))</f>
        <v/>
      </c>
      <c r="I817" s="42" t="n">
        <f aca="false">IF($M817="借",$O817,0)</f>
        <v>0</v>
      </c>
      <c r="J817" s="42" t="n">
        <f aca="false">IF($M817="贷",$O817,0)</f>
        <v>0</v>
      </c>
      <c r="K817" s="48" t="str">
        <f aca="false">IF($H817="","",购销流水!$E208)</f>
        <v/>
      </c>
      <c r="L817" s="66" t="str">
        <f aca="false">IF(购销流水!$D208="","",IFERROR(INDEX(记账规则!$A$6:$N$9,MATCH(购销流水!$D208,记账规则!$A$6:$A$9,0),12),""))</f>
        <v/>
      </c>
      <c r="M817" s="66" t="str">
        <f aca="false">IF($L817="","",IFERROR(INDEX(记账规则!$A$6:$N$9,MATCH(购销流水!$D208,记账规则!$A$6:$A$9,0),13),""))</f>
        <v/>
      </c>
      <c r="N817" s="66" t="str">
        <f aca="false">IF($L817="","",IFERROR(INDEX(记账规则!$A$6:$N$9,MATCH(购销流水!$D208,记账规则!$A$6:$A$9,0),14),""))</f>
        <v/>
      </c>
      <c r="O817" s="67" t="n">
        <f aca="false">IF($H817="",0,ROUND(IF($N817="成本金额",N(购销流水!$W208),IF($N817="金额",N(购销流水!$Q208),0)),2))</f>
        <v>0</v>
      </c>
      <c r="P817" s="64" t="str">
        <f aca="false">IF(AND($H817&lt;&gt;"",ROUND($O817,2)&lt;&gt;0),"有","")</f>
        <v/>
      </c>
    </row>
    <row r="818" customFormat="false" ht="15" hidden="true" customHeight="false" outlineLevel="0" collapsed="false">
      <c r="A818" s="53" t="str">
        <f aca="false">IF($H818="","",ROW()-5)</f>
        <v/>
      </c>
      <c r="B818" s="64" t="s">
        <v>36</v>
      </c>
      <c r="C818" s="53" t="n">
        <v>209</v>
      </c>
      <c r="D818" s="53" t="n">
        <v>1</v>
      </c>
      <c r="E818" s="65" t="str">
        <f aca="false">IF($H818="","",购销流水!$B209)</f>
        <v/>
      </c>
      <c r="F818" s="55" t="str">
        <f aca="false">IF($H818="","",购销流水!$C209)</f>
        <v/>
      </c>
      <c r="G818" s="48" t="str">
        <f aca="false">IF($H818="","",购销流水!$N209)</f>
        <v/>
      </c>
      <c r="H818" s="10" t="str">
        <f aca="false">IF($L818="","",IF($L818="@成本",购销流水!$U209,IF($L818="@收入",购销流水!$T209,IF($L818="@存货",购销流水!$S209,IF($L818="@结算",购销流水!$R209,$L818)))))</f>
        <v/>
      </c>
      <c r="I818" s="42" t="n">
        <f aca="false">IF($M818="借",$O818,0)</f>
        <v>0</v>
      </c>
      <c r="J818" s="42" t="n">
        <f aca="false">IF($M818="贷",$O818,0)</f>
        <v>0</v>
      </c>
      <c r="K818" s="48" t="str">
        <f aca="false">IF($H818="","",购销流水!$E209)</f>
        <v/>
      </c>
      <c r="L818" s="66" t="str">
        <f aca="false">IF(购销流水!$D209="","",IFERROR(INDEX(记账规则!$A$6:$N$9,MATCH(购销流水!$D209,记账规则!$A$6:$A$9,0),3),""))</f>
        <v/>
      </c>
      <c r="M818" s="66" t="str">
        <f aca="false">IF($L818="","",IFERROR(INDEX(记账规则!$A$6:$N$9,MATCH(购销流水!$D209,记账规则!$A$6:$A$9,0),4),""))</f>
        <v/>
      </c>
      <c r="N818" s="66" t="str">
        <f aca="false">IF($L818="","",IFERROR(INDEX(记账规则!$A$6:$N$9,MATCH(购销流水!$D209,记账规则!$A$6:$A$9,0),5),""))</f>
        <v/>
      </c>
      <c r="O818" s="67" t="n">
        <f aca="false">IF($H818="",0,ROUND(IF($N818="成本金额",N(购销流水!$W209),IF($N818="金额",N(购销流水!$Q209),0)),2))</f>
        <v>0</v>
      </c>
      <c r="P818" s="64" t="str">
        <f aca="false">IF(AND($H818&lt;&gt;"",ROUND($O818,2)&lt;&gt;0),"有","")</f>
        <v/>
      </c>
    </row>
    <row r="819" customFormat="false" ht="15" hidden="true" customHeight="false" outlineLevel="0" collapsed="false">
      <c r="A819" s="53" t="str">
        <f aca="false">IF($H819="","",ROW()-5)</f>
        <v/>
      </c>
      <c r="B819" s="64" t="s">
        <v>36</v>
      </c>
      <c r="C819" s="53" t="n">
        <v>209</v>
      </c>
      <c r="D819" s="53" t="n">
        <v>2</v>
      </c>
      <c r="E819" s="65" t="str">
        <f aca="false">IF($H819="","",购销流水!$B209)</f>
        <v/>
      </c>
      <c r="F819" s="55" t="str">
        <f aca="false">IF($H819="","",购销流水!$C209)</f>
        <v/>
      </c>
      <c r="G819" s="48" t="str">
        <f aca="false">IF($H819="","",购销流水!$N209)</f>
        <v/>
      </c>
      <c r="H819" s="10" t="str">
        <f aca="false">IF($L819="","",IF($L819="@成本",购销流水!$U209,IF($L819="@收入",购销流水!$T209,IF($L819="@存货",购销流水!$S209,IF($L819="@结算",购销流水!$R209,$L819)))))</f>
        <v/>
      </c>
      <c r="I819" s="42" t="n">
        <f aca="false">IF($M819="借",$O819,0)</f>
        <v>0</v>
      </c>
      <c r="J819" s="42" t="n">
        <f aca="false">IF($M819="贷",$O819,0)</f>
        <v>0</v>
      </c>
      <c r="K819" s="48" t="str">
        <f aca="false">IF($H819="","",购销流水!$E209)</f>
        <v/>
      </c>
      <c r="L819" s="66" t="str">
        <f aca="false">IF(购销流水!$D209="","",IFERROR(INDEX(记账规则!$A$6:$N$9,MATCH(购销流水!$D209,记账规则!$A$6:$A$9,0),6),""))</f>
        <v/>
      </c>
      <c r="M819" s="66" t="str">
        <f aca="false">IF($L819="","",IFERROR(INDEX(记账规则!$A$6:$N$9,MATCH(购销流水!$D209,记账规则!$A$6:$A$9,0),7),""))</f>
        <v/>
      </c>
      <c r="N819" s="66" t="str">
        <f aca="false">IF($L819="","",IFERROR(INDEX(记账规则!$A$6:$N$9,MATCH(购销流水!$D209,记账规则!$A$6:$A$9,0),8),""))</f>
        <v/>
      </c>
      <c r="O819" s="67" t="n">
        <f aca="false">IF($H819="",0,ROUND(IF($N819="成本金额",N(购销流水!$W209),IF($N819="金额",N(购销流水!$Q209),0)),2))</f>
        <v>0</v>
      </c>
      <c r="P819" s="64" t="str">
        <f aca="false">IF(AND($H819&lt;&gt;"",ROUND($O819,2)&lt;&gt;0),"有","")</f>
        <v/>
      </c>
    </row>
    <row r="820" customFormat="false" ht="15" hidden="true" customHeight="false" outlineLevel="0" collapsed="false">
      <c r="A820" s="53" t="str">
        <f aca="false">IF($H820="","",ROW()-5)</f>
        <v/>
      </c>
      <c r="B820" s="64" t="s">
        <v>36</v>
      </c>
      <c r="C820" s="53" t="n">
        <v>209</v>
      </c>
      <c r="D820" s="53" t="n">
        <v>3</v>
      </c>
      <c r="E820" s="65" t="str">
        <f aca="false">IF($H820="","",购销流水!$B209)</f>
        <v/>
      </c>
      <c r="F820" s="55" t="str">
        <f aca="false">IF($H820="","",购销流水!$C209)</f>
        <v/>
      </c>
      <c r="G820" s="48" t="str">
        <f aca="false">IF($H820="","",购销流水!$N209)</f>
        <v/>
      </c>
      <c r="H820" s="10" t="str">
        <f aca="false">IF($L820="","",IF($L820="@成本",购销流水!$U209,IF($L820="@收入",购销流水!$T209,IF($L820="@存货",购销流水!$S209,IF($L820="@结算",购销流水!$R209,$L820)))))</f>
        <v/>
      </c>
      <c r="I820" s="42" t="n">
        <f aca="false">IF($M820="借",$O820,0)</f>
        <v>0</v>
      </c>
      <c r="J820" s="42" t="n">
        <f aca="false">IF($M820="贷",$O820,0)</f>
        <v>0</v>
      </c>
      <c r="K820" s="48" t="str">
        <f aca="false">IF($H820="","",购销流水!$E209)</f>
        <v/>
      </c>
      <c r="L820" s="66" t="str">
        <f aca="false">IF(购销流水!$D209="","",IFERROR(INDEX(记账规则!$A$6:$N$9,MATCH(购销流水!$D209,记账规则!$A$6:$A$9,0),9),""))</f>
        <v/>
      </c>
      <c r="M820" s="66" t="str">
        <f aca="false">IF($L820="","",IFERROR(INDEX(记账规则!$A$6:$N$9,MATCH(购销流水!$D209,记账规则!$A$6:$A$9,0),10),""))</f>
        <v/>
      </c>
      <c r="N820" s="66" t="str">
        <f aca="false">IF($L820="","",IFERROR(INDEX(记账规则!$A$6:$N$9,MATCH(购销流水!$D209,记账规则!$A$6:$A$9,0),11),""))</f>
        <v/>
      </c>
      <c r="O820" s="67" t="n">
        <f aca="false">IF($H820="",0,ROUND(IF($N820="成本金额",N(购销流水!$W209),IF($N820="金额",N(购销流水!$Q209),0)),2))</f>
        <v>0</v>
      </c>
      <c r="P820" s="64" t="str">
        <f aca="false">IF(AND($H820&lt;&gt;"",ROUND($O820,2)&lt;&gt;0),"有","")</f>
        <v/>
      </c>
    </row>
    <row r="821" customFormat="false" ht="15" hidden="true" customHeight="false" outlineLevel="0" collapsed="false">
      <c r="A821" s="53" t="str">
        <f aca="false">IF($H821="","",ROW()-5)</f>
        <v/>
      </c>
      <c r="B821" s="64" t="s">
        <v>36</v>
      </c>
      <c r="C821" s="53" t="n">
        <v>209</v>
      </c>
      <c r="D821" s="53" t="n">
        <v>4</v>
      </c>
      <c r="E821" s="65" t="str">
        <f aca="false">IF($H821="","",购销流水!$B209)</f>
        <v/>
      </c>
      <c r="F821" s="55" t="str">
        <f aca="false">IF($H821="","",购销流水!$C209)</f>
        <v/>
      </c>
      <c r="G821" s="48" t="str">
        <f aca="false">IF($H821="","",购销流水!$N209)</f>
        <v/>
      </c>
      <c r="H821" s="10" t="str">
        <f aca="false">IF($L821="","",IF($L821="@成本",购销流水!$U209,IF($L821="@收入",购销流水!$T209,IF($L821="@存货",购销流水!$S209,IF($L821="@结算",购销流水!$R209,$L821)))))</f>
        <v/>
      </c>
      <c r="I821" s="42" t="n">
        <f aca="false">IF($M821="借",$O821,0)</f>
        <v>0</v>
      </c>
      <c r="J821" s="42" t="n">
        <f aca="false">IF($M821="贷",$O821,0)</f>
        <v>0</v>
      </c>
      <c r="K821" s="48" t="str">
        <f aca="false">IF($H821="","",购销流水!$E209)</f>
        <v/>
      </c>
      <c r="L821" s="66" t="str">
        <f aca="false">IF(购销流水!$D209="","",IFERROR(INDEX(记账规则!$A$6:$N$9,MATCH(购销流水!$D209,记账规则!$A$6:$A$9,0),12),""))</f>
        <v/>
      </c>
      <c r="M821" s="66" t="str">
        <f aca="false">IF($L821="","",IFERROR(INDEX(记账规则!$A$6:$N$9,MATCH(购销流水!$D209,记账规则!$A$6:$A$9,0),13),""))</f>
        <v/>
      </c>
      <c r="N821" s="66" t="str">
        <f aca="false">IF($L821="","",IFERROR(INDEX(记账规则!$A$6:$N$9,MATCH(购销流水!$D209,记账规则!$A$6:$A$9,0),14),""))</f>
        <v/>
      </c>
      <c r="O821" s="67" t="n">
        <f aca="false">IF($H821="",0,ROUND(IF($N821="成本金额",N(购销流水!$W209),IF($N821="金额",N(购销流水!$Q209),0)),2))</f>
        <v>0</v>
      </c>
      <c r="P821" s="64" t="str">
        <f aca="false">IF(AND($H821&lt;&gt;"",ROUND($O821,2)&lt;&gt;0),"有","")</f>
        <v/>
      </c>
    </row>
    <row r="822" customFormat="false" ht="15" hidden="true" customHeight="false" outlineLevel="0" collapsed="false">
      <c r="A822" s="53" t="str">
        <f aca="false">IF($H822="","",ROW()-5)</f>
        <v/>
      </c>
      <c r="B822" s="64" t="s">
        <v>36</v>
      </c>
      <c r="C822" s="53" t="n">
        <v>210</v>
      </c>
      <c r="D822" s="53" t="n">
        <v>1</v>
      </c>
      <c r="E822" s="65" t="str">
        <f aca="false">IF($H822="","",购销流水!$B210)</f>
        <v/>
      </c>
      <c r="F822" s="55" t="str">
        <f aca="false">IF($H822="","",购销流水!$C210)</f>
        <v/>
      </c>
      <c r="G822" s="48" t="str">
        <f aca="false">IF($H822="","",购销流水!$N210)</f>
        <v/>
      </c>
      <c r="H822" s="10" t="str">
        <f aca="false">IF($L822="","",IF($L822="@成本",购销流水!$U210,IF($L822="@收入",购销流水!$T210,IF($L822="@存货",购销流水!$S210,IF($L822="@结算",购销流水!$R210,$L822)))))</f>
        <v/>
      </c>
      <c r="I822" s="42" t="n">
        <f aca="false">IF($M822="借",$O822,0)</f>
        <v>0</v>
      </c>
      <c r="J822" s="42" t="n">
        <f aca="false">IF($M822="贷",$O822,0)</f>
        <v>0</v>
      </c>
      <c r="K822" s="48" t="str">
        <f aca="false">IF($H822="","",购销流水!$E210)</f>
        <v/>
      </c>
      <c r="L822" s="66" t="str">
        <f aca="false">IF(购销流水!$D210="","",IFERROR(INDEX(记账规则!$A$6:$N$9,MATCH(购销流水!$D210,记账规则!$A$6:$A$9,0),3),""))</f>
        <v/>
      </c>
      <c r="M822" s="66" t="str">
        <f aca="false">IF($L822="","",IFERROR(INDEX(记账规则!$A$6:$N$9,MATCH(购销流水!$D210,记账规则!$A$6:$A$9,0),4),""))</f>
        <v/>
      </c>
      <c r="N822" s="66" t="str">
        <f aca="false">IF($L822="","",IFERROR(INDEX(记账规则!$A$6:$N$9,MATCH(购销流水!$D210,记账规则!$A$6:$A$9,0),5),""))</f>
        <v/>
      </c>
      <c r="O822" s="67" t="n">
        <f aca="false">IF($H822="",0,ROUND(IF($N822="成本金额",N(购销流水!$W210),IF($N822="金额",N(购销流水!$Q210),0)),2))</f>
        <v>0</v>
      </c>
      <c r="P822" s="64" t="str">
        <f aca="false">IF(AND($H822&lt;&gt;"",ROUND($O822,2)&lt;&gt;0),"有","")</f>
        <v/>
      </c>
    </row>
    <row r="823" customFormat="false" ht="15" hidden="true" customHeight="false" outlineLevel="0" collapsed="false">
      <c r="A823" s="53" t="str">
        <f aca="false">IF($H823="","",ROW()-5)</f>
        <v/>
      </c>
      <c r="B823" s="64" t="s">
        <v>36</v>
      </c>
      <c r="C823" s="53" t="n">
        <v>210</v>
      </c>
      <c r="D823" s="53" t="n">
        <v>2</v>
      </c>
      <c r="E823" s="65" t="str">
        <f aca="false">IF($H823="","",购销流水!$B210)</f>
        <v/>
      </c>
      <c r="F823" s="55" t="str">
        <f aca="false">IF($H823="","",购销流水!$C210)</f>
        <v/>
      </c>
      <c r="G823" s="48" t="str">
        <f aca="false">IF($H823="","",购销流水!$N210)</f>
        <v/>
      </c>
      <c r="H823" s="10" t="str">
        <f aca="false">IF($L823="","",IF($L823="@成本",购销流水!$U210,IF($L823="@收入",购销流水!$T210,IF($L823="@存货",购销流水!$S210,IF($L823="@结算",购销流水!$R210,$L823)))))</f>
        <v/>
      </c>
      <c r="I823" s="42" t="n">
        <f aca="false">IF($M823="借",$O823,0)</f>
        <v>0</v>
      </c>
      <c r="J823" s="42" t="n">
        <f aca="false">IF($M823="贷",$O823,0)</f>
        <v>0</v>
      </c>
      <c r="K823" s="48" t="str">
        <f aca="false">IF($H823="","",购销流水!$E210)</f>
        <v/>
      </c>
      <c r="L823" s="66" t="str">
        <f aca="false">IF(购销流水!$D210="","",IFERROR(INDEX(记账规则!$A$6:$N$9,MATCH(购销流水!$D210,记账规则!$A$6:$A$9,0),6),""))</f>
        <v/>
      </c>
      <c r="M823" s="66" t="str">
        <f aca="false">IF($L823="","",IFERROR(INDEX(记账规则!$A$6:$N$9,MATCH(购销流水!$D210,记账规则!$A$6:$A$9,0),7),""))</f>
        <v/>
      </c>
      <c r="N823" s="66" t="str">
        <f aca="false">IF($L823="","",IFERROR(INDEX(记账规则!$A$6:$N$9,MATCH(购销流水!$D210,记账规则!$A$6:$A$9,0),8),""))</f>
        <v/>
      </c>
      <c r="O823" s="67" t="n">
        <f aca="false">IF($H823="",0,ROUND(IF($N823="成本金额",N(购销流水!$W210),IF($N823="金额",N(购销流水!$Q210),0)),2))</f>
        <v>0</v>
      </c>
      <c r="P823" s="64" t="str">
        <f aca="false">IF(AND($H823&lt;&gt;"",ROUND($O823,2)&lt;&gt;0),"有","")</f>
        <v/>
      </c>
    </row>
    <row r="824" customFormat="false" ht="15" hidden="true" customHeight="false" outlineLevel="0" collapsed="false">
      <c r="A824" s="53" t="str">
        <f aca="false">IF($H824="","",ROW()-5)</f>
        <v/>
      </c>
      <c r="B824" s="64" t="s">
        <v>36</v>
      </c>
      <c r="C824" s="53" t="n">
        <v>210</v>
      </c>
      <c r="D824" s="53" t="n">
        <v>3</v>
      </c>
      <c r="E824" s="65" t="str">
        <f aca="false">IF($H824="","",购销流水!$B210)</f>
        <v/>
      </c>
      <c r="F824" s="55" t="str">
        <f aca="false">IF($H824="","",购销流水!$C210)</f>
        <v/>
      </c>
      <c r="G824" s="48" t="str">
        <f aca="false">IF($H824="","",购销流水!$N210)</f>
        <v/>
      </c>
      <c r="H824" s="10" t="str">
        <f aca="false">IF($L824="","",IF($L824="@成本",购销流水!$U210,IF($L824="@收入",购销流水!$T210,IF($L824="@存货",购销流水!$S210,IF($L824="@结算",购销流水!$R210,$L824)))))</f>
        <v/>
      </c>
      <c r="I824" s="42" t="n">
        <f aca="false">IF($M824="借",$O824,0)</f>
        <v>0</v>
      </c>
      <c r="J824" s="42" t="n">
        <f aca="false">IF($M824="贷",$O824,0)</f>
        <v>0</v>
      </c>
      <c r="K824" s="48" t="str">
        <f aca="false">IF($H824="","",购销流水!$E210)</f>
        <v/>
      </c>
      <c r="L824" s="66" t="str">
        <f aca="false">IF(购销流水!$D210="","",IFERROR(INDEX(记账规则!$A$6:$N$9,MATCH(购销流水!$D210,记账规则!$A$6:$A$9,0),9),""))</f>
        <v/>
      </c>
      <c r="M824" s="66" t="str">
        <f aca="false">IF($L824="","",IFERROR(INDEX(记账规则!$A$6:$N$9,MATCH(购销流水!$D210,记账规则!$A$6:$A$9,0),10),""))</f>
        <v/>
      </c>
      <c r="N824" s="66" t="str">
        <f aca="false">IF($L824="","",IFERROR(INDEX(记账规则!$A$6:$N$9,MATCH(购销流水!$D210,记账规则!$A$6:$A$9,0),11),""))</f>
        <v/>
      </c>
      <c r="O824" s="67" t="n">
        <f aca="false">IF($H824="",0,ROUND(IF($N824="成本金额",N(购销流水!$W210),IF($N824="金额",N(购销流水!$Q210),0)),2))</f>
        <v>0</v>
      </c>
      <c r="P824" s="64" t="str">
        <f aca="false">IF(AND($H824&lt;&gt;"",ROUND($O824,2)&lt;&gt;0),"有","")</f>
        <v/>
      </c>
    </row>
    <row r="825" customFormat="false" ht="15" hidden="true" customHeight="false" outlineLevel="0" collapsed="false">
      <c r="A825" s="53" t="str">
        <f aca="false">IF($H825="","",ROW()-5)</f>
        <v/>
      </c>
      <c r="B825" s="64" t="s">
        <v>36</v>
      </c>
      <c r="C825" s="53" t="n">
        <v>210</v>
      </c>
      <c r="D825" s="53" t="n">
        <v>4</v>
      </c>
      <c r="E825" s="65" t="str">
        <f aca="false">IF($H825="","",购销流水!$B210)</f>
        <v/>
      </c>
      <c r="F825" s="55" t="str">
        <f aca="false">IF($H825="","",购销流水!$C210)</f>
        <v/>
      </c>
      <c r="G825" s="48" t="str">
        <f aca="false">IF($H825="","",购销流水!$N210)</f>
        <v/>
      </c>
      <c r="H825" s="10" t="str">
        <f aca="false">IF($L825="","",IF($L825="@成本",购销流水!$U210,IF($L825="@收入",购销流水!$T210,IF($L825="@存货",购销流水!$S210,IF($L825="@结算",购销流水!$R210,$L825)))))</f>
        <v/>
      </c>
      <c r="I825" s="42" t="n">
        <f aca="false">IF($M825="借",$O825,0)</f>
        <v>0</v>
      </c>
      <c r="J825" s="42" t="n">
        <f aca="false">IF($M825="贷",$O825,0)</f>
        <v>0</v>
      </c>
      <c r="K825" s="48" t="str">
        <f aca="false">IF($H825="","",购销流水!$E210)</f>
        <v/>
      </c>
      <c r="L825" s="66" t="str">
        <f aca="false">IF(购销流水!$D210="","",IFERROR(INDEX(记账规则!$A$6:$N$9,MATCH(购销流水!$D210,记账规则!$A$6:$A$9,0),12),""))</f>
        <v/>
      </c>
      <c r="M825" s="66" t="str">
        <f aca="false">IF($L825="","",IFERROR(INDEX(记账规则!$A$6:$N$9,MATCH(购销流水!$D210,记账规则!$A$6:$A$9,0),13),""))</f>
        <v/>
      </c>
      <c r="N825" s="66" t="str">
        <f aca="false">IF($L825="","",IFERROR(INDEX(记账规则!$A$6:$N$9,MATCH(购销流水!$D210,记账规则!$A$6:$A$9,0),14),""))</f>
        <v/>
      </c>
      <c r="O825" s="67" t="n">
        <f aca="false">IF($H825="",0,ROUND(IF($N825="成本金额",N(购销流水!$W210),IF($N825="金额",N(购销流水!$Q210),0)),2))</f>
        <v>0</v>
      </c>
      <c r="P825" s="64" t="str">
        <f aca="false">IF(AND($H825&lt;&gt;"",ROUND($O825,2)&lt;&gt;0),"有","")</f>
        <v/>
      </c>
    </row>
    <row r="826" customFormat="false" ht="15" hidden="true" customHeight="false" outlineLevel="0" collapsed="false">
      <c r="A826" s="53" t="str">
        <f aca="false">IF($H826="","",ROW()-5)</f>
        <v/>
      </c>
      <c r="B826" s="64" t="s">
        <v>36</v>
      </c>
      <c r="C826" s="53" t="n">
        <v>211</v>
      </c>
      <c r="D826" s="53" t="n">
        <v>1</v>
      </c>
      <c r="E826" s="65" t="str">
        <f aca="false">IF($H826="","",购销流水!$B211)</f>
        <v/>
      </c>
      <c r="F826" s="55" t="str">
        <f aca="false">IF($H826="","",购销流水!$C211)</f>
        <v/>
      </c>
      <c r="G826" s="48" t="str">
        <f aca="false">IF($H826="","",购销流水!$N211)</f>
        <v/>
      </c>
      <c r="H826" s="10" t="str">
        <f aca="false">IF($L826="","",IF($L826="@成本",购销流水!$U211,IF($L826="@收入",购销流水!$T211,IF($L826="@存货",购销流水!$S211,IF($L826="@结算",购销流水!$R211,$L826)))))</f>
        <v/>
      </c>
      <c r="I826" s="42" t="n">
        <f aca="false">IF($M826="借",$O826,0)</f>
        <v>0</v>
      </c>
      <c r="J826" s="42" t="n">
        <f aca="false">IF($M826="贷",$O826,0)</f>
        <v>0</v>
      </c>
      <c r="K826" s="48" t="str">
        <f aca="false">IF($H826="","",购销流水!$E211)</f>
        <v/>
      </c>
      <c r="L826" s="66" t="str">
        <f aca="false">IF(购销流水!$D211="","",IFERROR(INDEX(记账规则!$A$6:$N$9,MATCH(购销流水!$D211,记账规则!$A$6:$A$9,0),3),""))</f>
        <v/>
      </c>
      <c r="M826" s="66" t="str">
        <f aca="false">IF($L826="","",IFERROR(INDEX(记账规则!$A$6:$N$9,MATCH(购销流水!$D211,记账规则!$A$6:$A$9,0),4),""))</f>
        <v/>
      </c>
      <c r="N826" s="66" t="str">
        <f aca="false">IF($L826="","",IFERROR(INDEX(记账规则!$A$6:$N$9,MATCH(购销流水!$D211,记账规则!$A$6:$A$9,0),5),""))</f>
        <v/>
      </c>
      <c r="O826" s="67" t="n">
        <f aca="false">IF($H826="",0,ROUND(IF($N826="成本金额",N(购销流水!$W211),IF($N826="金额",N(购销流水!$Q211),0)),2))</f>
        <v>0</v>
      </c>
      <c r="P826" s="64" t="str">
        <f aca="false">IF(AND($H826&lt;&gt;"",ROUND($O826,2)&lt;&gt;0),"有","")</f>
        <v/>
      </c>
    </row>
    <row r="827" customFormat="false" ht="15" hidden="true" customHeight="false" outlineLevel="0" collapsed="false">
      <c r="A827" s="53" t="str">
        <f aca="false">IF($H827="","",ROW()-5)</f>
        <v/>
      </c>
      <c r="B827" s="64" t="s">
        <v>36</v>
      </c>
      <c r="C827" s="53" t="n">
        <v>211</v>
      </c>
      <c r="D827" s="53" t="n">
        <v>2</v>
      </c>
      <c r="E827" s="65" t="str">
        <f aca="false">IF($H827="","",购销流水!$B211)</f>
        <v/>
      </c>
      <c r="F827" s="55" t="str">
        <f aca="false">IF($H827="","",购销流水!$C211)</f>
        <v/>
      </c>
      <c r="G827" s="48" t="str">
        <f aca="false">IF($H827="","",购销流水!$N211)</f>
        <v/>
      </c>
      <c r="H827" s="10" t="str">
        <f aca="false">IF($L827="","",IF($L827="@成本",购销流水!$U211,IF($L827="@收入",购销流水!$T211,IF($L827="@存货",购销流水!$S211,IF($L827="@结算",购销流水!$R211,$L827)))))</f>
        <v/>
      </c>
      <c r="I827" s="42" t="n">
        <f aca="false">IF($M827="借",$O827,0)</f>
        <v>0</v>
      </c>
      <c r="J827" s="42" t="n">
        <f aca="false">IF($M827="贷",$O827,0)</f>
        <v>0</v>
      </c>
      <c r="K827" s="48" t="str">
        <f aca="false">IF($H827="","",购销流水!$E211)</f>
        <v/>
      </c>
      <c r="L827" s="66" t="str">
        <f aca="false">IF(购销流水!$D211="","",IFERROR(INDEX(记账规则!$A$6:$N$9,MATCH(购销流水!$D211,记账规则!$A$6:$A$9,0),6),""))</f>
        <v/>
      </c>
      <c r="M827" s="66" t="str">
        <f aca="false">IF($L827="","",IFERROR(INDEX(记账规则!$A$6:$N$9,MATCH(购销流水!$D211,记账规则!$A$6:$A$9,0),7),""))</f>
        <v/>
      </c>
      <c r="N827" s="66" t="str">
        <f aca="false">IF($L827="","",IFERROR(INDEX(记账规则!$A$6:$N$9,MATCH(购销流水!$D211,记账规则!$A$6:$A$9,0),8),""))</f>
        <v/>
      </c>
      <c r="O827" s="67" t="n">
        <f aca="false">IF($H827="",0,ROUND(IF($N827="成本金额",N(购销流水!$W211),IF($N827="金额",N(购销流水!$Q211),0)),2))</f>
        <v>0</v>
      </c>
      <c r="P827" s="64" t="str">
        <f aca="false">IF(AND($H827&lt;&gt;"",ROUND($O827,2)&lt;&gt;0),"有","")</f>
        <v/>
      </c>
    </row>
    <row r="828" customFormat="false" ht="15" hidden="true" customHeight="false" outlineLevel="0" collapsed="false">
      <c r="A828" s="53" t="str">
        <f aca="false">IF($H828="","",ROW()-5)</f>
        <v/>
      </c>
      <c r="B828" s="64" t="s">
        <v>36</v>
      </c>
      <c r="C828" s="53" t="n">
        <v>211</v>
      </c>
      <c r="D828" s="53" t="n">
        <v>3</v>
      </c>
      <c r="E828" s="65" t="str">
        <f aca="false">IF($H828="","",购销流水!$B211)</f>
        <v/>
      </c>
      <c r="F828" s="55" t="str">
        <f aca="false">IF($H828="","",购销流水!$C211)</f>
        <v/>
      </c>
      <c r="G828" s="48" t="str">
        <f aca="false">IF($H828="","",购销流水!$N211)</f>
        <v/>
      </c>
      <c r="H828" s="10" t="str">
        <f aca="false">IF($L828="","",IF($L828="@成本",购销流水!$U211,IF($L828="@收入",购销流水!$T211,IF($L828="@存货",购销流水!$S211,IF($L828="@结算",购销流水!$R211,$L828)))))</f>
        <v/>
      </c>
      <c r="I828" s="42" t="n">
        <f aca="false">IF($M828="借",$O828,0)</f>
        <v>0</v>
      </c>
      <c r="J828" s="42" t="n">
        <f aca="false">IF($M828="贷",$O828,0)</f>
        <v>0</v>
      </c>
      <c r="K828" s="48" t="str">
        <f aca="false">IF($H828="","",购销流水!$E211)</f>
        <v/>
      </c>
      <c r="L828" s="66" t="str">
        <f aca="false">IF(购销流水!$D211="","",IFERROR(INDEX(记账规则!$A$6:$N$9,MATCH(购销流水!$D211,记账规则!$A$6:$A$9,0),9),""))</f>
        <v/>
      </c>
      <c r="M828" s="66" t="str">
        <f aca="false">IF($L828="","",IFERROR(INDEX(记账规则!$A$6:$N$9,MATCH(购销流水!$D211,记账规则!$A$6:$A$9,0),10),""))</f>
        <v/>
      </c>
      <c r="N828" s="66" t="str">
        <f aca="false">IF($L828="","",IFERROR(INDEX(记账规则!$A$6:$N$9,MATCH(购销流水!$D211,记账规则!$A$6:$A$9,0),11),""))</f>
        <v/>
      </c>
      <c r="O828" s="67" t="n">
        <f aca="false">IF($H828="",0,ROUND(IF($N828="成本金额",N(购销流水!$W211),IF($N828="金额",N(购销流水!$Q211),0)),2))</f>
        <v>0</v>
      </c>
      <c r="P828" s="64" t="str">
        <f aca="false">IF(AND($H828&lt;&gt;"",ROUND($O828,2)&lt;&gt;0),"有","")</f>
        <v/>
      </c>
    </row>
    <row r="829" customFormat="false" ht="15" hidden="true" customHeight="false" outlineLevel="0" collapsed="false">
      <c r="A829" s="53" t="str">
        <f aca="false">IF($H829="","",ROW()-5)</f>
        <v/>
      </c>
      <c r="B829" s="64" t="s">
        <v>36</v>
      </c>
      <c r="C829" s="53" t="n">
        <v>211</v>
      </c>
      <c r="D829" s="53" t="n">
        <v>4</v>
      </c>
      <c r="E829" s="65" t="str">
        <f aca="false">IF($H829="","",购销流水!$B211)</f>
        <v/>
      </c>
      <c r="F829" s="55" t="str">
        <f aca="false">IF($H829="","",购销流水!$C211)</f>
        <v/>
      </c>
      <c r="G829" s="48" t="str">
        <f aca="false">IF($H829="","",购销流水!$N211)</f>
        <v/>
      </c>
      <c r="H829" s="10" t="str">
        <f aca="false">IF($L829="","",IF($L829="@成本",购销流水!$U211,IF($L829="@收入",购销流水!$T211,IF($L829="@存货",购销流水!$S211,IF($L829="@结算",购销流水!$R211,$L829)))))</f>
        <v/>
      </c>
      <c r="I829" s="42" t="n">
        <f aca="false">IF($M829="借",$O829,0)</f>
        <v>0</v>
      </c>
      <c r="J829" s="42" t="n">
        <f aca="false">IF($M829="贷",$O829,0)</f>
        <v>0</v>
      </c>
      <c r="K829" s="48" t="str">
        <f aca="false">IF($H829="","",购销流水!$E211)</f>
        <v/>
      </c>
      <c r="L829" s="66" t="str">
        <f aca="false">IF(购销流水!$D211="","",IFERROR(INDEX(记账规则!$A$6:$N$9,MATCH(购销流水!$D211,记账规则!$A$6:$A$9,0),12),""))</f>
        <v/>
      </c>
      <c r="M829" s="66" t="str">
        <f aca="false">IF($L829="","",IFERROR(INDEX(记账规则!$A$6:$N$9,MATCH(购销流水!$D211,记账规则!$A$6:$A$9,0),13),""))</f>
        <v/>
      </c>
      <c r="N829" s="66" t="str">
        <f aca="false">IF($L829="","",IFERROR(INDEX(记账规则!$A$6:$N$9,MATCH(购销流水!$D211,记账规则!$A$6:$A$9,0),14),""))</f>
        <v/>
      </c>
      <c r="O829" s="67" t="n">
        <f aca="false">IF($H829="",0,ROUND(IF($N829="成本金额",N(购销流水!$W211),IF($N829="金额",N(购销流水!$Q211),0)),2))</f>
        <v>0</v>
      </c>
      <c r="P829" s="64" t="str">
        <f aca="false">IF(AND($H829&lt;&gt;"",ROUND($O829,2)&lt;&gt;0),"有","")</f>
        <v/>
      </c>
    </row>
    <row r="830" customFormat="false" ht="15" hidden="true" customHeight="false" outlineLevel="0" collapsed="false">
      <c r="A830" s="53" t="str">
        <f aca="false">IF($H830="","",ROW()-5)</f>
        <v/>
      </c>
      <c r="B830" s="64" t="s">
        <v>36</v>
      </c>
      <c r="C830" s="53" t="n">
        <v>212</v>
      </c>
      <c r="D830" s="53" t="n">
        <v>1</v>
      </c>
      <c r="E830" s="65" t="str">
        <f aca="false">IF($H830="","",购销流水!$B212)</f>
        <v/>
      </c>
      <c r="F830" s="55" t="str">
        <f aca="false">IF($H830="","",购销流水!$C212)</f>
        <v/>
      </c>
      <c r="G830" s="48" t="str">
        <f aca="false">IF($H830="","",购销流水!$N212)</f>
        <v/>
      </c>
      <c r="H830" s="10" t="str">
        <f aca="false">IF($L830="","",IF($L830="@成本",购销流水!$U212,IF($L830="@收入",购销流水!$T212,IF($L830="@存货",购销流水!$S212,IF($L830="@结算",购销流水!$R212,$L830)))))</f>
        <v/>
      </c>
      <c r="I830" s="42" t="n">
        <f aca="false">IF($M830="借",$O830,0)</f>
        <v>0</v>
      </c>
      <c r="J830" s="42" t="n">
        <f aca="false">IF($M830="贷",$O830,0)</f>
        <v>0</v>
      </c>
      <c r="K830" s="48" t="str">
        <f aca="false">IF($H830="","",购销流水!$E212)</f>
        <v/>
      </c>
      <c r="L830" s="66" t="str">
        <f aca="false">IF(购销流水!$D212="","",IFERROR(INDEX(记账规则!$A$6:$N$9,MATCH(购销流水!$D212,记账规则!$A$6:$A$9,0),3),""))</f>
        <v/>
      </c>
      <c r="M830" s="66" t="str">
        <f aca="false">IF($L830="","",IFERROR(INDEX(记账规则!$A$6:$N$9,MATCH(购销流水!$D212,记账规则!$A$6:$A$9,0),4),""))</f>
        <v/>
      </c>
      <c r="N830" s="66" t="str">
        <f aca="false">IF($L830="","",IFERROR(INDEX(记账规则!$A$6:$N$9,MATCH(购销流水!$D212,记账规则!$A$6:$A$9,0),5),""))</f>
        <v/>
      </c>
      <c r="O830" s="67" t="n">
        <f aca="false">IF($H830="",0,ROUND(IF($N830="成本金额",N(购销流水!$W212),IF($N830="金额",N(购销流水!$Q212),0)),2))</f>
        <v>0</v>
      </c>
      <c r="P830" s="64" t="str">
        <f aca="false">IF(AND($H830&lt;&gt;"",ROUND($O830,2)&lt;&gt;0),"有","")</f>
        <v/>
      </c>
    </row>
    <row r="831" customFormat="false" ht="15" hidden="true" customHeight="false" outlineLevel="0" collapsed="false">
      <c r="A831" s="53" t="str">
        <f aca="false">IF($H831="","",ROW()-5)</f>
        <v/>
      </c>
      <c r="B831" s="64" t="s">
        <v>36</v>
      </c>
      <c r="C831" s="53" t="n">
        <v>212</v>
      </c>
      <c r="D831" s="53" t="n">
        <v>2</v>
      </c>
      <c r="E831" s="65" t="str">
        <f aca="false">IF($H831="","",购销流水!$B212)</f>
        <v/>
      </c>
      <c r="F831" s="55" t="str">
        <f aca="false">IF($H831="","",购销流水!$C212)</f>
        <v/>
      </c>
      <c r="G831" s="48" t="str">
        <f aca="false">IF($H831="","",购销流水!$N212)</f>
        <v/>
      </c>
      <c r="H831" s="10" t="str">
        <f aca="false">IF($L831="","",IF($L831="@成本",购销流水!$U212,IF($L831="@收入",购销流水!$T212,IF($L831="@存货",购销流水!$S212,IF($L831="@结算",购销流水!$R212,$L831)))))</f>
        <v/>
      </c>
      <c r="I831" s="42" t="n">
        <f aca="false">IF($M831="借",$O831,0)</f>
        <v>0</v>
      </c>
      <c r="J831" s="42" t="n">
        <f aca="false">IF($M831="贷",$O831,0)</f>
        <v>0</v>
      </c>
      <c r="K831" s="48" t="str">
        <f aca="false">IF($H831="","",购销流水!$E212)</f>
        <v/>
      </c>
      <c r="L831" s="66" t="str">
        <f aca="false">IF(购销流水!$D212="","",IFERROR(INDEX(记账规则!$A$6:$N$9,MATCH(购销流水!$D212,记账规则!$A$6:$A$9,0),6),""))</f>
        <v/>
      </c>
      <c r="M831" s="66" t="str">
        <f aca="false">IF($L831="","",IFERROR(INDEX(记账规则!$A$6:$N$9,MATCH(购销流水!$D212,记账规则!$A$6:$A$9,0),7),""))</f>
        <v/>
      </c>
      <c r="N831" s="66" t="str">
        <f aca="false">IF($L831="","",IFERROR(INDEX(记账规则!$A$6:$N$9,MATCH(购销流水!$D212,记账规则!$A$6:$A$9,0),8),""))</f>
        <v/>
      </c>
      <c r="O831" s="67" t="n">
        <f aca="false">IF($H831="",0,ROUND(IF($N831="成本金额",N(购销流水!$W212),IF($N831="金额",N(购销流水!$Q212),0)),2))</f>
        <v>0</v>
      </c>
      <c r="P831" s="64" t="str">
        <f aca="false">IF(AND($H831&lt;&gt;"",ROUND($O831,2)&lt;&gt;0),"有","")</f>
        <v/>
      </c>
    </row>
    <row r="832" customFormat="false" ht="15" hidden="true" customHeight="false" outlineLevel="0" collapsed="false">
      <c r="A832" s="53" t="str">
        <f aca="false">IF($H832="","",ROW()-5)</f>
        <v/>
      </c>
      <c r="B832" s="64" t="s">
        <v>36</v>
      </c>
      <c r="C832" s="53" t="n">
        <v>212</v>
      </c>
      <c r="D832" s="53" t="n">
        <v>3</v>
      </c>
      <c r="E832" s="65" t="str">
        <f aca="false">IF($H832="","",购销流水!$B212)</f>
        <v/>
      </c>
      <c r="F832" s="55" t="str">
        <f aca="false">IF($H832="","",购销流水!$C212)</f>
        <v/>
      </c>
      <c r="G832" s="48" t="str">
        <f aca="false">IF($H832="","",购销流水!$N212)</f>
        <v/>
      </c>
      <c r="H832" s="10" t="str">
        <f aca="false">IF($L832="","",IF($L832="@成本",购销流水!$U212,IF($L832="@收入",购销流水!$T212,IF($L832="@存货",购销流水!$S212,IF($L832="@结算",购销流水!$R212,$L832)))))</f>
        <v/>
      </c>
      <c r="I832" s="42" t="n">
        <f aca="false">IF($M832="借",$O832,0)</f>
        <v>0</v>
      </c>
      <c r="J832" s="42" t="n">
        <f aca="false">IF($M832="贷",$O832,0)</f>
        <v>0</v>
      </c>
      <c r="K832" s="48" t="str">
        <f aca="false">IF($H832="","",购销流水!$E212)</f>
        <v/>
      </c>
      <c r="L832" s="66" t="str">
        <f aca="false">IF(购销流水!$D212="","",IFERROR(INDEX(记账规则!$A$6:$N$9,MATCH(购销流水!$D212,记账规则!$A$6:$A$9,0),9),""))</f>
        <v/>
      </c>
      <c r="M832" s="66" t="str">
        <f aca="false">IF($L832="","",IFERROR(INDEX(记账规则!$A$6:$N$9,MATCH(购销流水!$D212,记账规则!$A$6:$A$9,0),10),""))</f>
        <v/>
      </c>
      <c r="N832" s="66" t="str">
        <f aca="false">IF($L832="","",IFERROR(INDEX(记账规则!$A$6:$N$9,MATCH(购销流水!$D212,记账规则!$A$6:$A$9,0),11),""))</f>
        <v/>
      </c>
      <c r="O832" s="67" t="n">
        <f aca="false">IF($H832="",0,ROUND(IF($N832="成本金额",N(购销流水!$W212),IF($N832="金额",N(购销流水!$Q212),0)),2))</f>
        <v>0</v>
      </c>
      <c r="P832" s="64" t="str">
        <f aca="false">IF(AND($H832&lt;&gt;"",ROUND($O832,2)&lt;&gt;0),"有","")</f>
        <v/>
      </c>
    </row>
    <row r="833" customFormat="false" ht="15" hidden="true" customHeight="false" outlineLevel="0" collapsed="false">
      <c r="A833" s="53" t="str">
        <f aca="false">IF($H833="","",ROW()-5)</f>
        <v/>
      </c>
      <c r="B833" s="64" t="s">
        <v>36</v>
      </c>
      <c r="C833" s="53" t="n">
        <v>212</v>
      </c>
      <c r="D833" s="53" t="n">
        <v>4</v>
      </c>
      <c r="E833" s="65" t="str">
        <f aca="false">IF($H833="","",购销流水!$B212)</f>
        <v/>
      </c>
      <c r="F833" s="55" t="str">
        <f aca="false">IF($H833="","",购销流水!$C212)</f>
        <v/>
      </c>
      <c r="G833" s="48" t="str">
        <f aca="false">IF($H833="","",购销流水!$N212)</f>
        <v/>
      </c>
      <c r="H833" s="10" t="str">
        <f aca="false">IF($L833="","",IF($L833="@成本",购销流水!$U212,IF($L833="@收入",购销流水!$T212,IF($L833="@存货",购销流水!$S212,IF($L833="@结算",购销流水!$R212,$L833)))))</f>
        <v/>
      </c>
      <c r="I833" s="42" t="n">
        <f aca="false">IF($M833="借",$O833,0)</f>
        <v>0</v>
      </c>
      <c r="J833" s="42" t="n">
        <f aca="false">IF($M833="贷",$O833,0)</f>
        <v>0</v>
      </c>
      <c r="K833" s="48" t="str">
        <f aca="false">IF($H833="","",购销流水!$E212)</f>
        <v/>
      </c>
      <c r="L833" s="66" t="str">
        <f aca="false">IF(购销流水!$D212="","",IFERROR(INDEX(记账规则!$A$6:$N$9,MATCH(购销流水!$D212,记账规则!$A$6:$A$9,0),12),""))</f>
        <v/>
      </c>
      <c r="M833" s="66" t="str">
        <f aca="false">IF($L833="","",IFERROR(INDEX(记账规则!$A$6:$N$9,MATCH(购销流水!$D212,记账规则!$A$6:$A$9,0),13),""))</f>
        <v/>
      </c>
      <c r="N833" s="66" t="str">
        <f aca="false">IF($L833="","",IFERROR(INDEX(记账规则!$A$6:$N$9,MATCH(购销流水!$D212,记账规则!$A$6:$A$9,0),14),""))</f>
        <v/>
      </c>
      <c r="O833" s="67" t="n">
        <f aca="false">IF($H833="",0,ROUND(IF($N833="成本金额",N(购销流水!$W212),IF($N833="金额",N(购销流水!$Q212),0)),2))</f>
        <v>0</v>
      </c>
      <c r="P833" s="64" t="str">
        <f aca="false">IF(AND($H833&lt;&gt;"",ROUND($O833,2)&lt;&gt;0),"有","")</f>
        <v/>
      </c>
    </row>
    <row r="834" customFormat="false" ht="15" hidden="true" customHeight="false" outlineLevel="0" collapsed="false">
      <c r="A834" s="53" t="str">
        <f aca="false">IF($H834="","",ROW()-5)</f>
        <v/>
      </c>
      <c r="B834" s="64" t="s">
        <v>36</v>
      </c>
      <c r="C834" s="53" t="n">
        <v>213</v>
      </c>
      <c r="D834" s="53" t="n">
        <v>1</v>
      </c>
      <c r="E834" s="65" t="str">
        <f aca="false">IF($H834="","",购销流水!$B213)</f>
        <v/>
      </c>
      <c r="F834" s="55" t="str">
        <f aca="false">IF($H834="","",购销流水!$C213)</f>
        <v/>
      </c>
      <c r="G834" s="48" t="str">
        <f aca="false">IF($H834="","",购销流水!$N213)</f>
        <v/>
      </c>
      <c r="H834" s="10" t="str">
        <f aca="false">IF($L834="","",IF($L834="@成本",购销流水!$U213,IF($L834="@收入",购销流水!$T213,IF($L834="@存货",购销流水!$S213,IF($L834="@结算",购销流水!$R213,$L834)))))</f>
        <v/>
      </c>
      <c r="I834" s="42" t="n">
        <f aca="false">IF($M834="借",$O834,0)</f>
        <v>0</v>
      </c>
      <c r="J834" s="42" t="n">
        <f aca="false">IF($M834="贷",$O834,0)</f>
        <v>0</v>
      </c>
      <c r="K834" s="48" t="str">
        <f aca="false">IF($H834="","",购销流水!$E213)</f>
        <v/>
      </c>
      <c r="L834" s="66" t="str">
        <f aca="false">IF(购销流水!$D213="","",IFERROR(INDEX(记账规则!$A$6:$N$9,MATCH(购销流水!$D213,记账规则!$A$6:$A$9,0),3),""))</f>
        <v/>
      </c>
      <c r="M834" s="66" t="str">
        <f aca="false">IF($L834="","",IFERROR(INDEX(记账规则!$A$6:$N$9,MATCH(购销流水!$D213,记账规则!$A$6:$A$9,0),4),""))</f>
        <v/>
      </c>
      <c r="N834" s="66" t="str">
        <f aca="false">IF($L834="","",IFERROR(INDEX(记账规则!$A$6:$N$9,MATCH(购销流水!$D213,记账规则!$A$6:$A$9,0),5),""))</f>
        <v/>
      </c>
      <c r="O834" s="67" t="n">
        <f aca="false">IF($H834="",0,ROUND(IF($N834="成本金额",N(购销流水!$W213),IF($N834="金额",N(购销流水!$Q213),0)),2))</f>
        <v>0</v>
      </c>
      <c r="P834" s="64" t="str">
        <f aca="false">IF(AND($H834&lt;&gt;"",ROUND($O834,2)&lt;&gt;0),"有","")</f>
        <v/>
      </c>
    </row>
    <row r="835" customFormat="false" ht="15" hidden="true" customHeight="false" outlineLevel="0" collapsed="false">
      <c r="A835" s="53" t="str">
        <f aca="false">IF($H835="","",ROW()-5)</f>
        <v/>
      </c>
      <c r="B835" s="64" t="s">
        <v>36</v>
      </c>
      <c r="C835" s="53" t="n">
        <v>213</v>
      </c>
      <c r="D835" s="53" t="n">
        <v>2</v>
      </c>
      <c r="E835" s="65" t="str">
        <f aca="false">IF($H835="","",购销流水!$B213)</f>
        <v/>
      </c>
      <c r="F835" s="55" t="str">
        <f aca="false">IF($H835="","",购销流水!$C213)</f>
        <v/>
      </c>
      <c r="G835" s="48" t="str">
        <f aca="false">IF($H835="","",购销流水!$N213)</f>
        <v/>
      </c>
      <c r="H835" s="10" t="str">
        <f aca="false">IF($L835="","",IF($L835="@成本",购销流水!$U213,IF($L835="@收入",购销流水!$T213,IF($L835="@存货",购销流水!$S213,IF($L835="@结算",购销流水!$R213,$L835)))))</f>
        <v/>
      </c>
      <c r="I835" s="42" t="n">
        <f aca="false">IF($M835="借",$O835,0)</f>
        <v>0</v>
      </c>
      <c r="J835" s="42" t="n">
        <f aca="false">IF($M835="贷",$O835,0)</f>
        <v>0</v>
      </c>
      <c r="K835" s="48" t="str">
        <f aca="false">IF($H835="","",购销流水!$E213)</f>
        <v/>
      </c>
      <c r="L835" s="66" t="str">
        <f aca="false">IF(购销流水!$D213="","",IFERROR(INDEX(记账规则!$A$6:$N$9,MATCH(购销流水!$D213,记账规则!$A$6:$A$9,0),6),""))</f>
        <v/>
      </c>
      <c r="M835" s="66" t="str">
        <f aca="false">IF($L835="","",IFERROR(INDEX(记账规则!$A$6:$N$9,MATCH(购销流水!$D213,记账规则!$A$6:$A$9,0),7),""))</f>
        <v/>
      </c>
      <c r="N835" s="66" t="str">
        <f aca="false">IF($L835="","",IFERROR(INDEX(记账规则!$A$6:$N$9,MATCH(购销流水!$D213,记账规则!$A$6:$A$9,0),8),""))</f>
        <v/>
      </c>
      <c r="O835" s="67" t="n">
        <f aca="false">IF($H835="",0,ROUND(IF($N835="成本金额",N(购销流水!$W213),IF($N835="金额",N(购销流水!$Q213),0)),2))</f>
        <v>0</v>
      </c>
      <c r="P835" s="64" t="str">
        <f aca="false">IF(AND($H835&lt;&gt;"",ROUND($O835,2)&lt;&gt;0),"有","")</f>
        <v/>
      </c>
    </row>
    <row r="836" customFormat="false" ht="15" hidden="true" customHeight="false" outlineLevel="0" collapsed="false">
      <c r="A836" s="53" t="str">
        <f aca="false">IF($H836="","",ROW()-5)</f>
        <v/>
      </c>
      <c r="B836" s="64" t="s">
        <v>36</v>
      </c>
      <c r="C836" s="53" t="n">
        <v>213</v>
      </c>
      <c r="D836" s="53" t="n">
        <v>3</v>
      </c>
      <c r="E836" s="65" t="str">
        <f aca="false">IF($H836="","",购销流水!$B213)</f>
        <v/>
      </c>
      <c r="F836" s="55" t="str">
        <f aca="false">IF($H836="","",购销流水!$C213)</f>
        <v/>
      </c>
      <c r="G836" s="48" t="str">
        <f aca="false">IF($H836="","",购销流水!$N213)</f>
        <v/>
      </c>
      <c r="H836" s="10" t="str">
        <f aca="false">IF($L836="","",IF($L836="@成本",购销流水!$U213,IF($L836="@收入",购销流水!$T213,IF($L836="@存货",购销流水!$S213,IF($L836="@结算",购销流水!$R213,$L836)))))</f>
        <v/>
      </c>
      <c r="I836" s="42" t="n">
        <f aca="false">IF($M836="借",$O836,0)</f>
        <v>0</v>
      </c>
      <c r="J836" s="42" t="n">
        <f aca="false">IF($M836="贷",$O836,0)</f>
        <v>0</v>
      </c>
      <c r="K836" s="48" t="str">
        <f aca="false">IF($H836="","",购销流水!$E213)</f>
        <v/>
      </c>
      <c r="L836" s="66" t="str">
        <f aca="false">IF(购销流水!$D213="","",IFERROR(INDEX(记账规则!$A$6:$N$9,MATCH(购销流水!$D213,记账规则!$A$6:$A$9,0),9),""))</f>
        <v/>
      </c>
      <c r="M836" s="66" t="str">
        <f aca="false">IF($L836="","",IFERROR(INDEX(记账规则!$A$6:$N$9,MATCH(购销流水!$D213,记账规则!$A$6:$A$9,0),10),""))</f>
        <v/>
      </c>
      <c r="N836" s="66" t="str">
        <f aca="false">IF($L836="","",IFERROR(INDEX(记账规则!$A$6:$N$9,MATCH(购销流水!$D213,记账规则!$A$6:$A$9,0),11),""))</f>
        <v/>
      </c>
      <c r="O836" s="67" t="n">
        <f aca="false">IF($H836="",0,ROUND(IF($N836="成本金额",N(购销流水!$W213),IF($N836="金额",N(购销流水!$Q213),0)),2))</f>
        <v>0</v>
      </c>
      <c r="P836" s="64" t="str">
        <f aca="false">IF(AND($H836&lt;&gt;"",ROUND($O836,2)&lt;&gt;0),"有","")</f>
        <v/>
      </c>
    </row>
    <row r="837" customFormat="false" ht="15" hidden="true" customHeight="false" outlineLevel="0" collapsed="false">
      <c r="A837" s="53" t="str">
        <f aca="false">IF($H837="","",ROW()-5)</f>
        <v/>
      </c>
      <c r="B837" s="64" t="s">
        <v>36</v>
      </c>
      <c r="C837" s="53" t="n">
        <v>213</v>
      </c>
      <c r="D837" s="53" t="n">
        <v>4</v>
      </c>
      <c r="E837" s="65" t="str">
        <f aca="false">IF($H837="","",购销流水!$B213)</f>
        <v/>
      </c>
      <c r="F837" s="55" t="str">
        <f aca="false">IF($H837="","",购销流水!$C213)</f>
        <v/>
      </c>
      <c r="G837" s="48" t="str">
        <f aca="false">IF($H837="","",购销流水!$N213)</f>
        <v/>
      </c>
      <c r="H837" s="10" t="str">
        <f aca="false">IF($L837="","",IF($L837="@成本",购销流水!$U213,IF($L837="@收入",购销流水!$T213,IF($L837="@存货",购销流水!$S213,IF($L837="@结算",购销流水!$R213,$L837)))))</f>
        <v/>
      </c>
      <c r="I837" s="42" t="n">
        <f aca="false">IF($M837="借",$O837,0)</f>
        <v>0</v>
      </c>
      <c r="J837" s="42" t="n">
        <f aca="false">IF($M837="贷",$O837,0)</f>
        <v>0</v>
      </c>
      <c r="K837" s="48" t="str">
        <f aca="false">IF($H837="","",购销流水!$E213)</f>
        <v/>
      </c>
      <c r="L837" s="66" t="str">
        <f aca="false">IF(购销流水!$D213="","",IFERROR(INDEX(记账规则!$A$6:$N$9,MATCH(购销流水!$D213,记账规则!$A$6:$A$9,0),12),""))</f>
        <v/>
      </c>
      <c r="M837" s="66" t="str">
        <f aca="false">IF($L837="","",IFERROR(INDEX(记账规则!$A$6:$N$9,MATCH(购销流水!$D213,记账规则!$A$6:$A$9,0),13),""))</f>
        <v/>
      </c>
      <c r="N837" s="66" t="str">
        <f aca="false">IF($L837="","",IFERROR(INDEX(记账规则!$A$6:$N$9,MATCH(购销流水!$D213,记账规则!$A$6:$A$9,0),14),""))</f>
        <v/>
      </c>
      <c r="O837" s="67" t="n">
        <f aca="false">IF($H837="",0,ROUND(IF($N837="成本金额",N(购销流水!$W213),IF($N837="金额",N(购销流水!$Q213),0)),2))</f>
        <v>0</v>
      </c>
      <c r="P837" s="64" t="str">
        <f aca="false">IF(AND($H837&lt;&gt;"",ROUND($O837,2)&lt;&gt;0),"有","")</f>
        <v/>
      </c>
    </row>
    <row r="838" customFormat="false" ht="15" hidden="true" customHeight="false" outlineLevel="0" collapsed="false">
      <c r="A838" s="53" t="str">
        <f aca="false">IF($H838="","",ROW()-5)</f>
        <v/>
      </c>
      <c r="B838" s="64" t="s">
        <v>36</v>
      </c>
      <c r="C838" s="53" t="n">
        <v>214</v>
      </c>
      <c r="D838" s="53" t="n">
        <v>1</v>
      </c>
      <c r="E838" s="65" t="str">
        <f aca="false">IF($H838="","",购销流水!$B214)</f>
        <v/>
      </c>
      <c r="F838" s="55" t="str">
        <f aca="false">IF($H838="","",购销流水!$C214)</f>
        <v/>
      </c>
      <c r="G838" s="48" t="str">
        <f aca="false">IF($H838="","",购销流水!$N214)</f>
        <v/>
      </c>
      <c r="H838" s="10" t="str">
        <f aca="false">IF($L838="","",IF($L838="@成本",购销流水!$U214,IF($L838="@收入",购销流水!$T214,IF($L838="@存货",购销流水!$S214,IF($L838="@结算",购销流水!$R214,$L838)))))</f>
        <v/>
      </c>
      <c r="I838" s="42" t="n">
        <f aca="false">IF($M838="借",$O838,0)</f>
        <v>0</v>
      </c>
      <c r="J838" s="42" t="n">
        <f aca="false">IF($M838="贷",$O838,0)</f>
        <v>0</v>
      </c>
      <c r="K838" s="48" t="str">
        <f aca="false">IF($H838="","",购销流水!$E214)</f>
        <v/>
      </c>
      <c r="L838" s="66" t="str">
        <f aca="false">IF(购销流水!$D214="","",IFERROR(INDEX(记账规则!$A$6:$N$9,MATCH(购销流水!$D214,记账规则!$A$6:$A$9,0),3),""))</f>
        <v/>
      </c>
      <c r="M838" s="66" t="str">
        <f aca="false">IF($L838="","",IFERROR(INDEX(记账规则!$A$6:$N$9,MATCH(购销流水!$D214,记账规则!$A$6:$A$9,0),4),""))</f>
        <v/>
      </c>
      <c r="N838" s="66" t="str">
        <f aca="false">IF($L838="","",IFERROR(INDEX(记账规则!$A$6:$N$9,MATCH(购销流水!$D214,记账规则!$A$6:$A$9,0),5),""))</f>
        <v/>
      </c>
      <c r="O838" s="67" t="n">
        <f aca="false">IF($H838="",0,ROUND(IF($N838="成本金额",N(购销流水!$W214),IF($N838="金额",N(购销流水!$Q214),0)),2))</f>
        <v>0</v>
      </c>
      <c r="P838" s="64" t="str">
        <f aca="false">IF(AND($H838&lt;&gt;"",ROUND($O838,2)&lt;&gt;0),"有","")</f>
        <v/>
      </c>
    </row>
    <row r="839" customFormat="false" ht="15" hidden="true" customHeight="false" outlineLevel="0" collapsed="false">
      <c r="A839" s="53" t="str">
        <f aca="false">IF($H839="","",ROW()-5)</f>
        <v/>
      </c>
      <c r="B839" s="64" t="s">
        <v>36</v>
      </c>
      <c r="C839" s="53" t="n">
        <v>214</v>
      </c>
      <c r="D839" s="53" t="n">
        <v>2</v>
      </c>
      <c r="E839" s="65" t="str">
        <f aca="false">IF($H839="","",购销流水!$B214)</f>
        <v/>
      </c>
      <c r="F839" s="55" t="str">
        <f aca="false">IF($H839="","",购销流水!$C214)</f>
        <v/>
      </c>
      <c r="G839" s="48" t="str">
        <f aca="false">IF($H839="","",购销流水!$N214)</f>
        <v/>
      </c>
      <c r="H839" s="10" t="str">
        <f aca="false">IF($L839="","",IF($L839="@成本",购销流水!$U214,IF($L839="@收入",购销流水!$T214,IF($L839="@存货",购销流水!$S214,IF($L839="@结算",购销流水!$R214,$L839)))))</f>
        <v/>
      </c>
      <c r="I839" s="42" t="n">
        <f aca="false">IF($M839="借",$O839,0)</f>
        <v>0</v>
      </c>
      <c r="J839" s="42" t="n">
        <f aca="false">IF($M839="贷",$O839,0)</f>
        <v>0</v>
      </c>
      <c r="K839" s="48" t="str">
        <f aca="false">IF($H839="","",购销流水!$E214)</f>
        <v/>
      </c>
      <c r="L839" s="66" t="str">
        <f aca="false">IF(购销流水!$D214="","",IFERROR(INDEX(记账规则!$A$6:$N$9,MATCH(购销流水!$D214,记账规则!$A$6:$A$9,0),6),""))</f>
        <v/>
      </c>
      <c r="M839" s="66" t="str">
        <f aca="false">IF($L839="","",IFERROR(INDEX(记账规则!$A$6:$N$9,MATCH(购销流水!$D214,记账规则!$A$6:$A$9,0),7),""))</f>
        <v/>
      </c>
      <c r="N839" s="66" t="str">
        <f aca="false">IF($L839="","",IFERROR(INDEX(记账规则!$A$6:$N$9,MATCH(购销流水!$D214,记账规则!$A$6:$A$9,0),8),""))</f>
        <v/>
      </c>
      <c r="O839" s="67" t="n">
        <f aca="false">IF($H839="",0,ROUND(IF($N839="成本金额",N(购销流水!$W214),IF($N839="金额",N(购销流水!$Q214),0)),2))</f>
        <v>0</v>
      </c>
      <c r="P839" s="64" t="str">
        <f aca="false">IF(AND($H839&lt;&gt;"",ROUND($O839,2)&lt;&gt;0),"有","")</f>
        <v/>
      </c>
    </row>
    <row r="840" customFormat="false" ht="15" hidden="true" customHeight="false" outlineLevel="0" collapsed="false">
      <c r="A840" s="53" t="str">
        <f aca="false">IF($H840="","",ROW()-5)</f>
        <v/>
      </c>
      <c r="B840" s="64" t="s">
        <v>36</v>
      </c>
      <c r="C840" s="53" t="n">
        <v>214</v>
      </c>
      <c r="D840" s="53" t="n">
        <v>3</v>
      </c>
      <c r="E840" s="65" t="str">
        <f aca="false">IF($H840="","",购销流水!$B214)</f>
        <v/>
      </c>
      <c r="F840" s="55" t="str">
        <f aca="false">IF($H840="","",购销流水!$C214)</f>
        <v/>
      </c>
      <c r="G840" s="48" t="str">
        <f aca="false">IF($H840="","",购销流水!$N214)</f>
        <v/>
      </c>
      <c r="H840" s="10" t="str">
        <f aca="false">IF($L840="","",IF($L840="@成本",购销流水!$U214,IF($L840="@收入",购销流水!$T214,IF($L840="@存货",购销流水!$S214,IF($L840="@结算",购销流水!$R214,$L840)))))</f>
        <v/>
      </c>
      <c r="I840" s="42" t="n">
        <f aca="false">IF($M840="借",$O840,0)</f>
        <v>0</v>
      </c>
      <c r="J840" s="42" t="n">
        <f aca="false">IF($M840="贷",$O840,0)</f>
        <v>0</v>
      </c>
      <c r="K840" s="48" t="str">
        <f aca="false">IF($H840="","",购销流水!$E214)</f>
        <v/>
      </c>
      <c r="L840" s="66" t="str">
        <f aca="false">IF(购销流水!$D214="","",IFERROR(INDEX(记账规则!$A$6:$N$9,MATCH(购销流水!$D214,记账规则!$A$6:$A$9,0),9),""))</f>
        <v/>
      </c>
      <c r="M840" s="66" t="str">
        <f aca="false">IF($L840="","",IFERROR(INDEX(记账规则!$A$6:$N$9,MATCH(购销流水!$D214,记账规则!$A$6:$A$9,0),10),""))</f>
        <v/>
      </c>
      <c r="N840" s="66" t="str">
        <f aca="false">IF($L840="","",IFERROR(INDEX(记账规则!$A$6:$N$9,MATCH(购销流水!$D214,记账规则!$A$6:$A$9,0),11),""))</f>
        <v/>
      </c>
      <c r="O840" s="67" t="n">
        <f aca="false">IF($H840="",0,ROUND(IF($N840="成本金额",N(购销流水!$W214),IF($N840="金额",N(购销流水!$Q214),0)),2))</f>
        <v>0</v>
      </c>
      <c r="P840" s="64" t="str">
        <f aca="false">IF(AND($H840&lt;&gt;"",ROUND($O840,2)&lt;&gt;0),"有","")</f>
        <v/>
      </c>
    </row>
    <row r="841" customFormat="false" ht="15" hidden="true" customHeight="false" outlineLevel="0" collapsed="false">
      <c r="A841" s="53" t="str">
        <f aca="false">IF($H841="","",ROW()-5)</f>
        <v/>
      </c>
      <c r="B841" s="64" t="s">
        <v>36</v>
      </c>
      <c r="C841" s="53" t="n">
        <v>214</v>
      </c>
      <c r="D841" s="53" t="n">
        <v>4</v>
      </c>
      <c r="E841" s="65" t="str">
        <f aca="false">IF($H841="","",购销流水!$B214)</f>
        <v/>
      </c>
      <c r="F841" s="55" t="str">
        <f aca="false">IF($H841="","",购销流水!$C214)</f>
        <v/>
      </c>
      <c r="G841" s="48" t="str">
        <f aca="false">IF($H841="","",购销流水!$N214)</f>
        <v/>
      </c>
      <c r="H841" s="10" t="str">
        <f aca="false">IF($L841="","",IF($L841="@成本",购销流水!$U214,IF($L841="@收入",购销流水!$T214,IF($L841="@存货",购销流水!$S214,IF($L841="@结算",购销流水!$R214,$L841)))))</f>
        <v/>
      </c>
      <c r="I841" s="42" t="n">
        <f aca="false">IF($M841="借",$O841,0)</f>
        <v>0</v>
      </c>
      <c r="J841" s="42" t="n">
        <f aca="false">IF($M841="贷",$O841,0)</f>
        <v>0</v>
      </c>
      <c r="K841" s="48" t="str">
        <f aca="false">IF($H841="","",购销流水!$E214)</f>
        <v/>
      </c>
      <c r="L841" s="66" t="str">
        <f aca="false">IF(购销流水!$D214="","",IFERROR(INDEX(记账规则!$A$6:$N$9,MATCH(购销流水!$D214,记账规则!$A$6:$A$9,0),12),""))</f>
        <v/>
      </c>
      <c r="M841" s="66" t="str">
        <f aca="false">IF($L841="","",IFERROR(INDEX(记账规则!$A$6:$N$9,MATCH(购销流水!$D214,记账规则!$A$6:$A$9,0),13),""))</f>
        <v/>
      </c>
      <c r="N841" s="66" t="str">
        <f aca="false">IF($L841="","",IFERROR(INDEX(记账规则!$A$6:$N$9,MATCH(购销流水!$D214,记账规则!$A$6:$A$9,0),14),""))</f>
        <v/>
      </c>
      <c r="O841" s="67" t="n">
        <f aca="false">IF($H841="",0,ROUND(IF($N841="成本金额",N(购销流水!$W214),IF($N841="金额",N(购销流水!$Q214),0)),2))</f>
        <v>0</v>
      </c>
      <c r="P841" s="64" t="str">
        <f aca="false">IF(AND($H841&lt;&gt;"",ROUND($O841,2)&lt;&gt;0),"有","")</f>
        <v/>
      </c>
    </row>
    <row r="842" customFormat="false" ht="15" hidden="true" customHeight="false" outlineLevel="0" collapsed="false">
      <c r="A842" s="53" t="str">
        <f aca="false">IF($H842="","",ROW()-5)</f>
        <v/>
      </c>
      <c r="B842" s="64" t="s">
        <v>36</v>
      </c>
      <c r="C842" s="53" t="n">
        <v>215</v>
      </c>
      <c r="D842" s="53" t="n">
        <v>1</v>
      </c>
      <c r="E842" s="65" t="str">
        <f aca="false">IF($H842="","",购销流水!$B215)</f>
        <v/>
      </c>
      <c r="F842" s="55" t="str">
        <f aca="false">IF($H842="","",购销流水!$C215)</f>
        <v/>
      </c>
      <c r="G842" s="48" t="str">
        <f aca="false">IF($H842="","",购销流水!$N215)</f>
        <v/>
      </c>
      <c r="H842" s="10" t="str">
        <f aca="false">IF($L842="","",IF($L842="@成本",购销流水!$U215,IF($L842="@收入",购销流水!$T215,IF($L842="@存货",购销流水!$S215,IF($L842="@结算",购销流水!$R215,$L842)))))</f>
        <v/>
      </c>
      <c r="I842" s="42" t="n">
        <f aca="false">IF($M842="借",$O842,0)</f>
        <v>0</v>
      </c>
      <c r="J842" s="42" t="n">
        <f aca="false">IF($M842="贷",$O842,0)</f>
        <v>0</v>
      </c>
      <c r="K842" s="48" t="str">
        <f aca="false">IF($H842="","",购销流水!$E215)</f>
        <v/>
      </c>
      <c r="L842" s="66" t="str">
        <f aca="false">IF(购销流水!$D215="","",IFERROR(INDEX(记账规则!$A$6:$N$9,MATCH(购销流水!$D215,记账规则!$A$6:$A$9,0),3),""))</f>
        <v/>
      </c>
      <c r="M842" s="66" t="str">
        <f aca="false">IF($L842="","",IFERROR(INDEX(记账规则!$A$6:$N$9,MATCH(购销流水!$D215,记账规则!$A$6:$A$9,0),4),""))</f>
        <v/>
      </c>
      <c r="N842" s="66" t="str">
        <f aca="false">IF($L842="","",IFERROR(INDEX(记账规则!$A$6:$N$9,MATCH(购销流水!$D215,记账规则!$A$6:$A$9,0),5),""))</f>
        <v/>
      </c>
      <c r="O842" s="67" t="n">
        <f aca="false">IF($H842="",0,ROUND(IF($N842="成本金额",N(购销流水!$W215),IF($N842="金额",N(购销流水!$Q215),0)),2))</f>
        <v>0</v>
      </c>
      <c r="P842" s="64" t="str">
        <f aca="false">IF(AND($H842&lt;&gt;"",ROUND($O842,2)&lt;&gt;0),"有","")</f>
        <v/>
      </c>
    </row>
    <row r="843" customFormat="false" ht="15" hidden="true" customHeight="false" outlineLevel="0" collapsed="false">
      <c r="A843" s="53" t="str">
        <f aca="false">IF($H843="","",ROW()-5)</f>
        <v/>
      </c>
      <c r="B843" s="64" t="s">
        <v>36</v>
      </c>
      <c r="C843" s="53" t="n">
        <v>215</v>
      </c>
      <c r="D843" s="53" t="n">
        <v>2</v>
      </c>
      <c r="E843" s="65" t="str">
        <f aca="false">IF($H843="","",购销流水!$B215)</f>
        <v/>
      </c>
      <c r="F843" s="55" t="str">
        <f aca="false">IF($H843="","",购销流水!$C215)</f>
        <v/>
      </c>
      <c r="G843" s="48" t="str">
        <f aca="false">IF($H843="","",购销流水!$N215)</f>
        <v/>
      </c>
      <c r="H843" s="10" t="str">
        <f aca="false">IF($L843="","",IF($L843="@成本",购销流水!$U215,IF($L843="@收入",购销流水!$T215,IF($L843="@存货",购销流水!$S215,IF($L843="@结算",购销流水!$R215,$L843)))))</f>
        <v/>
      </c>
      <c r="I843" s="42" t="n">
        <f aca="false">IF($M843="借",$O843,0)</f>
        <v>0</v>
      </c>
      <c r="J843" s="42" t="n">
        <f aca="false">IF($M843="贷",$O843,0)</f>
        <v>0</v>
      </c>
      <c r="K843" s="48" t="str">
        <f aca="false">IF($H843="","",购销流水!$E215)</f>
        <v/>
      </c>
      <c r="L843" s="66" t="str">
        <f aca="false">IF(购销流水!$D215="","",IFERROR(INDEX(记账规则!$A$6:$N$9,MATCH(购销流水!$D215,记账规则!$A$6:$A$9,0),6),""))</f>
        <v/>
      </c>
      <c r="M843" s="66" t="str">
        <f aca="false">IF($L843="","",IFERROR(INDEX(记账规则!$A$6:$N$9,MATCH(购销流水!$D215,记账规则!$A$6:$A$9,0),7),""))</f>
        <v/>
      </c>
      <c r="N843" s="66" t="str">
        <f aca="false">IF($L843="","",IFERROR(INDEX(记账规则!$A$6:$N$9,MATCH(购销流水!$D215,记账规则!$A$6:$A$9,0),8),""))</f>
        <v/>
      </c>
      <c r="O843" s="67" t="n">
        <f aca="false">IF($H843="",0,ROUND(IF($N843="成本金额",N(购销流水!$W215),IF($N843="金额",N(购销流水!$Q215),0)),2))</f>
        <v>0</v>
      </c>
      <c r="P843" s="64" t="str">
        <f aca="false">IF(AND($H843&lt;&gt;"",ROUND($O843,2)&lt;&gt;0),"有","")</f>
        <v/>
      </c>
    </row>
    <row r="844" customFormat="false" ht="15" hidden="true" customHeight="false" outlineLevel="0" collapsed="false">
      <c r="A844" s="53" t="str">
        <f aca="false">IF($H844="","",ROW()-5)</f>
        <v/>
      </c>
      <c r="B844" s="64" t="s">
        <v>36</v>
      </c>
      <c r="C844" s="53" t="n">
        <v>215</v>
      </c>
      <c r="D844" s="53" t="n">
        <v>3</v>
      </c>
      <c r="E844" s="65" t="str">
        <f aca="false">IF($H844="","",购销流水!$B215)</f>
        <v/>
      </c>
      <c r="F844" s="55" t="str">
        <f aca="false">IF($H844="","",购销流水!$C215)</f>
        <v/>
      </c>
      <c r="G844" s="48" t="str">
        <f aca="false">IF($H844="","",购销流水!$N215)</f>
        <v/>
      </c>
      <c r="H844" s="10" t="str">
        <f aca="false">IF($L844="","",IF($L844="@成本",购销流水!$U215,IF($L844="@收入",购销流水!$T215,IF($L844="@存货",购销流水!$S215,IF($L844="@结算",购销流水!$R215,$L844)))))</f>
        <v/>
      </c>
      <c r="I844" s="42" t="n">
        <f aca="false">IF($M844="借",$O844,0)</f>
        <v>0</v>
      </c>
      <c r="J844" s="42" t="n">
        <f aca="false">IF($M844="贷",$O844,0)</f>
        <v>0</v>
      </c>
      <c r="K844" s="48" t="str">
        <f aca="false">IF($H844="","",购销流水!$E215)</f>
        <v/>
      </c>
      <c r="L844" s="66" t="str">
        <f aca="false">IF(购销流水!$D215="","",IFERROR(INDEX(记账规则!$A$6:$N$9,MATCH(购销流水!$D215,记账规则!$A$6:$A$9,0),9),""))</f>
        <v/>
      </c>
      <c r="M844" s="66" t="str">
        <f aca="false">IF($L844="","",IFERROR(INDEX(记账规则!$A$6:$N$9,MATCH(购销流水!$D215,记账规则!$A$6:$A$9,0),10),""))</f>
        <v/>
      </c>
      <c r="N844" s="66" t="str">
        <f aca="false">IF($L844="","",IFERROR(INDEX(记账规则!$A$6:$N$9,MATCH(购销流水!$D215,记账规则!$A$6:$A$9,0),11),""))</f>
        <v/>
      </c>
      <c r="O844" s="67" t="n">
        <f aca="false">IF($H844="",0,ROUND(IF($N844="成本金额",N(购销流水!$W215),IF($N844="金额",N(购销流水!$Q215),0)),2))</f>
        <v>0</v>
      </c>
      <c r="P844" s="64" t="str">
        <f aca="false">IF(AND($H844&lt;&gt;"",ROUND($O844,2)&lt;&gt;0),"有","")</f>
        <v/>
      </c>
    </row>
    <row r="845" customFormat="false" ht="15" hidden="true" customHeight="false" outlineLevel="0" collapsed="false">
      <c r="A845" s="53" t="str">
        <f aca="false">IF($H845="","",ROW()-5)</f>
        <v/>
      </c>
      <c r="B845" s="64" t="s">
        <v>36</v>
      </c>
      <c r="C845" s="53" t="n">
        <v>215</v>
      </c>
      <c r="D845" s="53" t="n">
        <v>4</v>
      </c>
      <c r="E845" s="65" t="str">
        <f aca="false">IF($H845="","",购销流水!$B215)</f>
        <v/>
      </c>
      <c r="F845" s="55" t="str">
        <f aca="false">IF($H845="","",购销流水!$C215)</f>
        <v/>
      </c>
      <c r="G845" s="48" t="str">
        <f aca="false">IF($H845="","",购销流水!$N215)</f>
        <v/>
      </c>
      <c r="H845" s="10" t="str">
        <f aca="false">IF($L845="","",IF($L845="@成本",购销流水!$U215,IF($L845="@收入",购销流水!$T215,IF($L845="@存货",购销流水!$S215,IF($L845="@结算",购销流水!$R215,$L845)))))</f>
        <v/>
      </c>
      <c r="I845" s="42" t="n">
        <f aca="false">IF($M845="借",$O845,0)</f>
        <v>0</v>
      </c>
      <c r="J845" s="42" t="n">
        <f aca="false">IF($M845="贷",$O845,0)</f>
        <v>0</v>
      </c>
      <c r="K845" s="48" t="str">
        <f aca="false">IF($H845="","",购销流水!$E215)</f>
        <v/>
      </c>
      <c r="L845" s="66" t="str">
        <f aca="false">IF(购销流水!$D215="","",IFERROR(INDEX(记账规则!$A$6:$N$9,MATCH(购销流水!$D215,记账规则!$A$6:$A$9,0),12),""))</f>
        <v/>
      </c>
      <c r="M845" s="66" t="str">
        <f aca="false">IF($L845="","",IFERROR(INDEX(记账规则!$A$6:$N$9,MATCH(购销流水!$D215,记账规则!$A$6:$A$9,0),13),""))</f>
        <v/>
      </c>
      <c r="N845" s="66" t="str">
        <f aca="false">IF($L845="","",IFERROR(INDEX(记账规则!$A$6:$N$9,MATCH(购销流水!$D215,记账规则!$A$6:$A$9,0),14),""))</f>
        <v/>
      </c>
      <c r="O845" s="67" t="n">
        <f aca="false">IF($H845="",0,ROUND(IF($N845="成本金额",N(购销流水!$W215),IF($N845="金额",N(购销流水!$Q215),0)),2))</f>
        <v>0</v>
      </c>
      <c r="P845" s="64" t="str">
        <f aca="false">IF(AND($H845&lt;&gt;"",ROUND($O845,2)&lt;&gt;0),"有","")</f>
        <v/>
      </c>
    </row>
    <row r="846" customFormat="false" ht="15" hidden="true" customHeight="false" outlineLevel="0" collapsed="false">
      <c r="A846" s="53" t="str">
        <f aca="false">IF($H846="","",ROW()-5)</f>
        <v/>
      </c>
      <c r="B846" s="64" t="s">
        <v>36</v>
      </c>
      <c r="C846" s="53" t="n">
        <v>216</v>
      </c>
      <c r="D846" s="53" t="n">
        <v>1</v>
      </c>
      <c r="E846" s="65" t="str">
        <f aca="false">IF($H846="","",购销流水!$B216)</f>
        <v/>
      </c>
      <c r="F846" s="55" t="str">
        <f aca="false">IF($H846="","",购销流水!$C216)</f>
        <v/>
      </c>
      <c r="G846" s="48" t="str">
        <f aca="false">IF($H846="","",购销流水!$N216)</f>
        <v/>
      </c>
      <c r="H846" s="10" t="str">
        <f aca="false">IF($L846="","",IF($L846="@成本",购销流水!$U216,IF($L846="@收入",购销流水!$T216,IF($L846="@存货",购销流水!$S216,IF($L846="@结算",购销流水!$R216,$L846)))))</f>
        <v/>
      </c>
      <c r="I846" s="42" t="n">
        <f aca="false">IF($M846="借",$O846,0)</f>
        <v>0</v>
      </c>
      <c r="J846" s="42" t="n">
        <f aca="false">IF($M846="贷",$O846,0)</f>
        <v>0</v>
      </c>
      <c r="K846" s="48" t="str">
        <f aca="false">IF($H846="","",购销流水!$E216)</f>
        <v/>
      </c>
      <c r="L846" s="66" t="str">
        <f aca="false">IF(购销流水!$D216="","",IFERROR(INDEX(记账规则!$A$6:$N$9,MATCH(购销流水!$D216,记账规则!$A$6:$A$9,0),3),""))</f>
        <v/>
      </c>
      <c r="M846" s="66" t="str">
        <f aca="false">IF($L846="","",IFERROR(INDEX(记账规则!$A$6:$N$9,MATCH(购销流水!$D216,记账规则!$A$6:$A$9,0),4),""))</f>
        <v/>
      </c>
      <c r="N846" s="66" t="str">
        <f aca="false">IF($L846="","",IFERROR(INDEX(记账规则!$A$6:$N$9,MATCH(购销流水!$D216,记账规则!$A$6:$A$9,0),5),""))</f>
        <v/>
      </c>
      <c r="O846" s="67" t="n">
        <f aca="false">IF($H846="",0,ROUND(IF($N846="成本金额",N(购销流水!$W216),IF($N846="金额",N(购销流水!$Q216),0)),2))</f>
        <v>0</v>
      </c>
      <c r="P846" s="64" t="str">
        <f aca="false">IF(AND($H846&lt;&gt;"",ROUND($O846,2)&lt;&gt;0),"有","")</f>
        <v/>
      </c>
    </row>
    <row r="847" customFormat="false" ht="15" hidden="true" customHeight="false" outlineLevel="0" collapsed="false">
      <c r="A847" s="53" t="str">
        <f aca="false">IF($H847="","",ROW()-5)</f>
        <v/>
      </c>
      <c r="B847" s="64" t="s">
        <v>36</v>
      </c>
      <c r="C847" s="53" t="n">
        <v>216</v>
      </c>
      <c r="D847" s="53" t="n">
        <v>2</v>
      </c>
      <c r="E847" s="65" t="str">
        <f aca="false">IF($H847="","",购销流水!$B216)</f>
        <v/>
      </c>
      <c r="F847" s="55" t="str">
        <f aca="false">IF($H847="","",购销流水!$C216)</f>
        <v/>
      </c>
      <c r="G847" s="48" t="str">
        <f aca="false">IF($H847="","",购销流水!$N216)</f>
        <v/>
      </c>
      <c r="H847" s="10" t="str">
        <f aca="false">IF($L847="","",IF($L847="@成本",购销流水!$U216,IF($L847="@收入",购销流水!$T216,IF($L847="@存货",购销流水!$S216,IF($L847="@结算",购销流水!$R216,$L847)))))</f>
        <v/>
      </c>
      <c r="I847" s="42" t="n">
        <f aca="false">IF($M847="借",$O847,0)</f>
        <v>0</v>
      </c>
      <c r="J847" s="42" t="n">
        <f aca="false">IF($M847="贷",$O847,0)</f>
        <v>0</v>
      </c>
      <c r="K847" s="48" t="str">
        <f aca="false">IF($H847="","",购销流水!$E216)</f>
        <v/>
      </c>
      <c r="L847" s="66" t="str">
        <f aca="false">IF(购销流水!$D216="","",IFERROR(INDEX(记账规则!$A$6:$N$9,MATCH(购销流水!$D216,记账规则!$A$6:$A$9,0),6),""))</f>
        <v/>
      </c>
      <c r="M847" s="66" t="str">
        <f aca="false">IF($L847="","",IFERROR(INDEX(记账规则!$A$6:$N$9,MATCH(购销流水!$D216,记账规则!$A$6:$A$9,0),7),""))</f>
        <v/>
      </c>
      <c r="N847" s="66" t="str">
        <f aca="false">IF($L847="","",IFERROR(INDEX(记账规则!$A$6:$N$9,MATCH(购销流水!$D216,记账规则!$A$6:$A$9,0),8),""))</f>
        <v/>
      </c>
      <c r="O847" s="67" t="n">
        <f aca="false">IF($H847="",0,ROUND(IF($N847="成本金额",N(购销流水!$W216),IF($N847="金额",N(购销流水!$Q216),0)),2))</f>
        <v>0</v>
      </c>
      <c r="P847" s="64" t="str">
        <f aca="false">IF(AND($H847&lt;&gt;"",ROUND($O847,2)&lt;&gt;0),"有","")</f>
        <v/>
      </c>
    </row>
    <row r="848" customFormat="false" ht="15" hidden="true" customHeight="false" outlineLevel="0" collapsed="false">
      <c r="A848" s="53" t="str">
        <f aca="false">IF($H848="","",ROW()-5)</f>
        <v/>
      </c>
      <c r="B848" s="64" t="s">
        <v>36</v>
      </c>
      <c r="C848" s="53" t="n">
        <v>216</v>
      </c>
      <c r="D848" s="53" t="n">
        <v>3</v>
      </c>
      <c r="E848" s="65" t="str">
        <f aca="false">IF($H848="","",购销流水!$B216)</f>
        <v/>
      </c>
      <c r="F848" s="55" t="str">
        <f aca="false">IF($H848="","",购销流水!$C216)</f>
        <v/>
      </c>
      <c r="G848" s="48" t="str">
        <f aca="false">IF($H848="","",购销流水!$N216)</f>
        <v/>
      </c>
      <c r="H848" s="10" t="str">
        <f aca="false">IF($L848="","",IF($L848="@成本",购销流水!$U216,IF($L848="@收入",购销流水!$T216,IF($L848="@存货",购销流水!$S216,IF($L848="@结算",购销流水!$R216,$L848)))))</f>
        <v/>
      </c>
      <c r="I848" s="42" t="n">
        <f aca="false">IF($M848="借",$O848,0)</f>
        <v>0</v>
      </c>
      <c r="J848" s="42" t="n">
        <f aca="false">IF($M848="贷",$O848,0)</f>
        <v>0</v>
      </c>
      <c r="K848" s="48" t="str">
        <f aca="false">IF($H848="","",购销流水!$E216)</f>
        <v/>
      </c>
      <c r="L848" s="66" t="str">
        <f aca="false">IF(购销流水!$D216="","",IFERROR(INDEX(记账规则!$A$6:$N$9,MATCH(购销流水!$D216,记账规则!$A$6:$A$9,0),9),""))</f>
        <v/>
      </c>
      <c r="M848" s="66" t="str">
        <f aca="false">IF($L848="","",IFERROR(INDEX(记账规则!$A$6:$N$9,MATCH(购销流水!$D216,记账规则!$A$6:$A$9,0),10),""))</f>
        <v/>
      </c>
      <c r="N848" s="66" t="str">
        <f aca="false">IF($L848="","",IFERROR(INDEX(记账规则!$A$6:$N$9,MATCH(购销流水!$D216,记账规则!$A$6:$A$9,0),11),""))</f>
        <v/>
      </c>
      <c r="O848" s="67" t="n">
        <f aca="false">IF($H848="",0,ROUND(IF($N848="成本金额",N(购销流水!$W216),IF($N848="金额",N(购销流水!$Q216),0)),2))</f>
        <v>0</v>
      </c>
      <c r="P848" s="64" t="str">
        <f aca="false">IF(AND($H848&lt;&gt;"",ROUND($O848,2)&lt;&gt;0),"有","")</f>
        <v/>
      </c>
    </row>
    <row r="849" customFormat="false" ht="15" hidden="true" customHeight="false" outlineLevel="0" collapsed="false">
      <c r="A849" s="53" t="str">
        <f aca="false">IF($H849="","",ROW()-5)</f>
        <v/>
      </c>
      <c r="B849" s="64" t="s">
        <v>36</v>
      </c>
      <c r="C849" s="53" t="n">
        <v>216</v>
      </c>
      <c r="D849" s="53" t="n">
        <v>4</v>
      </c>
      <c r="E849" s="65" t="str">
        <f aca="false">IF($H849="","",购销流水!$B216)</f>
        <v/>
      </c>
      <c r="F849" s="55" t="str">
        <f aca="false">IF($H849="","",购销流水!$C216)</f>
        <v/>
      </c>
      <c r="G849" s="48" t="str">
        <f aca="false">IF($H849="","",购销流水!$N216)</f>
        <v/>
      </c>
      <c r="H849" s="10" t="str">
        <f aca="false">IF($L849="","",IF($L849="@成本",购销流水!$U216,IF($L849="@收入",购销流水!$T216,IF($L849="@存货",购销流水!$S216,IF($L849="@结算",购销流水!$R216,$L849)))))</f>
        <v/>
      </c>
      <c r="I849" s="42" t="n">
        <f aca="false">IF($M849="借",$O849,0)</f>
        <v>0</v>
      </c>
      <c r="J849" s="42" t="n">
        <f aca="false">IF($M849="贷",$O849,0)</f>
        <v>0</v>
      </c>
      <c r="K849" s="48" t="str">
        <f aca="false">IF($H849="","",购销流水!$E216)</f>
        <v/>
      </c>
      <c r="L849" s="66" t="str">
        <f aca="false">IF(购销流水!$D216="","",IFERROR(INDEX(记账规则!$A$6:$N$9,MATCH(购销流水!$D216,记账规则!$A$6:$A$9,0),12),""))</f>
        <v/>
      </c>
      <c r="M849" s="66" t="str">
        <f aca="false">IF($L849="","",IFERROR(INDEX(记账规则!$A$6:$N$9,MATCH(购销流水!$D216,记账规则!$A$6:$A$9,0),13),""))</f>
        <v/>
      </c>
      <c r="N849" s="66" t="str">
        <f aca="false">IF($L849="","",IFERROR(INDEX(记账规则!$A$6:$N$9,MATCH(购销流水!$D216,记账规则!$A$6:$A$9,0),14),""))</f>
        <v/>
      </c>
      <c r="O849" s="67" t="n">
        <f aca="false">IF($H849="",0,ROUND(IF($N849="成本金额",N(购销流水!$W216),IF($N849="金额",N(购销流水!$Q216),0)),2))</f>
        <v>0</v>
      </c>
      <c r="P849" s="64" t="str">
        <f aca="false">IF(AND($H849&lt;&gt;"",ROUND($O849,2)&lt;&gt;0),"有","")</f>
        <v/>
      </c>
    </row>
    <row r="850" customFormat="false" ht="15" hidden="true" customHeight="false" outlineLevel="0" collapsed="false">
      <c r="A850" s="53" t="str">
        <f aca="false">IF($H850="","",ROW()-5)</f>
        <v/>
      </c>
      <c r="B850" s="64" t="s">
        <v>36</v>
      </c>
      <c r="C850" s="53" t="n">
        <v>217</v>
      </c>
      <c r="D850" s="53" t="n">
        <v>1</v>
      </c>
      <c r="E850" s="65" t="str">
        <f aca="false">IF($H850="","",购销流水!$B217)</f>
        <v/>
      </c>
      <c r="F850" s="55" t="str">
        <f aca="false">IF($H850="","",购销流水!$C217)</f>
        <v/>
      </c>
      <c r="G850" s="48" t="str">
        <f aca="false">IF($H850="","",购销流水!$N217)</f>
        <v/>
      </c>
      <c r="H850" s="10" t="str">
        <f aca="false">IF($L850="","",IF($L850="@成本",购销流水!$U217,IF($L850="@收入",购销流水!$T217,IF($L850="@存货",购销流水!$S217,IF($L850="@结算",购销流水!$R217,$L850)))))</f>
        <v/>
      </c>
      <c r="I850" s="42" t="n">
        <f aca="false">IF($M850="借",$O850,0)</f>
        <v>0</v>
      </c>
      <c r="J850" s="42" t="n">
        <f aca="false">IF($M850="贷",$O850,0)</f>
        <v>0</v>
      </c>
      <c r="K850" s="48" t="str">
        <f aca="false">IF($H850="","",购销流水!$E217)</f>
        <v/>
      </c>
      <c r="L850" s="66" t="str">
        <f aca="false">IF(购销流水!$D217="","",IFERROR(INDEX(记账规则!$A$6:$N$9,MATCH(购销流水!$D217,记账规则!$A$6:$A$9,0),3),""))</f>
        <v/>
      </c>
      <c r="M850" s="66" t="str">
        <f aca="false">IF($L850="","",IFERROR(INDEX(记账规则!$A$6:$N$9,MATCH(购销流水!$D217,记账规则!$A$6:$A$9,0),4),""))</f>
        <v/>
      </c>
      <c r="N850" s="66" t="str">
        <f aca="false">IF($L850="","",IFERROR(INDEX(记账规则!$A$6:$N$9,MATCH(购销流水!$D217,记账规则!$A$6:$A$9,0),5),""))</f>
        <v/>
      </c>
      <c r="O850" s="67" t="n">
        <f aca="false">IF($H850="",0,ROUND(IF($N850="成本金额",N(购销流水!$W217),IF($N850="金额",N(购销流水!$Q217),0)),2))</f>
        <v>0</v>
      </c>
      <c r="P850" s="64" t="str">
        <f aca="false">IF(AND($H850&lt;&gt;"",ROUND($O850,2)&lt;&gt;0),"有","")</f>
        <v/>
      </c>
    </row>
    <row r="851" customFormat="false" ht="15" hidden="true" customHeight="false" outlineLevel="0" collapsed="false">
      <c r="A851" s="53" t="str">
        <f aca="false">IF($H851="","",ROW()-5)</f>
        <v/>
      </c>
      <c r="B851" s="64" t="s">
        <v>36</v>
      </c>
      <c r="C851" s="53" t="n">
        <v>217</v>
      </c>
      <c r="D851" s="53" t="n">
        <v>2</v>
      </c>
      <c r="E851" s="65" t="str">
        <f aca="false">IF($H851="","",购销流水!$B217)</f>
        <v/>
      </c>
      <c r="F851" s="55" t="str">
        <f aca="false">IF($H851="","",购销流水!$C217)</f>
        <v/>
      </c>
      <c r="G851" s="48" t="str">
        <f aca="false">IF($H851="","",购销流水!$N217)</f>
        <v/>
      </c>
      <c r="H851" s="10" t="str">
        <f aca="false">IF($L851="","",IF($L851="@成本",购销流水!$U217,IF($L851="@收入",购销流水!$T217,IF($L851="@存货",购销流水!$S217,IF($L851="@结算",购销流水!$R217,$L851)))))</f>
        <v/>
      </c>
      <c r="I851" s="42" t="n">
        <f aca="false">IF($M851="借",$O851,0)</f>
        <v>0</v>
      </c>
      <c r="J851" s="42" t="n">
        <f aca="false">IF($M851="贷",$O851,0)</f>
        <v>0</v>
      </c>
      <c r="K851" s="48" t="str">
        <f aca="false">IF($H851="","",购销流水!$E217)</f>
        <v/>
      </c>
      <c r="L851" s="66" t="str">
        <f aca="false">IF(购销流水!$D217="","",IFERROR(INDEX(记账规则!$A$6:$N$9,MATCH(购销流水!$D217,记账规则!$A$6:$A$9,0),6),""))</f>
        <v/>
      </c>
      <c r="M851" s="66" t="str">
        <f aca="false">IF($L851="","",IFERROR(INDEX(记账规则!$A$6:$N$9,MATCH(购销流水!$D217,记账规则!$A$6:$A$9,0),7),""))</f>
        <v/>
      </c>
      <c r="N851" s="66" t="str">
        <f aca="false">IF($L851="","",IFERROR(INDEX(记账规则!$A$6:$N$9,MATCH(购销流水!$D217,记账规则!$A$6:$A$9,0),8),""))</f>
        <v/>
      </c>
      <c r="O851" s="67" t="n">
        <f aca="false">IF($H851="",0,ROUND(IF($N851="成本金额",N(购销流水!$W217),IF($N851="金额",N(购销流水!$Q217),0)),2))</f>
        <v>0</v>
      </c>
      <c r="P851" s="64" t="str">
        <f aca="false">IF(AND($H851&lt;&gt;"",ROUND($O851,2)&lt;&gt;0),"有","")</f>
        <v/>
      </c>
    </row>
    <row r="852" customFormat="false" ht="15" hidden="true" customHeight="false" outlineLevel="0" collapsed="false">
      <c r="A852" s="53" t="str">
        <f aca="false">IF($H852="","",ROW()-5)</f>
        <v/>
      </c>
      <c r="B852" s="64" t="s">
        <v>36</v>
      </c>
      <c r="C852" s="53" t="n">
        <v>217</v>
      </c>
      <c r="D852" s="53" t="n">
        <v>3</v>
      </c>
      <c r="E852" s="65" t="str">
        <f aca="false">IF($H852="","",购销流水!$B217)</f>
        <v/>
      </c>
      <c r="F852" s="55" t="str">
        <f aca="false">IF($H852="","",购销流水!$C217)</f>
        <v/>
      </c>
      <c r="G852" s="48" t="str">
        <f aca="false">IF($H852="","",购销流水!$N217)</f>
        <v/>
      </c>
      <c r="H852" s="10" t="str">
        <f aca="false">IF($L852="","",IF($L852="@成本",购销流水!$U217,IF($L852="@收入",购销流水!$T217,IF($L852="@存货",购销流水!$S217,IF($L852="@结算",购销流水!$R217,$L852)))))</f>
        <v/>
      </c>
      <c r="I852" s="42" t="n">
        <f aca="false">IF($M852="借",$O852,0)</f>
        <v>0</v>
      </c>
      <c r="J852" s="42" t="n">
        <f aca="false">IF($M852="贷",$O852,0)</f>
        <v>0</v>
      </c>
      <c r="K852" s="48" t="str">
        <f aca="false">IF($H852="","",购销流水!$E217)</f>
        <v/>
      </c>
      <c r="L852" s="66" t="str">
        <f aca="false">IF(购销流水!$D217="","",IFERROR(INDEX(记账规则!$A$6:$N$9,MATCH(购销流水!$D217,记账规则!$A$6:$A$9,0),9),""))</f>
        <v/>
      </c>
      <c r="M852" s="66" t="str">
        <f aca="false">IF($L852="","",IFERROR(INDEX(记账规则!$A$6:$N$9,MATCH(购销流水!$D217,记账规则!$A$6:$A$9,0),10),""))</f>
        <v/>
      </c>
      <c r="N852" s="66" t="str">
        <f aca="false">IF($L852="","",IFERROR(INDEX(记账规则!$A$6:$N$9,MATCH(购销流水!$D217,记账规则!$A$6:$A$9,0),11),""))</f>
        <v/>
      </c>
      <c r="O852" s="67" t="n">
        <f aca="false">IF($H852="",0,ROUND(IF($N852="成本金额",N(购销流水!$W217),IF($N852="金额",N(购销流水!$Q217),0)),2))</f>
        <v>0</v>
      </c>
      <c r="P852" s="64" t="str">
        <f aca="false">IF(AND($H852&lt;&gt;"",ROUND($O852,2)&lt;&gt;0),"有","")</f>
        <v/>
      </c>
    </row>
    <row r="853" customFormat="false" ht="15" hidden="true" customHeight="false" outlineLevel="0" collapsed="false">
      <c r="A853" s="53" t="str">
        <f aca="false">IF($H853="","",ROW()-5)</f>
        <v/>
      </c>
      <c r="B853" s="64" t="s">
        <v>36</v>
      </c>
      <c r="C853" s="53" t="n">
        <v>217</v>
      </c>
      <c r="D853" s="53" t="n">
        <v>4</v>
      </c>
      <c r="E853" s="65" t="str">
        <f aca="false">IF($H853="","",购销流水!$B217)</f>
        <v/>
      </c>
      <c r="F853" s="55" t="str">
        <f aca="false">IF($H853="","",购销流水!$C217)</f>
        <v/>
      </c>
      <c r="G853" s="48" t="str">
        <f aca="false">IF($H853="","",购销流水!$N217)</f>
        <v/>
      </c>
      <c r="H853" s="10" t="str">
        <f aca="false">IF($L853="","",IF($L853="@成本",购销流水!$U217,IF($L853="@收入",购销流水!$T217,IF($L853="@存货",购销流水!$S217,IF($L853="@结算",购销流水!$R217,$L853)))))</f>
        <v/>
      </c>
      <c r="I853" s="42" t="n">
        <f aca="false">IF($M853="借",$O853,0)</f>
        <v>0</v>
      </c>
      <c r="J853" s="42" t="n">
        <f aca="false">IF($M853="贷",$O853,0)</f>
        <v>0</v>
      </c>
      <c r="K853" s="48" t="str">
        <f aca="false">IF($H853="","",购销流水!$E217)</f>
        <v/>
      </c>
      <c r="L853" s="66" t="str">
        <f aca="false">IF(购销流水!$D217="","",IFERROR(INDEX(记账规则!$A$6:$N$9,MATCH(购销流水!$D217,记账规则!$A$6:$A$9,0),12),""))</f>
        <v/>
      </c>
      <c r="M853" s="66" t="str">
        <f aca="false">IF($L853="","",IFERROR(INDEX(记账规则!$A$6:$N$9,MATCH(购销流水!$D217,记账规则!$A$6:$A$9,0),13),""))</f>
        <v/>
      </c>
      <c r="N853" s="66" t="str">
        <f aca="false">IF($L853="","",IFERROR(INDEX(记账规则!$A$6:$N$9,MATCH(购销流水!$D217,记账规则!$A$6:$A$9,0),14),""))</f>
        <v/>
      </c>
      <c r="O853" s="67" t="n">
        <f aca="false">IF($H853="",0,ROUND(IF($N853="成本金额",N(购销流水!$W217),IF($N853="金额",N(购销流水!$Q217),0)),2))</f>
        <v>0</v>
      </c>
      <c r="P853" s="64" t="str">
        <f aca="false">IF(AND($H853&lt;&gt;"",ROUND($O853,2)&lt;&gt;0),"有","")</f>
        <v/>
      </c>
    </row>
    <row r="854" customFormat="false" ht="15" hidden="true" customHeight="false" outlineLevel="0" collapsed="false">
      <c r="A854" s="53" t="str">
        <f aca="false">IF($H854="","",ROW()-5)</f>
        <v/>
      </c>
      <c r="B854" s="64" t="s">
        <v>36</v>
      </c>
      <c r="C854" s="53" t="n">
        <v>218</v>
      </c>
      <c r="D854" s="53" t="n">
        <v>1</v>
      </c>
      <c r="E854" s="65" t="str">
        <f aca="false">IF($H854="","",购销流水!$B218)</f>
        <v/>
      </c>
      <c r="F854" s="55" t="str">
        <f aca="false">IF($H854="","",购销流水!$C218)</f>
        <v/>
      </c>
      <c r="G854" s="48" t="str">
        <f aca="false">IF($H854="","",购销流水!$N218)</f>
        <v/>
      </c>
      <c r="H854" s="10" t="str">
        <f aca="false">IF($L854="","",IF($L854="@成本",购销流水!$U218,IF($L854="@收入",购销流水!$T218,IF($L854="@存货",购销流水!$S218,IF($L854="@结算",购销流水!$R218,$L854)))))</f>
        <v/>
      </c>
      <c r="I854" s="42" t="n">
        <f aca="false">IF($M854="借",$O854,0)</f>
        <v>0</v>
      </c>
      <c r="J854" s="42" t="n">
        <f aca="false">IF($M854="贷",$O854,0)</f>
        <v>0</v>
      </c>
      <c r="K854" s="48" t="str">
        <f aca="false">IF($H854="","",购销流水!$E218)</f>
        <v/>
      </c>
      <c r="L854" s="66" t="str">
        <f aca="false">IF(购销流水!$D218="","",IFERROR(INDEX(记账规则!$A$6:$N$9,MATCH(购销流水!$D218,记账规则!$A$6:$A$9,0),3),""))</f>
        <v/>
      </c>
      <c r="M854" s="66" t="str">
        <f aca="false">IF($L854="","",IFERROR(INDEX(记账规则!$A$6:$N$9,MATCH(购销流水!$D218,记账规则!$A$6:$A$9,0),4),""))</f>
        <v/>
      </c>
      <c r="N854" s="66" t="str">
        <f aca="false">IF($L854="","",IFERROR(INDEX(记账规则!$A$6:$N$9,MATCH(购销流水!$D218,记账规则!$A$6:$A$9,0),5),""))</f>
        <v/>
      </c>
      <c r="O854" s="67" t="n">
        <f aca="false">IF($H854="",0,ROUND(IF($N854="成本金额",N(购销流水!$W218),IF($N854="金额",N(购销流水!$Q218),0)),2))</f>
        <v>0</v>
      </c>
      <c r="P854" s="64" t="str">
        <f aca="false">IF(AND($H854&lt;&gt;"",ROUND($O854,2)&lt;&gt;0),"有","")</f>
        <v/>
      </c>
    </row>
    <row r="855" customFormat="false" ht="15" hidden="true" customHeight="false" outlineLevel="0" collapsed="false">
      <c r="A855" s="53" t="str">
        <f aca="false">IF($H855="","",ROW()-5)</f>
        <v/>
      </c>
      <c r="B855" s="64" t="s">
        <v>36</v>
      </c>
      <c r="C855" s="53" t="n">
        <v>218</v>
      </c>
      <c r="D855" s="53" t="n">
        <v>2</v>
      </c>
      <c r="E855" s="65" t="str">
        <f aca="false">IF($H855="","",购销流水!$B218)</f>
        <v/>
      </c>
      <c r="F855" s="55" t="str">
        <f aca="false">IF($H855="","",购销流水!$C218)</f>
        <v/>
      </c>
      <c r="G855" s="48" t="str">
        <f aca="false">IF($H855="","",购销流水!$N218)</f>
        <v/>
      </c>
      <c r="H855" s="10" t="str">
        <f aca="false">IF($L855="","",IF($L855="@成本",购销流水!$U218,IF($L855="@收入",购销流水!$T218,IF($L855="@存货",购销流水!$S218,IF($L855="@结算",购销流水!$R218,$L855)))))</f>
        <v/>
      </c>
      <c r="I855" s="42" t="n">
        <f aca="false">IF($M855="借",$O855,0)</f>
        <v>0</v>
      </c>
      <c r="J855" s="42" t="n">
        <f aca="false">IF($M855="贷",$O855,0)</f>
        <v>0</v>
      </c>
      <c r="K855" s="48" t="str">
        <f aca="false">IF($H855="","",购销流水!$E218)</f>
        <v/>
      </c>
      <c r="L855" s="66" t="str">
        <f aca="false">IF(购销流水!$D218="","",IFERROR(INDEX(记账规则!$A$6:$N$9,MATCH(购销流水!$D218,记账规则!$A$6:$A$9,0),6),""))</f>
        <v/>
      </c>
      <c r="M855" s="66" t="str">
        <f aca="false">IF($L855="","",IFERROR(INDEX(记账规则!$A$6:$N$9,MATCH(购销流水!$D218,记账规则!$A$6:$A$9,0),7),""))</f>
        <v/>
      </c>
      <c r="N855" s="66" t="str">
        <f aca="false">IF($L855="","",IFERROR(INDEX(记账规则!$A$6:$N$9,MATCH(购销流水!$D218,记账规则!$A$6:$A$9,0),8),""))</f>
        <v/>
      </c>
      <c r="O855" s="67" t="n">
        <f aca="false">IF($H855="",0,ROUND(IF($N855="成本金额",N(购销流水!$W218),IF($N855="金额",N(购销流水!$Q218),0)),2))</f>
        <v>0</v>
      </c>
      <c r="P855" s="64" t="str">
        <f aca="false">IF(AND($H855&lt;&gt;"",ROUND($O855,2)&lt;&gt;0),"有","")</f>
        <v/>
      </c>
    </row>
    <row r="856" customFormat="false" ht="15" hidden="true" customHeight="false" outlineLevel="0" collapsed="false">
      <c r="A856" s="53" t="str">
        <f aca="false">IF($H856="","",ROW()-5)</f>
        <v/>
      </c>
      <c r="B856" s="64" t="s">
        <v>36</v>
      </c>
      <c r="C856" s="53" t="n">
        <v>218</v>
      </c>
      <c r="D856" s="53" t="n">
        <v>3</v>
      </c>
      <c r="E856" s="65" t="str">
        <f aca="false">IF($H856="","",购销流水!$B218)</f>
        <v/>
      </c>
      <c r="F856" s="55" t="str">
        <f aca="false">IF($H856="","",购销流水!$C218)</f>
        <v/>
      </c>
      <c r="G856" s="48" t="str">
        <f aca="false">IF($H856="","",购销流水!$N218)</f>
        <v/>
      </c>
      <c r="H856" s="10" t="str">
        <f aca="false">IF($L856="","",IF($L856="@成本",购销流水!$U218,IF($L856="@收入",购销流水!$T218,IF($L856="@存货",购销流水!$S218,IF($L856="@结算",购销流水!$R218,$L856)))))</f>
        <v/>
      </c>
      <c r="I856" s="42" t="n">
        <f aca="false">IF($M856="借",$O856,0)</f>
        <v>0</v>
      </c>
      <c r="J856" s="42" t="n">
        <f aca="false">IF($M856="贷",$O856,0)</f>
        <v>0</v>
      </c>
      <c r="K856" s="48" t="str">
        <f aca="false">IF($H856="","",购销流水!$E218)</f>
        <v/>
      </c>
      <c r="L856" s="66" t="str">
        <f aca="false">IF(购销流水!$D218="","",IFERROR(INDEX(记账规则!$A$6:$N$9,MATCH(购销流水!$D218,记账规则!$A$6:$A$9,0),9),""))</f>
        <v/>
      </c>
      <c r="M856" s="66" t="str">
        <f aca="false">IF($L856="","",IFERROR(INDEX(记账规则!$A$6:$N$9,MATCH(购销流水!$D218,记账规则!$A$6:$A$9,0),10),""))</f>
        <v/>
      </c>
      <c r="N856" s="66" t="str">
        <f aca="false">IF($L856="","",IFERROR(INDEX(记账规则!$A$6:$N$9,MATCH(购销流水!$D218,记账规则!$A$6:$A$9,0),11),""))</f>
        <v/>
      </c>
      <c r="O856" s="67" t="n">
        <f aca="false">IF($H856="",0,ROUND(IF($N856="成本金额",N(购销流水!$W218),IF($N856="金额",N(购销流水!$Q218),0)),2))</f>
        <v>0</v>
      </c>
      <c r="P856" s="64" t="str">
        <f aca="false">IF(AND($H856&lt;&gt;"",ROUND($O856,2)&lt;&gt;0),"有","")</f>
        <v/>
      </c>
    </row>
    <row r="857" customFormat="false" ht="15" hidden="true" customHeight="false" outlineLevel="0" collapsed="false">
      <c r="A857" s="53" t="str">
        <f aca="false">IF($H857="","",ROW()-5)</f>
        <v/>
      </c>
      <c r="B857" s="64" t="s">
        <v>36</v>
      </c>
      <c r="C857" s="53" t="n">
        <v>218</v>
      </c>
      <c r="D857" s="53" t="n">
        <v>4</v>
      </c>
      <c r="E857" s="65" t="str">
        <f aca="false">IF($H857="","",购销流水!$B218)</f>
        <v/>
      </c>
      <c r="F857" s="55" t="str">
        <f aca="false">IF($H857="","",购销流水!$C218)</f>
        <v/>
      </c>
      <c r="G857" s="48" t="str">
        <f aca="false">IF($H857="","",购销流水!$N218)</f>
        <v/>
      </c>
      <c r="H857" s="10" t="str">
        <f aca="false">IF($L857="","",IF($L857="@成本",购销流水!$U218,IF($L857="@收入",购销流水!$T218,IF($L857="@存货",购销流水!$S218,IF($L857="@结算",购销流水!$R218,$L857)))))</f>
        <v/>
      </c>
      <c r="I857" s="42" t="n">
        <f aca="false">IF($M857="借",$O857,0)</f>
        <v>0</v>
      </c>
      <c r="J857" s="42" t="n">
        <f aca="false">IF($M857="贷",$O857,0)</f>
        <v>0</v>
      </c>
      <c r="K857" s="48" t="str">
        <f aca="false">IF($H857="","",购销流水!$E218)</f>
        <v/>
      </c>
      <c r="L857" s="66" t="str">
        <f aca="false">IF(购销流水!$D218="","",IFERROR(INDEX(记账规则!$A$6:$N$9,MATCH(购销流水!$D218,记账规则!$A$6:$A$9,0),12),""))</f>
        <v/>
      </c>
      <c r="M857" s="66" t="str">
        <f aca="false">IF($L857="","",IFERROR(INDEX(记账规则!$A$6:$N$9,MATCH(购销流水!$D218,记账规则!$A$6:$A$9,0),13),""))</f>
        <v/>
      </c>
      <c r="N857" s="66" t="str">
        <f aca="false">IF($L857="","",IFERROR(INDEX(记账规则!$A$6:$N$9,MATCH(购销流水!$D218,记账规则!$A$6:$A$9,0),14),""))</f>
        <v/>
      </c>
      <c r="O857" s="67" t="n">
        <f aca="false">IF($H857="",0,ROUND(IF($N857="成本金额",N(购销流水!$W218),IF($N857="金额",N(购销流水!$Q218),0)),2))</f>
        <v>0</v>
      </c>
      <c r="P857" s="64" t="str">
        <f aca="false">IF(AND($H857&lt;&gt;"",ROUND($O857,2)&lt;&gt;0),"有","")</f>
        <v/>
      </c>
    </row>
    <row r="858" customFormat="false" ht="15" hidden="true" customHeight="false" outlineLevel="0" collapsed="false">
      <c r="A858" s="53" t="str">
        <f aca="false">IF($H858="","",ROW()-5)</f>
        <v/>
      </c>
      <c r="B858" s="64" t="s">
        <v>36</v>
      </c>
      <c r="C858" s="53" t="n">
        <v>219</v>
      </c>
      <c r="D858" s="53" t="n">
        <v>1</v>
      </c>
      <c r="E858" s="65" t="str">
        <f aca="false">IF($H858="","",购销流水!$B219)</f>
        <v/>
      </c>
      <c r="F858" s="55" t="str">
        <f aca="false">IF($H858="","",购销流水!$C219)</f>
        <v/>
      </c>
      <c r="G858" s="48" t="str">
        <f aca="false">IF($H858="","",购销流水!$N219)</f>
        <v/>
      </c>
      <c r="H858" s="10" t="str">
        <f aca="false">IF($L858="","",IF($L858="@成本",购销流水!$U219,IF($L858="@收入",购销流水!$T219,IF($L858="@存货",购销流水!$S219,IF($L858="@结算",购销流水!$R219,$L858)))))</f>
        <v/>
      </c>
      <c r="I858" s="42" t="n">
        <f aca="false">IF($M858="借",$O858,0)</f>
        <v>0</v>
      </c>
      <c r="J858" s="42" t="n">
        <f aca="false">IF($M858="贷",$O858,0)</f>
        <v>0</v>
      </c>
      <c r="K858" s="48" t="str">
        <f aca="false">IF($H858="","",购销流水!$E219)</f>
        <v/>
      </c>
      <c r="L858" s="66" t="str">
        <f aca="false">IF(购销流水!$D219="","",IFERROR(INDEX(记账规则!$A$6:$N$9,MATCH(购销流水!$D219,记账规则!$A$6:$A$9,0),3),""))</f>
        <v/>
      </c>
      <c r="M858" s="66" t="str">
        <f aca="false">IF($L858="","",IFERROR(INDEX(记账规则!$A$6:$N$9,MATCH(购销流水!$D219,记账规则!$A$6:$A$9,0),4),""))</f>
        <v/>
      </c>
      <c r="N858" s="66" t="str">
        <f aca="false">IF($L858="","",IFERROR(INDEX(记账规则!$A$6:$N$9,MATCH(购销流水!$D219,记账规则!$A$6:$A$9,0),5),""))</f>
        <v/>
      </c>
      <c r="O858" s="67" t="n">
        <f aca="false">IF($H858="",0,ROUND(IF($N858="成本金额",N(购销流水!$W219),IF($N858="金额",N(购销流水!$Q219),0)),2))</f>
        <v>0</v>
      </c>
      <c r="P858" s="64" t="str">
        <f aca="false">IF(AND($H858&lt;&gt;"",ROUND($O858,2)&lt;&gt;0),"有","")</f>
        <v/>
      </c>
    </row>
    <row r="859" customFormat="false" ht="15" hidden="true" customHeight="false" outlineLevel="0" collapsed="false">
      <c r="A859" s="53" t="str">
        <f aca="false">IF($H859="","",ROW()-5)</f>
        <v/>
      </c>
      <c r="B859" s="64" t="s">
        <v>36</v>
      </c>
      <c r="C859" s="53" t="n">
        <v>219</v>
      </c>
      <c r="D859" s="53" t="n">
        <v>2</v>
      </c>
      <c r="E859" s="65" t="str">
        <f aca="false">IF($H859="","",购销流水!$B219)</f>
        <v/>
      </c>
      <c r="F859" s="55" t="str">
        <f aca="false">IF($H859="","",购销流水!$C219)</f>
        <v/>
      </c>
      <c r="G859" s="48" t="str">
        <f aca="false">IF($H859="","",购销流水!$N219)</f>
        <v/>
      </c>
      <c r="H859" s="10" t="str">
        <f aca="false">IF($L859="","",IF($L859="@成本",购销流水!$U219,IF($L859="@收入",购销流水!$T219,IF($L859="@存货",购销流水!$S219,IF($L859="@结算",购销流水!$R219,$L859)))))</f>
        <v/>
      </c>
      <c r="I859" s="42" t="n">
        <f aca="false">IF($M859="借",$O859,0)</f>
        <v>0</v>
      </c>
      <c r="J859" s="42" t="n">
        <f aca="false">IF($M859="贷",$O859,0)</f>
        <v>0</v>
      </c>
      <c r="K859" s="48" t="str">
        <f aca="false">IF($H859="","",购销流水!$E219)</f>
        <v/>
      </c>
      <c r="L859" s="66" t="str">
        <f aca="false">IF(购销流水!$D219="","",IFERROR(INDEX(记账规则!$A$6:$N$9,MATCH(购销流水!$D219,记账规则!$A$6:$A$9,0),6),""))</f>
        <v/>
      </c>
      <c r="M859" s="66" t="str">
        <f aca="false">IF($L859="","",IFERROR(INDEX(记账规则!$A$6:$N$9,MATCH(购销流水!$D219,记账规则!$A$6:$A$9,0),7),""))</f>
        <v/>
      </c>
      <c r="N859" s="66" t="str">
        <f aca="false">IF($L859="","",IFERROR(INDEX(记账规则!$A$6:$N$9,MATCH(购销流水!$D219,记账规则!$A$6:$A$9,0),8),""))</f>
        <v/>
      </c>
      <c r="O859" s="67" t="n">
        <f aca="false">IF($H859="",0,ROUND(IF($N859="成本金额",N(购销流水!$W219),IF($N859="金额",N(购销流水!$Q219),0)),2))</f>
        <v>0</v>
      </c>
      <c r="P859" s="64" t="str">
        <f aca="false">IF(AND($H859&lt;&gt;"",ROUND($O859,2)&lt;&gt;0),"有","")</f>
        <v/>
      </c>
    </row>
    <row r="860" customFormat="false" ht="15" hidden="true" customHeight="false" outlineLevel="0" collapsed="false">
      <c r="A860" s="53" t="str">
        <f aca="false">IF($H860="","",ROW()-5)</f>
        <v/>
      </c>
      <c r="B860" s="64" t="s">
        <v>36</v>
      </c>
      <c r="C860" s="53" t="n">
        <v>219</v>
      </c>
      <c r="D860" s="53" t="n">
        <v>3</v>
      </c>
      <c r="E860" s="65" t="str">
        <f aca="false">IF($H860="","",购销流水!$B219)</f>
        <v/>
      </c>
      <c r="F860" s="55" t="str">
        <f aca="false">IF($H860="","",购销流水!$C219)</f>
        <v/>
      </c>
      <c r="G860" s="48" t="str">
        <f aca="false">IF($H860="","",购销流水!$N219)</f>
        <v/>
      </c>
      <c r="H860" s="10" t="str">
        <f aca="false">IF($L860="","",IF($L860="@成本",购销流水!$U219,IF($L860="@收入",购销流水!$T219,IF($L860="@存货",购销流水!$S219,IF($L860="@结算",购销流水!$R219,$L860)))))</f>
        <v/>
      </c>
      <c r="I860" s="42" t="n">
        <f aca="false">IF($M860="借",$O860,0)</f>
        <v>0</v>
      </c>
      <c r="J860" s="42" t="n">
        <f aca="false">IF($M860="贷",$O860,0)</f>
        <v>0</v>
      </c>
      <c r="K860" s="48" t="str">
        <f aca="false">IF($H860="","",购销流水!$E219)</f>
        <v/>
      </c>
      <c r="L860" s="66" t="str">
        <f aca="false">IF(购销流水!$D219="","",IFERROR(INDEX(记账规则!$A$6:$N$9,MATCH(购销流水!$D219,记账规则!$A$6:$A$9,0),9),""))</f>
        <v/>
      </c>
      <c r="M860" s="66" t="str">
        <f aca="false">IF($L860="","",IFERROR(INDEX(记账规则!$A$6:$N$9,MATCH(购销流水!$D219,记账规则!$A$6:$A$9,0),10),""))</f>
        <v/>
      </c>
      <c r="N860" s="66" t="str">
        <f aca="false">IF($L860="","",IFERROR(INDEX(记账规则!$A$6:$N$9,MATCH(购销流水!$D219,记账规则!$A$6:$A$9,0),11),""))</f>
        <v/>
      </c>
      <c r="O860" s="67" t="n">
        <f aca="false">IF($H860="",0,ROUND(IF($N860="成本金额",N(购销流水!$W219),IF($N860="金额",N(购销流水!$Q219),0)),2))</f>
        <v>0</v>
      </c>
      <c r="P860" s="64" t="str">
        <f aca="false">IF(AND($H860&lt;&gt;"",ROUND($O860,2)&lt;&gt;0),"有","")</f>
        <v/>
      </c>
    </row>
    <row r="861" customFormat="false" ht="15" hidden="true" customHeight="false" outlineLevel="0" collapsed="false">
      <c r="A861" s="53" t="str">
        <f aca="false">IF($H861="","",ROW()-5)</f>
        <v/>
      </c>
      <c r="B861" s="64" t="s">
        <v>36</v>
      </c>
      <c r="C861" s="53" t="n">
        <v>219</v>
      </c>
      <c r="D861" s="53" t="n">
        <v>4</v>
      </c>
      <c r="E861" s="65" t="str">
        <f aca="false">IF($H861="","",购销流水!$B219)</f>
        <v/>
      </c>
      <c r="F861" s="55" t="str">
        <f aca="false">IF($H861="","",购销流水!$C219)</f>
        <v/>
      </c>
      <c r="G861" s="48" t="str">
        <f aca="false">IF($H861="","",购销流水!$N219)</f>
        <v/>
      </c>
      <c r="H861" s="10" t="str">
        <f aca="false">IF($L861="","",IF($L861="@成本",购销流水!$U219,IF($L861="@收入",购销流水!$T219,IF($L861="@存货",购销流水!$S219,IF($L861="@结算",购销流水!$R219,$L861)))))</f>
        <v/>
      </c>
      <c r="I861" s="42" t="n">
        <f aca="false">IF($M861="借",$O861,0)</f>
        <v>0</v>
      </c>
      <c r="J861" s="42" t="n">
        <f aca="false">IF($M861="贷",$O861,0)</f>
        <v>0</v>
      </c>
      <c r="K861" s="48" t="str">
        <f aca="false">IF($H861="","",购销流水!$E219)</f>
        <v/>
      </c>
      <c r="L861" s="66" t="str">
        <f aca="false">IF(购销流水!$D219="","",IFERROR(INDEX(记账规则!$A$6:$N$9,MATCH(购销流水!$D219,记账规则!$A$6:$A$9,0),12),""))</f>
        <v/>
      </c>
      <c r="M861" s="66" t="str">
        <f aca="false">IF($L861="","",IFERROR(INDEX(记账规则!$A$6:$N$9,MATCH(购销流水!$D219,记账规则!$A$6:$A$9,0),13),""))</f>
        <v/>
      </c>
      <c r="N861" s="66" t="str">
        <f aca="false">IF($L861="","",IFERROR(INDEX(记账规则!$A$6:$N$9,MATCH(购销流水!$D219,记账规则!$A$6:$A$9,0),14),""))</f>
        <v/>
      </c>
      <c r="O861" s="67" t="n">
        <f aca="false">IF($H861="",0,ROUND(IF($N861="成本金额",N(购销流水!$W219),IF($N861="金额",N(购销流水!$Q219),0)),2))</f>
        <v>0</v>
      </c>
      <c r="P861" s="64" t="str">
        <f aca="false">IF(AND($H861&lt;&gt;"",ROUND($O861,2)&lt;&gt;0),"有","")</f>
        <v/>
      </c>
    </row>
    <row r="862" customFormat="false" ht="15" hidden="true" customHeight="false" outlineLevel="0" collapsed="false">
      <c r="A862" s="53" t="str">
        <f aca="false">IF($H862="","",ROW()-5)</f>
        <v/>
      </c>
      <c r="B862" s="64" t="s">
        <v>36</v>
      </c>
      <c r="C862" s="53" t="n">
        <v>220</v>
      </c>
      <c r="D862" s="53" t="n">
        <v>1</v>
      </c>
      <c r="E862" s="65" t="str">
        <f aca="false">IF($H862="","",购销流水!$B220)</f>
        <v/>
      </c>
      <c r="F862" s="55" t="str">
        <f aca="false">IF($H862="","",购销流水!$C220)</f>
        <v/>
      </c>
      <c r="G862" s="48" t="str">
        <f aca="false">IF($H862="","",购销流水!$N220)</f>
        <v/>
      </c>
      <c r="H862" s="10" t="str">
        <f aca="false">IF($L862="","",IF($L862="@成本",购销流水!$U220,IF($L862="@收入",购销流水!$T220,IF($L862="@存货",购销流水!$S220,IF($L862="@结算",购销流水!$R220,$L862)))))</f>
        <v/>
      </c>
      <c r="I862" s="42" t="n">
        <f aca="false">IF($M862="借",$O862,0)</f>
        <v>0</v>
      </c>
      <c r="J862" s="42" t="n">
        <f aca="false">IF($M862="贷",$O862,0)</f>
        <v>0</v>
      </c>
      <c r="K862" s="48" t="str">
        <f aca="false">IF($H862="","",购销流水!$E220)</f>
        <v/>
      </c>
      <c r="L862" s="66" t="str">
        <f aca="false">IF(购销流水!$D220="","",IFERROR(INDEX(记账规则!$A$6:$N$9,MATCH(购销流水!$D220,记账规则!$A$6:$A$9,0),3),""))</f>
        <v/>
      </c>
      <c r="M862" s="66" t="str">
        <f aca="false">IF($L862="","",IFERROR(INDEX(记账规则!$A$6:$N$9,MATCH(购销流水!$D220,记账规则!$A$6:$A$9,0),4),""))</f>
        <v/>
      </c>
      <c r="N862" s="66" t="str">
        <f aca="false">IF($L862="","",IFERROR(INDEX(记账规则!$A$6:$N$9,MATCH(购销流水!$D220,记账规则!$A$6:$A$9,0),5),""))</f>
        <v/>
      </c>
      <c r="O862" s="67" t="n">
        <f aca="false">IF($H862="",0,ROUND(IF($N862="成本金额",N(购销流水!$W220),IF($N862="金额",N(购销流水!$Q220),0)),2))</f>
        <v>0</v>
      </c>
      <c r="P862" s="64" t="str">
        <f aca="false">IF(AND($H862&lt;&gt;"",ROUND($O862,2)&lt;&gt;0),"有","")</f>
        <v/>
      </c>
    </row>
    <row r="863" customFormat="false" ht="15" hidden="true" customHeight="false" outlineLevel="0" collapsed="false">
      <c r="A863" s="53" t="str">
        <f aca="false">IF($H863="","",ROW()-5)</f>
        <v/>
      </c>
      <c r="B863" s="64" t="s">
        <v>36</v>
      </c>
      <c r="C863" s="53" t="n">
        <v>220</v>
      </c>
      <c r="D863" s="53" t="n">
        <v>2</v>
      </c>
      <c r="E863" s="65" t="str">
        <f aca="false">IF($H863="","",购销流水!$B220)</f>
        <v/>
      </c>
      <c r="F863" s="55" t="str">
        <f aca="false">IF($H863="","",购销流水!$C220)</f>
        <v/>
      </c>
      <c r="G863" s="48" t="str">
        <f aca="false">IF($H863="","",购销流水!$N220)</f>
        <v/>
      </c>
      <c r="H863" s="10" t="str">
        <f aca="false">IF($L863="","",IF($L863="@成本",购销流水!$U220,IF($L863="@收入",购销流水!$T220,IF($L863="@存货",购销流水!$S220,IF($L863="@结算",购销流水!$R220,$L863)))))</f>
        <v/>
      </c>
      <c r="I863" s="42" t="n">
        <f aca="false">IF($M863="借",$O863,0)</f>
        <v>0</v>
      </c>
      <c r="J863" s="42" t="n">
        <f aca="false">IF($M863="贷",$O863,0)</f>
        <v>0</v>
      </c>
      <c r="K863" s="48" t="str">
        <f aca="false">IF($H863="","",购销流水!$E220)</f>
        <v/>
      </c>
      <c r="L863" s="66" t="str">
        <f aca="false">IF(购销流水!$D220="","",IFERROR(INDEX(记账规则!$A$6:$N$9,MATCH(购销流水!$D220,记账规则!$A$6:$A$9,0),6),""))</f>
        <v/>
      </c>
      <c r="M863" s="66" t="str">
        <f aca="false">IF($L863="","",IFERROR(INDEX(记账规则!$A$6:$N$9,MATCH(购销流水!$D220,记账规则!$A$6:$A$9,0),7),""))</f>
        <v/>
      </c>
      <c r="N863" s="66" t="str">
        <f aca="false">IF($L863="","",IFERROR(INDEX(记账规则!$A$6:$N$9,MATCH(购销流水!$D220,记账规则!$A$6:$A$9,0),8),""))</f>
        <v/>
      </c>
      <c r="O863" s="67" t="n">
        <f aca="false">IF($H863="",0,ROUND(IF($N863="成本金额",N(购销流水!$W220),IF($N863="金额",N(购销流水!$Q220),0)),2))</f>
        <v>0</v>
      </c>
      <c r="P863" s="64" t="str">
        <f aca="false">IF(AND($H863&lt;&gt;"",ROUND($O863,2)&lt;&gt;0),"有","")</f>
        <v/>
      </c>
    </row>
    <row r="864" customFormat="false" ht="15" hidden="true" customHeight="false" outlineLevel="0" collapsed="false">
      <c r="A864" s="53" t="str">
        <f aca="false">IF($H864="","",ROW()-5)</f>
        <v/>
      </c>
      <c r="B864" s="64" t="s">
        <v>36</v>
      </c>
      <c r="C864" s="53" t="n">
        <v>220</v>
      </c>
      <c r="D864" s="53" t="n">
        <v>3</v>
      </c>
      <c r="E864" s="65" t="str">
        <f aca="false">IF($H864="","",购销流水!$B220)</f>
        <v/>
      </c>
      <c r="F864" s="55" t="str">
        <f aca="false">IF($H864="","",购销流水!$C220)</f>
        <v/>
      </c>
      <c r="G864" s="48" t="str">
        <f aca="false">IF($H864="","",购销流水!$N220)</f>
        <v/>
      </c>
      <c r="H864" s="10" t="str">
        <f aca="false">IF($L864="","",IF($L864="@成本",购销流水!$U220,IF($L864="@收入",购销流水!$T220,IF($L864="@存货",购销流水!$S220,IF($L864="@结算",购销流水!$R220,$L864)))))</f>
        <v/>
      </c>
      <c r="I864" s="42" t="n">
        <f aca="false">IF($M864="借",$O864,0)</f>
        <v>0</v>
      </c>
      <c r="J864" s="42" t="n">
        <f aca="false">IF($M864="贷",$O864,0)</f>
        <v>0</v>
      </c>
      <c r="K864" s="48" t="str">
        <f aca="false">IF($H864="","",购销流水!$E220)</f>
        <v/>
      </c>
      <c r="L864" s="66" t="str">
        <f aca="false">IF(购销流水!$D220="","",IFERROR(INDEX(记账规则!$A$6:$N$9,MATCH(购销流水!$D220,记账规则!$A$6:$A$9,0),9),""))</f>
        <v/>
      </c>
      <c r="M864" s="66" t="str">
        <f aca="false">IF($L864="","",IFERROR(INDEX(记账规则!$A$6:$N$9,MATCH(购销流水!$D220,记账规则!$A$6:$A$9,0),10),""))</f>
        <v/>
      </c>
      <c r="N864" s="66" t="str">
        <f aca="false">IF($L864="","",IFERROR(INDEX(记账规则!$A$6:$N$9,MATCH(购销流水!$D220,记账规则!$A$6:$A$9,0),11),""))</f>
        <v/>
      </c>
      <c r="O864" s="67" t="n">
        <f aca="false">IF($H864="",0,ROUND(IF($N864="成本金额",N(购销流水!$W220),IF($N864="金额",N(购销流水!$Q220),0)),2))</f>
        <v>0</v>
      </c>
      <c r="P864" s="64" t="str">
        <f aca="false">IF(AND($H864&lt;&gt;"",ROUND($O864,2)&lt;&gt;0),"有","")</f>
        <v/>
      </c>
    </row>
    <row r="865" customFormat="false" ht="15" hidden="true" customHeight="false" outlineLevel="0" collapsed="false">
      <c r="A865" s="53" t="str">
        <f aca="false">IF($H865="","",ROW()-5)</f>
        <v/>
      </c>
      <c r="B865" s="64" t="s">
        <v>36</v>
      </c>
      <c r="C865" s="53" t="n">
        <v>220</v>
      </c>
      <c r="D865" s="53" t="n">
        <v>4</v>
      </c>
      <c r="E865" s="65" t="str">
        <f aca="false">IF($H865="","",购销流水!$B220)</f>
        <v/>
      </c>
      <c r="F865" s="55" t="str">
        <f aca="false">IF($H865="","",购销流水!$C220)</f>
        <v/>
      </c>
      <c r="G865" s="48" t="str">
        <f aca="false">IF($H865="","",购销流水!$N220)</f>
        <v/>
      </c>
      <c r="H865" s="10" t="str">
        <f aca="false">IF($L865="","",IF($L865="@成本",购销流水!$U220,IF($L865="@收入",购销流水!$T220,IF($L865="@存货",购销流水!$S220,IF($L865="@结算",购销流水!$R220,$L865)))))</f>
        <v/>
      </c>
      <c r="I865" s="42" t="n">
        <f aca="false">IF($M865="借",$O865,0)</f>
        <v>0</v>
      </c>
      <c r="J865" s="42" t="n">
        <f aca="false">IF($M865="贷",$O865,0)</f>
        <v>0</v>
      </c>
      <c r="K865" s="48" t="str">
        <f aca="false">IF($H865="","",购销流水!$E220)</f>
        <v/>
      </c>
      <c r="L865" s="66" t="str">
        <f aca="false">IF(购销流水!$D220="","",IFERROR(INDEX(记账规则!$A$6:$N$9,MATCH(购销流水!$D220,记账规则!$A$6:$A$9,0),12),""))</f>
        <v/>
      </c>
      <c r="M865" s="66" t="str">
        <f aca="false">IF($L865="","",IFERROR(INDEX(记账规则!$A$6:$N$9,MATCH(购销流水!$D220,记账规则!$A$6:$A$9,0),13),""))</f>
        <v/>
      </c>
      <c r="N865" s="66" t="str">
        <f aca="false">IF($L865="","",IFERROR(INDEX(记账规则!$A$6:$N$9,MATCH(购销流水!$D220,记账规则!$A$6:$A$9,0),14),""))</f>
        <v/>
      </c>
      <c r="O865" s="67" t="n">
        <f aca="false">IF($H865="",0,ROUND(IF($N865="成本金额",N(购销流水!$W220),IF($N865="金额",N(购销流水!$Q220),0)),2))</f>
        <v>0</v>
      </c>
      <c r="P865" s="64" t="str">
        <f aca="false">IF(AND($H865&lt;&gt;"",ROUND($O865,2)&lt;&gt;0),"有","")</f>
        <v/>
      </c>
    </row>
    <row r="866" customFormat="false" ht="15" hidden="true" customHeight="false" outlineLevel="0" collapsed="false">
      <c r="A866" s="53" t="str">
        <f aca="false">IF($H866="","",ROW()-5)</f>
        <v/>
      </c>
      <c r="B866" s="64" t="s">
        <v>36</v>
      </c>
      <c r="C866" s="53" t="n">
        <v>221</v>
      </c>
      <c r="D866" s="53" t="n">
        <v>1</v>
      </c>
      <c r="E866" s="65" t="str">
        <f aca="false">IF($H866="","",购销流水!$B221)</f>
        <v/>
      </c>
      <c r="F866" s="55" t="str">
        <f aca="false">IF($H866="","",购销流水!$C221)</f>
        <v/>
      </c>
      <c r="G866" s="48" t="str">
        <f aca="false">IF($H866="","",购销流水!$N221)</f>
        <v/>
      </c>
      <c r="H866" s="10" t="str">
        <f aca="false">IF($L866="","",IF($L866="@成本",购销流水!$U221,IF($L866="@收入",购销流水!$T221,IF($L866="@存货",购销流水!$S221,IF($L866="@结算",购销流水!$R221,$L866)))))</f>
        <v/>
      </c>
      <c r="I866" s="42" t="n">
        <f aca="false">IF($M866="借",$O866,0)</f>
        <v>0</v>
      </c>
      <c r="J866" s="42" t="n">
        <f aca="false">IF($M866="贷",$O866,0)</f>
        <v>0</v>
      </c>
      <c r="K866" s="48" t="str">
        <f aca="false">IF($H866="","",购销流水!$E221)</f>
        <v/>
      </c>
      <c r="L866" s="66" t="str">
        <f aca="false">IF(购销流水!$D221="","",IFERROR(INDEX(记账规则!$A$6:$N$9,MATCH(购销流水!$D221,记账规则!$A$6:$A$9,0),3),""))</f>
        <v/>
      </c>
      <c r="M866" s="66" t="str">
        <f aca="false">IF($L866="","",IFERROR(INDEX(记账规则!$A$6:$N$9,MATCH(购销流水!$D221,记账规则!$A$6:$A$9,0),4),""))</f>
        <v/>
      </c>
      <c r="N866" s="66" t="str">
        <f aca="false">IF($L866="","",IFERROR(INDEX(记账规则!$A$6:$N$9,MATCH(购销流水!$D221,记账规则!$A$6:$A$9,0),5),""))</f>
        <v/>
      </c>
      <c r="O866" s="67" t="n">
        <f aca="false">IF($H866="",0,ROUND(IF($N866="成本金额",N(购销流水!$W221),IF($N866="金额",N(购销流水!$Q221),0)),2))</f>
        <v>0</v>
      </c>
      <c r="P866" s="64" t="str">
        <f aca="false">IF(AND($H866&lt;&gt;"",ROUND($O866,2)&lt;&gt;0),"有","")</f>
        <v/>
      </c>
    </row>
    <row r="867" customFormat="false" ht="15" hidden="true" customHeight="false" outlineLevel="0" collapsed="false">
      <c r="A867" s="53" t="str">
        <f aca="false">IF($H867="","",ROW()-5)</f>
        <v/>
      </c>
      <c r="B867" s="64" t="s">
        <v>36</v>
      </c>
      <c r="C867" s="53" t="n">
        <v>221</v>
      </c>
      <c r="D867" s="53" t="n">
        <v>2</v>
      </c>
      <c r="E867" s="65" t="str">
        <f aca="false">IF($H867="","",购销流水!$B221)</f>
        <v/>
      </c>
      <c r="F867" s="55" t="str">
        <f aca="false">IF($H867="","",购销流水!$C221)</f>
        <v/>
      </c>
      <c r="G867" s="48" t="str">
        <f aca="false">IF($H867="","",购销流水!$N221)</f>
        <v/>
      </c>
      <c r="H867" s="10" t="str">
        <f aca="false">IF($L867="","",IF($L867="@成本",购销流水!$U221,IF($L867="@收入",购销流水!$T221,IF($L867="@存货",购销流水!$S221,IF($L867="@结算",购销流水!$R221,$L867)))))</f>
        <v/>
      </c>
      <c r="I867" s="42" t="n">
        <f aca="false">IF($M867="借",$O867,0)</f>
        <v>0</v>
      </c>
      <c r="J867" s="42" t="n">
        <f aca="false">IF($M867="贷",$O867,0)</f>
        <v>0</v>
      </c>
      <c r="K867" s="48" t="str">
        <f aca="false">IF($H867="","",购销流水!$E221)</f>
        <v/>
      </c>
      <c r="L867" s="66" t="str">
        <f aca="false">IF(购销流水!$D221="","",IFERROR(INDEX(记账规则!$A$6:$N$9,MATCH(购销流水!$D221,记账规则!$A$6:$A$9,0),6),""))</f>
        <v/>
      </c>
      <c r="M867" s="66" t="str">
        <f aca="false">IF($L867="","",IFERROR(INDEX(记账规则!$A$6:$N$9,MATCH(购销流水!$D221,记账规则!$A$6:$A$9,0),7),""))</f>
        <v/>
      </c>
      <c r="N867" s="66" t="str">
        <f aca="false">IF($L867="","",IFERROR(INDEX(记账规则!$A$6:$N$9,MATCH(购销流水!$D221,记账规则!$A$6:$A$9,0),8),""))</f>
        <v/>
      </c>
      <c r="O867" s="67" t="n">
        <f aca="false">IF($H867="",0,ROUND(IF($N867="成本金额",N(购销流水!$W221),IF($N867="金额",N(购销流水!$Q221),0)),2))</f>
        <v>0</v>
      </c>
      <c r="P867" s="64" t="str">
        <f aca="false">IF(AND($H867&lt;&gt;"",ROUND($O867,2)&lt;&gt;0),"有","")</f>
        <v/>
      </c>
    </row>
    <row r="868" customFormat="false" ht="15" hidden="true" customHeight="false" outlineLevel="0" collapsed="false">
      <c r="A868" s="53" t="str">
        <f aca="false">IF($H868="","",ROW()-5)</f>
        <v/>
      </c>
      <c r="B868" s="64" t="s">
        <v>36</v>
      </c>
      <c r="C868" s="53" t="n">
        <v>221</v>
      </c>
      <c r="D868" s="53" t="n">
        <v>3</v>
      </c>
      <c r="E868" s="65" t="str">
        <f aca="false">IF($H868="","",购销流水!$B221)</f>
        <v/>
      </c>
      <c r="F868" s="55" t="str">
        <f aca="false">IF($H868="","",购销流水!$C221)</f>
        <v/>
      </c>
      <c r="G868" s="48" t="str">
        <f aca="false">IF($H868="","",购销流水!$N221)</f>
        <v/>
      </c>
      <c r="H868" s="10" t="str">
        <f aca="false">IF($L868="","",IF($L868="@成本",购销流水!$U221,IF($L868="@收入",购销流水!$T221,IF($L868="@存货",购销流水!$S221,IF($L868="@结算",购销流水!$R221,$L868)))))</f>
        <v/>
      </c>
      <c r="I868" s="42" t="n">
        <f aca="false">IF($M868="借",$O868,0)</f>
        <v>0</v>
      </c>
      <c r="J868" s="42" t="n">
        <f aca="false">IF($M868="贷",$O868,0)</f>
        <v>0</v>
      </c>
      <c r="K868" s="48" t="str">
        <f aca="false">IF($H868="","",购销流水!$E221)</f>
        <v/>
      </c>
      <c r="L868" s="66" t="str">
        <f aca="false">IF(购销流水!$D221="","",IFERROR(INDEX(记账规则!$A$6:$N$9,MATCH(购销流水!$D221,记账规则!$A$6:$A$9,0),9),""))</f>
        <v/>
      </c>
      <c r="M868" s="66" t="str">
        <f aca="false">IF($L868="","",IFERROR(INDEX(记账规则!$A$6:$N$9,MATCH(购销流水!$D221,记账规则!$A$6:$A$9,0),10),""))</f>
        <v/>
      </c>
      <c r="N868" s="66" t="str">
        <f aca="false">IF($L868="","",IFERROR(INDEX(记账规则!$A$6:$N$9,MATCH(购销流水!$D221,记账规则!$A$6:$A$9,0),11),""))</f>
        <v/>
      </c>
      <c r="O868" s="67" t="n">
        <f aca="false">IF($H868="",0,ROUND(IF($N868="成本金额",N(购销流水!$W221),IF($N868="金额",N(购销流水!$Q221),0)),2))</f>
        <v>0</v>
      </c>
      <c r="P868" s="64" t="str">
        <f aca="false">IF(AND($H868&lt;&gt;"",ROUND($O868,2)&lt;&gt;0),"有","")</f>
        <v/>
      </c>
    </row>
    <row r="869" customFormat="false" ht="15" hidden="true" customHeight="false" outlineLevel="0" collapsed="false">
      <c r="A869" s="53" t="str">
        <f aca="false">IF($H869="","",ROW()-5)</f>
        <v/>
      </c>
      <c r="B869" s="64" t="s">
        <v>36</v>
      </c>
      <c r="C869" s="53" t="n">
        <v>221</v>
      </c>
      <c r="D869" s="53" t="n">
        <v>4</v>
      </c>
      <c r="E869" s="65" t="str">
        <f aca="false">IF($H869="","",购销流水!$B221)</f>
        <v/>
      </c>
      <c r="F869" s="55" t="str">
        <f aca="false">IF($H869="","",购销流水!$C221)</f>
        <v/>
      </c>
      <c r="G869" s="48" t="str">
        <f aca="false">IF($H869="","",购销流水!$N221)</f>
        <v/>
      </c>
      <c r="H869" s="10" t="str">
        <f aca="false">IF($L869="","",IF($L869="@成本",购销流水!$U221,IF($L869="@收入",购销流水!$T221,IF($L869="@存货",购销流水!$S221,IF($L869="@结算",购销流水!$R221,$L869)))))</f>
        <v/>
      </c>
      <c r="I869" s="42" t="n">
        <f aca="false">IF($M869="借",$O869,0)</f>
        <v>0</v>
      </c>
      <c r="J869" s="42" t="n">
        <f aca="false">IF($M869="贷",$O869,0)</f>
        <v>0</v>
      </c>
      <c r="K869" s="48" t="str">
        <f aca="false">IF($H869="","",购销流水!$E221)</f>
        <v/>
      </c>
      <c r="L869" s="66" t="str">
        <f aca="false">IF(购销流水!$D221="","",IFERROR(INDEX(记账规则!$A$6:$N$9,MATCH(购销流水!$D221,记账规则!$A$6:$A$9,0),12),""))</f>
        <v/>
      </c>
      <c r="M869" s="66" t="str">
        <f aca="false">IF($L869="","",IFERROR(INDEX(记账规则!$A$6:$N$9,MATCH(购销流水!$D221,记账规则!$A$6:$A$9,0),13),""))</f>
        <v/>
      </c>
      <c r="N869" s="66" t="str">
        <f aca="false">IF($L869="","",IFERROR(INDEX(记账规则!$A$6:$N$9,MATCH(购销流水!$D221,记账规则!$A$6:$A$9,0),14),""))</f>
        <v/>
      </c>
      <c r="O869" s="67" t="n">
        <f aca="false">IF($H869="",0,ROUND(IF($N869="成本金额",N(购销流水!$W221),IF($N869="金额",N(购销流水!$Q221),0)),2))</f>
        <v>0</v>
      </c>
      <c r="P869" s="64" t="str">
        <f aca="false">IF(AND($H869&lt;&gt;"",ROUND($O869,2)&lt;&gt;0),"有","")</f>
        <v/>
      </c>
    </row>
    <row r="870" customFormat="false" ht="15" hidden="true" customHeight="false" outlineLevel="0" collapsed="false">
      <c r="A870" s="53" t="str">
        <f aca="false">IF($H870="","",ROW()-5)</f>
        <v/>
      </c>
      <c r="B870" s="64" t="s">
        <v>36</v>
      </c>
      <c r="C870" s="53" t="n">
        <v>222</v>
      </c>
      <c r="D870" s="53" t="n">
        <v>1</v>
      </c>
      <c r="E870" s="65" t="str">
        <f aca="false">IF($H870="","",购销流水!$B222)</f>
        <v/>
      </c>
      <c r="F870" s="55" t="str">
        <f aca="false">IF($H870="","",购销流水!$C222)</f>
        <v/>
      </c>
      <c r="G870" s="48" t="str">
        <f aca="false">IF($H870="","",购销流水!$N222)</f>
        <v/>
      </c>
      <c r="H870" s="10" t="str">
        <f aca="false">IF($L870="","",IF($L870="@成本",购销流水!$U222,IF($L870="@收入",购销流水!$T222,IF($L870="@存货",购销流水!$S222,IF($L870="@结算",购销流水!$R222,$L870)))))</f>
        <v/>
      </c>
      <c r="I870" s="42" t="n">
        <f aca="false">IF($M870="借",$O870,0)</f>
        <v>0</v>
      </c>
      <c r="J870" s="42" t="n">
        <f aca="false">IF($M870="贷",$O870,0)</f>
        <v>0</v>
      </c>
      <c r="K870" s="48" t="str">
        <f aca="false">IF($H870="","",购销流水!$E222)</f>
        <v/>
      </c>
      <c r="L870" s="66" t="str">
        <f aca="false">IF(购销流水!$D222="","",IFERROR(INDEX(记账规则!$A$6:$N$9,MATCH(购销流水!$D222,记账规则!$A$6:$A$9,0),3),""))</f>
        <v/>
      </c>
      <c r="M870" s="66" t="str">
        <f aca="false">IF($L870="","",IFERROR(INDEX(记账规则!$A$6:$N$9,MATCH(购销流水!$D222,记账规则!$A$6:$A$9,0),4),""))</f>
        <v/>
      </c>
      <c r="N870" s="66" t="str">
        <f aca="false">IF($L870="","",IFERROR(INDEX(记账规则!$A$6:$N$9,MATCH(购销流水!$D222,记账规则!$A$6:$A$9,0),5),""))</f>
        <v/>
      </c>
      <c r="O870" s="67" t="n">
        <f aca="false">IF($H870="",0,ROUND(IF($N870="成本金额",N(购销流水!$W222),IF($N870="金额",N(购销流水!$Q222),0)),2))</f>
        <v>0</v>
      </c>
      <c r="P870" s="64" t="str">
        <f aca="false">IF(AND($H870&lt;&gt;"",ROUND($O870,2)&lt;&gt;0),"有","")</f>
        <v/>
      </c>
    </row>
    <row r="871" customFormat="false" ht="15" hidden="true" customHeight="false" outlineLevel="0" collapsed="false">
      <c r="A871" s="53" t="str">
        <f aca="false">IF($H871="","",ROW()-5)</f>
        <v/>
      </c>
      <c r="B871" s="64" t="s">
        <v>36</v>
      </c>
      <c r="C871" s="53" t="n">
        <v>222</v>
      </c>
      <c r="D871" s="53" t="n">
        <v>2</v>
      </c>
      <c r="E871" s="65" t="str">
        <f aca="false">IF($H871="","",购销流水!$B222)</f>
        <v/>
      </c>
      <c r="F871" s="55" t="str">
        <f aca="false">IF($H871="","",购销流水!$C222)</f>
        <v/>
      </c>
      <c r="G871" s="48" t="str">
        <f aca="false">IF($H871="","",购销流水!$N222)</f>
        <v/>
      </c>
      <c r="H871" s="10" t="str">
        <f aca="false">IF($L871="","",IF($L871="@成本",购销流水!$U222,IF($L871="@收入",购销流水!$T222,IF($L871="@存货",购销流水!$S222,IF($L871="@结算",购销流水!$R222,$L871)))))</f>
        <v/>
      </c>
      <c r="I871" s="42" t="n">
        <f aca="false">IF($M871="借",$O871,0)</f>
        <v>0</v>
      </c>
      <c r="J871" s="42" t="n">
        <f aca="false">IF($M871="贷",$O871,0)</f>
        <v>0</v>
      </c>
      <c r="K871" s="48" t="str">
        <f aca="false">IF($H871="","",购销流水!$E222)</f>
        <v/>
      </c>
      <c r="L871" s="66" t="str">
        <f aca="false">IF(购销流水!$D222="","",IFERROR(INDEX(记账规则!$A$6:$N$9,MATCH(购销流水!$D222,记账规则!$A$6:$A$9,0),6),""))</f>
        <v/>
      </c>
      <c r="M871" s="66" t="str">
        <f aca="false">IF($L871="","",IFERROR(INDEX(记账规则!$A$6:$N$9,MATCH(购销流水!$D222,记账规则!$A$6:$A$9,0),7),""))</f>
        <v/>
      </c>
      <c r="N871" s="66" t="str">
        <f aca="false">IF($L871="","",IFERROR(INDEX(记账规则!$A$6:$N$9,MATCH(购销流水!$D222,记账规则!$A$6:$A$9,0),8),""))</f>
        <v/>
      </c>
      <c r="O871" s="67" t="n">
        <f aca="false">IF($H871="",0,ROUND(IF($N871="成本金额",N(购销流水!$W222),IF($N871="金额",N(购销流水!$Q222),0)),2))</f>
        <v>0</v>
      </c>
      <c r="P871" s="64" t="str">
        <f aca="false">IF(AND($H871&lt;&gt;"",ROUND($O871,2)&lt;&gt;0),"有","")</f>
        <v/>
      </c>
    </row>
    <row r="872" customFormat="false" ht="15" hidden="true" customHeight="false" outlineLevel="0" collapsed="false">
      <c r="A872" s="53" t="str">
        <f aca="false">IF($H872="","",ROW()-5)</f>
        <v/>
      </c>
      <c r="B872" s="64" t="s">
        <v>36</v>
      </c>
      <c r="C872" s="53" t="n">
        <v>222</v>
      </c>
      <c r="D872" s="53" t="n">
        <v>3</v>
      </c>
      <c r="E872" s="65" t="str">
        <f aca="false">IF($H872="","",购销流水!$B222)</f>
        <v/>
      </c>
      <c r="F872" s="55" t="str">
        <f aca="false">IF($H872="","",购销流水!$C222)</f>
        <v/>
      </c>
      <c r="G872" s="48" t="str">
        <f aca="false">IF($H872="","",购销流水!$N222)</f>
        <v/>
      </c>
      <c r="H872" s="10" t="str">
        <f aca="false">IF($L872="","",IF($L872="@成本",购销流水!$U222,IF($L872="@收入",购销流水!$T222,IF($L872="@存货",购销流水!$S222,IF($L872="@结算",购销流水!$R222,$L872)))))</f>
        <v/>
      </c>
      <c r="I872" s="42" t="n">
        <f aca="false">IF($M872="借",$O872,0)</f>
        <v>0</v>
      </c>
      <c r="J872" s="42" t="n">
        <f aca="false">IF($M872="贷",$O872,0)</f>
        <v>0</v>
      </c>
      <c r="K872" s="48" t="str">
        <f aca="false">IF($H872="","",购销流水!$E222)</f>
        <v/>
      </c>
      <c r="L872" s="66" t="str">
        <f aca="false">IF(购销流水!$D222="","",IFERROR(INDEX(记账规则!$A$6:$N$9,MATCH(购销流水!$D222,记账规则!$A$6:$A$9,0),9),""))</f>
        <v/>
      </c>
      <c r="M872" s="66" t="str">
        <f aca="false">IF($L872="","",IFERROR(INDEX(记账规则!$A$6:$N$9,MATCH(购销流水!$D222,记账规则!$A$6:$A$9,0),10),""))</f>
        <v/>
      </c>
      <c r="N872" s="66" t="str">
        <f aca="false">IF($L872="","",IFERROR(INDEX(记账规则!$A$6:$N$9,MATCH(购销流水!$D222,记账规则!$A$6:$A$9,0),11),""))</f>
        <v/>
      </c>
      <c r="O872" s="67" t="n">
        <f aca="false">IF($H872="",0,ROUND(IF($N872="成本金额",N(购销流水!$W222),IF($N872="金额",N(购销流水!$Q222),0)),2))</f>
        <v>0</v>
      </c>
      <c r="P872" s="64" t="str">
        <f aca="false">IF(AND($H872&lt;&gt;"",ROUND($O872,2)&lt;&gt;0),"有","")</f>
        <v/>
      </c>
    </row>
    <row r="873" customFormat="false" ht="15" hidden="true" customHeight="false" outlineLevel="0" collapsed="false">
      <c r="A873" s="53" t="str">
        <f aca="false">IF($H873="","",ROW()-5)</f>
        <v/>
      </c>
      <c r="B873" s="64" t="s">
        <v>36</v>
      </c>
      <c r="C873" s="53" t="n">
        <v>222</v>
      </c>
      <c r="D873" s="53" t="n">
        <v>4</v>
      </c>
      <c r="E873" s="65" t="str">
        <f aca="false">IF($H873="","",购销流水!$B222)</f>
        <v/>
      </c>
      <c r="F873" s="55" t="str">
        <f aca="false">IF($H873="","",购销流水!$C222)</f>
        <v/>
      </c>
      <c r="G873" s="48" t="str">
        <f aca="false">IF($H873="","",购销流水!$N222)</f>
        <v/>
      </c>
      <c r="H873" s="10" t="str">
        <f aca="false">IF($L873="","",IF($L873="@成本",购销流水!$U222,IF($L873="@收入",购销流水!$T222,IF($L873="@存货",购销流水!$S222,IF($L873="@结算",购销流水!$R222,$L873)))))</f>
        <v/>
      </c>
      <c r="I873" s="42" t="n">
        <f aca="false">IF($M873="借",$O873,0)</f>
        <v>0</v>
      </c>
      <c r="J873" s="42" t="n">
        <f aca="false">IF($M873="贷",$O873,0)</f>
        <v>0</v>
      </c>
      <c r="K873" s="48" t="str">
        <f aca="false">IF($H873="","",购销流水!$E222)</f>
        <v/>
      </c>
      <c r="L873" s="66" t="str">
        <f aca="false">IF(购销流水!$D222="","",IFERROR(INDEX(记账规则!$A$6:$N$9,MATCH(购销流水!$D222,记账规则!$A$6:$A$9,0),12),""))</f>
        <v/>
      </c>
      <c r="M873" s="66" t="str">
        <f aca="false">IF($L873="","",IFERROR(INDEX(记账规则!$A$6:$N$9,MATCH(购销流水!$D222,记账规则!$A$6:$A$9,0),13),""))</f>
        <v/>
      </c>
      <c r="N873" s="66" t="str">
        <f aca="false">IF($L873="","",IFERROR(INDEX(记账规则!$A$6:$N$9,MATCH(购销流水!$D222,记账规则!$A$6:$A$9,0),14),""))</f>
        <v/>
      </c>
      <c r="O873" s="67" t="n">
        <f aca="false">IF($H873="",0,ROUND(IF($N873="成本金额",N(购销流水!$W222),IF($N873="金额",N(购销流水!$Q222),0)),2))</f>
        <v>0</v>
      </c>
      <c r="P873" s="64" t="str">
        <f aca="false">IF(AND($H873&lt;&gt;"",ROUND($O873,2)&lt;&gt;0),"有","")</f>
        <v/>
      </c>
    </row>
    <row r="874" customFormat="false" ht="15" hidden="true" customHeight="false" outlineLevel="0" collapsed="false">
      <c r="A874" s="53" t="str">
        <f aca="false">IF($H874="","",ROW()-5)</f>
        <v/>
      </c>
      <c r="B874" s="64" t="s">
        <v>36</v>
      </c>
      <c r="C874" s="53" t="n">
        <v>223</v>
      </c>
      <c r="D874" s="53" t="n">
        <v>1</v>
      </c>
      <c r="E874" s="65" t="str">
        <f aca="false">IF($H874="","",购销流水!$B223)</f>
        <v/>
      </c>
      <c r="F874" s="55" t="str">
        <f aca="false">IF($H874="","",购销流水!$C223)</f>
        <v/>
      </c>
      <c r="G874" s="48" t="str">
        <f aca="false">IF($H874="","",购销流水!$N223)</f>
        <v/>
      </c>
      <c r="H874" s="10" t="str">
        <f aca="false">IF($L874="","",IF($L874="@成本",购销流水!$U223,IF($L874="@收入",购销流水!$T223,IF($L874="@存货",购销流水!$S223,IF($L874="@结算",购销流水!$R223,$L874)))))</f>
        <v/>
      </c>
      <c r="I874" s="42" t="n">
        <f aca="false">IF($M874="借",$O874,0)</f>
        <v>0</v>
      </c>
      <c r="J874" s="42" t="n">
        <f aca="false">IF($M874="贷",$O874,0)</f>
        <v>0</v>
      </c>
      <c r="K874" s="48" t="str">
        <f aca="false">IF($H874="","",购销流水!$E223)</f>
        <v/>
      </c>
      <c r="L874" s="66" t="str">
        <f aca="false">IF(购销流水!$D223="","",IFERROR(INDEX(记账规则!$A$6:$N$9,MATCH(购销流水!$D223,记账规则!$A$6:$A$9,0),3),""))</f>
        <v/>
      </c>
      <c r="M874" s="66" t="str">
        <f aca="false">IF($L874="","",IFERROR(INDEX(记账规则!$A$6:$N$9,MATCH(购销流水!$D223,记账规则!$A$6:$A$9,0),4),""))</f>
        <v/>
      </c>
      <c r="N874" s="66" t="str">
        <f aca="false">IF($L874="","",IFERROR(INDEX(记账规则!$A$6:$N$9,MATCH(购销流水!$D223,记账规则!$A$6:$A$9,0),5),""))</f>
        <v/>
      </c>
      <c r="O874" s="67" t="n">
        <f aca="false">IF($H874="",0,ROUND(IF($N874="成本金额",N(购销流水!$W223),IF($N874="金额",N(购销流水!$Q223),0)),2))</f>
        <v>0</v>
      </c>
      <c r="P874" s="64" t="str">
        <f aca="false">IF(AND($H874&lt;&gt;"",ROUND($O874,2)&lt;&gt;0),"有","")</f>
        <v/>
      </c>
    </row>
    <row r="875" customFormat="false" ht="15" hidden="true" customHeight="false" outlineLevel="0" collapsed="false">
      <c r="A875" s="53" t="str">
        <f aca="false">IF($H875="","",ROW()-5)</f>
        <v/>
      </c>
      <c r="B875" s="64" t="s">
        <v>36</v>
      </c>
      <c r="C875" s="53" t="n">
        <v>223</v>
      </c>
      <c r="D875" s="53" t="n">
        <v>2</v>
      </c>
      <c r="E875" s="65" t="str">
        <f aca="false">IF($H875="","",购销流水!$B223)</f>
        <v/>
      </c>
      <c r="F875" s="55" t="str">
        <f aca="false">IF($H875="","",购销流水!$C223)</f>
        <v/>
      </c>
      <c r="G875" s="48" t="str">
        <f aca="false">IF($H875="","",购销流水!$N223)</f>
        <v/>
      </c>
      <c r="H875" s="10" t="str">
        <f aca="false">IF($L875="","",IF($L875="@成本",购销流水!$U223,IF($L875="@收入",购销流水!$T223,IF($L875="@存货",购销流水!$S223,IF($L875="@结算",购销流水!$R223,$L875)))))</f>
        <v/>
      </c>
      <c r="I875" s="42" t="n">
        <f aca="false">IF($M875="借",$O875,0)</f>
        <v>0</v>
      </c>
      <c r="J875" s="42" t="n">
        <f aca="false">IF($M875="贷",$O875,0)</f>
        <v>0</v>
      </c>
      <c r="K875" s="48" t="str">
        <f aca="false">IF($H875="","",购销流水!$E223)</f>
        <v/>
      </c>
      <c r="L875" s="66" t="str">
        <f aca="false">IF(购销流水!$D223="","",IFERROR(INDEX(记账规则!$A$6:$N$9,MATCH(购销流水!$D223,记账规则!$A$6:$A$9,0),6),""))</f>
        <v/>
      </c>
      <c r="M875" s="66" t="str">
        <f aca="false">IF($L875="","",IFERROR(INDEX(记账规则!$A$6:$N$9,MATCH(购销流水!$D223,记账规则!$A$6:$A$9,0),7),""))</f>
        <v/>
      </c>
      <c r="N875" s="66" t="str">
        <f aca="false">IF($L875="","",IFERROR(INDEX(记账规则!$A$6:$N$9,MATCH(购销流水!$D223,记账规则!$A$6:$A$9,0),8),""))</f>
        <v/>
      </c>
      <c r="O875" s="67" t="n">
        <f aca="false">IF($H875="",0,ROUND(IF($N875="成本金额",N(购销流水!$W223),IF($N875="金额",N(购销流水!$Q223),0)),2))</f>
        <v>0</v>
      </c>
      <c r="P875" s="64" t="str">
        <f aca="false">IF(AND($H875&lt;&gt;"",ROUND($O875,2)&lt;&gt;0),"有","")</f>
        <v/>
      </c>
    </row>
    <row r="876" customFormat="false" ht="15" hidden="true" customHeight="false" outlineLevel="0" collapsed="false">
      <c r="A876" s="53" t="str">
        <f aca="false">IF($H876="","",ROW()-5)</f>
        <v/>
      </c>
      <c r="B876" s="64" t="s">
        <v>36</v>
      </c>
      <c r="C876" s="53" t="n">
        <v>223</v>
      </c>
      <c r="D876" s="53" t="n">
        <v>3</v>
      </c>
      <c r="E876" s="65" t="str">
        <f aca="false">IF($H876="","",购销流水!$B223)</f>
        <v/>
      </c>
      <c r="F876" s="55" t="str">
        <f aca="false">IF($H876="","",购销流水!$C223)</f>
        <v/>
      </c>
      <c r="G876" s="48" t="str">
        <f aca="false">IF($H876="","",购销流水!$N223)</f>
        <v/>
      </c>
      <c r="H876" s="10" t="str">
        <f aca="false">IF($L876="","",IF($L876="@成本",购销流水!$U223,IF($L876="@收入",购销流水!$T223,IF($L876="@存货",购销流水!$S223,IF($L876="@结算",购销流水!$R223,$L876)))))</f>
        <v/>
      </c>
      <c r="I876" s="42" t="n">
        <f aca="false">IF($M876="借",$O876,0)</f>
        <v>0</v>
      </c>
      <c r="J876" s="42" t="n">
        <f aca="false">IF($M876="贷",$O876,0)</f>
        <v>0</v>
      </c>
      <c r="K876" s="48" t="str">
        <f aca="false">IF($H876="","",购销流水!$E223)</f>
        <v/>
      </c>
      <c r="L876" s="66" t="str">
        <f aca="false">IF(购销流水!$D223="","",IFERROR(INDEX(记账规则!$A$6:$N$9,MATCH(购销流水!$D223,记账规则!$A$6:$A$9,0),9),""))</f>
        <v/>
      </c>
      <c r="M876" s="66" t="str">
        <f aca="false">IF($L876="","",IFERROR(INDEX(记账规则!$A$6:$N$9,MATCH(购销流水!$D223,记账规则!$A$6:$A$9,0),10),""))</f>
        <v/>
      </c>
      <c r="N876" s="66" t="str">
        <f aca="false">IF($L876="","",IFERROR(INDEX(记账规则!$A$6:$N$9,MATCH(购销流水!$D223,记账规则!$A$6:$A$9,0),11),""))</f>
        <v/>
      </c>
      <c r="O876" s="67" t="n">
        <f aca="false">IF($H876="",0,ROUND(IF($N876="成本金额",N(购销流水!$W223),IF($N876="金额",N(购销流水!$Q223),0)),2))</f>
        <v>0</v>
      </c>
      <c r="P876" s="64" t="str">
        <f aca="false">IF(AND($H876&lt;&gt;"",ROUND($O876,2)&lt;&gt;0),"有","")</f>
        <v/>
      </c>
    </row>
    <row r="877" customFormat="false" ht="15" hidden="true" customHeight="false" outlineLevel="0" collapsed="false">
      <c r="A877" s="53" t="str">
        <f aca="false">IF($H877="","",ROW()-5)</f>
        <v/>
      </c>
      <c r="B877" s="64" t="s">
        <v>36</v>
      </c>
      <c r="C877" s="53" t="n">
        <v>223</v>
      </c>
      <c r="D877" s="53" t="n">
        <v>4</v>
      </c>
      <c r="E877" s="65" t="str">
        <f aca="false">IF($H877="","",购销流水!$B223)</f>
        <v/>
      </c>
      <c r="F877" s="55" t="str">
        <f aca="false">IF($H877="","",购销流水!$C223)</f>
        <v/>
      </c>
      <c r="G877" s="48" t="str">
        <f aca="false">IF($H877="","",购销流水!$N223)</f>
        <v/>
      </c>
      <c r="H877" s="10" t="str">
        <f aca="false">IF($L877="","",IF($L877="@成本",购销流水!$U223,IF($L877="@收入",购销流水!$T223,IF($L877="@存货",购销流水!$S223,IF($L877="@结算",购销流水!$R223,$L877)))))</f>
        <v/>
      </c>
      <c r="I877" s="42" t="n">
        <f aca="false">IF($M877="借",$O877,0)</f>
        <v>0</v>
      </c>
      <c r="J877" s="42" t="n">
        <f aca="false">IF($M877="贷",$O877,0)</f>
        <v>0</v>
      </c>
      <c r="K877" s="48" t="str">
        <f aca="false">IF($H877="","",购销流水!$E223)</f>
        <v/>
      </c>
      <c r="L877" s="66" t="str">
        <f aca="false">IF(购销流水!$D223="","",IFERROR(INDEX(记账规则!$A$6:$N$9,MATCH(购销流水!$D223,记账规则!$A$6:$A$9,0),12),""))</f>
        <v/>
      </c>
      <c r="M877" s="66" t="str">
        <f aca="false">IF($L877="","",IFERROR(INDEX(记账规则!$A$6:$N$9,MATCH(购销流水!$D223,记账规则!$A$6:$A$9,0),13),""))</f>
        <v/>
      </c>
      <c r="N877" s="66" t="str">
        <f aca="false">IF($L877="","",IFERROR(INDEX(记账规则!$A$6:$N$9,MATCH(购销流水!$D223,记账规则!$A$6:$A$9,0),14),""))</f>
        <v/>
      </c>
      <c r="O877" s="67" t="n">
        <f aca="false">IF($H877="",0,ROUND(IF($N877="成本金额",N(购销流水!$W223),IF($N877="金额",N(购销流水!$Q223),0)),2))</f>
        <v>0</v>
      </c>
      <c r="P877" s="64" t="str">
        <f aca="false">IF(AND($H877&lt;&gt;"",ROUND($O877,2)&lt;&gt;0),"有","")</f>
        <v/>
      </c>
    </row>
    <row r="878" customFormat="false" ht="15" hidden="true" customHeight="false" outlineLevel="0" collapsed="false">
      <c r="A878" s="53" t="str">
        <f aca="false">IF($H878="","",ROW()-5)</f>
        <v/>
      </c>
      <c r="B878" s="64" t="s">
        <v>36</v>
      </c>
      <c r="C878" s="53" t="n">
        <v>224</v>
      </c>
      <c r="D878" s="53" t="n">
        <v>1</v>
      </c>
      <c r="E878" s="65" t="str">
        <f aca="false">IF($H878="","",购销流水!$B224)</f>
        <v/>
      </c>
      <c r="F878" s="55" t="str">
        <f aca="false">IF($H878="","",购销流水!$C224)</f>
        <v/>
      </c>
      <c r="G878" s="48" t="str">
        <f aca="false">IF($H878="","",购销流水!$N224)</f>
        <v/>
      </c>
      <c r="H878" s="10" t="str">
        <f aca="false">IF($L878="","",IF($L878="@成本",购销流水!$U224,IF($L878="@收入",购销流水!$T224,IF($L878="@存货",购销流水!$S224,IF($L878="@结算",购销流水!$R224,$L878)))))</f>
        <v/>
      </c>
      <c r="I878" s="42" t="n">
        <f aca="false">IF($M878="借",$O878,0)</f>
        <v>0</v>
      </c>
      <c r="J878" s="42" t="n">
        <f aca="false">IF($M878="贷",$O878,0)</f>
        <v>0</v>
      </c>
      <c r="K878" s="48" t="str">
        <f aca="false">IF($H878="","",购销流水!$E224)</f>
        <v/>
      </c>
      <c r="L878" s="66" t="str">
        <f aca="false">IF(购销流水!$D224="","",IFERROR(INDEX(记账规则!$A$6:$N$9,MATCH(购销流水!$D224,记账规则!$A$6:$A$9,0),3),""))</f>
        <v/>
      </c>
      <c r="M878" s="66" t="str">
        <f aca="false">IF($L878="","",IFERROR(INDEX(记账规则!$A$6:$N$9,MATCH(购销流水!$D224,记账规则!$A$6:$A$9,0),4),""))</f>
        <v/>
      </c>
      <c r="N878" s="66" t="str">
        <f aca="false">IF($L878="","",IFERROR(INDEX(记账规则!$A$6:$N$9,MATCH(购销流水!$D224,记账规则!$A$6:$A$9,0),5),""))</f>
        <v/>
      </c>
      <c r="O878" s="67" t="n">
        <f aca="false">IF($H878="",0,ROUND(IF($N878="成本金额",N(购销流水!$W224),IF($N878="金额",N(购销流水!$Q224),0)),2))</f>
        <v>0</v>
      </c>
      <c r="P878" s="64" t="str">
        <f aca="false">IF(AND($H878&lt;&gt;"",ROUND($O878,2)&lt;&gt;0),"有","")</f>
        <v/>
      </c>
    </row>
    <row r="879" customFormat="false" ht="15" hidden="true" customHeight="false" outlineLevel="0" collapsed="false">
      <c r="A879" s="53" t="str">
        <f aca="false">IF($H879="","",ROW()-5)</f>
        <v/>
      </c>
      <c r="B879" s="64" t="s">
        <v>36</v>
      </c>
      <c r="C879" s="53" t="n">
        <v>224</v>
      </c>
      <c r="D879" s="53" t="n">
        <v>2</v>
      </c>
      <c r="E879" s="65" t="str">
        <f aca="false">IF($H879="","",购销流水!$B224)</f>
        <v/>
      </c>
      <c r="F879" s="55" t="str">
        <f aca="false">IF($H879="","",购销流水!$C224)</f>
        <v/>
      </c>
      <c r="G879" s="48" t="str">
        <f aca="false">IF($H879="","",购销流水!$N224)</f>
        <v/>
      </c>
      <c r="H879" s="10" t="str">
        <f aca="false">IF($L879="","",IF($L879="@成本",购销流水!$U224,IF($L879="@收入",购销流水!$T224,IF($L879="@存货",购销流水!$S224,IF($L879="@结算",购销流水!$R224,$L879)))))</f>
        <v/>
      </c>
      <c r="I879" s="42" t="n">
        <f aca="false">IF($M879="借",$O879,0)</f>
        <v>0</v>
      </c>
      <c r="J879" s="42" t="n">
        <f aca="false">IF($M879="贷",$O879,0)</f>
        <v>0</v>
      </c>
      <c r="K879" s="48" t="str">
        <f aca="false">IF($H879="","",购销流水!$E224)</f>
        <v/>
      </c>
      <c r="L879" s="66" t="str">
        <f aca="false">IF(购销流水!$D224="","",IFERROR(INDEX(记账规则!$A$6:$N$9,MATCH(购销流水!$D224,记账规则!$A$6:$A$9,0),6),""))</f>
        <v/>
      </c>
      <c r="M879" s="66" t="str">
        <f aca="false">IF($L879="","",IFERROR(INDEX(记账规则!$A$6:$N$9,MATCH(购销流水!$D224,记账规则!$A$6:$A$9,0),7),""))</f>
        <v/>
      </c>
      <c r="N879" s="66" t="str">
        <f aca="false">IF($L879="","",IFERROR(INDEX(记账规则!$A$6:$N$9,MATCH(购销流水!$D224,记账规则!$A$6:$A$9,0),8),""))</f>
        <v/>
      </c>
      <c r="O879" s="67" t="n">
        <f aca="false">IF($H879="",0,ROUND(IF($N879="成本金额",N(购销流水!$W224),IF($N879="金额",N(购销流水!$Q224),0)),2))</f>
        <v>0</v>
      </c>
      <c r="P879" s="64" t="str">
        <f aca="false">IF(AND($H879&lt;&gt;"",ROUND($O879,2)&lt;&gt;0),"有","")</f>
        <v/>
      </c>
    </row>
    <row r="880" customFormat="false" ht="15" hidden="true" customHeight="false" outlineLevel="0" collapsed="false">
      <c r="A880" s="53" t="str">
        <f aca="false">IF($H880="","",ROW()-5)</f>
        <v/>
      </c>
      <c r="B880" s="64" t="s">
        <v>36</v>
      </c>
      <c r="C880" s="53" t="n">
        <v>224</v>
      </c>
      <c r="D880" s="53" t="n">
        <v>3</v>
      </c>
      <c r="E880" s="65" t="str">
        <f aca="false">IF($H880="","",购销流水!$B224)</f>
        <v/>
      </c>
      <c r="F880" s="55" t="str">
        <f aca="false">IF($H880="","",购销流水!$C224)</f>
        <v/>
      </c>
      <c r="G880" s="48" t="str">
        <f aca="false">IF($H880="","",购销流水!$N224)</f>
        <v/>
      </c>
      <c r="H880" s="10" t="str">
        <f aca="false">IF($L880="","",IF($L880="@成本",购销流水!$U224,IF($L880="@收入",购销流水!$T224,IF($L880="@存货",购销流水!$S224,IF($L880="@结算",购销流水!$R224,$L880)))))</f>
        <v/>
      </c>
      <c r="I880" s="42" t="n">
        <f aca="false">IF($M880="借",$O880,0)</f>
        <v>0</v>
      </c>
      <c r="J880" s="42" t="n">
        <f aca="false">IF($M880="贷",$O880,0)</f>
        <v>0</v>
      </c>
      <c r="K880" s="48" t="str">
        <f aca="false">IF($H880="","",购销流水!$E224)</f>
        <v/>
      </c>
      <c r="L880" s="66" t="str">
        <f aca="false">IF(购销流水!$D224="","",IFERROR(INDEX(记账规则!$A$6:$N$9,MATCH(购销流水!$D224,记账规则!$A$6:$A$9,0),9),""))</f>
        <v/>
      </c>
      <c r="M880" s="66" t="str">
        <f aca="false">IF($L880="","",IFERROR(INDEX(记账规则!$A$6:$N$9,MATCH(购销流水!$D224,记账规则!$A$6:$A$9,0),10),""))</f>
        <v/>
      </c>
      <c r="N880" s="66" t="str">
        <f aca="false">IF($L880="","",IFERROR(INDEX(记账规则!$A$6:$N$9,MATCH(购销流水!$D224,记账规则!$A$6:$A$9,0),11),""))</f>
        <v/>
      </c>
      <c r="O880" s="67" t="n">
        <f aca="false">IF($H880="",0,ROUND(IF($N880="成本金额",N(购销流水!$W224),IF($N880="金额",N(购销流水!$Q224),0)),2))</f>
        <v>0</v>
      </c>
      <c r="P880" s="64" t="str">
        <f aca="false">IF(AND($H880&lt;&gt;"",ROUND($O880,2)&lt;&gt;0),"有","")</f>
        <v/>
      </c>
    </row>
    <row r="881" customFormat="false" ht="15" hidden="true" customHeight="false" outlineLevel="0" collapsed="false">
      <c r="A881" s="53" t="str">
        <f aca="false">IF($H881="","",ROW()-5)</f>
        <v/>
      </c>
      <c r="B881" s="64" t="s">
        <v>36</v>
      </c>
      <c r="C881" s="53" t="n">
        <v>224</v>
      </c>
      <c r="D881" s="53" t="n">
        <v>4</v>
      </c>
      <c r="E881" s="65" t="str">
        <f aca="false">IF($H881="","",购销流水!$B224)</f>
        <v/>
      </c>
      <c r="F881" s="55" t="str">
        <f aca="false">IF($H881="","",购销流水!$C224)</f>
        <v/>
      </c>
      <c r="G881" s="48" t="str">
        <f aca="false">IF($H881="","",购销流水!$N224)</f>
        <v/>
      </c>
      <c r="H881" s="10" t="str">
        <f aca="false">IF($L881="","",IF($L881="@成本",购销流水!$U224,IF($L881="@收入",购销流水!$T224,IF($L881="@存货",购销流水!$S224,IF($L881="@结算",购销流水!$R224,$L881)))))</f>
        <v/>
      </c>
      <c r="I881" s="42" t="n">
        <f aca="false">IF($M881="借",$O881,0)</f>
        <v>0</v>
      </c>
      <c r="J881" s="42" t="n">
        <f aca="false">IF($M881="贷",$O881,0)</f>
        <v>0</v>
      </c>
      <c r="K881" s="48" t="str">
        <f aca="false">IF($H881="","",购销流水!$E224)</f>
        <v/>
      </c>
      <c r="L881" s="66" t="str">
        <f aca="false">IF(购销流水!$D224="","",IFERROR(INDEX(记账规则!$A$6:$N$9,MATCH(购销流水!$D224,记账规则!$A$6:$A$9,0),12),""))</f>
        <v/>
      </c>
      <c r="M881" s="66" t="str">
        <f aca="false">IF($L881="","",IFERROR(INDEX(记账规则!$A$6:$N$9,MATCH(购销流水!$D224,记账规则!$A$6:$A$9,0),13),""))</f>
        <v/>
      </c>
      <c r="N881" s="66" t="str">
        <f aca="false">IF($L881="","",IFERROR(INDEX(记账规则!$A$6:$N$9,MATCH(购销流水!$D224,记账规则!$A$6:$A$9,0),14),""))</f>
        <v/>
      </c>
      <c r="O881" s="67" t="n">
        <f aca="false">IF($H881="",0,ROUND(IF($N881="成本金额",N(购销流水!$W224),IF($N881="金额",N(购销流水!$Q224),0)),2))</f>
        <v>0</v>
      </c>
      <c r="P881" s="64" t="str">
        <f aca="false">IF(AND($H881&lt;&gt;"",ROUND($O881,2)&lt;&gt;0),"有","")</f>
        <v/>
      </c>
    </row>
    <row r="882" customFormat="false" ht="15" hidden="true" customHeight="false" outlineLevel="0" collapsed="false">
      <c r="A882" s="53" t="str">
        <f aca="false">IF($H882="","",ROW()-5)</f>
        <v/>
      </c>
      <c r="B882" s="64" t="s">
        <v>36</v>
      </c>
      <c r="C882" s="53" t="n">
        <v>225</v>
      </c>
      <c r="D882" s="53" t="n">
        <v>1</v>
      </c>
      <c r="E882" s="65" t="str">
        <f aca="false">IF($H882="","",购销流水!$B225)</f>
        <v/>
      </c>
      <c r="F882" s="55" t="str">
        <f aca="false">IF($H882="","",购销流水!$C225)</f>
        <v/>
      </c>
      <c r="G882" s="48" t="str">
        <f aca="false">IF($H882="","",购销流水!$N225)</f>
        <v/>
      </c>
      <c r="H882" s="10" t="str">
        <f aca="false">IF($L882="","",IF($L882="@成本",购销流水!$U225,IF($L882="@收入",购销流水!$T225,IF($L882="@存货",购销流水!$S225,IF($L882="@结算",购销流水!$R225,$L882)))))</f>
        <v/>
      </c>
      <c r="I882" s="42" t="n">
        <f aca="false">IF($M882="借",$O882,0)</f>
        <v>0</v>
      </c>
      <c r="J882" s="42" t="n">
        <f aca="false">IF($M882="贷",$O882,0)</f>
        <v>0</v>
      </c>
      <c r="K882" s="48" t="str">
        <f aca="false">IF($H882="","",购销流水!$E225)</f>
        <v/>
      </c>
      <c r="L882" s="66" t="str">
        <f aca="false">IF(购销流水!$D225="","",IFERROR(INDEX(记账规则!$A$6:$N$9,MATCH(购销流水!$D225,记账规则!$A$6:$A$9,0),3),""))</f>
        <v/>
      </c>
      <c r="M882" s="66" t="str">
        <f aca="false">IF($L882="","",IFERROR(INDEX(记账规则!$A$6:$N$9,MATCH(购销流水!$D225,记账规则!$A$6:$A$9,0),4),""))</f>
        <v/>
      </c>
      <c r="N882" s="66" t="str">
        <f aca="false">IF($L882="","",IFERROR(INDEX(记账规则!$A$6:$N$9,MATCH(购销流水!$D225,记账规则!$A$6:$A$9,0),5),""))</f>
        <v/>
      </c>
      <c r="O882" s="67" t="n">
        <f aca="false">IF($H882="",0,ROUND(IF($N882="成本金额",N(购销流水!$W225),IF($N882="金额",N(购销流水!$Q225),0)),2))</f>
        <v>0</v>
      </c>
      <c r="P882" s="64" t="str">
        <f aca="false">IF(AND($H882&lt;&gt;"",ROUND($O882,2)&lt;&gt;0),"有","")</f>
        <v/>
      </c>
    </row>
    <row r="883" customFormat="false" ht="15" hidden="true" customHeight="false" outlineLevel="0" collapsed="false">
      <c r="A883" s="53" t="str">
        <f aca="false">IF($H883="","",ROW()-5)</f>
        <v/>
      </c>
      <c r="B883" s="64" t="s">
        <v>36</v>
      </c>
      <c r="C883" s="53" t="n">
        <v>225</v>
      </c>
      <c r="D883" s="53" t="n">
        <v>2</v>
      </c>
      <c r="E883" s="65" t="str">
        <f aca="false">IF($H883="","",购销流水!$B225)</f>
        <v/>
      </c>
      <c r="F883" s="55" t="str">
        <f aca="false">IF($H883="","",购销流水!$C225)</f>
        <v/>
      </c>
      <c r="G883" s="48" t="str">
        <f aca="false">IF($H883="","",购销流水!$N225)</f>
        <v/>
      </c>
      <c r="H883" s="10" t="str">
        <f aca="false">IF($L883="","",IF($L883="@成本",购销流水!$U225,IF($L883="@收入",购销流水!$T225,IF($L883="@存货",购销流水!$S225,IF($L883="@结算",购销流水!$R225,$L883)))))</f>
        <v/>
      </c>
      <c r="I883" s="42" t="n">
        <f aca="false">IF($M883="借",$O883,0)</f>
        <v>0</v>
      </c>
      <c r="J883" s="42" t="n">
        <f aca="false">IF($M883="贷",$O883,0)</f>
        <v>0</v>
      </c>
      <c r="K883" s="48" t="str">
        <f aca="false">IF($H883="","",购销流水!$E225)</f>
        <v/>
      </c>
      <c r="L883" s="66" t="str">
        <f aca="false">IF(购销流水!$D225="","",IFERROR(INDEX(记账规则!$A$6:$N$9,MATCH(购销流水!$D225,记账规则!$A$6:$A$9,0),6),""))</f>
        <v/>
      </c>
      <c r="M883" s="66" t="str">
        <f aca="false">IF($L883="","",IFERROR(INDEX(记账规则!$A$6:$N$9,MATCH(购销流水!$D225,记账规则!$A$6:$A$9,0),7),""))</f>
        <v/>
      </c>
      <c r="N883" s="66" t="str">
        <f aca="false">IF($L883="","",IFERROR(INDEX(记账规则!$A$6:$N$9,MATCH(购销流水!$D225,记账规则!$A$6:$A$9,0),8),""))</f>
        <v/>
      </c>
      <c r="O883" s="67" t="n">
        <f aca="false">IF($H883="",0,ROUND(IF($N883="成本金额",N(购销流水!$W225),IF($N883="金额",N(购销流水!$Q225),0)),2))</f>
        <v>0</v>
      </c>
      <c r="P883" s="64" t="str">
        <f aca="false">IF(AND($H883&lt;&gt;"",ROUND($O883,2)&lt;&gt;0),"有","")</f>
        <v/>
      </c>
    </row>
    <row r="884" customFormat="false" ht="15" hidden="true" customHeight="false" outlineLevel="0" collapsed="false">
      <c r="A884" s="53" t="str">
        <f aca="false">IF($H884="","",ROW()-5)</f>
        <v/>
      </c>
      <c r="B884" s="64" t="s">
        <v>36</v>
      </c>
      <c r="C884" s="53" t="n">
        <v>225</v>
      </c>
      <c r="D884" s="53" t="n">
        <v>3</v>
      </c>
      <c r="E884" s="65" t="str">
        <f aca="false">IF($H884="","",购销流水!$B225)</f>
        <v/>
      </c>
      <c r="F884" s="55" t="str">
        <f aca="false">IF($H884="","",购销流水!$C225)</f>
        <v/>
      </c>
      <c r="G884" s="48" t="str">
        <f aca="false">IF($H884="","",购销流水!$N225)</f>
        <v/>
      </c>
      <c r="H884" s="10" t="str">
        <f aca="false">IF($L884="","",IF($L884="@成本",购销流水!$U225,IF($L884="@收入",购销流水!$T225,IF($L884="@存货",购销流水!$S225,IF($L884="@结算",购销流水!$R225,$L884)))))</f>
        <v/>
      </c>
      <c r="I884" s="42" t="n">
        <f aca="false">IF($M884="借",$O884,0)</f>
        <v>0</v>
      </c>
      <c r="J884" s="42" t="n">
        <f aca="false">IF($M884="贷",$O884,0)</f>
        <v>0</v>
      </c>
      <c r="K884" s="48" t="str">
        <f aca="false">IF($H884="","",购销流水!$E225)</f>
        <v/>
      </c>
      <c r="L884" s="66" t="str">
        <f aca="false">IF(购销流水!$D225="","",IFERROR(INDEX(记账规则!$A$6:$N$9,MATCH(购销流水!$D225,记账规则!$A$6:$A$9,0),9),""))</f>
        <v/>
      </c>
      <c r="M884" s="66" t="str">
        <f aca="false">IF($L884="","",IFERROR(INDEX(记账规则!$A$6:$N$9,MATCH(购销流水!$D225,记账规则!$A$6:$A$9,0),10),""))</f>
        <v/>
      </c>
      <c r="N884" s="66" t="str">
        <f aca="false">IF($L884="","",IFERROR(INDEX(记账规则!$A$6:$N$9,MATCH(购销流水!$D225,记账规则!$A$6:$A$9,0),11),""))</f>
        <v/>
      </c>
      <c r="O884" s="67" t="n">
        <f aca="false">IF($H884="",0,ROUND(IF($N884="成本金额",N(购销流水!$W225),IF($N884="金额",N(购销流水!$Q225),0)),2))</f>
        <v>0</v>
      </c>
      <c r="P884" s="64" t="str">
        <f aca="false">IF(AND($H884&lt;&gt;"",ROUND($O884,2)&lt;&gt;0),"有","")</f>
        <v/>
      </c>
    </row>
    <row r="885" customFormat="false" ht="15" hidden="true" customHeight="false" outlineLevel="0" collapsed="false">
      <c r="A885" s="53" t="str">
        <f aca="false">IF($H885="","",ROW()-5)</f>
        <v/>
      </c>
      <c r="B885" s="64" t="s">
        <v>36</v>
      </c>
      <c r="C885" s="53" t="n">
        <v>225</v>
      </c>
      <c r="D885" s="53" t="n">
        <v>4</v>
      </c>
      <c r="E885" s="65" t="str">
        <f aca="false">IF($H885="","",购销流水!$B225)</f>
        <v/>
      </c>
      <c r="F885" s="55" t="str">
        <f aca="false">IF($H885="","",购销流水!$C225)</f>
        <v/>
      </c>
      <c r="G885" s="48" t="str">
        <f aca="false">IF($H885="","",购销流水!$N225)</f>
        <v/>
      </c>
      <c r="H885" s="10" t="str">
        <f aca="false">IF($L885="","",IF($L885="@成本",购销流水!$U225,IF($L885="@收入",购销流水!$T225,IF($L885="@存货",购销流水!$S225,IF($L885="@结算",购销流水!$R225,$L885)))))</f>
        <v/>
      </c>
      <c r="I885" s="42" t="n">
        <f aca="false">IF($M885="借",$O885,0)</f>
        <v>0</v>
      </c>
      <c r="J885" s="42" t="n">
        <f aca="false">IF($M885="贷",$O885,0)</f>
        <v>0</v>
      </c>
      <c r="K885" s="48" t="str">
        <f aca="false">IF($H885="","",购销流水!$E225)</f>
        <v/>
      </c>
      <c r="L885" s="66" t="str">
        <f aca="false">IF(购销流水!$D225="","",IFERROR(INDEX(记账规则!$A$6:$N$9,MATCH(购销流水!$D225,记账规则!$A$6:$A$9,0),12),""))</f>
        <v/>
      </c>
      <c r="M885" s="66" t="str">
        <f aca="false">IF($L885="","",IFERROR(INDEX(记账规则!$A$6:$N$9,MATCH(购销流水!$D225,记账规则!$A$6:$A$9,0),13),""))</f>
        <v/>
      </c>
      <c r="N885" s="66" t="str">
        <f aca="false">IF($L885="","",IFERROR(INDEX(记账规则!$A$6:$N$9,MATCH(购销流水!$D225,记账规则!$A$6:$A$9,0),14),""))</f>
        <v/>
      </c>
      <c r="O885" s="67" t="n">
        <f aca="false">IF($H885="",0,ROUND(IF($N885="成本金额",N(购销流水!$W225),IF($N885="金额",N(购销流水!$Q225),0)),2))</f>
        <v>0</v>
      </c>
      <c r="P885" s="64" t="str">
        <f aca="false">IF(AND($H885&lt;&gt;"",ROUND($O885,2)&lt;&gt;0),"有","")</f>
        <v/>
      </c>
    </row>
    <row r="886" customFormat="false" ht="15" hidden="true" customHeight="false" outlineLevel="0" collapsed="false">
      <c r="A886" s="53" t="str">
        <f aca="false">IF($H886="","",ROW()-5)</f>
        <v/>
      </c>
      <c r="B886" s="64" t="s">
        <v>36</v>
      </c>
      <c r="C886" s="53" t="n">
        <v>226</v>
      </c>
      <c r="D886" s="53" t="n">
        <v>1</v>
      </c>
      <c r="E886" s="65" t="str">
        <f aca="false">IF($H886="","",购销流水!$B226)</f>
        <v/>
      </c>
      <c r="F886" s="55" t="str">
        <f aca="false">IF($H886="","",购销流水!$C226)</f>
        <v/>
      </c>
      <c r="G886" s="48" t="str">
        <f aca="false">IF($H886="","",购销流水!$N226)</f>
        <v/>
      </c>
      <c r="H886" s="10" t="str">
        <f aca="false">IF($L886="","",IF($L886="@成本",购销流水!$U226,IF($L886="@收入",购销流水!$T226,IF($L886="@存货",购销流水!$S226,IF($L886="@结算",购销流水!$R226,$L886)))))</f>
        <v/>
      </c>
      <c r="I886" s="42" t="n">
        <f aca="false">IF($M886="借",$O886,0)</f>
        <v>0</v>
      </c>
      <c r="J886" s="42" t="n">
        <f aca="false">IF($M886="贷",$O886,0)</f>
        <v>0</v>
      </c>
      <c r="K886" s="48" t="str">
        <f aca="false">IF($H886="","",购销流水!$E226)</f>
        <v/>
      </c>
      <c r="L886" s="66" t="str">
        <f aca="false">IF(购销流水!$D226="","",IFERROR(INDEX(记账规则!$A$6:$N$9,MATCH(购销流水!$D226,记账规则!$A$6:$A$9,0),3),""))</f>
        <v/>
      </c>
      <c r="M886" s="66" t="str">
        <f aca="false">IF($L886="","",IFERROR(INDEX(记账规则!$A$6:$N$9,MATCH(购销流水!$D226,记账规则!$A$6:$A$9,0),4),""))</f>
        <v/>
      </c>
      <c r="N886" s="66" t="str">
        <f aca="false">IF($L886="","",IFERROR(INDEX(记账规则!$A$6:$N$9,MATCH(购销流水!$D226,记账规则!$A$6:$A$9,0),5),""))</f>
        <v/>
      </c>
      <c r="O886" s="67" t="n">
        <f aca="false">IF($H886="",0,ROUND(IF($N886="成本金额",N(购销流水!$W226),IF($N886="金额",N(购销流水!$Q226),0)),2))</f>
        <v>0</v>
      </c>
      <c r="P886" s="64" t="str">
        <f aca="false">IF(AND($H886&lt;&gt;"",ROUND($O886,2)&lt;&gt;0),"有","")</f>
        <v/>
      </c>
    </row>
    <row r="887" customFormat="false" ht="15" hidden="true" customHeight="false" outlineLevel="0" collapsed="false">
      <c r="A887" s="53" t="str">
        <f aca="false">IF($H887="","",ROW()-5)</f>
        <v/>
      </c>
      <c r="B887" s="64" t="s">
        <v>36</v>
      </c>
      <c r="C887" s="53" t="n">
        <v>226</v>
      </c>
      <c r="D887" s="53" t="n">
        <v>2</v>
      </c>
      <c r="E887" s="65" t="str">
        <f aca="false">IF($H887="","",购销流水!$B226)</f>
        <v/>
      </c>
      <c r="F887" s="55" t="str">
        <f aca="false">IF($H887="","",购销流水!$C226)</f>
        <v/>
      </c>
      <c r="G887" s="48" t="str">
        <f aca="false">IF($H887="","",购销流水!$N226)</f>
        <v/>
      </c>
      <c r="H887" s="10" t="str">
        <f aca="false">IF($L887="","",IF($L887="@成本",购销流水!$U226,IF($L887="@收入",购销流水!$T226,IF($L887="@存货",购销流水!$S226,IF($L887="@结算",购销流水!$R226,$L887)))))</f>
        <v/>
      </c>
      <c r="I887" s="42" t="n">
        <f aca="false">IF($M887="借",$O887,0)</f>
        <v>0</v>
      </c>
      <c r="J887" s="42" t="n">
        <f aca="false">IF($M887="贷",$O887,0)</f>
        <v>0</v>
      </c>
      <c r="K887" s="48" t="str">
        <f aca="false">IF($H887="","",购销流水!$E226)</f>
        <v/>
      </c>
      <c r="L887" s="66" t="str">
        <f aca="false">IF(购销流水!$D226="","",IFERROR(INDEX(记账规则!$A$6:$N$9,MATCH(购销流水!$D226,记账规则!$A$6:$A$9,0),6),""))</f>
        <v/>
      </c>
      <c r="M887" s="66" t="str">
        <f aca="false">IF($L887="","",IFERROR(INDEX(记账规则!$A$6:$N$9,MATCH(购销流水!$D226,记账规则!$A$6:$A$9,0),7),""))</f>
        <v/>
      </c>
      <c r="N887" s="66" t="str">
        <f aca="false">IF($L887="","",IFERROR(INDEX(记账规则!$A$6:$N$9,MATCH(购销流水!$D226,记账规则!$A$6:$A$9,0),8),""))</f>
        <v/>
      </c>
      <c r="O887" s="67" t="n">
        <f aca="false">IF($H887="",0,ROUND(IF($N887="成本金额",N(购销流水!$W226),IF($N887="金额",N(购销流水!$Q226),0)),2))</f>
        <v>0</v>
      </c>
      <c r="P887" s="64" t="str">
        <f aca="false">IF(AND($H887&lt;&gt;"",ROUND($O887,2)&lt;&gt;0),"有","")</f>
        <v/>
      </c>
    </row>
    <row r="888" customFormat="false" ht="15" hidden="true" customHeight="false" outlineLevel="0" collapsed="false">
      <c r="A888" s="53" t="str">
        <f aca="false">IF($H888="","",ROW()-5)</f>
        <v/>
      </c>
      <c r="B888" s="64" t="s">
        <v>36</v>
      </c>
      <c r="C888" s="53" t="n">
        <v>226</v>
      </c>
      <c r="D888" s="53" t="n">
        <v>3</v>
      </c>
      <c r="E888" s="65" t="str">
        <f aca="false">IF($H888="","",购销流水!$B226)</f>
        <v/>
      </c>
      <c r="F888" s="55" t="str">
        <f aca="false">IF($H888="","",购销流水!$C226)</f>
        <v/>
      </c>
      <c r="G888" s="48" t="str">
        <f aca="false">IF($H888="","",购销流水!$N226)</f>
        <v/>
      </c>
      <c r="H888" s="10" t="str">
        <f aca="false">IF($L888="","",IF($L888="@成本",购销流水!$U226,IF($L888="@收入",购销流水!$T226,IF($L888="@存货",购销流水!$S226,IF($L888="@结算",购销流水!$R226,$L888)))))</f>
        <v/>
      </c>
      <c r="I888" s="42" t="n">
        <f aca="false">IF($M888="借",$O888,0)</f>
        <v>0</v>
      </c>
      <c r="J888" s="42" t="n">
        <f aca="false">IF($M888="贷",$O888,0)</f>
        <v>0</v>
      </c>
      <c r="K888" s="48" t="str">
        <f aca="false">IF($H888="","",购销流水!$E226)</f>
        <v/>
      </c>
      <c r="L888" s="66" t="str">
        <f aca="false">IF(购销流水!$D226="","",IFERROR(INDEX(记账规则!$A$6:$N$9,MATCH(购销流水!$D226,记账规则!$A$6:$A$9,0),9),""))</f>
        <v/>
      </c>
      <c r="M888" s="66" t="str">
        <f aca="false">IF($L888="","",IFERROR(INDEX(记账规则!$A$6:$N$9,MATCH(购销流水!$D226,记账规则!$A$6:$A$9,0),10),""))</f>
        <v/>
      </c>
      <c r="N888" s="66" t="str">
        <f aca="false">IF($L888="","",IFERROR(INDEX(记账规则!$A$6:$N$9,MATCH(购销流水!$D226,记账规则!$A$6:$A$9,0),11),""))</f>
        <v/>
      </c>
      <c r="O888" s="67" t="n">
        <f aca="false">IF($H888="",0,ROUND(IF($N888="成本金额",N(购销流水!$W226),IF($N888="金额",N(购销流水!$Q226),0)),2))</f>
        <v>0</v>
      </c>
      <c r="P888" s="64" t="str">
        <f aca="false">IF(AND($H888&lt;&gt;"",ROUND($O888,2)&lt;&gt;0),"有","")</f>
        <v/>
      </c>
    </row>
    <row r="889" customFormat="false" ht="15" hidden="true" customHeight="false" outlineLevel="0" collapsed="false">
      <c r="A889" s="53" t="str">
        <f aca="false">IF($H889="","",ROW()-5)</f>
        <v/>
      </c>
      <c r="B889" s="64" t="s">
        <v>36</v>
      </c>
      <c r="C889" s="53" t="n">
        <v>226</v>
      </c>
      <c r="D889" s="53" t="n">
        <v>4</v>
      </c>
      <c r="E889" s="65" t="str">
        <f aca="false">IF($H889="","",购销流水!$B226)</f>
        <v/>
      </c>
      <c r="F889" s="55" t="str">
        <f aca="false">IF($H889="","",购销流水!$C226)</f>
        <v/>
      </c>
      <c r="G889" s="48" t="str">
        <f aca="false">IF($H889="","",购销流水!$N226)</f>
        <v/>
      </c>
      <c r="H889" s="10" t="str">
        <f aca="false">IF($L889="","",IF($L889="@成本",购销流水!$U226,IF($L889="@收入",购销流水!$T226,IF($L889="@存货",购销流水!$S226,IF($L889="@结算",购销流水!$R226,$L889)))))</f>
        <v/>
      </c>
      <c r="I889" s="42" t="n">
        <f aca="false">IF($M889="借",$O889,0)</f>
        <v>0</v>
      </c>
      <c r="J889" s="42" t="n">
        <f aca="false">IF($M889="贷",$O889,0)</f>
        <v>0</v>
      </c>
      <c r="K889" s="48" t="str">
        <f aca="false">IF($H889="","",购销流水!$E226)</f>
        <v/>
      </c>
      <c r="L889" s="66" t="str">
        <f aca="false">IF(购销流水!$D226="","",IFERROR(INDEX(记账规则!$A$6:$N$9,MATCH(购销流水!$D226,记账规则!$A$6:$A$9,0),12),""))</f>
        <v/>
      </c>
      <c r="M889" s="66" t="str">
        <f aca="false">IF($L889="","",IFERROR(INDEX(记账规则!$A$6:$N$9,MATCH(购销流水!$D226,记账规则!$A$6:$A$9,0),13),""))</f>
        <v/>
      </c>
      <c r="N889" s="66" t="str">
        <f aca="false">IF($L889="","",IFERROR(INDEX(记账规则!$A$6:$N$9,MATCH(购销流水!$D226,记账规则!$A$6:$A$9,0),14),""))</f>
        <v/>
      </c>
      <c r="O889" s="67" t="n">
        <f aca="false">IF($H889="",0,ROUND(IF($N889="成本金额",N(购销流水!$W226),IF($N889="金额",N(购销流水!$Q226),0)),2))</f>
        <v>0</v>
      </c>
      <c r="P889" s="64" t="str">
        <f aca="false">IF(AND($H889&lt;&gt;"",ROUND($O889,2)&lt;&gt;0),"有","")</f>
        <v/>
      </c>
    </row>
    <row r="890" customFormat="false" ht="15" hidden="true" customHeight="false" outlineLevel="0" collapsed="false">
      <c r="A890" s="53" t="str">
        <f aca="false">IF($H890="","",ROW()-5)</f>
        <v/>
      </c>
      <c r="B890" s="64" t="s">
        <v>36</v>
      </c>
      <c r="C890" s="53" t="n">
        <v>227</v>
      </c>
      <c r="D890" s="53" t="n">
        <v>1</v>
      </c>
      <c r="E890" s="65" t="str">
        <f aca="false">IF($H890="","",购销流水!$B227)</f>
        <v/>
      </c>
      <c r="F890" s="55" t="str">
        <f aca="false">IF($H890="","",购销流水!$C227)</f>
        <v/>
      </c>
      <c r="G890" s="48" t="str">
        <f aca="false">IF($H890="","",购销流水!$N227)</f>
        <v/>
      </c>
      <c r="H890" s="10" t="str">
        <f aca="false">IF($L890="","",IF($L890="@成本",购销流水!$U227,IF($L890="@收入",购销流水!$T227,IF($L890="@存货",购销流水!$S227,IF($L890="@结算",购销流水!$R227,$L890)))))</f>
        <v/>
      </c>
      <c r="I890" s="42" t="n">
        <f aca="false">IF($M890="借",$O890,0)</f>
        <v>0</v>
      </c>
      <c r="J890" s="42" t="n">
        <f aca="false">IF($M890="贷",$O890,0)</f>
        <v>0</v>
      </c>
      <c r="K890" s="48" t="str">
        <f aca="false">IF($H890="","",购销流水!$E227)</f>
        <v/>
      </c>
      <c r="L890" s="66" t="str">
        <f aca="false">IF(购销流水!$D227="","",IFERROR(INDEX(记账规则!$A$6:$N$9,MATCH(购销流水!$D227,记账规则!$A$6:$A$9,0),3),""))</f>
        <v/>
      </c>
      <c r="M890" s="66" t="str">
        <f aca="false">IF($L890="","",IFERROR(INDEX(记账规则!$A$6:$N$9,MATCH(购销流水!$D227,记账规则!$A$6:$A$9,0),4),""))</f>
        <v/>
      </c>
      <c r="N890" s="66" t="str">
        <f aca="false">IF($L890="","",IFERROR(INDEX(记账规则!$A$6:$N$9,MATCH(购销流水!$D227,记账规则!$A$6:$A$9,0),5),""))</f>
        <v/>
      </c>
      <c r="O890" s="67" t="n">
        <f aca="false">IF($H890="",0,ROUND(IF($N890="成本金额",N(购销流水!$W227),IF($N890="金额",N(购销流水!$Q227),0)),2))</f>
        <v>0</v>
      </c>
      <c r="P890" s="64" t="str">
        <f aca="false">IF(AND($H890&lt;&gt;"",ROUND($O890,2)&lt;&gt;0),"有","")</f>
        <v/>
      </c>
    </row>
    <row r="891" customFormat="false" ht="15" hidden="true" customHeight="false" outlineLevel="0" collapsed="false">
      <c r="A891" s="53" t="str">
        <f aca="false">IF($H891="","",ROW()-5)</f>
        <v/>
      </c>
      <c r="B891" s="64" t="s">
        <v>36</v>
      </c>
      <c r="C891" s="53" t="n">
        <v>227</v>
      </c>
      <c r="D891" s="53" t="n">
        <v>2</v>
      </c>
      <c r="E891" s="65" t="str">
        <f aca="false">IF($H891="","",购销流水!$B227)</f>
        <v/>
      </c>
      <c r="F891" s="55" t="str">
        <f aca="false">IF($H891="","",购销流水!$C227)</f>
        <v/>
      </c>
      <c r="G891" s="48" t="str">
        <f aca="false">IF($H891="","",购销流水!$N227)</f>
        <v/>
      </c>
      <c r="H891" s="10" t="str">
        <f aca="false">IF($L891="","",IF($L891="@成本",购销流水!$U227,IF($L891="@收入",购销流水!$T227,IF($L891="@存货",购销流水!$S227,IF($L891="@结算",购销流水!$R227,$L891)))))</f>
        <v/>
      </c>
      <c r="I891" s="42" t="n">
        <f aca="false">IF($M891="借",$O891,0)</f>
        <v>0</v>
      </c>
      <c r="J891" s="42" t="n">
        <f aca="false">IF($M891="贷",$O891,0)</f>
        <v>0</v>
      </c>
      <c r="K891" s="48" t="str">
        <f aca="false">IF($H891="","",购销流水!$E227)</f>
        <v/>
      </c>
      <c r="L891" s="66" t="str">
        <f aca="false">IF(购销流水!$D227="","",IFERROR(INDEX(记账规则!$A$6:$N$9,MATCH(购销流水!$D227,记账规则!$A$6:$A$9,0),6),""))</f>
        <v/>
      </c>
      <c r="M891" s="66" t="str">
        <f aca="false">IF($L891="","",IFERROR(INDEX(记账规则!$A$6:$N$9,MATCH(购销流水!$D227,记账规则!$A$6:$A$9,0),7),""))</f>
        <v/>
      </c>
      <c r="N891" s="66" t="str">
        <f aca="false">IF($L891="","",IFERROR(INDEX(记账规则!$A$6:$N$9,MATCH(购销流水!$D227,记账规则!$A$6:$A$9,0),8),""))</f>
        <v/>
      </c>
      <c r="O891" s="67" t="n">
        <f aca="false">IF($H891="",0,ROUND(IF($N891="成本金额",N(购销流水!$W227),IF($N891="金额",N(购销流水!$Q227),0)),2))</f>
        <v>0</v>
      </c>
      <c r="P891" s="64" t="str">
        <f aca="false">IF(AND($H891&lt;&gt;"",ROUND($O891,2)&lt;&gt;0),"有","")</f>
        <v/>
      </c>
    </row>
    <row r="892" customFormat="false" ht="15" hidden="true" customHeight="false" outlineLevel="0" collapsed="false">
      <c r="A892" s="53" t="str">
        <f aca="false">IF($H892="","",ROW()-5)</f>
        <v/>
      </c>
      <c r="B892" s="64" t="s">
        <v>36</v>
      </c>
      <c r="C892" s="53" t="n">
        <v>227</v>
      </c>
      <c r="D892" s="53" t="n">
        <v>3</v>
      </c>
      <c r="E892" s="65" t="str">
        <f aca="false">IF($H892="","",购销流水!$B227)</f>
        <v/>
      </c>
      <c r="F892" s="55" t="str">
        <f aca="false">IF($H892="","",购销流水!$C227)</f>
        <v/>
      </c>
      <c r="G892" s="48" t="str">
        <f aca="false">IF($H892="","",购销流水!$N227)</f>
        <v/>
      </c>
      <c r="H892" s="10" t="str">
        <f aca="false">IF($L892="","",IF($L892="@成本",购销流水!$U227,IF($L892="@收入",购销流水!$T227,IF($L892="@存货",购销流水!$S227,IF($L892="@结算",购销流水!$R227,$L892)))))</f>
        <v/>
      </c>
      <c r="I892" s="42" t="n">
        <f aca="false">IF($M892="借",$O892,0)</f>
        <v>0</v>
      </c>
      <c r="J892" s="42" t="n">
        <f aca="false">IF($M892="贷",$O892,0)</f>
        <v>0</v>
      </c>
      <c r="K892" s="48" t="str">
        <f aca="false">IF($H892="","",购销流水!$E227)</f>
        <v/>
      </c>
      <c r="L892" s="66" t="str">
        <f aca="false">IF(购销流水!$D227="","",IFERROR(INDEX(记账规则!$A$6:$N$9,MATCH(购销流水!$D227,记账规则!$A$6:$A$9,0),9),""))</f>
        <v/>
      </c>
      <c r="M892" s="66" t="str">
        <f aca="false">IF($L892="","",IFERROR(INDEX(记账规则!$A$6:$N$9,MATCH(购销流水!$D227,记账规则!$A$6:$A$9,0),10),""))</f>
        <v/>
      </c>
      <c r="N892" s="66" t="str">
        <f aca="false">IF($L892="","",IFERROR(INDEX(记账规则!$A$6:$N$9,MATCH(购销流水!$D227,记账规则!$A$6:$A$9,0),11),""))</f>
        <v/>
      </c>
      <c r="O892" s="67" t="n">
        <f aca="false">IF($H892="",0,ROUND(IF($N892="成本金额",N(购销流水!$W227),IF($N892="金额",N(购销流水!$Q227),0)),2))</f>
        <v>0</v>
      </c>
      <c r="P892" s="64" t="str">
        <f aca="false">IF(AND($H892&lt;&gt;"",ROUND($O892,2)&lt;&gt;0),"有","")</f>
        <v/>
      </c>
    </row>
    <row r="893" customFormat="false" ht="15" hidden="true" customHeight="false" outlineLevel="0" collapsed="false">
      <c r="A893" s="53" t="str">
        <f aca="false">IF($H893="","",ROW()-5)</f>
        <v/>
      </c>
      <c r="B893" s="64" t="s">
        <v>36</v>
      </c>
      <c r="C893" s="53" t="n">
        <v>227</v>
      </c>
      <c r="D893" s="53" t="n">
        <v>4</v>
      </c>
      <c r="E893" s="65" t="str">
        <f aca="false">IF($H893="","",购销流水!$B227)</f>
        <v/>
      </c>
      <c r="F893" s="55" t="str">
        <f aca="false">IF($H893="","",购销流水!$C227)</f>
        <v/>
      </c>
      <c r="G893" s="48" t="str">
        <f aca="false">IF($H893="","",购销流水!$N227)</f>
        <v/>
      </c>
      <c r="H893" s="10" t="str">
        <f aca="false">IF($L893="","",IF($L893="@成本",购销流水!$U227,IF($L893="@收入",购销流水!$T227,IF($L893="@存货",购销流水!$S227,IF($L893="@结算",购销流水!$R227,$L893)))))</f>
        <v/>
      </c>
      <c r="I893" s="42" t="n">
        <f aca="false">IF($M893="借",$O893,0)</f>
        <v>0</v>
      </c>
      <c r="J893" s="42" t="n">
        <f aca="false">IF($M893="贷",$O893,0)</f>
        <v>0</v>
      </c>
      <c r="K893" s="48" t="str">
        <f aca="false">IF($H893="","",购销流水!$E227)</f>
        <v/>
      </c>
      <c r="L893" s="66" t="str">
        <f aca="false">IF(购销流水!$D227="","",IFERROR(INDEX(记账规则!$A$6:$N$9,MATCH(购销流水!$D227,记账规则!$A$6:$A$9,0),12),""))</f>
        <v/>
      </c>
      <c r="M893" s="66" t="str">
        <f aca="false">IF($L893="","",IFERROR(INDEX(记账规则!$A$6:$N$9,MATCH(购销流水!$D227,记账规则!$A$6:$A$9,0),13),""))</f>
        <v/>
      </c>
      <c r="N893" s="66" t="str">
        <f aca="false">IF($L893="","",IFERROR(INDEX(记账规则!$A$6:$N$9,MATCH(购销流水!$D227,记账规则!$A$6:$A$9,0),14),""))</f>
        <v/>
      </c>
      <c r="O893" s="67" t="n">
        <f aca="false">IF($H893="",0,ROUND(IF($N893="成本金额",N(购销流水!$W227),IF($N893="金额",N(购销流水!$Q227),0)),2))</f>
        <v>0</v>
      </c>
      <c r="P893" s="64" t="str">
        <f aca="false">IF(AND($H893&lt;&gt;"",ROUND($O893,2)&lt;&gt;0),"有","")</f>
        <v/>
      </c>
    </row>
    <row r="894" customFormat="false" ht="15" hidden="true" customHeight="false" outlineLevel="0" collapsed="false">
      <c r="A894" s="53" t="str">
        <f aca="false">IF($H894="","",ROW()-5)</f>
        <v/>
      </c>
      <c r="B894" s="64" t="s">
        <v>36</v>
      </c>
      <c r="C894" s="53" t="n">
        <v>228</v>
      </c>
      <c r="D894" s="53" t="n">
        <v>1</v>
      </c>
      <c r="E894" s="65" t="str">
        <f aca="false">IF($H894="","",购销流水!$B228)</f>
        <v/>
      </c>
      <c r="F894" s="55" t="str">
        <f aca="false">IF($H894="","",购销流水!$C228)</f>
        <v/>
      </c>
      <c r="G894" s="48" t="str">
        <f aca="false">IF($H894="","",购销流水!$N228)</f>
        <v/>
      </c>
      <c r="H894" s="10" t="str">
        <f aca="false">IF($L894="","",IF($L894="@成本",购销流水!$U228,IF($L894="@收入",购销流水!$T228,IF($L894="@存货",购销流水!$S228,IF($L894="@结算",购销流水!$R228,$L894)))))</f>
        <v/>
      </c>
      <c r="I894" s="42" t="n">
        <f aca="false">IF($M894="借",$O894,0)</f>
        <v>0</v>
      </c>
      <c r="J894" s="42" t="n">
        <f aca="false">IF($M894="贷",$O894,0)</f>
        <v>0</v>
      </c>
      <c r="K894" s="48" t="str">
        <f aca="false">IF($H894="","",购销流水!$E228)</f>
        <v/>
      </c>
      <c r="L894" s="66" t="str">
        <f aca="false">IF(购销流水!$D228="","",IFERROR(INDEX(记账规则!$A$6:$N$9,MATCH(购销流水!$D228,记账规则!$A$6:$A$9,0),3),""))</f>
        <v/>
      </c>
      <c r="M894" s="66" t="str">
        <f aca="false">IF($L894="","",IFERROR(INDEX(记账规则!$A$6:$N$9,MATCH(购销流水!$D228,记账规则!$A$6:$A$9,0),4),""))</f>
        <v/>
      </c>
      <c r="N894" s="66" t="str">
        <f aca="false">IF($L894="","",IFERROR(INDEX(记账规则!$A$6:$N$9,MATCH(购销流水!$D228,记账规则!$A$6:$A$9,0),5),""))</f>
        <v/>
      </c>
      <c r="O894" s="67" t="n">
        <f aca="false">IF($H894="",0,ROUND(IF($N894="成本金额",N(购销流水!$W228),IF($N894="金额",N(购销流水!$Q228),0)),2))</f>
        <v>0</v>
      </c>
      <c r="P894" s="64" t="str">
        <f aca="false">IF(AND($H894&lt;&gt;"",ROUND($O894,2)&lt;&gt;0),"有","")</f>
        <v/>
      </c>
    </row>
    <row r="895" customFormat="false" ht="15" hidden="true" customHeight="false" outlineLevel="0" collapsed="false">
      <c r="A895" s="53" t="str">
        <f aca="false">IF($H895="","",ROW()-5)</f>
        <v/>
      </c>
      <c r="B895" s="64" t="s">
        <v>36</v>
      </c>
      <c r="C895" s="53" t="n">
        <v>228</v>
      </c>
      <c r="D895" s="53" t="n">
        <v>2</v>
      </c>
      <c r="E895" s="65" t="str">
        <f aca="false">IF($H895="","",购销流水!$B228)</f>
        <v/>
      </c>
      <c r="F895" s="55" t="str">
        <f aca="false">IF($H895="","",购销流水!$C228)</f>
        <v/>
      </c>
      <c r="G895" s="48" t="str">
        <f aca="false">IF($H895="","",购销流水!$N228)</f>
        <v/>
      </c>
      <c r="H895" s="10" t="str">
        <f aca="false">IF($L895="","",IF($L895="@成本",购销流水!$U228,IF($L895="@收入",购销流水!$T228,IF($L895="@存货",购销流水!$S228,IF($L895="@结算",购销流水!$R228,$L895)))))</f>
        <v/>
      </c>
      <c r="I895" s="42" t="n">
        <f aca="false">IF($M895="借",$O895,0)</f>
        <v>0</v>
      </c>
      <c r="J895" s="42" t="n">
        <f aca="false">IF($M895="贷",$O895,0)</f>
        <v>0</v>
      </c>
      <c r="K895" s="48" t="str">
        <f aca="false">IF($H895="","",购销流水!$E228)</f>
        <v/>
      </c>
      <c r="L895" s="66" t="str">
        <f aca="false">IF(购销流水!$D228="","",IFERROR(INDEX(记账规则!$A$6:$N$9,MATCH(购销流水!$D228,记账规则!$A$6:$A$9,0),6),""))</f>
        <v/>
      </c>
      <c r="M895" s="66" t="str">
        <f aca="false">IF($L895="","",IFERROR(INDEX(记账规则!$A$6:$N$9,MATCH(购销流水!$D228,记账规则!$A$6:$A$9,0),7),""))</f>
        <v/>
      </c>
      <c r="N895" s="66" t="str">
        <f aca="false">IF($L895="","",IFERROR(INDEX(记账规则!$A$6:$N$9,MATCH(购销流水!$D228,记账规则!$A$6:$A$9,0),8),""))</f>
        <v/>
      </c>
      <c r="O895" s="67" t="n">
        <f aca="false">IF($H895="",0,ROUND(IF($N895="成本金额",N(购销流水!$W228),IF($N895="金额",N(购销流水!$Q228),0)),2))</f>
        <v>0</v>
      </c>
      <c r="P895" s="64" t="str">
        <f aca="false">IF(AND($H895&lt;&gt;"",ROUND($O895,2)&lt;&gt;0),"有","")</f>
        <v/>
      </c>
    </row>
    <row r="896" customFormat="false" ht="15" hidden="true" customHeight="false" outlineLevel="0" collapsed="false">
      <c r="A896" s="53" t="str">
        <f aca="false">IF($H896="","",ROW()-5)</f>
        <v/>
      </c>
      <c r="B896" s="64" t="s">
        <v>36</v>
      </c>
      <c r="C896" s="53" t="n">
        <v>228</v>
      </c>
      <c r="D896" s="53" t="n">
        <v>3</v>
      </c>
      <c r="E896" s="65" t="str">
        <f aca="false">IF($H896="","",购销流水!$B228)</f>
        <v/>
      </c>
      <c r="F896" s="55" t="str">
        <f aca="false">IF($H896="","",购销流水!$C228)</f>
        <v/>
      </c>
      <c r="G896" s="48" t="str">
        <f aca="false">IF($H896="","",购销流水!$N228)</f>
        <v/>
      </c>
      <c r="H896" s="10" t="str">
        <f aca="false">IF($L896="","",IF($L896="@成本",购销流水!$U228,IF($L896="@收入",购销流水!$T228,IF($L896="@存货",购销流水!$S228,IF($L896="@结算",购销流水!$R228,$L896)))))</f>
        <v/>
      </c>
      <c r="I896" s="42" t="n">
        <f aca="false">IF($M896="借",$O896,0)</f>
        <v>0</v>
      </c>
      <c r="J896" s="42" t="n">
        <f aca="false">IF($M896="贷",$O896,0)</f>
        <v>0</v>
      </c>
      <c r="K896" s="48" t="str">
        <f aca="false">IF($H896="","",购销流水!$E228)</f>
        <v/>
      </c>
      <c r="L896" s="66" t="str">
        <f aca="false">IF(购销流水!$D228="","",IFERROR(INDEX(记账规则!$A$6:$N$9,MATCH(购销流水!$D228,记账规则!$A$6:$A$9,0),9),""))</f>
        <v/>
      </c>
      <c r="M896" s="66" t="str">
        <f aca="false">IF($L896="","",IFERROR(INDEX(记账规则!$A$6:$N$9,MATCH(购销流水!$D228,记账规则!$A$6:$A$9,0),10),""))</f>
        <v/>
      </c>
      <c r="N896" s="66" t="str">
        <f aca="false">IF($L896="","",IFERROR(INDEX(记账规则!$A$6:$N$9,MATCH(购销流水!$D228,记账规则!$A$6:$A$9,0),11),""))</f>
        <v/>
      </c>
      <c r="O896" s="67" t="n">
        <f aca="false">IF($H896="",0,ROUND(IF($N896="成本金额",N(购销流水!$W228),IF($N896="金额",N(购销流水!$Q228),0)),2))</f>
        <v>0</v>
      </c>
      <c r="P896" s="64" t="str">
        <f aca="false">IF(AND($H896&lt;&gt;"",ROUND($O896,2)&lt;&gt;0),"有","")</f>
        <v/>
      </c>
    </row>
    <row r="897" customFormat="false" ht="15" hidden="true" customHeight="false" outlineLevel="0" collapsed="false">
      <c r="A897" s="53" t="str">
        <f aca="false">IF($H897="","",ROW()-5)</f>
        <v/>
      </c>
      <c r="B897" s="64" t="s">
        <v>36</v>
      </c>
      <c r="C897" s="53" t="n">
        <v>228</v>
      </c>
      <c r="D897" s="53" t="n">
        <v>4</v>
      </c>
      <c r="E897" s="65" t="str">
        <f aca="false">IF($H897="","",购销流水!$B228)</f>
        <v/>
      </c>
      <c r="F897" s="55" t="str">
        <f aca="false">IF($H897="","",购销流水!$C228)</f>
        <v/>
      </c>
      <c r="G897" s="48" t="str">
        <f aca="false">IF($H897="","",购销流水!$N228)</f>
        <v/>
      </c>
      <c r="H897" s="10" t="str">
        <f aca="false">IF($L897="","",IF($L897="@成本",购销流水!$U228,IF($L897="@收入",购销流水!$T228,IF($L897="@存货",购销流水!$S228,IF($L897="@结算",购销流水!$R228,$L897)))))</f>
        <v/>
      </c>
      <c r="I897" s="42" t="n">
        <f aca="false">IF($M897="借",$O897,0)</f>
        <v>0</v>
      </c>
      <c r="J897" s="42" t="n">
        <f aca="false">IF($M897="贷",$O897,0)</f>
        <v>0</v>
      </c>
      <c r="K897" s="48" t="str">
        <f aca="false">IF($H897="","",购销流水!$E228)</f>
        <v/>
      </c>
      <c r="L897" s="66" t="str">
        <f aca="false">IF(购销流水!$D228="","",IFERROR(INDEX(记账规则!$A$6:$N$9,MATCH(购销流水!$D228,记账规则!$A$6:$A$9,0),12),""))</f>
        <v/>
      </c>
      <c r="M897" s="66" t="str">
        <f aca="false">IF($L897="","",IFERROR(INDEX(记账规则!$A$6:$N$9,MATCH(购销流水!$D228,记账规则!$A$6:$A$9,0),13),""))</f>
        <v/>
      </c>
      <c r="N897" s="66" t="str">
        <f aca="false">IF($L897="","",IFERROR(INDEX(记账规则!$A$6:$N$9,MATCH(购销流水!$D228,记账规则!$A$6:$A$9,0),14),""))</f>
        <v/>
      </c>
      <c r="O897" s="67" t="n">
        <f aca="false">IF($H897="",0,ROUND(IF($N897="成本金额",N(购销流水!$W228),IF($N897="金额",N(购销流水!$Q228),0)),2))</f>
        <v>0</v>
      </c>
      <c r="P897" s="64" t="str">
        <f aca="false">IF(AND($H897&lt;&gt;"",ROUND($O897,2)&lt;&gt;0),"有","")</f>
        <v/>
      </c>
    </row>
    <row r="898" customFormat="false" ht="15" hidden="true" customHeight="false" outlineLevel="0" collapsed="false">
      <c r="A898" s="53" t="str">
        <f aca="false">IF($H898="","",ROW()-5)</f>
        <v/>
      </c>
      <c r="B898" s="64" t="s">
        <v>36</v>
      </c>
      <c r="C898" s="53" t="n">
        <v>229</v>
      </c>
      <c r="D898" s="53" t="n">
        <v>1</v>
      </c>
      <c r="E898" s="65" t="str">
        <f aca="false">IF($H898="","",购销流水!$B229)</f>
        <v/>
      </c>
      <c r="F898" s="55" t="str">
        <f aca="false">IF($H898="","",购销流水!$C229)</f>
        <v/>
      </c>
      <c r="G898" s="48" t="str">
        <f aca="false">IF($H898="","",购销流水!$N229)</f>
        <v/>
      </c>
      <c r="H898" s="10" t="str">
        <f aca="false">IF($L898="","",IF($L898="@成本",购销流水!$U229,IF($L898="@收入",购销流水!$T229,IF($L898="@存货",购销流水!$S229,IF($L898="@结算",购销流水!$R229,$L898)))))</f>
        <v/>
      </c>
      <c r="I898" s="42" t="n">
        <f aca="false">IF($M898="借",$O898,0)</f>
        <v>0</v>
      </c>
      <c r="J898" s="42" t="n">
        <f aca="false">IF($M898="贷",$O898,0)</f>
        <v>0</v>
      </c>
      <c r="K898" s="48" t="str">
        <f aca="false">IF($H898="","",购销流水!$E229)</f>
        <v/>
      </c>
      <c r="L898" s="66" t="str">
        <f aca="false">IF(购销流水!$D229="","",IFERROR(INDEX(记账规则!$A$6:$N$9,MATCH(购销流水!$D229,记账规则!$A$6:$A$9,0),3),""))</f>
        <v/>
      </c>
      <c r="M898" s="66" t="str">
        <f aca="false">IF($L898="","",IFERROR(INDEX(记账规则!$A$6:$N$9,MATCH(购销流水!$D229,记账规则!$A$6:$A$9,0),4),""))</f>
        <v/>
      </c>
      <c r="N898" s="66" t="str">
        <f aca="false">IF($L898="","",IFERROR(INDEX(记账规则!$A$6:$N$9,MATCH(购销流水!$D229,记账规则!$A$6:$A$9,0),5),""))</f>
        <v/>
      </c>
      <c r="O898" s="67" t="n">
        <f aca="false">IF($H898="",0,ROUND(IF($N898="成本金额",N(购销流水!$W229),IF($N898="金额",N(购销流水!$Q229),0)),2))</f>
        <v>0</v>
      </c>
      <c r="P898" s="64" t="str">
        <f aca="false">IF(AND($H898&lt;&gt;"",ROUND($O898,2)&lt;&gt;0),"有","")</f>
        <v/>
      </c>
    </row>
    <row r="899" customFormat="false" ht="15" hidden="true" customHeight="false" outlineLevel="0" collapsed="false">
      <c r="A899" s="53" t="str">
        <f aca="false">IF($H899="","",ROW()-5)</f>
        <v/>
      </c>
      <c r="B899" s="64" t="s">
        <v>36</v>
      </c>
      <c r="C899" s="53" t="n">
        <v>229</v>
      </c>
      <c r="D899" s="53" t="n">
        <v>2</v>
      </c>
      <c r="E899" s="65" t="str">
        <f aca="false">IF($H899="","",购销流水!$B229)</f>
        <v/>
      </c>
      <c r="F899" s="55" t="str">
        <f aca="false">IF($H899="","",购销流水!$C229)</f>
        <v/>
      </c>
      <c r="G899" s="48" t="str">
        <f aca="false">IF($H899="","",购销流水!$N229)</f>
        <v/>
      </c>
      <c r="H899" s="10" t="str">
        <f aca="false">IF($L899="","",IF($L899="@成本",购销流水!$U229,IF($L899="@收入",购销流水!$T229,IF($L899="@存货",购销流水!$S229,IF($L899="@结算",购销流水!$R229,$L899)))))</f>
        <v/>
      </c>
      <c r="I899" s="42" t="n">
        <f aca="false">IF($M899="借",$O899,0)</f>
        <v>0</v>
      </c>
      <c r="J899" s="42" t="n">
        <f aca="false">IF($M899="贷",$O899,0)</f>
        <v>0</v>
      </c>
      <c r="K899" s="48" t="str">
        <f aca="false">IF($H899="","",购销流水!$E229)</f>
        <v/>
      </c>
      <c r="L899" s="66" t="str">
        <f aca="false">IF(购销流水!$D229="","",IFERROR(INDEX(记账规则!$A$6:$N$9,MATCH(购销流水!$D229,记账规则!$A$6:$A$9,0),6),""))</f>
        <v/>
      </c>
      <c r="M899" s="66" t="str">
        <f aca="false">IF($L899="","",IFERROR(INDEX(记账规则!$A$6:$N$9,MATCH(购销流水!$D229,记账规则!$A$6:$A$9,0),7),""))</f>
        <v/>
      </c>
      <c r="N899" s="66" t="str">
        <f aca="false">IF($L899="","",IFERROR(INDEX(记账规则!$A$6:$N$9,MATCH(购销流水!$D229,记账规则!$A$6:$A$9,0),8),""))</f>
        <v/>
      </c>
      <c r="O899" s="67" t="n">
        <f aca="false">IF($H899="",0,ROUND(IF($N899="成本金额",N(购销流水!$W229),IF($N899="金额",N(购销流水!$Q229),0)),2))</f>
        <v>0</v>
      </c>
      <c r="P899" s="64" t="str">
        <f aca="false">IF(AND($H899&lt;&gt;"",ROUND($O899,2)&lt;&gt;0),"有","")</f>
        <v/>
      </c>
    </row>
    <row r="900" customFormat="false" ht="15" hidden="true" customHeight="false" outlineLevel="0" collapsed="false">
      <c r="A900" s="53" t="str">
        <f aca="false">IF($H900="","",ROW()-5)</f>
        <v/>
      </c>
      <c r="B900" s="64" t="s">
        <v>36</v>
      </c>
      <c r="C900" s="53" t="n">
        <v>229</v>
      </c>
      <c r="D900" s="53" t="n">
        <v>3</v>
      </c>
      <c r="E900" s="65" t="str">
        <f aca="false">IF($H900="","",购销流水!$B229)</f>
        <v/>
      </c>
      <c r="F900" s="55" t="str">
        <f aca="false">IF($H900="","",购销流水!$C229)</f>
        <v/>
      </c>
      <c r="G900" s="48" t="str">
        <f aca="false">IF($H900="","",购销流水!$N229)</f>
        <v/>
      </c>
      <c r="H900" s="10" t="str">
        <f aca="false">IF($L900="","",IF($L900="@成本",购销流水!$U229,IF($L900="@收入",购销流水!$T229,IF($L900="@存货",购销流水!$S229,IF($L900="@结算",购销流水!$R229,$L900)))))</f>
        <v/>
      </c>
      <c r="I900" s="42" t="n">
        <f aca="false">IF($M900="借",$O900,0)</f>
        <v>0</v>
      </c>
      <c r="J900" s="42" t="n">
        <f aca="false">IF($M900="贷",$O900,0)</f>
        <v>0</v>
      </c>
      <c r="K900" s="48" t="str">
        <f aca="false">IF($H900="","",购销流水!$E229)</f>
        <v/>
      </c>
      <c r="L900" s="66" t="str">
        <f aca="false">IF(购销流水!$D229="","",IFERROR(INDEX(记账规则!$A$6:$N$9,MATCH(购销流水!$D229,记账规则!$A$6:$A$9,0),9),""))</f>
        <v/>
      </c>
      <c r="M900" s="66" t="str">
        <f aca="false">IF($L900="","",IFERROR(INDEX(记账规则!$A$6:$N$9,MATCH(购销流水!$D229,记账规则!$A$6:$A$9,0),10),""))</f>
        <v/>
      </c>
      <c r="N900" s="66" t="str">
        <f aca="false">IF($L900="","",IFERROR(INDEX(记账规则!$A$6:$N$9,MATCH(购销流水!$D229,记账规则!$A$6:$A$9,0),11),""))</f>
        <v/>
      </c>
      <c r="O900" s="67" t="n">
        <f aca="false">IF($H900="",0,ROUND(IF($N900="成本金额",N(购销流水!$W229),IF($N900="金额",N(购销流水!$Q229),0)),2))</f>
        <v>0</v>
      </c>
      <c r="P900" s="64" t="str">
        <f aca="false">IF(AND($H900&lt;&gt;"",ROUND($O900,2)&lt;&gt;0),"有","")</f>
        <v/>
      </c>
    </row>
    <row r="901" customFormat="false" ht="15" hidden="true" customHeight="false" outlineLevel="0" collapsed="false">
      <c r="A901" s="53" t="str">
        <f aca="false">IF($H901="","",ROW()-5)</f>
        <v/>
      </c>
      <c r="B901" s="64" t="s">
        <v>36</v>
      </c>
      <c r="C901" s="53" t="n">
        <v>229</v>
      </c>
      <c r="D901" s="53" t="n">
        <v>4</v>
      </c>
      <c r="E901" s="65" t="str">
        <f aca="false">IF($H901="","",购销流水!$B229)</f>
        <v/>
      </c>
      <c r="F901" s="55" t="str">
        <f aca="false">IF($H901="","",购销流水!$C229)</f>
        <v/>
      </c>
      <c r="G901" s="48" t="str">
        <f aca="false">IF($H901="","",购销流水!$N229)</f>
        <v/>
      </c>
      <c r="H901" s="10" t="str">
        <f aca="false">IF($L901="","",IF($L901="@成本",购销流水!$U229,IF($L901="@收入",购销流水!$T229,IF($L901="@存货",购销流水!$S229,IF($L901="@结算",购销流水!$R229,$L901)))))</f>
        <v/>
      </c>
      <c r="I901" s="42" t="n">
        <f aca="false">IF($M901="借",$O901,0)</f>
        <v>0</v>
      </c>
      <c r="J901" s="42" t="n">
        <f aca="false">IF($M901="贷",$O901,0)</f>
        <v>0</v>
      </c>
      <c r="K901" s="48" t="str">
        <f aca="false">IF($H901="","",购销流水!$E229)</f>
        <v/>
      </c>
      <c r="L901" s="66" t="str">
        <f aca="false">IF(购销流水!$D229="","",IFERROR(INDEX(记账规则!$A$6:$N$9,MATCH(购销流水!$D229,记账规则!$A$6:$A$9,0),12),""))</f>
        <v/>
      </c>
      <c r="M901" s="66" t="str">
        <f aca="false">IF($L901="","",IFERROR(INDEX(记账规则!$A$6:$N$9,MATCH(购销流水!$D229,记账规则!$A$6:$A$9,0),13),""))</f>
        <v/>
      </c>
      <c r="N901" s="66" t="str">
        <f aca="false">IF($L901="","",IFERROR(INDEX(记账规则!$A$6:$N$9,MATCH(购销流水!$D229,记账规则!$A$6:$A$9,0),14),""))</f>
        <v/>
      </c>
      <c r="O901" s="67" t="n">
        <f aca="false">IF($H901="",0,ROUND(IF($N901="成本金额",N(购销流水!$W229),IF($N901="金额",N(购销流水!$Q229),0)),2))</f>
        <v>0</v>
      </c>
      <c r="P901" s="64" t="str">
        <f aca="false">IF(AND($H901&lt;&gt;"",ROUND($O901,2)&lt;&gt;0),"有","")</f>
        <v/>
      </c>
    </row>
    <row r="902" customFormat="false" ht="15" hidden="true" customHeight="false" outlineLevel="0" collapsed="false">
      <c r="A902" s="53" t="str">
        <f aca="false">IF($H902="","",ROW()-5)</f>
        <v/>
      </c>
      <c r="B902" s="64" t="s">
        <v>36</v>
      </c>
      <c r="C902" s="53" t="n">
        <v>230</v>
      </c>
      <c r="D902" s="53" t="n">
        <v>1</v>
      </c>
      <c r="E902" s="65" t="str">
        <f aca="false">IF($H902="","",购销流水!$B230)</f>
        <v/>
      </c>
      <c r="F902" s="55" t="str">
        <f aca="false">IF($H902="","",购销流水!$C230)</f>
        <v/>
      </c>
      <c r="G902" s="48" t="str">
        <f aca="false">IF($H902="","",购销流水!$N230)</f>
        <v/>
      </c>
      <c r="H902" s="10" t="str">
        <f aca="false">IF($L902="","",IF($L902="@成本",购销流水!$U230,IF($L902="@收入",购销流水!$T230,IF($L902="@存货",购销流水!$S230,IF($L902="@结算",购销流水!$R230,$L902)))))</f>
        <v/>
      </c>
      <c r="I902" s="42" t="n">
        <f aca="false">IF($M902="借",$O902,0)</f>
        <v>0</v>
      </c>
      <c r="J902" s="42" t="n">
        <f aca="false">IF($M902="贷",$O902,0)</f>
        <v>0</v>
      </c>
      <c r="K902" s="48" t="str">
        <f aca="false">IF($H902="","",购销流水!$E230)</f>
        <v/>
      </c>
      <c r="L902" s="66" t="str">
        <f aca="false">IF(购销流水!$D230="","",IFERROR(INDEX(记账规则!$A$6:$N$9,MATCH(购销流水!$D230,记账规则!$A$6:$A$9,0),3),""))</f>
        <v/>
      </c>
      <c r="M902" s="66" t="str">
        <f aca="false">IF($L902="","",IFERROR(INDEX(记账规则!$A$6:$N$9,MATCH(购销流水!$D230,记账规则!$A$6:$A$9,0),4),""))</f>
        <v/>
      </c>
      <c r="N902" s="66" t="str">
        <f aca="false">IF($L902="","",IFERROR(INDEX(记账规则!$A$6:$N$9,MATCH(购销流水!$D230,记账规则!$A$6:$A$9,0),5),""))</f>
        <v/>
      </c>
      <c r="O902" s="67" t="n">
        <f aca="false">IF($H902="",0,ROUND(IF($N902="成本金额",N(购销流水!$W230),IF($N902="金额",N(购销流水!$Q230),0)),2))</f>
        <v>0</v>
      </c>
      <c r="P902" s="64" t="str">
        <f aca="false">IF(AND($H902&lt;&gt;"",ROUND($O902,2)&lt;&gt;0),"有","")</f>
        <v/>
      </c>
    </row>
    <row r="903" customFormat="false" ht="15" hidden="true" customHeight="false" outlineLevel="0" collapsed="false">
      <c r="A903" s="53" t="str">
        <f aca="false">IF($H903="","",ROW()-5)</f>
        <v/>
      </c>
      <c r="B903" s="64" t="s">
        <v>36</v>
      </c>
      <c r="C903" s="53" t="n">
        <v>230</v>
      </c>
      <c r="D903" s="53" t="n">
        <v>2</v>
      </c>
      <c r="E903" s="65" t="str">
        <f aca="false">IF($H903="","",购销流水!$B230)</f>
        <v/>
      </c>
      <c r="F903" s="55" t="str">
        <f aca="false">IF($H903="","",购销流水!$C230)</f>
        <v/>
      </c>
      <c r="G903" s="48" t="str">
        <f aca="false">IF($H903="","",购销流水!$N230)</f>
        <v/>
      </c>
      <c r="H903" s="10" t="str">
        <f aca="false">IF($L903="","",IF($L903="@成本",购销流水!$U230,IF($L903="@收入",购销流水!$T230,IF($L903="@存货",购销流水!$S230,IF($L903="@结算",购销流水!$R230,$L903)))))</f>
        <v/>
      </c>
      <c r="I903" s="42" t="n">
        <f aca="false">IF($M903="借",$O903,0)</f>
        <v>0</v>
      </c>
      <c r="J903" s="42" t="n">
        <f aca="false">IF($M903="贷",$O903,0)</f>
        <v>0</v>
      </c>
      <c r="K903" s="48" t="str">
        <f aca="false">IF($H903="","",购销流水!$E230)</f>
        <v/>
      </c>
      <c r="L903" s="66" t="str">
        <f aca="false">IF(购销流水!$D230="","",IFERROR(INDEX(记账规则!$A$6:$N$9,MATCH(购销流水!$D230,记账规则!$A$6:$A$9,0),6),""))</f>
        <v/>
      </c>
      <c r="M903" s="66" t="str">
        <f aca="false">IF($L903="","",IFERROR(INDEX(记账规则!$A$6:$N$9,MATCH(购销流水!$D230,记账规则!$A$6:$A$9,0),7),""))</f>
        <v/>
      </c>
      <c r="N903" s="66" t="str">
        <f aca="false">IF($L903="","",IFERROR(INDEX(记账规则!$A$6:$N$9,MATCH(购销流水!$D230,记账规则!$A$6:$A$9,0),8),""))</f>
        <v/>
      </c>
      <c r="O903" s="67" t="n">
        <f aca="false">IF($H903="",0,ROUND(IF($N903="成本金额",N(购销流水!$W230),IF($N903="金额",N(购销流水!$Q230),0)),2))</f>
        <v>0</v>
      </c>
      <c r="P903" s="64" t="str">
        <f aca="false">IF(AND($H903&lt;&gt;"",ROUND($O903,2)&lt;&gt;0),"有","")</f>
        <v/>
      </c>
    </row>
    <row r="904" customFormat="false" ht="15" hidden="true" customHeight="false" outlineLevel="0" collapsed="false">
      <c r="A904" s="53" t="str">
        <f aca="false">IF($H904="","",ROW()-5)</f>
        <v/>
      </c>
      <c r="B904" s="64" t="s">
        <v>36</v>
      </c>
      <c r="C904" s="53" t="n">
        <v>230</v>
      </c>
      <c r="D904" s="53" t="n">
        <v>3</v>
      </c>
      <c r="E904" s="65" t="str">
        <f aca="false">IF($H904="","",购销流水!$B230)</f>
        <v/>
      </c>
      <c r="F904" s="55" t="str">
        <f aca="false">IF($H904="","",购销流水!$C230)</f>
        <v/>
      </c>
      <c r="G904" s="48" t="str">
        <f aca="false">IF($H904="","",购销流水!$N230)</f>
        <v/>
      </c>
      <c r="H904" s="10" t="str">
        <f aca="false">IF($L904="","",IF($L904="@成本",购销流水!$U230,IF($L904="@收入",购销流水!$T230,IF($L904="@存货",购销流水!$S230,IF($L904="@结算",购销流水!$R230,$L904)))))</f>
        <v/>
      </c>
      <c r="I904" s="42" t="n">
        <f aca="false">IF($M904="借",$O904,0)</f>
        <v>0</v>
      </c>
      <c r="J904" s="42" t="n">
        <f aca="false">IF($M904="贷",$O904,0)</f>
        <v>0</v>
      </c>
      <c r="K904" s="48" t="str">
        <f aca="false">IF($H904="","",购销流水!$E230)</f>
        <v/>
      </c>
      <c r="L904" s="66" t="str">
        <f aca="false">IF(购销流水!$D230="","",IFERROR(INDEX(记账规则!$A$6:$N$9,MATCH(购销流水!$D230,记账规则!$A$6:$A$9,0),9),""))</f>
        <v/>
      </c>
      <c r="M904" s="66" t="str">
        <f aca="false">IF($L904="","",IFERROR(INDEX(记账规则!$A$6:$N$9,MATCH(购销流水!$D230,记账规则!$A$6:$A$9,0),10),""))</f>
        <v/>
      </c>
      <c r="N904" s="66" t="str">
        <f aca="false">IF($L904="","",IFERROR(INDEX(记账规则!$A$6:$N$9,MATCH(购销流水!$D230,记账规则!$A$6:$A$9,0),11),""))</f>
        <v/>
      </c>
      <c r="O904" s="67" t="n">
        <f aca="false">IF($H904="",0,ROUND(IF($N904="成本金额",N(购销流水!$W230),IF($N904="金额",N(购销流水!$Q230),0)),2))</f>
        <v>0</v>
      </c>
      <c r="P904" s="64" t="str">
        <f aca="false">IF(AND($H904&lt;&gt;"",ROUND($O904,2)&lt;&gt;0),"有","")</f>
        <v/>
      </c>
    </row>
    <row r="905" customFormat="false" ht="15" hidden="true" customHeight="false" outlineLevel="0" collapsed="false">
      <c r="A905" s="53" t="str">
        <f aca="false">IF($H905="","",ROW()-5)</f>
        <v/>
      </c>
      <c r="B905" s="64" t="s">
        <v>36</v>
      </c>
      <c r="C905" s="53" t="n">
        <v>230</v>
      </c>
      <c r="D905" s="53" t="n">
        <v>4</v>
      </c>
      <c r="E905" s="65" t="str">
        <f aca="false">IF($H905="","",购销流水!$B230)</f>
        <v/>
      </c>
      <c r="F905" s="55" t="str">
        <f aca="false">IF($H905="","",购销流水!$C230)</f>
        <v/>
      </c>
      <c r="G905" s="48" t="str">
        <f aca="false">IF($H905="","",购销流水!$N230)</f>
        <v/>
      </c>
      <c r="H905" s="10" t="str">
        <f aca="false">IF($L905="","",IF($L905="@成本",购销流水!$U230,IF($L905="@收入",购销流水!$T230,IF($L905="@存货",购销流水!$S230,IF($L905="@结算",购销流水!$R230,$L905)))))</f>
        <v/>
      </c>
      <c r="I905" s="42" t="n">
        <f aca="false">IF($M905="借",$O905,0)</f>
        <v>0</v>
      </c>
      <c r="J905" s="42" t="n">
        <f aca="false">IF($M905="贷",$O905,0)</f>
        <v>0</v>
      </c>
      <c r="K905" s="48" t="str">
        <f aca="false">IF($H905="","",购销流水!$E230)</f>
        <v/>
      </c>
      <c r="L905" s="66" t="str">
        <f aca="false">IF(购销流水!$D230="","",IFERROR(INDEX(记账规则!$A$6:$N$9,MATCH(购销流水!$D230,记账规则!$A$6:$A$9,0),12),""))</f>
        <v/>
      </c>
      <c r="M905" s="66" t="str">
        <f aca="false">IF($L905="","",IFERROR(INDEX(记账规则!$A$6:$N$9,MATCH(购销流水!$D230,记账规则!$A$6:$A$9,0),13),""))</f>
        <v/>
      </c>
      <c r="N905" s="66" t="str">
        <f aca="false">IF($L905="","",IFERROR(INDEX(记账规则!$A$6:$N$9,MATCH(购销流水!$D230,记账规则!$A$6:$A$9,0),14),""))</f>
        <v/>
      </c>
      <c r="O905" s="67" t="n">
        <f aca="false">IF($H905="",0,ROUND(IF($N905="成本金额",N(购销流水!$W230),IF($N905="金额",N(购销流水!$Q230),0)),2))</f>
        <v>0</v>
      </c>
      <c r="P905" s="64" t="str">
        <f aca="false">IF(AND($H905&lt;&gt;"",ROUND($O905,2)&lt;&gt;0),"有","")</f>
        <v/>
      </c>
    </row>
    <row r="906" customFormat="false" ht="15" hidden="true" customHeight="false" outlineLevel="0" collapsed="false">
      <c r="A906" s="53" t="str">
        <f aca="false">IF($H906="","",ROW()-5)</f>
        <v/>
      </c>
      <c r="B906" s="64" t="s">
        <v>36</v>
      </c>
      <c r="C906" s="53" t="n">
        <v>231</v>
      </c>
      <c r="D906" s="53" t="n">
        <v>1</v>
      </c>
      <c r="E906" s="65" t="str">
        <f aca="false">IF($H906="","",购销流水!$B231)</f>
        <v/>
      </c>
      <c r="F906" s="55" t="str">
        <f aca="false">IF($H906="","",购销流水!$C231)</f>
        <v/>
      </c>
      <c r="G906" s="48" t="str">
        <f aca="false">IF($H906="","",购销流水!$N231)</f>
        <v/>
      </c>
      <c r="H906" s="10" t="str">
        <f aca="false">IF($L906="","",IF($L906="@成本",购销流水!$U231,IF($L906="@收入",购销流水!$T231,IF($L906="@存货",购销流水!$S231,IF($L906="@结算",购销流水!$R231,$L906)))))</f>
        <v/>
      </c>
      <c r="I906" s="42" t="n">
        <f aca="false">IF($M906="借",$O906,0)</f>
        <v>0</v>
      </c>
      <c r="J906" s="42" t="n">
        <f aca="false">IF($M906="贷",$O906,0)</f>
        <v>0</v>
      </c>
      <c r="K906" s="48" t="str">
        <f aca="false">IF($H906="","",购销流水!$E231)</f>
        <v/>
      </c>
      <c r="L906" s="66" t="str">
        <f aca="false">IF(购销流水!$D231="","",IFERROR(INDEX(记账规则!$A$6:$N$9,MATCH(购销流水!$D231,记账规则!$A$6:$A$9,0),3),""))</f>
        <v/>
      </c>
      <c r="M906" s="66" t="str">
        <f aca="false">IF($L906="","",IFERROR(INDEX(记账规则!$A$6:$N$9,MATCH(购销流水!$D231,记账规则!$A$6:$A$9,0),4),""))</f>
        <v/>
      </c>
      <c r="N906" s="66" t="str">
        <f aca="false">IF($L906="","",IFERROR(INDEX(记账规则!$A$6:$N$9,MATCH(购销流水!$D231,记账规则!$A$6:$A$9,0),5),""))</f>
        <v/>
      </c>
      <c r="O906" s="67" t="n">
        <f aca="false">IF($H906="",0,ROUND(IF($N906="成本金额",N(购销流水!$W231),IF($N906="金额",N(购销流水!$Q231),0)),2))</f>
        <v>0</v>
      </c>
      <c r="P906" s="64" t="str">
        <f aca="false">IF(AND($H906&lt;&gt;"",ROUND($O906,2)&lt;&gt;0),"有","")</f>
        <v/>
      </c>
    </row>
    <row r="907" customFormat="false" ht="15" hidden="true" customHeight="false" outlineLevel="0" collapsed="false">
      <c r="A907" s="53" t="str">
        <f aca="false">IF($H907="","",ROW()-5)</f>
        <v/>
      </c>
      <c r="B907" s="64" t="s">
        <v>36</v>
      </c>
      <c r="C907" s="53" t="n">
        <v>231</v>
      </c>
      <c r="D907" s="53" t="n">
        <v>2</v>
      </c>
      <c r="E907" s="65" t="str">
        <f aca="false">IF($H907="","",购销流水!$B231)</f>
        <v/>
      </c>
      <c r="F907" s="55" t="str">
        <f aca="false">IF($H907="","",购销流水!$C231)</f>
        <v/>
      </c>
      <c r="G907" s="48" t="str">
        <f aca="false">IF($H907="","",购销流水!$N231)</f>
        <v/>
      </c>
      <c r="H907" s="10" t="str">
        <f aca="false">IF($L907="","",IF($L907="@成本",购销流水!$U231,IF($L907="@收入",购销流水!$T231,IF($L907="@存货",购销流水!$S231,IF($L907="@结算",购销流水!$R231,$L907)))))</f>
        <v/>
      </c>
      <c r="I907" s="42" t="n">
        <f aca="false">IF($M907="借",$O907,0)</f>
        <v>0</v>
      </c>
      <c r="J907" s="42" t="n">
        <f aca="false">IF($M907="贷",$O907,0)</f>
        <v>0</v>
      </c>
      <c r="K907" s="48" t="str">
        <f aca="false">IF($H907="","",购销流水!$E231)</f>
        <v/>
      </c>
      <c r="L907" s="66" t="str">
        <f aca="false">IF(购销流水!$D231="","",IFERROR(INDEX(记账规则!$A$6:$N$9,MATCH(购销流水!$D231,记账规则!$A$6:$A$9,0),6),""))</f>
        <v/>
      </c>
      <c r="M907" s="66" t="str">
        <f aca="false">IF($L907="","",IFERROR(INDEX(记账规则!$A$6:$N$9,MATCH(购销流水!$D231,记账规则!$A$6:$A$9,0),7),""))</f>
        <v/>
      </c>
      <c r="N907" s="66" t="str">
        <f aca="false">IF($L907="","",IFERROR(INDEX(记账规则!$A$6:$N$9,MATCH(购销流水!$D231,记账规则!$A$6:$A$9,0),8),""))</f>
        <v/>
      </c>
      <c r="O907" s="67" t="n">
        <f aca="false">IF($H907="",0,ROUND(IF($N907="成本金额",N(购销流水!$W231),IF($N907="金额",N(购销流水!$Q231),0)),2))</f>
        <v>0</v>
      </c>
      <c r="P907" s="64" t="str">
        <f aca="false">IF(AND($H907&lt;&gt;"",ROUND($O907,2)&lt;&gt;0),"有","")</f>
        <v/>
      </c>
    </row>
    <row r="908" customFormat="false" ht="15" hidden="true" customHeight="false" outlineLevel="0" collapsed="false">
      <c r="A908" s="53" t="str">
        <f aca="false">IF($H908="","",ROW()-5)</f>
        <v/>
      </c>
      <c r="B908" s="64" t="s">
        <v>36</v>
      </c>
      <c r="C908" s="53" t="n">
        <v>231</v>
      </c>
      <c r="D908" s="53" t="n">
        <v>3</v>
      </c>
      <c r="E908" s="65" t="str">
        <f aca="false">IF($H908="","",购销流水!$B231)</f>
        <v/>
      </c>
      <c r="F908" s="55" t="str">
        <f aca="false">IF($H908="","",购销流水!$C231)</f>
        <v/>
      </c>
      <c r="G908" s="48" t="str">
        <f aca="false">IF($H908="","",购销流水!$N231)</f>
        <v/>
      </c>
      <c r="H908" s="10" t="str">
        <f aca="false">IF($L908="","",IF($L908="@成本",购销流水!$U231,IF($L908="@收入",购销流水!$T231,IF($L908="@存货",购销流水!$S231,IF($L908="@结算",购销流水!$R231,$L908)))))</f>
        <v/>
      </c>
      <c r="I908" s="42" t="n">
        <f aca="false">IF($M908="借",$O908,0)</f>
        <v>0</v>
      </c>
      <c r="J908" s="42" t="n">
        <f aca="false">IF($M908="贷",$O908,0)</f>
        <v>0</v>
      </c>
      <c r="K908" s="48" t="str">
        <f aca="false">IF($H908="","",购销流水!$E231)</f>
        <v/>
      </c>
      <c r="L908" s="66" t="str">
        <f aca="false">IF(购销流水!$D231="","",IFERROR(INDEX(记账规则!$A$6:$N$9,MATCH(购销流水!$D231,记账规则!$A$6:$A$9,0),9),""))</f>
        <v/>
      </c>
      <c r="M908" s="66" t="str">
        <f aca="false">IF($L908="","",IFERROR(INDEX(记账规则!$A$6:$N$9,MATCH(购销流水!$D231,记账规则!$A$6:$A$9,0),10),""))</f>
        <v/>
      </c>
      <c r="N908" s="66" t="str">
        <f aca="false">IF($L908="","",IFERROR(INDEX(记账规则!$A$6:$N$9,MATCH(购销流水!$D231,记账规则!$A$6:$A$9,0),11),""))</f>
        <v/>
      </c>
      <c r="O908" s="67" t="n">
        <f aca="false">IF($H908="",0,ROUND(IF($N908="成本金额",N(购销流水!$W231),IF($N908="金额",N(购销流水!$Q231),0)),2))</f>
        <v>0</v>
      </c>
      <c r="P908" s="64" t="str">
        <f aca="false">IF(AND($H908&lt;&gt;"",ROUND($O908,2)&lt;&gt;0),"有","")</f>
        <v/>
      </c>
    </row>
    <row r="909" customFormat="false" ht="15" hidden="true" customHeight="false" outlineLevel="0" collapsed="false">
      <c r="A909" s="53" t="str">
        <f aca="false">IF($H909="","",ROW()-5)</f>
        <v/>
      </c>
      <c r="B909" s="64" t="s">
        <v>36</v>
      </c>
      <c r="C909" s="53" t="n">
        <v>231</v>
      </c>
      <c r="D909" s="53" t="n">
        <v>4</v>
      </c>
      <c r="E909" s="65" t="str">
        <f aca="false">IF($H909="","",购销流水!$B231)</f>
        <v/>
      </c>
      <c r="F909" s="55" t="str">
        <f aca="false">IF($H909="","",购销流水!$C231)</f>
        <v/>
      </c>
      <c r="G909" s="48" t="str">
        <f aca="false">IF($H909="","",购销流水!$N231)</f>
        <v/>
      </c>
      <c r="H909" s="10" t="str">
        <f aca="false">IF($L909="","",IF($L909="@成本",购销流水!$U231,IF($L909="@收入",购销流水!$T231,IF($L909="@存货",购销流水!$S231,IF($L909="@结算",购销流水!$R231,$L909)))))</f>
        <v/>
      </c>
      <c r="I909" s="42" t="n">
        <f aca="false">IF($M909="借",$O909,0)</f>
        <v>0</v>
      </c>
      <c r="J909" s="42" t="n">
        <f aca="false">IF($M909="贷",$O909,0)</f>
        <v>0</v>
      </c>
      <c r="K909" s="48" t="str">
        <f aca="false">IF($H909="","",购销流水!$E231)</f>
        <v/>
      </c>
      <c r="L909" s="66" t="str">
        <f aca="false">IF(购销流水!$D231="","",IFERROR(INDEX(记账规则!$A$6:$N$9,MATCH(购销流水!$D231,记账规则!$A$6:$A$9,0),12),""))</f>
        <v/>
      </c>
      <c r="M909" s="66" t="str">
        <f aca="false">IF($L909="","",IFERROR(INDEX(记账规则!$A$6:$N$9,MATCH(购销流水!$D231,记账规则!$A$6:$A$9,0),13),""))</f>
        <v/>
      </c>
      <c r="N909" s="66" t="str">
        <f aca="false">IF($L909="","",IFERROR(INDEX(记账规则!$A$6:$N$9,MATCH(购销流水!$D231,记账规则!$A$6:$A$9,0),14),""))</f>
        <v/>
      </c>
      <c r="O909" s="67" t="n">
        <f aca="false">IF($H909="",0,ROUND(IF($N909="成本金额",N(购销流水!$W231),IF($N909="金额",N(购销流水!$Q231),0)),2))</f>
        <v>0</v>
      </c>
      <c r="P909" s="64" t="str">
        <f aca="false">IF(AND($H909&lt;&gt;"",ROUND($O909,2)&lt;&gt;0),"有","")</f>
        <v/>
      </c>
    </row>
    <row r="910" customFormat="false" ht="15" hidden="true" customHeight="false" outlineLevel="0" collapsed="false">
      <c r="A910" s="53" t="str">
        <f aca="false">IF($H910="","",ROW()-5)</f>
        <v/>
      </c>
      <c r="B910" s="64" t="s">
        <v>36</v>
      </c>
      <c r="C910" s="53" t="n">
        <v>232</v>
      </c>
      <c r="D910" s="53" t="n">
        <v>1</v>
      </c>
      <c r="E910" s="65" t="str">
        <f aca="false">IF($H910="","",购销流水!$B232)</f>
        <v/>
      </c>
      <c r="F910" s="55" t="str">
        <f aca="false">IF($H910="","",购销流水!$C232)</f>
        <v/>
      </c>
      <c r="G910" s="48" t="str">
        <f aca="false">IF($H910="","",购销流水!$N232)</f>
        <v/>
      </c>
      <c r="H910" s="10" t="str">
        <f aca="false">IF($L910="","",IF($L910="@成本",购销流水!$U232,IF($L910="@收入",购销流水!$T232,IF($L910="@存货",购销流水!$S232,IF($L910="@结算",购销流水!$R232,$L910)))))</f>
        <v/>
      </c>
      <c r="I910" s="42" t="n">
        <f aca="false">IF($M910="借",$O910,0)</f>
        <v>0</v>
      </c>
      <c r="J910" s="42" t="n">
        <f aca="false">IF($M910="贷",$O910,0)</f>
        <v>0</v>
      </c>
      <c r="K910" s="48" t="str">
        <f aca="false">IF($H910="","",购销流水!$E232)</f>
        <v/>
      </c>
      <c r="L910" s="66" t="str">
        <f aca="false">IF(购销流水!$D232="","",IFERROR(INDEX(记账规则!$A$6:$N$9,MATCH(购销流水!$D232,记账规则!$A$6:$A$9,0),3),""))</f>
        <v/>
      </c>
      <c r="M910" s="66" t="str">
        <f aca="false">IF($L910="","",IFERROR(INDEX(记账规则!$A$6:$N$9,MATCH(购销流水!$D232,记账规则!$A$6:$A$9,0),4),""))</f>
        <v/>
      </c>
      <c r="N910" s="66" t="str">
        <f aca="false">IF($L910="","",IFERROR(INDEX(记账规则!$A$6:$N$9,MATCH(购销流水!$D232,记账规则!$A$6:$A$9,0),5),""))</f>
        <v/>
      </c>
      <c r="O910" s="67" t="n">
        <f aca="false">IF($H910="",0,ROUND(IF($N910="成本金额",N(购销流水!$W232),IF($N910="金额",N(购销流水!$Q232),0)),2))</f>
        <v>0</v>
      </c>
      <c r="P910" s="64" t="str">
        <f aca="false">IF(AND($H910&lt;&gt;"",ROUND($O910,2)&lt;&gt;0),"有","")</f>
        <v/>
      </c>
    </row>
    <row r="911" customFormat="false" ht="15" hidden="true" customHeight="false" outlineLevel="0" collapsed="false">
      <c r="A911" s="53" t="str">
        <f aca="false">IF($H911="","",ROW()-5)</f>
        <v/>
      </c>
      <c r="B911" s="64" t="s">
        <v>36</v>
      </c>
      <c r="C911" s="53" t="n">
        <v>232</v>
      </c>
      <c r="D911" s="53" t="n">
        <v>2</v>
      </c>
      <c r="E911" s="65" t="str">
        <f aca="false">IF($H911="","",购销流水!$B232)</f>
        <v/>
      </c>
      <c r="F911" s="55" t="str">
        <f aca="false">IF($H911="","",购销流水!$C232)</f>
        <v/>
      </c>
      <c r="G911" s="48" t="str">
        <f aca="false">IF($H911="","",购销流水!$N232)</f>
        <v/>
      </c>
      <c r="H911" s="10" t="str">
        <f aca="false">IF($L911="","",IF($L911="@成本",购销流水!$U232,IF($L911="@收入",购销流水!$T232,IF($L911="@存货",购销流水!$S232,IF($L911="@结算",购销流水!$R232,$L911)))))</f>
        <v/>
      </c>
      <c r="I911" s="42" t="n">
        <f aca="false">IF($M911="借",$O911,0)</f>
        <v>0</v>
      </c>
      <c r="J911" s="42" t="n">
        <f aca="false">IF($M911="贷",$O911,0)</f>
        <v>0</v>
      </c>
      <c r="K911" s="48" t="str">
        <f aca="false">IF($H911="","",购销流水!$E232)</f>
        <v/>
      </c>
      <c r="L911" s="66" t="str">
        <f aca="false">IF(购销流水!$D232="","",IFERROR(INDEX(记账规则!$A$6:$N$9,MATCH(购销流水!$D232,记账规则!$A$6:$A$9,0),6),""))</f>
        <v/>
      </c>
      <c r="M911" s="66" t="str">
        <f aca="false">IF($L911="","",IFERROR(INDEX(记账规则!$A$6:$N$9,MATCH(购销流水!$D232,记账规则!$A$6:$A$9,0),7),""))</f>
        <v/>
      </c>
      <c r="N911" s="66" t="str">
        <f aca="false">IF($L911="","",IFERROR(INDEX(记账规则!$A$6:$N$9,MATCH(购销流水!$D232,记账规则!$A$6:$A$9,0),8),""))</f>
        <v/>
      </c>
      <c r="O911" s="67" t="n">
        <f aca="false">IF($H911="",0,ROUND(IF($N911="成本金额",N(购销流水!$W232),IF($N911="金额",N(购销流水!$Q232),0)),2))</f>
        <v>0</v>
      </c>
      <c r="P911" s="64" t="str">
        <f aca="false">IF(AND($H911&lt;&gt;"",ROUND($O911,2)&lt;&gt;0),"有","")</f>
        <v/>
      </c>
    </row>
    <row r="912" customFormat="false" ht="15" hidden="true" customHeight="false" outlineLevel="0" collapsed="false">
      <c r="A912" s="53" t="str">
        <f aca="false">IF($H912="","",ROW()-5)</f>
        <v/>
      </c>
      <c r="B912" s="64" t="s">
        <v>36</v>
      </c>
      <c r="C912" s="53" t="n">
        <v>232</v>
      </c>
      <c r="D912" s="53" t="n">
        <v>3</v>
      </c>
      <c r="E912" s="65" t="str">
        <f aca="false">IF($H912="","",购销流水!$B232)</f>
        <v/>
      </c>
      <c r="F912" s="55" t="str">
        <f aca="false">IF($H912="","",购销流水!$C232)</f>
        <v/>
      </c>
      <c r="G912" s="48" t="str">
        <f aca="false">IF($H912="","",购销流水!$N232)</f>
        <v/>
      </c>
      <c r="H912" s="10" t="str">
        <f aca="false">IF($L912="","",IF($L912="@成本",购销流水!$U232,IF($L912="@收入",购销流水!$T232,IF($L912="@存货",购销流水!$S232,IF($L912="@结算",购销流水!$R232,$L912)))))</f>
        <v/>
      </c>
      <c r="I912" s="42" t="n">
        <f aca="false">IF($M912="借",$O912,0)</f>
        <v>0</v>
      </c>
      <c r="J912" s="42" t="n">
        <f aca="false">IF($M912="贷",$O912,0)</f>
        <v>0</v>
      </c>
      <c r="K912" s="48" t="str">
        <f aca="false">IF($H912="","",购销流水!$E232)</f>
        <v/>
      </c>
      <c r="L912" s="66" t="str">
        <f aca="false">IF(购销流水!$D232="","",IFERROR(INDEX(记账规则!$A$6:$N$9,MATCH(购销流水!$D232,记账规则!$A$6:$A$9,0),9),""))</f>
        <v/>
      </c>
      <c r="M912" s="66" t="str">
        <f aca="false">IF($L912="","",IFERROR(INDEX(记账规则!$A$6:$N$9,MATCH(购销流水!$D232,记账规则!$A$6:$A$9,0),10),""))</f>
        <v/>
      </c>
      <c r="N912" s="66" t="str">
        <f aca="false">IF($L912="","",IFERROR(INDEX(记账规则!$A$6:$N$9,MATCH(购销流水!$D232,记账规则!$A$6:$A$9,0),11),""))</f>
        <v/>
      </c>
      <c r="O912" s="67" t="n">
        <f aca="false">IF($H912="",0,ROUND(IF($N912="成本金额",N(购销流水!$W232),IF($N912="金额",N(购销流水!$Q232),0)),2))</f>
        <v>0</v>
      </c>
      <c r="P912" s="64" t="str">
        <f aca="false">IF(AND($H912&lt;&gt;"",ROUND($O912,2)&lt;&gt;0),"有","")</f>
        <v/>
      </c>
    </row>
    <row r="913" customFormat="false" ht="15" hidden="true" customHeight="false" outlineLevel="0" collapsed="false">
      <c r="A913" s="53" t="str">
        <f aca="false">IF($H913="","",ROW()-5)</f>
        <v/>
      </c>
      <c r="B913" s="64" t="s">
        <v>36</v>
      </c>
      <c r="C913" s="53" t="n">
        <v>232</v>
      </c>
      <c r="D913" s="53" t="n">
        <v>4</v>
      </c>
      <c r="E913" s="65" t="str">
        <f aca="false">IF($H913="","",购销流水!$B232)</f>
        <v/>
      </c>
      <c r="F913" s="55" t="str">
        <f aca="false">IF($H913="","",购销流水!$C232)</f>
        <v/>
      </c>
      <c r="G913" s="48" t="str">
        <f aca="false">IF($H913="","",购销流水!$N232)</f>
        <v/>
      </c>
      <c r="H913" s="10" t="str">
        <f aca="false">IF($L913="","",IF($L913="@成本",购销流水!$U232,IF($L913="@收入",购销流水!$T232,IF($L913="@存货",购销流水!$S232,IF($L913="@结算",购销流水!$R232,$L913)))))</f>
        <v/>
      </c>
      <c r="I913" s="42" t="n">
        <f aca="false">IF($M913="借",$O913,0)</f>
        <v>0</v>
      </c>
      <c r="J913" s="42" t="n">
        <f aca="false">IF($M913="贷",$O913,0)</f>
        <v>0</v>
      </c>
      <c r="K913" s="48" t="str">
        <f aca="false">IF($H913="","",购销流水!$E232)</f>
        <v/>
      </c>
      <c r="L913" s="66" t="str">
        <f aca="false">IF(购销流水!$D232="","",IFERROR(INDEX(记账规则!$A$6:$N$9,MATCH(购销流水!$D232,记账规则!$A$6:$A$9,0),12),""))</f>
        <v/>
      </c>
      <c r="M913" s="66" t="str">
        <f aca="false">IF($L913="","",IFERROR(INDEX(记账规则!$A$6:$N$9,MATCH(购销流水!$D232,记账规则!$A$6:$A$9,0),13),""))</f>
        <v/>
      </c>
      <c r="N913" s="66" t="str">
        <f aca="false">IF($L913="","",IFERROR(INDEX(记账规则!$A$6:$N$9,MATCH(购销流水!$D232,记账规则!$A$6:$A$9,0),14),""))</f>
        <v/>
      </c>
      <c r="O913" s="67" t="n">
        <f aca="false">IF($H913="",0,ROUND(IF($N913="成本金额",N(购销流水!$W232),IF($N913="金额",N(购销流水!$Q232),0)),2))</f>
        <v>0</v>
      </c>
      <c r="P913" s="64" t="str">
        <f aca="false">IF(AND($H913&lt;&gt;"",ROUND($O913,2)&lt;&gt;0),"有","")</f>
        <v/>
      </c>
    </row>
    <row r="914" customFormat="false" ht="15" hidden="true" customHeight="false" outlineLevel="0" collapsed="false">
      <c r="A914" s="53" t="str">
        <f aca="false">IF($H914="","",ROW()-5)</f>
        <v/>
      </c>
      <c r="B914" s="64" t="s">
        <v>36</v>
      </c>
      <c r="C914" s="53" t="n">
        <v>233</v>
      </c>
      <c r="D914" s="53" t="n">
        <v>1</v>
      </c>
      <c r="E914" s="65" t="str">
        <f aca="false">IF($H914="","",购销流水!$B233)</f>
        <v/>
      </c>
      <c r="F914" s="55" t="str">
        <f aca="false">IF($H914="","",购销流水!$C233)</f>
        <v/>
      </c>
      <c r="G914" s="48" t="str">
        <f aca="false">IF($H914="","",购销流水!$N233)</f>
        <v/>
      </c>
      <c r="H914" s="10" t="str">
        <f aca="false">IF($L914="","",IF($L914="@成本",购销流水!$U233,IF($L914="@收入",购销流水!$T233,IF($L914="@存货",购销流水!$S233,IF($L914="@结算",购销流水!$R233,$L914)))))</f>
        <v/>
      </c>
      <c r="I914" s="42" t="n">
        <f aca="false">IF($M914="借",$O914,0)</f>
        <v>0</v>
      </c>
      <c r="J914" s="42" t="n">
        <f aca="false">IF($M914="贷",$O914,0)</f>
        <v>0</v>
      </c>
      <c r="K914" s="48" t="str">
        <f aca="false">IF($H914="","",购销流水!$E233)</f>
        <v/>
      </c>
      <c r="L914" s="66" t="str">
        <f aca="false">IF(购销流水!$D233="","",IFERROR(INDEX(记账规则!$A$6:$N$9,MATCH(购销流水!$D233,记账规则!$A$6:$A$9,0),3),""))</f>
        <v/>
      </c>
      <c r="M914" s="66" t="str">
        <f aca="false">IF($L914="","",IFERROR(INDEX(记账规则!$A$6:$N$9,MATCH(购销流水!$D233,记账规则!$A$6:$A$9,0),4),""))</f>
        <v/>
      </c>
      <c r="N914" s="66" t="str">
        <f aca="false">IF($L914="","",IFERROR(INDEX(记账规则!$A$6:$N$9,MATCH(购销流水!$D233,记账规则!$A$6:$A$9,0),5),""))</f>
        <v/>
      </c>
      <c r="O914" s="67" t="n">
        <f aca="false">IF($H914="",0,ROUND(IF($N914="成本金额",N(购销流水!$W233),IF($N914="金额",N(购销流水!$Q233),0)),2))</f>
        <v>0</v>
      </c>
      <c r="P914" s="64" t="str">
        <f aca="false">IF(AND($H914&lt;&gt;"",ROUND($O914,2)&lt;&gt;0),"有","")</f>
        <v/>
      </c>
    </row>
    <row r="915" customFormat="false" ht="15" hidden="true" customHeight="false" outlineLevel="0" collapsed="false">
      <c r="A915" s="53" t="str">
        <f aca="false">IF($H915="","",ROW()-5)</f>
        <v/>
      </c>
      <c r="B915" s="64" t="s">
        <v>36</v>
      </c>
      <c r="C915" s="53" t="n">
        <v>233</v>
      </c>
      <c r="D915" s="53" t="n">
        <v>2</v>
      </c>
      <c r="E915" s="65" t="str">
        <f aca="false">IF($H915="","",购销流水!$B233)</f>
        <v/>
      </c>
      <c r="F915" s="55" t="str">
        <f aca="false">IF($H915="","",购销流水!$C233)</f>
        <v/>
      </c>
      <c r="G915" s="48" t="str">
        <f aca="false">IF($H915="","",购销流水!$N233)</f>
        <v/>
      </c>
      <c r="H915" s="10" t="str">
        <f aca="false">IF($L915="","",IF($L915="@成本",购销流水!$U233,IF($L915="@收入",购销流水!$T233,IF($L915="@存货",购销流水!$S233,IF($L915="@结算",购销流水!$R233,$L915)))))</f>
        <v/>
      </c>
      <c r="I915" s="42" t="n">
        <f aca="false">IF($M915="借",$O915,0)</f>
        <v>0</v>
      </c>
      <c r="J915" s="42" t="n">
        <f aca="false">IF($M915="贷",$O915,0)</f>
        <v>0</v>
      </c>
      <c r="K915" s="48" t="str">
        <f aca="false">IF($H915="","",购销流水!$E233)</f>
        <v/>
      </c>
      <c r="L915" s="66" t="str">
        <f aca="false">IF(购销流水!$D233="","",IFERROR(INDEX(记账规则!$A$6:$N$9,MATCH(购销流水!$D233,记账规则!$A$6:$A$9,0),6),""))</f>
        <v/>
      </c>
      <c r="M915" s="66" t="str">
        <f aca="false">IF($L915="","",IFERROR(INDEX(记账规则!$A$6:$N$9,MATCH(购销流水!$D233,记账规则!$A$6:$A$9,0),7),""))</f>
        <v/>
      </c>
      <c r="N915" s="66" t="str">
        <f aca="false">IF($L915="","",IFERROR(INDEX(记账规则!$A$6:$N$9,MATCH(购销流水!$D233,记账规则!$A$6:$A$9,0),8),""))</f>
        <v/>
      </c>
      <c r="O915" s="67" t="n">
        <f aca="false">IF($H915="",0,ROUND(IF($N915="成本金额",N(购销流水!$W233),IF($N915="金额",N(购销流水!$Q233),0)),2))</f>
        <v>0</v>
      </c>
      <c r="P915" s="64" t="str">
        <f aca="false">IF(AND($H915&lt;&gt;"",ROUND($O915,2)&lt;&gt;0),"有","")</f>
        <v/>
      </c>
    </row>
    <row r="916" customFormat="false" ht="15" hidden="true" customHeight="false" outlineLevel="0" collapsed="false">
      <c r="A916" s="53" t="str">
        <f aca="false">IF($H916="","",ROW()-5)</f>
        <v/>
      </c>
      <c r="B916" s="64" t="s">
        <v>36</v>
      </c>
      <c r="C916" s="53" t="n">
        <v>233</v>
      </c>
      <c r="D916" s="53" t="n">
        <v>3</v>
      </c>
      <c r="E916" s="65" t="str">
        <f aca="false">IF($H916="","",购销流水!$B233)</f>
        <v/>
      </c>
      <c r="F916" s="55" t="str">
        <f aca="false">IF($H916="","",购销流水!$C233)</f>
        <v/>
      </c>
      <c r="G916" s="48" t="str">
        <f aca="false">IF($H916="","",购销流水!$N233)</f>
        <v/>
      </c>
      <c r="H916" s="10" t="str">
        <f aca="false">IF($L916="","",IF($L916="@成本",购销流水!$U233,IF($L916="@收入",购销流水!$T233,IF($L916="@存货",购销流水!$S233,IF($L916="@结算",购销流水!$R233,$L916)))))</f>
        <v/>
      </c>
      <c r="I916" s="42" t="n">
        <f aca="false">IF($M916="借",$O916,0)</f>
        <v>0</v>
      </c>
      <c r="J916" s="42" t="n">
        <f aca="false">IF($M916="贷",$O916,0)</f>
        <v>0</v>
      </c>
      <c r="K916" s="48" t="str">
        <f aca="false">IF($H916="","",购销流水!$E233)</f>
        <v/>
      </c>
      <c r="L916" s="66" t="str">
        <f aca="false">IF(购销流水!$D233="","",IFERROR(INDEX(记账规则!$A$6:$N$9,MATCH(购销流水!$D233,记账规则!$A$6:$A$9,0),9),""))</f>
        <v/>
      </c>
      <c r="M916" s="66" t="str">
        <f aca="false">IF($L916="","",IFERROR(INDEX(记账规则!$A$6:$N$9,MATCH(购销流水!$D233,记账规则!$A$6:$A$9,0),10),""))</f>
        <v/>
      </c>
      <c r="N916" s="66" t="str">
        <f aca="false">IF($L916="","",IFERROR(INDEX(记账规则!$A$6:$N$9,MATCH(购销流水!$D233,记账规则!$A$6:$A$9,0),11),""))</f>
        <v/>
      </c>
      <c r="O916" s="67" t="n">
        <f aca="false">IF($H916="",0,ROUND(IF($N916="成本金额",N(购销流水!$W233),IF($N916="金额",N(购销流水!$Q233),0)),2))</f>
        <v>0</v>
      </c>
      <c r="P916" s="64" t="str">
        <f aca="false">IF(AND($H916&lt;&gt;"",ROUND($O916,2)&lt;&gt;0),"有","")</f>
        <v/>
      </c>
    </row>
    <row r="917" customFormat="false" ht="15" hidden="true" customHeight="false" outlineLevel="0" collapsed="false">
      <c r="A917" s="53" t="str">
        <f aca="false">IF($H917="","",ROW()-5)</f>
        <v/>
      </c>
      <c r="B917" s="64" t="s">
        <v>36</v>
      </c>
      <c r="C917" s="53" t="n">
        <v>233</v>
      </c>
      <c r="D917" s="53" t="n">
        <v>4</v>
      </c>
      <c r="E917" s="65" t="str">
        <f aca="false">IF($H917="","",购销流水!$B233)</f>
        <v/>
      </c>
      <c r="F917" s="55" t="str">
        <f aca="false">IF($H917="","",购销流水!$C233)</f>
        <v/>
      </c>
      <c r="G917" s="48" t="str">
        <f aca="false">IF($H917="","",购销流水!$N233)</f>
        <v/>
      </c>
      <c r="H917" s="10" t="str">
        <f aca="false">IF($L917="","",IF($L917="@成本",购销流水!$U233,IF($L917="@收入",购销流水!$T233,IF($L917="@存货",购销流水!$S233,IF($L917="@结算",购销流水!$R233,$L917)))))</f>
        <v/>
      </c>
      <c r="I917" s="42" t="n">
        <f aca="false">IF($M917="借",$O917,0)</f>
        <v>0</v>
      </c>
      <c r="J917" s="42" t="n">
        <f aca="false">IF($M917="贷",$O917,0)</f>
        <v>0</v>
      </c>
      <c r="K917" s="48" t="str">
        <f aca="false">IF($H917="","",购销流水!$E233)</f>
        <v/>
      </c>
      <c r="L917" s="66" t="str">
        <f aca="false">IF(购销流水!$D233="","",IFERROR(INDEX(记账规则!$A$6:$N$9,MATCH(购销流水!$D233,记账规则!$A$6:$A$9,0),12),""))</f>
        <v/>
      </c>
      <c r="M917" s="66" t="str">
        <f aca="false">IF($L917="","",IFERROR(INDEX(记账规则!$A$6:$N$9,MATCH(购销流水!$D233,记账规则!$A$6:$A$9,0),13),""))</f>
        <v/>
      </c>
      <c r="N917" s="66" t="str">
        <f aca="false">IF($L917="","",IFERROR(INDEX(记账规则!$A$6:$N$9,MATCH(购销流水!$D233,记账规则!$A$6:$A$9,0),14),""))</f>
        <v/>
      </c>
      <c r="O917" s="67" t="n">
        <f aca="false">IF($H917="",0,ROUND(IF($N917="成本金额",N(购销流水!$W233),IF($N917="金额",N(购销流水!$Q233),0)),2))</f>
        <v>0</v>
      </c>
      <c r="P917" s="64" t="str">
        <f aca="false">IF(AND($H917&lt;&gt;"",ROUND($O917,2)&lt;&gt;0),"有","")</f>
        <v/>
      </c>
    </row>
    <row r="918" customFormat="false" ht="15" hidden="true" customHeight="false" outlineLevel="0" collapsed="false">
      <c r="A918" s="53" t="str">
        <f aca="false">IF($H918="","",ROW()-5)</f>
        <v/>
      </c>
      <c r="B918" s="64" t="s">
        <v>36</v>
      </c>
      <c r="C918" s="53" t="n">
        <v>234</v>
      </c>
      <c r="D918" s="53" t="n">
        <v>1</v>
      </c>
      <c r="E918" s="65" t="str">
        <f aca="false">IF($H918="","",购销流水!$B234)</f>
        <v/>
      </c>
      <c r="F918" s="55" t="str">
        <f aca="false">IF($H918="","",购销流水!$C234)</f>
        <v/>
      </c>
      <c r="G918" s="48" t="str">
        <f aca="false">IF($H918="","",购销流水!$N234)</f>
        <v/>
      </c>
      <c r="H918" s="10" t="str">
        <f aca="false">IF($L918="","",IF($L918="@成本",购销流水!$U234,IF($L918="@收入",购销流水!$T234,IF($L918="@存货",购销流水!$S234,IF($L918="@结算",购销流水!$R234,$L918)))))</f>
        <v/>
      </c>
      <c r="I918" s="42" t="n">
        <f aca="false">IF($M918="借",$O918,0)</f>
        <v>0</v>
      </c>
      <c r="J918" s="42" t="n">
        <f aca="false">IF($M918="贷",$O918,0)</f>
        <v>0</v>
      </c>
      <c r="K918" s="48" t="str">
        <f aca="false">IF($H918="","",购销流水!$E234)</f>
        <v/>
      </c>
      <c r="L918" s="66" t="str">
        <f aca="false">IF(购销流水!$D234="","",IFERROR(INDEX(记账规则!$A$6:$N$9,MATCH(购销流水!$D234,记账规则!$A$6:$A$9,0),3),""))</f>
        <v/>
      </c>
      <c r="M918" s="66" t="str">
        <f aca="false">IF($L918="","",IFERROR(INDEX(记账规则!$A$6:$N$9,MATCH(购销流水!$D234,记账规则!$A$6:$A$9,0),4),""))</f>
        <v/>
      </c>
      <c r="N918" s="66" t="str">
        <f aca="false">IF($L918="","",IFERROR(INDEX(记账规则!$A$6:$N$9,MATCH(购销流水!$D234,记账规则!$A$6:$A$9,0),5),""))</f>
        <v/>
      </c>
      <c r="O918" s="67" t="n">
        <f aca="false">IF($H918="",0,ROUND(IF($N918="成本金额",N(购销流水!$W234),IF($N918="金额",N(购销流水!$Q234),0)),2))</f>
        <v>0</v>
      </c>
      <c r="P918" s="64" t="str">
        <f aca="false">IF(AND($H918&lt;&gt;"",ROUND($O918,2)&lt;&gt;0),"有","")</f>
        <v/>
      </c>
    </row>
    <row r="919" customFormat="false" ht="15" hidden="true" customHeight="false" outlineLevel="0" collapsed="false">
      <c r="A919" s="53" t="str">
        <f aca="false">IF($H919="","",ROW()-5)</f>
        <v/>
      </c>
      <c r="B919" s="64" t="s">
        <v>36</v>
      </c>
      <c r="C919" s="53" t="n">
        <v>234</v>
      </c>
      <c r="D919" s="53" t="n">
        <v>2</v>
      </c>
      <c r="E919" s="65" t="str">
        <f aca="false">IF($H919="","",购销流水!$B234)</f>
        <v/>
      </c>
      <c r="F919" s="55" t="str">
        <f aca="false">IF($H919="","",购销流水!$C234)</f>
        <v/>
      </c>
      <c r="G919" s="48" t="str">
        <f aca="false">IF($H919="","",购销流水!$N234)</f>
        <v/>
      </c>
      <c r="H919" s="10" t="str">
        <f aca="false">IF($L919="","",IF($L919="@成本",购销流水!$U234,IF($L919="@收入",购销流水!$T234,IF($L919="@存货",购销流水!$S234,IF($L919="@结算",购销流水!$R234,$L919)))))</f>
        <v/>
      </c>
      <c r="I919" s="42" t="n">
        <f aca="false">IF($M919="借",$O919,0)</f>
        <v>0</v>
      </c>
      <c r="J919" s="42" t="n">
        <f aca="false">IF($M919="贷",$O919,0)</f>
        <v>0</v>
      </c>
      <c r="K919" s="48" t="str">
        <f aca="false">IF($H919="","",购销流水!$E234)</f>
        <v/>
      </c>
      <c r="L919" s="66" t="str">
        <f aca="false">IF(购销流水!$D234="","",IFERROR(INDEX(记账规则!$A$6:$N$9,MATCH(购销流水!$D234,记账规则!$A$6:$A$9,0),6),""))</f>
        <v/>
      </c>
      <c r="M919" s="66" t="str">
        <f aca="false">IF($L919="","",IFERROR(INDEX(记账规则!$A$6:$N$9,MATCH(购销流水!$D234,记账规则!$A$6:$A$9,0),7),""))</f>
        <v/>
      </c>
      <c r="N919" s="66" t="str">
        <f aca="false">IF($L919="","",IFERROR(INDEX(记账规则!$A$6:$N$9,MATCH(购销流水!$D234,记账规则!$A$6:$A$9,0),8),""))</f>
        <v/>
      </c>
      <c r="O919" s="67" t="n">
        <f aca="false">IF($H919="",0,ROUND(IF($N919="成本金额",N(购销流水!$W234),IF($N919="金额",N(购销流水!$Q234),0)),2))</f>
        <v>0</v>
      </c>
      <c r="P919" s="64" t="str">
        <f aca="false">IF(AND($H919&lt;&gt;"",ROUND($O919,2)&lt;&gt;0),"有","")</f>
        <v/>
      </c>
    </row>
    <row r="920" customFormat="false" ht="15" hidden="true" customHeight="false" outlineLevel="0" collapsed="false">
      <c r="A920" s="53" t="str">
        <f aca="false">IF($H920="","",ROW()-5)</f>
        <v/>
      </c>
      <c r="B920" s="64" t="s">
        <v>36</v>
      </c>
      <c r="C920" s="53" t="n">
        <v>234</v>
      </c>
      <c r="D920" s="53" t="n">
        <v>3</v>
      </c>
      <c r="E920" s="65" t="str">
        <f aca="false">IF($H920="","",购销流水!$B234)</f>
        <v/>
      </c>
      <c r="F920" s="55" t="str">
        <f aca="false">IF($H920="","",购销流水!$C234)</f>
        <v/>
      </c>
      <c r="G920" s="48" t="str">
        <f aca="false">IF($H920="","",购销流水!$N234)</f>
        <v/>
      </c>
      <c r="H920" s="10" t="str">
        <f aca="false">IF($L920="","",IF($L920="@成本",购销流水!$U234,IF($L920="@收入",购销流水!$T234,IF($L920="@存货",购销流水!$S234,IF($L920="@结算",购销流水!$R234,$L920)))))</f>
        <v/>
      </c>
      <c r="I920" s="42" t="n">
        <f aca="false">IF($M920="借",$O920,0)</f>
        <v>0</v>
      </c>
      <c r="J920" s="42" t="n">
        <f aca="false">IF($M920="贷",$O920,0)</f>
        <v>0</v>
      </c>
      <c r="K920" s="48" t="str">
        <f aca="false">IF($H920="","",购销流水!$E234)</f>
        <v/>
      </c>
      <c r="L920" s="66" t="str">
        <f aca="false">IF(购销流水!$D234="","",IFERROR(INDEX(记账规则!$A$6:$N$9,MATCH(购销流水!$D234,记账规则!$A$6:$A$9,0),9),""))</f>
        <v/>
      </c>
      <c r="M920" s="66" t="str">
        <f aca="false">IF($L920="","",IFERROR(INDEX(记账规则!$A$6:$N$9,MATCH(购销流水!$D234,记账规则!$A$6:$A$9,0),10),""))</f>
        <v/>
      </c>
      <c r="N920" s="66" t="str">
        <f aca="false">IF($L920="","",IFERROR(INDEX(记账规则!$A$6:$N$9,MATCH(购销流水!$D234,记账规则!$A$6:$A$9,0),11),""))</f>
        <v/>
      </c>
      <c r="O920" s="67" t="n">
        <f aca="false">IF($H920="",0,ROUND(IF($N920="成本金额",N(购销流水!$W234),IF($N920="金额",N(购销流水!$Q234),0)),2))</f>
        <v>0</v>
      </c>
      <c r="P920" s="64" t="str">
        <f aca="false">IF(AND($H920&lt;&gt;"",ROUND($O920,2)&lt;&gt;0),"有","")</f>
        <v/>
      </c>
    </row>
    <row r="921" customFormat="false" ht="15" hidden="true" customHeight="false" outlineLevel="0" collapsed="false">
      <c r="A921" s="53" t="str">
        <f aca="false">IF($H921="","",ROW()-5)</f>
        <v/>
      </c>
      <c r="B921" s="64" t="s">
        <v>36</v>
      </c>
      <c r="C921" s="53" t="n">
        <v>234</v>
      </c>
      <c r="D921" s="53" t="n">
        <v>4</v>
      </c>
      <c r="E921" s="65" t="str">
        <f aca="false">IF($H921="","",购销流水!$B234)</f>
        <v/>
      </c>
      <c r="F921" s="55" t="str">
        <f aca="false">IF($H921="","",购销流水!$C234)</f>
        <v/>
      </c>
      <c r="G921" s="48" t="str">
        <f aca="false">IF($H921="","",购销流水!$N234)</f>
        <v/>
      </c>
      <c r="H921" s="10" t="str">
        <f aca="false">IF($L921="","",IF($L921="@成本",购销流水!$U234,IF($L921="@收入",购销流水!$T234,IF($L921="@存货",购销流水!$S234,IF($L921="@结算",购销流水!$R234,$L921)))))</f>
        <v/>
      </c>
      <c r="I921" s="42" t="n">
        <f aca="false">IF($M921="借",$O921,0)</f>
        <v>0</v>
      </c>
      <c r="J921" s="42" t="n">
        <f aca="false">IF($M921="贷",$O921,0)</f>
        <v>0</v>
      </c>
      <c r="K921" s="48" t="str">
        <f aca="false">IF($H921="","",购销流水!$E234)</f>
        <v/>
      </c>
      <c r="L921" s="66" t="str">
        <f aca="false">IF(购销流水!$D234="","",IFERROR(INDEX(记账规则!$A$6:$N$9,MATCH(购销流水!$D234,记账规则!$A$6:$A$9,0),12),""))</f>
        <v/>
      </c>
      <c r="M921" s="66" t="str">
        <f aca="false">IF($L921="","",IFERROR(INDEX(记账规则!$A$6:$N$9,MATCH(购销流水!$D234,记账规则!$A$6:$A$9,0),13),""))</f>
        <v/>
      </c>
      <c r="N921" s="66" t="str">
        <f aca="false">IF($L921="","",IFERROR(INDEX(记账规则!$A$6:$N$9,MATCH(购销流水!$D234,记账规则!$A$6:$A$9,0),14),""))</f>
        <v/>
      </c>
      <c r="O921" s="67" t="n">
        <f aca="false">IF($H921="",0,ROUND(IF($N921="成本金额",N(购销流水!$W234),IF($N921="金额",N(购销流水!$Q234),0)),2))</f>
        <v>0</v>
      </c>
      <c r="P921" s="64" t="str">
        <f aca="false">IF(AND($H921&lt;&gt;"",ROUND($O921,2)&lt;&gt;0),"有","")</f>
        <v/>
      </c>
    </row>
    <row r="922" customFormat="false" ht="15" hidden="true" customHeight="false" outlineLevel="0" collapsed="false">
      <c r="A922" s="53" t="str">
        <f aca="false">IF($H922="","",ROW()-5)</f>
        <v/>
      </c>
      <c r="B922" s="64" t="s">
        <v>36</v>
      </c>
      <c r="C922" s="53" t="n">
        <v>235</v>
      </c>
      <c r="D922" s="53" t="n">
        <v>1</v>
      </c>
      <c r="E922" s="65" t="str">
        <f aca="false">IF($H922="","",购销流水!$B235)</f>
        <v/>
      </c>
      <c r="F922" s="55" t="str">
        <f aca="false">IF($H922="","",购销流水!$C235)</f>
        <v/>
      </c>
      <c r="G922" s="48" t="str">
        <f aca="false">IF($H922="","",购销流水!$N235)</f>
        <v/>
      </c>
      <c r="H922" s="10" t="str">
        <f aca="false">IF($L922="","",IF($L922="@成本",购销流水!$U235,IF($L922="@收入",购销流水!$T235,IF($L922="@存货",购销流水!$S235,IF($L922="@结算",购销流水!$R235,$L922)))))</f>
        <v/>
      </c>
      <c r="I922" s="42" t="n">
        <f aca="false">IF($M922="借",$O922,0)</f>
        <v>0</v>
      </c>
      <c r="J922" s="42" t="n">
        <f aca="false">IF($M922="贷",$O922,0)</f>
        <v>0</v>
      </c>
      <c r="K922" s="48" t="str">
        <f aca="false">IF($H922="","",购销流水!$E235)</f>
        <v/>
      </c>
      <c r="L922" s="66" t="str">
        <f aca="false">IF(购销流水!$D235="","",IFERROR(INDEX(记账规则!$A$6:$N$9,MATCH(购销流水!$D235,记账规则!$A$6:$A$9,0),3),""))</f>
        <v/>
      </c>
      <c r="M922" s="66" t="str">
        <f aca="false">IF($L922="","",IFERROR(INDEX(记账规则!$A$6:$N$9,MATCH(购销流水!$D235,记账规则!$A$6:$A$9,0),4),""))</f>
        <v/>
      </c>
      <c r="N922" s="66" t="str">
        <f aca="false">IF($L922="","",IFERROR(INDEX(记账规则!$A$6:$N$9,MATCH(购销流水!$D235,记账规则!$A$6:$A$9,0),5),""))</f>
        <v/>
      </c>
      <c r="O922" s="67" t="n">
        <f aca="false">IF($H922="",0,ROUND(IF($N922="成本金额",N(购销流水!$W235),IF($N922="金额",N(购销流水!$Q235),0)),2))</f>
        <v>0</v>
      </c>
      <c r="P922" s="64" t="str">
        <f aca="false">IF(AND($H922&lt;&gt;"",ROUND($O922,2)&lt;&gt;0),"有","")</f>
        <v/>
      </c>
    </row>
    <row r="923" customFormat="false" ht="15" hidden="true" customHeight="false" outlineLevel="0" collapsed="false">
      <c r="A923" s="53" t="str">
        <f aca="false">IF($H923="","",ROW()-5)</f>
        <v/>
      </c>
      <c r="B923" s="64" t="s">
        <v>36</v>
      </c>
      <c r="C923" s="53" t="n">
        <v>235</v>
      </c>
      <c r="D923" s="53" t="n">
        <v>2</v>
      </c>
      <c r="E923" s="65" t="str">
        <f aca="false">IF($H923="","",购销流水!$B235)</f>
        <v/>
      </c>
      <c r="F923" s="55" t="str">
        <f aca="false">IF($H923="","",购销流水!$C235)</f>
        <v/>
      </c>
      <c r="G923" s="48" t="str">
        <f aca="false">IF($H923="","",购销流水!$N235)</f>
        <v/>
      </c>
      <c r="H923" s="10" t="str">
        <f aca="false">IF($L923="","",IF($L923="@成本",购销流水!$U235,IF($L923="@收入",购销流水!$T235,IF($L923="@存货",购销流水!$S235,IF($L923="@结算",购销流水!$R235,$L923)))))</f>
        <v/>
      </c>
      <c r="I923" s="42" t="n">
        <f aca="false">IF($M923="借",$O923,0)</f>
        <v>0</v>
      </c>
      <c r="J923" s="42" t="n">
        <f aca="false">IF($M923="贷",$O923,0)</f>
        <v>0</v>
      </c>
      <c r="K923" s="48" t="str">
        <f aca="false">IF($H923="","",购销流水!$E235)</f>
        <v/>
      </c>
      <c r="L923" s="66" t="str">
        <f aca="false">IF(购销流水!$D235="","",IFERROR(INDEX(记账规则!$A$6:$N$9,MATCH(购销流水!$D235,记账规则!$A$6:$A$9,0),6),""))</f>
        <v/>
      </c>
      <c r="M923" s="66" t="str">
        <f aca="false">IF($L923="","",IFERROR(INDEX(记账规则!$A$6:$N$9,MATCH(购销流水!$D235,记账规则!$A$6:$A$9,0),7),""))</f>
        <v/>
      </c>
      <c r="N923" s="66" t="str">
        <f aca="false">IF($L923="","",IFERROR(INDEX(记账规则!$A$6:$N$9,MATCH(购销流水!$D235,记账规则!$A$6:$A$9,0),8),""))</f>
        <v/>
      </c>
      <c r="O923" s="67" t="n">
        <f aca="false">IF($H923="",0,ROUND(IF($N923="成本金额",N(购销流水!$W235),IF($N923="金额",N(购销流水!$Q235),0)),2))</f>
        <v>0</v>
      </c>
      <c r="P923" s="64" t="str">
        <f aca="false">IF(AND($H923&lt;&gt;"",ROUND($O923,2)&lt;&gt;0),"有","")</f>
        <v/>
      </c>
    </row>
    <row r="924" customFormat="false" ht="15" hidden="true" customHeight="false" outlineLevel="0" collapsed="false">
      <c r="A924" s="53" t="str">
        <f aca="false">IF($H924="","",ROW()-5)</f>
        <v/>
      </c>
      <c r="B924" s="64" t="s">
        <v>36</v>
      </c>
      <c r="C924" s="53" t="n">
        <v>235</v>
      </c>
      <c r="D924" s="53" t="n">
        <v>3</v>
      </c>
      <c r="E924" s="65" t="str">
        <f aca="false">IF($H924="","",购销流水!$B235)</f>
        <v/>
      </c>
      <c r="F924" s="55" t="str">
        <f aca="false">IF($H924="","",购销流水!$C235)</f>
        <v/>
      </c>
      <c r="G924" s="48" t="str">
        <f aca="false">IF($H924="","",购销流水!$N235)</f>
        <v/>
      </c>
      <c r="H924" s="10" t="str">
        <f aca="false">IF($L924="","",IF($L924="@成本",购销流水!$U235,IF($L924="@收入",购销流水!$T235,IF($L924="@存货",购销流水!$S235,IF($L924="@结算",购销流水!$R235,$L924)))))</f>
        <v/>
      </c>
      <c r="I924" s="42" t="n">
        <f aca="false">IF($M924="借",$O924,0)</f>
        <v>0</v>
      </c>
      <c r="J924" s="42" t="n">
        <f aca="false">IF($M924="贷",$O924,0)</f>
        <v>0</v>
      </c>
      <c r="K924" s="48" t="str">
        <f aca="false">IF($H924="","",购销流水!$E235)</f>
        <v/>
      </c>
      <c r="L924" s="66" t="str">
        <f aca="false">IF(购销流水!$D235="","",IFERROR(INDEX(记账规则!$A$6:$N$9,MATCH(购销流水!$D235,记账规则!$A$6:$A$9,0),9),""))</f>
        <v/>
      </c>
      <c r="M924" s="66" t="str">
        <f aca="false">IF($L924="","",IFERROR(INDEX(记账规则!$A$6:$N$9,MATCH(购销流水!$D235,记账规则!$A$6:$A$9,0),10),""))</f>
        <v/>
      </c>
      <c r="N924" s="66" t="str">
        <f aca="false">IF($L924="","",IFERROR(INDEX(记账规则!$A$6:$N$9,MATCH(购销流水!$D235,记账规则!$A$6:$A$9,0),11),""))</f>
        <v/>
      </c>
      <c r="O924" s="67" t="n">
        <f aca="false">IF($H924="",0,ROUND(IF($N924="成本金额",N(购销流水!$W235),IF($N924="金额",N(购销流水!$Q235),0)),2))</f>
        <v>0</v>
      </c>
      <c r="P924" s="64" t="str">
        <f aca="false">IF(AND($H924&lt;&gt;"",ROUND($O924,2)&lt;&gt;0),"有","")</f>
        <v/>
      </c>
    </row>
    <row r="925" customFormat="false" ht="15" hidden="true" customHeight="false" outlineLevel="0" collapsed="false">
      <c r="A925" s="53" t="str">
        <f aca="false">IF($H925="","",ROW()-5)</f>
        <v/>
      </c>
      <c r="B925" s="64" t="s">
        <v>36</v>
      </c>
      <c r="C925" s="53" t="n">
        <v>235</v>
      </c>
      <c r="D925" s="53" t="n">
        <v>4</v>
      </c>
      <c r="E925" s="65" t="str">
        <f aca="false">IF($H925="","",购销流水!$B235)</f>
        <v/>
      </c>
      <c r="F925" s="55" t="str">
        <f aca="false">IF($H925="","",购销流水!$C235)</f>
        <v/>
      </c>
      <c r="G925" s="48" t="str">
        <f aca="false">IF($H925="","",购销流水!$N235)</f>
        <v/>
      </c>
      <c r="H925" s="10" t="str">
        <f aca="false">IF($L925="","",IF($L925="@成本",购销流水!$U235,IF($L925="@收入",购销流水!$T235,IF($L925="@存货",购销流水!$S235,IF($L925="@结算",购销流水!$R235,$L925)))))</f>
        <v/>
      </c>
      <c r="I925" s="42" t="n">
        <f aca="false">IF($M925="借",$O925,0)</f>
        <v>0</v>
      </c>
      <c r="J925" s="42" t="n">
        <f aca="false">IF($M925="贷",$O925,0)</f>
        <v>0</v>
      </c>
      <c r="K925" s="48" t="str">
        <f aca="false">IF($H925="","",购销流水!$E235)</f>
        <v/>
      </c>
      <c r="L925" s="66" t="str">
        <f aca="false">IF(购销流水!$D235="","",IFERROR(INDEX(记账规则!$A$6:$N$9,MATCH(购销流水!$D235,记账规则!$A$6:$A$9,0),12),""))</f>
        <v/>
      </c>
      <c r="M925" s="66" t="str">
        <f aca="false">IF($L925="","",IFERROR(INDEX(记账规则!$A$6:$N$9,MATCH(购销流水!$D235,记账规则!$A$6:$A$9,0),13),""))</f>
        <v/>
      </c>
      <c r="N925" s="66" t="str">
        <f aca="false">IF($L925="","",IFERROR(INDEX(记账规则!$A$6:$N$9,MATCH(购销流水!$D235,记账规则!$A$6:$A$9,0),14),""))</f>
        <v/>
      </c>
      <c r="O925" s="67" t="n">
        <f aca="false">IF($H925="",0,ROUND(IF($N925="成本金额",N(购销流水!$W235),IF($N925="金额",N(购销流水!$Q235),0)),2))</f>
        <v>0</v>
      </c>
      <c r="P925" s="64" t="str">
        <f aca="false">IF(AND($H925&lt;&gt;"",ROUND($O925,2)&lt;&gt;0),"有","")</f>
        <v/>
      </c>
    </row>
    <row r="926" customFormat="false" ht="15" hidden="true" customHeight="false" outlineLevel="0" collapsed="false">
      <c r="A926" s="53" t="str">
        <f aca="false">IF($H926="","",ROW()-5)</f>
        <v/>
      </c>
      <c r="B926" s="64" t="s">
        <v>36</v>
      </c>
      <c r="C926" s="53" t="n">
        <v>236</v>
      </c>
      <c r="D926" s="53" t="n">
        <v>1</v>
      </c>
      <c r="E926" s="65" t="str">
        <f aca="false">IF($H926="","",购销流水!$B236)</f>
        <v/>
      </c>
      <c r="F926" s="55" t="str">
        <f aca="false">IF($H926="","",购销流水!$C236)</f>
        <v/>
      </c>
      <c r="G926" s="48" t="str">
        <f aca="false">IF($H926="","",购销流水!$N236)</f>
        <v/>
      </c>
      <c r="H926" s="10" t="str">
        <f aca="false">IF($L926="","",IF($L926="@成本",购销流水!$U236,IF($L926="@收入",购销流水!$T236,IF($L926="@存货",购销流水!$S236,IF($L926="@结算",购销流水!$R236,$L926)))))</f>
        <v/>
      </c>
      <c r="I926" s="42" t="n">
        <f aca="false">IF($M926="借",$O926,0)</f>
        <v>0</v>
      </c>
      <c r="J926" s="42" t="n">
        <f aca="false">IF($M926="贷",$O926,0)</f>
        <v>0</v>
      </c>
      <c r="K926" s="48" t="str">
        <f aca="false">IF($H926="","",购销流水!$E236)</f>
        <v/>
      </c>
      <c r="L926" s="66" t="str">
        <f aca="false">IF(购销流水!$D236="","",IFERROR(INDEX(记账规则!$A$6:$N$9,MATCH(购销流水!$D236,记账规则!$A$6:$A$9,0),3),""))</f>
        <v/>
      </c>
      <c r="M926" s="66" t="str">
        <f aca="false">IF($L926="","",IFERROR(INDEX(记账规则!$A$6:$N$9,MATCH(购销流水!$D236,记账规则!$A$6:$A$9,0),4),""))</f>
        <v/>
      </c>
      <c r="N926" s="66" t="str">
        <f aca="false">IF($L926="","",IFERROR(INDEX(记账规则!$A$6:$N$9,MATCH(购销流水!$D236,记账规则!$A$6:$A$9,0),5),""))</f>
        <v/>
      </c>
      <c r="O926" s="67" t="n">
        <f aca="false">IF($H926="",0,ROUND(IF($N926="成本金额",N(购销流水!$W236),IF($N926="金额",N(购销流水!$Q236),0)),2))</f>
        <v>0</v>
      </c>
      <c r="P926" s="64" t="str">
        <f aca="false">IF(AND($H926&lt;&gt;"",ROUND($O926,2)&lt;&gt;0),"有","")</f>
        <v/>
      </c>
    </row>
    <row r="927" customFormat="false" ht="15" hidden="true" customHeight="false" outlineLevel="0" collapsed="false">
      <c r="A927" s="53" t="str">
        <f aca="false">IF($H927="","",ROW()-5)</f>
        <v/>
      </c>
      <c r="B927" s="64" t="s">
        <v>36</v>
      </c>
      <c r="C927" s="53" t="n">
        <v>236</v>
      </c>
      <c r="D927" s="53" t="n">
        <v>2</v>
      </c>
      <c r="E927" s="65" t="str">
        <f aca="false">IF($H927="","",购销流水!$B236)</f>
        <v/>
      </c>
      <c r="F927" s="55" t="str">
        <f aca="false">IF($H927="","",购销流水!$C236)</f>
        <v/>
      </c>
      <c r="G927" s="48" t="str">
        <f aca="false">IF($H927="","",购销流水!$N236)</f>
        <v/>
      </c>
      <c r="H927" s="10" t="str">
        <f aca="false">IF($L927="","",IF($L927="@成本",购销流水!$U236,IF($L927="@收入",购销流水!$T236,IF($L927="@存货",购销流水!$S236,IF($L927="@结算",购销流水!$R236,$L927)))))</f>
        <v/>
      </c>
      <c r="I927" s="42" t="n">
        <f aca="false">IF($M927="借",$O927,0)</f>
        <v>0</v>
      </c>
      <c r="J927" s="42" t="n">
        <f aca="false">IF($M927="贷",$O927,0)</f>
        <v>0</v>
      </c>
      <c r="K927" s="48" t="str">
        <f aca="false">IF($H927="","",购销流水!$E236)</f>
        <v/>
      </c>
      <c r="L927" s="66" t="str">
        <f aca="false">IF(购销流水!$D236="","",IFERROR(INDEX(记账规则!$A$6:$N$9,MATCH(购销流水!$D236,记账规则!$A$6:$A$9,0),6),""))</f>
        <v/>
      </c>
      <c r="M927" s="66" t="str">
        <f aca="false">IF($L927="","",IFERROR(INDEX(记账规则!$A$6:$N$9,MATCH(购销流水!$D236,记账规则!$A$6:$A$9,0),7),""))</f>
        <v/>
      </c>
      <c r="N927" s="66" t="str">
        <f aca="false">IF($L927="","",IFERROR(INDEX(记账规则!$A$6:$N$9,MATCH(购销流水!$D236,记账规则!$A$6:$A$9,0),8),""))</f>
        <v/>
      </c>
      <c r="O927" s="67" t="n">
        <f aca="false">IF($H927="",0,ROUND(IF($N927="成本金额",N(购销流水!$W236),IF($N927="金额",N(购销流水!$Q236),0)),2))</f>
        <v>0</v>
      </c>
      <c r="P927" s="64" t="str">
        <f aca="false">IF(AND($H927&lt;&gt;"",ROUND($O927,2)&lt;&gt;0),"有","")</f>
        <v/>
      </c>
    </row>
    <row r="928" customFormat="false" ht="15" hidden="true" customHeight="false" outlineLevel="0" collapsed="false">
      <c r="A928" s="53" t="str">
        <f aca="false">IF($H928="","",ROW()-5)</f>
        <v/>
      </c>
      <c r="B928" s="64" t="s">
        <v>36</v>
      </c>
      <c r="C928" s="53" t="n">
        <v>236</v>
      </c>
      <c r="D928" s="53" t="n">
        <v>3</v>
      </c>
      <c r="E928" s="65" t="str">
        <f aca="false">IF($H928="","",购销流水!$B236)</f>
        <v/>
      </c>
      <c r="F928" s="55" t="str">
        <f aca="false">IF($H928="","",购销流水!$C236)</f>
        <v/>
      </c>
      <c r="G928" s="48" t="str">
        <f aca="false">IF($H928="","",购销流水!$N236)</f>
        <v/>
      </c>
      <c r="H928" s="10" t="str">
        <f aca="false">IF($L928="","",IF($L928="@成本",购销流水!$U236,IF($L928="@收入",购销流水!$T236,IF($L928="@存货",购销流水!$S236,IF($L928="@结算",购销流水!$R236,$L928)))))</f>
        <v/>
      </c>
      <c r="I928" s="42" t="n">
        <f aca="false">IF($M928="借",$O928,0)</f>
        <v>0</v>
      </c>
      <c r="J928" s="42" t="n">
        <f aca="false">IF($M928="贷",$O928,0)</f>
        <v>0</v>
      </c>
      <c r="K928" s="48" t="str">
        <f aca="false">IF($H928="","",购销流水!$E236)</f>
        <v/>
      </c>
      <c r="L928" s="66" t="str">
        <f aca="false">IF(购销流水!$D236="","",IFERROR(INDEX(记账规则!$A$6:$N$9,MATCH(购销流水!$D236,记账规则!$A$6:$A$9,0),9),""))</f>
        <v/>
      </c>
      <c r="M928" s="66" t="str">
        <f aca="false">IF($L928="","",IFERROR(INDEX(记账规则!$A$6:$N$9,MATCH(购销流水!$D236,记账规则!$A$6:$A$9,0),10),""))</f>
        <v/>
      </c>
      <c r="N928" s="66" t="str">
        <f aca="false">IF($L928="","",IFERROR(INDEX(记账规则!$A$6:$N$9,MATCH(购销流水!$D236,记账规则!$A$6:$A$9,0),11),""))</f>
        <v/>
      </c>
      <c r="O928" s="67" t="n">
        <f aca="false">IF($H928="",0,ROUND(IF($N928="成本金额",N(购销流水!$W236),IF($N928="金额",N(购销流水!$Q236),0)),2))</f>
        <v>0</v>
      </c>
      <c r="P928" s="64" t="str">
        <f aca="false">IF(AND($H928&lt;&gt;"",ROUND($O928,2)&lt;&gt;0),"有","")</f>
        <v/>
      </c>
    </row>
    <row r="929" customFormat="false" ht="15" hidden="true" customHeight="false" outlineLevel="0" collapsed="false">
      <c r="A929" s="53" t="str">
        <f aca="false">IF($H929="","",ROW()-5)</f>
        <v/>
      </c>
      <c r="B929" s="64" t="s">
        <v>36</v>
      </c>
      <c r="C929" s="53" t="n">
        <v>236</v>
      </c>
      <c r="D929" s="53" t="n">
        <v>4</v>
      </c>
      <c r="E929" s="65" t="str">
        <f aca="false">IF($H929="","",购销流水!$B236)</f>
        <v/>
      </c>
      <c r="F929" s="55" t="str">
        <f aca="false">IF($H929="","",购销流水!$C236)</f>
        <v/>
      </c>
      <c r="G929" s="48" t="str">
        <f aca="false">IF($H929="","",购销流水!$N236)</f>
        <v/>
      </c>
      <c r="H929" s="10" t="str">
        <f aca="false">IF($L929="","",IF($L929="@成本",购销流水!$U236,IF($L929="@收入",购销流水!$T236,IF($L929="@存货",购销流水!$S236,IF($L929="@结算",购销流水!$R236,$L929)))))</f>
        <v/>
      </c>
      <c r="I929" s="42" t="n">
        <f aca="false">IF($M929="借",$O929,0)</f>
        <v>0</v>
      </c>
      <c r="J929" s="42" t="n">
        <f aca="false">IF($M929="贷",$O929,0)</f>
        <v>0</v>
      </c>
      <c r="K929" s="48" t="str">
        <f aca="false">IF($H929="","",购销流水!$E236)</f>
        <v/>
      </c>
      <c r="L929" s="66" t="str">
        <f aca="false">IF(购销流水!$D236="","",IFERROR(INDEX(记账规则!$A$6:$N$9,MATCH(购销流水!$D236,记账规则!$A$6:$A$9,0),12),""))</f>
        <v/>
      </c>
      <c r="M929" s="66" t="str">
        <f aca="false">IF($L929="","",IFERROR(INDEX(记账规则!$A$6:$N$9,MATCH(购销流水!$D236,记账规则!$A$6:$A$9,0),13),""))</f>
        <v/>
      </c>
      <c r="N929" s="66" t="str">
        <f aca="false">IF($L929="","",IFERROR(INDEX(记账规则!$A$6:$N$9,MATCH(购销流水!$D236,记账规则!$A$6:$A$9,0),14),""))</f>
        <v/>
      </c>
      <c r="O929" s="67" t="n">
        <f aca="false">IF($H929="",0,ROUND(IF($N929="成本金额",N(购销流水!$W236),IF($N929="金额",N(购销流水!$Q236),0)),2))</f>
        <v>0</v>
      </c>
      <c r="P929" s="64" t="str">
        <f aca="false">IF(AND($H929&lt;&gt;"",ROUND($O929,2)&lt;&gt;0),"有","")</f>
        <v/>
      </c>
    </row>
    <row r="930" customFormat="false" ht="15" hidden="true" customHeight="false" outlineLevel="0" collapsed="false">
      <c r="A930" s="53" t="str">
        <f aca="false">IF($H930="","",ROW()-5)</f>
        <v/>
      </c>
      <c r="B930" s="64" t="s">
        <v>36</v>
      </c>
      <c r="C930" s="53" t="n">
        <v>237</v>
      </c>
      <c r="D930" s="53" t="n">
        <v>1</v>
      </c>
      <c r="E930" s="65" t="str">
        <f aca="false">IF($H930="","",购销流水!$B237)</f>
        <v/>
      </c>
      <c r="F930" s="55" t="str">
        <f aca="false">IF($H930="","",购销流水!$C237)</f>
        <v/>
      </c>
      <c r="G930" s="48" t="str">
        <f aca="false">IF($H930="","",购销流水!$N237)</f>
        <v/>
      </c>
      <c r="H930" s="10" t="str">
        <f aca="false">IF($L930="","",IF($L930="@成本",购销流水!$U237,IF($L930="@收入",购销流水!$T237,IF($L930="@存货",购销流水!$S237,IF($L930="@结算",购销流水!$R237,$L930)))))</f>
        <v/>
      </c>
      <c r="I930" s="42" t="n">
        <f aca="false">IF($M930="借",$O930,0)</f>
        <v>0</v>
      </c>
      <c r="J930" s="42" t="n">
        <f aca="false">IF($M930="贷",$O930,0)</f>
        <v>0</v>
      </c>
      <c r="K930" s="48" t="str">
        <f aca="false">IF($H930="","",购销流水!$E237)</f>
        <v/>
      </c>
      <c r="L930" s="66" t="str">
        <f aca="false">IF(购销流水!$D237="","",IFERROR(INDEX(记账规则!$A$6:$N$9,MATCH(购销流水!$D237,记账规则!$A$6:$A$9,0),3),""))</f>
        <v/>
      </c>
      <c r="M930" s="66" t="str">
        <f aca="false">IF($L930="","",IFERROR(INDEX(记账规则!$A$6:$N$9,MATCH(购销流水!$D237,记账规则!$A$6:$A$9,0),4),""))</f>
        <v/>
      </c>
      <c r="N930" s="66" t="str">
        <f aca="false">IF($L930="","",IFERROR(INDEX(记账规则!$A$6:$N$9,MATCH(购销流水!$D237,记账规则!$A$6:$A$9,0),5),""))</f>
        <v/>
      </c>
      <c r="O930" s="67" t="n">
        <f aca="false">IF($H930="",0,ROUND(IF($N930="成本金额",N(购销流水!$W237),IF($N930="金额",N(购销流水!$Q237),0)),2))</f>
        <v>0</v>
      </c>
      <c r="P930" s="64" t="str">
        <f aca="false">IF(AND($H930&lt;&gt;"",ROUND($O930,2)&lt;&gt;0),"有","")</f>
        <v/>
      </c>
    </row>
    <row r="931" customFormat="false" ht="15" hidden="true" customHeight="false" outlineLevel="0" collapsed="false">
      <c r="A931" s="53" t="str">
        <f aca="false">IF($H931="","",ROW()-5)</f>
        <v/>
      </c>
      <c r="B931" s="64" t="s">
        <v>36</v>
      </c>
      <c r="C931" s="53" t="n">
        <v>237</v>
      </c>
      <c r="D931" s="53" t="n">
        <v>2</v>
      </c>
      <c r="E931" s="65" t="str">
        <f aca="false">IF($H931="","",购销流水!$B237)</f>
        <v/>
      </c>
      <c r="F931" s="55" t="str">
        <f aca="false">IF($H931="","",购销流水!$C237)</f>
        <v/>
      </c>
      <c r="G931" s="48" t="str">
        <f aca="false">IF($H931="","",购销流水!$N237)</f>
        <v/>
      </c>
      <c r="H931" s="10" t="str">
        <f aca="false">IF($L931="","",IF($L931="@成本",购销流水!$U237,IF($L931="@收入",购销流水!$T237,IF($L931="@存货",购销流水!$S237,IF($L931="@结算",购销流水!$R237,$L931)))))</f>
        <v/>
      </c>
      <c r="I931" s="42" t="n">
        <f aca="false">IF($M931="借",$O931,0)</f>
        <v>0</v>
      </c>
      <c r="J931" s="42" t="n">
        <f aca="false">IF($M931="贷",$O931,0)</f>
        <v>0</v>
      </c>
      <c r="K931" s="48" t="str">
        <f aca="false">IF($H931="","",购销流水!$E237)</f>
        <v/>
      </c>
      <c r="L931" s="66" t="str">
        <f aca="false">IF(购销流水!$D237="","",IFERROR(INDEX(记账规则!$A$6:$N$9,MATCH(购销流水!$D237,记账规则!$A$6:$A$9,0),6),""))</f>
        <v/>
      </c>
      <c r="M931" s="66" t="str">
        <f aca="false">IF($L931="","",IFERROR(INDEX(记账规则!$A$6:$N$9,MATCH(购销流水!$D237,记账规则!$A$6:$A$9,0),7),""))</f>
        <v/>
      </c>
      <c r="N931" s="66" t="str">
        <f aca="false">IF($L931="","",IFERROR(INDEX(记账规则!$A$6:$N$9,MATCH(购销流水!$D237,记账规则!$A$6:$A$9,0),8),""))</f>
        <v/>
      </c>
      <c r="O931" s="67" t="n">
        <f aca="false">IF($H931="",0,ROUND(IF($N931="成本金额",N(购销流水!$W237),IF($N931="金额",N(购销流水!$Q237),0)),2))</f>
        <v>0</v>
      </c>
      <c r="P931" s="64" t="str">
        <f aca="false">IF(AND($H931&lt;&gt;"",ROUND($O931,2)&lt;&gt;0),"有","")</f>
        <v/>
      </c>
    </row>
    <row r="932" customFormat="false" ht="15" hidden="true" customHeight="false" outlineLevel="0" collapsed="false">
      <c r="A932" s="53" t="str">
        <f aca="false">IF($H932="","",ROW()-5)</f>
        <v/>
      </c>
      <c r="B932" s="64" t="s">
        <v>36</v>
      </c>
      <c r="C932" s="53" t="n">
        <v>237</v>
      </c>
      <c r="D932" s="53" t="n">
        <v>3</v>
      </c>
      <c r="E932" s="65" t="str">
        <f aca="false">IF($H932="","",购销流水!$B237)</f>
        <v/>
      </c>
      <c r="F932" s="55" t="str">
        <f aca="false">IF($H932="","",购销流水!$C237)</f>
        <v/>
      </c>
      <c r="G932" s="48" t="str">
        <f aca="false">IF($H932="","",购销流水!$N237)</f>
        <v/>
      </c>
      <c r="H932" s="10" t="str">
        <f aca="false">IF($L932="","",IF($L932="@成本",购销流水!$U237,IF($L932="@收入",购销流水!$T237,IF($L932="@存货",购销流水!$S237,IF($L932="@结算",购销流水!$R237,$L932)))))</f>
        <v/>
      </c>
      <c r="I932" s="42" t="n">
        <f aca="false">IF($M932="借",$O932,0)</f>
        <v>0</v>
      </c>
      <c r="J932" s="42" t="n">
        <f aca="false">IF($M932="贷",$O932,0)</f>
        <v>0</v>
      </c>
      <c r="K932" s="48" t="str">
        <f aca="false">IF($H932="","",购销流水!$E237)</f>
        <v/>
      </c>
      <c r="L932" s="66" t="str">
        <f aca="false">IF(购销流水!$D237="","",IFERROR(INDEX(记账规则!$A$6:$N$9,MATCH(购销流水!$D237,记账规则!$A$6:$A$9,0),9),""))</f>
        <v/>
      </c>
      <c r="M932" s="66" t="str">
        <f aca="false">IF($L932="","",IFERROR(INDEX(记账规则!$A$6:$N$9,MATCH(购销流水!$D237,记账规则!$A$6:$A$9,0),10),""))</f>
        <v/>
      </c>
      <c r="N932" s="66" t="str">
        <f aca="false">IF($L932="","",IFERROR(INDEX(记账规则!$A$6:$N$9,MATCH(购销流水!$D237,记账规则!$A$6:$A$9,0),11),""))</f>
        <v/>
      </c>
      <c r="O932" s="67" t="n">
        <f aca="false">IF($H932="",0,ROUND(IF($N932="成本金额",N(购销流水!$W237),IF($N932="金额",N(购销流水!$Q237),0)),2))</f>
        <v>0</v>
      </c>
      <c r="P932" s="64" t="str">
        <f aca="false">IF(AND($H932&lt;&gt;"",ROUND($O932,2)&lt;&gt;0),"有","")</f>
        <v/>
      </c>
    </row>
    <row r="933" customFormat="false" ht="15" hidden="true" customHeight="false" outlineLevel="0" collapsed="false">
      <c r="A933" s="53" t="str">
        <f aca="false">IF($H933="","",ROW()-5)</f>
        <v/>
      </c>
      <c r="B933" s="64" t="s">
        <v>36</v>
      </c>
      <c r="C933" s="53" t="n">
        <v>237</v>
      </c>
      <c r="D933" s="53" t="n">
        <v>4</v>
      </c>
      <c r="E933" s="65" t="str">
        <f aca="false">IF($H933="","",购销流水!$B237)</f>
        <v/>
      </c>
      <c r="F933" s="55" t="str">
        <f aca="false">IF($H933="","",购销流水!$C237)</f>
        <v/>
      </c>
      <c r="G933" s="48" t="str">
        <f aca="false">IF($H933="","",购销流水!$N237)</f>
        <v/>
      </c>
      <c r="H933" s="10" t="str">
        <f aca="false">IF($L933="","",IF($L933="@成本",购销流水!$U237,IF($L933="@收入",购销流水!$T237,IF($L933="@存货",购销流水!$S237,IF($L933="@结算",购销流水!$R237,$L933)))))</f>
        <v/>
      </c>
      <c r="I933" s="42" t="n">
        <f aca="false">IF($M933="借",$O933,0)</f>
        <v>0</v>
      </c>
      <c r="J933" s="42" t="n">
        <f aca="false">IF($M933="贷",$O933,0)</f>
        <v>0</v>
      </c>
      <c r="K933" s="48" t="str">
        <f aca="false">IF($H933="","",购销流水!$E237)</f>
        <v/>
      </c>
      <c r="L933" s="66" t="str">
        <f aca="false">IF(购销流水!$D237="","",IFERROR(INDEX(记账规则!$A$6:$N$9,MATCH(购销流水!$D237,记账规则!$A$6:$A$9,0),12),""))</f>
        <v/>
      </c>
      <c r="M933" s="66" t="str">
        <f aca="false">IF($L933="","",IFERROR(INDEX(记账规则!$A$6:$N$9,MATCH(购销流水!$D237,记账规则!$A$6:$A$9,0),13),""))</f>
        <v/>
      </c>
      <c r="N933" s="66" t="str">
        <f aca="false">IF($L933="","",IFERROR(INDEX(记账规则!$A$6:$N$9,MATCH(购销流水!$D237,记账规则!$A$6:$A$9,0),14),""))</f>
        <v/>
      </c>
      <c r="O933" s="67" t="n">
        <f aca="false">IF($H933="",0,ROUND(IF($N933="成本金额",N(购销流水!$W237),IF($N933="金额",N(购销流水!$Q237),0)),2))</f>
        <v>0</v>
      </c>
      <c r="P933" s="64" t="str">
        <f aca="false">IF(AND($H933&lt;&gt;"",ROUND($O933,2)&lt;&gt;0),"有","")</f>
        <v/>
      </c>
    </row>
    <row r="934" customFormat="false" ht="15" hidden="true" customHeight="false" outlineLevel="0" collapsed="false">
      <c r="A934" s="53" t="str">
        <f aca="false">IF($H934="","",ROW()-5)</f>
        <v/>
      </c>
      <c r="B934" s="64" t="s">
        <v>36</v>
      </c>
      <c r="C934" s="53" t="n">
        <v>238</v>
      </c>
      <c r="D934" s="53" t="n">
        <v>1</v>
      </c>
      <c r="E934" s="65" t="str">
        <f aca="false">IF($H934="","",购销流水!$B238)</f>
        <v/>
      </c>
      <c r="F934" s="55" t="str">
        <f aca="false">IF($H934="","",购销流水!$C238)</f>
        <v/>
      </c>
      <c r="G934" s="48" t="str">
        <f aca="false">IF($H934="","",购销流水!$N238)</f>
        <v/>
      </c>
      <c r="H934" s="10" t="str">
        <f aca="false">IF($L934="","",IF($L934="@成本",购销流水!$U238,IF($L934="@收入",购销流水!$T238,IF($L934="@存货",购销流水!$S238,IF($L934="@结算",购销流水!$R238,$L934)))))</f>
        <v/>
      </c>
      <c r="I934" s="42" t="n">
        <f aca="false">IF($M934="借",$O934,0)</f>
        <v>0</v>
      </c>
      <c r="J934" s="42" t="n">
        <f aca="false">IF($M934="贷",$O934,0)</f>
        <v>0</v>
      </c>
      <c r="K934" s="48" t="str">
        <f aca="false">IF($H934="","",购销流水!$E238)</f>
        <v/>
      </c>
      <c r="L934" s="66" t="str">
        <f aca="false">IF(购销流水!$D238="","",IFERROR(INDEX(记账规则!$A$6:$N$9,MATCH(购销流水!$D238,记账规则!$A$6:$A$9,0),3),""))</f>
        <v/>
      </c>
      <c r="M934" s="66" t="str">
        <f aca="false">IF($L934="","",IFERROR(INDEX(记账规则!$A$6:$N$9,MATCH(购销流水!$D238,记账规则!$A$6:$A$9,0),4),""))</f>
        <v/>
      </c>
      <c r="N934" s="66" t="str">
        <f aca="false">IF($L934="","",IFERROR(INDEX(记账规则!$A$6:$N$9,MATCH(购销流水!$D238,记账规则!$A$6:$A$9,0),5),""))</f>
        <v/>
      </c>
      <c r="O934" s="67" t="n">
        <f aca="false">IF($H934="",0,ROUND(IF($N934="成本金额",N(购销流水!$W238),IF($N934="金额",N(购销流水!$Q238),0)),2))</f>
        <v>0</v>
      </c>
      <c r="P934" s="64" t="str">
        <f aca="false">IF(AND($H934&lt;&gt;"",ROUND($O934,2)&lt;&gt;0),"有","")</f>
        <v/>
      </c>
    </row>
    <row r="935" customFormat="false" ht="15" hidden="true" customHeight="false" outlineLevel="0" collapsed="false">
      <c r="A935" s="53" t="str">
        <f aca="false">IF($H935="","",ROW()-5)</f>
        <v/>
      </c>
      <c r="B935" s="64" t="s">
        <v>36</v>
      </c>
      <c r="C935" s="53" t="n">
        <v>238</v>
      </c>
      <c r="D935" s="53" t="n">
        <v>2</v>
      </c>
      <c r="E935" s="65" t="str">
        <f aca="false">IF($H935="","",购销流水!$B238)</f>
        <v/>
      </c>
      <c r="F935" s="55" t="str">
        <f aca="false">IF($H935="","",购销流水!$C238)</f>
        <v/>
      </c>
      <c r="G935" s="48" t="str">
        <f aca="false">IF($H935="","",购销流水!$N238)</f>
        <v/>
      </c>
      <c r="H935" s="10" t="str">
        <f aca="false">IF($L935="","",IF($L935="@成本",购销流水!$U238,IF($L935="@收入",购销流水!$T238,IF($L935="@存货",购销流水!$S238,IF($L935="@结算",购销流水!$R238,$L935)))))</f>
        <v/>
      </c>
      <c r="I935" s="42" t="n">
        <f aca="false">IF($M935="借",$O935,0)</f>
        <v>0</v>
      </c>
      <c r="J935" s="42" t="n">
        <f aca="false">IF($M935="贷",$O935,0)</f>
        <v>0</v>
      </c>
      <c r="K935" s="48" t="str">
        <f aca="false">IF($H935="","",购销流水!$E238)</f>
        <v/>
      </c>
      <c r="L935" s="66" t="str">
        <f aca="false">IF(购销流水!$D238="","",IFERROR(INDEX(记账规则!$A$6:$N$9,MATCH(购销流水!$D238,记账规则!$A$6:$A$9,0),6),""))</f>
        <v/>
      </c>
      <c r="M935" s="66" t="str">
        <f aca="false">IF($L935="","",IFERROR(INDEX(记账规则!$A$6:$N$9,MATCH(购销流水!$D238,记账规则!$A$6:$A$9,0),7),""))</f>
        <v/>
      </c>
      <c r="N935" s="66" t="str">
        <f aca="false">IF($L935="","",IFERROR(INDEX(记账规则!$A$6:$N$9,MATCH(购销流水!$D238,记账规则!$A$6:$A$9,0),8),""))</f>
        <v/>
      </c>
      <c r="O935" s="67" t="n">
        <f aca="false">IF($H935="",0,ROUND(IF($N935="成本金额",N(购销流水!$W238),IF($N935="金额",N(购销流水!$Q238),0)),2))</f>
        <v>0</v>
      </c>
      <c r="P935" s="64" t="str">
        <f aca="false">IF(AND($H935&lt;&gt;"",ROUND($O935,2)&lt;&gt;0),"有","")</f>
        <v/>
      </c>
    </row>
    <row r="936" customFormat="false" ht="15" hidden="true" customHeight="false" outlineLevel="0" collapsed="false">
      <c r="A936" s="53" t="str">
        <f aca="false">IF($H936="","",ROW()-5)</f>
        <v/>
      </c>
      <c r="B936" s="64" t="s">
        <v>36</v>
      </c>
      <c r="C936" s="53" t="n">
        <v>238</v>
      </c>
      <c r="D936" s="53" t="n">
        <v>3</v>
      </c>
      <c r="E936" s="65" t="str">
        <f aca="false">IF($H936="","",购销流水!$B238)</f>
        <v/>
      </c>
      <c r="F936" s="55" t="str">
        <f aca="false">IF($H936="","",购销流水!$C238)</f>
        <v/>
      </c>
      <c r="G936" s="48" t="str">
        <f aca="false">IF($H936="","",购销流水!$N238)</f>
        <v/>
      </c>
      <c r="H936" s="10" t="str">
        <f aca="false">IF($L936="","",IF($L936="@成本",购销流水!$U238,IF($L936="@收入",购销流水!$T238,IF($L936="@存货",购销流水!$S238,IF($L936="@结算",购销流水!$R238,$L936)))))</f>
        <v/>
      </c>
      <c r="I936" s="42" t="n">
        <f aca="false">IF($M936="借",$O936,0)</f>
        <v>0</v>
      </c>
      <c r="J936" s="42" t="n">
        <f aca="false">IF($M936="贷",$O936,0)</f>
        <v>0</v>
      </c>
      <c r="K936" s="48" t="str">
        <f aca="false">IF($H936="","",购销流水!$E238)</f>
        <v/>
      </c>
      <c r="L936" s="66" t="str">
        <f aca="false">IF(购销流水!$D238="","",IFERROR(INDEX(记账规则!$A$6:$N$9,MATCH(购销流水!$D238,记账规则!$A$6:$A$9,0),9),""))</f>
        <v/>
      </c>
      <c r="M936" s="66" t="str">
        <f aca="false">IF($L936="","",IFERROR(INDEX(记账规则!$A$6:$N$9,MATCH(购销流水!$D238,记账规则!$A$6:$A$9,0),10),""))</f>
        <v/>
      </c>
      <c r="N936" s="66" t="str">
        <f aca="false">IF($L936="","",IFERROR(INDEX(记账规则!$A$6:$N$9,MATCH(购销流水!$D238,记账规则!$A$6:$A$9,0),11),""))</f>
        <v/>
      </c>
      <c r="O936" s="67" t="n">
        <f aca="false">IF($H936="",0,ROUND(IF($N936="成本金额",N(购销流水!$W238),IF($N936="金额",N(购销流水!$Q238),0)),2))</f>
        <v>0</v>
      </c>
      <c r="P936" s="64" t="str">
        <f aca="false">IF(AND($H936&lt;&gt;"",ROUND($O936,2)&lt;&gt;0),"有","")</f>
        <v/>
      </c>
    </row>
    <row r="937" customFormat="false" ht="15" hidden="true" customHeight="false" outlineLevel="0" collapsed="false">
      <c r="A937" s="53" t="str">
        <f aca="false">IF($H937="","",ROW()-5)</f>
        <v/>
      </c>
      <c r="B937" s="64" t="s">
        <v>36</v>
      </c>
      <c r="C937" s="53" t="n">
        <v>238</v>
      </c>
      <c r="D937" s="53" t="n">
        <v>4</v>
      </c>
      <c r="E937" s="65" t="str">
        <f aca="false">IF($H937="","",购销流水!$B238)</f>
        <v/>
      </c>
      <c r="F937" s="55" t="str">
        <f aca="false">IF($H937="","",购销流水!$C238)</f>
        <v/>
      </c>
      <c r="G937" s="48" t="str">
        <f aca="false">IF($H937="","",购销流水!$N238)</f>
        <v/>
      </c>
      <c r="H937" s="10" t="str">
        <f aca="false">IF($L937="","",IF($L937="@成本",购销流水!$U238,IF($L937="@收入",购销流水!$T238,IF($L937="@存货",购销流水!$S238,IF($L937="@结算",购销流水!$R238,$L937)))))</f>
        <v/>
      </c>
      <c r="I937" s="42" t="n">
        <f aca="false">IF($M937="借",$O937,0)</f>
        <v>0</v>
      </c>
      <c r="J937" s="42" t="n">
        <f aca="false">IF($M937="贷",$O937,0)</f>
        <v>0</v>
      </c>
      <c r="K937" s="48" t="str">
        <f aca="false">IF($H937="","",购销流水!$E238)</f>
        <v/>
      </c>
      <c r="L937" s="66" t="str">
        <f aca="false">IF(购销流水!$D238="","",IFERROR(INDEX(记账规则!$A$6:$N$9,MATCH(购销流水!$D238,记账规则!$A$6:$A$9,0),12),""))</f>
        <v/>
      </c>
      <c r="M937" s="66" t="str">
        <f aca="false">IF($L937="","",IFERROR(INDEX(记账规则!$A$6:$N$9,MATCH(购销流水!$D238,记账规则!$A$6:$A$9,0),13),""))</f>
        <v/>
      </c>
      <c r="N937" s="66" t="str">
        <f aca="false">IF($L937="","",IFERROR(INDEX(记账规则!$A$6:$N$9,MATCH(购销流水!$D238,记账规则!$A$6:$A$9,0),14),""))</f>
        <v/>
      </c>
      <c r="O937" s="67" t="n">
        <f aca="false">IF($H937="",0,ROUND(IF($N937="成本金额",N(购销流水!$W238),IF($N937="金额",N(购销流水!$Q238),0)),2))</f>
        <v>0</v>
      </c>
      <c r="P937" s="64" t="str">
        <f aca="false">IF(AND($H937&lt;&gt;"",ROUND($O937,2)&lt;&gt;0),"有","")</f>
        <v/>
      </c>
    </row>
    <row r="938" customFormat="false" ht="15" hidden="true" customHeight="false" outlineLevel="0" collapsed="false">
      <c r="A938" s="53" t="str">
        <f aca="false">IF($H938="","",ROW()-5)</f>
        <v/>
      </c>
      <c r="B938" s="64" t="s">
        <v>36</v>
      </c>
      <c r="C938" s="53" t="n">
        <v>239</v>
      </c>
      <c r="D938" s="53" t="n">
        <v>1</v>
      </c>
      <c r="E938" s="65" t="str">
        <f aca="false">IF($H938="","",购销流水!$B239)</f>
        <v/>
      </c>
      <c r="F938" s="55" t="str">
        <f aca="false">IF($H938="","",购销流水!$C239)</f>
        <v/>
      </c>
      <c r="G938" s="48" t="str">
        <f aca="false">IF($H938="","",购销流水!$N239)</f>
        <v/>
      </c>
      <c r="H938" s="10" t="str">
        <f aca="false">IF($L938="","",IF($L938="@成本",购销流水!$U239,IF($L938="@收入",购销流水!$T239,IF($L938="@存货",购销流水!$S239,IF($L938="@结算",购销流水!$R239,$L938)))))</f>
        <v/>
      </c>
      <c r="I938" s="42" t="n">
        <f aca="false">IF($M938="借",$O938,0)</f>
        <v>0</v>
      </c>
      <c r="J938" s="42" t="n">
        <f aca="false">IF($M938="贷",$O938,0)</f>
        <v>0</v>
      </c>
      <c r="K938" s="48" t="str">
        <f aca="false">IF($H938="","",购销流水!$E239)</f>
        <v/>
      </c>
      <c r="L938" s="66" t="str">
        <f aca="false">IF(购销流水!$D239="","",IFERROR(INDEX(记账规则!$A$6:$N$9,MATCH(购销流水!$D239,记账规则!$A$6:$A$9,0),3),""))</f>
        <v/>
      </c>
      <c r="M938" s="66" t="str">
        <f aca="false">IF($L938="","",IFERROR(INDEX(记账规则!$A$6:$N$9,MATCH(购销流水!$D239,记账规则!$A$6:$A$9,0),4),""))</f>
        <v/>
      </c>
      <c r="N938" s="66" t="str">
        <f aca="false">IF($L938="","",IFERROR(INDEX(记账规则!$A$6:$N$9,MATCH(购销流水!$D239,记账规则!$A$6:$A$9,0),5),""))</f>
        <v/>
      </c>
      <c r="O938" s="67" t="n">
        <f aca="false">IF($H938="",0,ROUND(IF($N938="成本金额",N(购销流水!$W239),IF($N938="金额",N(购销流水!$Q239),0)),2))</f>
        <v>0</v>
      </c>
      <c r="P938" s="64" t="str">
        <f aca="false">IF(AND($H938&lt;&gt;"",ROUND($O938,2)&lt;&gt;0),"有","")</f>
        <v/>
      </c>
    </row>
    <row r="939" customFormat="false" ht="15" hidden="true" customHeight="false" outlineLevel="0" collapsed="false">
      <c r="A939" s="53" t="str">
        <f aca="false">IF($H939="","",ROW()-5)</f>
        <v/>
      </c>
      <c r="B939" s="64" t="s">
        <v>36</v>
      </c>
      <c r="C939" s="53" t="n">
        <v>239</v>
      </c>
      <c r="D939" s="53" t="n">
        <v>2</v>
      </c>
      <c r="E939" s="65" t="str">
        <f aca="false">IF($H939="","",购销流水!$B239)</f>
        <v/>
      </c>
      <c r="F939" s="55" t="str">
        <f aca="false">IF($H939="","",购销流水!$C239)</f>
        <v/>
      </c>
      <c r="G939" s="48" t="str">
        <f aca="false">IF($H939="","",购销流水!$N239)</f>
        <v/>
      </c>
      <c r="H939" s="10" t="str">
        <f aca="false">IF($L939="","",IF($L939="@成本",购销流水!$U239,IF($L939="@收入",购销流水!$T239,IF($L939="@存货",购销流水!$S239,IF($L939="@结算",购销流水!$R239,$L939)))))</f>
        <v/>
      </c>
      <c r="I939" s="42" t="n">
        <f aca="false">IF($M939="借",$O939,0)</f>
        <v>0</v>
      </c>
      <c r="J939" s="42" t="n">
        <f aca="false">IF($M939="贷",$O939,0)</f>
        <v>0</v>
      </c>
      <c r="K939" s="48" t="str">
        <f aca="false">IF($H939="","",购销流水!$E239)</f>
        <v/>
      </c>
      <c r="L939" s="66" t="str">
        <f aca="false">IF(购销流水!$D239="","",IFERROR(INDEX(记账规则!$A$6:$N$9,MATCH(购销流水!$D239,记账规则!$A$6:$A$9,0),6),""))</f>
        <v/>
      </c>
      <c r="M939" s="66" t="str">
        <f aca="false">IF($L939="","",IFERROR(INDEX(记账规则!$A$6:$N$9,MATCH(购销流水!$D239,记账规则!$A$6:$A$9,0),7),""))</f>
        <v/>
      </c>
      <c r="N939" s="66" t="str">
        <f aca="false">IF($L939="","",IFERROR(INDEX(记账规则!$A$6:$N$9,MATCH(购销流水!$D239,记账规则!$A$6:$A$9,0),8),""))</f>
        <v/>
      </c>
      <c r="O939" s="67" t="n">
        <f aca="false">IF($H939="",0,ROUND(IF($N939="成本金额",N(购销流水!$W239),IF($N939="金额",N(购销流水!$Q239),0)),2))</f>
        <v>0</v>
      </c>
      <c r="P939" s="64" t="str">
        <f aca="false">IF(AND($H939&lt;&gt;"",ROUND($O939,2)&lt;&gt;0),"有","")</f>
        <v/>
      </c>
    </row>
    <row r="940" customFormat="false" ht="15" hidden="true" customHeight="false" outlineLevel="0" collapsed="false">
      <c r="A940" s="53" t="str">
        <f aca="false">IF($H940="","",ROW()-5)</f>
        <v/>
      </c>
      <c r="B940" s="64" t="s">
        <v>36</v>
      </c>
      <c r="C940" s="53" t="n">
        <v>239</v>
      </c>
      <c r="D940" s="53" t="n">
        <v>3</v>
      </c>
      <c r="E940" s="65" t="str">
        <f aca="false">IF($H940="","",购销流水!$B239)</f>
        <v/>
      </c>
      <c r="F940" s="55" t="str">
        <f aca="false">IF($H940="","",购销流水!$C239)</f>
        <v/>
      </c>
      <c r="G940" s="48" t="str">
        <f aca="false">IF($H940="","",购销流水!$N239)</f>
        <v/>
      </c>
      <c r="H940" s="10" t="str">
        <f aca="false">IF($L940="","",IF($L940="@成本",购销流水!$U239,IF($L940="@收入",购销流水!$T239,IF($L940="@存货",购销流水!$S239,IF($L940="@结算",购销流水!$R239,$L940)))))</f>
        <v/>
      </c>
      <c r="I940" s="42" t="n">
        <f aca="false">IF($M940="借",$O940,0)</f>
        <v>0</v>
      </c>
      <c r="J940" s="42" t="n">
        <f aca="false">IF($M940="贷",$O940,0)</f>
        <v>0</v>
      </c>
      <c r="K940" s="48" t="str">
        <f aca="false">IF($H940="","",购销流水!$E239)</f>
        <v/>
      </c>
      <c r="L940" s="66" t="str">
        <f aca="false">IF(购销流水!$D239="","",IFERROR(INDEX(记账规则!$A$6:$N$9,MATCH(购销流水!$D239,记账规则!$A$6:$A$9,0),9),""))</f>
        <v/>
      </c>
      <c r="M940" s="66" t="str">
        <f aca="false">IF($L940="","",IFERROR(INDEX(记账规则!$A$6:$N$9,MATCH(购销流水!$D239,记账规则!$A$6:$A$9,0),10),""))</f>
        <v/>
      </c>
      <c r="N940" s="66" t="str">
        <f aca="false">IF($L940="","",IFERROR(INDEX(记账规则!$A$6:$N$9,MATCH(购销流水!$D239,记账规则!$A$6:$A$9,0),11),""))</f>
        <v/>
      </c>
      <c r="O940" s="67" t="n">
        <f aca="false">IF($H940="",0,ROUND(IF($N940="成本金额",N(购销流水!$W239),IF($N940="金额",N(购销流水!$Q239),0)),2))</f>
        <v>0</v>
      </c>
      <c r="P940" s="64" t="str">
        <f aca="false">IF(AND($H940&lt;&gt;"",ROUND($O940,2)&lt;&gt;0),"有","")</f>
        <v/>
      </c>
    </row>
    <row r="941" customFormat="false" ht="15" hidden="true" customHeight="false" outlineLevel="0" collapsed="false">
      <c r="A941" s="53" t="str">
        <f aca="false">IF($H941="","",ROW()-5)</f>
        <v/>
      </c>
      <c r="B941" s="64" t="s">
        <v>36</v>
      </c>
      <c r="C941" s="53" t="n">
        <v>239</v>
      </c>
      <c r="D941" s="53" t="n">
        <v>4</v>
      </c>
      <c r="E941" s="65" t="str">
        <f aca="false">IF($H941="","",购销流水!$B239)</f>
        <v/>
      </c>
      <c r="F941" s="55" t="str">
        <f aca="false">IF($H941="","",购销流水!$C239)</f>
        <v/>
      </c>
      <c r="G941" s="48" t="str">
        <f aca="false">IF($H941="","",购销流水!$N239)</f>
        <v/>
      </c>
      <c r="H941" s="10" t="str">
        <f aca="false">IF($L941="","",IF($L941="@成本",购销流水!$U239,IF($L941="@收入",购销流水!$T239,IF($L941="@存货",购销流水!$S239,IF($L941="@结算",购销流水!$R239,$L941)))))</f>
        <v/>
      </c>
      <c r="I941" s="42" t="n">
        <f aca="false">IF($M941="借",$O941,0)</f>
        <v>0</v>
      </c>
      <c r="J941" s="42" t="n">
        <f aca="false">IF($M941="贷",$O941,0)</f>
        <v>0</v>
      </c>
      <c r="K941" s="48" t="str">
        <f aca="false">IF($H941="","",购销流水!$E239)</f>
        <v/>
      </c>
      <c r="L941" s="66" t="str">
        <f aca="false">IF(购销流水!$D239="","",IFERROR(INDEX(记账规则!$A$6:$N$9,MATCH(购销流水!$D239,记账规则!$A$6:$A$9,0),12),""))</f>
        <v/>
      </c>
      <c r="M941" s="66" t="str">
        <f aca="false">IF($L941="","",IFERROR(INDEX(记账规则!$A$6:$N$9,MATCH(购销流水!$D239,记账规则!$A$6:$A$9,0),13),""))</f>
        <v/>
      </c>
      <c r="N941" s="66" t="str">
        <f aca="false">IF($L941="","",IFERROR(INDEX(记账规则!$A$6:$N$9,MATCH(购销流水!$D239,记账规则!$A$6:$A$9,0),14),""))</f>
        <v/>
      </c>
      <c r="O941" s="67" t="n">
        <f aca="false">IF($H941="",0,ROUND(IF($N941="成本金额",N(购销流水!$W239),IF($N941="金额",N(购销流水!$Q239),0)),2))</f>
        <v>0</v>
      </c>
      <c r="P941" s="64" t="str">
        <f aca="false">IF(AND($H941&lt;&gt;"",ROUND($O941,2)&lt;&gt;0),"有","")</f>
        <v/>
      </c>
    </row>
    <row r="942" customFormat="false" ht="15" hidden="true" customHeight="false" outlineLevel="0" collapsed="false">
      <c r="A942" s="53" t="str">
        <f aca="false">IF($H942="","",ROW()-5)</f>
        <v/>
      </c>
      <c r="B942" s="64" t="s">
        <v>36</v>
      </c>
      <c r="C942" s="53" t="n">
        <v>240</v>
      </c>
      <c r="D942" s="53" t="n">
        <v>1</v>
      </c>
      <c r="E942" s="65" t="str">
        <f aca="false">IF($H942="","",购销流水!$B240)</f>
        <v/>
      </c>
      <c r="F942" s="55" t="str">
        <f aca="false">IF($H942="","",购销流水!$C240)</f>
        <v/>
      </c>
      <c r="G942" s="48" t="str">
        <f aca="false">IF($H942="","",购销流水!$N240)</f>
        <v/>
      </c>
      <c r="H942" s="10" t="str">
        <f aca="false">IF($L942="","",IF($L942="@成本",购销流水!$U240,IF($L942="@收入",购销流水!$T240,IF($L942="@存货",购销流水!$S240,IF($L942="@结算",购销流水!$R240,$L942)))))</f>
        <v/>
      </c>
      <c r="I942" s="42" t="n">
        <f aca="false">IF($M942="借",$O942,0)</f>
        <v>0</v>
      </c>
      <c r="J942" s="42" t="n">
        <f aca="false">IF($M942="贷",$O942,0)</f>
        <v>0</v>
      </c>
      <c r="K942" s="48" t="str">
        <f aca="false">IF($H942="","",购销流水!$E240)</f>
        <v/>
      </c>
      <c r="L942" s="66" t="str">
        <f aca="false">IF(购销流水!$D240="","",IFERROR(INDEX(记账规则!$A$6:$N$9,MATCH(购销流水!$D240,记账规则!$A$6:$A$9,0),3),""))</f>
        <v/>
      </c>
      <c r="M942" s="66" t="str">
        <f aca="false">IF($L942="","",IFERROR(INDEX(记账规则!$A$6:$N$9,MATCH(购销流水!$D240,记账规则!$A$6:$A$9,0),4),""))</f>
        <v/>
      </c>
      <c r="N942" s="66" t="str">
        <f aca="false">IF($L942="","",IFERROR(INDEX(记账规则!$A$6:$N$9,MATCH(购销流水!$D240,记账规则!$A$6:$A$9,0),5),""))</f>
        <v/>
      </c>
      <c r="O942" s="67" t="n">
        <f aca="false">IF($H942="",0,ROUND(IF($N942="成本金额",N(购销流水!$W240),IF($N942="金额",N(购销流水!$Q240),0)),2))</f>
        <v>0</v>
      </c>
      <c r="P942" s="64" t="str">
        <f aca="false">IF(AND($H942&lt;&gt;"",ROUND($O942,2)&lt;&gt;0),"有","")</f>
        <v/>
      </c>
    </row>
    <row r="943" customFormat="false" ht="15" hidden="true" customHeight="false" outlineLevel="0" collapsed="false">
      <c r="A943" s="53" t="str">
        <f aca="false">IF($H943="","",ROW()-5)</f>
        <v/>
      </c>
      <c r="B943" s="64" t="s">
        <v>36</v>
      </c>
      <c r="C943" s="53" t="n">
        <v>240</v>
      </c>
      <c r="D943" s="53" t="n">
        <v>2</v>
      </c>
      <c r="E943" s="65" t="str">
        <f aca="false">IF($H943="","",购销流水!$B240)</f>
        <v/>
      </c>
      <c r="F943" s="55" t="str">
        <f aca="false">IF($H943="","",购销流水!$C240)</f>
        <v/>
      </c>
      <c r="G943" s="48" t="str">
        <f aca="false">IF($H943="","",购销流水!$N240)</f>
        <v/>
      </c>
      <c r="H943" s="10" t="str">
        <f aca="false">IF($L943="","",IF($L943="@成本",购销流水!$U240,IF($L943="@收入",购销流水!$T240,IF($L943="@存货",购销流水!$S240,IF($L943="@结算",购销流水!$R240,$L943)))))</f>
        <v/>
      </c>
      <c r="I943" s="42" t="n">
        <f aca="false">IF($M943="借",$O943,0)</f>
        <v>0</v>
      </c>
      <c r="J943" s="42" t="n">
        <f aca="false">IF($M943="贷",$O943,0)</f>
        <v>0</v>
      </c>
      <c r="K943" s="48" t="str">
        <f aca="false">IF($H943="","",购销流水!$E240)</f>
        <v/>
      </c>
      <c r="L943" s="66" t="str">
        <f aca="false">IF(购销流水!$D240="","",IFERROR(INDEX(记账规则!$A$6:$N$9,MATCH(购销流水!$D240,记账规则!$A$6:$A$9,0),6),""))</f>
        <v/>
      </c>
      <c r="M943" s="66" t="str">
        <f aca="false">IF($L943="","",IFERROR(INDEX(记账规则!$A$6:$N$9,MATCH(购销流水!$D240,记账规则!$A$6:$A$9,0),7),""))</f>
        <v/>
      </c>
      <c r="N943" s="66" t="str">
        <f aca="false">IF($L943="","",IFERROR(INDEX(记账规则!$A$6:$N$9,MATCH(购销流水!$D240,记账规则!$A$6:$A$9,0),8),""))</f>
        <v/>
      </c>
      <c r="O943" s="67" t="n">
        <f aca="false">IF($H943="",0,ROUND(IF($N943="成本金额",N(购销流水!$W240),IF($N943="金额",N(购销流水!$Q240),0)),2))</f>
        <v>0</v>
      </c>
      <c r="P943" s="64" t="str">
        <f aca="false">IF(AND($H943&lt;&gt;"",ROUND($O943,2)&lt;&gt;0),"有","")</f>
        <v/>
      </c>
    </row>
    <row r="944" customFormat="false" ht="15" hidden="true" customHeight="false" outlineLevel="0" collapsed="false">
      <c r="A944" s="53" t="str">
        <f aca="false">IF($H944="","",ROW()-5)</f>
        <v/>
      </c>
      <c r="B944" s="64" t="s">
        <v>36</v>
      </c>
      <c r="C944" s="53" t="n">
        <v>240</v>
      </c>
      <c r="D944" s="53" t="n">
        <v>3</v>
      </c>
      <c r="E944" s="65" t="str">
        <f aca="false">IF($H944="","",购销流水!$B240)</f>
        <v/>
      </c>
      <c r="F944" s="55" t="str">
        <f aca="false">IF($H944="","",购销流水!$C240)</f>
        <v/>
      </c>
      <c r="G944" s="48" t="str">
        <f aca="false">IF($H944="","",购销流水!$N240)</f>
        <v/>
      </c>
      <c r="H944" s="10" t="str">
        <f aca="false">IF($L944="","",IF($L944="@成本",购销流水!$U240,IF($L944="@收入",购销流水!$T240,IF($L944="@存货",购销流水!$S240,IF($L944="@结算",购销流水!$R240,$L944)))))</f>
        <v/>
      </c>
      <c r="I944" s="42" t="n">
        <f aca="false">IF($M944="借",$O944,0)</f>
        <v>0</v>
      </c>
      <c r="J944" s="42" t="n">
        <f aca="false">IF($M944="贷",$O944,0)</f>
        <v>0</v>
      </c>
      <c r="K944" s="48" t="str">
        <f aca="false">IF($H944="","",购销流水!$E240)</f>
        <v/>
      </c>
      <c r="L944" s="66" t="str">
        <f aca="false">IF(购销流水!$D240="","",IFERROR(INDEX(记账规则!$A$6:$N$9,MATCH(购销流水!$D240,记账规则!$A$6:$A$9,0),9),""))</f>
        <v/>
      </c>
      <c r="M944" s="66" t="str">
        <f aca="false">IF($L944="","",IFERROR(INDEX(记账规则!$A$6:$N$9,MATCH(购销流水!$D240,记账规则!$A$6:$A$9,0),10),""))</f>
        <v/>
      </c>
      <c r="N944" s="66" t="str">
        <f aca="false">IF($L944="","",IFERROR(INDEX(记账规则!$A$6:$N$9,MATCH(购销流水!$D240,记账规则!$A$6:$A$9,0),11),""))</f>
        <v/>
      </c>
      <c r="O944" s="67" t="n">
        <f aca="false">IF($H944="",0,ROUND(IF($N944="成本金额",N(购销流水!$W240),IF($N944="金额",N(购销流水!$Q240),0)),2))</f>
        <v>0</v>
      </c>
      <c r="P944" s="64" t="str">
        <f aca="false">IF(AND($H944&lt;&gt;"",ROUND($O944,2)&lt;&gt;0),"有","")</f>
        <v/>
      </c>
    </row>
    <row r="945" customFormat="false" ht="15" hidden="true" customHeight="false" outlineLevel="0" collapsed="false">
      <c r="A945" s="53" t="str">
        <f aca="false">IF($H945="","",ROW()-5)</f>
        <v/>
      </c>
      <c r="B945" s="64" t="s">
        <v>36</v>
      </c>
      <c r="C945" s="53" t="n">
        <v>240</v>
      </c>
      <c r="D945" s="53" t="n">
        <v>4</v>
      </c>
      <c r="E945" s="65" t="str">
        <f aca="false">IF($H945="","",购销流水!$B240)</f>
        <v/>
      </c>
      <c r="F945" s="55" t="str">
        <f aca="false">IF($H945="","",购销流水!$C240)</f>
        <v/>
      </c>
      <c r="G945" s="48" t="str">
        <f aca="false">IF($H945="","",购销流水!$N240)</f>
        <v/>
      </c>
      <c r="H945" s="10" t="str">
        <f aca="false">IF($L945="","",IF($L945="@成本",购销流水!$U240,IF($L945="@收入",购销流水!$T240,IF($L945="@存货",购销流水!$S240,IF($L945="@结算",购销流水!$R240,$L945)))))</f>
        <v/>
      </c>
      <c r="I945" s="42" t="n">
        <f aca="false">IF($M945="借",$O945,0)</f>
        <v>0</v>
      </c>
      <c r="J945" s="42" t="n">
        <f aca="false">IF($M945="贷",$O945,0)</f>
        <v>0</v>
      </c>
      <c r="K945" s="48" t="str">
        <f aca="false">IF($H945="","",购销流水!$E240)</f>
        <v/>
      </c>
      <c r="L945" s="66" t="str">
        <f aca="false">IF(购销流水!$D240="","",IFERROR(INDEX(记账规则!$A$6:$N$9,MATCH(购销流水!$D240,记账规则!$A$6:$A$9,0),12),""))</f>
        <v/>
      </c>
      <c r="M945" s="66" t="str">
        <f aca="false">IF($L945="","",IFERROR(INDEX(记账规则!$A$6:$N$9,MATCH(购销流水!$D240,记账规则!$A$6:$A$9,0),13),""))</f>
        <v/>
      </c>
      <c r="N945" s="66" t="str">
        <f aca="false">IF($L945="","",IFERROR(INDEX(记账规则!$A$6:$N$9,MATCH(购销流水!$D240,记账规则!$A$6:$A$9,0),14),""))</f>
        <v/>
      </c>
      <c r="O945" s="67" t="n">
        <f aca="false">IF($H945="",0,ROUND(IF($N945="成本金额",N(购销流水!$W240),IF($N945="金额",N(购销流水!$Q240),0)),2))</f>
        <v>0</v>
      </c>
      <c r="P945" s="64" t="str">
        <f aca="false">IF(AND($H945&lt;&gt;"",ROUND($O945,2)&lt;&gt;0),"有","")</f>
        <v/>
      </c>
    </row>
    <row r="946" customFormat="false" ht="15" hidden="true" customHeight="false" outlineLevel="0" collapsed="false">
      <c r="A946" s="53" t="str">
        <f aca="false">IF($H946="","",ROW()-5)</f>
        <v/>
      </c>
      <c r="B946" s="64" t="s">
        <v>36</v>
      </c>
      <c r="C946" s="53" t="n">
        <v>241</v>
      </c>
      <c r="D946" s="53" t="n">
        <v>1</v>
      </c>
      <c r="E946" s="65" t="str">
        <f aca="false">IF($H946="","",购销流水!$B241)</f>
        <v/>
      </c>
      <c r="F946" s="55" t="str">
        <f aca="false">IF($H946="","",购销流水!$C241)</f>
        <v/>
      </c>
      <c r="G946" s="48" t="str">
        <f aca="false">IF($H946="","",购销流水!$N241)</f>
        <v/>
      </c>
      <c r="H946" s="10" t="str">
        <f aca="false">IF($L946="","",IF($L946="@成本",购销流水!$U241,IF($L946="@收入",购销流水!$T241,IF($L946="@存货",购销流水!$S241,IF($L946="@结算",购销流水!$R241,$L946)))))</f>
        <v/>
      </c>
      <c r="I946" s="42" t="n">
        <f aca="false">IF($M946="借",$O946,0)</f>
        <v>0</v>
      </c>
      <c r="J946" s="42" t="n">
        <f aca="false">IF($M946="贷",$O946,0)</f>
        <v>0</v>
      </c>
      <c r="K946" s="48" t="str">
        <f aca="false">IF($H946="","",购销流水!$E241)</f>
        <v/>
      </c>
      <c r="L946" s="66" t="str">
        <f aca="false">IF(购销流水!$D241="","",IFERROR(INDEX(记账规则!$A$6:$N$9,MATCH(购销流水!$D241,记账规则!$A$6:$A$9,0),3),""))</f>
        <v/>
      </c>
      <c r="M946" s="66" t="str">
        <f aca="false">IF($L946="","",IFERROR(INDEX(记账规则!$A$6:$N$9,MATCH(购销流水!$D241,记账规则!$A$6:$A$9,0),4),""))</f>
        <v/>
      </c>
      <c r="N946" s="66" t="str">
        <f aca="false">IF($L946="","",IFERROR(INDEX(记账规则!$A$6:$N$9,MATCH(购销流水!$D241,记账规则!$A$6:$A$9,0),5),""))</f>
        <v/>
      </c>
      <c r="O946" s="67" t="n">
        <f aca="false">IF($H946="",0,ROUND(IF($N946="成本金额",N(购销流水!$W241),IF($N946="金额",N(购销流水!$Q241),0)),2))</f>
        <v>0</v>
      </c>
      <c r="P946" s="64" t="str">
        <f aca="false">IF(AND($H946&lt;&gt;"",ROUND($O946,2)&lt;&gt;0),"有","")</f>
        <v/>
      </c>
    </row>
    <row r="947" customFormat="false" ht="15" hidden="true" customHeight="false" outlineLevel="0" collapsed="false">
      <c r="A947" s="53" t="str">
        <f aca="false">IF($H947="","",ROW()-5)</f>
        <v/>
      </c>
      <c r="B947" s="64" t="s">
        <v>36</v>
      </c>
      <c r="C947" s="53" t="n">
        <v>241</v>
      </c>
      <c r="D947" s="53" t="n">
        <v>2</v>
      </c>
      <c r="E947" s="65" t="str">
        <f aca="false">IF($H947="","",购销流水!$B241)</f>
        <v/>
      </c>
      <c r="F947" s="55" t="str">
        <f aca="false">IF($H947="","",购销流水!$C241)</f>
        <v/>
      </c>
      <c r="G947" s="48" t="str">
        <f aca="false">IF($H947="","",购销流水!$N241)</f>
        <v/>
      </c>
      <c r="H947" s="10" t="str">
        <f aca="false">IF($L947="","",IF($L947="@成本",购销流水!$U241,IF($L947="@收入",购销流水!$T241,IF($L947="@存货",购销流水!$S241,IF($L947="@结算",购销流水!$R241,$L947)))))</f>
        <v/>
      </c>
      <c r="I947" s="42" t="n">
        <f aca="false">IF($M947="借",$O947,0)</f>
        <v>0</v>
      </c>
      <c r="J947" s="42" t="n">
        <f aca="false">IF($M947="贷",$O947,0)</f>
        <v>0</v>
      </c>
      <c r="K947" s="48" t="str">
        <f aca="false">IF($H947="","",购销流水!$E241)</f>
        <v/>
      </c>
      <c r="L947" s="66" t="str">
        <f aca="false">IF(购销流水!$D241="","",IFERROR(INDEX(记账规则!$A$6:$N$9,MATCH(购销流水!$D241,记账规则!$A$6:$A$9,0),6),""))</f>
        <v/>
      </c>
      <c r="M947" s="66" t="str">
        <f aca="false">IF($L947="","",IFERROR(INDEX(记账规则!$A$6:$N$9,MATCH(购销流水!$D241,记账规则!$A$6:$A$9,0),7),""))</f>
        <v/>
      </c>
      <c r="N947" s="66" t="str">
        <f aca="false">IF($L947="","",IFERROR(INDEX(记账规则!$A$6:$N$9,MATCH(购销流水!$D241,记账规则!$A$6:$A$9,0),8),""))</f>
        <v/>
      </c>
      <c r="O947" s="67" t="n">
        <f aca="false">IF($H947="",0,ROUND(IF($N947="成本金额",N(购销流水!$W241),IF($N947="金额",N(购销流水!$Q241),0)),2))</f>
        <v>0</v>
      </c>
      <c r="P947" s="64" t="str">
        <f aca="false">IF(AND($H947&lt;&gt;"",ROUND($O947,2)&lt;&gt;0),"有","")</f>
        <v/>
      </c>
    </row>
    <row r="948" customFormat="false" ht="15" hidden="true" customHeight="false" outlineLevel="0" collapsed="false">
      <c r="A948" s="53" t="str">
        <f aca="false">IF($H948="","",ROW()-5)</f>
        <v/>
      </c>
      <c r="B948" s="64" t="s">
        <v>36</v>
      </c>
      <c r="C948" s="53" t="n">
        <v>241</v>
      </c>
      <c r="D948" s="53" t="n">
        <v>3</v>
      </c>
      <c r="E948" s="65" t="str">
        <f aca="false">IF($H948="","",购销流水!$B241)</f>
        <v/>
      </c>
      <c r="F948" s="55" t="str">
        <f aca="false">IF($H948="","",购销流水!$C241)</f>
        <v/>
      </c>
      <c r="G948" s="48" t="str">
        <f aca="false">IF($H948="","",购销流水!$N241)</f>
        <v/>
      </c>
      <c r="H948" s="10" t="str">
        <f aca="false">IF($L948="","",IF($L948="@成本",购销流水!$U241,IF($L948="@收入",购销流水!$T241,IF($L948="@存货",购销流水!$S241,IF($L948="@结算",购销流水!$R241,$L948)))))</f>
        <v/>
      </c>
      <c r="I948" s="42" t="n">
        <f aca="false">IF($M948="借",$O948,0)</f>
        <v>0</v>
      </c>
      <c r="J948" s="42" t="n">
        <f aca="false">IF($M948="贷",$O948,0)</f>
        <v>0</v>
      </c>
      <c r="K948" s="48" t="str">
        <f aca="false">IF($H948="","",购销流水!$E241)</f>
        <v/>
      </c>
      <c r="L948" s="66" t="str">
        <f aca="false">IF(购销流水!$D241="","",IFERROR(INDEX(记账规则!$A$6:$N$9,MATCH(购销流水!$D241,记账规则!$A$6:$A$9,0),9),""))</f>
        <v/>
      </c>
      <c r="M948" s="66" t="str">
        <f aca="false">IF($L948="","",IFERROR(INDEX(记账规则!$A$6:$N$9,MATCH(购销流水!$D241,记账规则!$A$6:$A$9,0),10),""))</f>
        <v/>
      </c>
      <c r="N948" s="66" t="str">
        <f aca="false">IF($L948="","",IFERROR(INDEX(记账规则!$A$6:$N$9,MATCH(购销流水!$D241,记账规则!$A$6:$A$9,0),11),""))</f>
        <v/>
      </c>
      <c r="O948" s="67" t="n">
        <f aca="false">IF($H948="",0,ROUND(IF($N948="成本金额",N(购销流水!$W241),IF($N948="金额",N(购销流水!$Q241),0)),2))</f>
        <v>0</v>
      </c>
      <c r="P948" s="64" t="str">
        <f aca="false">IF(AND($H948&lt;&gt;"",ROUND($O948,2)&lt;&gt;0),"有","")</f>
        <v/>
      </c>
    </row>
    <row r="949" customFormat="false" ht="15" hidden="true" customHeight="false" outlineLevel="0" collapsed="false">
      <c r="A949" s="53" t="str">
        <f aca="false">IF($H949="","",ROW()-5)</f>
        <v/>
      </c>
      <c r="B949" s="64" t="s">
        <v>36</v>
      </c>
      <c r="C949" s="53" t="n">
        <v>241</v>
      </c>
      <c r="D949" s="53" t="n">
        <v>4</v>
      </c>
      <c r="E949" s="65" t="str">
        <f aca="false">IF($H949="","",购销流水!$B241)</f>
        <v/>
      </c>
      <c r="F949" s="55" t="str">
        <f aca="false">IF($H949="","",购销流水!$C241)</f>
        <v/>
      </c>
      <c r="G949" s="48" t="str">
        <f aca="false">IF($H949="","",购销流水!$N241)</f>
        <v/>
      </c>
      <c r="H949" s="10" t="str">
        <f aca="false">IF($L949="","",IF($L949="@成本",购销流水!$U241,IF($L949="@收入",购销流水!$T241,IF($L949="@存货",购销流水!$S241,IF($L949="@结算",购销流水!$R241,$L949)))))</f>
        <v/>
      </c>
      <c r="I949" s="42" t="n">
        <f aca="false">IF($M949="借",$O949,0)</f>
        <v>0</v>
      </c>
      <c r="J949" s="42" t="n">
        <f aca="false">IF($M949="贷",$O949,0)</f>
        <v>0</v>
      </c>
      <c r="K949" s="48" t="str">
        <f aca="false">IF($H949="","",购销流水!$E241)</f>
        <v/>
      </c>
      <c r="L949" s="66" t="str">
        <f aca="false">IF(购销流水!$D241="","",IFERROR(INDEX(记账规则!$A$6:$N$9,MATCH(购销流水!$D241,记账规则!$A$6:$A$9,0),12),""))</f>
        <v/>
      </c>
      <c r="M949" s="66" t="str">
        <f aca="false">IF($L949="","",IFERROR(INDEX(记账规则!$A$6:$N$9,MATCH(购销流水!$D241,记账规则!$A$6:$A$9,0),13),""))</f>
        <v/>
      </c>
      <c r="N949" s="66" t="str">
        <f aca="false">IF($L949="","",IFERROR(INDEX(记账规则!$A$6:$N$9,MATCH(购销流水!$D241,记账规则!$A$6:$A$9,0),14),""))</f>
        <v/>
      </c>
      <c r="O949" s="67" t="n">
        <f aca="false">IF($H949="",0,ROUND(IF($N949="成本金额",N(购销流水!$W241),IF($N949="金额",N(购销流水!$Q241),0)),2))</f>
        <v>0</v>
      </c>
      <c r="P949" s="64" t="str">
        <f aca="false">IF(AND($H949&lt;&gt;"",ROUND($O949,2)&lt;&gt;0),"有","")</f>
        <v/>
      </c>
    </row>
    <row r="950" customFormat="false" ht="15" hidden="true" customHeight="false" outlineLevel="0" collapsed="false">
      <c r="A950" s="53" t="str">
        <f aca="false">IF($H950="","",ROW()-5)</f>
        <v/>
      </c>
      <c r="B950" s="64" t="s">
        <v>36</v>
      </c>
      <c r="C950" s="53" t="n">
        <v>242</v>
      </c>
      <c r="D950" s="53" t="n">
        <v>1</v>
      </c>
      <c r="E950" s="65" t="str">
        <f aca="false">IF($H950="","",购销流水!$B242)</f>
        <v/>
      </c>
      <c r="F950" s="55" t="str">
        <f aca="false">IF($H950="","",购销流水!$C242)</f>
        <v/>
      </c>
      <c r="G950" s="48" t="str">
        <f aca="false">IF($H950="","",购销流水!$N242)</f>
        <v/>
      </c>
      <c r="H950" s="10" t="str">
        <f aca="false">IF($L950="","",IF($L950="@成本",购销流水!$U242,IF($L950="@收入",购销流水!$T242,IF($L950="@存货",购销流水!$S242,IF($L950="@结算",购销流水!$R242,$L950)))))</f>
        <v/>
      </c>
      <c r="I950" s="42" t="n">
        <f aca="false">IF($M950="借",$O950,0)</f>
        <v>0</v>
      </c>
      <c r="J950" s="42" t="n">
        <f aca="false">IF($M950="贷",$O950,0)</f>
        <v>0</v>
      </c>
      <c r="K950" s="48" t="str">
        <f aca="false">IF($H950="","",购销流水!$E242)</f>
        <v/>
      </c>
      <c r="L950" s="66" t="str">
        <f aca="false">IF(购销流水!$D242="","",IFERROR(INDEX(记账规则!$A$6:$N$9,MATCH(购销流水!$D242,记账规则!$A$6:$A$9,0),3),""))</f>
        <v/>
      </c>
      <c r="M950" s="66" t="str">
        <f aca="false">IF($L950="","",IFERROR(INDEX(记账规则!$A$6:$N$9,MATCH(购销流水!$D242,记账规则!$A$6:$A$9,0),4),""))</f>
        <v/>
      </c>
      <c r="N950" s="66" t="str">
        <f aca="false">IF($L950="","",IFERROR(INDEX(记账规则!$A$6:$N$9,MATCH(购销流水!$D242,记账规则!$A$6:$A$9,0),5),""))</f>
        <v/>
      </c>
      <c r="O950" s="67" t="n">
        <f aca="false">IF($H950="",0,ROUND(IF($N950="成本金额",N(购销流水!$W242),IF($N950="金额",N(购销流水!$Q242),0)),2))</f>
        <v>0</v>
      </c>
      <c r="P950" s="64" t="str">
        <f aca="false">IF(AND($H950&lt;&gt;"",ROUND($O950,2)&lt;&gt;0),"有","")</f>
        <v/>
      </c>
    </row>
    <row r="951" customFormat="false" ht="15" hidden="true" customHeight="false" outlineLevel="0" collapsed="false">
      <c r="A951" s="53" t="str">
        <f aca="false">IF($H951="","",ROW()-5)</f>
        <v/>
      </c>
      <c r="B951" s="64" t="s">
        <v>36</v>
      </c>
      <c r="C951" s="53" t="n">
        <v>242</v>
      </c>
      <c r="D951" s="53" t="n">
        <v>2</v>
      </c>
      <c r="E951" s="65" t="str">
        <f aca="false">IF($H951="","",购销流水!$B242)</f>
        <v/>
      </c>
      <c r="F951" s="55" t="str">
        <f aca="false">IF($H951="","",购销流水!$C242)</f>
        <v/>
      </c>
      <c r="G951" s="48" t="str">
        <f aca="false">IF($H951="","",购销流水!$N242)</f>
        <v/>
      </c>
      <c r="H951" s="10" t="str">
        <f aca="false">IF($L951="","",IF($L951="@成本",购销流水!$U242,IF($L951="@收入",购销流水!$T242,IF($L951="@存货",购销流水!$S242,IF($L951="@结算",购销流水!$R242,$L951)))))</f>
        <v/>
      </c>
      <c r="I951" s="42" t="n">
        <f aca="false">IF($M951="借",$O951,0)</f>
        <v>0</v>
      </c>
      <c r="J951" s="42" t="n">
        <f aca="false">IF($M951="贷",$O951,0)</f>
        <v>0</v>
      </c>
      <c r="K951" s="48" t="str">
        <f aca="false">IF($H951="","",购销流水!$E242)</f>
        <v/>
      </c>
      <c r="L951" s="66" t="str">
        <f aca="false">IF(购销流水!$D242="","",IFERROR(INDEX(记账规则!$A$6:$N$9,MATCH(购销流水!$D242,记账规则!$A$6:$A$9,0),6),""))</f>
        <v/>
      </c>
      <c r="M951" s="66" t="str">
        <f aca="false">IF($L951="","",IFERROR(INDEX(记账规则!$A$6:$N$9,MATCH(购销流水!$D242,记账规则!$A$6:$A$9,0),7),""))</f>
        <v/>
      </c>
      <c r="N951" s="66" t="str">
        <f aca="false">IF($L951="","",IFERROR(INDEX(记账规则!$A$6:$N$9,MATCH(购销流水!$D242,记账规则!$A$6:$A$9,0),8),""))</f>
        <v/>
      </c>
      <c r="O951" s="67" t="n">
        <f aca="false">IF($H951="",0,ROUND(IF($N951="成本金额",N(购销流水!$W242),IF($N951="金额",N(购销流水!$Q242),0)),2))</f>
        <v>0</v>
      </c>
      <c r="P951" s="64" t="str">
        <f aca="false">IF(AND($H951&lt;&gt;"",ROUND($O951,2)&lt;&gt;0),"有","")</f>
        <v/>
      </c>
    </row>
    <row r="952" customFormat="false" ht="15" hidden="true" customHeight="false" outlineLevel="0" collapsed="false">
      <c r="A952" s="53" t="str">
        <f aca="false">IF($H952="","",ROW()-5)</f>
        <v/>
      </c>
      <c r="B952" s="64" t="s">
        <v>36</v>
      </c>
      <c r="C952" s="53" t="n">
        <v>242</v>
      </c>
      <c r="D952" s="53" t="n">
        <v>3</v>
      </c>
      <c r="E952" s="65" t="str">
        <f aca="false">IF($H952="","",购销流水!$B242)</f>
        <v/>
      </c>
      <c r="F952" s="55" t="str">
        <f aca="false">IF($H952="","",购销流水!$C242)</f>
        <v/>
      </c>
      <c r="G952" s="48" t="str">
        <f aca="false">IF($H952="","",购销流水!$N242)</f>
        <v/>
      </c>
      <c r="H952" s="10" t="str">
        <f aca="false">IF($L952="","",IF($L952="@成本",购销流水!$U242,IF($L952="@收入",购销流水!$T242,IF($L952="@存货",购销流水!$S242,IF($L952="@结算",购销流水!$R242,$L952)))))</f>
        <v/>
      </c>
      <c r="I952" s="42" t="n">
        <f aca="false">IF($M952="借",$O952,0)</f>
        <v>0</v>
      </c>
      <c r="J952" s="42" t="n">
        <f aca="false">IF($M952="贷",$O952,0)</f>
        <v>0</v>
      </c>
      <c r="K952" s="48" t="str">
        <f aca="false">IF($H952="","",购销流水!$E242)</f>
        <v/>
      </c>
      <c r="L952" s="66" t="str">
        <f aca="false">IF(购销流水!$D242="","",IFERROR(INDEX(记账规则!$A$6:$N$9,MATCH(购销流水!$D242,记账规则!$A$6:$A$9,0),9),""))</f>
        <v/>
      </c>
      <c r="M952" s="66" t="str">
        <f aca="false">IF($L952="","",IFERROR(INDEX(记账规则!$A$6:$N$9,MATCH(购销流水!$D242,记账规则!$A$6:$A$9,0),10),""))</f>
        <v/>
      </c>
      <c r="N952" s="66" t="str">
        <f aca="false">IF($L952="","",IFERROR(INDEX(记账规则!$A$6:$N$9,MATCH(购销流水!$D242,记账规则!$A$6:$A$9,0),11),""))</f>
        <v/>
      </c>
      <c r="O952" s="67" t="n">
        <f aca="false">IF($H952="",0,ROUND(IF($N952="成本金额",N(购销流水!$W242),IF($N952="金额",N(购销流水!$Q242),0)),2))</f>
        <v>0</v>
      </c>
      <c r="P952" s="64" t="str">
        <f aca="false">IF(AND($H952&lt;&gt;"",ROUND($O952,2)&lt;&gt;0),"有","")</f>
        <v/>
      </c>
    </row>
    <row r="953" customFormat="false" ht="15" hidden="true" customHeight="false" outlineLevel="0" collapsed="false">
      <c r="A953" s="53" t="str">
        <f aca="false">IF($H953="","",ROW()-5)</f>
        <v/>
      </c>
      <c r="B953" s="64" t="s">
        <v>36</v>
      </c>
      <c r="C953" s="53" t="n">
        <v>242</v>
      </c>
      <c r="D953" s="53" t="n">
        <v>4</v>
      </c>
      <c r="E953" s="65" t="str">
        <f aca="false">IF($H953="","",购销流水!$B242)</f>
        <v/>
      </c>
      <c r="F953" s="55" t="str">
        <f aca="false">IF($H953="","",购销流水!$C242)</f>
        <v/>
      </c>
      <c r="G953" s="48" t="str">
        <f aca="false">IF($H953="","",购销流水!$N242)</f>
        <v/>
      </c>
      <c r="H953" s="10" t="str">
        <f aca="false">IF($L953="","",IF($L953="@成本",购销流水!$U242,IF($L953="@收入",购销流水!$T242,IF($L953="@存货",购销流水!$S242,IF($L953="@结算",购销流水!$R242,$L953)))))</f>
        <v/>
      </c>
      <c r="I953" s="42" t="n">
        <f aca="false">IF($M953="借",$O953,0)</f>
        <v>0</v>
      </c>
      <c r="J953" s="42" t="n">
        <f aca="false">IF($M953="贷",$O953,0)</f>
        <v>0</v>
      </c>
      <c r="K953" s="48" t="str">
        <f aca="false">IF($H953="","",购销流水!$E242)</f>
        <v/>
      </c>
      <c r="L953" s="66" t="str">
        <f aca="false">IF(购销流水!$D242="","",IFERROR(INDEX(记账规则!$A$6:$N$9,MATCH(购销流水!$D242,记账规则!$A$6:$A$9,0),12),""))</f>
        <v/>
      </c>
      <c r="M953" s="66" t="str">
        <f aca="false">IF($L953="","",IFERROR(INDEX(记账规则!$A$6:$N$9,MATCH(购销流水!$D242,记账规则!$A$6:$A$9,0),13),""))</f>
        <v/>
      </c>
      <c r="N953" s="66" t="str">
        <f aca="false">IF($L953="","",IFERROR(INDEX(记账规则!$A$6:$N$9,MATCH(购销流水!$D242,记账规则!$A$6:$A$9,0),14),""))</f>
        <v/>
      </c>
      <c r="O953" s="67" t="n">
        <f aca="false">IF($H953="",0,ROUND(IF($N953="成本金额",N(购销流水!$W242),IF($N953="金额",N(购销流水!$Q242),0)),2))</f>
        <v>0</v>
      </c>
      <c r="P953" s="64" t="str">
        <f aca="false">IF(AND($H953&lt;&gt;"",ROUND($O953,2)&lt;&gt;0),"有","")</f>
        <v/>
      </c>
    </row>
    <row r="954" customFormat="false" ht="15" hidden="true" customHeight="false" outlineLevel="0" collapsed="false">
      <c r="A954" s="53" t="str">
        <f aca="false">IF($H954="","",ROW()-5)</f>
        <v/>
      </c>
      <c r="B954" s="64" t="s">
        <v>36</v>
      </c>
      <c r="C954" s="53" t="n">
        <v>243</v>
      </c>
      <c r="D954" s="53" t="n">
        <v>1</v>
      </c>
      <c r="E954" s="65" t="str">
        <f aca="false">IF($H954="","",购销流水!$B243)</f>
        <v/>
      </c>
      <c r="F954" s="55" t="str">
        <f aca="false">IF($H954="","",购销流水!$C243)</f>
        <v/>
      </c>
      <c r="G954" s="48" t="str">
        <f aca="false">IF($H954="","",购销流水!$N243)</f>
        <v/>
      </c>
      <c r="H954" s="10" t="str">
        <f aca="false">IF($L954="","",IF($L954="@成本",购销流水!$U243,IF($L954="@收入",购销流水!$T243,IF($L954="@存货",购销流水!$S243,IF($L954="@结算",购销流水!$R243,$L954)))))</f>
        <v/>
      </c>
      <c r="I954" s="42" t="n">
        <f aca="false">IF($M954="借",$O954,0)</f>
        <v>0</v>
      </c>
      <c r="J954" s="42" t="n">
        <f aca="false">IF($M954="贷",$O954,0)</f>
        <v>0</v>
      </c>
      <c r="K954" s="48" t="str">
        <f aca="false">IF($H954="","",购销流水!$E243)</f>
        <v/>
      </c>
      <c r="L954" s="66" t="str">
        <f aca="false">IF(购销流水!$D243="","",IFERROR(INDEX(记账规则!$A$6:$N$9,MATCH(购销流水!$D243,记账规则!$A$6:$A$9,0),3),""))</f>
        <v/>
      </c>
      <c r="M954" s="66" t="str">
        <f aca="false">IF($L954="","",IFERROR(INDEX(记账规则!$A$6:$N$9,MATCH(购销流水!$D243,记账规则!$A$6:$A$9,0),4),""))</f>
        <v/>
      </c>
      <c r="N954" s="66" t="str">
        <f aca="false">IF($L954="","",IFERROR(INDEX(记账规则!$A$6:$N$9,MATCH(购销流水!$D243,记账规则!$A$6:$A$9,0),5),""))</f>
        <v/>
      </c>
      <c r="O954" s="67" t="n">
        <f aca="false">IF($H954="",0,ROUND(IF($N954="成本金额",N(购销流水!$W243),IF($N954="金额",N(购销流水!$Q243),0)),2))</f>
        <v>0</v>
      </c>
      <c r="P954" s="64" t="str">
        <f aca="false">IF(AND($H954&lt;&gt;"",ROUND($O954,2)&lt;&gt;0),"有","")</f>
        <v/>
      </c>
    </row>
    <row r="955" customFormat="false" ht="15" hidden="true" customHeight="false" outlineLevel="0" collapsed="false">
      <c r="A955" s="53" t="str">
        <f aca="false">IF($H955="","",ROW()-5)</f>
        <v/>
      </c>
      <c r="B955" s="64" t="s">
        <v>36</v>
      </c>
      <c r="C955" s="53" t="n">
        <v>243</v>
      </c>
      <c r="D955" s="53" t="n">
        <v>2</v>
      </c>
      <c r="E955" s="65" t="str">
        <f aca="false">IF($H955="","",购销流水!$B243)</f>
        <v/>
      </c>
      <c r="F955" s="55" t="str">
        <f aca="false">IF($H955="","",购销流水!$C243)</f>
        <v/>
      </c>
      <c r="G955" s="48" t="str">
        <f aca="false">IF($H955="","",购销流水!$N243)</f>
        <v/>
      </c>
      <c r="H955" s="10" t="str">
        <f aca="false">IF($L955="","",IF($L955="@成本",购销流水!$U243,IF($L955="@收入",购销流水!$T243,IF($L955="@存货",购销流水!$S243,IF($L955="@结算",购销流水!$R243,$L955)))))</f>
        <v/>
      </c>
      <c r="I955" s="42" t="n">
        <f aca="false">IF($M955="借",$O955,0)</f>
        <v>0</v>
      </c>
      <c r="J955" s="42" t="n">
        <f aca="false">IF($M955="贷",$O955,0)</f>
        <v>0</v>
      </c>
      <c r="K955" s="48" t="str">
        <f aca="false">IF($H955="","",购销流水!$E243)</f>
        <v/>
      </c>
      <c r="L955" s="66" t="str">
        <f aca="false">IF(购销流水!$D243="","",IFERROR(INDEX(记账规则!$A$6:$N$9,MATCH(购销流水!$D243,记账规则!$A$6:$A$9,0),6),""))</f>
        <v/>
      </c>
      <c r="M955" s="66" t="str">
        <f aca="false">IF($L955="","",IFERROR(INDEX(记账规则!$A$6:$N$9,MATCH(购销流水!$D243,记账规则!$A$6:$A$9,0),7),""))</f>
        <v/>
      </c>
      <c r="N955" s="66" t="str">
        <f aca="false">IF($L955="","",IFERROR(INDEX(记账规则!$A$6:$N$9,MATCH(购销流水!$D243,记账规则!$A$6:$A$9,0),8),""))</f>
        <v/>
      </c>
      <c r="O955" s="67" t="n">
        <f aca="false">IF($H955="",0,ROUND(IF($N955="成本金额",N(购销流水!$W243),IF($N955="金额",N(购销流水!$Q243),0)),2))</f>
        <v>0</v>
      </c>
      <c r="P955" s="64" t="str">
        <f aca="false">IF(AND($H955&lt;&gt;"",ROUND($O955,2)&lt;&gt;0),"有","")</f>
        <v/>
      </c>
    </row>
    <row r="956" customFormat="false" ht="15" hidden="true" customHeight="false" outlineLevel="0" collapsed="false">
      <c r="A956" s="53" t="str">
        <f aca="false">IF($H956="","",ROW()-5)</f>
        <v/>
      </c>
      <c r="B956" s="64" t="s">
        <v>36</v>
      </c>
      <c r="C956" s="53" t="n">
        <v>243</v>
      </c>
      <c r="D956" s="53" t="n">
        <v>3</v>
      </c>
      <c r="E956" s="65" t="str">
        <f aca="false">IF($H956="","",购销流水!$B243)</f>
        <v/>
      </c>
      <c r="F956" s="55" t="str">
        <f aca="false">IF($H956="","",购销流水!$C243)</f>
        <v/>
      </c>
      <c r="G956" s="48" t="str">
        <f aca="false">IF($H956="","",购销流水!$N243)</f>
        <v/>
      </c>
      <c r="H956" s="10" t="str">
        <f aca="false">IF($L956="","",IF($L956="@成本",购销流水!$U243,IF($L956="@收入",购销流水!$T243,IF($L956="@存货",购销流水!$S243,IF($L956="@结算",购销流水!$R243,$L956)))))</f>
        <v/>
      </c>
      <c r="I956" s="42" t="n">
        <f aca="false">IF($M956="借",$O956,0)</f>
        <v>0</v>
      </c>
      <c r="J956" s="42" t="n">
        <f aca="false">IF($M956="贷",$O956,0)</f>
        <v>0</v>
      </c>
      <c r="K956" s="48" t="str">
        <f aca="false">IF($H956="","",购销流水!$E243)</f>
        <v/>
      </c>
      <c r="L956" s="66" t="str">
        <f aca="false">IF(购销流水!$D243="","",IFERROR(INDEX(记账规则!$A$6:$N$9,MATCH(购销流水!$D243,记账规则!$A$6:$A$9,0),9),""))</f>
        <v/>
      </c>
      <c r="M956" s="66" t="str">
        <f aca="false">IF($L956="","",IFERROR(INDEX(记账规则!$A$6:$N$9,MATCH(购销流水!$D243,记账规则!$A$6:$A$9,0),10),""))</f>
        <v/>
      </c>
      <c r="N956" s="66" t="str">
        <f aca="false">IF($L956="","",IFERROR(INDEX(记账规则!$A$6:$N$9,MATCH(购销流水!$D243,记账规则!$A$6:$A$9,0),11),""))</f>
        <v/>
      </c>
      <c r="O956" s="67" t="n">
        <f aca="false">IF($H956="",0,ROUND(IF($N956="成本金额",N(购销流水!$W243),IF($N956="金额",N(购销流水!$Q243),0)),2))</f>
        <v>0</v>
      </c>
      <c r="P956" s="64" t="str">
        <f aca="false">IF(AND($H956&lt;&gt;"",ROUND($O956,2)&lt;&gt;0),"有","")</f>
        <v/>
      </c>
    </row>
    <row r="957" customFormat="false" ht="15" hidden="true" customHeight="false" outlineLevel="0" collapsed="false">
      <c r="A957" s="53" t="str">
        <f aca="false">IF($H957="","",ROW()-5)</f>
        <v/>
      </c>
      <c r="B957" s="64" t="s">
        <v>36</v>
      </c>
      <c r="C957" s="53" t="n">
        <v>243</v>
      </c>
      <c r="D957" s="53" t="n">
        <v>4</v>
      </c>
      <c r="E957" s="65" t="str">
        <f aca="false">IF($H957="","",购销流水!$B243)</f>
        <v/>
      </c>
      <c r="F957" s="55" t="str">
        <f aca="false">IF($H957="","",购销流水!$C243)</f>
        <v/>
      </c>
      <c r="G957" s="48" t="str">
        <f aca="false">IF($H957="","",购销流水!$N243)</f>
        <v/>
      </c>
      <c r="H957" s="10" t="str">
        <f aca="false">IF($L957="","",IF($L957="@成本",购销流水!$U243,IF($L957="@收入",购销流水!$T243,IF($L957="@存货",购销流水!$S243,IF($L957="@结算",购销流水!$R243,$L957)))))</f>
        <v/>
      </c>
      <c r="I957" s="42" t="n">
        <f aca="false">IF($M957="借",$O957,0)</f>
        <v>0</v>
      </c>
      <c r="J957" s="42" t="n">
        <f aca="false">IF($M957="贷",$O957,0)</f>
        <v>0</v>
      </c>
      <c r="K957" s="48" t="str">
        <f aca="false">IF($H957="","",购销流水!$E243)</f>
        <v/>
      </c>
      <c r="L957" s="66" t="str">
        <f aca="false">IF(购销流水!$D243="","",IFERROR(INDEX(记账规则!$A$6:$N$9,MATCH(购销流水!$D243,记账规则!$A$6:$A$9,0),12),""))</f>
        <v/>
      </c>
      <c r="M957" s="66" t="str">
        <f aca="false">IF($L957="","",IFERROR(INDEX(记账规则!$A$6:$N$9,MATCH(购销流水!$D243,记账规则!$A$6:$A$9,0),13),""))</f>
        <v/>
      </c>
      <c r="N957" s="66" t="str">
        <f aca="false">IF($L957="","",IFERROR(INDEX(记账规则!$A$6:$N$9,MATCH(购销流水!$D243,记账规则!$A$6:$A$9,0),14),""))</f>
        <v/>
      </c>
      <c r="O957" s="67" t="n">
        <f aca="false">IF($H957="",0,ROUND(IF($N957="成本金额",N(购销流水!$W243),IF($N957="金额",N(购销流水!$Q243),0)),2))</f>
        <v>0</v>
      </c>
      <c r="P957" s="64" t="str">
        <f aca="false">IF(AND($H957&lt;&gt;"",ROUND($O957,2)&lt;&gt;0),"有","")</f>
        <v/>
      </c>
    </row>
    <row r="958" customFormat="false" ht="15" hidden="true" customHeight="false" outlineLevel="0" collapsed="false">
      <c r="A958" s="53" t="str">
        <f aca="false">IF($H958="","",ROW()-5)</f>
        <v/>
      </c>
      <c r="B958" s="64" t="s">
        <v>36</v>
      </c>
      <c r="C958" s="53" t="n">
        <v>244</v>
      </c>
      <c r="D958" s="53" t="n">
        <v>1</v>
      </c>
      <c r="E958" s="65" t="str">
        <f aca="false">IF($H958="","",购销流水!$B244)</f>
        <v/>
      </c>
      <c r="F958" s="55" t="str">
        <f aca="false">IF($H958="","",购销流水!$C244)</f>
        <v/>
      </c>
      <c r="G958" s="48" t="str">
        <f aca="false">IF($H958="","",购销流水!$N244)</f>
        <v/>
      </c>
      <c r="H958" s="10" t="str">
        <f aca="false">IF($L958="","",IF($L958="@成本",购销流水!$U244,IF($L958="@收入",购销流水!$T244,IF($L958="@存货",购销流水!$S244,IF($L958="@结算",购销流水!$R244,$L958)))))</f>
        <v/>
      </c>
      <c r="I958" s="42" t="n">
        <f aca="false">IF($M958="借",$O958,0)</f>
        <v>0</v>
      </c>
      <c r="J958" s="42" t="n">
        <f aca="false">IF($M958="贷",$O958,0)</f>
        <v>0</v>
      </c>
      <c r="K958" s="48" t="str">
        <f aca="false">IF($H958="","",购销流水!$E244)</f>
        <v/>
      </c>
      <c r="L958" s="66" t="str">
        <f aca="false">IF(购销流水!$D244="","",IFERROR(INDEX(记账规则!$A$6:$N$9,MATCH(购销流水!$D244,记账规则!$A$6:$A$9,0),3),""))</f>
        <v/>
      </c>
      <c r="M958" s="66" t="str">
        <f aca="false">IF($L958="","",IFERROR(INDEX(记账规则!$A$6:$N$9,MATCH(购销流水!$D244,记账规则!$A$6:$A$9,0),4),""))</f>
        <v/>
      </c>
      <c r="N958" s="66" t="str">
        <f aca="false">IF($L958="","",IFERROR(INDEX(记账规则!$A$6:$N$9,MATCH(购销流水!$D244,记账规则!$A$6:$A$9,0),5),""))</f>
        <v/>
      </c>
      <c r="O958" s="67" t="n">
        <f aca="false">IF($H958="",0,ROUND(IF($N958="成本金额",N(购销流水!$W244),IF($N958="金额",N(购销流水!$Q244),0)),2))</f>
        <v>0</v>
      </c>
      <c r="P958" s="64" t="str">
        <f aca="false">IF(AND($H958&lt;&gt;"",ROUND($O958,2)&lt;&gt;0),"有","")</f>
        <v/>
      </c>
    </row>
    <row r="959" customFormat="false" ht="15" hidden="true" customHeight="false" outlineLevel="0" collapsed="false">
      <c r="A959" s="53" t="str">
        <f aca="false">IF($H959="","",ROW()-5)</f>
        <v/>
      </c>
      <c r="B959" s="64" t="s">
        <v>36</v>
      </c>
      <c r="C959" s="53" t="n">
        <v>244</v>
      </c>
      <c r="D959" s="53" t="n">
        <v>2</v>
      </c>
      <c r="E959" s="65" t="str">
        <f aca="false">IF($H959="","",购销流水!$B244)</f>
        <v/>
      </c>
      <c r="F959" s="55" t="str">
        <f aca="false">IF($H959="","",购销流水!$C244)</f>
        <v/>
      </c>
      <c r="G959" s="48" t="str">
        <f aca="false">IF($H959="","",购销流水!$N244)</f>
        <v/>
      </c>
      <c r="H959" s="10" t="str">
        <f aca="false">IF($L959="","",IF($L959="@成本",购销流水!$U244,IF($L959="@收入",购销流水!$T244,IF($L959="@存货",购销流水!$S244,IF($L959="@结算",购销流水!$R244,$L959)))))</f>
        <v/>
      </c>
      <c r="I959" s="42" t="n">
        <f aca="false">IF($M959="借",$O959,0)</f>
        <v>0</v>
      </c>
      <c r="J959" s="42" t="n">
        <f aca="false">IF($M959="贷",$O959,0)</f>
        <v>0</v>
      </c>
      <c r="K959" s="48" t="str">
        <f aca="false">IF($H959="","",购销流水!$E244)</f>
        <v/>
      </c>
      <c r="L959" s="66" t="str">
        <f aca="false">IF(购销流水!$D244="","",IFERROR(INDEX(记账规则!$A$6:$N$9,MATCH(购销流水!$D244,记账规则!$A$6:$A$9,0),6),""))</f>
        <v/>
      </c>
      <c r="M959" s="66" t="str">
        <f aca="false">IF($L959="","",IFERROR(INDEX(记账规则!$A$6:$N$9,MATCH(购销流水!$D244,记账规则!$A$6:$A$9,0),7),""))</f>
        <v/>
      </c>
      <c r="N959" s="66" t="str">
        <f aca="false">IF($L959="","",IFERROR(INDEX(记账规则!$A$6:$N$9,MATCH(购销流水!$D244,记账规则!$A$6:$A$9,0),8),""))</f>
        <v/>
      </c>
      <c r="O959" s="67" t="n">
        <f aca="false">IF($H959="",0,ROUND(IF($N959="成本金额",N(购销流水!$W244),IF($N959="金额",N(购销流水!$Q244),0)),2))</f>
        <v>0</v>
      </c>
      <c r="P959" s="64" t="str">
        <f aca="false">IF(AND($H959&lt;&gt;"",ROUND($O959,2)&lt;&gt;0),"有","")</f>
        <v/>
      </c>
    </row>
    <row r="960" customFormat="false" ht="15" hidden="true" customHeight="false" outlineLevel="0" collapsed="false">
      <c r="A960" s="53" t="str">
        <f aca="false">IF($H960="","",ROW()-5)</f>
        <v/>
      </c>
      <c r="B960" s="64" t="s">
        <v>36</v>
      </c>
      <c r="C960" s="53" t="n">
        <v>244</v>
      </c>
      <c r="D960" s="53" t="n">
        <v>3</v>
      </c>
      <c r="E960" s="65" t="str">
        <f aca="false">IF($H960="","",购销流水!$B244)</f>
        <v/>
      </c>
      <c r="F960" s="55" t="str">
        <f aca="false">IF($H960="","",购销流水!$C244)</f>
        <v/>
      </c>
      <c r="G960" s="48" t="str">
        <f aca="false">IF($H960="","",购销流水!$N244)</f>
        <v/>
      </c>
      <c r="H960" s="10" t="str">
        <f aca="false">IF($L960="","",IF($L960="@成本",购销流水!$U244,IF($L960="@收入",购销流水!$T244,IF($L960="@存货",购销流水!$S244,IF($L960="@结算",购销流水!$R244,$L960)))))</f>
        <v/>
      </c>
      <c r="I960" s="42" t="n">
        <f aca="false">IF($M960="借",$O960,0)</f>
        <v>0</v>
      </c>
      <c r="J960" s="42" t="n">
        <f aca="false">IF($M960="贷",$O960,0)</f>
        <v>0</v>
      </c>
      <c r="K960" s="48" t="str">
        <f aca="false">IF($H960="","",购销流水!$E244)</f>
        <v/>
      </c>
      <c r="L960" s="66" t="str">
        <f aca="false">IF(购销流水!$D244="","",IFERROR(INDEX(记账规则!$A$6:$N$9,MATCH(购销流水!$D244,记账规则!$A$6:$A$9,0),9),""))</f>
        <v/>
      </c>
      <c r="M960" s="66" t="str">
        <f aca="false">IF($L960="","",IFERROR(INDEX(记账规则!$A$6:$N$9,MATCH(购销流水!$D244,记账规则!$A$6:$A$9,0),10),""))</f>
        <v/>
      </c>
      <c r="N960" s="66" t="str">
        <f aca="false">IF($L960="","",IFERROR(INDEX(记账规则!$A$6:$N$9,MATCH(购销流水!$D244,记账规则!$A$6:$A$9,0),11),""))</f>
        <v/>
      </c>
      <c r="O960" s="67" t="n">
        <f aca="false">IF($H960="",0,ROUND(IF($N960="成本金额",N(购销流水!$W244),IF($N960="金额",N(购销流水!$Q244),0)),2))</f>
        <v>0</v>
      </c>
      <c r="P960" s="64" t="str">
        <f aca="false">IF(AND($H960&lt;&gt;"",ROUND($O960,2)&lt;&gt;0),"有","")</f>
        <v/>
      </c>
    </row>
    <row r="961" customFormat="false" ht="15" hidden="true" customHeight="false" outlineLevel="0" collapsed="false">
      <c r="A961" s="53" t="str">
        <f aca="false">IF($H961="","",ROW()-5)</f>
        <v/>
      </c>
      <c r="B961" s="64" t="s">
        <v>36</v>
      </c>
      <c r="C961" s="53" t="n">
        <v>244</v>
      </c>
      <c r="D961" s="53" t="n">
        <v>4</v>
      </c>
      <c r="E961" s="65" t="str">
        <f aca="false">IF($H961="","",购销流水!$B244)</f>
        <v/>
      </c>
      <c r="F961" s="55" t="str">
        <f aca="false">IF($H961="","",购销流水!$C244)</f>
        <v/>
      </c>
      <c r="G961" s="48" t="str">
        <f aca="false">IF($H961="","",购销流水!$N244)</f>
        <v/>
      </c>
      <c r="H961" s="10" t="str">
        <f aca="false">IF($L961="","",IF($L961="@成本",购销流水!$U244,IF($L961="@收入",购销流水!$T244,IF($L961="@存货",购销流水!$S244,IF($L961="@结算",购销流水!$R244,$L961)))))</f>
        <v/>
      </c>
      <c r="I961" s="42" t="n">
        <f aca="false">IF($M961="借",$O961,0)</f>
        <v>0</v>
      </c>
      <c r="J961" s="42" t="n">
        <f aca="false">IF($M961="贷",$O961,0)</f>
        <v>0</v>
      </c>
      <c r="K961" s="48" t="str">
        <f aca="false">IF($H961="","",购销流水!$E244)</f>
        <v/>
      </c>
      <c r="L961" s="66" t="str">
        <f aca="false">IF(购销流水!$D244="","",IFERROR(INDEX(记账规则!$A$6:$N$9,MATCH(购销流水!$D244,记账规则!$A$6:$A$9,0),12),""))</f>
        <v/>
      </c>
      <c r="M961" s="66" t="str">
        <f aca="false">IF($L961="","",IFERROR(INDEX(记账规则!$A$6:$N$9,MATCH(购销流水!$D244,记账规则!$A$6:$A$9,0),13),""))</f>
        <v/>
      </c>
      <c r="N961" s="66" t="str">
        <f aca="false">IF($L961="","",IFERROR(INDEX(记账规则!$A$6:$N$9,MATCH(购销流水!$D244,记账规则!$A$6:$A$9,0),14),""))</f>
        <v/>
      </c>
      <c r="O961" s="67" t="n">
        <f aca="false">IF($H961="",0,ROUND(IF($N961="成本金额",N(购销流水!$W244),IF($N961="金额",N(购销流水!$Q244),0)),2))</f>
        <v>0</v>
      </c>
      <c r="P961" s="64" t="str">
        <f aca="false">IF(AND($H961&lt;&gt;"",ROUND($O961,2)&lt;&gt;0),"有","")</f>
        <v/>
      </c>
    </row>
    <row r="962" customFormat="false" ht="15" hidden="true" customHeight="false" outlineLevel="0" collapsed="false">
      <c r="A962" s="53" t="str">
        <f aca="false">IF($H962="","",ROW()-5)</f>
        <v/>
      </c>
      <c r="B962" s="64" t="s">
        <v>36</v>
      </c>
      <c r="C962" s="53" t="n">
        <v>245</v>
      </c>
      <c r="D962" s="53" t="n">
        <v>1</v>
      </c>
      <c r="E962" s="65" t="str">
        <f aca="false">IF($H962="","",购销流水!$B245)</f>
        <v/>
      </c>
      <c r="F962" s="55" t="str">
        <f aca="false">IF($H962="","",购销流水!$C245)</f>
        <v/>
      </c>
      <c r="G962" s="48" t="str">
        <f aca="false">IF($H962="","",购销流水!$N245)</f>
        <v/>
      </c>
      <c r="H962" s="10" t="str">
        <f aca="false">IF($L962="","",IF($L962="@成本",购销流水!$U245,IF($L962="@收入",购销流水!$T245,IF($L962="@存货",购销流水!$S245,IF($L962="@结算",购销流水!$R245,$L962)))))</f>
        <v/>
      </c>
      <c r="I962" s="42" t="n">
        <f aca="false">IF($M962="借",$O962,0)</f>
        <v>0</v>
      </c>
      <c r="J962" s="42" t="n">
        <f aca="false">IF($M962="贷",$O962,0)</f>
        <v>0</v>
      </c>
      <c r="K962" s="48" t="str">
        <f aca="false">IF($H962="","",购销流水!$E245)</f>
        <v/>
      </c>
      <c r="L962" s="66" t="str">
        <f aca="false">IF(购销流水!$D245="","",IFERROR(INDEX(记账规则!$A$6:$N$9,MATCH(购销流水!$D245,记账规则!$A$6:$A$9,0),3),""))</f>
        <v/>
      </c>
      <c r="M962" s="66" t="str">
        <f aca="false">IF($L962="","",IFERROR(INDEX(记账规则!$A$6:$N$9,MATCH(购销流水!$D245,记账规则!$A$6:$A$9,0),4),""))</f>
        <v/>
      </c>
      <c r="N962" s="66" t="str">
        <f aca="false">IF($L962="","",IFERROR(INDEX(记账规则!$A$6:$N$9,MATCH(购销流水!$D245,记账规则!$A$6:$A$9,0),5),""))</f>
        <v/>
      </c>
      <c r="O962" s="67" t="n">
        <f aca="false">IF($H962="",0,ROUND(IF($N962="成本金额",N(购销流水!$W245),IF($N962="金额",N(购销流水!$Q245),0)),2))</f>
        <v>0</v>
      </c>
      <c r="P962" s="64" t="str">
        <f aca="false">IF(AND($H962&lt;&gt;"",ROUND($O962,2)&lt;&gt;0),"有","")</f>
        <v/>
      </c>
    </row>
    <row r="963" customFormat="false" ht="15" hidden="true" customHeight="false" outlineLevel="0" collapsed="false">
      <c r="A963" s="53" t="str">
        <f aca="false">IF($H963="","",ROW()-5)</f>
        <v/>
      </c>
      <c r="B963" s="64" t="s">
        <v>36</v>
      </c>
      <c r="C963" s="53" t="n">
        <v>245</v>
      </c>
      <c r="D963" s="53" t="n">
        <v>2</v>
      </c>
      <c r="E963" s="65" t="str">
        <f aca="false">IF($H963="","",购销流水!$B245)</f>
        <v/>
      </c>
      <c r="F963" s="55" t="str">
        <f aca="false">IF($H963="","",购销流水!$C245)</f>
        <v/>
      </c>
      <c r="G963" s="48" t="str">
        <f aca="false">IF($H963="","",购销流水!$N245)</f>
        <v/>
      </c>
      <c r="H963" s="10" t="str">
        <f aca="false">IF($L963="","",IF($L963="@成本",购销流水!$U245,IF($L963="@收入",购销流水!$T245,IF($L963="@存货",购销流水!$S245,IF($L963="@结算",购销流水!$R245,$L963)))))</f>
        <v/>
      </c>
      <c r="I963" s="42" t="n">
        <f aca="false">IF($M963="借",$O963,0)</f>
        <v>0</v>
      </c>
      <c r="J963" s="42" t="n">
        <f aca="false">IF($M963="贷",$O963,0)</f>
        <v>0</v>
      </c>
      <c r="K963" s="48" t="str">
        <f aca="false">IF($H963="","",购销流水!$E245)</f>
        <v/>
      </c>
      <c r="L963" s="66" t="str">
        <f aca="false">IF(购销流水!$D245="","",IFERROR(INDEX(记账规则!$A$6:$N$9,MATCH(购销流水!$D245,记账规则!$A$6:$A$9,0),6),""))</f>
        <v/>
      </c>
      <c r="M963" s="66" t="str">
        <f aca="false">IF($L963="","",IFERROR(INDEX(记账规则!$A$6:$N$9,MATCH(购销流水!$D245,记账规则!$A$6:$A$9,0),7),""))</f>
        <v/>
      </c>
      <c r="N963" s="66" t="str">
        <f aca="false">IF($L963="","",IFERROR(INDEX(记账规则!$A$6:$N$9,MATCH(购销流水!$D245,记账规则!$A$6:$A$9,0),8),""))</f>
        <v/>
      </c>
      <c r="O963" s="67" t="n">
        <f aca="false">IF($H963="",0,ROUND(IF($N963="成本金额",N(购销流水!$W245),IF($N963="金额",N(购销流水!$Q245),0)),2))</f>
        <v>0</v>
      </c>
      <c r="P963" s="64" t="str">
        <f aca="false">IF(AND($H963&lt;&gt;"",ROUND($O963,2)&lt;&gt;0),"有","")</f>
        <v/>
      </c>
    </row>
    <row r="964" customFormat="false" ht="15" hidden="true" customHeight="false" outlineLevel="0" collapsed="false">
      <c r="A964" s="53" t="str">
        <f aca="false">IF($H964="","",ROW()-5)</f>
        <v/>
      </c>
      <c r="B964" s="64" t="s">
        <v>36</v>
      </c>
      <c r="C964" s="53" t="n">
        <v>245</v>
      </c>
      <c r="D964" s="53" t="n">
        <v>3</v>
      </c>
      <c r="E964" s="65" t="str">
        <f aca="false">IF($H964="","",购销流水!$B245)</f>
        <v/>
      </c>
      <c r="F964" s="55" t="str">
        <f aca="false">IF($H964="","",购销流水!$C245)</f>
        <v/>
      </c>
      <c r="G964" s="48" t="str">
        <f aca="false">IF($H964="","",购销流水!$N245)</f>
        <v/>
      </c>
      <c r="H964" s="10" t="str">
        <f aca="false">IF($L964="","",IF($L964="@成本",购销流水!$U245,IF($L964="@收入",购销流水!$T245,IF($L964="@存货",购销流水!$S245,IF($L964="@结算",购销流水!$R245,$L964)))))</f>
        <v/>
      </c>
      <c r="I964" s="42" t="n">
        <f aca="false">IF($M964="借",$O964,0)</f>
        <v>0</v>
      </c>
      <c r="J964" s="42" t="n">
        <f aca="false">IF($M964="贷",$O964,0)</f>
        <v>0</v>
      </c>
      <c r="K964" s="48" t="str">
        <f aca="false">IF($H964="","",购销流水!$E245)</f>
        <v/>
      </c>
      <c r="L964" s="66" t="str">
        <f aca="false">IF(购销流水!$D245="","",IFERROR(INDEX(记账规则!$A$6:$N$9,MATCH(购销流水!$D245,记账规则!$A$6:$A$9,0),9),""))</f>
        <v/>
      </c>
      <c r="M964" s="66" t="str">
        <f aca="false">IF($L964="","",IFERROR(INDEX(记账规则!$A$6:$N$9,MATCH(购销流水!$D245,记账规则!$A$6:$A$9,0),10),""))</f>
        <v/>
      </c>
      <c r="N964" s="66" t="str">
        <f aca="false">IF($L964="","",IFERROR(INDEX(记账规则!$A$6:$N$9,MATCH(购销流水!$D245,记账规则!$A$6:$A$9,0),11),""))</f>
        <v/>
      </c>
      <c r="O964" s="67" t="n">
        <f aca="false">IF($H964="",0,ROUND(IF($N964="成本金额",N(购销流水!$W245),IF($N964="金额",N(购销流水!$Q245),0)),2))</f>
        <v>0</v>
      </c>
      <c r="P964" s="64" t="str">
        <f aca="false">IF(AND($H964&lt;&gt;"",ROUND($O964,2)&lt;&gt;0),"有","")</f>
        <v/>
      </c>
    </row>
    <row r="965" customFormat="false" ht="15" hidden="true" customHeight="false" outlineLevel="0" collapsed="false">
      <c r="A965" s="53" t="str">
        <f aca="false">IF($H965="","",ROW()-5)</f>
        <v/>
      </c>
      <c r="B965" s="64" t="s">
        <v>36</v>
      </c>
      <c r="C965" s="53" t="n">
        <v>245</v>
      </c>
      <c r="D965" s="53" t="n">
        <v>4</v>
      </c>
      <c r="E965" s="65" t="str">
        <f aca="false">IF($H965="","",购销流水!$B245)</f>
        <v/>
      </c>
      <c r="F965" s="55" t="str">
        <f aca="false">IF($H965="","",购销流水!$C245)</f>
        <v/>
      </c>
      <c r="G965" s="48" t="str">
        <f aca="false">IF($H965="","",购销流水!$N245)</f>
        <v/>
      </c>
      <c r="H965" s="10" t="str">
        <f aca="false">IF($L965="","",IF($L965="@成本",购销流水!$U245,IF($L965="@收入",购销流水!$T245,IF($L965="@存货",购销流水!$S245,IF($L965="@结算",购销流水!$R245,$L965)))))</f>
        <v/>
      </c>
      <c r="I965" s="42" t="n">
        <f aca="false">IF($M965="借",$O965,0)</f>
        <v>0</v>
      </c>
      <c r="J965" s="42" t="n">
        <f aca="false">IF($M965="贷",$O965,0)</f>
        <v>0</v>
      </c>
      <c r="K965" s="48" t="str">
        <f aca="false">IF($H965="","",购销流水!$E245)</f>
        <v/>
      </c>
      <c r="L965" s="66" t="str">
        <f aca="false">IF(购销流水!$D245="","",IFERROR(INDEX(记账规则!$A$6:$N$9,MATCH(购销流水!$D245,记账规则!$A$6:$A$9,0),12),""))</f>
        <v/>
      </c>
      <c r="M965" s="66" t="str">
        <f aca="false">IF($L965="","",IFERROR(INDEX(记账规则!$A$6:$N$9,MATCH(购销流水!$D245,记账规则!$A$6:$A$9,0),13),""))</f>
        <v/>
      </c>
      <c r="N965" s="66" t="str">
        <f aca="false">IF($L965="","",IFERROR(INDEX(记账规则!$A$6:$N$9,MATCH(购销流水!$D245,记账规则!$A$6:$A$9,0),14),""))</f>
        <v/>
      </c>
      <c r="O965" s="67" t="n">
        <f aca="false">IF($H965="",0,ROUND(IF($N965="成本金额",N(购销流水!$W245),IF($N965="金额",N(购销流水!$Q245),0)),2))</f>
        <v>0</v>
      </c>
      <c r="P965" s="64" t="str">
        <f aca="false">IF(AND($H965&lt;&gt;"",ROUND($O965,2)&lt;&gt;0),"有","")</f>
        <v/>
      </c>
    </row>
    <row r="966" customFormat="false" ht="15" hidden="true" customHeight="false" outlineLevel="0" collapsed="false">
      <c r="A966" s="53" t="str">
        <f aca="false">IF($H966="","",ROW()-5)</f>
        <v/>
      </c>
      <c r="B966" s="64" t="s">
        <v>36</v>
      </c>
      <c r="C966" s="53" t="n">
        <v>246</v>
      </c>
      <c r="D966" s="53" t="n">
        <v>1</v>
      </c>
      <c r="E966" s="65" t="str">
        <f aca="false">IF($H966="","",购销流水!$B246)</f>
        <v/>
      </c>
      <c r="F966" s="55" t="str">
        <f aca="false">IF($H966="","",购销流水!$C246)</f>
        <v/>
      </c>
      <c r="G966" s="48" t="str">
        <f aca="false">IF($H966="","",购销流水!$N246)</f>
        <v/>
      </c>
      <c r="H966" s="10" t="str">
        <f aca="false">IF($L966="","",IF($L966="@成本",购销流水!$U246,IF($L966="@收入",购销流水!$T246,IF($L966="@存货",购销流水!$S246,IF($L966="@结算",购销流水!$R246,$L966)))))</f>
        <v/>
      </c>
      <c r="I966" s="42" t="n">
        <f aca="false">IF($M966="借",$O966,0)</f>
        <v>0</v>
      </c>
      <c r="J966" s="42" t="n">
        <f aca="false">IF($M966="贷",$O966,0)</f>
        <v>0</v>
      </c>
      <c r="K966" s="48" t="str">
        <f aca="false">IF($H966="","",购销流水!$E246)</f>
        <v/>
      </c>
      <c r="L966" s="66" t="str">
        <f aca="false">IF(购销流水!$D246="","",IFERROR(INDEX(记账规则!$A$6:$N$9,MATCH(购销流水!$D246,记账规则!$A$6:$A$9,0),3),""))</f>
        <v/>
      </c>
      <c r="M966" s="66" t="str">
        <f aca="false">IF($L966="","",IFERROR(INDEX(记账规则!$A$6:$N$9,MATCH(购销流水!$D246,记账规则!$A$6:$A$9,0),4),""))</f>
        <v/>
      </c>
      <c r="N966" s="66" t="str">
        <f aca="false">IF($L966="","",IFERROR(INDEX(记账规则!$A$6:$N$9,MATCH(购销流水!$D246,记账规则!$A$6:$A$9,0),5),""))</f>
        <v/>
      </c>
      <c r="O966" s="67" t="n">
        <f aca="false">IF($H966="",0,ROUND(IF($N966="成本金额",N(购销流水!$W246),IF($N966="金额",N(购销流水!$Q246),0)),2))</f>
        <v>0</v>
      </c>
      <c r="P966" s="64" t="str">
        <f aca="false">IF(AND($H966&lt;&gt;"",ROUND($O966,2)&lt;&gt;0),"有","")</f>
        <v/>
      </c>
    </row>
    <row r="967" customFormat="false" ht="15" hidden="true" customHeight="false" outlineLevel="0" collapsed="false">
      <c r="A967" s="53" t="str">
        <f aca="false">IF($H967="","",ROW()-5)</f>
        <v/>
      </c>
      <c r="B967" s="64" t="s">
        <v>36</v>
      </c>
      <c r="C967" s="53" t="n">
        <v>246</v>
      </c>
      <c r="D967" s="53" t="n">
        <v>2</v>
      </c>
      <c r="E967" s="65" t="str">
        <f aca="false">IF($H967="","",购销流水!$B246)</f>
        <v/>
      </c>
      <c r="F967" s="55" t="str">
        <f aca="false">IF($H967="","",购销流水!$C246)</f>
        <v/>
      </c>
      <c r="G967" s="48" t="str">
        <f aca="false">IF($H967="","",购销流水!$N246)</f>
        <v/>
      </c>
      <c r="H967" s="10" t="str">
        <f aca="false">IF($L967="","",IF($L967="@成本",购销流水!$U246,IF($L967="@收入",购销流水!$T246,IF($L967="@存货",购销流水!$S246,IF($L967="@结算",购销流水!$R246,$L967)))))</f>
        <v/>
      </c>
      <c r="I967" s="42" t="n">
        <f aca="false">IF($M967="借",$O967,0)</f>
        <v>0</v>
      </c>
      <c r="J967" s="42" t="n">
        <f aca="false">IF($M967="贷",$O967,0)</f>
        <v>0</v>
      </c>
      <c r="K967" s="48" t="str">
        <f aca="false">IF($H967="","",购销流水!$E246)</f>
        <v/>
      </c>
      <c r="L967" s="66" t="str">
        <f aca="false">IF(购销流水!$D246="","",IFERROR(INDEX(记账规则!$A$6:$N$9,MATCH(购销流水!$D246,记账规则!$A$6:$A$9,0),6),""))</f>
        <v/>
      </c>
      <c r="M967" s="66" t="str">
        <f aca="false">IF($L967="","",IFERROR(INDEX(记账规则!$A$6:$N$9,MATCH(购销流水!$D246,记账规则!$A$6:$A$9,0),7),""))</f>
        <v/>
      </c>
      <c r="N967" s="66" t="str">
        <f aca="false">IF($L967="","",IFERROR(INDEX(记账规则!$A$6:$N$9,MATCH(购销流水!$D246,记账规则!$A$6:$A$9,0),8),""))</f>
        <v/>
      </c>
      <c r="O967" s="67" t="n">
        <f aca="false">IF($H967="",0,ROUND(IF($N967="成本金额",N(购销流水!$W246),IF($N967="金额",N(购销流水!$Q246),0)),2))</f>
        <v>0</v>
      </c>
      <c r="P967" s="64" t="str">
        <f aca="false">IF(AND($H967&lt;&gt;"",ROUND($O967,2)&lt;&gt;0),"有","")</f>
        <v/>
      </c>
    </row>
    <row r="968" customFormat="false" ht="15" hidden="true" customHeight="false" outlineLevel="0" collapsed="false">
      <c r="A968" s="53" t="str">
        <f aca="false">IF($H968="","",ROW()-5)</f>
        <v/>
      </c>
      <c r="B968" s="64" t="s">
        <v>36</v>
      </c>
      <c r="C968" s="53" t="n">
        <v>246</v>
      </c>
      <c r="D968" s="53" t="n">
        <v>3</v>
      </c>
      <c r="E968" s="65" t="str">
        <f aca="false">IF($H968="","",购销流水!$B246)</f>
        <v/>
      </c>
      <c r="F968" s="55" t="str">
        <f aca="false">IF($H968="","",购销流水!$C246)</f>
        <v/>
      </c>
      <c r="G968" s="48" t="str">
        <f aca="false">IF($H968="","",购销流水!$N246)</f>
        <v/>
      </c>
      <c r="H968" s="10" t="str">
        <f aca="false">IF($L968="","",IF($L968="@成本",购销流水!$U246,IF($L968="@收入",购销流水!$T246,IF($L968="@存货",购销流水!$S246,IF($L968="@结算",购销流水!$R246,$L968)))))</f>
        <v/>
      </c>
      <c r="I968" s="42" t="n">
        <f aca="false">IF($M968="借",$O968,0)</f>
        <v>0</v>
      </c>
      <c r="J968" s="42" t="n">
        <f aca="false">IF($M968="贷",$O968,0)</f>
        <v>0</v>
      </c>
      <c r="K968" s="48" t="str">
        <f aca="false">IF($H968="","",购销流水!$E246)</f>
        <v/>
      </c>
      <c r="L968" s="66" t="str">
        <f aca="false">IF(购销流水!$D246="","",IFERROR(INDEX(记账规则!$A$6:$N$9,MATCH(购销流水!$D246,记账规则!$A$6:$A$9,0),9),""))</f>
        <v/>
      </c>
      <c r="M968" s="66" t="str">
        <f aca="false">IF($L968="","",IFERROR(INDEX(记账规则!$A$6:$N$9,MATCH(购销流水!$D246,记账规则!$A$6:$A$9,0),10),""))</f>
        <v/>
      </c>
      <c r="N968" s="66" t="str">
        <f aca="false">IF($L968="","",IFERROR(INDEX(记账规则!$A$6:$N$9,MATCH(购销流水!$D246,记账规则!$A$6:$A$9,0),11),""))</f>
        <v/>
      </c>
      <c r="O968" s="67" t="n">
        <f aca="false">IF($H968="",0,ROUND(IF($N968="成本金额",N(购销流水!$W246),IF($N968="金额",N(购销流水!$Q246),0)),2))</f>
        <v>0</v>
      </c>
      <c r="P968" s="64" t="str">
        <f aca="false">IF(AND($H968&lt;&gt;"",ROUND($O968,2)&lt;&gt;0),"有","")</f>
        <v/>
      </c>
    </row>
    <row r="969" customFormat="false" ht="15" hidden="true" customHeight="false" outlineLevel="0" collapsed="false">
      <c r="A969" s="53" t="str">
        <f aca="false">IF($H969="","",ROW()-5)</f>
        <v/>
      </c>
      <c r="B969" s="64" t="s">
        <v>36</v>
      </c>
      <c r="C969" s="53" t="n">
        <v>246</v>
      </c>
      <c r="D969" s="53" t="n">
        <v>4</v>
      </c>
      <c r="E969" s="65" t="str">
        <f aca="false">IF($H969="","",购销流水!$B246)</f>
        <v/>
      </c>
      <c r="F969" s="55" t="str">
        <f aca="false">IF($H969="","",购销流水!$C246)</f>
        <v/>
      </c>
      <c r="G969" s="48" t="str">
        <f aca="false">IF($H969="","",购销流水!$N246)</f>
        <v/>
      </c>
      <c r="H969" s="10" t="str">
        <f aca="false">IF($L969="","",IF($L969="@成本",购销流水!$U246,IF($L969="@收入",购销流水!$T246,IF($L969="@存货",购销流水!$S246,IF($L969="@结算",购销流水!$R246,$L969)))))</f>
        <v/>
      </c>
      <c r="I969" s="42" t="n">
        <f aca="false">IF($M969="借",$O969,0)</f>
        <v>0</v>
      </c>
      <c r="J969" s="42" t="n">
        <f aca="false">IF($M969="贷",$O969,0)</f>
        <v>0</v>
      </c>
      <c r="K969" s="48" t="str">
        <f aca="false">IF($H969="","",购销流水!$E246)</f>
        <v/>
      </c>
      <c r="L969" s="66" t="str">
        <f aca="false">IF(购销流水!$D246="","",IFERROR(INDEX(记账规则!$A$6:$N$9,MATCH(购销流水!$D246,记账规则!$A$6:$A$9,0),12),""))</f>
        <v/>
      </c>
      <c r="M969" s="66" t="str">
        <f aca="false">IF($L969="","",IFERROR(INDEX(记账规则!$A$6:$N$9,MATCH(购销流水!$D246,记账规则!$A$6:$A$9,0),13),""))</f>
        <v/>
      </c>
      <c r="N969" s="66" t="str">
        <f aca="false">IF($L969="","",IFERROR(INDEX(记账规则!$A$6:$N$9,MATCH(购销流水!$D246,记账规则!$A$6:$A$9,0),14),""))</f>
        <v/>
      </c>
      <c r="O969" s="67" t="n">
        <f aca="false">IF($H969="",0,ROUND(IF($N969="成本金额",N(购销流水!$W246),IF($N969="金额",N(购销流水!$Q246),0)),2))</f>
        <v>0</v>
      </c>
      <c r="P969" s="64" t="str">
        <f aca="false">IF(AND($H969&lt;&gt;"",ROUND($O969,2)&lt;&gt;0),"有","")</f>
        <v/>
      </c>
    </row>
    <row r="970" customFormat="false" ht="15" hidden="true" customHeight="false" outlineLevel="0" collapsed="false">
      <c r="A970" s="53" t="str">
        <f aca="false">IF($H970="","",ROW()-5)</f>
        <v/>
      </c>
      <c r="B970" s="64" t="s">
        <v>36</v>
      </c>
      <c r="C970" s="53" t="n">
        <v>247</v>
      </c>
      <c r="D970" s="53" t="n">
        <v>1</v>
      </c>
      <c r="E970" s="65" t="str">
        <f aca="false">IF($H970="","",购销流水!$B247)</f>
        <v/>
      </c>
      <c r="F970" s="55" t="str">
        <f aca="false">IF($H970="","",购销流水!$C247)</f>
        <v/>
      </c>
      <c r="G970" s="48" t="str">
        <f aca="false">IF($H970="","",购销流水!$N247)</f>
        <v/>
      </c>
      <c r="H970" s="10" t="str">
        <f aca="false">IF($L970="","",IF($L970="@成本",购销流水!$U247,IF($L970="@收入",购销流水!$T247,IF($L970="@存货",购销流水!$S247,IF($L970="@结算",购销流水!$R247,$L970)))))</f>
        <v/>
      </c>
      <c r="I970" s="42" t="n">
        <f aca="false">IF($M970="借",$O970,0)</f>
        <v>0</v>
      </c>
      <c r="J970" s="42" t="n">
        <f aca="false">IF($M970="贷",$O970,0)</f>
        <v>0</v>
      </c>
      <c r="K970" s="48" t="str">
        <f aca="false">IF($H970="","",购销流水!$E247)</f>
        <v/>
      </c>
      <c r="L970" s="66" t="str">
        <f aca="false">IF(购销流水!$D247="","",IFERROR(INDEX(记账规则!$A$6:$N$9,MATCH(购销流水!$D247,记账规则!$A$6:$A$9,0),3),""))</f>
        <v/>
      </c>
      <c r="M970" s="66" t="str">
        <f aca="false">IF($L970="","",IFERROR(INDEX(记账规则!$A$6:$N$9,MATCH(购销流水!$D247,记账规则!$A$6:$A$9,0),4),""))</f>
        <v/>
      </c>
      <c r="N970" s="66" t="str">
        <f aca="false">IF($L970="","",IFERROR(INDEX(记账规则!$A$6:$N$9,MATCH(购销流水!$D247,记账规则!$A$6:$A$9,0),5),""))</f>
        <v/>
      </c>
      <c r="O970" s="67" t="n">
        <f aca="false">IF($H970="",0,ROUND(IF($N970="成本金额",N(购销流水!$W247),IF($N970="金额",N(购销流水!$Q247),0)),2))</f>
        <v>0</v>
      </c>
      <c r="P970" s="64" t="str">
        <f aca="false">IF(AND($H970&lt;&gt;"",ROUND($O970,2)&lt;&gt;0),"有","")</f>
        <v/>
      </c>
    </row>
    <row r="971" customFormat="false" ht="15" hidden="true" customHeight="false" outlineLevel="0" collapsed="false">
      <c r="A971" s="53" t="str">
        <f aca="false">IF($H971="","",ROW()-5)</f>
        <v/>
      </c>
      <c r="B971" s="64" t="s">
        <v>36</v>
      </c>
      <c r="C971" s="53" t="n">
        <v>247</v>
      </c>
      <c r="D971" s="53" t="n">
        <v>2</v>
      </c>
      <c r="E971" s="65" t="str">
        <f aca="false">IF($H971="","",购销流水!$B247)</f>
        <v/>
      </c>
      <c r="F971" s="55" t="str">
        <f aca="false">IF($H971="","",购销流水!$C247)</f>
        <v/>
      </c>
      <c r="G971" s="48" t="str">
        <f aca="false">IF($H971="","",购销流水!$N247)</f>
        <v/>
      </c>
      <c r="H971" s="10" t="str">
        <f aca="false">IF($L971="","",IF($L971="@成本",购销流水!$U247,IF($L971="@收入",购销流水!$T247,IF($L971="@存货",购销流水!$S247,IF($L971="@结算",购销流水!$R247,$L971)))))</f>
        <v/>
      </c>
      <c r="I971" s="42" t="n">
        <f aca="false">IF($M971="借",$O971,0)</f>
        <v>0</v>
      </c>
      <c r="J971" s="42" t="n">
        <f aca="false">IF($M971="贷",$O971,0)</f>
        <v>0</v>
      </c>
      <c r="K971" s="48" t="str">
        <f aca="false">IF($H971="","",购销流水!$E247)</f>
        <v/>
      </c>
      <c r="L971" s="66" t="str">
        <f aca="false">IF(购销流水!$D247="","",IFERROR(INDEX(记账规则!$A$6:$N$9,MATCH(购销流水!$D247,记账规则!$A$6:$A$9,0),6),""))</f>
        <v/>
      </c>
      <c r="M971" s="66" t="str">
        <f aca="false">IF($L971="","",IFERROR(INDEX(记账规则!$A$6:$N$9,MATCH(购销流水!$D247,记账规则!$A$6:$A$9,0),7),""))</f>
        <v/>
      </c>
      <c r="N971" s="66" t="str">
        <f aca="false">IF($L971="","",IFERROR(INDEX(记账规则!$A$6:$N$9,MATCH(购销流水!$D247,记账规则!$A$6:$A$9,0),8),""))</f>
        <v/>
      </c>
      <c r="O971" s="67" t="n">
        <f aca="false">IF($H971="",0,ROUND(IF($N971="成本金额",N(购销流水!$W247),IF($N971="金额",N(购销流水!$Q247),0)),2))</f>
        <v>0</v>
      </c>
      <c r="P971" s="64" t="str">
        <f aca="false">IF(AND($H971&lt;&gt;"",ROUND($O971,2)&lt;&gt;0),"有","")</f>
        <v/>
      </c>
    </row>
    <row r="972" customFormat="false" ht="15" hidden="true" customHeight="false" outlineLevel="0" collapsed="false">
      <c r="A972" s="53" t="str">
        <f aca="false">IF($H972="","",ROW()-5)</f>
        <v/>
      </c>
      <c r="B972" s="64" t="s">
        <v>36</v>
      </c>
      <c r="C972" s="53" t="n">
        <v>247</v>
      </c>
      <c r="D972" s="53" t="n">
        <v>3</v>
      </c>
      <c r="E972" s="65" t="str">
        <f aca="false">IF($H972="","",购销流水!$B247)</f>
        <v/>
      </c>
      <c r="F972" s="55" t="str">
        <f aca="false">IF($H972="","",购销流水!$C247)</f>
        <v/>
      </c>
      <c r="G972" s="48" t="str">
        <f aca="false">IF($H972="","",购销流水!$N247)</f>
        <v/>
      </c>
      <c r="H972" s="10" t="str">
        <f aca="false">IF($L972="","",IF($L972="@成本",购销流水!$U247,IF($L972="@收入",购销流水!$T247,IF($L972="@存货",购销流水!$S247,IF($L972="@结算",购销流水!$R247,$L972)))))</f>
        <v/>
      </c>
      <c r="I972" s="42" t="n">
        <f aca="false">IF($M972="借",$O972,0)</f>
        <v>0</v>
      </c>
      <c r="J972" s="42" t="n">
        <f aca="false">IF($M972="贷",$O972,0)</f>
        <v>0</v>
      </c>
      <c r="K972" s="48" t="str">
        <f aca="false">IF($H972="","",购销流水!$E247)</f>
        <v/>
      </c>
      <c r="L972" s="66" t="str">
        <f aca="false">IF(购销流水!$D247="","",IFERROR(INDEX(记账规则!$A$6:$N$9,MATCH(购销流水!$D247,记账规则!$A$6:$A$9,0),9),""))</f>
        <v/>
      </c>
      <c r="M972" s="66" t="str">
        <f aca="false">IF($L972="","",IFERROR(INDEX(记账规则!$A$6:$N$9,MATCH(购销流水!$D247,记账规则!$A$6:$A$9,0),10),""))</f>
        <v/>
      </c>
      <c r="N972" s="66" t="str">
        <f aca="false">IF($L972="","",IFERROR(INDEX(记账规则!$A$6:$N$9,MATCH(购销流水!$D247,记账规则!$A$6:$A$9,0),11),""))</f>
        <v/>
      </c>
      <c r="O972" s="67" t="n">
        <f aca="false">IF($H972="",0,ROUND(IF($N972="成本金额",N(购销流水!$W247),IF($N972="金额",N(购销流水!$Q247),0)),2))</f>
        <v>0</v>
      </c>
      <c r="P972" s="64" t="str">
        <f aca="false">IF(AND($H972&lt;&gt;"",ROUND($O972,2)&lt;&gt;0),"有","")</f>
        <v/>
      </c>
    </row>
    <row r="973" customFormat="false" ht="15" hidden="true" customHeight="false" outlineLevel="0" collapsed="false">
      <c r="A973" s="53" t="str">
        <f aca="false">IF($H973="","",ROW()-5)</f>
        <v/>
      </c>
      <c r="B973" s="64" t="s">
        <v>36</v>
      </c>
      <c r="C973" s="53" t="n">
        <v>247</v>
      </c>
      <c r="D973" s="53" t="n">
        <v>4</v>
      </c>
      <c r="E973" s="65" t="str">
        <f aca="false">IF($H973="","",购销流水!$B247)</f>
        <v/>
      </c>
      <c r="F973" s="55" t="str">
        <f aca="false">IF($H973="","",购销流水!$C247)</f>
        <v/>
      </c>
      <c r="G973" s="48" t="str">
        <f aca="false">IF($H973="","",购销流水!$N247)</f>
        <v/>
      </c>
      <c r="H973" s="10" t="str">
        <f aca="false">IF($L973="","",IF($L973="@成本",购销流水!$U247,IF($L973="@收入",购销流水!$T247,IF($L973="@存货",购销流水!$S247,IF($L973="@结算",购销流水!$R247,$L973)))))</f>
        <v/>
      </c>
      <c r="I973" s="42" t="n">
        <f aca="false">IF($M973="借",$O973,0)</f>
        <v>0</v>
      </c>
      <c r="J973" s="42" t="n">
        <f aca="false">IF($M973="贷",$O973,0)</f>
        <v>0</v>
      </c>
      <c r="K973" s="48" t="str">
        <f aca="false">IF($H973="","",购销流水!$E247)</f>
        <v/>
      </c>
      <c r="L973" s="66" t="str">
        <f aca="false">IF(购销流水!$D247="","",IFERROR(INDEX(记账规则!$A$6:$N$9,MATCH(购销流水!$D247,记账规则!$A$6:$A$9,0),12),""))</f>
        <v/>
      </c>
      <c r="M973" s="66" t="str">
        <f aca="false">IF($L973="","",IFERROR(INDEX(记账规则!$A$6:$N$9,MATCH(购销流水!$D247,记账规则!$A$6:$A$9,0),13),""))</f>
        <v/>
      </c>
      <c r="N973" s="66" t="str">
        <f aca="false">IF($L973="","",IFERROR(INDEX(记账规则!$A$6:$N$9,MATCH(购销流水!$D247,记账规则!$A$6:$A$9,0),14),""))</f>
        <v/>
      </c>
      <c r="O973" s="67" t="n">
        <f aca="false">IF($H973="",0,ROUND(IF($N973="成本金额",N(购销流水!$W247),IF($N973="金额",N(购销流水!$Q247),0)),2))</f>
        <v>0</v>
      </c>
      <c r="P973" s="64" t="str">
        <f aca="false">IF(AND($H973&lt;&gt;"",ROUND($O973,2)&lt;&gt;0),"有","")</f>
        <v/>
      </c>
    </row>
    <row r="974" customFormat="false" ht="15" hidden="true" customHeight="false" outlineLevel="0" collapsed="false">
      <c r="A974" s="53" t="str">
        <f aca="false">IF($H974="","",ROW()-5)</f>
        <v/>
      </c>
      <c r="B974" s="64" t="s">
        <v>36</v>
      </c>
      <c r="C974" s="53" t="n">
        <v>248</v>
      </c>
      <c r="D974" s="53" t="n">
        <v>1</v>
      </c>
      <c r="E974" s="65" t="str">
        <f aca="false">IF($H974="","",购销流水!$B248)</f>
        <v/>
      </c>
      <c r="F974" s="55" t="str">
        <f aca="false">IF($H974="","",购销流水!$C248)</f>
        <v/>
      </c>
      <c r="G974" s="48" t="str">
        <f aca="false">IF($H974="","",购销流水!$N248)</f>
        <v/>
      </c>
      <c r="H974" s="10" t="str">
        <f aca="false">IF($L974="","",IF($L974="@成本",购销流水!$U248,IF($L974="@收入",购销流水!$T248,IF($L974="@存货",购销流水!$S248,IF($L974="@结算",购销流水!$R248,$L974)))))</f>
        <v/>
      </c>
      <c r="I974" s="42" t="n">
        <f aca="false">IF($M974="借",$O974,0)</f>
        <v>0</v>
      </c>
      <c r="J974" s="42" t="n">
        <f aca="false">IF($M974="贷",$O974,0)</f>
        <v>0</v>
      </c>
      <c r="K974" s="48" t="str">
        <f aca="false">IF($H974="","",购销流水!$E248)</f>
        <v/>
      </c>
      <c r="L974" s="66" t="str">
        <f aca="false">IF(购销流水!$D248="","",IFERROR(INDEX(记账规则!$A$6:$N$9,MATCH(购销流水!$D248,记账规则!$A$6:$A$9,0),3),""))</f>
        <v/>
      </c>
      <c r="M974" s="66" t="str">
        <f aca="false">IF($L974="","",IFERROR(INDEX(记账规则!$A$6:$N$9,MATCH(购销流水!$D248,记账规则!$A$6:$A$9,0),4),""))</f>
        <v/>
      </c>
      <c r="N974" s="66" t="str">
        <f aca="false">IF($L974="","",IFERROR(INDEX(记账规则!$A$6:$N$9,MATCH(购销流水!$D248,记账规则!$A$6:$A$9,0),5),""))</f>
        <v/>
      </c>
      <c r="O974" s="67" t="n">
        <f aca="false">IF($H974="",0,ROUND(IF($N974="成本金额",N(购销流水!$W248),IF($N974="金额",N(购销流水!$Q248),0)),2))</f>
        <v>0</v>
      </c>
      <c r="P974" s="64" t="str">
        <f aca="false">IF(AND($H974&lt;&gt;"",ROUND($O974,2)&lt;&gt;0),"有","")</f>
        <v/>
      </c>
    </row>
    <row r="975" customFormat="false" ht="15" hidden="true" customHeight="false" outlineLevel="0" collapsed="false">
      <c r="A975" s="53" t="str">
        <f aca="false">IF($H975="","",ROW()-5)</f>
        <v/>
      </c>
      <c r="B975" s="64" t="s">
        <v>36</v>
      </c>
      <c r="C975" s="53" t="n">
        <v>248</v>
      </c>
      <c r="D975" s="53" t="n">
        <v>2</v>
      </c>
      <c r="E975" s="65" t="str">
        <f aca="false">IF($H975="","",购销流水!$B248)</f>
        <v/>
      </c>
      <c r="F975" s="55" t="str">
        <f aca="false">IF($H975="","",购销流水!$C248)</f>
        <v/>
      </c>
      <c r="G975" s="48" t="str">
        <f aca="false">IF($H975="","",购销流水!$N248)</f>
        <v/>
      </c>
      <c r="H975" s="10" t="str">
        <f aca="false">IF($L975="","",IF($L975="@成本",购销流水!$U248,IF($L975="@收入",购销流水!$T248,IF($L975="@存货",购销流水!$S248,IF($L975="@结算",购销流水!$R248,$L975)))))</f>
        <v/>
      </c>
      <c r="I975" s="42" t="n">
        <f aca="false">IF($M975="借",$O975,0)</f>
        <v>0</v>
      </c>
      <c r="J975" s="42" t="n">
        <f aca="false">IF($M975="贷",$O975,0)</f>
        <v>0</v>
      </c>
      <c r="K975" s="48" t="str">
        <f aca="false">IF($H975="","",购销流水!$E248)</f>
        <v/>
      </c>
      <c r="L975" s="66" t="str">
        <f aca="false">IF(购销流水!$D248="","",IFERROR(INDEX(记账规则!$A$6:$N$9,MATCH(购销流水!$D248,记账规则!$A$6:$A$9,0),6),""))</f>
        <v/>
      </c>
      <c r="M975" s="66" t="str">
        <f aca="false">IF($L975="","",IFERROR(INDEX(记账规则!$A$6:$N$9,MATCH(购销流水!$D248,记账规则!$A$6:$A$9,0),7),""))</f>
        <v/>
      </c>
      <c r="N975" s="66" t="str">
        <f aca="false">IF($L975="","",IFERROR(INDEX(记账规则!$A$6:$N$9,MATCH(购销流水!$D248,记账规则!$A$6:$A$9,0),8),""))</f>
        <v/>
      </c>
      <c r="O975" s="67" t="n">
        <f aca="false">IF($H975="",0,ROUND(IF($N975="成本金额",N(购销流水!$W248),IF($N975="金额",N(购销流水!$Q248),0)),2))</f>
        <v>0</v>
      </c>
      <c r="P975" s="64" t="str">
        <f aca="false">IF(AND($H975&lt;&gt;"",ROUND($O975,2)&lt;&gt;0),"有","")</f>
        <v/>
      </c>
    </row>
    <row r="976" customFormat="false" ht="15" hidden="true" customHeight="false" outlineLevel="0" collapsed="false">
      <c r="A976" s="53" t="str">
        <f aca="false">IF($H976="","",ROW()-5)</f>
        <v/>
      </c>
      <c r="B976" s="64" t="s">
        <v>36</v>
      </c>
      <c r="C976" s="53" t="n">
        <v>248</v>
      </c>
      <c r="D976" s="53" t="n">
        <v>3</v>
      </c>
      <c r="E976" s="65" t="str">
        <f aca="false">IF($H976="","",购销流水!$B248)</f>
        <v/>
      </c>
      <c r="F976" s="55" t="str">
        <f aca="false">IF($H976="","",购销流水!$C248)</f>
        <v/>
      </c>
      <c r="G976" s="48" t="str">
        <f aca="false">IF($H976="","",购销流水!$N248)</f>
        <v/>
      </c>
      <c r="H976" s="10" t="str">
        <f aca="false">IF($L976="","",IF($L976="@成本",购销流水!$U248,IF($L976="@收入",购销流水!$T248,IF($L976="@存货",购销流水!$S248,IF($L976="@结算",购销流水!$R248,$L976)))))</f>
        <v/>
      </c>
      <c r="I976" s="42" t="n">
        <f aca="false">IF($M976="借",$O976,0)</f>
        <v>0</v>
      </c>
      <c r="J976" s="42" t="n">
        <f aca="false">IF($M976="贷",$O976,0)</f>
        <v>0</v>
      </c>
      <c r="K976" s="48" t="str">
        <f aca="false">IF($H976="","",购销流水!$E248)</f>
        <v/>
      </c>
      <c r="L976" s="66" t="str">
        <f aca="false">IF(购销流水!$D248="","",IFERROR(INDEX(记账规则!$A$6:$N$9,MATCH(购销流水!$D248,记账规则!$A$6:$A$9,0),9),""))</f>
        <v/>
      </c>
      <c r="M976" s="66" t="str">
        <f aca="false">IF($L976="","",IFERROR(INDEX(记账规则!$A$6:$N$9,MATCH(购销流水!$D248,记账规则!$A$6:$A$9,0),10),""))</f>
        <v/>
      </c>
      <c r="N976" s="66" t="str">
        <f aca="false">IF($L976="","",IFERROR(INDEX(记账规则!$A$6:$N$9,MATCH(购销流水!$D248,记账规则!$A$6:$A$9,0),11),""))</f>
        <v/>
      </c>
      <c r="O976" s="67" t="n">
        <f aca="false">IF($H976="",0,ROUND(IF($N976="成本金额",N(购销流水!$W248),IF($N976="金额",N(购销流水!$Q248),0)),2))</f>
        <v>0</v>
      </c>
      <c r="P976" s="64" t="str">
        <f aca="false">IF(AND($H976&lt;&gt;"",ROUND($O976,2)&lt;&gt;0),"有","")</f>
        <v/>
      </c>
    </row>
    <row r="977" customFormat="false" ht="15" hidden="true" customHeight="false" outlineLevel="0" collapsed="false">
      <c r="A977" s="53" t="str">
        <f aca="false">IF($H977="","",ROW()-5)</f>
        <v/>
      </c>
      <c r="B977" s="64" t="s">
        <v>36</v>
      </c>
      <c r="C977" s="53" t="n">
        <v>248</v>
      </c>
      <c r="D977" s="53" t="n">
        <v>4</v>
      </c>
      <c r="E977" s="65" t="str">
        <f aca="false">IF($H977="","",购销流水!$B248)</f>
        <v/>
      </c>
      <c r="F977" s="55" t="str">
        <f aca="false">IF($H977="","",购销流水!$C248)</f>
        <v/>
      </c>
      <c r="G977" s="48" t="str">
        <f aca="false">IF($H977="","",购销流水!$N248)</f>
        <v/>
      </c>
      <c r="H977" s="10" t="str">
        <f aca="false">IF($L977="","",IF($L977="@成本",购销流水!$U248,IF($L977="@收入",购销流水!$T248,IF($L977="@存货",购销流水!$S248,IF($L977="@结算",购销流水!$R248,$L977)))))</f>
        <v/>
      </c>
      <c r="I977" s="42" t="n">
        <f aca="false">IF($M977="借",$O977,0)</f>
        <v>0</v>
      </c>
      <c r="J977" s="42" t="n">
        <f aca="false">IF($M977="贷",$O977,0)</f>
        <v>0</v>
      </c>
      <c r="K977" s="48" t="str">
        <f aca="false">IF($H977="","",购销流水!$E248)</f>
        <v/>
      </c>
      <c r="L977" s="66" t="str">
        <f aca="false">IF(购销流水!$D248="","",IFERROR(INDEX(记账规则!$A$6:$N$9,MATCH(购销流水!$D248,记账规则!$A$6:$A$9,0),12),""))</f>
        <v/>
      </c>
      <c r="M977" s="66" t="str">
        <f aca="false">IF($L977="","",IFERROR(INDEX(记账规则!$A$6:$N$9,MATCH(购销流水!$D248,记账规则!$A$6:$A$9,0),13),""))</f>
        <v/>
      </c>
      <c r="N977" s="66" t="str">
        <f aca="false">IF($L977="","",IFERROR(INDEX(记账规则!$A$6:$N$9,MATCH(购销流水!$D248,记账规则!$A$6:$A$9,0),14),""))</f>
        <v/>
      </c>
      <c r="O977" s="67" t="n">
        <f aca="false">IF($H977="",0,ROUND(IF($N977="成本金额",N(购销流水!$W248),IF($N977="金额",N(购销流水!$Q248),0)),2))</f>
        <v>0</v>
      </c>
      <c r="P977" s="64" t="str">
        <f aca="false">IF(AND($H977&lt;&gt;"",ROUND($O977,2)&lt;&gt;0),"有","")</f>
        <v/>
      </c>
    </row>
    <row r="978" customFormat="false" ht="15" hidden="true" customHeight="false" outlineLevel="0" collapsed="false">
      <c r="A978" s="53" t="str">
        <f aca="false">IF($H978="","",ROW()-5)</f>
        <v/>
      </c>
      <c r="B978" s="64" t="s">
        <v>36</v>
      </c>
      <c r="C978" s="53" t="n">
        <v>249</v>
      </c>
      <c r="D978" s="53" t="n">
        <v>1</v>
      </c>
      <c r="E978" s="65" t="str">
        <f aca="false">IF($H978="","",购销流水!$B249)</f>
        <v/>
      </c>
      <c r="F978" s="55" t="str">
        <f aca="false">IF($H978="","",购销流水!$C249)</f>
        <v/>
      </c>
      <c r="G978" s="48" t="str">
        <f aca="false">IF($H978="","",购销流水!$N249)</f>
        <v/>
      </c>
      <c r="H978" s="10" t="str">
        <f aca="false">IF($L978="","",IF($L978="@成本",购销流水!$U249,IF($L978="@收入",购销流水!$T249,IF($L978="@存货",购销流水!$S249,IF($L978="@结算",购销流水!$R249,$L978)))))</f>
        <v/>
      </c>
      <c r="I978" s="42" t="n">
        <f aca="false">IF($M978="借",$O978,0)</f>
        <v>0</v>
      </c>
      <c r="J978" s="42" t="n">
        <f aca="false">IF($M978="贷",$O978,0)</f>
        <v>0</v>
      </c>
      <c r="K978" s="48" t="str">
        <f aca="false">IF($H978="","",购销流水!$E249)</f>
        <v/>
      </c>
      <c r="L978" s="66" t="str">
        <f aca="false">IF(购销流水!$D249="","",IFERROR(INDEX(记账规则!$A$6:$N$9,MATCH(购销流水!$D249,记账规则!$A$6:$A$9,0),3),""))</f>
        <v/>
      </c>
      <c r="M978" s="66" t="str">
        <f aca="false">IF($L978="","",IFERROR(INDEX(记账规则!$A$6:$N$9,MATCH(购销流水!$D249,记账规则!$A$6:$A$9,0),4),""))</f>
        <v/>
      </c>
      <c r="N978" s="66" t="str">
        <f aca="false">IF($L978="","",IFERROR(INDEX(记账规则!$A$6:$N$9,MATCH(购销流水!$D249,记账规则!$A$6:$A$9,0),5),""))</f>
        <v/>
      </c>
      <c r="O978" s="67" t="n">
        <f aca="false">IF($H978="",0,ROUND(IF($N978="成本金额",N(购销流水!$W249),IF($N978="金额",N(购销流水!$Q249),0)),2))</f>
        <v>0</v>
      </c>
      <c r="P978" s="64" t="str">
        <f aca="false">IF(AND($H978&lt;&gt;"",ROUND($O978,2)&lt;&gt;0),"有","")</f>
        <v/>
      </c>
    </row>
    <row r="979" customFormat="false" ht="15" hidden="true" customHeight="false" outlineLevel="0" collapsed="false">
      <c r="A979" s="53" t="str">
        <f aca="false">IF($H979="","",ROW()-5)</f>
        <v/>
      </c>
      <c r="B979" s="64" t="s">
        <v>36</v>
      </c>
      <c r="C979" s="53" t="n">
        <v>249</v>
      </c>
      <c r="D979" s="53" t="n">
        <v>2</v>
      </c>
      <c r="E979" s="65" t="str">
        <f aca="false">IF($H979="","",购销流水!$B249)</f>
        <v/>
      </c>
      <c r="F979" s="55" t="str">
        <f aca="false">IF($H979="","",购销流水!$C249)</f>
        <v/>
      </c>
      <c r="G979" s="48" t="str">
        <f aca="false">IF($H979="","",购销流水!$N249)</f>
        <v/>
      </c>
      <c r="H979" s="10" t="str">
        <f aca="false">IF($L979="","",IF($L979="@成本",购销流水!$U249,IF($L979="@收入",购销流水!$T249,IF($L979="@存货",购销流水!$S249,IF($L979="@结算",购销流水!$R249,$L979)))))</f>
        <v/>
      </c>
      <c r="I979" s="42" t="n">
        <f aca="false">IF($M979="借",$O979,0)</f>
        <v>0</v>
      </c>
      <c r="J979" s="42" t="n">
        <f aca="false">IF($M979="贷",$O979,0)</f>
        <v>0</v>
      </c>
      <c r="K979" s="48" t="str">
        <f aca="false">IF($H979="","",购销流水!$E249)</f>
        <v/>
      </c>
      <c r="L979" s="66" t="str">
        <f aca="false">IF(购销流水!$D249="","",IFERROR(INDEX(记账规则!$A$6:$N$9,MATCH(购销流水!$D249,记账规则!$A$6:$A$9,0),6),""))</f>
        <v/>
      </c>
      <c r="M979" s="66" t="str">
        <f aca="false">IF($L979="","",IFERROR(INDEX(记账规则!$A$6:$N$9,MATCH(购销流水!$D249,记账规则!$A$6:$A$9,0),7),""))</f>
        <v/>
      </c>
      <c r="N979" s="66" t="str">
        <f aca="false">IF($L979="","",IFERROR(INDEX(记账规则!$A$6:$N$9,MATCH(购销流水!$D249,记账规则!$A$6:$A$9,0),8),""))</f>
        <v/>
      </c>
      <c r="O979" s="67" t="n">
        <f aca="false">IF($H979="",0,ROUND(IF($N979="成本金额",N(购销流水!$W249),IF($N979="金额",N(购销流水!$Q249),0)),2))</f>
        <v>0</v>
      </c>
      <c r="P979" s="64" t="str">
        <f aca="false">IF(AND($H979&lt;&gt;"",ROUND($O979,2)&lt;&gt;0),"有","")</f>
        <v/>
      </c>
    </row>
    <row r="980" customFormat="false" ht="15" hidden="true" customHeight="false" outlineLevel="0" collapsed="false">
      <c r="A980" s="53" t="str">
        <f aca="false">IF($H980="","",ROW()-5)</f>
        <v/>
      </c>
      <c r="B980" s="64" t="s">
        <v>36</v>
      </c>
      <c r="C980" s="53" t="n">
        <v>249</v>
      </c>
      <c r="D980" s="53" t="n">
        <v>3</v>
      </c>
      <c r="E980" s="65" t="str">
        <f aca="false">IF($H980="","",购销流水!$B249)</f>
        <v/>
      </c>
      <c r="F980" s="55" t="str">
        <f aca="false">IF($H980="","",购销流水!$C249)</f>
        <v/>
      </c>
      <c r="G980" s="48" t="str">
        <f aca="false">IF($H980="","",购销流水!$N249)</f>
        <v/>
      </c>
      <c r="H980" s="10" t="str">
        <f aca="false">IF($L980="","",IF($L980="@成本",购销流水!$U249,IF($L980="@收入",购销流水!$T249,IF($L980="@存货",购销流水!$S249,IF($L980="@结算",购销流水!$R249,$L980)))))</f>
        <v/>
      </c>
      <c r="I980" s="42" t="n">
        <f aca="false">IF($M980="借",$O980,0)</f>
        <v>0</v>
      </c>
      <c r="J980" s="42" t="n">
        <f aca="false">IF($M980="贷",$O980,0)</f>
        <v>0</v>
      </c>
      <c r="K980" s="48" t="str">
        <f aca="false">IF($H980="","",购销流水!$E249)</f>
        <v/>
      </c>
      <c r="L980" s="66" t="str">
        <f aca="false">IF(购销流水!$D249="","",IFERROR(INDEX(记账规则!$A$6:$N$9,MATCH(购销流水!$D249,记账规则!$A$6:$A$9,0),9),""))</f>
        <v/>
      </c>
      <c r="M980" s="66" t="str">
        <f aca="false">IF($L980="","",IFERROR(INDEX(记账规则!$A$6:$N$9,MATCH(购销流水!$D249,记账规则!$A$6:$A$9,0),10),""))</f>
        <v/>
      </c>
      <c r="N980" s="66" t="str">
        <f aca="false">IF($L980="","",IFERROR(INDEX(记账规则!$A$6:$N$9,MATCH(购销流水!$D249,记账规则!$A$6:$A$9,0),11),""))</f>
        <v/>
      </c>
      <c r="O980" s="67" t="n">
        <f aca="false">IF($H980="",0,ROUND(IF($N980="成本金额",N(购销流水!$W249),IF($N980="金额",N(购销流水!$Q249),0)),2))</f>
        <v>0</v>
      </c>
      <c r="P980" s="64" t="str">
        <f aca="false">IF(AND($H980&lt;&gt;"",ROUND($O980,2)&lt;&gt;0),"有","")</f>
        <v/>
      </c>
    </row>
    <row r="981" customFormat="false" ht="15" hidden="true" customHeight="false" outlineLevel="0" collapsed="false">
      <c r="A981" s="53" t="str">
        <f aca="false">IF($H981="","",ROW()-5)</f>
        <v/>
      </c>
      <c r="B981" s="64" t="s">
        <v>36</v>
      </c>
      <c r="C981" s="53" t="n">
        <v>249</v>
      </c>
      <c r="D981" s="53" t="n">
        <v>4</v>
      </c>
      <c r="E981" s="65" t="str">
        <f aca="false">IF($H981="","",购销流水!$B249)</f>
        <v/>
      </c>
      <c r="F981" s="55" t="str">
        <f aca="false">IF($H981="","",购销流水!$C249)</f>
        <v/>
      </c>
      <c r="G981" s="48" t="str">
        <f aca="false">IF($H981="","",购销流水!$N249)</f>
        <v/>
      </c>
      <c r="H981" s="10" t="str">
        <f aca="false">IF($L981="","",IF($L981="@成本",购销流水!$U249,IF($L981="@收入",购销流水!$T249,IF($L981="@存货",购销流水!$S249,IF($L981="@结算",购销流水!$R249,$L981)))))</f>
        <v/>
      </c>
      <c r="I981" s="42" t="n">
        <f aca="false">IF($M981="借",$O981,0)</f>
        <v>0</v>
      </c>
      <c r="J981" s="42" t="n">
        <f aca="false">IF($M981="贷",$O981,0)</f>
        <v>0</v>
      </c>
      <c r="K981" s="48" t="str">
        <f aca="false">IF($H981="","",购销流水!$E249)</f>
        <v/>
      </c>
      <c r="L981" s="66" t="str">
        <f aca="false">IF(购销流水!$D249="","",IFERROR(INDEX(记账规则!$A$6:$N$9,MATCH(购销流水!$D249,记账规则!$A$6:$A$9,0),12),""))</f>
        <v/>
      </c>
      <c r="M981" s="66" t="str">
        <f aca="false">IF($L981="","",IFERROR(INDEX(记账规则!$A$6:$N$9,MATCH(购销流水!$D249,记账规则!$A$6:$A$9,0),13),""))</f>
        <v/>
      </c>
      <c r="N981" s="66" t="str">
        <f aca="false">IF($L981="","",IFERROR(INDEX(记账规则!$A$6:$N$9,MATCH(购销流水!$D249,记账规则!$A$6:$A$9,0),14),""))</f>
        <v/>
      </c>
      <c r="O981" s="67" t="n">
        <f aca="false">IF($H981="",0,ROUND(IF($N981="成本金额",N(购销流水!$W249),IF($N981="金额",N(购销流水!$Q249),0)),2))</f>
        <v>0</v>
      </c>
      <c r="P981" s="64" t="str">
        <f aca="false">IF(AND($H981&lt;&gt;"",ROUND($O981,2)&lt;&gt;0),"有","")</f>
        <v/>
      </c>
    </row>
    <row r="982" customFormat="false" ht="15" hidden="true" customHeight="false" outlineLevel="0" collapsed="false">
      <c r="A982" s="53" t="str">
        <f aca="false">IF($H982="","",ROW()-5)</f>
        <v/>
      </c>
      <c r="B982" s="64" t="s">
        <v>36</v>
      </c>
      <c r="C982" s="53" t="n">
        <v>250</v>
      </c>
      <c r="D982" s="53" t="n">
        <v>1</v>
      </c>
      <c r="E982" s="65" t="str">
        <f aca="false">IF($H982="","",购销流水!$B250)</f>
        <v/>
      </c>
      <c r="F982" s="55" t="str">
        <f aca="false">IF($H982="","",购销流水!$C250)</f>
        <v/>
      </c>
      <c r="G982" s="48" t="str">
        <f aca="false">IF($H982="","",购销流水!$N250)</f>
        <v/>
      </c>
      <c r="H982" s="10" t="str">
        <f aca="false">IF($L982="","",IF($L982="@成本",购销流水!$U250,IF($L982="@收入",购销流水!$T250,IF($L982="@存货",购销流水!$S250,IF($L982="@结算",购销流水!$R250,$L982)))))</f>
        <v/>
      </c>
      <c r="I982" s="42" t="n">
        <f aca="false">IF($M982="借",$O982,0)</f>
        <v>0</v>
      </c>
      <c r="J982" s="42" t="n">
        <f aca="false">IF($M982="贷",$O982,0)</f>
        <v>0</v>
      </c>
      <c r="K982" s="48" t="str">
        <f aca="false">IF($H982="","",购销流水!$E250)</f>
        <v/>
      </c>
      <c r="L982" s="66" t="str">
        <f aca="false">IF(购销流水!$D250="","",IFERROR(INDEX(记账规则!$A$6:$N$9,MATCH(购销流水!$D250,记账规则!$A$6:$A$9,0),3),""))</f>
        <v/>
      </c>
      <c r="M982" s="66" t="str">
        <f aca="false">IF($L982="","",IFERROR(INDEX(记账规则!$A$6:$N$9,MATCH(购销流水!$D250,记账规则!$A$6:$A$9,0),4),""))</f>
        <v/>
      </c>
      <c r="N982" s="66" t="str">
        <f aca="false">IF($L982="","",IFERROR(INDEX(记账规则!$A$6:$N$9,MATCH(购销流水!$D250,记账规则!$A$6:$A$9,0),5),""))</f>
        <v/>
      </c>
      <c r="O982" s="67" t="n">
        <f aca="false">IF($H982="",0,ROUND(IF($N982="成本金额",N(购销流水!$W250),IF($N982="金额",N(购销流水!$Q250),0)),2))</f>
        <v>0</v>
      </c>
      <c r="P982" s="64" t="str">
        <f aca="false">IF(AND($H982&lt;&gt;"",ROUND($O982,2)&lt;&gt;0),"有","")</f>
        <v/>
      </c>
    </row>
    <row r="983" customFormat="false" ht="15" hidden="true" customHeight="false" outlineLevel="0" collapsed="false">
      <c r="A983" s="53" t="str">
        <f aca="false">IF($H983="","",ROW()-5)</f>
        <v/>
      </c>
      <c r="B983" s="64" t="s">
        <v>36</v>
      </c>
      <c r="C983" s="53" t="n">
        <v>250</v>
      </c>
      <c r="D983" s="53" t="n">
        <v>2</v>
      </c>
      <c r="E983" s="65" t="str">
        <f aca="false">IF($H983="","",购销流水!$B250)</f>
        <v/>
      </c>
      <c r="F983" s="55" t="str">
        <f aca="false">IF($H983="","",购销流水!$C250)</f>
        <v/>
      </c>
      <c r="G983" s="48" t="str">
        <f aca="false">IF($H983="","",购销流水!$N250)</f>
        <v/>
      </c>
      <c r="H983" s="10" t="str">
        <f aca="false">IF($L983="","",IF($L983="@成本",购销流水!$U250,IF($L983="@收入",购销流水!$T250,IF($L983="@存货",购销流水!$S250,IF($L983="@结算",购销流水!$R250,$L983)))))</f>
        <v/>
      </c>
      <c r="I983" s="42" t="n">
        <f aca="false">IF($M983="借",$O983,0)</f>
        <v>0</v>
      </c>
      <c r="J983" s="42" t="n">
        <f aca="false">IF($M983="贷",$O983,0)</f>
        <v>0</v>
      </c>
      <c r="K983" s="48" t="str">
        <f aca="false">IF($H983="","",购销流水!$E250)</f>
        <v/>
      </c>
      <c r="L983" s="66" t="str">
        <f aca="false">IF(购销流水!$D250="","",IFERROR(INDEX(记账规则!$A$6:$N$9,MATCH(购销流水!$D250,记账规则!$A$6:$A$9,0),6),""))</f>
        <v/>
      </c>
      <c r="M983" s="66" t="str">
        <f aca="false">IF($L983="","",IFERROR(INDEX(记账规则!$A$6:$N$9,MATCH(购销流水!$D250,记账规则!$A$6:$A$9,0),7),""))</f>
        <v/>
      </c>
      <c r="N983" s="66" t="str">
        <f aca="false">IF($L983="","",IFERROR(INDEX(记账规则!$A$6:$N$9,MATCH(购销流水!$D250,记账规则!$A$6:$A$9,0),8),""))</f>
        <v/>
      </c>
      <c r="O983" s="67" t="n">
        <f aca="false">IF($H983="",0,ROUND(IF($N983="成本金额",N(购销流水!$W250),IF($N983="金额",N(购销流水!$Q250),0)),2))</f>
        <v>0</v>
      </c>
      <c r="P983" s="64" t="str">
        <f aca="false">IF(AND($H983&lt;&gt;"",ROUND($O983,2)&lt;&gt;0),"有","")</f>
        <v/>
      </c>
    </row>
    <row r="984" customFormat="false" ht="15" hidden="true" customHeight="false" outlineLevel="0" collapsed="false">
      <c r="A984" s="53" t="str">
        <f aca="false">IF($H984="","",ROW()-5)</f>
        <v/>
      </c>
      <c r="B984" s="64" t="s">
        <v>36</v>
      </c>
      <c r="C984" s="53" t="n">
        <v>250</v>
      </c>
      <c r="D984" s="53" t="n">
        <v>3</v>
      </c>
      <c r="E984" s="65" t="str">
        <f aca="false">IF($H984="","",购销流水!$B250)</f>
        <v/>
      </c>
      <c r="F984" s="55" t="str">
        <f aca="false">IF($H984="","",购销流水!$C250)</f>
        <v/>
      </c>
      <c r="G984" s="48" t="str">
        <f aca="false">IF($H984="","",购销流水!$N250)</f>
        <v/>
      </c>
      <c r="H984" s="10" t="str">
        <f aca="false">IF($L984="","",IF($L984="@成本",购销流水!$U250,IF($L984="@收入",购销流水!$T250,IF($L984="@存货",购销流水!$S250,IF($L984="@结算",购销流水!$R250,$L984)))))</f>
        <v/>
      </c>
      <c r="I984" s="42" t="n">
        <f aca="false">IF($M984="借",$O984,0)</f>
        <v>0</v>
      </c>
      <c r="J984" s="42" t="n">
        <f aca="false">IF($M984="贷",$O984,0)</f>
        <v>0</v>
      </c>
      <c r="K984" s="48" t="str">
        <f aca="false">IF($H984="","",购销流水!$E250)</f>
        <v/>
      </c>
      <c r="L984" s="66" t="str">
        <f aca="false">IF(购销流水!$D250="","",IFERROR(INDEX(记账规则!$A$6:$N$9,MATCH(购销流水!$D250,记账规则!$A$6:$A$9,0),9),""))</f>
        <v/>
      </c>
      <c r="M984" s="66" t="str">
        <f aca="false">IF($L984="","",IFERROR(INDEX(记账规则!$A$6:$N$9,MATCH(购销流水!$D250,记账规则!$A$6:$A$9,0),10),""))</f>
        <v/>
      </c>
      <c r="N984" s="66" t="str">
        <f aca="false">IF($L984="","",IFERROR(INDEX(记账规则!$A$6:$N$9,MATCH(购销流水!$D250,记账规则!$A$6:$A$9,0),11),""))</f>
        <v/>
      </c>
      <c r="O984" s="67" t="n">
        <f aca="false">IF($H984="",0,ROUND(IF($N984="成本金额",N(购销流水!$W250),IF($N984="金额",N(购销流水!$Q250),0)),2))</f>
        <v>0</v>
      </c>
      <c r="P984" s="64" t="str">
        <f aca="false">IF(AND($H984&lt;&gt;"",ROUND($O984,2)&lt;&gt;0),"有","")</f>
        <v/>
      </c>
    </row>
    <row r="985" customFormat="false" ht="15" hidden="true" customHeight="false" outlineLevel="0" collapsed="false">
      <c r="A985" s="53" t="str">
        <f aca="false">IF($H985="","",ROW()-5)</f>
        <v/>
      </c>
      <c r="B985" s="64" t="s">
        <v>36</v>
      </c>
      <c r="C985" s="53" t="n">
        <v>250</v>
      </c>
      <c r="D985" s="53" t="n">
        <v>4</v>
      </c>
      <c r="E985" s="65" t="str">
        <f aca="false">IF($H985="","",购销流水!$B250)</f>
        <v/>
      </c>
      <c r="F985" s="55" t="str">
        <f aca="false">IF($H985="","",购销流水!$C250)</f>
        <v/>
      </c>
      <c r="G985" s="48" t="str">
        <f aca="false">IF($H985="","",购销流水!$N250)</f>
        <v/>
      </c>
      <c r="H985" s="10" t="str">
        <f aca="false">IF($L985="","",IF($L985="@成本",购销流水!$U250,IF($L985="@收入",购销流水!$T250,IF($L985="@存货",购销流水!$S250,IF($L985="@结算",购销流水!$R250,$L985)))))</f>
        <v/>
      </c>
      <c r="I985" s="42" t="n">
        <f aca="false">IF($M985="借",$O985,0)</f>
        <v>0</v>
      </c>
      <c r="J985" s="42" t="n">
        <f aca="false">IF($M985="贷",$O985,0)</f>
        <v>0</v>
      </c>
      <c r="K985" s="48" t="str">
        <f aca="false">IF($H985="","",购销流水!$E250)</f>
        <v/>
      </c>
      <c r="L985" s="66" t="str">
        <f aca="false">IF(购销流水!$D250="","",IFERROR(INDEX(记账规则!$A$6:$N$9,MATCH(购销流水!$D250,记账规则!$A$6:$A$9,0),12),""))</f>
        <v/>
      </c>
      <c r="M985" s="66" t="str">
        <f aca="false">IF($L985="","",IFERROR(INDEX(记账规则!$A$6:$N$9,MATCH(购销流水!$D250,记账规则!$A$6:$A$9,0),13),""))</f>
        <v/>
      </c>
      <c r="N985" s="66" t="str">
        <f aca="false">IF($L985="","",IFERROR(INDEX(记账规则!$A$6:$N$9,MATCH(购销流水!$D250,记账规则!$A$6:$A$9,0),14),""))</f>
        <v/>
      </c>
      <c r="O985" s="67" t="n">
        <f aca="false">IF($H985="",0,ROUND(IF($N985="成本金额",N(购销流水!$W250),IF($N985="金额",N(购销流水!$Q250),0)),2))</f>
        <v>0</v>
      </c>
      <c r="P985" s="64" t="str">
        <f aca="false">IF(AND($H985&lt;&gt;"",ROUND($O985,2)&lt;&gt;0),"有","")</f>
        <v/>
      </c>
    </row>
    <row r="986" customFormat="false" ht="15" hidden="true" customHeight="false" outlineLevel="0" collapsed="false">
      <c r="A986" s="53" t="str">
        <f aca="false">IF($H986="","",ROW()-5)</f>
        <v/>
      </c>
      <c r="B986" s="64" t="s">
        <v>36</v>
      </c>
      <c r="C986" s="53" t="n">
        <v>251</v>
      </c>
      <c r="D986" s="53" t="n">
        <v>1</v>
      </c>
      <c r="E986" s="65" t="str">
        <f aca="false">IF($H986="","",购销流水!$B251)</f>
        <v/>
      </c>
      <c r="F986" s="55" t="str">
        <f aca="false">IF($H986="","",购销流水!$C251)</f>
        <v/>
      </c>
      <c r="G986" s="48" t="str">
        <f aca="false">IF($H986="","",购销流水!$N251)</f>
        <v/>
      </c>
      <c r="H986" s="10" t="str">
        <f aca="false">IF($L986="","",IF($L986="@成本",购销流水!$U251,IF($L986="@收入",购销流水!$T251,IF($L986="@存货",购销流水!$S251,IF($L986="@结算",购销流水!$R251,$L986)))))</f>
        <v/>
      </c>
      <c r="I986" s="42" t="n">
        <f aca="false">IF($M986="借",$O986,0)</f>
        <v>0</v>
      </c>
      <c r="J986" s="42" t="n">
        <f aca="false">IF($M986="贷",$O986,0)</f>
        <v>0</v>
      </c>
      <c r="K986" s="48" t="str">
        <f aca="false">IF($H986="","",购销流水!$E251)</f>
        <v/>
      </c>
      <c r="L986" s="66" t="str">
        <f aca="false">IF(购销流水!$D251="","",IFERROR(INDEX(记账规则!$A$6:$N$9,MATCH(购销流水!$D251,记账规则!$A$6:$A$9,0),3),""))</f>
        <v/>
      </c>
      <c r="M986" s="66" t="str">
        <f aca="false">IF($L986="","",IFERROR(INDEX(记账规则!$A$6:$N$9,MATCH(购销流水!$D251,记账规则!$A$6:$A$9,0),4),""))</f>
        <v/>
      </c>
      <c r="N986" s="66" t="str">
        <f aca="false">IF($L986="","",IFERROR(INDEX(记账规则!$A$6:$N$9,MATCH(购销流水!$D251,记账规则!$A$6:$A$9,0),5),""))</f>
        <v/>
      </c>
      <c r="O986" s="67" t="n">
        <f aca="false">IF($H986="",0,ROUND(IF($N986="成本金额",N(购销流水!$W251),IF($N986="金额",N(购销流水!$Q251),0)),2))</f>
        <v>0</v>
      </c>
      <c r="P986" s="64" t="str">
        <f aca="false">IF(AND($H986&lt;&gt;"",ROUND($O986,2)&lt;&gt;0),"有","")</f>
        <v/>
      </c>
    </row>
    <row r="987" customFormat="false" ht="15" hidden="true" customHeight="false" outlineLevel="0" collapsed="false">
      <c r="A987" s="53" t="str">
        <f aca="false">IF($H987="","",ROW()-5)</f>
        <v/>
      </c>
      <c r="B987" s="64" t="s">
        <v>36</v>
      </c>
      <c r="C987" s="53" t="n">
        <v>251</v>
      </c>
      <c r="D987" s="53" t="n">
        <v>2</v>
      </c>
      <c r="E987" s="65" t="str">
        <f aca="false">IF($H987="","",购销流水!$B251)</f>
        <v/>
      </c>
      <c r="F987" s="55" t="str">
        <f aca="false">IF($H987="","",购销流水!$C251)</f>
        <v/>
      </c>
      <c r="G987" s="48" t="str">
        <f aca="false">IF($H987="","",购销流水!$N251)</f>
        <v/>
      </c>
      <c r="H987" s="10" t="str">
        <f aca="false">IF($L987="","",IF($L987="@成本",购销流水!$U251,IF($L987="@收入",购销流水!$T251,IF($L987="@存货",购销流水!$S251,IF($L987="@结算",购销流水!$R251,$L987)))))</f>
        <v/>
      </c>
      <c r="I987" s="42" t="n">
        <f aca="false">IF($M987="借",$O987,0)</f>
        <v>0</v>
      </c>
      <c r="J987" s="42" t="n">
        <f aca="false">IF($M987="贷",$O987,0)</f>
        <v>0</v>
      </c>
      <c r="K987" s="48" t="str">
        <f aca="false">IF($H987="","",购销流水!$E251)</f>
        <v/>
      </c>
      <c r="L987" s="66" t="str">
        <f aca="false">IF(购销流水!$D251="","",IFERROR(INDEX(记账规则!$A$6:$N$9,MATCH(购销流水!$D251,记账规则!$A$6:$A$9,0),6),""))</f>
        <v/>
      </c>
      <c r="M987" s="66" t="str">
        <f aca="false">IF($L987="","",IFERROR(INDEX(记账规则!$A$6:$N$9,MATCH(购销流水!$D251,记账规则!$A$6:$A$9,0),7),""))</f>
        <v/>
      </c>
      <c r="N987" s="66" t="str">
        <f aca="false">IF($L987="","",IFERROR(INDEX(记账规则!$A$6:$N$9,MATCH(购销流水!$D251,记账规则!$A$6:$A$9,0),8),""))</f>
        <v/>
      </c>
      <c r="O987" s="67" t="n">
        <f aca="false">IF($H987="",0,ROUND(IF($N987="成本金额",N(购销流水!$W251),IF($N987="金额",N(购销流水!$Q251),0)),2))</f>
        <v>0</v>
      </c>
      <c r="P987" s="64" t="str">
        <f aca="false">IF(AND($H987&lt;&gt;"",ROUND($O987,2)&lt;&gt;0),"有","")</f>
        <v/>
      </c>
    </row>
    <row r="988" customFormat="false" ht="15" hidden="true" customHeight="false" outlineLevel="0" collapsed="false">
      <c r="A988" s="53" t="str">
        <f aca="false">IF($H988="","",ROW()-5)</f>
        <v/>
      </c>
      <c r="B988" s="64" t="s">
        <v>36</v>
      </c>
      <c r="C988" s="53" t="n">
        <v>251</v>
      </c>
      <c r="D988" s="53" t="n">
        <v>3</v>
      </c>
      <c r="E988" s="65" t="str">
        <f aca="false">IF($H988="","",购销流水!$B251)</f>
        <v/>
      </c>
      <c r="F988" s="55" t="str">
        <f aca="false">IF($H988="","",购销流水!$C251)</f>
        <v/>
      </c>
      <c r="G988" s="48" t="str">
        <f aca="false">IF($H988="","",购销流水!$N251)</f>
        <v/>
      </c>
      <c r="H988" s="10" t="str">
        <f aca="false">IF($L988="","",IF($L988="@成本",购销流水!$U251,IF($L988="@收入",购销流水!$T251,IF($L988="@存货",购销流水!$S251,IF($L988="@结算",购销流水!$R251,$L988)))))</f>
        <v/>
      </c>
      <c r="I988" s="42" t="n">
        <f aca="false">IF($M988="借",$O988,0)</f>
        <v>0</v>
      </c>
      <c r="J988" s="42" t="n">
        <f aca="false">IF($M988="贷",$O988,0)</f>
        <v>0</v>
      </c>
      <c r="K988" s="48" t="str">
        <f aca="false">IF($H988="","",购销流水!$E251)</f>
        <v/>
      </c>
      <c r="L988" s="66" t="str">
        <f aca="false">IF(购销流水!$D251="","",IFERROR(INDEX(记账规则!$A$6:$N$9,MATCH(购销流水!$D251,记账规则!$A$6:$A$9,0),9),""))</f>
        <v/>
      </c>
      <c r="M988" s="66" t="str">
        <f aca="false">IF($L988="","",IFERROR(INDEX(记账规则!$A$6:$N$9,MATCH(购销流水!$D251,记账规则!$A$6:$A$9,0),10),""))</f>
        <v/>
      </c>
      <c r="N988" s="66" t="str">
        <f aca="false">IF($L988="","",IFERROR(INDEX(记账规则!$A$6:$N$9,MATCH(购销流水!$D251,记账规则!$A$6:$A$9,0),11),""))</f>
        <v/>
      </c>
      <c r="O988" s="67" t="n">
        <f aca="false">IF($H988="",0,ROUND(IF($N988="成本金额",N(购销流水!$W251),IF($N988="金额",N(购销流水!$Q251),0)),2))</f>
        <v>0</v>
      </c>
      <c r="P988" s="64" t="str">
        <f aca="false">IF(AND($H988&lt;&gt;"",ROUND($O988,2)&lt;&gt;0),"有","")</f>
        <v/>
      </c>
    </row>
    <row r="989" customFormat="false" ht="15" hidden="true" customHeight="false" outlineLevel="0" collapsed="false">
      <c r="A989" s="53" t="str">
        <f aca="false">IF($H989="","",ROW()-5)</f>
        <v/>
      </c>
      <c r="B989" s="64" t="s">
        <v>36</v>
      </c>
      <c r="C989" s="53" t="n">
        <v>251</v>
      </c>
      <c r="D989" s="53" t="n">
        <v>4</v>
      </c>
      <c r="E989" s="65" t="str">
        <f aca="false">IF($H989="","",购销流水!$B251)</f>
        <v/>
      </c>
      <c r="F989" s="55" t="str">
        <f aca="false">IF($H989="","",购销流水!$C251)</f>
        <v/>
      </c>
      <c r="G989" s="48" t="str">
        <f aca="false">IF($H989="","",购销流水!$N251)</f>
        <v/>
      </c>
      <c r="H989" s="10" t="str">
        <f aca="false">IF($L989="","",IF($L989="@成本",购销流水!$U251,IF($L989="@收入",购销流水!$T251,IF($L989="@存货",购销流水!$S251,IF($L989="@结算",购销流水!$R251,$L989)))))</f>
        <v/>
      </c>
      <c r="I989" s="42" t="n">
        <f aca="false">IF($M989="借",$O989,0)</f>
        <v>0</v>
      </c>
      <c r="J989" s="42" t="n">
        <f aca="false">IF($M989="贷",$O989,0)</f>
        <v>0</v>
      </c>
      <c r="K989" s="48" t="str">
        <f aca="false">IF($H989="","",购销流水!$E251)</f>
        <v/>
      </c>
      <c r="L989" s="66" t="str">
        <f aca="false">IF(购销流水!$D251="","",IFERROR(INDEX(记账规则!$A$6:$N$9,MATCH(购销流水!$D251,记账规则!$A$6:$A$9,0),12),""))</f>
        <v/>
      </c>
      <c r="M989" s="66" t="str">
        <f aca="false">IF($L989="","",IFERROR(INDEX(记账规则!$A$6:$N$9,MATCH(购销流水!$D251,记账规则!$A$6:$A$9,0),13),""))</f>
        <v/>
      </c>
      <c r="N989" s="66" t="str">
        <f aca="false">IF($L989="","",IFERROR(INDEX(记账规则!$A$6:$N$9,MATCH(购销流水!$D251,记账规则!$A$6:$A$9,0),14),""))</f>
        <v/>
      </c>
      <c r="O989" s="67" t="n">
        <f aca="false">IF($H989="",0,ROUND(IF($N989="成本金额",N(购销流水!$W251),IF($N989="金额",N(购销流水!$Q251),0)),2))</f>
        <v>0</v>
      </c>
      <c r="P989" s="64" t="str">
        <f aca="false">IF(AND($H989&lt;&gt;"",ROUND($O989,2)&lt;&gt;0),"有","")</f>
        <v/>
      </c>
    </row>
    <row r="990" customFormat="false" ht="15" hidden="true" customHeight="false" outlineLevel="0" collapsed="false">
      <c r="A990" s="53" t="str">
        <f aca="false">IF($H990="","",ROW()-5)</f>
        <v/>
      </c>
      <c r="B990" s="64" t="s">
        <v>36</v>
      </c>
      <c r="C990" s="53" t="n">
        <v>252</v>
      </c>
      <c r="D990" s="53" t="n">
        <v>1</v>
      </c>
      <c r="E990" s="65" t="str">
        <f aca="false">IF($H990="","",购销流水!$B252)</f>
        <v/>
      </c>
      <c r="F990" s="55" t="str">
        <f aca="false">IF($H990="","",购销流水!$C252)</f>
        <v/>
      </c>
      <c r="G990" s="48" t="str">
        <f aca="false">IF($H990="","",购销流水!$N252)</f>
        <v/>
      </c>
      <c r="H990" s="10" t="str">
        <f aca="false">IF($L990="","",IF($L990="@成本",购销流水!$U252,IF($L990="@收入",购销流水!$T252,IF($L990="@存货",购销流水!$S252,IF($L990="@结算",购销流水!$R252,$L990)))))</f>
        <v/>
      </c>
      <c r="I990" s="42" t="n">
        <f aca="false">IF($M990="借",$O990,0)</f>
        <v>0</v>
      </c>
      <c r="J990" s="42" t="n">
        <f aca="false">IF($M990="贷",$O990,0)</f>
        <v>0</v>
      </c>
      <c r="K990" s="48" t="str">
        <f aca="false">IF($H990="","",购销流水!$E252)</f>
        <v/>
      </c>
      <c r="L990" s="66" t="str">
        <f aca="false">IF(购销流水!$D252="","",IFERROR(INDEX(记账规则!$A$6:$N$9,MATCH(购销流水!$D252,记账规则!$A$6:$A$9,0),3),""))</f>
        <v/>
      </c>
      <c r="M990" s="66" t="str">
        <f aca="false">IF($L990="","",IFERROR(INDEX(记账规则!$A$6:$N$9,MATCH(购销流水!$D252,记账规则!$A$6:$A$9,0),4),""))</f>
        <v/>
      </c>
      <c r="N990" s="66" t="str">
        <f aca="false">IF($L990="","",IFERROR(INDEX(记账规则!$A$6:$N$9,MATCH(购销流水!$D252,记账规则!$A$6:$A$9,0),5),""))</f>
        <v/>
      </c>
      <c r="O990" s="67" t="n">
        <f aca="false">IF($H990="",0,ROUND(IF($N990="成本金额",N(购销流水!$W252),IF($N990="金额",N(购销流水!$Q252),0)),2))</f>
        <v>0</v>
      </c>
      <c r="P990" s="64" t="str">
        <f aca="false">IF(AND($H990&lt;&gt;"",ROUND($O990,2)&lt;&gt;0),"有","")</f>
        <v/>
      </c>
    </row>
    <row r="991" customFormat="false" ht="15" hidden="true" customHeight="false" outlineLevel="0" collapsed="false">
      <c r="A991" s="53" t="str">
        <f aca="false">IF($H991="","",ROW()-5)</f>
        <v/>
      </c>
      <c r="B991" s="64" t="s">
        <v>36</v>
      </c>
      <c r="C991" s="53" t="n">
        <v>252</v>
      </c>
      <c r="D991" s="53" t="n">
        <v>2</v>
      </c>
      <c r="E991" s="65" t="str">
        <f aca="false">IF($H991="","",购销流水!$B252)</f>
        <v/>
      </c>
      <c r="F991" s="55" t="str">
        <f aca="false">IF($H991="","",购销流水!$C252)</f>
        <v/>
      </c>
      <c r="G991" s="48" t="str">
        <f aca="false">IF($H991="","",购销流水!$N252)</f>
        <v/>
      </c>
      <c r="H991" s="10" t="str">
        <f aca="false">IF($L991="","",IF($L991="@成本",购销流水!$U252,IF($L991="@收入",购销流水!$T252,IF($L991="@存货",购销流水!$S252,IF($L991="@结算",购销流水!$R252,$L991)))))</f>
        <v/>
      </c>
      <c r="I991" s="42" t="n">
        <f aca="false">IF($M991="借",$O991,0)</f>
        <v>0</v>
      </c>
      <c r="J991" s="42" t="n">
        <f aca="false">IF($M991="贷",$O991,0)</f>
        <v>0</v>
      </c>
      <c r="K991" s="48" t="str">
        <f aca="false">IF($H991="","",购销流水!$E252)</f>
        <v/>
      </c>
      <c r="L991" s="66" t="str">
        <f aca="false">IF(购销流水!$D252="","",IFERROR(INDEX(记账规则!$A$6:$N$9,MATCH(购销流水!$D252,记账规则!$A$6:$A$9,0),6),""))</f>
        <v/>
      </c>
      <c r="M991" s="66" t="str">
        <f aca="false">IF($L991="","",IFERROR(INDEX(记账规则!$A$6:$N$9,MATCH(购销流水!$D252,记账规则!$A$6:$A$9,0),7),""))</f>
        <v/>
      </c>
      <c r="N991" s="66" t="str">
        <f aca="false">IF($L991="","",IFERROR(INDEX(记账规则!$A$6:$N$9,MATCH(购销流水!$D252,记账规则!$A$6:$A$9,0),8),""))</f>
        <v/>
      </c>
      <c r="O991" s="67" t="n">
        <f aca="false">IF($H991="",0,ROUND(IF($N991="成本金额",N(购销流水!$W252),IF($N991="金额",N(购销流水!$Q252),0)),2))</f>
        <v>0</v>
      </c>
      <c r="P991" s="64" t="str">
        <f aca="false">IF(AND($H991&lt;&gt;"",ROUND($O991,2)&lt;&gt;0),"有","")</f>
        <v/>
      </c>
    </row>
    <row r="992" customFormat="false" ht="15" hidden="true" customHeight="false" outlineLevel="0" collapsed="false">
      <c r="A992" s="53" t="str">
        <f aca="false">IF($H992="","",ROW()-5)</f>
        <v/>
      </c>
      <c r="B992" s="64" t="s">
        <v>36</v>
      </c>
      <c r="C992" s="53" t="n">
        <v>252</v>
      </c>
      <c r="D992" s="53" t="n">
        <v>3</v>
      </c>
      <c r="E992" s="65" t="str">
        <f aca="false">IF($H992="","",购销流水!$B252)</f>
        <v/>
      </c>
      <c r="F992" s="55" t="str">
        <f aca="false">IF($H992="","",购销流水!$C252)</f>
        <v/>
      </c>
      <c r="G992" s="48" t="str">
        <f aca="false">IF($H992="","",购销流水!$N252)</f>
        <v/>
      </c>
      <c r="H992" s="10" t="str">
        <f aca="false">IF($L992="","",IF($L992="@成本",购销流水!$U252,IF($L992="@收入",购销流水!$T252,IF($L992="@存货",购销流水!$S252,IF($L992="@结算",购销流水!$R252,$L992)))))</f>
        <v/>
      </c>
      <c r="I992" s="42" t="n">
        <f aca="false">IF($M992="借",$O992,0)</f>
        <v>0</v>
      </c>
      <c r="J992" s="42" t="n">
        <f aca="false">IF($M992="贷",$O992,0)</f>
        <v>0</v>
      </c>
      <c r="K992" s="48" t="str">
        <f aca="false">IF($H992="","",购销流水!$E252)</f>
        <v/>
      </c>
      <c r="L992" s="66" t="str">
        <f aca="false">IF(购销流水!$D252="","",IFERROR(INDEX(记账规则!$A$6:$N$9,MATCH(购销流水!$D252,记账规则!$A$6:$A$9,0),9),""))</f>
        <v/>
      </c>
      <c r="M992" s="66" t="str">
        <f aca="false">IF($L992="","",IFERROR(INDEX(记账规则!$A$6:$N$9,MATCH(购销流水!$D252,记账规则!$A$6:$A$9,0),10),""))</f>
        <v/>
      </c>
      <c r="N992" s="66" t="str">
        <f aca="false">IF($L992="","",IFERROR(INDEX(记账规则!$A$6:$N$9,MATCH(购销流水!$D252,记账规则!$A$6:$A$9,0),11),""))</f>
        <v/>
      </c>
      <c r="O992" s="67" t="n">
        <f aca="false">IF($H992="",0,ROUND(IF($N992="成本金额",N(购销流水!$W252),IF($N992="金额",N(购销流水!$Q252),0)),2))</f>
        <v>0</v>
      </c>
      <c r="P992" s="64" t="str">
        <f aca="false">IF(AND($H992&lt;&gt;"",ROUND($O992,2)&lt;&gt;0),"有","")</f>
        <v/>
      </c>
    </row>
    <row r="993" customFormat="false" ht="15" hidden="true" customHeight="false" outlineLevel="0" collapsed="false">
      <c r="A993" s="53" t="str">
        <f aca="false">IF($H993="","",ROW()-5)</f>
        <v/>
      </c>
      <c r="B993" s="64" t="s">
        <v>36</v>
      </c>
      <c r="C993" s="53" t="n">
        <v>252</v>
      </c>
      <c r="D993" s="53" t="n">
        <v>4</v>
      </c>
      <c r="E993" s="65" t="str">
        <f aca="false">IF($H993="","",购销流水!$B252)</f>
        <v/>
      </c>
      <c r="F993" s="55" t="str">
        <f aca="false">IF($H993="","",购销流水!$C252)</f>
        <v/>
      </c>
      <c r="G993" s="48" t="str">
        <f aca="false">IF($H993="","",购销流水!$N252)</f>
        <v/>
      </c>
      <c r="H993" s="10" t="str">
        <f aca="false">IF($L993="","",IF($L993="@成本",购销流水!$U252,IF($L993="@收入",购销流水!$T252,IF($L993="@存货",购销流水!$S252,IF($L993="@结算",购销流水!$R252,$L993)))))</f>
        <v/>
      </c>
      <c r="I993" s="42" t="n">
        <f aca="false">IF($M993="借",$O993,0)</f>
        <v>0</v>
      </c>
      <c r="J993" s="42" t="n">
        <f aca="false">IF($M993="贷",$O993,0)</f>
        <v>0</v>
      </c>
      <c r="K993" s="48" t="str">
        <f aca="false">IF($H993="","",购销流水!$E252)</f>
        <v/>
      </c>
      <c r="L993" s="66" t="str">
        <f aca="false">IF(购销流水!$D252="","",IFERROR(INDEX(记账规则!$A$6:$N$9,MATCH(购销流水!$D252,记账规则!$A$6:$A$9,0),12),""))</f>
        <v/>
      </c>
      <c r="M993" s="66" t="str">
        <f aca="false">IF($L993="","",IFERROR(INDEX(记账规则!$A$6:$N$9,MATCH(购销流水!$D252,记账规则!$A$6:$A$9,0),13),""))</f>
        <v/>
      </c>
      <c r="N993" s="66" t="str">
        <f aca="false">IF($L993="","",IFERROR(INDEX(记账规则!$A$6:$N$9,MATCH(购销流水!$D252,记账规则!$A$6:$A$9,0),14),""))</f>
        <v/>
      </c>
      <c r="O993" s="67" t="n">
        <f aca="false">IF($H993="",0,ROUND(IF($N993="成本金额",N(购销流水!$W252),IF($N993="金额",N(购销流水!$Q252),0)),2))</f>
        <v>0</v>
      </c>
      <c r="P993" s="64" t="str">
        <f aca="false">IF(AND($H993&lt;&gt;"",ROUND($O993,2)&lt;&gt;0),"有","")</f>
        <v/>
      </c>
    </row>
    <row r="994" customFormat="false" ht="15" hidden="true" customHeight="false" outlineLevel="0" collapsed="false">
      <c r="A994" s="53" t="str">
        <f aca="false">IF($H994="","",ROW()-5)</f>
        <v/>
      </c>
      <c r="B994" s="64" t="s">
        <v>36</v>
      </c>
      <c r="C994" s="53" t="n">
        <v>253</v>
      </c>
      <c r="D994" s="53" t="n">
        <v>1</v>
      </c>
      <c r="E994" s="65" t="str">
        <f aca="false">IF($H994="","",购销流水!$B253)</f>
        <v/>
      </c>
      <c r="F994" s="55" t="str">
        <f aca="false">IF($H994="","",购销流水!$C253)</f>
        <v/>
      </c>
      <c r="G994" s="48" t="str">
        <f aca="false">IF($H994="","",购销流水!$N253)</f>
        <v/>
      </c>
      <c r="H994" s="10" t="str">
        <f aca="false">IF($L994="","",IF($L994="@成本",购销流水!$U253,IF($L994="@收入",购销流水!$T253,IF($L994="@存货",购销流水!$S253,IF($L994="@结算",购销流水!$R253,$L994)))))</f>
        <v/>
      </c>
      <c r="I994" s="42" t="n">
        <f aca="false">IF($M994="借",$O994,0)</f>
        <v>0</v>
      </c>
      <c r="J994" s="42" t="n">
        <f aca="false">IF($M994="贷",$O994,0)</f>
        <v>0</v>
      </c>
      <c r="K994" s="48" t="str">
        <f aca="false">IF($H994="","",购销流水!$E253)</f>
        <v/>
      </c>
      <c r="L994" s="66" t="str">
        <f aca="false">IF(购销流水!$D253="","",IFERROR(INDEX(记账规则!$A$6:$N$9,MATCH(购销流水!$D253,记账规则!$A$6:$A$9,0),3),""))</f>
        <v/>
      </c>
      <c r="M994" s="66" t="str">
        <f aca="false">IF($L994="","",IFERROR(INDEX(记账规则!$A$6:$N$9,MATCH(购销流水!$D253,记账规则!$A$6:$A$9,0),4),""))</f>
        <v/>
      </c>
      <c r="N994" s="66" t="str">
        <f aca="false">IF($L994="","",IFERROR(INDEX(记账规则!$A$6:$N$9,MATCH(购销流水!$D253,记账规则!$A$6:$A$9,0),5),""))</f>
        <v/>
      </c>
      <c r="O994" s="67" t="n">
        <f aca="false">IF($H994="",0,ROUND(IF($N994="成本金额",N(购销流水!$W253),IF($N994="金额",N(购销流水!$Q253),0)),2))</f>
        <v>0</v>
      </c>
      <c r="P994" s="64" t="str">
        <f aca="false">IF(AND($H994&lt;&gt;"",ROUND($O994,2)&lt;&gt;0),"有","")</f>
        <v/>
      </c>
    </row>
    <row r="995" customFormat="false" ht="15" hidden="true" customHeight="false" outlineLevel="0" collapsed="false">
      <c r="A995" s="53" t="str">
        <f aca="false">IF($H995="","",ROW()-5)</f>
        <v/>
      </c>
      <c r="B995" s="64" t="s">
        <v>36</v>
      </c>
      <c r="C995" s="53" t="n">
        <v>253</v>
      </c>
      <c r="D995" s="53" t="n">
        <v>2</v>
      </c>
      <c r="E995" s="65" t="str">
        <f aca="false">IF($H995="","",购销流水!$B253)</f>
        <v/>
      </c>
      <c r="F995" s="55" t="str">
        <f aca="false">IF($H995="","",购销流水!$C253)</f>
        <v/>
      </c>
      <c r="G995" s="48" t="str">
        <f aca="false">IF($H995="","",购销流水!$N253)</f>
        <v/>
      </c>
      <c r="H995" s="10" t="str">
        <f aca="false">IF($L995="","",IF($L995="@成本",购销流水!$U253,IF($L995="@收入",购销流水!$T253,IF($L995="@存货",购销流水!$S253,IF($L995="@结算",购销流水!$R253,$L995)))))</f>
        <v/>
      </c>
      <c r="I995" s="42" t="n">
        <f aca="false">IF($M995="借",$O995,0)</f>
        <v>0</v>
      </c>
      <c r="J995" s="42" t="n">
        <f aca="false">IF($M995="贷",$O995,0)</f>
        <v>0</v>
      </c>
      <c r="K995" s="48" t="str">
        <f aca="false">IF($H995="","",购销流水!$E253)</f>
        <v/>
      </c>
      <c r="L995" s="66" t="str">
        <f aca="false">IF(购销流水!$D253="","",IFERROR(INDEX(记账规则!$A$6:$N$9,MATCH(购销流水!$D253,记账规则!$A$6:$A$9,0),6),""))</f>
        <v/>
      </c>
      <c r="M995" s="66" t="str">
        <f aca="false">IF($L995="","",IFERROR(INDEX(记账规则!$A$6:$N$9,MATCH(购销流水!$D253,记账规则!$A$6:$A$9,0),7),""))</f>
        <v/>
      </c>
      <c r="N995" s="66" t="str">
        <f aca="false">IF($L995="","",IFERROR(INDEX(记账规则!$A$6:$N$9,MATCH(购销流水!$D253,记账规则!$A$6:$A$9,0),8),""))</f>
        <v/>
      </c>
      <c r="O995" s="67" t="n">
        <f aca="false">IF($H995="",0,ROUND(IF($N995="成本金额",N(购销流水!$W253),IF($N995="金额",N(购销流水!$Q253),0)),2))</f>
        <v>0</v>
      </c>
      <c r="P995" s="64" t="str">
        <f aca="false">IF(AND($H995&lt;&gt;"",ROUND($O995,2)&lt;&gt;0),"有","")</f>
        <v/>
      </c>
    </row>
    <row r="996" customFormat="false" ht="15" hidden="true" customHeight="false" outlineLevel="0" collapsed="false">
      <c r="A996" s="53" t="str">
        <f aca="false">IF($H996="","",ROW()-5)</f>
        <v/>
      </c>
      <c r="B996" s="64" t="s">
        <v>36</v>
      </c>
      <c r="C996" s="53" t="n">
        <v>253</v>
      </c>
      <c r="D996" s="53" t="n">
        <v>3</v>
      </c>
      <c r="E996" s="65" t="str">
        <f aca="false">IF($H996="","",购销流水!$B253)</f>
        <v/>
      </c>
      <c r="F996" s="55" t="str">
        <f aca="false">IF($H996="","",购销流水!$C253)</f>
        <v/>
      </c>
      <c r="G996" s="48" t="str">
        <f aca="false">IF($H996="","",购销流水!$N253)</f>
        <v/>
      </c>
      <c r="H996" s="10" t="str">
        <f aca="false">IF($L996="","",IF($L996="@成本",购销流水!$U253,IF($L996="@收入",购销流水!$T253,IF($L996="@存货",购销流水!$S253,IF($L996="@结算",购销流水!$R253,$L996)))))</f>
        <v/>
      </c>
      <c r="I996" s="42" t="n">
        <f aca="false">IF($M996="借",$O996,0)</f>
        <v>0</v>
      </c>
      <c r="J996" s="42" t="n">
        <f aca="false">IF($M996="贷",$O996,0)</f>
        <v>0</v>
      </c>
      <c r="K996" s="48" t="str">
        <f aca="false">IF($H996="","",购销流水!$E253)</f>
        <v/>
      </c>
      <c r="L996" s="66" t="str">
        <f aca="false">IF(购销流水!$D253="","",IFERROR(INDEX(记账规则!$A$6:$N$9,MATCH(购销流水!$D253,记账规则!$A$6:$A$9,0),9),""))</f>
        <v/>
      </c>
      <c r="M996" s="66" t="str">
        <f aca="false">IF($L996="","",IFERROR(INDEX(记账规则!$A$6:$N$9,MATCH(购销流水!$D253,记账规则!$A$6:$A$9,0),10),""))</f>
        <v/>
      </c>
      <c r="N996" s="66" t="str">
        <f aca="false">IF($L996="","",IFERROR(INDEX(记账规则!$A$6:$N$9,MATCH(购销流水!$D253,记账规则!$A$6:$A$9,0),11),""))</f>
        <v/>
      </c>
      <c r="O996" s="67" t="n">
        <f aca="false">IF($H996="",0,ROUND(IF($N996="成本金额",N(购销流水!$W253),IF($N996="金额",N(购销流水!$Q253),0)),2))</f>
        <v>0</v>
      </c>
      <c r="P996" s="64" t="str">
        <f aca="false">IF(AND($H996&lt;&gt;"",ROUND($O996,2)&lt;&gt;0),"有","")</f>
        <v/>
      </c>
    </row>
    <row r="997" customFormat="false" ht="15" hidden="true" customHeight="false" outlineLevel="0" collapsed="false">
      <c r="A997" s="53" t="str">
        <f aca="false">IF($H997="","",ROW()-5)</f>
        <v/>
      </c>
      <c r="B997" s="64" t="s">
        <v>36</v>
      </c>
      <c r="C997" s="53" t="n">
        <v>253</v>
      </c>
      <c r="D997" s="53" t="n">
        <v>4</v>
      </c>
      <c r="E997" s="65" t="str">
        <f aca="false">IF($H997="","",购销流水!$B253)</f>
        <v/>
      </c>
      <c r="F997" s="55" t="str">
        <f aca="false">IF($H997="","",购销流水!$C253)</f>
        <v/>
      </c>
      <c r="G997" s="48" t="str">
        <f aca="false">IF($H997="","",购销流水!$N253)</f>
        <v/>
      </c>
      <c r="H997" s="10" t="str">
        <f aca="false">IF($L997="","",IF($L997="@成本",购销流水!$U253,IF($L997="@收入",购销流水!$T253,IF($L997="@存货",购销流水!$S253,IF($L997="@结算",购销流水!$R253,$L997)))))</f>
        <v/>
      </c>
      <c r="I997" s="42" t="n">
        <f aca="false">IF($M997="借",$O997,0)</f>
        <v>0</v>
      </c>
      <c r="J997" s="42" t="n">
        <f aca="false">IF($M997="贷",$O997,0)</f>
        <v>0</v>
      </c>
      <c r="K997" s="48" t="str">
        <f aca="false">IF($H997="","",购销流水!$E253)</f>
        <v/>
      </c>
      <c r="L997" s="66" t="str">
        <f aca="false">IF(购销流水!$D253="","",IFERROR(INDEX(记账规则!$A$6:$N$9,MATCH(购销流水!$D253,记账规则!$A$6:$A$9,0),12),""))</f>
        <v/>
      </c>
      <c r="M997" s="66" t="str">
        <f aca="false">IF($L997="","",IFERROR(INDEX(记账规则!$A$6:$N$9,MATCH(购销流水!$D253,记账规则!$A$6:$A$9,0),13),""))</f>
        <v/>
      </c>
      <c r="N997" s="66" t="str">
        <f aca="false">IF($L997="","",IFERROR(INDEX(记账规则!$A$6:$N$9,MATCH(购销流水!$D253,记账规则!$A$6:$A$9,0),14),""))</f>
        <v/>
      </c>
      <c r="O997" s="67" t="n">
        <f aca="false">IF($H997="",0,ROUND(IF($N997="成本金额",N(购销流水!$W253),IF($N997="金额",N(购销流水!$Q253),0)),2))</f>
        <v>0</v>
      </c>
      <c r="P997" s="64" t="str">
        <f aca="false">IF(AND($H997&lt;&gt;"",ROUND($O997,2)&lt;&gt;0),"有","")</f>
        <v/>
      </c>
    </row>
    <row r="998" customFormat="false" ht="15" hidden="true" customHeight="false" outlineLevel="0" collapsed="false">
      <c r="A998" s="53" t="str">
        <f aca="false">IF($H998="","",ROW()-5)</f>
        <v/>
      </c>
      <c r="B998" s="64" t="s">
        <v>36</v>
      </c>
      <c r="C998" s="53" t="n">
        <v>254</v>
      </c>
      <c r="D998" s="53" t="n">
        <v>1</v>
      </c>
      <c r="E998" s="65" t="str">
        <f aca="false">IF($H998="","",购销流水!$B254)</f>
        <v/>
      </c>
      <c r="F998" s="55" t="str">
        <f aca="false">IF($H998="","",购销流水!$C254)</f>
        <v/>
      </c>
      <c r="G998" s="48" t="str">
        <f aca="false">IF($H998="","",购销流水!$N254)</f>
        <v/>
      </c>
      <c r="H998" s="10" t="str">
        <f aca="false">IF($L998="","",IF($L998="@成本",购销流水!$U254,IF($L998="@收入",购销流水!$T254,IF($L998="@存货",购销流水!$S254,IF($L998="@结算",购销流水!$R254,$L998)))))</f>
        <v/>
      </c>
      <c r="I998" s="42" t="n">
        <f aca="false">IF($M998="借",$O998,0)</f>
        <v>0</v>
      </c>
      <c r="J998" s="42" t="n">
        <f aca="false">IF($M998="贷",$O998,0)</f>
        <v>0</v>
      </c>
      <c r="K998" s="48" t="str">
        <f aca="false">IF($H998="","",购销流水!$E254)</f>
        <v/>
      </c>
      <c r="L998" s="66" t="str">
        <f aca="false">IF(购销流水!$D254="","",IFERROR(INDEX(记账规则!$A$6:$N$9,MATCH(购销流水!$D254,记账规则!$A$6:$A$9,0),3),""))</f>
        <v/>
      </c>
      <c r="M998" s="66" t="str">
        <f aca="false">IF($L998="","",IFERROR(INDEX(记账规则!$A$6:$N$9,MATCH(购销流水!$D254,记账规则!$A$6:$A$9,0),4),""))</f>
        <v/>
      </c>
      <c r="N998" s="66" t="str">
        <f aca="false">IF($L998="","",IFERROR(INDEX(记账规则!$A$6:$N$9,MATCH(购销流水!$D254,记账规则!$A$6:$A$9,0),5),""))</f>
        <v/>
      </c>
      <c r="O998" s="67" t="n">
        <f aca="false">IF($H998="",0,ROUND(IF($N998="成本金额",N(购销流水!$W254),IF($N998="金额",N(购销流水!$Q254),0)),2))</f>
        <v>0</v>
      </c>
      <c r="P998" s="64" t="str">
        <f aca="false">IF(AND($H998&lt;&gt;"",ROUND($O998,2)&lt;&gt;0),"有","")</f>
        <v/>
      </c>
    </row>
    <row r="999" customFormat="false" ht="15" hidden="true" customHeight="false" outlineLevel="0" collapsed="false">
      <c r="A999" s="53" t="str">
        <f aca="false">IF($H999="","",ROW()-5)</f>
        <v/>
      </c>
      <c r="B999" s="64" t="s">
        <v>36</v>
      </c>
      <c r="C999" s="53" t="n">
        <v>254</v>
      </c>
      <c r="D999" s="53" t="n">
        <v>2</v>
      </c>
      <c r="E999" s="65" t="str">
        <f aca="false">IF($H999="","",购销流水!$B254)</f>
        <v/>
      </c>
      <c r="F999" s="55" t="str">
        <f aca="false">IF($H999="","",购销流水!$C254)</f>
        <v/>
      </c>
      <c r="G999" s="48" t="str">
        <f aca="false">IF($H999="","",购销流水!$N254)</f>
        <v/>
      </c>
      <c r="H999" s="10" t="str">
        <f aca="false">IF($L999="","",IF($L999="@成本",购销流水!$U254,IF($L999="@收入",购销流水!$T254,IF($L999="@存货",购销流水!$S254,IF($L999="@结算",购销流水!$R254,$L999)))))</f>
        <v/>
      </c>
      <c r="I999" s="42" t="n">
        <f aca="false">IF($M999="借",$O999,0)</f>
        <v>0</v>
      </c>
      <c r="J999" s="42" t="n">
        <f aca="false">IF($M999="贷",$O999,0)</f>
        <v>0</v>
      </c>
      <c r="K999" s="48" t="str">
        <f aca="false">IF($H999="","",购销流水!$E254)</f>
        <v/>
      </c>
      <c r="L999" s="66" t="str">
        <f aca="false">IF(购销流水!$D254="","",IFERROR(INDEX(记账规则!$A$6:$N$9,MATCH(购销流水!$D254,记账规则!$A$6:$A$9,0),6),""))</f>
        <v/>
      </c>
      <c r="M999" s="66" t="str">
        <f aca="false">IF($L999="","",IFERROR(INDEX(记账规则!$A$6:$N$9,MATCH(购销流水!$D254,记账规则!$A$6:$A$9,0),7),""))</f>
        <v/>
      </c>
      <c r="N999" s="66" t="str">
        <f aca="false">IF($L999="","",IFERROR(INDEX(记账规则!$A$6:$N$9,MATCH(购销流水!$D254,记账规则!$A$6:$A$9,0),8),""))</f>
        <v/>
      </c>
      <c r="O999" s="67" t="n">
        <f aca="false">IF($H999="",0,ROUND(IF($N999="成本金额",N(购销流水!$W254),IF($N999="金额",N(购销流水!$Q254),0)),2))</f>
        <v>0</v>
      </c>
      <c r="P999" s="64" t="str">
        <f aca="false">IF(AND($H999&lt;&gt;"",ROUND($O999,2)&lt;&gt;0),"有","")</f>
        <v/>
      </c>
    </row>
    <row r="1000" customFormat="false" ht="15" hidden="true" customHeight="false" outlineLevel="0" collapsed="false">
      <c r="A1000" s="53" t="str">
        <f aca="false">IF($H1000="","",ROW()-5)</f>
        <v/>
      </c>
      <c r="B1000" s="64" t="s">
        <v>36</v>
      </c>
      <c r="C1000" s="53" t="n">
        <v>254</v>
      </c>
      <c r="D1000" s="53" t="n">
        <v>3</v>
      </c>
      <c r="E1000" s="65" t="str">
        <f aca="false">IF($H1000="","",购销流水!$B254)</f>
        <v/>
      </c>
      <c r="F1000" s="55" t="str">
        <f aca="false">IF($H1000="","",购销流水!$C254)</f>
        <v/>
      </c>
      <c r="G1000" s="48" t="str">
        <f aca="false">IF($H1000="","",购销流水!$N254)</f>
        <v/>
      </c>
      <c r="H1000" s="10" t="str">
        <f aca="false">IF($L1000="","",IF($L1000="@成本",购销流水!$U254,IF($L1000="@收入",购销流水!$T254,IF($L1000="@存货",购销流水!$S254,IF($L1000="@结算",购销流水!$R254,$L1000)))))</f>
        <v/>
      </c>
      <c r="I1000" s="42" t="n">
        <f aca="false">IF($M1000="借",$O1000,0)</f>
        <v>0</v>
      </c>
      <c r="J1000" s="42" t="n">
        <f aca="false">IF($M1000="贷",$O1000,0)</f>
        <v>0</v>
      </c>
      <c r="K1000" s="48" t="str">
        <f aca="false">IF($H1000="","",购销流水!$E254)</f>
        <v/>
      </c>
      <c r="L1000" s="66" t="str">
        <f aca="false">IF(购销流水!$D254="","",IFERROR(INDEX(记账规则!$A$6:$N$9,MATCH(购销流水!$D254,记账规则!$A$6:$A$9,0),9),""))</f>
        <v/>
      </c>
      <c r="M1000" s="66" t="str">
        <f aca="false">IF($L1000="","",IFERROR(INDEX(记账规则!$A$6:$N$9,MATCH(购销流水!$D254,记账规则!$A$6:$A$9,0),10),""))</f>
        <v/>
      </c>
      <c r="N1000" s="66" t="str">
        <f aca="false">IF($L1000="","",IFERROR(INDEX(记账规则!$A$6:$N$9,MATCH(购销流水!$D254,记账规则!$A$6:$A$9,0),11),""))</f>
        <v/>
      </c>
      <c r="O1000" s="67" t="n">
        <f aca="false">IF($H1000="",0,ROUND(IF($N1000="成本金额",N(购销流水!$W254),IF($N1000="金额",N(购销流水!$Q254),0)),2))</f>
        <v>0</v>
      </c>
      <c r="P1000" s="64" t="str">
        <f aca="false">IF(AND($H1000&lt;&gt;"",ROUND($O1000,2)&lt;&gt;0),"有","")</f>
        <v/>
      </c>
    </row>
    <row r="1001" customFormat="false" ht="15" hidden="true" customHeight="false" outlineLevel="0" collapsed="false">
      <c r="A1001" s="53" t="str">
        <f aca="false">IF($H1001="","",ROW()-5)</f>
        <v/>
      </c>
      <c r="B1001" s="64" t="s">
        <v>36</v>
      </c>
      <c r="C1001" s="53" t="n">
        <v>254</v>
      </c>
      <c r="D1001" s="53" t="n">
        <v>4</v>
      </c>
      <c r="E1001" s="65" t="str">
        <f aca="false">IF($H1001="","",购销流水!$B254)</f>
        <v/>
      </c>
      <c r="F1001" s="55" t="str">
        <f aca="false">IF($H1001="","",购销流水!$C254)</f>
        <v/>
      </c>
      <c r="G1001" s="48" t="str">
        <f aca="false">IF($H1001="","",购销流水!$N254)</f>
        <v/>
      </c>
      <c r="H1001" s="10" t="str">
        <f aca="false">IF($L1001="","",IF($L1001="@成本",购销流水!$U254,IF($L1001="@收入",购销流水!$T254,IF($L1001="@存货",购销流水!$S254,IF($L1001="@结算",购销流水!$R254,$L1001)))))</f>
        <v/>
      </c>
      <c r="I1001" s="42" t="n">
        <f aca="false">IF($M1001="借",$O1001,0)</f>
        <v>0</v>
      </c>
      <c r="J1001" s="42" t="n">
        <f aca="false">IF($M1001="贷",$O1001,0)</f>
        <v>0</v>
      </c>
      <c r="K1001" s="48" t="str">
        <f aca="false">IF($H1001="","",购销流水!$E254)</f>
        <v/>
      </c>
      <c r="L1001" s="66" t="str">
        <f aca="false">IF(购销流水!$D254="","",IFERROR(INDEX(记账规则!$A$6:$N$9,MATCH(购销流水!$D254,记账规则!$A$6:$A$9,0),12),""))</f>
        <v/>
      </c>
      <c r="M1001" s="66" t="str">
        <f aca="false">IF($L1001="","",IFERROR(INDEX(记账规则!$A$6:$N$9,MATCH(购销流水!$D254,记账规则!$A$6:$A$9,0),13),""))</f>
        <v/>
      </c>
      <c r="N1001" s="66" t="str">
        <f aca="false">IF($L1001="","",IFERROR(INDEX(记账规则!$A$6:$N$9,MATCH(购销流水!$D254,记账规则!$A$6:$A$9,0),14),""))</f>
        <v/>
      </c>
      <c r="O1001" s="67" t="n">
        <f aca="false">IF($H1001="",0,ROUND(IF($N1001="成本金额",N(购销流水!$W254),IF($N1001="金额",N(购销流水!$Q254),0)),2))</f>
        <v>0</v>
      </c>
      <c r="P1001" s="64" t="str">
        <f aca="false">IF(AND($H1001&lt;&gt;"",ROUND($O1001,2)&lt;&gt;0),"有","")</f>
        <v/>
      </c>
    </row>
    <row r="1002" customFormat="false" ht="15" hidden="true" customHeight="false" outlineLevel="0" collapsed="false">
      <c r="A1002" s="53" t="str">
        <f aca="false">IF($H1002="","",ROW()-5)</f>
        <v/>
      </c>
      <c r="B1002" s="64" t="s">
        <v>36</v>
      </c>
      <c r="C1002" s="53" t="n">
        <v>255</v>
      </c>
      <c r="D1002" s="53" t="n">
        <v>1</v>
      </c>
      <c r="E1002" s="65" t="str">
        <f aca="false">IF($H1002="","",购销流水!$B255)</f>
        <v/>
      </c>
      <c r="F1002" s="55" t="str">
        <f aca="false">IF($H1002="","",购销流水!$C255)</f>
        <v/>
      </c>
      <c r="G1002" s="48" t="str">
        <f aca="false">IF($H1002="","",购销流水!$N255)</f>
        <v/>
      </c>
      <c r="H1002" s="10" t="str">
        <f aca="false">IF($L1002="","",IF($L1002="@成本",购销流水!$U255,IF($L1002="@收入",购销流水!$T255,IF($L1002="@存货",购销流水!$S255,IF($L1002="@结算",购销流水!$R255,$L1002)))))</f>
        <v/>
      </c>
      <c r="I1002" s="42" t="n">
        <f aca="false">IF($M1002="借",$O1002,0)</f>
        <v>0</v>
      </c>
      <c r="J1002" s="42" t="n">
        <f aca="false">IF($M1002="贷",$O1002,0)</f>
        <v>0</v>
      </c>
      <c r="K1002" s="48" t="str">
        <f aca="false">IF($H1002="","",购销流水!$E255)</f>
        <v/>
      </c>
      <c r="L1002" s="66" t="str">
        <f aca="false">IF(购销流水!$D255="","",IFERROR(INDEX(记账规则!$A$6:$N$9,MATCH(购销流水!$D255,记账规则!$A$6:$A$9,0),3),""))</f>
        <v/>
      </c>
      <c r="M1002" s="66" t="str">
        <f aca="false">IF($L1002="","",IFERROR(INDEX(记账规则!$A$6:$N$9,MATCH(购销流水!$D255,记账规则!$A$6:$A$9,0),4),""))</f>
        <v/>
      </c>
      <c r="N1002" s="66" t="str">
        <f aca="false">IF($L1002="","",IFERROR(INDEX(记账规则!$A$6:$N$9,MATCH(购销流水!$D255,记账规则!$A$6:$A$9,0),5),""))</f>
        <v/>
      </c>
      <c r="O1002" s="67" t="n">
        <f aca="false">IF($H1002="",0,ROUND(IF($N1002="成本金额",N(购销流水!$W255),IF($N1002="金额",N(购销流水!$Q255),0)),2))</f>
        <v>0</v>
      </c>
      <c r="P1002" s="64" t="str">
        <f aca="false">IF(AND($H1002&lt;&gt;"",ROUND($O1002,2)&lt;&gt;0),"有","")</f>
        <v/>
      </c>
    </row>
    <row r="1003" customFormat="false" ht="15" hidden="true" customHeight="false" outlineLevel="0" collapsed="false">
      <c r="A1003" s="53" t="str">
        <f aca="false">IF($H1003="","",ROW()-5)</f>
        <v/>
      </c>
      <c r="B1003" s="64" t="s">
        <v>36</v>
      </c>
      <c r="C1003" s="53" t="n">
        <v>255</v>
      </c>
      <c r="D1003" s="53" t="n">
        <v>2</v>
      </c>
      <c r="E1003" s="65" t="str">
        <f aca="false">IF($H1003="","",购销流水!$B255)</f>
        <v/>
      </c>
      <c r="F1003" s="55" t="str">
        <f aca="false">IF($H1003="","",购销流水!$C255)</f>
        <v/>
      </c>
      <c r="G1003" s="48" t="str">
        <f aca="false">IF($H1003="","",购销流水!$N255)</f>
        <v/>
      </c>
      <c r="H1003" s="10" t="str">
        <f aca="false">IF($L1003="","",IF($L1003="@成本",购销流水!$U255,IF($L1003="@收入",购销流水!$T255,IF($L1003="@存货",购销流水!$S255,IF($L1003="@结算",购销流水!$R255,$L1003)))))</f>
        <v/>
      </c>
      <c r="I1003" s="42" t="n">
        <f aca="false">IF($M1003="借",$O1003,0)</f>
        <v>0</v>
      </c>
      <c r="J1003" s="42" t="n">
        <f aca="false">IF($M1003="贷",$O1003,0)</f>
        <v>0</v>
      </c>
      <c r="K1003" s="48" t="str">
        <f aca="false">IF($H1003="","",购销流水!$E255)</f>
        <v/>
      </c>
      <c r="L1003" s="66" t="str">
        <f aca="false">IF(购销流水!$D255="","",IFERROR(INDEX(记账规则!$A$6:$N$9,MATCH(购销流水!$D255,记账规则!$A$6:$A$9,0),6),""))</f>
        <v/>
      </c>
      <c r="M1003" s="66" t="str">
        <f aca="false">IF($L1003="","",IFERROR(INDEX(记账规则!$A$6:$N$9,MATCH(购销流水!$D255,记账规则!$A$6:$A$9,0),7),""))</f>
        <v/>
      </c>
      <c r="N1003" s="66" t="str">
        <f aca="false">IF($L1003="","",IFERROR(INDEX(记账规则!$A$6:$N$9,MATCH(购销流水!$D255,记账规则!$A$6:$A$9,0),8),""))</f>
        <v/>
      </c>
      <c r="O1003" s="67" t="n">
        <f aca="false">IF($H1003="",0,ROUND(IF($N1003="成本金额",N(购销流水!$W255),IF($N1003="金额",N(购销流水!$Q255),0)),2))</f>
        <v>0</v>
      </c>
      <c r="P1003" s="64" t="str">
        <f aca="false">IF(AND($H1003&lt;&gt;"",ROUND($O1003,2)&lt;&gt;0),"有","")</f>
        <v/>
      </c>
    </row>
    <row r="1004" customFormat="false" ht="15" hidden="true" customHeight="false" outlineLevel="0" collapsed="false">
      <c r="A1004" s="53" t="str">
        <f aca="false">IF($H1004="","",ROW()-5)</f>
        <v/>
      </c>
      <c r="B1004" s="64" t="s">
        <v>36</v>
      </c>
      <c r="C1004" s="53" t="n">
        <v>255</v>
      </c>
      <c r="D1004" s="53" t="n">
        <v>3</v>
      </c>
      <c r="E1004" s="65" t="str">
        <f aca="false">IF($H1004="","",购销流水!$B255)</f>
        <v/>
      </c>
      <c r="F1004" s="55" t="str">
        <f aca="false">IF($H1004="","",购销流水!$C255)</f>
        <v/>
      </c>
      <c r="G1004" s="48" t="str">
        <f aca="false">IF($H1004="","",购销流水!$N255)</f>
        <v/>
      </c>
      <c r="H1004" s="10" t="str">
        <f aca="false">IF($L1004="","",IF($L1004="@成本",购销流水!$U255,IF($L1004="@收入",购销流水!$T255,IF($L1004="@存货",购销流水!$S255,IF($L1004="@结算",购销流水!$R255,$L1004)))))</f>
        <v/>
      </c>
      <c r="I1004" s="42" t="n">
        <f aca="false">IF($M1004="借",$O1004,0)</f>
        <v>0</v>
      </c>
      <c r="J1004" s="42" t="n">
        <f aca="false">IF($M1004="贷",$O1004,0)</f>
        <v>0</v>
      </c>
      <c r="K1004" s="48" t="str">
        <f aca="false">IF($H1004="","",购销流水!$E255)</f>
        <v/>
      </c>
      <c r="L1004" s="66" t="str">
        <f aca="false">IF(购销流水!$D255="","",IFERROR(INDEX(记账规则!$A$6:$N$9,MATCH(购销流水!$D255,记账规则!$A$6:$A$9,0),9),""))</f>
        <v/>
      </c>
      <c r="M1004" s="66" t="str">
        <f aca="false">IF($L1004="","",IFERROR(INDEX(记账规则!$A$6:$N$9,MATCH(购销流水!$D255,记账规则!$A$6:$A$9,0),10),""))</f>
        <v/>
      </c>
      <c r="N1004" s="66" t="str">
        <f aca="false">IF($L1004="","",IFERROR(INDEX(记账规则!$A$6:$N$9,MATCH(购销流水!$D255,记账规则!$A$6:$A$9,0),11),""))</f>
        <v/>
      </c>
      <c r="O1004" s="67" t="n">
        <f aca="false">IF($H1004="",0,ROUND(IF($N1004="成本金额",N(购销流水!$W255),IF($N1004="金额",N(购销流水!$Q255),0)),2))</f>
        <v>0</v>
      </c>
      <c r="P1004" s="64" t="str">
        <f aca="false">IF(AND($H1004&lt;&gt;"",ROUND($O1004,2)&lt;&gt;0),"有","")</f>
        <v/>
      </c>
    </row>
    <row r="1005" customFormat="false" ht="15" hidden="true" customHeight="false" outlineLevel="0" collapsed="false">
      <c r="A1005" s="53" t="str">
        <f aca="false">IF($H1005="","",ROW()-5)</f>
        <v/>
      </c>
      <c r="B1005" s="64" t="s">
        <v>36</v>
      </c>
      <c r="C1005" s="53" t="n">
        <v>255</v>
      </c>
      <c r="D1005" s="53" t="n">
        <v>4</v>
      </c>
      <c r="E1005" s="65" t="str">
        <f aca="false">IF($H1005="","",购销流水!$B255)</f>
        <v/>
      </c>
      <c r="F1005" s="55" t="str">
        <f aca="false">IF($H1005="","",购销流水!$C255)</f>
        <v/>
      </c>
      <c r="G1005" s="48" t="str">
        <f aca="false">IF($H1005="","",购销流水!$N255)</f>
        <v/>
      </c>
      <c r="H1005" s="10" t="str">
        <f aca="false">IF($L1005="","",IF($L1005="@成本",购销流水!$U255,IF($L1005="@收入",购销流水!$T255,IF($L1005="@存货",购销流水!$S255,IF($L1005="@结算",购销流水!$R255,$L1005)))))</f>
        <v/>
      </c>
      <c r="I1005" s="42" t="n">
        <f aca="false">IF($M1005="借",$O1005,0)</f>
        <v>0</v>
      </c>
      <c r="J1005" s="42" t="n">
        <f aca="false">IF($M1005="贷",$O1005,0)</f>
        <v>0</v>
      </c>
      <c r="K1005" s="48" t="str">
        <f aca="false">IF($H1005="","",购销流水!$E255)</f>
        <v/>
      </c>
      <c r="L1005" s="66" t="str">
        <f aca="false">IF(购销流水!$D255="","",IFERROR(INDEX(记账规则!$A$6:$N$9,MATCH(购销流水!$D255,记账规则!$A$6:$A$9,0),12),""))</f>
        <v/>
      </c>
      <c r="M1005" s="66" t="str">
        <f aca="false">IF($L1005="","",IFERROR(INDEX(记账规则!$A$6:$N$9,MATCH(购销流水!$D255,记账规则!$A$6:$A$9,0),13),""))</f>
        <v/>
      </c>
      <c r="N1005" s="66" t="str">
        <f aca="false">IF($L1005="","",IFERROR(INDEX(记账规则!$A$6:$N$9,MATCH(购销流水!$D255,记账规则!$A$6:$A$9,0),14),""))</f>
        <v/>
      </c>
      <c r="O1005" s="67" t="n">
        <f aca="false">IF($H1005="",0,ROUND(IF($N1005="成本金额",N(购销流水!$W255),IF($N1005="金额",N(购销流水!$Q255),0)),2))</f>
        <v>0</v>
      </c>
      <c r="P1005" s="64" t="str">
        <f aca="false">IF(AND($H1005&lt;&gt;"",ROUND($O1005,2)&lt;&gt;0),"有","")</f>
        <v/>
      </c>
    </row>
    <row r="1006" customFormat="false" ht="15" hidden="true" customHeight="false" outlineLevel="0" collapsed="false">
      <c r="A1006" s="53" t="str">
        <f aca="false">IF($H1006="","",ROW()-5)</f>
        <v/>
      </c>
      <c r="B1006" s="64" t="s">
        <v>36</v>
      </c>
      <c r="C1006" s="53" t="n">
        <v>256</v>
      </c>
      <c r="D1006" s="53" t="n">
        <v>1</v>
      </c>
      <c r="E1006" s="65" t="str">
        <f aca="false">IF($H1006="","",购销流水!$B256)</f>
        <v/>
      </c>
      <c r="F1006" s="55" t="str">
        <f aca="false">IF($H1006="","",购销流水!$C256)</f>
        <v/>
      </c>
      <c r="G1006" s="48" t="str">
        <f aca="false">IF($H1006="","",购销流水!$N256)</f>
        <v/>
      </c>
      <c r="H1006" s="10" t="str">
        <f aca="false">IF($L1006="","",IF($L1006="@成本",购销流水!$U256,IF($L1006="@收入",购销流水!$T256,IF($L1006="@存货",购销流水!$S256,IF($L1006="@结算",购销流水!$R256,$L1006)))))</f>
        <v/>
      </c>
      <c r="I1006" s="42" t="n">
        <f aca="false">IF($M1006="借",$O1006,0)</f>
        <v>0</v>
      </c>
      <c r="J1006" s="42" t="n">
        <f aca="false">IF($M1006="贷",$O1006,0)</f>
        <v>0</v>
      </c>
      <c r="K1006" s="48" t="str">
        <f aca="false">IF($H1006="","",购销流水!$E256)</f>
        <v/>
      </c>
      <c r="L1006" s="66" t="str">
        <f aca="false">IF(购销流水!$D256="","",IFERROR(INDEX(记账规则!$A$6:$N$9,MATCH(购销流水!$D256,记账规则!$A$6:$A$9,0),3),""))</f>
        <v/>
      </c>
      <c r="M1006" s="66" t="str">
        <f aca="false">IF($L1006="","",IFERROR(INDEX(记账规则!$A$6:$N$9,MATCH(购销流水!$D256,记账规则!$A$6:$A$9,0),4),""))</f>
        <v/>
      </c>
      <c r="N1006" s="66" t="str">
        <f aca="false">IF($L1006="","",IFERROR(INDEX(记账规则!$A$6:$N$9,MATCH(购销流水!$D256,记账规则!$A$6:$A$9,0),5),""))</f>
        <v/>
      </c>
      <c r="O1006" s="67" t="n">
        <f aca="false">IF($H1006="",0,ROUND(IF($N1006="成本金额",N(购销流水!$W256),IF($N1006="金额",N(购销流水!$Q256),0)),2))</f>
        <v>0</v>
      </c>
      <c r="P1006" s="64" t="str">
        <f aca="false">IF(AND($H1006&lt;&gt;"",ROUND($O1006,2)&lt;&gt;0),"有","")</f>
        <v/>
      </c>
    </row>
    <row r="1007" customFormat="false" ht="15" hidden="true" customHeight="false" outlineLevel="0" collapsed="false">
      <c r="A1007" s="53" t="str">
        <f aca="false">IF($H1007="","",ROW()-5)</f>
        <v/>
      </c>
      <c r="B1007" s="64" t="s">
        <v>36</v>
      </c>
      <c r="C1007" s="53" t="n">
        <v>256</v>
      </c>
      <c r="D1007" s="53" t="n">
        <v>2</v>
      </c>
      <c r="E1007" s="65" t="str">
        <f aca="false">IF($H1007="","",购销流水!$B256)</f>
        <v/>
      </c>
      <c r="F1007" s="55" t="str">
        <f aca="false">IF($H1007="","",购销流水!$C256)</f>
        <v/>
      </c>
      <c r="G1007" s="48" t="str">
        <f aca="false">IF($H1007="","",购销流水!$N256)</f>
        <v/>
      </c>
      <c r="H1007" s="10" t="str">
        <f aca="false">IF($L1007="","",IF($L1007="@成本",购销流水!$U256,IF($L1007="@收入",购销流水!$T256,IF($L1007="@存货",购销流水!$S256,IF($L1007="@结算",购销流水!$R256,$L1007)))))</f>
        <v/>
      </c>
      <c r="I1007" s="42" t="n">
        <f aca="false">IF($M1007="借",$O1007,0)</f>
        <v>0</v>
      </c>
      <c r="J1007" s="42" t="n">
        <f aca="false">IF($M1007="贷",$O1007,0)</f>
        <v>0</v>
      </c>
      <c r="K1007" s="48" t="str">
        <f aca="false">IF($H1007="","",购销流水!$E256)</f>
        <v/>
      </c>
      <c r="L1007" s="66" t="str">
        <f aca="false">IF(购销流水!$D256="","",IFERROR(INDEX(记账规则!$A$6:$N$9,MATCH(购销流水!$D256,记账规则!$A$6:$A$9,0),6),""))</f>
        <v/>
      </c>
      <c r="M1007" s="66" t="str">
        <f aca="false">IF($L1007="","",IFERROR(INDEX(记账规则!$A$6:$N$9,MATCH(购销流水!$D256,记账规则!$A$6:$A$9,0),7),""))</f>
        <v/>
      </c>
      <c r="N1007" s="66" t="str">
        <f aca="false">IF($L1007="","",IFERROR(INDEX(记账规则!$A$6:$N$9,MATCH(购销流水!$D256,记账规则!$A$6:$A$9,0),8),""))</f>
        <v/>
      </c>
      <c r="O1007" s="67" t="n">
        <f aca="false">IF($H1007="",0,ROUND(IF($N1007="成本金额",N(购销流水!$W256),IF($N1007="金额",N(购销流水!$Q256),0)),2))</f>
        <v>0</v>
      </c>
      <c r="P1007" s="64" t="str">
        <f aca="false">IF(AND($H1007&lt;&gt;"",ROUND($O1007,2)&lt;&gt;0),"有","")</f>
        <v/>
      </c>
    </row>
    <row r="1008" customFormat="false" ht="15" hidden="true" customHeight="false" outlineLevel="0" collapsed="false">
      <c r="A1008" s="53" t="str">
        <f aca="false">IF($H1008="","",ROW()-5)</f>
        <v/>
      </c>
      <c r="B1008" s="64" t="s">
        <v>36</v>
      </c>
      <c r="C1008" s="53" t="n">
        <v>256</v>
      </c>
      <c r="D1008" s="53" t="n">
        <v>3</v>
      </c>
      <c r="E1008" s="65" t="str">
        <f aca="false">IF($H1008="","",购销流水!$B256)</f>
        <v/>
      </c>
      <c r="F1008" s="55" t="str">
        <f aca="false">IF($H1008="","",购销流水!$C256)</f>
        <v/>
      </c>
      <c r="G1008" s="48" t="str">
        <f aca="false">IF($H1008="","",购销流水!$N256)</f>
        <v/>
      </c>
      <c r="H1008" s="10" t="str">
        <f aca="false">IF($L1008="","",IF($L1008="@成本",购销流水!$U256,IF($L1008="@收入",购销流水!$T256,IF($L1008="@存货",购销流水!$S256,IF($L1008="@结算",购销流水!$R256,$L1008)))))</f>
        <v/>
      </c>
      <c r="I1008" s="42" t="n">
        <f aca="false">IF($M1008="借",$O1008,0)</f>
        <v>0</v>
      </c>
      <c r="J1008" s="42" t="n">
        <f aca="false">IF($M1008="贷",$O1008,0)</f>
        <v>0</v>
      </c>
      <c r="K1008" s="48" t="str">
        <f aca="false">IF($H1008="","",购销流水!$E256)</f>
        <v/>
      </c>
      <c r="L1008" s="66" t="str">
        <f aca="false">IF(购销流水!$D256="","",IFERROR(INDEX(记账规则!$A$6:$N$9,MATCH(购销流水!$D256,记账规则!$A$6:$A$9,0),9),""))</f>
        <v/>
      </c>
      <c r="M1008" s="66" t="str">
        <f aca="false">IF($L1008="","",IFERROR(INDEX(记账规则!$A$6:$N$9,MATCH(购销流水!$D256,记账规则!$A$6:$A$9,0),10),""))</f>
        <v/>
      </c>
      <c r="N1008" s="66" t="str">
        <f aca="false">IF($L1008="","",IFERROR(INDEX(记账规则!$A$6:$N$9,MATCH(购销流水!$D256,记账规则!$A$6:$A$9,0),11),""))</f>
        <v/>
      </c>
      <c r="O1008" s="67" t="n">
        <f aca="false">IF($H1008="",0,ROUND(IF($N1008="成本金额",N(购销流水!$W256),IF($N1008="金额",N(购销流水!$Q256),0)),2))</f>
        <v>0</v>
      </c>
      <c r="P1008" s="64" t="str">
        <f aca="false">IF(AND($H1008&lt;&gt;"",ROUND($O1008,2)&lt;&gt;0),"有","")</f>
        <v/>
      </c>
    </row>
    <row r="1009" customFormat="false" ht="15" hidden="true" customHeight="false" outlineLevel="0" collapsed="false">
      <c r="A1009" s="53" t="str">
        <f aca="false">IF($H1009="","",ROW()-5)</f>
        <v/>
      </c>
      <c r="B1009" s="64" t="s">
        <v>36</v>
      </c>
      <c r="C1009" s="53" t="n">
        <v>256</v>
      </c>
      <c r="D1009" s="53" t="n">
        <v>4</v>
      </c>
      <c r="E1009" s="65" t="str">
        <f aca="false">IF($H1009="","",购销流水!$B256)</f>
        <v/>
      </c>
      <c r="F1009" s="55" t="str">
        <f aca="false">IF($H1009="","",购销流水!$C256)</f>
        <v/>
      </c>
      <c r="G1009" s="48" t="str">
        <f aca="false">IF($H1009="","",购销流水!$N256)</f>
        <v/>
      </c>
      <c r="H1009" s="10" t="str">
        <f aca="false">IF($L1009="","",IF($L1009="@成本",购销流水!$U256,IF($L1009="@收入",购销流水!$T256,IF($L1009="@存货",购销流水!$S256,IF($L1009="@结算",购销流水!$R256,$L1009)))))</f>
        <v/>
      </c>
      <c r="I1009" s="42" t="n">
        <f aca="false">IF($M1009="借",$O1009,0)</f>
        <v>0</v>
      </c>
      <c r="J1009" s="42" t="n">
        <f aca="false">IF($M1009="贷",$O1009,0)</f>
        <v>0</v>
      </c>
      <c r="K1009" s="48" t="str">
        <f aca="false">IF($H1009="","",购销流水!$E256)</f>
        <v/>
      </c>
      <c r="L1009" s="66" t="str">
        <f aca="false">IF(购销流水!$D256="","",IFERROR(INDEX(记账规则!$A$6:$N$9,MATCH(购销流水!$D256,记账规则!$A$6:$A$9,0),12),""))</f>
        <v/>
      </c>
      <c r="M1009" s="66" t="str">
        <f aca="false">IF($L1009="","",IFERROR(INDEX(记账规则!$A$6:$N$9,MATCH(购销流水!$D256,记账规则!$A$6:$A$9,0),13),""))</f>
        <v/>
      </c>
      <c r="N1009" s="66" t="str">
        <f aca="false">IF($L1009="","",IFERROR(INDEX(记账规则!$A$6:$N$9,MATCH(购销流水!$D256,记账规则!$A$6:$A$9,0),14),""))</f>
        <v/>
      </c>
      <c r="O1009" s="67" t="n">
        <f aca="false">IF($H1009="",0,ROUND(IF($N1009="成本金额",N(购销流水!$W256),IF($N1009="金额",N(购销流水!$Q256),0)),2))</f>
        <v>0</v>
      </c>
      <c r="P1009" s="64" t="str">
        <f aca="false">IF(AND($H1009&lt;&gt;"",ROUND($O1009,2)&lt;&gt;0),"有","")</f>
        <v/>
      </c>
    </row>
    <row r="1010" customFormat="false" ht="15" hidden="true" customHeight="false" outlineLevel="0" collapsed="false">
      <c r="A1010" s="53" t="str">
        <f aca="false">IF($H1010="","",ROW()-5)</f>
        <v/>
      </c>
      <c r="B1010" s="64" t="s">
        <v>36</v>
      </c>
      <c r="C1010" s="53" t="n">
        <v>257</v>
      </c>
      <c r="D1010" s="53" t="n">
        <v>1</v>
      </c>
      <c r="E1010" s="65" t="str">
        <f aca="false">IF($H1010="","",购销流水!$B257)</f>
        <v/>
      </c>
      <c r="F1010" s="55" t="str">
        <f aca="false">IF($H1010="","",购销流水!$C257)</f>
        <v/>
      </c>
      <c r="G1010" s="48" t="str">
        <f aca="false">IF($H1010="","",购销流水!$N257)</f>
        <v/>
      </c>
      <c r="H1010" s="10" t="str">
        <f aca="false">IF($L1010="","",IF($L1010="@成本",购销流水!$U257,IF($L1010="@收入",购销流水!$T257,IF($L1010="@存货",购销流水!$S257,IF($L1010="@结算",购销流水!$R257,$L1010)))))</f>
        <v/>
      </c>
      <c r="I1010" s="42" t="n">
        <f aca="false">IF($M1010="借",$O1010,0)</f>
        <v>0</v>
      </c>
      <c r="J1010" s="42" t="n">
        <f aca="false">IF($M1010="贷",$O1010,0)</f>
        <v>0</v>
      </c>
      <c r="K1010" s="48" t="str">
        <f aca="false">IF($H1010="","",购销流水!$E257)</f>
        <v/>
      </c>
      <c r="L1010" s="66" t="str">
        <f aca="false">IF(购销流水!$D257="","",IFERROR(INDEX(记账规则!$A$6:$N$9,MATCH(购销流水!$D257,记账规则!$A$6:$A$9,0),3),""))</f>
        <v/>
      </c>
      <c r="M1010" s="66" t="str">
        <f aca="false">IF($L1010="","",IFERROR(INDEX(记账规则!$A$6:$N$9,MATCH(购销流水!$D257,记账规则!$A$6:$A$9,0),4),""))</f>
        <v/>
      </c>
      <c r="N1010" s="66" t="str">
        <f aca="false">IF($L1010="","",IFERROR(INDEX(记账规则!$A$6:$N$9,MATCH(购销流水!$D257,记账规则!$A$6:$A$9,0),5),""))</f>
        <v/>
      </c>
      <c r="O1010" s="67" t="n">
        <f aca="false">IF($H1010="",0,ROUND(IF($N1010="成本金额",N(购销流水!$W257),IF($N1010="金额",N(购销流水!$Q257),0)),2))</f>
        <v>0</v>
      </c>
      <c r="P1010" s="64" t="str">
        <f aca="false">IF(AND($H1010&lt;&gt;"",ROUND($O1010,2)&lt;&gt;0),"有","")</f>
        <v/>
      </c>
    </row>
    <row r="1011" customFormat="false" ht="15" hidden="true" customHeight="false" outlineLevel="0" collapsed="false">
      <c r="A1011" s="53" t="str">
        <f aca="false">IF($H1011="","",ROW()-5)</f>
        <v/>
      </c>
      <c r="B1011" s="64" t="s">
        <v>36</v>
      </c>
      <c r="C1011" s="53" t="n">
        <v>257</v>
      </c>
      <c r="D1011" s="53" t="n">
        <v>2</v>
      </c>
      <c r="E1011" s="65" t="str">
        <f aca="false">IF($H1011="","",购销流水!$B257)</f>
        <v/>
      </c>
      <c r="F1011" s="55" t="str">
        <f aca="false">IF($H1011="","",购销流水!$C257)</f>
        <v/>
      </c>
      <c r="G1011" s="48" t="str">
        <f aca="false">IF($H1011="","",购销流水!$N257)</f>
        <v/>
      </c>
      <c r="H1011" s="10" t="str">
        <f aca="false">IF($L1011="","",IF($L1011="@成本",购销流水!$U257,IF($L1011="@收入",购销流水!$T257,IF($L1011="@存货",购销流水!$S257,IF($L1011="@结算",购销流水!$R257,$L1011)))))</f>
        <v/>
      </c>
      <c r="I1011" s="42" t="n">
        <f aca="false">IF($M1011="借",$O1011,0)</f>
        <v>0</v>
      </c>
      <c r="J1011" s="42" t="n">
        <f aca="false">IF($M1011="贷",$O1011,0)</f>
        <v>0</v>
      </c>
      <c r="K1011" s="48" t="str">
        <f aca="false">IF($H1011="","",购销流水!$E257)</f>
        <v/>
      </c>
      <c r="L1011" s="66" t="str">
        <f aca="false">IF(购销流水!$D257="","",IFERROR(INDEX(记账规则!$A$6:$N$9,MATCH(购销流水!$D257,记账规则!$A$6:$A$9,0),6),""))</f>
        <v/>
      </c>
      <c r="M1011" s="66" t="str">
        <f aca="false">IF($L1011="","",IFERROR(INDEX(记账规则!$A$6:$N$9,MATCH(购销流水!$D257,记账规则!$A$6:$A$9,0),7),""))</f>
        <v/>
      </c>
      <c r="N1011" s="66" t="str">
        <f aca="false">IF($L1011="","",IFERROR(INDEX(记账规则!$A$6:$N$9,MATCH(购销流水!$D257,记账规则!$A$6:$A$9,0),8),""))</f>
        <v/>
      </c>
      <c r="O1011" s="67" t="n">
        <f aca="false">IF($H1011="",0,ROUND(IF($N1011="成本金额",N(购销流水!$W257),IF($N1011="金额",N(购销流水!$Q257),0)),2))</f>
        <v>0</v>
      </c>
      <c r="P1011" s="64" t="str">
        <f aca="false">IF(AND($H1011&lt;&gt;"",ROUND($O1011,2)&lt;&gt;0),"有","")</f>
        <v/>
      </c>
    </row>
    <row r="1012" customFormat="false" ht="15" hidden="true" customHeight="false" outlineLevel="0" collapsed="false">
      <c r="A1012" s="53" t="str">
        <f aca="false">IF($H1012="","",ROW()-5)</f>
        <v/>
      </c>
      <c r="B1012" s="64" t="s">
        <v>36</v>
      </c>
      <c r="C1012" s="53" t="n">
        <v>257</v>
      </c>
      <c r="D1012" s="53" t="n">
        <v>3</v>
      </c>
      <c r="E1012" s="65" t="str">
        <f aca="false">IF($H1012="","",购销流水!$B257)</f>
        <v/>
      </c>
      <c r="F1012" s="55" t="str">
        <f aca="false">IF($H1012="","",购销流水!$C257)</f>
        <v/>
      </c>
      <c r="G1012" s="48" t="str">
        <f aca="false">IF($H1012="","",购销流水!$N257)</f>
        <v/>
      </c>
      <c r="H1012" s="10" t="str">
        <f aca="false">IF($L1012="","",IF($L1012="@成本",购销流水!$U257,IF($L1012="@收入",购销流水!$T257,IF($L1012="@存货",购销流水!$S257,IF($L1012="@结算",购销流水!$R257,$L1012)))))</f>
        <v/>
      </c>
      <c r="I1012" s="42" t="n">
        <f aca="false">IF($M1012="借",$O1012,0)</f>
        <v>0</v>
      </c>
      <c r="J1012" s="42" t="n">
        <f aca="false">IF($M1012="贷",$O1012,0)</f>
        <v>0</v>
      </c>
      <c r="K1012" s="48" t="str">
        <f aca="false">IF($H1012="","",购销流水!$E257)</f>
        <v/>
      </c>
      <c r="L1012" s="66" t="str">
        <f aca="false">IF(购销流水!$D257="","",IFERROR(INDEX(记账规则!$A$6:$N$9,MATCH(购销流水!$D257,记账规则!$A$6:$A$9,0),9),""))</f>
        <v/>
      </c>
      <c r="M1012" s="66" t="str">
        <f aca="false">IF($L1012="","",IFERROR(INDEX(记账规则!$A$6:$N$9,MATCH(购销流水!$D257,记账规则!$A$6:$A$9,0),10),""))</f>
        <v/>
      </c>
      <c r="N1012" s="66" t="str">
        <f aca="false">IF($L1012="","",IFERROR(INDEX(记账规则!$A$6:$N$9,MATCH(购销流水!$D257,记账规则!$A$6:$A$9,0),11),""))</f>
        <v/>
      </c>
      <c r="O1012" s="67" t="n">
        <f aca="false">IF($H1012="",0,ROUND(IF($N1012="成本金额",N(购销流水!$W257),IF($N1012="金额",N(购销流水!$Q257),0)),2))</f>
        <v>0</v>
      </c>
      <c r="P1012" s="64" t="str">
        <f aca="false">IF(AND($H1012&lt;&gt;"",ROUND($O1012,2)&lt;&gt;0),"有","")</f>
        <v/>
      </c>
    </row>
    <row r="1013" customFormat="false" ht="15" hidden="true" customHeight="false" outlineLevel="0" collapsed="false">
      <c r="A1013" s="53" t="str">
        <f aca="false">IF($H1013="","",ROW()-5)</f>
        <v/>
      </c>
      <c r="B1013" s="64" t="s">
        <v>36</v>
      </c>
      <c r="C1013" s="53" t="n">
        <v>257</v>
      </c>
      <c r="D1013" s="53" t="n">
        <v>4</v>
      </c>
      <c r="E1013" s="65" t="str">
        <f aca="false">IF($H1013="","",购销流水!$B257)</f>
        <v/>
      </c>
      <c r="F1013" s="55" t="str">
        <f aca="false">IF($H1013="","",购销流水!$C257)</f>
        <v/>
      </c>
      <c r="G1013" s="48" t="str">
        <f aca="false">IF($H1013="","",购销流水!$N257)</f>
        <v/>
      </c>
      <c r="H1013" s="10" t="str">
        <f aca="false">IF($L1013="","",IF($L1013="@成本",购销流水!$U257,IF($L1013="@收入",购销流水!$T257,IF($L1013="@存货",购销流水!$S257,IF($L1013="@结算",购销流水!$R257,$L1013)))))</f>
        <v/>
      </c>
      <c r="I1013" s="42" t="n">
        <f aca="false">IF($M1013="借",$O1013,0)</f>
        <v>0</v>
      </c>
      <c r="J1013" s="42" t="n">
        <f aca="false">IF($M1013="贷",$O1013,0)</f>
        <v>0</v>
      </c>
      <c r="K1013" s="48" t="str">
        <f aca="false">IF($H1013="","",购销流水!$E257)</f>
        <v/>
      </c>
      <c r="L1013" s="66" t="str">
        <f aca="false">IF(购销流水!$D257="","",IFERROR(INDEX(记账规则!$A$6:$N$9,MATCH(购销流水!$D257,记账规则!$A$6:$A$9,0),12),""))</f>
        <v/>
      </c>
      <c r="M1013" s="66" t="str">
        <f aca="false">IF($L1013="","",IFERROR(INDEX(记账规则!$A$6:$N$9,MATCH(购销流水!$D257,记账规则!$A$6:$A$9,0),13),""))</f>
        <v/>
      </c>
      <c r="N1013" s="66" t="str">
        <f aca="false">IF($L1013="","",IFERROR(INDEX(记账规则!$A$6:$N$9,MATCH(购销流水!$D257,记账规则!$A$6:$A$9,0),14),""))</f>
        <v/>
      </c>
      <c r="O1013" s="67" t="n">
        <f aca="false">IF($H1013="",0,ROUND(IF($N1013="成本金额",N(购销流水!$W257),IF($N1013="金额",N(购销流水!$Q257),0)),2))</f>
        <v>0</v>
      </c>
      <c r="P1013" s="64" t="str">
        <f aca="false">IF(AND($H1013&lt;&gt;"",ROUND($O1013,2)&lt;&gt;0),"有","")</f>
        <v/>
      </c>
    </row>
    <row r="1014" customFormat="false" ht="15" hidden="true" customHeight="false" outlineLevel="0" collapsed="false">
      <c r="A1014" s="53" t="str">
        <f aca="false">IF($H1014="","",ROW()-5)</f>
        <v/>
      </c>
      <c r="B1014" s="64" t="s">
        <v>36</v>
      </c>
      <c r="C1014" s="53" t="n">
        <v>258</v>
      </c>
      <c r="D1014" s="53" t="n">
        <v>1</v>
      </c>
      <c r="E1014" s="65" t="str">
        <f aca="false">IF($H1014="","",购销流水!$B258)</f>
        <v/>
      </c>
      <c r="F1014" s="55" t="str">
        <f aca="false">IF($H1014="","",购销流水!$C258)</f>
        <v/>
      </c>
      <c r="G1014" s="48" t="str">
        <f aca="false">IF($H1014="","",购销流水!$N258)</f>
        <v/>
      </c>
      <c r="H1014" s="10" t="str">
        <f aca="false">IF($L1014="","",IF($L1014="@成本",购销流水!$U258,IF($L1014="@收入",购销流水!$T258,IF($L1014="@存货",购销流水!$S258,IF($L1014="@结算",购销流水!$R258,$L1014)))))</f>
        <v/>
      </c>
      <c r="I1014" s="42" t="n">
        <f aca="false">IF($M1014="借",$O1014,0)</f>
        <v>0</v>
      </c>
      <c r="J1014" s="42" t="n">
        <f aca="false">IF($M1014="贷",$O1014,0)</f>
        <v>0</v>
      </c>
      <c r="K1014" s="48" t="str">
        <f aca="false">IF($H1014="","",购销流水!$E258)</f>
        <v/>
      </c>
      <c r="L1014" s="66" t="str">
        <f aca="false">IF(购销流水!$D258="","",IFERROR(INDEX(记账规则!$A$6:$N$9,MATCH(购销流水!$D258,记账规则!$A$6:$A$9,0),3),""))</f>
        <v/>
      </c>
      <c r="M1014" s="66" t="str">
        <f aca="false">IF($L1014="","",IFERROR(INDEX(记账规则!$A$6:$N$9,MATCH(购销流水!$D258,记账规则!$A$6:$A$9,0),4),""))</f>
        <v/>
      </c>
      <c r="N1014" s="66" t="str">
        <f aca="false">IF($L1014="","",IFERROR(INDEX(记账规则!$A$6:$N$9,MATCH(购销流水!$D258,记账规则!$A$6:$A$9,0),5),""))</f>
        <v/>
      </c>
      <c r="O1014" s="67" t="n">
        <f aca="false">IF($H1014="",0,ROUND(IF($N1014="成本金额",N(购销流水!$W258),IF($N1014="金额",N(购销流水!$Q258),0)),2))</f>
        <v>0</v>
      </c>
      <c r="P1014" s="64" t="str">
        <f aca="false">IF(AND($H1014&lt;&gt;"",ROUND($O1014,2)&lt;&gt;0),"有","")</f>
        <v/>
      </c>
    </row>
    <row r="1015" customFormat="false" ht="15" hidden="true" customHeight="false" outlineLevel="0" collapsed="false">
      <c r="A1015" s="53" t="str">
        <f aca="false">IF($H1015="","",ROW()-5)</f>
        <v/>
      </c>
      <c r="B1015" s="64" t="s">
        <v>36</v>
      </c>
      <c r="C1015" s="53" t="n">
        <v>258</v>
      </c>
      <c r="D1015" s="53" t="n">
        <v>2</v>
      </c>
      <c r="E1015" s="65" t="str">
        <f aca="false">IF($H1015="","",购销流水!$B258)</f>
        <v/>
      </c>
      <c r="F1015" s="55" t="str">
        <f aca="false">IF($H1015="","",购销流水!$C258)</f>
        <v/>
      </c>
      <c r="G1015" s="48" t="str">
        <f aca="false">IF($H1015="","",购销流水!$N258)</f>
        <v/>
      </c>
      <c r="H1015" s="10" t="str">
        <f aca="false">IF($L1015="","",IF($L1015="@成本",购销流水!$U258,IF($L1015="@收入",购销流水!$T258,IF($L1015="@存货",购销流水!$S258,IF($L1015="@结算",购销流水!$R258,$L1015)))))</f>
        <v/>
      </c>
      <c r="I1015" s="42" t="n">
        <f aca="false">IF($M1015="借",$O1015,0)</f>
        <v>0</v>
      </c>
      <c r="J1015" s="42" t="n">
        <f aca="false">IF($M1015="贷",$O1015,0)</f>
        <v>0</v>
      </c>
      <c r="K1015" s="48" t="str">
        <f aca="false">IF($H1015="","",购销流水!$E258)</f>
        <v/>
      </c>
      <c r="L1015" s="66" t="str">
        <f aca="false">IF(购销流水!$D258="","",IFERROR(INDEX(记账规则!$A$6:$N$9,MATCH(购销流水!$D258,记账规则!$A$6:$A$9,0),6),""))</f>
        <v/>
      </c>
      <c r="M1015" s="66" t="str">
        <f aca="false">IF($L1015="","",IFERROR(INDEX(记账规则!$A$6:$N$9,MATCH(购销流水!$D258,记账规则!$A$6:$A$9,0),7),""))</f>
        <v/>
      </c>
      <c r="N1015" s="66" t="str">
        <f aca="false">IF($L1015="","",IFERROR(INDEX(记账规则!$A$6:$N$9,MATCH(购销流水!$D258,记账规则!$A$6:$A$9,0),8),""))</f>
        <v/>
      </c>
      <c r="O1015" s="67" t="n">
        <f aca="false">IF($H1015="",0,ROUND(IF($N1015="成本金额",N(购销流水!$W258),IF($N1015="金额",N(购销流水!$Q258),0)),2))</f>
        <v>0</v>
      </c>
      <c r="P1015" s="64" t="str">
        <f aca="false">IF(AND($H1015&lt;&gt;"",ROUND($O1015,2)&lt;&gt;0),"有","")</f>
        <v/>
      </c>
    </row>
    <row r="1016" customFormat="false" ht="15" hidden="true" customHeight="false" outlineLevel="0" collapsed="false">
      <c r="A1016" s="53" t="str">
        <f aca="false">IF($H1016="","",ROW()-5)</f>
        <v/>
      </c>
      <c r="B1016" s="64" t="s">
        <v>36</v>
      </c>
      <c r="C1016" s="53" t="n">
        <v>258</v>
      </c>
      <c r="D1016" s="53" t="n">
        <v>3</v>
      </c>
      <c r="E1016" s="65" t="str">
        <f aca="false">IF($H1016="","",购销流水!$B258)</f>
        <v/>
      </c>
      <c r="F1016" s="55" t="str">
        <f aca="false">IF($H1016="","",购销流水!$C258)</f>
        <v/>
      </c>
      <c r="G1016" s="48" t="str">
        <f aca="false">IF($H1016="","",购销流水!$N258)</f>
        <v/>
      </c>
      <c r="H1016" s="10" t="str">
        <f aca="false">IF($L1016="","",IF($L1016="@成本",购销流水!$U258,IF($L1016="@收入",购销流水!$T258,IF($L1016="@存货",购销流水!$S258,IF($L1016="@结算",购销流水!$R258,$L1016)))))</f>
        <v/>
      </c>
      <c r="I1016" s="42" t="n">
        <f aca="false">IF($M1016="借",$O1016,0)</f>
        <v>0</v>
      </c>
      <c r="J1016" s="42" t="n">
        <f aca="false">IF($M1016="贷",$O1016,0)</f>
        <v>0</v>
      </c>
      <c r="K1016" s="48" t="str">
        <f aca="false">IF($H1016="","",购销流水!$E258)</f>
        <v/>
      </c>
      <c r="L1016" s="66" t="str">
        <f aca="false">IF(购销流水!$D258="","",IFERROR(INDEX(记账规则!$A$6:$N$9,MATCH(购销流水!$D258,记账规则!$A$6:$A$9,0),9),""))</f>
        <v/>
      </c>
      <c r="M1016" s="66" t="str">
        <f aca="false">IF($L1016="","",IFERROR(INDEX(记账规则!$A$6:$N$9,MATCH(购销流水!$D258,记账规则!$A$6:$A$9,0),10),""))</f>
        <v/>
      </c>
      <c r="N1016" s="66" t="str">
        <f aca="false">IF($L1016="","",IFERROR(INDEX(记账规则!$A$6:$N$9,MATCH(购销流水!$D258,记账规则!$A$6:$A$9,0),11),""))</f>
        <v/>
      </c>
      <c r="O1016" s="67" t="n">
        <f aca="false">IF($H1016="",0,ROUND(IF($N1016="成本金额",N(购销流水!$W258),IF($N1016="金额",N(购销流水!$Q258),0)),2))</f>
        <v>0</v>
      </c>
      <c r="P1016" s="64" t="str">
        <f aca="false">IF(AND($H1016&lt;&gt;"",ROUND($O1016,2)&lt;&gt;0),"有","")</f>
        <v/>
      </c>
    </row>
    <row r="1017" customFormat="false" ht="15" hidden="true" customHeight="false" outlineLevel="0" collapsed="false">
      <c r="A1017" s="53" t="str">
        <f aca="false">IF($H1017="","",ROW()-5)</f>
        <v/>
      </c>
      <c r="B1017" s="64" t="s">
        <v>36</v>
      </c>
      <c r="C1017" s="53" t="n">
        <v>258</v>
      </c>
      <c r="D1017" s="53" t="n">
        <v>4</v>
      </c>
      <c r="E1017" s="65" t="str">
        <f aca="false">IF($H1017="","",购销流水!$B258)</f>
        <v/>
      </c>
      <c r="F1017" s="55" t="str">
        <f aca="false">IF($H1017="","",购销流水!$C258)</f>
        <v/>
      </c>
      <c r="G1017" s="48" t="str">
        <f aca="false">IF($H1017="","",购销流水!$N258)</f>
        <v/>
      </c>
      <c r="H1017" s="10" t="str">
        <f aca="false">IF($L1017="","",IF($L1017="@成本",购销流水!$U258,IF($L1017="@收入",购销流水!$T258,IF($L1017="@存货",购销流水!$S258,IF($L1017="@结算",购销流水!$R258,$L1017)))))</f>
        <v/>
      </c>
      <c r="I1017" s="42" t="n">
        <f aca="false">IF($M1017="借",$O1017,0)</f>
        <v>0</v>
      </c>
      <c r="J1017" s="42" t="n">
        <f aca="false">IF($M1017="贷",$O1017,0)</f>
        <v>0</v>
      </c>
      <c r="K1017" s="48" t="str">
        <f aca="false">IF($H1017="","",购销流水!$E258)</f>
        <v/>
      </c>
      <c r="L1017" s="66" t="str">
        <f aca="false">IF(购销流水!$D258="","",IFERROR(INDEX(记账规则!$A$6:$N$9,MATCH(购销流水!$D258,记账规则!$A$6:$A$9,0),12),""))</f>
        <v/>
      </c>
      <c r="M1017" s="66" t="str">
        <f aca="false">IF($L1017="","",IFERROR(INDEX(记账规则!$A$6:$N$9,MATCH(购销流水!$D258,记账规则!$A$6:$A$9,0),13),""))</f>
        <v/>
      </c>
      <c r="N1017" s="66" t="str">
        <f aca="false">IF($L1017="","",IFERROR(INDEX(记账规则!$A$6:$N$9,MATCH(购销流水!$D258,记账规则!$A$6:$A$9,0),14),""))</f>
        <v/>
      </c>
      <c r="O1017" s="67" t="n">
        <f aca="false">IF($H1017="",0,ROUND(IF($N1017="成本金额",N(购销流水!$W258),IF($N1017="金额",N(购销流水!$Q258),0)),2))</f>
        <v>0</v>
      </c>
      <c r="P1017" s="64" t="str">
        <f aca="false">IF(AND($H1017&lt;&gt;"",ROUND($O1017,2)&lt;&gt;0),"有","")</f>
        <v/>
      </c>
    </row>
    <row r="1018" customFormat="false" ht="15" hidden="true" customHeight="false" outlineLevel="0" collapsed="false">
      <c r="A1018" s="53" t="str">
        <f aca="false">IF($H1018="","",ROW()-5)</f>
        <v/>
      </c>
      <c r="B1018" s="64" t="s">
        <v>36</v>
      </c>
      <c r="C1018" s="53" t="n">
        <v>259</v>
      </c>
      <c r="D1018" s="53" t="n">
        <v>1</v>
      </c>
      <c r="E1018" s="65" t="str">
        <f aca="false">IF($H1018="","",购销流水!$B259)</f>
        <v/>
      </c>
      <c r="F1018" s="55" t="str">
        <f aca="false">IF($H1018="","",购销流水!$C259)</f>
        <v/>
      </c>
      <c r="G1018" s="48" t="str">
        <f aca="false">IF($H1018="","",购销流水!$N259)</f>
        <v/>
      </c>
      <c r="H1018" s="10" t="str">
        <f aca="false">IF($L1018="","",IF($L1018="@成本",购销流水!$U259,IF($L1018="@收入",购销流水!$T259,IF($L1018="@存货",购销流水!$S259,IF($L1018="@结算",购销流水!$R259,$L1018)))))</f>
        <v/>
      </c>
      <c r="I1018" s="42" t="n">
        <f aca="false">IF($M1018="借",$O1018,0)</f>
        <v>0</v>
      </c>
      <c r="J1018" s="42" t="n">
        <f aca="false">IF($M1018="贷",$O1018,0)</f>
        <v>0</v>
      </c>
      <c r="K1018" s="48" t="str">
        <f aca="false">IF($H1018="","",购销流水!$E259)</f>
        <v/>
      </c>
      <c r="L1018" s="66" t="str">
        <f aca="false">IF(购销流水!$D259="","",IFERROR(INDEX(记账规则!$A$6:$N$9,MATCH(购销流水!$D259,记账规则!$A$6:$A$9,0),3),""))</f>
        <v/>
      </c>
      <c r="M1018" s="66" t="str">
        <f aca="false">IF($L1018="","",IFERROR(INDEX(记账规则!$A$6:$N$9,MATCH(购销流水!$D259,记账规则!$A$6:$A$9,0),4),""))</f>
        <v/>
      </c>
      <c r="N1018" s="66" t="str">
        <f aca="false">IF($L1018="","",IFERROR(INDEX(记账规则!$A$6:$N$9,MATCH(购销流水!$D259,记账规则!$A$6:$A$9,0),5),""))</f>
        <v/>
      </c>
      <c r="O1018" s="67" t="n">
        <f aca="false">IF($H1018="",0,ROUND(IF($N1018="成本金额",N(购销流水!$W259),IF($N1018="金额",N(购销流水!$Q259),0)),2))</f>
        <v>0</v>
      </c>
      <c r="P1018" s="64" t="str">
        <f aca="false">IF(AND($H1018&lt;&gt;"",ROUND($O1018,2)&lt;&gt;0),"有","")</f>
        <v/>
      </c>
    </row>
    <row r="1019" customFormat="false" ht="15" hidden="true" customHeight="false" outlineLevel="0" collapsed="false">
      <c r="A1019" s="53" t="str">
        <f aca="false">IF($H1019="","",ROW()-5)</f>
        <v/>
      </c>
      <c r="B1019" s="64" t="s">
        <v>36</v>
      </c>
      <c r="C1019" s="53" t="n">
        <v>259</v>
      </c>
      <c r="D1019" s="53" t="n">
        <v>2</v>
      </c>
      <c r="E1019" s="65" t="str">
        <f aca="false">IF($H1019="","",购销流水!$B259)</f>
        <v/>
      </c>
      <c r="F1019" s="55" t="str">
        <f aca="false">IF($H1019="","",购销流水!$C259)</f>
        <v/>
      </c>
      <c r="G1019" s="48" t="str">
        <f aca="false">IF($H1019="","",购销流水!$N259)</f>
        <v/>
      </c>
      <c r="H1019" s="10" t="str">
        <f aca="false">IF($L1019="","",IF($L1019="@成本",购销流水!$U259,IF($L1019="@收入",购销流水!$T259,IF($L1019="@存货",购销流水!$S259,IF($L1019="@结算",购销流水!$R259,$L1019)))))</f>
        <v/>
      </c>
      <c r="I1019" s="42" t="n">
        <f aca="false">IF($M1019="借",$O1019,0)</f>
        <v>0</v>
      </c>
      <c r="J1019" s="42" t="n">
        <f aca="false">IF($M1019="贷",$O1019,0)</f>
        <v>0</v>
      </c>
      <c r="K1019" s="48" t="str">
        <f aca="false">IF($H1019="","",购销流水!$E259)</f>
        <v/>
      </c>
      <c r="L1019" s="66" t="str">
        <f aca="false">IF(购销流水!$D259="","",IFERROR(INDEX(记账规则!$A$6:$N$9,MATCH(购销流水!$D259,记账规则!$A$6:$A$9,0),6),""))</f>
        <v/>
      </c>
      <c r="M1019" s="66" t="str">
        <f aca="false">IF($L1019="","",IFERROR(INDEX(记账规则!$A$6:$N$9,MATCH(购销流水!$D259,记账规则!$A$6:$A$9,0),7),""))</f>
        <v/>
      </c>
      <c r="N1019" s="66" t="str">
        <f aca="false">IF($L1019="","",IFERROR(INDEX(记账规则!$A$6:$N$9,MATCH(购销流水!$D259,记账规则!$A$6:$A$9,0),8),""))</f>
        <v/>
      </c>
      <c r="O1019" s="67" t="n">
        <f aca="false">IF($H1019="",0,ROUND(IF($N1019="成本金额",N(购销流水!$W259),IF($N1019="金额",N(购销流水!$Q259),0)),2))</f>
        <v>0</v>
      </c>
      <c r="P1019" s="64" t="str">
        <f aca="false">IF(AND($H1019&lt;&gt;"",ROUND($O1019,2)&lt;&gt;0),"有","")</f>
        <v/>
      </c>
    </row>
    <row r="1020" customFormat="false" ht="15" hidden="true" customHeight="false" outlineLevel="0" collapsed="false">
      <c r="A1020" s="53" t="str">
        <f aca="false">IF($H1020="","",ROW()-5)</f>
        <v/>
      </c>
      <c r="B1020" s="64" t="s">
        <v>36</v>
      </c>
      <c r="C1020" s="53" t="n">
        <v>259</v>
      </c>
      <c r="D1020" s="53" t="n">
        <v>3</v>
      </c>
      <c r="E1020" s="65" t="str">
        <f aca="false">IF($H1020="","",购销流水!$B259)</f>
        <v/>
      </c>
      <c r="F1020" s="55" t="str">
        <f aca="false">IF($H1020="","",购销流水!$C259)</f>
        <v/>
      </c>
      <c r="G1020" s="48" t="str">
        <f aca="false">IF($H1020="","",购销流水!$N259)</f>
        <v/>
      </c>
      <c r="H1020" s="10" t="str">
        <f aca="false">IF($L1020="","",IF($L1020="@成本",购销流水!$U259,IF($L1020="@收入",购销流水!$T259,IF($L1020="@存货",购销流水!$S259,IF($L1020="@结算",购销流水!$R259,$L1020)))))</f>
        <v/>
      </c>
      <c r="I1020" s="42" t="n">
        <f aca="false">IF($M1020="借",$O1020,0)</f>
        <v>0</v>
      </c>
      <c r="J1020" s="42" t="n">
        <f aca="false">IF($M1020="贷",$O1020,0)</f>
        <v>0</v>
      </c>
      <c r="K1020" s="48" t="str">
        <f aca="false">IF($H1020="","",购销流水!$E259)</f>
        <v/>
      </c>
      <c r="L1020" s="66" t="str">
        <f aca="false">IF(购销流水!$D259="","",IFERROR(INDEX(记账规则!$A$6:$N$9,MATCH(购销流水!$D259,记账规则!$A$6:$A$9,0),9),""))</f>
        <v/>
      </c>
      <c r="M1020" s="66" t="str">
        <f aca="false">IF($L1020="","",IFERROR(INDEX(记账规则!$A$6:$N$9,MATCH(购销流水!$D259,记账规则!$A$6:$A$9,0),10),""))</f>
        <v/>
      </c>
      <c r="N1020" s="66" t="str">
        <f aca="false">IF($L1020="","",IFERROR(INDEX(记账规则!$A$6:$N$9,MATCH(购销流水!$D259,记账规则!$A$6:$A$9,0),11),""))</f>
        <v/>
      </c>
      <c r="O1020" s="67" t="n">
        <f aca="false">IF($H1020="",0,ROUND(IF($N1020="成本金额",N(购销流水!$W259),IF($N1020="金额",N(购销流水!$Q259),0)),2))</f>
        <v>0</v>
      </c>
      <c r="P1020" s="64" t="str">
        <f aca="false">IF(AND($H1020&lt;&gt;"",ROUND($O1020,2)&lt;&gt;0),"有","")</f>
        <v/>
      </c>
    </row>
    <row r="1021" customFormat="false" ht="15" hidden="true" customHeight="false" outlineLevel="0" collapsed="false">
      <c r="A1021" s="53" t="str">
        <f aca="false">IF($H1021="","",ROW()-5)</f>
        <v/>
      </c>
      <c r="B1021" s="64" t="s">
        <v>36</v>
      </c>
      <c r="C1021" s="53" t="n">
        <v>259</v>
      </c>
      <c r="D1021" s="53" t="n">
        <v>4</v>
      </c>
      <c r="E1021" s="65" t="str">
        <f aca="false">IF($H1021="","",购销流水!$B259)</f>
        <v/>
      </c>
      <c r="F1021" s="55" t="str">
        <f aca="false">IF($H1021="","",购销流水!$C259)</f>
        <v/>
      </c>
      <c r="G1021" s="48" t="str">
        <f aca="false">IF($H1021="","",购销流水!$N259)</f>
        <v/>
      </c>
      <c r="H1021" s="10" t="str">
        <f aca="false">IF($L1021="","",IF($L1021="@成本",购销流水!$U259,IF($L1021="@收入",购销流水!$T259,IF($L1021="@存货",购销流水!$S259,IF($L1021="@结算",购销流水!$R259,$L1021)))))</f>
        <v/>
      </c>
      <c r="I1021" s="42" t="n">
        <f aca="false">IF($M1021="借",$O1021,0)</f>
        <v>0</v>
      </c>
      <c r="J1021" s="42" t="n">
        <f aca="false">IF($M1021="贷",$O1021,0)</f>
        <v>0</v>
      </c>
      <c r="K1021" s="48" t="str">
        <f aca="false">IF($H1021="","",购销流水!$E259)</f>
        <v/>
      </c>
      <c r="L1021" s="66" t="str">
        <f aca="false">IF(购销流水!$D259="","",IFERROR(INDEX(记账规则!$A$6:$N$9,MATCH(购销流水!$D259,记账规则!$A$6:$A$9,0),12),""))</f>
        <v/>
      </c>
      <c r="M1021" s="66" t="str">
        <f aca="false">IF($L1021="","",IFERROR(INDEX(记账规则!$A$6:$N$9,MATCH(购销流水!$D259,记账规则!$A$6:$A$9,0),13),""))</f>
        <v/>
      </c>
      <c r="N1021" s="66" t="str">
        <f aca="false">IF($L1021="","",IFERROR(INDEX(记账规则!$A$6:$N$9,MATCH(购销流水!$D259,记账规则!$A$6:$A$9,0),14),""))</f>
        <v/>
      </c>
      <c r="O1021" s="67" t="n">
        <f aca="false">IF($H1021="",0,ROUND(IF($N1021="成本金额",N(购销流水!$W259),IF($N1021="金额",N(购销流水!$Q259),0)),2))</f>
        <v>0</v>
      </c>
      <c r="P1021" s="64" t="str">
        <f aca="false">IF(AND($H1021&lt;&gt;"",ROUND($O1021,2)&lt;&gt;0),"有","")</f>
        <v/>
      </c>
    </row>
    <row r="1022" customFormat="false" ht="15" hidden="true" customHeight="false" outlineLevel="0" collapsed="false">
      <c r="A1022" s="53" t="str">
        <f aca="false">IF($H1022="","",ROW()-5)</f>
        <v/>
      </c>
      <c r="B1022" s="64" t="s">
        <v>36</v>
      </c>
      <c r="C1022" s="53" t="n">
        <v>260</v>
      </c>
      <c r="D1022" s="53" t="n">
        <v>1</v>
      </c>
      <c r="E1022" s="65" t="str">
        <f aca="false">IF($H1022="","",购销流水!$B260)</f>
        <v/>
      </c>
      <c r="F1022" s="55" t="str">
        <f aca="false">IF($H1022="","",购销流水!$C260)</f>
        <v/>
      </c>
      <c r="G1022" s="48" t="str">
        <f aca="false">IF($H1022="","",购销流水!$N260)</f>
        <v/>
      </c>
      <c r="H1022" s="10" t="str">
        <f aca="false">IF($L1022="","",IF($L1022="@成本",购销流水!$U260,IF($L1022="@收入",购销流水!$T260,IF($L1022="@存货",购销流水!$S260,IF($L1022="@结算",购销流水!$R260,$L1022)))))</f>
        <v/>
      </c>
      <c r="I1022" s="42" t="n">
        <f aca="false">IF($M1022="借",$O1022,0)</f>
        <v>0</v>
      </c>
      <c r="J1022" s="42" t="n">
        <f aca="false">IF($M1022="贷",$O1022,0)</f>
        <v>0</v>
      </c>
      <c r="K1022" s="48" t="str">
        <f aca="false">IF($H1022="","",购销流水!$E260)</f>
        <v/>
      </c>
      <c r="L1022" s="66" t="str">
        <f aca="false">IF(购销流水!$D260="","",IFERROR(INDEX(记账规则!$A$6:$N$9,MATCH(购销流水!$D260,记账规则!$A$6:$A$9,0),3),""))</f>
        <v/>
      </c>
      <c r="M1022" s="66" t="str">
        <f aca="false">IF($L1022="","",IFERROR(INDEX(记账规则!$A$6:$N$9,MATCH(购销流水!$D260,记账规则!$A$6:$A$9,0),4),""))</f>
        <v/>
      </c>
      <c r="N1022" s="66" t="str">
        <f aca="false">IF($L1022="","",IFERROR(INDEX(记账规则!$A$6:$N$9,MATCH(购销流水!$D260,记账规则!$A$6:$A$9,0),5),""))</f>
        <v/>
      </c>
      <c r="O1022" s="67" t="n">
        <f aca="false">IF($H1022="",0,ROUND(IF($N1022="成本金额",N(购销流水!$W260),IF($N1022="金额",N(购销流水!$Q260),0)),2))</f>
        <v>0</v>
      </c>
      <c r="P1022" s="64" t="str">
        <f aca="false">IF(AND($H1022&lt;&gt;"",ROUND($O1022,2)&lt;&gt;0),"有","")</f>
        <v/>
      </c>
    </row>
    <row r="1023" customFormat="false" ht="15" hidden="true" customHeight="false" outlineLevel="0" collapsed="false">
      <c r="A1023" s="53" t="str">
        <f aca="false">IF($H1023="","",ROW()-5)</f>
        <v/>
      </c>
      <c r="B1023" s="64" t="s">
        <v>36</v>
      </c>
      <c r="C1023" s="53" t="n">
        <v>260</v>
      </c>
      <c r="D1023" s="53" t="n">
        <v>2</v>
      </c>
      <c r="E1023" s="65" t="str">
        <f aca="false">IF($H1023="","",购销流水!$B260)</f>
        <v/>
      </c>
      <c r="F1023" s="55" t="str">
        <f aca="false">IF($H1023="","",购销流水!$C260)</f>
        <v/>
      </c>
      <c r="G1023" s="48" t="str">
        <f aca="false">IF($H1023="","",购销流水!$N260)</f>
        <v/>
      </c>
      <c r="H1023" s="10" t="str">
        <f aca="false">IF($L1023="","",IF($L1023="@成本",购销流水!$U260,IF($L1023="@收入",购销流水!$T260,IF($L1023="@存货",购销流水!$S260,IF($L1023="@结算",购销流水!$R260,$L1023)))))</f>
        <v/>
      </c>
      <c r="I1023" s="42" t="n">
        <f aca="false">IF($M1023="借",$O1023,0)</f>
        <v>0</v>
      </c>
      <c r="J1023" s="42" t="n">
        <f aca="false">IF($M1023="贷",$O1023,0)</f>
        <v>0</v>
      </c>
      <c r="K1023" s="48" t="str">
        <f aca="false">IF($H1023="","",购销流水!$E260)</f>
        <v/>
      </c>
      <c r="L1023" s="66" t="str">
        <f aca="false">IF(购销流水!$D260="","",IFERROR(INDEX(记账规则!$A$6:$N$9,MATCH(购销流水!$D260,记账规则!$A$6:$A$9,0),6),""))</f>
        <v/>
      </c>
      <c r="M1023" s="66" t="str">
        <f aca="false">IF($L1023="","",IFERROR(INDEX(记账规则!$A$6:$N$9,MATCH(购销流水!$D260,记账规则!$A$6:$A$9,0),7),""))</f>
        <v/>
      </c>
      <c r="N1023" s="66" t="str">
        <f aca="false">IF($L1023="","",IFERROR(INDEX(记账规则!$A$6:$N$9,MATCH(购销流水!$D260,记账规则!$A$6:$A$9,0),8),""))</f>
        <v/>
      </c>
      <c r="O1023" s="67" t="n">
        <f aca="false">IF($H1023="",0,ROUND(IF($N1023="成本金额",N(购销流水!$W260),IF($N1023="金额",N(购销流水!$Q260),0)),2))</f>
        <v>0</v>
      </c>
      <c r="P1023" s="64" t="str">
        <f aca="false">IF(AND($H1023&lt;&gt;"",ROUND($O1023,2)&lt;&gt;0),"有","")</f>
        <v/>
      </c>
    </row>
    <row r="1024" customFormat="false" ht="15" hidden="true" customHeight="false" outlineLevel="0" collapsed="false">
      <c r="A1024" s="53" t="str">
        <f aca="false">IF($H1024="","",ROW()-5)</f>
        <v/>
      </c>
      <c r="B1024" s="64" t="s">
        <v>36</v>
      </c>
      <c r="C1024" s="53" t="n">
        <v>260</v>
      </c>
      <c r="D1024" s="53" t="n">
        <v>3</v>
      </c>
      <c r="E1024" s="65" t="str">
        <f aca="false">IF($H1024="","",购销流水!$B260)</f>
        <v/>
      </c>
      <c r="F1024" s="55" t="str">
        <f aca="false">IF($H1024="","",购销流水!$C260)</f>
        <v/>
      </c>
      <c r="G1024" s="48" t="str">
        <f aca="false">IF($H1024="","",购销流水!$N260)</f>
        <v/>
      </c>
      <c r="H1024" s="10" t="str">
        <f aca="false">IF($L1024="","",IF($L1024="@成本",购销流水!$U260,IF($L1024="@收入",购销流水!$T260,IF($L1024="@存货",购销流水!$S260,IF($L1024="@结算",购销流水!$R260,$L1024)))))</f>
        <v/>
      </c>
      <c r="I1024" s="42" t="n">
        <f aca="false">IF($M1024="借",$O1024,0)</f>
        <v>0</v>
      </c>
      <c r="J1024" s="42" t="n">
        <f aca="false">IF($M1024="贷",$O1024,0)</f>
        <v>0</v>
      </c>
      <c r="K1024" s="48" t="str">
        <f aca="false">IF($H1024="","",购销流水!$E260)</f>
        <v/>
      </c>
      <c r="L1024" s="66" t="str">
        <f aca="false">IF(购销流水!$D260="","",IFERROR(INDEX(记账规则!$A$6:$N$9,MATCH(购销流水!$D260,记账规则!$A$6:$A$9,0),9),""))</f>
        <v/>
      </c>
      <c r="M1024" s="66" t="str">
        <f aca="false">IF($L1024="","",IFERROR(INDEX(记账规则!$A$6:$N$9,MATCH(购销流水!$D260,记账规则!$A$6:$A$9,0),10),""))</f>
        <v/>
      </c>
      <c r="N1024" s="66" t="str">
        <f aca="false">IF($L1024="","",IFERROR(INDEX(记账规则!$A$6:$N$9,MATCH(购销流水!$D260,记账规则!$A$6:$A$9,0),11),""))</f>
        <v/>
      </c>
      <c r="O1024" s="67" t="n">
        <f aca="false">IF($H1024="",0,ROUND(IF($N1024="成本金额",N(购销流水!$W260),IF($N1024="金额",N(购销流水!$Q260),0)),2))</f>
        <v>0</v>
      </c>
      <c r="P1024" s="64" t="str">
        <f aca="false">IF(AND($H1024&lt;&gt;"",ROUND($O1024,2)&lt;&gt;0),"有","")</f>
        <v/>
      </c>
    </row>
    <row r="1025" customFormat="false" ht="15" hidden="true" customHeight="false" outlineLevel="0" collapsed="false">
      <c r="A1025" s="53" t="str">
        <f aca="false">IF($H1025="","",ROW()-5)</f>
        <v/>
      </c>
      <c r="B1025" s="64" t="s">
        <v>36</v>
      </c>
      <c r="C1025" s="53" t="n">
        <v>260</v>
      </c>
      <c r="D1025" s="53" t="n">
        <v>4</v>
      </c>
      <c r="E1025" s="65" t="str">
        <f aca="false">IF($H1025="","",购销流水!$B260)</f>
        <v/>
      </c>
      <c r="F1025" s="55" t="str">
        <f aca="false">IF($H1025="","",购销流水!$C260)</f>
        <v/>
      </c>
      <c r="G1025" s="48" t="str">
        <f aca="false">IF($H1025="","",购销流水!$N260)</f>
        <v/>
      </c>
      <c r="H1025" s="10" t="str">
        <f aca="false">IF($L1025="","",IF($L1025="@成本",购销流水!$U260,IF($L1025="@收入",购销流水!$T260,IF($L1025="@存货",购销流水!$S260,IF($L1025="@结算",购销流水!$R260,$L1025)))))</f>
        <v/>
      </c>
      <c r="I1025" s="42" t="n">
        <f aca="false">IF($M1025="借",$O1025,0)</f>
        <v>0</v>
      </c>
      <c r="J1025" s="42" t="n">
        <f aca="false">IF($M1025="贷",$O1025,0)</f>
        <v>0</v>
      </c>
      <c r="K1025" s="48" t="str">
        <f aca="false">IF($H1025="","",购销流水!$E260)</f>
        <v/>
      </c>
      <c r="L1025" s="66" t="str">
        <f aca="false">IF(购销流水!$D260="","",IFERROR(INDEX(记账规则!$A$6:$N$9,MATCH(购销流水!$D260,记账规则!$A$6:$A$9,0),12),""))</f>
        <v/>
      </c>
      <c r="M1025" s="66" t="str">
        <f aca="false">IF($L1025="","",IFERROR(INDEX(记账规则!$A$6:$N$9,MATCH(购销流水!$D260,记账规则!$A$6:$A$9,0),13),""))</f>
        <v/>
      </c>
      <c r="N1025" s="66" t="str">
        <f aca="false">IF($L1025="","",IFERROR(INDEX(记账规则!$A$6:$N$9,MATCH(购销流水!$D260,记账规则!$A$6:$A$9,0),14),""))</f>
        <v/>
      </c>
      <c r="O1025" s="67" t="n">
        <f aca="false">IF($H1025="",0,ROUND(IF($N1025="成本金额",N(购销流水!$W260),IF($N1025="金额",N(购销流水!$Q260),0)),2))</f>
        <v>0</v>
      </c>
      <c r="P1025" s="64" t="str">
        <f aca="false">IF(AND($H1025&lt;&gt;"",ROUND($O1025,2)&lt;&gt;0),"有","")</f>
        <v/>
      </c>
    </row>
    <row r="1026" customFormat="false" ht="15" hidden="true" customHeight="false" outlineLevel="0" collapsed="false">
      <c r="A1026" s="53" t="str">
        <f aca="false">IF($H1026="","",ROW()-5)</f>
        <v/>
      </c>
      <c r="B1026" s="64" t="s">
        <v>36</v>
      </c>
      <c r="C1026" s="53" t="n">
        <v>261</v>
      </c>
      <c r="D1026" s="53" t="n">
        <v>1</v>
      </c>
      <c r="E1026" s="65" t="str">
        <f aca="false">IF($H1026="","",购销流水!$B261)</f>
        <v/>
      </c>
      <c r="F1026" s="55" t="str">
        <f aca="false">IF($H1026="","",购销流水!$C261)</f>
        <v/>
      </c>
      <c r="G1026" s="48" t="str">
        <f aca="false">IF($H1026="","",购销流水!$N261)</f>
        <v/>
      </c>
      <c r="H1026" s="10" t="str">
        <f aca="false">IF($L1026="","",IF($L1026="@成本",购销流水!$U261,IF($L1026="@收入",购销流水!$T261,IF($L1026="@存货",购销流水!$S261,IF($L1026="@结算",购销流水!$R261,$L1026)))))</f>
        <v/>
      </c>
      <c r="I1026" s="42" t="n">
        <f aca="false">IF($M1026="借",$O1026,0)</f>
        <v>0</v>
      </c>
      <c r="J1026" s="42" t="n">
        <f aca="false">IF($M1026="贷",$O1026,0)</f>
        <v>0</v>
      </c>
      <c r="K1026" s="48" t="str">
        <f aca="false">IF($H1026="","",购销流水!$E261)</f>
        <v/>
      </c>
      <c r="L1026" s="66" t="str">
        <f aca="false">IF(购销流水!$D261="","",IFERROR(INDEX(记账规则!$A$6:$N$9,MATCH(购销流水!$D261,记账规则!$A$6:$A$9,0),3),""))</f>
        <v/>
      </c>
      <c r="M1026" s="66" t="str">
        <f aca="false">IF($L1026="","",IFERROR(INDEX(记账规则!$A$6:$N$9,MATCH(购销流水!$D261,记账规则!$A$6:$A$9,0),4),""))</f>
        <v/>
      </c>
      <c r="N1026" s="66" t="str">
        <f aca="false">IF($L1026="","",IFERROR(INDEX(记账规则!$A$6:$N$9,MATCH(购销流水!$D261,记账规则!$A$6:$A$9,0),5),""))</f>
        <v/>
      </c>
      <c r="O1026" s="67" t="n">
        <f aca="false">IF($H1026="",0,ROUND(IF($N1026="成本金额",N(购销流水!$W261),IF($N1026="金额",N(购销流水!$Q261),0)),2))</f>
        <v>0</v>
      </c>
      <c r="P1026" s="64" t="str">
        <f aca="false">IF(AND($H1026&lt;&gt;"",ROUND($O1026,2)&lt;&gt;0),"有","")</f>
        <v/>
      </c>
    </row>
    <row r="1027" customFormat="false" ht="15" hidden="true" customHeight="false" outlineLevel="0" collapsed="false">
      <c r="A1027" s="53" t="str">
        <f aca="false">IF($H1027="","",ROW()-5)</f>
        <v/>
      </c>
      <c r="B1027" s="64" t="s">
        <v>36</v>
      </c>
      <c r="C1027" s="53" t="n">
        <v>261</v>
      </c>
      <c r="D1027" s="53" t="n">
        <v>2</v>
      </c>
      <c r="E1027" s="65" t="str">
        <f aca="false">IF($H1027="","",购销流水!$B261)</f>
        <v/>
      </c>
      <c r="F1027" s="55" t="str">
        <f aca="false">IF($H1027="","",购销流水!$C261)</f>
        <v/>
      </c>
      <c r="G1027" s="48" t="str">
        <f aca="false">IF($H1027="","",购销流水!$N261)</f>
        <v/>
      </c>
      <c r="H1027" s="10" t="str">
        <f aca="false">IF($L1027="","",IF($L1027="@成本",购销流水!$U261,IF($L1027="@收入",购销流水!$T261,IF($L1027="@存货",购销流水!$S261,IF($L1027="@结算",购销流水!$R261,$L1027)))))</f>
        <v/>
      </c>
      <c r="I1027" s="42" t="n">
        <f aca="false">IF($M1027="借",$O1027,0)</f>
        <v>0</v>
      </c>
      <c r="J1027" s="42" t="n">
        <f aca="false">IF($M1027="贷",$O1027,0)</f>
        <v>0</v>
      </c>
      <c r="K1027" s="48" t="str">
        <f aca="false">IF($H1027="","",购销流水!$E261)</f>
        <v/>
      </c>
      <c r="L1027" s="66" t="str">
        <f aca="false">IF(购销流水!$D261="","",IFERROR(INDEX(记账规则!$A$6:$N$9,MATCH(购销流水!$D261,记账规则!$A$6:$A$9,0),6),""))</f>
        <v/>
      </c>
      <c r="M1027" s="66" t="str">
        <f aca="false">IF($L1027="","",IFERROR(INDEX(记账规则!$A$6:$N$9,MATCH(购销流水!$D261,记账规则!$A$6:$A$9,0),7),""))</f>
        <v/>
      </c>
      <c r="N1027" s="66" t="str">
        <f aca="false">IF($L1027="","",IFERROR(INDEX(记账规则!$A$6:$N$9,MATCH(购销流水!$D261,记账规则!$A$6:$A$9,0),8),""))</f>
        <v/>
      </c>
      <c r="O1027" s="67" t="n">
        <f aca="false">IF($H1027="",0,ROUND(IF($N1027="成本金额",N(购销流水!$W261),IF($N1027="金额",N(购销流水!$Q261),0)),2))</f>
        <v>0</v>
      </c>
      <c r="P1027" s="64" t="str">
        <f aca="false">IF(AND($H1027&lt;&gt;"",ROUND($O1027,2)&lt;&gt;0),"有","")</f>
        <v/>
      </c>
    </row>
    <row r="1028" customFormat="false" ht="15" hidden="true" customHeight="false" outlineLevel="0" collapsed="false">
      <c r="A1028" s="53" t="str">
        <f aca="false">IF($H1028="","",ROW()-5)</f>
        <v/>
      </c>
      <c r="B1028" s="64" t="s">
        <v>36</v>
      </c>
      <c r="C1028" s="53" t="n">
        <v>261</v>
      </c>
      <c r="D1028" s="53" t="n">
        <v>3</v>
      </c>
      <c r="E1028" s="65" t="str">
        <f aca="false">IF($H1028="","",购销流水!$B261)</f>
        <v/>
      </c>
      <c r="F1028" s="55" t="str">
        <f aca="false">IF($H1028="","",购销流水!$C261)</f>
        <v/>
      </c>
      <c r="G1028" s="48" t="str">
        <f aca="false">IF($H1028="","",购销流水!$N261)</f>
        <v/>
      </c>
      <c r="H1028" s="10" t="str">
        <f aca="false">IF($L1028="","",IF($L1028="@成本",购销流水!$U261,IF($L1028="@收入",购销流水!$T261,IF($L1028="@存货",购销流水!$S261,IF($L1028="@结算",购销流水!$R261,$L1028)))))</f>
        <v/>
      </c>
      <c r="I1028" s="42" t="n">
        <f aca="false">IF($M1028="借",$O1028,0)</f>
        <v>0</v>
      </c>
      <c r="J1028" s="42" t="n">
        <f aca="false">IF($M1028="贷",$O1028,0)</f>
        <v>0</v>
      </c>
      <c r="K1028" s="48" t="str">
        <f aca="false">IF($H1028="","",购销流水!$E261)</f>
        <v/>
      </c>
      <c r="L1028" s="66" t="str">
        <f aca="false">IF(购销流水!$D261="","",IFERROR(INDEX(记账规则!$A$6:$N$9,MATCH(购销流水!$D261,记账规则!$A$6:$A$9,0),9),""))</f>
        <v/>
      </c>
      <c r="M1028" s="66" t="str">
        <f aca="false">IF($L1028="","",IFERROR(INDEX(记账规则!$A$6:$N$9,MATCH(购销流水!$D261,记账规则!$A$6:$A$9,0),10),""))</f>
        <v/>
      </c>
      <c r="N1028" s="66" t="str">
        <f aca="false">IF($L1028="","",IFERROR(INDEX(记账规则!$A$6:$N$9,MATCH(购销流水!$D261,记账规则!$A$6:$A$9,0),11),""))</f>
        <v/>
      </c>
      <c r="O1028" s="67" t="n">
        <f aca="false">IF($H1028="",0,ROUND(IF($N1028="成本金额",N(购销流水!$W261),IF($N1028="金额",N(购销流水!$Q261),0)),2))</f>
        <v>0</v>
      </c>
      <c r="P1028" s="64" t="str">
        <f aca="false">IF(AND($H1028&lt;&gt;"",ROUND($O1028,2)&lt;&gt;0),"有","")</f>
        <v/>
      </c>
    </row>
    <row r="1029" customFormat="false" ht="15" hidden="true" customHeight="false" outlineLevel="0" collapsed="false">
      <c r="A1029" s="53" t="str">
        <f aca="false">IF($H1029="","",ROW()-5)</f>
        <v/>
      </c>
      <c r="B1029" s="64" t="s">
        <v>36</v>
      </c>
      <c r="C1029" s="53" t="n">
        <v>261</v>
      </c>
      <c r="D1029" s="53" t="n">
        <v>4</v>
      </c>
      <c r="E1029" s="65" t="str">
        <f aca="false">IF($H1029="","",购销流水!$B261)</f>
        <v/>
      </c>
      <c r="F1029" s="55" t="str">
        <f aca="false">IF($H1029="","",购销流水!$C261)</f>
        <v/>
      </c>
      <c r="G1029" s="48" t="str">
        <f aca="false">IF($H1029="","",购销流水!$N261)</f>
        <v/>
      </c>
      <c r="H1029" s="10" t="str">
        <f aca="false">IF($L1029="","",IF($L1029="@成本",购销流水!$U261,IF($L1029="@收入",购销流水!$T261,IF($L1029="@存货",购销流水!$S261,IF($L1029="@结算",购销流水!$R261,$L1029)))))</f>
        <v/>
      </c>
      <c r="I1029" s="42" t="n">
        <f aca="false">IF($M1029="借",$O1029,0)</f>
        <v>0</v>
      </c>
      <c r="J1029" s="42" t="n">
        <f aca="false">IF($M1029="贷",$O1029,0)</f>
        <v>0</v>
      </c>
      <c r="K1029" s="48" t="str">
        <f aca="false">IF($H1029="","",购销流水!$E261)</f>
        <v/>
      </c>
      <c r="L1029" s="66" t="str">
        <f aca="false">IF(购销流水!$D261="","",IFERROR(INDEX(记账规则!$A$6:$N$9,MATCH(购销流水!$D261,记账规则!$A$6:$A$9,0),12),""))</f>
        <v/>
      </c>
      <c r="M1029" s="66" t="str">
        <f aca="false">IF($L1029="","",IFERROR(INDEX(记账规则!$A$6:$N$9,MATCH(购销流水!$D261,记账规则!$A$6:$A$9,0),13),""))</f>
        <v/>
      </c>
      <c r="N1029" s="66" t="str">
        <f aca="false">IF($L1029="","",IFERROR(INDEX(记账规则!$A$6:$N$9,MATCH(购销流水!$D261,记账规则!$A$6:$A$9,0),14),""))</f>
        <v/>
      </c>
      <c r="O1029" s="67" t="n">
        <f aca="false">IF($H1029="",0,ROUND(IF($N1029="成本金额",N(购销流水!$W261),IF($N1029="金额",N(购销流水!$Q261),0)),2))</f>
        <v>0</v>
      </c>
      <c r="P1029" s="64" t="str">
        <f aca="false">IF(AND($H1029&lt;&gt;"",ROUND($O1029,2)&lt;&gt;0),"有","")</f>
        <v/>
      </c>
    </row>
    <row r="1030" customFormat="false" ht="15" hidden="true" customHeight="false" outlineLevel="0" collapsed="false">
      <c r="A1030" s="53" t="str">
        <f aca="false">IF($H1030="","",ROW()-5)</f>
        <v/>
      </c>
      <c r="B1030" s="64" t="s">
        <v>36</v>
      </c>
      <c r="C1030" s="53" t="n">
        <v>262</v>
      </c>
      <c r="D1030" s="53" t="n">
        <v>1</v>
      </c>
      <c r="E1030" s="65" t="str">
        <f aca="false">IF($H1030="","",购销流水!$B262)</f>
        <v/>
      </c>
      <c r="F1030" s="55" t="str">
        <f aca="false">IF($H1030="","",购销流水!$C262)</f>
        <v/>
      </c>
      <c r="G1030" s="48" t="str">
        <f aca="false">IF($H1030="","",购销流水!$N262)</f>
        <v/>
      </c>
      <c r="H1030" s="10" t="str">
        <f aca="false">IF($L1030="","",IF($L1030="@成本",购销流水!$U262,IF($L1030="@收入",购销流水!$T262,IF($L1030="@存货",购销流水!$S262,IF($L1030="@结算",购销流水!$R262,$L1030)))))</f>
        <v/>
      </c>
      <c r="I1030" s="42" t="n">
        <f aca="false">IF($M1030="借",$O1030,0)</f>
        <v>0</v>
      </c>
      <c r="J1030" s="42" t="n">
        <f aca="false">IF($M1030="贷",$O1030,0)</f>
        <v>0</v>
      </c>
      <c r="K1030" s="48" t="str">
        <f aca="false">IF($H1030="","",购销流水!$E262)</f>
        <v/>
      </c>
      <c r="L1030" s="66" t="str">
        <f aca="false">IF(购销流水!$D262="","",IFERROR(INDEX(记账规则!$A$6:$N$9,MATCH(购销流水!$D262,记账规则!$A$6:$A$9,0),3),""))</f>
        <v/>
      </c>
      <c r="M1030" s="66" t="str">
        <f aca="false">IF($L1030="","",IFERROR(INDEX(记账规则!$A$6:$N$9,MATCH(购销流水!$D262,记账规则!$A$6:$A$9,0),4),""))</f>
        <v/>
      </c>
      <c r="N1030" s="66" t="str">
        <f aca="false">IF($L1030="","",IFERROR(INDEX(记账规则!$A$6:$N$9,MATCH(购销流水!$D262,记账规则!$A$6:$A$9,0),5),""))</f>
        <v/>
      </c>
      <c r="O1030" s="67" t="n">
        <f aca="false">IF($H1030="",0,ROUND(IF($N1030="成本金额",N(购销流水!$W262),IF($N1030="金额",N(购销流水!$Q262),0)),2))</f>
        <v>0</v>
      </c>
      <c r="P1030" s="64" t="str">
        <f aca="false">IF(AND($H1030&lt;&gt;"",ROUND($O1030,2)&lt;&gt;0),"有","")</f>
        <v/>
      </c>
    </row>
    <row r="1031" customFormat="false" ht="15" hidden="true" customHeight="false" outlineLevel="0" collapsed="false">
      <c r="A1031" s="53" t="str">
        <f aca="false">IF($H1031="","",ROW()-5)</f>
        <v/>
      </c>
      <c r="B1031" s="64" t="s">
        <v>36</v>
      </c>
      <c r="C1031" s="53" t="n">
        <v>262</v>
      </c>
      <c r="D1031" s="53" t="n">
        <v>2</v>
      </c>
      <c r="E1031" s="65" t="str">
        <f aca="false">IF($H1031="","",购销流水!$B262)</f>
        <v/>
      </c>
      <c r="F1031" s="55" t="str">
        <f aca="false">IF($H1031="","",购销流水!$C262)</f>
        <v/>
      </c>
      <c r="G1031" s="48" t="str">
        <f aca="false">IF($H1031="","",购销流水!$N262)</f>
        <v/>
      </c>
      <c r="H1031" s="10" t="str">
        <f aca="false">IF($L1031="","",IF($L1031="@成本",购销流水!$U262,IF($L1031="@收入",购销流水!$T262,IF($L1031="@存货",购销流水!$S262,IF($L1031="@结算",购销流水!$R262,$L1031)))))</f>
        <v/>
      </c>
      <c r="I1031" s="42" t="n">
        <f aca="false">IF($M1031="借",$O1031,0)</f>
        <v>0</v>
      </c>
      <c r="J1031" s="42" t="n">
        <f aca="false">IF($M1031="贷",$O1031,0)</f>
        <v>0</v>
      </c>
      <c r="K1031" s="48" t="str">
        <f aca="false">IF($H1031="","",购销流水!$E262)</f>
        <v/>
      </c>
      <c r="L1031" s="66" t="str">
        <f aca="false">IF(购销流水!$D262="","",IFERROR(INDEX(记账规则!$A$6:$N$9,MATCH(购销流水!$D262,记账规则!$A$6:$A$9,0),6),""))</f>
        <v/>
      </c>
      <c r="M1031" s="66" t="str">
        <f aca="false">IF($L1031="","",IFERROR(INDEX(记账规则!$A$6:$N$9,MATCH(购销流水!$D262,记账规则!$A$6:$A$9,0),7),""))</f>
        <v/>
      </c>
      <c r="N1031" s="66" t="str">
        <f aca="false">IF($L1031="","",IFERROR(INDEX(记账规则!$A$6:$N$9,MATCH(购销流水!$D262,记账规则!$A$6:$A$9,0),8),""))</f>
        <v/>
      </c>
      <c r="O1031" s="67" t="n">
        <f aca="false">IF($H1031="",0,ROUND(IF($N1031="成本金额",N(购销流水!$W262),IF($N1031="金额",N(购销流水!$Q262),0)),2))</f>
        <v>0</v>
      </c>
      <c r="P1031" s="64" t="str">
        <f aca="false">IF(AND($H1031&lt;&gt;"",ROUND($O1031,2)&lt;&gt;0),"有","")</f>
        <v/>
      </c>
    </row>
    <row r="1032" customFormat="false" ht="15" hidden="true" customHeight="false" outlineLevel="0" collapsed="false">
      <c r="A1032" s="53" t="str">
        <f aca="false">IF($H1032="","",ROW()-5)</f>
        <v/>
      </c>
      <c r="B1032" s="64" t="s">
        <v>36</v>
      </c>
      <c r="C1032" s="53" t="n">
        <v>262</v>
      </c>
      <c r="D1032" s="53" t="n">
        <v>3</v>
      </c>
      <c r="E1032" s="65" t="str">
        <f aca="false">IF($H1032="","",购销流水!$B262)</f>
        <v/>
      </c>
      <c r="F1032" s="55" t="str">
        <f aca="false">IF($H1032="","",购销流水!$C262)</f>
        <v/>
      </c>
      <c r="G1032" s="48" t="str">
        <f aca="false">IF($H1032="","",购销流水!$N262)</f>
        <v/>
      </c>
      <c r="H1032" s="10" t="str">
        <f aca="false">IF($L1032="","",IF($L1032="@成本",购销流水!$U262,IF($L1032="@收入",购销流水!$T262,IF($L1032="@存货",购销流水!$S262,IF($L1032="@结算",购销流水!$R262,$L1032)))))</f>
        <v/>
      </c>
      <c r="I1032" s="42" t="n">
        <f aca="false">IF($M1032="借",$O1032,0)</f>
        <v>0</v>
      </c>
      <c r="J1032" s="42" t="n">
        <f aca="false">IF($M1032="贷",$O1032,0)</f>
        <v>0</v>
      </c>
      <c r="K1032" s="48" t="str">
        <f aca="false">IF($H1032="","",购销流水!$E262)</f>
        <v/>
      </c>
      <c r="L1032" s="66" t="str">
        <f aca="false">IF(购销流水!$D262="","",IFERROR(INDEX(记账规则!$A$6:$N$9,MATCH(购销流水!$D262,记账规则!$A$6:$A$9,0),9),""))</f>
        <v/>
      </c>
      <c r="M1032" s="66" t="str">
        <f aca="false">IF($L1032="","",IFERROR(INDEX(记账规则!$A$6:$N$9,MATCH(购销流水!$D262,记账规则!$A$6:$A$9,0),10),""))</f>
        <v/>
      </c>
      <c r="N1032" s="66" t="str">
        <f aca="false">IF($L1032="","",IFERROR(INDEX(记账规则!$A$6:$N$9,MATCH(购销流水!$D262,记账规则!$A$6:$A$9,0),11),""))</f>
        <v/>
      </c>
      <c r="O1032" s="67" t="n">
        <f aca="false">IF($H1032="",0,ROUND(IF($N1032="成本金额",N(购销流水!$W262),IF($N1032="金额",N(购销流水!$Q262),0)),2))</f>
        <v>0</v>
      </c>
      <c r="P1032" s="64" t="str">
        <f aca="false">IF(AND($H1032&lt;&gt;"",ROUND($O1032,2)&lt;&gt;0),"有","")</f>
        <v/>
      </c>
    </row>
    <row r="1033" customFormat="false" ht="15" hidden="true" customHeight="false" outlineLevel="0" collapsed="false">
      <c r="A1033" s="53" t="str">
        <f aca="false">IF($H1033="","",ROW()-5)</f>
        <v/>
      </c>
      <c r="B1033" s="64" t="s">
        <v>36</v>
      </c>
      <c r="C1033" s="53" t="n">
        <v>262</v>
      </c>
      <c r="D1033" s="53" t="n">
        <v>4</v>
      </c>
      <c r="E1033" s="65" t="str">
        <f aca="false">IF($H1033="","",购销流水!$B262)</f>
        <v/>
      </c>
      <c r="F1033" s="55" t="str">
        <f aca="false">IF($H1033="","",购销流水!$C262)</f>
        <v/>
      </c>
      <c r="G1033" s="48" t="str">
        <f aca="false">IF($H1033="","",购销流水!$N262)</f>
        <v/>
      </c>
      <c r="H1033" s="10" t="str">
        <f aca="false">IF($L1033="","",IF($L1033="@成本",购销流水!$U262,IF($L1033="@收入",购销流水!$T262,IF($L1033="@存货",购销流水!$S262,IF($L1033="@结算",购销流水!$R262,$L1033)))))</f>
        <v/>
      </c>
      <c r="I1033" s="42" t="n">
        <f aca="false">IF($M1033="借",$O1033,0)</f>
        <v>0</v>
      </c>
      <c r="J1033" s="42" t="n">
        <f aca="false">IF($M1033="贷",$O1033,0)</f>
        <v>0</v>
      </c>
      <c r="K1033" s="48" t="str">
        <f aca="false">IF($H1033="","",购销流水!$E262)</f>
        <v/>
      </c>
      <c r="L1033" s="66" t="str">
        <f aca="false">IF(购销流水!$D262="","",IFERROR(INDEX(记账规则!$A$6:$N$9,MATCH(购销流水!$D262,记账规则!$A$6:$A$9,0),12),""))</f>
        <v/>
      </c>
      <c r="M1033" s="66" t="str">
        <f aca="false">IF($L1033="","",IFERROR(INDEX(记账规则!$A$6:$N$9,MATCH(购销流水!$D262,记账规则!$A$6:$A$9,0),13),""))</f>
        <v/>
      </c>
      <c r="N1033" s="66" t="str">
        <f aca="false">IF($L1033="","",IFERROR(INDEX(记账规则!$A$6:$N$9,MATCH(购销流水!$D262,记账规则!$A$6:$A$9,0),14),""))</f>
        <v/>
      </c>
      <c r="O1033" s="67" t="n">
        <f aca="false">IF($H1033="",0,ROUND(IF($N1033="成本金额",N(购销流水!$W262),IF($N1033="金额",N(购销流水!$Q262),0)),2))</f>
        <v>0</v>
      </c>
      <c r="P1033" s="64" t="str">
        <f aca="false">IF(AND($H1033&lt;&gt;"",ROUND($O1033,2)&lt;&gt;0),"有","")</f>
        <v/>
      </c>
    </row>
    <row r="1034" customFormat="false" ht="15" hidden="true" customHeight="false" outlineLevel="0" collapsed="false">
      <c r="A1034" s="53" t="str">
        <f aca="false">IF($H1034="","",ROW()-5)</f>
        <v/>
      </c>
      <c r="B1034" s="64" t="s">
        <v>36</v>
      </c>
      <c r="C1034" s="53" t="n">
        <v>263</v>
      </c>
      <c r="D1034" s="53" t="n">
        <v>1</v>
      </c>
      <c r="E1034" s="65" t="str">
        <f aca="false">IF($H1034="","",购销流水!$B263)</f>
        <v/>
      </c>
      <c r="F1034" s="55" t="str">
        <f aca="false">IF($H1034="","",购销流水!$C263)</f>
        <v/>
      </c>
      <c r="G1034" s="48" t="str">
        <f aca="false">IF($H1034="","",购销流水!$N263)</f>
        <v/>
      </c>
      <c r="H1034" s="10" t="str">
        <f aca="false">IF($L1034="","",IF($L1034="@成本",购销流水!$U263,IF($L1034="@收入",购销流水!$T263,IF($L1034="@存货",购销流水!$S263,IF($L1034="@结算",购销流水!$R263,$L1034)))))</f>
        <v/>
      </c>
      <c r="I1034" s="42" t="n">
        <f aca="false">IF($M1034="借",$O1034,0)</f>
        <v>0</v>
      </c>
      <c r="J1034" s="42" t="n">
        <f aca="false">IF($M1034="贷",$O1034,0)</f>
        <v>0</v>
      </c>
      <c r="K1034" s="48" t="str">
        <f aca="false">IF($H1034="","",购销流水!$E263)</f>
        <v/>
      </c>
      <c r="L1034" s="66" t="str">
        <f aca="false">IF(购销流水!$D263="","",IFERROR(INDEX(记账规则!$A$6:$N$9,MATCH(购销流水!$D263,记账规则!$A$6:$A$9,0),3),""))</f>
        <v/>
      </c>
      <c r="M1034" s="66" t="str">
        <f aca="false">IF($L1034="","",IFERROR(INDEX(记账规则!$A$6:$N$9,MATCH(购销流水!$D263,记账规则!$A$6:$A$9,0),4),""))</f>
        <v/>
      </c>
      <c r="N1034" s="66" t="str">
        <f aca="false">IF($L1034="","",IFERROR(INDEX(记账规则!$A$6:$N$9,MATCH(购销流水!$D263,记账规则!$A$6:$A$9,0),5),""))</f>
        <v/>
      </c>
      <c r="O1034" s="67" t="n">
        <f aca="false">IF($H1034="",0,ROUND(IF($N1034="成本金额",N(购销流水!$W263),IF($N1034="金额",N(购销流水!$Q263),0)),2))</f>
        <v>0</v>
      </c>
      <c r="P1034" s="64" t="str">
        <f aca="false">IF(AND($H1034&lt;&gt;"",ROUND($O1034,2)&lt;&gt;0),"有","")</f>
        <v/>
      </c>
    </row>
    <row r="1035" customFormat="false" ht="15" hidden="true" customHeight="false" outlineLevel="0" collapsed="false">
      <c r="A1035" s="53" t="str">
        <f aca="false">IF($H1035="","",ROW()-5)</f>
        <v/>
      </c>
      <c r="B1035" s="64" t="s">
        <v>36</v>
      </c>
      <c r="C1035" s="53" t="n">
        <v>263</v>
      </c>
      <c r="D1035" s="53" t="n">
        <v>2</v>
      </c>
      <c r="E1035" s="65" t="str">
        <f aca="false">IF($H1035="","",购销流水!$B263)</f>
        <v/>
      </c>
      <c r="F1035" s="55" t="str">
        <f aca="false">IF($H1035="","",购销流水!$C263)</f>
        <v/>
      </c>
      <c r="G1035" s="48" t="str">
        <f aca="false">IF($H1035="","",购销流水!$N263)</f>
        <v/>
      </c>
      <c r="H1035" s="10" t="str">
        <f aca="false">IF($L1035="","",IF($L1035="@成本",购销流水!$U263,IF($L1035="@收入",购销流水!$T263,IF($L1035="@存货",购销流水!$S263,IF($L1035="@结算",购销流水!$R263,$L1035)))))</f>
        <v/>
      </c>
      <c r="I1035" s="42" t="n">
        <f aca="false">IF($M1035="借",$O1035,0)</f>
        <v>0</v>
      </c>
      <c r="J1035" s="42" t="n">
        <f aca="false">IF($M1035="贷",$O1035,0)</f>
        <v>0</v>
      </c>
      <c r="K1035" s="48" t="str">
        <f aca="false">IF($H1035="","",购销流水!$E263)</f>
        <v/>
      </c>
      <c r="L1035" s="66" t="str">
        <f aca="false">IF(购销流水!$D263="","",IFERROR(INDEX(记账规则!$A$6:$N$9,MATCH(购销流水!$D263,记账规则!$A$6:$A$9,0),6),""))</f>
        <v/>
      </c>
      <c r="M1035" s="66" t="str">
        <f aca="false">IF($L1035="","",IFERROR(INDEX(记账规则!$A$6:$N$9,MATCH(购销流水!$D263,记账规则!$A$6:$A$9,0),7),""))</f>
        <v/>
      </c>
      <c r="N1035" s="66" t="str">
        <f aca="false">IF($L1035="","",IFERROR(INDEX(记账规则!$A$6:$N$9,MATCH(购销流水!$D263,记账规则!$A$6:$A$9,0),8),""))</f>
        <v/>
      </c>
      <c r="O1035" s="67" t="n">
        <f aca="false">IF($H1035="",0,ROUND(IF($N1035="成本金额",N(购销流水!$W263),IF($N1035="金额",N(购销流水!$Q263),0)),2))</f>
        <v>0</v>
      </c>
      <c r="P1035" s="64" t="str">
        <f aca="false">IF(AND($H1035&lt;&gt;"",ROUND($O1035,2)&lt;&gt;0),"有","")</f>
        <v/>
      </c>
    </row>
    <row r="1036" customFormat="false" ht="15" hidden="true" customHeight="false" outlineLevel="0" collapsed="false">
      <c r="A1036" s="53" t="str">
        <f aca="false">IF($H1036="","",ROW()-5)</f>
        <v/>
      </c>
      <c r="B1036" s="64" t="s">
        <v>36</v>
      </c>
      <c r="C1036" s="53" t="n">
        <v>263</v>
      </c>
      <c r="D1036" s="53" t="n">
        <v>3</v>
      </c>
      <c r="E1036" s="65" t="str">
        <f aca="false">IF($H1036="","",购销流水!$B263)</f>
        <v/>
      </c>
      <c r="F1036" s="55" t="str">
        <f aca="false">IF($H1036="","",购销流水!$C263)</f>
        <v/>
      </c>
      <c r="G1036" s="48" t="str">
        <f aca="false">IF($H1036="","",购销流水!$N263)</f>
        <v/>
      </c>
      <c r="H1036" s="10" t="str">
        <f aca="false">IF($L1036="","",IF($L1036="@成本",购销流水!$U263,IF($L1036="@收入",购销流水!$T263,IF($L1036="@存货",购销流水!$S263,IF($L1036="@结算",购销流水!$R263,$L1036)))))</f>
        <v/>
      </c>
      <c r="I1036" s="42" t="n">
        <f aca="false">IF($M1036="借",$O1036,0)</f>
        <v>0</v>
      </c>
      <c r="J1036" s="42" t="n">
        <f aca="false">IF($M1036="贷",$O1036,0)</f>
        <v>0</v>
      </c>
      <c r="K1036" s="48" t="str">
        <f aca="false">IF($H1036="","",购销流水!$E263)</f>
        <v/>
      </c>
      <c r="L1036" s="66" t="str">
        <f aca="false">IF(购销流水!$D263="","",IFERROR(INDEX(记账规则!$A$6:$N$9,MATCH(购销流水!$D263,记账规则!$A$6:$A$9,0),9),""))</f>
        <v/>
      </c>
      <c r="M1036" s="66" t="str">
        <f aca="false">IF($L1036="","",IFERROR(INDEX(记账规则!$A$6:$N$9,MATCH(购销流水!$D263,记账规则!$A$6:$A$9,0),10),""))</f>
        <v/>
      </c>
      <c r="N1036" s="66" t="str">
        <f aca="false">IF($L1036="","",IFERROR(INDEX(记账规则!$A$6:$N$9,MATCH(购销流水!$D263,记账规则!$A$6:$A$9,0),11),""))</f>
        <v/>
      </c>
      <c r="O1036" s="67" t="n">
        <f aca="false">IF($H1036="",0,ROUND(IF($N1036="成本金额",N(购销流水!$W263),IF($N1036="金额",N(购销流水!$Q263),0)),2))</f>
        <v>0</v>
      </c>
      <c r="P1036" s="64" t="str">
        <f aca="false">IF(AND($H1036&lt;&gt;"",ROUND($O1036,2)&lt;&gt;0),"有","")</f>
        <v/>
      </c>
    </row>
    <row r="1037" customFormat="false" ht="15" hidden="true" customHeight="false" outlineLevel="0" collapsed="false">
      <c r="A1037" s="53" t="str">
        <f aca="false">IF($H1037="","",ROW()-5)</f>
        <v/>
      </c>
      <c r="B1037" s="64" t="s">
        <v>36</v>
      </c>
      <c r="C1037" s="53" t="n">
        <v>263</v>
      </c>
      <c r="D1037" s="53" t="n">
        <v>4</v>
      </c>
      <c r="E1037" s="65" t="str">
        <f aca="false">IF($H1037="","",购销流水!$B263)</f>
        <v/>
      </c>
      <c r="F1037" s="55" t="str">
        <f aca="false">IF($H1037="","",购销流水!$C263)</f>
        <v/>
      </c>
      <c r="G1037" s="48" t="str">
        <f aca="false">IF($H1037="","",购销流水!$N263)</f>
        <v/>
      </c>
      <c r="H1037" s="10" t="str">
        <f aca="false">IF($L1037="","",IF($L1037="@成本",购销流水!$U263,IF($L1037="@收入",购销流水!$T263,IF($L1037="@存货",购销流水!$S263,IF($L1037="@结算",购销流水!$R263,$L1037)))))</f>
        <v/>
      </c>
      <c r="I1037" s="42" t="n">
        <f aca="false">IF($M1037="借",$O1037,0)</f>
        <v>0</v>
      </c>
      <c r="J1037" s="42" t="n">
        <f aca="false">IF($M1037="贷",$O1037,0)</f>
        <v>0</v>
      </c>
      <c r="K1037" s="48" t="str">
        <f aca="false">IF($H1037="","",购销流水!$E263)</f>
        <v/>
      </c>
      <c r="L1037" s="66" t="str">
        <f aca="false">IF(购销流水!$D263="","",IFERROR(INDEX(记账规则!$A$6:$N$9,MATCH(购销流水!$D263,记账规则!$A$6:$A$9,0),12),""))</f>
        <v/>
      </c>
      <c r="M1037" s="66" t="str">
        <f aca="false">IF($L1037="","",IFERROR(INDEX(记账规则!$A$6:$N$9,MATCH(购销流水!$D263,记账规则!$A$6:$A$9,0),13),""))</f>
        <v/>
      </c>
      <c r="N1037" s="66" t="str">
        <f aca="false">IF($L1037="","",IFERROR(INDEX(记账规则!$A$6:$N$9,MATCH(购销流水!$D263,记账规则!$A$6:$A$9,0),14),""))</f>
        <v/>
      </c>
      <c r="O1037" s="67" t="n">
        <f aca="false">IF($H1037="",0,ROUND(IF($N1037="成本金额",N(购销流水!$W263),IF($N1037="金额",N(购销流水!$Q263),0)),2))</f>
        <v>0</v>
      </c>
      <c r="P1037" s="64" t="str">
        <f aca="false">IF(AND($H1037&lt;&gt;"",ROUND($O1037,2)&lt;&gt;0),"有","")</f>
        <v/>
      </c>
    </row>
    <row r="1038" customFormat="false" ht="15" hidden="true" customHeight="false" outlineLevel="0" collapsed="false">
      <c r="A1038" s="53" t="str">
        <f aca="false">IF($H1038="","",ROW()-5)</f>
        <v/>
      </c>
      <c r="B1038" s="64" t="s">
        <v>36</v>
      </c>
      <c r="C1038" s="53" t="n">
        <v>264</v>
      </c>
      <c r="D1038" s="53" t="n">
        <v>1</v>
      </c>
      <c r="E1038" s="65" t="str">
        <f aca="false">IF($H1038="","",购销流水!$B264)</f>
        <v/>
      </c>
      <c r="F1038" s="55" t="str">
        <f aca="false">IF($H1038="","",购销流水!$C264)</f>
        <v/>
      </c>
      <c r="G1038" s="48" t="str">
        <f aca="false">IF($H1038="","",购销流水!$N264)</f>
        <v/>
      </c>
      <c r="H1038" s="10" t="str">
        <f aca="false">IF($L1038="","",IF($L1038="@成本",购销流水!$U264,IF($L1038="@收入",购销流水!$T264,IF($L1038="@存货",购销流水!$S264,IF($L1038="@结算",购销流水!$R264,$L1038)))))</f>
        <v/>
      </c>
      <c r="I1038" s="42" t="n">
        <f aca="false">IF($M1038="借",$O1038,0)</f>
        <v>0</v>
      </c>
      <c r="J1038" s="42" t="n">
        <f aca="false">IF($M1038="贷",$O1038,0)</f>
        <v>0</v>
      </c>
      <c r="K1038" s="48" t="str">
        <f aca="false">IF($H1038="","",购销流水!$E264)</f>
        <v/>
      </c>
      <c r="L1038" s="66" t="str">
        <f aca="false">IF(购销流水!$D264="","",IFERROR(INDEX(记账规则!$A$6:$N$9,MATCH(购销流水!$D264,记账规则!$A$6:$A$9,0),3),""))</f>
        <v/>
      </c>
      <c r="M1038" s="66" t="str">
        <f aca="false">IF($L1038="","",IFERROR(INDEX(记账规则!$A$6:$N$9,MATCH(购销流水!$D264,记账规则!$A$6:$A$9,0),4),""))</f>
        <v/>
      </c>
      <c r="N1038" s="66" t="str">
        <f aca="false">IF($L1038="","",IFERROR(INDEX(记账规则!$A$6:$N$9,MATCH(购销流水!$D264,记账规则!$A$6:$A$9,0),5),""))</f>
        <v/>
      </c>
      <c r="O1038" s="67" t="n">
        <f aca="false">IF($H1038="",0,ROUND(IF($N1038="成本金额",N(购销流水!$W264),IF($N1038="金额",N(购销流水!$Q264),0)),2))</f>
        <v>0</v>
      </c>
      <c r="P1038" s="64" t="str">
        <f aca="false">IF(AND($H1038&lt;&gt;"",ROUND($O1038,2)&lt;&gt;0),"有","")</f>
        <v/>
      </c>
    </row>
    <row r="1039" customFormat="false" ht="15" hidden="true" customHeight="false" outlineLevel="0" collapsed="false">
      <c r="A1039" s="53" t="str">
        <f aca="false">IF($H1039="","",ROW()-5)</f>
        <v/>
      </c>
      <c r="B1039" s="64" t="s">
        <v>36</v>
      </c>
      <c r="C1039" s="53" t="n">
        <v>264</v>
      </c>
      <c r="D1039" s="53" t="n">
        <v>2</v>
      </c>
      <c r="E1039" s="65" t="str">
        <f aca="false">IF($H1039="","",购销流水!$B264)</f>
        <v/>
      </c>
      <c r="F1039" s="55" t="str">
        <f aca="false">IF($H1039="","",购销流水!$C264)</f>
        <v/>
      </c>
      <c r="G1039" s="48" t="str">
        <f aca="false">IF($H1039="","",购销流水!$N264)</f>
        <v/>
      </c>
      <c r="H1039" s="10" t="str">
        <f aca="false">IF($L1039="","",IF($L1039="@成本",购销流水!$U264,IF($L1039="@收入",购销流水!$T264,IF($L1039="@存货",购销流水!$S264,IF($L1039="@结算",购销流水!$R264,$L1039)))))</f>
        <v/>
      </c>
      <c r="I1039" s="42" t="n">
        <f aca="false">IF($M1039="借",$O1039,0)</f>
        <v>0</v>
      </c>
      <c r="J1039" s="42" t="n">
        <f aca="false">IF($M1039="贷",$O1039,0)</f>
        <v>0</v>
      </c>
      <c r="K1039" s="48" t="str">
        <f aca="false">IF($H1039="","",购销流水!$E264)</f>
        <v/>
      </c>
      <c r="L1039" s="66" t="str">
        <f aca="false">IF(购销流水!$D264="","",IFERROR(INDEX(记账规则!$A$6:$N$9,MATCH(购销流水!$D264,记账规则!$A$6:$A$9,0),6),""))</f>
        <v/>
      </c>
      <c r="M1039" s="66" t="str">
        <f aca="false">IF($L1039="","",IFERROR(INDEX(记账规则!$A$6:$N$9,MATCH(购销流水!$D264,记账规则!$A$6:$A$9,0),7),""))</f>
        <v/>
      </c>
      <c r="N1039" s="66" t="str">
        <f aca="false">IF($L1039="","",IFERROR(INDEX(记账规则!$A$6:$N$9,MATCH(购销流水!$D264,记账规则!$A$6:$A$9,0),8),""))</f>
        <v/>
      </c>
      <c r="O1039" s="67" t="n">
        <f aca="false">IF($H1039="",0,ROUND(IF($N1039="成本金额",N(购销流水!$W264),IF($N1039="金额",N(购销流水!$Q264),0)),2))</f>
        <v>0</v>
      </c>
      <c r="P1039" s="64" t="str">
        <f aca="false">IF(AND($H1039&lt;&gt;"",ROUND($O1039,2)&lt;&gt;0),"有","")</f>
        <v/>
      </c>
    </row>
    <row r="1040" customFormat="false" ht="15" hidden="true" customHeight="false" outlineLevel="0" collapsed="false">
      <c r="A1040" s="53" t="str">
        <f aca="false">IF($H1040="","",ROW()-5)</f>
        <v/>
      </c>
      <c r="B1040" s="64" t="s">
        <v>36</v>
      </c>
      <c r="C1040" s="53" t="n">
        <v>264</v>
      </c>
      <c r="D1040" s="53" t="n">
        <v>3</v>
      </c>
      <c r="E1040" s="65" t="str">
        <f aca="false">IF($H1040="","",购销流水!$B264)</f>
        <v/>
      </c>
      <c r="F1040" s="55" t="str">
        <f aca="false">IF($H1040="","",购销流水!$C264)</f>
        <v/>
      </c>
      <c r="G1040" s="48" t="str">
        <f aca="false">IF($H1040="","",购销流水!$N264)</f>
        <v/>
      </c>
      <c r="H1040" s="10" t="str">
        <f aca="false">IF($L1040="","",IF($L1040="@成本",购销流水!$U264,IF($L1040="@收入",购销流水!$T264,IF($L1040="@存货",购销流水!$S264,IF($L1040="@结算",购销流水!$R264,$L1040)))))</f>
        <v/>
      </c>
      <c r="I1040" s="42" t="n">
        <f aca="false">IF($M1040="借",$O1040,0)</f>
        <v>0</v>
      </c>
      <c r="J1040" s="42" t="n">
        <f aca="false">IF($M1040="贷",$O1040,0)</f>
        <v>0</v>
      </c>
      <c r="K1040" s="48" t="str">
        <f aca="false">IF($H1040="","",购销流水!$E264)</f>
        <v/>
      </c>
      <c r="L1040" s="66" t="str">
        <f aca="false">IF(购销流水!$D264="","",IFERROR(INDEX(记账规则!$A$6:$N$9,MATCH(购销流水!$D264,记账规则!$A$6:$A$9,0),9),""))</f>
        <v/>
      </c>
      <c r="M1040" s="66" t="str">
        <f aca="false">IF($L1040="","",IFERROR(INDEX(记账规则!$A$6:$N$9,MATCH(购销流水!$D264,记账规则!$A$6:$A$9,0),10),""))</f>
        <v/>
      </c>
      <c r="N1040" s="66" t="str">
        <f aca="false">IF($L1040="","",IFERROR(INDEX(记账规则!$A$6:$N$9,MATCH(购销流水!$D264,记账规则!$A$6:$A$9,0),11),""))</f>
        <v/>
      </c>
      <c r="O1040" s="67" t="n">
        <f aca="false">IF($H1040="",0,ROUND(IF($N1040="成本金额",N(购销流水!$W264),IF($N1040="金额",N(购销流水!$Q264),0)),2))</f>
        <v>0</v>
      </c>
      <c r="P1040" s="64" t="str">
        <f aca="false">IF(AND($H1040&lt;&gt;"",ROUND($O1040,2)&lt;&gt;0),"有","")</f>
        <v/>
      </c>
    </row>
    <row r="1041" customFormat="false" ht="15" hidden="true" customHeight="false" outlineLevel="0" collapsed="false">
      <c r="A1041" s="53" t="str">
        <f aca="false">IF($H1041="","",ROW()-5)</f>
        <v/>
      </c>
      <c r="B1041" s="64" t="s">
        <v>36</v>
      </c>
      <c r="C1041" s="53" t="n">
        <v>264</v>
      </c>
      <c r="D1041" s="53" t="n">
        <v>4</v>
      </c>
      <c r="E1041" s="65" t="str">
        <f aca="false">IF($H1041="","",购销流水!$B264)</f>
        <v/>
      </c>
      <c r="F1041" s="55" t="str">
        <f aca="false">IF($H1041="","",购销流水!$C264)</f>
        <v/>
      </c>
      <c r="G1041" s="48" t="str">
        <f aca="false">IF($H1041="","",购销流水!$N264)</f>
        <v/>
      </c>
      <c r="H1041" s="10" t="str">
        <f aca="false">IF($L1041="","",IF($L1041="@成本",购销流水!$U264,IF($L1041="@收入",购销流水!$T264,IF($L1041="@存货",购销流水!$S264,IF($L1041="@结算",购销流水!$R264,$L1041)))))</f>
        <v/>
      </c>
      <c r="I1041" s="42" t="n">
        <f aca="false">IF($M1041="借",$O1041,0)</f>
        <v>0</v>
      </c>
      <c r="J1041" s="42" t="n">
        <f aca="false">IF($M1041="贷",$O1041,0)</f>
        <v>0</v>
      </c>
      <c r="K1041" s="48" t="str">
        <f aca="false">IF($H1041="","",购销流水!$E264)</f>
        <v/>
      </c>
      <c r="L1041" s="66" t="str">
        <f aca="false">IF(购销流水!$D264="","",IFERROR(INDEX(记账规则!$A$6:$N$9,MATCH(购销流水!$D264,记账规则!$A$6:$A$9,0),12),""))</f>
        <v/>
      </c>
      <c r="M1041" s="66" t="str">
        <f aca="false">IF($L1041="","",IFERROR(INDEX(记账规则!$A$6:$N$9,MATCH(购销流水!$D264,记账规则!$A$6:$A$9,0),13),""))</f>
        <v/>
      </c>
      <c r="N1041" s="66" t="str">
        <f aca="false">IF($L1041="","",IFERROR(INDEX(记账规则!$A$6:$N$9,MATCH(购销流水!$D264,记账规则!$A$6:$A$9,0),14),""))</f>
        <v/>
      </c>
      <c r="O1041" s="67" t="n">
        <f aca="false">IF($H1041="",0,ROUND(IF($N1041="成本金额",N(购销流水!$W264),IF($N1041="金额",N(购销流水!$Q264),0)),2))</f>
        <v>0</v>
      </c>
      <c r="P1041" s="64" t="str">
        <f aca="false">IF(AND($H1041&lt;&gt;"",ROUND($O1041,2)&lt;&gt;0),"有","")</f>
        <v/>
      </c>
    </row>
    <row r="1042" customFormat="false" ht="15" hidden="true" customHeight="false" outlineLevel="0" collapsed="false">
      <c r="A1042" s="53" t="str">
        <f aca="false">IF($H1042="","",ROW()-5)</f>
        <v/>
      </c>
      <c r="B1042" s="64" t="s">
        <v>36</v>
      </c>
      <c r="C1042" s="53" t="n">
        <v>265</v>
      </c>
      <c r="D1042" s="53" t="n">
        <v>1</v>
      </c>
      <c r="E1042" s="65" t="str">
        <f aca="false">IF($H1042="","",购销流水!$B265)</f>
        <v/>
      </c>
      <c r="F1042" s="55" t="str">
        <f aca="false">IF($H1042="","",购销流水!$C265)</f>
        <v/>
      </c>
      <c r="G1042" s="48" t="str">
        <f aca="false">IF($H1042="","",购销流水!$N265)</f>
        <v/>
      </c>
      <c r="H1042" s="10" t="str">
        <f aca="false">IF($L1042="","",IF($L1042="@成本",购销流水!$U265,IF($L1042="@收入",购销流水!$T265,IF($L1042="@存货",购销流水!$S265,IF($L1042="@结算",购销流水!$R265,$L1042)))))</f>
        <v/>
      </c>
      <c r="I1042" s="42" t="n">
        <f aca="false">IF($M1042="借",$O1042,0)</f>
        <v>0</v>
      </c>
      <c r="J1042" s="42" t="n">
        <f aca="false">IF($M1042="贷",$O1042,0)</f>
        <v>0</v>
      </c>
      <c r="K1042" s="48" t="str">
        <f aca="false">IF($H1042="","",购销流水!$E265)</f>
        <v/>
      </c>
      <c r="L1042" s="66" t="str">
        <f aca="false">IF(购销流水!$D265="","",IFERROR(INDEX(记账规则!$A$6:$N$9,MATCH(购销流水!$D265,记账规则!$A$6:$A$9,0),3),""))</f>
        <v/>
      </c>
      <c r="M1042" s="66" t="str">
        <f aca="false">IF($L1042="","",IFERROR(INDEX(记账规则!$A$6:$N$9,MATCH(购销流水!$D265,记账规则!$A$6:$A$9,0),4),""))</f>
        <v/>
      </c>
      <c r="N1042" s="66" t="str">
        <f aca="false">IF($L1042="","",IFERROR(INDEX(记账规则!$A$6:$N$9,MATCH(购销流水!$D265,记账规则!$A$6:$A$9,0),5),""))</f>
        <v/>
      </c>
      <c r="O1042" s="67" t="n">
        <f aca="false">IF($H1042="",0,ROUND(IF($N1042="成本金额",N(购销流水!$W265),IF($N1042="金额",N(购销流水!$Q265),0)),2))</f>
        <v>0</v>
      </c>
      <c r="P1042" s="64" t="str">
        <f aca="false">IF(AND($H1042&lt;&gt;"",ROUND($O1042,2)&lt;&gt;0),"有","")</f>
        <v/>
      </c>
    </row>
    <row r="1043" customFormat="false" ht="15" hidden="true" customHeight="false" outlineLevel="0" collapsed="false">
      <c r="A1043" s="53" t="str">
        <f aca="false">IF($H1043="","",ROW()-5)</f>
        <v/>
      </c>
      <c r="B1043" s="64" t="s">
        <v>36</v>
      </c>
      <c r="C1043" s="53" t="n">
        <v>265</v>
      </c>
      <c r="D1043" s="53" t="n">
        <v>2</v>
      </c>
      <c r="E1043" s="65" t="str">
        <f aca="false">IF($H1043="","",购销流水!$B265)</f>
        <v/>
      </c>
      <c r="F1043" s="55" t="str">
        <f aca="false">IF($H1043="","",购销流水!$C265)</f>
        <v/>
      </c>
      <c r="G1043" s="48" t="str">
        <f aca="false">IF($H1043="","",购销流水!$N265)</f>
        <v/>
      </c>
      <c r="H1043" s="10" t="str">
        <f aca="false">IF($L1043="","",IF($L1043="@成本",购销流水!$U265,IF($L1043="@收入",购销流水!$T265,IF($L1043="@存货",购销流水!$S265,IF($L1043="@结算",购销流水!$R265,$L1043)))))</f>
        <v/>
      </c>
      <c r="I1043" s="42" t="n">
        <f aca="false">IF($M1043="借",$O1043,0)</f>
        <v>0</v>
      </c>
      <c r="J1043" s="42" t="n">
        <f aca="false">IF($M1043="贷",$O1043,0)</f>
        <v>0</v>
      </c>
      <c r="K1043" s="48" t="str">
        <f aca="false">IF($H1043="","",购销流水!$E265)</f>
        <v/>
      </c>
      <c r="L1043" s="66" t="str">
        <f aca="false">IF(购销流水!$D265="","",IFERROR(INDEX(记账规则!$A$6:$N$9,MATCH(购销流水!$D265,记账规则!$A$6:$A$9,0),6),""))</f>
        <v/>
      </c>
      <c r="M1043" s="66" t="str">
        <f aca="false">IF($L1043="","",IFERROR(INDEX(记账规则!$A$6:$N$9,MATCH(购销流水!$D265,记账规则!$A$6:$A$9,0),7),""))</f>
        <v/>
      </c>
      <c r="N1043" s="66" t="str">
        <f aca="false">IF($L1043="","",IFERROR(INDEX(记账规则!$A$6:$N$9,MATCH(购销流水!$D265,记账规则!$A$6:$A$9,0),8),""))</f>
        <v/>
      </c>
      <c r="O1043" s="67" t="n">
        <f aca="false">IF($H1043="",0,ROUND(IF($N1043="成本金额",N(购销流水!$W265),IF($N1043="金额",N(购销流水!$Q265),0)),2))</f>
        <v>0</v>
      </c>
      <c r="P1043" s="64" t="str">
        <f aca="false">IF(AND($H1043&lt;&gt;"",ROUND($O1043,2)&lt;&gt;0),"有","")</f>
        <v/>
      </c>
    </row>
    <row r="1044" customFormat="false" ht="15" hidden="true" customHeight="false" outlineLevel="0" collapsed="false">
      <c r="A1044" s="53" t="str">
        <f aca="false">IF($H1044="","",ROW()-5)</f>
        <v/>
      </c>
      <c r="B1044" s="64" t="s">
        <v>36</v>
      </c>
      <c r="C1044" s="53" t="n">
        <v>265</v>
      </c>
      <c r="D1044" s="53" t="n">
        <v>3</v>
      </c>
      <c r="E1044" s="65" t="str">
        <f aca="false">IF($H1044="","",购销流水!$B265)</f>
        <v/>
      </c>
      <c r="F1044" s="55" t="str">
        <f aca="false">IF($H1044="","",购销流水!$C265)</f>
        <v/>
      </c>
      <c r="G1044" s="48" t="str">
        <f aca="false">IF($H1044="","",购销流水!$N265)</f>
        <v/>
      </c>
      <c r="H1044" s="10" t="str">
        <f aca="false">IF($L1044="","",IF($L1044="@成本",购销流水!$U265,IF($L1044="@收入",购销流水!$T265,IF($L1044="@存货",购销流水!$S265,IF($L1044="@结算",购销流水!$R265,$L1044)))))</f>
        <v/>
      </c>
      <c r="I1044" s="42" t="n">
        <f aca="false">IF($M1044="借",$O1044,0)</f>
        <v>0</v>
      </c>
      <c r="J1044" s="42" t="n">
        <f aca="false">IF($M1044="贷",$O1044,0)</f>
        <v>0</v>
      </c>
      <c r="K1044" s="48" t="str">
        <f aca="false">IF($H1044="","",购销流水!$E265)</f>
        <v/>
      </c>
      <c r="L1044" s="66" t="str">
        <f aca="false">IF(购销流水!$D265="","",IFERROR(INDEX(记账规则!$A$6:$N$9,MATCH(购销流水!$D265,记账规则!$A$6:$A$9,0),9),""))</f>
        <v/>
      </c>
      <c r="M1044" s="66" t="str">
        <f aca="false">IF($L1044="","",IFERROR(INDEX(记账规则!$A$6:$N$9,MATCH(购销流水!$D265,记账规则!$A$6:$A$9,0),10),""))</f>
        <v/>
      </c>
      <c r="N1044" s="66" t="str">
        <f aca="false">IF($L1044="","",IFERROR(INDEX(记账规则!$A$6:$N$9,MATCH(购销流水!$D265,记账规则!$A$6:$A$9,0),11),""))</f>
        <v/>
      </c>
      <c r="O1044" s="67" t="n">
        <f aca="false">IF($H1044="",0,ROUND(IF($N1044="成本金额",N(购销流水!$W265),IF($N1044="金额",N(购销流水!$Q265),0)),2))</f>
        <v>0</v>
      </c>
      <c r="P1044" s="64" t="str">
        <f aca="false">IF(AND($H1044&lt;&gt;"",ROUND($O1044,2)&lt;&gt;0),"有","")</f>
        <v/>
      </c>
    </row>
    <row r="1045" customFormat="false" ht="15" hidden="true" customHeight="false" outlineLevel="0" collapsed="false">
      <c r="A1045" s="53" t="str">
        <f aca="false">IF($H1045="","",ROW()-5)</f>
        <v/>
      </c>
      <c r="B1045" s="64" t="s">
        <v>36</v>
      </c>
      <c r="C1045" s="53" t="n">
        <v>265</v>
      </c>
      <c r="D1045" s="53" t="n">
        <v>4</v>
      </c>
      <c r="E1045" s="65" t="str">
        <f aca="false">IF($H1045="","",购销流水!$B265)</f>
        <v/>
      </c>
      <c r="F1045" s="55" t="str">
        <f aca="false">IF($H1045="","",购销流水!$C265)</f>
        <v/>
      </c>
      <c r="G1045" s="48" t="str">
        <f aca="false">IF($H1045="","",购销流水!$N265)</f>
        <v/>
      </c>
      <c r="H1045" s="10" t="str">
        <f aca="false">IF($L1045="","",IF($L1045="@成本",购销流水!$U265,IF($L1045="@收入",购销流水!$T265,IF($L1045="@存货",购销流水!$S265,IF($L1045="@结算",购销流水!$R265,$L1045)))))</f>
        <v/>
      </c>
      <c r="I1045" s="42" t="n">
        <f aca="false">IF($M1045="借",$O1045,0)</f>
        <v>0</v>
      </c>
      <c r="J1045" s="42" t="n">
        <f aca="false">IF($M1045="贷",$O1045,0)</f>
        <v>0</v>
      </c>
      <c r="K1045" s="48" t="str">
        <f aca="false">IF($H1045="","",购销流水!$E265)</f>
        <v/>
      </c>
      <c r="L1045" s="66" t="str">
        <f aca="false">IF(购销流水!$D265="","",IFERROR(INDEX(记账规则!$A$6:$N$9,MATCH(购销流水!$D265,记账规则!$A$6:$A$9,0),12),""))</f>
        <v/>
      </c>
      <c r="M1045" s="66" t="str">
        <f aca="false">IF($L1045="","",IFERROR(INDEX(记账规则!$A$6:$N$9,MATCH(购销流水!$D265,记账规则!$A$6:$A$9,0),13),""))</f>
        <v/>
      </c>
      <c r="N1045" s="66" t="str">
        <f aca="false">IF($L1045="","",IFERROR(INDEX(记账规则!$A$6:$N$9,MATCH(购销流水!$D265,记账规则!$A$6:$A$9,0),14),""))</f>
        <v/>
      </c>
      <c r="O1045" s="67" t="n">
        <f aca="false">IF($H1045="",0,ROUND(IF($N1045="成本金额",N(购销流水!$W265),IF($N1045="金额",N(购销流水!$Q265),0)),2))</f>
        <v>0</v>
      </c>
      <c r="P1045" s="64" t="str">
        <f aca="false">IF(AND($H1045&lt;&gt;"",ROUND($O1045,2)&lt;&gt;0),"有","")</f>
        <v/>
      </c>
    </row>
    <row r="1046" customFormat="false" ht="15" hidden="true" customHeight="false" outlineLevel="0" collapsed="false">
      <c r="A1046" s="53" t="str">
        <f aca="false">IF($H1046="","",ROW()-5)</f>
        <v/>
      </c>
      <c r="B1046" s="64" t="s">
        <v>36</v>
      </c>
      <c r="C1046" s="53" t="n">
        <v>266</v>
      </c>
      <c r="D1046" s="53" t="n">
        <v>1</v>
      </c>
      <c r="E1046" s="65" t="str">
        <f aca="false">IF($H1046="","",购销流水!$B266)</f>
        <v/>
      </c>
      <c r="F1046" s="55" t="str">
        <f aca="false">IF($H1046="","",购销流水!$C266)</f>
        <v/>
      </c>
      <c r="G1046" s="48" t="str">
        <f aca="false">IF($H1046="","",购销流水!$N266)</f>
        <v/>
      </c>
      <c r="H1046" s="10" t="str">
        <f aca="false">IF($L1046="","",IF($L1046="@成本",购销流水!$U266,IF($L1046="@收入",购销流水!$T266,IF($L1046="@存货",购销流水!$S266,IF($L1046="@结算",购销流水!$R266,$L1046)))))</f>
        <v/>
      </c>
      <c r="I1046" s="42" t="n">
        <f aca="false">IF($M1046="借",$O1046,0)</f>
        <v>0</v>
      </c>
      <c r="J1046" s="42" t="n">
        <f aca="false">IF($M1046="贷",$O1046,0)</f>
        <v>0</v>
      </c>
      <c r="K1046" s="48" t="str">
        <f aca="false">IF($H1046="","",购销流水!$E266)</f>
        <v/>
      </c>
      <c r="L1046" s="66" t="str">
        <f aca="false">IF(购销流水!$D266="","",IFERROR(INDEX(记账规则!$A$6:$N$9,MATCH(购销流水!$D266,记账规则!$A$6:$A$9,0),3),""))</f>
        <v/>
      </c>
      <c r="M1046" s="66" t="str">
        <f aca="false">IF($L1046="","",IFERROR(INDEX(记账规则!$A$6:$N$9,MATCH(购销流水!$D266,记账规则!$A$6:$A$9,0),4),""))</f>
        <v/>
      </c>
      <c r="N1046" s="66" t="str">
        <f aca="false">IF($L1046="","",IFERROR(INDEX(记账规则!$A$6:$N$9,MATCH(购销流水!$D266,记账规则!$A$6:$A$9,0),5),""))</f>
        <v/>
      </c>
      <c r="O1046" s="67" t="n">
        <f aca="false">IF($H1046="",0,ROUND(IF($N1046="成本金额",N(购销流水!$W266),IF($N1046="金额",N(购销流水!$Q266),0)),2))</f>
        <v>0</v>
      </c>
      <c r="P1046" s="64" t="str">
        <f aca="false">IF(AND($H1046&lt;&gt;"",ROUND($O1046,2)&lt;&gt;0),"有","")</f>
        <v/>
      </c>
    </row>
    <row r="1047" customFormat="false" ht="15" hidden="true" customHeight="false" outlineLevel="0" collapsed="false">
      <c r="A1047" s="53" t="str">
        <f aca="false">IF($H1047="","",ROW()-5)</f>
        <v/>
      </c>
      <c r="B1047" s="64" t="s">
        <v>36</v>
      </c>
      <c r="C1047" s="53" t="n">
        <v>266</v>
      </c>
      <c r="D1047" s="53" t="n">
        <v>2</v>
      </c>
      <c r="E1047" s="65" t="str">
        <f aca="false">IF($H1047="","",购销流水!$B266)</f>
        <v/>
      </c>
      <c r="F1047" s="55" t="str">
        <f aca="false">IF($H1047="","",购销流水!$C266)</f>
        <v/>
      </c>
      <c r="G1047" s="48" t="str">
        <f aca="false">IF($H1047="","",购销流水!$N266)</f>
        <v/>
      </c>
      <c r="H1047" s="10" t="str">
        <f aca="false">IF($L1047="","",IF($L1047="@成本",购销流水!$U266,IF($L1047="@收入",购销流水!$T266,IF($L1047="@存货",购销流水!$S266,IF($L1047="@结算",购销流水!$R266,$L1047)))))</f>
        <v/>
      </c>
      <c r="I1047" s="42" t="n">
        <f aca="false">IF($M1047="借",$O1047,0)</f>
        <v>0</v>
      </c>
      <c r="J1047" s="42" t="n">
        <f aca="false">IF($M1047="贷",$O1047,0)</f>
        <v>0</v>
      </c>
      <c r="K1047" s="48" t="str">
        <f aca="false">IF($H1047="","",购销流水!$E266)</f>
        <v/>
      </c>
      <c r="L1047" s="66" t="str">
        <f aca="false">IF(购销流水!$D266="","",IFERROR(INDEX(记账规则!$A$6:$N$9,MATCH(购销流水!$D266,记账规则!$A$6:$A$9,0),6),""))</f>
        <v/>
      </c>
      <c r="M1047" s="66" t="str">
        <f aca="false">IF($L1047="","",IFERROR(INDEX(记账规则!$A$6:$N$9,MATCH(购销流水!$D266,记账规则!$A$6:$A$9,0),7),""))</f>
        <v/>
      </c>
      <c r="N1047" s="66" t="str">
        <f aca="false">IF($L1047="","",IFERROR(INDEX(记账规则!$A$6:$N$9,MATCH(购销流水!$D266,记账规则!$A$6:$A$9,0),8),""))</f>
        <v/>
      </c>
      <c r="O1047" s="67" t="n">
        <f aca="false">IF($H1047="",0,ROUND(IF($N1047="成本金额",N(购销流水!$W266),IF($N1047="金额",N(购销流水!$Q266),0)),2))</f>
        <v>0</v>
      </c>
      <c r="P1047" s="64" t="str">
        <f aca="false">IF(AND($H1047&lt;&gt;"",ROUND($O1047,2)&lt;&gt;0),"有","")</f>
        <v/>
      </c>
    </row>
    <row r="1048" customFormat="false" ht="15" hidden="true" customHeight="false" outlineLevel="0" collapsed="false">
      <c r="A1048" s="53" t="str">
        <f aca="false">IF($H1048="","",ROW()-5)</f>
        <v/>
      </c>
      <c r="B1048" s="64" t="s">
        <v>36</v>
      </c>
      <c r="C1048" s="53" t="n">
        <v>266</v>
      </c>
      <c r="D1048" s="53" t="n">
        <v>3</v>
      </c>
      <c r="E1048" s="65" t="str">
        <f aca="false">IF($H1048="","",购销流水!$B266)</f>
        <v/>
      </c>
      <c r="F1048" s="55" t="str">
        <f aca="false">IF($H1048="","",购销流水!$C266)</f>
        <v/>
      </c>
      <c r="G1048" s="48" t="str">
        <f aca="false">IF($H1048="","",购销流水!$N266)</f>
        <v/>
      </c>
      <c r="H1048" s="10" t="str">
        <f aca="false">IF($L1048="","",IF($L1048="@成本",购销流水!$U266,IF($L1048="@收入",购销流水!$T266,IF($L1048="@存货",购销流水!$S266,IF($L1048="@结算",购销流水!$R266,$L1048)))))</f>
        <v/>
      </c>
      <c r="I1048" s="42" t="n">
        <f aca="false">IF($M1048="借",$O1048,0)</f>
        <v>0</v>
      </c>
      <c r="J1048" s="42" t="n">
        <f aca="false">IF($M1048="贷",$O1048,0)</f>
        <v>0</v>
      </c>
      <c r="K1048" s="48" t="str">
        <f aca="false">IF($H1048="","",购销流水!$E266)</f>
        <v/>
      </c>
      <c r="L1048" s="66" t="str">
        <f aca="false">IF(购销流水!$D266="","",IFERROR(INDEX(记账规则!$A$6:$N$9,MATCH(购销流水!$D266,记账规则!$A$6:$A$9,0),9),""))</f>
        <v/>
      </c>
      <c r="M1048" s="66" t="str">
        <f aca="false">IF($L1048="","",IFERROR(INDEX(记账规则!$A$6:$N$9,MATCH(购销流水!$D266,记账规则!$A$6:$A$9,0),10),""))</f>
        <v/>
      </c>
      <c r="N1048" s="66" t="str">
        <f aca="false">IF($L1048="","",IFERROR(INDEX(记账规则!$A$6:$N$9,MATCH(购销流水!$D266,记账规则!$A$6:$A$9,0),11),""))</f>
        <v/>
      </c>
      <c r="O1048" s="67" t="n">
        <f aca="false">IF($H1048="",0,ROUND(IF($N1048="成本金额",N(购销流水!$W266),IF($N1048="金额",N(购销流水!$Q266),0)),2))</f>
        <v>0</v>
      </c>
      <c r="P1048" s="64" t="str">
        <f aca="false">IF(AND($H1048&lt;&gt;"",ROUND($O1048,2)&lt;&gt;0),"有","")</f>
        <v/>
      </c>
    </row>
    <row r="1049" customFormat="false" ht="15" hidden="true" customHeight="false" outlineLevel="0" collapsed="false">
      <c r="A1049" s="53" t="str">
        <f aca="false">IF($H1049="","",ROW()-5)</f>
        <v/>
      </c>
      <c r="B1049" s="64" t="s">
        <v>36</v>
      </c>
      <c r="C1049" s="53" t="n">
        <v>266</v>
      </c>
      <c r="D1049" s="53" t="n">
        <v>4</v>
      </c>
      <c r="E1049" s="65" t="str">
        <f aca="false">IF($H1049="","",购销流水!$B266)</f>
        <v/>
      </c>
      <c r="F1049" s="55" t="str">
        <f aca="false">IF($H1049="","",购销流水!$C266)</f>
        <v/>
      </c>
      <c r="G1049" s="48" t="str">
        <f aca="false">IF($H1049="","",购销流水!$N266)</f>
        <v/>
      </c>
      <c r="H1049" s="10" t="str">
        <f aca="false">IF($L1049="","",IF($L1049="@成本",购销流水!$U266,IF($L1049="@收入",购销流水!$T266,IF($L1049="@存货",购销流水!$S266,IF($L1049="@结算",购销流水!$R266,$L1049)))))</f>
        <v/>
      </c>
      <c r="I1049" s="42" t="n">
        <f aca="false">IF($M1049="借",$O1049,0)</f>
        <v>0</v>
      </c>
      <c r="J1049" s="42" t="n">
        <f aca="false">IF($M1049="贷",$O1049,0)</f>
        <v>0</v>
      </c>
      <c r="K1049" s="48" t="str">
        <f aca="false">IF($H1049="","",购销流水!$E266)</f>
        <v/>
      </c>
      <c r="L1049" s="66" t="str">
        <f aca="false">IF(购销流水!$D266="","",IFERROR(INDEX(记账规则!$A$6:$N$9,MATCH(购销流水!$D266,记账规则!$A$6:$A$9,0),12),""))</f>
        <v/>
      </c>
      <c r="M1049" s="66" t="str">
        <f aca="false">IF($L1049="","",IFERROR(INDEX(记账规则!$A$6:$N$9,MATCH(购销流水!$D266,记账规则!$A$6:$A$9,0),13),""))</f>
        <v/>
      </c>
      <c r="N1049" s="66" t="str">
        <f aca="false">IF($L1049="","",IFERROR(INDEX(记账规则!$A$6:$N$9,MATCH(购销流水!$D266,记账规则!$A$6:$A$9,0),14),""))</f>
        <v/>
      </c>
      <c r="O1049" s="67" t="n">
        <f aca="false">IF($H1049="",0,ROUND(IF($N1049="成本金额",N(购销流水!$W266),IF($N1049="金额",N(购销流水!$Q266),0)),2))</f>
        <v>0</v>
      </c>
      <c r="P1049" s="64" t="str">
        <f aca="false">IF(AND($H1049&lt;&gt;"",ROUND($O1049,2)&lt;&gt;0),"有","")</f>
        <v/>
      </c>
    </row>
    <row r="1050" customFormat="false" ht="15" hidden="true" customHeight="false" outlineLevel="0" collapsed="false">
      <c r="A1050" s="53" t="str">
        <f aca="false">IF($H1050="","",ROW()-5)</f>
        <v/>
      </c>
      <c r="B1050" s="64" t="s">
        <v>36</v>
      </c>
      <c r="C1050" s="53" t="n">
        <v>267</v>
      </c>
      <c r="D1050" s="53" t="n">
        <v>1</v>
      </c>
      <c r="E1050" s="65" t="str">
        <f aca="false">IF($H1050="","",购销流水!$B267)</f>
        <v/>
      </c>
      <c r="F1050" s="55" t="str">
        <f aca="false">IF($H1050="","",购销流水!$C267)</f>
        <v/>
      </c>
      <c r="G1050" s="48" t="str">
        <f aca="false">IF($H1050="","",购销流水!$N267)</f>
        <v/>
      </c>
      <c r="H1050" s="10" t="str">
        <f aca="false">IF($L1050="","",IF($L1050="@成本",购销流水!$U267,IF($L1050="@收入",购销流水!$T267,IF($L1050="@存货",购销流水!$S267,IF($L1050="@结算",购销流水!$R267,$L1050)))))</f>
        <v/>
      </c>
      <c r="I1050" s="42" t="n">
        <f aca="false">IF($M1050="借",$O1050,0)</f>
        <v>0</v>
      </c>
      <c r="J1050" s="42" t="n">
        <f aca="false">IF($M1050="贷",$O1050,0)</f>
        <v>0</v>
      </c>
      <c r="K1050" s="48" t="str">
        <f aca="false">IF($H1050="","",购销流水!$E267)</f>
        <v/>
      </c>
      <c r="L1050" s="66" t="str">
        <f aca="false">IF(购销流水!$D267="","",IFERROR(INDEX(记账规则!$A$6:$N$9,MATCH(购销流水!$D267,记账规则!$A$6:$A$9,0),3),""))</f>
        <v/>
      </c>
      <c r="M1050" s="66" t="str">
        <f aca="false">IF($L1050="","",IFERROR(INDEX(记账规则!$A$6:$N$9,MATCH(购销流水!$D267,记账规则!$A$6:$A$9,0),4),""))</f>
        <v/>
      </c>
      <c r="N1050" s="66" t="str">
        <f aca="false">IF($L1050="","",IFERROR(INDEX(记账规则!$A$6:$N$9,MATCH(购销流水!$D267,记账规则!$A$6:$A$9,0),5),""))</f>
        <v/>
      </c>
      <c r="O1050" s="67" t="n">
        <f aca="false">IF($H1050="",0,ROUND(IF($N1050="成本金额",N(购销流水!$W267),IF($N1050="金额",N(购销流水!$Q267),0)),2))</f>
        <v>0</v>
      </c>
      <c r="P1050" s="64" t="str">
        <f aca="false">IF(AND($H1050&lt;&gt;"",ROUND($O1050,2)&lt;&gt;0),"有","")</f>
        <v/>
      </c>
    </row>
    <row r="1051" customFormat="false" ht="15" hidden="true" customHeight="false" outlineLevel="0" collapsed="false">
      <c r="A1051" s="53" t="str">
        <f aca="false">IF($H1051="","",ROW()-5)</f>
        <v/>
      </c>
      <c r="B1051" s="64" t="s">
        <v>36</v>
      </c>
      <c r="C1051" s="53" t="n">
        <v>267</v>
      </c>
      <c r="D1051" s="53" t="n">
        <v>2</v>
      </c>
      <c r="E1051" s="65" t="str">
        <f aca="false">IF($H1051="","",购销流水!$B267)</f>
        <v/>
      </c>
      <c r="F1051" s="55" t="str">
        <f aca="false">IF($H1051="","",购销流水!$C267)</f>
        <v/>
      </c>
      <c r="G1051" s="48" t="str">
        <f aca="false">IF($H1051="","",购销流水!$N267)</f>
        <v/>
      </c>
      <c r="H1051" s="10" t="str">
        <f aca="false">IF($L1051="","",IF($L1051="@成本",购销流水!$U267,IF($L1051="@收入",购销流水!$T267,IF($L1051="@存货",购销流水!$S267,IF($L1051="@结算",购销流水!$R267,$L1051)))))</f>
        <v/>
      </c>
      <c r="I1051" s="42" t="n">
        <f aca="false">IF($M1051="借",$O1051,0)</f>
        <v>0</v>
      </c>
      <c r="J1051" s="42" t="n">
        <f aca="false">IF($M1051="贷",$O1051,0)</f>
        <v>0</v>
      </c>
      <c r="K1051" s="48" t="str">
        <f aca="false">IF($H1051="","",购销流水!$E267)</f>
        <v/>
      </c>
      <c r="L1051" s="66" t="str">
        <f aca="false">IF(购销流水!$D267="","",IFERROR(INDEX(记账规则!$A$6:$N$9,MATCH(购销流水!$D267,记账规则!$A$6:$A$9,0),6),""))</f>
        <v/>
      </c>
      <c r="M1051" s="66" t="str">
        <f aca="false">IF($L1051="","",IFERROR(INDEX(记账规则!$A$6:$N$9,MATCH(购销流水!$D267,记账规则!$A$6:$A$9,0),7),""))</f>
        <v/>
      </c>
      <c r="N1051" s="66" t="str">
        <f aca="false">IF($L1051="","",IFERROR(INDEX(记账规则!$A$6:$N$9,MATCH(购销流水!$D267,记账规则!$A$6:$A$9,0),8),""))</f>
        <v/>
      </c>
      <c r="O1051" s="67" t="n">
        <f aca="false">IF($H1051="",0,ROUND(IF($N1051="成本金额",N(购销流水!$W267),IF($N1051="金额",N(购销流水!$Q267),0)),2))</f>
        <v>0</v>
      </c>
      <c r="P1051" s="64" t="str">
        <f aca="false">IF(AND($H1051&lt;&gt;"",ROUND($O1051,2)&lt;&gt;0),"有","")</f>
        <v/>
      </c>
    </row>
    <row r="1052" customFormat="false" ht="15" hidden="true" customHeight="false" outlineLevel="0" collapsed="false">
      <c r="A1052" s="53" t="str">
        <f aca="false">IF($H1052="","",ROW()-5)</f>
        <v/>
      </c>
      <c r="B1052" s="64" t="s">
        <v>36</v>
      </c>
      <c r="C1052" s="53" t="n">
        <v>267</v>
      </c>
      <c r="D1052" s="53" t="n">
        <v>3</v>
      </c>
      <c r="E1052" s="65" t="str">
        <f aca="false">IF($H1052="","",购销流水!$B267)</f>
        <v/>
      </c>
      <c r="F1052" s="55" t="str">
        <f aca="false">IF($H1052="","",购销流水!$C267)</f>
        <v/>
      </c>
      <c r="G1052" s="48" t="str">
        <f aca="false">IF($H1052="","",购销流水!$N267)</f>
        <v/>
      </c>
      <c r="H1052" s="10" t="str">
        <f aca="false">IF($L1052="","",IF($L1052="@成本",购销流水!$U267,IF($L1052="@收入",购销流水!$T267,IF($L1052="@存货",购销流水!$S267,IF($L1052="@结算",购销流水!$R267,$L1052)))))</f>
        <v/>
      </c>
      <c r="I1052" s="42" t="n">
        <f aca="false">IF($M1052="借",$O1052,0)</f>
        <v>0</v>
      </c>
      <c r="J1052" s="42" t="n">
        <f aca="false">IF($M1052="贷",$O1052,0)</f>
        <v>0</v>
      </c>
      <c r="K1052" s="48" t="str">
        <f aca="false">IF($H1052="","",购销流水!$E267)</f>
        <v/>
      </c>
      <c r="L1052" s="66" t="str">
        <f aca="false">IF(购销流水!$D267="","",IFERROR(INDEX(记账规则!$A$6:$N$9,MATCH(购销流水!$D267,记账规则!$A$6:$A$9,0),9),""))</f>
        <v/>
      </c>
      <c r="M1052" s="66" t="str">
        <f aca="false">IF($L1052="","",IFERROR(INDEX(记账规则!$A$6:$N$9,MATCH(购销流水!$D267,记账规则!$A$6:$A$9,0),10),""))</f>
        <v/>
      </c>
      <c r="N1052" s="66" t="str">
        <f aca="false">IF($L1052="","",IFERROR(INDEX(记账规则!$A$6:$N$9,MATCH(购销流水!$D267,记账规则!$A$6:$A$9,0),11),""))</f>
        <v/>
      </c>
      <c r="O1052" s="67" t="n">
        <f aca="false">IF($H1052="",0,ROUND(IF($N1052="成本金额",N(购销流水!$W267),IF($N1052="金额",N(购销流水!$Q267),0)),2))</f>
        <v>0</v>
      </c>
      <c r="P1052" s="64" t="str">
        <f aca="false">IF(AND($H1052&lt;&gt;"",ROUND($O1052,2)&lt;&gt;0),"有","")</f>
        <v/>
      </c>
    </row>
    <row r="1053" customFormat="false" ht="15" hidden="true" customHeight="false" outlineLevel="0" collapsed="false">
      <c r="A1053" s="53" t="str">
        <f aca="false">IF($H1053="","",ROW()-5)</f>
        <v/>
      </c>
      <c r="B1053" s="64" t="s">
        <v>36</v>
      </c>
      <c r="C1053" s="53" t="n">
        <v>267</v>
      </c>
      <c r="D1053" s="53" t="n">
        <v>4</v>
      </c>
      <c r="E1053" s="65" t="str">
        <f aca="false">IF($H1053="","",购销流水!$B267)</f>
        <v/>
      </c>
      <c r="F1053" s="55" t="str">
        <f aca="false">IF($H1053="","",购销流水!$C267)</f>
        <v/>
      </c>
      <c r="G1053" s="48" t="str">
        <f aca="false">IF($H1053="","",购销流水!$N267)</f>
        <v/>
      </c>
      <c r="H1053" s="10" t="str">
        <f aca="false">IF($L1053="","",IF($L1053="@成本",购销流水!$U267,IF($L1053="@收入",购销流水!$T267,IF($L1053="@存货",购销流水!$S267,IF($L1053="@结算",购销流水!$R267,$L1053)))))</f>
        <v/>
      </c>
      <c r="I1053" s="42" t="n">
        <f aca="false">IF($M1053="借",$O1053,0)</f>
        <v>0</v>
      </c>
      <c r="J1053" s="42" t="n">
        <f aca="false">IF($M1053="贷",$O1053,0)</f>
        <v>0</v>
      </c>
      <c r="K1053" s="48" t="str">
        <f aca="false">IF($H1053="","",购销流水!$E267)</f>
        <v/>
      </c>
      <c r="L1053" s="66" t="str">
        <f aca="false">IF(购销流水!$D267="","",IFERROR(INDEX(记账规则!$A$6:$N$9,MATCH(购销流水!$D267,记账规则!$A$6:$A$9,0),12),""))</f>
        <v/>
      </c>
      <c r="M1053" s="66" t="str">
        <f aca="false">IF($L1053="","",IFERROR(INDEX(记账规则!$A$6:$N$9,MATCH(购销流水!$D267,记账规则!$A$6:$A$9,0),13),""))</f>
        <v/>
      </c>
      <c r="N1053" s="66" t="str">
        <f aca="false">IF($L1053="","",IFERROR(INDEX(记账规则!$A$6:$N$9,MATCH(购销流水!$D267,记账规则!$A$6:$A$9,0),14),""))</f>
        <v/>
      </c>
      <c r="O1053" s="67" t="n">
        <f aca="false">IF($H1053="",0,ROUND(IF($N1053="成本金额",N(购销流水!$W267),IF($N1053="金额",N(购销流水!$Q267),0)),2))</f>
        <v>0</v>
      </c>
      <c r="P1053" s="64" t="str">
        <f aca="false">IF(AND($H1053&lt;&gt;"",ROUND($O1053,2)&lt;&gt;0),"有","")</f>
        <v/>
      </c>
    </row>
    <row r="1054" customFormat="false" ht="15" hidden="true" customHeight="false" outlineLevel="0" collapsed="false">
      <c r="A1054" s="53" t="str">
        <f aca="false">IF($H1054="","",ROW()-5)</f>
        <v/>
      </c>
      <c r="B1054" s="64" t="s">
        <v>36</v>
      </c>
      <c r="C1054" s="53" t="n">
        <v>268</v>
      </c>
      <c r="D1054" s="53" t="n">
        <v>1</v>
      </c>
      <c r="E1054" s="65" t="str">
        <f aca="false">IF($H1054="","",购销流水!$B268)</f>
        <v/>
      </c>
      <c r="F1054" s="55" t="str">
        <f aca="false">IF($H1054="","",购销流水!$C268)</f>
        <v/>
      </c>
      <c r="G1054" s="48" t="str">
        <f aca="false">IF($H1054="","",购销流水!$N268)</f>
        <v/>
      </c>
      <c r="H1054" s="10" t="str">
        <f aca="false">IF($L1054="","",IF($L1054="@成本",购销流水!$U268,IF($L1054="@收入",购销流水!$T268,IF($L1054="@存货",购销流水!$S268,IF($L1054="@结算",购销流水!$R268,$L1054)))))</f>
        <v/>
      </c>
      <c r="I1054" s="42" t="n">
        <f aca="false">IF($M1054="借",$O1054,0)</f>
        <v>0</v>
      </c>
      <c r="J1054" s="42" t="n">
        <f aca="false">IF($M1054="贷",$O1054,0)</f>
        <v>0</v>
      </c>
      <c r="K1054" s="48" t="str">
        <f aca="false">IF($H1054="","",购销流水!$E268)</f>
        <v/>
      </c>
      <c r="L1054" s="66" t="str">
        <f aca="false">IF(购销流水!$D268="","",IFERROR(INDEX(记账规则!$A$6:$N$9,MATCH(购销流水!$D268,记账规则!$A$6:$A$9,0),3),""))</f>
        <v/>
      </c>
      <c r="M1054" s="66" t="str">
        <f aca="false">IF($L1054="","",IFERROR(INDEX(记账规则!$A$6:$N$9,MATCH(购销流水!$D268,记账规则!$A$6:$A$9,0),4),""))</f>
        <v/>
      </c>
      <c r="N1054" s="66" t="str">
        <f aca="false">IF($L1054="","",IFERROR(INDEX(记账规则!$A$6:$N$9,MATCH(购销流水!$D268,记账规则!$A$6:$A$9,0),5),""))</f>
        <v/>
      </c>
      <c r="O1054" s="67" t="n">
        <f aca="false">IF($H1054="",0,ROUND(IF($N1054="成本金额",N(购销流水!$W268),IF($N1054="金额",N(购销流水!$Q268),0)),2))</f>
        <v>0</v>
      </c>
      <c r="P1054" s="64" t="str">
        <f aca="false">IF(AND($H1054&lt;&gt;"",ROUND($O1054,2)&lt;&gt;0),"有","")</f>
        <v/>
      </c>
    </row>
    <row r="1055" customFormat="false" ht="15" hidden="true" customHeight="false" outlineLevel="0" collapsed="false">
      <c r="A1055" s="53" t="str">
        <f aca="false">IF($H1055="","",ROW()-5)</f>
        <v/>
      </c>
      <c r="B1055" s="64" t="s">
        <v>36</v>
      </c>
      <c r="C1055" s="53" t="n">
        <v>268</v>
      </c>
      <c r="D1055" s="53" t="n">
        <v>2</v>
      </c>
      <c r="E1055" s="65" t="str">
        <f aca="false">IF($H1055="","",购销流水!$B268)</f>
        <v/>
      </c>
      <c r="F1055" s="55" t="str">
        <f aca="false">IF($H1055="","",购销流水!$C268)</f>
        <v/>
      </c>
      <c r="G1055" s="48" t="str">
        <f aca="false">IF($H1055="","",购销流水!$N268)</f>
        <v/>
      </c>
      <c r="H1055" s="10" t="str">
        <f aca="false">IF($L1055="","",IF($L1055="@成本",购销流水!$U268,IF($L1055="@收入",购销流水!$T268,IF($L1055="@存货",购销流水!$S268,IF($L1055="@结算",购销流水!$R268,$L1055)))))</f>
        <v/>
      </c>
      <c r="I1055" s="42" t="n">
        <f aca="false">IF($M1055="借",$O1055,0)</f>
        <v>0</v>
      </c>
      <c r="J1055" s="42" t="n">
        <f aca="false">IF($M1055="贷",$O1055,0)</f>
        <v>0</v>
      </c>
      <c r="K1055" s="48" t="str">
        <f aca="false">IF($H1055="","",购销流水!$E268)</f>
        <v/>
      </c>
      <c r="L1055" s="66" t="str">
        <f aca="false">IF(购销流水!$D268="","",IFERROR(INDEX(记账规则!$A$6:$N$9,MATCH(购销流水!$D268,记账规则!$A$6:$A$9,0),6),""))</f>
        <v/>
      </c>
      <c r="M1055" s="66" t="str">
        <f aca="false">IF($L1055="","",IFERROR(INDEX(记账规则!$A$6:$N$9,MATCH(购销流水!$D268,记账规则!$A$6:$A$9,0),7),""))</f>
        <v/>
      </c>
      <c r="N1055" s="66" t="str">
        <f aca="false">IF($L1055="","",IFERROR(INDEX(记账规则!$A$6:$N$9,MATCH(购销流水!$D268,记账规则!$A$6:$A$9,0),8),""))</f>
        <v/>
      </c>
      <c r="O1055" s="67" t="n">
        <f aca="false">IF($H1055="",0,ROUND(IF($N1055="成本金额",N(购销流水!$W268),IF($N1055="金额",N(购销流水!$Q268),0)),2))</f>
        <v>0</v>
      </c>
      <c r="P1055" s="64" t="str">
        <f aca="false">IF(AND($H1055&lt;&gt;"",ROUND($O1055,2)&lt;&gt;0),"有","")</f>
        <v/>
      </c>
    </row>
    <row r="1056" customFormat="false" ht="15" hidden="true" customHeight="false" outlineLevel="0" collapsed="false">
      <c r="A1056" s="53" t="str">
        <f aca="false">IF($H1056="","",ROW()-5)</f>
        <v/>
      </c>
      <c r="B1056" s="64" t="s">
        <v>36</v>
      </c>
      <c r="C1056" s="53" t="n">
        <v>268</v>
      </c>
      <c r="D1056" s="53" t="n">
        <v>3</v>
      </c>
      <c r="E1056" s="65" t="str">
        <f aca="false">IF($H1056="","",购销流水!$B268)</f>
        <v/>
      </c>
      <c r="F1056" s="55" t="str">
        <f aca="false">IF($H1056="","",购销流水!$C268)</f>
        <v/>
      </c>
      <c r="G1056" s="48" t="str">
        <f aca="false">IF($H1056="","",购销流水!$N268)</f>
        <v/>
      </c>
      <c r="H1056" s="10" t="str">
        <f aca="false">IF($L1056="","",IF($L1056="@成本",购销流水!$U268,IF($L1056="@收入",购销流水!$T268,IF($L1056="@存货",购销流水!$S268,IF($L1056="@结算",购销流水!$R268,$L1056)))))</f>
        <v/>
      </c>
      <c r="I1056" s="42" t="n">
        <f aca="false">IF($M1056="借",$O1056,0)</f>
        <v>0</v>
      </c>
      <c r="J1056" s="42" t="n">
        <f aca="false">IF($M1056="贷",$O1056,0)</f>
        <v>0</v>
      </c>
      <c r="K1056" s="48" t="str">
        <f aca="false">IF($H1056="","",购销流水!$E268)</f>
        <v/>
      </c>
      <c r="L1056" s="66" t="str">
        <f aca="false">IF(购销流水!$D268="","",IFERROR(INDEX(记账规则!$A$6:$N$9,MATCH(购销流水!$D268,记账规则!$A$6:$A$9,0),9),""))</f>
        <v/>
      </c>
      <c r="M1056" s="66" t="str">
        <f aca="false">IF($L1056="","",IFERROR(INDEX(记账规则!$A$6:$N$9,MATCH(购销流水!$D268,记账规则!$A$6:$A$9,0),10),""))</f>
        <v/>
      </c>
      <c r="N1056" s="66" t="str">
        <f aca="false">IF($L1056="","",IFERROR(INDEX(记账规则!$A$6:$N$9,MATCH(购销流水!$D268,记账规则!$A$6:$A$9,0),11),""))</f>
        <v/>
      </c>
      <c r="O1056" s="67" t="n">
        <f aca="false">IF($H1056="",0,ROUND(IF($N1056="成本金额",N(购销流水!$W268),IF($N1056="金额",N(购销流水!$Q268),0)),2))</f>
        <v>0</v>
      </c>
      <c r="P1056" s="64" t="str">
        <f aca="false">IF(AND($H1056&lt;&gt;"",ROUND($O1056,2)&lt;&gt;0),"有","")</f>
        <v/>
      </c>
    </row>
    <row r="1057" customFormat="false" ht="15" hidden="true" customHeight="false" outlineLevel="0" collapsed="false">
      <c r="A1057" s="53" t="str">
        <f aca="false">IF($H1057="","",ROW()-5)</f>
        <v/>
      </c>
      <c r="B1057" s="64" t="s">
        <v>36</v>
      </c>
      <c r="C1057" s="53" t="n">
        <v>268</v>
      </c>
      <c r="D1057" s="53" t="n">
        <v>4</v>
      </c>
      <c r="E1057" s="65" t="str">
        <f aca="false">IF($H1057="","",购销流水!$B268)</f>
        <v/>
      </c>
      <c r="F1057" s="55" t="str">
        <f aca="false">IF($H1057="","",购销流水!$C268)</f>
        <v/>
      </c>
      <c r="G1057" s="48" t="str">
        <f aca="false">IF($H1057="","",购销流水!$N268)</f>
        <v/>
      </c>
      <c r="H1057" s="10" t="str">
        <f aca="false">IF($L1057="","",IF($L1057="@成本",购销流水!$U268,IF($L1057="@收入",购销流水!$T268,IF($L1057="@存货",购销流水!$S268,IF($L1057="@结算",购销流水!$R268,$L1057)))))</f>
        <v/>
      </c>
      <c r="I1057" s="42" t="n">
        <f aca="false">IF($M1057="借",$O1057,0)</f>
        <v>0</v>
      </c>
      <c r="J1057" s="42" t="n">
        <f aca="false">IF($M1057="贷",$O1057,0)</f>
        <v>0</v>
      </c>
      <c r="K1057" s="48" t="str">
        <f aca="false">IF($H1057="","",购销流水!$E268)</f>
        <v/>
      </c>
      <c r="L1057" s="66" t="str">
        <f aca="false">IF(购销流水!$D268="","",IFERROR(INDEX(记账规则!$A$6:$N$9,MATCH(购销流水!$D268,记账规则!$A$6:$A$9,0),12),""))</f>
        <v/>
      </c>
      <c r="M1057" s="66" t="str">
        <f aca="false">IF($L1057="","",IFERROR(INDEX(记账规则!$A$6:$N$9,MATCH(购销流水!$D268,记账规则!$A$6:$A$9,0),13),""))</f>
        <v/>
      </c>
      <c r="N1057" s="66" t="str">
        <f aca="false">IF($L1057="","",IFERROR(INDEX(记账规则!$A$6:$N$9,MATCH(购销流水!$D268,记账规则!$A$6:$A$9,0),14),""))</f>
        <v/>
      </c>
      <c r="O1057" s="67" t="n">
        <f aca="false">IF($H1057="",0,ROUND(IF($N1057="成本金额",N(购销流水!$W268),IF($N1057="金额",N(购销流水!$Q268),0)),2))</f>
        <v>0</v>
      </c>
      <c r="P1057" s="64" t="str">
        <f aca="false">IF(AND($H1057&lt;&gt;"",ROUND($O1057,2)&lt;&gt;0),"有","")</f>
        <v/>
      </c>
    </row>
    <row r="1058" customFormat="false" ht="15" hidden="true" customHeight="false" outlineLevel="0" collapsed="false">
      <c r="A1058" s="53" t="str">
        <f aca="false">IF($H1058="","",ROW()-5)</f>
        <v/>
      </c>
      <c r="B1058" s="64" t="s">
        <v>36</v>
      </c>
      <c r="C1058" s="53" t="n">
        <v>269</v>
      </c>
      <c r="D1058" s="53" t="n">
        <v>1</v>
      </c>
      <c r="E1058" s="65" t="str">
        <f aca="false">IF($H1058="","",购销流水!$B269)</f>
        <v/>
      </c>
      <c r="F1058" s="55" t="str">
        <f aca="false">IF($H1058="","",购销流水!$C269)</f>
        <v/>
      </c>
      <c r="G1058" s="48" t="str">
        <f aca="false">IF($H1058="","",购销流水!$N269)</f>
        <v/>
      </c>
      <c r="H1058" s="10" t="str">
        <f aca="false">IF($L1058="","",IF($L1058="@成本",购销流水!$U269,IF($L1058="@收入",购销流水!$T269,IF($L1058="@存货",购销流水!$S269,IF($L1058="@结算",购销流水!$R269,$L1058)))))</f>
        <v/>
      </c>
      <c r="I1058" s="42" t="n">
        <f aca="false">IF($M1058="借",$O1058,0)</f>
        <v>0</v>
      </c>
      <c r="J1058" s="42" t="n">
        <f aca="false">IF($M1058="贷",$O1058,0)</f>
        <v>0</v>
      </c>
      <c r="K1058" s="48" t="str">
        <f aca="false">IF($H1058="","",购销流水!$E269)</f>
        <v/>
      </c>
      <c r="L1058" s="66" t="str">
        <f aca="false">IF(购销流水!$D269="","",IFERROR(INDEX(记账规则!$A$6:$N$9,MATCH(购销流水!$D269,记账规则!$A$6:$A$9,0),3),""))</f>
        <v/>
      </c>
      <c r="M1058" s="66" t="str">
        <f aca="false">IF($L1058="","",IFERROR(INDEX(记账规则!$A$6:$N$9,MATCH(购销流水!$D269,记账规则!$A$6:$A$9,0),4),""))</f>
        <v/>
      </c>
      <c r="N1058" s="66" t="str">
        <f aca="false">IF($L1058="","",IFERROR(INDEX(记账规则!$A$6:$N$9,MATCH(购销流水!$D269,记账规则!$A$6:$A$9,0),5),""))</f>
        <v/>
      </c>
      <c r="O1058" s="67" t="n">
        <f aca="false">IF($H1058="",0,ROUND(IF($N1058="成本金额",N(购销流水!$W269),IF($N1058="金额",N(购销流水!$Q269),0)),2))</f>
        <v>0</v>
      </c>
      <c r="P1058" s="64" t="str">
        <f aca="false">IF(AND($H1058&lt;&gt;"",ROUND($O1058,2)&lt;&gt;0),"有","")</f>
        <v/>
      </c>
    </row>
    <row r="1059" customFormat="false" ht="15" hidden="true" customHeight="false" outlineLevel="0" collapsed="false">
      <c r="A1059" s="53" t="str">
        <f aca="false">IF($H1059="","",ROW()-5)</f>
        <v/>
      </c>
      <c r="B1059" s="64" t="s">
        <v>36</v>
      </c>
      <c r="C1059" s="53" t="n">
        <v>269</v>
      </c>
      <c r="D1059" s="53" t="n">
        <v>2</v>
      </c>
      <c r="E1059" s="65" t="str">
        <f aca="false">IF($H1059="","",购销流水!$B269)</f>
        <v/>
      </c>
      <c r="F1059" s="55" t="str">
        <f aca="false">IF($H1059="","",购销流水!$C269)</f>
        <v/>
      </c>
      <c r="G1059" s="48" t="str">
        <f aca="false">IF($H1059="","",购销流水!$N269)</f>
        <v/>
      </c>
      <c r="H1059" s="10" t="str">
        <f aca="false">IF($L1059="","",IF($L1059="@成本",购销流水!$U269,IF($L1059="@收入",购销流水!$T269,IF($L1059="@存货",购销流水!$S269,IF($L1059="@结算",购销流水!$R269,$L1059)))))</f>
        <v/>
      </c>
      <c r="I1059" s="42" t="n">
        <f aca="false">IF($M1059="借",$O1059,0)</f>
        <v>0</v>
      </c>
      <c r="J1059" s="42" t="n">
        <f aca="false">IF($M1059="贷",$O1059,0)</f>
        <v>0</v>
      </c>
      <c r="K1059" s="48" t="str">
        <f aca="false">IF($H1059="","",购销流水!$E269)</f>
        <v/>
      </c>
      <c r="L1059" s="66" t="str">
        <f aca="false">IF(购销流水!$D269="","",IFERROR(INDEX(记账规则!$A$6:$N$9,MATCH(购销流水!$D269,记账规则!$A$6:$A$9,0),6),""))</f>
        <v/>
      </c>
      <c r="M1059" s="66" t="str">
        <f aca="false">IF($L1059="","",IFERROR(INDEX(记账规则!$A$6:$N$9,MATCH(购销流水!$D269,记账规则!$A$6:$A$9,0),7),""))</f>
        <v/>
      </c>
      <c r="N1059" s="66" t="str">
        <f aca="false">IF($L1059="","",IFERROR(INDEX(记账规则!$A$6:$N$9,MATCH(购销流水!$D269,记账规则!$A$6:$A$9,0),8),""))</f>
        <v/>
      </c>
      <c r="O1059" s="67" t="n">
        <f aca="false">IF($H1059="",0,ROUND(IF($N1059="成本金额",N(购销流水!$W269),IF($N1059="金额",N(购销流水!$Q269),0)),2))</f>
        <v>0</v>
      </c>
      <c r="P1059" s="64" t="str">
        <f aca="false">IF(AND($H1059&lt;&gt;"",ROUND($O1059,2)&lt;&gt;0),"有","")</f>
        <v/>
      </c>
    </row>
    <row r="1060" customFormat="false" ht="15" hidden="true" customHeight="false" outlineLevel="0" collapsed="false">
      <c r="A1060" s="53" t="str">
        <f aca="false">IF($H1060="","",ROW()-5)</f>
        <v/>
      </c>
      <c r="B1060" s="64" t="s">
        <v>36</v>
      </c>
      <c r="C1060" s="53" t="n">
        <v>269</v>
      </c>
      <c r="D1060" s="53" t="n">
        <v>3</v>
      </c>
      <c r="E1060" s="65" t="str">
        <f aca="false">IF($H1060="","",购销流水!$B269)</f>
        <v/>
      </c>
      <c r="F1060" s="55" t="str">
        <f aca="false">IF($H1060="","",购销流水!$C269)</f>
        <v/>
      </c>
      <c r="G1060" s="48" t="str">
        <f aca="false">IF($H1060="","",购销流水!$N269)</f>
        <v/>
      </c>
      <c r="H1060" s="10" t="str">
        <f aca="false">IF($L1060="","",IF($L1060="@成本",购销流水!$U269,IF($L1060="@收入",购销流水!$T269,IF($L1060="@存货",购销流水!$S269,IF($L1060="@结算",购销流水!$R269,$L1060)))))</f>
        <v/>
      </c>
      <c r="I1060" s="42" t="n">
        <f aca="false">IF($M1060="借",$O1060,0)</f>
        <v>0</v>
      </c>
      <c r="J1060" s="42" t="n">
        <f aca="false">IF($M1060="贷",$O1060,0)</f>
        <v>0</v>
      </c>
      <c r="K1060" s="48" t="str">
        <f aca="false">IF($H1060="","",购销流水!$E269)</f>
        <v/>
      </c>
      <c r="L1060" s="66" t="str">
        <f aca="false">IF(购销流水!$D269="","",IFERROR(INDEX(记账规则!$A$6:$N$9,MATCH(购销流水!$D269,记账规则!$A$6:$A$9,0),9),""))</f>
        <v/>
      </c>
      <c r="M1060" s="66" t="str">
        <f aca="false">IF($L1060="","",IFERROR(INDEX(记账规则!$A$6:$N$9,MATCH(购销流水!$D269,记账规则!$A$6:$A$9,0),10),""))</f>
        <v/>
      </c>
      <c r="N1060" s="66" t="str">
        <f aca="false">IF($L1060="","",IFERROR(INDEX(记账规则!$A$6:$N$9,MATCH(购销流水!$D269,记账规则!$A$6:$A$9,0),11),""))</f>
        <v/>
      </c>
      <c r="O1060" s="67" t="n">
        <f aca="false">IF($H1060="",0,ROUND(IF($N1060="成本金额",N(购销流水!$W269),IF($N1060="金额",N(购销流水!$Q269),0)),2))</f>
        <v>0</v>
      </c>
      <c r="P1060" s="64" t="str">
        <f aca="false">IF(AND($H1060&lt;&gt;"",ROUND($O1060,2)&lt;&gt;0),"有","")</f>
        <v/>
      </c>
    </row>
    <row r="1061" customFormat="false" ht="15" hidden="true" customHeight="false" outlineLevel="0" collapsed="false">
      <c r="A1061" s="53" t="str">
        <f aca="false">IF($H1061="","",ROW()-5)</f>
        <v/>
      </c>
      <c r="B1061" s="64" t="s">
        <v>36</v>
      </c>
      <c r="C1061" s="53" t="n">
        <v>269</v>
      </c>
      <c r="D1061" s="53" t="n">
        <v>4</v>
      </c>
      <c r="E1061" s="65" t="str">
        <f aca="false">IF($H1061="","",购销流水!$B269)</f>
        <v/>
      </c>
      <c r="F1061" s="55" t="str">
        <f aca="false">IF($H1061="","",购销流水!$C269)</f>
        <v/>
      </c>
      <c r="G1061" s="48" t="str">
        <f aca="false">IF($H1061="","",购销流水!$N269)</f>
        <v/>
      </c>
      <c r="H1061" s="10" t="str">
        <f aca="false">IF($L1061="","",IF($L1061="@成本",购销流水!$U269,IF($L1061="@收入",购销流水!$T269,IF($L1061="@存货",购销流水!$S269,IF($L1061="@结算",购销流水!$R269,$L1061)))))</f>
        <v/>
      </c>
      <c r="I1061" s="42" t="n">
        <f aca="false">IF($M1061="借",$O1061,0)</f>
        <v>0</v>
      </c>
      <c r="J1061" s="42" t="n">
        <f aca="false">IF($M1061="贷",$O1061,0)</f>
        <v>0</v>
      </c>
      <c r="K1061" s="48" t="str">
        <f aca="false">IF($H1061="","",购销流水!$E269)</f>
        <v/>
      </c>
      <c r="L1061" s="66" t="str">
        <f aca="false">IF(购销流水!$D269="","",IFERROR(INDEX(记账规则!$A$6:$N$9,MATCH(购销流水!$D269,记账规则!$A$6:$A$9,0),12),""))</f>
        <v/>
      </c>
      <c r="M1061" s="66" t="str">
        <f aca="false">IF($L1061="","",IFERROR(INDEX(记账规则!$A$6:$N$9,MATCH(购销流水!$D269,记账规则!$A$6:$A$9,0),13),""))</f>
        <v/>
      </c>
      <c r="N1061" s="66" t="str">
        <f aca="false">IF($L1061="","",IFERROR(INDEX(记账规则!$A$6:$N$9,MATCH(购销流水!$D269,记账规则!$A$6:$A$9,0),14),""))</f>
        <v/>
      </c>
      <c r="O1061" s="67" t="n">
        <f aca="false">IF($H1061="",0,ROUND(IF($N1061="成本金额",N(购销流水!$W269),IF($N1061="金额",N(购销流水!$Q269),0)),2))</f>
        <v>0</v>
      </c>
      <c r="P1061" s="64" t="str">
        <f aca="false">IF(AND($H1061&lt;&gt;"",ROUND($O1061,2)&lt;&gt;0),"有","")</f>
        <v/>
      </c>
    </row>
    <row r="1062" customFormat="false" ht="15" hidden="true" customHeight="false" outlineLevel="0" collapsed="false">
      <c r="A1062" s="53" t="str">
        <f aca="false">IF($H1062="","",ROW()-5)</f>
        <v/>
      </c>
      <c r="B1062" s="64" t="s">
        <v>36</v>
      </c>
      <c r="C1062" s="53" t="n">
        <v>270</v>
      </c>
      <c r="D1062" s="53" t="n">
        <v>1</v>
      </c>
      <c r="E1062" s="65" t="str">
        <f aca="false">IF($H1062="","",购销流水!$B270)</f>
        <v/>
      </c>
      <c r="F1062" s="55" t="str">
        <f aca="false">IF($H1062="","",购销流水!$C270)</f>
        <v/>
      </c>
      <c r="G1062" s="48" t="str">
        <f aca="false">IF($H1062="","",购销流水!$N270)</f>
        <v/>
      </c>
      <c r="H1062" s="10" t="str">
        <f aca="false">IF($L1062="","",IF($L1062="@成本",购销流水!$U270,IF($L1062="@收入",购销流水!$T270,IF($L1062="@存货",购销流水!$S270,IF($L1062="@结算",购销流水!$R270,$L1062)))))</f>
        <v/>
      </c>
      <c r="I1062" s="42" t="n">
        <f aca="false">IF($M1062="借",$O1062,0)</f>
        <v>0</v>
      </c>
      <c r="J1062" s="42" t="n">
        <f aca="false">IF($M1062="贷",$O1062,0)</f>
        <v>0</v>
      </c>
      <c r="K1062" s="48" t="str">
        <f aca="false">IF($H1062="","",购销流水!$E270)</f>
        <v/>
      </c>
      <c r="L1062" s="66" t="str">
        <f aca="false">IF(购销流水!$D270="","",IFERROR(INDEX(记账规则!$A$6:$N$9,MATCH(购销流水!$D270,记账规则!$A$6:$A$9,0),3),""))</f>
        <v/>
      </c>
      <c r="M1062" s="66" t="str">
        <f aca="false">IF($L1062="","",IFERROR(INDEX(记账规则!$A$6:$N$9,MATCH(购销流水!$D270,记账规则!$A$6:$A$9,0),4),""))</f>
        <v/>
      </c>
      <c r="N1062" s="66" t="str">
        <f aca="false">IF($L1062="","",IFERROR(INDEX(记账规则!$A$6:$N$9,MATCH(购销流水!$D270,记账规则!$A$6:$A$9,0),5),""))</f>
        <v/>
      </c>
      <c r="O1062" s="67" t="n">
        <f aca="false">IF($H1062="",0,ROUND(IF($N1062="成本金额",N(购销流水!$W270),IF($N1062="金额",N(购销流水!$Q270),0)),2))</f>
        <v>0</v>
      </c>
      <c r="P1062" s="64" t="str">
        <f aca="false">IF(AND($H1062&lt;&gt;"",ROUND($O1062,2)&lt;&gt;0),"有","")</f>
        <v/>
      </c>
    </row>
    <row r="1063" customFormat="false" ht="15" hidden="true" customHeight="false" outlineLevel="0" collapsed="false">
      <c r="A1063" s="53" t="str">
        <f aca="false">IF($H1063="","",ROW()-5)</f>
        <v/>
      </c>
      <c r="B1063" s="64" t="s">
        <v>36</v>
      </c>
      <c r="C1063" s="53" t="n">
        <v>270</v>
      </c>
      <c r="D1063" s="53" t="n">
        <v>2</v>
      </c>
      <c r="E1063" s="65" t="str">
        <f aca="false">IF($H1063="","",购销流水!$B270)</f>
        <v/>
      </c>
      <c r="F1063" s="55" t="str">
        <f aca="false">IF($H1063="","",购销流水!$C270)</f>
        <v/>
      </c>
      <c r="G1063" s="48" t="str">
        <f aca="false">IF($H1063="","",购销流水!$N270)</f>
        <v/>
      </c>
      <c r="H1063" s="10" t="str">
        <f aca="false">IF($L1063="","",IF($L1063="@成本",购销流水!$U270,IF($L1063="@收入",购销流水!$T270,IF($L1063="@存货",购销流水!$S270,IF($L1063="@结算",购销流水!$R270,$L1063)))))</f>
        <v/>
      </c>
      <c r="I1063" s="42" t="n">
        <f aca="false">IF($M1063="借",$O1063,0)</f>
        <v>0</v>
      </c>
      <c r="J1063" s="42" t="n">
        <f aca="false">IF($M1063="贷",$O1063,0)</f>
        <v>0</v>
      </c>
      <c r="K1063" s="48" t="str">
        <f aca="false">IF($H1063="","",购销流水!$E270)</f>
        <v/>
      </c>
      <c r="L1063" s="66" t="str">
        <f aca="false">IF(购销流水!$D270="","",IFERROR(INDEX(记账规则!$A$6:$N$9,MATCH(购销流水!$D270,记账规则!$A$6:$A$9,0),6),""))</f>
        <v/>
      </c>
      <c r="M1063" s="66" t="str">
        <f aca="false">IF($L1063="","",IFERROR(INDEX(记账规则!$A$6:$N$9,MATCH(购销流水!$D270,记账规则!$A$6:$A$9,0),7),""))</f>
        <v/>
      </c>
      <c r="N1063" s="66" t="str">
        <f aca="false">IF($L1063="","",IFERROR(INDEX(记账规则!$A$6:$N$9,MATCH(购销流水!$D270,记账规则!$A$6:$A$9,0),8),""))</f>
        <v/>
      </c>
      <c r="O1063" s="67" t="n">
        <f aca="false">IF($H1063="",0,ROUND(IF($N1063="成本金额",N(购销流水!$W270),IF($N1063="金额",N(购销流水!$Q270),0)),2))</f>
        <v>0</v>
      </c>
      <c r="P1063" s="64" t="str">
        <f aca="false">IF(AND($H1063&lt;&gt;"",ROUND($O1063,2)&lt;&gt;0),"有","")</f>
        <v/>
      </c>
    </row>
    <row r="1064" customFormat="false" ht="15" hidden="true" customHeight="false" outlineLevel="0" collapsed="false">
      <c r="A1064" s="53" t="str">
        <f aca="false">IF($H1064="","",ROW()-5)</f>
        <v/>
      </c>
      <c r="B1064" s="64" t="s">
        <v>36</v>
      </c>
      <c r="C1064" s="53" t="n">
        <v>270</v>
      </c>
      <c r="D1064" s="53" t="n">
        <v>3</v>
      </c>
      <c r="E1064" s="65" t="str">
        <f aca="false">IF($H1064="","",购销流水!$B270)</f>
        <v/>
      </c>
      <c r="F1064" s="55" t="str">
        <f aca="false">IF($H1064="","",购销流水!$C270)</f>
        <v/>
      </c>
      <c r="G1064" s="48" t="str">
        <f aca="false">IF($H1064="","",购销流水!$N270)</f>
        <v/>
      </c>
      <c r="H1064" s="10" t="str">
        <f aca="false">IF($L1064="","",IF($L1064="@成本",购销流水!$U270,IF($L1064="@收入",购销流水!$T270,IF($L1064="@存货",购销流水!$S270,IF($L1064="@结算",购销流水!$R270,$L1064)))))</f>
        <v/>
      </c>
      <c r="I1064" s="42" t="n">
        <f aca="false">IF($M1064="借",$O1064,0)</f>
        <v>0</v>
      </c>
      <c r="J1064" s="42" t="n">
        <f aca="false">IF($M1064="贷",$O1064,0)</f>
        <v>0</v>
      </c>
      <c r="K1064" s="48" t="str">
        <f aca="false">IF($H1064="","",购销流水!$E270)</f>
        <v/>
      </c>
      <c r="L1064" s="66" t="str">
        <f aca="false">IF(购销流水!$D270="","",IFERROR(INDEX(记账规则!$A$6:$N$9,MATCH(购销流水!$D270,记账规则!$A$6:$A$9,0),9),""))</f>
        <v/>
      </c>
      <c r="M1064" s="66" t="str">
        <f aca="false">IF($L1064="","",IFERROR(INDEX(记账规则!$A$6:$N$9,MATCH(购销流水!$D270,记账规则!$A$6:$A$9,0),10),""))</f>
        <v/>
      </c>
      <c r="N1064" s="66" t="str">
        <f aca="false">IF($L1064="","",IFERROR(INDEX(记账规则!$A$6:$N$9,MATCH(购销流水!$D270,记账规则!$A$6:$A$9,0),11),""))</f>
        <v/>
      </c>
      <c r="O1064" s="67" t="n">
        <f aca="false">IF($H1064="",0,ROUND(IF($N1064="成本金额",N(购销流水!$W270),IF($N1064="金额",N(购销流水!$Q270),0)),2))</f>
        <v>0</v>
      </c>
      <c r="P1064" s="64" t="str">
        <f aca="false">IF(AND($H1064&lt;&gt;"",ROUND($O1064,2)&lt;&gt;0),"有","")</f>
        <v/>
      </c>
    </row>
    <row r="1065" customFormat="false" ht="15" hidden="true" customHeight="false" outlineLevel="0" collapsed="false">
      <c r="A1065" s="53" t="str">
        <f aca="false">IF($H1065="","",ROW()-5)</f>
        <v/>
      </c>
      <c r="B1065" s="64" t="s">
        <v>36</v>
      </c>
      <c r="C1065" s="53" t="n">
        <v>270</v>
      </c>
      <c r="D1065" s="53" t="n">
        <v>4</v>
      </c>
      <c r="E1065" s="65" t="str">
        <f aca="false">IF($H1065="","",购销流水!$B270)</f>
        <v/>
      </c>
      <c r="F1065" s="55" t="str">
        <f aca="false">IF($H1065="","",购销流水!$C270)</f>
        <v/>
      </c>
      <c r="G1065" s="48" t="str">
        <f aca="false">IF($H1065="","",购销流水!$N270)</f>
        <v/>
      </c>
      <c r="H1065" s="10" t="str">
        <f aca="false">IF($L1065="","",IF($L1065="@成本",购销流水!$U270,IF($L1065="@收入",购销流水!$T270,IF($L1065="@存货",购销流水!$S270,IF($L1065="@结算",购销流水!$R270,$L1065)))))</f>
        <v/>
      </c>
      <c r="I1065" s="42" t="n">
        <f aca="false">IF($M1065="借",$O1065,0)</f>
        <v>0</v>
      </c>
      <c r="J1065" s="42" t="n">
        <f aca="false">IF($M1065="贷",$O1065,0)</f>
        <v>0</v>
      </c>
      <c r="K1065" s="48" t="str">
        <f aca="false">IF($H1065="","",购销流水!$E270)</f>
        <v/>
      </c>
      <c r="L1065" s="66" t="str">
        <f aca="false">IF(购销流水!$D270="","",IFERROR(INDEX(记账规则!$A$6:$N$9,MATCH(购销流水!$D270,记账规则!$A$6:$A$9,0),12),""))</f>
        <v/>
      </c>
      <c r="M1065" s="66" t="str">
        <f aca="false">IF($L1065="","",IFERROR(INDEX(记账规则!$A$6:$N$9,MATCH(购销流水!$D270,记账规则!$A$6:$A$9,0),13),""))</f>
        <v/>
      </c>
      <c r="N1065" s="66" t="str">
        <f aca="false">IF($L1065="","",IFERROR(INDEX(记账规则!$A$6:$N$9,MATCH(购销流水!$D270,记账规则!$A$6:$A$9,0),14),""))</f>
        <v/>
      </c>
      <c r="O1065" s="67" t="n">
        <f aca="false">IF($H1065="",0,ROUND(IF($N1065="成本金额",N(购销流水!$W270),IF($N1065="金额",N(购销流水!$Q270),0)),2))</f>
        <v>0</v>
      </c>
      <c r="P1065" s="64" t="str">
        <f aca="false">IF(AND($H1065&lt;&gt;"",ROUND($O1065,2)&lt;&gt;0),"有","")</f>
        <v/>
      </c>
    </row>
    <row r="1066" customFormat="false" ht="15" hidden="true" customHeight="false" outlineLevel="0" collapsed="false">
      <c r="A1066" s="53" t="str">
        <f aca="false">IF($H1066="","",ROW()-5)</f>
        <v/>
      </c>
      <c r="B1066" s="64" t="s">
        <v>36</v>
      </c>
      <c r="C1066" s="53" t="n">
        <v>271</v>
      </c>
      <c r="D1066" s="53" t="n">
        <v>1</v>
      </c>
      <c r="E1066" s="65" t="str">
        <f aca="false">IF($H1066="","",购销流水!$B271)</f>
        <v/>
      </c>
      <c r="F1066" s="55" t="str">
        <f aca="false">IF($H1066="","",购销流水!$C271)</f>
        <v/>
      </c>
      <c r="G1066" s="48" t="str">
        <f aca="false">IF($H1066="","",购销流水!$N271)</f>
        <v/>
      </c>
      <c r="H1066" s="10" t="str">
        <f aca="false">IF($L1066="","",IF($L1066="@成本",购销流水!$U271,IF($L1066="@收入",购销流水!$T271,IF($L1066="@存货",购销流水!$S271,IF($L1066="@结算",购销流水!$R271,$L1066)))))</f>
        <v/>
      </c>
      <c r="I1066" s="42" t="n">
        <f aca="false">IF($M1066="借",$O1066,0)</f>
        <v>0</v>
      </c>
      <c r="J1066" s="42" t="n">
        <f aca="false">IF($M1066="贷",$O1066,0)</f>
        <v>0</v>
      </c>
      <c r="K1066" s="48" t="str">
        <f aca="false">IF($H1066="","",购销流水!$E271)</f>
        <v/>
      </c>
      <c r="L1066" s="66" t="str">
        <f aca="false">IF(购销流水!$D271="","",IFERROR(INDEX(记账规则!$A$6:$N$9,MATCH(购销流水!$D271,记账规则!$A$6:$A$9,0),3),""))</f>
        <v/>
      </c>
      <c r="M1066" s="66" t="str">
        <f aca="false">IF($L1066="","",IFERROR(INDEX(记账规则!$A$6:$N$9,MATCH(购销流水!$D271,记账规则!$A$6:$A$9,0),4),""))</f>
        <v/>
      </c>
      <c r="N1066" s="66" t="str">
        <f aca="false">IF($L1066="","",IFERROR(INDEX(记账规则!$A$6:$N$9,MATCH(购销流水!$D271,记账规则!$A$6:$A$9,0),5),""))</f>
        <v/>
      </c>
      <c r="O1066" s="67" t="n">
        <f aca="false">IF($H1066="",0,ROUND(IF($N1066="成本金额",N(购销流水!$W271),IF($N1066="金额",N(购销流水!$Q271),0)),2))</f>
        <v>0</v>
      </c>
      <c r="P1066" s="64" t="str">
        <f aca="false">IF(AND($H1066&lt;&gt;"",ROUND($O1066,2)&lt;&gt;0),"有","")</f>
        <v/>
      </c>
    </row>
    <row r="1067" customFormat="false" ht="15" hidden="true" customHeight="false" outlineLevel="0" collapsed="false">
      <c r="A1067" s="53" t="str">
        <f aca="false">IF($H1067="","",ROW()-5)</f>
        <v/>
      </c>
      <c r="B1067" s="64" t="s">
        <v>36</v>
      </c>
      <c r="C1067" s="53" t="n">
        <v>271</v>
      </c>
      <c r="D1067" s="53" t="n">
        <v>2</v>
      </c>
      <c r="E1067" s="65" t="str">
        <f aca="false">IF($H1067="","",购销流水!$B271)</f>
        <v/>
      </c>
      <c r="F1067" s="55" t="str">
        <f aca="false">IF($H1067="","",购销流水!$C271)</f>
        <v/>
      </c>
      <c r="G1067" s="48" t="str">
        <f aca="false">IF($H1067="","",购销流水!$N271)</f>
        <v/>
      </c>
      <c r="H1067" s="10" t="str">
        <f aca="false">IF($L1067="","",IF($L1067="@成本",购销流水!$U271,IF($L1067="@收入",购销流水!$T271,IF($L1067="@存货",购销流水!$S271,IF($L1067="@结算",购销流水!$R271,$L1067)))))</f>
        <v/>
      </c>
      <c r="I1067" s="42" t="n">
        <f aca="false">IF($M1067="借",$O1067,0)</f>
        <v>0</v>
      </c>
      <c r="J1067" s="42" t="n">
        <f aca="false">IF($M1067="贷",$O1067,0)</f>
        <v>0</v>
      </c>
      <c r="K1067" s="48" t="str">
        <f aca="false">IF($H1067="","",购销流水!$E271)</f>
        <v/>
      </c>
      <c r="L1067" s="66" t="str">
        <f aca="false">IF(购销流水!$D271="","",IFERROR(INDEX(记账规则!$A$6:$N$9,MATCH(购销流水!$D271,记账规则!$A$6:$A$9,0),6),""))</f>
        <v/>
      </c>
      <c r="M1067" s="66" t="str">
        <f aca="false">IF($L1067="","",IFERROR(INDEX(记账规则!$A$6:$N$9,MATCH(购销流水!$D271,记账规则!$A$6:$A$9,0),7),""))</f>
        <v/>
      </c>
      <c r="N1067" s="66" t="str">
        <f aca="false">IF($L1067="","",IFERROR(INDEX(记账规则!$A$6:$N$9,MATCH(购销流水!$D271,记账规则!$A$6:$A$9,0),8),""))</f>
        <v/>
      </c>
      <c r="O1067" s="67" t="n">
        <f aca="false">IF($H1067="",0,ROUND(IF($N1067="成本金额",N(购销流水!$W271),IF($N1067="金额",N(购销流水!$Q271),0)),2))</f>
        <v>0</v>
      </c>
      <c r="P1067" s="64" t="str">
        <f aca="false">IF(AND($H1067&lt;&gt;"",ROUND($O1067,2)&lt;&gt;0),"有","")</f>
        <v/>
      </c>
    </row>
    <row r="1068" customFormat="false" ht="15" hidden="true" customHeight="false" outlineLevel="0" collapsed="false">
      <c r="A1068" s="53" t="str">
        <f aca="false">IF($H1068="","",ROW()-5)</f>
        <v/>
      </c>
      <c r="B1068" s="64" t="s">
        <v>36</v>
      </c>
      <c r="C1068" s="53" t="n">
        <v>271</v>
      </c>
      <c r="D1068" s="53" t="n">
        <v>3</v>
      </c>
      <c r="E1068" s="65" t="str">
        <f aca="false">IF($H1068="","",购销流水!$B271)</f>
        <v/>
      </c>
      <c r="F1068" s="55" t="str">
        <f aca="false">IF($H1068="","",购销流水!$C271)</f>
        <v/>
      </c>
      <c r="G1068" s="48" t="str">
        <f aca="false">IF($H1068="","",购销流水!$N271)</f>
        <v/>
      </c>
      <c r="H1068" s="10" t="str">
        <f aca="false">IF($L1068="","",IF($L1068="@成本",购销流水!$U271,IF($L1068="@收入",购销流水!$T271,IF($L1068="@存货",购销流水!$S271,IF($L1068="@结算",购销流水!$R271,$L1068)))))</f>
        <v/>
      </c>
      <c r="I1068" s="42" t="n">
        <f aca="false">IF($M1068="借",$O1068,0)</f>
        <v>0</v>
      </c>
      <c r="J1068" s="42" t="n">
        <f aca="false">IF($M1068="贷",$O1068,0)</f>
        <v>0</v>
      </c>
      <c r="K1068" s="48" t="str">
        <f aca="false">IF($H1068="","",购销流水!$E271)</f>
        <v/>
      </c>
      <c r="L1068" s="66" t="str">
        <f aca="false">IF(购销流水!$D271="","",IFERROR(INDEX(记账规则!$A$6:$N$9,MATCH(购销流水!$D271,记账规则!$A$6:$A$9,0),9),""))</f>
        <v/>
      </c>
      <c r="M1068" s="66" t="str">
        <f aca="false">IF($L1068="","",IFERROR(INDEX(记账规则!$A$6:$N$9,MATCH(购销流水!$D271,记账规则!$A$6:$A$9,0),10),""))</f>
        <v/>
      </c>
      <c r="N1068" s="66" t="str">
        <f aca="false">IF($L1068="","",IFERROR(INDEX(记账规则!$A$6:$N$9,MATCH(购销流水!$D271,记账规则!$A$6:$A$9,0),11),""))</f>
        <v/>
      </c>
      <c r="O1068" s="67" t="n">
        <f aca="false">IF($H1068="",0,ROUND(IF($N1068="成本金额",N(购销流水!$W271),IF($N1068="金额",N(购销流水!$Q271),0)),2))</f>
        <v>0</v>
      </c>
      <c r="P1068" s="64" t="str">
        <f aca="false">IF(AND($H1068&lt;&gt;"",ROUND($O1068,2)&lt;&gt;0),"有","")</f>
        <v/>
      </c>
    </row>
    <row r="1069" customFormat="false" ht="15" hidden="true" customHeight="false" outlineLevel="0" collapsed="false">
      <c r="A1069" s="53" t="str">
        <f aca="false">IF($H1069="","",ROW()-5)</f>
        <v/>
      </c>
      <c r="B1069" s="64" t="s">
        <v>36</v>
      </c>
      <c r="C1069" s="53" t="n">
        <v>271</v>
      </c>
      <c r="D1069" s="53" t="n">
        <v>4</v>
      </c>
      <c r="E1069" s="65" t="str">
        <f aca="false">IF($H1069="","",购销流水!$B271)</f>
        <v/>
      </c>
      <c r="F1069" s="55" t="str">
        <f aca="false">IF($H1069="","",购销流水!$C271)</f>
        <v/>
      </c>
      <c r="G1069" s="48" t="str">
        <f aca="false">IF($H1069="","",购销流水!$N271)</f>
        <v/>
      </c>
      <c r="H1069" s="10" t="str">
        <f aca="false">IF($L1069="","",IF($L1069="@成本",购销流水!$U271,IF($L1069="@收入",购销流水!$T271,IF($L1069="@存货",购销流水!$S271,IF($L1069="@结算",购销流水!$R271,$L1069)))))</f>
        <v/>
      </c>
      <c r="I1069" s="42" t="n">
        <f aca="false">IF($M1069="借",$O1069,0)</f>
        <v>0</v>
      </c>
      <c r="J1069" s="42" t="n">
        <f aca="false">IF($M1069="贷",$O1069,0)</f>
        <v>0</v>
      </c>
      <c r="K1069" s="48" t="str">
        <f aca="false">IF($H1069="","",购销流水!$E271)</f>
        <v/>
      </c>
      <c r="L1069" s="66" t="str">
        <f aca="false">IF(购销流水!$D271="","",IFERROR(INDEX(记账规则!$A$6:$N$9,MATCH(购销流水!$D271,记账规则!$A$6:$A$9,0),12),""))</f>
        <v/>
      </c>
      <c r="M1069" s="66" t="str">
        <f aca="false">IF($L1069="","",IFERROR(INDEX(记账规则!$A$6:$N$9,MATCH(购销流水!$D271,记账规则!$A$6:$A$9,0),13),""))</f>
        <v/>
      </c>
      <c r="N1069" s="66" t="str">
        <f aca="false">IF($L1069="","",IFERROR(INDEX(记账规则!$A$6:$N$9,MATCH(购销流水!$D271,记账规则!$A$6:$A$9,0),14),""))</f>
        <v/>
      </c>
      <c r="O1069" s="67" t="n">
        <f aca="false">IF($H1069="",0,ROUND(IF($N1069="成本金额",N(购销流水!$W271),IF($N1069="金额",N(购销流水!$Q271),0)),2))</f>
        <v>0</v>
      </c>
      <c r="P1069" s="64" t="str">
        <f aca="false">IF(AND($H1069&lt;&gt;"",ROUND($O1069,2)&lt;&gt;0),"有","")</f>
        <v/>
      </c>
    </row>
    <row r="1070" customFormat="false" ht="15" hidden="true" customHeight="false" outlineLevel="0" collapsed="false">
      <c r="A1070" s="53" t="str">
        <f aca="false">IF($H1070="","",ROW()-5)</f>
        <v/>
      </c>
      <c r="B1070" s="64" t="s">
        <v>36</v>
      </c>
      <c r="C1070" s="53" t="n">
        <v>272</v>
      </c>
      <c r="D1070" s="53" t="n">
        <v>1</v>
      </c>
      <c r="E1070" s="65" t="str">
        <f aca="false">IF($H1070="","",购销流水!$B272)</f>
        <v/>
      </c>
      <c r="F1070" s="55" t="str">
        <f aca="false">IF($H1070="","",购销流水!$C272)</f>
        <v/>
      </c>
      <c r="G1070" s="48" t="str">
        <f aca="false">IF($H1070="","",购销流水!$N272)</f>
        <v/>
      </c>
      <c r="H1070" s="10" t="str">
        <f aca="false">IF($L1070="","",IF($L1070="@成本",购销流水!$U272,IF($L1070="@收入",购销流水!$T272,IF($L1070="@存货",购销流水!$S272,IF($L1070="@结算",购销流水!$R272,$L1070)))))</f>
        <v/>
      </c>
      <c r="I1070" s="42" t="n">
        <f aca="false">IF($M1070="借",$O1070,0)</f>
        <v>0</v>
      </c>
      <c r="J1070" s="42" t="n">
        <f aca="false">IF($M1070="贷",$O1070,0)</f>
        <v>0</v>
      </c>
      <c r="K1070" s="48" t="str">
        <f aca="false">IF($H1070="","",购销流水!$E272)</f>
        <v/>
      </c>
      <c r="L1070" s="66" t="str">
        <f aca="false">IF(购销流水!$D272="","",IFERROR(INDEX(记账规则!$A$6:$N$9,MATCH(购销流水!$D272,记账规则!$A$6:$A$9,0),3),""))</f>
        <v/>
      </c>
      <c r="M1070" s="66" t="str">
        <f aca="false">IF($L1070="","",IFERROR(INDEX(记账规则!$A$6:$N$9,MATCH(购销流水!$D272,记账规则!$A$6:$A$9,0),4),""))</f>
        <v/>
      </c>
      <c r="N1070" s="66" t="str">
        <f aca="false">IF($L1070="","",IFERROR(INDEX(记账规则!$A$6:$N$9,MATCH(购销流水!$D272,记账规则!$A$6:$A$9,0),5),""))</f>
        <v/>
      </c>
      <c r="O1070" s="67" t="n">
        <f aca="false">IF($H1070="",0,ROUND(IF($N1070="成本金额",N(购销流水!$W272),IF($N1070="金额",N(购销流水!$Q272),0)),2))</f>
        <v>0</v>
      </c>
      <c r="P1070" s="64" t="str">
        <f aca="false">IF(AND($H1070&lt;&gt;"",ROUND($O1070,2)&lt;&gt;0),"有","")</f>
        <v/>
      </c>
    </row>
    <row r="1071" customFormat="false" ht="15" hidden="true" customHeight="false" outlineLevel="0" collapsed="false">
      <c r="A1071" s="53" t="str">
        <f aca="false">IF($H1071="","",ROW()-5)</f>
        <v/>
      </c>
      <c r="B1071" s="64" t="s">
        <v>36</v>
      </c>
      <c r="C1071" s="53" t="n">
        <v>272</v>
      </c>
      <c r="D1071" s="53" t="n">
        <v>2</v>
      </c>
      <c r="E1071" s="65" t="str">
        <f aca="false">IF($H1071="","",购销流水!$B272)</f>
        <v/>
      </c>
      <c r="F1071" s="55" t="str">
        <f aca="false">IF($H1071="","",购销流水!$C272)</f>
        <v/>
      </c>
      <c r="G1071" s="48" t="str">
        <f aca="false">IF($H1071="","",购销流水!$N272)</f>
        <v/>
      </c>
      <c r="H1071" s="10" t="str">
        <f aca="false">IF($L1071="","",IF($L1071="@成本",购销流水!$U272,IF($L1071="@收入",购销流水!$T272,IF($L1071="@存货",购销流水!$S272,IF($L1071="@结算",购销流水!$R272,$L1071)))))</f>
        <v/>
      </c>
      <c r="I1071" s="42" t="n">
        <f aca="false">IF($M1071="借",$O1071,0)</f>
        <v>0</v>
      </c>
      <c r="J1071" s="42" t="n">
        <f aca="false">IF($M1071="贷",$O1071,0)</f>
        <v>0</v>
      </c>
      <c r="K1071" s="48" t="str">
        <f aca="false">IF($H1071="","",购销流水!$E272)</f>
        <v/>
      </c>
      <c r="L1071" s="66" t="str">
        <f aca="false">IF(购销流水!$D272="","",IFERROR(INDEX(记账规则!$A$6:$N$9,MATCH(购销流水!$D272,记账规则!$A$6:$A$9,0),6),""))</f>
        <v/>
      </c>
      <c r="M1071" s="66" t="str">
        <f aca="false">IF($L1071="","",IFERROR(INDEX(记账规则!$A$6:$N$9,MATCH(购销流水!$D272,记账规则!$A$6:$A$9,0),7),""))</f>
        <v/>
      </c>
      <c r="N1071" s="66" t="str">
        <f aca="false">IF($L1071="","",IFERROR(INDEX(记账规则!$A$6:$N$9,MATCH(购销流水!$D272,记账规则!$A$6:$A$9,0),8),""))</f>
        <v/>
      </c>
      <c r="O1071" s="67" t="n">
        <f aca="false">IF($H1071="",0,ROUND(IF($N1071="成本金额",N(购销流水!$W272),IF($N1071="金额",N(购销流水!$Q272),0)),2))</f>
        <v>0</v>
      </c>
      <c r="P1071" s="64" t="str">
        <f aca="false">IF(AND($H1071&lt;&gt;"",ROUND($O1071,2)&lt;&gt;0),"有","")</f>
        <v/>
      </c>
    </row>
    <row r="1072" customFormat="false" ht="15" hidden="true" customHeight="false" outlineLevel="0" collapsed="false">
      <c r="A1072" s="53" t="str">
        <f aca="false">IF($H1072="","",ROW()-5)</f>
        <v/>
      </c>
      <c r="B1072" s="64" t="s">
        <v>36</v>
      </c>
      <c r="C1072" s="53" t="n">
        <v>272</v>
      </c>
      <c r="D1072" s="53" t="n">
        <v>3</v>
      </c>
      <c r="E1072" s="65" t="str">
        <f aca="false">IF($H1072="","",购销流水!$B272)</f>
        <v/>
      </c>
      <c r="F1072" s="55" t="str">
        <f aca="false">IF($H1072="","",购销流水!$C272)</f>
        <v/>
      </c>
      <c r="G1072" s="48" t="str">
        <f aca="false">IF($H1072="","",购销流水!$N272)</f>
        <v/>
      </c>
      <c r="H1072" s="10" t="str">
        <f aca="false">IF($L1072="","",IF($L1072="@成本",购销流水!$U272,IF($L1072="@收入",购销流水!$T272,IF($L1072="@存货",购销流水!$S272,IF($L1072="@结算",购销流水!$R272,$L1072)))))</f>
        <v/>
      </c>
      <c r="I1072" s="42" t="n">
        <f aca="false">IF($M1072="借",$O1072,0)</f>
        <v>0</v>
      </c>
      <c r="J1072" s="42" t="n">
        <f aca="false">IF($M1072="贷",$O1072,0)</f>
        <v>0</v>
      </c>
      <c r="K1072" s="48" t="str">
        <f aca="false">IF($H1072="","",购销流水!$E272)</f>
        <v/>
      </c>
      <c r="L1072" s="66" t="str">
        <f aca="false">IF(购销流水!$D272="","",IFERROR(INDEX(记账规则!$A$6:$N$9,MATCH(购销流水!$D272,记账规则!$A$6:$A$9,0),9),""))</f>
        <v/>
      </c>
      <c r="M1072" s="66" t="str">
        <f aca="false">IF($L1072="","",IFERROR(INDEX(记账规则!$A$6:$N$9,MATCH(购销流水!$D272,记账规则!$A$6:$A$9,0),10),""))</f>
        <v/>
      </c>
      <c r="N1072" s="66" t="str">
        <f aca="false">IF($L1072="","",IFERROR(INDEX(记账规则!$A$6:$N$9,MATCH(购销流水!$D272,记账规则!$A$6:$A$9,0),11),""))</f>
        <v/>
      </c>
      <c r="O1072" s="67" t="n">
        <f aca="false">IF($H1072="",0,ROUND(IF($N1072="成本金额",N(购销流水!$W272),IF($N1072="金额",N(购销流水!$Q272),0)),2))</f>
        <v>0</v>
      </c>
      <c r="P1072" s="64" t="str">
        <f aca="false">IF(AND($H1072&lt;&gt;"",ROUND($O1072,2)&lt;&gt;0),"有","")</f>
        <v/>
      </c>
    </row>
    <row r="1073" customFormat="false" ht="15" hidden="true" customHeight="false" outlineLevel="0" collapsed="false">
      <c r="A1073" s="53" t="str">
        <f aca="false">IF($H1073="","",ROW()-5)</f>
        <v/>
      </c>
      <c r="B1073" s="64" t="s">
        <v>36</v>
      </c>
      <c r="C1073" s="53" t="n">
        <v>272</v>
      </c>
      <c r="D1073" s="53" t="n">
        <v>4</v>
      </c>
      <c r="E1073" s="65" t="str">
        <f aca="false">IF($H1073="","",购销流水!$B272)</f>
        <v/>
      </c>
      <c r="F1073" s="55" t="str">
        <f aca="false">IF($H1073="","",购销流水!$C272)</f>
        <v/>
      </c>
      <c r="G1073" s="48" t="str">
        <f aca="false">IF($H1073="","",购销流水!$N272)</f>
        <v/>
      </c>
      <c r="H1073" s="10" t="str">
        <f aca="false">IF($L1073="","",IF($L1073="@成本",购销流水!$U272,IF($L1073="@收入",购销流水!$T272,IF($L1073="@存货",购销流水!$S272,IF($L1073="@结算",购销流水!$R272,$L1073)))))</f>
        <v/>
      </c>
      <c r="I1073" s="42" t="n">
        <f aca="false">IF($M1073="借",$O1073,0)</f>
        <v>0</v>
      </c>
      <c r="J1073" s="42" t="n">
        <f aca="false">IF($M1073="贷",$O1073,0)</f>
        <v>0</v>
      </c>
      <c r="K1073" s="48" t="str">
        <f aca="false">IF($H1073="","",购销流水!$E272)</f>
        <v/>
      </c>
      <c r="L1073" s="66" t="str">
        <f aca="false">IF(购销流水!$D272="","",IFERROR(INDEX(记账规则!$A$6:$N$9,MATCH(购销流水!$D272,记账规则!$A$6:$A$9,0),12),""))</f>
        <v/>
      </c>
      <c r="M1073" s="66" t="str">
        <f aca="false">IF($L1073="","",IFERROR(INDEX(记账规则!$A$6:$N$9,MATCH(购销流水!$D272,记账规则!$A$6:$A$9,0),13),""))</f>
        <v/>
      </c>
      <c r="N1073" s="66" t="str">
        <f aca="false">IF($L1073="","",IFERROR(INDEX(记账规则!$A$6:$N$9,MATCH(购销流水!$D272,记账规则!$A$6:$A$9,0),14),""))</f>
        <v/>
      </c>
      <c r="O1073" s="67" t="n">
        <f aca="false">IF($H1073="",0,ROUND(IF($N1073="成本金额",N(购销流水!$W272),IF($N1073="金额",N(购销流水!$Q272),0)),2))</f>
        <v>0</v>
      </c>
      <c r="P1073" s="64" t="str">
        <f aca="false">IF(AND($H1073&lt;&gt;"",ROUND($O1073,2)&lt;&gt;0),"有","")</f>
        <v/>
      </c>
    </row>
    <row r="1074" customFormat="false" ht="15" hidden="true" customHeight="false" outlineLevel="0" collapsed="false">
      <c r="A1074" s="53" t="str">
        <f aca="false">IF($H1074="","",ROW()-5)</f>
        <v/>
      </c>
      <c r="B1074" s="64" t="s">
        <v>36</v>
      </c>
      <c r="C1074" s="53" t="n">
        <v>273</v>
      </c>
      <c r="D1074" s="53" t="n">
        <v>1</v>
      </c>
      <c r="E1074" s="65" t="str">
        <f aca="false">IF($H1074="","",购销流水!$B273)</f>
        <v/>
      </c>
      <c r="F1074" s="55" t="str">
        <f aca="false">IF($H1074="","",购销流水!$C273)</f>
        <v/>
      </c>
      <c r="G1074" s="48" t="str">
        <f aca="false">IF($H1074="","",购销流水!$N273)</f>
        <v/>
      </c>
      <c r="H1074" s="10" t="str">
        <f aca="false">IF($L1074="","",IF($L1074="@成本",购销流水!$U273,IF($L1074="@收入",购销流水!$T273,IF($L1074="@存货",购销流水!$S273,IF($L1074="@结算",购销流水!$R273,$L1074)))))</f>
        <v/>
      </c>
      <c r="I1074" s="42" t="n">
        <f aca="false">IF($M1074="借",$O1074,0)</f>
        <v>0</v>
      </c>
      <c r="J1074" s="42" t="n">
        <f aca="false">IF($M1074="贷",$O1074,0)</f>
        <v>0</v>
      </c>
      <c r="K1074" s="48" t="str">
        <f aca="false">IF($H1074="","",购销流水!$E273)</f>
        <v/>
      </c>
      <c r="L1074" s="66" t="str">
        <f aca="false">IF(购销流水!$D273="","",IFERROR(INDEX(记账规则!$A$6:$N$9,MATCH(购销流水!$D273,记账规则!$A$6:$A$9,0),3),""))</f>
        <v/>
      </c>
      <c r="M1074" s="66" t="str">
        <f aca="false">IF($L1074="","",IFERROR(INDEX(记账规则!$A$6:$N$9,MATCH(购销流水!$D273,记账规则!$A$6:$A$9,0),4),""))</f>
        <v/>
      </c>
      <c r="N1074" s="66" t="str">
        <f aca="false">IF($L1074="","",IFERROR(INDEX(记账规则!$A$6:$N$9,MATCH(购销流水!$D273,记账规则!$A$6:$A$9,0),5),""))</f>
        <v/>
      </c>
      <c r="O1074" s="67" t="n">
        <f aca="false">IF($H1074="",0,ROUND(IF($N1074="成本金额",N(购销流水!$W273),IF($N1074="金额",N(购销流水!$Q273),0)),2))</f>
        <v>0</v>
      </c>
      <c r="P1074" s="64" t="str">
        <f aca="false">IF(AND($H1074&lt;&gt;"",ROUND($O1074,2)&lt;&gt;0),"有","")</f>
        <v/>
      </c>
    </row>
    <row r="1075" customFormat="false" ht="15" hidden="true" customHeight="false" outlineLevel="0" collapsed="false">
      <c r="A1075" s="53" t="str">
        <f aca="false">IF($H1075="","",ROW()-5)</f>
        <v/>
      </c>
      <c r="B1075" s="64" t="s">
        <v>36</v>
      </c>
      <c r="C1075" s="53" t="n">
        <v>273</v>
      </c>
      <c r="D1075" s="53" t="n">
        <v>2</v>
      </c>
      <c r="E1075" s="65" t="str">
        <f aca="false">IF($H1075="","",购销流水!$B273)</f>
        <v/>
      </c>
      <c r="F1075" s="55" t="str">
        <f aca="false">IF($H1075="","",购销流水!$C273)</f>
        <v/>
      </c>
      <c r="G1075" s="48" t="str">
        <f aca="false">IF($H1075="","",购销流水!$N273)</f>
        <v/>
      </c>
      <c r="H1075" s="10" t="str">
        <f aca="false">IF($L1075="","",IF($L1075="@成本",购销流水!$U273,IF($L1075="@收入",购销流水!$T273,IF($L1075="@存货",购销流水!$S273,IF($L1075="@结算",购销流水!$R273,$L1075)))))</f>
        <v/>
      </c>
      <c r="I1075" s="42" t="n">
        <f aca="false">IF($M1075="借",$O1075,0)</f>
        <v>0</v>
      </c>
      <c r="J1075" s="42" t="n">
        <f aca="false">IF($M1075="贷",$O1075,0)</f>
        <v>0</v>
      </c>
      <c r="K1075" s="48" t="str">
        <f aca="false">IF($H1075="","",购销流水!$E273)</f>
        <v/>
      </c>
      <c r="L1075" s="66" t="str">
        <f aca="false">IF(购销流水!$D273="","",IFERROR(INDEX(记账规则!$A$6:$N$9,MATCH(购销流水!$D273,记账规则!$A$6:$A$9,0),6),""))</f>
        <v/>
      </c>
      <c r="M1075" s="66" t="str">
        <f aca="false">IF($L1075="","",IFERROR(INDEX(记账规则!$A$6:$N$9,MATCH(购销流水!$D273,记账规则!$A$6:$A$9,0),7),""))</f>
        <v/>
      </c>
      <c r="N1075" s="66" t="str">
        <f aca="false">IF($L1075="","",IFERROR(INDEX(记账规则!$A$6:$N$9,MATCH(购销流水!$D273,记账规则!$A$6:$A$9,0),8),""))</f>
        <v/>
      </c>
      <c r="O1075" s="67" t="n">
        <f aca="false">IF($H1075="",0,ROUND(IF($N1075="成本金额",N(购销流水!$W273),IF($N1075="金额",N(购销流水!$Q273),0)),2))</f>
        <v>0</v>
      </c>
      <c r="P1075" s="64" t="str">
        <f aca="false">IF(AND($H1075&lt;&gt;"",ROUND($O1075,2)&lt;&gt;0),"有","")</f>
        <v/>
      </c>
    </row>
    <row r="1076" customFormat="false" ht="15" hidden="true" customHeight="false" outlineLevel="0" collapsed="false">
      <c r="A1076" s="53" t="str">
        <f aca="false">IF($H1076="","",ROW()-5)</f>
        <v/>
      </c>
      <c r="B1076" s="64" t="s">
        <v>36</v>
      </c>
      <c r="C1076" s="53" t="n">
        <v>273</v>
      </c>
      <c r="D1076" s="53" t="n">
        <v>3</v>
      </c>
      <c r="E1076" s="65" t="str">
        <f aca="false">IF($H1076="","",购销流水!$B273)</f>
        <v/>
      </c>
      <c r="F1076" s="55" t="str">
        <f aca="false">IF($H1076="","",购销流水!$C273)</f>
        <v/>
      </c>
      <c r="G1076" s="48" t="str">
        <f aca="false">IF($H1076="","",购销流水!$N273)</f>
        <v/>
      </c>
      <c r="H1076" s="10" t="str">
        <f aca="false">IF($L1076="","",IF($L1076="@成本",购销流水!$U273,IF($L1076="@收入",购销流水!$T273,IF($L1076="@存货",购销流水!$S273,IF($L1076="@结算",购销流水!$R273,$L1076)))))</f>
        <v/>
      </c>
      <c r="I1076" s="42" t="n">
        <f aca="false">IF($M1076="借",$O1076,0)</f>
        <v>0</v>
      </c>
      <c r="J1076" s="42" t="n">
        <f aca="false">IF($M1076="贷",$O1076,0)</f>
        <v>0</v>
      </c>
      <c r="K1076" s="48" t="str">
        <f aca="false">IF($H1076="","",购销流水!$E273)</f>
        <v/>
      </c>
      <c r="L1076" s="66" t="str">
        <f aca="false">IF(购销流水!$D273="","",IFERROR(INDEX(记账规则!$A$6:$N$9,MATCH(购销流水!$D273,记账规则!$A$6:$A$9,0),9),""))</f>
        <v/>
      </c>
      <c r="M1076" s="66" t="str">
        <f aca="false">IF($L1076="","",IFERROR(INDEX(记账规则!$A$6:$N$9,MATCH(购销流水!$D273,记账规则!$A$6:$A$9,0),10),""))</f>
        <v/>
      </c>
      <c r="N1076" s="66" t="str">
        <f aca="false">IF($L1076="","",IFERROR(INDEX(记账规则!$A$6:$N$9,MATCH(购销流水!$D273,记账规则!$A$6:$A$9,0),11),""))</f>
        <v/>
      </c>
      <c r="O1076" s="67" t="n">
        <f aca="false">IF($H1076="",0,ROUND(IF($N1076="成本金额",N(购销流水!$W273),IF($N1076="金额",N(购销流水!$Q273),0)),2))</f>
        <v>0</v>
      </c>
      <c r="P1076" s="64" t="str">
        <f aca="false">IF(AND($H1076&lt;&gt;"",ROUND($O1076,2)&lt;&gt;0),"有","")</f>
        <v/>
      </c>
    </row>
    <row r="1077" customFormat="false" ht="15" hidden="true" customHeight="false" outlineLevel="0" collapsed="false">
      <c r="A1077" s="53" t="str">
        <f aca="false">IF($H1077="","",ROW()-5)</f>
        <v/>
      </c>
      <c r="B1077" s="64" t="s">
        <v>36</v>
      </c>
      <c r="C1077" s="53" t="n">
        <v>273</v>
      </c>
      <c r="D1077" s="53" t="n">
        <v>4</v>
      </c>
      <c r="E1077" s="65" t="str">
        <f aca="false">IF($H1077="","",购销流水!$B273)</f>
        <v/>
      </c>
      <c r="F1077" s="55" t="str">
        <f aca="false">IF($H1077="","",购销流水!$C273)</f>
        <v/>
      </c>
      <c r="G1077" s="48" t="str">
        <f aca="false">IF($H1077="","",购销流水!$N273)</f>
        <v/>
      </c>
      <c r="H1077" s="10" t="str">
        <f aca="false">IF($L1077="","",IF($L1077="@成本",购销流水!$U273,IF($L1077="@收入",购销流水!$T273,IF($L1077="@存货",购销流水!$S273,IF($L1077="@结算",购销流水!$R273,$L1077)))))</f>
        <v/>
      </c>
      <c r="I1077" s="42" t="n">
        <f aca="false">IF($M1077="借",$O1077,0)</f>
        <v>0</v>
      </c>
      <c r="J1077" s="42" t="n">
        <f aca="false">IF($M1077="贷",$O1077,0)</f>
        <v>0</v>
      </c>
      <c r="K1077" s="48" t="str">
        <f aca="false">IF($H1077="","",购销流水!$E273)</f>
        <v/>
      </c>
      <c r="L1077" s="66" t="str">
        <f aca="false">IF(购销流水!$D273="","",IFERROR(INDEX(记账规则!$A$6:$N$9,MATCH(购销流水!$D273,记账规则!$A$6:$A$9,0),12),""))</f>
        <v/>
      </c>
      <c r="M1077" s="66" t="str">
        <f aca="false">IF($L1077="","",IFERROR(INDEX(记账规则!$A$6:$N$9,MATCH(购销流水!$D273,记账规则!$A$6:$A$9,0),13),""))</f>
        <v/>
      </c>
      <c r="N1077" s="66" t="str">
        <f aca="false">IF($L1077="","",IFERROR(INDEX(记账规则!$A$6:$N$9,MATCH(购销流水!$D273,记账规则!$A$6:$A$9,0),14),""))</f>
        <v/>
      </c>
      <c r="O1077" s="67" t="n">
        <f aca="false">IF($H1077="",0,ROUND(IF($N1077="成本金额",N(购销流水!$W273),IF($N1077="金额",N(购销流水!$Q273),0)),2))</f>
        <v>0</v>
      </c>
      <c r="P1077" s="64" t="str">
        <f aca="false">IF(AND($H1077&lt;&gt;"",ROUND($O1077,2)&lt;&gt;0),"有","")</f>
        <v/>
      </c>
    </row>
    <row r="1078" customFormat="false" ht="15" hidden="true" customHeight="false" outlineLevel="0" collapsed="false">
      <c r="A1078" s="53" t="str">
        <f aca="false">IF($H1078="","",ROW()-5)</f>
        <v/>
      </c>
      <c r="B1078" s="64" t="s">
        <v>36</v>
      </c>
      <c r="C1078" s="53" t="n">
        <v>274</v>
      </c>
      <c r="D1078" s="53" t="n">
        <v>1</v>
      </c>
      <c r="E1078" s="65" t="str">
        <f aca="false">IF($H1078="","",购销流水!$B274)</f>
        <v/>
      </c>
      <c r="F1078" s="55" t="str">
        <f aca="false">IF($H1078="","",购销流水!$C274)</f>
        <v/>
      </c>
      <c r="G1078" s="48" t="str">
        <f aca="false">IF($H1078="","",购销流水!$N274)</f>
        <v/>
      </c>
      <c r="H1078" s="10" t="str">
        <f aca="false">IF($L1078="","",IF($L1078="@成本",购销流水!$U274,IF($L1078="@收入",购销流水!$T274,IF($L1078="@存货",购销流水!$S274,IF($L1078="@结算",购销流水!$R274,$L1078)))))</f>
        <v/>
      </c>
      <c r="I1078" s="42" t="n">
        <f aca="false">IF($M1078="借",$O1078,0)</f>
        <v>0</v>
      </c>
      <c r="J1078" s="42" t="n">
        <f aca="false">IF($M1078="贷",$O1078,0)</f>
        <v>0</v>
      </c>
      <c r="K1078" s="48" t="str">
        <f aca="false">IF($H1078="","",购销流水!$E274)</f>
        <v/>
      </c>
      <c r="L1078" s="66" t="str">
        <f aca="false">IF(购销流水!$D274="","",IFERROR(INDEX(记账规则!$A$6:$N$9,MATCH(购销流水!$D274,记账规则!$A$6:$A$9,0),3),""))</f>
        <v/>
      </c>
      <c r="M1078" s="66" t="str">
        <f aca="false">IF($L1078="","",IFERROR(INDEX(记账规则!$A$6:$N$9,MATCH(购销流水!$D274,记账规则!$A$6:$A$9,0),4),""))</f>
        <v/>
      </c>
      <c r="N1078" s="66" t="str">
        <f aca="false">IF($L1078="","",IFERROR(INDEX(记账规则!$A$6:$N$9,MATCH(购销流水!$D274,记账规则!$A$6:$A$9,0),5),""))</f>
        <v/>
      </c>
      <c r="O1078" s="67" t="n">
        <f aca="false">IF($H1078="",0,ROUND(IF($N1078="成本金额",N(购销流水!$W274),IF($N1078="金额",N(购销流水!$Q274),0)),2))</f>
        <v>0</v>
      </c>
      <c r="P1078" s="64" t="str">
        <f aca="false">IF(AND($H1078&lt;&gt;"",ROUND($O1078,2)&lt;&gt;0),"有","")</f>
        <v/>
      </c>
    </row>
    <row r="1079" customFormat="false" ht="15" hidden="true" customHeight="false" outlineLevel="0" collapsed="false">
      <c r="A1079" s="53" t="str">
        <f aca="false">IF($H1079="","",ROW()-5)</f>
        <v/>
      </c>
      <c r="B1079" s="64" t="s">
        <v>36</v>
      </c>
      <c r="C1079" s="53" t="n">
        <v>274</v>
      </c>
      <c r="D1079" s="53" t="n">
        <v>2</v>
      </c>
      <c r="E1079" s="65" t="str">
        <f aca="false">IF($H1079="","",购销流水!$B274)</f>
        <v/>
      </c>
      <c r="F1079" s="55" t="str">
        <f aca="false">IF($H1079="","",购销流水!$C274)</f>
        <v/>
      </c>
      <c r="G1079" s="48" t="str">
        <f aca="false">IF($H1079="","",购销流水!$N274)</f>
        <v/>
      </c>
      <c r="H1079" s="10" t="str">
        <f aca="false">IF($L1079="","",IF($L1079="@成本",购销流水!$U274,IF($L1079="@收入",购销流水!$T274,IF($L1079="@存货",购销流水!$S274,IF($L1079="@结算",购销流水!$R274,$L1079)))))</f>
        <v/>
      </c>
      <c r="I1079" s="42" t="n">
        <f aca="false">IF($M1079="借",$O1079,0)</f>
        <v>0</v>
      </c>
      <c r="J1079" s="42" t="n">
        <f aca="false">IF($M1079="贷",$O1079,0)</f>
        <v>0</v>
      </c>
      <c r="K1079" s="48" t="str">
        <f aca="false">IF($H1079="","",购销流水!$E274)</f>
        <v/>
      </c>
      <c r="L1079" s="66" t="str">
        <f aca="false">IF(购销流水!$D274="","",IFERROR(INDEX(记账规则!$A$6:$N$9,MATCH(购销流水!$D274,记账规则!$A$6:$A$9,0),6),""))</f>
        <v/>
      </c>
      <c r="M1079" s="66" t="str">
        <f aca="false">IF($L1079="","",IFERROR(INDEX(记账规则!$A$6:$N$9,MATCH(购销流水!$D274,记账规则!$A$6:$A$9,0),7),""))</f>
        <v/>
      </c>
      <c r="N1079" s="66" t="str">
        <f aca="false">IF($L1079="","",IFERROR(INDEX(记账规则!$A$6:$N$9,MATCH(购销流水!$D274,记账规则!$A$6:$A$9,0),8),""))</f>
        <v/>
      </c>
      <c r="O1079" s="67" t="n">
        <f aca="false">IF($H1079="",0,ROUND(IF($N1079="成本金额",N(购销流水!$W274),IF($N1079="金额",N(购销流水!$Q274),0)),2))</f>
        <v>0</v>
      </c>
      <c r="P1079" s="64" t="str">
        <f aca="false">IF(AND($H1079&lt;&gt;"",ROUND($O1079,2)&lt;&gt;0),"有","")</f>
        <v/>
      </c>
    </row>
    <row r="1080" customFormat="false" ht="15" hidden="true" customHeight="false" outlineLevel="0" collapsed="false">
      <c r="A1080" s="53" t="str">
        <f aca="false">IF($H1080="","",ROW()-5)</f>
        <v/>
      </c>
      <c r="B1080" s="64" t="s">
        <v>36</v>
      </c>
      <c r="C1080" s="53" t="n">
        <v>274</v>
      </c>
      <c r="D1080" s="53" t="n">
        <v>3</v>
      </c>
      <c r="E1080" s="65" t="str">
        <f aca="false">IF($H1080="","",购销流水!$B274)</f>
        <v/>
      </c>
      <c r="F1080" s="55" t="str">
        <f aca="false">IF($H1080="","",购销流水!$C274)</f>
        <v/>
      </c>
      <c r="G1080" s="48" t="str">
        <f aca="false">IF($H1080="","",购销流水!$N274)</f>
        <v/>
      </c>
      <c r="H1080" s="10" t="str">
        <f aca="false">IF($L1080="","",IF($L1080="@成本",购销流水!$U274,IF($L1080="@收入",购销流水!$T274,IF($L1080="@存货",购销流水!$S274,IF($L1080="@结算",购销流水!$R274,$L1080)))))</f>
        <v/>
      </c>
      <c r="I1080" s="42" t="n">
        <f aca="false">IF($M1080="借",$O1080,0)</f>
        <v>0</v>
      </c>
      <c r="J1080" s="42" t="n">
        <f aca="false">IF($M1080="贷",$O1080,0)</f>
        <v>0</v>
      </c>
      <c r="K1080" s="48" t="str">
        <f aca="false">IF($H1080="","",购销流水!$E274)</f>
        <v/>
      </c>
      <c r="L1080" s="66" t="str">
        <f aca="false">IF(购销流水!$D274="","",IFERROR(INDEX(记账规则!$A$6:$N$9,MATCH(购销流水!$D274,记账规则!$A$6:$A$9,0),9),""))</f>
        <v/>
      </c>
      <c r="M1080" s="66" t="str">
        <f aca="false">IF($L1080="","",IFERROR(INDEX(记账规则!$A$6:$N$9,MATCH(购销流水!$D274,记账规则!$A$6:$A$9,0),10),""))</f>
        <v/>
      </c>
      <c r="N1080" s="66" t="str">
        <f aca="false">IF($L1080="","",IFERROR(INDEX(记账规则!$A$6:$N$9,MATCH(购销流水!$D274,记账规则!$A$6:$A$9,0),11),""))</f>
        <v/>
      </c>
      <c r="O1080" s="67" t="n">
        <f aca="false">IF($H1080="",0,ROUND(IF($N1080="成本金额",N(购销流水!$W274),IF($N1080="金额",N(购销流水!$Q274),0)),2))</f>
        <v>0</v>
      </c>
      <c r="P1080" s="64" t="str">
        <f aca="false">IF(AND($H1080&lt;&gt;"",ROUND($O1080,2)&lt;&gt;0),"有","")</f>
        <v/>
      </c>
    </row>
    <row r="1081" customFormat="false" ht="15" hidden="true" customHeight="false" outlineLevel="0" collapsed="false">
      <c r="A1081" s="53" t="str">
        <f aca="false">IF($H1081="","",ROW()-5)</f>
        <v/>
      </c>
      <c r="B1081" s="64" t="s">
        <v>36</v>
      </c>
      <c r="C1081" s="53" t="n">
        <v>274</v>
      </c>
      <c r="D1081" s="53" t="n">
        <v>4</v>
      </c>
      <c r="E1081" s="65" t="str">
        <f aca="false">IF($H1081="","",购销流水!$B274)</f>
        <v/>
      </c>
      <c r="F1081" s="55" t="str">
        <f aca="false">IF($H1081="","",购销流水!$C274)</f>
        <v/>
      </c>
      <c r="G1081" s="48" t="str">
        <f aca="false">IF($H1081="","",购销流水!$N274)</f>
        <v/>
      </c>
      <c r="H1081" s="10" t="str">
        <f aca="false">IF($L1081="","",IF($L1081="@成本",购销流水!$U274,IF($L1081="@收入",购销流水!$T274,IF($L1081="@存货",购销流水!$S274,IF($L1081="@结算",购销流水!$R274,$L1081)))))</f>
        <v/>
      </c>
      <c r="I1081" s="42" t="n">
        <f aca="false">IF($M1081="借",$O1081,0)</f>
        <v>0</v>
      </c>
      <c r="J1081" s="42" t="n">
        <f aca="false">IF($M1081="贷",$O1081,0)</f>
        <v>0</v>
      </c>
      <c r="K1081" s="48" t="str">
        <f aca="false">IF($H1081="","",购销流水!$E274)</f>
        <v/>
      </c>
      <c r="L1081" s="66" t="str">
        <f aca="false">IF(购销流水!$D274="","",IFERROR(INDEX(记账规则!$A$6:$N$9,MATCH(购销流水!$D274,记账规则!$A$6:$A$9,0),12),""))</f>
        <v/>
      </c>
      <c r="M1081" s="66" t="str">
        <f aca="false">IF($L1081="","",IFERROR(INDEX(记账规则!$A$6:$N$9,MATCH(购销流水!$D274,记账规则!$A$6:$A$9,0),13),""))</f>
        <v/>
      </c>
      <c r="N1081" s="66" t="str">
        <f aca="false">IF($L1081="","",IFERROR(INDEX(记账规则!$A$6:$N$9,MATCH(购销流水!$D274,记账规则!$A$6:$A$9,0),14),""))</f>
        <v/>
      </c>
      <c r="O1081" s="67" t="n">
        <f aca="false">IF($H1081="",0,ROUND(IF($N1081="成本金额",N(购销流水!$W274),IF($N1081="金额",N(购销流水!$Q274),0)),2))</f>
        <v>0</v>
      </c>
      <c r="P1081" s="64" t="str">
        <f aca="false">IF(AND($H1081&lt;&gt;"",ROUND($O1081,2)&lt;&gt;0),"有","")</f>
        <v/>
      </c>
    </row>
    <row r="1082" customFormat="false" ht="15" hidden="true" customHeight="false" outlineLevel="0" collapsed="false">
      <c r="A1082" s="53" t="str">
        <f aca="false">IF($H1082="","",ROW()-5)</f>
        <v/>
      </c>
      <c r="B1082" s="64" t="s">
        <v>36</v>
      </c>
      <c r="C1082" s="53" t="n">
        <v>275</v>
      </c>
      <c r="D1082" s="53" t="n">
        <v>1</v>
      </c>
      <c r="E1082" s="65" t="str">
        <f aca="false">IF($H1082="","",购销流水!$B275)</f>
        <v/>
      </c>
      <c r="F1082" s="55" t="str">
        <f aca="false">IF($H1082="","",购销流水!$C275)</f>
        <v/>
      </c>
      <c r="G1082" s="48" t="str">
        <f aca="false">IF($H1082="","",购销流水!$N275)</f>
        <v/>
      </c>
      <c r="H1082" s="10" t="str">
        <f aca="false">IF($L1082="","",IF($L1082="@成本",购销流水!$U275,IF($L1082="@收入",购销流水!$T275,IF($L1082="@存货",购销流水!$S275,IF($L1082="@结算",购销流水!$R275,$L1082)))))</f>
        <v/>
      </c>
      <c r="I1082" s="42" t="n">
        <f aca="false">IF($M1082="借",$O1082,0)</f>
        <v>0</v>
      </c>
      <c r="J1082" s="42" t="n">
        <f aca="false">IF($M1082="贷",$O1082,0)</f>
        <v>0</v>
      </c>
      <c r="K1082" s="48" t="str">
        <f aca="false">IF($H1082="","",购销流水!$E275)</f>
        <v/>
      </c>
      <c r="L1082" s="66" t="str">
        <f aca="false">IF(购销流水!$D275="","",IFERROR(INDEX(记账规则!$A$6:$N$9,MATCH(购销流水!$D275,记账规则!$A$6:$A$9,0),3),""))</f>
        <v/>
      </c>
      <c r="M1082" s="66" t="str">
        <f aca="false">IF($L1082="","",IFERROR(INDEX(记账规则!$A$6:$N$9,MATCH(购销流水!$D275,记账规则!$A$6:$A$9,0),4),""))</f>
        <v/>
      </c>
      <c r="N1082" s="66" t="str">
        <f aca="false">IF($L1082="","",IFERROR(INDEX(记账规则!$A$6:$N$9,MATCH(购销流水!$D275,记账规则!$A$6:$A$9,0),5),""))</f>
        <v/>
      </c>
      <c r="O1082" s="67" t="n">
        <f aca="false">IF($H1082="",0,ROUND(IF($N1082="成本金额",N(购销流水!$W275),IF($N1082="金额",N(购销流水!$Q275),0)),2))</f>
        <v>0</v>
      </c>
      <c r="P1082" s="64" t="str">
        <f aca="false">IF(AND($H1082&lt;&gt;"",ROUND($O1082,2)&lt;&gt;0),"有","")</f>
        <v/>
      </c>
    </row>
    <row r="1083" customFormat="false" ht="15" hidden="true" customHeight="false" outlineLevel="0" collapsed="false">
      <c r="A1083" s="53" t="str">
        <f aca="false">IF($H1083="","",ROW()-5)</f>
        <v/>
      </c>
      <c r="B1083" s="64" t="s">
        <v>36</v>
      </c>
      <c r="C1083" s="53" t="n">
        <v>275</v>
      </c>
      <c r="D1083" s="53" t="n">
        <v>2</v>
      </c>
      <c r="E1083" s="65" t="str">
        <f aca="false">IF($H1083="","",购销流水!$B275)</f>
        <v/>
      </c>
      <c r="F1083" s="55" t="str">
        <f aca="false">IF($H1083="","",购销流水!$C275)</f>
        <v/>
      </c>
      <c r="G1083" s="48" t="str">
        <f aca="false">IF($H1083="","",购销流水!$N275)</f>
        <v/>
      </c>
      <c r="H1083" s="10" t="str">
        <f aca="false">IF($L1083="","",IF($L1083="@成本",购销流水!$U275,IF($L1083="@收入",购销流水!$T275,IF($L1083="@存货",购销流水!$S275,IF($L1083="@结算",购销流水!$R275,$L1083)))))</f>
        <v/>
      </c>
      <c r="I1083" s="42" t="n">
        <f aca="false">IF($M1083="借",$O1083,0)</f>
        <v>0</v>
      </c>
      <c r="J1083" s="42" t="n">
        <f aca="false">IF($M1083="贷",$O1083,0)</f>
        <v>0</v>
      </c>
      <c r="K1083" s="48" t="str">
        <f aca="false">IF($H1083="","",购销流水!$E275)</f>
        <v/>
      </c>
      <c r="L1083" s="66" t="str">
        <f aca="false">IF(购销流水!$D275="","",IFERROR(INDEX(记账规则!$A$6:$N$9,MATCH(购销流水!$D275,记账规则!$A$6:$A$9,0),6),""))</f>
        <v/>
      </c>
      <c r="M1083" s="66" t="str">
        <f aca="false">IF($L1083="","",IFERROR(INDEX(记账规则!$A$6:$N$9,MATCH(购销流水!$D275,记账规则!$A$6:$A$9,0),7),""))</f>
        <v/>
      </c>
      <c r="N1083" s="66" t="str">
        <f aca="false">IF($L1083="","",IFERROR(INDEX(记账规则!$A$6:$N$9,MATCH(购销流水!$D275,记账规则!$A$6:$A$9,0),8),""))</f>
        <v/>
      </c>
      <c r="O1083" s="67" t="n">
        <f aca="false">IF($H1083="",0,ROUND(IF($N1083="成本金额",N(购销流水!$W275),IF($N1083="金额",N(购销流水!$Q275),0)),2))</f>
        <v>0</v>
      </c>
      <c r="P1083" s="64" t="str">
        <f aca="false">IF(AND($H1083&lt;&gt;"",ROUND($O1083,2)&lt;&gt;0),"有","")</f>
        <v/>
      </c>
    </row>
    <row r="1084" customFormat="false" ht="15" hidden="true" customHeight="false" outlineLevel="0" collapsed="false">
      <c r="A1084" s="53" t="str">
        <f aca="false">IF($H1084="","",ROW()-5)</f>
        <v/>
      </c>
      <c r="B1084" s="64" t="s">
        <v>36</v>
      </c>
      <c r="C1084" s="53" t="n">
        <v>275</v>
      </c>
      <c r="D1084" s="53" t="n">
        <v>3</v>
      </c>
      <c r="E1084" s="65" t="str">
        <f aca="false">IF($H1084="","",购销流水!$B275)</f>
        <v/>
      </c>
      <c r="F1084" s="55" t="str">
        <f aca="false">IF($H1084="","",购销流水!$C275)</f>
        <v/>
      </c>
      <c r="G1084" s="48" t="str">
        <f aca="false">IF($H1084="","",购销流水!$N275)</f>
        <v/>
      </c>
      <c r="H1084" s="10" t="str">
        <f aca="false">IF($L1084="","",IF($L1084="@成本",购销流水!$U275,IF($L1084="@收入",购销流水!$T275,IF($L1084="@存货",购销流水!$S275,IF($L1084="@结算",购销流水!$R275,$L1084)))))</f>
        <v/>
      </c>
      <c r="I1084" s="42" t="n">
        <f aca="false">IF($M1084="借",$O1084,0)</f>
        <v>0</v>
      </c>
      <c r="J1084" s="42" t="n">
        <f aca="false">IF($M1084="贷",$O1084,0)</f>
        <v>0</v>
      </c>
      <c r="K1084" s="48" t="str">
        <f aca="false">IF($H1084="","",购销流水!$E275)</f>
        <v/>
      </c>
      <c r="L1084" s="66" t="str">
        <f aca="false">IF(购销流水!$D275="","",IFERROR(INDEX(记账规则!$A$6:$N$9,MATCH(购销流水!$D275,记账规则!$A$6:$A$9,0),9),""))</f>
        <v/>
      </c>
      <c r="M1084" s="66" t="str">
        <f aca="false">IF($L1084="","",IFERROR(INDEX(记账规则!$A$6:$N$9,MATCH(购销流水!$D275,记账规则!$A$6:$A$9,0),10),""))</f>
        <v/>
      </c>
      <c r="N1084" s="66" t="str">
        <f aca="false">IF($L1084="","",IFERROR(INDEX(记账规则!$A$6:$N$9,MATCH(购销流水!$D275,记账规则!$A$6:$A$9,0),11),""))</f>
        <v/>
      </c>
      <c r="O1084" s="67" t="n">
        <f aca="false">IF($H1084="",0,ROUND(IF($N1084="成本金额",N(购销流水!$W275),IF($N1084="金额",N(购销流水!$Q275),0)),2))</f>
        <v>0</v>
      </c>
      <c r="P1084" s="64" t="str">
        <f aca="false">IF(AND($H1084&lt;&gt;"",ROUND($O1084,2)&lt;&gt;0),"有","")</f>
        <v/>
      </c>
    </row>
    <row r="1085" customFormat="false" ht="15" hidden="true" customHeight="false" outlineLevel="0" collapsed="false">
      <c r="A1085" s="53" t="str">
        <f aca="false">IF($H1085="","",ROW()-5)</f>
        <v/>
      </c>
      <c r="B1085" s="64" t="s">
        <v>36</v>
      </c>
      <c r="C1085" s="53" t="n">
        <v>275</v>
      </c>
      <c r="D1085" s="53" t="n">
        <v>4</v>
      </c>
      <c r="E1085" s="65" t="str">
        <f aca="false">IF($H1085="","",购销流水!$B275)</f>
        <v/>
      </c>
      <c r="F1085" s="55" t="str">
        <f aca="false">IF($H1085="","",购销流水!$C275)</f>
        <v/>
      </c>
      <c r="G1085" s="48" t="str">
        <f aca="false">IF($H1085="","",购销流水!$N275)</f>
        <v/>
      </c>
      <c r="H1085" s="10" t="str">
        <f aca="false">IF($L1085="","",IF($L1085="@成本",购销流水!$U275,IF($L1085="@收入",购销流水!$T275,IF($L1085="@存货",购销流水!$S275,IF($L1085="@结算",购销流水!$R275,$L1085)))))</f>
        <v/>
      </c>
      <c r="I1085" s="42" t="n">
        <f aca="false">IF($M1085="借",$O1085,0)</f>
        <v>0</v>
      </c>
      <c r="J1085" s="42" t="n">
        <f aca="false">IF($M1085="贷",$O1085,0)</f>
        <v>0</v>
      </c>
      <c r="K1085" s="48" t="str">
        <f aca="false">IF($H1085="","",购销流水!$E275)</f>
        <v/>
      </c>
      <c r="L1085" s="66" t="str">
        <f aca="false">IF(购销流水!$D275="","",IFERROR(INDEX(记账规则!$A$6:$N$9,MATCH(购销流水!$D275,记账规则!$A$6:$A$9,0),12),""))</f>
        <v/>
      </c>
      <c r="M1085" s="66" t="str">
        <f aca="false">IF($L1085="","",IFERROR(INDEX(记账规则!$A$6:$N$9,MATCH(购销流水!$D275,记账规则!$A$6:$A$9,0),13),""))</f>
        <v/>
      </c>
      <c r="N1085" s="66" t="str">
        <f aca="false">IF($L1085="","",IFERROR(INDEX(记账规则!$A$6:$N$9,MATCH(购销流水!$D275,记账规则!$A$6:$A$9,0),14),""))</f>
        <v/>
      </c>
      <c r="O1085" s="67" t="n">
        <f aca="false">IF($H1085="",0,ROUND(IF($N1085="成本金额",N(购销流水!$W275),IF($N1085="金额",N(购销流水!$Q275),0)),2))</f>
        <v>0</v>
      </c>
      <c r="P1085" s="64" t="str">
        <f aca="false">IF(AND($H1085&lt;&gt;"",ROUND($O1085,2)&lt;&gt;0),"有","")</f>
        <v/>
      </c>
    </row>
    <row r="1086" customFormat="false" ht="15" hidden="true" customHeight="false" outlineLevel="0" collapsed="false">
      <c r="A1086" s="53" t="str">
        <f aca="false">IF($H1086="","",ROW()-5)</f>
        <v/>
      </c>
      <c r="B1086" s="64" t="s">
        <v>36</v>
      </c>
      <c r="C1086" s="53" t="n">
        <v>276</v>
      </c>
      <c r="D1086" s="53" t="n">
        <v>1</v>
      </c>
      <c r="E1086" s="65" t="str">
        <f aca="false">IF($H1086="","",购销流水!$B276)</f>
        <v/>
      </c>
      <c r="F1086" s="55" t="str">
        <f aca="false">IF($H1086="","",购销流水!$C276)</f>
        <v/>
      </c>
      <c r="G1086" s="48" t="str">
        <f aca="false">IF($H1086="","",购销流水!$N276)</f>
        <v/>
      </c>
      <c r="H1086" s="10" t="str">
        <f aca="false">IF($L1086="","",IF($L1086="@成本",购销流水!$U276,IF($L1086="@收入",购销流水!$T276,IF($L1086="@存货",购销流水!$S276,IF($L1086="@结算",购销流水!$R276,$L1086)))))</f>
        <v/>
      </c>
      <c r="I1086" s="42" t="n">
        <f aca="false">IF($M1086="借",$O1086,0)</f>
        <v>0</v>
      </c>
      <c r="J1086" s="42" t="n">
        <f aca="false">IF($M1086="贷",$O1086,0)</f>
        <v>0</v>
      </c>
      <c r="K1086" s="48" t="str">
        <f aca="false">IF($H1086="","",购销流水!$E276)</f>
        <v/>
      </c>
      <c r="L1086" s="66" t="str">
        <f aca="false">IF(购销流水!$D276="","",IFERROR(INDEX(记账规则!$A$6:$N$9,MATCH(购销流水!$D276,记账规则!$A$6:$A$9,0),3),""))</f>
        <v/>
      </c>
      <c r="M1086" s="66" t="str">
        <f aca="false">IF($L1086="","",IFERROR(INDEX(记账规则!$A$6:$N$9,MATCH(购销流水!$D276,记账规则!$A$6:$A$9,0),4),""))</f>
        <v/>
      </c>
      <c r="N1086" s="66" t="str">
        <f aca="false">IF($L1086="","",IFERROR(INDEX(记账规则!$A$6:$N$9,MATCH(购销流水!$D276,记账规则!$A$6:$A$9,0),5),""))</f>
        <v/>
      </c>
      <c r="O1086" s="67" t="n">
        <f aca="false">IF($H1086="",0,ROUND(IF($N1086="成本金额",N(购销流水!$W276),IF($N1086="金额",N(购销流水!$Q276),0)),2))</f>
        <v>0</v>
      </c>
      <c r="P1086" s="64" t="str">
        <f aca="false">IF(AND($H1086&lt;&gt;"",ROUND($O1086,2)&lt;&gt;0),"有","")</f>
        <v/>
      </c>
    </row>
    <row r="1087" customFormat="false" ht="15" hidden="true" customHeight="false" outlineLevel="0" collapsed="false">
      <c r="A1087" s="53" t="str">
        <f aca="false">IF($H1087="","",ROW()-5)</f>
        <v/>
      </c>
      <c r="B1087" s="64" t="s">
        <v>36</v>
      </c>
      <c r="C1087" s="53" t="n">
        <v>276</v>
      </c>
      <c r="D1087" s="53" t="n">
        <v>2</v>
      </c>
      <c r="E1087" s="65" t="str">
        <f aca="false">IF($H1087="","",购销流水!$B276)</f>
        <v/>
      </c>
      <c r="F1087" s="55" t="str">
        <f aca="false">IF($H1087="","",购销流水!$C276)</f>
        <v/>
      </c>
      <c r="G1087" s="48" t="str">
        <f aca="false">IF($H1087="","",购销流水!$N276)</f>
        <v/>
      </c>
      <c r="H1087" s="10" t="str">
        <f aca="false">IF($L1087="","",IF($L1087="@成本",购销流水!$U276,IF($L1087="@收入",购销流水!$T276,IF($L1087="@存货",购销流水!$S276,IF($L1087="@结算",购销流水!$R276,$L1087)))))</f>
        <v/>
      </c>
      <c r="I1087" s="42" t="n">
        <f aca="false">IF($M1087="借",$O1087,0)</f>
        <v>0</v>
      </c>
      <c r="J1087" s="42" t="n">
        <f aca="false">IF($M1087="贷",$O1087,0)</f>
        <v>0</v>
      </c>
      <c r="K1087" s="48" t="str">
        <f aca="false">IF($H1087="","",购销流水!$E276)</f>
        <v/>
      </c>
      <c r="L1087" s="66" t="str">
        <f aca="false">IF(购销流水!$D276="","",IFERROR(INDEX(记账规则!$A$6:$N$9,MATCH(购销流水!$D276,记账规则!$A$6:$A$9,0),6),""))</f>
        <v/>
      </c>
      <c r="M1087" s="66" t="str">
        <f aca="false">IF($L1087="","",IFERROR(INDEX(记账规则!$A$6:$N$9,MATCH(购销流水!$D276,记账规则!$A$6:$A$9,0),7),""))</f>
        <v/>
      </c>
      <c r="N1087" s="66" t="str">
        <f aca="false">IF($L1087="","",IFERROR(INDEX(记账规则!$A$6:$N$9,MATCH(购销流水!$D276,记账规则!$A$6:$A$9,0),8),""))</f>
        <v/>
      </c>
      <c r="O1087" s="67" t="n">
        <f aca="false">IF($H1087="",0,ROUND(IF($N1087="成本金额",N(购销流水!$W276),IF($N1087="金额",N(购销流水!$Q276),0)),2))</f>
        <v>0</v>
      </c>
      <c r="P1087" s="64" t="str">
        <f aca="false">IF(AND($H1087&lt;&gt;"",ROUND($O1087,2)&lt;&gt;0),"有","")</f>
        <v/>
      </c>
    </row>
    <row r="1088" customFormat="false" ht="15" hidden="true" customHeight="false" outlineLevel="0" collapsed="false">
      <c r="A1088" s="53" t="str">
        <f aca="false">IF($H1088="","",ROW()-5)</f>
        <v/>
      </c>
      <c r="B1088" s="64" t="s">
        <v>36</v>
      </c>
      <c r="C1088" s="53" t="n">
        <v>276</v>
      </c>
      <c r="D1088" s="53" t="n">
        <v>3</v>
      </c>
      <c r="E1088" s="65" t="str">
        <f aca="false">IF($H1088="","",购销流水!$B276)</f>
        <v/>
      </c>
      <c r="F1088" s="55" t="str">
        <f aca="false">IF($H1088="","",购销流水!$C276)</f>
        <v/>
      </c>
      <c r="G1088" s="48" t="str">
        <f aca="false">IF($H1088="","",购销流水!$N276)</f>
        <v/>
      </c>
      <c r="H1088" s="10" t="str">
        <f aca="false">IF($L1088="","",IF($L1088="@成本",购销流水!$U276,IF($L1088="@收入",购销流水!$T276,IF($L1088="@存货",购销流水!$S276,IF($L1088="@结算",购销流水!$R276,$L1088)))))</f>
        <v/>
      </c>
      <c r="I1088" s="42" t="n">
        <f aca="false">IF($M1088="借",$O1088,0)</f>
        <v>0</v>
      </c>
      <c r="J1088" s="42" t="n">
        <f aca="false">IF($M1088="贷",$O1088,0)</f>
        <v>0</v>
      </c>
      <c r="K1088" s="48" t="str">
        <f aca="false">IF($H1088="","",购销流水!$E276)</f>
        <v/>
      </c>
      <c r="L1088" s="66" t="str">
        <f aca="false">IF(购销流水!$D276="","",IFERROR(INDEX(记账规则!$A$6:$N$9,MATCH(购销流水!$D276,记账规则!$A$6:$A$9,0),9),""))</f>
        <v/>
      </c>
      <c r="M1088" s="66" t="str">
        <f aca="false">IF($L1088="","",IFERROR(INDEX(记账规则!$A$6:$N$9,MATCH(购销流水!$D276,记账规则!$A$6:$A$9,0),10),""))</f>
        <v/>
      </c>
      <c r="N1088" s="66" t="str">
        <f aca="false">IF($L1088="","",IFERROR(INDEX(记账规则!$A$6:$N$9,MATCH(购销流水!$D276,记账规则!$A$6:$A$9,0),11),""))</f>
        <v/>
      </c>
      <c r="O1088" s="67" t="n">
        <f aca="false">IF($H1088="",0,ROUND(IF($N1088="成本金额",N(购销流水!$W276),IF($N1088="金额",N(购销流水!$Q276),0)),2))</f>
        <v>0</v>
      </c>
      <c r="P1088" s="64" t="str">
        <f aca="false">IF(AND($H1088&lt;&gt;"",ROUND($O1088,2)&lt;&gt;0),"有","")</f>
        <v/>
      </c>
    </row>
    <row r="1089" customFormat="false" ht="15" hidden="true" customHeight="false" outlineLevel="0" collapsed="false">
      <c r="A1089" s="53" t="str">
        <f aca="false">IF($H1089="","",ROW()-5)</f>
        <v/>
      </c>
      <c r="B1089" s="64" t="s">
        <v>36</v>
      </c>
      <c r="C1089" s="53" t="n">
        <v>276</v>
      </c>
      <c r="D1089" s="53" t="n">
        <v>4</v>
      </c>
      <c r="E1089" s="65" t="str">
        <f aca="false">IF($H1089="","",购销流水!$B276)</f>
        <v/>
      </c>
      <c r="F1089" s="55" t="str">
        <f aca="false">IF($H1089="","",购销流水!$C276)</f>
        <v/>
      </c>
      <c r="G1089" s="48" t="str">
        <f aca="false">IF($H1089="","",购销流水!$N276)</f>
        <v/>
      </c>
      <c r="H1089" s="10" t="str">
        <f aca="false">IF($L1089="","",IF($L1089="@成本",购销流水!$U276,IF($L1089="@收入",购销流水!$T276,IF($L1089="@存货",购销流水!$S276,IF($L1089="@结算",购销流水!$R276,$L1089)))))</f>
        <v/>
      </c>
      <c r="I1089" s="42" t="n">
        <f aca="false">IF($M1089="借",$O1089,0)</f>
        <v>0</v>
      </c>
      <c r="J1089" s="42" t="n">
        <f aca="false">IF($M1089="贷",$O1089,0)</f>
        <v>0</v>
      </c>
      <c r="K1089" s="48" t="str">
        <f aca="false">IF($H1089="","",购销流水!$E276)</f>
        <v/>
      </c>
      <c r="L1089" s="66" t="str">
        <f aca="false">IF(购销流水!$D276="","",IFERROR(INDEX(记账规则!$A$6:$N$9,MATCH(购销流水!$D276,记账规则!$A$6:$A$9,0),12),""))</f>
        <v/>
      </c>
      <c r="M1089" s="66" t="str">
        <f aca="false">IF($L1089="","",IFERROR(INDEX(记账规则!$A$6:$N$9,MATCH(购销流水!$D276,记账规则!$A$6:$A$9,0),13),""))</f>
        <v/>
      </c>
      <c r="N1089" s="66" t="str">
        <f aca="false">IF($L1089="","",IFERROR(INDEX(记账规则!$A$6:$N$9,MATCH(购销流水!$D276,记账规则!$A$6:$A$9,0),14),""))</f>
        <v/>
      </c>
      <c r="O1089" s="67" t="n">
        <f aca="false">IF($H1089="",0,ROUND(IF($N1089="成本金额",N(购销流水!$W276),IF($N1089="金额",N(购销流水!$Q276),0)),2))</f>
        <v>0</v>
      </c>
      <c r="P1089" s="64" t="str">
        <f aca="false">IF(AND($H1089&lt;&gt;"",ROUND($O1089,2)&lt;&gt;0),"有","")</f>
        <v/>
      </c>
    </row>
    <row r="1090" customFormat="false" ht="15" hidden="true" customHeight="false" outlineLevel="0" collapsed="false">
      <c r="A1090" s="53" t="str">
        <f aca="false">IF($H1090="","",ROW()-5)</f>
        <v/>
      </c>
      <c r="B1090" s="64" t="s">
        <v>36</v>
      </c>
      <c r="C1090" s="53" t="n">
        <v>277</v>
      </c>
      <c r="D1090" s="53" t="n">
        <v>1</v>
      </c>
      <c r="E1090" s="65" t="str">
        <f aca="false">IF($H1090="","",购销流水!$B277)</f>
        <v/>
      </c>
      <c r="F1090" s="55" t="str">
        <f aca="false">IF($H1090="","",购销流水!$C277)</f>
        <v/>
      </c>
      <c r="G1090" s="48" t="str">
        <f aca="false">IF($H1090="","",购销流水!$N277)</f>
        <v/>
      </c>
      <c r="H1090" s="10" t="str">
        <f aca="false">IF($L1090="","",IF($L1090="@成本",购销流水!$U277,IF($L1090="@收入",购销流水!$T277,IF($L1090="@存货",购销流水!$S277,IF($L1090="@结算",购销流水!$R277,$L1090)))))</f>
        <v/>
      </c>
      <c r="I1090" s="42" t="n">
        <f aca="false">IF($M1090="借",$O1090,0)</f>
        <v>0</v>
      </c>
      <c r="J1090" s="42" t="n">
        <f aca="false">IF($M1090="贷",$O1090,0)</f>
        <v>0</v>
      </c>
      <c r="K1090" s="48" t="str">
        <f aca="false">IF($H1090="","",购销流水!$E277)</f>
        <v/>
      </c>
      <c r="L1090" s="66" t="str">
        <f aca="false">IF(购销流水!$D277="","",IFERROR(INDEX(记账规则!$A$6:$N$9,MATCH(购销流水!$D277,记账规则!$A$6:$A$9,0),3),""))</f>
        <v/>
      </c>
      <c r="M1090" s="66" t="str">
        <f aca="false">IF($L1090="","",IFERROR(INDEX(记账规则!$A$6:$N$9,MATCH(购销流水!$D277,记账规则!$A$6:$A$9,0),4),""))</f>
        <v/>
      </c>
      <c r="N1090" s="66" t="str">
        <f aca="false">IF($L1090="","",IFERROR(INDEX(记账规则!$A$6:$N$9,MATCH(购销流水!$D277,记账规则!$A$6:$A$9,0),5),""))</f>
        <v/>
      </c>
      <c r="O1090" s="67" t="n">
        <f aca="false">IF($H1090="",0,ROUND(IF($N1090="成本金额",N(购销流水!$W277),IF($N1090="金额",N(购销流水!$Q277),0)),2))</f>
        <v>0</v>
      </c>
      <c r="P1090" s="64" t="str">
        <f aca="false">IF(AND($H1090&lt;&gt;"",ROUND($O1090,2)&lt;&gt;0),"有","")</f>
        <v/>
      </c>
    </row>
    <row r="1091" customFormat="false" ht="15" hidden="true" customHeight="false" outlineLevel="0" collapsed="false">
      <c r="A1091" s="53" t="str">
        <f aca="false">IF($H1091="","",ROW()-5)</f>
        <v/>
      </c>
      <c r="B1091" s="64" t="s">
        <v>36</v>
      </c>
      <c r="C1091" s="53" t="n">
        <v>277</v>
      </c>
      <c r="D1091" s="53" t="n">
        <v>2</v>
      </c>
      <c r="E1091" s="65" t="str">
        <f aca="false">IF($H1091="","",购销流水!$B277)</f>
        <v/>
      </c>
      <c r="F1091" s="55" t="str">
        <f aca="false">IF($H1091="","",购销流水!$C277)</f>
        <v/>
      </c>
      <c r="G1091" s="48" t="str">
        <f aca="false">IF($H1091="","",购销流水!$N277)</f>
        <v/>
      </c>
      <c r="H1091" s="10" t="str">
        <f aca="false">IF($L1091="","",IF($L1091="@成本",购销流水!$U277,IF($L1091="@收入",购销流水!$T277,IF($L1091="@存货",购销流水!$S277,IF($L1091="@结算",购销流水!$R277,$L1091)))))</f>
        <v/>
      </c>
      <c r="I1091" s="42" t="n">
        <f aca="false">IF($M1091="借",$O1091,0)</f>
        <v>0</v>
      </c>
      <c r="J1091" s="42" t="n">
        <f aca="false">IF($M1091="贷",$O1091,0)</f>
        <v>0</v>
      </c>
      <c r="K1091" s="48" t="str">
        <f aca="false">IF($H1091="","",购销流水!$E277)</f>
        <v/>
      </c>
      <c r="L1091" s="66" t="str">
        <f aca="false">IF(购销流水!$D277="","",IFERROR(INDEX(记账规则!$A$6:$N$9,MATCH(购销流水!$D277,记账规则!$A$6:$A$9,0),6),""))</f>
        <v/>
      </c>
      <c r="M1091" s="66" t="str">
        <f aca="false">IF($L1091="","",IFERROR(INDEX(记账规则!$A$6:$N$9,MATCH(购销流水!$D277,记账规则!$A$6:$A$9,0),7),""))</f>
        <v/>
      </c>
      <c r="N1091" s="66" t="str">
        <f aca="false">IF($L1091="","",IFERROR(INDEX(记账规则!$A$6:$N$9,MATCH(购销流水!$D277,记账规则!$A$6:$A$9,0),8),""))</f>
        <v/>
      </c>
      <c r="O1091" s="67" t="n">
        <f aca="false">IF($H1091="",0,ROUND(IF($N1091="成本金额",N(购销流水!$W277),IF($N1091="金额",N(购销流水!$Q277),0)),2))</f>
        <v>0</v>
      </c>
      <c r="P1091" s="64" t="str">
        <f aca="false">IF(AND($H1091&lt;&gt;"",ROUND($O1091,2)&lt;&gt;0),"有","")</f>
        <v/>
      </c>
    </row>
    <row r="1092" customFormat="false" ht="15" hidden="true" customHeight="false" outlineLevel="0" collapsed="false">
      <c r="A1092" s="53" t="str">
        <f aca="false">IF($H1092="","",ROW()-5)</f>
        <v/>
      </c>
      <c r="B1092" s="64" t="s">
        <v>36</v>
      </c>
      <c r="C1092" s="53" t="n">
        <v>277</v>
      </c>
      <c r="D1092" s="53" t="n">
        <v>3</v>
      </c>
      <c r="E1092" s="65" t="str">
        <f aca="false">IF($H1092="","",购销流水!$B277)</f>
        <v/>
      </c>
      <c r="F1092" s="55" t="str">
        <f aca="false">IF($H1092="","",购销流水!$C277)</f>
        <v/>
      </c>
      <c r="G1092" s="48" t="str">
        <f aca="false">IF($H1092="","",购销流水!$N277)</f>
        <v/>
      </c>
      <c r="H1092" s="10" t="str">
        <f aca="false">IF($L1092="","",IF($L1092="@成本",购销流水!$U277,IF($L1092="@收入",购销流水!$T277,IF($L1092="@存货",购销流水!$S277,IF($L1092="@结算",购销流水!$R277,$L1092)))))</f>
        <v/>
      </c>
      <c r="I1092" s="42" t="n">
        <f aca="false">IF($M1092="借",$O1092,0)</f>
        <v>0</v>
      </c>
      <c r="J1092" s="42" t="n">
        <f aca="false">IF($M1092="贷",$O1092,0)</f>
        <v>0</v>
      </c>
      <c r="K1092" s="48" t="str">
        <f aca="false">IF($H1092="","",购销流水!$E277)</f>
        <v/>
      </c>
      <c r="L1092" s="66" t="str">
        <f aca="false">IF(购销流水!$D277="","",IFERROR(INDEX(记账规则!$A$6:$N$9,MATCH(购销流水!$D277,记账规则!$A$6:$A$9,0),9),""))</f>
        <v/>
      </c>
      <c r="M1092" s="66" t="str">
        <f aca="false">IF($L1092="","",IFERROR(INDEX(记账规则!$A$6:$N$9,MATCH(购销流水!$D277,记账规则!$A$6:$A$9,0),10),""))</f>
        <v/>
      </c>
      <c r="N1092" s="66" t="str">
        <f aca="false">IF($L1092="","",IFERROR(INDEX(记账规则!$A$6:$N$9,MATCH(购销流水!$D277,记账规则!$A$6:$A$9,0),11),""))</f>
        <v/>
      </c>
      <c r="O1092" s="67" t="n">
        <f aca="false">IF($H1092="",0,ROUND(IF($N1092="成本金额",N(购销流水!$W277),IF($N1092="金额",N(购销流水!$Q277),0)),2))</f>
        <v>0</v>
      </c>
      <c r="P1092" s="64" t="str">
        <f aca="false">IF(AND($H1092&lt;&gt;"",ROUND($O1092,2)&lt;&gt;0),"有","")</f>
        <v/>
      </c>
    </row>
    <row r="1093" customFormat="false" ht="15" hidden="true" customHeight="false" outlineLevel="0" collapsed="false">
      <c r="A1093" s="53" t="str">
        <f aca="false">IF($H1093="","",ROW()-5)</f>
        <v/>
      </c>
      <c r="B1093" s="64" t="s">
        <v>36</v>
      </c>
      <c r="C1093" s="53" t="n">
        <v>277</v>
      </c>
      <c r="D1093" s="53" t="n">
        <v>4</v>
      </c>
      <c r="E1093" s="65" t="str">
        <f aca="false">IF($H1093="","",购销流水!$B277)</f>
        <v/>
      </c>
      <c r="F1093" s="55" t="str">
        <f aca="false">IF($H1093="","",购销流水!$C277)</f>
        <v/>
      </c>
      <c r="G1093" s="48" t="str">
        <f aca="false">IF($H1093="","",购销流水!$N277)</f>
        <v/>
      </c>
      <c r="H1093" s="10" t="str">
        <f aca="false">IF($L1093="","",IF($L1093="@成本",购销流水!$U277,IF($L1093="@收入",购销流水!$T277,IF($L1093="@存货",购销流水!$S277,IF($L1093="@结算",购销流水!$R277,$L1093)))))</f>
        <v/>
      </c>
      <c r="I1093" s="42" t="n">
        <f aca="false">IF($M1093="借",$O1093,0)</f>
        <v>0</v>
      </c>
      <c r="J1093" s="42" t="n">
        <f aca="false">IF($M1093="贷",$O1093,0)</f>
        <v>0</v>
      </c>
      <c r="K1093" s="48" t="str">
        <f aca="false">IF($H1093="","",购销流水!$E277)</f>
        <v/>
      </c>
      <c r="L1093" s="66" t="str">
        <f aca="false">IF(购销流水!$D277="","",IFERROR(INDEX(记账规则!$A$6:$N$9,MATCH(购销流水!$D277,记账规则!$A$6:$A$9,0),12),""))</f>
        <v/>
      </c>
      <c r="M1093" s="66" t="str">
        <f aca="false">IF($L1093="","",IFERROR(INDEX(记账规则!$A$6:$N$9,MATCH(购销流水!$D277,记账规则!$A$6:$A$9,0),13),""))</f>
        <v/>
      </c>
      <c r="N1093" s="66" t="str">
        <f aca="false">IF($L1093="","",IFERROR(INDEX(记账规则!$A$6:$N$9,MATCH(购销流水!$D277,记账规则!$A$6:$A$9,0),14),""))</f>
        <v/>
      </c>
      <c r="O1093" s="67" t="n">
        <f aca="false">IF($H1093="",0,ROUND(IF($N1093="成本金额",N(购销流水!$W277),IF($N1093="金额",N(购销流水!$Q277),0)),2))</f>
        <v>0</v>
      </c>
      <c r="P1093" s="64" t="str">
        <f aca="false">IF(AND($H1093&lt;&gt;"",ROUND($O1093,2)&lt;&gt;0),"有","")</f>
        <v/>
      </c>
    </row>
    <row r="1094" customFormat="false" ht="15" hidden="true" customHeight="false" outlineLevel="0" collapsed="false">
      <c r="A1094" s="53" t="str">
        <f aca="false">IF($H1094="","",ROW()-5)</f>
        <v/>
      </c>
      <c r="B1094" s="64" t="s">
        <v>36</v>
      </c>
      <c r="C1094" s="53" t="n">
        <v>278</v>
      </c>
      <c r="D1094" s="53" t="n">
        <v>1</v>
      </c>
      <c r="E1094" s="65" t="str">
        <f aca="false">IF($H1094="","",购销流水!$B278)</f>
        <v/>
      </c>
      <c r="F1094" s="55" t="str">
        <f aca="false">IF($H1094="","",购销流水!$C278)</f>
        <v/>
      </c>
      <c r="G1094" s="48" t="str">
        <f aca="false">IF($H1094="","",购销流水!$N278)</f>
        <v/>
      </c>
      <c r="H1094" s="10" t="str">
        <f aca="false">IF($L1094="","",IF($L1094="@成本",购销流水!$U278,IF($L1094="@收入",购销流水!$T278,IF($L1094="@存货",购销流水!$S278,IF($L1094="@结算",购销流水!$R278,$L1094)))))</f>
        <v/>
      </c>
      <c r="I1094" s="42" t="n">
        <f aca="false">IF($M1094="借",$O1094,0)</f>
        <v>0</v>
      </c>
      <c r="J1094" s="42" t="n">
        <f aca="false">IF($M1094="贷",$O1094,0)</f>
        <v>0</v>
      </c>
      <c r="K1094" s="48" t="str">
        <f aca="false">IF($H1094="","",购销流水!$E278)</f>
        <v/>
      </c>
      <c r="L1094" s="66" t="str">
        <f aca="false">IF(购销流水!$D278="","",IFERROR(INDEX(记账规则!$A$6:$N$9,MATCH(购销流水!$D278,记账规则!$A$6:$A$9,0),3),""))</f>
        <v/>
      </c>
      <c r="M1094" s="66" t="str">
        <f aca="false">IF($L1094="","",IFERROR(INDEX(记账规则!$A$6:$N$9,MATCH(购销流水!$D278,记账规则!$A$6:$A$9,0),4),""))</f>
        <v/>
      </c>
      <c r="N1094" s="66" t="str">
        <f aca="false">IF($L1094="","",IFERROR(INDEX(记账规则!$A$6:$N$9,MATCH(购销流水!$D278,记账规则!$A$6:$A$9,0),5),""))</f>
        <v/>
      </c>
      <c r="O1094" s="67" t="n">
        <f aca="false">IF($H1094="",0,ROUND(IF($N1094="成本金额",N(购销流水!$W278),IF($N1094="金额",N(购销流水!$Q278),0)),2))</f>
        <v>0</v>
      </c>
      <c r="P1094" s="64" t="str">
        <f aca="false">IF(AND($H1094&lt;&gt;"",ROUND($O1094,2)&lt;&gt;0),"有","")</f>
        <v/>
      </c>
    </row>
    <row r="1095" customFormat="false" ht="15" hidden="true" customHeight="false" outlineLevel="0" collapsed="false">
      <c r="A1095" s="53" t="str">
        <f aca="false">IF($H1095="","",ROW()-5)</f>
        <v/>
      </c>
      <c r="B1095" s="64" t="s">
        <v>36</v>
      </c>
      <c r="C1095" s="53" t="n">
        <v>278</v>
      </c>
      <c r="D1095" s="53" t="n">
        <v>2</v>
      </c>
      <c r="E1095" s="65" t="str">
        <f aca="false">IF($H1095="","",购销流水!$B278)</f>
        <v/>
      </c>
      <c r="F1095" s="55" t="str">
        <f aca="false">IF($H1095="","",购销流水!$C278)</f>
        <v/>
      </c>
      <c r="G1095" s="48" t="str">
        <f aca="false">IF($H1095="","",购销流水!$N278)</f>
        <v/>
      </c>
      <c r="H1095" s="10" t="str">
        <f aca="false">IF($L1095="","",IF($L1095="@成本",购销流水!$U278,IF($L1095="@收入",购销流水!$T278,IF($L1095="@存货",购销流水!$S278,IF($L1095="@结算",购销流水!$R278,$L1095)))))</f>
        <v/>
      </c>
      <c r="I1095" s="42" t="n">
        <f aca="false">IF($M1095="借",$O1095,0)</f>
        <v>0</v>
      </c>
      <c r="J1095" s="42" t="n">
        <f aca="false">IF($M1095="贷",$O1095,0)</f>
        <v>0</v>
      </c>
      <c r="K1095" s="48" t="str">
        <f aca="false">IF($H1095="","",购销流水!$E278)</f>
        <v/>
      </c>
      <c r="L1095" s="66" t="str">
        <f aca="false">IF(购销流水!$D278="","",IFERROR(INDEX(记账规则!$A$6:$N$9,MATCH(购销流水!$D278,记账规则!$A$6:$A$9,0),6),""))</f>
        <v/>
      </c>
      <c r="M1095" s="66" t="str">
        <f aca="false">IF($L1095="","",IFERROR(INDEX(记账规则!$A$6:$N$9,MATCH(购销流水!$D278,记账规则!$A$6:$A$9,0),7),""))</f>
        <v/>
      </c>
      <c r="N1095" s="66" t="str">
        <f aca="false">IF($L1095="","",IFERROR(INDEX(记账规则!$A$6:$N$9,MATCH(购销流水!$D278,记账规则!$A$6:$A$9,0),8),""))</f>
        <v/>
      </c>
      <c r="O1095" s="67" t="n">
        <f aca="false">IF($H1095="",0,ROUND(IF($N1095="成本金额",N(购销流水!$W278),IF($N1095="金额",N(购销流水!$Q278),0)),2))</f>
        <v>0</v>
      </c>
      <c r="P1095" s="64" t="str">
        <f aca="false">IF(AND($H1095&lt;&gt;"",ROUND($O1095,2)&lt;&gt;0),"有","")</f>
        <v/>
      </c>
    </row>
    <row r="1096" customFormat="false" ht="15" hidden="true" customHeight="false" outlineLevel="0" collapsed="false">
      <c r="A1096" s="53" t="str">
        <f aca="false">IF($H1096="","",ROW()-5)</f>
        <v/>
      </c>
      <c r="B1096" s="64" t="s">
        <v>36</v>
      </c>
      <c r="C1096" s="53" t="n">
        <v>278</v>
      </c>
      <c r="D1096" s="53" t="n">
        <v>3</v>
      </c>
      <c r="E1096" s="65" t="str">
        <f aca="false">IF($H1096="","",购销流水!$B278)</f>
        <v/>
      </c>
      <c r="F1096" s="55" t="str">
        <f aca="false">IF($H1096="","",购销流水!$C278)</f>
        <v/>
      </c>
      <c r="G1096" s="48" t="str">
        <f aca="false">IF($H1096="","",购销流水!$N278)</f>
        <v/>
      </c>
      <c r="H1096" s="10" t="str">
        <f aca="false">IF($L1096="","",IF($L1096="@成本",购销流水!$U278,IF($L1096="@收入",购销流水!$T278,IF($L1096="@存货",购销流水!$S278,IF($L1096="@结算",购销流水!$R278,$L1096)))))</f>
        <v/>
      </c>
      <c r="I1096" s="42" t="n">
        <f aca="false">IF($M1096="借",$O1096,0)</f>
        <v>0</v>
      </c>
      <c r="J1096" s="42" t="n">
        <f aca="false">IF($M1096="贷",$O1096,0)</f>
        <v>0</v>
      </c>
      <c r="K1096" s="48" t="str">
        <f aca="false">IF($H1096="","",购销流水!$E278)</f>
        <v/>
      </c>
      <c r="L1096" s="66" t="str">
        <f aca="false">IF(购销流水!$D278="","",IFERROR(INDEX(记账规则!$A$6:$N$9,MATCH(购销流水!$D278,记账规则!$A$6:$A$9,0),9),""))</f>
        <v/>
      </c>
      <c r="M1096" s="66" t="str">
        <f aca="false">IF($L1096="","",IFERROR(INDEX(记账规则!$A$6:$N$9,MATCH(购销流水!$D278,记账规则!$A$6:$A$9,0),10),""))</f>
        <v/>
      </c>
      <c r="N1096" s="66" t="str">
        <f aca="false">IF($L1096="","",IFERROR(INDEX(记账规则!$A$6:$N$9,MATCH(购销流水!$D278,记账规则!$A$6:$A$9,0),11),""))</f>
        <v/>
      </c>
      <c r="O1096" s="67" t="n">
        <f aca="false">IF($H1096="",0,ROUND(IF($N1096="成本金额",N(购销流水!$W278),IF($N1096="金额",N(购销流水!$Q278),0)),2))</f>
        <v>0</v>
      </c>
      <c r="P1096" s="64" t="str">
        <f aca="false">IF(AND($H1096&lt;&gt;"",ROUND($O1096,2)&lt;&gt;0),"有","")</f>
        <v/>
      </c>
    </row>
    <row r="1097" customFormat="false" ht="15" hidden="true" customHeight="false" outlineLevel="0" collapsed="false">
      <c r="A1097" s="53" t="str">
        <f aca="false">IF($H1097="","",ROW()-5)</f>
        <v/>
      </c>
      <c r="B1097" s="64" t="s">
        <v>36</v>
      </c>
      <c r="C1097" s="53" t="n">
        <v>278</v>
      </c>
      <c r="D1097" s="53" t="n">
        <v>4</v>
      </c>
      <c r="E1097" s="65" t="str">
        <f aca="false">IF($H1097="","",购销流水!$B278)</f>
        <v/>
      </c>
      <c r="F1097" s="55" t="str">
        <f aca="false">IF($H1097="","",购销流水!$C278)</f>
        <v/>
      </c>
      <c r="G1097" s="48" t="str">
        <f aca="false">IF($H1097="","",购销流水!$N278)</f>
        <v/>
      </c>
      <c r="H1097" s="10" t="str">
        <f aca="false">IF($L1097="","",IF($L1097="@成本",购销流水!$U278,IF($L1097="@收入",购销流水!$T278,IF($L1097="@存货",购销流水!$S278,IF($L1097="@结算",购销流水!$R278,$L1097)))))</f>
        <v/>
      </c>
      <c r="I1097" s="42" t="n">
        <f aca="false">IF($M1097="借",$O1097,0)</f>
        <v>0</v>
      </c>
      <c r="J1097" s="42" t="n">
        <f aca="false">IF($M1097="贷",$O1097,0)</f>
        <v>0</v>
      </c>
      <c r="K1097" s="48" t="str">
        <f aca="false">IF($H1097="","",购销流水!$E278)</f>
        <v/>
      </c>
      <c r="L1097" s="66" t="str">
        <f aca="false">IF(购销流水!$D278="","",IFERROR(INDEX(记账规则!$A$6:$N$9,MATCH(购销流水!$D278,记账规则!$A$6:$A$9,0),12),""))</f>
        <v/>
      </c>
      <c r="M1097" s="66" t="str">
        <f aca="false">IF($L1097="","",IFERROR(INDEX(记账规则!$A$6:$N$9,MATCH(购销流水!$D278,记账规则!$A$6:$A$9,0),13),""))</f>
        <v/>
      </c>
      <c r="N1097" s="66" t="str">
        <f aca="false">IF($L1097="","",IFERROR(INDEX(记账规则!$A$6:$N$9,MATCH(购销流水!$D278,记账规则!$A$6:$A$9,0),14),""))</f>
        <v/>
      </c>
      <c r="O1097" s="67" t="n">
        <f aca="false">IF($H1097="",0,ROUND(IF($N1097="成本金额",N(购销流水!$W278),IF($N1097="金额",N(购销流水!$Q278),0)),2))</f>
        <v>0</v>
      </c>
      <c r="P1097" s="64" t="str">
        <f aca="false">IF(AND($H1097&lt;&gt;"",ROUND($O1097,2)&lt;&gt;0),"有","")</f>
        <v/>
      </c>
    </row>
    <row r="1098" customFormat="false" ht="15" hidden="true" customHeight="false" outlineLevel="0" collapsed="false">
      <c r="A1098" s="53" t="str">
        <f aca="false">IF($H1098="","",ROW()-5)</f>
        <v/>
      </c>
      <c r="B1098" s="64" t="s">
        <v>36</v>
      </c>
      <c r="C1098" s="53" t="n">
        <v>279</v>
      </c>
      <c r="D1098" s="53" t="n">
        <v>1</v>
      </c>
      <c r="E1098" s="65" t="str">
        <f aca="false">IF($H1098="","",购销流水!$B279)</f>
        <v/>
      </c>
      <c r="F1098" s="55" t="str">
        <f aca="false">IF($H1098="","",购销流水!$C279)</f>
        <v/>
      </c>
      <c r="G1098" s="48" t="str">
        <f aca="false">IF($H1098="","",购销流水!$N279)</f>
        <v/>
      </c>
      <c r="H1098" s="10" t="str">
        <f aca="false">IF($L1098="","",IF($L1098="@成本",购销流水!$U279,IF($L1098="@收入",购销流水!$T279,IF($L1098="@存货",购销流水!$S279,IF($L1098="@结算",购销流水!$R279,$L1098)))))</f>
        <v/>
      </c>
      <c r="I1098" s="42" t="n">
        <f aca="false">IF($M1098="借",$O1098,0)</f>
        <v>0</v>
      </c>
      <c r="J1098" s="42" t="n">
        <f aca="false">IF($M1098="贷",$O1098,0)</f>
        <v>0</v>
      </c>
      <c r="K1098" s="48" t="str">
        <f aca="false">IF($H1098="","",购销流水!$E279)</f>
        <v/>
      </c>
      <c r="L1098" s="66" t="str">
        <f aca="false">IF(购销流水!$D279="","",IFERROR(INDEX(记账规则!$A$6:$N$9,MATCH(购销流水!$D279,记账规则!$A$6:$A$9,0),3),""))</f>
        <v/>
      </c>
      <c r="M1098" s="66" t="str">
        <f aca="false">IF($L1098="","",IFERROR(INDEX(记账规则!$A$6:$N$9,MATCH(购销流水!$D279,记账规则!$A$6:$A$9,0),4),""))</f>
        <v/>
      </c>
      <c r="N1098" s="66" t="str">
        <f aca="false">IF($L1098="","",IFERROR(INDEX(记账规则!$A$6:$N$9,MATCH(购销流水!$D279,记账规则!$A$6:$A$9,0),5),""))</f>
        <v/>
      </c>
      <c r="O1098" s="67" t="n">
        <f aca="false">IF($H1098="",0,ROUND(IF($N1098="成本金额",N(购销流水!$W279),IF($N1098="金额",N(购销流水!$Q279),0)),2))</f>
        <v>0</v>
      </c>
      <c r="P1098" s="64" t="str">
        <f aca="false">IF(AND($H1098&lt;&gt;"",ROUND($O1098,2)&lt;&gt;0),"有","")</f>
        <v/>
      </c>
    </row>
    <row r="1099" customFormat="false" ht="15" hidden="true" customHeight="false" outlineLevel="0" collapsed="false">
      <c r="A1099" s="53" t="str">
        <f aca="false">IF($H1099="","",ROW()-5)</f>
        <v/>
      </c>
      <c r="B1099" s="64" t="s">
        <v>36</v>
      </c>
      <c r="C1099" s="53" t="n">
        <v>279</v>
      </c>
      <c r="D1099" s="53" t="n">
        <v>2</v>
      </c>
      <c r="E1099" s="65" t="str">
        <f aca="false">IF($H1099="","",购销流水!$B279)</f>
        <v/>
      </c>
      <c r="F1099" s="55" t="str">
        <f aca="false">IF($H1099="","",购销流水!$C279)</f>
        <v/>
      </c>
      <c r="G1099" s="48" t="str">
        <f aca="false">IF($H1099="","",购销流水!$N279)</f>
        <v/>
      </c>
      <c r="H1099" s="10" t="str">
        <f aca="false">IF($L1099="","",IF($L1099="@成本",购销流水!$U279,IF($L1099="@收入",购销流水!$T279,IF($L1099="@存货",购销流水!$S279,IF($L1099="@结算",购销流水!$R279,$L1099)))))</f>
        <v/>
      </c>
      <c r="I1099" s="42" t="n">
        <f aca="false">IF($M1099="借",$O1099,0)</f>
        <v>0</v>
      </c>
      <c r="J1099" s="42" t="n">
        <f aca="false">IF($M1099="贷",$O1099,0)</f>
        <v>0</v>
      </c>
      <c r="K1099" s="48" t="str">
        <f aca="false">IF($H1099="","",购销流水!$E279)</f>
        <v/>
      </c>
      <c r="L1099" s="66" t="str">
        <f aca="false">IF(购销流水!$D279="","",IFERROR(INDEX(记账规则!$A$6:$N$9,MATCH(购销流水!$D279,记账规则!$A$6:$A$9,0),6),""))</f>
        <v/>
      </c>
      <c r="M1099" s="66" t="str">
        <f aca="false">IF($L1099="","",IFERROR(INDEX(记账规则!$A$6:$N$9,MATCH(购销流水!$D279,记账规则!$A$6:$A$9,0),7),""))</f>
        <v/>
      </c>
      <c r="N1099" s="66" t="str">
        <f aca="false">IF($L1099="","",IFERROR(INDEX(记账规则!$A$6:$N$9,MATCH(购销流水!$D279,记账规则!$A$6:$A$9,0),8),""))</f>
        <v/>
      </c>
      <c r="O1099" s="67" t="n">
        <f aca="false">IF($H1099="",0,ROUND(IF($N1099="成本金额",N(购销流水!$W279),IF($N1099="金额",N(购销流水!$Q279),0)),2))</f>
        <v>0</v>
      </c>
      <c r="P1099" s="64" t="str">
        <f aca="false">IF(AND($H1099&lt;&gt;"",ROUND($O1099,2)&lt;&gt;0),"有","")</f>
        <v/>
      </c>
    </row>
    <row r="1100" customFormat="false" ht="15" hidden="true" customHeight="false" outlineLevel="0" collapsed="false">
      <c r="A1100" s="53" t="str">
        <f aca="false">IF($H1100="","",ROW()-5)</f>
        <v/>
      </c>
      <c r="B1100" s="64" t="s">
        <v>36</v>
      </c>
      <c r="C1100" s="53" t="n">
        <v>279</v>
      </c>
      <c r="D1100" s="53" t="n">
        <v>3</v>
      </c>
      <c r="E1100" s="65" t="str">
        <f aca="false">IF($H1100="","",购销流水!$B279)</f>
        <v/>
      </c>
      <c r="F1100" s="55" t="str">
        <f aca="false">IF($H1100="","",购销流水!$C279)</f>
        <v/>
      </c>
      <c r="G1100" s="48" t="str">
        <f aca="false">IF($H1100="","",购销流水!$N279)</f>
        <v/>
      </c>
      <c r="H1100" s="10" t="str">
        <f aca="false">IF($L1100="","",IF($L1100="@成本",购销流水!$U279,IF($L1100="@收入",购销流水!$T279,IF($L1100="@存货",购销流水!$S279,IF($L1100="@结算",购销流水!$R279,$L1100)))))</f>
        <v/>
      </c>
      <c r="I1100" s="42" t="n">
        <f aca="false">IF($M1100="借",$O1100,0)</f>
        <v>0</v>
      </c>
      <c r="J1100" s="42" t="n">
        <f aca="false">IF($M1100="贷",$O1100,0)</f>
        <v>0</v>
      </c>
      <c r="K1100" s="48" t="str">
        <f aca="false">IF($H1100="","",购销流水!$E279)</f>
        <v/>
      </c>
      <c r="L1100" s="66" t="str">
        <f aca="false">IF(购销流水!$D279="","",IFERROR(INDEX(记账规则!$A$6:$N$9,MATCH(购销流水!$D279,记账规则!$A$6:$A$9,0),9),""))</f>
        <v/>
      </c>
      <c r="M1100" s="66" t="str">
        <f aca="false">IF($L1100="","",IFERROR(INDEX(记账规则!$A$6:$N$9,MATCH(购销流水!$D279,记账规则!$A$6:$A$9,0),10),""))</f>
        <v/>
      </c>
      <c r="N1100" s="66" t="str">
        <f aca="false">IF($L1100="","",IFERROR(INDEX(记账规则!$A$6:$N$9,MATCH(购销流水!$D279,记账规则!$A$6:$A$9,0),11),""))</f>
        <v/>
      </c>
      <c r="O1100" s="67" t="n">
        <f aca="false">IF($H1100="",0,ROUND(IF($N1100="成本金额",N(购销流水!$W279),IF($N1100="金额",N(购销流水!$Q279),0)),2))</f>
        <v>0</v>
      </c>
      <c r="P1100" s="64" t="str">
        <f aca="false">IF(AND($H1100&lt;&gt;"",ROUND($O1100,2)&lt;&gt;0),"有","")</f>
        <v/>
      </c>
    </row>
    <row r="1101" customFormat="false" ht="15" hidden="true" customHeight="false" outlineLevel="0" collapsed="false">
      <c r="A1101" s="53" t="str">
        <f aca="false">IF($H1101="","",ROW()-5)</f>
        <v/>
      </c>
      <c r="B1101" s="64" t="s">
        <v>36</v>
      </c>
      <c r="C1101" s="53" t="n">
        <v>279</v>
      </c>
      <c r="D1101" s="53" t="n">
        <v>4</v>
      </c>
      <c r="E1101" s="65" t="str">
        <f aca="false">IF($H1101="","",购销流水!$B279)</f>
        <v/>
      </c>
      <c r="F1101" s="55" t="str">
        <f aca="false">IF($H1101="","",购销流水!$C279)</f>
        <v/>
      </c>
      <c r="G1101" s="48" t="str">
        <f aca="false">IF($H1101="","",购销流水!$N279)</f>
        <v/>
      </c>
      <c r="H1101" s="10" t="str">
        <f aca="false">IF($L1101="","",IF($L1101="@成本",购销流水!$U279,IF($L1101="@收入",购销流水!$T279,IF($L1101="@存货",购销流水!$S279,IF($L1101="@结算",购销流水!$R279,$L1101)))))</f>
        <v/>
      </c>
      <c r="I1101" s="42" t="n">
        <f aca="false">IF($M1101="借",$O1101,0)</f>
        <v>0</v>
      </c>
      <c r="J1101" s="42" t="n">
        <f aca="false">IF($M1101="贷",$O1101,0)</f>
        <v>0</v>
      </c>
      <c r="K1101" s="48" t="str">
        <f aca="false">IF($H1101="","",购销流水!$E279)</f>
        <v/>
      </c>
      <c r="L1101" s="66" t="str">
        <f aca="false">IF(购销流水!$D279="","",IFERROR(INDEX(记账规则!$A$6:$N$9,MATCH(购销流水!$D279,记账规则!$A$6:$A$9,0),12),""))</f>
        <v/>
      </c>
      <c r="M1101" s="66" t="str">
        <f aca="false">IF($L1101="","",IFERROR(INDEX(记账规则!$A$6:$N$9,MATCH(购销流水!$D279,记账规则!$A$6:$A$9,0),13),""))</f>
        <v/>
      </c>
      <c r="N1101" s="66" t="str">
        <f aca="false">IF($L1101="","",IFERROR(INDEX(记账规则!$A$6:$N$9,MATCH(购销流水!$D279,记账规则!$A$6:$A$9,0),14),""))</f>
        <v/>
      </c>
      <c r="O1101" s="67" t="n">
        <f aca="false">IF($H1101="",0,ROUND(IF($N1101="成本金额",N(购销流水!$W279),IF($N1101="金额",N(购销流水!$Q279),0)),2))</f>
        <v>0</v>
      </c>
      <c r="P1101" s="64" t="str">
        <f aca="false">IF(AND($H1101&lt;&gt;"",ROUND($O1101,2)&lt;&gt;0),"有","")</f>
        <v/>
      </c>
    </row>
    <row r="1102" customFormat="false" ht="15" hidden="true" customHeight="false" outlineLevel="0" collapsed="false">
      <c r="A1102" s="53" t="str">
        <f aca="false">IF($H1102="","",ROW()-5)</f>
        <v/>
      </c>
      <c r="B1102" s="64" t="s">
        <v>36</v>
      </c>
      <c r="C1102" s="53" t="n">
        <v>280</v>
      </c>
      <c r="D1102" s="53" t="n">
        <v>1</v>
      </c>
      <c r="E1102" s="65" t="str">
        <f aca="false">IF($H1102="","",购销流水!$B280)</f>
        <v/>
      </c>
      <c r="F1102" s="55" t="str">
        <f aca="false">IF($H1102="","",购销流水!$C280)</f>
        <v/>
      </c>
      <c r="G1102" s="48" t="str">
        <f aca="false">IF($H1102="","",购销流水!$N280)</f>
        <v/>
      </c>
      <c r="H1102" s="10" t="str">
        <f aca="false">IF($L1102="","",IF($L1102="@成本",购销流水!$U280,IF($L1102="@收入",购销流水!$T280,IF($L1102="@存货",购销流水!$S280,IF($L1102="@结算",购销流水!$R280,$L1102)))))</f>
        <v/>
      </c>
      <c r="I1102" s="42" t="n">
        <f aca="false">IF($M1102="借",$O1102,0)</f>
        <v>0</v>
      </c>
      <c r="J1102" s="42" t="n">
        <f aca="false">IF($M1102="贷",$O1102,0)</f>
        <v>0</v>
      </c>
      <c r="K1102" s="48" t="str">
        <f aca="false">IF($H1102="","",购销流水!$E280)</f>
        <v/>
      </c>
      <c r="L1102" s="66" t="str">
        <f aca="false">IF(购销流水!$D280="","",IFERROR(INDEX(记账规则!$A$6:$N$9,MATCH(购销流水!$D280,记账规则!$A$6:$A$9,0),3),""))</f>
        <v/>
      </c>
      <c r="M1102" s="66" t="str">
        <f aca="false">IF($L1102="","",IFERROR(INDEX(记账规则!$A$6:$N$9,MATCH(购销流水!$D280,记账规则!$A$6:$A$9,0),4),""))</f>
        <v/>
      </c>
      <c r="N1102" s="66" t="str">
        <f aca="false">IF($L1102="","",IFERROR(INDEX(记账规则!$A$6:$N$9,MATCH(购销流水!$D280,记账规则!$A$6:$A$9,0),5),""))</f>
        <v/>
      </c>
      <c r="O1102" s="67" t="n">
        <f aca="false">IF($H1102="",0,ROUND(IF($N1102="成本金额",N(购销流水!$W280),IF($N1102="金额",N(购销流水!$Q280),0)),2))</f>
        <v>0</v>
      </c>
      <c r="P1102" s="64" t="str">
        <f aca="false">IF(AND($H1102&lt;&gt;"",ROUND($O1102,2)&lt;&gt;0),"有","")</f>
        <v/>
      </c>
    </row>
    <row r="1103" customFormat="false" ht="15" hidden="true" customHeight="false" outlineLevel="0" collapsed="false">
      <c r="A1103" s="53" t="str">
        <f aca="false">IF($H1103="","",ROW()-5)</f>
        <v/>
      </c>
      <c r="B1103" s="64" t="s">
        <v>36</v>
      </c>
      <c r="C1103" s="53" t="n">
        <v>280</v>
      </c>
      <c r="D1103" s="53" t="n">
        <v>2</v>
      </c>
      <c r="E1103" s="65" t="str">
        <f aca="false">IF($H1103="","",购销流水!$B280)</f>
        <v/>
      </c>
      <c r="F1103" s="55" t="str">
        <f aca="false">IF($H1103="","",购销流水!$C280)</f>
        <v/>
      </c>
      <c r="G1103" s="48" t="str">
        <f aca="false">IF($H1103="","",购销流水!$N280)</f>
        <v/>
      </c>
      <c r="H1103" s="10" t="str">
        <f aca="false">IF($L1103="","",IF($L1103="@成本",购销流水!$U280,IF($L1103="@收入",购销流水!$T280,IF($L1103="@存货",购销流水!$S280,IF($L1103="@结算",购销流水!$R280,$L1103)))))</f>
        <v/>
      </c>
      <c r="I1103" s="42" t="n">
        <f aca="false">IF($M1103="借",$O1103,0)</f>
        <v>0</v>
      </c>
      <c r="J1103" s="42" t="n">
        <f aca="false">IF($M1103="贷",$O1103,0)</f>
        <v>0</v>
      </c>
      <c r="K1103" s="48" t="str">
        <f aca="false">IF($H1103="","",购销流水!$E280)</f>
        <v/>
      </c>
      <c r="L1103" s="66" t="str">
        <f aca="false">IF(购销流水!$D280="","",IFERROR(INDEX(记账规则!$A$6:$N$9,MATCH(购销流水!$D280,记账规则!$A$6:$A$9,0),6),""))</f>
        <v/>
      </c>
      <c r="M1103" s="66" t="str">
        <f aca="false">IF($L1103="","",IFERROR(INDEX(记账规则!$A$6:$N$9,MATCH(购销流水!$D280,记账规则!$A$6:$A$9,0),7),""))</f>
        <v/>
      </c>
      <c r="N1103" s="66" t="str">
        <f aca="false">IF($L1103="","",IFERROR(INDEX(记账规则!$A$6:$N$9,MATCH(购销流水!$D280,记账规则!$A$6:$A$9,0),8),""))</f>
        <v/>
      </c>
      <c r="O1103" s="67" t="n">
        <f aca="false">IF($H1103="",0,ROUND(IF($N1103="成本金额",N(购销流水!$W280),IF($N1103="金额",N(购销流水!$Q280),0)),2))</f>
        <v>0</v>
      </c>
      <c r="P1103" s="64" t="str">
        <f aca="false">IF(AND($H1103&lt;&gt;"",ROUND($O1103,2)&lt;&gt;0),"有","")</f>
        <v/>
      </c>
    </row>
    <row r="1104" customFormat="false" ht="15" hidden="true" customHeight="false" outlineLevel="0" collapsed="false">
      <c r="A1104" s="53" t="str">
        <f aca="false">IF($H1104="","",ROW()-5)</f>
        <v/>
      </c>
      <c r="B1104" s="64" t="s">
        <v>36</v>
      </c>
      <c r="C1104" s="53" t="n">
        <v>280</v>
      </c>
      <c r="D1104" s="53" t="n">
        <v>3</v>
      </c>
      <c r="E1104" s="65" t="str">
        <f aca="false">IF($H1104="","",购销流水!$B280)</f>
        <v/>
      </c>
      <c r="F1104" s="55" t="str">
        <f aca="false">IF($H1104="","",购销流水!$C280)</f>
        <v/>
      </c>
      <c r="G1104" s="48" t="str">
        <f aca="false">IF($H1104="","",购销流水!$N280)</f>
        <v/>
      </c>
      <c r="H1104" s="10" t="str">
        <f aca="false">IF($L1104="","",IF($L1104="@成本",购销流水!$U280,IF($L1104="@收入",购销流水!$T280,IF($L1104="@存货",购销流水!$S280,IF($L1104="@结算",购销流水!$R280,$L1104)))))</f>
        <v/>
      </c>
      <c r="I1104" s="42" t="n">
        <f aca="false">IF($M1104="借",$O1104,0)</f>
        <v>0</v>
      </c>
      <c r="J1104" s="42" t="n">
        <f aca="false">IF($M1104="贷",$O1104,0)</f>
        <v>0</v>
      </c>
      <c r="K1104" s="48" t="str">
        <f aca="false">IF($H1104="","",购销流水!$E280)</f>
        <v/>
      </c>
      <c r="L1104" s="66" t="str">
        <f aca="false">IF(购销流水!$D280="","",IFERROR(INDEX(记账规则!$A$6:$N$9,MATCH(购销流水!$D280,记账规则!$A$6:$A$9,0),9),""))</f>
        <v/>
      </c>
      <c r="M1104" s="66" t="str">
        <f aca="false">IF($L1104="","",IFERROR(INDEX(记账规则!$A$6:$N$9,MATCH(购销流水!$D280,记账规则!$A$6:$A$9,0),10),""))</f>
        <v/>
      </c>
      <c r="N1104" s="66" t="str">
        <f aca="false">IF($L1104="","",IFERROR(INDEX(记账规则!$A$6:$N$9,MATCH(购销流水!$D280,记账规则!$A$6:$A$9,0),11),""))</f>
        <v/>
      </c>
      <c r="O1104" s="67" t="n">
        <f aca="false">IF($H1104="",0,ROUND(IF($N1104="成本金额",N(购销流水!$W280),IF($N1104="金额",N(购销流水!$Q280),0)),2))</f>
        <v>0</v>
      </c>
      <c r="P1104" s="64" t="str">
        <f aca="false">IF(AND($H1104&lt;&gt;"",ROUND($O1104,2)&lt;&gt;0),"有","")</f>
        <v/>
      </c>
    </row>
    <row r="1105" customFormat="false" ht="15" hidden="true" customHeight="false" outlineLevel="0" collapsed="false">
      <c r="A1105" s="53" t="str">
        <f aca="false">IF($H1105="","",ROW()-5)</f>
        <v/>
      </c>
      <c r="B1105" s="64" t="s">
        <v>36</v>
      </c>
      <c r="C1105" s="53" t="n">
        <v>280</v>
      </c>
      <c r="D1105" s="53" t="n">
        <v>4</v>
      </c>
      <c r="E1105" s="65" t="str">
        <f aca="false">IF($H1105="","",购销流水!$B280)</f>
        <v/>
      </c>
      <c r="F1105" s="55" t="str">
        <f aca="false">IF($H1105="","",购销流水!$C280)</f>
        <v/>
      </c>
      <c r="G1105" s="48" t="str">
        <f aca="false">IF($H1105="","",购销流水!$N280)</f>
        <v/>
      </c>
      <c r="H1105" s="10" t="str">
        <f aca="false">IF($L1105="","",IF($L1105="@成本",购销流水!$U280,IF($L1105="@收入",购销流水!$T280,IF($L1105="@存货",购销流水!$S280,IF($L1105="@结算",购销流水!$R280,$L1105)))))</f>
        <v/>
      </c>
      <c r="I1105" s="42" t="n">
        <f aca="false">IF($M1105="借",$O1105,0)</f>
        <v>0</v>
      </c>
      <c r="J1105" s="42" t="n">
        <f aca="false">IF($M1105="贷",$O1105,0)</f>
        <v>0</v>
      </c>
      <c r="K1105" s="48" t="str">
        <f aca="false">IF($H1105="","",购销流水!$E280)</f>
        <v/>
      </c>
      <c r="L1105" s="66" t="str">
        <f aca="false">IF(购销流水!$D280="","",IFERROR(INDEX(记账规则!$A$6:$N$9,MATCH(购销流水!$D280,记账规则!$A$6:$A$9,0),12),""))</f>
        <v/>
      </c>
      <c r="M1105" s="66" t="str">
        <f aca="false">IF($L1105="","",IFERROR(INDEX(记账规则!$A$6:$N$9,MATCH(购销流水!$D280,记账规则!$A$6:$A$9,0),13),""))</f>
        <v/>
      </c>
      <c r="N1105" s="66" t="str">
        <f aca="false">IF($L1105="","",IFERROR(INDEX(记账规则!$A$6:$N$9,MATCH(购销流水!$D280,记账规则!$A$6:$A$9,0),14),""))</f>
        <v/>
      </c>
      <c r="O1105" s="67" t="n">
        <f aca="false">IF($H1105="",0,ROUND(IF($N1105="成本金额",N(购销流水!$W280),IF($N1105="金额",N(购销流水!$Q280),0)),2))</f>
        <v>0</v>
      </c>
      <c r="P1105" s="64" t="str">
        <f aca="false">IF(AND($H1105&lt;&gt;"",ROUND($O1105,2)&lt;&gt;0),"有","")</f>
        <v/>
      </c>
    </row>
    <row r="1106" customFormat="false" ht="15" hidden="true" customHeight="false" outlineLevel="0" collapsed="false">
      <c r="A1106" s="53" t="str">
        <f aca="false">IF($H1106="","",ROW()-5)</f>
        <v/>
      </c>
      <c r="B1106" s="64" t="s">
        <v>36</v>
      </c>
      <c r="C1106" s="53" t="n">
        <v>281</v>
      </c>
      <c r="D1106" s="53" t="n">
        <v>1</v>
      </c>
      <c r="E1106" s="65" t="str">
        <f aca="false">IF($H1106="","",购销流水!$B281)</f>
        <v/>
      </c>
      <c r="F1106" s="55" t="str">
        <f aca="false">IF($H1106="","",购销流水!$C281)</f>
        <v/>
      </c>
      <c r="G1106" s="48" t="str">
        <f aca="false">IF($H1106="","",购销流水!$N281)</f>
        <v/>
      </c>
      <c r="H1106" s="10" t="str">
        <f aca="false">IF($L1106="","",IF($L1106="@成本",购销流水!$U281,IF($L1106="@收入",购销流水!$T281,IF($L1106="@存货",购销流水!$S281,IF($L1106="@结算",购销流水!$R281,$L1106)))))</f>
        <v/>
      </c>
      <c r="I1106" s="42" t="n">
        <f aca="false">IF($M1106="借",$O1106,0)</f>
        <v>0</v>
      </c>
      <c r="J1106" s="42" t="n">
        <f aca="false">IF($M1106="贷",$O1106,0)</f>
        <v>0</v>
      </c>
      <c r="K1106" s="48" t="str">
        <f aca="false">IF($H1106="","",购销流水!$E281)</f>
        <v/>
      </c>
      <c r="L1106" s="66" t="str">
        <f aca="false">IF(购销流水!$D281="","",IFERROR(INDEX(记账规则!$A$6:$N$9,MATCH(购销流水!$D281,记账规则!$A$6:$A$9,0),3),""))</f>
        <v/>
      </c>
      <c r="M1106" s="66" t="str">
        <f aca="false">IF($L1106="","",IFERROR(INDEX(记账规则!$A$6:$N$9,MATCH(购销流水!$D281,记账规则!$A$6:$A$9,0),4),""))</f>
        <v/>
      </c>
      <c r="N1106" s="66" t="str">
        <f aca="false">IF($L1106="","",IFERROR(INDEX(记账规则!$A$6:$N$9,MATCH(购销流水!$D281,记账规则!$A$6:$A$9,0),5),""))</f>
        <v/>
      </c>
      <c r="O1106" s="67" t="n">
        <f aca="false">IF($H1106="",0,ROUND(IF($N1106="成本金额",N(购销流水!$W281),IF($N1106="金额",N(购销流水!$Q281),0)),2))</f>
        <v>0</v>
      </c>
      <c r="P1106" s="64" t="str">
        <f aca="false">IF(AND($H1106&lt;&gt;"",ROUND($O1106,2)&lt;&gt;0),"有","")</f>
        <v/>
      </c>
    </row>
    <row r="1107" customFormat="false" ht="15" hidden="true" customHeight="false" outlineLevel="0" collapsed="false">
      <c r="A1107" s="53" t="str">
        <f aca="false">IF($H1107="","",ROW()-5)</f>
        <v/>
      </c>
      <c r="B1107" s="64" t="s">
        <v>36</v>
      </c>
      <c r="C1107" s="53" t="n">
        <v>281</v>
      </c>
      <c r="D1107" s="53" t="n">
        <v>2</v>
      </c>
      <c r="E1107" s="65" t="str">
        <f aca="false">IF($H1107="","",购销流水!$B281)</f>
        <v/>
      </c>
      <c r="F1107" s="55" t="str">
        <f aca="false">IF($H1107="","",购销流水!$C281)</f>
        <v/>
      </c>
      <c r="G1107" s="48" t="str">
        <f aca="false">IF($H1107="","",购销流水!$N281)</f>
        <v/>
      </c>
      <c r="H1107" s="10" t="str">
        <f aca="false">IF($L1107="","",IF($L1107="@成本",购销流水!$U281,IF($L1107="@收入",购销流水!$T281,IF($L1107="@存货",购销流水!$S281,IF($L1107="@结算",购销流水!$R281,$L1107)))))</f>
        <v/>
      </c>
      <c r="I1107" s="42" t="n">
        <f aca="false">IF($M1107="借",$O1107,0)</f>
        <v>0</v>
      </c>
      <c r="J1107" s="42" t="n">
        <f aca="false">IF($M1107="贷",$O1107,0)</f>
        <v>0</v>
      </c>
      <c r="K1107" s="48" t="str">
        <f aca="false">IF($H1107="","",购销流水!$E281)</f>
        <v/>
      </c>
      <c r="L1107" s="66" t="str">
        <f aca="false">IF(购销流水!$D281="","",IFERROR(INDEX(记账规则!$A$6:$N$9,MATCH(购销流水!$D281,记账规则!$A$6:$A$9,0),6),""))</f>
        <v/>
      </c>
      <c r="M1107" s="66" t="str">
        <f aca="false">IF($L1107="","",IFERROR(INDEX(记账规则!$A$6:$N$9,MATCH(购销流水!$D281,记账规则!$A$6:$A$9,0),7),""))</f>
        <v/>
      </c>
      <c r="N1107" s="66" t="str">
        <f aca="false">IF($L1107="","",IFERROR(INDEX(记账规则!$A$6:$N$9,MATCH(购销流水!$D281,记账规则!$A$6:$A$9,0),8),""))</f>
        <v/>
      </c>
      <c r="O1107" s="67" t="n">
        <f aca="false">IF($H1107="",0,ROUND(IF($N1107="成本金额",N(购销流水!$W281),IF($N1107="金额",N(购销流水!$Q281),0)),2))</f>
        <v>0</v>
      </c>
      <c r="P1107" s="64" t="str">
        <f aca="false">IF(AND($H1107&lt;&gt;"",ROUND($O1107,2)&lt;&gt;0),"有","")</f>
        <v/>
      </c>
    </row>
    <row r="1108" customFormat="false" ht="15" hidden="true" customHeight="false" outlineLevel="0" collapsed="false">
      <c r="A1108" s="53" t="str">
        <f aca="false">IF($H1108="","",ROW()-5)</f>
        <v/>
      </c>
      <c r="B1108" s="64" t="s">
        <v>36</v>
      </c>
      <c r="C1108" s="53" t="n">
        <v>281</v>
      </c>
      <c r="D1108" s="53" t="n">
        <v>3</v>
      </c>
      <c r="E1108" s="65" t="str">
        <f aca="false">IF($H1108="","",购销流水!$B281)</f>
        <v/>
      </c>
      <c r="F1108" s="55" t="str">
        <f aca="false">IF($H1108="","",购销流水!$C281)</f>
        <v/>
      </c>
      <c r="G1108" s="48" t="str">
        <f aca="false">IF($H1108="","",购销流水!$N281)</f>
        <v/>
      </c>
      <c r="H1108" s="10" t="str">
        <f aca="false">IF($L1108="","",IF($L1108="@成本",购销流水!$U281,IF($L1108="@收入",购销流水!$T281,IF($L1108="@存货",购销流水!$S281,IF($L1108="@结算",购销流水!$R281,$L1108)))))</f>
        <v/>
      </c>
      <c r="I1108" s="42" t="n">
        <f aca="false">IF($M1108="借",$O1108,0)</f>
        <v>0</v>
      </c>
      <c r="J1108" s="42" t="n">
        <f aca="false">IF($M1108="贷",$O1108,0)</f>
        <v>0</v>
      </c>
      <c r="K1108" s="48" t="str">
        <f aca="false">IF($H1108="","",购销流水!$E281)</f>
        <v/>
      </c>
      <c r="L1108" s="66" t="str">
        <f aca="false">IF(购销流水!$D281="","",IFERROR(INDEX(记账规则!$A$6:$N$9,MATCH(购销流水!$D281,记账规则!$A$6:$A$9,0),9),""))</f>
        <v/>
      </c>
      <c r="M1108" s="66" t="str">
        <f aca="false">IF($L1108="","",IFERROR(INDEX(记账规则!$A$6:$N$9,MATCH(购销流水!$D281,记账规则!$A$6:$A$9,0),10),""))</f>
        <v/>
      </c>
      <c r="N1108" s="66" t="str">
        <f aca="false">IF($L1108="","",IFERROR(INDEX(记账规则!$A$6:$N$9,MATCH(购销流水!$D281,记账规则!$A$6:$A$9,0),11),""))</f>
        <v/>
      </c>
      <c r="O1108" s="67" t="n">
        <f aca="false">IF($H1108="",0,ROUND(IF($N1108="成本金额",N(购销流水!$W281),IF($N1108="金额",N(购销流水!$Q281),0)),2))</f>
        <v>0</v>
      </c>
      <c r="P1108" s="64" t="str">
        <f aca="false">IF(AND($H1108&lt;&gt;"",ROUND($O1108,2)&lt;&gt;0),"有","")</f>
        <v/>
      </c>
    </row>
    <row r="1109" customFormat="false" ht="15" hidden="true" customHeight="false" outlineLevel="0" collapsed="false">
      <c r="A1109" s="53" t="str">
        <f aca="false">IF($H1109="","",ROW()-5)</f>
        <v/>
      </c>
      <c r="B1109" s="64" t="s">
        <v>36</v>
      </c>
      <c r="C1109" s="53" t="n">
        <v>281</v>
      </c>
      <c r="D1109" s="53" t="n">
        <v>4</v>
      </c>
      <c r="E1109" s="65" t="str">
        <f aca="false">IF($H1109="","",购销流水!$B281)</f>
        <v/>
      </c>
      <c r="F1109" s="55" t="str">
        <f aca="false">IF($H1109="","",购销流水!$C281)</f>
        <v/>
      </c>
      <c r="G1109" s="48" t="str">
        <f aca="false">IF($H1109="","",购销流水!$N281)</f>
        <v/>
      </c>
      <c r="H1109" s="10" t="str">
        <f aca="false">IF($L1109="","",IF($L1109="@成本",购销流水!$U281,IF($L1109="@收入",购销流水!$T281,IF($L1109="@存货",购销流水!$S281,IF($L1109="@结算",购销流水!$R281,$L1109)))))</f>
        <v/>
      </c>
      <c r="I1109" s="42" t="n">
        <f aca="false">IF($M1109="借",$O1109,0)</f>
        <v>0</v>
      </c>
      <c r="J1109" s="42" t="n">
        <f aca="false">IF($M1109="贷",$O1109,0)</f>
        <v>0</v>
      </c>
      <c r="K1109" s="48" t="str">
        <f aca="false">IF($H1109="","",购销流水!$E281)</f>
        <v/>
      </c>
      <c r="L1109" s="66" t="str">
        <f aca="false">IF(购销流水!$D281="","",IFERROR(INDEX(记账规则!$A$6:$N$9,MATCH(购销流水!$D281,记账规则!$A$6:$A$9,0),12),""))</f>
        <v/>
      </c>
      <c r="M1109" s="66" t="str">
        <f aca="false">IF($L1109="","",IFERROR(INDEX(记账规则!$A$6:$N$9,MATCH(购销流水!$D281,记账规则!$A$6:$A$9,0),13),""))</f>
        <v/>
      </c>
      <c r="N1109" s="66" t="str">
        <f aca="false">IF($L1109="","",IFERROR(INDEX(记账规则!$A$6:$N$9,MATCH(购销流水!$D281,记账规则!$A$6:$A$9,0),14),""))</f>
        <v/>
      </c>
      <c r="O1109" s="67" t="n">
        <f aca="false">IF($H1109="",0,ROUND(IF($N1109="成本金额",N(购销流水!$W281),IF($N1109="金额",N(购销流水!$Q281),0)),2))</f>
        <v>0</v>
      </c>
      <c r="P1109" s="64" t="str">
        <f aca="false">IF(AND($H1109&lt;&gt;"",ROUND($O1109,2)&lt;&gt;0),"有","")</f>
        <v/>
      </c>
    </row>
    <row r="1110" customFormat="false" ht="15" hidden="true" customHeight="false" outlineLevel="0" collapsed="false">
      <c r="A1110" s="53" t="str">
        <f aca="false">IF($H1110="","",ROW()-5)</f>
        <v/>
      </c>
      <c r="B1110" s="64" t="s">
        <v>36</v>
      </c>
      <c r="C1110" s="53" t="n">
        <v>282</v>
      </c>
      <c r="D1110" s="53" t="n">
        <v>1</v>
      </c>
      <c r="E1110" s="65" t="str">
        <f aca="false">IF($H1110="","",购销流水!$B282)</f>
        <v/>
      </c>
      <c r="F1110" s="55" t="str">
        <f aca="false">IF($H1110="","",购销流水!$C282)</f>
        <v/>
      </c>
      <c r="G1110" s="48" t="str">
        <f aca="false">IF($H1110="","",购销流水!$N282)</f>
        <v/>
      </c>
      <c r="H1110" s="10" t="str">
        <f aca="false">IF($L1110="","",IF($L1110="@成本",购销流水!$U282,IF($L1110="@收入",购销流水!$T282,IF($L1110="@存货",购销流水!$S282,IF($L1110="@结算",购销流水!$R282,$L1110)))))</f>
        <v/>
      </c>
      <c r="I1110" s="42" t="n">
        <f aca="false">IF($M1110="借",$O1110,0)</f>
        <v>0</v>
      </c>
      <c r="J1110" s="42" t="n">
        <f aca="false">IF($M1110="贷",$O1110,0)</f>
        <v>0</v>
      </c>
      <c r="K1110" s="48" t="str">
        <f aca="false">IF($H1110="","",购销流水!$E282)</f>
        <v/>
      </c>
      <c r="L1110" s="66" t="str">
        <f aca="false">IF(购销流水!$D282="","",IFERROR(INDEX(记账规则!$A$6:$N$9,MATCH(购销流水!$D282,记账规则!$A$6:$A$9,0),3),""))</f>
        <v/>
      </c>
      <c r="M1110" s="66" t="str">
        <f aca="false">IF($L1110="","",IFERROR(INDEX(记账规则!$A$6:$N$9,MATCH(购销流水!$D282,记账规则!$A$6:$A$9,0),4),""))</f>
        <v/>
      </c>
      <c r="N1110" s="66" t="str">
        <f aca="false">IF($L1110="","",IFERROR(INDEX(记账规则!$A$6:$N$9,MATCH(购销流水!$D282,记账规则!$A$6:$A$9,0),5),""))</f>
        <v/>
      </c>
      <c r="O1110" s="67" t="n">
        <f aca="false">IF($H1110="",0,ROUND(IF($N1110="成本金额",N(购销流水!$W282),IF($N1110="金额",N(购销流水!$Q282),0)),2))</f>
        <v>0</v>
      </c>
      <c r="P1110" s="64" t="str">
        <f aca="false">IF(AND($H1110&lt;&gt;"",ROUND($O1110,2)&lt;&gt;0),"有","")</f>
        <v/>
      </c>
    </row>
    <row r="1111" customFormat="false" ht="15" hidden="true" customHeight="false" outlineLevel="0" collapsed="false">
      <c r="A1111" s="53" t="str">
        <f aca="false">IF($H1111="","",ROW()-5)</f>
        <v/>
      </c>
      <c r="B1111" s="64" t="s">
        <v>36</v>
      </c>
      <c r="C1111" s="53" t="n">
        <v>282</v>
      </c>
      <c r="D1111" s="53" t="n">
        <v>2</v>
      </c>
      <c r="E1111" s="65" t="str">
        <f aca="false">IF($H1111="","",购销流水!$B282)</f>
        <v/>
      </c>
      <c r="F1111" s="55" t="str">
        <f aca="false">IF($H1111="","",购销流水!$C282)</f>
        <v/>
      </c>
      <c r="G1111" s="48" t="str">
        <f aca="false">IF($H1111="","",购销流水!$N282)</f>
        <v/>
      </c>
      <c r="H1111" s="10" t="str">
        <f aca="false">IF($L1111="","",IF($L1111="@成本",购销流水!$U282,IF($L1111="@收入",购销流水!$T282,IF($L1111="@存货",购销流水!$S282,IF($L1111="@结算",购销流水!$R282,$L1111)))))</f>
        <v/>
      </c>
      <c r="I1111" s="42" t="n">
        <f aca="false">IF($M1111="借",$O1111,0)</f>
        <v>0</v>
      </c>
      <c r="J1111" s="42" t="n">
        <f aca="false">IF($M1111="贷",$O1111,0)</f>
        <v>0</v>
      </c>
      <c r="K1111" s="48" t="str">
        <f aca="false">IF($H1111="","",购销流水!$E282)</f>
        <v/>
      </c>
      <c r="L1111" s="66" t="str">
        <f aca="false">IF(购销流水!$D282="","",IFERROR(INDEX(记账规则!$A$6:$N$9,MATCH(购销流水!$D282,记账规则!$A$6:$A$9,0),6),""))</f>
        <v/>
      </c>
      <c r="M1111" s="66" t="str">
        <f aca="false">IF($L1111="","",IFERROR(INDEX(记账规则!$A$6:$N$9,MATCH(购销流水!$D282,记账规则!$A$6:$A$9,0),7),""))</f>
        <v/>
      </c>
      <c r="N1111" s="66" t="str">
        <f aca="false">IF($L1111="","",IFERROR(INDEX(记账规则!$A$6:$N$9,MATCH(购销流水!$D282,记账规则!$A$6:$A$9,0),8),""))</f>
        <v/>
      </c>
      <c r="O1111" s="67" t="n">
        <f aca="false">IF($H1111="",0,ROUND(IF($N1111="成本金额",N(购销流水!$W282),IF($N1111="金额",N(购销流水!$Q282),0)),2))</f>
        <v>0</v>
      </c>
      <c r="P1111" s="64" t="str">
        <f aca="false">IF(AND($H1111&lt;&gt;"",ROUND($O1111,2)&lt;&gt;0),"有","")</f>
        <v/>
      </c>
    </row>
    <row r="1112" customFormat="false" ht="15" hidden="true" customHeight="false" outlineLevel="0" collapsed="false">
      <c r="A1112" s="53" t="str">
        <f aca="false">IF($H1112="","",ROW()-5)</f>
        <v/>
      </c>
      <c r="B1112" s="64" t="s">
        <v>36</v>
      </c>
      <c r="C1112" s="53" t="n">
        <v>282</v>
      </c>
      <c r="D1112" s="53" t="n">
        <v>3</v>
      </c>
      <c r="E1112" s="65" t="str">
        <f aca="false">IF($H1112="","",购销流水!$B282)</f>
        <v/>
      </c>
      <c r="F1112" s="55" t="str">
        <f aca="false">IF($H1112="","",购销流水!$C282)</f>
        <v/>
      </c>
      <c r="G1112" s="48" t="str">
        <f aca="false">IF($H1112="","",购销流水!$N282)</f>
        <v/>
      </c>
      <c r="H1112" s="10" t="str">
        <f aca="false">IF($L1112="","",IF($L1112="@成本",购销流水!$U282,IF($L1112="@收入",购销流水!$T282,IF($L1112="@存货",购销流水!$S282,IF($L1112="@结算",购销流水!$R282,$L1112)))))</f>
        <v/>
      </c>
      <c r="I1112" s="42" t="n">
        <f aca="false">IF($M1112="借",$O1112,0)</f>
        <v>0</v>
      </c>
      <c r="J1112" s="42" t="n">
        <f aca="false">IF($M1112="贷",$O1112,0)</f>
        <v>0</v>
      </c>
      <c r="K1112" s="48" t="str">
        <f aca="false">IF($H1112="","",购销流水!$E282)</f>
        <v/>
      </c>
      <c r="L1112" s="66" t="str">
        <f aca="false">IF(购销流水!$D282="","",IFERROR(INDEX(记账规则!$A$6:$N$9,MATCH(购销流水!$D282,记账规则!$A$6:$A$9,0),9),""))</f>
        <v/>
      </c>
      <c r="M1112" s="66" t="str">
        <f aca="false">IF($L1112="","",IFERROR(INDEX(记账规则!$A$6:$N$9,MATCH(购销流水!$D282,记账规则!$A$6:$A$9,0),10),""))</f>
        <v/>
      </c>
      <c r="N1112" s="66" t="str">
        <f aca="false">IF($L1112="","",IFERROR(INDEX(记账规则!$A$6:$N$9,MATCH(购销流水!$D282,记账规则!$A$6:$A$9,0),11),""))</f>
        <v/>
      </c>
      <c r="O1112" s="67" t="n">
        <f aca="false">IF($H1112="",0,ROUND(IF($N1112="成本金额",N(购销流水!$W282),IF($N1112="金额",N(购销流水!$Q282),0)),2))</f>
        <v>0</v>
      </c>
      <c r="P1112" s="64" t="str">
        <f aca="false">IF(AND($H1112&lt;&gt;"",ROUND($O1112,2)&lt;&gt;0),"有","")</f>
        <v/>
      </c>
    </row>
    <row r="1113" customFormat="false" ht="15" hidden="true" customHeight="false" outlineLevel="0" collapsed="false">
      <c r="A1113" s="53" t="str">
        <f aca="false">IF($H1113="","",ROW()-5)</f>
        <v/>
      </c>
      <c r="B1113" s="64" t="s">
        <v>36</v>
      </c>
      <c r="C1113" s="53" t="n">
        <v>282</v>
      </c>
      <c r="D1113" s="53" t="n">
        <v>4</v>
      </c>
      <c r="E1113" s="65" t="str">
        <f aca="false">IF($H1113="","",购销流水!$B282)</f>
        <v/>
      </c>
      <c r="F1113" s="55" t="str">
        <f aca="false">IF($H1113="","",购销流水!$C282)</f>
        <v/>
      </c>
      <c r="G1113" s="48" t="str">
        <f aca="false">IF($H1113="","",购销流水!$N282)</f>
        <v/>
      </c>
      <c r="H1113" s="10" t="str">
        <f aca="false">IF($L1113="","",IF($L1113="@成本",购销流水!$U282,IF($L1113="@收入",购销流水!$T282,IF($L1113="@存货",购销流水!$S282,IF($L1113="@结算",购销流水!$R282,$L1113)))))</f>
        <v/>
      </c>
      <c r="I1113" s="42" t="n">
        <f aca="false">IF($M1113="借",$O1113,0)</f>
        <v>0</v>
      </c>
      <c r="J1113" s="42" t="n">
        <f aca="false">IF($M1113="贷",$O1113,0)</f>
        <v>0</v>
      </c>
      <c r="K1113" s="48" t="str">
        <f aca="false">IF($H1113="","",购销流水!$E282)</f>
        <v/>
      </c>
      <c r="L1113" s="66" t="str">
        <f aca="false">IF(购销流水!$D282="","",IFERROR(INDEX(记账规则!$A$6:$N$9,MATCH(购销流水!$D282,记账规则!$A$6:$A$9,0),12),""))</f>
        <v/>
      </c>
      <c r="M1113" s="66" t="str">
        <f aca="false">IF($L1113="","",IFERROR(INDEX(记账规则!$A$6:$N$9,MATCH(购销流水!$D282,记账规则!$A$6:$A$9,0),13),""))</f>
        <v/>
      </c>
      <c r="N1113" s="66" t="str">
        <f aca="false">IF($L1113="","",IFERROR(INDEX(记账规则!$A$6:$N$9,MATCH(购销流水!$D282,记账规则!$A$6:$A$9,0),14),""))</f>
        <v/>
      </c>
      <c r="O1113" s="67" t="n">
        <f aca="false">IF($H1113="",0,ROUND(IF($N1113="成本金额",N(购销流水!$W282),IF($N1113="金额",N(购销流水!$Q282),0)),2))</f>
        <v>0</v>
      </c>
      <c r="P1113" s="64" t="str">
        <f aca="false">IF(AND($H1113&lt;&gt;"",ROUND($O1113,2)&lt;&gt;0),"有","")</f>
        <v/>
      </c>
    </row>
    <row r="1114" customFormat="false" ht="15" hidden="true" customHeight="false" outlineLevel="0" collapsed="false">
      <c r="A1114" s="53" t="str">
        <f aca="false">IF($H1114="","",ROW()-5)</f>
        <v/>
      </c>
      <c r="B1114" s="64" t="s">
        <v>36</v>
      </c>
      <c r="C1114" s="53" t="n">
        <v>283</v>
      </c>
      <c r="D1114" s="53" t="n">
        <v>1</v>
      </c>
      <c r="E1114" s="65" t="str">
        <f aca="false">IF($H1114="","",购销流水!$B283)</f>
        <v/>
      </c>
      <c r="F1114" s="55" t="str">
        <f aca="false">IF($H1114="","",购销流水!$C283)</f>
        <v/>
      </c>
      <c r="G1114" s="48" t="str">
        <f aca="false">IF($H1114="","",购销流水!$N283)</f>
        <v/>
      </c>
      <c r="H1114" s="10" t="str">
        <f aca="false">IF($L1114="","",IF($L1114="@成本",购销流水!$U283,IF($L1114="@收入",购销流水!$T283,IF($L1114="@存货",购销流水!$S283,IF($L1114="@结算",购销流水!$R283,$L1114)))))</f>
        <v/>
      </c>
      <c r="I1114" s="42" t="n">
        <f aca="false">IF($M1114="借",$O1114,0)</f>
        <v>0</v>
      </c>
      <c r="J1114" s="42" t="n">
        <f aca="false">IF($M1114="贷",$O1114,0)</f>
        <v>0</v>
      </c>
      <c r="K1114" s="48" t="str">
        <f aca="false">IF($H1114="","",购销流水!$E283)</f>
        <v/>
      </c>
      <c r="L1114" s="66" t="str">
        <f aca="false">IF(购销流水!$D283="","",IFERROR(INDEX(记账规则!$A$6:$N$9,MATCH(购销流水!$D283,记账规则!$A$6:$A$9,0),3),""))</f>
        <v/>
      </c>
      <c r="M1114" s="66" t="str">
        <f aca="false">IF($L1114="","",IFERROR(INDEX(记账规则!$A$6:$N$9,MATCH(购销流水!$D283,记账规则!$A$6:$A$9,0),4),""))</f>
        <v/>
      </c>
      <c r="N1114" s="66" t="str">
        <f aca="false">IF($L1114="","",IFERROR(INDEX(记账规则!$A$6:$N$9,MATCH(购销流水!$D283,记账规则!$A$6:$A$9,0),5),""))</f>
        <v/>
      </c>
      <c r="O1114" s="67" t="n">
        <f aca="false">IF($H1114="",0,ROUND(IF($N1114="成本金额",N(购销流水!$W283),IF($N1114="金额",N(购销流水!$Q283),0)),2))</f>
        <v>0</v>
      </c>
      <c r="P1114" s="64" t="str">
        <f aca="false">IF(AND($H1114&lt;&gt;"",ROUND($O1114,2)&lt;&gt;0),"有","")</f>
        <v/>
      </c>
    </row>
    <row r="1115" customFormat="false" ht="15" hidden="true" customHeight="false" outlineLevel="0" collapsed="false">
      <c r="A1115" s="53" t="str">
        <f aca="false">IF($H1115="","",ROW()-5)</f>
        <v/>
      </c>
      <c r="B1115" s="64" t="s">
        <v>36</v>
      </c>
      <c r="C1115" s="53" t="n">
        <v>283</v>
      </c>
      <c r="D1115" s="53" t="n">
        <v>2</v>
      </c>
      <c r="E1115" s="65" t="str">
        <f aca="false">IF($H1115="","",购销流水!$B283)</f>
        <v/>
      </c>
      <c r="F1115" s="55" t="str">
        <f aca="false">IF($H1115="","",购销流水!$C283)</f>
        <v/>
      </c>
      <c r="G1115" s="48" t="str">
        <f aca="false">IF($H1115="","",购销流水!$N283)</f>
        <v/>
      </c>
      <c r="H1115" s="10" t="str">
        <f aca="false">IF($L1115="","",IF($L1115="@成本",购销流水!$U283,IF($L1115="@收入",购销流水!$T283,IF($L1115="@存货",购销流水!$S283,IF($L1115="@结算",购销流水!$R283,$L1115)))))</f>
        <v/>
      </c>
      <c r="I1115" s="42" t="n">
        <f aca="false">IF($M1115="借",$O1115,0)</f>
        <v>0</v>
      </c>
      <c r="J1115" s="42" t="n">
        <f aca="false">IF($M1115="贷",$O1115,0)</f>
        <v>0</v>
      </c>
      <c r="K1115" s="48" t="str">
        <f aca="false">IF($H1115="","",购销流水!$E283)</f>
        <v/>
      </c>
      <c r="L1115" s="66" t="str">
        <f aca="false">IF(购销流水!$D283="","",IFERROR(INDEX(记账规则!$A$6:$N$9,MATCH(购销流水!$D283,记账规则!$A$6:$A$9,0),6),""))</f>
        <v/>
      </c>
      <c r="M1115" s="66" t="str">
        <f aca="false">IF($L1115="","",IFERROR(INDEX(记账规则!$A$6:$N$9,MATCH(购销流水!$D283,记账规则!$A$6:$A$9,0),7),""))</f>
        <v/>
      </c>
      <c r="N1115" s="66" t="str">
        <f aca="false">IF($L1115="","",IFERROR(INDEX(记账规则!$A$6:$N$9,MATCH(购销流水!$D283,记账规则!$A$6:$A$9,0),8),""))</f>
        <v/>
      </c>
      <c r="O1115" s="67" t="n">
        <f aca="false">IF($H1115="",0,ROUND(IF($N1115="成本金额",N(购销流水!$W283),IF($N1115="金额",N(购销流水!$Q283),0)),2))</f>
        <v>0</v>
      </c>
      <c r="P1115" s="64" t="str">
        <f aca="false">IF(AND($H1115&lt;&gt;"",ROUND($O1115,2)&lt;&gt;0),"有","")</f>
        <v/>
      </c>
    </row>
    <row r="1116" customFormat="false" ht="15" hidden="true" customHeight="false" outlineLevel="0" collapsed="false">
      <c r="A1116" s="53" t="str">
        <f aca="false">IF($H1116="","",ROW()-5)</f>
        <v/>
      </c>
      <c r="B1116" s="64" t="s">
        <v>36</v>
      </c>
      <c r="C1116" s="53" t="n">
        <v>283</v>
      </c>
      <c r="D1116" s="53" t="n">
        <v>3</v>
      </c>
      <c r="E1116" s="65" t="str">
        <f aca="false">IF($H1116="","",购销流水!$B283)</f>
        <v/>
      </c>
      <c r="F1116" s="55" t="str">
        <f aca="false">IF($H1116="","",购销流水!$C283)</f>
        <v/>
      </c>
      <c r="G1116" s="48" t="str">
        <f aca="false">IF($H1116="","",购销流水!$N283)</f>
        <v/>
      </c>
      <c r="H1116" s="10" t="str">
        <f aca="false">IF($L1116="","",IF($L1116="@成本",购销流水!$U283,IF($L1116="@收入",购销流水!$T283,IF($L1116="@存货",购销流水!$S283,IF($L1116="@结算",购销流水!$R283,$L1116)))))</f>
        <v/>
      </c>
      <c r="I1116" s="42" t="n">
        <f aca="false">IF($M1116="借",$O1116,0)</f>
        <v>0</v>
      </c>
      <c r="J1116" s="42" t="n">
        <f aca="false">IF($M1116="贷",$O1116,0)</f>
        <v>0</v>
      </c>
      <c r="K1116" s="48" t="str">
        <f aca="false">IF($H1116="","",购销流水!$E283)</f>
        <v/>
      </c>
      <c r="L1116" s="66" t="str">
        <f aca="false">IF(购销流水!$D283="","",IFERROR(INDEX(记账规则!$A$6:$N$9,MATCH(购销流水!$D283,记账规则!$A$6:$A$9,0),9),""))</f>
        <v/>
      </c>
      <c r="M1116" s="66" t="str">
        <f aca="false">IF($L1116="","",IFERROR(INDEX(记账规则!$A$6:$N$9,MATCH(购销流水!$D283,记账规则!$A$6:$A$9,0),10),""))</f>
        <v/>
      </c>
      <c r="N1116" s="66" t="str">
        <f aca="false">IF($L1116="","",IFERROR(INDEX(记账规则!$A$6:$N$9,MATCH(购销流水!$D283,记账规则!$A$6:$A$9,0),11),""))</f>
        <v/>
      </c>
      <c r="O1116" s="67" t="n">
        <f aca="false">IF($H1116="",0,ROUND(IF($N1116="成本金额",N(购销流水!$W283),IF($N1116="金额",N(购销流水!$Q283),0)),2))</f>
        <v>0</v>
      </c>
      <c r="P1116" s="64" t="str">
        <f aca="false">IF(AND($H1116&lt;&gt;"",ROUND($O1116,2)&lt;&gt;0),"有","")</f>
        <v/>
      </c>
    </row>
    <row r="1117" customFormat="false" ht="15" hidden="true" customHeight="false" outlineLevel="0" collapsed="false">
      <c r="A1117" s="53" t="str">
        <f aca="false">IF($H1117="","",ROW()-5)</f>
        <v/>
      </c>
      <c r="B1117" s="64" t="s">
        <v>36</v>
      </c>
      <c r="C1117" s="53" t="n">
        <v>283</v>
      </c>
      <c r="D1117" s="53" t="n">
        <v>4</v>
      </c>
      <c r="E1117" s="65" t="str">
        <f aca="false">IF($H1117="","",购销流水!$B283)</f>
        <v/>
      </c>
      <c r="F1117" s="55" t="str">
        <f aca="false">IF($H1117="","",购销流水!$C283)</f>
        <v/>
      </c>
      <c r="G1117" s="48" t="str">
        <f aca="false">IF($H1117="","",购销流水!$N283)</f>
        <v/>
      </c>
      <c r="H1117" s="10" t="str">
        <f aca="false">IF($L1117="","",IF($L1117="@成本",购销流水!$U283,IF($L1117="@收入",购销流水!$T283,IF($L1117="@存货",购销流水!$S283,IF($L1117="@结算",购销流水!$R283,$L1117)))))</f>
        <v/>
      </c>
      <c r="I1117" s="42" t="n">
        <f aca="false">IF($M1117="借",$O1117,0)</f>
        <v>0</v>
      </c>
      <c r="J1117" s="42" t="n">
        <f aca="false">IF($M1117="贷",$O1117,0)</f>
        <v>0</v>
      </c>
      <c r="K1117" s="48" t="str">
        <f aca="false">IF($H1117="","",购销流水!$E283)</f>
        <v/>
      </c>
      <c r="L1117" s="66" t="str">
        <f aca="false">IF(购销流水!$D283="","",IFERROR(INDEX(记账规则!$A$6:$N$9,MATCH(购销流水!$D283,记账规则!$A$6:$A$9,0),12),""))</f>
        <v/>
      </c>
      <c r="M1117" s="66" t="str">
        <f aca="false">IF($L1117="","",IFERROR(INDEX(记账规则!$A$6:$N$9,MATCH(购销流水!$D283,记账规则!$A$6:$A$9,0),13),""))</f>
        <v/>
      </c>
      <c r="N1117" s="66" t="str">
        <f aca="false">IF($L1117="","",IFERROR(INDEX(记账规则!$A$6:$N$9,MATCH(购销流水!$D283,记账规则!$A$6:$A$9,0),14),""))</f>
        <v/>
      </c>
      <c r="O1117" s="67" t="n">
        <f aca="false">IF($H1117="",0,ROUND(IF($N1117="成本金额",N(购销流水!$W283),IF($N1117="金额",N(购销流水!$Q283),0)),2))</f>
        <v>0</v>
      </c>
      <c r="P1117" s="64" t="str">
        <f aca="false">IF(AND($H1117&lt;&gt;"",ROUND($O1117,2)&lt;&gt;0),"有","")</f>
        <v/>
      </c>
    </row>
    <row r="1118" customFormat="false" ht="15" hidden="true" customHeight="false" outlineLevel="0" collapsed="false">
      <c r="A1118" s="53" t="str">
        <f aca="false">IF($H1118="","",ROW()-5)</f>
        <v/>
      </c>
      <c r="B1118" s="64" t="s">
        <v>36</v>
      </c>
      <c r="C1118" s="53" t="n">
        <v>284</v>
      </c>
      <c r="D1118" s="53" t="n">
        <v>1</v>
      </c>
      <c r="E1118" s="65" t="str">
        <f aca="false">IF($H1118="","",购销流水!$B284)</f>
        <v/>
      </c>
      <c r="F1118" s="55" t="str">
        <f aca="false">IF($H1118="","",购销流水!$C284)</f>
        <v/>
      </c>
      <c r="G1118" s="48" t="str">
        <f aca="false">IF($H1118="","",购销流水!$N284)</f>
        <v/>
      </c>
      <c r="H1118" s="10" t="str">
        <f aca="false">IF($L1118="","",IF($L1118="@成本",购销流水!$U284,IF($L1118="@收入",购销流水!$T284,IF($L1118="@存货",购销流水!$S284,IF($L1118="@结算",购销流水!$R284,$L1118)))))</f>
        <v/>
      </c>
      <c r="I1118" s="42" t="n">
        <f aca="false">IF($M1118="借",$O1118,0)</f>
        <v>0</v>
      </c>
      <c r="J1118" s="42" t="n">
        <f aca="false">IF($M1118="贷",$O1118,0)</f>
        <v>0</v>
      </c>
      <c r="K1118" s="48" t="str">
        <f aca="false">IF($H1118="","",购销流水!$E284)</f>
        <v/>
      </c>
      <c r="L1118" s="66" t="str">
        <f aca="false">IF(购销流水!$D284="","",IFERROR(INDEX(记账规则!$A$6:$N$9,MATCH(购销流水!$D284,记账规则!$A$6:$A$9,0),3),""))</f>
        <v/>
      </c>
      <c r="M1118" s="66" t="str">
        <f aca="false">IF($L1118="","",IFERROR(INDEX(记账规则!$A$6:$N$9,MATCH(购销流水!$D284,记账规则!$A$6:$A$9,0),4),""))</f>
        <v/>
      </c>
      <c r="N1118" s="66" t="str">
        <f aca="false">IF($L1118="","",IFERROR(INDEX(记账规则!$A$6:$N$9,MATCH(购销流水!$D284,记账规则!$A$6:$A$9,0),5),""))</f>
        <v/>
      </c>
      <c r="O1118" s="67" t="n">
        <f aca="false">IF($H1118="",0,ROUND(IF($N1118="成本金额",N(购销流水!$W284),IF($N1118="金额",N(购销流水!$Q284),0)),2))</f>
        <v>0</v>
      </c>
      <c r="P1118" s="64" t="str">
        <f aca="false">IF(AND($H1118&lt;&gt;"",ROUND($O1118,2)&lt;&gt;0),"有","")</f>
        <v/>
      </c>
    </row>
    <row r="1119" customFormat="false" ht="15" hidden="true" customHeight="false" outlineLevel="0" collapsed="false">
      <c r="A1119" s="53" t="str">
        <f aca="false">IF($H1119="","",ROW()-5)</f>
        <v/>
      </c>
      <c r="B1119" s="64" t="s">
        <v>36</v>
      </c>
      <c r="C1119" s="53" t="n">
        <v>284</v>
      </c>
      <c r="D1119" s="53" t="n">
        <v>2</v>
      </c>
      <c r="E1119" s="65" t="str">
        <f aca="false">IF($H1119="","",购销流水!$B284)</f>
        <v/>
      </c>
      <c r="F1119" s="55" t="str">
        <f aca="false">IF($H1119="","",购销流水!$C284)</f>
        <v/>
      </c>
      <c r="G1119" s="48" t="str">
        <f aca="false">IF($H1119="","",购销流水!$N284)</f>
        <v/>
      </c>
      <c r="H1119" s="10" t="str">
        <f aca="false">IF($L1119="","",IF($L1119="@成本",购销流水!$U284,IF($L1119="@收入",购销流水!$T284,IF($L1119="@存货",购销流水!$S284,IF($L1119="@结算",购销流水!$R284,$L1119)))))</f>
        <v/>
      </c>
      <c r="I1119" s="42" t="n">
        <f aca="false">IF($M1119="借",$O1119,0)</f>
        <v>0</v>
      </c>
      <c r="J1119" s="42" t="n">
        <f aca="false">IF($M1119="贷",$O1119,0)</f>
        <v>0</v>
      </c>
      <c r="K1119" s="48" t="str">
        <f aca="false">IF($H1119="","",购销流水!$E284)</f>
        <v/>
      </c>
      <c r="L1119" s="66" t="str">
        <f aca="false">IF(购销流水!$D284="","",IFERROR(INDEX(记账规则!$A$6:$N$9,MATCH(购销流水!$D284,记账规则!$A$6:$A$9,0),6),""))</f>
        <v/>
      </c>
      <c r="M1119" s="66" t="str">
        <f aca="false">IF($L1119="","",IFERROR(INDEX(记账规则!$A$6:$N$9,MATCH(购销流水!$D284,记账规则!$A$6:$A$9,0),7),""))</f>
        <v/>
      </c>
      <c r="N1119" s="66" t="str">
        <f aca="false">IF($L1119="","",IFERROR(INDEX(记账规则!$A$6:$N$9,MATCH(购销流水!$D284,记账规则!$A$6:$A$9,0),8),""))</f>
        <v/>
      </c>
      <c r="O1119" s="67" t="n">
        <f aca="false">IF($H1119="",0,ROUND(IF($N1119="成本金额",N(购销流水!$W284),IF($N1119="金额",N(购销流水!$Q284),0)),2))</f>
        <v>0</v>
      </c>
      <c r="P1119" s="64" t="str">
        <f aca="false">IF(AND($H1119&lt;&gt;"",ROUND($O1119,2)&lt;&gt;0),"有","")</f>
        <v/>
      </c>
    </row>
    <row r="1120" customFormat="false" ht="15" hidden="true" customHeight="false" outlineLevel="0" collapsed="false">
      <c r="A1120" s="53" t="str">
        <f aca="false">IF($H1120="","",ROW()-5)</f>
        <v/>
      </c>
      <c r="B1120" s="64" t="s">
        <v>36</v>
      </c>
      <c r="C1120" s="53" t="n">
        <v>284</v>
      </c>
      <c r="D1120" s="53" t="n">
        <v>3</v>
      </c>
      <c r="E1120" s="65" t="str">
        <f aca="false">IF($H1120="","",购销流水!$B284)</f>
        <v/>
      </c>
      <c r="F1120" s="55" t="str">
        <f aca="false">IF($H1120="","",购销流水!$C284)</f>
        <v/>
      </c>
      <c r="G1120" s="48" t="str">
        <f aca="false">IF($H1120="","",购销流水!$N284)</f>
        <v/>
      </c>
      <c r="H1120" s="10" t="str">
        <f aca="false">IF($L1120="","",IF($L1120="@成本",购销流水!$U284,IF($L1120="@收入",购销流水!$T284,IF($L1120="@存货",购销流水!$S284,IF($L1120="@结算",购销流水!$R284,$L1120)))))</f>
        <v/>
      </c>
      <c r="I1120" s="42" t="n">
        <f aca="false">IF($M1120="借",$O1120,0)</f>
        <v>0</v>
      </c>
      <c r="J1120" s="42" t="n">
        <f aca="false">IF($M1120="贷",$O1120,0)</f>
        <v>0</v>
      </c>
      <c r="K1120" s="48" t="str">
        <f aca="false">IF($H1120="","",购销流水!$E284)</f>
        <v/>
      </c>
      <c r="L1120" s="66" t="str">
        <f aca="false">IF(购销流水!$D284="","",IFERROR(INDEX(记账规则!$A$6:$N$9,MATCH(购销流水!$D284,记账规则!$A$6:$A$9,0),9),""))</f>
        <v/>
      </c>
      <c r="M1120" s="66" t="str">
        <f aca="false">IF($L1120="","",IFERROR(INDEX(记账规则!$A$6:$N$9,MATCH(购销流水!$D284,记账规则!$A$6:$A$9,0),10),""))</f>
        <v/>
      </c>
      <c r="N1120" s="66" t="str">
        <f aca="false">IF($L1120="","",IFERROR(INDEX(记账规则!$A$6:$N$9,MATCH(购销流水!$D284,记账规则!$A$6:$A$9,0),11),""))</f>
        <v/>
      </c>
      <c r="O1120" s="67" t="n">
        <f aca="false">IF($H1120="",0,ROUND(IF($N1120="成本金额",N(购销流水!$W284),IF($N1120="金额",N(购销流水!$Q284),0)),2))</f>
        <v>0</v>
      </c>
      <c r="P1120" s="64" t="str">
        <f aca="false">IF(AND($H1120&lt;&gt;"",ROUND($O1120,2)&lt;&gt;0),"有","")</f>
        <v/>
      </c>
    </row>
    <row r="1121" customFormat="false" ht="15" hidden="true" customHeight="false" outlineLevel="0" collapsed="false">
      <c r="A1121" s="53" t="str">
        <f aca="false">IF($H1121="","",ROW()-5)</f>
        <v/>
      </c>
      <c r="B1121" s="64" t="s">
        <v>36</v>
      </c>
      <c r="C1121" s="53" t="n">
        <v>284</v>
      </c>
      <c r="D1121" s="53" t="n">
        <v>4</v>
      </c>
      <c r="E1121" s="65" t="str">
        <f aca="false">IF($H1121="","",购销流水!$B284)</f>
        <v/>
      </c>
      <c r="F1121" s="55" t="str">
        <f aca="false">IF($H1121="","",购销流水!$C284)</f>
        <v/>
      </c>
      <c r="G1121" s="48" t="str">
        <f aca="false">IF($H1121="","",购销流水!$N284)</f>
        <v/>
      </c>
      <c r="H1121" s="10" t="str">
        <f aca="false">IF($L1121="","",IF($L1121="@成本",购销流水!$U284,IF($L1121="@收入",购销流水!$T284,IF($L1121="@存货",购销流水!$S284,IF($L1121="@结算",购销流水!$R284,$L1121)))))</f>
        <v/>
      </c>
      <c r="I1121" s="42" t="n">
        <f aca="false">IF($M1121="借",$O1121,0)</f>
        <v>0</v>
      </c>
      <c r="J1121" s="42" t="n">
        <f aca="false">IF($M1121="贷",$O1121,0)</f>
        <v>0</v>
      </c>
      <c r="K1121" s="48" t="str">
        <f aca="false">IF($H1121="","",购销流水!$E284)</f>
        <v/>
      </c>
      <c r="L1121" s="66" t="str">
        <f aca="false">IF(购销流水!$D284="","",IFERROR(INDEX(记账规则!$A$6:$N$9,MATCH(购销流水!$D284,记账规则!$A$6:$A$9,0),12),""))</f>
        <v/>
      </c>
      <c r="M1121" s="66" t="str">
        <f aca="false">IF($L1121="","",IFERROR(INDEX(记账规则!$A$6:$N$9,MATCH(购销流水!$D284,记账规则!$A$6:$A$9,0),13),""))</f>
        <v/>
      </c>
      <c r="N1121" s="66" t="str">
        <f aca="false">IF($L1121="","",IFERROR(INDEX(记账规则!$A$6:$N$9,MATCH(购销流水!$D284,记账规则!$A$6:$A$9,0),14),""))</f>
        <v/>
      </c>
      <c r="O1121" s="67" t="n">
        <f aca="false">IF($H1121="",0,ROUND(IF($N1121="成本金额",N(购销流水!$W284),IF($N1121="金额",N(购销流水!$Q284),0)),2))</f>
        <v>0</v>
      </c>
      <c r="P1121" s="64" t="str">
        <f aca="false">IF(AND($H1121&lt;&gt;"",ROUND($O1121,2)&lt;&gt;0),"有","")</f>
        <v/>
      </c>
    </row>
    <row r="1122" customFormat="false" ht="15" hidden="true" customHeight="false" outlineLevel="0" collapsed="false">
      <c r="A1122" s="53" t="str">
        <f aca="false">IF($H1122="","",ROW()-5)</f>
        <v/>
      </c>
      <c r="B1122" s="64" t="s">
        <v>36</v>
      </c>
      <c r="C1122" s="53" t="n">
        <v>285</v>
      </c>
      <c r="D1122" s="53" t="n">
        <v>1</v>
      </c>
      <c r="E1122" s="65" t="str">
        <f aca="false">IF($H1122="","",购销流水!$B285)</f>
        <v/>
      </c>
      <c r="F1122" s="55" t="str">
        <f aca="false">IF($H1122="","",购销流水!$C285)</f>
        <v/>
      </c>
      <c r="G1122" s="48" t="str">
        <f aca="false">IF($H1122="","",购销流水!$N285)</f>
        <v/>
      </c>
      <c r="H1122" s="10" t="str">
        <f aca="false">IF($L1122="","",IF($L1122="@成本",购销流水!$U285,IF($L1122="@收入",购销流水!$T285,IF($L1122="@存货",购销流水!$S285,IF($L1122="@结算",购销流水!$R285,$L1122)))))</f>
        <v/>
      </c>
      <c r="I1122" s="42" t="n">
        <f aca="false">IF($M1122="借",$O1122,0)</f>
        <v>0</v>
      </c>
      <c r="J1122" s="42" t="n">
        <f aca="false">IF($M1122="贷",$O1122,0)</f>
        <v>0</v>
      </c>
      <c r="K1122" s="48" t="str">
        <f aca="false">IF($H1122="","",购销流水!$E285)</f>
        <v/>
      </c>
      <c r="L1122" s="66" t="str">
        <f aca="false">IF(购销流水!$D285="","",IFERROR(INDEX(记账规则!$A$6:$N$9,MATCH(购销流水!$D285,记账规则!$A$6:$A$9,0),3),""))</f>
        <v/>
      </c>
      <c r="M1122" s="66" t="str">
        <f aca="false">IF($L1122="","",IFERROR(INDEX(记账规则!$A$6:$N$9,MATCH(购销流水!$D285,记账规则!$A$6:$A$9,0),4),""))</f>
        <v/>
      </c>
      <c r="N1122" s="66" t="str">
        <f aca="false">IF($L1122="","",IFERROR(INDEX(记账规则!$A$6:$N$9,MATCH(购销流水!$D285,记账规则!$A$6:$A$9,0),5),""))</f>
        <v/>
      </c>
      <c r="O1122" s="67" t="n">
        <f aca="false">IF($H1122="",0,ROUND(IF($N1122="成本金额",N(购销流水!$W285),IF($N1122="金额",N(购销流水!$Q285),0)),2))</f>
        <v>0</v>
      </c>
      <c r="P1122" s="64" t="str">
        <f aca="false">IF(AND($H1122&lt;&gt;"",ROUND($O1122,2)&lt;&gt;0),"有","")</f>
        <v/>
      </c>
    </row>
    <row r="1123" customFormat="false" ht="15" hidden="true" customHeight="false" outlineLevel="0" collapsed="false">
      <c r="A1123" s="53" t="str">
        <f aca="false">IF($H1123="","",ROW()-5)</f>
        <v/>
      </c>
      <c r="B1123" s="64" t="s">
        <v>36</v>
      </c>
      <c r="C1123" s="53" t="n">
        <v>285</v>
      </c>
      <c r="D1123" s="53" t="n">
        <v>2</v>
      </c>
      <c r="E1123" s="65" t="str">
        <f aca="false">IF($H1123="","",购销流水!$B285)</f>
        <v/>
      </c>
      <c r="F1123" s="55" t="str">
        <f aca="false">IF($H1123="","",购销流水!$C285)</f>
        <v/>
      </c>
      <c r="G1123" s="48" t="str">
        <f aca="false">IF($H1123="","",购销流水!$N285)</f>
        <v/>
      </c>
      <c r="H1123" s="10" t="str">
        <f aca="false">IF($L1123="","",IF($L1123="@成本",购销流水!$U285,IF($L1123="@收入",购销流水!$T285,IF($L1123="@存货",购销流水!$S285,IF($L1123="@结算",购销流水!$R285,$L1123)))))</f>
        <v/>
      </c>
      <c r="I1123" s="42" t="n">
        <f aca="false">IF($M1123="借",$O1123,0)</f>
        <v>0</v>
      </c>
      <c r="J1123" s="42" t="n">
        <f aca="false">IF($M1123="贷",$O1123,0)</f>
        <v>0</v>
      </c>
      <c r="K1123" s="48" t="str">
        <f aca="false">IF($H1123="","",购销流水!$E285)</f>
        <v/>
      </c>
      <c r="L1123" s="66" t="str">
        <f aca="false">IF(购销流水!$D285="","",IFERROR(INDEX(记账规则!$A$6:$N$9,MATCH(购销流水!$D285,记账规则!$A$6:$A$9,0),6),""))</f>
        <v/>
      </c>
      <c r="M1123" s="66" t="str">
        <f aca="false">IF($L1123="","",IFERROR(INDEX(记账规则!$A$6:$N$9,MATCH(购销流水!$D285,记账规则!$A$6:$A$9,0),7),""))</f>
        <v/>
      </c>
      <c r="N1123" s="66" t="str">
        <f aca="false">IF($L1123="","",IFERROR(INDEX(记账规则!$A$6:$N$9,MATCH(购销流水!$D285,记账规则!$A$6:$A$9,0),8),""))</f>
        <v/>
      </c>
      <c r="O1123" s="67" t="n">
        <f aca="false">IF($H1123="",0,ROUND(IF($N1123="成本金额",N(购销流水!$W285),IF($N1123="金额",N(购销流水!$Q285),0)),2))</f>
        <v>0</v>
      </c>
      <c r="P1123" s="64" t="str">
        <f aca="false">IF(AND($H1123&lt;&gt;"",ROUND($O1123,2)&lt;&gt;0),"有","")</f>
        <v/>
      </c>
    </row>
    <row r="1124" customFormat="false" ht="15" hidden="true" customHeight="false" outlineLevel="0" collapsed="false">
      <c r="A1124" s="53" t="str">
        <f aca="false">IF($H1124="","",ROW()-5)</f>
        <v/>
      </c>
      <c r="B1124" s="64" t="s">
        <v>36</v>
      </c>
      <c r="C1124" s="53" t="n">
        <v>285</v>
      </c>
      <c r="D1124" s="53" t="n">
        <v>3</v>
      </c>
      <c r="E1124" s="65" t="str">
        <f aca="false">IF($H1124="","",购销流水!$B285)</f>
        <v/>
      </c>
      <c r="F1124" s="55" t="str">
        <f aca="false">IF($H1124="","",购销流水!$C285)</f>
        <v/>
      </c>
      <c r="G1124" s="48" t="str">
        <f aca="false">IF($H1124="","",购销流水!$N285)</f>
        <v/>
      </c>
      <c r="H1124" s="10" t="str">
        <f aca="false">IF($L1124="","",IF($L1124="@成本",购销流水!$U285,IF($L1124="@收入",购销流水!$T285,IF($L1124="@存货",购销流水!$S285,IF($L1124="@结算",购销流水!$R285,$L1124)))))</f>
        <v/>
      </c>
      <c r="I1124" s="42" t="n">
        <f aca="false">IF($M1124="借",$O1124,0)</f>
        <v>0</v>
      </c>
      <c r="J1124" s="42" t="n">
        <f aca="false">IF($M1124="贷",$O1124,0)</f>
        <v>0</v>
      </c>
      <c r="K1124" s="48" t="str">
        <f aca="false">IF($H1124="","",购销流水!$E285)</f>
        <v/>
      </c>
      <c r="L1124" s="66" t="str">
        <f aca="false">IF(购销流水!$D285="","",IFERROR(INDEX(记账规则!$A$6:$N$9,MATCH(购销流水!$D285,记账规则!$A$6:$A$9,0),9),""))</f>
        <v/>
      </c>
      <c r="M1124" s="66" t="str">
        <f aca="false">IF($L1124="","",IFERROR(INDEX(记账规则!$A$6:$N$9,MATCH(购销流水!$D285,记账规则!$A$6:$A$9,0),10),""))</f>
        <v/>
      </c>
      <c r="N1124" s="66" t="str">
        <f aca="false">IF($L1124="","",IFERROR(INDEX(记账规则!$A$6:$N$9,MATCH(购销流水!$D285,记账规则!$A$6:$A$9,0),11),""))</f>
        <v/>
      </c>
      <c r="O1124" s="67" t="n">
        <f aca="false">IF($H1124="",0,ROUND(IF($N1124="成本金额",N(购销流水!$W285),IF($N1124="金额",N(购销流水!$Q285),0)),2))</f>
        <v>0</v>
      </c>
      <c r="P1124" s="64" t="str">
        <f aca="false">IF(AND($H1124&lt;&gt;"",ROUND($O1124,2)&lt;&gt;0),"有","")</f>
        <v/>
      </c>
    </row>
    <row r="1125" customFormat="false" ht="15" hidden="true" customHeight="false" outlineLevel="0" collapsed="false">
      <c r="A1125" s="53" t="str">
        <f aca="false">IF($H1125="","",ROW()-5)</f>
        <v/>
      </c>
      <c r="B1125" s="64" t="s">
        <v>36</v>
      </c>
      <c r="C1125" s="53" t="n">
        <v>285</v>
      </c>
      <c r="D1125" s="53" t="n">
        <v>4</v>
      </c>
      <c r="E1125" s="65" t="str">
        <f aca="false">IF($H1125="","",购销流水!$B285)</f>
        <v/>
      </c>
      <c r="F1125" s="55" t="str">
        <f aca="false">IF($H1125="","",购销流水!$C285)</f>
        <v/>
      </c>
      <c r="G1125" s="48" t="str">
        <f aca="false">IF($H1125="","",购销流水!$N285)</f>
        <v/>
      </c>
      <c r="H1125" s="10" t="str">
        <f aca="false">IF($L1125="","",IF($L1125="@成本",购销流水!$U285,IF($L1125="@收入",购销流水!$T285,IF($L1125="@存货",购销流水!$S285,IF($L1125="@结算",购销流水!$R285,$L1125)))))</f>
        <v/>
      </c>
      <c r="I1125" s="42" t="n">
        <f aca="false">IF($M1125="借",$O1125,0)</f>
        <v>0</v>
      </c>
      <c r="J1125" s="42" t="n">
        <f aca="false">IF($M1125="贷",$O1125,0)</f>
        <v>0</v>
      </c>
      <c r="K1125" s="48" t="str">
        <f aca="false">IF($H1125="","",购销流水!$E285)</f>
        <v/>
      </c>
      <c r="L1125" s="66" t="str">
        <f aca="false">IF(购销流水!$D285="","",IFERROR(INDEX(记账规则!$A$6:$N$9,MATCH(购销流水!$D285,记账规则!$A$6:$A$9,0),12),""))</f>
        <v/>
      </c>
      <c r="M1125" s="66" t="str">
        <f aca="false">IF($L1125="","",IFERROR(INDEX(记账规则!$A$6:$N$9,MATCH(购销流水!$D285,记账规则!$A$6:$A$9,0),13),""))</f>
        <v/>
      </c>
      <c r="N1125" s="66" t="str">
        <f aca="false">IF($L1125="","",IFERROR(INDEX(记账规则!$A$6:$N$9,MATCH(购销流水!$D285,记账规则!$A$6:$A$9,0),14),""))</f>
        <v/>
      </c>
      <c r="O1125" s="67" t="n">
        <f aca="false">IF($H1125="",0,ROUND(IF($N1125="成本金额",N(购销流水!$W285),IF($N1125="金额",N(购销流水!$Q285),0)),2))</f>
        <v>0</v>
      </c>
      <c r="P1125" s="64" t="str">
        <f aca="false">IF(AND($H1125&lt;&gt;"",ROUND($O1125,2)&lt;&gt;0),"有","")</f>
        <v/>
      </c>
    </row>
    <row r="1126" customFormat="false" ht="15" hidden="true" customHeight="false" outlineLevel="0" collapsed="false">
      <c r="A1126" s="53" t="str">
        <f aca="false">IF($H1126="","",ROW()-5)</f>
        <v/>
      </c>
      <c r="B1126" s="64" t="s">
        <v>36</v>
      </c>
      <c r="C1126" s="53" t="n">
        <v>286</v>
      </c>
      <c r="D1126" s="53" t="n">
        <v>1</v>
      </c>
      <c r="E1126" s="65" t="str">
        <f aca="false">IF($H1126="","",购销流水!$B286)</f>
        <v/>
      </c>
      <c r="F1126" s="55" t="str">
        <f aca="false">IF($H1126="","",购销流水!$C286)</f>
        <v/>
      </c>
      <c r="G1126" s="48" t="str">
        <f aca="false">IF($H1126="","",购销流水!$N286)</f>
        <v/>
      </c>
      <c r="H1126" s="10" t="str">
        <f aca="false">IF($L1126="","",IF($L1126="@成本",购销流水!$U286,IF($L1126="@收入",购销流水!$T286,IF($L1126="@存货",购销流水!$S286,IF($L1126="@结算",购销流水!$R286,$L1126)))))</f>
        <v/>
      </c>
      <c r="I1126" s="42" t="n">
        <f aca="false">IF($M1126="借",$O1126,0)</f>
        <v>0</v>
      </c>
      <c r="J1126" s="42" t="n">
        <f aca="false">IF($M1126="贷",$O1126,0)</f>
        <v>0</v>
      </c>
      <c r="K1126" s="48" t="str">
        <f aca="false">IF($H1126="","",购销流水!$E286)</f>
        <v/>
      </c>
      <c r="L1126" s="66" t="str">
        <f aca="false">IF(购销流水!$D286="","",IFERROR(INDEX(记账规则!$A$6:$N$9,MATCH(购销流水!$D286,记账规则!$A$6:$A$9,0),3),""))</f>
        <v/>
      </c>
      <c r="M1126" s="66" t="str">
        <f aca="false">IF($L1126="","",IFERROR(INDEX(记账规则!$A$6:$N$9,MATCH(购销流水!$D286,记账规则!$A$6:$A$9,0),4),""))</f>
        <v/>
      </c>
      <c r="N1126" s="66" t="str">
        <f aca="false">IF($L1126="","",IFERROR(INDEX(记账规则!$A$6:$N$9,MATCH(购销流水!$D286,记账规则!$A$6:$A$9,0),5),""))</f>
        <v/>
      </c>
      <c r="O1126" s="67" t="n">
        <f aca="false">IF($H1126="",0,ROUND(IF($N1126="成本金额",N(购销流水!$W286),IF($N1126="金额",N(购销流水!$Q286),0)),2))</f>
        <v>0</v>
      </c>
      <c r="P1126" s="64" t="str">
        <f aca="false">IF(AND($H1126&lt;&gt;"",ROUND($O1126,2)&lt;&gt;0),"有","")</f>
        <v/>
      </c>
    </row>
    <row r="1127" customFormat="false" ht="15" hidden="true" customHeight="false" outlineLevel="0" collapsed="false">
      <c r="A1127" s="53" t="str">
        <f aca="false">IF($H1127="","",ROW()-5)</f>
        <v/>
      </c>
      <c r="B1127" s="64" t="s">
        <v>36</v>
      </c>
      <c r="C1127" s="53" t="n">
        <v>286</v>
      </c>
      <c r="D1127" s="53" t="n">
        <v>2</v>
      </c>
      <c r="E1127" s="65" t="str">
        <f aca="false">IF($H1127="","",购销流水!$B286)</f>
        <v/>
      </c>
      <c r="F1127" s="55" t="str">
        <f aca="false">IF($H1127="","",购销流水!$C286)</f>
        <v/>
      </c>
      <c r="G1127" s="48" t="str">
        <f aca="false">IF($H1127="","",购销流水!$N286)</f>
        <v/>
      </c>
      <c r="H1127" s="10" t="str">
        <f aca="false">IF($L1127="","",IF($L1127="@成本",购销流水!$U286,IF($L1127="@收入",购销流水!$T286,IF($L1127="@存货",购销流水!$S286,IF($L1127="@结算",购销流水!$R286,$L1127)))))</f>
        <v/>
      </c>
      <c r="I1127" s="42" t="n">
        <f aca="false">IF($M1127="借",$O1127,0)</f>
        <v>0</v>
      </c>
      <c r="J1127" s="42" t="n">
        <f aca="false">IF($M1127="贷",$O1127,0)</f>
        <v>0</v>
      </c>
      <c r="K1127" s="48" t="str">
        <f aca="false">IF($H1127="","",购销流水!$E286)</f>
        <v/>
      </c>
      <c r="L1127" s="66" t="str">
        <f aca="false">IF(购销流水!$D286="","",IFERROR(INDEX(记账规则!$A$6:$N$9,MATCH(购销流水!$D286,记账规则!$A$6:$A$9,0),6),""))</f>
        <v/>
      </c>
      <c r="M1127" s="66" t="str">
        <f aca="false">IF($L1127="","",IFERROR(INDEX(记账规则!$A$6:$N$9,MATCH(购销流水!$D286,记账规则!$A$6:$A$9,0),7),""))</f>
        <v/>
      </c>
      <c r="N1127" s="66" t="str">
        <f aca="false">IF($L1127="","",IFERROR(INDEX(记账规则!$A$6:$N$9,MATCH(购销流水!$D286,记账规则!$A$6:$A$9,0),8),""))</f>
        <v/>
      </c>
      <c r="O1127" s="67" t="n">
        <f aca="false">IF($H1127="",0,ROUND(IF($N1127="成本金额",N(购销流水!$W286),IF($N1127="金额",N(购销流水!$Q286),0)),2))</f>
        <v>0</v>
      </c>
      <c r="P1127" s="64" t="str">
        <f aca="false">IF(AND($H1127&lt;&gt;"",ROUND($O1127,2)&lt;&gt;0),"有","")</f>
        <v/>
      </c>
    </row>
    <row r="1128" customFormat="false" ht="15" hidden="true" customHeight="false" outlineLevel="0" collapsed="false">
      <c r="A1128" s="53" t="str">
        <f aca="false">IF($H1128="","",ROW()-5)</f>
        <v/>
      </c>
      <c r="B1128" s="64" t="s">
        <v>36</v>
      </c>
      <c r="C1128" s="53" t="n">
        <v>286</v>
      </c>
      <c r="D1128" s="53" t="n">
        <v>3</v>
      </c>
      <c r="E1128" s="65" t="str">
        <f aca="false">IF($H1128="","",购销流水!$B286)</f>
        <v/>
      </c>
      <c r="F1128" s="55" t="str">
        <f aca="false">IF($H1128="","",购销流水!$C286)</f>
        <v/>
      </c>
      <c r="G1128" s="48" t="str">
        <f aca="false">IF($H1128="","",购销流水!$N286)</f>
        <v/>
      </c>
      <c r="H1128" s="10" t="str">
        <f aca="false">IF($L1128="","",IF($L1128="@成本",购销流水!$U286,IF($L1128="@收入",购销流水!$T286,IF($L1128="@存货",购销流水!$S286,IF($L1128="@结算",购销流水!$R286,$L1128)))))</f>
        <v/>
      </c>
      <c r="I1128" s="42" t="n">
        <f aca="false">IF($M1128="借",$O1128,0)</f>
        <v>0</v>
      </c>
      <c r="J1128" s="42" t="n">
        <f aca="false">IF($M1128="贷",$O1128,0)</f>
        <v>0</v>
      </c>
      <c r="K1128" s="48" t="str">
        <f aca="false">IF($H1128="","",购销流水!$E286)</f>
        <v/>
      </c>
      <c r="L1128" s="66" t="str">
        <f aca="false">IF(购销流水!$D286="","",IFERROR(INDEX(记账规则!$A$6:$N$9,MATCH(购销流水!$D286,记账规则!$A$6:$A$9,0),9),""))</f>
        <v/>
      </c>
      <c r="M1128" s="66" t="str">
        <f aca="false">IF($L1128="","",IFERROR(INDEX(记账规则!$A$6:$N$9,MATCH(购销流水!$D286,记账规则!$A$6:$A$9,0),10),""))</f>
        <v/>
      </c>
      <c r="N1128" s="66" t="str">
        <f aca="false">IF($L1128="","",IFERROR(INDEX(记账规则!$A$6:$N$9,MATCH(购销流水!$D286,记账规则!$A$6:$A$9,0),11),""))</f>
        <v/>
      </c>
      <c r="O1128" s="67" t="n">
        <f aca="false">IF($H1128="",0,ROUND(IF($N1128="成本金额",N(购销流水!$W286),IF($N1128="金额",N(购销流水!$Q286),0)),2))</f>
        <v>0</v>
      </c>
      <c r="P1128" s="64" t="str">
        <f aca="false">IF(AND($H1128&lt;&gt;"",ROUND($O1128,2)&lt;&gt;0),"有","")</f>
        <v/>
      </c>
    </row>
    <row r="1129" customFormat="false" ht="15" hidden="true" customHeight="false" outlineLevel="0" collapsed="false">
      <c r="A1129" s="53" t="str">
        <f aca="false">IF($H1129="","",ROW()-5)</f>
        <v/>
      </c>
      <c r="B1129" s="64" t="s">
        <v>36</v>
      </c>
      <c r="C1129" s="53" t="n">
        <v>286</v>
      </c>
      <c r="D1129" s="53" t="n">
        <v>4</v>
      </c>
      <c r="E1129" s="65" t="str">
        <f aca="false">IF($H1129="","",购销流水!$B286)</f>
        <v/>
      </c>
      <c r="F1129" s="55" t="str">
        <f aca="false">IF($H1129="","",购销流水!$C286)</f>
        <v/>
      </c>
      <c r="G1129" s="48" t="str">
        <f aca="false">IF($H1129="","",购销流水!$N286)</f>
        <v/>
      </c>
      <c r="H1129" s="10" t="str">
        <f aca="false">IF($L1129="","",IF($L1129="@成本",购销流水!$U286,IF($L1129="@收入",购销流水!$T286,IF($L1129="@存货",购销流水!$S286,IF($L1129="@结算",购销流水!$R286,$L1129)))))</f>
        <v/>
      </c>
      <c r="I1129" s="42" t="n">
        <f aca="false">IF($M1129="借",$O1129,0)</f>
        <v>0</v>
      </c>
      <c r="J1129" s="42" t="n">
        <f aca="false">IF($M1129="贷",$O1129,0)</f>
        <v>0</v>
      </c>
      <c r="K1129" s="48" t="str">
        <f aca="false">IF($H1129="","",购销流水!$E286)</f>
        <v/>
      </c>
      <c r="L1129" s="66" t="str">
        <f aca="false">IF(购销流水!$D286="","",IFERROR(INDEX(记账规则!$A$6:$N$9,MATCH(购销流水!$D286,记账规则!$A$6:$A$9,0),12),""))</f>
        <v/>
      </c>
      <c r="M1129" s="66" t="str">
        <f aca="false">IF($L1129="","",IFERROR(INDEX(记账规则!$A$6:$N$9,MATCH(购销流水!$D286,记账规则!$A$6:$A$9,0),13),""))</f>
        <v/>
      </c>
      <c r="N1129" s="66" t="str">
        <f aca="false">IF($L1129="","",IFERROR(INDEX(记账规则!$A$6:$N$9,MATCH(购销流水!$D286,记账规则!$A$6:$A$9,0),14),""))</f>
        <v/>
      </c>
      <c r="O1129" s="67" t="n">
        <f aca="false">IF($H1129="",0,ROUND(IF($N1129="成本金额",N(购销流水!$W286),IF($N1129="金额",N(购销流水!$Q286),0)),2))</f>
        <v>0</v>
      </c>
      <c r="P1129" s="64" t="str">
        <f aca="false">IF(AND($H1129&lt;&gt;"",ROUND($O1129,2)&lt;&gt;0),"有","")</f>
        <v/>
      </c>
    </row>
    <row r="1130" customFormat="false" ht="15" hidden="true" customHeight="false" outlineLevel="0" collapsed="false">
      <c r="A1130" s="53" t="str">
        <f aca="false">IF($H1130="","",ROW()-5)</f>
        <v/>
      </c>
      <c r="B1130" s="64" t="s">
        <v>36</v>
      </c>
      <c r="C1130" s="53" t="n">
        <v>287</v>
      </c>
      <c r="D1130" s="53" t="n">
        <v>1</v>
      </c>
      <c r="E1130" s="65" t="str">
        <f aca="false">IF($H1130="","",购销流水!$B287)</f>
        <v/>
      </c>
      <c r="F1130" s="55" t="str">
        <f aca="false">IF($H1130="","",购销流水!$C287)</f>
        <v/>
      </c>
      <c r="G1130" s="48" t="str">
        <f aca="false">IF($H1130="","",购销流水!$N287)</f>
        <v/>
      </c>
      <c r="H1130" s="10" t="str">
        <f aca="false">IF($L1130="","",IF($L1130="@成本",购销流水!$U287,IF($L1130="@收入",购销流水!$T287,IF($L1130="@存货",购销流水!$S287,IF($L1130="@结算",购销流水!$R287,$L1130)))))</f>
        <v/>
      </c>
      <c r="I1130" s="42" t="n">
        <f aca="false">IF($M1130="借",$O1130,0)</f>
        <v>0</v>
      </c>
      <c r="J1130" s="42" t="n">
        <f aca="false">IF($M1130="贷",$O1130,0)</f>
        <v>0</v>
      </c>
      <c r="K1130" s="48" t="str">
        <f aca="false">IF($H1130="","",购销流水!$E287)</f>
        <v/>
      </c>
      <c r="L1130" s="66" t="str">
        <f aca="false">IF(购销流水!$D287="","",IFERROR(INDEX(记账规则!$A$6:$N$9,MATCH(购销流水!$D287,记账规则!$A$6:$A$9,0),3),""))</f>
        <v/>
      </c>
      <c r="M1130" s="66" t="str">
        <f aca="false">IF($L1130="","",IFERROR(INDEX(记账规则!$A$6:$N$9,MATCH(购销流水!$D287,记账规则!$A$6:$A$9,0),4),""))</f>
        <v/>
      </c>
      <c r="N1130" s="66" t="str">
        <f aca="false">IF($L1130="","",IFERROR(INDEX(记账规则!$A$6:$N$9,MATCH(购销流水!$D287,记账规则!$A$6:$A$9,0),5),""))</f>
        <v/>
      </c>
      <c r="O1130" s="67" t="n">
        <f aca="false">IF($H1130="",0,ROUND(IF($N1130="成本金额",N(购销流水!$W287),IF($N1130="金额",N(购销流水!$Q287),0)),2))</f>
        <v>0</v>
      </c>
      <c r="P1130" s="64" t="str">
        <f aca="false">IF(AND($H1130&lt;&gt;"",ROUND($O1130,2)&lt;&gt;0),"有","")</f>
        <v/>
      </c>
    </row>
    <row r="1131" customFormat="false" ht="15" hidden="true" customHeight="false" outlineLevel="0" collapsed="false">
      <c r="A1131" s="53" t="str">
        <f aca="false">IF($H1131="","",ROW()-5)</f>
        <v/>
      </c>
      <c r="B1131" s="64" t="s">
        <v>36</v>
      </c>
      <c r="C1131" s="53" t="n">
        <v>287</v>
      </c>
      <c r="D1131" s="53" t="n">
        <v>2</v>
      </c>
      <c r="E1131" s="65" t="str">
        <f aca="false">IF($H1131="","",购销流水!$B287)</f>
        <v/>
      </c>
      <c r="F1131" s="55" t="str">
        <f aca="false">IF($H1131="","",购销流水!$C287)</f>
        <v/>
      </c>
      <c r="G1131" s="48" t="str">
        <f aca="false">IF($H1131="","",购销流水!$N287)</f>
        <v/>
      </c>
      <c r="H1131" s="10" t="str">
        <f aca="false">IF($L1131="","",IF($L1131="@成本",购销流水!$U287,IF($L1131="@收入",购销流水!$T287,IF($L1131="@存货",购销流水!$S287,IF($L1131="@结算",购销流水!$R287,$L1131)))))</f>
        <v/>
      </c>
      <c r="I1131" s="42" t="n">
        <f aca="false">IF($M1131="借",$O1131,0)</f>
        <v>0</v>
      </c>
      <c r="J1131" s="42" t="n">
        <f aca="false">IF($M1131="贷",$O1131,0)</f>
        <v>0</v>
      </c>
      <c r="K1131" s="48" t="str">
        <f aca="false">IF($H1131="","",购销流水!$E287)</f>
        <v/>
      </c>
      <c r="L1131" s="66" t="str">
        <f aca="false">IF(购销流水!$D287="","",IFERROR(INDEX(记账规则!$A$6:$N$9,MATCH(购销流水!$D287,记账规则!$A$6:$A$9,0),6),""))</f>
        <v/>
      </c>
      <c r="M1131" s="66" t="str">
        <f aca="false">IF($L1131="","",IFERROR(INDEX(记账规则!$A$6:$N$9,MATCH(购销流水!$D287,记账规则!$A$6:$A$9,0),7),""))</f>
        <v/>
      </c>
      <c r="N1131" s="66" t="str">
        <f aca="false">IF($L1131="","",IFERROR(INDEX(记账规则!$A$6:$N$9,MATCH(购销流水!$D287,记账规则!$A$6:$A$9,0),8),""))</f>
        <v/>
      </c>
      <c r="O1131" s="67" t="n">
        <f aca="false">IF($H1131="",0,ROUND(IF($N1131="成本金额",N(购销流水!$W287),IF($N1131="金额",N(购销流水!$Q287),0)),2))</f>
        <v>0</v>
      </c>
      <c r="P1131" s="64" t="str">
        <f aca="false">IF(AND($H1131&lt;&gt;"",ROUND($O1131,2)&lt;&gt;0),"有","")</f>
        <v/>
      </c>
    </row>
    <row r="1132" customFormat="false" ht="15" hidden="true" customHeight="false" outlineLevel="0" collapsed="false">
      <c r="A1132" s="53" t="str">
        <f aca="false">IF($H1132="","",ROW()-5)</f>
        <v/>
      </c>
      <c r="B1132" s="64" t="s">
        <v>36</v>
      </c>
      <c r="C1132" s="53" t="n">
        <v>287</v>
      </c>
      <c r="D1132" s="53" t="n">
        <v>3</v>
      </c>
      <c r="E1132" s="65" t="str">
        <f aca="false">IF($H1132="","",购销流水!$B287)</f>
        <v/>
      </c>
      <c r="F1132" s="55" t="str">
        <f aca="false">IF($H1132="","",购销流水!$C287)</f>
        <v/>
      </c>
      <c r="G1132" s="48" t="str">
        <f aca="false">IF($H1132="","",购销流水!$N287)</f>
        <v/>
      </c>
      <c r="H1132" s="10" t="str">
        <f aca="false">IF($L1132="","",IF($L1132="@成本",购销流水!$U287,IF($L1132="@收入",购销流水!$T287,IF($L1132="@存货",购销流水!$S287,IF($L1132="@结算",购销流水!$R287,$L1132)))))</f>
        <v/>
      </c>
      <c r="I1132" s="42" t="n">
        <f aca="false">IF($M1132="借",$O1132,0)</f>
        <v>0</v>
      </c>
      <c r="J1132" s="42" t="n">
        <f aca="false">IF($M1132="贷",$O1132,0)</f>
        <v>0</v>
      </c>
      <c r="K1132" s="48" t="str">
        <f aca="false">IF($H1132="","",购销流水!$E287)</f>
        <v/>
      </c>
      <c r="L1132" s="66" t="str">
        <f aca="false">IF(购销流水!$D287="","",IFERROR(INDEX(记账规则!$A$6:$N$9,MATCH(购销流水!$D287,记账规则!$A$6:$A$9,0),9),""))</f>
        <v/>
      </c>
      <c r="M1132" s="66" t="str">
        <f aca="false">IF($L1132="","",IFERROR(INDEX(记账规则!$A$6:$N$9,MATCH(购销流水!$D287,记账规则!$A$6:$A$9,0),10),""))</f>
        <v/>
      </c>
      <c r="N1132" s="66" t="str">
        <f aca="false">IF($L1132="","",IFERROR(INDEX(记账规则!$A$6:$N$9,MATCH(购销流水!$D287,记账规则!$A$6:$A$9,0),11),""))</f>
        <v/>
      </c>
      <c r="O1132" s="67" t="n">
        <f aca="false">IF($H1132="",0,ROUND(IF($N1132="成本金额",N(购销流水!$W287),IF($N1132="金额",N(购销流水!$Q287),0)),2))</f>
        <v>0</v>
      </c>
      <c r="P1132" s="64" t="str">
        <f aca="false">IF(AND($H1132&lt;&gt;"",ROUND($O1132,2)&lt;&gt;0),"有","")</f>
        <v/>
      </c>
    </row>
    <row r="1133" customFormat="false" ht="15" hidden="true" customHeight="false" outlineLevel="0" collapsed="false">
      <c r="A1133" s="53" t="str">
        <f aca="false">IF($H1133="","",ROW()-5)</f>
        <v/>
      </c>
      <c r="B1133" s="64" t="s">
        <v>36</v>
      </c>
      <c r="C1133" s="53" t="n">
        <v>287</v>
      </c>
      <c r="D1133" s="53" t="n">
        <v>4</v>
      </c>
      <c r="E1133" s="65" t="str">
        <f aca="false">IF($H1133="","",购销流水!$B287)</f>
        <v/>
      </c>
      <c r="F1133" s="55" t="str">
        <f aca="false">IF($H1133="","",购销流水!$C287)</f>
        <v/>
      </c>
      <c r="G1133" s="48" t="str">
        <f aca="false">IF($H1133="","",购销流水!$N287)</f>
        <v/>
      </c>
      <c r="H1133" s="10" t="str">
        <f aca="false">IF($L1133="","",IF($L1133="@成本",购销流水!$U287,IF($L1133="@收入",购销流水!$T287,IF($L1133="@存货",购销流水!$S287,IF($L1133="@结算",购销流水!$R287,$L1133)))))</f>
        <v/>
      </c>
      <c r="I1133" s="42" t="n">
        <f aca="false">IF($M1133="借",$O1133,0)</f>
        <v>0</v>
      </c>
      <c r="J1133" s="42" t="n">
        <f aca="false">IF($M1133="贷",$O1133,0)</f>
        <v>0</v>
      </c>
      <c r="K1133" s="48" t="str">
        <f aca="false">IF($H1133="","",购销流水!$E287)</f>
        <v/>
      </c>
      <c r="L1133" s="66" t="str">
        <f aca="false">IF(购销流水!$D287="","",IFERROR(INDEX(记账规则!$A$6:$N$9,MATCH(购销流水!$D287,记账规则!$A$6:$A$9,0),12),""))</f>
        <v/>
      </c>
      <c r="M1133" s="66" t="str">
        <f aca="false">IF($L1133="","",IFERROR(INDEX(记账规则!$A$6:$N$9,MATCH(购销流水!$D287,记账规则!$A$6:$A$9,0),13),""))</f>
        <v/>
      </c>
      <c r="N1133" s="66" t="str">
        <f aca="false">IF($L1133="","",IFERROR(INDEX(记账规则!$A$6:$N$9,MATCH(购销流水!$D287,记账规则!$A$6:$A$9,0),14),""))</f>
        <v/>
      </c>
      <c r="O1133" s="67" t="n">
        <f aca="false">IF($H1133="",0,ROUND(IF($N1133="成本金额",N(购销流水!$W287),IF($N1133="金额",N(购销流水!$Q287),0)),2))</f>
        <v>0</v>
      </c>
      <c r="P1133" s="64" t="str">
        <f aca="false">IF(AND($H1133&lt;&gt;"",ROUND($O1133,2)&lt;&gt;0),"有","")</f>
        <v/>
      </c>
    </row>
    <row r="1134" customFormat="false" ht="15" hidden="true" customHeight="false" outlineLevel="0" collapsed="false">
      <c r="A1134" s="53" t="str">
        <f aca="false">IF($H1134="","",ROW()-5)</f>
        <v/>
      </c>
      <c r="B1134" s="64" t="s">
        <v>36</v>
      </c>
      <c r="C1134" s="53" t="n">
        <v>288</v>
      </c>
      <c r="D1134" s="53" t="n">
        <v>1</v>
      </c>
      <c r="E1134" s="65" t="str">
        <f aca="false">IF($H1134="","",购销流水!$B288)</f>
        <v/>
      </c>
      <c r="F1134" s="55" t="str">
        <f aca="false">IF($H1134="","",购销流水!$C288)</f>
        <v/>
      </c>
      <c r="G1134" s="48" t="str">
        <f aca="false">IF($H1134="","",购销流水!$N288)</f>
        <v/>
      </c>
      <c r="H1134" s="10" t="str">
        <f aca="false">IF($L1134="","",IF($L1134="@成本",购销流水!$U288,IF($L1134="@收入",购销流水!$T288,IF($L1134="@存货",购销流水!$S288,IF($L1134="@结算",购销流水!$R288,$L1134)))))</f>
        <v/>
      </c>
      <c r="I1134" s="42" t="n">
        <f aca="false">IF($M1134="借",$O1134,0)</f>
        <v>0</v>
      </c>
      <c r="J1134" s="42" t="n">
        <f aca="false">IF($M1134="贷",$O1134,0)</f>
        <v>0</v>
      </c>
      <c r="K1134" s="48" t="str">
        <f aca="false">IF($H1134="","",购销流水!$E288)</f>
        <v/>
      </c>
      <c r="L1134" s="66" t="str">
        <f aca="false">IF(购销流水!$D288="","",IFERROR(INDEX(记账规则!$A$6:$N$9,MATCH(购销流水!$D288,记账规则!$A$6:$A$9,0),3),""))</f>
        <v/>
      </c>
      <c r="M1134" s="66" t="str">
        <f aca="false">IF($L1134="","",IFERROR(INDEX(记账规则!$A$6:$N$9,MATCH(购销流水!$D288,记账规则!$A$6:$A$9,0),4),""))</f>
        <v/>
      </c>
      <c r="N1134" s="66" t="str">
        <f aca="false">IF($L1134="","",IFERROR(INDEX(记账规则!$A$6:$N$9,MATCH(购销流水!$D288,记账规则!$A$6:$A$9,0),5),""))</f>
        <v/>
      </c>
      <c r="O1134" s="67" t="n">
        <f aca="false">IF($H1134="",0,ROUND(IF($N1134="成本金额",N(购销流水!$W288),IF($N1134="金额",N(购销流水!$Q288),0)),2))</f>
        <v>0</v>
      </c>
      <c r="P1134" s="64" t="str">
        <f aca="false">IF(AND($H1134&lt;&gt;"",ROUND($O1134,2)&lt;&gt;0),"有","")</f>
        <v/>
      </c>
    </row>
    <row r="1135" customFormat="false" ht="15" hidden="true" customHeight="false" outlineLevel="0" collapsed="false">
      <c r="A1135" s="53" t="str">
        <f aca="false">IF($H1135="","",ROW()-5)</f>
        <v/>
      </c>
      <c r="B1135" s="64" t="s">
        <v>36</v>
      </c>
      <c r="C1135" s="53" t="n">
        <v>288</v>
      </c>
      <c r="D1135" s="53" t="n">
        <v>2</v>
      </c>
      <c r="E1135" s="65" t="str">
        <f aca="false">IF($H1135="","",购销流水!$B288)</f>
        <v/>
      </c>
      <c r="F1135" s="55" t="str">
        <f aca="false">IF($H1135="","",购销流水!$C288)</f>
        <v/>
      </c>
      <c r="G1135" s="48" t="str">
        <f aca="false">IF($H1135="","",购销流水!$N288)</f>
        <v/>
      </c>
      <c r="H1135" s="10" t="str">
        <f aca="false">IF($L1135="","",IF($L1135="@成本",购销流水!$U288,IF($L1135="@收入",购销流水!$T288,IF($L1135="@存货",购销流水!$S288,IF($L1135="@结算",购销流水!$R288,$L1135)))))</f>
        <v/>
      </c>
      <c r="I1135" s="42" t="n">
        <f aca="false">IF($M1135="借",$O1135,0)</f>
        <v>0</v>
      </c>
      <c r="J1135" s="42" t="n">
        <f aca="false">IF($M1135="贷",$O1135,0)</f>
        <v>0</v>
      </c>
      <c r="K1135" s="48" t="str">
        <f aca="false">IF($H1135="","",购销流水!$E288)</f>
        <v/>
      </c>
      <c r="L1135" s="66" t="str">
        <f aca="false">IF(购销流水!$D288="","",IFERROR(INDEX(记账规则!$A$6:$N$9,MATCH(购销流水!$D288,记账规则!$A$6:$A$9,0),6),""))</f>
        <v/>
      </c>
      <c r="M1135" s="66" t="str">
        <f aca="false">IF($L1135="","",IFERROR(INDEX(记账规则!$A$6:$N$9,MATCH(购销流水!$D288,记账规则!$A$6:$A$9,0),7),""))</f>
        <v/>
      </c>
      <c r="N1135" s="66" t="str">
        <f aca="false">IF($L1135="","",IFERROR(INDEX(记账规则!$A$6:$N$9,MATCH(购销流水!$D288,记账规则!$A$6:$A$9,0),8),""))</f>
        <v/>
      </c>
      <c r="O1135" s="67" t="n">
        <f aca="false">IF($H1135="",0,ROUND(IF($N1135="成本金额",N(购销流水!$W288),IF($N1135="金额",N(购销流水!$Q288),0)),2))</f>
        <v>0</v>
      </c>
      <c r="P1135" s="64" t="str">
        <f aca="false">IF(AND($H1135&lt;&gt;"",ROUND($O1135,2)&lt;&gt;0),"有","")</f>
        <v/>
      </c>
    </row>
    <row r="1136" customFormat="false" ht="15" hidden="true" customHeight="false" outlineLevel="0" collapsed="false">
      <c r="A1136" s="53" t="str">
        <f aca="false">IF($H1136="","",ROW()-5)</f>
        <v/>
      </c>
      <c r="B1136" s="64" t="s">
        <v>36</v>
      </c>
      <c r="C1136" s="53" t="n">
        <v>288</v>
      </c>
      <c r="D1136" s="53" t="n">
        <v>3</v>
      </c>
      <c r="E1136" s="65" t="str">
        <f aca="false">IF($H1136="","",购销流水!$B288)</f>
        <v/>
      </c>
      <c r="F1136" s="55" t="str">
        <f aca="false">IF($H1136="","",购销流水!$C288)</f>
        <v/>
      </c>
      <c r="G1136" s="48" t="str">
        <f aca="false">IF($H1136="","",购销流水!$N288)</f>
        <v/>
      </c>
      <c r="H1136" s="10" t="str">
        <f aca="false">IF($L1136="","",IF($L1136="@成本",购销流水!$U288,IF($L1136="@收入",购销流水!$T288,IF($L1136="@存货",购销流水!$S288,IF($L1136="@结算",购销流水!$R288,$L1136)))))</f>
        <v/>
      </c>
      <c r="I1136" s="42" t="n">
        <f aca="false">IF($M1136="借",$O1136,0)</f>
        <v>0</v>
      </c>
      <c r="J1136" s="42" t="n">
        <f aca="false">IF($M1136="贷",$O1136,0)</f>
        <v>0</v>
      </c>
      <c r="K1136" s="48" t="str">
        <f aca="false">IF($H1136="","",购销流水!$E288)</f>
        <v/>
      </c>
      <c r="L1136" s="66" t="str">
        <f aca="false">IF(购销流水!$D288="","",IFERROR(INDEX(记账规则!$A$6:$N$9,MATCH(购销流水!$D288,记账规则!$A$6:$A$9,0),9),""))</f>
        <v/>
      </c>
      <c r="M1136" s="66" t="str">
        <f aca="false">IF($L1136="","",IFERROR(INDEX(记账规则!$A$6:$N$9,MATCH(购销流水!$D288,记账规则!$A$6:$A$9,0),10),""))</f>
        <v/>
      </c>
      <c r="N1136" s="66" t="str">
        <f aca="false">IF($L1136="","",IFERROR(INDEX(记账规则!$A$6:$N$9,MATCH(购销流水!$D288,记账规则!$A$6:$A$9,0),11),""))</f>
        <v/>
      </c>
      <c r="O1136" s="67" t="n">
        <f aca="false">IF($H1136="",0,ROUND(IF($N1136="成本金额",N(购销流水!$W288),IF($N1136="金额",N(购销流水!$Q288),0)),2))</f>
        <v>0</v>
      </c>
      <c r="P1136" s="64" t="str">
        <f aca="false">IF(AND($H1136&lt;&gt;"",ROUND($O1136,2)&lt;&gt;0),"有","")</f>
        <v/>
      </c>
    </row>
    <row r="1137" customFormat="false" ht="15" hidden="true" customHeight="false" outlineLevel="0" collapsed="false">
      <c r="A1137" s="53" t="str">
        <f aca="false">IF($H1137="","",ROW()-5)</f>
        <v/>
      </c>
      <c r="B1137" s="64" t="s">
        <v>36</v>
      </c>
      <c r="C1137" s="53" t="n">
        <v>288</v>
      </c>
      <c r="D1137" s="53" t="n">
        <v>4</v>
      </c>
      <c r="E1137" s="65" t="str">
        <f aca="false">IF($H1137="","",购销流水!$B288)</f>
        <v/>
      </c>
      <c r="F1137" s="55" t="str">
        <f aca="false">IF($H1137="","",购销流水!$C288)</f>
        <v/>
      </c>
      <c r="G1137" s="48" t="str">
        <f aca="false">IF($H1137="","",购销流水!$N288)</f>
        <v/>
      </c>
      <c r="H1137" s="10" t="str">
        <f aca="false">IF($L1137="","",IF($L1137="@成本",购销流水!$U288,IF($L1137="@收入",购销流水!$T288,IF($L1137="@存货",购销流水!$S288,IF($L1137="@结算",购销流水!$R288,$L1137)))))</f>
        <v/>
      </c>
      <c r="I1137" s="42" t="n">
        <f aca="false">IF($M1137="借",$O1137,0)</f>
        <v>0</v>
      </c>
      <c r="J1137" s="42" t="n">
        <f aca="false">IF($M1137="贷",$O1137,0)</f>
        <v>0</v>
      </c>
      <c r="K1137" s="48" t="str">
        <f aca="false">IF($H1137="","",购销流水!$E288)</f>
        <v/>
      </c>
      <c r="L1137" s="66" t="str">
        <f aca="false">IF(购销流水!$D288="","",IFERROR(INDEX(记账规则!$A$6:$N$9,MATCH(购销流水!$D288,记账规则!$A$6:$A$9,0),12),""))</f>
        <v/>
      </c>
      <c r="M1137" s="66" t="str">
        <f aca="false">IF($L1137="","",IFERROR(INDEX(记账规则!$A$6:$N$9,MATCH(购销流水!$D288,记账规则!$A$6:$A$9,0),13),""))</f>
        <v/>
      </c>
      <c r="N1137" s="66" t="str">
        <f aca="false">IF($L1137="","",IFERROR(INDEX(记账规则!$A$6:$N$9,MATCH(购销流水!$D288,记账规则!$A$6:$A$9,0),14),""))</f>
        <v/>
      </c>
      <c r="O1137" s="67" t="n">
        <f aca="false">IF($H1137="",0,ROUND(IF($N1137="成本金额",N(购销流水!$W288),IF($N1137="金额",N(购销流水!$Q288),0)),2))</f>
        <v>0</v>
      </c>
      <c r="P1137" s="64" t="str">
        <f aca="false">IF(AND($H1137&lt;&gt;"",ROUND($O1137,2)&lt;&gt;0),"有","")</f>
        <v/>
      </c>
    </row>
    <row r="1138" customFormat="false" ht="15" hidden="true" customHeight="false" outlineLevel="0" collapsed="false">
      <c r="A1138" s="53" t="str">
        <f aca="false">IF($H1138="","",ROW()-5)</f>
        <v/>
      </c>
      <c r="B1138" s="64" t="s">
        <v>36</v>
      </c>
      <c r="C1138" s="53" t="n">
        <v>289</v>
      </c>
      <c r="D1138" s="53" t="n">
        <v>1</v>
      </c>
      <c r="E1138" s="65" t="str">
        <f aca="false">IF($H1138="","",购销流水!$B289)</f>
        <v/>
      </c>
      <c r="F1138" s="55" t="str">
        <f aca="false">IF($H1138="","",购销流水!$C289)</f>
        <v/>
      </c>
      <c r="G1138" s="48" t="str">
        <f aca="false">IF($H1138="","",购销流水!$N289)</f>
        <v/>
      </c>
      <c r="H1138" s="10" t="str">
        <f aca="false">IF($L1138="","",IF($L1138="@成本",购销流水!$U289,IF($L1138="@收入",购销流水!$T289,IF($L1138="@存货",购销流水!$S289,IF($L1138="@结算",购销流水!$R289,$L1138)))))</f>
        <v/>
      </c>
      <c r="I1138" s="42" t="n">
        <f aca="false">IF($M1138="借",$O1138,0)</f>
        <v>0</v>
      </c>
      <c r="J1138" s="42" t="n">
        <f aca="false">IF($M1138="贷",$O1138,0)</f>
        <v>0</v>
      </c>
      <c r="K1138" s="48" t="str">
        <f aca="false">IF($H1138="","",购销流水!$E289)</f>
        <v/>
      </c>
      <c r="L1138" s="66" t="str">
        <f aca="false">IF(购销流水!$D289="","",IFERROR(INDEX(记账规则!$A$6:$N$9,MATCH(购销流水!$D289,记账规则!$A$6:$A$9,0),3),""))</f>
        <v/>
      </c>
      <c r="M1138" s="66" t="str">
        <f aca="false">IF($L1138="","",IFERROR(INDEX(记账规则!$A$6:$N$9,MATCH(购销流水!$D289,记账规则!$A$6:$A$9,0),4),""))</f>
        <v/>
      </c>
      <c r="N1138" s="66" t="str">
        <f aca="false">IF($L1138="","",IFERROR(INDEX(记账规则!$A$6:$N$9,MATCH(购销流水!$D289,记账规则!$A$6:$A$9,0),5),""))</f>
        <v/>
      </c>
      <c r="O1138" s="67" t="n">
        <f aca="false">IF($H1138="",0,ROUND(IF($N1138="成本金额",N(购销流水!$W289),IF($N1138="金额",N(购销流水!$Q289),0)),2))</f>
        <v>0</v>
      </c>
      <c r="P1138" s="64" t="str">
        <f aca="false">IF(AND($H1138&lt;&gt;"",ROUND($O1138,2)&lt;&gt;0),"有","")</f>
        <v/>
      </c>
    </row>
    <row r="1139" customFormat="false" ht="15" hidden="true" customHeight="false" outlineLevel="0" collapsed="false">
      <c r="A1139" s="53" t="str">
        <f aca="false">IF($H1139="","",ROW()-5)</f>
        <v/>
      </c>
      <c r="B1139" s="64" t="s">
        <v>36</v>
      </c>
      <c r="C1139" s="53" t="n">
        <v>289</v>
      </c>
      <c r="D1139" s="53" t="n">
        <v>2</v>
      </c>
      <c r="E1139" s="65" t="str">
        <f aca="false">IF($H1139="","",购销流水!$B289)</f>
        <v/>
      </c>
      <c r="F1139" s="55" t="str">
        <f aca="false">IF($H1139="","",购销流水!$C289)</f>
        <v/>
      </c>
      <c r="G1139" s="48" t="str">
        <f aca="false">IF($H1139="","",购销流水!$N289)</f>
        <v/>
      </c>
      <c r="H1139" s="10" t="str">
        <f aca="false">IF($L1139="","",IF($L1139="@成本",购销流水!$U289,IF($L1139="@收入",购销流水!$T289,IF($L1139="@存货",购销流水!$S289,IF($L1139="@结算",购销流水!$R289,$L1139)))))</f>
        <v/>
      </c>
      <c r="I1139" s="42" t="n">
        <f aca="false">IF($M1139="借",$O1139,0)</f>
        <v>0</v>
      </c>
      <c r="J1139" s="42" t="n">
        <f aca="false">IF($M1139="贷",$O1139,0)</f>
        <v>0</v>
      </c>
      <c r="K1139" s="48" t="str">
        <f aca="false">IF($H1139="","",购销流水!$E289)</f>
        <v/>
      </c>
      <c r="L1139" s="66" t="str">
        <f aca="false">IF(购销流水!$D289="","",IFERROR(INDEX(记账规则!$A$6:$N$9,MATCH(购销流水!$D289,记账规则!$A$6:$A$9,0),6),""))</f>
        <v/>
      </c>
      <c r="M1139" s="66" t="str">
        <f aca="false">IF($L1139="","",IFERROR(INDEX(记账规则!$A$6:$N$9,MATCH(购销流水!$D289,记账规则!$A$6:$A$9,0),7),""))</f>
        <v/>
      </c>
      <c r="N1139" s="66" t="str">
        <f aca="false">IF($L1139="","",IFERROR(INDEX(记账规则!$A$6:$N$9,MATCH(购销流水!$D289,记账规则!$A$6:$A$9,0),8),""))</f>
        <v/>
      </c>
      <c r="O1139" s="67" t="n">
        <f aca="false">IF($H1139="",0,ROUND(IF($N1139="成本金额",N(购销流水!$W289),IF($N1139="金额",N(购销流水!$Q289),0)),2))</f>
        <v>0</v>
      </c>
      <c r="P1139" s="64" t="str">
        <f aca="false">IF(AND($H1139&lt;&gt;"",ROUND($O1139,2)&lt;&gt;0),"有","")</f>
        <v/>
      </c>
    </row>
    <row r="1140" customFormat="false" ht="15" hidden="true" customHeight="false" outlineLevel="0" collapsed="false">
      <c r="A1140" s="53" t="str">
        <f aca="false">IF($H1140="","",ROW()-5)</f>
        <v/>
      </c>
      <c r="B1140" s="64" t="s">
        <v>36</v>
      </c>
      <c r="C1140" s="53" t="n">
        <v>289</v>
      </c>
      <c r="D1140" s="53" t="n">
        <v>3</v>
      </c>
      <c r="E1140" s="65" t="str">
        <f aca="false">IF($H1140="","",购销流水!$B289)</f>
        <v/>
      </c>
      <c r="F1140" s="55" t="str">
        <f aca="false">IF($H1140="","",购销流水!$C289)</f>
        <v/>
      </c>
      <c r="G1140" s="48" t="str">
        <f aca="false">IF($H1140="","",购销流水!$N289)</f>
        <v/>
      </c>
      <c r="H1140" s="10" t="str">
        <f aca="false">IF($L1140="","",IF($L1140="@成本",购销流水!$U289,IF($L1140="@收入",购销流水!$T289,IF($L1140="@存货",购销流水!$S289,IF($L1140="@结算",购销流水!$R289,$L1140)))))</f>
        <v/>
      </c>
      <c r="I1140" s="42" t="n">
        <f aca="false">IF($M1140="借",$O1140,0)</f>
        <v>0</v>
      </c>
      <c r="J1140" s="42" t="n">
        <f aca="false">IF($M1140="贷",$O1140,0)</f>
        <v>0</v>
      </c>
      <c r="K1140" s="48" t="str">
        <f aca="false">IF($H1140="","",购销流水!$E289)</f>
        <v/>
      </c>
      <c r="L1140" s="66" t="str">
        <f aca="false">IF(购销流水!$D289="","",IFERROR(INDEX(记账规则!$A$6:$N$9,MATCH(购销流水!$D289,记账规则!$A$6:$A$9,0),9),""))</f>
        <v/>
      </c>
      <c r="M1140" s="66" t="str">
        <f aca="false">IF($L1140="","",IFERROR(INDEX(记账规则!$A$6:$N$9,MATCH(购销流水!$D289,记账规则!$A$6:$A$9,0),10),""))</f>
        <v/>
      </c>
      <c r="N1140" s="66" t="str">
        <f aca="false">IF($L1140="","",IFERROR(INDEX(记账规则!$A$6:$N$9,MATCH(购销流水!$D289,记账规则!$A$6:$A$9,0),11),""))</f>
        <v/>
      </c>
      <c r="O1140" s="67" t="n">
        <f aca="false">IF($H1140="",0,ROUND(IF($N1140="成本金额",N(购销流水!$W289),IF($N1140="金额",N(购销流水!$Q289),0)),2))</f>
        <v>0</v>
      </c>
      <c r="P1140" s="64" t="str">
        <f aca="false">IF(AND($H1140&lt;&gt;"",ROUND($O1140,2)&lt;&gt;0),"有","")</f>
        <v/>
      </c>
    </row>
    <row r="1141" customFormat="false" ht="15" hidden="true" customHeight="false" outlineLevel="0" collapsed="false">
      <c r="A1141" s="53" t="str">
        <f aca="false">IF($H1141="","",ROW()-5)</f>
        <v/>
      </c>
      <c r="B1141" s="64" t="s">
        <v>36</v>
      </c>
      <c r="C1141" s="53" t="n">
        <v>289</v>
      </c>
      <c r="D1141" s="53" t="n">
        <v>4</v>
      </c>
      <c r="E1141" s="65" t="str">
        <f aca="false">IF($H1141="","",购销流水!$B289)</f>
        <v/>
      </c>
      <c r="F1141" s="55" t="str">
        <f aca="false">IF($H1141="","",购销流水!$C289)</f>
        <v/>
      </c>
      <c r="G1141" s="48" t="str">
        <f aca="false">IF($H1141="","",购销流水!$N289)</f>
        <v/>
      </c>
      <c r="H1141" s="10" t="str">
        <f aca="false">IF($L1141="","",IF($L1141="@成本",购销流水!$U289,IF($L1141="@收入",购销流水!$T289,IF($L1141="@存货",购销流水!$S289,IF($L1141="@结算",购销流水!$R289,$L1141)))))</f>
        <v/>
      </c>
      <c r="I1141" s="42" t="n">
        <f aca="false">IF($M1141="借",$O1141,0)</f>
        <v>0</v>
      </c>
      <c r="J1141" s="42" t="n">
        <f aca="false">IF($M1141="贷",$O1141,0)</f>
        <v>0</v>
      </c>
      <c r="K1141" s="48" t="str">
        <f aca="false">IF($H1141="","",购销流水!$E289)</f>
        <v/>
      </c>
      <c r="L1141" s="66" t="str">
        <f aca="false">IF(购销流水!$D289="","",IFERROR(INDEX(记账规则!$A$6:$N$9,MATCH(购销流水!$D289,记账规则!$A$6:$A$9,0),12),""))</f>
        <v/>
      </c>
      <c r="M1141" s="66" t="str">
        <f aca="false">IF($L1141="","",IFERROR(INDEX(记账规则!$A$6:$N$9,MATCH(购销流水!$D289,记账规则!$A$6:$A$9,0),13),""))</f>
        <v/>
      </c>
      <c r="N1141" s="66" t="str">
        <f aca="false">IF($L1141="","",IFERROR(INDEX(记账规则!$A$6:$N$9,MATCH(购销流水!$D289,记账规则!$A$6:$A$9,0),14),""))</f>
        <v/>
      </c>
      <c r="O1141" s="67" t="n">
        <f aca="false">IF($H1141="",0,ROUND(IF($N1141="成本金额",N(购销流水!$W289),IF($N1141="金额",N(购销流水!$Q289),0)),2))</f>
        <v>0</v>
      </c>
      <c r="P1141" s="64" t="str">
        <f aca="false">IF(AND($H1141&lt;&gt;"",ROUND($O1141,2)&lt;&gt;0),"有","")</f>
        <v/>
      </c>
    </row>
    <row r="1142" customFormat="false" ht="15" hidden="true" customHeight="false" outlineLevel="0" collapsed="false">
      <c r="A1142" s="53" t="str">
        <f aca="false">IF($H1142="","",ROW()-5)</f>
        <v/>
      </c>
      <c r="B1142" s="64" t="s">
        <v>36</v>
      </c>
      <c r="C1142" s="53" t="n">
        <v>290</v>
      </c>
      <c r="D1142" s="53" t="n">
        <v>1</v>
      </c>
      <c r="E1142" s="65" t="str">
        <f aca="false">IF($H1142="","",购销流水!$B290)</f>
        <v/>
      </c>
      <c r="F1142" s="55" t="str">
        <f aca="false">IF($H1142="","",购销流水!$C290)</f>
        <v/>
      </c>
      <c r="G1142" s="48" t="str">
        <f aca="false">IF($H1142="","",购销流水!$N290)</f>
        <v/>
      </c>
      <c r="H1142" s="10" t="str">
        <f aca="false">IF($L1142="","",IF($L1142="@成本",购销流水!$U290,IF($L1142="@收入",购销流水!$T290,IF($L1142="@存货",购销流水!$S290,IF($L1142="@结算",购销流水!$R290,$L1142)))))</f>
        <v/>
      </c>
      <c r="I1142" s="42" t="n">
        <f aca="false">IF($M1142="借",$O1142,0)</f>
        <v>0</v>
      </c>
      <c r="J1142" s="42" t="n">
        <f aca="false">IF($M1142="贷",$O1142,0)</f>
        <v>0</v>
      </c>
      <c r="K1142" s="48" t="str">
        <f aca="false">IF($H1142="","",购销流水!$E290)</f>
        <v/>
      </c>
      <c r="L1142" s="66" t="str">
        <f aca="false">IF(购销流水!$D290="","",IFERROR(INDEX(记账规则!$A$6:$N$9,MATCH(购销流水!$D290,记账规则!$A$6:$A$9,0),3),""))</f>
        <v/>
      </c>
      <c r="M1142" s="66" t="str">
        <f aca="false">IF($L1142="","",IFERROR(INDEX(记账规则!$A$6:$N$9,MATCH(购销流水!$D290,记账规则!$A$6:$A$9,0),4),""))</f>
        <v/>
      </c>
      <c r="N1142" s="66" t="str">
        <f aca="false">IF($L1142="","",IFERROR(INDEX(记账规则!$A$6:$N$9,MATCH(购销流水!$D290,记账规则!$A$6:$A$9,0),5),""))</f>
        <v/>
      </c>
      <c r="O1142" s="67" t="n">
        <f aca="false">IF($H1142="",0,ROUND(IF($N1142="成本金额",N(购销流水!$W290),IF($N1142="金额",N(购销流水!$Q290),0)),2))</f>
        <v>0</v>
      </c>
      <c r="P1142" s="64" t="str">
        <f aca="false">IF(AND($H1142&lt;&gt;"",ROUND($O1142,2)&lt;&gt;0),"有","")</f>
        <v/>
      </c>
    </row>
    <row r="1143" customFormat="false" ht="15" hidden="true" customHeight="false" outlineLevel="0" collapsed="false">
      <c r="A1143" s="53" t="str">
        <f aca="false">IF($H1143="","",ROW()-5)</f>
        <v/>
      </c>
      <c r="B1143" s="64" t="s">
        <v>36</v>
      </c>
      <c r="C1143" s="53" t="n">
        <v>290</v>
      </c>
      <c r="D1143" s="53" t="n">
        <v>2</v>
      </c>
      <c r="E1143" s="65" t="str">
        <f aca="false">IF($H1143="","",购销流水!$B290)</f>
        <v/>
      </c>
      <c r="F1143" s="55" t="str">
        <f aca="false">IF($H1143="","",购销流水!$C290)</f>
        <v/>
      </c>
      <c r="G1143" s="48" t="str">
        <f aca="false">IF($H1143="","",购销流水!$N290)</f>
        <v/>
      </c>
      <c r="H1143" s="10" t="str">
        <f aca="false">IF($L1143="","",IF($L1143="@成本",购销流水!$U290,IF($L1143="@收入",购销流水!$T290,IF($L1143="@存货",购销流水!$S290,IF($L1143="@结算",购销流水!$R290,$L1143)))))</f>
        <v/>
      </c>
      <c r="I1143" s="42" t="n">
        <f aca="false">IF($M1143="借",$O1143,0)</f>
        <v>0</v>
      </c>
      <c r="J1143" s="42" t="n">
        <f aca="false">IF($M1143="贷",$O1143,0)</f>
        <v>0</v>
      </c>
      <c r="K1143" s="48" t="str">
        <f aca="false">IF($H1143="","",购销流水!$E290)</f>
        <v/>
      </c>
      <c r="L1143" s="66" t="str">
        <f aca="false">IF(购销流水!$D290="","",IFERROR(INDEX(记账规则!$A$6:$N$9,MATCH(购销流水!$D290,记账规则!$A$6:$A$9,0),6),""))</f>
        <v/>
      </c>
      <c r="M1143" s="66" t="str">
        <f aca="false">IF($L1143="","",IFERROR(INDEX(记账规则!$A$6:$N$9,MATCH(购销流水!$D290,记账规则!$A$6:$A$9,0),7),""))</f>
        <v/>
      </c>
      <c r="N1143" s="66" t="str">
        <f aca="false">IF($L1143="","",IFERROR(INDEX(记账规则!$A$6:$N$9,MATCH(购销流水!$D290,记账规则!$A$6:$A$9,0),8),""))</f>
        <v/>
      </c>
      <c r="O1143" s="67" t="n">
        <f aca="false">IF($H1143="",0,ROUND(IF($N1143="成本金额",N(购销流水!$W290),IF($N1143="金额",N(购销流水!$Q290),0)),2))</f>
        <v>0</v>
      </c>
      <c r="P1143" s="64" t="str">
        <f aca="false">IF(AND($H1143&lt;&gt;"",ROUND($O1143,2)&lt;&gt;0),"有","")</f>
        <v/>
      </c>
    </row>
    <row r="1144" customFormat="false" ht="15" hidden="true" customHeight="false" outlineLevel="0" collapsed="false">
      <c r="A1144" s="53" t="str">
        <f aca="false">IF($H1144="","",ROW()-5)</f>
        <v/>
      </c>
      <c r="B1144" s="64" t="s">
        <v>36</v>
      </c>
      <c r="C1144" s="53" t="n">
        <v>290</v>
      </c>
      <c r="D1144" s="53" t="n">
        <v>3</v>
      </c>
      <c r="E1144" s="65" t="str">
        <f aca="false">IF($H1144="","",购销流水!$B290)</f>
        <v/>
      </c>
      <c r="F1144" s="55" t="str">
        <f aca="false">IF($H1144="","",购销流水!$C290)</f>
        <v/>
      </c>
      <c r="G1144" s="48" t="str">
        <f aca="false">IF($H1144="","",购销流水!$N290)</f>
        <v/>
      </c>
      <c r="H1144" s="10" t="str">
        <f aca="false">IF($L1144="","",IF($L1144="@成本",购销流水!$U290,IF($L1144="@收入",购销流水!$T290,IF($L1144="@存货",购销流水!$S290,IF($L1144="@结算",购销流水!$R290,$L1144)))))</f>
        <v/>
      </c>
      <c r="I1144" s="42" t="n">
        <f aca="false">IF($M1144="借",$O1144,0)</f>
        <v>0</v>
      </c>
      <c r="J1144" s="42" t="n">
        <f aca="false">IF($M1144="贷",$O1144,0)</f>
        <v>0</v>
      </c>
      <c r="K1144" s="48" t="str">
        <f aca="false">IF($H1144="","",购销流水!$E290)</f>
        <v/>
      </c>
      <c r="L1144" s="66" t="str">
        <f aca="false">IF(购销流水!$D290="","",IFERROR(INDEX(记账规则!$A$6:$N$9,MATCH(购销流水!$D290,记账规则!$A$6:$A$9,0),9),""))</f>
        <v/>
      </c>
      <c r="M1144" s="66" t="str">
        <f aca="false">IF($L1144="","",IFERROR(INDEX(记账规则!$A$6:$N$9,MATCH(购销流水!$D290,记账规则!$A$6:$A$9,0),10),""))</f>
        <v/>
      </c>
      <c r="N1144" s="66" t="str">
        <f aca="false">IF($L1144="","",IFERROR(INDEX(记账规则!$A$6:$N$9,MATCH(购销流水!$D290,记账规则!$A$6:$A$9,0),11),""))</f>
        <v/>
      </c>
      <c r="O1144" s="67" t="n">
        <f aca="false">IF($H1144="",0,ROUND(IF($N1144="成本金额",N(购销流水!$W290),IF($N1144="金额",N(购销流水!$Q290),0)),2))</f>
        <v>0</v>
      </c>
      <c r="P1144" s="64" t="str">
        <f aca="false">IF(AND($H1144&lt;&gt;"",ROUND($O1144,2)&lt;&gt;0),"有","")</f>
        <v/>
      </c>
    </row>
    <row r="1145" customFormat="false" ht="15" hidden="true" customHeight="false" outlineLevel="0" collapsed="false">
      <c r="A1145" s="53" t="str">
        <f aca="false">IF($H1145="","",ROW()-5)</f>
        <v/>
      </c>
      <c r="B1145" s="64" t="s">
        <v>36</v>
      </c>
      <c r="C1145" s="53" t="n">
        <v>290</v>
      </c>
      <c r="D1145" s="53" t="n">
        <v>4</v>
      </c>
      <c r="E1145" s="65" t="str">
        <f aca="false">IF($H1145="","",购销流水!$B290)</f>
        <v/>
      </c>
      <c r="F1145" s="55" t="str">
        <f aca="false">IF($H1145="","",购销流水!$C290)</f>
        <v/>
      </c>
      <c r="G1145" s="48" t="str">
        <f aca="false">IF($H1145="","",购销流水!$N290)</f>
        <v/>
      </c>
      <c r="H1145" s="10" t="str">
        <f aca="false">IF($L1145="","",IF($L1145="@成本",购销流水!$U290,IF($L1145="@收入",购销流水!$T290,IF($L1145="@存货",购销流水!$S290,IF($L1145="@结算",购销流水!$R290,$L1145)))))</f>
        <v/>
      </c>
      <c r="I1145" s="42" t="n">
        <f aca="false">IF($M1145="借",$O1145,0)</f>
        <v>0</v>
      </c>
      <c r="J1145" s="42" t="n">
        <f aca="false">IF($M1145="贷",$O1145,0)</f>
        <v>0</v>
      </c>
      <c r="K1145" s="48" t="str">
        <f aca="false">IF($H1145="","",购销流水!$E290)</f>
        <v/>
      </c>
      <c r="L1145" s="66" t="str">
        <f aca="false">IF(购销流水!$D290="","",IFERROR(INDEX(记账规则!$A$6:$N$9,MATCH(购销流水!$D290,记账规则!$A$6:$A$9,0),12),""))</f>
        <v/>
      </c>
      <c r="M1145" s="66" t="str">
        <f aca="false">IF($L1145="","",IFERROR(INDEX(记账规则!$A$6:$N$9,MATCH(购销流水!$D290,记账规则!$A$6:$A$9,0),13),""))</f>
        <v/>
      </c>
      <c r="N1145" s="66" t="str">
        <f aca="false">IF($L1145="","",IFERROR(INDEX(记账规则!$A$6:$N$9,MATCH(购销流水!$D290,记账规则!$A$6:$A$9,0),14),""))</f>
        <v/>
      </c>
      <c r="O1145" s="67" t="n">
        <f aca="false">IF($H1145="",0,ROUND(IF($N1145="成本金额",N(购销流水!$W290),IF($N1145="金额",N(购销流水!$Q290),0)),2))</f>
        <v>0</v>
      </c>
      <c r="P1145" s="64" t="str">
        <f aca="false">IF(AND($H1145&lt;&gt;"",ROUND($O1145,2)&lt;&gt;0),"有","")</f>
        <v/>
      </c>
    </row>
    <row r="1146" customFormat="false" ht="15" hidden="true" customHeight="false" outlineLevel="0" collapsed="false">
      <c r="A1146" s="53" t="str">
        <f aca="false">IF($H1146="","",ROW()-5)</f>
        <v/>
      </c>
      <c r="B1146" s="64" t="s">
        <v>36</v>
      </c>
      <c r="C1146" s="53" t="n">
        <v>291</v>
      </c>
      <c r="D1146" s="53" t="n">
        <v>1</v>
      </c>
      <c r="E1146" s="65" t="str">
        <f aca="false">IF($H1146="","",购销流水!$B291)</f>
        <v/>
      </c>
      <c r="F1146" s="55" t="str">
        <f aca="false">IF($H1146="","",购销流水!$C291)</f>
        <v/>
      </c>
      <c r="G1146" s="48" t="str">
        <f aca="false">IF($H1146="","",购销流水!$N291)</f>
        <v/>
      </c>
      <c r="H1146" s="10" t="str">
        <f aca="false">IF($L1146="","",IF($L1146="@成本",购销流水!$U291,IF($L1146="@收入",购销流水!$T291,IF($L1146="@存货",购销流水!$S291,IF($L1146="@结算",购销流水!$R291,$L1146)))))</f>
        <v/>
      </c>
      <c r="I1146" s="42" t="n">
        <f aca="false">IF($M1146="借",$O1146,0)</f>
        <v>0</v>
      </c>
      <c r="J1146" s="42" t="n">
        <f aca="false">IF($M1146="贷",$O1146,0)</f>
        <v>0</v>
      </c>
      <c r="K1146" s="48" t="str">
        <f aca="false">IF($H1146="","",购销流水!$E291)</f>
        <v/>
      </c>
      <c r="L1146" s="66" t="str">
        <f aca="false">IF(购销流水!$D291="","",IFERROR(INDEX(记账规则!$A$6:$N$9,MATCH(购销流水!$D291,记账规则!$A$6:$A$9,0),3),""))</f>
        <v/>
      </c>
      <c r="M1146" s="66" t="str">
        <f aca="false">IF($L1146="","",IFERROR(INDEX(记账规则!$A$6:$N$9,MATCH(购销流水!$D291,记账规则!$A$6:$A$9,0),4),""))</f>
        <v/>
      </c>
      <c r="N1146" s="66" t="str">
        <f aca="false">IF($L1146="","",IFERROR(INDEX(记账规则!$A$6:$N$9,MATCH(购销流水!$D291,记账规则!$A$6:$A$9,0),5),""))</f>
        <v/>
      </c>
      <c r="O1146" s="67" t="n">
        <f aca="false">IF($H1146="",0,ROUND(IF($N1146="成本金额",N(购销流水!$W291),IF($N1146="金额",N(购销流水!$Q291),0)),2))</f>
        <v>0</v>
      </c>
      <c r="P1146" s="64" t="str">
        <f aca="false">IF(AND($H1146&lt;&gt;"",ROUND($O1146,2)&lt;&gt;0),"有","")</f>
        <v/>
      </c>
    </row>
    <row r="1147" customFormat="false" ht="15" hidden="true" customHeight="false" outlineLevel="0" collapsed="false">
      <c r="A1147" s="53" t="str">
        <f aca="false">IF($H1147="","",ROW()-5)</f>
        <v/>
      </c>
      <c r="B1147" s="64" t="s">
        <v>36</v>
      </c>
      <c r="C1147" s="53" t="n">
        <v>291</v>
      </c>
      <c r="D1147" s="53" t="n">
        <v>2</v>
      </c>
      <c r="E1147" s="65" t="str">
        <f aca="false">IF($H1147="","",购销流水!$B291)</f>
        <v/>
      </c>
      <c r="F1147" s="55" t="str">
        <f aca="false">IF($H1147="","",购销流水!$C291)</f>
        <v/>
      </c>
      <c r="G1147" s="48" t="str">
        <f aca="false">IF($H1147="","",购销流水!$N291)</f>
        <v/>
      </c>
      <c r="H1147" s="10" t="str">
        <f aca="false">IF($L1147="","",IF($L1147="@成本",购销流水!$U291,IF($L1147="@收入",购销流水!$T291,IF($L1147="@存货",购销流水!$S291,IF($L1147="@结算",购销流水!$R291,$L1147)))))</f>
        <v/>
      </c>
      <c r="I1147" s="42" t="n">
        <f aca="false">IF($M1147="借",$O1147,0)</f>
        <v>0</v>
      </c>
      <c r="J1147" s="42" t="n">
        <f aca="false">IF($M1147="贷",$O1147,0)</f>
        <v>0</v>
      </c>
      <c r="K1147" s="48" t="str">
        <f aca="false">IF($H1147="","",购销流水!$E291)</f>
        <v/>
      </c>
      <c r="L1147" s="66" t="str">
        <f aca="false">IF(购销流水!$D291="","",IFERROR(INDEX(记账规则!$A$6:$N$9,MATCH(购销流水!$D291,记账规则!$A$6:$A$9,0),6),""))</f>
        <v/>
      </c>
      <c r="M1147" s="66" t="str">
        <f aca="false">IF($L1147="","",IFERROR(INDEX(记账规则!$A$6:$N$9,MATCH(购销流水!$D291,记账规则!$A$6:$A$9,0),7),""))</f>
        <v/>
      </c>
      <c r="N1147" s="66" t="str">
        <f aca="false">IF($L1147="","",IFERROR(INDEX(记账规则!$A$6:$N$9,MATCH(购销流水!$D291,记账规则!$A$6:$A$9,0),8),""))</f>
        <v/>
      </c>
      <c r="O1147" s="67" t="n">
        <f aca="false">IF($H1147="",0,ROUND(IF($N1147="成本金额",N(购销流水!$W291),IF($N1147="金额",N(购销流水!$Q291),0)),2))</f>
        <v>0</v>
      </c>
      <c r="P1147" s="64" t="str">
        <f aca="false">IF(AND($H1147&lt;&gt;"",ROUND($O1147,2)&lt;&gt;0),"有","")</f>
        <v/>
      </c>
    </row>
    <row r="1148" customFormat="false" ht="15" hidden="true" customHeight="false" outlineLevel="0" collapsed="false">
      <c r="A1148" s="53" t="str">
        <f aca="false">IF($H1148="","",ROW()-5)</f>
        <v/>
      </c>
      <c r="B1148" s="64" t="s">
        <v>36</v>
      </c>
      <c r="C1148" s="53" t="n">
        <v>291</v>
      </c>
      <c r="D1148" s="53" t="n">
        <v>3</v>
      </c>
      <c r="E1148" s="65" t="str">
        <f aca="false">IF($H1148="","",购销流水!$B291)</f>
        <v/>
      </c>
      <c r="F1148" s="55" t="str">
        <f aca="false">IF($H1148="","",购销流水!$C291)</f>
        <v/>
      </c>
      <c r="G1148" s="48" t="str">
        <f aca="false">IF($H1148="","",购销流水!$N291)</f>
        <v/>
      </c>
      <c r="H1148" s="10" t="str">
        <f aca="false">IF($L1148="","",IF($L1148="@成本",购销流水!$U291,IF($L1148="@收入",购销流水!$T291,IF($L1148="@存货",购销流水!$S291,IF($L1148="@结算",购销流水!$R291,$L1148)))))</f>
        <v/>
      </c>
      <c r="I1148" s="42" t="n">
        <f aca="false">IF($M1148="借",$O1148,0)</f>
        <v>0</v>
      </c>
      <c r="J1148" s="42" t="n">
        <f aca="false">IF($M1148="贷",$O1148,0)</f>
        <v>0</v>
      </c>
      <c r="K1148" s="48" t="str">
        <f aca="false">IF($H1148="","",购销流水!$E291)</f>
        <v/>
      </c>
      <c r="L1148" s="66" t="str">
        <f aca="false">IF(购销流水!$D291="","",IFERROR(INDEX(记账规则!$A$6:$N$9,MATCH(购销流水!$D291,记账规则!$A$6:$A$9,0),9),""))</f>
        <v/>
      </c>
      <c r="M1148" s="66" t="str">
        <f aca="false">IF($L1148="","",IFERROR(INDEX(记账规则!$A$6:$N$9,MATCH(购销流水!$D291,记账规则!$A$6:$A$9,0),10),""))</f>
        <v/>
      </c>
      <c r="N1148" s="66" t="str">
        <f aca="false">IF($L1148="","",IFERROR(INDEX(记账规则!$A$6:$N$9,MATCH(购销流水!$D291,记账规则!$A$6:$A$9,0),11),""))</f>
        <v/>
      </c>
      <c r="O1148" s="67" t="n">
        <f aca="false">IF($H1148="",0,ROUND(IF($N1148="成本金额",N(购销流水!$W291),IF($N1148="金额",N(购销流水!$Q291),0)),2))</f>
        <v>0</v>
      </c>
      <c r="P1148" s="64" t="str">
        <f aca="false">IF(AND($H1148&lt;&gt;"",ROUND($O1148,2)&lt;&gt;0),"有","")</f>
        <v/>
      </c>
    </row>
    <row r="1149" customFormat="false" ht="15" hidden="true" customHeight="false" outlineLevel="0" collapsed="false">
      <c r="A1149" s="53" t="str">
        <f aca="false">IF($H1149="","",ROW()-5)</f>
        <v/>
      </c>
      <c r="B1149" s="64" t="s">
        <v>36</v>
      </c>
      <c r="C1149" s="53" t="n">
        <v>291</v>
      </c>
      <c r="D1149" s="53" t="n">
        <v>4</v>
      </c>
      <c r="E1149" s="65" t="str">
        <f aca="false">IF($H1149="","",购销流水!$B291)</f>
        <v/>
      </c>
      <c r="F1149" s="55" t="str">
        <f aca="false">IF($H1149="","",购销流水!$C291)</f>
        <v/>
      </c>
      <c r="G1149" s="48" t="str">
        <f aca="false">IF($H1149="","",购销流水!$N291)</f>
        <v/>
      </c>
      <c r="H1149" s="10" t="str">
        <f aca="false">IF($L1149="","",IF($L1149="@成本",购销流水!$U291,IF($L1149="@收入",购销流水!$T291,IF($L1149="@存货",购销流水!$S291,IF($L1149="@结算",购销流水!$R291,$L1149)))))</f>
        <v/>
      </c>
      <c r="I1149" s="42" t="n">
        <f aca="false">IF($M1149="借",$O1149,0)</f>
        <v>0</v>
      </c>
      <c r="J1149" s="42" t="n">
        <f aca="false">IF($M1149="贷",$O1149,0)</f>
        <v>0</v>
      </c>
      <c r="K1149" s="48" t="str">
        <f aca="false">IF($H1149="","",购销流水!$E291)</f>
        <v/>
      </c>
      <c r="L1149" s="66" t="str">
        <f aca="false">IF(购销流水!$D291="","",IFERROR(INDEX(记账规则!$A$6:$N$9,MATCH(购销流水!$D291,记账规则!$A$6:$A$9,0),12),""))</f>
        <v/>
      </c>
      <c r="M1149" s="66" t="str">
        <f aca="false">IF($L1149="","",IFERROR(INDEX(记账规则!$A$6:$N$9,MATCH(购销流水!$D291,记账规则!$A$6:$A$9,0),13),""))</f>
        <v/>
      </c>
      <c r="N1149" s="66" t="str">
        <f aca="false">IF($L1149="","",IFERROR(INDEX(记账规则!$A$6:$N$9,MATCH(购销流水!$D291,记账规则!$A$6:$A$9,0),14),""))</f>
        <v/>
      </c>
      <c r="O1149" s="67" t="n">
        <f aca="false">IF($H1149="",0,ROUND(IF($N1149="成本金额",N(购销流水!$W291),IF($N1149="金额",N(购销流水!$Q291),0)),2))</f>
        <v>0</v>
      </c>
      <c r="P1149" s="64" t="str">
        <f aca="false">IF(AND($H1149&lt;&gt;"",ROUND($O1149,2)&lt;&gt;0),"有","")</f>
        <v/>
      </c>
    </row>
    <row r="1150" customFormat="false" ht="15" hidden="true" customHeight="false" outlineLevel="0" collapsed="false">
      <c r="A1150" s="53" t="str">
        <f aca="false">IF($H1150="","",ROW()-5)</f>
        <v/>
      </c>
      <c r="B1150" s="64" t="s">
        <v>36</v>
      </c>
      <c r="C1150" s="53" t="n">
        <v>292</v>
      </c>
      <c r="D1150" s="53" t="n">
        <v>1</v>
      </c>
      <c r="E1150" s="65" t="str">
        <f aca="false">IF($H1150="","",购销流水!$B292)</f>
        <v/>
      </c>
      <c r="F1150" s="55" t="str">
        <f aca="false">IF($H1150="","",购销流水!$C292)</f>
        <v/>
      </c>
      <c r="G1150" s="48" t="str">
        <f aca="false">IF($H1150="","",购销流水!$N292)</f>
        <v/>
      </c>
      <c r="H1150" s="10" t="str">
        <f aca="false">IF($L1150="","",IF($L1150="@成本",购销流水!$U292,IF($L1150="@收入",购销流水!$T292,IF($L1150="@存货",购销流水!$S292,IF($L1150="@结算",购销流水!$R292,$L1150)))))</f>
        <v/>
      </c>
      <c r="I1150" s="42" t="n">
        <f aca="false">IF($M1150="借",$O1150,0)</f>
        <v>0</v>
      </c>
      <c r="J1150" s="42" t="n">
        <f aca="false">IF($M1150="贷",$O1150,0)</f>
        <v>0</v>
      </c>
      <c r="K1150" s="48" t="str">
        <f aca="false">IF($H1150="","",购销流水!$E292)</f>
        <v/>
      </c>
      <c r="L1150" s="66" t="str">
        <f aca="false">IF(购销流水!$D292="","",IFERROR(INDEX(记账规则!$A$6:$N$9,MATCH(购销流水!$D292,记账规则!$A$6:$A$9,0),3),""))</f>
        <v/>
      </c>
      <c r="M1150" s="66" t="str">
        <f aca="false">IF($L1150="","",IFERROR(INDEX(记账规则!$A$6:$N$9,MATCH(购销流水!$D292,记账规则!$A$6:$A$9,0),4),""))</f>
        <v/>
      </c>
      <c r="N1150" s="66" t="str">
        <f aca="false">IF($L1150="","",IFERROR(INDEX(记账规则!$A$6:$N$9,MATCH(购销流水!$D292,记账规则!$A$6:$A$9,0),5),""))</f>
        <v/>
      </c>
      <c r="O1150" s="67" t="n">
        <f aca="false">IF($H1150="",0,ROUND(IF($N1150="成本金额",N(购销流水!$W292),IF($N1150="金额",N(购销流水!$Q292),0)),2))</f>
        <v>0</v>
      </c>
      <c r="P1150" s="64" t="str">
        <f aca="false">IF(AND($H1150&lt;&gt;"",ROUND($O1150,2)&lt;&gt;0),"有","")</f>
        <v/>
      </c>
    </row>
    <row r="1151" customFormat="false" ht="15" hidden="true" customHeight="false" outlineLevel="0" collapsed="false">
      <c r="A1151" s="53" t="str">
        <f aca="false">IF($H1151="","",ROW()-5)</f>
        <v/>
      </c>
      <c r="B1151" s="64" t="s">
        <v>36</v>
      </c>
      <c r="C1151" s="53" t="n">
        <v>292</v>
      </c>
      <c r="D1151" s="53" t="n">
        <v>2</v>
      </c>
      <c r="E1151" s="65" t="str">
        <f aca="false">IF($H1151="","",购销流水!$B292)</f>
        <v/>
      </c>
      <c r="F1151" s="55" t="str">
        <f aca="false">IF($H1151="","",购销流水!$C292)</f>
        <v/>
      </c>
      <c r="G1151" s="48" t="str">
        <f aca="false">IF($H1151="","",购销流水!$N292)</f>
        <v/>
      </c>
      <c r="H1151" s="10" t="str">
        <f aca="false">IF($L1151="","",IF($L1151="@成本",购销流水!$U292,IF($L1151="@收入",购销流水!$T292,IF($L1151="@存货",购销流水!$S292,IF($L1151="@结算",购销流水!$R292,$L1151)))))</f>
        <v/>
      </c>
      <c r="I1151" s="42" t="n">
        <f aca="false">IF($M1151="借",$O1151,0)</f>
        <v>0</v>
      </c>
      <c r="J1151" s="42" t="n">
        <f aca="false">IF($M1151="贷",$O1151,0)</f>
        <v>0</v>
      </c>
      <c r="K1151" s="48" t="str">
        <f aca="false">IF($H1151="","",购销流水!$E292)</f>
        <v/>
      </c>
      <c r="L1151" s="66" t="str">
        <f aca="false">IF(购销流水!$D292="","",IFERROR(INDEX(记账规则!$A$6:$N$9,MATCH(购销流水!$D292,记账规则!$A$6:$A$9,0),6),""))</f>
        <v/>
      </c>
      <c r="M1151" s="66" t="str">
        <f aca="false">IF($L1151="","",IFERROR(INDEX(记账规则!$A$6:$N$9,MATCH(购销流水!$D292,记账规则!$A$6:$A$9,0),7),""))</f>
        <v/>
      </c>
      <c r="N1151" s="66" t="str">
        <f aca="false">IF($L1151="","",IFERROR(INDEX(记账规则!$A$6:$N$9,MATCH(购销流水!$D292,记账规则!$A$6:$A$9,0),8),""))</f>
        <v/>
      </c>
      <c r="O1151" s="67" t="n">
        <f aca="false">IF($H1151="",0,ROUND(IF($N1151="成本金额",N(购销流水!$W292),IF($N1151="金额",N(购销流水!$Q292),0)),2))</f>
        <v>0</v>
      </c>
      <c r="P1151" s="64" t="str">
        <f aca="false">IF(AND($H1151&lt;&gt;"",ROUND($O1151,2)&lt;&gt;0),"有","")</f>
        <v/>
      </c>
    </row>
    <row r="1152" customFormat="false" ht="15" hidden="true" customHeight="false" outlineLevel="0" collapsed="false">
      <c r="A1152" s="53" t="str">
        <f aca="false">IF($H1152="","",ROW()-5)</f>
        <v/>
      </c>
      <c r="B1152" s="64" t="s">
        <v>36</v>
      </c>
      <c r="C1152" s="53" t="n">
        <v>292</v>
      </c>
      <c r="D1152" s="53" t="n">
        <v>3</v>
      </c>
      <c r="E1152" s="65" t="str">
        <f aca="false">IF($H1152="","",购销流水!$B292)</f>
        <v/>
      </c>
      <c r="F1152" s="55" t="str">
        <f aca="false">IF($H1152="","",购销流水!$C292)</f>
        <v/>
      </c>
      <c r="G1152" s="48" t="str">
        <f aca="false">IF($H1152="","",购销流水!$N292)</f>
        <v/>
      </c>
      <c r="H1152" s="10" t="str">
        <f aca="false">IF($L1152="","",IF($L1152="@成本",购销流水!$U292,IF($L1152="@收入",购销流水!$T292,IF($L1152="@存货",购销流水!$S292,IF($L1152="@结算",购销流水!$R292,$L1152)))))</f>
        <v/>
      </c>
      <c r="I1152" s="42" t="n">
        <f aca="false">IF($M1152="借",$O1152,0)</f>
        <v>0</v>
      </c>
      <c r="J1152" s="42" t="n">
        <f aca="false">IF($M1152="贷",$O1152,0)</f>
        <v>0</v>
      </c>
      <c r="K1152" s="48" t="str">
        <f aca="false">IF($H1152="","",购销流水!$E292)</f>
        <v/>
      </c>
      <c r="L1152" s="66" t="str">
        <f aca="false">IF(购销流水!$D292="","",IFERROR(INDEX(记账规则!$A$6:$N$9,MATCH(购销流水!$D292,记账规则!$A$6:$A$9,0),9),""))</f>
        <v/>
      </c>
      <c r="M1152" s="66" t="str">
        <f aca="false">IF($L1152="","",IFERROR(INDEX(记账规则!$A$6:$N$9,MATCH(购销流水!$D292,记账规则!$A$6:$A$9,0),10),""))</f>
        <v/>
      </c>
      <c r="N1152" s="66" t="str">
        <f aca="false">IF($L1152="","",IFERROR(INDEX(记账规则!$A$6:$N$9,MATCH(购销流水!$D292,记账规则!$A$6:$A$9,0),11),""))</f>
        <v/>
      </c>
      <c r="O1152" s="67" t="n">
        <f aca="false">IF($H1152="",0,ROUND(IF($N1152="成本金额",N(购销流水!$W292),IF($N1152="金额",N(购销流水!$Q292),0)),2))</f>
        <v>0</v>
      </c>
      <c r="P1152" s="64" t="str">
        <f aca="false">IF(AND($H1152&lt;&gt;"",ROUND($O1152,2)&lt;&gt;0),"有","")</f>
        <v/>
      </c>
    </row>
    <row r="1153" customFormat="false" ht="15" hidden="true" customHeight="false" outlineLevel="0" collapsed="false">
      <c r="A1153" s="53" t="str">
        <f aca="false">IF($H1153="","",ROW()-5)</f>
        <v/>
      </c>
      <c r="B1153" s="64" t="s">
        <v>36</v>
      </c>
      <c r="C1153" s="53" t="n">
        <v>292</v>
      </c>
      <c r="D1153" s="53" t="n">
        <v>4</v>
      </c>
      <c r="E1153" s="65" t="str">
        <f aca="false">IF($H1153="","",购销流水!$B292)</f>
        <v/>
      </c>
      <c r="F1153" s="55" t="str">
        <f aca="false">IF($H1153="","",购销流水!$C292)</f>
        <v/>
      </c>
      <c r="G1153" s="48" t="str">
        <f aca="false">IF($H1153="","",购销流水!$N292)</f>
        <v/>
      </c>
      <c r="H1153" s="10" t="str">
        <f aca="false">IF($L1153="","",IF($L1153="@成本",购销流水!$U292,IF($L1153="@收入",购销流水!$T292,IF($L1153="@存货",购销流水!$S292,IF($L1153="@结算",购销流水!$R292,$L1153)))))</f>
        <v/>
      </c>
      <c r="I1153" s="42" t="n">
        <f aca="false">IF($M1153="借",$O1153,0)</f>
        <v>0</v>
      </c>
      <c r="J1153" s="42" t="n">
        <f aca="false">IF($M1153="贷",$O1153,0)</f>
        <v>0</v>
      </c>
      <c r="K1153" s="48" t="str">
        <f aca="false">IF($H1153="","",购销流水!$E292)</f>
        <v/>
      </c>
      <c r="L1153" s="66" t="str">
        <f aca="false">IF(购销流水!$D292="","",IFERROR(INDEX(记账规则!$A$6:$N$9,MATCH(购销流水!$D292,记账规则!$A$6:$A$9,0),12),""))</f>
        <v/>
      </c>
      <c r="M1153" s="66" t="str">
        <f aca="false">IF($L1153="","",IFERROR(INDEX(记账规则!$A$6:$N$9,MATCH(购销流水!$D292,记账规则!$A$6:$A$9,0),13),""))</f>
        <v/>
      </c>
      <c r="N1153" s="66" t="str">
        <f aca="false">IF($L1153="","",IFERROR(INDEX(记账规则!$A$6:$N$9,MATCH(购销流水!$D292,记账规则!$A$6:$A$9,0),14),""))</f>
        <v/>
      </c>
      <c r="O1153" s="67" t="n">
        <f aca="false">IF($H1153="",0,ROUND(IF($N1153="成本金额",N(购销流水!$W292),IF($N1153="金额",N(购销流水!$Q292),0)),2))</f>
        <v>0</v>
      </c>
      <c r="P1153" s="64" t="str">
        <f aca="false">IF(AND($H1153&lt;&gt;"",ROUND($O1153,2)&lt;&gt;0),"有","")</f>
        <v/>
      </c>
    </row>
    <row r="1154" customFormat="false" ht="15" hidden="true" customHeight="false" outlineLevel="0" collapsed="false">
      <c r="A1154" s="53" t="str">
        <f aca="false">IF($H1154="","",ROW()-5)</f>
        <v/>
      </c>
      <c r="B1154" s="64" t="s">
        <v>36</v>
      </c>
      <c r="C1154" s="53" t="n">
        <v>293</v>
      </c>
      <c r="D1154" s="53" t="n">
        <v>1</v>
      </c>
      <c r="E1154" s="65" t="str">
        <f aca="false">IF($H1154="","",购销流水!$B293)</f>
        <v/>
      </c>
      <c r="F1154" s="55" t="str">
        <f aca="false">IF($H1154="","",购销流水!$C293)</f>
        <v/>
      </c>
      <c r="G1154" s="48" t="str">
        <f aca="false">IF($H1154="","",购销流水!$N293)</f>
        <v/>
      </c>
      <c r="H1154" s="10" t="str">
        <f aca="false">IF($L1154="","",IF($L1154="@成本",购销流水!$U293,IF($L1154="@收入",购销流水!$T293,IF($L1154="@存货",购销流水!$S293,IF($L1154="@结算",购销流水!$R293,$L1154)))))</f>
        <v/>
      </c>
      <c r="I1154" s="42" t="n">
        <f aca="false">IF($M1154="借",$O1154,0)</f>
        <v>0</v>
      </c>
      <c r="J1154" s="42" t="n">
        <f aca="false">IF($M1154="贷",$O1154,0)</f>
        <v>0</v>
      </c>
      <c r="K1154" s="48" t="str">
        <f aca="false">IF($H1154="","",购销流水!$E293)</f>
        <v/>
      </c>
      <c r="L1154" s="66" t="str">
        <f aca="false">IF(购销流水!$D293="","",IFERROR(INDEX(记账规则!$A$6:$N$9,MATCH(购销流水!$D293,记账规则!$A$6:$A$9,0),3),""))</f>
        <v/>
      </c>
      <c r="M1154" s="66" t="str">
        <f aca="false">IF($L1154="","",IFERROR(INDEX(记账规则!$A$6:$N$9,MATCH(购销流水!$D293,记账规则!$A$6:$A$9,0),4),""))</f>
        <v/>
      </c>
      <c r="N1154" s="66" t="str">
        <f aca="false">IF($L1154="","",IFERROR(INDEX(记账规则!$A$6:$N$9,MATCH(购销流水!$D293,记账规则!$A$6:$A$9,0),5),""))</f>
        <v/>
      </c>
      <c r="O1154" s="67" t="n">
        <f aca="false">IF($H1154="",0,ROUND(IF($N1154="成本金额",N(购销流水!$W293),IF($N1154="金额",N(购销流水!$Q293),0)),2))</f>
        <v>0</v>
      </c>
      <c r="P1154" s="64" t="str">
        <f aca="false">IF(AND($H1154&lt;&gt;"",ROUND($O1154,2)&lt;&gt;0),"有","")</f>
        <v/>
      </c>
    </row>
    <row r="1155" customFormat="false" ht="15" hidden="true" customHeight="false" outlineLevel="0" collapsed="false">
      <c r="A1155" s="53" t="str">
        <f aca="false">IF($H1155="","",ROW()-5)</f>
        <v/>
      </c>
      <c r="B1155" s="64" t="s">
        <v>36</v>
      </c>
      <c r="C1155" s="53" t="n">
        <v>293</v>
      </c>
      <c r="D1155" s="53" t="n">
        <v>2</v>
      </c>
      <c r="E1155" s="65" t="str">
        <f aca="false">IF($H1155="","",购销流水!$B293)</f>
        <v/>
      </c>
      <c r="F1155" s="55" t="str">
        <f aca="false">IF($H1155="","",购销流水!$C293)</f>
        <v/>
      </c>
      <c r="G1155" s="48" t="str">
        <f aca="false">IF($H1155="","",购销流水!$N293)</f>
        <v/>
      </c>
      <c r="H1155" s="10" t="str">
        <f aca="false">IF($L1155="","",IF($L1155="@成本",购销流水!$U293,IF($L1155="@收入",购销流水!$T293,IF($L1155="@存货",购销流水!$S293,IF($L1155="@结算",购销流水!$R293,$L1155)))))</f>
        <v/>
      </c>
      <c r="I1155" s="42" t="n">
        <f aca="false">IF($M1155="借",$O1155,0)</f>
        <v>0</v>
      </c>
      <c r="J1155" s="42" t="n">
        <f aca="false">IF($M1155="贷",$O1155,0)</f>
        <v>0</v>
      </c>
      <c r="K1155" s="48" t="str">
        <f aca="false">IF($H1155="","",购销流水!$E293)</f>
        <v/>
      </c>
      <c r="L1155" s="66" t="str">
        <f aca="false">IF(购销流水!$D293="","",IFERROR(INDEX(记账规则!$A$6:$N$9,MATCH(购销流水!$D293,记账规则!$A$6:$A$9,0),6),""))</f>
        <v/>
      </c>
      <c r="M1155" s="66" t="str">
        <f aca="false">IF($L1155="","",IFERROR(INDEX(记账规则!$A$6:$N$9,MATCH(购销流水!$D293,记账规则!$A$6:$A$9,0),7),""))</f>
        <v/>
      </c>
      <c r="N1155" s="66" t="str">
        <f aca="false">IF($L1155="","",IFERROR(INDEX(记账规则!$A$6:$N$9,MATCH(购销流水!$D293,记账规则!$A$6:$A$9,0),8),""))</f>
        <v/>
      </c>
      <c r="O1155" s="67" t="n">
        <f aca="false">IF($H1155="",0,ROUND(IF($N1155="成本金额",N(购销流水!$W293),IF($N1155="金额",N(购销流水!$Q293),0)),2))</f>
        <v>0</v>
      </c>
      <c r="P1155" s="64" t="str">
        <f aca="false">IF(AND($H1155&lt;&gt;"",ROUND($O1155,2)&lt;&gt;0),"有","")</f>
        <v/>
      </c>
    </row>
    <row r="1156" customFormat="false" ht="15" hidden="true" customHeight="false" outlineLevel="0" collapsed="false">
      <c r="A1156" s="53" t="str">
        <f aca="false">IF($H1156="","",ROW()-5)</f>
        <v/>
      </c>
      <c r="B1156" s="64" t="s">
        <v>36</v>
      </c>
      <c r="C1156" s="53" t="n">
        <v>293</v>
      </c>
      <c r="D1156" s="53" t="n">
        <v>3</v>
      </c>
      <c r="E1156" s="65" t="str">
        <f aca="false">IF($H1156="","",购销流水!$B293)</f>
        <v/>
      </c>
      <c r="F1156" s="55" t="str">
        <f aca="false">IF($H1156="","",购销流水!$C293)</f>
        <v/>
      </c>
      <c r="G1156" s="48" t="str">
        <f aca="false">IF($H1156="","",购销流水!$N293)</f>
        <v/>
      </c>
      <c r="H1156" s="10" t="str">
        <f aca="false">IF($L1156="","",IF($L1156="@成本",购销流水!$U293,IF($L1156="@收入",购销流水!$T293,IF($L1156="@存货",购销流水!$S293,IF($L1156="@结算",购销流水!$R293,$L1156)))))</f>
        <v/>
      </c>
      <c r="I1156" s="42" t="n">
        <f aca="false">IF($M1156="借",$O1156,0)</f>
        <v>0</v>
      </c>
      <c r="J1156" s="42" t="n">
        <f aca="false">IF($M1156="贷",$O1156,0)</f>
        <v>0</v>
      </c>
      <c r="K1156" s="48" t="str">
        <f aca="false">IF($H1156="","",购销流水!$E293)</f>
        <v/>
      </c>
      <c r="L1156" s="66" t="str">
        <f aca="false">IF(购销流水!$D293="","",IFERROR(INDEX(记账规则!$A$6:$N$9,MATCH(购销流水!$D293,记账规则!$A$6:$A$9,0),9),""))</f>
        <v/>
      </c>
      <c r="M1156" s="66" t="str">
        <f aca="false">IF($L1156="","",IFERROR(INDEX(记账规则!$A$6:$N$9,MATCH(购销流水!$D293,记账规则!$A$6:$A$9,0),10),""))</f>
        <v/>
      </c>
      <c r="N1156" s="66" t="str">
        <f aca="false">IF($L1156="","",IFERROR(INDEX(记账规则!$A$6:$N$9,MATCH(购销流水!$D293,记账规则!$A$6:$A$9,0),11),""))</f>
        <v/>
      </c>
      <c r="O1156" s="67" t="n">
        <f aca="false">IF($H1156="",0,ROUND(IF($N1156="成本金额",N(购销流水!$W293),IF($N1156="金额",N(购销流水!$Q293),0)),2))</f>
        <v>0</v>
      </c>
      <c r="P1156" s="64" t="str">
        <f aca="false">IF(AND($H1156&lt;&gt;"",ROUND($O1156,2)&lt;&gt;0),"有","")</f>
        <v/>
      </c>
    </row>
    <row r="1157" customFormat="false" ht="15" hidden="true" customHeight="false" outlineLevel="0" collapsed="false">
      <c r="A1157" s="53" t="str">
        <f aca="false">IF($H1157="","",ROW()-5)</f>
        <v/>
      </c>
      <c r="B1157" s="64" t="s">
        <v>36</v>
      </c>
      <c r="C1157" s="53" t="n">
        <v>293</v>
      </c>
      <c r="D1157" s="53" t="n">
        <v>4</v>
      </c>
      <c r="E1157" s="65" t="str">
        <f aca="false">IF($H1157="","",购销流水!$B293)</f>
        <v/>
      </c>
      <c r="F1157" s="55" t="str">
        <f aca="false">IF($H1157="","",购销流水!$C293)</f>
        <v/>
      </c>
      <c r="G1157" s="48" t="str">
        <f aca="false">IF($H1157="","",购销流水!$N293)</f>
        <v/>
      </c>
      <c r="H1157" s="10" t="str">
        <f aca="false">IF($L1157="","",IF($L1157="@成本",购销流水!$U293,IF($L1157="@收入",购销流水!$T293,IF($L1157="@存货",购销流水!$S293,IF($L1157="@结算",购销流水!$R293,$L1157)))))</f>
        <v/>
      </c>
      <c r="I1157" s="42" t="n">
        <f aca="false">IF($M1157="借",$O1157,0)</f>
        <v>0</v>
      </c>
      <c r="J1157" s="42" t="n">
        <f aca="false">IF($M1157="贷",$O1157,0)</f>
        <v>0</v>
      </c>
      <c r="K1157" s="48" t="str">
        <f aca="false">IF($H1157="","",购销流水!$E293)</f>
        <v/>
      </c>
      <c r="L1157" s="66" t="str">
        <f aca="false">IF(购销流水!$D293="","",IFERROR(INDEX(记账规则!$A$6:$N$9,MATCH(购销流水!$D293,记账规则!$A$6:$A$9,0),12),""))</f>
        <v/>
      </c>
      <c r="M1157" s="66" t="str">
        <f aca="false">IF($L1157="","",IFERROR(INDEX(记账规则!$A$6:$N$9,MATCH(购销流水!$D293,记账规则!$A$6:$A$9,0),13),""))</f>
        <v/>
      </c>
      <c r="N1157" s="66" t="str">
        <f aca="false">IF($L1157="","",IFERROR(INDEX(记账规则!$A$6:$N$9,MATCH(购销流水!$D293,记账规则!$A$6:$A$9,0),14),""))</f>
        <v/>
      </c>
      <c r="O1157" s="67" t="n">
        <f aca="false">IF($H1157="",0,ROUND(IF($N1157="成本金额",N(购销流水!$W293),IF($N1157="金额",N(购销流水!$Q293),0)),2))</f>
        <v>0</v>
      </c>
      <c r="P1157" s="64" t="str">
        <f aca="false">IF(AND($H1157&lt;&gt;"",ROUND($O1157,2)&lt;&gt;0),"有","")</f>
        <v/>
      </c>
    </row>
    <row r="1158" customFormat="false" ht="15" hidden="true" customHeight="false" outlineLevel="0" collapsed="false">
      <c r="A1158" s="53" t="str">
        <f aca="false">IF($H1158="","",ROW()-5)</f>
        <v/>
      </c>
      <c r="B1158" s="64" t="s">
        <v>36</v>
      </c>
      <c r="C1158" s="53" t="n">
        <v>294</v>
      </c>
      <c r="D1158" s="53" t="n">
        <v>1</v>
      </c>
      <c r="E1158" s="65" t="str">
        <f aca="false">IF($H1158="","",购销流水!$B294)</f>
        <v/>
      </c>
      <c r="F1158" s="55" t="str">
        <f aca="false">IF($H1158="","",购销流水!$C294)</f>
        <v/>
      </c>
      <c r="G1158" s="48" t="str">
        <f aca="false">IF($H1158="","",购销流水!$N294)</f>
        <v/>
      </c>
      <c r="H1158" s="10" t="str">
        <f aca="false">IF($L1158="","",IF($L1158="@成本",购销流水!$U294,IF($L1158="@收入",购销流水!$T294,IF($L1158="@存货",购销流水!$S294,IF($L1158="@结算",购销流水!$R294,$L1158)))))</f>
        <v/>
      </c>
      <c r="I1158" s="42" t="n">
        <f aca="false">IF($M1158="借",$O1158,0)</f>
        <v>0</v>
      </c>
      <c r="J1158" s="42" t="n">
        <f aca="false">IF($M1158="贷",$O1158,0)</f>
        <v>0</v>
      </c>
      <c r="K1158" s="48" t="str">
        <f aca="false">IF($H1158="","",购销流水!$E294)</f>
        <v/>
      </c>
      <c r="L1158" s="66" t="str">
        <f aca="false">IF(购销流水!$D294="","",IFERROR(INDEX(记账规则!$A$6:$N$9,MATCH(购销流水!$D294,记账规则!$A$6:$A$9,0),3),""))</f>
        <v/>
      </c>
      <c r="M1158" s="66" t="str">
        <f aca="false">IF($L1158="","",IFERROR(INDEX(记账规则!$A$6:$N$9,MATCH(购销流水!$D294,记账规则!$A$6:$A$9,0),4),""))</f>
        <v/>
      </c>
      <c r="N1158" s="66" t="str">
        <f aca="false">IF($L1158="","",IFERROR(INDEX(记账规则!$A$6:$N$9,MATCH(购销流水!$D294,记账规则!$A$6:$A$9,0),5),""))</f>
        <v/>
      </c>
      <c r="O1158" s="67" t="n">
        <f aca="false">IF($H1158="",0,ROUND(IF($N1158="成本金额",N(购销流水!$W294),IF($N1158="金额",N(购销流水!$Q294),0)),2))</f>
        <v>0</v>
      </c>
      <c r="P1158" s="64" t="str">
        <f aca="false">IF(AND($H1158&lt;&gt;"",ROUND($O1158,2)&lt;&gt;0),"有","")</f>
        <v/>
      </c>
    </row>
    <row r="1159" customFormat="false" ht="15" hidden="true" customHeight="false" outlineLevel="0" collapsed="false">
      <c r="A1159" s="53" t="str">
        <f aca="false">IF($H1159="","",ROW()-5)</f>
        <v/>
      </c>
      <c r="B1159" s="64" t="s">
        <v>36</v>
      </c>
      <c r="C1159" s="53" t="n">
        <v>294</v>
      </c>
      <c r="D1159" s="53" t="n">
        <v>2</v>
      </c>
      <c r="E1159" s="65" t="str">
        <f aca="false">IF($H1159="","",购销流水!$B294)</f>
        <v/>
      </c>
      <c r="F1159" s="55" t="str">
        <f aca="false">IF($H1159="","",购销流水!$C294)</f>
        <v/>
      </c>
      <c r="G1159" s="48" t="str">
        <f aca="false">IF($H1159="","",购销流水!$N294)</f>
        <v/>
      </c>
      <c r="H1159" s="10" t="str">
        <f aca="false">IF($L1159="","",IF($L1159="@成本",购销流水!$U294,IF($L1159="@收入",购销流水!$T294,IF($L1159="@存货",购销流水!$S294,IF($L1159="@结算",购销流水!$R294,$L1159)))))</f>
        <v/>
      </c>
      <c r="I1159" s="42" t="n">
        <f aca="false">IF($M1159="借",$O1159,0)</f>
        <v>0</v>
      </c>
      <c r="J1159" s="42" t="n">
        <f aca="false">IF($M1159="贷",$O1159,0)</f>
        <v>0</v>
      </c>
      <c r="K1159" s="48" t="str">
        <f aca="false">IF($H1159="","",购销流水!$E294)</f>
        <v/>
      </c>
      <c r="L1159" s="66" t="str">
        <f aca="false">IF(购销流水!$D294="","",IFERROR(INDEX(记账规则!$A$6:$N$9,MATCH(购销流水!$D294,记账规则!$A$6:$A$9,0),6),""))</f>
        <v/>
      </c>
      <c r="M1159" s="66" t="str">
        <f aca="false">IF($L1159="","",IFERROR(INDEX(记账规则!$A$6:$N$9,MATCH(购销流水!$D294,记账规则!$A$6:$A$9,0),7),""))</f>
        <v/>
      </c>
      <c r="N1159" s="66" t="str">
        <f aca="false">IF($L1159="","",IFERROR(INDEX(记账规则!$A$6:$N$9,MATCH(购销流水!$D294,记账规则!$A$6:$A$9,0),8),""))</f>
        <v/>
      </c>
      <c r="O1159" s="67" t="n">
        <f aca="false">IF($H1159="",0,ROUND(IF($N1159="成本金额",N(购销流水!$W294),IF($N1159="金额",N(购销流水!$Q294),0)),2))</f>
        <v>0</v>
      </c>
      <c r="P1159" s="64" t="str">
        <f aca="false">IF(AND($H1159&lt;&gt;"",ROUND($O1159,2)&lt;&gt;0),"有","")</f>
        <v/>
      </c>
    </row>
    <row r="1160" customFormat="false" ht="15" hidden="true" customHeight="false" outlineLevel="0" collapsed="false">
      <c r="A1160" s="53" t="str">
        <f aca="false">IF($H1160="","",ROW()-5)</f>
        <v/>
      </c>
      <c r="B1160" s="64" t="s">
        <v>36</v>
      </c>
      <c r="C1160" s="53" t="n">
        <v>294</v>
      </c>
      <c r="D1160" s="53" t="n">
        <v>3</v>
      </c>
      <c r="E1160" s="65" t="str">
        <f aca="false">IF($H1160="","",购销流水!$B294)</f>
        <v/>
      </c>
      <c r="F1160" s="55" t="str">
        <f aca="false">IF($H1160="","",购销流水!$C294)</f>
        <v/>
      </c>
      <c r="G1160" s="48" t="str">
        <f aca="false">IF($H1160="","",购销流水!$N294)</f>
        <v/>
      </c>
      <c r="H1160" s="10" t="str">
        <f aca="false">IF($L1160="","",IF($L1160="@成本",购销流水!$U294,IF($L1160="@收入",购销流水!$T294,IF($L1160="@存货",购销流水!$S294,IF($L1160="@结算",购销流水!$R294,$L1160)))))</f>
        <v/>
      </c>
      <c r="I1160" s="42" t="n">
        <f aca="false">IF($M1160="借",$O1160,0)</f>
        <v>0</v>
      </c>
      <c r="J1160" s="42" t="n">
        <f aca="false">IF($M1160="贷",$O1160,0)</f>
        <v>0</v>
      </c>
      <c r="K1160" s="48" t="str">
        <f aca="false">IF($H1160="","",购销流水!$E294)</f>
        <v/>
      </c>
      <c r="L1160" s="66" t="str">
        <f aca="false">IF(购销流水!$D294="","",IFERROR(INDEX(记账规则!$A$6:$N$9,MATCH(购销流水!$D294,记账规则!$A$6:$A$9,0),9),""))</f>
        <v/>
      </c>
      <c r="M1160" s="66" t="str">
        <f aca="false">IF($L1160="","",IFERROR(INDEX(记账规则!$A$6:$N$9,MATCH(购销流水!$D294,记账规则!$A$6:$A$9,0),10),""))</f>
        <v/>
      </c>
      <c r="N1160" s="66" t="str">
        <f aca="false">IF($L1160="","",IFERROR(INDEX(记账规则!$A$6:$N$9,MATCH(购销流水!$D294,记账规则!$A$6:$A$9,0),11),""))</f>
        <v/>
      </c>
      <c r="O1160" s="67" t="n">
        <f aca="false">IF($H1160="",0,ROUND(IF($N1160="成本金额",N(购销流水!$W294),IF($N1160="金额",N(购销流水!$Q294),0)),2))</f>
        <v>0</v>
      </c>
      <c r="P1160" s="64" t="str">
        <f aca="false">IF(AND($H1160&lt;&gt;"",ROUND($O1160,2)&lt;&gt;0),"有","")</f>
        <v/>
      </c>
    </row>
    <row r="1161" customFormat="false" ht="15" hidden="true" customHeight="false" outlineLevel="0" collapsed="false">
      <c r="A1161" s="53" t="str">
        <f aca="false">IF($H1161="","",ROW()-5)</f>
        <v/>
      </c>
      <c r="B1161" s="64" t="s">
        <v>36</v>
      </c>
      <c r="C1161" s="53" t="n">
        <v>294</v>
      </c>
      <c r="D1161" s="53" t="n">
        <v>4</v>
      </c>
      <c r="E1161" s="65" t="str">
        <f aca="false">IF($H1161="","",购销流水!$B294)</f>
        <v/>
      </c>
      <c r="F1161" s="55" t="str">
        <f aca="false">IF($H1161="","",购销流水!$C294)</f>
        <v/>
      </c>
      <c r="G1161" s="48" t="str">
        <f aca="false">IF($H1161="","",购销流水!$N294)</f>
        <v/>
      </c>
      <c r="H1161" s="10" t="str">
        <f aca="false">IF($L1161="","",IF($L1161="@成本",购销流水!$U294,IF($L1161="@收入",购销流水!$T294,IF($L1161="@存货",购销流水!$S294,IF($L1161="@结算",购销流水!$R294,$L1161)))))</f>
        <v/>
      </c>
      <c r="I1161" s="42" t="n">
        <f aca="false">IF($M1161="借",$O1161,0)</f>
        <v>0</v>
      </c>
      <c r="J1161" s="42" t="n">
        <f aca="false">IF($M1161="贷",$O1161,0)</f>
        <v>0</v>
      </c>
      <c r="K1161" s="48" t="str">
        <f aca="false">IF($H1161="","",购销流水!$E294)</f>
        <v/>
      </c>
      <c r="L1161" s="66" t="str">
        <f aca="false">IF(购销流水!$D294="","",IFERROR(INDEX(记账规则!$A$6:$N$9,MATCH(购销流水!$D294,记账规则!$A$6:$A$9,0),12),""))</f>
        <v/>
      </c>
      <c r="M1161" s="66" t="str">
        <f aca="false">IF($L1161="","",IFERROR(INDEX(记账规则!$A$6:$N$9,MATCH(购销流水!$D294,记账规则!$A$6:$A$9,0),13),""))</f>
        <v/>
      </c>
      <c r="N1161" s="66" t="str">
        <f aca="false">IF($L1161="","",IFERROR(INDEX(记账规则!$A$6:$N$9,MATCH(购销流水!$D294,记账规则!$A$6:$A$9,0),14),""))</f>
        <v/>
      </c>
      <c r="O1161" s="67" t="n">
        <f aca="false">IF($H1161="",0,ROUND(IF($N1161="成本金额",N(购销流水!$W294),IF($N1161="金额",N(购销流水!$Q294),0)),2))</f>
        <v>0</v>
      </c>
      <c r="P1161" s="64" t="str">
        <f aca="false">IF(AND($H1161&lt;&gt;"",ROUND($O1161,2)&lt;&gt;0),"有","")</f>
        <v/>
      </c>
    </row>
    <row r="1162" customFormat="false" ht="15" hidden="true" customHeight="false" outlineLevel="0" collapsed="false">
      <c r="A1162" s="53" t="str">
        <f aca="false">IF($H1162="","",ROW()-5)</f>
        <v/>
      </c>
      <c r="B1162" s="64" t="s">
        <v>36</v>
      </c>
      <c r="C1162" s="53" t="n">
        <v>295</v>
      </c>
      <c r="D1162" s="53" t="n">
        <v>1</v>
      </c>
      <c r="E1162" s="65" t="str">
        <f aca="false">IF($H1162="","",购销流水!$B295)</f>
        <v/>
      </c>
      <c r="F1162" s="55" t="str">
        <f aca="false">IF($H1162="","",购销流水!$C295)</f>
        <v/>
      </c>
      <c r="G1162" s="48" t="str">
        <f aca="false">IF($H1162="","",购销流水!$N295)</f>
        <v/>
      </c>
      <c r="H1162" s="10" t="str">
        <f aca="false">IF($L1162="","",IF($L1162="@成本",购销流水!$U295,IF($L1162="@收入",购销流水!$T295,IF($L1162="@存货",购销流水!$S295,IF($L1162="@结算",购销流水!$R295,$L1162)))))</f>
        <v/>
      </c>
      <c r="I1162" s="42" t="n">
        <f aca="false">IF($M1162="借",$O1162,0)</f>
        <v>0</v>
      </c>
      <c r="J1162" s="42" t="n">
        <f aca="false">IF($M1162="贷",$O1162,0)</f>
        <v>0</v>
      </c>
      <c r="K1162" s="48" t="str">
        <f aca="false">IF($H1162="","",购销流水!$E295)</f>
        <v/>
      </c>
      <c r="L1162" s="66" t="str">
        <f aca="false">IF(购销流水!$D295="","",IFERROR(INDEX(记账规则!$A$6:$N$9,MATCH(购销流水!$D295,记账规则!$A$6:$A$9,0),3),""))</f>
        <v/>
      </c>
      <c r="M1162" s="66" t="str">
        <f aca="false">IF($L1162="","",IFERROR(INDEX(记账规则!$A$6:$N$9,MATCH(购销流水!$D295,记账规则!$A$6:$A$9,0),4),""))</f>
        <v/>
      </c>
      <c r="N1162" s="66" t="str">
        <f aca="false">IF($L1162="","",IFERROR(INDEX(记账规则!$A$6:$N$9,MATCH(购销流水!$D295,记账规则!$A$6:$A$9,0),5),""))</f>
        <v/>
      </c>
      <c r="O1162" s="67" t="n">
        <f aca="false">IF($H1162="",0,ROUND(IF($N1162="成本金额",N(购销流水!$W295),IF($N1162="金额",N(购销流水!$Q295),0)),2))</f>
        <v>0</v>
      </c>
      <c r="P1162" s="64" t="str">
        <f aca="false">IF(AND($H1162&lt;&gt;"",ROUND($O1162,2)&lt;&gt;0),"有","")</f>
        <v/>
      </c>
    </row>
    <row r="1163" customFormat="false" ht="15" hidden="true" customHeight="false" outlineLevel="0" collapsed="false">
      <c r="A1163" s="53" t="str">
        <f aca="false">IF($H1163="","",ROW()-5)</f>
        <v/>
      </c>
      <c r="B1163" s="64" t="s">
        <v>36</v>
      </c>
      <c r="C1163" s="53" t="n">
        <v>295</v>
      </c>
      <c r="D1163" s="53" t="n">
        <v>2</v>
      </c>
      <c r="E1163" s="65" t="str">
        <f aca="false">IF($H1163="","",购销流水!$B295)</f>
        <v/>
      </c>
      <c r="F1163" s="55" t="str">
        <f aca="false">IF($H1163="","",购销流水!$C295)</f>
        <v/>
      </c>
      <c r="G1163" s="48" t="str">
        <f aca="false">IF($H1163="","",购销流水!$N295)</f>
        <v/>
      </c>
      <c r="H1163" s="10" t="str">
        <f aca="false">IF($L1163="","",IF($L1163="@成本",购销流水!$U295,IF($L1163="@收入",购销流水!$T295,IF($L1163="@存货",购销流水!$S295,IF($L1163="@结算",购销流水!$R295,$L1163)))))</f>
        <v/>
      </c>
      <c r="I1163" s="42" t="n">
        <f aca="false">IF($M1163="借",$O1163,0)</f>
        <v>0</v>
      </c>
      <c r="J1163" s="42" t="n">
        <f aca="false">IF($M1163="贷",$O1163,0)</f>
        <v>0</v>
      </c>
      <c r="K1163" s="48" t="str">
        <f aca="false">IF($H1163="","",购销流水!$E295)</f>
        <v/>
      </c>
      <c r="L1163" s="66" t="str">
        <f aca="false">IF(购销流水!$D295="","",IFERROR(INDEX(记账规则!$A$6:$N$9,MATCH(购销流水!$D295,记账规则!$A$6:$A$9,0),6),""))</f>
        <v/>
      </c>
      <c r="M1163" s="66" t="str">
        <f aca="false">IF($L1163="","",IFERROR(INDEX(记账规则!$A$6:$N$9,MATCH(购销流水!$D295,记账规则!$A$6:$A$9,0),7),""))</f>
        <v/>
      </c>
      <c r="N1163" s="66" t="str">
        <f aca="false">IF($L1163="","",IFERROR(INDEX(记账规则!$A$6:$N$9,MATCH(购销流水!$D295,记账规则!$A$6:$A$9,0),8),""))</f>
        <v/>
      </c>
      <c r="O1163" s="67" t="n">
        <f aca="false">IF($H1163="",0,ROUND(IF($N1163="成本金额",N(购销流水!$W295),IF($N1163="金额",N(购销流水!$Q295),0)),2))</f>
        <v>0</v>
      </c>
      <c r="P1163" s="64" t="str">
        <f aca="false">IF(AND($H1163&lt;&gt;"",ROUND($O1163,2)&lt;&gt;0),"有","")</f>
        <v/>
      </c>
    </row>
    <row r="1164" customFormat="false" ht="15" hidden="true" customHeight="false" outlineLevel="0" collapsed="false">
      <c r="A1164" s="53" t="str">
        <f aca="false">IF($H1164="","",ROW()-5)</f>
        <v/>
      </c>
      <c r="B1164" s="64" t="s">
        <v>36</v>
      </c>
      <c r="C1164" s="53" t="n">
        <v>295</v>
      </c>
      <c r="D1164" s="53" t="n">
        <v>3</v>
      </c>
      <c r="E1164" s="65" t="str">
        <f aca="false">IF($H1164="","",购销流水!$B295)</f>
        <v/>
      </c>
      <c r="F1164" s="55" t="str">
        <f aca="false">IF($H1164="","",购销流水!$C295)</f>
        <v/>
      </c>
      <c r="G1164" s="48" t="str">
        <f aca="false">IF($H1164="","",购销流水!$N295)</f>
        <v/>
      </c>
      <c r="H1164" s="10" t="str">
        <f aca="false">IF($L1164="","",IF($L1164="@成本",购销流水!$U295,IF($L1164="@收入",购销流水!$T295,IF($L1164="@存货",购销流水!$S295,IF($L1164="@结算",购销流水!$R295,$L1164)))))</f>
        <v/>
      </c>
      <c r="I1164" s="42" t="n">
        <f aca="false">IF($M1164="借",$O1164,0)</f>
        <v>0</v>
      </c>
      <c r="J1164" s="42" t="n">
        <f aca="false">IF($M1164="贷",$O1164,0)</f>
        <v>0</v>
      </c>
      <c r="K1164" s="48" t="str">
        <f aca="false">IF($H1164="","",购销流水!$E295)</f>
        <v/>
      </c>
      <c r="L1164" s="66" t="str">
        <f aca="false">IF(购销流水!$D295="","",IFERROR(INDEX(记账规则!$A$6:$N$9,MATCH(购销流水!$D295,记账规则!$A$6:$A$9,0),9),""))</f>
        <v/>
      </c>
      <c r="M1164" s="66" t="str">
        <f aca="false">IF($L1164="","",IFERROR(INDEX(记账规则!$A$6:$N$9,MATCH(购销流水!$D295,记账规则!$A$6:$A$9,0),10),""))</f>
        <v/>
      </c>
      <c r="N1164" s="66" t="str">
        <f aca="false">IF($L1164="","",IFERROR(INDEX(记账规则!$A$6:$N$9,MATCH(购销流水!$D295,记账规则!$A$6:$A$9,0),11),""))</f>
        <v/>
      </c>
      <c r="O1164" s="67" t="n">
        <f aca="false">IF($H1164="",0,ROUND(IF($N1164="成本金额",N(购销流水!$W295),IF($N1164="金额",N(购销流水!$Q295),0)),2))</f>
        <v>0</v>
      </c>
      <c r="P1164" s="64" t="str">
        <f aca="false">IF(AND($H1164&lt;&gt;"",ROUND($O1164,2)&lt;&gt;0),"有","")</f>
        <v/>
      </c>
    </row>
    <row r="1165" customFormat="false" ht="15" hidden="true" customHeight="false" outlineLevel="0" collapsed="false">
      <c r="A1165" s="53" t="str">
        <f aca="false">IF($H1165="","",ROW()-5)</f>
        <v/>
      </c>
      <c r="B1165" s="64" t="s">
        <v>36</v>
      </c>
      <c r="C1165" s="53" t="n">
        <v>295</v>
      </c>
      <c r="D1165" s="53" t="n">
        <v>4</v>
      </c>
      <c r="E1165" s="65" t="str">
        <f aca="false">IF($H1165="","",购销流水!$B295)</f>
        <v/>
      </c>
      <c r="F1165" s="55" t="str">
        <f aca="false">IF($H1165="","",购销流水!$C295)</f>
        <v/>
      </c>
      <c r="G1165" s="48" t="str">
        <f aca="false">IF($H1165="","",购销流水!$N295)</f>
        <v/>
      </c>
      <c r="H1165" s="10" t="str">
        <f aca="false">IF($L1165="","",IF($L1165="@成本",购销流水!$U295,IF($L1165="@收入",购销流水!$T295,IF($L1165="@存货",购销流水!$S295,IF($L1165="@结算",购销流水!$R295,$L1165)))))</f>
        <v/>
      </c>
      <c r="I1165" s="42" t="n">
        <f aca="false">IF($M1165="借",$O1165,0)</f>
        <v>0</v>
      </c>
      <c r="J1165" s="42" t="n">
        <f aca="false">IF($M1165="贷",$O1165,0)</f>
        <v>0</v>
      </c>
      <c r="K1165" s="48" t="str">
        <f aca="false">IF($H1165="","",购销流水!$E295)</f>
        <v/>
      </c>
      <c r="L1165" s="66" t="str">
        <f aca="false">IF(购销流水!$D295="","",IFERROR(INDEX(记账规则!$A$6:$N$9,MATCH(购销流水!$D295,记账规则!$A$6:$A$9,0),12),""))</f>
        <v/>
      </c>
      <c r="M1165" s="66" t="str">
        <f aca="false">IF($L1165="","",IFERROR(INDEX(记账规则!$A$6:$N$9,MATCH(购销流水!$D295,记账规则!$A$6:$A$9,0),13),""))</f>
        <v/>
      </c>
      <c r="N1165" s="66" t="str">
        <f aca="false">IF($L1165="","",IFERROR(INDEX(记账规则!$A$6:$N$9,MATCH(购销流水!$D295,记账规则!$A$6:$A$9,0),14),""))</f>
        <v/>
      </c>
      <c r="O1165" s="67" t="n">
        <f aca="false">IF($H1165="",0,ROUND(IF($N1165="成本金额",N(购销流水!$W295),IF($N1165="金额",N(购销流水!$Q295),0)),2))</f>
        <v>0</v>
      </c>
      <c r="P1165" s="64" t="str">
        <f aca="false">IF(AND($H1165&lt;&gt;"",ROUND($O1165,2)&lt;&gt;0),"有","")</f>
        <v/>
      </c>
    </row>
    <row r="1166" customFormat="false" ht="15" hidden="true" customHeight="false" outlineLevel="0" collapsed="false">
      <c r="A1166" s="53" t="str">
        <f aca="false">IF($H1166="","",ROW()-5)</f>
        <v/>
      </c>
      <c r="B1166" s="64" t="s">
        <v>36</v>
      </c>
      <c r="C1166" s="53" t="n">
        <v>296</v>
      </c>
      <c r="D1166" s="53" t="n">
        <v>1</v>
      </c>
      <c r="E1166" s="65" t="str">
        <f aca="false">IF($H1166="","",购销流水!$B296)</f>
        <v/>
      </c>
      <c r="F1166" s="55" t="str">
        <f aca="false">IF($H1166="","",购销流水!$C296)</f>
        <v/>
      </c>
      <c r="G1166" s="48" t="str">
        <f aca="false">IF($H1166="","",购销流水!$N296)</f>
        <v/>
      </c>
      <c r="H1166" s="10" t="str">
        <f aca="false">IF($L1166="","",IF($L1166="@成本",购销流水!$U296,IF($L1166="@收入",购销流水!$T296,IF($L1166="@存货",购销流水!$S296,IF($L1166="@结算",购销流水!$R296,$L1166)))))</f>
        <v/>
      </c>
      <c r="I1166" s="42" t="n">
        <f aca="false">IF($M1166="借",$O1166,0)</f>
        <v>0</v>
      </c>
      <c r="J1166" s="42" t="n">
        <f aca="false">IF($M1166="贷",$O1166,0)</f>
        <v>0</v>
      </c>
      <c r="K1166" s="48" t="str">
        <f aca="false">IF($H1166="","",购销流水!$E296)</f>
        <v/>
      </c>
      <c r="L1166" s="66" t="str">
        <f aca="false">IF(购销流水!$D296="","",IFERROR(INDEX(记账规则!$A$6:$N$9,MATCH(购销流水!$D296,记账规则!$A$6:$A$9,0),3),""))</f>
        <v/>
      </c>
      <c r="M1166" s="66" t="str">
        <f aca="false">IF($L1166="","",IFERROR(INDEX(记账规则!$A$6:$N$9,MATCH(购销流水!$D296,记账规则!$A$6:$A$9,0),4),""))</f>
        <v/>
      </c>
      <c r="N1166" s="66" t="str">
        <f aca="false">IF($L1166="","",IFERROR(INDEX(记账规则!$A$6:$N$9,MATCH(购销流水!$D296,记账规则!$A$6:$A$9,0),5),""))</f>
        <v/>
      </c>
      <c r="O1166" s="67" t="n">
        <f aca="false">IF($H1166="",0,ROUND(IF($N1166="成本金额",N(购销流水!$W296),IF($N1166="金额",N(购销流水!$Q296),0)),2))</f>
        <v>0</v>
      </c>
      <c r="P1166" s="64" t="str">
        <f aca="false">IF(AND($H1166&lt;&gt;"",ROUND($O1166,2)&lt;&gt;0),"有","")</f>
        <v/>
      </c>
    </row>
    <row r="1167" customFormat="false" ht="15" hidden="true" customHeight="false" outlineLevel="0" collapsed="false">
      <c r="A1167" s="53" t="str">
        <f aca="false">IF($H1167="","",ROW()-5)</f>
        <v/>
      </c>
      <c r="B1167" s="64" t="s">
        <v>36</v>
      </c>
      <c r="C1167" s="53" t="n">
        <v>296</v>
      </c>
      <c r="D1167" s="53" t="n">
        <v>2</v>
      </c>
      <c r="E1167" s="65" t="str">
        <f aca="false">IF($H1167="","",购销流水!$B296)</f>
        <v/>
      </c>
      <c r="F1167" s="55" t="str">
        <f aca="false">IF($H1167="","",购销流水!$C296)</f>
        <v/>
      </c>
      <c r="G1167" s="48" t="str">
        <f aca="false">IF($H1167="","",购销流水!$N296)</f>
        <v/>
      </c>
      <c r="H1167" s="10" t="str">
        <f aca="false">IF($L1167="","",IF($L1167="@成本",购销流水!$U296,IF($L1167="@收入",购销流水!$T296,IF($L1167="@存货",购销流水!$S296,IF($L1167="@结算",购销流水!$R296,$L1167)))))</f>
        <v/>
      </c>
      <c r="I1167" s="42" t="n">
        <f aca="false">IF($M1167="借",$O1167,0)</f>
        <v>0</v>
      </c>
      <c r="J1167" s="42" t="n">
        <f aca="false">IF($M1167="贷",$O1167,0)</f>
        <v>0</v>
      </c>
      <c r="K1167" s="48" t="str">
        <f aca="false">IF($H1167="","",购销流水!$E296)</f>
        <v/>
      </c>
      <c r="L1167" s="66" t="str">
        <f aca="false">IF(购销流水!$D296="","",IFERROR(INDEX(记账规则!$A$6:$N$9,MATCH(购销流水!$D296,记账规则!$A$6:$A$9,0),6),""))</f>
        <v/>
      </c>
      <c r="M1167" s="66" t="str">
        <f aca="false">IF($L1167="","",IFERROR(INDEX(记账规则!$A$6:$N$9,MATCH(购销流水!$D296,记账规则!$A$6:$A$9,0),7),""))</f>
        <v/>
      </c>
      <c r="N1167" s="66" t="str">
        <f aca="false">IF($L1167="","",IFERROR(INDEX(记账规则!$A$6:$N$9,MATCH(购销流水!$D296,记账规则!$A$6:$A$9,0),8),""))</f>
        <v/>
      </c>
      <c r="O1167" s="67" t="n">
        <f aca="false">IF($H1167="",0,ROUND(IF($N1167="成本金额",N(购销流水!$W296),IF($N1167="金额",N(购销流水!$Q296),0)),2))</f>
        <v>0</v>
      </c>
      <c r="P1167" s="64" t="str">
        <f aca="false">IF(AND($H1167&lt;&gt;"",ROUND($O1167,2)&lt;&gt;0),"有","")</f>
        <v/>
      </c>
    </row>
    <row r="1168" customFormat="false" ht="15" hidden="true" customHeight="false" outlineLevel="0" collapsed="false">
      <c r="A1168" s="53" t="str">
        <f aca="false">IF($H1168="","",ROW()-5)</f>
        <v/>
      </c>
      <c r="B1168" s="64" t="s">
        <v>36</v>
      </c>
      <c r="C1168" s="53" t="n">
        <v>296</v>
      </c>
      <c r="D1168" s="53" t="n">
        <v>3</v>
      </c>
      <c r="E1168" s="65" t="str">
        <f aca="false">IF($H1168="","",购销流水!$B296)</f>
        <v/>
      </c>
      <c r="F1168" s="55" t="str">
        <f aca="false">IF($H1168="","",购销流水!$C296)</f>
        <v/>
      </c>
      <c r="G1168" s="48" t="str">
        <f aca="false">IF($H1168="","",购销流水!$N296)</f>
        <v/>
      </c>
      <c r="H1168" s="10" t="str">
        <f aca="false">IF($L1168="","",IF($L1168="@成本",购销流水!$U296,IF($L1168="@收入",购销流水!$T296,IF($L1168="@存货",购销流水!$S296,IF($L1168="@结算",购销流水!$R296,$L1168)))))</f>
        <v/>
      </c>
      <c r="I1168" s="42" t="n">
        <f aca="false">IF($M1168="借",$O1168,0)</f>
        <v>0</v>
      </c>
      <c r="J1168" s="42" t="n">
        <f aca="false">IF($M1168="贷",$O1168,0)</f>
        <v>0</v>
      </c>
      <c r="K1168" s="48" t="str">
        <f aca="false">IF($H1168="","",购销流水!$E296)</f>
        <v/>
      </c>
      <c r="L1168" s="66" t="str">
        <f aca="false">IF(购销流水!$D296="","",IFERROR(INDEX(记账规则!$A$6:$N$9,MATCH(购销流水!$D296,记账规则!$A$6:$A$9,0),9),""))</f>
        <v/>
      </c>
      <c r="M1168" s="66" t="str">
        <f aca="false">IF($L1168="","",IFERROR(INDEX(记账规则!$A$6:$N$9,MATCH(购销流水!$D296,记账规则!$A$6:$A$9,0),10),""))</f>
        <v/>
      </c>
      <c r="N1168" s="66" t="str">
        <f aca="false">IF($L1168="","",IFERROR(INDEX(记账规则!$A$6:$N$9,MATCH(购销流水!$D296,记账规则!$A$6:$A$9,0),11),""))</f>
        <v/>
      </c>
      <c r="O1168" s="67" t="n">
        <f aca="false">IF($H1168="",0,ROUND(IF($N1168="成本金额",N(购销流水!$W296),IF($N1168="金额",N(购销流水!$Q296),0)),2))</f>
        <v>0</v>
      </c>
      <c r="P1168" s="64" t="str">
        <f aca="false">IF(AND($H1168&lt;&gt;"",ROUND($O1168,2)&lt;&gt;0),"有","")</f>
        <v/>
      </c>
    </row>
    <row r="1169" customFormat="false" ht="15" hidden="true" customHeight="false" outlineLevel="0" collapsed="false">
      <c r="A1169" s="53" t="str">
        <f aca="false">IF($H1169="","",ROW()-5)</f>
        <v/>
      </c>
      <c r="B1169" s="64" t="s">
        <v>36</v>
      </c>
      <c r="C1169" s="53" t="n">
        <v>296</v>
      </c>
      <c r="D1169" s="53" t="n">
        <v>4</v>
      </c>
      <c r="E1169" s="65" t="str">
        <f aca="false">IF($H1169="","",购销流水!$B296)</f>
        <v/>
      </c>
      <c r="F1169" s="55" t="str">
        <f aca="false">IF($H1169="","",购销流水!$C296)</f>
        <v/>
      </c>
      <c r="G1169" s="48" t="str">
        <f aca="false">IF($H1169="","",购销流水!$N296)</f>
        <v/>
      </c>
      <c r="H1169" s="10" t="str">
        <f aca="false">IF($L1169="","",IF($L1169="@成本",购销流水!$U296,IF($L1169="@收入",购销流水!$T296,IF($L1169="@存货",购销流水!$S296,IF($L1169="@结算",购销流水!$R296,$L1169)))))</f>
        <v/>
      </c>
      <c r="I1169" s="42" t="n">
        <f aca="false">IF($M1169="借",$O1169,0)</f>
        <v>0</v>
      </c>
      <c r="J1169" s="42" t="n">
        <f aca="false">IF($M1169="贷",$O1169,0)</f>
        <v>0</v>
      </c>
      <c r="K1169" s="48" t="str">
        <f aca="false">IF($H1169="","",购销流水!$E296)</f>
        <v/>
      </c>
      <c r="L1169" s="66" t="str">
        <f aca="false">IF(购销流水!$D296="","",IFERROR(INDEX(记账规则!$A$6:$N$9,MATCH(购销流水!$D296,记账规则!$A$6:$A$9,0),12),""))</f>
        <v/>
      </c>
      <c r="M1169" s="66" t="str">
        <f aca="false">IF($L1169="","",IFERROR(INDEX(记账规则!$A$6:$N$9,MATCH(购销流水!$D296,记账规则!$A$6:$A$9,0),13),""))</f>
        <v/>
      </c>
      <c r="N1169" s="66" t="str">
        <f aca="false">IF($L1169="","",IFERROR(INDEX(记账规则!$A$6:$N$9,MATCH(购销流水!$D296,记账规则!$A$6:$A$9,0),14),""))</f>
        <v/>
      </c>
      <c r="O1169" s="67" t="n">
        <f aca="false">IF($H1169="",0,ROUND(IF($N1169="成本金额",N(购销流水!$W296),IF($N1169="金额",N(购销流水!$Q296),0)),2))</f>
        <v>0</v>
      </c>
      <c r="P1169" s="64" t="str">
        <f aca="false">IF(AND($H1169&lt;&gt;"",ROUND($O1169,2)&lt;&gt;0),"有","")</f>
        <v/>
      </c>
    </row>
    <row r="1170" customFormat="false" ht="15" hidden="true" customHeight="false" outlineLevel="0" collapsed="false">
      <c r="A1170" s="53" t="str">
        <f aca="false">IF($H1170="","",ROW()-5)</f>
        <v/>
      </c>
      <c r="B1170" s="64" t="s">
        <v>36</v>
      </c>
      <c r="C1170" s="53" t="n">
        <v>297</v>
      </c>
      <c r="D1170" s="53" t="n">
        <v>1</v>
      </c>
      <c r="E1170" s="65" t="str">
        <f aca="false">IF($H1170="","",购销流水!$B297)</f>
        <v/>
      </c>
      <c r="F1170" s="55" t="str">
        <f aca="false">IF($H1170="","",购销流水!$C297)</f>
        <v/>
      </c>
      <c r="G1170" s="48" t="str">
        <f aca="false">IF($H1170="","",购销流水!$N297)</f>
        <v/>
      </c>
      <c r="H1170" s="10" t="str">
        <f aca="false">IF($L1170="","",IF($L1170="@成本",购销流水!$U297,IF($L1170="@收入",购销流水!$T297,IF($L1170="@存货",购销流水!$S297,IF($L1170="@结算",购销流水!$R297,$L1170)))))</f>
        <v/>
      </c>
      <c r="I1170" s="42" t="n">
        <f aca="false">IF($M1170="借",$O1170,0)</f>
        <v>0</v>
      </c>
      <c r="J1170" s="42" t="n">
        <f aca="false">IF($M1170="贷",$O1170,0)</f>
        <v>0</v>
      </c>
      <c r="K1170" s="48" t="str">
        <f aca="false">IF($H1170="","",购销流水!$E297)</f>
        <v/>
      </c>
      <c r="L1170" s="66" t="str">
        <f aca="false">IF(购销流水!$D297="","",IFERROR(INDEX(记账规则!$A$6:$N$9,MATCH(购销流水!$D297,记账规则!$A$6:$A$9,0),3),""))</f>
        <v/>
      </c>
      <c r="M1170" s="66" t="str">
        <f aca="false">IF($L1170="","",IFERROR(INDEX(记账规则!$A$6:$N$9,MATCH(购销流水!$D297,记账规则!$A$6:$A$9,0),4),""))</f>
        <v/>
      </c>
      <c r="N1170" s="66" t="str">
        <f aca="false">IF($L1170="","",IFERROR(INDEX(记账规则!$A$6:$N$9,MATCH(购销流水!$D297,记账规则!$A$6:$A$9,0),5),""))</f>
        <v/>
      </c>
      <c r="O1170" s="67" t="n">
        <f aca="false">IF($H1170="",0,ROUND(IF($N1170="成本金额",N(购销流水!$W297),IF($N1170="金额",N(购销流水!$Q297),0)),2))</f>
        <v>0</v>
      </c>
      <c r="P1170" s="64" t="str">
        <f aca="false">IF(AND($H1170&lt;&gt;"",ROUND($O1170,2)&lt;&gt;0),"有","")</f>
        <v/>
      </c>
    </row>
    <row r="1171" customFormat="false" ht="15" hidden="true" customHeight="false" outlineLevel="0" collapsed="false">
      <c r="A1171" s="53" t="str">
        <f aca="false">IF($H1171="","",ROW()-5)</f>
        <v/>
      </c>
      <c r="B1171" s="64" t="s">
        <v>36</v>
      </c>
      <c r="C1171" s="53" t="n">
        <v>297</v>
      </c>
      <c r="D1171" s="53" t="n">
        <v>2</v>
      </c>
      <c r="E1171" s="65" t="str">
        <f aca="false">IF($H1171="","",购销流水!$B297)</f>
        <v/>
      </c>
      <c r="F1171" s="55" t="str">
        <f aca="false">IF($H1171="","",购销流水!$C297)</f>
        <v/>
      </c>
      <c r="G1171" s="48" t="str">
        <f aca="false">IF($H1171="","",购销流水!$N297)</f>
        <v/>
      </c>
      <c r="H1171" s="10" t="str">
        <f aca="false">IF($L1171="","",IF($L1171="@成本",购销流水!$U297,IF($L1171="@收入",购销流水!$T297,IF($L1171="@存货",购销流水!$S297,IF($L1171="@结算",购销流水!$R297,$L1171)))))</f>
        <v/>
      </c>
      <c r="I1171" s="42" t="n">
        <f aca="false">IF($M1171="借",$O1171,0)</f>
        <v>0</v>
      </c>
      <c r="J1171" s="42" t="n">
        <f aca="false">IF($M1171="贷",$O1171,0)</f>
        <v>0</v>
      </c>
      <c r="K1171" s="48" t="str">
        <f aca="false">IF($H1171="","",购销流水!$E297)</f>
        <v/>
      </c>
      <c r="L1171" s="66" t="str">
        <f aca="false">IF(购销流水!$D297="","",IFERROR(INDEX(记账规则!$A$6:$N$9,MATCH(购销流水!$D297,记账规则!$A$6:$A$9,0),6),""))</f>
        <v/>
      </c>
      <c r="M1171" s="66" t="str">
        <f aca="false">IF($L1171="","",IFERROR(INDEX(记账规则!$A$6:$N$9,MATCH(购销流水!$D297,记账规则!$A$6:$A$9,0),7),""))</f>
        <v/>
      </c>
      <c r="N1171" s="66" t="str">
        <f aca="false">IF($L1171="","",IFERROR(INDEX(记账规则!$A$6:$N$9,MATCH(购销流水!$D297,记账规则!$A$6:$A$9,0),8),""))</f>
        <v/>
      </c>
      <c r="O1171" s="67" t="n">
        <f aca="false">IF($H1171="",0,ROUND(IF($N1171="成本金额",N(购销流水!$W297),IF($N1171="金额",N(购销流水!$Q297),0)),2))</f>
        <v>0</v>
      </c>
      <c r="P1171" s="64" t="str">
        <f aca="false">IF(AND($H1171&lt;&gt;"",ROUND($O1171,2)&lt;&gt;0),"有","")</f>
        <v/>
      </c>
    </row>
    <row r="1172" customFormat="false" ht="15" hidden="true" customHeight="false" outlineLevel="0" collapsed="false">
      <c r="A1172" s="53" t="str">
        <f aca="false">IF($H1172="","",ROW()-5)</f>
        <v/>
      </c>
      <c r="B1172" s="64" t="s">
        <v>36</v>
      </c>
      <c r="C1172" s="53" t="n">
        <v>297</v>
      </c>
      <c r="D1172" s="53" t="n">
        <v>3</v>
      </c>
      <c r="E1172" s="65" t="str">
        <f aca="false">IF($H1172="","",购销流水!$B297)</f>
        <v/>
      </c>
      <c r="F1172" s="55" t="str">
        <f aca="false">IF($H1172="","",购销流水!$C297)</f>
        <v/>
      </c>
      <c r="G1172" s="48" t="str">
        <f aca="false">IF($H1172="","",购销流水!$N297)</f>
        <v/>
      </c>
      <c r="H1172" s="10" t="str">
        <f aca="false">IF($L1172="","",IF($L1172="@成本",购销流水!$U297,IF($L1172="@收入",购销流水!$T297,IF($L1172="@存货",购销流水!$S297,IF($L1172="@结算",购销流水!$R297,$L1172)))))</f>
        <v/>
      </c>
      <c r="I1172" s="42" t="n">
        <f aca="false">IF($M1172="借",$O1172,0)</f>
        <v>0</v>
      </c>
      <c r="J1172" s="42" t="n">
        <f aca="false">IF($M1172="贷",$O1172,0)</f>
        <v>0</v>
      </c>
      <c r="K1172" s="48" t="str">
        <f aca="false">IF($H1172="","",购销流水!$E297)</f>
        <v/>
      </c>
      <c r="L1172" s="66" t="str">
        <f aca="false">IF(购销流水!$D297="","",IFERROR(INDEX(记账规则!$A$6:$N$9,MATCH(购销流水!$D297,记账规则!$A$6:$A$9,0),9),""))</f>
        <v/>
      </c>
      <c r="M1172" s="66" t="str">
        <f aca="false">IF($L1172="","",IFERROR(INDEX(记账规则!$A$6:$N$9,MATCH(购销流水!$D297,记账规则!$A$6:$A$9,0),10),""))</f>
        <v/>
      </c>
      <c r="N1172" s="66" t="str">
        <f aca="false">IF($L1172="","",IFERROR(INDEX(记账规则!$A$6:$N$9,MATCH(购销流水!$D297,记账规则!$A$6:$A$9,0),11),""))</f>
        <v/>
      </c>
      <c r="O1172" s="67" t="n">
        <f aca="false">IF($H1172="",0,ROUND(IF($N1172="成本金额",N(购销流水!$W297),IF($N1172="金额",N(购销流水!$Q297),0)),2))</f>
        <v>0</v>
      </c>
      <c r="P1172" s="64" t="str">
        <f aca="false">IF(AND($H1172&lt;&gt;"",ROUND($O1172,2)&lt;&gt;0),"有","")</f>
        <v/>
      </c>
    </row>
    <row r="1173" customFormat="false" ht="15" hidden="true" customHeight="false" outlineLevel="0" collapsed="false">
      <c r="A1173" s="53" t="str">
        <f aca="false">IF($H1173="","",ROW()-5)</f>
        <v/>
      </c>
      <c r="B1173" s="64" t="s">
        <v>36</v>
      </c>
      <c r="C1173" s="53" t="n">
        <v>297</v>
      </c>
      <c r="D1173" s="53" t="n">
        <v>4</v>
      </c>
      <c r="E1173" s="65" t="str">
        <f aca="false">IF($H1173="","",购销流水!$B297)</f>
        <v/>
      </c>
      <c r="F1173" s="55" t="str">
        <f aca="false">IF($H1173="","",购销流水!$C297)</f>
        <v/>
      </c>
      <c r="G1173" s="48" t="str">
        <f aca="false">IF($H1173="","",购销流水!$N297)</f>
        <v/>
      </c>
      <c r="H1173" s="10" t="str">
        <f aca="false">IF($L1173="","",IF($L1173="@成本",购销流水!$U297,IF($L1173="@收入",购销流水!$T297,IF($L1173="@存货",购销流水!$S297,IF($L1173="@结算",购销流水!$R297,$L1173)))))</f>
        <v/>
      </c>
      <c r="I1173" s="42" t="n">
        <f aca="false">IF($M1173="借",$O1173,0)</f>
        <v>0</v>
      </c>
      <c r="J1173" s="42" t="n">
        <f aca="false">IF($M1173="贷",$O1173,0)</f>
        <v>0</v>
      </c>
      <c r="K1173" s="48" t="str">
        <f aca="false">IF($H1173="","",购销流水!$E297)</f>
        <v/>
      </c>
      <c r="L1173" s="66" t="str">
        <f aca="false">IF(购销流水!$D297="","",IFERROR(INDEX(记账规则!$A$6:$N$9,MATCH(购销流水!$D297,记账规则!$A$6:$A$9,0),12),""))</f>
        <v/>
      </c>
      <c r="M1173" s="66" t="str">
        <f aca="false">IF($L1173="","",IFERROR(INDEX(记账规则!$A$6:$N$9,MATCH(购销流水!$D297,记账规则!$A$6:$A$9,0),13),""))</f>
        <v/>
      </c>
      <c r="N1173" s="66" t="str">
        <f aca="false">IF($L1173="","",IFERROR(INDEX(记账规则!$A$6:$N$9,MATCH(购销流水!$D297,记账规则!$A$6:$A$9,0),14),""))</f>
        <v/>
      </c>
      <c r="O1173" s="67" t="n">
        <f aca="false">IF($H1173="",0,ROUND(IF($N1173="成本金额",N(购销流水!$W297),IF($N1173="金额",N(购销流水!$Q297),0)),2))</f>
        <v>0</v>
      </c>
      <c r="P1173" s="64" t="str">
        <f aca="false">IF(AND($H1173&lt;&gt;"",ROUND($O1173,2)&lt;&gt;0),"有","")</f>
        <v/>
      </c>
    </row>
    <row r="1174" customFormat="false" ht="15" hidden="true" customHeight="false" outlineLevel="0" collapsed="false">
      <c r="A1174" s="53" t="str">
        <f aca="false">IF($H1174="","",ROW()-5)</f>
        <v/>
      </c>
      <c r="B1174" s="64" t="s">
        <v>36</v>
      </c>
      <c r="C1174" s="53" t="n">
        <v>298</v>
      </c>
      <c r="D1174" s="53" t="n">
        <v>1</v>
      </c>
      <c r="E1174" s="65" t="str">
        <f aca="false">IF($H1174="","",购销流水!$B298)</f>
        <v/>
      </c>
      <c r="F1174" s="55" t="str">
        <f aca="false">IF($H1174="","",购销流水!$C298)</f>
        <v/>
      </c>
      <c r="G1174" s="48" t="str">
        <f aca="false">IF($H1174="","",购销流水!$N298)</f>
        <v/>
      </c>
      <c r="H1174" s="10" t="str">
        <f aca="false">IF($L1174="","",IF($L1174="@成本",购销流水!$U298,IF($L1174="@收入",购销流水!$T298,IF($L1174="@存货",购销流水!$S298,IF($L1174="@结算",购销流水!$R298,$L1174)))))</f>
        <v/>
      </c>
      <c r="I1174" s="42" t="n">
        <f aca="false">IF($M1174="借",$O1174,0)</f>
        <v>0</v>
      </c>
      <c r="J1174" s="42" t="n">
        <f aca="false">IF($M1174="贷",$O1174,0)</f>
        <v>0</v>
      </c>
      <c r="K1174" s="48" t="str">
        <f aca="false">IF($H1174="","",购销流水!$E298)</f>
        <v/>
      </c>
      <c r="L1174" s="66" t="str">
        <f aca="false">IF(购销流水!$D298="","",IFERROR(INDEX(记账规则!$A$6:$N$9,MATCH(购销流水!$D298,记账规则!$A$6:$A$9,0),3),""))</f>
        <v/>
      </c>
      <c r="M1174" s="66" t="str">
        <f aca="false">IF($L1174="","",IFERROR(INDEX(记账规则!$A$6:$N$9,MATCH(购销流水!$D298,记账规则!$A$6:$A$9,0),4),""))</f>
        <v/>
      </c>
      <c r="N1174" s="66" t="str">
        <f aca="false">IF($L1174="","",IFERROR(INDEX(记账规则!$A$6:$N$9,MATCH(购销流水!$D298,记账规则!$A$6:$A$9,0),5),""))</f>
        <v/>
      </c>
      <c r="O1174" s="67" t="n">
        <f aca="false">IF($H1174="",0,ROUND(IF($N1174="成本金额",N(购销流水!$W298),IF($N1174="金额",N(购销流水!$Q298),0)),2))</f>
        <v>0</v>
      </c>
      <c r="P1174" s="64" t="str">
        <f aca="false">IF(AND($H1174&lt;&gt;"",ROUND($O1174,2)&lt;&gt;0),"有","")</f>
        <v/>
      </c>
    </row>
    <row r="1175" customFormat="false" ht="15" hidden="true" customHeight="false" outlineLevel="0" collapsed="false">
      <c r="A1175" s="53" t="str">
        <f aca="false">IF($H1175="","",ROW()-5)</f>
        <v/>
      </c>
      <c r="B1175" s="64" t="s">
        <v>36</v>
      </c>
      <c r="C1175" s="53" t="n">
        <v>298</v>
      </c>
      <c r="D1175" s="53" t="n">
        <v>2</v>
      </c>
      <c r="E1175" s="65" t="str">
        <f aca="false">IF($H1175="","",购销流水!$B298)</f>
        <v/>
      </c>
      <c r="F1175" s="55" t="str">
        <f aca="false">IF($H1175="","",购销流水!$C298)</f>
        <v/>
      </c>
      <c r="G1175" s="48" t="str">
        <f aca="false">IF($H1175="","",购销流水!$N298)</f>
        <v/>
      </c>
      <c r="H1175" s="10" t="str">
        <f aca="false">IF($L1175="","",IF($L1175="@成本",购销流水!$U298,IF($L1175="@收入",购销流水!$T298,IF($L1175="@存货",购销流水!$S298,IF($L1175="@结算",购销流水!$R298,$L1175)))))</f>
        <v/>
      </c>
      <c r="I1175" s="42" t="n">
        <f aca="false">IF($M1175="借",$O1175,0)</f>
        <v>0</v>
      </c>
      <c r="J1175" s="42" t="n">
        <f aca="false">IF($M1175="贷",$O1175,0)</f>
        <v>0</v>
      </c>
      <c r="K1175" s="48" t="str">
        <f aca="false">IF($H1175="","",购销流水!$E298)</f>
        <v/>
      </c>
      <c r="L1175" s="66" t="str">
        <f aca="false">IF(购销流水!$D298="","",IFERROR(INDEX(记账规则!$A$6:$N$9,MATCH(购销流水!$D298,记账规则!$A$6:$A$9,0),6),""))</f>
        <v/>
      </c>
      <c r="M1175" s="66" t="str">
        <f aca="false">IF($L1175="","",IFERROR(INDEX(记账规则!$A$6:$N$9,MATCH(购销流水!$D298,记账规则!$A$6:$A$9,0),7),""))</f>
        <v/>
      </c>
      <c r="N1175" s="66" t="str">
        <f aca="false">IF($L1175="","",IFERROR(INDEX(记账规则!$A$6:$N$9,MATCH(购销流水!$D298,记账规则!$A$6:$A$9,0),8),""))</f>
        <v/>
      </c>
      <c r="O1175" s="67" t="n">
        <f aca="false">IF($H1175="",0,ROUND(IF($N1175="成本金额",N(购销流水!$W298),IF($N1175="金额",N(购销流水!$Q298),0)),2))</f>
        <v>0</v>
      </c>
      <c r="P1175" s="64" t="str">
        <f aca="false">IF(AND($H1175&lt;&gt;"",ROUND($O1175,2)&lt;&gt;0),"有","")</f>
        <v/>
      </c>
    </row>
    <row r="1176" customFormat="false" ht="15" hidden="true" customHeight="false" outlineLevel="0" collapsed="false">
      <c r="A1176" s="53" t="str">
        <f aca="false">IF($H1176="","",ROW()-5)</f>
        <v/>
      </c>
      <c r="B1176" s="64" t="s">
        <v>36</v>
      </c>
      <c r="C1176" s="53" t="n">
        <v>298</v>
      </c>
      <c r="D1176" s="53" t="n">
        <v>3</v>
      </c>
      <c r="E1176" s="65" t="str">
        <f aca="false">IF($H1176="","",购销流水!$B298)</f>
        <v/>
      </c>
      <c r="F1176" s="55" t="str">
        <f aca="false">IF($H1176="","",购销流水!$C298)</f>
        <v/>
      </c>
      <c r="G1176" s="48" t="str">
        <f aca="false">IF($H1176="","",购销流水!$N298)</f>
        <v/>
      </c>
      <c r="H1176" s="10" t="str">
        <f aca="false">IF($L1176="","",IF($L1176="@成本",购销流水!$U298,IF($L1176="@收入",购销流水!$T298,IF($L1176="@存货",购销流水!$S298,IF($L1176="@结算",购销流水!$R298,$L1176)))))</f>
        <v/>
      </c>
      <c r="I1176" s="42" t="n">
        <f aca="false">IF($M1176="借",$O1176,0)</f>
        <v>0</v>
      </c>
      <c r="J1176" s="42" t="n">
        <f aca="false">IF($M1176="贷",$O1176,0)</f>
        <v>0</v>
      </c>
      <c r="K1176" s="48" t="str">
        <f aca="false">IF($H1176="","",购销流水!$E298)</f>
        <v/>
      </c>
      <c r="L1176" s="66" t="str">
        <f aca="false">IF(购销流水!$D298="","",IFERROR(INDEX(记账规则!$A$6:$N$9,MATCH(购销流水!$D298,记账规则!$A$6:$A$9,0),9),""))</f>
        <v/>
      </c>
      <c r="M1176" s="66" t="str">
        <f aca="false">IF($L1176="","",IFERROR(INDEX(记账规则!$A$6:$N$9,MATCH(购销流水!$D298,记账规则!$A$6:$A$9,0),10),""))</f>
        <v/>
      </c>
      <c r="N1176" s="66" t="str">
        <f aca="false">IF($L1176="","",IFERROR(INDEX(记账规则!$A$6:$N$9,MATCH(购销流水!$D298,记账规则!$A$6:$A$9,0),11),""))</f>
        <v/>
      </c>
      <c r="O1176" s="67" t="n">
        <f aca="false">IF($H1176="",0,ROUND(IF($N1176="成本金额",N(购销流水!$W298),IF($N1176="金额",N(购销流水!$Q298),0)),2))</f>
        <v>0</v>
      </c>
      <c r="P1176" s="64" t="str">
        <f aca="false">IF(AND($H1176&lt;&gt;"",ROUND($O1176,2)&lt;&gt;0),"有","")</f>
        <v/>
      </c>
    </row>
    <row r="1177" customFormat="false" ht="15" hidden="true" customHeight="false" outlineLevel="0" collapsed="false">
      <c r="A1177" s="53" t="str">
        <f aca="false">IF($H1177="","",ROW()-5)</f>
        <v/>
      </c>
      <c r="B1177" s="64" t="s">
        <v>36</v>
      </c>
      <c r="C1177" s="53" t="n">
        <v>298</v>
      </c>
      <c r="D1177" s="53" t="n">
        <v>4</v>
      </c>
      <c r="E1177" s="65" t="str">
        <f aca="false">IF($H1177="","",购销流水!$B298)</f>
        <v/>
      </c>
      <c r="F1177" s="55" t="str">
        <f aca="false">IF($H1177="","",购销流水!$C298)</f>
        <v/>
      </c>
      <c r="G1177" s="48" t="str">
        <f aca="false">IF($H1177="","",购销流水!$N298)</f>
        <v/>
      </c>
      <c r="H1177" s="10" t="str">
        <f aca="false">IF($L1177="","",IF($L1177="@成本",购销流水!$U298,IF($L1177="@收入",购销流水!$T298,IF($L1177="@存货",购销流水!$S298,IF($L1177="@结算",购销流水!$R298,$L1177)))))</f>
        <v/>
      </c>
      <c r="I1177" s="42" t="n">
        <f aca="false">IF($M1177="借",$O1177,0)</f>
        <v>0</v>
      </c>
      <c r="J1177" s="42" t="n">
        <f aca="false">IF($M1177="贷",$O1177,0)</f>
        <v>0</v>
      </c>
      <c r="K1177" s="48" t="str">
        <f aca="false">IF($H1177="","",购销流水!$E298)</f>
        <v/>
      </c>
      <c r="L1177" s="66" t="str">
        <f aca="false">IF(购销流水!$D298="","",IFERROR(INDEX(记账规则!$A$6:$N$9,MATCH(购销流水!$D298,记账规则!$A$6:$A$9,0),12),""))</f>
        <v/>
      </c>
      <c r="M1177" s="66" t="str">
        <f aca="false">IF($L1177="","",IFERROR(INDEX(记账规则!$A$6:$N$9,MATCH(购销流水!$D298,记账规则!$A$6:$A$9,0),13),""))</f>
        <v/>
      </c>
      <c r="N1177" s="66" t="str">
        <f aca="false">IF($L1177="","",IFERROR(INDEX(记账规则!$A$6:$N$9,MATCH(购销流水!$D298,记账规则!$A$6:$A$9,0),14),""))</f>
        <v/>
      </c>
      <c r="O1177" s="67" t="n">
        <f aca="false">IF($H1177="",0,ROUND(IF($N1177="成本金额",N(购销流水!$W298),IF($N1177="金额",N(购销流水!$Q298),0)),2))</f>
        <v>0</v>
      </c>
      <c r="P1177" s="64" t="str">
        <f aca="false">IF(AND($H1177&lt;&gt;"",ROUND($O1177,2)&lt;&gt;0),"有","")</f>
        <v/>
      </c>
    </row>
    <row r="1178" customFormat="false" ht="15" hidden="true" customHeight="false" outlineLevel="0" collapsed="false">
      <c r="A1178" s="53" t="str">
        <f aca="false">IF($H1178="","",ROW()-5)</f>
        <v/>
      </c>
      <c r="B1178" s="64" t="s">
        <v>36</v>
      </c>
      <c r="C1178" s="53" t="n">
        <v>299</v>
      </c>
      <c r="D1178" s="53" t="n">
        <v>1</v>
      </c>
      <c r="E1178" s="65" t="str">
        <f aca="false">IF($H1178="","",购销流水!$B299)</f>
        <v/>
      </c>
      <c r="F1178" s="55" t="str">
        <f aca="false">IF($H1178="","",购销流水!$C299)</f>
        <v/>
      </c>
      <c r="G1178" s="48" t="str">
        <f aca="false">IF($H1178="","",购销流水!$N299)</f>
        <v/>
      </c>
      <c r="H1178" s="10" t="str">
        <f aca="false">IF($L1178="","",IF($L1178="@成本",购销流水!$U299,IF($L1178="@收入",购销流水!$T299,IF($L1178="@存货",购销流水!$S299,IF($L1178="@结算",购销流水!$R299,$L1178)))))</f>
        <v/>
      </c>
      <c r="I1178" s="42" t="n">
        <f aca="false">IF($M1178="借",$O1178,0)</f>
        <v>0</v>
      </c>
      <c r="J1178" s="42" t="n">
        <f aca="false">IF($M1178="贷",$O1178,0)</f>
        <v>0</v>
      </c>
      <c r="K1178" s="48" t="str">
        <f aca="false">IF($H1178="","",购销流水!$E299)</f>
        <v/>
      </c>
      <c r="L1178" s="66" t="str">
        <f aca="false">IF(购销流水!$D299="","",IFERROR(INDEX(记账规则!$A$6:$N$9,MATCH(购销流水!$D299,记账规则!$A$6:$A$9,0),3),""))</f>
        <v/>
      </c>
      <c r="M1178" s="66" t="str">
        <f aca="false">IF($L1178="","",IFERROR(INDEX(记账规则!$A$6:$N$9,MATCH(购销流水!$D299,记账规则!$A$6:$A$9,0),4),""))</f>
        <v/>
      </c>
      <c r="N1178" s="66" t="str">
        <f aca="false">IF($L1178="","",IFERROR(INDEX(记账规则!$A$6:$N$9,MATCH(购销流水!$D299,记账规则!$A$6:$A$9,0),5),""))</f>
        <v/>
      </c>
      <c r="O1178" s="67" t="n">
        <f aca="false">IF($H1178="",0,ROUND(IF($N1178="成本金额",N(购销流水!$W299),IF($N1178="金额",N(购销流水!$Q299),0)),2))</f>
        <v>0</v>
      </c>
      <c r="P1178" s="64" t="str">
        <f aca="false">IF(AND($H1178&lt;&gt;"",ROUND($O1178,2)&lt;&gt;0),"有","")</f>
        <v/>
      </c>
    </row>
    <row r="1179" customFormat="false" ht="15" hidden="true" customHeight="false" outlineLevel="0" collapsed="false">
      <c r="A1179" s="53" t="str">
        <f aca="false">IF($H1179="","",ROW()-5)</f>
        <v/>
      </c>
      <c r="B1179" s="64" t="s">
        <v>36</v>
      </c>
      <c r="C1179" s="53" t="n">
        <v>299</v>
      </c>
      <c r="D1179" s="53" t="n">
        <v>2</v>
      </c>
      <c r="E1179" s="65" t="str">
        <f aca="false">IF($H1179="","",购销流水!$B299)</f>
        <v/>
      </c>
      <c r="F1179" s="55" t="str">
        <f aca="false">IF($H1179="","",购销流水!$C299)</f>
        <v/>
      </c>
      <c r="G1179" s="48" t="str">
        <f aca="false">IF($H1179="","",购销流水!$N299)</f>
        <v/>
      </c>
      <c r="H1179" s="10" t="str">
        <f aca="false">IF($L1179="","",IF($L1179="@成本",购销流水!$U299,IF($L1179="@收入",购销流水!$T299,IF($L1179="@存货",购销流水!$S299,IF($L1179="@结算",购销流水!$R299,$L1179)))))</f>
        <v/>
      </c>
      <c r="I1179" s="42" t="n">
        <f aca="false">IF($M1179="借",$O1179,0)</f>
        <v>0</v>
      </c>
      <c r="J1179" s="42" t="n">
        <f aca="false">IF($M1179="贷",$O1179,0)</f>
        <v>0</v>
      </c>
      <c r="K1179" s="48" t="str">
        <f aca="false">IF($H1179="","",购销流水!$E299)</f>
        <v/>
      </c>
      <c r="L1179" s="66" t="str">
        <f aca="false">IF(购销流水!$D299="","",IFERROR(INDEX(记账规则!$A$6:$N$9,MATCH(购销流水!$D299,记账规则!$A$6:$A$9,0),6),""))</f>
        <v/>
      </c>
      <c r="M1179" s="66" t="str">
        <f aca="false">IF($L1179="","",IFERROR(INDEX(记账规则!$A$6:$N$9,MATCH(购销流水!$D299,记账规则!$A$6:$A$9,0),7),""))</f>
        <v/>
      </c>
      <c r="N1179" s="66" t="str">
        <f aca="false">IF($L1179="","",IFERROR(INDEX(记账规则!$A$6:$N$9,MATCH(购销流水!$D299,记账规则!$A$6:$A$9,0),8),""))</f>
        <v/>
      </c>
      <c r="O1179" s="67" t="n">
        <f aca="false">IF($H1179="",0,ROUND(IF($N1179="成本金额",N(购销流水!$W299),IF($N1179="金额",N(购销流水!$Q299),0)),2))</f>
        <v>0</v>
      </c>
      <c r="P1179" s="64" t="str">
        <f aca="false">IF(AND($H1179&lt;&gt;"",ROUND($O1179,2)&lt;&gt;0),"有","")</f>
        <v/>
      </c>
    </row>
    <row r="1180" customFormat="false" ht="15" hidden="true" customHeight="false" outlineLevel="0" collapsed="false">
      <c r="A1180" s="53" t="str">
        <f aca="false">IF($H1180="","",ROW()-5)</f>
        <v/>
      </c>
      <c r="B1180" s="64" t="s">
        <v>36</v>
      </c>
      <c r="C1180" s="53" t="n">
        <v>299</v>
      </c>
      <c r="D1180" s="53" t="n">
        <v>3</v>
      </c>
      <c r="E1180" s="65" t="str">
        <f aca="false">IF($H1180="","",购销流水!$B299)</f>
        <v/>
      </c>
      <c r="F1180" s="55" t="str">
        <f aca="false">IF($H1180="","",购销流水!$C299)</f>
        <v/>
      </c>
      <c r="G1180" s="48" t="str">
        <f aca="false">IF($H1180="","",购销流水!$N299)</f>
        <v/>
      </c>
      <c r="H1180" s="10" t="str">
        <f aca="false">IF($L1180="","",IF($L1180="@成本",购销流水!$U299,IF($L1180="@收入",购销流水!$T299,IF($L1180="@存货",购销流水!$S299,IF($L1180="@结算",购销流水!$R299,$L1180)))))</f>
        <v/>
      </c>
      <c r="I1180" s="42" t="n">
        <f aca="false">IF($M1180="借",$O1180,0)</f>
        <v>0</v>
      </c>
      <c r="J1180" s="42" t="n">
        <f aca="false">IF($M1180="贷",$O1180,0)</f>
        <v>0</v>
      </c>
      <c r="K1180" s="48" t="str">
        <f aca="false">IF($H1180="","",购销流水!$E299)</f>
        <v/>
      </c>
      <c r="L1180" s="66" t="str">
        <f aca="false">IF(购销流水!$D299="","",IFERROR(INDEX(记账规则!$A$6:$N$9,MATCH(购销流水!$D299,记账规则!$A$6:$A$9,0),9),""))</f>
        <v/>
      </c>
      <c r="M1180" s="66" t="str">
        <f aca="false">IF($L1180="","",IFERROR(INDEX(记账规则!$A$6:$N$9,MATCH(购销流水!$D299,记账规则!$A$6:$A$9,0),10),""))</f>
        <v/>
      </c>
      <c r="N1180" s="66" t="str">
        <f aca="false">IF($L1180="","",IFERROR(INDEX(记账规则!$A$6:$N$9,MATCH(购销流水!$D299,记账规则!$A$6:$A$9,0),11),""))</f>
        <v/>
      </c>
      <c r="O1180" s="67" t="n">
        <f aca="false">IF($H1180="",0,ROUND(IF($N1180="成本金额",N(购销流水!$W299),IF($N1180="金额",N(购销流水!$Q299),0)),2))</f>
        <v>0</v>
      </c>
      <c r="P1180" s="64" t="str">
        <f aca="false">IF(AND($H1180&lt;&gt;"",ROUND($O1180,2)&lt;&gt;0),"有","")</f>
        <v/>
      </c>
    </row>
    <row r="1181" customFormat="false" ht="15" hidden="true" customHeight="false" outlineLevel="0" collapsed="false">
      <c r="A1181" s="53" t="str">
        <f aca="false">IF($H1181="","",ROW()-5)</f>
        <v/>
      </c>
      <c r="B1181" s="64" t="s">
        <v>36</v>
      </c>
      <c r="C1181" s="53" t="n">
        <v>299</v>
      </c>
      <c r="D1181" s="53" t="n">
        <v>4</v>
      </c>
      <c r="E1181" s="65" t="str">
        <f aca="false">IF($H1181="","",购销流水!$B299)</f>
        <v/>
      </c>
      <c r="F1181" s="55" t="str">
        <f aca="false">IF($H1181="","",购销流水!$C299)</f>
        <v/>
      </c>
      <c r="G1181" s="48" t="str">
        <f aca="false">IF($H1181="","",购销流水!$N299)</f>
        <v/>
      </c>
      <c r="H1181" s="10" t="str">
        <f aca="false">IF($L1181="","",IF($L1181="@成本",购销流水!$U299,IF($L1181="@收入",购销流水!$T299,IF($L1181="@存货",购销流水!$S299,IF($L1181="@结算",购销流水!$R299,$L1181)))))</f>
        <v/>
      </c>
      <c r="I1181" s="42" t="n">
        <f aca="false">IF($M1181="借",$O1181,0)</f>
        <v>0</v>
      </c>
      <c r="J1181" s="42" t="n">
        <f aca="false">IF($M1181="贷",$O1181,0)</f>
        <v>0</v>
      </c>
      <c r="K1181" s="48" t="str">
        <f aca="false">IF($H1181="","",购销流水!$E299)</f>
        <v/>
      </c>
      <c r="L1181" s="66" t="str">
        <f aca="false">IF(购销流水!$D299="","",IFERROR(INDEX(记账规则!$A$6:$N$9,MATCH(购销流水!$D299,记账规则!$A$6:$A$9,0),12),""))</f>
        <v/>
      </c>
      <c r="M1181" s="66" t="str">
        <f aca="false">IF($L1181="","",IFERROR(INDEX(记账规则!$A$6:$N$9,MATCH(购销流水!$D299,记账规则!$A$6:$A$9,0),13),""))</f>
        <v/>
      </c>
      <c r="N1181" s="66" t="str">
        <f aca="false">IF($L1181="","",IFERROR(INDEX(记账规则!$A$6:$N$9,MATCH(购销流水!$D299,记账规则!$A$6:$A$9,0),14),""))</f>
        <v/>
      </c>
      <c r="O1181" s="67" t="n">
        <f aca="false">IF($H1181="",0,ROUND(IF($N1181="成本金额",N(购销流水!$W299),IF($N1181="金额",N(购销流水!$Q299),0)),2))</f>
        <v>0</v>
      </c>
      <c r="P1181" s="64" t="str">
        <f aca="false">IF(AND($H1181&lt;&gt;"",ROUND($O1181,2)&lt;&gt;0),"有","")</f>
        <v/>
      </c>
    </row>
    <row r="1182" customFormat="false" ht="15" hidden="true" customHeight="false" outlineLevel="0" collapsed="false">
      <c r="A1182" s="53" t="str">
        <f aca="false">IF($H1182="","",ROW()-5)</f>
        <v/>
      </c>
      <c r="B1182" s="64" t="s">
        <v>36</v>
      </c>
      <c r="C1182" s="53" t="n">
        <v>300</v>
      </c>
      <c r="D1182" s="53" t="n">
        <v>1</v>
      </c>
      <c r="E1182" s="65" t="str">
        <f aca="false">IF($H1182="","",购销流水!$B300)</f>
        <v/>
      </c>
      <c r="F1182" s="55" t="str">
        <f aca="false">IF($H1182="","",购销流水!$C300)</f>
        <v/>
      </c>
      <c r="G1182" s="48" t="str">
        <f aca="false">IF($H1182="","",购销流水!$N300)</f>
        <v/>
      </c>
      <c r="H1182" s="10" t="str">
        <f aca="false">IF($L1182="","",IF($L1182="@成本",购销流水!$U300,IF($L1182="@收入",购销流水!$T300,IF($L1182="@存货",购销流水!$S300,IF($L1182="@结算",购销流水!$R300,$L1182)))))</f>
        <v/>
      </c>
      <c r="I1182" s="42" t="n">
        <f aca="false">IF($M1182="借",$O1182,0)</f>
        <v>0</v>
      </c>
      <c r="J1182" s="42" t="n">
        <f aca="false">IF($M1182="贷",$O1182,0)</f>
        <v>0</v>
      </c>
      <c r="K1182" s="48" t="str">
        <f aca="false">IF($H1182="","",购销流水!$E300)</f>
        <v/>
      </c>
      <c r="L1182" s="66" t="str">
        <f aca="false">IF(购销流水!$D300="","",IFERROR(INDEX(记账规则!$A$6:$N$9,MATCH(购销流水!$D300,记账规则!$A$6:$A$9,0),3),""))</f>
        <v/>
      </c>
      <c r="M1182" s="66" t="str">
        <f aca="false">IF($L1182="","",IFERROR(INDEX(记账规则!$A$6:$N$9,MATCH(购销流水!$D300,记账规则!$A$6:$A$9,0),4),""))</f>
        <v/>
      </c>
      <c r="N1182" s="66" t="str">
        <f aca="false">IF($L1182="","",IFERROR(INDEX(记账规则!$A$6:$N$9,MATCH(购销流水!$D300,记账规则!$A$6:$A$9,0),5),""))</f>
        <v/>
      </c>
      <c r="O1182" s="67" t="n">
        <f aca="false">IF($H1182="",0,ROUND(IF($N1182="成本金额",N(购销流水!$W300),IF($N1182="金额",N(购销流水!$Q300),0)),2))</f>
        <v>0</v>
      </c>
      <c r="P1182" s="64" t="str">
        <f aca="false">IF(AND($H1182&lt;&gt;"",ROUND($O1182,2)&lt;&gt;0),"有","")</f>
        <v/>
      </c>
    </row>
    <row r="1183" customFormat="false" ht="15" hidden="true" customHeight="false" outlineLevel="0" collapsed="false">
      <c r="A1183" s="53" t="str">
        <f aca="false">IF($H1183="","",ROW()-5)</f>
        <v/>
      </c>
      <c r="B1183" s="64" t="s">
        <v>36</v>
      </c>
      <c r="C1183" s="53" t="n">
        <v>300</v>
      </c>
      <c r="D1183" s="53" t="n">
        <v>2</v>
      </c>
      <c r="E1183" s="65" t="str">
        <f aca="false">IF($H1183="","",购销流水!$B300)</f>
        <v/>
      </c>
      <c r="F1183" s="55" t="str">
        <f aca="false">IF($H1183="","",购销流水!$C300)</f>
        <v/>
      </c>
      <c r="G1183" s="48" t="str">
        <f aca="false">IF($H1183="","",购销流水!$N300)</f>
        <v/>
      </c>
      <c r="H1183" s="10" t="str">
        <f aca="false">IF($L1183="","",IF($L1183="@成本",购销流水!$U300,IF($L1183="@收入",购销流水!$T300,IF($L1183="@存货",购销流水!$S300,IF($L1183="@结算",购销流水!$R300,$L1183)))))</f>
        <v/>
      </c>
      <c r="I1183" s="42" t="n">
        <f aca="false">IF($M1183="借",$O1183,0)</f>
        <v>0</v>
      </c>
      <c r="J1183" s="42" t="n">
        <f aca="false">IF($M1183="贷",$O1183,0)</f>
        <v>0</v>
      </c>
      <c r="K1183" s="48" t="str">
        <f aca="false">IF($H1183="","",购销流水!$E300)</f>
        <v/>
      </c>
      <c r="L1183" s="66" t="str">
        <f aca="false">IF(购销流水!$D300="","",IFERROR(INDEX(记账规则!$A$6:$N$9,MATCH(购销流水!$D300,记账规则!$A$6:$A$9,0),6),""))</f>
        <v/>
      </c>
      <c r="M1183" s="66" t="str">
        <f aca="false">IF($L1183="","",IFERROR(INDEX(记账规则!$A$6:$N$9,MATCH(购销流水!$D300,记账规则!$A$6:$A$9,0),7),""))</f>
        <v/>
      </c>
      <c r="N1183" s="66" t="str">
        <f aca="false">IF($L1183="","",IFERROR(INDEX(记账规则!$A$6:$N$9,MATCH(购销流水!$D300,记账规则!$A$6:$A$9,0),8),""))</f>
        <v/>
      </c>
      <c r="O1183" s="67" t="n">
        <f aca="false">IF($H1183="",0,ROUND(IF($N1183="成本金额",N(购销流水!$W300),IF($N1183="金额",N(购销流水!$Q300),0)),2))</f>
        <v>0</v>
      </c>
      <c r="P1183" s="64" t="str">
        <f aca="false">IF(AND($H1183&lt;&gt;"",ROUND($O1183,2)&lt;&gt;0),"有","")</f>
        <v/>
      </c>
    </row>
    <row r="1184" customFormat="false" ht="15" hidden="true" customHeight="false" outlineLevel="0" collapsed="false">
      <c r="A1184" s="53" t="str">
        <f aca="false">IF($H1184="","",ROW()-5)</f>
        <v/>
      </c>
      <c r="B1184" s="64" t="s">
        <v>36</v>
      </c>
      <c r="C1184" s="53" t="n">
        <v>300</v>
      </c>
      <c r="D1184" s="53" t="n">
        <v>3</v>
      </c>
      <c r="E1184" s="65" t="str">
        <f aca="false">IF($H1184="","",购销流水!$B300)</f>
        <v/>
      </c>
      <c r="F1184" s="55" t="str">
        <f aca="false">IF($H1184="","",购销流水!$C300)</f>
        <v/>
      </c>
      <c r="G1184" s="48" t="str">
        <f aca="false">IF($H1184="","",购销流水!$N300)</f>
        <v/>
      </c>
      <c r="H1184" s="10" t="str">
        <f aca="false">IF($L1184="","",IF($L1184="@成本",购销流水!$U300,IF($L1184="@收入",购销流水!$T300,IF($L1184="@存货",购销流水!$S300,IF($L1184="@结算",购销流水!$R300,$L1184)))))</f>
        <v/>
      </c>
      <c r="I1184" s="42" t="n">
        <f aca="false">IF($M1184="借",$O1184,0)</f>
        <v>0</v>
      </c>
      <c r="J1184" s="42" t="n">
        <f aca="false">IF($M1184="贷",$O1184,0)</f>
        <v>0</v>
      </c>
      <c r="K1184" s="48" t="str">
        <f aca="false">IF($H1184="","",购销流水!$E300)</f>
        <v/>
      </c>
      <c r="L1184" s="66" t="str">
        <f aca="false">IF(购销流水!$D300="","",IFERROR(INDEX(记账规则!$A$6:$N$9,MATCH(购销流水!$D300,记账规则!$A$6:$A$9,0),9),""))</f>
        <v/>
      </c>
      <c r="M1184" s="66" t="str">
        <f aca="false">IF($L1184="","",IFERROR(INDEX(记账规则!$A$6:$N$9,MATCH(购销流水!$D300,记账规则!$A$6:$A$9,0),10),""))</f>
        <v/>
      </c>
      <c r="N1184" s="66" t="str">
        <f aca="false">IF($L1184="","",IFERROR(INDEX(记账规则!$A$6:$N$9,MATCH(购销流水!$D300,记账规则!$A$6:$A$9,0),11),""))</f>
        <v/>
      </c>
      <c r="O1184" s="67" t="n">
        <f aca="false">IF($H1184="",0,ROUND(IF($N1184="成本金额",N(购销流水!$W300),IF($N1184="金额",N(购销流水!$Q300),0)),2))</f>
        <v>0</v>
      </c>
      <c r="P1184" s="64" t="str">
        <f aca="false">IF(AND($H1184&lt;&gt;"",ROUND($O1184,2)&lt;&gt;0),"有","")</f>
        <v/>
      </c>
    </row>
    <row r="1185" customFormat="false" ht="15" hidden="true" customHeight="false" outlineLevel="0" collapsed="false">
      <c r="A1185" s="53" t="str">
        <f aca="false">IF($H1185="","",ROW()-5)</f>
        <v/>
      </c>
      <c r="B1185" s="64" t="s">
        <v>36</v>
      </c>
      <c r="C1185" s="53" t="n">
        <v>300</v>
      </c>
      <c r="D1185" s="53" t="n">
        <v>4</v>
      </c>
      <c r="E1185" s="65" t="str">
        <f aca="false">IF($H1185="","",购销流水!$B300)</f>
        <v/>
      </c>
      <c r="F1185" s="55" t="str">
        <f aca="false">IF($H1185="","",购销流水!$C300)</f>
        <v/>
      </c>
      <c r="G1185" s="48" t="str">
        <f aca="false">IF($H1185="","",购销流水!$N300)</f>
        <v/>
      </c>
      <c r="H1185" s="10" t="str">
        <f aca="false">IF($L1185="","",IF($L1185="@成本",购销流水!$U300,IF($L1185="@收入",购销流水!$T300,IF($L1185="@存货",购销流水!$S300,IF($L1185="@结算",购销流水!$R300,$L1185)))))</f>
        <v/>
      </c>
      <c r="I1185" s="42" t="n">
        <f aca="false">IF($M1185="借",$O1185,0)</f>
        <v>0</v>
      </c>
      <c r="J1185" s="42" t="n">
        <f aca="false">IF($M1185="贷",$O1185,0)</f>
        <v>0</v>
      </c>
      <c r="K1185" s="48" t="str">
        <f aca="false">IF($H1185="","",购销流水!$E300)</f>
        <v/>
      </c>
      <c r="L1185" s="66" t="str">
        <f aca="false">IF(购销流水!$D300="","",IFERROR(INDEX(记账规则!$A$6:$N$9,MATCH(购销流水!$D300,记账规则!$A$6:$A$9,0),12),""))</f>
        <v/>
      </c>
      <c r="M1185" s="66" t="str">
        <f aca="false">IF($L1185="","",IFERROR(INDEX(记账规则!$A$6:$N$9,MATCH(购销流水!$D300,记账规则!$A$6:$A$9,0),13),""))</f>
        <v/>
      </c>
      <c r="N1185" s="66" t="str">
        <f aca="false">IF($L1185="","",IFERROR(INDEX(记账规则!$A$6:$N$9,MATCH(购销流水!$D300,记账规则!$A$6:$A$9,0),14),""))</f>
        <v/>
      </c>
      <c r="O1185" s="67" t="n">
        <f aca="false">IF($H1185="",0,ROUND(IF($N1185="成本金额",N(购销流水!$W300),IF($N1185="金额",N(购销流水!$Q300),0)),2))</f>
        <v>0</v>
      </c>
      <c r="P1185" s="64" t="str">
        <f aca="false">IF(AND($H1185&lt;&gt;"",ROUND($O1185,2)&lt;&gt;0),"有","")</f>
        <v/>
      </c>
    </row>
    <row r="1186" customFormat="false" ht="15" hidden="true" customHeight="false" outlineLevel="0" collapsed="false">
      <c r="A1186" s="53" t="str">
        <f aca="false">IF($H1186="","",ROW()-5)</f>
        <v/>
      </c>
      <c r="B1186" s="64" t="s">
        <v>36</v>
      </c>
      <c r="C1186" s="53" t="n">
        <v>301</v>
      </c>
      <c r="D1186" s="53" t="n">
        <v>1</v>
      </c>
      <c r="E1186" s="65" t="str">
        <f aca="false">IF($H1186="","",购销流水!$B301)</f>
        <v/>
      </c>
      <c r="F1186" s="55" t="str">
        <f aca="false">IF($H1186="","",购销流水!$C301)</f>
        <v/>
      </c>
      <c r="G1186" s="48" t="str">
        <f aca="false">IF($H1186="","",购销流水!$N301)</f>
        <v/>
      </c>
      <c r="H1186" s="10" t="str">
        <f aca="false">IF($L1186="","",IF($L1186="@成本",购销流水!$U301,IF($L1186="@收入",购销流水!$T301,IF($L1186="@存货",购销流水!$S301,IF($L1186="@结算",购销流水!$R301,$L1186)))))</f>
        <v/>
      </c>
      <c r="I1186" s="42" t="n">
        <f aca="false">IF($M1186="借",$O1186,0)</f>
        <v>0</v>
      </c>
      <c r="J1186" s="42" t="n">
        <f aca="false">IF($M1186="贷",$O1186,0)</f>
        <v>0</v>
      </c>
      <c r="K1186" s="48" t="str">
        <f aca="false">IF($H1186="","",购销流水!$E301)</f>
        <v/>
      </c>
      <c r="L1186" s="66" t="str">
        <f aca="false">IF(购销流水!$D301="","",IFERROR(INDEX(记账规则!$A$6:$N$9,MATCH(购销流水!$D301,记账规则!$A$6:$A$9,0),3),""))</f>
        <v/>
      </c>
      <c r="M1186" s="66" t="str">
        <f aca="false">IF($L1186="","",IFERROR(INDEX(记账规则!$A$6:$N$9,MATCH(购销流水!$D301,记账规则!$A$6:$A$9,0),4),""))</f>
        <v/>
      </c>
      <c r="N1186" s="66" t="str">
        <f aca="false">IF($L1186="","",IFERROR(INDEX(记账规则!$A$6:$N$9,MATCH(购销流水!$D301,记账规则!$A$6:$A$9,0),5),""))</f>
        <v/>
      </c>
      <c r="O1186" s="67" t="n">
        <f aca="false">IF($H1186="",0,ROUND(IF($N1186="成本金额",N(购销流水!$W301),IF($N1186="金额",N(购销流水!$Q301),0)),2))</f>
        <v>0</v>
      </c>
      <c r="P1186" s="64" t="str">
        <f aca="false">IF(AND($H1186&lt;&gt;"",ROUND($O1186,2)&lt;&gt;0),"有","")</f>
        <v/>
      </c>
    </row>
    <row r="1187" customFormat="false" ht="15" hidden="true" customHeight="false" outlineLevel="0" collapsed="false">
      <c r="A1187" s="53" t="str">
        <f aca="false">IF($H1187="","",ROW()-5)</f>
        <v/>
      </c>
      <c r="B1187" s="64" t="s">
        <v>36</v>
      </c>
      <c r="C1187" s="53" t="n">
        <v>301</v>
      </c>
      <c r="D1187" s="53" t="n">
        <v>2</v>
      </c>
      <c r="E1187" s="65" t="str">
        <f aca="false">IF($H1187="","",购销流水!$B301)</f>
        <v/>
      </c>
      <c r="F1187" s="55" t="str">
        <f aca="false">IF($H1187="","",购销流水!$C301)</f>
        <v/>
      </c>
      <c r="G1187" s="48" t="str">
        <f aca="false">IF($H1187="","",购销流水!$N301)</f>
        <v/>
      </c>
      <c r="H1187" s="10" t="str">
        <f aca="false">IF($L1187="","",IF($L1187="@成本",购销流水!$U301,IF($L1187="@收入",购销流水!$T301,IF($L1187="@存货",购销流水!$S301,IF($L1187="@结算",购销流水!$R301,$L1187)))))</f>
        <v/>
      </c>
      <c r="I1187" s="42" t="n">
        <f aca="false">IF($M1187="借",$O1187,0)</f>
        <v>0</v>
      </c>
      <c r="J1187" s="42" t="n">
        <f aca="false">IF($M1187="贷",$O1187,0)</f>
        <v>0</v>
      </c>
      <c r="K1187" s="48" t="str">
        <f aca="false">IF($H1187="","",购销流水!$E301)</f>
        <v/>
      </c>
      <c r="L1187" s="66" t="str">
        <f aca="false">IF(购销流水!$D301="","",IFERROR(INDEX(记账规则!$A$6:$N$9,MATCH(购销流水!$D301,记账规则!$A$6:$A$9,0),6),""))</f>
        <v/>
      </c>
      <c r="M1187" s="66" t="str">
        <f aca="false">IF($L1187="","",IFERROR(INDEX(记账规则!$A$6:$N$9,MATCH(购销流水!$D301,记账规则!$A$6:$A$9,0),7),""))</f>
        <v/>
      </c>
      <c r="N1187" s="66" t="str">
        <f aca="false">IF($L1187="","",IFERROR(INDEX(记账规则!$A$6:$N$9,MATCH(购销流水!$D301,记账规则!$A$6:$A$9,0),8),""))</f>
        <v/>
      </c>
      <c r="O1187" s="67" t="n">
        <f aca="false">IF($H1187="",0,ROUND(IF($N1187="成本金额",N(购销流水!$W301),IF($N1187="金额",N(购销流水!$Q301),0)),2))</f>
        <v>0</v>
      </c>
      <c r="P1187" s="64" t="str">
        <f aca="false">IF(AND($H1187&lt;&gt;"",ROUND($O1187,2)&lt;&gt;0),"有","")</f>
        <v/>
      </c>
    </row>
    <row r="1188" customFormat="false" ht="15" hidden="true" customHeight="false" outlineLevel="0" collapsed="false">
      <c r="A1188" s="53" t="str">
        <f aca="false">IF($H1188="","",ROW()-5)</f>
        <v/>
      </c>
      <c r="B1188" s="64" t="s">
        <v>36</v>
      </c>
      <c r="C1188" s="53" t="n">
        <v>301</v>
      </c>
      <c r="D1188" s="53" t="n">
        <v>3</v>
      </c>
      <c r="E1188" s="65" t="str">
        <f aca="false">IF($H1188="","",购销流水!$B301)</f>
        <v/>
      </c>
      <c r="F1188" s="55" t="str">
        <f aca="false">IF($H1188="","",购销流水!$C301)</f>
        <v/>
      </c>
      <c r="G1188" s="48" t="str">
        <f aca="false">IF($H1188="","",购销流水!$N301)</f>
        <v/>
      </c>
      <c r="H1188" s="10" t="str">
        <f aca="false">IF($L1188="","",IF($L1188="@成本",购销流水!$U301,IF($L1188="@收入",购销流水!$T301,IF($L1188="@存货",购销流水!$S301,IF($L1188="@结算",购销流水!$R301,$L1188)))))</f>
        <v/>
      </c>
      <c r="I1188" s="42" t="n">
        <f aca="false">IF($M1188="借",$O1188,0)</f>
        <v>0</v>
      </c>
      <c r="J1188" s="42" t="n">
        <f aca="false">IF($M1188="贷",$O1188,0)</f>
        <v>0</v>
      </c>
      <c r="K1188" s="48" t="str">
        <f aca="false">IF($H1188="","",购销流水!$E301)</f>
        <v/>
      </c>
      <c r="L1188" s="66" t="str">
        <f aca="false">IF(购销流水!$D301="","",IFERROR(INDEX(记账规则!$A$6:$N$9,MATCH(购销流水!$D301,记账规则!$A$6:$A$9,0),9),""))</f>
        <v/>
      </c>
      <c r="M1188" s="66" t="str">
        <f aca="false">IF($L1188="","",IFERROR(INDEX(记账规则!$A$6:$N$9,MATCH(购销流水!$D301,记账规则!$A$6:$A$9,0),10),""))</f>
        <v/>
      </c>
      <c r="N1188" s="66" t="str">
        <f aca="false">IF($L1188="","",IFERROR(INDEX(记账规则!$A$6:$N$9,MATCH(购销流水!$D301,记账规则!$A$6:$A$9,0),11),""))</f>
        <v/>
      </c>
      <c r="O1188" s="67" t="n">
        <f aca="false">IF($H1188="",0,ROUND(IF($N1188="成本金额",N(购销流水!$W301),IF($N1188="金额",N(购销流水!$Q301),0)),2))</f>
        <v>0</v>
      </c>
      <c r="P1188" s="64" t="str">
        <f aca="false">IF(AND($H1188&lt;&gt;"",ROUND($O1188,2)&lt;&gt;0),"有","")</f>
        <v/>
      </c>
    </row>
    <row r="1189" customFormat="false" ht="15" hidden="true" customHeight="false" outlineLevel="0" collapsed="false">
      <c r="A1189" s="53" t="str">
        <f aca="false">IF($H1189="","",ROW()-5)</f>
        <v/>
      </c>
      <c r="B1189" s="64" t="s">
        <v>36</v>
      </c>
      <c r="C1189" s="53" t="n">
        <v>301</v>
      </c>
      <c r="D1189" s="53" t="n">
        <v>4</v>
      </c>
      <c r="E1189" s="65" t="str">
        <f aca="false">IF($H1189="","",购销流水!$B301)</f>
        <v/>
      </c>
      <c r="F1189" s="55" t="str">
        <f aca="false">IF($H1189="","",购销流水!$C301)</f>
        <v/>
      </c>
      <c r="G1189" s="48" t="str">
        <f aca="false">IF($H1189="","",购销流水!$N301)</f>
        <v/>
      </c>
      <c r="H1189" s="10" t="str">
        <f aca="false">IF($L1189="","",IF($L1189="@成本",购销流水!$U301,IF($L1189="@收入",购销流水!$T301,IF($L1189="@存货",购销流水!$S301,IF($L1189="@结算",购销流水!$R301,$L1189)))))</f>
        <v/>
      </c>
      <c r="I1189" s="42" t="n">
        <f aca="false">IF($M1189="借",$O1189,0)</f>
        <v>0</v>
      </c>
      <c r="J1189" s="42" t="n">
        <f aca="false">IF($M1189="贷",$O1189,0)</f>
        <v>0</v>
      </c>
      <c r="K1189" s="48" t="str">
        <f aca="false">IF($H1189="","",购销流水!$E301)</f>
        <v/>
      </c>
      <c r="L1189" s="66" t="str">
        <f aca="false">IF(购销流水!$D301="","",IFERROR(INDEX(记账规则!$A$6:$N$9,MATCH(购销流水!$D301,记账规则!$A$6:$A$9,0),12),""))</f>
        <v/>
      </c>
      <c r="M1189" s="66" t="str">
        <f aca="false">IF($L1189="","",IFERROR(INDEX(记账规则!$A$6:$N$9,MATCH(购销流水!$D301,记账规则!$A$6:$A$9,0),13),""))</f>
        <v/>
      </c>
      <c r="N1189" s="66" t="str">
        <f aca="false">IF($L1189="","",IFERROR(INDEX(记账规则!$A$6:$N$9,MATCH(购销流水!$D301,记账规则!$A$6:$A$9,0),14),""))</f>
        <v/>
      </c>
      <c r="O1189" s="67" t="n">
        <f aca="false">IF($H1189="",0,ROUND(IF($N1189="成本金额",N(购销流水!$W301),IF($N1189="金额",N(购销流水!$Q301),0)),2))</f>
        <v>0</v>
      </c>
      <c r="P1189" s="64" t="str">
        <f aca="false">IF(AND($H1189&lt;&gt;"",ROUND($O1189,2)&lt;&gt;0),"有","")</f>
        <v/>
      </c>
    </row>
    <row r="1190" customFormat="false" ht="15" hidden="true" customHeight="false" outlineLevel="0" collapsed="false">
      <c r="A1190" s="53" t="str">
        <f aca="false">IF($H1190="","",ROW()-5)</f>
        <v/>
      </c>
      <c r="B1190" s="64" t="s">
        <v>36</v>
      </c>
      <c r="C1190" s="53" t="n">
        <v>302</v>
      </c>
      <c r="D1190" s="53" t="n">
        <v>1</v>
      </c>
      <c r="E1190" s="65" t="str">
        <f aca="false">IF($H1190="","",购销流水!$B302)</f>
        <v/>
      </c>
      <c r="F1190" s="55" t="str">
        <f aca="false">IF($H1190="","",购销流水!$C302)</f>
        <v/>
      </c>
      <c r="G1190" s="48" t="str">
        <f aca="false">IF($H1190="","",购销流水!$N302)</f>
        <v/>
      </c>
      <c r="H1190" s="10" t="str">
        <f aca="false">IF($L1190="","",IF($L1190="@成本",购销流水!$U302,IF($L1190="@收入",购销流水!$T302,IF($L1190="@存货",购销流水!$S302,IF($L1190="@结算",购销流水!$R302,$L1190)))))</f>
        <v/>
      </c>
      <c r="I1190" s="42" t="n">
        <f aca="false">IF($M1190="借",$O1190,0)</f>
        <v>0</v>
      </c>
      <c r="J1190" s="42" t="n">
        <f aca="false">IF($M1190="贷",$O1190,0)</f>
        <v>0</v>
      </c>
      <c r="K1190" s="48" t="str">
        <f aca="false">IF($H1190="","",购销流水!$E302)</f>
        <v/>
      </c>
      <c r="L1190" s="66" t="str">
        <f aca="false">IF(购销流水!$D302="","",IFERROR(INDEX(记账规则!$A$6:$N$9,MATCH(购销流水!$D302,记账规则!$A$6:$A$9,0),3),""))</f>
        <v/>
      </c>
      <c r="M1190" s="66" t="str">
        <f aca="false">IF($L1190="","",IFERROR(INDEX(记账规则!$A$6:$N$9,MATCH(购销流水!$D302,记账规则!$A$6:$A$9,0),4),""))</f>
        <v/>
      </c>
      <c r="N1190" s="66" t="str">
        <f aca="false">IF($L1190="","",IFERROR(INDEX(记账规则!$A$6:$N$9,MATCH(购销流水!$D302,记账规则!$A$6:$A$9,0),5),""))</f>
        <v/>
      </c>
      <c r="O1190" s="67" t="n">
        <f aca="false">IF($H1190="",0,ROUND(IF($N1190="成本金额",N(购销流水!$W302),IF($N1190="金额",N(购销流水!$Q302),0)),2))</f>
        <v>0</v>
      </c>
      <c r="P1190" s="64" t="str">
        <f aca="false">IF(AND($H1190&lt;&gt;"",ROUND($O1190,2)&lt;&gt;0),"有","")</f>
        <v/>
      </c>
    </row>
    <row r="1191" customFormat="false" ht="15" hidden="true" customHeight="false" outlineLevel="0" collapsed="false">
      <c r="A1191" s="53" t="str">
        <f aca="false">IF($H1191="","",ROW()-5)</f>
        <v/>
      </c>
      <c r="B1191" s="64" t="s">
        <v>36</v>
      </c>
      <c r="C1191" s="53" t="n">
        <v>302</v>
      </c>
      <c r="D1191" s="53" t="n">
        <v>2</v>
      </c>
      <c r="E1191" s="65" t="str">
        <f aca="false">IF($H1191="","",购销流水!$B302)</f>
        <v/>
      </c>
      <c r="F1191" s="55" t="str">
        <f aca="false">IF($H1191="","",购销流水!$C302)</f>
        <v/>
      </c>
      <c r="G1191" s="48" t="str">
        <f aca="false">IF($H1191="","",购销流水!$N302)</f>
        <v/>
      </c>
      <c r="H1191" s="10" t="str">
        <f aca="false">IF($L1191="","",IF($L1191="@成本",购销流水!$U302,IF($L1191="@收入",购销流水!$T302,IF($L1191="@存货",购销流水!$S302,IF($L1191="@结算",购销流水!$R302,$L1191)))))</f>
        <v/>
      </c>
      <c r="I1191" s="42" t="n">
        <f aca="false">IF($M1191="借",$O1191,0)</f>
        <v>0</v>
      </c>
      <c r="J1191" s="42" t="n">
        <f aca="false">IF($M1191="贷",$O1191,0)</f>
        <v>0</v>
      </c>
      <c r="K1191" s="48" t="str">
        <f aca="false">IF($H1191="","",购销流水!$E302)</f>
        <v/>
      </c>
      <c r="L1191" s="66" t="str">
        <f aca="false">IF(购销流水!$D302="","",IFERROR(INDEX(记账规则!$A$6:$N$9,MATCH(购销流水!$D302,记账规则!$A$6:$A$9,0),6),""))</f>
        <v/>
      </c>
      <c r="M1191" s="66" t="str">
        <f aca="false">IF($L1191="","",IFERROR(INDEX(记账规则!$A$6:$N$9,MATCH(购销流水!$D302,记账规则!$A$6:$A$9,0),7),""))</f>
        <v/>
      </c>
      <c r="N1191" s="66" t="str">
        <f aca="false">IF($L1191="","",IFERROR(INDEX(记账规则!$A$6:$N$9,MATCH(购销流水!$D302,记账规则!$A$6:$A$9,0),8),""))</f>
        <v/>
      </c>
      <c r="O1191" s="67" t="n">
        <f aca="false">IF($H1191="",0,ROUND(IF($N1191="成本金额",N(购销流水!$W302),IF($N1191="金额",N(购销流水!$Q302),0)),2))</f>
        <v>0</v>
      </c>
      <c r="P1191" s="64" t="str">
        <f aca="false">IF(AND($H1191&lt;&gt;"",ROUND($O1191,2)&lt;&gt;0),"有","")</f>
        <v/>
      </c>
    </row>
    <row r="1192" customFormat="false" ht="15" hidden="true" customHeight="false" outlineLevel="0" collapsed="false">
      <c r="A1192" s="53" t="str">
        <f aca="false">IF($H1192="","",ROW()-5)</f>
        <v/>
      </c>
      <c r="B1192" s="64" t="s">
        <v>36</v>
      </c>
      <c r="C1192" s="53" t="n">
        <v>302</v>
      </c>
      <c r="D1192" s="53" t="n">
        <v>3</v>
      </c>
      <c r="E1192" s="65" t="str">
        <f aca="false">IF($H1192="","",购销流水!$B302)</f>
        <v/>
      </c>
      <c r="F1192" s="55" t="str">
        <f aca="false">IF($H1192="","",购销流水!$C302)</f>
        <v/>
      </c>
      <c r="G1192" s="48" t="str">
        <f aca="false">IF($H1192="","",购销流水!$N302)</f>
        <v/>
      </c>
      <c r="H1192" s="10" t="str">
        <f aca="false">IF($L1192="","",IF($L1192="@成本",购销流水!$U302,IF($L1192="@收入",购销流水!$T302,IF($L1192="@存货",购销流水!$S302,IF($L1192="@结算",购销流水!$R302,$L1192)))))</f>
        <v/>
      </c>
      <c r="I1192" s="42" t="n">
        <f aca="false">IF($M1192="借",$O1192,0)</f>
        <v>0</v>
      </c>
      <c r="J1192" s="42" t="n">
        <f aca="false">IF($M1192="贷",$O1192,0)</f>
        <v>0</v>
      </c>
      <c r="K1192" s="48" t="str">
        <f aca="false">IF($H1192="","",购销流水!$E302)</f>
        <v/>
      </c>
      <c r="L1192" s="66" t="str">
        <f aca="false">IF(购销流水!$D302="","",IFERROR(INDEX(记账规则!$A$6:$N$9,MATCH(购销流水!$D302,记账规则!$A$6:$A$9,0),9),""))</f>
        <v/>
      </c>
      <c r="M1192" s="66" t="str">
        <f aca="false">IF($L1192="","",IFERROR(INDEX(记账规则!$A$6:$N$9,MATCH(购销流水!$D302,记账规则!$A$6:$A$9,0),10),""))</f>
        <v/>
      </c>
      <c r="N1192" s="66" t="str">
        <f aca="false">IF($L1192="","",IFERROR(INDEX(记账规则!$A$6:$N$9,MATCH(购销流水!$D302,记账规则!$A$6:$A$9,0),11),""))</f>
        <v/>
      </c>
      <c r="O1192" s="67" t="n">
        <f aca="false">IF($H1192="",0,ROUND(IF($N1192="成本金额",N(购销流水!$W302),IF($N1192="金额",N(购销流水!$Q302),0)),2))</f>
        <v>0</v>
      </c>
      <c r="P1192" s="64" t="str">
        <f aca="false">IF(AND($H1192&lt;&gt;"",ROUND($O1192,2)&lt;&gt;0),"有","")</f>
        <v/>
      </c>
    </row>
    <row r="1193" customFormat="false" ht="15" hidden="true" customHeight="false" outlineLevel="0" collapsed="false">
      <c r="A1193" s="53" t="str">
        <f aca="false">IF($H1193="","",ROW()-5)</f>
        <v/>
      </c>
      <c r="B1193" s="64" t="s">
        <v>36</v>
      </c>
      <c r="C1193" s="53" t="n">
        <v>302</v>
      </c>
      <c r="D1193" s="53" t="n">
        <v>4</v>
      </c>
      <c r="E1193" s="65" t="str">
        <f aca="false">IF($H1193="","",购销流水!$B302)</f>
        <v/>
      </c>
      <c r="F1193" s="55" t="str">
        <f aca="false">IF($H1193="","",购销流水!$C302)</f>
        <v/>
      </c>
      <c r="G1193" s="48" t="str">
        <f aca="false">IF($H1193="","",购销流水!$N302)</f>
        <v/>
      </c>
      <c r="H1193" s="10" t="str">
        <f aca="false">IF($L1193="","",IF($L1193="@成本",购销流水!$U302,IF($L1193="@收入",购销流水!$T302,IF($L1193="@存货",购销流水!$S302,IF($L1193="@结算",购销流水!$R302,$L1193)))))</f>
        <v/>
      </c>
      <c r="I1193" s="42" t="n">
        <f aca="false">IF($M1193="借",$O1193,0)</f>
        <v>0</v>
      </c>
      <c r="J1193" s="42" t="n">
        <f aca="false">IF($M1193="贷",$O1193,0)</f>
        <v>0</v>
      </c>
      <c r="K1193" s="48" t="str">
        <f aca="false">IF($H1193="","",购销流水!$E302)</f>
        <v/>
      </c>
      <c r="L1193" s="66" t="str">
        <f aca="false">IF(购销流水!$D302="","",IFERROR(INDEX(记账规则!$A$6:$N$9,MATCH(购销流水!$D302,记账规则!$A$6:$A$9,0),12),""))</f>
        <v/>
      </c>
      <c r="M1193" s="66" t="str">
        <f aca="false">IF($L1193="","",IFERROR(INDEX(记账规则!$A$6:$N$9,MATCH(购销流水!$D302,记账规则!$A$6:$A$9,0),13),""))</f>
        <v/>
      </c>
      <c r="N1193" s="66" t="str">
        <f aca="false">IF($L1193="","",IFERROR(INDEX(记账规则!$A$6:$N$9,MATCH(购销流水!$D302,记账规则!$A$6:$A$9,0),14),""))</f>
        <v/>
      </c>
      <c r="O1193" s="67" t="n">
        <f aca="false">IF($H1193="",0,ROUND(IF($N1193="成本金额",N(购销流水!$W302),IF($N1193="金额",N(购销流水!$Q302),0)),2))</f>
        <v>0</v>
      </c>
      <c r="P1193" s="64" t="str">
        <f aca="false">IF(AND($H1193&lt;&gt;"",ROUND($O1193,2)&lt;&gt;0),"有","")</f>
        <v/>
      </c>
    </row>
    <row r="1194" customFormat="false" ht="15" hidden="true" customHeight="false" outlineLevel="0" collapsed="false">
      <c r="A1194" s="53" t="str">
        <f aca="false">IF($H1194="","",ROW()-5)</f>
        <v/>
      </c>
      <c r="B1194" s="64" t="s">
        <v>36</v>
      </c>
      <c r="C1194" s="53" t="n">
        <v>303</v>
      </c>
      <c r="D1194" s="53" t="n">
        <v>1</v>
      </c>
      <c r="E1194" s="65" t="str">
        <f aca="false">IF($H1194="","",购销流水!$B303)</f>
        <v/>
      </c>
      <c r="F1194" s="55" t="str">
        <f aca="false">IF($H1194="","",购销流水!$C303)</f>
        <v/>
      </c>
      <c r="G1194" s="48" t="str">
        <f aca="false">IF($H1194="","",购销流水!$N303)</f>
        <v/>
      </c>
      <c r="H1194" s="10" t="str">
        <f aca="false">IF($L1194="","",IF($L1194="@成本",购销流水!$U303,IF($L1194="@收入",购销流水!$T303,IF($L1194="@存货",购销流水!$S303,IF($L1194="@结算",购销流水!$R303,$L1194)))))</f>
        <v/>
      </c>
      <c r="I1194" s="42" t="n">
        <f aca="false">IF($M1194="借",$O1194,0)</f>
        <v>0</v>
      </c>
      <c r="J1194" s="42" t="n">
        <f aca="false">IF($M1194="贷",$O1194,0)</f>
        <v>0</v>
      </c>
      <c r="K1194" s="48" t="str">
        <f aca="false">IF($H1194="","",购销流水!$E303)</f>
        <v/>
      </c>
      <c r="L1194" s="66" t="str">
        <f aca="false">IF(购销流水!$D303="","",IFERROR(INDEX(记账规则!$A$6:$N$9,MATCH(购销流水!$D303,记账规则!$A$6:$A$9,0),3),""))</f>
        <v/>
      </c>
      <c r="M1194" s="66" t="str">
        <f aca="false">IF($L1194="","",IFERROR(INDEX(记账规则!$A$6:$N$9,MATCH(购销流水!$D303,记账规则!$A$6:$A$9,0),4),""))</f>
        <v/>
      </c>
      <c r="N1194" s="66" t="str">
        <f aca="false">IF($L1194="","",IFERROR(INDEX(记账规则!$A$6:$N$9,MATCH(购销流水!$D303,记账规则!$A$6:$A$9,0),5),""))</f>
        <v/>
      </c>
      <c r="O1194" s="67" t="n">
        <f aca="false">IF($H1194="",0,ROUND(IF($N1194="成本金额",N(购销流水!$W303),IF($N1194="金额",N(购销流水!$Q303),0)),2))</f>
        <v>0</v>
      </c>
      <c r="P1194" s="64" t="str">
        <f aca="false">IF(AND($H1194&lt;&gt;"",ROUND($O1194,2)&lt;&gt;0),"有","")</f>
        <v/>
      </c>
    </row>
    <row r="1195" customFormat="false" ht="15" hidden="true" customHeight="false" outlineLevel="0" collapsed="false">
      <c r="A1195" s="53" t="str">
        <f aca="false">IF($H1195="","",ROW()-5)</f>
        <v/>
      </c>
      <c r="B1195" s="64" t="s">
        <v>36</v>
      </c>
      <c r="C1195" s="53" t="n">
        <v>303</v>
      </c>
      <c r="D1195" s="53" t="n">
        <v>2</v>
      </c>
      <c r="E1195" s="65" t="str">
        <f aca="false">IF($H1195="","",购销流水!$B303)</f>
        <v/>
      </c>
      <c r="F1195" s="55" t="str">
        <f aca="false">IF($H1195="","",购销流水!$C303)</f>
        <v/>
      </c>
      <c r="G1195" s="48" t="str">
        <f aca="false">IF($H1195="","",购销流水!$N303)</f>
        <v/>
      </c>
      <c r="H1195" s="10" t="str">
        <f aca="false">IF($L1195="","",IF($L1195="@成本",购销流水!$U303,IF($L1195="@收入",购销流水!$T303,IF($L1195="@存货",购销流水!$S303,IF($L1195="@结算",购销流水!$R303,$L1195)))))</f>
        <v/>
      </c>
      <c r="I1195" s="42" t="n">
        <f aca="false">IF($M1195="借",$O1195,0)</f>
        <v>0</v>
      </c>
      <c r="J1195" s="42" t="n">
        <f aca="false">IF($M1195="贷",$O1195,0)</f>
        <v>0</v>
      </c>
      <c r="K1195" s="48" t="str">
        <f aca="false">IF($H1195="","",购销流水!$E303)</f>
        <v/>
      </c>
      <c r="L1195" s="66" t="str">
        <f aca="false">IF(购销流水!$D303="","",IFERROR(INDEX(记账规则!$A$6:$N$9,MATCH(购销流水!$D303,记账规则!$A$6:$A$9,0),6),""))</f>
        <v/>
      </c>
      <c r="M1195" s="66" t="str">
        <f aca="false">IF($L1195="","",IFERROR(INDEX(记账规则!$A$6:$N$9,MATCH(购销流水!$D303,记账规则!$A$6:$A$9,0),7),""))</f>
        <v/>
      </c>
      <c r="N1195" s="66" t="str">
        <f aca="false">IF($L1195="","",IFERROR(INDEX(记账规则!$A$6:$N$9,MATCH(购销流水!$D303,记账规则!$A$6:$A$9,0),8),""))</f>
        <v/>
      </c>
      <c r="O1195" s="67" t="n">
        <f aca="false">IF($H1195="",0,ROUND(IF($N1195="成本金额",N(购销流水!$W303),IF($N1195="金额",N(购销流水!$Q303),0)),2))</f>
        <v>0</v>
      </c>
      <c r="P1195" s="64" t="str">
        <f aca="false">IF(AND($H1195&lt;&gt;"",ROUND($O1195,2)&lt;&gt;0),"有","")</f>
        <v/>
      </c>
    </row>
    <row r="1196" customFormat="false" ht="15" hidden="true" customHeight="false" outlineLevel="0" collapsed="false">
      <c r="A1196" s="53" t="str">
        <f aca="false">IF($H1196="","",ROW()-5)</f>
        <v/>
      </c>
      <c r="B1196" s="64" t="s">
        <v>36</v>
      </c>
      <c r="C1196" s="53" t="n">
        <v>303</v>
      </c>
      <c r="D1196" s="53" t="n">
        <v>3</v>
      </c>
      <c r="E1196" s="65" t="str">
        <f aca="false">IF($H1196="","",购销流水!$B303)</f>
        <v/>
      </c>
      <c r="F1196" s="55" t="str">
        <f aca="false">IF($H1196="","",购销流水!$C303)</f>
        <v/>
      </c>
      <c r="G1196" s="48" t="str">
        <f aca="false">IF($H1196="","",购销流水!$N303)</f>
        <v/>
      </c>
      <c r="H1196" s="10" t="str">
        <f aca="false">IF($L1196="","",IF($L1196="@成本",购销流水!$U303,IF($L1196="@收入",购销流水!$T303,IF($L1196="@存货",购销流水!$S303,IF($L1196="@结算",购销流水!$R303,$L1196)))))</f>
        <v/>
      </c>
      <c r="I1196" s="42" t="n">
        <f aca="false">IF($M1196="借",$O1196,0)</f>
        <v>0</v>
      </c>
      <c r="J1196" s="42" t="n">
        <f aca="false">IF($M1196="贷",$O1196,0)</f>
        <v>0</v>
      </c>
      <c r="K1196" s="48" t="str">
        <f aca="false">IF($H1196="","",购销流水!$E303)</f>
        <v/>
      </c>
      <c r="L1196" s="66" t="str">
        <f aca="false">IF(购销流水!$D303="","",IFERROR(INDEX(记账规则!$A$6:$N$9,MATCH(购销流水!$D303,记账规则!$A$6:$A$9,0),9),""))</f>
        <v/>
      </c>
      <c r="M1196" s="66" t="str">
        <f aca="false">IF($L1196="","",IFERROR(INDEX(记账规则!$A$6:$N$9,MATCH(购销流水!$D303,记账规则!$A$6:$A$9,0),10),""))</f>
        <v/>
      </c>
      <c r="N1196" s="66" t="str">
        <f aca="false">IF($L1196="","",IFERROR(INDEX(记账规则!$A$6:$N$9,MATCH(购销流水!$D303,记账规则!$A$6:$A$9,0),11),""))</f>
        <v/>
      </c>
      <c r="O1196" s="67" t="n">
        <f aca="false">IF($H1196="",0,ROUND(IF($N1196="成本金额",N(购销流水!$W303),IF($N1196="金额",N(购销流水!$Q303),0)),2))</f>
        <v>0</v>
      </c>
      <c r="P1196" s="64" t="str">
        <f aca="false">IF(AND($H1196&lt;&gt;"",ROUND($O1196,2)&lt;&gt;0),"有","")</f>
        <v/>
      </c>
    </row>
    <row r="1197" customFormat="false" ht="15" hidden="true" customHeight="false" outlineLevel="0" collapsed="false">
      <c r="A1197" s="53" t="str">
        <f aca="false">IF($H1197="","",ROW()-5)</f>
        <v/>
      </c>
      <c r="B1197" s="64" t="s">
        <v>36</v>
      </c>
      <c r="C1197" s="53" t="n">
        <v>303</v>
      </c>
      <c r="D1197" s="53" t="n">
        <v>4</v>
      </c>
      <c r="E1197" s="65" t="str">
        <f aca="false">IF($H1197="","",购销流水!$B303)</f>
        <v/>
      </c>
      <c r="F1197" s="55" t="str">
        <f aca="false">IF($H1197="","",购销流水!$C303)</f>
        <v/>
      </c>
      <c r="G1197" s="48" t="str">
        <f aca="false">IF($H1197="","",购销流水!$N303)</f>
        <v/>
      </c>
      <c r="H1197" s="10" t="str">
        <f aca="false">IF($L1197="","",IF($L1197="@成本",购销流水!$U303,IF($L1197="@收入",购销流水!$T303,IF($L1197="@存货",购销流水!$S303,IF($L1197="@结算",购销流水!$R303,$L1197)))))</f>
        <v/>
      </c>
      <c r="I1197" s="42" t="n">
        <f aca="false">IF($M1197="借",$O1197,0)</f>
        <v>0</v>
      </c>
      <c r="J1197" s="42" t="n">
        <f aca="false">IF($M1197="贷",$O1197,0)</f>
        <v>0</v>
      </c>
      <c r="K1197" s="48" t="str">
        <f aca="false">IF($H1197="","",购销流水!$E303)</f>
        <v/>
      </c>
      <c r="L1197" s="66" t="str">
        <f aca="false">IF(购销流水!$D303="","",IFERROR(INDEX(记账规则!$A$6:$N$9,MATCH(购销流水!$D303,记账规则!$A$6:$A$9,0),12),""))</f>
        <v/>
      </c>
      <c r="M1197" s="66" t="str">
        <f aca="false">IF($L1197="","",IFERROR(INDEX(记账规则!$A$6:$N$9,MATCH(购销流水!$D303,记账规则!$A$6:$A$9,0),13),""))</f>
        <v/>
      </c>
      <c r="N1197" s="66" t="str">
        <f aca="false">IF($L1197="","",IFERROR(INDEX(记账规则!$A$6:$N$9,MATCH(购销流水!$D303,记账规则!$A$6:$A$9,0),14),""))</f>
        <v/>
      </c>
      <c r="O1197" s="67" t="n">
        <f aca="false">IF($H1197="",0,ROUND(IF($N1197="成本金额",N(购销流水!$W303),IF($N1197="金额",N(购销流水!$Q303),0)),2))</f>
        <v>0</v>
      </c>
      <c r="P1197" s="64" t="str">
        <f aca="false">IF(AND($H1197&lt;&gt;"",ROUND($O1197,2)&lt;&gt;0),"有","")</f>
        <v/>
      </c>
    </row>
    <row r="1198" customFormat="false" ht="15" hidden="true" customHeight="false" outlineLevel="0" collapsed="false">
      <c r="A1198" s="53" t="str">
        <f aca="false">IF($H1198="","",ROW()-5)</f>
        <v/>
      </c>
      <c r="B1198" s="64" t="s">
        <v>36</v>
      </c>
      <c r="C1198" s="53" t="n">
        <v>304</v>
      </c>
      <c r="D1198" s="53" t="n">
        <v>1</v>
      </c>
      <c r="E1198" s="65" t="str">
        <f aca="false">IF($H1198="","",购销流水!$B304)</f>
        <v/>
      </c>
      <c r="F1198" s="55" t="str">
        <f aca="false">IF($H1198="","",购销流水!$C304)</f>
        <v/>
      </c>
      <c r="G1198" s="48" t="str">
        <f aca="false">IF($H1198="","",购销流水!$N304)</f>
        <v/>
      </c>
      <c r="H1198" s="10" t="str">
        <f aca="false">IF($L1198="","",IF($L1198="@成本",购销流水!$U304,IF($L1198="@收入",购销流水!$T304,IF($L1198="@存货",购销流水!$S304,IF($L1198="@结算",购销流水!$R304,$L1198)))))</f>
        <v/>
      </c>
      <c r="I1198" s="42" t="n">
        <f aca="false">IF($M1198="借",$O1198,0)</f>
        <v>0</v>
      </c>
      <c r="J1198" s="42" t="n">
        <f aca="false">IF($M1198="贷",$O1198,0)</f>
        <v>0</v>
      </c>
      <c r="K1198" s="48" t="str">
        <f aca="false">IF($H1198="","",购销流水!$E304)</f>
        <v/>
      </c>
      <c r="L1198" s="66" t="str">
        <f aca="false">IF(购销流水!$D304="","",IFERROR(INDEX(记账规则!$A$6:$N$9,MATCH(购销流水!$D304,记账规则!$A$6:$A$9,0),3),""))</f>
        <v/>
      </c>
      <c r="M1198" s="66" t="str">
        <f aca="false">IF($L1198="","",IFERROR(INDEX(记账规则!$A$6:$N$9,MATCH(购销流水!$D304,记账规则!$A$6:$A$9,0),4),""))</f>
        <v/>
      </c>
      <c r="N1198" s="66" t="str">
        <f aca="false">IF($L1198="","",IFERROR(INDEX(记账规则!$A$6:$N$9,MATCH(购销流水!$D304,记账规则!$A$6:$A$9,0),5),""))</f>
        <v/>
      </c>
      <c r="O1198" s="67" t="n">
        <f aca="false">IF($H1198="",0,ROUND(IF($N1198="成本金额",N(购销流水!$W304),IF($N1198="金额",N(购销流水!$Q304),0)),2))</f>
        <v>0</v>
      </c>
      <c r="P1198" s="64" t="str">
        <f aca="false">IF(AND($H1198&lt;&gt;"",ROUND($O1198,2)&lt;&gt;0),"有","")</f>
        <v/>
      </c>
    </row>
    <row r="1199" customFormat="false" ht="15" hidden="true" customHeight="false" outlineLevel="0" collapsed="false">
      <c r="A1199" s="53" t="str">
        <f aca="false">IF($H1199="","",ROW()-5)</f>
        <v/>
      </c>
      <c r="B1199" s="64" t="s">
        <v>36</v>
      </c>
      <c r="C1199" s="53" t="n">
        <v>304</v>
      </c>
      <c r="D1199" s="53" t="n">
        <v>2</v>
      </c>
      <c r="E1199" s="65" t="str">
        <f aca="false">IF($H1199="","",购销流水!$B304)</f>
        <v/>
      </c>
      <c r="F1199" s="55" t="str">
        <f aca="false">IF($H1199="","",购销流水!$C304)</f>
        <v/>
      </c>
      <c r="G1199" s="48" t="str">
        <f aca="false">IF($H1199="","",购销流水!$N304)</f>
        <v/>
      </c>
      <c r="H1199" s="10" t="str">
        <f aca="false">IF($L1199="","",IF($L1199="@成本",购销流水!$U304,IF($L1199="@收入",购销流水!$T304,IF($L1199="@存货",购销流水!$S304,IF($L1199="@结算",购销流水!$R304,$L1199)))))</f>
        <v/>
      </c>
      <c r="I1199" s="42" t="n">
        <f aca="false">IF($M1199="借",$O1199,0)</f>
        <v>0</v>
      </c>
      <c r="J1199" s="42" t="n">
        <f aca="false">IF($M1199="贷",$O1199,0)</f>
        <v>0</v>
      </c>
      <c r="K1199" s="48" t="str">
        <f aca="false">IF($H1199="","",购销流水!$E304)</f>
        <v/>
      </c>
      <c r="L1199" s="66" t="str">
        <f aca="false">IF(购销流水!$D304="","",IFERROR(INDEX(记账规则!$A$6:$N$9,MATCH(购销流水!$D304,记账规则!$A$6:$A$9,0),6),""))</f>
        <v/>
      </c>
      <c r="M1199" s="66" t="str">
        <f aca="false">IF($L1199="","",IFERROR(INDEX(记账规则!$A$6:$N$9,MATCH(购销流水!$D304,记账规则!$A$6:$A$9,0),7),""))</f>
        <v/>
      </c>
      <c r="N1199" s="66" t="str">
        <f aca="false">IF($L1199="","",IFERROR(INDEX(记账规则!$A$6:$N$9,MATCH(购销流水!$D304,记账规则!$A$6:$A$9,0),8),""))</f>
        <v/>
      </c>
      <c r="O1199" s="67" t="n">
        <f aca="false">IF($H1199="",0,ROUND(IF($N1199="成本金额",N(购销流水!$W304),IF($N1199="金额",N(购销流水!$Q304),0)),2))</f>
        <v>0</v>
      </c>
      <c r="P1199" s="64" t="str">
        <f aca="false">IF(AND($H1199&lt;&gt;"",ROUND($O1199,2)&lt;&gt;0),"有","")</f>
        <v/>
      </c>
    </row>
    <row r="1200" customFormat="false" ht="15" hidden="true" customHeight="false" outlineLevel="0" collapsed="false">
      <c r="A1200" s="53" t="str">
        <f aca="false">IF($H1200="","",ROW()-5)</f>
        <v/>
      </c>
      <c r="B1200" s="64" t="s">
        <v>36</v>
      </c>
      <c r="C1200" s="53" t="n">
        <v>304</v>
      </c>
      <c r="D1200" s="53" t="n">
        <v>3</v>
      </c>
      <c r="E1200" s="65" t="str">
        <f aca="false">IF($H1200="","",购销流水!$B304)</f>
        <v/>
      </c>
      <c r="F1200" s="55" t="str">
        <f aca="false">IF($H1200="","",购销流水!$C304)</f>
        <v/>
      </c>
      <c r="G1200" s="48" t="str">
        <f aca="false">IF($H1200="","",购销流水!$N304)</f>
        <v/>
      </c>
      <c r="H1200" s="10" t="str">
        <f aca="false">IF($L1200="","",IF($L1200="@成本",购销流水!$U304,IF($L1200="@收入",购销流水!$T304,IF($L1200="@存货",购销流水!$S304,IF($L1200="@结算",购销流水!$R304,$L1200)))))</f>
        <v/>
      </c>
      <c r="I1200" s="42" t="n">
        <f aca="false">IF($M1200="借",$O1200,0)</f>
        <v>0</v>
      </c>
      <c r="J1200" s="42" t="n">
        <f aca="false">IF($M1200="贷",$O1200,0)</f>
        <v>0</v>
      </c>
      <c r="K1200" s="48" t="str">
        <f aca="false">IF($H1200="","",购销流水!$E304)</f>
        <v/>
      </c>
      <c r="L1200" s="66" t="str">
        <f aca="false">IF(购销流水!$D304="","",IFERROR(INDEX(记账规则!$A$6:$N$9,MATCH(购销流水!$D304,记账规则!$A$6:$A$9,0),9),""))</f>
        <v/>
      </c>
      <c r="M1200" s="66" t="str">
        <f aca="false">IF($L1200="","",IFERROR(INDEX(记账规则!$A$6:$N$9,MATCH(购销流水!$D304,记账规则!$A$6:$A$9,0),10),""))</f>
        <v/>
      </c>
      <c r="N1200" s="66" t="str">
        <f aca="false">IF($L1200="","",IFERROR(INDEX(记账规则!$A$6:$N$9,MATCH(购销流水!$D304,记账规则!$A$6:$A$9,0),11),""))</f>
        <v/>
      </c>
      <c r="O1200" s="67" t="n">
        <f aca="false">IF($H1200="",0,ROUND(IF($N1200="成本金额",N(购销流水!$W304),IF($N1200="金额",N(购销流水!$Q304),0)),2))</f>
        <v>0</v>
      </c>
      <c r="P1200" s="64" t="str">
        <f aca="false">IF(AND($H1200&lt;&gt;"",ROUND($O1200,2)&lt;&gt;0),"有","")</f>
        <v/>
      </c>
    </row>
    <row r="1201" customFormat="false" ht="15" hidden="true" customHeight="false" outlineLevel="0" collapsed="false">
      <c r="A1201" s="53" t="str">
        <f aca="false">IF($H1201="","",ROW()-5)</f>
        <v/>
      </c>
      <c r="B1201" s="64" t="s">
        <v>36</v>
      </c>
      <c r="C1201" s="53" t="n">
        <v>304</v>
      </c>
      <c r="D1201" s="53" t="n">
        <v>4</v>
      </c>
      <c r="E1201" s="65" t="str">
        <f aca="false">IF($H1201="","",购销流水!$B304)</f>
        <v/>
      </c>
      <c r="F1201" s="55" t="str">
        <f aca="false">IF($H1201="","",购销流水!$C304)</f>
        <v/>
      </c>
      <c r="G1201" s="48" t="str">
        <f aca="false">IF($H1201="","",购销流水!$N304)</f>
        <v/>
      </c>
      <c r="H1201" s="10" t="str">
        <f aca="false">IF($L1201="","",IF($L1201="@成本",购销流水!$U304,IF($L1201="@收入",购销流水!$T304,IF($L1201="@存货",购销流水!$S304,IF($L1201="@结算",购销流水!$R304,$L1201)))))</f>
        <v/>
      </c>
      <c r="I1201" s="42" t="n">
        <f aca="false">IF($M1201="借",$O1201,0)</f>
        <v>0</v>
      </c>
      <c r="J1201" s="42" t="n">
        <f aca="false">IF($M1201="贷",$O1201,0)</f>
        <v>0</v>
      </c>
      <c r="K1201" s="48" t="str">
        <f aca="false">IF($H1201="","",购销流水!$E304)</f>
        <v/>
      </c>
      <c r="L1201" s="66" t="str">
        <f aca="false">IF(购销流水!$D304="","",IFERROR(INDEX(记账规则!$A$6:$N$9,MATCH(购销流水!$D304,记账规则!$A$6:$A$9,0),12),""))</f>
        <v/>
      </c>
      <c r="M1201" s="66" t="str">
        <f aca="false">IF($L1201="","",IFERROR(INDEX(记账规则!$A$6:$N$9,MATCH(购销流水!$D304,记账规则!$A$6:$A$9,0),13),""))</f>
        <v/>
      </c>
      <c r="N1201" s="66" t="str">
        <f aca="false">IF($L1201="","",IFERROR(INDEX(记账规则!$A$6:$N$9,MATCH(购销流水!$D304,记账规则!$A$6:$A$9,0),14),""))</f>
        <v/>
      </c>
      <c r="O1201" s="67" t="n">
        <f aca="false">IF($H1201="",0,ROUND(IF($N1201="成本金额",N(购销流水!$W304),IF($N1201="金额",N(购销流水!$Q304),0)),2))</f>
        <v>0</v>
      </c>
      <c r="P1201" s="64" t="str">
        <f aca="false">IF(AND($H1201&lt;&gt;"",ROUND($O1201,2)&lt;&gt;0),"有","")</f>
        <v/>
      </c>
    </row>
    <row r="1202" customFormat="false" ht="15" hidden="true" customHeight="false" outlineLevel="0" collapsed="false">
      <c r="A1202" s="53" t="str">
        <f aca="false">IF($H1202="","",ROW()-5)</f>
        <v/>
      </c>
      <c r="B1202" s="64" t="s">
        <v>36</v>
      </c>
      <c r="C1202" s="53" t="n">
        <v>305</v>
      </c>
      <c r="D1202" s="53" t="n">
        <v>1</v>
      </c>
      <c r="E1202" s="65" t="str">
        <f aca="false">IF($H1202="","",购销流水!$B305)</f>
        <v/>
      </c>
      <c r="F1202" s="55" t="str">
        <f aca="false">IF($H1202="","",购销流水!$C305)</f>
        <v/>
      </c>
      <c r="G1202" s="48" t="str">
        <f aca="false">IF($H1202="","",购销流水!$N305)</f>
        <v/>
      </c>
      <c r="H1202" s="10" t="str">
        <f aca="false">IF($L1202="","",IF($L1202="@成本",购销流水!$U305,IF($L1202="@收入",购销流水!$T305,IF($L1202="@存货",购销流水!$S305,IF($L1202="@结算",购销流水!$R305,$L1202)))))</f>
        <v/>
      </c>
      <c r="I1202" s="42" t="n">
        <f aca="false">IF($M1202="借",$O1202,0)</f>
        <v>0</v>
      </c>
      <c r="J1202" s="42" t="n">
        <f aca="false">IF($M1202="贷",$O1202,0)</f>
        <v>0</v>
      </c>
      <c r="K1202" s="48" t="str">
        <f aca="false">IF($H1202="","",购销流水!$E305)</f>
        <v/>
      </c>
      <c r="L1202" s="66" t="str">
        <f aca="false">IF(购销流水!$D305="","",IFERROR(INDEX(记账规则!$A$6:$N$9,MATCH(购销流水!$D305,记账规则!$A$6:$A$9,0),3),""))</f>
        <v/>
      </c>
      <c r="M1202" s="66" t="str">
        <f aca="false">IF($L1202="","",IFERROR(INDEX(记账规则!$A$6:$N$9,MATCH(购销流水!$D305,记账规则!$A$6:$A$9,0),4),""))</f>
        <v/>
      </c>
      <c r="N1202" s="66" t="str">
        <f aca="false">IF($L1202="","",IFERROR(INDEX(记账规则!$A$6:$N$9,MATCH(购销流水!$D305,记账规则!$A$6:$A$9,0),5),""))</f>
        <v/>
      </c>
      <c r="O1202" s="67" t="n">
        <f aca="false">IF($H1202="",0,ROUND(IF($N1202="成本金额",N(购销流水!$W305),IF($N1202="金额",N(购销流水!$Q305),0)),2))</f>
        <v>0</v>
      </c>
      <c r="P1202" s="64" t="str">
        <f aca="false">IF(AND($H1202&lt;&gt;"",ROUND($O1202,2)&lt;&gt;0),"有","")</f>
        <v/>
      </c>
    </row>
    <row r="1203" customFormat="false" ht="15" hidden="true" customHeight="false" outlineLevel="0" collapsed="false">
      <c r="A1203" s="53" t="str">
        <f aca="false">IF($H1203="","",ROW()-5)</f>
        <v/>
      </c>
      <c r="B1203" s="64" t="s">
        <v>36</v>
      </c>
      <c r="C1203" s="53" t="n">
        <v>305</v>
      </c>
      <c r="D1203" s="53" t="n">
        <v>2</v>
      </c>
      <c r="E1203" s="65" t="str">
        <f aca="false">IF($H1203="","",购销流水!$B305)</f>
        <v/>
      </c>
      <c r="F1203" s="55" t="str">
        <f aca="false">IF($H1203="","",购销流水!$C305)</f>
        <v/>
      </c>
      <c r="G1203" s="48" t="str">
        <f aca="false">IF($H1203="","",购销流水!$N305)</f>
        <v/>
      </c>
      <c r="H1203" s="10" t="str">
        <f aca="false">IF($L1203="","",IF($L1203="@成本",购销流水!$U305,IF($L1203="@收入",购销流水!$T305,IF($L1203="@存货",购销流水!$S305,IF($L1203="@结算",购销流水!$R305,$L1203)))))</f>
        <v/>
      </c>
      <c r="I1203" s="42" t="n">
        <f aca="false">IF($M1203="借",$O1203,0)</f>
        <v>0</v>
      </c>
      <c r="J1203" s="42" t="n">
        <f aca="false">IF($M1203="贷",$O1203,0)</f>
        <v>0</v>
      </c>
      <c r="K1203" s="48" t="str">
        <f aca="false">IF($H1203="","",购销流水!$E305)</f>
        <v/>
      </c>
      <c r="L1203" s="66" t="str">
        <f aca="false">IF(购销流水!$D305="","",IFERROR(INDEX(记账规则!$A$6:$N$9,MATCH(购销流水!$D305,记账规则!$A$6:$A$9,0),6),""))</f>
        <v/>
      </c>
      <c r="M1203" s="66" t="str">
        <f aca="false">IF($L1203="","",IFERROR(INDEX(记账规则!$A$6:$N$9,MATCH(购销流水!$D305,记账规则!$A$6:$A$9,0),7),""))</f>
        <v/>
      </c>
      <c r="N1203" s="66" t="str">
        <f aca="false">IF($L1203="","",IFERROR(INDEX(记账规则!$A$6:$N$9,MATCH(购销流水!$D305,记账规则!$A$6:$A$9,0),8),""))</f>
        <v/>
      </c>
      <c r="O1203" s="67" t="n">
        <f aca="false">IF($H1203="",0,ROUND(IF($N1203="成本金额",N(购销流水!$W305),IF($N1203="金额",N(购销流水!$Q305),0)),2))</f>
        <v>0</v>
      </c>
      <c r="P1203" s="64" t="str">
        <f aca="false">IF(AND($H1203&lt;&gt;"",ROUND($O1203,2)&lt;&gt;0),"有","")</f>
        <v/>
      </c>
    </row>
    <row r="1204" customFormat="false" ht="15" hidden="true" customHeight="false" outlineLevel="0" collapsed="false">
      <c r="A1204" s="53" t="str">
        <f aca="false">IF($H1204="","",ROW()-5)</f>
        <v/>
      </c>
      <c r="B1204" s="64" t="s">
        <v>36</v>
      </c>
      <c r="C1204" s="53" t="n">
        <v>305</v>
      </c>
      <c r="D1204" s="53" t="n">
        <v>3</v>
      </c>
      <c r="E1204" s="65" t="str">
        <f aca="false">IF($H1204="","",购销流水!$B305)</f>
        <v/>
      </c>
      <c r="F1204" s="55" t="str">
        <f aca="false">IF($H1204="","",购销流水!$C305)</f>
        <v/>
      </c>
      <c r="G1204" s="48" t="str">
        <f aca="false">IF($H1204="","",购销流水!$N305)</f>
        <v/>
      </c>
      <c r="H1204" s="10" t="str">
        <f aca="false">IF($L1204="","",IF($L1204="@成本",购销流水!$U305,IF($L1204="@收入",购销流水!$T305,IF($L1204="@存货",购销流水!$S305,IF($L1204="@结算",购销流水!$R305,$L1204)))))</f>
        <v/>
      </c>
      <c r="I1204" s="42" t="n">
        <f aca="false">IF($M1204="借",$O1204,0)</f>
        <v>0</v>
      </c>
      <c r="J1204" s="42" t="n">
        <f aca="false">IF($M1204="贷",$O1204,0)</f>
        <v>0</v>
      </c>
      <c r="K1204" s="48" t="str">
        <f aca="false">IF($H1204="","",购销流水!$E305)</f>
        <v/>
      </c>
      <c r="L1204" s="66" t="str">
        <f aca="false">IF(购销流水!$D305="","",IFERROR(INDEX(记账规则!$A$6:$N$9,MATCH(购销流水!$D305,记账规则!$A$6:$A$9,0),9),""))</f>
        <v/>
      </c>
      <c r="M1204" s="66" t="str">
        <f aca="false">IF($L1204="","",IFERROR(INDEX(记账规则!$A$6:$N$9,MATCH(购销流水!$D305,记账规则!$A$6:$A$9,0),10),""))</f>
        <v/>
      </c>
      <c r="N1204" s="66" t="str">
        <f aca="false">IF($L1204="","",IFERROR(INDEX(记账规则!$A$6:$N$9,MATCH(购销流水!$D305,记账规则!$A$6:$A$9,0),11),""))</f>
        <v/>
      </c>
      <c r="O1204" s="67" t="n">
        <f aca="false">IF($H1204="",0,ROUND(IF($N1204="成本金额",N(购销流水!$W305),IF($N1204="金额",N(购销流水!$Q305),0)),2))</f>
        <v>0</v>
      </c>
      <c r="P1204" s="64" t="str">
        <f aca="false">IF(AND($H1204&lt;&gt;"",ROUND($O1204,2)&lt;&gt;0),"有","")</f>
        <v/>
      </c>
    </row>
    <row r="1205" customFormat="false" ht="15" hidden="true" customHeight="false" outlineLevel="0" collapsed="false">
      <c r="A1205" s="53" t="str">
        <f aca="false">IF($H1205="","",ROW()-5)</f>
        <v/>
      </c>
      <c r="B1205" s="64" t="s">
        <v>36</v>
      </c>
      <c r="C1205" s="53" t="n">
        <v>305</v>
      </c>
      <c r="D1205" s="53" t="n">
        <v>4</v>
      </c>
      <c r="E1205" s="65" t="str">
        <f aca="false">IF($H1205="","",购销流水!$B305)</f>
        <v/>
      </c>
      <c r="F1205" s="55" t="str">
        <f aca="false">IF($H1205="","",购销流水!$C305)</f>
        <v/>
      </c>
      <c r="G1205" s="48" t="str">
        <f aca="false">IF($H1205="","",购销流水!$N305)</f>
        <v/>
      </c>
      <c r="H1205" s="10" t="str">
        <f aca="false">IF($L1205="","",IF($L1205="@成本",购销流水!$U305,IF($L1205="@收入",购销流水!$T305,IF($L1205="@存货",购销流水!$S305,IF($L1205="@结算",购销流水!$R305,$L1205)))))</f>
        <v/>
      </c>
      <c r="I1205" s="42" t="n">
        <f aca="false">IF($M1205="借",$O1205,0)</f>
        <v>0</v>
      </c>
      <c r="J1205" s="42" t="n">
        <f aca="false">IF($M1205="贷",$O1205,0)</f>
        <v>0</v>
      </c>
      <c r="K1205" s="48" t="str">
        <f aca="false">IF($H1205="","",购销流水!$E305)</f>
        <v/>
      </c>
      <c r="L1205" s="66" t="str">
        <f aca="false">IF(购销流水!$D305="","",IFERROR(INDEX(记账规则!$A$6:$N$9,MATCH(购销流水!$D305,记账规则!$A$6:$A$9,0),12),""))</f>
        <v/>
      </c>
      <c r="M1205" s="66" t="str">
        <f aca="false">IF($L1205="","",IFERROR(INDEX(记账规则!$A$6:$N$9,MATCH(购销流水!$D305,记账规则!$A$6:$A$9,0),13),""))</f>
        <v/>
      </c>
      <c r="N1205" s="66" t="str">
        <f aca="false">IF($L1205="","",IFERROR(INDEX(记账规则!$A$6:$N$9,MATCH(购销流水!$D305,记账规则!$A$6:$A$9,0),14),""))</f>
        <v/>
      </c>
      <c r="O1205" s="67" t="n">
        <f aca="false">IF($H1205="",0,ROUND(IF($N1205="成本金额",N(购销流水!$W305),IF($N1205="金额",N(购销流水!$Q305),0)),2))</f>
        <v>0</v>
      </c>
      <c r="P1205" s="64" t="str">
        <f aca="false">IF(AND($H1205&lt;&gt;"",ROUND($O1205,2)&lt;&gt;0),"有","")</f>
        <v/>
      </c>
    </row>
    <row r="1206" customFormat="false" ht="15" hidden="true" customHeight="false" outlineLevel="0" collapsed="false">
      <c r="A1206" s="53" t="str">
        <f aca="false">IF($H1206="","",ROW()-5)</f>
        <v/>
      </c>
      <c r="B1206" s="64" t="s">
        <v>36</v>
      </c>
      <c r="C1206" s="53" t="n">
        <v>306</v>
      </c>
      <c r="D1206" s="53" t="n">
        <v>1</v>
      </c>
      <c r="E1206" s="65" t="str">
        <f aca="false">IF($H1206="","",购销流水!$B306)</f>
        <v/>
      </c>
      <c r="F1206" s="55" t="str">
        <f aca="false">IF($H1206="","",购销流水!$C306)</f>
        <v/>
      </c>
      <c r="G1206" s="48" t="str">
        <f aca="false">IF($H1206="","",购销流水!$N306)</f>
        <v/>
      </c>
      <c r="H1206" s="10" t="str">
        <f aca="false">IF($L1206="","",IF($L1206="@成本",购销流水!$U306,IF($L1206="@收入",购销流水!$T306,IF($L1206="@存货",购销流水!$S306,IF($L1206="@结算",购销流水!$R306,$L1206)))))</f>
        <v/>
      </c>
      <c r="I1206" s="42" t="n">
        <f aca="false">IF($M1206="借",$O1206,0)</f>
        <v>0</v>
      </c>
      <c r="J1206" s="42" t="n">
        <f aca="false">IF($M1206="贷",$O1206,0)</f>
        <v>0</v>
      </c>
      <c r="K1206" s="48" t="str">
        <f aca="false">IF($H1206="","",购销流水!$E306)</f>
        <v/>
      </c>
      <c r="L1206" s="66" t="str">
        <f aca="false">IF(购销流水!$D306="","",IFERROR(INDEX(记账规则!$A$6:$N$9,MATCH(购销流水!$D306,记账规则!$A$6:$A$9,0),3),""))</f>
        <v/>
      </c>
      <c r="M1206" s="66" t="str">
        <f aca="false">IF($L1206="","",IFERROR(INDEX(记账规则!$A$6:$N$9,MATCH(购销流水!$D306,记账规则!$A$6:$A$9,0),4),""))</f>
        <v/>
      </c>
      <c r="N1206" s="66" t="str">
        <f aca="false">IF($L1206="","",IFERROR(INDEX(记账规则!$A$6:$N$9,MATCH(购销流水!$D306,记账规则!$A$6:$A$9,0),5),""))</f>
        <v/>
      </c>
      <c r="O1206" s="67" t="n">
        <f aca="false">IF($H1206="",0,ROUND(IF($N1206="成本金额",N(购销流水!$W306),IF($N1206="金额",N(购销流水!$Q306),0)),2))</f>
        <v>0</v>
      </c>
      <c r="P1206" s="64" t="str">
        <f aca="false">IF(AND($H1206&lt;&gt;"",ROUND($O1206,2)&lt;&gt;0),"有","")</f>
        <v/>
      </c>
    </row>
    <row r="1207" customFormat="false" ht="15" hidden="true" customHeight="false" outlineLevel="0" collapsed="false">
      <c r="A1207" s="53" t="str">
        <f aca="false">IF($H1207="","",ROW()-5)</f>
        <v/>
      </c>
      <c r="B1207" s="64" t="s">
        <v>36</v>
      </c>
      <c r="C1207" s="53" t="n">
        <v>306</v>
      </c>
      <c r="D1207" s="53" t="n">
        <v>2</v>
      </c>
      <c r="E1207" s="65" t="str">
        <f aca="false">IF($H1207="","",购销流水!$B306)</f>
        <v/>
      </c>
      <c r="F1207" s="55" t="str">
        <f aca="false">IF($H1207="","",购销流水!$C306)</f>
        <v/>
      </c>
      <c r="G1207" s="48" t="str">
        <f aca="false">IF($H1207="","",购销流水!$N306)</f>
        <v/>
      </c>
      <c r="H1207" s="10" t="str">
        <f aca="false">IF($L1207="","",IF($L1207="@成本",购销流水!$U306,IF($L1207="@收入",购销流水!$T306,IF($L1207="@存货",购销流水!$S306,IF($L1207="@结算",购销流水!$R306,$L1207)))))</f>
        <v/>
      </c>
      <c r="I1207" s="42" t="n">
        <f aca="false">IF($M1207="借",$O1207,0)</f>
        <v>0</v>
      </c>
      <c r="J1207" s="42" t="n">
        <f aca="false">IF($M1207="贷",$O1207,0)</f>
        <v>0</v>
      </c>
      <c r="K1207" s="48" t="str">
        <f aca="false">IF($H1207="","",购销流水!$E306)</f>
        <v/>
      </c>
      <c r="L1207" s="66" t="str">
        <f aca="false">IF(购销流水!$D306="","",IFERROR(INDEX(记账规则!$A$6:$N$9,MATCH(购销流水!$D306,记账规则!$A$6:$A$9,0),6),""))</f>
        <v/>
      </c>
      <c r="M1207" s="66" t="str">
        <f aca="false">IF($L1207="","",IFERROR(INDEX(记账规则!$A$6:$N$9,MATCH(购销流水!$D306,记账规则!$A$6:$A$9,0),7),""))</f>
        <v/>
      </c>
      <c r="N1207" s="66" t="str">
        <f aca="false">IF($L1207="","",IFERROR(INDEX(记账规则!$A$6:$N$9,MATCH(购销流水!$D306,记账规则!$A$6:$A$9,0),8),""))</f>
        <v/>
      </c>
      <c r="O1207" s="67" t="n">
        <f aca="false">IF($H1207="",0,ROUND(IF($N1207="成本金额",N(购销流水!$W306),IF($N1207="金额",N(购销流水!$Q306),0)),2))</f>
        <v>0</v>
      </c>
      <c r="P1207" s="64" t="str">
        <f aca="false">IF(AND($H1207&lt;&gt;"",ROUND($O1207,2)&lt;&gt;0),"有","")</f>
        <v/>
      </c>
    </row>
    <row r="1208" customFormat="false" ht="15" hidden="true" customHeight="false" outlineLevel="0" collapsed="false">
      <c r="A1208" s="53" t="str">
        <f aca="false">IF($H1208="","",ROW()-5)</f>
        <v/>
      </c>
      <c r="B1208" s="64" t="s">
        <v>36</v>
      </c>
      <c r="C1208" s="53" t="n">
        <v>306</v>
      </c>
      <c r="D1208" s="53" t="n">
        <v>3</v>
      </c>
      <c r="E1208" s="65" t="str">
        <f aca="false">IF($H1208="","",购销流水!$B306)</f>
        <v/>
      </c>
      <c r="F1208" s="55" t="str">
        <f aca="false">IF($H1208="","",购销流水!$C306)</f>
        <v/>
      </c>
      <c r="G1208" s="48" t="str">
        <f aca="false">IF($H1208="","",购销流水!$N306)</f>
        <v/>
      </c>
      <c r="H1208" s="10" t="str">
        <f aca="false">IF($L1208="","",IF($L1208="@成本",购销流水!$U306,IF($L1208="@收入",购销流水!$T306,IF($L1208="@存货",购销流水!$S306,IF($L1208="@结算",购销流水!$R306,$L1208)))))</f>
        <v/>
      </c>
      <c r="I1208" s="42" t="n">
        <f aca="false">IF($M1208="借",$O1208,0)</f>
        <v>0</v>
      </c>
      <c r="J1208" s="42" t="n">
        <f aca="false">IF($M1208="贷",$O1208,0)</f>
        <v>0</v>
      </c>
      <c r="K1208" s="48" t="str">
        <f aca="false">IF($H1208="","",购销流水!$E306)</f>
        <v/>
      </c>
      <c r="L1208" s="66" t="str">
        <f aca="false">IF(购销流水!$D306="","",IFERROR(INDEX(记账规则!$A$6:$N$9,MATCH(购销流水!$D306,记账规则!$A$6:$A$9,0),9),""))</f>
        <v/>
      </c>
      <c r="M1208" s="66" t="str">
        <f aca="false">IF($L1208="","",IFERROR(INDEX(记账规则!$A$6:$N$9,MATCH(购销流水!$D306,记账规则!$A$6:$A$9,0),10),""))</f>
        <v/>
      </c>
      <c r="N1208" s="66" t="str">
        <f aca="false">IF($L1208="","",IFERROR(INDEX(记账规则!$A$6:$N$9,MATCH(购销流水!$D306,记账规则!$A$6:$A$9,0),11),""))</f>
        <v/>
      </c>
      <c r="O1208" s="67" t="n">
        <f aca="false">IF($H1208="",0,ROUND(IF($N1208="成本金额",N(购销流水!$W306),IF($N1208="金额",N(购销流水!$Q306),0)),2))</f>
        <v>0</v>
      </c>
      <c r="P1208" s="64" t="str">
        <f aca="false">IF(AND($H1208&lt;&gt;"",ROUND($O1208,2)&lt;&gt;0),"有","")</f>
        <v/>
      </c>
    </row>
    <row r="1209" customFormat="false" ht="15" hidden="true" customHeight="false" outlineLevel="0" collapsed="false">
      <c r="A1209" s="53" t="str">
        <f aca="false">IF($H1209="","",ROW()-5)</f>
        <v/>
      </c>
      <c r="B1209" s="64" t="s">
        <v>36</v>
      </c>
      <c r="C1209" s="53" t="n">
        <v>306</v>
      </c>
      <c r="D1209" s="53" t="n">
        <v>4</v>
      </c>
      <c r="E1209" s="65" t="str">
        <f aca="false">IF($H1209="","",购销流水!$B306)</f>
        <v/>
      </c>
      <c r="F1209" s="55" t="str">
        <f aca="false">IF($H1209="","",购销流水!$C306)</f>
        <v/>
      </c>
      <c r="G1209" s="48" t="str">
        <f aca="false">IF($H1209="","",购销流水!$N306)</f>
        <v/>
      </c>
      <c r="H1209" s="10" t="str">
        <f aca="false">IF($L1209="","",IF($L1209="@成本",购销流水!$U306,IF($L1209="@收入",购销流水!$T306,IF($L1209="@存货",购销流水!$S306,IF($L1209="@结算",购销流水!$R306,$L1209)))))</f>
        <v/>
      </c>
      <c r="I1209" s="42" t="n">
        <f aca="false">IF($M1209="借",$O1209,0)</f>
        <v>0</v>
      </c>
      <c r="J1209" s="42" t="n">
        <f aca="false">IF($M1209="贷",$O1209,0)</f>
        <v>0</v>
      </c>
      <c r="K1209" s="48" t="str">
        <f aca="false">IF($H1209="","",购销流水!$E306)</f>
        <v/>
      </c>
      <c r="L1209" s="66" t="str">
        <f aca="false">IF(购销流水!$D306="","",IFERROR(INDEX(记账规则!$A$6:$N$9,MATCH(购销流水!$D306,记账规则!$A$6:$A$9,0),12),""))</f>
        <v/>
      </c>
      <c r="M1209" s="66" t="str">
        <f aca="false">IF($L1209="","",IFERROR(INDEX(记账规则!$A$6:$N$9,MATCH(购销流水!$D306,记账规则!$A$6:$A$9,0),13),""))</f>
        <v/>
      </c>
      <c r="N1209" s="66" t="str">
        <f aca="false">IF($L1209="","",IFERROR(INDEX(记账规则!$A$6:$N$9,MATCH(购销流水!$D306,记账规则!$A$6:$A$9,0),14),""))</f>
        <v/>
      </c>
      <c r="O1209" s="67" t="n">
        <f aca="false">IF($H1209="",0,ROUND(IF($N1209="成本金额",N(购销流水!$W306),IF($N1209="金额",N(购销流水!$Q306),0)),2))</f>
        <v>0</v>
      </c>
      <c r="P1209" s="64" t="str">
        <f aca="false">IF(AND($H1209&lt;&gt;"",ROUND($O1209,2)&lt;&gt;0),"有","")</f>
        <v/>
      </c>
    </row>
    <row r="1210" customFormat="false" ht="15" hidden="true" customHeight="false" outlineLevel="0" collapsed="false">
      <c r="A1210" s="53" t="str">
        <f aca="false">IF($H1210="","",ROW()-5)</f>
        <v/>
      </c>
      <c r="B1210" s="64" t="s">
        <v>36</v>
      </c>
      <c r="C1210" s="53" t="n">
        <v>307</v>
      </c>
      <c r="D1210" s="53" t="n">
        <v>1</v>
      </c>
      <c r="E1210" s="65" t="str">
        <f aca="false">IF($H1210="","",购销流水!$B307)</f>
        <v/>
      </c>
      <c r="F1210" s="55" t="str">
        <f aca="false">IF($H1210="","",购销流水!$C307)</f>
        <v/>
      </c>
      <c r="G1210" s="48" t="str">
        <f aca="false">IF($H1210="","",购销流水!$N307)</f>
        <v/>
      </c>
      <c r="H1210" s="10" t="str">
        <f aca="false">IF($L1210="","",IF($L1210="@成本",购销流水!$U307,IF($L1210="@收入",购销流水!$T307,IF($L1210="@存货",购销流水!$S307,IF($L1210="@结算",购销流水!$R307,$L1210)))))</f>
        <v/>
      </c>
      <c r="I1210" s="42" t="n">
        <f aca="false">IF($M1210="借",$O1210,0)</f>
        <v>0</v>
      </c>
      <c r="J1210" s="42" t="n">
        <f aca="false">IF($M1210="贷",$O1210,0)</f>
        <v>0</v>
      </c>
      <c r="K1210" s="48" t="str">
        <f aca="false">IF($H1210="","",购销流水!$E307)</f>
        <v/>
      </c>
      <c r="L1210" s="66" t="str">
        <f aca="false">IF(购销流水!$D307="","",IFERROR(INDEX(记账规则!$A$6:$N$9,MATCH(购销流水!$D307,记账规则!$A$6:$A$9,0),3),""))</f>
        <v/>
      </c>
      <c r="M1210" s="66" t="str">
        <f aca="false">IF($L1210="","",IFERROR(INDEX(记账规则!$A$6:$N$9,MATCH(购销流水!$D307,记账规则!$A$6:$A$9,0),4),""))</f>
        <v/>
      </c>
      <c r="N1210" s="66" t="str">
        <f aca="false">IF($L1210="","",IFERROR(INDEX(记账规则!$A$6:$N$9,MATCH(购销流水!$D307,记账规则!$A$6:$A$9,0),5),""))</f>
        <v/>
      </c>
      <c r="O1210" s="67" t="n">
        <f aca="false">IF($H1210="",0,ROUND(IF($N1210="成本金额",N(购销流水!$W307),IF($N1210="金额",N(购销流水!$Q307),0)),2))</f>
        <v>0</v>
      </c>
      <c r="P1210" s="64" t="str">
        <f aca="false">IF(AND($H1210&lt;&gt;"",ROUND($O1210,2)&lt;&gt;0),"有","")</f>
        <v/>
      </c>
    </row>
    <row r="1211" customFormat="false" ht="15" hidden="true" customHeight="false" outlineLevel="0" collapsed="false">
      <c r="A1211" s="53" t="str">
        <f aca="false">IF($H1211="","",ROW()-5)</f>
        <v/>
      </c>
      <c r="B1211" s="64" t="s">
        <v>36</v>
      </c>
      <c r="C1211" s="53" t="n">
        <v>307</v>
      </c>
      <c r="D1211" s="53" t="n">
        <v>2</v>
      </c>
      <c r="E1211" s="65" t="str">
        <f aca="false">IF($H1211="","",购销流水!$B307)</f>
        <v/>
      </c>
      <c r="F1211" s="55" t="str">
        <f aca="false">IF($H1211="","",购销流水!$C307)</f>
        <v/>
      </c>
      <c r="G1211" s="48" t="str">
        <f aca="false">IF($H1211="","",购销流水!$N307)</f>
        <v/>
      </c>
      <c r="H1211" s="10" t="str">
        <f aca="false">IF($L1211="","",IF($L1211="@成本",购销流水!$U307,IF($L1211="@收入",购销流水!$T307,IF($L1211="@存货",购销流水!$S307,IF($L1211="@结算",购销流水!$R307,$L1211)))))</f>
        <v/>
      </c>
      <c r="I1211" s="42" t="n">
        <f aca="false">IF($M1211="借",$O1211,0)</f>
        <v>0</v>
      </c>
      <c r="J1211" s="42" t="n">
        <f aca="false">IF($M1211="贷",$O1211,0)</f>
        <v>0</v>
      </c>
      <c r="K1211" s="48" t="str">
        <f aca="false">IF($H1211="","",购销流水!$E307)</f>
        <v/>
      </c>
      <c r="L1211" s="66" t="str">
        <f aca="false">IF(购销流水!$D307="","",IFERROR(INDEX(记账规则!$A$6:$N$9,MATCH(购销流水!$D307,记账规则!$A$6:$A$9,0),6),""))</f>
        <v/>
      </c>
      <c r="M1211" s="66" t="str">
        <f aca="false">IF($L1211="","",IFERROR(INDEX(记账规则!$A$6:$N$9,MATCH(购销流水!$D307,记账规则!$A$6:$A$9,0),7),""))</f>
        <v/>
      </c>
      <c r="N1211" s="66" t="str">
        <f aca="false">IF($L1211="","",IFERROR(INDEX(记账规则!$A$6:$N$9,MATCH(购销流水!$D307,记账规则!$A$6:$A$9,0),8),""))</f>
        <v/>
      </c>
      <c r="O1211" s="67" t="n">
        <f aca="false">IF($H1211="",0,ROUND(IF($N1211="成本金额",N(购销流水!$W307),IF($N1211="金额",N(购销流水!$Q307),0)),2))</f>
        <v>0</v>
      </c>
      <c r="P1211" s="64" t="str">
        <f aca="false">IF(AND($H1211&lt;&gt;"",ROUND($O1211,2)&lt;&gt;0),"有","")</f>
        <v/>
      </c>
    </row>
    <row r="1212" customFormat="false" ht="15" hidden="true" customHeight="false" outlineLevel="0" collapsed="false">
      <c r="A1212" s="53" t="str">
        <f aca="false">IF($H1212="","",ROW()-5)</f>
        <v/>
      </c>
      <c r="B1212" s="64" t="s">
        <v>36</v>
      </c>
      <c r="C1212" s="53" t="n">
        <v>307</v>
      </c>
      <c r="D1212" s="53" t="n">
        <v>3</v>
      </c>
      <c r="E1212" s="65" t="str">
        <f aca="false">IF($H1212="","",购销流水!$B307)</f>
        <v/>
      </c>
      <c r="F1212" s="55" t="str">
        <f aca="false">IF($H1212="","",购销流水!$C307)</f>
        <v/>
      </c>
      <c r="G1212" s="48" t="str">
        <f aca="false">IF($H1212="","",购销流水!$N307)</f>
        <v/>
      </c>
      <c r="H1212" s="10" t="str">
        <f aca="false">IF($L1212="","",IF($L1212="@成本",购销流水!$U307,IF($L1212="@收入",购销流水!$T307,IF($L1212="@存货",购销流水!$S307,IF($L1212="@结算",购销流水!$R307,$L1212)))))</f>
        <v/>
      </c>
      <c r="I1212" s="42" t="n">
        <f aca="false">IF($M1212="借",$O1212,0)</f>
        <v>0</v>
      </c>
      <c r="J1212" s="42" t="n">
        <f aca="false">IF($M1212="贷",$O1212,0)</f>
        <v>0</v>
      </c>
      <c r="K1212" s="48" t="str">
        <f aca="false">IF($H1212="","",购销流水!$E307)</f>
        <v/>
      </c>
      <c r="L1212" s="66" t="str">
        <f aca="false">IF(购销流水!$D307="","",IFERROR(INDEX(记账规则!$A$6:$N$9,MATCH(购销流水!$D307,记账规则!$A$6:$A$9,0),9),""))</f>
        <v/>
      </c>
      <c r="M1212" s="66" t="str">
        <f aca="false">IF($L1212="","",IFERROR(INDEX(记账规则!$A$6:$N$9,MATCH(购销流水!$D307,记账规则!$A$6:$A$9,0),10),""))</f>
        <v/>
      </c>
      <c r="N1212" s="66" t="str">
        <f aca="false">IF($L1212="","",IFERROR(INDEX(记账规则!$A$6:$N$9,MATCH(购销流水!$D307,记账规则!$A$6:$A$9,0),11),""))</f>
        <v/>
      </c>
      <c r="O1212" s="67" t="n">
        <f aca="false">IF($H1212="",0,ROUND(IF($N1212="成本金额",N(购销流水!$W307),IF($N1212="金额",N(购销流水!$Q307),0)),2))</f>
        <v>0</v>
      </c>
      <c r="P1212" s="64" t="str">
        <f aca="false">IF(AND($H1212&lt;&gt;"",ROUND($O1212,2)&lt;&gt;0),"有","")</f>
        <v/>
      </c>
    </row>
    <row r="1213" customFormat="false" ht="15" hidden="true" customHeight="false" outlineLevel="0" collapsed="false">
      <c r="A1213" s="53" t="str">
        <f aca="false">IF($H1213="","",ROW()-5)</f>
        <v/>
      </c>
      <c r="B1213" s="64" t="s">
        <v>36</v>
      </c>
      <c r="C1213" s="53" t="n">
        <v>307</v>
      </c>
      <c r="D1213" s="53" t="n">
        <v>4</v>
      </c>
      <c r="E1213" s="65" t="str">
        <f aca="false">IF($H1213="","",购销流水!$B307)</f>
        <v/>
      </c>
      <c r="F1213" s="55" t="str">
        <f aca="false">IF($H1213="","",购销流水!$C307)</f>
        <v/>
      </c>
      <c r="G1213" s="48" t="str">
        <f aca="false">IF($H1213="","",购销流水!$N307)</f>
        <v/>
      </c>
      <c r="H1213" s="10" t="str">
        <f aca="false">IF($L1213="","",IF($L1213="@成本",购销流水!$U307,IF($L1213="@收入",购销流水!$T307,IF($L1213="@存货",购销流水!$S307,IF($L1213="@结算",购销流水!$R307,$L1213)))))</f>
        <v/>
      </c>
      <c r="I1213" s="42" t="n">
        <f aca="false">IF($M1213="借",$O1213,0)</f>
        <v>0</v>
      </c>
      <c r="J1213" s="42" t="n">
        <f aca="false">IF($M1213="贷",$O1213,0)</f>
        <v>0</v>
      </c>
      <c r="K1213" s="48" t="str">
        <f aca="false">IF($H1213="","",购销流水!$E307)</f>
        <v/>
      </c>
      <c r="L1213" s="66" t="str">
        <f aca="false">IF(购销流水!$D307="","",IFERROR(INDEX(记账规则!$A$6:$N$9,MATCH(购销流水!$D307,记账规则!$A$6:$A$9,0),12),""))</f>
        <v/>
      </c>
      <c r="M1213" s="66" t="str">
        <f aca="false">IF($L1213="","",IFERROR(INDEX(记账规则!$A$6:$N$9,MATCH(购销流水!$D307,记账规则!$A$6:$A$9,0),13),""))</f>
        <v/>
      </c>
      <c r="N1213" s="66" t="str">
        <f aca="false">IF($L1213="","",IFERROR(INDEX(记账规则!$A$6:$N$9,MATCH(购销流水!$D307,记账规则!$A$6:$A$9,0),14),""))</f>
        <v/>
      </c>
      <c r="O1213" s="67" t="n">
        <f aca="false">IF($H1213="",0,ROUND(IF($N1213="成本金额",N(购销流水!$W307),IF($N1213="金额",N(购销流水!$Q307),0)),2))</f>
        <v>0</v>
      </c>
      <c r="P1213" s="64" t="str">
        <f aca="false">IF(AND($H1213&lt;&gt;"",ROUND($O1213,2)&lt;&gt;0),"有","")</f>
        <v/>
      </c>
    </row>
    <row r="1214" customFormat="false" ht="15" hidden="true" customHeight="false" outlineLevel="0" collapsed="false">
      <c r="A1214" s="53" t="str">
        <f aca="false">IF($H1214="","",ROW()-5)</f>
        <v/>
      </c>
      <c r="B1214" s="64" t="s">
        <v>36</v>
      </c>
      <c r="C1214" s="53" t="n">
        <v>308</v>
      </c>
      <c r="D1214" s="53" t="n">
        <v>1</v>
      </c>
      <c r="E1214" s="65" t="str">
        <f aca="false">IF($H1214="","",购销流水!$B308)</f>
        <v/>
      </c>
      <c r="F1214" s="55" t="str">
        <f aca="false">IF($H1214="","",购销流水!$C308)</f>
        <v/>
      </c>
      <c r="G1214" s="48" t="str">
        <f aca="false">IF($H1214="","",购销流水!$N308)</f>
        <v/>
      </c>
      <c r="H1214" s="10" t="str">
        <f aca="false">IF($L1214="","",IF($L1214="@成本",购销流水!$U308,IF($L1214="@收入",购销流水!$T308,IF($L1214="@存货",购销流水!$S308,IF($L1214="@结算",购销流水!$R308,$L1214)))))</f>
        <v/>
      </c>
      <c r="I1214" s="42" t="n">
        <f aca="false">IF($M1214="借",$O1214,0)</f>
        <v>0</v>
      </c>
      <c r="J1214" s="42" t="n">
        <f aca="false">IF($M1214="贷",$O1214,0)</f>
        <v>0</v>
      </c>
      <c r="K1214" s="48" t="str">
        <f aca="false">IF($H1214="","",购销流水!$E308)</f>
        <v/>
      </c>
      <c r="L1214" s="66" t="str">
        <f aca="false">IF(购销流水!$D308="","",IFERROR(INDEX(记账规则!$A$6:$N$9,MATCH(购销流水!$D308,记账规则!$A$6:$A$9,0),3),""))</f>
        <v/>
      </c>
      <c r="M1214" s="66" t="str">
        <f aca="false">IF($L1214="","",IFERROR(INDEX(记账规则!$A$6:$N$9,MATCH(购销流水!$D308,记账规则!$A$6:$A$9,0),4),""))</f>
        <v/>
      </c>
      <c r="N1214" s="66" t="str">
        <f aca="false">IF($L1214="","",IFERROR(INDEX(记账规则!$A$6:$N$9,MATCH(购销流水!$D308,记账规则!$A$6:$A$9,0),5),""))</f>
        <v/>
      </c>
      <c r="O1214" s="67" t="n">
        <f aca="false">IF($H1214="",0,ROUND(IF($N1214="成本金额",N(购销流水!$W308),IF($N1214="金额",N(购销流水!$Q308),0)),2))</f>
        <v>0</v>
      </c>
      <c r="P1214" s="64" t="str">
        <f aca="false">IF(AND($H1214&lt;&gt;"",ROUND($O1214,2)&lt;&gt;0),"有","")</f>
        <v/>
      </c>
    </row>
    <row r="1215" customFormat="false" ht="15" hidden="true" customHeight="false" outlineLevel="0" collapsed="false">
      <c r="A1215" s="53" t="str">
        <f aca="false">IF($H1215="","",ROW()-5)</f>
        <v/>
      </c>
      <c r="B1215" s="64" t="s">
        <v>36</v>
      </c>
      <c r="C1215" s="53" t="n">
        <v>308</v>
      </c>
      <c r="D1215" s="53" t="n">
        <v>2</v>
      </c>
      <c r="E1215" s="65" t="str">
        <f aca="false">IF($H1215="","",购销流水!$B308)</f>
        <v/>
      </c>
      <c r="F1215" s="55" t="str">
        <f aca="false">IF($H1215="","",购销流水!$C308)</f>
        <v/>
      </c>
      <c r="G1215" s="48" t="str">
        <f aca="false">IF($H1215="","",购销流水!$N308)</f>
        <v/>
      </c>
      <c r="H1215" s="10" t="str">
        <f aca="false">IF($L1215="","",IF($L1215="@成本",购销流水!$U308,IF($L1215="@收入",购销流水!$T308,IF($L1215="@存货",购销流水!$S308,IF($L1215="@结算",购销流水!$R308,$L1215)))))</f>
        <v/>
      </c>
      <c r="I1215" s="42" t="n">
        <f aca="false">IF($M1215="借",$O1215,0)</f>
        <v>0</v>
      </c>
      <c r="J1215" s="42" t="n">
        <f aca="false">IF($M1215="贷",$O1215,0)</f>
        <v>0</v>
      </c>
      <c r="K1215" s="48" t="str">
        <f aca="false">IF($H1215="","",购销流水!$E308)</f>
        <v/>
      </c>
      <c r="L1215" s="66" t="str">
        <f aca="false">IF(购销流水!$D308="","",IFERROR(INDEX(记账规则!$A$6:$N$9,MATCH(购销流水!$D308,记账规则!$A$6:$A$9,0),6),""))</f>
        <v/>
      </c>
      <c r="M1215" s="66" t="str">
        <f aca="false">IF($L1215="","",IFERROR(INDEX(记账规则!$A$6:$N$9,MATCH(购销流水!$D308,记账规则!$A$6:$A$9,0),7),""))</f>
        <v/>
      </c>
      <c r="N1215" s="66" t="str">
        <f aca="false">IF($L1215="","",IFERROR(INDEX(记账规则!$A$6:$N$9,MATCH(购销流水!$D308,记账规则!$A$6:$A$9,0),8),""))</f>
        <v/>
      </c>
      <c r="O1215" s="67" t="n">
        <f aca="false">IF($H1215="",0,ROUND(IF($N1215="成本金额",N(购销流水!$W308),IF($N1215="金额",N(购销流水!$Q308),0)),2))</f>
        <v>0</v>
      </c>
      <c r="P1215" s="64" t="str">
        <f aca="false">IF(AND($H1215&lt;&gt;"",ROUND($O1215,2)&lt;&gt;0),"有","")</f>
        <v/>
      </c>
    </row>
    <row r="1216" customFormat="false" ht="15" hidden="true" customHeight="false" outlineLevel="0" collapsed="false">
      <c r="A1216" s="53" t="str">
        <f aca="false">IF($H1216="","",ROW()-5)</f>
        <v/>
      </c>
      <c r="B1216" s="64" t="s">
        <v>36</v>
      </c>
      <c r="C1216" s="53" t="n">
        <v>308</v>
      </c>
      <c r="D1216" s="53" t="n">
        <v>3</v>
      </c>
      <c r="E1216" s="65" t="str">
        <f aca="false">IF($H1216="","",购销流水!$B308)</f>
        <v/>
      </c>
      <c r="F1216" s="55" t="str">
        <f aca="false">IF($H1216="","",购销流水!$C308)</f>
        <v/>
      </c>
      <c r="G1216" s="48" t="str">
        <f aca="false">IF($H1216="","",购销流水!$N308)</f>
        <v/>
      </c>
      <c r="H1216" s="10" t="str">
        <f aca="false">IF($L1216="","",IF($L1216="@成本",购销流水!$U308,IF($L1216="@收入",购销流水!$T308,IF($L1216="@存货",购销流水!$S308,IF($L1216="@结算",购销流水!$R308,$L1216)))))</f>
        <v/>
      </c>
      <c r="I1216" s="42" t="n">
        <f aca="false">IF($M1216="借",$O1216,0)</f>
        <v>0</v>
      </c>
      <c r="J1216" s="42" t="n">
        <f aca="false">IF($M1216="贷",$O1216,0)</f>
        <v>0</v>
      </c>
      <c r="K1216" s="48" t="str">
        <f aca="false">IF($H1216="","",购销流水!$E308)</f>
        <v/>
      </c>
      <c r="L1216" s="66" t="str">
        <f aca="false">IF(购销流水!$D308="","",IFERROR(INDEX(记账规则!$A$6:$N$9,MATCH(购销流水!$D308,记账规则!$A$6:$A$9,0),9),""))</f>
        <v/>
      </c>
      <c r="M1216" s="66" t="str">
        <f aca="false">IF($L1216="","",IFERROR(INDEX(记账规则!$A$6:$N$9,MATCH(购销流水!$D308,记账规则!$A$6:$A$9,0),10),""))</f>
        <v/>
      </c>
      <c r="N1216" s="66" t="str">
        <f aca="false">IF($L1216="","",IFERROR(INDEX(记账规则!$A$6:$N$9,MATCH(购销流水!$D308,记账规则!$A$6:$A$9,0),11),""))</f>
        <v/>
      </c>
      <c r="O1216" s="67" t="n">
        <f aca="false">IF($H1216="",0,ROUND(IF($N1216="成本金额",N(购销流水!$W308),IF($N1216="金额",N(购销流水!$Q308),0)),2))</f>
        <v>0</v>
      </c>
      <c r="P1216" s="64" t="str">
        <f aca="false">IF(AND($H1216&lt;&gt;"",ROUND($O1216,2)&lt;&gt;0),"有","")</f>
        <v/>
      </c>
    </row>
    <row r="1217" customFormat="false" ht="15" hidden="true" customHeight="false" outlineLevel="0" collapsed="false">
      <c r="A1217" s="53" t="str">
        <f aca="false">IF($H1217="","",ROW()-5)</f>
        <v/>
      </c>
      <c r="B1217" s="64" t="s">
        <v>36</v>
      </c>
      <c r="C1217" s="53" t="n">
        <v>308</v>
      </c>
      <c r="D1217" s="53" t="n">
        <v>4</v>
      </c>
      <c r="E1217" s="65" t="str">
        <f aca="false">IF($H1217="","",购销流水!$B308)</f>
        <v/>
      </c>
      <c r="F1217" s="55" t="str">
        <f aca="false">IF($H1217="","",购销流水!$C308)</f>
        <v/>
      </c>
      <c r="G1217" s="48" t="str">
        <f aca="false">IF($H1217="","",购销流水!$N308)</f>
        <v/>
      </c>
      <c r="H1217" s="10" t="str">
        <f aca="false">IF($L1217="","",IF($L1217="@成本",购销流水!$U308,IF($L1217="@收入",购销流水!$T308,IF($L1217="@存货",购销流水!$S308,IF($L1217="@结算",购销流水!$R308,$L1217)))))</f>
        <v/>
      </c>
      <c r="I1217" s="42" t="n">
        <f aca="false">IF($M1217="借",$O1217,0)</f>
        <v>0</v>
      </c>
      <c r="J1217" s="42" t="n">
        <f aca="false">IF($M1217="贷",$O1217,0)</f>
        <v>0</v>
      </c>
      <c r="K1217" s="48" t="str">
        <f aca="false">IF($H1217="","",购销流水!$E308)</f>
        <v/>
      </c>
      <c r="L1217" s="66" t="str">
        <f aca="false">IF(购销流水!$D308="","",IFERROR(INDEX(记账规则!$A$6:$N$9,MATCH(购销流水!$D308,记账规则!$A$6:$A$9,0),12),""))</f>
        <v/>
      </c>
      <c r="M1217" s="66" t="str">
        <f aca="false">IF($L1217="","",IFERROR(INDEX(记账规则!$A$6:$N$9,MATCH(购销流水!$D308,记账规则!$A$6:$A$9,0),13),""))</f>
        <v/>
      </c>
      <c r="N1217" s="66" t="str">
        <f aca="false">IF($L1217="","",IFERROR(INDEX(记账规则!$A$6:$N$9,MATCH(购销流水!$D308,记账规则!$A$6:$A$9,0),14),""))</f>
        <v/>
      </c>
      <c r="O1217" s="67" t="n">
        <f aca="false">IF($H1217="",0,ROUND(IF($N1217="成本金额",N(购销流水!$W308),IF($N1217="金额",N(购销流水!$Q308),0)),2))</f>
        <v>0</v>
      </c>
      <c r="P1217" s="64" t="str">
        <f aca="false">IF(AND($H1217&lt;&gt;"",ROUND($O1217,2)&lt;&gt;0),"有","")</f>
        <v/>
      </c>
    </row>
    <row r="1218" customFormat="false" ht="15" hidden="true" customHeight="false" outlineLevel="0" collapsed="false">
      <c r="A1218" s="53" t="str">
        <f aca="false">IF($H1218="","",ROW()-5)</f>
        <v/>
      </c>
      <c r="B1218" s="64" t="s">
        <v>36</v>
      </c>
      <c r="C1218" s="53" t="n">
        <v>309</v>
      </c>
      <c r="D1218" s="53" t="n">
        <v>1</v>
      </c>
      <c r="E1218" s="65" t="str">
        <f aca="false">IF($H1218="","",购销流水!$B309)</f>
        <v/>
      </c>
      <c r="F1218" s="55" t="str">
        <f aca="false">IF($H1218="","",购销流水!$C309)</f>
        <v/>
      </c>
      <c r="G1218" s="48" t="str">
        <f aca="false">IF($H1218="","",购销流水!$N309)</f>
        <v/>
      </c>
      <c r="H1218" s="10" t="str">
        <f aca="false">IF($L1218="","",IF($L1218="@成本",购销流水!$U309,IF($L1218="@收入",购销流水!$T309,IF($L1218="@存货",购销流水!$S309,IF($L1218="@结算",购销流水!$R309,$L1218)))))</f>
        <v/>
      </c>
      <c r="I1218" s="42" t="n">
        <f aca="false">IF($M1218="借",$O1218,0)</f>
        <v>0</v>
      </c>
      <c r="J1218" s="42" t="n">
        <f aca="false">IF($M1218="贷",$O1218,0)</f>
        <v>0</v>
      </c>
      <c r="K1218" s="48" t="str">
        <f aca="false">IF($H1218="","",购销流水!$E309)</f>
        <v/>
      </c>
      <c r="L1218" s="66" t="str">
        <f aca="false">IF(购销流水!$D309="","",IFERROR(INDEX(记账规则!$A$6:$N$9,MATCH(购销流水!$D309,记账规则!$A$6:$A$9,0),3),""))</f>
        <v/>
      </c>
      <c r="M1218" s="66" t="str">
        <f aca="false">IF($L1218="","",IFERROR(INDEX(记账规则!$A$6:$N$9,MATCH(购销流水!$D309,记账规则!$A$6:$A$9,0),4),""))</f>
        <v/>
      </c>
      <c r="N1218" s="66" t="str">
        <f aca="false">IF($L1218="","",IFERROR(INDEX(记账规则!$A$6:$N$9,MATCH(购销流水!$D309,记账规则!$A$6:$A$9,0),5),""))</f>
        <v/>
      </c>
      <c r="O1218" s="67" t="n">
        <f aca="false">IF($H1218="",0,ROUND(IF($N1218="成本金额",N(购销流水!$W309),IF($N1218="金额",N(购销流水!$Q309),0)),2))</f>
        <v>0</v>
      </c>
      <c r="P1218" s="64" t="str">
        <f aca="false">IF(AND($H1218&lt;&gt;"",ROUND($O1218,2)&lt;&gt;0),"有","")</f>
        <v/>
      </c>
    </row>
    <row r="1219" customFormat="false" ht="15" hidden="true" customHeight="false" outlineLevel="0" collapsed="false">
      <c r="A1219" s="53" t="str">
        <f aca="false">IF($H1219="","",ROW()-5)</f>
        <v/>
      </c>
      <c r="B1219" s="64" t="s">
        <v>36</v>
      </c>
      <c r="C1219" s="53" t="n">
        <v>309</v>
      </c>
      <c r="D1219" s="53" t="n">
        <v>2</v>
      </c>
      <c r="E1219" s="65" t="str">
        <f aca="false">IF($H1219="","",购销流水!$B309)</f>
        <v/>
      </c>
      <c r="F1219" s="55" t="str">
        <f aca="false">IF($H1219="","",购销流水!$C309)</f>
        <v/>
      </c>
      <c r="G1219" s="48" t="str">
        <f aca="false">IF($H1219="","",购销流水!$N309)</f>
        <v/>
      </c>
      <c r="H1219" s="10" t="str">
        <f aca="false">IF($L1219="","",IF($L1219="@成本",购销流水!$U309,IF($L1219="@收入",购销流水!$T309,IF($L1219="@存货",购销流水!$S309,IF($L1219="@结算",购销流水!$R309,$L1219)))))</f>
        <v/>
      </c>
      <c r="I1219" s="42" t="n">
        <f aca="false">IF($M1219="借",$O1219,0)</f>
        <v>0</v>
      </c>
      <c r="J1219" s="42" t="n">
        <f aca="false">IF($M1219="贷",$O1219,0)</f>
        <v>0</v>
      </c>
      <c r="K1219" s="48" t="str">
        <f aca="false">IF($H1219="","",购销流水!$E309)</f>
        <v/>
      </c>
      <c r="L1219" s="66" t="str">
        <f aca="false">IF(购销流水!$D309="","",IFERROR(INDEX(记账规则!$A$6:$N$9,MATCH(购销流水!$D309,记账规则!$A$6:$A$9,0),6),""))</f>
        <v/>
      </c>
      <c r="M1219" s="66" t="str">
        <f aca="false">IF($L1219="","",IFERROR(INDEX(记账规则!$A$6:$N$9,MATCH(购销流水!$D309,记账规则!$A$6:$A$9,0),7),""))</f>
        <v/>
      </c>
      <c r="N1219" s="66" t="str">
        <f aca="false">IF($L1219="","",IFERROR(INDEX(记账规则!$A$6:$N$9,MATCH(购销流水!$D309,记账规则!$A$6:$A$9,0),8),""))</f>
        <v/>
      </c>
      <c r="O1219" s="67" t="n">
        <f aca="false">IF($H1219="",0,ROUND(IF($N1219="成本金额",N(购销流水!$W309),IF($N1219="金额",N(购销流水!$Q309),0)),2))</f>
        <v>0</v>
      </c>
      <c r="P1219" s="64" t="str">
        <f aca="false">IF(AND($H1219&lt;&gt;"",ROUND($O1219,2)&lt;&gt;0),"有","")</f>
        <v/>
      </c>
    </row>
    <row r="1220" customFormat="false" ht="15" hidden="true" customHeight="false" outlineLevel="0" collapsed="false">
      <c r="A1220" s="53" t="str">
        <f aca="false">IF($H1220="","",ROW()-5)</f>
        <v/>
      </c>
      <c r="B1220" s="64" t="s">
        <v>36</v>
      </c>
      <c r="C1220" s="53" t="n">
        <v>309</v>
      </c>
      <c r="D1220" s="53" t="n">
        <v>3</v>
      </c>
      <c r="E1220" s="65" t="str">
        <f aca="false">IF($H1220="","",购销流水!$B309)</f>
        <v/>
      </c>
      <c r="F1220" s="55" t="str">
        <f aca="false">IF($H1220="","",购销流水!$C309)</f>
        <v/>
      </c>
      <c r="G1220" s="48" t="str">
        <f aca="false">IF($H1220="","",购销流水!$N309)</f>
        <v/>
      </c>
      <c r="H1220" s="10" t="str">
        <f aca="false">IF($L1220="","",IF($L1220="@成本",购销流水!$U309,IF($L1220="@收入",购销流水!$T309,IF($L1220="@存货",购销流水!$S309,IF($L1220="@结算",购销流水!$R309,$L1220)))))</f>
        <v/>
      </c>
      <c r="I1220" s="42" t="n">
        <f aca="false">IF($M1220="借",$O1220,0)</f>
        <v>0</v>
      </c>
      <c r="J1220" s="42" t="n">
        <f aca="false">IF($M1220="贷",$O1220,0)</f>
        <v>0</v>
      </c>
      <c r="K1220" s="48" t="str">
        <f aca="false">IF($H1220="","",购销流水!$E309)</f>
        <v/>
      </c>
      <c r="L1220" s="66" t="str">
        <f aca="false">IF(购销流水!$D309="","",IFERROR(INDEX(记账规则!$A$6:$N$9,MATCH(购销流水!$D309,记账规则!$A$6:$A$9,0),9),""))</f>
        <v/>
      </c>
      <c r="M1220" s="66" t="str">
        <f aca="false">IF($L1220="","",IFERROR(INDEX(记账规则!$A$6:$N$9,MATCH(购销流水!$D309,记账规则!$A$6:$A$9,0),10),""))</f>
        <v/>
      </c>
      <c r="N1220" s="66" t="str">
        <f aca="false">IF($L1220="","",IFERROR(INDEX(记账规则!$A$6:$N$9,MATCH(购销流水!$D309,记账规则!$A$6:$A$9,0),11),""))</f>
        <v/>
      </c>
      <c r="O1220" s="67" t="n">
        <f aca="false">IF($H1220="",0,ROUND(IF($N1220="成本金额",N(购销流水!$W309),IF($N1220="金额",N(购销流水!$Q309),0)),2))</f>
        <v>0</v>
      </c>
      <c r="P1220" s="64" t="str">
        <f aca="false">IF(AND($H1220&lt;&gt;"",ROUND($O1220,2)&lt;&gt;0),"有","")</f>
        <v/>
      </c>
    </row>
    <row r="1221" customFormat="false" ht="15" hidden="true" customHeight="false" outlineLevel="0" collapsed="false">
      <c r="A1221" s="53" t="str">
        <f aca="false">IF($H1221="","",ROW()-5)</f>
        <v/>
      </c>
      <c r="B1221" s="64" t="s">
        <v>36</v>
      </c>
      <c r="C1221" s="53" t="n">
        <v>309</v>
      </c>
      <c r="D1221" s="53" t="n">
        <v>4</v>
      </c>
      <c r="E1221" s="65" t="str">
        <f aca="false">IF($H1221="","",购销流水!$B309)</f>
        <v/>
      </c>
      <c r="F1221" s="55" t="str">
        <f aca="false">IF($H1221="","",购销流水!$C309)</f>
        <v/>
      </c>
      <c r="G1221" s="48" t="str">
        <f aca="false">IF($H1221="","",购销流水!$N309)</f>
        <v/>
      </c>
      <c r="H1221" s="10" t="str">
        <f aca="false">IF($L1221="","",IF($L1221="@成本",购销流水!$U309,IF($L1221="@收入",购销流水!$T309,IF($L1221="@存货",购销流水!$S309,IF($L1221="@结算",购销流水!$R309,$L1221)))))</f>
        <v/>
      </c>
      <c r="I1221" s="42" t="n">
        <f aca="false">IF($M1221="借",$O1221,0)</f>
        <v>0</v>
      </c>
      <c r="J1221" s="42" t="n">
        <f aca="false">IF($M1221="贷",$O1221,0)</f>
        <v>0</v>
      </c>
      <c r="K1221" s="48" t="str">
        <f aca="false">IF($H1221="","",购销流水!$E309)</f>
        <v/>
      </c>
      <c r="L1221" s="66" t="str">
        <f aca="false">IF(购销流水!$D309="","",IFERROR(INDEX(记账规则!$A$6:$N$9,MATCH(购销流水!$D309,记账规则!$A$6:$A$9,0),12),""))</f>
        <v/>
      </c>
      <c r="M1221" s="66" t="str">
        <f aca="false">IF($L1221="","",IFERROR(INDEX(记账规则!$A$6:$N$9,MATCH(购销流水!$D309,记账规则!$A$6:$A$9,0),13),""))</f>
        <v/>
      </c>
      <c r="N1221" s="66" t="str">
        <f aca="false">IF($L1221="","",IFERROR(INDEX(记账规则!$A$6:$N$9,MATCH(购销流水!$D309,记账规则!$A$6:$A$9,0),14),""))</f>
        <v/>
      </c>
      <c r="O1221" s="67" t="n">
        <f aca="false">IF($H1221="",0,ROUND(IF($N1221="成本金额",N(购销流水!$W309),IF($N1221="金额",N(购销流水!$Q309),0)),2))</f>
        <v>0</v>
      </c>
      <c r="P1221" s="64" t="str">
        <f aca="false">IF(AND($H1221&lt;&gt;"",ROUND($O1221,2)&lt;&gt;0),"有","")</f>
        <v/>
      </c>
    </row>
    <row r="1222" customFormat="false" ht="15" hidden="true" customHeight="false" outlineLevel="0" collapsed="false">
      <c r="A1222" s="53" t="str">
        <f aca="false">IF($H1222="","",ROW()-5)</f>
        <v/>
      </c>
      <c r="B1222" s="64" t="s">
        <v>36</v>
      </c>
      <c r="C1222" s="53" t="n">
        <v>310</v>
      </c>
      <c r="D1222" s="53" t="n">
        <v>1</v>
      </c>
      <c r="E1222" s="65" t="str">
        <f aca="false">IF($H1222="","",购销流水!$B310)</f>
        <v/>
      </c>
      <c r="F1222" s="55" t="str">
        <f aca="false">IF($H1222="","",购销流水!$C310)</f>
        <v/>
      </c>
      <c r="G1222" s="48" t="str">
        <f aca="false">IF($H1222="","",购销流水!$N310)</f>
        <v/>
      </c>
      <c r="H1222" s="10" t="str">
        <f aca="false">IF($L1222="","",IF($L1222="@成本",购销流水!$U310,IF($L1222="@收入",购销流水!$T310,IF($L1222="@存货",购销流水!$S310,IF($L1222="@结算",购销流水!$R310,$L1222)))))</f>
        <v/>
      </c>
      <c r="I1222" s="42" t="n">
        <f aca="false">IF($M1222="借",$O1222,0)</f>
        <v>0</v>
      </c>
      <c r="J1222" s="42" t="n">
        <f aca="false">IF($M1222="贷",$O1222,0)</f>
        <v>0</v>
      </c>
      <c r="K1222" s="48" t="str">
        <f aca="false">IF($H1222="","",购销流水!$E310)</f>
        <v/>
      </c>
      <c r="L1222" s="66" t="str">
        <f aca="false">IF(购销流水!$D310="","",IFERROR(INDEX(记账规则!$A$6:$N$9,MATCH(购销流水!$D310,记账规则!$A$6:$A$9,0),3),""))</f>
        <v/>
      </c>
      <c r="M1222" s="66" t="str">
        <f aca="false">IF($L1222="","",IFERROR(INDEX(记账规则!$A$6:$N$9,MATCH(购销流水!$D310,记账规则!$A$6:$A$9,0),4),""))</f>
        <v/>
      </c>
      <c r="N1222" s="66" t="str">
        <f aca="false">IF($L1222="","",IFERROR(INDEX(记账规则!$A$6:$N$9,MATCH(购销流水!$D310,记账规则!$A$6:$A$9,0),5),""))</f>
        <v/>
      </c>
      <c r="O1222" s="67" t="n">
        <f aca="false">IF($H1222="",0,ROUND(IF($N1222="成本金额",N(购销流水!$W310),IF($N1222="金额",N(购销流水!$Q310),0)),2))</f>
        <v>0</v>
      </c>
      <c r="P1222" s="64" t="str">
        <f aca="false">IF(AND($H1222&lt;&gt;"",ROUND($O1222,2)&lt;&gt;0),"有","")</f>
        <v/>
      </c>
    </row>
    <row r="1223" customFormat="false" ht="15" hidden="true" customHeight="false" outlineLevel="0" collapsed="false">
      <c r="A1223" s="53" t="str">
        <f aca="false">IF($H1223="","",ROW()-5)</f>
        <v/>
      </c>
      <c r="B1223" s="64" t="s">
        <v>36</v>
      </c>
      <c r="C1223" s="53" t="n">
        <v>310</v>
      </c>
      <c r="D1223" s="53" t="n">
        <v>2</v>
      </c>
      <c r="E1223" s="65" t="str">
        <f aca="false">IF($H1223="","",购销流水!$B310)</f>
        <v/>
      </c>
      <c r="F1223" s="55" t="str">
        <f aca="false">IF($H1223="","",购销流水!$C310)</f>
        <v/>
      </c>
      <c r="G1223" s="48" t="str">
        <f aca="false">IF($H1223="","",购销流水!$N310)</f>
        <v/>
      </c>
      <c r="H1223" s="10" t="str">
        <f aca="false">IF($L1223="","",IF($L1223="@成本",购销流水!$U310,IF($L1223="@收入",购销流水!$T310,IF($L1223="@存货",购销流水!$S310,IF($L1223="@结算",购销流水!$R310,$L1223)))))</f>
        <v/>
      </c>
      <c r="I1223" s="42" t="n">
        <f aca="false">IF($M1223="借",$O1223,0)</f>
        <v>0</v>
      </c>
      <c r="J1223" s="42" t="n">
        <f aca="false">IF($M1223="贷",$O1223,0)</f>
        <v>0</v>
      </c>
      <c r="K1223" s="48" t="str">
        <f aca="false">IF($H1223="","",购销流水!$E310)</f>
        <v/>
      </c>
      <c r="L1223" s="66" t="str">
        <f aca="false">IF(购销流水!$D310="","",IFERROR(INDEX(记账规则!$A$6:$N$9,MATCH(购销流水!$D310,记账规则!$A$6:$A$9,0),6),""))</f>
        <v/>
      </c>
      <c r="M1223" s="66" t="str">
        <f aca="false">IF($L1223="","",IFERROR(INDEX(记账规则!$A$6:$N$9,MATCH(购销流水!$D310,记账规则!$A$6:$A$9,0),7),""))</f>
        <v/>
      </c>
      <c r="N1223" s="66" t="str">
        <f aca="false">IF($L1223="","",IFERROR(INDEX(记账规则!$A$6:$N$9,MATCH(购销流水!$D310,记账规则!$A$6:$A$9,0),8),""))</f>
        <v/>
      </c>
      <c r="O1223" s="67" t="n">
        <f aca="false">IF($H1223="",0,ROUND(IF($N1223="成本金额",N(购销流水!$W310),IF($N1223="金额",N(购销流水!$Q310),0)),2))</f>
        <v>0</v>
      </c>
      <c r="P1223" s="64" t="str">
        <f aca="false">IF(AND($H1223&lt;&gt;"",ROUND($O1223,2)&lt;&gt;0),"有","")</f>
        <v/>
      </c>
    </row>
    <row r="1224" customFormat="false" ht="15" hidden="true" customHeight="false" outlineLevel="0" collapsed="false">
      <c r="A1224" s="53" t="str">
        <f aca="false">IF($H1224="","",ROW()-5)</f>
        <v/>
      </c>
      <c r="B1224" s="64" t="s">
        <v>36</v>
      </c>
      <c r="C1224" s="53" t="n">
        <v>310</v>
      </c>
      <c r="D1224" s="53" t="n">
        <v>3</v>
      </c>
      <c r="E1224" s="65" t="str">
        <f aca="false">IF($H1224="","",购销流水!$B310)</f>
        <v/>
      </c>
      <c r="F1224" s="55" t="str">
        <f aca="false">IF($H1224="","",购销流水!$C310)</f>
        <v/>
      </c>
      <c r="G1224" s="48" t="str">
        <f aca="false">IF($H1224="","",购销流水!$N310)</f>
        <v/>
      </c>
      <c r="H1224" s="10" t="str">
        <f aca="false">IF($L1224="","",IF($L1224="@成本",购销流水!$U310,IF($L1224="@收入",购销流水!$T310,IF($L1224="@存货",购销流水!$S310,IF($L1224="@结算",购销流水!$R310,$L1224)))))</f>
        <v/>
      </c>
      <c r="I1224" s="42" t="n">
        <f aca="false">IF($M1224="借",$O1224,0)</f>
        <v>0</v>
      </c>
      <c r="J1224" s="42" t="n">
        <f aca="false">IF($M1224="贷",$O1224,0)</f>
        <v>0</v>
      </c>
      <c r="K1224" s="48" t="str">
        <f aca="false">IF($H1224="","",购销流水!$E310)</f>
        <v/>
      </c>
      <c r="L1224" s="66" t="str">
        <f aca="false">IF(购销流水!$D310="","",IFERROR(INDEX(记账规则!$A$6:$N$9,MATCH(购销流水!$D310,记账规则!$A$6:$A$9,0),9),""))</f>
        <v/>
      </c>
      <c r="M1224" s="66" t="str">
        <f aca="false">IF($L1224="","",IFERROR(INDEX(记账规则!$A$6:$N$9,MATCH(购销流水!$D310,记账规则!$A$6:$A$9,0),10),""))</f>
        <v/>
      </c>
      <c r="N1224" s="66" t="str">
        <f aca="false">IF($L1224="","",IFERROR(INDEX(记账规则!$A$6:$N$9,MATCH(购销流水!$D310,记账规则!$A$6:$A$9,0),11),""))</f>
        <v/>
      </c>
      <c r="O1224" s="67" t="n">
        <f aca="false">IF($H1224="",0,ROUND(IF($N1224="成本金额",N(购销流水!$W310),IF($N1224="金额",N(购销流水!$Q310),0)),2))</f>
        <v>0</v>
      </c>
      <c r="P1224" s="64" t="str">
        <f aca="false">IF(AND($H1224&lt;&gt;"",ROUND($O1224,2)&lt;&gt;0),"有","")</f>
        <v/>
      </c>
    </row>
    <row r="1225" customFormat="false" ht="15" hidden="true" customHeight="false" outlineLevel="0" collapsed="false">
      <c r="A1225" s="53" t="str">
        <f aca="false">IF($H1225="","",ROW()-5)</f>
        <v/>
      </c>
      <c r="B1225" s="64" t="s">
        <v>36</v>
      </c>
      <c r="C1225" s="53" t="n">
        <v>310</v>
      </c>
      <c r="D1225" s="53" t="n">
        <v>4</v>
      </c>
      <c r="E1225" s="65" t="str">
        <f aca="false">IF($H1225="","",购销流水!$B310)</f>
        <v/>
      </c>
      <c r="F1225" s="55" t="str">
        <f aca="false">IF($H1225="","",购销流水!$C310)</f>
        <v/>
      </c>
      <c r="G1225" s="48" t="str">
        <f aca="false">IF($H1225="","",购销流水!$N310)</f>
        <v/>
      </c>
      <c r="H1225" s="10" t="str">
        <f aca="false">IF($L1225="","",IF($L1225="@成本",购销流水!$U310,IF($L1225="@收入",购销流水!$T310,IF($L1225="@存货",购销流水!$S310,IF($L1225="@结算",购销流水!$R310,$L1225)))))</f>
        <v/>
      </c>
      <c r="I1225" s="42" t="n">
        <f aca="false">IF($M1225="借",$O1225,0)</f>
        <v>0</v>
      </c>
      <c r="J1225" s="42" t="n">
        <f aca="false">IF($M1225="贷",$O1225,0)</f>
        <v>0</v>
      </c>
      <c r="K1225" s="48" t="str">
        <f aca="false">IF($H1225="","",购销流水!$E310)</f>
        <v/>
      </c>
      <c r="L1225" s="66" t="str">
        <f aca="false">IF(购销流水!$D310="","",IFERROR(INDEX(记账规则!$A$6:$N$9,MATCH(购销流水!$D310,记账规则!$A$6:$A$9,0),12),""))</f>
        <v/>
      </c>
      <c r="M1225" s="66" t="str">
        <f aca="false">IF($L1225="","",IFERROR(INDEX(记账规则!$A$6:$N$9,MATCH(购销流水!$D310,记账规则!$A$6:$A$9,0),13),""))</f>
        <v/>
      </c>
      <c r="N1225" s="66" t="str">
        <f aca="false">IF($L1225="","",IFERROR(INDEX(记账规则!$A$6:$N$9,MATCH(购销流水!$D310,记账规则!$A$6:$A$9,0),14),""))</f>
        <v/>
      </c>
      <c r="O1225" s="67" t="n">
        <f aca="false">IF($H1225="",0,ROUND(IF($N1225="成本金额",N(购销流水!$W310),IF($N1225="金额",N(购销流水!$Q310),0)),2))</f>
        <v>0</v>
      </c>
      <c r="P1225" s="64" t="str">
        <f aca="false">IF(AND($H1225&lt;&gt;"",ROUND($O1225,2)&lt;&gt;0),"有","")</f>
        <v/>
      </c>
    </row>
    <row r="1226" customFormat="false" ht="15" hidden="true" customHeight="false" outlineLevel="0" collapsed="false">
      <c r="A1226" s="53" t="str">
        <f aca="false">IF($H1226="","",ROW()-5)</f>
        <v/>
      </c>
      <c r="B1226" s="64" t="s">
        <v>36</v>
      </c>
      <c r="C1226" s="53" t="n">
        <v>311</v>
      </c>
      <c r="D1226" s="53" t="n">
        <v>1</v>
      </c>
      <c r="E1226" s="65" t="str">
        <f aca="false">IF($H1226="","",购销流水!$B311)</f>
        <v/>
      </c>
      <c r="F1226" s="55" t="str">
        <f aca="false">IF($H1226="","",购销流水!$C311)</f>
        <v/>
      </c>
      <c r="G1226" s="48" t="str">
        <f aca="false">IF($H1226="","",购销流水!$N311)</f>
        <v/>
      </c>
      <c r="H1226" s="10" t="str">
        <f aca="false">IF($L1226="","",IF($L1226="@成本",购销流水!$U311,IF($L1226="@收入",购销流水!$T311,IF($L1226="@存货",购销流水!$S311,IF($L1226="@结算",购销流水!$R311,$L1226)))))</f>
        <v/>
      </c>
      <c r="I1226" s="42" t="n">
        <f aca="false">IF($M1226="借",$O1226,0)</f>
        <v>0</v>
      </c>
      <c r="J1226" s="42" t="n">
        <f aca="false">IF($M1226="贷",$O1226,0)</f>
        <v>0</v>
      </c>
      <c r="K1226" s="48" t="str">
        <f aca="false">IF($H1226="","",购销流水!$E311)</f>
        <v/>
      </c>
      <c r="L1226" s="66" t="str">
        <f aca="false">IF(购销流水!$D311="","",IFERROR(INDEX(记账规则!$A$6:$N$9,MATCH(购销流水!$D311,记账规则!$A$6:$A$9,0),3),""))</f>
        <v/>
      </c>
      <c r="M1226" s="66" t="str">
        <f aca="false">IF($L1226="","",IFERROR(INDEX(记账规则!$A$6:$N$9,MATCH(购销流水!$D311,记账规则!$A$6:$A$9,0),4),""))</f>
        <v/>
      </c>
      <c r="N1226" s="66" t="str">
        <f aca="false">IF($L1226="","",IFERROR(INDEX(记账规则!$A$6:$N$9,MATCH(购销流水!$D311,记账规则!$A$6:$A$9,0),5),""))</f>
        <v/>
      </c>
      <c r="O1226" s="67" t="n">
        <f aca="false">IF($H1226="",0,ROUND(IF($N1226="成本金额",N(购销流水!$W311),IF($N1226="金额",N(购销流水!$Q311),0)),2))</f>
        <v>0</v>
      </c>
      <c r="P1226" s="64" t="str">
        <f aca="false">IF(AND($H1226&lt;&gt;"",ROUND($O1226,2)&lt;&gt;0),"有","")</f>
        <v/>
      </c>
    </row>
    <row r="1227" customFormat="false" ht="15" hidden="true" customHeight="false" outlineLevel="0" collapsed="false">
      <c r="A1227" s="53" t="str">
        <f aca="false">IF($H1227="","",ROW()-5)</f>
        <v/>
      </c>
      <c r="B1227" s="64" t="s">
        <v>36</v>
      </c>
      <c r="C1227" s="53" t="n">
        <v>311</v>
      </c>
      <c r="D1227" s="53" t="n">
        <v>2</v>
      </c>
      <c r="E1227" s="65" t="str">
        <f aca="false">IF($H1227="","",购销流水!$B311)</f>
        <v/>
      </c>
      <c r="F1227" s="55" t="str">
        <f aca="false">IF($H1227="","",购销流水!$C311)</f>
        <v/>
      </c>
      <c r="G1227" s="48" t="str">
        <f aca="false">IF($H1227="","",购销流水!$N311)</f>
        <v/>
      </c>
      <c r="H1227" s="10" t="str">
        <f aca="false">IF($L1227="","",IF($L1227="@成本",购销流水!$U311,IF($L1227="@收入",购销流水!$T311,IF($L1227="@存货",购销流水!$S311,IF($L1227="@结算",购销流水!$R311,$L1227)))))</f>
        <v/>
      </c>
      <c r="I1227" s="42" t="n">
        <f aca="false">IF($M1227="借",$O1227,0)</f>
        <v>0</v>
      </c>
      <c r="J1227" s="42" t="n">
        <f aca="false">IF($M1227="贷",$O1227,0)</f>
        <v>0</v>
      </c>
      <c r="K1227" s="48" t="str">
        <f aca="false">IF($H1227="","",购销流水!$E311)</f>
        <v/>
      </c>
      <c r="L1227" s="66" t="str">
        <f aca="false">IF(购销流水!$D311="","",IFERROR(INDEX(记账规则!$A$6:$N$9,MATCH(购销流水!$D311,记账规则!$A$6:$A$9,0),6),""))</f>
        <v/>
      </c>
      <c r="M1227" s="66" t="str">
        <f aca="false">IF($L1227="","",IFERROR(INDEX(记账规则!$A$6:$N$9,MATCH(购销流水!$D311,记账规则!$A$6:$A$9,0),7),""))</f>
        <v/>
      </c>
      <c r="N1227" s="66" t="str">
        <f aca="false">IF($L1227="","",IFERROR(INDEX(记账规则!$A$6:$N$9,MATCH(购销流水!$D311,记账规则!$A$6:$A$9,0),8),""))</f>
        <v/>
      </c>
      <c r="O1227" s="67" t="n">
        <f aca="false">IF($H1227="",0,ROUND(IF($N1227="成本金额",N(购销流水!$W311),IF($N1227="金额",N(购销流水!$Q311),0)),2))</f>
        <v>0</v>
      </c>
      <c r="P1227" s="64" t="str">
        <f aca="false">IF(AND($H1227&lt;&gt;"",ROUND($O1227,2)&lt;&gt;0),"有","")</f>
        <v/>
      </c>
    </row>
    <row r="1228" customFormat="false" ht="15" hidden="true" customHeight="false" outlineLevel="0" collapsed="false">
      <c r="A1228" s="53" t="str">
        <f aca="false">IF($H1228="","",ROW()-5)</f>
        <v/>
      </c>
      <c r="B1228" s="64" t="s">
        <v>36</v>
      </c>
      <c r="C1228" s="53" t="n">
        <v>311</v>
      </c>
      <c r="D1228" s="53" t="n">
        <v>3</v>
      </c>
      <c r="E1228" s="65" t="str">
        <f aca="false">IF($H1228="","",购销流水!$B311)</f>
        <v/>
      </c>
      <c r="F1228" s="55" t="str">
        <f aca="false">IF($H1228="","",购销流水!$C311)</f>
        <v/>
      </c>
      <c r="G1228" s="48" t="str">
        <f aca="false">IF($H1228="","",购销流水!$N311)</f>
        <v/>
      </c>
      <c r="H1228" s="10" t="str">
        <f aca="false">IF($L1228="","",IF($L1228="@成本",购销流水!$U311,IF($L1228="@收入",购销流水!$T311,IF($L1228="@存货",购销流水!$S311,IF($L1228="@结算",购销流水!$R311,$L1228)))))</f>
        <v/>
      </c>
      <c r="I1228" s="42" t="n">
        <f aca="false">IF($M1228="借",$O1228,0)</f>
        <v>0</v>
      </c>
      <c r="J1228" s="42" t="n">
        <f aca="false">IF($M1228="贷",$O1228,0)</f>
        <v>0</v>
      </c>
      <c r="K1228" s="48" t="str">
        <f aca="false">IF($H1228="","",购销流水!$E311)</f>
        <v/>
      </c>
      <c r="L1228" s="66" t="str">
        <f aca="false">IF(购销流水!$D311="","",IFERROR(INDEX(记账规则!$A$6:$N$9,MATCH(购销流水!$D311,记账规则!$A$6:$A$9,0),9),""))</f>
        <v/>
      </c>
      <c r="M1228" s="66" t="str">
        <f aca="false">IF($L1228="","",IFERROR(INDEX(记账规则!$A$6:$N$9,MATCH(购销流水!$D311,记账规则!$A$6:$A$9,0),10),""))</f>
        <v/>
      </c>
      <c r="N1228" s="66" t="str">
        <f aca="false">IF($L1228="","",IFERROR(INDEX(记账规则!$A$6:$N$9,MATCH(购销流水!$D311,记账规则!$A$6:$A$9,0),11),""))</f>
        <v/>
      </c>
      <c r="O1228" s="67" t="n">
        <f aca="false">IF($H1228="",0,ROUND(IF($N1228="成本金额",N(购销流水!$W311),IF($N1228="金额",N(购销流水!$Q311),0)),2))</f>
        <v>0</v>
      </c>
      <c r="P1228" s="64" t="str">
        <f aca="false">IF(AND($H1228&lt;&gt;"",ROUND($O1228,2)&lt;&gt;0),"有","")</f>
        <v/>
      </c>
    </row>
    <row r="1229" customFormat="false" ht="15" hidden="true" customHeight="false" outlineLevel="0" collapsed="false">
      <c r="A1229" s="53" t="str">
        <f aca="false">IF($H1229="","",ROW()-5)</f>
        <v/>
      </c>
      <c r="B1229" s="64" t="s">
        <v>36</v>
      </c>
      <c r="C1229" s="53" t="n">
        <v>311</v>
      </c>
      <c r="D1229" s="53" t="n">
        <v>4</v>
      </c>
      <c r="E1229" s="65" t="str">
        <f aca="false">IF($H1229="","",购销流水!$B311)</f>
        <v/>
      </c>
      <c r="F1229" s="55" t="str">
        <f aca="false">IF($H1229="","",购销流水!$C311)</f>
        <v/>
      </c>
      <c r="G1229" s="48" t="str">
        <f aca="false">IF($H1229="","",购销流水!$N311)</f>
        <v/>
      </c>
      <c r="H1229" s="10" t="str">
        <f aca="false">IF($L1229="","",IF($L1229="@成本",购销流水!$U311,IF($L1229="@收入",购销流水!$T311,IF($L1229="@存货",购销流水!$S311,IF($L1229="@结算",购销流水!$R311,$L1229)))))</f>
        <v/>
      </c>
      <c r="I1229" s="42" t="n">
        <f aca="false">IF($M1229="借",$O1229,0)</f>
        <v>0</v>
      </c>
      <c r="J1229" s="42" t="n">
        <f aca="false">IF($M1229="贷",$O1229,0)</f>
        <v>0</v>
      </c>
      <c r="K1229" s="48" t="str">
        <f aca="false">IF($H1229="","",购销流水!$E311)</f>
        <v/>
      </c>
      <c r="L1229" s="66" t="str">
        <f aca="false">IF(购销流水!$D311="","",IFERROR(INDEX(记账规则!$A$6:$N$9,MATCH(购销流水!$D311,记账规则!$A$6:$A$9,0),12),""))</f>
        <v/>
      </c>
      <c r="M1229" s="66" t="str">
        <f aca="false">IF($L1229="","",IFERROR(INDEX(记账规则!$A$6:$N$9,MATCH(购销流水!$D311,记账规则!$A$6:$A$9,0),13),""))</f>
        <v/>
      </c>
      <c r="N1229" s="66" t="str">
        <f aca="false">IF($L1229="","",IFERROR(INDEX(记账规则!$A$6:$N$9,MATCH(购销流水!$D311,记账规则!$A$6:$A$9,0),14),""))</f>
        <v/>
      </c>
      <c r="O1229" s="67" t="n">
        <f aca="false">IF($H1229="",0,ROUND(IF($N1229="成本金额",N(购销流水!$W311),IF($N1229="金额",N(购销流水!$Q311),0)),2))</f>
        <v>0</v>
      </c>
      <c r="P1229" s="64" t="str">
        <f aca="false">IF(AND($H1229&lt;&gt;"",ROUND($O1229,2)&lt;&gt;0),"有","")</f>
        <v/>
      </c>
    </row>
    <row r="1230" customFormat="false" ht="15" hidden="true" customHeight="false" outlineLevel="0" collapsed="false">
      <c r="A1230" s="53" t="str">
        <f aca="false">IF($H1230="","",ROW()-5)</f>
        <v/>
      </c>
      <c r="B1230" s="64" t="s">
        <v>36</v>
      </c>
      <c r="C1230" s="53" t="n">
        <v>312</v>
      </c>
      <c r="D1230" s="53" t="n">
        <v>1</v>
      </c>
      <c r="E1230" s="65" t="str">
        <f aca="false">IF($H1230="","",购销流水!$B312)</f>
        <v/>
      </c>
      <c r="F1230" s="55" t="str">
        <f aca="false">IF($H1230="","",购销流水!$C312)</f>
        <v/>
      </c>
      <c r="G1230" s="48" t="str">
        <f aca="false">IF($H1230="","",购销流水!$N312)</f>
        <v/>
      </c>
      <c r="H1230" s="10" t="str">
        <f aca="false">IF($L1230="","",IF($L1230="@成本",购销流水!$U312,IF($L1230="@收入",购销流水!$T312,IF($L1230="@存货",购销流水!$S312,IF($L1230="@结算",购销流水!$R312,$L1230)))))</f>
        <v/>
      </c>
      <c r="I1230" s="42" t="n">
        <f aca="false">IF($M1230="借",$O1230,0)</f>
        <v>0</v>
      </c>
      <c r="J1230" s="42" t="n">
        <f aca="false">IF($M1230="贷",$O1230,0)</f>
        <v>0</v>
      </c>
      <c r="K1230" s="48" t="str">
        <f aca="false">IF($H1230="","",购销流水!$E312)</f>
        <v/>
      </c>
      <c r="L1230" s="66" t="str">
        <f aca="false">IF(购销流水!$D312="","",IFERROR(INDEX(记账规则!$A$6:$N$9,MATCH(购销流水!$D312,记账规则!$A$6:$A$9,0),3),""))</f>
        <v/>
      </c>
      <c r="M1230" s="66" t="str">
        <f aca="false">IF($L1230="","",IFERROR(INDEX(记账规则!$A$6:$N$9,MATCH(购销流水!$D312,记账规则!$A$6:$A$9,0),4),""))</f>
        <v/>
      </c>
      <c r="N1230" s="66" t="str">
        <f aca="false">IF($L1230="","",IFERROR(INDEX(记账规则!$A$6:$N$9,MATCH(购销流水!$D312,记账规则!$A$6:$A$9,0),5),""))</f>
        <v/>
      </c>
      <c r="O1230" s="67" t="n">
        <f aca="false">IF($H1230="",0,ROUND(IF($N1230="成本金额",N(购销流水!$W312),IF($N1230="金额",N(购销流水!$Q312),0)),2))</f>
        <v>0</v>
      </c>
      <c r="P1230" s="64" t="str">
        <f aca="false">IF(AND($H1230&lt;&gt;"",ROUND($O1230,2)&lt;&gt;0),"有","")</f>
        <v/>
      </c>
    </row>
    <row r="1231" customFormat="false" ht="15" hidden="true" customHeight="false" outlineLevel="0" collapsed="false">
      <c r="A1231" s="53" t="str">
        <f aca="false">IF($H1231="","",ROW()-5)</f>
        <v/>
      </c>
      <c r="B1231" s="64" t="s">
        <v>36</v>
      </c>
      <c r="C1231" s="53" t="n">
        <v>312</v>
      </c>
      <c r="D1231" s="53" t="n">
        <v>2</v>
      </c>
      <c r="E1231" s="65" t="str">
        <f aca="false">IF($H1231="","",购销流水!$B312)</f>
        <v/>
      </c>
      <c r="F1231" s="55" t="str">
        <f aca="false">IF($H1231="","",购销流水!$C312)</f>
        <v/>
      </c>
      <c r="G1231" s="48" t="str">
        <f aca="false">IF($H1231="","",购销流水!$N312)</f>
        <v/>
      </c>
      <c r="H1231" s="10" t="str">
        <f aca="false">IF($L1231="","",IF($L1231="@成本",购销流水!$U312,IF($L1231="@收入",购销流水!$T312,IF($L1231="@存货",购销流水!$S312,IF($L1231="@结算",购销流水!$R312,$L1231)))))</f>
        <v/>
      </c>
      <c r="I1231" s="42" t="n">
        <f aca="false">IF($M1231="借",$O1231,0)</f>
        <v>0</v>
      </c>
      <c r="J1231" s="42" t="n">
        <f aca="false">IF($M1231="贷",$O1231,0)</f>
        <v>0</v>
      </c>
      <c r="K1231" s="48" t="str">
        <f aca="false">IF($H1231="","",购销流水!$E312)</f>
        <v/>
      </c>
      <c r="L1231" s="66" t="str">
        <f aca="false">IF(购销流水!$D312="","",IFERROR(INDEX(记账规则!$A$6:$N$9,MATCH(购销流水!$D312,记账规则!$A$6:$A$9,0),6),""))</f>
        <v/>
      </c>
      <c r="M1231" s="66" t="str">
        <f aca="false">IF($L1231="","",IFERROR(INDEX(记账规则!$A$6:$N$9,MATCH(购销流水!$D312,记账规则!$A$6:$A$9,0),7),""))</f>
        <v/>
      </c>
      <c r="N1231" s="66" t="str">
        <f aca="false">IF($L1231="","",IFERROR(INDEX(记账规则!$A$6:$N$9,MATCH(购销流水!$D312,记账规则!$A$6:$A$9,0),8),""))</f>
        <v/>
      </c>
      <c r="O1231" s="67" t="n">
        <f aca="false">IF($H1231="",0,ROUND(IF($N1231="成本金额",N(购销流水!$W312),IF($N1231="金额",N(购销流水!$Q312),0)),2))</f>
        <v>0</v>
      </c>
      <c r="P1231" s="64" t="str">
        <f aca="false">IF(AND($H1231&lt;&gt;"",ROUND($O1231,2)&lt;&gt;0),"有","")</f>
        <v/>
      </c>
    </row>
    <row r="1232" customFormat="false" ht="15" hidden="true" customHeight="false" outlineLevel="0" collapsed="false">
      <c r="A1232" s="53" t="str">
        <f aca="false">IF($H1232="","",ROW()-5)</f>
        <v/>
      </c>
      <c r="B1232" s="64" t="s">
        <v>36</v>
      </c>
      <c r="C1232" s="53" t="n">
        <v>312</v>
      </c>
      <c r="D1232" s="53" t="n">
        <v>3</v>
      </c>
      <c r="E1232" s="65" t="str">
        <f aca="false">IF($H1232="","",购销流水!$B312)</f>
        <v/>
      </c>
      <c r="F1232" s="55" t="str">
        <f aca="false">IF($H1232="","",购销流水!$C312)</f>
        <v/>
      </c>
      <c r="G1232" s="48" t="str">
        <f aca="false">IF($H1232="","",购销流水!$N312)</f>
        <v/>
      </c>
      <c r="H1232" s="10" t="str">
        <f aca="false">IF($L1232="","",IF($L1232="@成本",购销流水!$U312,IF($L1232="@收入",购销流水!$T312,IF($L1232="@存货",购销流水!$S312,IF($L1232="@结算",购销流水!$R312,$L1232)))))</f>
        <v/>
      </c>
      <c r="I1232" s="42" t="n">
        <f aca="false">IF($M1232="借",$O1232,0)</f>
        <v>0</v>
      </c>
      <c r="J1232" s="42" t="n">
        <f aca="false">IF($M1232="贷",$O1232,0)</f>
        <v>0</v>
      </c>
      <c r="K1232" s="48" t="str">
        <f aca="false">IF($H1232="","",购销流水!$E312)</f>
        <v/>
      </c>
      <c r="L1232" s="66" t="str">
        <f aca="false">IF(购销流水!$D312="","",IFERROR(INDEX(记账规则!$A$6:$N$9,MATCH(购销流水!$D312,记账规则!$A$6:$A$9,0),9),""))</f>
        <v/>
      </c>
      <c r="M1232" s="66" t="str">
        <f aca="false">IF($L1232="","",IFERROR(INDEX(记账规则!$A$6:$N$9,MATCH(购销流水!$D312,记账规则!$A$6:$A$9,0),10),""))</f>
        <v/>
      </c>
      <c r="N1232" s="66" t="str">
        <f aca="false">IF($L1232="","",IFERROR(INDEX(记账规则!$A$6:$N$9,MATCH(购销流水!$D312,记账规则!$A$6:$A$9,0),11),""))</f>
        <v/>
      </c>
      <c r="O1232" s="67" t="n">
        <f aca="false">IF($H1232="",0,ROUND(IF($N1232="成本金额",N(购销流水!$W312),IF($N1232="金额",N(购销流水!$Q312),0)),2))</f>
        <v>0</v>
      </c>
      <c r="P1232" s="64" t="str">
        <f aca="false">IF(AND($H1232&lt;&gt;"",ROUND($O1232,2)&lt;&gt;0),"有","")</f>
        <v/>
      </c>
    </row>
    <row r="1233" customFormat="false" ht="15" hidden="true" customHeight="false" outlineLevel="0" collapsed="false">
      <c r="A1233" s="53" t="str">
        <f aca="false">IF($H1233="","",ROW()-5)</f>
        <v/>
      </c>
      <c r="B1233" s="64" t="s">
        <v>36</v>
      </c>
      <c r="C1233" s="53" t="n">
        <v>312</v>
      </c>
      <c r="D1233" s="53" t="n">
        <v>4</v>
      </c>
      <c r="E1233" s="65" t="str">
        <f aca="false">IF($H1233="","",购销流水!$B312)</f>
        <v/>
      </c>
      <c r="F1233" s="55" t="str">
        <f aca="false">IF($H1233="","",购销流水!$C312)</f>
        <v/>
      </c>
      <c r="G1233" s="48" t="str">
        <f aca="false">IF($H1233="","",购销流水!$N312)</f>
        <v/>
      </c>
      <c r="H1233" s="10" t="str">
        <f aca="false">IF($L1233="","",IF($L1233="@成本",购销流水!$U312,IF($L1233="@收入",购销流水!$T312,IF($L1233="@存货",购销流水!$S312,IF($L1233="@结算",购销流水!$R312,$L1233)))))</f>
        <v/>
      </c>
      <c r="I1233" s="42" t="n">
        <f aca="false">IF($M1233="借",$O1233,0)</f>
        <v>0</v>
      </c>
      <c r="J1233" s="42" t="n">
        <f aca="false">IF($M1233="贷",$O1233,0)</f>
        <v>0</v>
      </c>
      <c r="K1233" s="48" t="str">
        <f aca="false">IF($H1233="","",购销流水!$E312)</f>
        <v/>
      </c>
      <c r="L1233" s="66" t="str">
        <f aca="false">IF(购销流水!$D312="","",IFERROR(INDEX(记账规则!$A$6:$N$9,MATCH(购销流水!$D312,记账规则!$A$6:$A$9,0),12),""))</f>
        <v/>
      </c>
      <c r="M1233" s="66" t="str">
        <f aca="false">IF($L1233="","",IFERROR(INDEX(记账规则!$A$6:$N$9,MATCH(购销流水!$D312,记账规则!$A$6:$A$9,0),13),""))</f>
        <v/>
      </c>
      <c r="N1233" s="66" t="str">
        <f aca="false">IF($L1233="","",IFERROR(INDEX(记账规则!$A$6:$N$9,MATCH(购销流水!$D312,记账规则!$A$6:$A$9,0),14),""))</f>
        <v/>
      </c>
      <c r="O1233" s="67" t="n">
        <f aca="false">IF($H1233="",0,ROUND(IF($N1233="成本金额",N(购销流水!$W312),IF($N1233="金额",N(购销流水!$Q312),0)),2))</f>
        <v>0</v>
      </c>
      <c r="P1233" s="64" t="str">
        <f aca="false">IF(AND($H1233&lt;&gt;"",ROUND($O1233,2)&lt;&gt;0),"有","")</f>
        <v/>
      </c>
    </row>
    <row r="1234" customFormat="false" ht="15" hidden="true" customHeight="false" outlineLevel="0" collapsed="false">
      <c r="A1234" s="53" t="str">
        <f aca="false">IF($H1234="","",ROW()-5)</f>
        <v/>
      </c>
      <c r="B1234" s="64" t="s">
        <v>36</v>
      </c>
      <c r="C1234" s="53" t="n">
        <v>313</v>
      </c>
      <c r="D1234" s="53" t="n">
        <v>1</v>
      </c>
      <c r="E1234" s="65" t="str">
        <f aca="false">IF($H1234="","",购销流水!$B313)</f>
        <v/>
      </c>
      <c r="F1234" s="55" t="str">
        <f aca="false">IF($H1234="","",购销流水!$C313)</f>
        <v/>
      </c>
      <c r="G1234" s="48" t="str">
        <f aca="false">IF($H1234="","",购销流水!$N313)</f>
        <v/>
      </c>
      <c r="H1234" s="10" t="str">
        <f aca="false">IF($L1234="","",IF($L1234="@成本",购销流水!$U313,IF($L1234="@收入",购销流水!$T313,IF($L1234="@存货",购销流水!$S313,IF($L1234="@结算",购销流水!$R313,$L1234)))))</f>
        <v/>
      </c>
      <c r="I1234" s="42" t="n">
        <f aca="false">IF($M1234="借",$O1234,0)</f>
        <v>0</v>
      </c>
      <c r="J1234" s="42" t="n">
        <f aca="false">IF($M1234="贷",$O1234,0)</f>
        <v>0</v>
      </c>
      <c r="K1234" s="48" t="str">
        <f aca="false">IF($H1234="","",购销流水!$E313)</f>
        <v/>
      </c>
      <c r="L1234" s="66" t="str">
        <f aca="false">IF(购销流水!$D313="","",IFERROR(INDEX(记账规则!$A$6:$N$9,MATCH(购销流水!$D313,记账规则!$A$6:$A$9,0),3),""))</f>
        <v/>
      </c>
      <c r="M1234" s="66" t="str">
        <f aca="false">IF($L1234="","",IFERROR(INDEX(记账规则!$A$6:$N$9,MATCH(购销流水!$D313,记账规则!$A$6:$A$9,0),4),""))</f>
        <v/>
      </c>
      <c r="N1234" s="66" t="str">
        <f aca="false">IF($L1234="","",IFERROR(INDEX(记账规则!$A$6:$N$9,MATCH(购销流水!$D313,记账规则!$A$6:$A$9,0),5),""))</f>
        <v/>
      </c>
      <c r="O1234" s="67" t="n">
        <f aca="false">IF($H1234="",0,ROUND(IF($N1234="成本金额",N(购销流水!$W313),IF($N1234="金额",N(购销流水!$Q313),0)),2))</f>
        <v>0</v>
      </c>
      <c r="P1234" s="64" t="str">
        <f aca="false">IF(AND($H1234&lt;&gt;"",ROUND($O1234,2)&lt;&gt;0),"有","")</f>
        <v/>
      </c>
    </row>
    <row r="1235" customFormat="false" ht="15" hidden="true" customHeight="false" outlineLevel="0" collapsed="false">
      <c r="A1235" s="53" t="str">
        <f aca="false">IF($H1235="","",ROW()-5)</f>
        <v/>
      </c>
      <c r="B1235" s="64" t="s">
        <v>36</v>
      </c>
      <c r="C1235" s="53" t="n">
        <v>313</v>
      </c>
      <c r="D1235" s="53" t="n">
        <v>2</v>
      </c>
      <c r="E1235" s="65" t="str">
        <f aca="false">IF($H1235="","",购销流水!$B313)</f>
        <v/>
      </c>
      <c r="F1235" s="55" t="str">
        <f aca="false">IF($H1235="","",购销流水!$C313)</f>
        <v/>
      </c>
      <c r="G1235" s="48" t="str">
        <f aca="false">IF($H1235="","",购销流水!$N313)</f>
        <v/>
      </c>
      <c r="H1235" s="10" t="str">
        <f aca="false">IF($L1235="","",IF($L1235="@成本",购销流水!$U313,IF($L1235="@收入",购销流水!$T313,IF($L1235="@存货",购销流水!$S313,IF($L1235="@结算",购销流水!$R313,$L1235)))))</f>
        <v/>
      </c>
      <c r="I1235" s="42" t="n">
        <f aca="false">IF($M1235="借",$O1235,0)</f>
        <v>0</v>
      </c>
      <c r="J1235" s="42" t="n">
        <f aca="false">IF($M1235="贷",$O1235,0)</f>
        <v>0</v>
      </c>
      <c r="K1235" s="48" t="str">
        <f aca="false">IF($H1235="","",购销流水!$E313)</f>
        <v/>
      </c>
      <c r="L1235" s="66" t="str">
        <f aca="false">IF(购销流水!$D313="","",IFERROR(INDEX(记账规则!$A$6:$N$9,MATCH(购销流水!$D313,记账规则!$A$6:$A$9,0),6),""))</f>
        <v/>
      </c>
      <c r="M1235" s="66" t="str">
        <f aca="false">IF($L1235="","",IFERROR(INDEX(记账规则!$A$6:$N$9,MATCH(购销流水!$D313,记账规则!$A$6:$A$9,0),7),""))</f>
        <v/>
      </c>
      <c r="N1235" s="66" t="str">
        <f aca="false">IF($L1235="","",IFERROR(INDEX(记账规则!$A$6:$N$9,MATCH(购销流水!$D313,记账规则!$A$6:$A$9,0),8),""))</f>
        <v/>
      </c>
      <c r="O1235" s="67" t="n">
        <f aca="false">IF($H1235="",0,ROUND(IF($N1235="成本金额",N(购销流水!$W313),IF($N1235="金额",N(购销流水!$Q313),0)),2))</f>
        <v>0</v>
      </c>
      <c r="P1235" s="64" t="str">
        <f aca="false">IF(AND($H1235&lt;&gt;"",ROUND($O1235,2)&lt;&gt;0),"有","")</f>
        <v/>
      </c>
    </row>
    <row r="1236" customFormat="false" ht="15" hidden="true" customHeight="false" outlineLevel="0" collapsed="false">
      <c r="A1236" s="53" t="str">
        <f aca="false">IF($H1236="","",ROW()-5)</f>
        <v/>
      </c>
      <c r="B1236" s="64" t="s">
        <v>36</v>
      </c>
      <c r="C1236" s="53" t="n">
        <v>313</v>
      </c>
      <c r="D1236" s="53" t="n">
        <v>3</v>
      </c>
      <c r="E1236" s="65" t="str">
        <f aca="false">IF($H1236="","",购销流水!$B313)</f>
        <v/>
      </c>
      <c r="F1236" s="55" t="str">
        <f aca="false">IF($H1236="","",购销流水!$C313)</f>
        <v/>
      </c>
      <c r="G1236" s="48" t="str">
        <f aca="false">IF($H1236="","",购销流水!$N313)</f>
        <v/>
      </c>
      <c r="H1236" s="10" t="str">
        <f aca="false">IF($L1236="","",IF($L1236="@成本",购销流水!$U313,IF($L1236="@收入",购销流水!$T313,IF($L1236="@存货",购销流水!$S313,IF($L1236="@结算",购销流水!$R313,$L1236)))))</f>
        <v/>
      </c>
      <c r="I1236" s="42" t="n">
        <f aca="false">IF($M1236="借",$O1236,0)</f>
        <v>0</v>
      </c>
      <c r="J1236" s="42" t="n">
        <f aca="false">IF($M1236="贷",$O1236,0)</f>
        <v>0</v>
      </c>
      <c r="K1236" s="48" t="str">
        <f aca="false">IF($H1236="","",购销流水!$E313)</f>
        <v/>
      </c>
      <c r="L1236" s="66" t="str">
        <f aca="false">IF(购销流水!$D313="","",IFERROR(INDEX(记账规则!$A$6:$N$9,MATCH(购销流水!$D313,记账规则!$A$6:$A$9,0),9),""))</f>
        <v/>
      </c>
      <c r="M1236" s="66" t="str">
        <f aca="false">IF($L1236="","",IFERROR(INDEX(记账规则!$A$6:$N$9,MATCH(购销流水!$D313,记账规则!$A$6:$A$9,0),10),""))</f>
        <v/>
      </c>
      <c r="N1236" s="66" t="str">
        <f aca="false">IF($L1236="","",IFERROR(INDEX(记账规则!$A$6:$N$9,MATCH(购销流水!$D313,记账规则!$A$6:$A$9,0),11),""))</f>
        <v/>
      </c>
      <c r="O1236" s="67" t="n">
        <f aca="false">IF($H1236="",0,ROUND(IF($N1236="成本金额",N(购销流水!$W313),IF($N1236="金额",N(购销流水!$Q313),0)),2))</f>
        <v>0</v>
      </c>
      <c r="P1236" s="64" t="str">
        <f aca="false">IF(AND($H1236&lt;&gt;"",ROUND($O1236,2)&lt;&gt;0),"有","")</f>
        <v/>
      </c>
    </row>
    <row r="1237" customFormat="false" ht="15" hidden="true" customHeight="false" outlineLevel="0" collapsed="false">
      <c r="A1237" s="53" t="str">
        <f aca="false">IF($H1237="","",ROW()-5)</f>
        <v/>
      </c>
      <c r="B1237" s="64" t="s">
        <v>36</v>
      </c>
      <c r="C1237" s="53" t="n">
        <v>313</v>
      </c>
      <c r="D1237" s="53" t="n">
        <v>4</v>
      </c>
      <c r="E1237" s="65" t="str">
        <f aca="false">IF($H1237="","",购销流水!$B313)</f>
        <v/>
      </c>
      <c r="F1237" s="55" t="str">
        <f aca="false">IF($H1237="","",购销流水!$C313)</f>
        <v/>
      </c>
      <c r="G1237" s="48" t="str">
        <f aca="false">IF($H1237="","",购销流水!$N313)</f>
        <v/>
      </c>
      <c r="H1237" s="10" t="str">
        <f aca="false">IF($L1237="","",IF($L1237="@成本",购销流水!$U313,IF($L1237="@收入",购销流水!$T313,IF($L1237="@存货",购销流水!$S313,IF($L1237="@结算",购销流水!$R313,$L1237)))))</f>
        <v/>
      </c>
      <c r="I1237" s="42" t="n">
        <f aca="false">IF($M1237="借",$O1237,0)</f>
        <v>0</v>
      </c>
      <c r="J1237" s="42" t="n">
        <f aca="false">IF($M1237="贷",$O1237,0)</f>
        <v>0</v>
      </c>
      <c r="K1237" s="48" t="str">
        <f aca="false">IF($H1237="","",购销流水!$E313)</f>
        <v/>
      </c>
      <c r="L1237" s="66" t="str">
        <f aca="false">IF(购销流水!$D313="","",IFERROR(INDEX(记账规则!$A$6:$N$9,MATCH(购销流水!$D313,记账规则!$A$6:$A$9,0),12),""))</f>
        <v/>
      </c>
      <c r="M1237" s="66" t="str">
        <f aca="false">IF($L1237="","",IFERROR(INDEX(记账规则!$A$6:$N$9,MATCH(购销流水!$D313,记账规则!$A$6:$A$9,0),13),""))</f>
        <v/>
      </c>
      <c r="N1237" s="66" t="str">
        <f aca="false">IF($L1237="","",IFERROR(INDEX(记账规则!$A$6:$N$9,MATCH(购销流水!$D313,记账规则!$A$6:$A$9,0),14),""))</f>
        <v/>
      </c>
      <c r="O1237" s="67" t="n">
        <f aca="false">IF($H1237="",0,ROUND(IF($N1237="成本金额",N(购销流水!$W313),IF($N1237="金额",N(购销流水!$Q313),0)),2))</f>
        <v>0</v>
      </c>
      <c r="P1237" s="64" t="str">
        <f aca="false">IF(AND($H1237&lt;&gt;"",ROUND($O1237,2)&lt;&gt;0),"有","")</f>
        <v/>
      </c>
    </row>
    <row r="1238" customFormat="false" ht="15" hidden="true" customHeight="false" outlineLevel="0" collapsed="false">
      <c r="A1238" s="53" t="str">
        <f aca="false">IF($H1238="","",ROW()-5)</f>
        <v/>
      </c>
      <c r="B1238" s="64" t="s">
        <v>36</v>
      </c>
      <c r="C1238" s="53" t="n">
        <v>314</v>
      </c>
      <c r="D1238" s="53" t="n">
        <v>1</v>
      </c>
      <c r="E1238" s="65" t="str">
        <f aca="false">IF($H1238="","",购销流水!$B314)</f>
        <v/>
      </c>
      <c r="F1238" s="55" t="str">
        <f aca="false">IF($H1238="","",购销流水!$C314)</f>
        <v/>
      </c>
      <c r="G1238" s="48" t="str">
        <f aca="false">IF($H1238="","",购销流水!$N314)</f>
        <v/>
      </c>
      <c r="H1238" s="10" t="str">
        <f aca="false">IF($L1238="","",IF($L1238="@成本",购销流水!$U314,IF($L1238="@收入",购销流水!$T314,IF($L1238="@存货",购销流水!$S314,IF($L1238="@结算",购销流水!$R314,$L1238)))))</f>
        <v/>
      </c>
      <c r="I1238" s="42" t="n">
        <f aca="false">IF($M1238="借",$O1238,0)</f>
        <v>0</v>
      </c>
      <c r="J1238" s="42" t="n">
        <f aca="false">IF($M1238="贷",$O1238,0)</f>
        <v>0</v>
      </c>
      <c r="K1238" s="48" t="str">
        <f aca="false">IF($H1238="","",购销流水!$E314)</f>
        <v/>
      </c>
      <c r="L1238" s="66" t="str">
        <f aca="false">IF(购销流水!$D314="","",IFERROR(INDEX(记账规则!$A$6:$N$9,MATCH(购销流水!$D314,记账规则!$A$6:$A$9,0),3),""))</f>
        <v/>
      </c>
      <c r="M1238" s="66" t="str">
        <f aca="false">IF($L1238="","",IFERROR(INDEX(记账规则!$A$6:$N$9,MATCH(购销流水!$D314,记账规则!$A$6:$A$9,0),4),""))</f>
        <v/>
      </c>
      <c r="N1238" s="66" t="str">
        <f aca="false">IF($L1238="","",IFERROR(INDEX(记账规则!$A$6:$N$9,MATCH(购销流水!$D314,记账规则!$A$6:$A$9,0),5),""))</f>
        <v/>
      </c>
      <c r="O1238" s="67" t="n">
        <f aca="false">IF($H1238="",0,ROUND(IF($N1238="成本金额",N(购销流水!$W314),IF($N1238="金额",N(购销流水!$Q314),0)),2))</f>
        <v>0</v>
      </c>
      <c r="P1238" s="64" t="str">
        <f aca="false">IF(AND($H1238&lt;&gt;"",ROUND($O1238,2)&lt;&gt;0),"有","")</f>
        <v/>
      </c>
    </row>
    <row r="1239" customFormat="false" ht="15" hidden="true" customHeight="false" outlineLevel="0" collapsed="false">
      <c r="A1239" s="53" t="str">
        <f aca="false">IF($H1239="","",ROW()-5)</f>
        <v/>
      </c>
      <c r="B1239" s="64" t="s">
        <v>36</v>
      </c>
      <c r="C1239" s="53" t="n">
        <v>314</v>
      </c>
      <c r="D1239" s="53" t="n">
        <v>2</v>
      </c>
      <c r="E1239" s="65" t="str">
        <f aca="false">IF($H1239="","",购销流水!$B314)</f>
        <v/>
      </c>
      <c r="F1239" s="55" t="str">
        <f aca="false">IF($H1239="","",购销流水!$C314)</f>
        <v/>
      </c>
      <c r="G1239" s="48" t="str">
        <f aca="false">IF($H1239="","",购销流水!$N314)</f>
        <v/>
      </c>
      <c r="H1239" s="10" t="str">
        <f aca="false">IF($L1239="","",IF($L1239="@成本",购销流水!$U314,IF($L1239="@收入",购销流水!$T314,IF($L1239="@存货",购销流水!$S314,IF($L1239="@结算",购销流水!$R314,$L1239)))))</f>
        <v/>
      </c>
      <c r="I1239" s="42" t="n">
        <f aca="false">IF($M1239="借",$O1239,0)</f>
        <v>0</v>
      </c>
      <c r="J1239" s="42" t="n">
        <f aca="false">IF($M1239="贷",$O1239,0)</f>
        <v>0</v>
      </c>
      <c r="K1239" s="48" t="str">
        <f aca="false">IF($H1239="","",购销流水!$E314)</f>
        <v/>
      </c>
      <c r="L1239" s="66" t="str">
        <f aca="false">IF(购销流水!$D314="","",IFERROR(INDEX(记账规则!$A$6:$N$9,MATCH(购销流水!$D314,记账规则!$A$6:$A$9,0),6),""))</f>
        <v/>
      </c>
      <c r="M1239" s="66" t="str">
        <f aca="false">IF($L1239="","",IFERROR(INDEX(记账规则!$A$6:$N$9,MATCH(购销流水!$D314,记账规则!$A$6:$A$9,0),7),""))</f>
        <v/>
      </c>
      <c r="N1239" s="66" t="str">
        <f aca="false">IF($L1239="","",IFERROR(INDEX(记账规则!$A$6:$N$9,MATCH(购销流水!$D314,记账规则!$A$6:$A$9,0),8),""))</f>
        <v/>
      </c>
      <c r="O1239" s="67" t="n">
        <f aca="false">IF($H1239="",0,ROUND(IF($N1239="成本金额",N(购销流水!$W314),IF($N1239="金额",N(购销流水!$Q314),0)),2))</f>
        <v>0</v>
      </c>
      <c r="P1239" s="64" t="str">
        <f aca="false">IF(AND($H1239&lt;&gt;"",ROUND($O1239,2)&lt;&gt;0),"有","")</f>
        <v/>
      </c>
    </row>
    <row r="1240" customFormat="false" ht="15" hidden="true" customHeight="false" outlineLevel="0" collapsed="false">
      <c r="A1240" s="53" t="str">
        <f aca="false">IF($H1240="","",ROW()-5)</f>
        <v/>
      </c>
      <c r="B1240" s="64" t="s">
        <v>36</v>
      </c>
      <c r="C1240" s="53" t="n">
        <v>314</v>
      </c>
      <c r="D1240" s="53" t="n">
        <v>3</v>
      </c>
      <c r="E1240" s="65" t="str">
        <f aca="false">IF($H1240="","",购销流水!$B314)</f>
        <v/>
      </c>
      <c r="F1240" s="55" t="str">
        <f aca="false">IF($H1240="","",购销流水!$C314)</f>
        <v/>
      </c>
      <c r="G1240" s="48" t="str">
        <f aca="false">IF($H1240="","",购销流水!$N314)</f>
        <v/>
      </c>
      <c r="H1240" s="10" t="str">
        <f aca="false">IF($L1240="","",IF($L1240="@成本",购销流水!$U314,IF($L1240="@收入",购销流水!$T314,IF($L1240="@存货",购销流水!$S314,IF($L1240="@结算",购销流水!$R314,$L1240)))))</f>
        <v/>
      </c>
      <c r="I1240" s="42" t="n">
        <f aca="false">IF($M1240="借",$O1240,0)</f>
        <v>0</v>
      </c>
      <c r="J1240" s="42" t="n">
        <f aca="false">IF($M1240="贷",$O1240,0)</f>
        <v>0</v>
      </c>
      <c r="K1240" s="48" t="str">
        <f aca="false">IF($H1240="","",购销流水!$E314)</f>
        <v/>
      </c>
      <c r="L1240" s="66" t="str">
        <f aca="false">IF(购销流水!$D314="","",IFERROR(INDEX(记账规则!$A$6:$N$9,MATCH(购销流水!$D314,记账规则!$A$6:$A$9,0),9),""))</f>
        <v/>
      </c>
      <c r="M1240" s="66" t="str">
        <f aca="false">IF($L1240="","",IFERROR(INDEX(记账规则!$A$6:$N$9,MATCH(购销流水!$D314,记账规则!$A$6:$A$9,0),10),""))</f>
        <v/>
      </c>
      <c r="N1240" s="66" t="str">
        <f aca="false">IF($L1240="","",IFERROR(INDEX(记账规则!$A$6:$N$9,MATCH(购销流水!$D314,记账规则!$A$6:$A$9,0),11),""))</f>
        <v/>
      </c>
      <c r="O1240" s="67" t="n">
        <f aca="false">IF($H1240="",0,ROUND(IF($N1240="成本金额",N(购销流水!$W314),IF($N1240="金额",N(购销流水!$Q314),0)),2))</f>
        <v>0</v>
      </c>
      <c r="P1240" s="64" t="str">
        <f aca="false">IF(AND($H1240&lt;&gt;"",ROUND($O1240,2)&lt;&gt;0),"有","")</f>
        <v/>
      </c>
    </row>
    <row r="1241" customFormat="false" ht="15" hidden="true" customHeight="false" outlineLevel="0" collapsed="false">
      <c r="A1241" s="53" t="str">
        <f aca="false">IF($H1241="","",ROW()-5)</f>
        <v/>
      </c>
      <c r="B1241" s="64" t="s">
        <v>36</v>
      </c>
      <c r="C1241" s="53" t="n">
        <v>314</v>
      </c>
      <c r="D1241" s="53" t="n">
        <v>4</v>
      </c>
      <c r="E1241" s="65" t="str">
        <f aca="false">IF($H1241="","",购销流水!$B314)</f>
        <v/>
      </c>
      <c r="F1241" s="55" t="str">
        <f aca="false">IF($H1241="","",购销流水!$C314)</f>
        <v/>
      </c>
      <c r="G1241" s="48" t="str">
        <f aca="false">IF($H1241="","",购销流水!$N314)</f>
        <v/>
      </c>
      <c r="H1241" s="10" t="str">
        <f aca="false">IF($L1241="","",IF($L1241="@成本",购销流水!$U314,IF($L1241="@收入",购销流水!$T314,IF($L1241="@存货",购销流水!$S314,IF($L1241="@结算",购销流水!$R314,$L1241)))))</f>
        <v/>
      </c>
      <c r="I1241" s="42" t="n">
        <f aca="false">IF($M1241="借",$O1241,0)</f>
        <v>0</v>
      </c>
      <c r="J1241" s="42" t="n">
        <f aca="false">IF($M1241="贷",$O1241,0)</f>
        <v>0</v>
      </c>
      <c r="K1241" s="48" t="str">
        <f aca="false">IF($H1241="","",购销流水!$E314)</f>
        <v/>
      </c>
      <c r="L1241" s="66" t="str">
        <f aca="false">IF(购销流水!$D314="","",IFERROR(INDEX(记账规则!$A$6:$N$9,MATCH(购销流水!$D314,记账规则!$A$6:$A$9,0),12),""))</f>
        <v/>
      </c>
      <c r="M1241" s="66" t="str">
        <f aca="false">IF($L1241="","",IFERROR(INDEX(记账规则!$A$6:$N$9,MATCH(购销流水!$D314,记账规则!$A$6:$A$9,0),13),""))</f>
        <v/>
      </c>
      <c r="N1241" s="66" t="str">
        <f aca="false">IF($L1241="","",IFERROR(INDEX(记账规则!$A$6:$N$9,MATCH(购销流水!$D314,记账规则!$A$6:$A$9,0),14),""))</f>
        <v/>
      </c>
      <c r="O1241" s="67" t="n">
        <f aca="false">IF($H1241="",0,ROUND(IF($N1241="成本金额",N(购销流水!$W314),IF($N1241="金额",N(购销流水!$Q314),0)),2))</f>
        <v>0</v>
      </c>
      <c r="P1241" s="64" t="str">
        <f aca="false">IF(AND($H1241&lt;&gt;"",ROUND($O1241,2)&lt;&gt;0),"有","")</f>
        <v/>
      </c>
    </row>
    <row r="1242" customFormat="false" ht="15" hidden="true" customHeight="false" outlineLevel="0" collapsed="false">
      <c r="A1242" s="53" t="str">
        <f aca="false">IF($H1242="","",ROW()-5)</f>
        <v/>
      </c>
      <c r="B1242" s="64" t="s">
        <v>36</v>
      </c>
      <c r="C1242" s="53" t="n">
        <v>315</v>
      </c>
      <c r="D1242" s="53" t="n">
        <v>1</v>
      </c>
      <c r="E1242" s="65" t="str">
        <f aca="false">IF($H1242="","",购销流水!$B315)</f>
        <v/>
      </c>
      <c r="F1242" s="55" t="str">
        <f aca="false">IF($H1242="","",购销流水!$C315)</f>
        <v/>
      </c>
      <c r="G1242" s="48" t="str">
        <f aca="false">IF($H1242="","",购销流水!$N315)</f>
        <v/>
      </c>
      <c r="H1242" s="10" t="str">
        <f aca="false">IF($L1242="","",IF($L1242="@成本",购销流水!$U315,IF($L1242="@收入",购销流水!$T315,IF($L1242="@存货",购销流水!$S315,IF($L1242="@结算",购销流水!$R315,$L1242)))))</f>
        <v/>
      </c>
      <c r="I1242" s="42" t="n">
        <f aca="false">IF($M1242="借",$O1242,0)</f>
        <v>0</v>
      </c>
      <c r="J1242" s="42" t="n">
        <f aca="false">IF($M1242="贷",$O1242,0)</f>
        <v>0</v>
      </c>
      <c r="K1242" s="48" t="str">
        <f aca="false">IF($H1242="","",购销流水!$E315)</f>
        <v/>
      </c>
      <c r="L1242" s="66" t="str">
        <f aca="false">IF(购销流水!$D315="","",IFERROR(INDEX(记账规则!$A$6:$N$9,MATCH(购销流水!$D315,记账规则!$A$6:$A$9,0),3),""))</f>
        <v/>
      </c>
      <c r="M1242" s="66" t="str">
        <f aca="false">IF($L1242="","",IFERROR(INDEX(记账规则!$A$6:$N$9,MATCH(购销流水!$D315,记账规则!$A$6:$A$9,0),4),""))</f>
        <v/>
      </c>
      <c r="N1242" s="66" t="str">
        <f aca="false">IF($L1242="","",IFERROR(INDEX(记账规则!$A$6:$N$9,MATCH(购销流水!$D315,记账规则!$A$6:$A$9,0),5),""))</f>
        <v/>
      </c>
      <c r="O1242" s="67" t="n">
        <f aca="false">IF($H1242="",0,ROUND(IF($N1242="成本金额",N(购销流水!$W315),IF($N1242="金额",N(购销流水!$Q315),0)),2))</f>
        <v>0</v>
      </c>
      <c r="P1242" s="64" t="str">
        <f aca="false">IF(AND($H1242&lt;&gt;"",ROUND($O1242,2)&lt;&gt;0),"有","")</f>
        <v/>
      </c>
    </row>
    <row r="1243" customFormat="false" ht="15" hidden="true" customHeight="false" outlineLevel="0" collapsed="false">
      <c r="A1243" s="53" t="str">
        <f aca="false">IF($H1243="","",ROW()-5)</f>
        <v/>
      </c>
      <c r="B1243" s="64" t="s">
        <v>36</v>
      </c>
      <c r="C1243" s="53" t="n">
        <v>315</v>
      </c>
      <c r="D1243" s="53" t="n">
        <v>2</v>
      </c>
      <c r="E1243" s="65" t="str">
        <f aca="false">IF($H1243="","",购销流水!$B315)</f>
        <v/>
      </c>
      <c r="F1243" s="55" t="str">
        <f aca="false">IF($H1243="","",购销流水!$C315)</f>
        <v/>
      </c>
      <c r="G1243" s="48" t="str">
        <f aca="false">IF($H1243="","",购销流水!$N315)</f>
        <v/>
      </c>
      <c r="H1243" s="10" t="str">
        <f aca="false">IF($L1243="","",IF($L1243="@成本",购销流水!$U315,IF($L1243="@收入",购销流水!$T315,IF($L1243="@存货",购销流水!$S315,IF($L1243="@结算",购销流水!$R315,$L1243)))))</f>
        <v/>
      </c>
      <c r="I1243" s="42" t="n">
        <f aca="false">IF($M1243="借",$O1243,0)</f>
        <v>0</v>
      </c>
      <c r="J1243" s="42" t="n">
        <f aca="false">IF($M1243="贷",$O1243,0)</f>
        <v>0</v>
      </c>
      <c r="K1243" s="48" t="str">
        <f aca="false">IF($H1243="","",购销流水!$E315)</f>
        <v/>
      </c>
      <c r="L1243" s="66" t="str">
        <f aca="false">IF(购销流水!$D315="","",IFERROR(INDEX(记账规则!$A$6:$N$9,MATCH(购销流水!$D315,记账规则!$A$6:$A$9,0),6),""))</f>
        <v/>
      </c>
      <c r="M1243" s="66" t="str">
        <f aca="false">IF($L1243="","",IFERROR(INDEX(记账规则!$A$6:$N$9,MATCH(购销流水!$D315,记账规则!$A$6:$A$9,0),7),""))</f>
        <v/>
      </c>
      <c r="N1243" s="66" t="str">
        <f aca="false">IF($L1243="","",IFERROR(INDEX(记账规则!$A$6:$N$9,MATCH(购销流水!$D315,记账规则!$A$6:$A$9,0),8),""))</f>
        <v/>
      </c>
      <c r="O1243" s="67" t="n">
        <f aca="false">IF($H1243="",0,ROUND(IF($N1243="成本金额",N(购销流水!$W315),IF($N1243="金额",N(购销流水!$Q315),0)),2))</f>
        <v>0</v>
      </c>
      <c r="P1243" s="64" t="str">
        <f aca="false">IF(AND($H1243&lt;&gt;"",ROUND($O1243,2)&lt;&gt;0),"有","")</f>
        <v/>
      </c>
    </row>
    <row r="1244" customFormat="false" ht="15" hidden="true" customHeight="false" outlineLevel="0" collapsed="false">
      <c r="A1244" s="53" t="str">
        <f aca="false">IF($H1244="","",ROW()-5)</f>
        <v/>
      </c>
      <c r="B1244" s="64" t="s">
        <v>36</v>
      </c>
      <c r="C1244" s="53" t="n">
        <v>315</v>
      </c>
      <c r="D1244" s="53" t="n">
        <v>3</v>
      </c>
      <c r="E1244" s="65" t="str">
        <f aca="false">IF($H1244="","",购销流水!$B315)</f>
        <v/>
      </c>
      <c r="F1244" s="55" t="str">
        <f aca="false">IF($H1244="","",购销流水!$C315)</f>
        <v/>
      </c>
      <c r="G1244" s="48" t="str">
        <f aca="false">IF($H1244="","",购销流水!$N315)</f>
        <v/>
      </c>
      <c r="H1244" s="10" t="str">
        <f aca="false">IF($L1244="","",IF($L1244="@成本",购销流水!$U315,IF($L1244="@收入",购销流水!$T315,IF($L1244="@存货",购销流水!$S315,IF($L1244="@结算",购销流水!$R315,$L1244)))))</f>
        <v/>
      </c>
      <c r="I1244" s="42" t="n">
        <f aca="false">IF($M1244="借",$O1244,0)</f>
        <v>0</v>
      </c>
      <c r="J1244" s="42" t="n">
        <f aca="false">IF($M1244="贷",$O1244,0)</f>
        <v>0</v>
      </c>
      <c r="K1244" s="48" t="str">
        <f aca="false">IF($H1244="","",购销流水!$E315)</f>
        <v/>
      </c>
      <c r="L1244" s="66" t="str">
        <f aca="false">IF(购销流水!$D315="","",IFERROR(INDEX(记账规则!$A$6:$N$9,MATCH(购销流水!$D315,记账规则!$A$6:$A$9,0),9),""))</f>
        <v/>
      </c>
      <c r="M1244" s="66" t="str">
        <f aca="false">IF($L1244="","",IFERROR(INDEX(记账规则!$A$6:$N$9,MATCH(购销流水!$D315,记账规则!$A$6:$A$9,0),10),""))</f>
        <v/>
      </c>
      <c r="N1244" s="66" t="str">
        <f aca="false">IF($L1244="","",IFERROR(INDEX(记账规则!$A$6:$N$9,MATCH(购销流水!$D315,记账规则!$A$6:$A$9,0),11),""))</f>
        <v/>
      </c>
      <c r="O1244" s="67" t="n">
        <f aca="false">IF($H1244="",0,ROUND(IF($N1244="成本金额",N(购销流水!$W315),IF($N1244="金额",N(购销流水!$Q315),0)),2))</f>
        <v>0</v>
      </c>
      <c r="P1244" s="64" t="str">
        <f aca="false">IF(AND($H1244&lt;&gt;"",ROUND($O1244,2)&lt;&gt;0),"有","")</f>
        <v/>
      </c>
    </row>
    <row r="1245" customFormat="false" ht="15" hidden="true" customHeight="false" outlineLevel="0" collapsed="false">
      <c r="A1245" s="53" t="str">
        <f aca="false">IF($H1245="","",ROW()-5)</f>
        <v/>
      </c>
      <c r="B1245" s="64" t="s">
        <v>36</v>
      </c>
      <c r="C1245" s="53" t="n">
        <v>315</v>
      </c>
      <c r="D1245" s="53" t="n">
        <v>4</v>
      </c>
      <c r="E1245" s="65" t="str">
        <f aca="false">IF($H1245="","",购销流水!$B315)</f>
        <v/>
      </c>
      <c r="F1245" s="55" t="str">
        <f aca="false">IF($H1245="","",购销流水!$C315)</f>
        <v/>
      </c>
      <c r="G1245" s="48" t="str">
        <f aca="false">IF($H1245="","",购销流水!$N315)</f>
        <v/>
      </c>
      <c r="H1245" s="10" t="str">
        <f aca="false">IF($L1245="","",IF($L1245="@成本",购销流水!$U315,IF($L1245="@收入",购销流水!$T315,IF($L1245="@存货",购销流水!$S315,IF($L1245="@结算",购销流水!$R315,$L1245)))))</f>
        <v/>
      </c>
      <c r="I1245" s="42" t="n">
        <f aca="false">IF($M1245="借",$O1245,0)</f>
        <v>0</v>
      </c>
      <c r="J1245" s="42" t="n">
        <f aca="false">IF($M1245="贷",$O1245,0)</f>
        <v>0</v>
      </c>
      <c r="K1245" s="48" t="str">
        <f aca="false">IF($H1245="","",购销流水!$E315)</f>
        <v/>
      </c>
      <c r="L1245" s="66" t="str">
        <f aca="false">IF(购销流水!$D315="","",IFERROR(INDEX(记账规则!$A$6:$N$9,MATCH(购销流水!$D315,记账规则!$A$6:$A$9,0),12),""))</f>
        <v/>
      </c>
      <c r="M1245" s="66" t="str">
        <f aca="false">IF($L1245="","",IFERROR(INDEX(记账规则!$A$6:$N$9,MATCH(购销流水!$D315,记账规则!$A$6:$A$9,0),13),""))</f>
        <v/>
      </c>
      <c r="N1245" s="66" t="str">
        <f aca="false">IF($L1245="","",IFERROR(INDEX(记账规则!$A$6:$N$9,MATCH(购销流水!$D315,记账规则!$A$6:$A$9,0),14),""))</f>
        <v/>
      </c>
      <c r="O1245" s="67" t="n">
        <f aca="false">IF($H1245="",0,ROUND(IF($N1245="成本金额",N(购销流水!$W315),IF($N1245="金额",N(购销流水!$Q315),0)),2))</f>
        <v>0</v>
      </c>
      <c r="P1245" s="64" t="str">
        <f aca="false">IF(AND($H1245&lt;&gt;"",ROUND($O1245,2)&lt;&gt;0),"有","")</f>
        <v/>
      </c>
    </row>
    <row r="1246" customFormat="false" ht="15" hidden="true" customHeight="false" outlineLevel="0" collapsed="false">
      <c r="A1246" s="53" t="str">
        <f aca="false">IF($H1246="","",ROW()-5)</f>
        <v/>
      </c>
      <c r="B1246" s="64" t="s">
        <v>36</v>
      </c>
      <c r="C1246" s="53" t="n">
        <v>316</v>
      </c>
      <c r="D1246" s="53" t="n">
        <v>1</v>
      </c>
      <c r="E1246" s="65" t="str">
        <f aca="false">IF($H1246="","",购销流水!$B316)</f>
        <v/>
      </c>
      <c r="F1246" s="55" t="str">
        <f aca="false">IF($H1246="","",购销流水!$C316)</f>
        <v/>
      </c>
      <c r="G1246" s="48" t="str">
        <f aca="false">IF($H1246="","",购销流水!$N316)</f>
        <v/>
      </c>
      <c r="H1246" s="10" t="str">
        <f aca="false">IF($L1246="","",IF($L1246="@成本",购销流水!$U316,IF($L1246="@收入",购销流水!$T316,IF($L1246="@存货",购销流水!$S316,IF($L1246="@结算",购销流水!$R316,$L1246)))))</f>
        <v/>
      </c>
      <c r="I1246" s="42" t="n">
        <f aca="false">IF($M1246="借",$O1246,0)</f>
        <v>0</v>
      </c>
      <c r="J1246" s="42" t="n">
        <f aca="false">IF($M1246="贷",$O1246,0)</f>
        <v>0</v>
      </c>
      <c r="K1246" s="48" t="str">
        <f aca="false">IF($H1246="","",购销流水!$E316)</f>
        <v/>
      </c>
      <c r="L1246" s="66" t="str">
        <f aca="false">IF(购销流水!$D316="","",IFERROR(INDEX(记账规则!$A$6:$N$9,MATCH(购销流水!$D316,记账规则!$A$6:$A$9,0),3),""))</f>
        <v/>
      </c>
      <c r="M1246" s="66" t="str">
        <f aca="false">IF($L1246="","",IFERROR(INDEX(记账规则!$A$6:$N$9,MATCH(购销流水!$D316,记账规则!$A$6:$A$9,0),4),""))</f>
        <v/>
      </c>
      <c r="N1246" s="66" t="str">
        <f aca="false">IF($L1246="","",IFERROR(INDEX(记账规则!$A$6:$N$9,MATCH(购销流水!$D316,记账规则!$A$6:$A$9,0),5),""))</f>
        <v/>
      </c>
      <c r="O1246" s="67" t="n">
        <f aca="false">IF($H1246="",0,ROUND(IF($N1246="成本金额",N(购销流水!$W316),IF($N1246="金额",N(购销流水!$Q316),0)),2))</f>
        <v>0</v>
      </c>
      <c r="P1246" s="64" t="str">
        <f aca="false">IF(AND($H1246&lt;&gt;"",ROUND($O1246,2)&lt;&gt;0),"有","")</f>
        <v/>
      </c>
    </row>
    <row r="1247" customFormat="false" ht="15" hidden="true" customHeight="false" outlineLevel="0" collapsed="false">
      <c r="A1247" s="53" t="str">
        <f aca="false">IF($H1247="","",ROW()-5)</f>
        <v/>
      </c>
      <c r="B1247" s="64" t="s">
        <v>36</v>
      </c>
      <c r="C1247" s="53" t="n">
        <v>316</v>
      </c>
      <c r="D1247" s="53" t="n">
        <v>2</v>
      </c>
      <c r="E1247" s="65" t="str">
        <f aca="false">IF($H1247="","",购销流水!$B316)</f>
        <v/>
      </c>
      <c r="F1247" s="55" t="str">
        <f aca="false">IF($H1247="","",购销流水!$C316)</f>
        <v/>
      </c>
      <c r="G1247" s="48" t="str">
        <f aca="false">IF($H1247="","",购销流水!$N316)</f>
        <v/>
      </c>
      <c r="H1247" s="10" t="str">
        <f aca="false">IF($L1247="","",IF($L1247="@成本",购销流水!$U316,IF($L1247="@收入",购销流水!$T316,IF($L1247="@存货",购销流水!$S316,IF($L1247="@结算",购销流水!$R316,$L1247)))))</f>
        <v/>
      </c>
      <c r="I1247" s="42" t="n">
        <f aca="false">IF($M1247="借",$O1247,0)</f>
        <v>0</v>
      </c>
      <c r="J1247" s="42" t="n">
        <f aca="false">IF($M1247="贷",$O1247,0)</f>
        <v>0</v>
      </c>
      <c r="K1247" s="48" t="str">
        <f aca="false">IF($H1247="","",购销流水!$E316)</f>
        <v/>
      </c>
      <c r="L1247" s="66" t="str">
        <f aca="false">IF(购销流水!$D316="","",IFERROR(INDEX(记账规则!$A$6:$N$9,MATCH(购销流水!$D316,记账规则!$A$6:$A$9,0),6),""))</f>
        <v/>
      </c>
      <c r="M1247" s="66" t="str">
        <f aca="false">IF($L1247="","",IFERROR(INDEX(记账规则!$A$6:$N$9,MATCH(购销流水!$D316,记账规则!$A$6:$A$9,0),7),""))</f>
        <v/>
      </c>
      <c r="N1247" s="66" t="str">
        <f aca="false">IF($L1247="","",IFERROR(INDEX(记账规则!$A$6:$N$9,MATCH(购销流水!$D316,记账规则!$A$6:$A$9,0),8),""))</f>
        <v/>
      </c>
      <c r="O1247" s="67" t="n">
        <f aca="false">IF($H1247="",0,ROUND(IF($N1247="成本金额",N(购销流水!$W316),IF($N1247="金额",N(购销流水!$Q316),0)),2))</f>
        <v>0</v>
      </c>
      <c r="P1247" s="64" t="str">
        <f aca="false">IF(AND($H1247&lt;&gt;"",ROUND($O1247,2)&lt;&gt;0),"有","")</f>
        <v/>
      </c>
    </row>
    <row r="1248" customFormat="false" ht="15" hidden="true" customHeight="false" outlineLevel="0" collapsed="false">
      <c r="A1248" s="53" t="str">
        <f aca="false">IF($H1248="","",ROW()-5)</f>
        <v/>
      </c>
      <c r="B1248" s="64" t="s">
        <v>36</v>
      </c>
      <c r="C1248" s="53" t="n">
        <v>316</v>
      </c>
      <c r="D1248" s="53" t="n">
        <v>3</v>
      </c>
      <c r="E1248" s="65" t="str">
        <f aca="false">IF($H1248="","",购销流水!$B316)</f>
        <v/>
      </c>
      <c r="F1248" s="55" t="str">
        <f aca="false">IF($H1248="","",购销流水!$C316)</f>
        <v/>
      </c>
      <c r="G1248" s="48" t="str">
        <f aca="false">IF($H1248="","",购销流水!$N316)</f>
        <v/>
      </c>
      <c r="H1248" s="10" t="str">
        <f aca="false">IF($L1248="","",IF($L1248="@成本",购销流水!$U316,IF($L1248="@收入",购销流水!$T316,IF($L1248="@存货",购销流水!$S316,IF($L1248="@结算",购销流水!$R316,$L1248)))))</f>
        <v/>
      </c>
      <c r="I1248" s="42" t="n">
        <f aca="false">IF($M1248="借",$O1248,0)</f>
        <v>0</v>
      </c>
      <c r="J1248" s="42" t="n">
        <f aca="false">IF($M1248="贷",$O1248,0)</f>
        <v>0</v>
      </c>
      <c r="K1248" s="48" t="str">
        <f aca="false">IF($H1248="","",购销流水!$E316)</f>
        <v/>
      </c>
      <c r="L1248" s="66" t="str">
        <f aca="false">IF(购销流水!$D316="","",IFERROR(INDEX(记账规则!$A$6:$N$9,MATCH(购销流水!$D316,记账规则!$A$6:$A$9,0),9),""))</f>
        <v/>
      </c>
      <c r="M1248" s="66" t="str">
        <f aca="false">IF($L1248="","",IFERROR(INDEX(记账规则!$A$6:$N$9,MATCH(购销流水!$D316,记账规则!$A$6:$A$9,0),10),""))</f>
        <v/>
      </c>
      <c r="N1248" s="66" t="str">
        <f aca="false">IF($L1248="","",IFERROR(INDEX(记账规则!$A$6:$N$9,MATCH(购销流水!$D316,记账规则!$A$6:$A$9,0),11),""))</f>
        <v/>
      </c>
      <c r="O1248" s="67" t="n">
        <f aca="false">IF($H1248="",0,ROUND(IF($N1248="成本金额",N(购销流水!$W316),IF($N1248="金额",N(购销流水!$Q316),0)),2))</f>
        <v>0</v>
      </c>
      <c r="P1248" s="64" t="str">
        <f aca="false">IF(AND($H1248&lt;&gt;"",ROUND($O1248,2)&lt;&gt;0),"有","")</f>
        <v/>
      </c>
    </row>
    <row r="1249" customFormat="false" ht="15" hidden="true" customHeight="false" outlineLevel="0" collapsed="false">
      <c r="A1249" s="53" t="str">
        <f aca="false">IF($H1249="","",ROW()-5)</f>
        <v/>
      </c>
      <c r="B1249" s="64" t="s">
        <v>36</v>
      </c>
      <c r="C1249" s="53" t="n">
        <v>316</v>
      </c>
      <c r="D1249" s="53" t="n">
        <v>4</v>
      </c>
      <c r="E1249" s="65" t="str">
        <f aca="false">IF($H1249="","",购销流水!$B316)</f>
        <v/>
      </c>
      <c r="F1249" s="55" t="str">
        <f aca="false">IF($H1249="","",购销流水!$C316)</f>
        <v/>
      </c>
      <c r="G1249" s="48" t="str">
        <f aca="false">IF($H1249="","",购销流水!$N316)</f>
        <v/>
      </c>
      <c r="H1249" s="10" t="str">
        <f aca="false">IF($L1249="","",IF($L1249="@成本",购销流水!$U316,IF($L1249="@收入",购销流水!$T316,IF($L1249="@存货",购销流水!$S316,IF($L1249="@结算",购销流水!$R316,$L1249)))))</f>
        <v/>
      </c>
      <c r="I1249" s="42" t="n">
        <f aca="false">IF($M1249="借",$O1249,0)</f>
        <v>0</v>
      </c>
      <c r="J1249" s="42" t="n">
        <f aca="false">IF($M1249="贷",$O1249,0)</f>
        <v>0</v>
      </c>
      <c r="K1249" s="48" t="str">
        <f aca="false">IF($H1249="","",购销流水!$E316)</f>
        <v/>
      </c>
      <c r="L1249" s="66" t="str">
        <f aca="false">IF(购销流水!$D316="","",IFERROR(INDEX(记账规则!$A$6:$N$9,MATCH(购销流水!$D316,记账规则!$A$6:$A$9,0),12),""))</f>
        <v/>
      </c>
      <c r="M1249" s="66" t="str">
        <f aca="false">IF($L1249="","",IFERROR(INDEX(记账规则!$A$6:$N$9,MATCH(购销流水!$D316,记账规则!$A$6:$A$9,0),13),""))</f>
        <v/>
      </c>
      <c r="N1249" s="66" t="str">
        <f aca="false">IF($L1249="","",IFERROR(INDEX(记账规则!$A$6:$N$9,MATCH(购销流水!$D316,记账规则!$A$6:$A$9,0),14),""))</f>
        <v/>
      </c>
      <c r="O1249" s="67" t="n">
        <f aca="false">IF($H1249="",0,ROUND(IF($N1249="成本金额",N(购销流水!$W316),IF($N1249="金额",N(购销流水!$Q316),0)),2))</f>
        <v>0</v>
      </c>
      <c r="P1249" s="64" t="str">
        <f aca="false">IF(AND($H1249&lt;&gt;"",ROUND($O1249,2)&lt;&gt;0),"有","")</f>
        <v/>
      </c>
    </row>
    <row r="1250" customFormat="false" ht="15" hidden="true" customHeight="false" outlineLevel="0" collapsed="false">
      <c r="A1250" s="53" t="str">
        <f aca="false">IF($H1250="","",ROW()-5)</f>
        <v/>
      </c>
      <c r="B1250" s="64" t="s">
        <v>36</v>
      </c>
      <c r="C1250" s="53" t="n">
        <v>317</v>
      </c>
      <c r="D1250" s="53" t="n">
        <v>1</v>
      </c>
      <c r="E1250" s="65" t="str">
        <f aca="false">IF($H1250="","",购销流水!$B317)</f>
        <v/>
      </c>
      <c r="F1250" s="55" t="str">
        <f aca="false">IF($H1250="","",购销流水!$C317)</f>
        <v/>
      </c>
      <c r="G1250" s="48" t="str">
        <f aca="false">IF($H1250="","",购销流水!$N317)</f>
        <v/>
      </c>
      <c r="H1250" s="10" t="str">
        <f aca="false">IF($L1250="","",IF($L1250="@成本",购销流水!$U317,IF($L1250="@收入",购销流水!$T317,IF($L1250="@存货",购销流水!$S317,IF($L1250="@结算",购销流水!$R317,$L1250)))))</f>
        <v/>
      </c>
      <c r="I1250" s="42" t="n">
        <f aca="false">IF($M1250="借",$O1250,0)</f>
        <v>0</v>
      </c>
      <c r="J1250" s="42" t="n">
        <f aca="false">IF($M1250="贷",$O1250,0)</f>
        <v>0</v>
      </c>
      <c r="K1250" s="48" t="str">
        <f aca="false">IF($H1250="","",购销流水!$E317)</f>
        <v/>
      </c>
      <c r="L1250" s="66" t="str">
        <f aca="false">IF(购销流水!$D317="","",IFERROR(INDEX(记账规则!$A$6:$N$9,MATCH(购销流水!$D317,记账规则!$A$6:$A$9,0),3),""))</f>
        <v/>
      </c>
      <c r="M1250" s="66" t="str">
        <f aca="false">IF($L1250="","",IFERROR(INDEX(记账规则!$A$6:$N$9,MATCH(购销流水!$D317,记账规则!$A$6:$A$9,0),4),""))</f>
        <v/>
      </c>
      <c r="N1250" s="66" t="str">
        <f aca="false">IF($L1250="","",IFERROR(INDEX(记账规则!$A$6:$N$9,MATCH(购销流水!$D317,记账规则!$A$6:$A$9,0),5),""))</f>
        <v/>
      </c>
      <c r="O1250" s="67" t="n">
        <f aca="false">IF($H1250="",0,ROUND(IF($N1250="成本金额",N(购销流水!$W317),IF($N1250="金额",N(购销流水!$Q317),0)),2))</f>
        <v>0</v>
      </c>
      <c r="P1250" s="64" t="str">
        <f aca="false">IF(AND($H1250&lt;&gt;"",ROUND($O1250,2)&lt;&gt;0),"有","")</f>
        <v/>
      </c>
    </row>
    <row r="1251" customFormat="false" ht="15" hidden="true" customHeight="false" outlineLevel="0" collapsed="false">
      <c r="A1251" s="53" t="str">
        <f aca="false">IF($H1251="","",ROW()-5)</f>
        <v/>
      </c>
      <c r="B1251" s="64" t="s">
        <v>36</v>
      </c>
      <c r="C1251" s="53" t="n">
        <v>317</v>
      </c>
      <c r="D1251" s="53" t="n">
        <v>2</v>
      </c>
      <c r="E1251" s="65" t="str">
        <f aca="false">IF($H1251="","",购销流水!$B317)</f>
        <v/>
      </c>
      <c r="F1251" s="55" t="str">
        <f aca="false">IF($H1251="","",购销流水!$C317)</f>
        <v/>
      </c>
      <c r="G1251" s="48" t="str">
        <f aca="false">IF($H1251="","",购销流水!$N317)</f>
        <v/>
      </c>
      <c r="H1251" s="10" t="str">
        <f aca="false">IF($L1251="","",IF($L1251="@成本",购销流水!$U317,IF($L1251="@收入",购销流水!$T317,IF($L1251="@存货",购销流水!$S317,IF($L1251="@结算",购销流水!$R317,$L1251)))))</f>
        <v/>
      </c>
      <c r="I1251" s="42" t="n">
        <f aca="false">IF($M1251="借",$O1251,0)</f>
        <v>0</v>
      </c>
      <c r="J1251" s="42" t="n">
        <f aca="false">IF($M1251="贷",$O1251,0)</f>
        <v>0</v>
      </c>
      <c r="K1251" s="48" t="str">
        <f aca="false">IF($H1251="","",购销流水!$E317)</f>
        <v/>
      </c>
      <c r="L1251" s="66" t="str">
        <f aca="false">IF(购销流水!$D317="","",IFERROR(INDEX(记账规则!$A$6:$N$9,MATCH(购销流水!$D317,记账规则!$A$6:$A$9,0),6),""))</f>
        <v/>
      </c>
      <c r="M1251" s="66" t="str">
        <f aca="false">IF($L1251="","",IFERROR(INDEX(记账规则!$A$6:$N$9,MATCH(购销流水!$D317,记账规则!$A$6:$A$9,0),7),""))</f>
        <v/>
      </c>
      <c r="N1251" s="66" t="str">
        <f aca="false">IF($L1251="","",IFERROR(INDEX(记账规则!$A$6:$N$9,MATCH(购销流水!$D317,记账规则!$A$6:$A$9,0),8),""))</f>
        <v/>
      </c>
      <c r="O1251" s="67" t="n">
        <f aca="false">IF($H1251="",0,ROUND(IF($N1251="成本金额",N(购销流水!$W317),IF($N1251="金额",N(购销流水!$Q317),0)),2))</f>
        <v>0</v>
      </c>
      <c r="P1251" s="64" t="str">
        <f aca="false">IF(AND($H1251&lt;&gt;"",ROUND($O1251,2)&lt;&gt;0),"有","")</f>
        <v/>
      </c>
    </row>
    <row r="1252" customFormat="false" ht="15" hidden="true" customHeight="false" outlineLevel="0" collapsed="false">
      <c r="A1252" s="53" t="str">
        <f aca="false">IF($H1252="","",ROW()-5)</f>
        <v/>
      </c>
      <c r="B1252" s="64" t="s">
        <v>36</v>
      </c>
      <c r="C1252" s="53" t="n">
        <v>317</v>
      </c>
      <c r="D1252" s="53" t="n">
        <v>3</v>
      </c>
      <c r="E1252" s="65" t="str">
        <f aca="false">IF($H1252="","",购销流水!$B317)</f>
        <v/>
      </c>
      <c r="F1252" s="55" t="str">
        <f aca="false">IF($H1252="","",购销流水!$C317)</f>
        <v/>
      </c>
      <c r="G1252" s="48" t="str">
        <f aca="false">IF($H1252="","",购销流水!$N317)</f>
        <v/>
      </c>
      <c r="H1252" s="10" t="str">
        <f aca="false">IF($L1252="","",IF($L1252="@成本",购销流水!$U317,IF($L1252="@收入",购销流水!$T317,IF($L1252="@存货",购销流水!$S317,IF($L1252="@结算",购销流水!$R317,$L1252)))))</f>
        <v/>
      </c>
      <c r="I1252" s="42" t="n">
        <f aca="false">IF($M1252="借",$O1252,0)</f>
        <v>0</v>
      </c>
      <c r="J1252" s="42" t="n">
        <f aca="false">IF($M1252="贷",$O1252,0)</f>
        <v>0</v>
      </c>
      <c r="K1252" s="48" t="str">
        <f aca="false">IF($H1252="","",购销流水!$E317)</f>
        <v/>
      </c>
      <c r="L1252" s="66" t="str">
        <f aca="false">IF(购销流水!$D317="","",IFERROR(INDEX(记账规则!$A$6:$N$9,MATCH(购销流水!$D317,记账规则!$A$6:$A$9,0),9),""))</f>
        <v/>
      </c>
      <c r="M1252" s="66" t="str">
        <f aca="false">IF($L1252="","",IFERROR(INDEX(记账规则!$A$6:$N$9,MATCH(购销流水!$D317,记账规则!$A$6:$A$9,0),10),""))</f>
        <v/>
      </c>
      <c r="N1252" s="66" t="str">
        <f aca="false">IF($L1252="","",IFERROR(INDEX(记账规则!$A$6:$N$9,MATCH(购销流水!$D317,记账规则!$A$6:$A$9,0),11),""))</f>
        <v/>
      </c>
      <c r="O1252" s="67" t="n">
        <f aca="false">IF($H1252="",0,ROUND(IF($N1252="成本金额",N(购销流水!$W317),IF($N1252="金额",N(购销流水!$Q317),0)),2))</f>
        <v>0</v>
      </c>
      <c r="P1252" s="64" t="str">
        <f aca="false">IF(AND($H1252&lt;&gt;"",ROUND($O1252,2)&lt;&gt;0),"有","")</f>
        <v/>
      </c>
    </row>
    <row r="1253" customFormat="false" ht="15" hidden="true" customHeight="false" outlineLevel="0" collapsed="false">
      <c r="A1253" s="53" t="str">
        <f aca="false">IF($H1253="","",ROW()-5)</f>
        <v/>
      </c>
      <c r="B1253" s="64" t="s">
        <v>36</v>
      </c>
      <c r="C1253" s="53" t="n">
        <v>317</v>
      </c>
      <c r="D1253" s="53" t="n">
        <v>4</v>
      </c>
      <c r="E1253" s="65" t="str">
        <f aca="false">IF($H1253="","",购销流水!$B317)</f>
        <v/>
      </c>
      <c r="F1253" s="55" t="str">
        <f aca="false">IF($H1253="","",购销流水!$C317)</f>
        <v/>
      </c>
      <c r="G1253" s="48" t="str">
        <f aca="false">IF($H1253="","",购销流水!$N317)</f>
        <v/>
      </c>
      <c r="H1253" s="10" t="str">
        <f aca="false">IF($L1253="","",IF($L1253="@成本",购销流水!$U317,IF($L1253="@收入",购销流水!$T317,IF($L1253="@存货",购销流水!$S317,IF($L1253="@结算",购销流水!$R317,$L1253)))))</f>
        <v/>
      </c>
      <c r="I1253" s="42" t="n">
        <f aca="false">IF($M1253="借",$O1253,0)</f>
        <v>0</v>
      </c>
      <c r="J1253" s="42" t="n">
        <f aca="false">IF($M1253="贷",$O1253,0)</f>
        <v>0</v>
      </c>
      <c r="K1253" s="48" t="str">
        <f aca="false">IF($H1253="","",购销流水!$E317)</f>
        <v/>
      </c>
      <c r="L1253" s="66" t="str">
        <f aca="false">IF(购销流水!$D317="","",IFERROR(INDEX(记账规则!$A$6:$N$9,MATCH(购销流水!$D317,记账规则!$A$6:$A$9,0),12),""))</f>
        <v/>
      </c>
      <c r="M1253" s="66" t="str">
        <f aca="false">IF($L1253="","",IFERROR(INDEX(记账规则!$A$6:$N$9,MATCH(购销流水!$D317,记账规则!$A$6:$A$9,0),13),""))</f>
        <v/>
      </c>
      <c r="N1253" s="66" t="str">
        <f aca="false">IF($L1253="","",IFERROR(INDEX(记账规则!$A$6:$N$9,MATCH(购销流水!$D317,记账规则!$A$6:$A$9,0),14),""))</f>
        <v/>
      </c>
      <c r="O1253" s="67" t="n">
        <f aca="false">IF($H1253="",0,ROUND(IF($N1253="成本金额",N(购销流水!$W317),IF($N1253="金额",N(购销流水!$Q317),0)),2))</f>
        <v>0</v>
      </c>
      <c r="P1253" s="64" t="str">
        <f aca="false">IF(AND($H1253&lt;&gt;"",ROUND($O1253,2)&lt;&gt;0),"有","")</f>
        <v/>
      </c>
    </row>
    <row r="1254" customFormat="false" ht="15" hidden="true" customHeight="false" outlineLevel="0" collapsed="false">
      <c r="A1254" s="53" t="str">
        <f aca="false">IF($H1254="","",ROW()-5)</f>
        <v/>
      </c>
      <c r="B1254" s="64" t="s">
        <v>36</v>
      </c>
      <c r="C1254" s="53" t="n">
        <v>318</v>
      </c>
      <c r="D1254" s="53" t="n">
        <v>1</v>
      </c>
      <c r="E1254" s="65" t="str">
        <f aca="false">IF($H1254="","",购销流水!$B318)</f>
        <v/>
      </c>
      <c r="F1254" s="55" t="str">
        <f aca="false">IF($H1254="","",购销流水!$C318)</f>
        <v/>
      </c>
      <c r="G1254" s="48" t="str">
        <f aca="false">IF($H1254="","",购销流水!$N318)</f>
        <v/>
      </c>
      <c r="H1254" s="10" t="str">
        <f aca="false">IF($L1254="","",IF($L1254="@成本",购销流水!$U318,IF($L1254="@收入",购销流水!$T318,IF($L1254="@存货",购销流水!$S318,IF($L1254="@结算",购销流水!$R318,$L1254)))))</f>
        <v/>
      </c>
      <c r="I1254" s="42" t="n">
        <f aca="false">IF($M1254="借",$O1254,0)</f>
        <v>0</v>
      </c>
      <c r="J1254" s="42" t="n">
        <f aca="false">IF($M1254="贷",$O1254,0)</f>
        <v>0</v>
      </c>
      <c r="K1254" s="48" t="str">
        <f aca="false">IF($H1254="","",购销流水!$E318)</f>
        <v/>
      </c>
      <c r="L1254" s="66" t="str">
        <f aca="false">IF(购销流水!$D318="","",IFERROR(INDEX(记账规则!$A$6:$N$9,MATCH(购销流水!$D318,记账规则!$A$6:$A$9,0),3),""))</f>
        <v/>
      </c>
      <c r="M1254" s="66" t="str">
        <f aca="false">IF($L1254="","",IFERROR(INDEX(记账规则!$A$6:$N$9,MATCH(购销流水!$D318,记账规则!$A$6:$A$9,0),4),""))</f>
        <v/>
      </c>
      <c r="N1254" s="66" t="str">
        <f aca="false">IF($L1254="","",IFERROR(INDEX(记账规则!$A$6:$N$9,MATCH(购销流水!$D318,记账规则!$A$6:$A$9,0),5),""))</f>
        <v/>
      </c>
      <c r="O1254" s="67" t="n">
        <f aca="false">IF($H1254="",0,ROUND(IF($N1254="成本金额",N(购销流水!$W318),IF($N1254="金额",N(购销流水!$Q318),0)),2))</f>
        <v>0</v>
      </c>
      <c r="P1254" s="64" t="str">
        <f aca="false">IF(AND($H1254&lt;&gt;"",ROUND($O1254,2)&lt;&gt;0),"有","")</f>
        <v/>
      </c>
    </row>
    <row r="1255" customFormat="false" ht="15" hidden="true" customHeight="false" outlineLevel="0" collapsed="false">
      <c r="A1255" s="53" t="str">
        <f aca="false">IF($H1255="","",ROW()-5)</f>
        <v/>
      </c>
      <c r="B1255" s="64" t="s">
        <v>36</v>
      </c>
      <c r="C1255" s="53" t="n">
        <v>318</v>
      </c>
      <c r="D1255" s="53" t="n">
        <v>2</v>
      </c>
      <c r="E1255" s="65" t="str">
        <f aca="false">IF($H1255="","",购销流水!$B318)</f>
        <v/>
      </c>
      <c r="F1255" s="55" t="str">
        <f aca="false">IF($H1255="","",购销流水!$C318)</f>
        <v/>
      </c>
      <c r="G1255" s="48" t="str">
        <f aca="false">IF($H1255="","",购销流水!$N318)</f>
        <v/>
      </c>
      <c r="H1255" s="10" t="str">
        <f aca="false">IF($L1255="","",IF($L1255="@成本",购销流水!$U318,IF($L1255="@收入",购销流水!$T318,IF($L1255="@存货",购销流水!$S318,IF($L1255="@结算",购销流水!$R318,$L1255)))))</f>
        <v/>
      </c>
      <c r="I1255" s="42" t="n">
        <f aca="false">IF($M1255="借",$O1255,0)</f>
        <v>0</v>
      </c>
      <c r="J1255" s="42" t="n">
        <f aca="false">IF($M1255="贷",$O1255,0)</f>
        <v>0</v>
      </c>
      <c r="K1255" s="48" t="str">
        <f aca="false">IF($H1255="","",购销流水!$E318)</f>
        <v/>
      </c>
      <c r="L1255" s="66" t="str">
        <f aca="false">IF(购销流水!$D318="","",IFERROR(INDEX(记账规则!$A$6:$N$9,MATCH(购销流水!$D318,记账规则!$A$6:$A$9,0),6),""))</f>
        <v/>
      </c>
      <c r="M1255" s="66" t="str">
        <f aca="false">IF($L1255="","",IFERROR(INDEX(记账规则!$A$6:$N$9,MATCH(购销流水!$D318,记账规则!$A$6:$A$9,0),7),""))</f>
        <v/>
      </c>
      <c r="N1255" s="66" t="str">
        <f aca="false">IF($L1255="","",IFERROR(INDEX(记账规则!$A$6:$N$9,MATCH(购销流水!$D318,记账规则!$A$6:$A$9,0),8),""))</f>
        <v/>
      </c>
      <c r="O1255" s="67" t="n">
        <f aca="false">IF($H1255="",0,ROUND(IF($N1255="成本金额",N(购销流水!$W318),IF($N1255="金额",N(购销流水!$Q318),0)),2))</f>
        <v>0</v>
      </c>
      <c r="P1255" s="64" t="str">
        <f aca="false">IF(AND($H1255&lt;&gt;"",ROUND($O1255,2)&lt;&gt;0),"有","")</f>
        <v/>
      </c>
    </row>
    <row r="1256" customFormat="false" ht="15" hidden="true" customHeight="false" outlineLevel="0" collapsed="false">
      <c r="A1256" s="53" t="str">
        <f aca="false">IF($H1256="","",ROW()-5)</f>
        <v/>
      </c>
      <c r="B1256" s="64" t="s">
        <v>36</v>
      </c>
      <c r="C1256" s="53" t="n">
        <v>318</v>
      </c>
      <c r="D1256" s="53" t="n">
        <v>3</v>
      </c>
      <c r="E1256" s="65" t="str">
        <f aca="false">IF($H1256="","",购销流水!$B318)</f>
        <v/>
      </c>
      <c r="F1256" s="55" t="str">
        <f aca="false">IF($H1256="","",购销流水!$C318)</f>
        <v/>
      </c>
      <c r="G1256" s="48" t="str">
        <f aca="false">IF($H1256="","",购销流水!$N318)</f>
        <v/>
      </c>
      <c r="H1256" s="10" t="str">
        <f aca="false">IF($L1256="","",IF($L1256="@成本",购销流水!$U318,IF($L1256="@收入",购销流水!$T318,IF($L1256="@存货",购销流水!$S318,IF($L1256="@结算",购销流水!$R318,$L1256)))))</f>
        <v/>
      </c>
      <c r="I1256" s="42" t="n">
        <f aca="false">IF($M1256="借",$O1256,0)</f>
        <v>0</v>
      </c>
      <c r="J1256" s="42" t="n">
        <f aca="false">IF($M1256="贷",$O1256,0)</f>
        <v>0</v>
      </c>
      <c r="K1256" s="48" t="str">
        <f aca="false">IF($H1256="","",购销流水!$E318)</f>
        <v/>
      </c>
      <c r="L1256" s="66" t="str">
        <f aca="false">IF(购销流水!$D318="","",IFERROR(INDEX(记账规则!$A$6:$N$9,MATCH(购销流水!$D318,记账规则!$A$6:$A$9,0),9),""))</f>
        <v/>
      </c>
      <c r="M1256" s="66" t="str">
        <f aca="false">IF($L1256="","",IFERROR(INDEX(记账规则!$A$6:$N$9,MATCH(购销流水!$D318,记账规则!$A$6:$A$9,0),10),""))</f>
        <v/>
      </c>
      <c r="N1256" s="66" t="str">
        <f aca="false">IF($L1256="","",IFERROR(INDEX(记账规则!$A$6:$N$9,MATCH(购销流水!$D318,记账规则!$A$6:$A$9,0),11),""))</f>
        <v/>
      </c>
      <c r="O1256" s="67" t="n">
        <f aca="false">IF($H1256="",0,ROUND(IF($N1256="成本金额",N(购销流水!$W318),IF($N1256="金额",N(购销流水!$Q318),0)),2))</f>
        <v>0</v>
      </c>
      <c r="P1256" s="64" t="str">
        <f aca="false">IF(AND($H1256&lt;&gt;"",ROUND($O1256,2)&lt;&gt;0),"有","")</f>
        <v/>
      </c>
    </row>
    <row r="1257" customFormat="false" ht="15" hidden="true" customHeight="false" outlineLevel="0" collapsed="false">
      <c r="A1257" s="53" t="str">
        <f aca="false">IF($H1257="","",ROW()-5)</f>
        <v/>
      </c>
      <c r="B1257" s="64" t="s">
        <v>36</v>
      </c>
      <c r="C1257" s="53" t="n">
        <v>318</v>
      </c>
      <c r="D1257" s="53" t="n">
        <v>4</v>
      </c>
      <c r="E1257" s="65" t="str">
        <f aca="false">IF($H1257="","",购销流水!$B318)</f>
        <v/>
      </c>
      <c r="F1257" s="55" t="str">
        <f aca="false">IF($H1257="","",购销流水!$C318)</f>
        <v/>
      </c>
      <c r="G1257" s="48" t="str">
        <f aca="false">IF($H1257="","",购销流水!$N318)</f>
        <v/>
      </c>
      <c r="H1257" s="10" t="str">
        <f aca="false">IF($L1257="","",IF($L1257="@成本",购销流水!$U318,IF($L1257="@收入",购销流水!$T318,IF($L1257="@存货",购销流水!$S318,IF($L1257="@结算",购销流水!$R318,$L1257)))))</f>
        <v/>
      </c>
      <c r="I1257" s="42" t="n">
        <f aca="false">IF($M1257="借",$O1257,0)</f>
        <v>0</v>
      </c>
      <c r="J1257" s="42" t="n">
        <f aca="false">IF($M1257="贷",$O1257,0)</f>
        <v>0</v>
      </c>
      <c r="K1257" s="48" t="str">
        <f aca="false">IF($H1257="","",购销流水!$E318)</f>
        <v/>
      </c>
      <c r="L1257" s="66" t="str">
        <f aca="false">IF(购销流水!$D318="","",IFERROR(INDEX(记账规则!$A$6:$N$9,MATCH(购销流水!$D318,记账规则!$A$6:$A$9,0),12),""))</f>
        <v/>
      </c>
      <c r="M1257" s="66" t="str">
        <f aca="false">IF($L1257="","",IFERROR(INDEX(记账规则!$A$6:$N$9,MATCH(购销流水!$D318,记账规则!$A$6:$A$9,0),13),""))</f>
        <v/>
      </c>
      <c r="N1257" s="66" t="str">
        <f aca="false">IF($L1257="","",IFERROR(INDEX(记账规则!$A$6:$N$9,MATCH(购销流水!$D318,记账规则!$A$6:$A$9,0),14),""))</f>
        <v/>
      </c>
      <c r="O1257" s="67" t="n">
        <f aca="false">IF($H1257="",0,ROUND(IF($N1257="成本金额",N(购销流水!$W318),IF($N1257="金额",N(购销流水!$Q318),0)),2))</f>
        <v>0</v>
      </c>
      <c r="P1257" s="64" t="str">
        <f aca="false">IF(AND($H1257&lt;&gt;"",ROUND($O1257,2)&lt;&gt;0),"有","")</f>
        <v/>
      </c>
    </row>
    <row r="1258" customFormat="false" ht="15" hidden="true" customHeight="false" outlineLevel="0" collapsed="false">
      <c r="A1258" s="53" t="str">
        <f aca="false">IF($H1258="","",ROW()-5)</f>
        <v/>
      </c>
      <c r="B1258" s="64" t="s">
        <v>36</v>
      </c>
      <c r="C1258" s="53" t="n">
        <v>319</v>
      </c>
      <c r="D1258" s="53" t="n">
        <v>1</v>
      </c>
      <c r="E1258" s="65" t="str">
        <f aca="false">IF($H1258="","",购销流水!$B319)</f>
        <v/>
      </c>
      <c r="F1258" s="55" t="str">
        <f aca="false">IF($H1258="","",购销流水!$C319)</f>
        <v/>
      </c>
      <c r="G1258" s="48" t="str">
        <f aca="false">IF($H1258="","",购销流水!$N319)</f>
        <v/>
      </c>
      <c r="H1258" s="10" t="str">
        <f aca="false">IF($L1258="","",IF($L1258="@成本",购销流水!$U319,IF($L1258="@收入",购销流水!$T319,IF($L1258="@存货",购销流水!$S319,IF($L1258="@结算",购销流水!$R319,$L1258)))))</f>
        <v/>
      </c>
      <c r="I1258" s="42" t="n">
        <f aca="false">IF($M1258="借",$O1258,0)</f>
        <v>0</v>
      </c>
      <c r="J1258" s="42" t="n">
        <f aca="false">IF($M1258="贷",$O1258,0)</f>
        <v>0</v>
      </c>
      <c r="K1258" s="48" t="str">
        <f aca="false">IF($H1258="","",购销流水!$E319)</f>
        <v/>
      </c>
      <c r="L1258" s="66" t="str">
        <f aca="false">IF(购销流水!$D319="","",IFERROR(INDEX(记账规则!$A$6:$N$9,MATCH(购销流水!$D319,记账规则!$A$6:$A$9,0),3),""))</f>
        <v/>
      </c>
      <c r="M1258" s="66" t="str">
        <f aca="false">IF($L1258="","",IFERROR(INDEX(记账规则!$A$6:$N$9,MATCH(购销流水!$D319,记账规则!$A$6:$A$9,0),4),""))</f>
        <v/>
      </c>
      <c r="N1258" s="66" t="str">
        <f aca="false">IF($L1258="","",IFERROR(INDEX(记账规则!$A$6:$N$9,MATCH(购销流水!$D319,记账规则!$A$6:$A$9,0),5),""))</f>
        <v/>
      </c>
      <c r="O1258" s="67" t="n">
        <f aca="false">IF($H1258="",0,ROUND(IF($N1258="成本金额",N(购销流水!$W319),IF($N1258="金额",N(购销流水!$Q319),0)),2))</f>
        <v>0</v>
      </c>
      <c r="P1258" s="64" t="str">
        <f aca="false">IF(AND($H1258&lt;&gt;"",ROUND($O1258,2)&lt;&gt;0),"有","")</f>
        <v/>
      </c>
    </row>
    <row r="1259" customFormat="false" ht="15" hidden="true" customHeight="false" outlineLevel="0" collapsed="false">
      <c r="A1259" s="53" t="str">
        <f aca="false">IF($H1259="","",ROW()-5)</f>
        <v/>
      </c>
      <c r="B1259" s="64" t="s">
        <v>36</v>
      </c>
      <c r="C1259" s="53" t="n">
        <v>319</v>
      </c>
      <c r="D1259" s="53" t="n">
        <v>2</v>
      </c>
      <c r="E1259" s="65" t="str">
        <f aca="false">IF($H1259="","",购销流水!$B319)</f>
        <v/>
      </c>
      <c r="F1259" s="55" t="str">
        <f aca="false">IF($H1259="","",购销流水!$C319)</f>
        <v/>
      </c>
      <c r="G1259" s="48" t="str">
        <f aca="false">IF($H1259="","",购销流水!$N319)</f>
        <v/>
      </c>
      <c r="H1259" s="10" t="str">
        <f aca="false">IF($L1259="","",IF($L1259="@成本",购销流水!$U319,IF($L1259="@收入",购销流水!$T319,IF($L1259="@存货",购销流水!$S319,IF($L1259="@结算",购销流水!$R319,$L1259)))))</f>
        <v/>
      </c>
      <c r="I1259" s="42" t="n">
        <f aca="false">IF($M1259="借",$O1259,0)</f>
        <v>0</v>
      </c>
      <c r="J1259" s="42" t="n">
        <f aca="false">IF($M1259="贷",$O1259,0)</f>
        <v>0</v>
      </c>
      <c r="K1259" s="48" t="str">
        <f aca="false">IF($H1259="","",购销流水!$E319)</f>
        <v/>
      </c>
      <c r="L1259" s="66" t="str">
        <f aca="false">IF(购销流水!$D319="","",IFERROR(INDEX(记账规则!$A$6:$N$9,MATCH(购销流水!$D319,记账规则!$A$6:$A$9,0),6),""))</f>
        <v/>
      </c>
      <c r="M1259" s="66" t="str">
        <f aca="false">IF($L1259="","",IFERROR(INDEX(记账规则!$A$6:$N$9,MATCH(购销流水!$D319,记账规则!$A$6:$A$9,0),7),""))</f>
        <v/>
      </c>
      <c r="N1259" s="66" t="str">
        <f aca="false">IF($L1259="","",IFERROR(INDEX(记账规则!$A$6:$N$9,MATCH(购销流水!$D319,记账规则!$A$6:$A$9,0),8),""))</f>
        <v/>
      </c>
      <c r="O1259" s="67" t="n">
        <f aca="false">IF($H1259="",0,ROUND(IF($N1259="成本金额",N(购销流水!$W319),IF($N1259="金额",N(购销流水!$Q319),0)),2))</f>
        <v>0</v>
      </c>
      <c r="P1259" s="64" t="str">
        <f aca="false">IF(AND($H1259&lt;&gt;"",ROUND($O1259,2)&lt;&gt;0),"有","")</f>
        <v/>
      </c>
    </row>
    <row r="1260" customFormat="false" ht="15" hidden="true" customHeight="false" outlineLevel="0" collapsed="false">
      <c r="A1260" s="53" t="str">
        <f aca="false">IF($H1260="","",ROW()-5)</f>
        <v/>
      </c>
      <c r="B1260" s="64" t="s">
        <v>36</v>
      </c>
      <c r="C1260" s="53" t="n">
        <v>319</v>
      </c>
      <c r="D1260" s="53" t="n">
        <v>3</v>
      </c>
      <c r="E1260" s="65" t="str">
        <f aca="false">IF($H1260="","",购销流水!$B319)</f>
        <v/>
      </c>
      <c r="F1260" s="55" t="str">
        <f aca="false">IF($H1260="","",购销流水!$C319)</f>
        <v/>
      </c>
      <c r="G1260" s="48" t="str">
        <f aca="false">IF($H1260="","",购销流水!$N319)</f>
        <v/>
      </c>
      <c r="H1260" s="10" t="str">
        <f aca="false">IF($L1260="","",IF($L1260="@成本",购销流水!$U319,IF($L1260="@收入",购销流水!$T319,IF($L1260="@存货",购销流水!$S319,IF($L1260="@结算",购销流水!$R319,$L1260)))))</f>
        <v/>
      </c>
      <c r="I1260" s="42" t="n">
        <f aca="false">IF($M1260="借",$O1260,0)</f>
        <v>0</v>
      </c>
      <c r="J1260" s="42" t="n">
        <f aca="false">IF($M1260="贷",$O1260,0)</f>
        <v>0</v>
      </c>
      <c r="K1260" s="48" t="str">
        <f aca="false">IF($H1260="","",购销流水!$E319)</f>
        <v/>
      </c>
      <c r="L1260" s="66" t="str">
        <f aca="false">IF(购销流水!$D319="","",IFERROR(INDEX(记账规则!$A$6:$N$9,MATCH(购销流水!$D319,记账规则!$A$6:$A$9,0),9),""))</f>
        <v/>
      </c>
      <c r="M1260" s="66" t="str">
        <f aca="false">IF($L1260="","",IFERROR(INDEX(记账规则!$A$6:$N$9,MATCH(购销流水!$D319,记账规则!$A$6:$A$9,0),10),""))</f>
        <v/>
      </c>
      <c r="N1260" s="66" t="str">
        <f aca="false">IF($L1260="","",IFERROR(INDEX(记账规则!$A$6:$N$9,MATCH(购销流水!$D319,记账规则!$A$6:$A$9,0),11),""))</f>
        <v/>
      </c>
      <c r="O1260" s="67" t="n">
        <f aca="false">IF($H1260="",0,ROUND(IF($N1260="成本金额",N(购销流水!$W319),IF($N1260="金额",N(购销流水!$Q319),0)),2))</f>
        <v>0</v>
      </c>
      <c r="P1260" s="64" t="str">
        <f aca="false">IF(AND($H1260&lt;&gt;"",ROUND($O1260,2)&lt;&gt;0),"有","")</f>
        <v/>
      </c>
    </row>
    <row r="1261" customFormat="false" ht="15" hidden="true" customHeight="false" outlineLevel="0" collapsed="false">
      <c r="A1261" s="53" t="str">
        <f aca="false">IF($H1261="","",ROW()-5)</f>
        <v/>
      </c>
      <c r="B1261" s="64" t="s">
        <v>36</v>
      </c>
      <c r="C1261" s="53" t="n">
        <v>319</v>
      </c>
      <c r="D1261" s="53" t="n">
        <v>4</v>
      </c>
      <c r="E1261" s="65" t="str">
        <f aca="false">IF($H1261="","",购销流水!$B319)</f>
        <v/>
      </c>
      <c r="F1261" s="55" t="str">
        <f aca="false">IF($H1261="","",购销流水!$C319)</f>
        <v/>
      </c>
      <c r="G1261" s="48" t="str">
        <f aca="false">IF($H1261="","",购销流水!$N319)</f>
        <v/>
      </c>
      <c r="H1261" s="10" t="str">
        <f aca="false">IF($L1261="","",IF($L1261="@成本",购销流水!$U319,IF($L1261="@收入",购销流水!$T319,IF($L1261="@存货",购销流水!$S319,IF($L1261="@结算",购销流水!$R319,$L1261)))))</f>
        <v/>
      </c>
      <c r="I1261" s="42" t="n">
        <f aca="false">IF($M1261="借",$O1261,0)</f>
        <v>0</v>
      </c>
      <c r="J1261" s="42" t="n">
        <f aca="false">IF($M1261="贷",$O1261,0)</f>
        <v>0</v>
      </c>
      <c r="K1261" s="48" t="str">
        <f aca="false">IF($H1261="","",购销流水!$E319)</f>
        <v/>
      </c>
      <c r="L1261" s="66" t="str">
        <f aca="false">IF(购销流水!$D319="","",IFERROR(INDEX(记账规则!$A$6:$N$9,MATCH(购销流水!$D319,记账规则!$A$6:$A$9,0),12),""))</f>
        <v/>
      </c>
      <c r="M1261" s="66" t="str">
        <f aca="false">IF($L1261="","",IFERROR(INDEX(记账规则!$A$6:$N$9,MATCH(购销流水!$D319,记账规则!$A$6:$A$9,0),13),""))</f>
        <v/>
      </c>
      <c r="N1261" s="66" t="str">
        <f aca="false">IF($L1261="","",IFERROR(INDEX(记账规则!$A$6:$N$9,MATCH(购销流水!$D319,记账规则!$A$6:$A$9,0),14),""))</f>
        <v/>
      </c>
      <c r="O1261" s="67" t="n">
        <f aca="false">IF($H1261="",0,ROUND(IF($N1261="成本金额",N(购销流水!$W319),IF($N1261="金额",N(购销流水!$Q319),0)),2))</f>
        <v>0</v>
      </c>
      <c r="P1261" s="64" t="str">
        <f aca="false">IF(AND($H1261&lt;&gt;"",ROUND($O1261,2)&lt;&gt;0),"有","")</f>
        <v/>
      </c>
    </row>
    <row r="1262" customFormat="false" ht="15" hidden="true" customHeight="false" outlineLevel="0" collapsed="false">
      <c r="A1262" s="53" t="str">
        <f aca="false">IF($H1262="","",ROW()-5)</f>
        <v/>
      </c>
      <c r="B1262" s="64" t="s">
        <v>36</v>
      </c>
      <c r="C1262" s="53" t="n">
        <v>320</v>
      </c>
      <c r="D1262" s="53" t="n">
        <v>1</v>
      </c>
      <c r="E1262" s="65" t="str">
        <f aca="false">IF($H1262="","",购销流水!$B320)</f>
        <v/>
      </c>
      <c r="F1262" s="55" t="str">
        <f aca="false">IF($H1262="","",购销流水!$C320)</f>
        <v/>
      </c>
      <c r="G1262" s="48" t="str">
        <f aca="false">IF($H1262="","",购销流水!$N320)</f>
        <v/>
      </c>
      <c r="H1262" s="10" t="str">
        <f aca="false">IF($L1262="","",IF($L1262="@成本",购销流水!$U320,IF($L1262="@收入",购销流水!$T320,IF($L1262="@存货",购销流水!$S320,IF($L1262="@结算",购销流水!$R320,$L1262)))))</f>
        <v/>
      </c>
      <c r="I1262" s="42" t="n">
        <f aca="false">IF($M1262="借",$O1262,0)</f>
        <v>0</v>
      </c>
      <c r="J1262" s="42" t="n">
        <f aca="false">IF($M1262="贷",$O1262,0)</f>
        <v>0</v>
      </c>
      <c r="K1262" s="48" t="str">
        <f aca="false">IF($H1262="","",购销流水!$E320)</f>
        <v/>
      </c>
      <c r="L1262" s="66" t="str">
        <f aca="false">IF(购销流水!$D320="","",IFERROR(INDEX(记账规则!$A$6:$N$9,MATCH(购销流水!$D320,记账规则!$A$6:$A$9,0),3),""))</f>
        <v/>
      </c>
      <c r="M1262" s="66" t="str">
        <f aca="false">IF($L1262="","",IFERROR(INDEX(记账规则!$A$6:$N$9,MATCH(购销流水!$D320,记账规则!$A$6:$A$9,0),4),""))</f>
        <v/>
      </c>
      <c r="N1262" s="66" t="str">
        <f aca="false">IF($L1262="","",IFERROR(INDEX(记账规则!$A$6:$N$9,MATCH(购销流水!$D320,记账规则!$A$6:$A$9,0),5),""))</f>
        <v/>
      </c>
      <c r="O1262" s="67" t="n">
        <f aca="false">IF($H1262="",0,ROUND(IF($N1262="成本金额",N(购销流水!$W320),IF($N1262="金额",N(购销流水!$Q320),0)),2))</f>
        <v>0</v>
      </c>
      <c r="P1262" s="64" t="str">
        <f aca="false">IF(AND($H1262&lt;&gt;"",ROUND($O1262,2)&lt;&gt;0),"有","")</f>
        <v/>
      </c>
    </row>
    <row r="1263" customFormat="false" ht="15" hidden="true" customHeight="false" outlineLevel="0" collapsed="false">
      <c r="A1263" s="53" t="str">
        <f aca="false">IF($H1263="","",ROW()-5)</f>
        <v/>
      </c>
      <c r="B1263" s="64" t="s">
        <v>36</v>
      </c>
      <c r="C1263" s="53" t="n">
        <v>320</v>
      </c>
      <c r="D1263" s="53" t="n">
        <v>2</v>
      </c>
      <c r="E1263" s="65" t="str">
        <f aca="false">IF($H1263="","",购销流水!$B320)</f>
        <v/>
      </c>
      <c r="F1263" s="55" t="str">
        <f aca="false">IF($H1263="","",购销流水!$C320)</f>
        <v/>
      </c>
      <c r="G1263" s="48" t="str">
        <f aca="false">IF($H1263="","",购销流水!$N320)</f>
        <v/>
      </c>
      <c r="H1263" s="10" t="str">
        <f aca="false">IF($L1263="","",IF($L1263="@成本",购销流水!$U320,IF($L1263="@收入",购销流水!$T320,IF($L1263="@存货",购销流水!$S320,IF($L1263="@结算",购销流水!$R320,$L1263)))))</f>
        <v/>
      </c>
      <c r="I1263" s="42" t="n">
        <f aca="false">IF($M1263="借",$O1263,0)</f>
        <v>0</v>
      </c>
      <c r="J1263" s="42" t="n">
        <f aca="false">IF($M1263="贷",$O1263,0)</f>
        <v>0</v>
      </c>
      <c r="K1263" s="48" t="str">
        <f aca="false">IF($H1263="","",购销流水!$E320)</f>
        <v/>
      </c>
      <c r="L1263" s="66" t="str">
        <f aca="false">IF(购销流水!$D320="","",IFERROR(INDEX(记账规则!$A$6:$N$9,MATCH(购销流水!$D320,记账规则!$A$6:$A$9,0),6),""))</f>
        <v/>
      </c>
      <c r="M1263" s="66" t="str">
        <f aca="false">IF($L1263="","",IFERROR(INDEX(记账规则!$A$6:$N$9,MATCH(购销流水!$D320,记账规则!$A$6:$A$9,0),7),""))</f>
        <v/>
      </c>
      <c r="N1263" s="66" t="str">
        <f aca="false">IF($L1263="","",IFERROR(INDEX(记账规则!$A$6:$N$9,MATCH(购销流水!$D320,记账规则!$A$6:$A$9,0),8),""))</f>
        <v/>
      </c>
      <c r="O1263" s="67" t="n">
        <f aca="false">IF($H1263="",0,ROUND(IF($N1263="成本金额",N(购销流水!$W320),IF($N1263="金额",N(购销流水!$Q320),0)),2))</f>
        <v>0</v>
      </c>
      <c r="P1263" s="64" t="str">
        <f aca="false">IF(AND($H1263&lt;&gt;"",ROUND($O1263,2)&lt;&gt;0),"有","")</f>
        <v/>
      </c>
    </row>
    <row r="1264" customFormat="false" ht="15" hidden="true" customHeight="false" outlineLevel="0" collapsed="false">
      <c r="A1264" s="53" t="str">
        <f aca="false">IF($H1264="","",ROW()-5)</f>
        <v/>
      </c>
      <c r="B1264" s="64" t="s">
        <v>36</v>
      </c>
      <c r="C1264" s="53" t="n">
        <v>320</v>
      </c>
      <c r="D1264" s="53" t="n">
        <v>3</v>
      </c>
      <c r="E1264" s="65" t="str">
        <f aca="false">IF($H1264="","",购销流水!$B320)</f>
        <v/>
      </c>
      <c r="F1264" s="55" t="str">
        <f aca="false">IF($H1264="","",购销流水!$C320)</f>
        <v/>
      </c>
      <c r="G1264" s="48" t="str">
        <f aca="false">IF($H1264="","",购销流水!$N320)</f>
        <v/>
      </c>
      <c r="H1264" s="10" t="str">
        <f aca="false">IF($L1264="","",IF($L1264="@成本",购销流水!$U320,IF($L1264="@收入",购销流水!$T320,IF($L1264="@存货",购销流水!$S320,IF($L1264="@结算",购销流水!$R320,$L1264)))))</f>
        <v/>
      </c>
      <c r="I1264" s="42" t="n">
        <f aca="false">IF($M1264="借",$O1264,0)</f>
        <v>0</v>
      </c>
      <c r="J1264" s="42" t="n">
        <f aca="false">IF($M1264="贷",$O1264,0)</f>
        <v>0</v>
      </c>
      <c r="K1264" s="48" t="str">
        <f aca="false">IF($H1264="","",购销流水!$E320)</f>
        <v/>
      </c>
      <c r="L1264" s="66" t="str">
        <f aca="false">IF(购销流水!$D320="","",IFERROR(INDEX(记账规则!$A$6:$N$9,MATCH(购销流水!$D320,记账规则!$A$6:$A$9,0),9),""))</f>
        <v/>
      </c>
      <c r="M1264" s="66" t="str">
        <f aca="false">IF($L1264="","",IFERROR(INDEX(记账规则!$A$6:$N$9,MATCH(购销流水!$D320,记账规则!$A$6:$A$9,0),10),""))</f>
        <v/>
      </c>
      <c r="N1264" s="66" t="str">
        <f aca="false">IF($L1264="","",IFERROR(INDEX(记账规则!$A$6:$N$9,MATCH(购销流水!$D320,记账规则!$A$6:$A$9,0),11),""))</f>
        <v/>
      </c>
      <c r="O1264" s="67" t="n">
        <f aca="false">IF($H1264="",0,ROUND(IF($N1264="成本金额",N(购销流水!$W320),IF($N1264="金额",N(购销流水!$Q320),0)),2))</f>
        <v>0</v>
      </c>
      <c r="P1264" s="64" t="str">
        <f aca="false">IF(AND($H1264&lt;&gt;"",ROUND($O1264,2)&lt;&gt;0),"有","")</f>
        <v/>
      </c>
    </row>
    <row r="1265" customFormat="false" ht="15" hidden="true" customHeight="false" outlineLevel="0" collapsed="false">
      <c r="A1265" s="53" t="str">
        <f aca="false">IF($H1265="","",ROW()-5)</f>
        <v/>
      </c>
      <c r="B1265" s="64" t="s">
        <v>36</v>
      </c>
      <c r="C1265" s="53" t="n">
        <v>320</v>
      </c>
      <c r="D1265" s="53" t="n">
        <v>4</v>
      </c>
      <c r="E1265" s="65" t="str">
        <f aca="false">IF($H1265="","",购销流水!$B320)</f>
        <v/>
      </c>
      <c r="F1265" s="55" t="str">
        <f aca="false">IF($H1265="","",购销流水!$C320)</f>
        <v/>
      </c>
      <c r="G1265" s="48" t="str">
        <f aca="false">IF($H1265="","",购销流水!$N320)</f>
        <v/>
      </c>
      <c r="H1265" s="10" t="str">
        <f aca="false">IF($L1265="","",IF($L1265="@成本",购销流水!$U320,IF($L1265="@收入",购销流水!$T320,IF($L1265="@存货",购销流水!$S320,IF($L1265="@结算",购销流水!$R320,$L1265)))))</f>
        <v/>
      </c>
      <c r="I1265" s="42" t="n">
        <f aca="false">IF($M1265="借",$O1265,0)</f>
        <v>0</v>
      </c>
      <c r="J1265" s="42" t="n">
        <f aca="false">IF($M1265="贷",$O1265,0)</f>
        <v>0</v>
      </c>
      <c r="K1265" s="48" t="str">
        <f aca="false">IF($H1265="","",购销流水!$E320)</f>
        <v/>
      </c>
      <c r="L1265" s="66" t="str">
        <f aca="false">IF(购销流水!$D320="","",IFERROR(INDEX(记账规则!$A$6:$N$9,MATCH(购销流水!$D320,记账规则!$A$6:$A$9,0),12),""))</f>
        <v/>
      </c>
      <c r="M1265" s="66" t="str">
        <f aca="false">IF($L1265="","",IFERROR(INDEX(记账规则!$A$6:$N$9,MATCH(购销流水!$D320,记账规则!$A$6:$A$9,0),13),""))</f>
        <v/>
      </c>
      <c r="N1265" s="66" t="str">
        <f aca="false">IF($L1265="","",IFERROR(INDEX(记账规则!$A$6:$N$9,MATCH(购销流水!$D320,记账规则!$A$6:$A$9,0),14),""))</f>
        <v/>
      </c>
      <c r="O1265" s="67" t="n">
        <f aca="false">IF($H1265="",0,ROUND(IF($N1265="成本金额",N(购销流水!$W320),IF($N1265="金额",N(购销流水!$Q320),0)),2))</f>
        <v>0</v>
      </c>
      <c r="P1265" s="64" t="str">
        <f aca="false">IF(AND($H1265&lt;&gt;"",ROUND($O1265,2)&lt;&gt;0),"有","")</f>
        <v/>
      </c>
    </row>
    <row r="1266" customFormat="false" ht="15" hidden="true" customHeight="false" outlineLevel="0" collapsed="false">
      <c r="A1266" s="53" t="str">
        <f aca="false">IF($H1266="","",ROW()-5)</f>
        <v/>
      </c>
      <c r="B1266" s="64" t="s">
        <v>36</v>
      </c>
      <c r="C1266" s="53" t="n">
        <v>321</v>
      </c>
      <c r="D1266" s="53" t="n">
        <v>1</v>
      </c>
      <c r="E1266" s="65" t="str">
        <f aca="false">IF($H1266="","",购销流水!$B321)</f>
        <v/>
      </c>
      <c r="F1266" s="55" t="str">
        <f aca="false">IF($H1266="","",购销流水!$C321)</f>
        <v/>
      </c>
      <c r="G1266" s="48" t="str">
        <f aca="false">IF($H1266="","",购销流水!$N321)</f>
        <v/>
      </c>
      <c r="H1266" s="10" t="str">
        <f aca="false">IF($L1266="","",IF($L1266="@成本",购销流水!$U321,IF($L1266="@收入",购销流水!$T321,IF($L1266="@存货",购销流水!$S321,IF($L1266="@结算",购销流水!$R321,$L1266)))))</f>
        <v/>
      </c>
      <c r="I1266" s="42" t="n">
        <f aca="false">IF($M1266="借",$O1266,0)</f>
        <v>0</v>
      </c>
      <c r="J1266" s="42" t="n">
        <f aca="false">IF($M1266="贷",$O1266,0)</f>
        <v>0</v>
      </c>
      <c r="K1266" s="48" t="str">
        <f aca="false">IF($H1266="","",购销流水!$E321)</f>
        <v/>
      </c>
      <c r="L1266" s="66" t="str">
        <f aca="false">IF(购销流水!$D321="","",IFERROR(INDEX(记账规则!$A$6:$N$9,MATCH(购销流水!$D321,记账规则!$A$6:$A$9,0),3),""))</f>
        <v/>
      </c>
      <c r="M1266" s="66" t="str">
        <f aca="false">IF($L1266="","",IFERROR(INDEX(记账规则!$A$6:$N$9,MATCH(购销流水!$D321,记账规则!$A$6:$A$9,0),4),""))</f>
        <v/>
      </c>
      <c r="N1266" s="66" t="str">
        <f aca="false">IF($L1266="","",IFERROR(INDEX(记账规则!$A$6:$N$9,MATCH(购销流水!$D321,记账规则!$A$6:$A$9,0),5),""))</f>
        <v/>
      </c>
      <c r="O1266" s="67" t="n">
        <f aca="false">IF($H1266="",0,ROUND(IF($N1266="成本金额",N(购销流水!$W321),IF($N1266="金额",N(购销流水!$Q321),0)),2))</f>
        <v>0</v>
      </c>
      <c r="P1266" s="64" t="str">
        <f aca="false">IF(AND($H1266&lt;&gt;"",ROUND($O1266,2)&lt;&gt;0),"有","")</f>
        <v/>
      </c>
    </row>
    <row r="1267" customFormat="false" ht="15" hidden="true" customHeight="false" outlineLevel="0" collapsed="false">
      <c r="A1267" s="53" t="str">
        <f aca="false">IF($H1267="","",ROW()-5)</f>
        <v/>
      </c>
      <c r="B1267" s="64" t="s">
        <v>36</v>
      </c>
      <c r="C1267" s="53" t="n">
        <v>321</v>
      </c>
      <c r="D1267" s="53" t="n">
        <v>2</v>
      </c>
      <c r="E1267" s="65" t="str">
        <f aca="false">IF($H1267="","",购销流水!$B321)</f>
        <v/>
      </c>
      <c r="F1267" s="55" t="str">
        <f aca="false">IF($H1267="","",购销流水!$C321)</f>
        <v/>
      </c>
      <c r="G1267" s="48" t="str">
        <f aca="false">IF($H1267="","",购销流水!$N321)</f>
        <v/>
      </c>
      <c r="H1267" s="10" t="str">
        <f aca="false">IF($L1267="","",IF($L1267="@成本",购销流水!$U321,IF($L1267="@收入",购销流水!$T321,IF($L1267="@存货",购销流水!$S321,IF($L1267="@结算",购销流水!$R321,$L1267)))))</f>
        <v/>
      </c>
      <c r="I1267" s="42" t="n">
        <f aca="false">IF($M1267="借",$O1267,0)</f>
        <v>0</v>
      </c>
      <c r="J1267" s="42" t="n">
        <f aca="false">IF($M1267="贷",$O1267,0)</f>
        <v>0</v>
      </c>
      <c r="K1267" s="48" t="str">
        <f aca="false">IF($H1267="","",购销流水!$E321)</f>
        <v/>
      </c>
      <c r="L1267" s="66" t="str">
        <f aca="false">IF(购销流水!$D321="","",IFERROR(INDEX(记账规则!$A$6:$N$9,MATCH(购销流水!$D321,记账规则!$A$6:$A$9,0),6),""))</f>
        <v/>
      </c>
      <c r="M1267" s="66" t="str">
        <f aca="false">IF($L1267="","",IFERROR(INDEX(记账规则!$A$6:$N$9,MATCH(购销流水!$D321,记账规则!$A$6:$A$9,0),7),""))</f>
        <v/>
      </c>
      <c r="N1267" s="66" t="str">
        <f aca="false">IF($L1267="","",IFERROR(INDEX(记账规则!$A$6:$N$9,MATCH(购销流水!$D321,记账规则!$A$6:$A$9,0),8),""))</f>
        <v/>
      </c>
      <c r="O1267" s="67" t="n">
        <f aca="false">IF($H1267="",0,ROUND(IF($N1267="成本金额",N(购销流水!$W321),IF($N1267="金额",N(购销流水!$Q321),0)),2))</f>
        <v>0</v>
      </c>
      <c r="P1267" s="64" t="str">
        <f aca="false">IF(AND($H1267&lt;&gt;"",ROUND($O1267,2)&lt;&gt;0),"有","")</f>
        <v/>
      </c>
    </row>
    <row r="1268" customFormat="false" ht="15" hidden="true" customHeight="false" outlineLevel="0" collapsed="false">
      <c r="A1268" s="53" t="str">
        <f aca="false">IF($H1268="","",ROW()-5)</f>
        <v/>
      </c>
      <c r="B1268" s="64" t="s">
        <v>36</v>
      </c>
      <c r="C1268" s="53" t="n">
        <v>321</v>
      </c>
      <c r="D1268" s="53" t="n">
        <v>3</v>
      </c>
      <c r="E1268" s="65" t="str">
        <f aca="false">IF($H1268="","",购销流水!$B321)</f>
        <v/>
      </c>
      <c r="F1268" s="55" t="str">
        <f aca="false">IF($H1268="","",购销流水!$C321)</f>
        <v/>
      </c>
      <c r="G1268" s="48" t="str">
        <f aca="false">IF($H1268="","",购销流水!$N321)</f>
        <v/>
      </c>
      <c r="H1268" s="10" t="str">
        <f aca="false">IF($L1268="","",IF($L1268="@成本",购销流水!$U321,IF($L1268="@收入",购销流水!$T321,IF($L1268="@存货",购销流水!$S321,IF($L1268="@结算",购销流水!$R321,$L1268)))))</f>
        <v/>
      </c>
      <c r="I1268" s="42" t="n">
        <f aca="false">IF($M1268="借",$O1268,0)</f>
        <v>0</v>
      </c>
      <c r="J1268" s="42" t="n">
        <f aca="false">IF($M1268="贷",$O1268,0)</f>
        <v>0</v>
      </c>
      <c r="K1268" s="48" t="str">
        <f aca="false">IF($H1268="","",购销流水!$E321)</f>
        <v/>
      </c>
      <c r="L1268" s="66" t="str">
        <f aca="false">IF(购销流水!$D321="","",IFERROR(INDEX(记账规则!$A$6:$N$9,MATCH(购销流水!$D321,记账规则!$A$6:$A$9,0),9),""))</f>
        <v/>
      </c>
      <c r="M1268" s="66" t="str">
        <f aca="false">IF($L1268="","",IFERROR(INDEX(记账规则!$A$6:$N$9,MATCH(购销流水!$D321,记账规则!$A$6:$A$9,0),10),""))</f>
        <v/>
      </c>
      <c r="N1268" s="66" t="str">
        <f aca="false">IF($L1268="","",IFERROR(INDEX(记账规则!$A$6:$N$9,MATCH(购销流水!$D321,记账规则!$A$6:$A$9,0),11),""))</f>
        <v/>
      </c>
      <c r="O1268" s="67" t="n">
        <f aca="false">IF($H1268="",0,ROUND(IF($N1268="成本金额",N(购销流水!$W321),IF($N1268="金额",N(购销流水!$Q321),0)),2))</f>
        <v>0</v>
      </c>
      <c r="P1268" s="64" t="str">
        <f aca="false">IF(AND($H1268&lt;&gt;"",ROUND($O1268,2)&lt;&gt;0),"有","")</f>
        <v/>
      </c>
    </row>
    <row r="1269" customFormat="false" ht="15" hidden="true" customHeight="false" outlineLevel="0" collapsed="false">
      <c r="A1269" s="53" t="str">
        <f aca="false">IF($H1269="","",ROW()-5)</f>
        <v/>
      </c>
      <c r="B1269" s="64" t="s">
        <v>36</v>
      </c>
      <c r="C1269" s="53" t="n">
        <v>321</v>
      </c>
      <c r="D1269" s="53" t="n">
        <v>4</v>
      </c>
      <c r="E1269" s="65" t="str">
        <f aca="false">IF($H1269="","",购销流水!$B321)</f>
        <v/>
      </c>
      <c r="F1269" s="55" t="str">
        <f aca="false">IF($H1269="","",购销流水!$C321)</f>
        <v/>
      </c>
      <c r="G1269" s="48" t="str">
        <f aca="false">IF($H1269="","",购销流水!$N321)</f>
        <v/>
      </c>
      <c r="H1269" s="10" t="str">
        <f aca="false">IF($L1269="","",IF($L1269="@成本",购销流水!$U321,IF($L1269="@收入",购销流水!$T321,IF($L1269="@存货",购销流水!$S321,IF($L1269="@结算",购销流水!$R321,$L1269)))))</f>
        <v/>
      </c>
      <c r="I1269" s="42" t="n">
        <f aca="false">IF($M1269="借",$O1269,0)</f>
        <v>0</v>
      </c>
      <c r="J1269" s="42" t="n">
        <f aca="false">IF($M1269="贷",$O1269,0)</f>
        <v>0</v>
      </c>
      <c r="K1269" s="48" t="str">
        <f aca="false">IF($H1269="","",购销流水!$E321)</f>
        <v/>
      </c>
      <c r="L1269" s="66" t="str">
        <f aca="false">IF(购销流水!$D321="","",IFERROR(INDEX(记账规则!$A$6:$N$9,MATCH(购销流水!$D321,记账规则!$A$6:$A$9,0),12),""))</f>
        <v/>
      </c>
      <c r="M1269" s="66" t="str">
        <f aca="false">IF($L1269="","",IFERROR(INDEX(记账规则!$A$6:$N$9,MATCH(购销流水!$D321,记账规则!$A$6:$A$9,0),13),""))</f>
        <v/>
      </c>
      <c r="N1269" s="66" t="str">
        <f aca="false">IF($L1269="","",IFERROR(INDEX(记账规则!$A$6:$N$9,MATCH(购销流水!$D321,记账规则!$A$6:$A$9,0),14),""))</f>
        <v/>
      </c>
      <c r="O1269" s="67" t="n">
        <f aca="false">IF($H1269="",0,ROUND(IF($N1269="成本金额",N(购销流水!$W321),IF($N1269="金额",N(购销流水!$Q321),0)),2))</f>
        <v>0</v>
      </c>
      <c r="P1269" s="64" t="str">
        <f aca="false">IF(AND($H1269&lt;&gt;"",ROUND($O1269,2)&lt;&gt;0),"有","")</f>
        <v/>
      </c>
    </row>
    <row r="1270" customFormat="false" ht="15" hidden="true" customHeight="false" outlineLevel="0" collapsed="false">
      <c r="A1270" s="53" t="str">
        <f aca="false">IF($H1270="","",ROW()-5)</f>
        <v/>
      </c>
      <c r="B1270" s="64" t="s">
        <v>36</v>
      </c>
      <c r="C1270" s="53" t="n">
        <v>322</v>
      </c>
      <c r="D1270" s="53" t="n">
        <v>1</v>
      </c>
      <c r="E1270" s="65" t="str">
        <f aca="false">IF($H1270="","",购销流水!$B322)</f>
        <v/>
      </c>
      <c r="F1270" s="55" t="str">
        <f aca="false">IF($H1270="","",购销流水!$C322)</f>
        <v/>
      </c>
      <c r="G1270" s="48" t="str">
        <f aca="false">IF($H1270="","",购销流水!$N322)</f>
        <v/>
      </c>
      <c r="H1270" s="10" t="str">
        <f aca="false">IF($L1270="","",IF($L1270="@成本",购销流水!$U322,IF($L1270="@收入",购销流水!$T322,IF($L1270="@存货",购销流水!$S322,IF($L1270="@结算",购销流水!$R322,$L1270)))))</f>
        <v/>
      </c>
      <c r="I1270" s="42" t="n">
        <f aca="false">IF($M1270="借",$O1270,0)</f>
        <v>0</v>
      </c>
      <c r="J1270" s="42" t="n">
        <f aca="false">IF($M1270="贷",$O1270,0)</f>
        <v>0</v>
      </c>
      <c r="K1270" s="48" t="str">
        <f aca="false">IF($H1270="","",购销流水!$E322)</f>
        <v/>
      </c>
      <c r="L1270" s="66" t="str">
        <f aca="false">IF(购销流水!$D322="","",IFERROR(INDEX(记账规则!$A$6:$N$9,MATCH(购销流水!$D322,记账规则!$A$6:$A$9,0),3),""))</f>
        <v/>
      </c>
      <c r="M1270" s="66" t="str">
        <f aca="false">IF($L1270="","",IFERROR(INDEX(记账规则!$A$6:$N$9,MATCH(购销流水!$D322,记账规则!$A$6:$A$9,0),4),""))</f>
        <v/>
      </c>
      <c r="N1270" s="66" t="str">
        <f aca="false">IF($L1270="","",IFERROR(INDEX(记账规则!$A$6:$N$9,MATCH(购销流水!$D322,记账规则!$A$6:$A$9,0),5),""))</f>
        <v/>
      </c>
      <c r="O1270" s="67" t="n">
        <f aca="false">IF($H1270="",0,ROUND(IF($N1270="成本金额",N(购销流水!$W322),IF($N1270="金额",N(购销流水!$Q322),0)),2))</f>
        <v>0</v>
      </c>
      <c r="P1270" s="64" t="str">
        <f aca="false">IF(AND($H1270&lt;&gt;"",ROUND($O1270,2)&lt;&gt;0),"有","")</f>
        <v/>
      </c>
    </row>
    <row r="1271" customFormat="false" ht="15" hidden="true" customHeight="false" outlineLevel="0" collapsed="false">
      <c r="A1271" s="53" t="str">
        <f aca="false">IF($H1271="","",ROW()-5)</f>
        <v/>
      </c>
      <c r="B1271" s="64" t="s">
        <v>36</v>
      </c>
      <c r="C1271" s="53" t="n">
        <v>322</v>
      </c>
      <c r="D1271" s="53" t="n">
        <v>2</v>
      </c>
      <c r="E1271" s="65" t="str">
        <f aca="false">IF($H1271="","",购销流水!$B322)</f>
        <v/>
      </c>
      <c r="F1271" s="55" t="str">
        <f aca="false">IF($H1271="","",购销流水!$C322)</f>
        <v/>
      </c>
      <c r="G1271" s="48" t="str">
        <f aca="false">IF($H1271="","",购销流水!$N322)</f>
        <v/>
      </c>
      <c r="H1271" s="10" t="str">
        <f aca="false">IF($L1271="","",IF($L1271="@成本",购销流水!$U322,IF($L1271="@收入",购销流水!$T322,IF($L1271="@存货",购销流水!$S322,IF($L1271="@结算",购销流水!$R322,$L1271)))))</f>
        <v/>
      </c>
      <c r="I1271" s="42" t="n">
        <f aca="false">IF($M1271="借",$O1271,0)</f>
        <v>0</v>
      </c>
      <c r="J1271" s="42" t="n">
        <f aca="false">IF($M1271="贷",$O1271,0)</f>
        <v>0</v>
      </c>
      <c r="K1271" s="48" t="str">
        <f aca="false">IF($H1271="","",购销流水!$E322)</f>
        <v/>
      </c>
      <c r="L1271" s="66" t="str">
        <f aca="false">IF(购销流水!$D322="","",IFERROR(INDEX(记账规则!$A$6:$N$9,MATCH(购销流水!$D322,记账规则!$A$6:$A$9,0),6),""))</f>
        <v/>
      </c>
      <c r="M1271" s="66" t="str">
        <f aca="false">IF($L1271="","",IFERROR(INDEX(记账规则!$A$6:$N$9,MATCH(购销流水!$D322,记账规则!$A$6:$A$9,0),7),""))</f>
        <v/>
      </c>
      <c r="N1271" s="66" t="str">
        <f aca="false">IF($L1271="","",IFERROR(INDEX(记账规则!$A$6:$N$9,MATCH(购销流水!$D322,记账规则!$A$6:$A$9,0),8),""))</f>
        <v/>
      </c>
      <c r="O1271" s="67" t="n">
        <f aca="false">IF($H1271="",0,ROUND(IF($N1271="成本金额",N(购销流水!$W322),IF($N1271="金额",N(购销流水!$Q322),0)),2))</f>
        <v>0</v>
      </c>
      <c r="P1271" s="64" t="str">
        <f aca="false">IF(AND($H1271&lt;&gt;"",ROUND($O1271,2)&lt;&gt;0),"有","")</f>
        <v/>
      </c>
    </row>
    <row r="1272" customFormat="false" ht="15" hidden="true" customHeight="false" outlineLevel="0" collapsed="false">
      <c r="A1272" s="53" t="str">
        <f aca="false">IF($H1272="","",ROW()-5)</f>
        <v/>
      </c>
      <c r="B1272" s="64" t="s">
        <v>36</v>
      </c>
      <c r="C1272" s="53" t="n">
        <v>322</v>
      </c>
      <c r="D1272" s="53" t="n">
        <v>3</v>
      </c>
      <c r="E1272" s="65" t="str">
        <f aca="false">IF($H1272="","",购销流水!$B322)</f>
        <v/>
      </c>
      <c r="F1272" s="55" t="str">
        <f aca="false">IF($H1272="","",购销流水!$C322)</f>
        <v/>
      </c>
      <c r="G1272" s="48" t="str">
        <f aca="false">IF($H1272="","",购销流水!$N322)</f>
        <v/>
      </c>
      <c r="H1272" s="10" t="str">
        <f aca="false">IF($L1272="","",IF($L1272="@成本",购销流水!$U322,IF($L1272="@收入",购销流水!$T322,IF($L1272="@存货",购销流水!$S322,IF($L1272="@结算",购销流水!$R322,$L1272)))))</f>
        <v/>
      </c>
      <c r="I1272" s="42" t="n">
        <f aca="false">IF($M1272="借",$O1272,0)</f>
        <v>0</v>
      </c>
      <c r="J1272" s="42" t="n">
        <f aca="false">IF($M1272="贷",$O1272,0)</f>
        <v>0</v>
      </c>
      <c r="K1272" s="48" t="str">
        <f aca="false">IF($H1272="","",购销流水!$E322)</f>
        <v/>
      </c>
      <c r="L1272" s="66" t="str">
        <f aca="false">IF(购销流水!$D322="","",IFERROR(INDEX(记账规则!$A$6:$N$9,MATCH(购销流水!$D322,记账规则!$A$6:$A$9,0),9),""))</f>
        <v/>
      </c>
      <c r="M1272" s="66" t="str">
        <f aca="false">IF($L1272="","",IFERROR(INDEX(记账规则!$A$6:$N$9,MATCH(购销流水!$D322,记账规则!$A$6:$A$9,0),10),""))</f>
        <v/>
      </c>
      <c r="N1272" s="66" t="str">
        <f aca="false">IF($L1272="","",IFERROR(INDEX(记账规则!$A$6:$N$9,MATCH(购销流水!$D322,记账规则!$A$6:$A$9,0),11),""))</f>
        <v/>
      </c>
      <c r="O1272" s="67" t="n">
        <f aca="false">IF($H1272="",0,ROUND(IF($N1272="成本金额",N(购销流水!$W322),IF($N1272="金额",N(购销流水!$Q322),0)),2))</f>
        <v>0</v>
      </c>
      <c r="P1272" s="64" t="str">
        <f aca="false">IF(AND($H1272&lt;&gt;"",ROUND($O1272,2)&lt;&gt;0),"有","")</f>
        <v/>
      </c>
    </row>
    <row r="1273" customFormat="false" ht="15" hidden="true" customHeight="false" outlineLevel="0" collapsed="false">
      <c r="A1273" s="53" t="str">
        <f aca="false">IF($H1273="","",ROW()-5)</f>
        <v/>
      </c>
      <c r="B1273" s="64" t="s">
        <v>36</v>
      </c>
      <c r="C1273" s="53" t="n">
        <v>322</v>
      </c>
      <c r="D1273" s="53" t="n">
        <v>4</v>
      </c>
      <c r="E1273" s="65" t="str">
        <f aca="false">IF($H1273="","",购销流水!$B322)</f>
        <v/>
      </c>
      <c r="F1273" s="55" t="str">
        <f aca="false">IF($H1273="","",购销流水!$C322)</f>
        <v/>
      </c>
      <c r="G1273" s="48" t="str">
        <f aca="false">IF($H1273="","",购销流水!$N322)</f>
        <v/>
      </c>
      <c r="H1273" s="10" t="str">
        <f aca="false">IF($L1273="","",IF($L1273="@成本",购销流水!$U322,IF($L1273="@收入",购销流水!$T322,IF($L1273="@存货",购销流水!$S322,IF($L1273="@结算",购销流水!$R322,$L1273)))))</f>
        <v/>
      </c>
      <c r="I1273" s="42" t="n">
        <f aca="false">IF($M1273="借",$O1273,0)</f>
        <v>0</v>
      </c>
      <c r="J1273" s="42" t="n">
        <f aca="false">IF($M1273="贷",$O1273,0)</f>
        <v>0</v>
      </c>
      <c r="K1273" s="48" t="str">
        <f aca="false">IF($H1273="","",购销流水!$E322)</f>
        <v/>
      </c>
      <c r="L1273" s="66" t="str">
        <f aca="false">IF(购销流水!$D322="","",IFERROR(INDEX(记账规则!$A$6:$N$9,MATCH(购销流水!$D322,记账规则!$A$6:$A$9,0),12),""))</f>
        <v/>
      </c>
      <c r="M1273" s="66" t="str">
        <f aca="false">IF($L1273="","",IFERROR(INDEX(记账规则!$A$6:$N$9,MATCH(购销流水!$D322,记账规则!$A$6:$A$9,0),13),""))</f>
        <v/>
      </c>
      <c r="N1273" s="66" t="str">
        <f aca="false">IF($L1273="","",IFERROR(INDEX(记账规则!$A$6:$N$9,MATCH(购销流水!$D322,记账规则!$A$6:$A$9,0),14),""))</f>
        <v/>
      </c>
      <c r="O1273" s="67" t="n">
        <f aca="false">IF($H1273="",0,ROUND(IF($N1273="成本金额",N(购销流水!$W322),IF($N1273="金额",N(购销流水!$Q322),0)),2))</f>
        <v>0</v>
      </c>
      <c r="P1273" s="64" t="str">
        <f aca="false">IF(AND($H1273&lt;&gt;"",ROUND($O1273,2)&lt;&gt;0),"有","")</f>
        <v/>
      </c>
    </row>
    <row r="1274" customFormat="false" ht="15" hidden="true" customHeight="false" outlineLevel="0" collapsed="false">
      <c r="A1274" s="53" t="str">
        <f aca="false">IF($H1274="","",ROW()-5)</f>
        <v/>
      </c>
      <c r="B1274" s="64" t="s">
        <v>36</v>
      </c>
      <c r="C1274" s="53" t="n">
        <v>323</v>
      </c>
      <c r="D1274" s="53" t="n">
        <v>1</v>
      </c>
      <c r="E1274" s="65" t="str">
        <f aca="false">IF($H1274="","",购销流水!$B323)</f>
        <v/>
      </c>
      <c r="F1274" s="55" t="str">
        <f aca="false">IF($H1274="","",购销流水!$C323)</f>
        <v/>
      </c>
      <c r="G1274" s="48" t="str">
        <f aca="false">IF($H1274="","",购销流水!$N323)</f>
        <v/>
      </c>
      <c r="H1274" s="10" t="str">
        <f aca="false">IF($L1274="","",IF($L1274="@成本",购销流水!$U323,IF($L1274="@收入",购销流水!$T323,IF($L1274="@存货",购销流水!$S323,IF($L1274="@结算",购销流水!$R323,$L1274)))))</f>
        <v/>
      </c>
      <c r="I1274" s="42" t="n">
        <f aca="false">IF($M1274="借",$O1274,0)</f>
        <v>0</v>
      </c>
      <c r="J1274" s="42" t="n">
        <f aca="false">IF($M1274="贷",$O1274,0)</f>
        <v>0</v>
      </c>
      <c r="K1274" s="48" t="str">
        <f aca="false">IF($H1274="","",购销流水!$E323)</f>
        <v/>
      </c>
      <c r="L1274" s="66" t="str">
        <f aca="false">IF(购销流水!$D323="","",IFERROR(INDEX(记账规则!$A$6:$N$9,MATCH(购销流水!$D323,记账规则!$A$6:$A$9,0),3),""))</f>
        <v/>
      </c>
      <c r="M1274" s="66" t="str">
        <f aca="false">IF($L1274="","",IFERROR(INDEX(记账规则!$A$6:$N$9,MATCH(购销流水!$D323,记账规则!$A$6:$A$9,0),4),""))</f>
        <v/>
      </c>
      <c r="N1274" s="66" t="str">
        <f aca="false">IF($L1274="","",IFERROR(INDEX(记账规则!$A$6:$N$9,MATCH(购销流水!$D323,记账规则!$A$6:$A$9,0),5),""))</f>
        <v/>
      </c>
      <c r="O1274" s="67" t="n">
        <f aca="false">IF($H1274="",0,ROUND(IF($N1274="成本金额",N(购销流水!$W323),IF($N1274="金额",N(购销流水!$Q323),0)),2))</f>
        <v>0</v>
      </c>
      <c r="P1274" s="64" t="str">
        <f aca="false">IF(AND($H1274&lt;&gt;"",ROUND($O1274,2)&lt;&gt;0),"有","")</f>
        <v/>
      </c>
    </row>
    <row r="1275" customFormat="false" ht="15" hidden="true" customHeight="false" outlineLevel="0" collapsed="false">
      <c r="A1275" s="53" t="str">
        <f aca="false">IF($H1275="","",ROW()-5)</f>
        <v/>
      </c>
      <c r="B1275" s="64" t="s">
        <v>36</v>
      </c>
      <c r="C1275" s="53" t="n">
        <v>323</v>
      </c>
      <c r="D1275" s="53" t="n">
        <v>2</v>
      </c>
      <c r="E1275" s="65" t="str">
        <f aca="false">IF($H1275="","",购销流水!$B323)</f>
        <v/>
      </c>
      <c r="F1275" s="55" t="str">
        <f aca="false">IF($H1275="","",购销流水!$C323)</f>
        <v/>
      </c>
      <c r="G1275" s="48" t="str">
        <f aca="false">IF($H1275="","",购销流水!$N323)</f>
        <v/>
      </c>
      <c r="H1275" s="10" t="str">
        <f aca="false">IF($L1275="","",IF($L1275="@成本",购销流水!$U323,IF($L1275="@收入",购销流水!$T323,IF($L1275="@存货",购销流水!$S323,IF($L1275="@结算",购销流水!$R323,$L1275)))))</f>
        <v/>
      </c>
      <c r="I1275" s="42" t="n">
        <f aca="false">IF($M1275="借",$O1275,0)</f>
        <v>0</v>
      </c>
      <c r="J1275" s="42" t="n">
        <f aca="false">IF($M1275="贷",$O1275,0)</f>
        <v>0</v>
      </c>
      <c r="K1275" s="48" t="str">
        <f aca="false">IF($H1275="","",购销流水!$E323)</f>
        <v/>
      </c>
      <c r="L1275" s="66" t="str">
        <f aca="false">IF(购销流水!$D323="","",IFERROR(INDEX(记账规则!$A$6:$N$9,MATCH(购销流水!$D323,记账规则!$A$6:$A$9,0),6),""))</f>
        <v/>
      </c>
      <c r="M1275" s="66" t="str">
        <f aca="false">IF($L1275="","",IFERROR(INDEX(记账规则!$A$6:$N$9,MATCH(购销流水!$D323,记账规则!$A$6:$A$9,0),7),""))</f>
        <v/>
      </c>
      <c r="N1275" s="66" t="str">
        <f aca="false">IF($L1275="","",IFERROR(INDEX(记账规则!$A$6:$N$9,MATCH(购销流水!$D323,记账规则!$A$6:$A$9,0),8),""))</f>
        <v/>
      </c>
      <c r="O1275" s="67" t="n">
        <f aca="false">IF($H1275="",0,ROUND(IF($N1275="成本金额",N(购销流水!$W323),IF($N1275="金额",N(购销流水!$Q323),0)),2))</f>
        <v>0</v>
      </c>
      <c r="P1275" s="64" t="str">
        <f aca="false">IF(AND($H1275&lt;&gt;"",ROUND($O1275,2)&lt;&gt;0),"有","")</f>
        <v/>
      </c>
    </row>
    <row r="1276" customFormat="false" ht="15" hidden="true" customHeight="false" outlineLevel="0" collapsed="false">
      <c r="A1276" s="53" t="str">
        <f aca="false">IF($H1276="","",ROW()-5)</f>
        <v/>
      </c>
      <c r="B1276" s="64" t="s">
        <v>36</v>
      </c>
      <c r="C1276" s="53" t="n">
        <v>323</v>
      </c>
      <c r="D1276" s="53" t="n">
        <v>3</v>
      </c>
      <c r="E1276" s="65" t="str">
        <f aca="false">IF($H1276="","",购销流水!$B323)</f>
        <v/>
      </c>
      <c r="F1276" s="55" t="str">
        <f aca="false">IF($H1276="","",购销流水!$C323)</f>
        <v/>
      </c>
      <c r="G1276" s="48" t="str">
        <f aca="false">IF($H1276="","",购销流水!$N323)</f>
        <v/>
      </c>
      <c r="H1276" s="10" t="str">
        <f aca="false">IF($L1276="","",IF($L1276="@成本",购销流水!$U323,IF($L1276="@收入",购销流水!$T323,IF($L1276="@存货",购销流水!$S323,IF($L1276="@结算",购销流水!$R323,$L1276)))))</f>
        <v/>
      </c>
      <c r="I1276" s="42" t="n">
        <f aca="false">IF($M1276="借",$O1276,0)</f>
        <v>0</v>
      </c>
      <c r="J1276" s="42" t="n">
        <f aca="false">IF($M1276="贷",$O1276,0)</f>
        <v>0</v>
      </c>
      <c r="K1276" s="48" t="str">
        <f aca="false">IF($H1276="","",购销流水!$E323)</f>
        <v/>
      </c>
      <c r="L1276" s="66" t="str">
        <f aca="false">IF(购销流水!$D323="","",IFERROR(INDEX(记账规则!$A$6:$N$9,MATCH(购销流水!$D323,记账规则!$A$6:$A$9,0),9),""))</f>
        <v/>
      </c>
      <c r="M1276" s="66" t="str">
        <f aca="false">IF($L1276="","",IFERROR(INDEX(记账规则!$A$6:$N$9,MATCH(购销流水!$D323,记账规则!$A$6:$A$9,0),10),""))</f>
        <v/>
      </c>
      <c r="N1276" s="66" t="str">
        <f aca="false">IF($L1276="","",IFERROR(INDEX(记账规则!$A$6:$N$9,MATCH(购销流水!$D323,记账规则!$A$6:$A$9,0),11),""))</f>
        <v/>
      </c>
      <c r="O1276" s="67" t="n">
        <f aca="false">IF($H1276="",0,ROUND(IF($N1276="成本金额",N(购销流水!$W323),IF($N1276="金额",N(购销流水!$Q323),0)),2))</f>
        <v>0</v>
      </c>
      <c r="P1276" s="64" t="str">
        <f aca="false">IF(AND($H1276&lt;&gt;"",ROUND($O1276,2)&lt;&gt;0),"有","")</f>
        <v/>
      </c>
    </row>
    <row r="1277" customFormat="false" ht="15" hidden="true" customHeight="false" outlineLevel="0" collapsed="false">
      <c r="A1277" s="53" t="str">
        <f aca="false">IF($H1277="","",ROW()-5)</f>
        <v/>
      </c>
      <c r="B1277" s="64" t="s">
        <v>36</v>
      </c>
      <c r="C1277" s="53" t="n">
        <v>323</v>
      </c>
      <c r="D1277" s="53" t="n">
        <v>4</v>
      </c>
      <c r="E1277" s="65" t="str">
        <f aca="false">IF($H1277="","",购销流水!$B323)</f>
        <v/>
      </c>
      <c r="F1277" s="55" t="str">
        <f aca="false">IF($H1277="","",购销流水!$C323)</f>
        <v/>
      </c>
      <c r="G1277" s="48" t="str">
        <f aca="false">IF($H1277="","",购销流水!$N323)</f>
        <v/>
      </c>
      <c r="H1277" s="10" t="str">
        <f aca="false">IF($L1277="","",IF($L1277="@成本",购销流水!$U323,IF($L1277="@收入",购销流水!$T323,IF($L1277="@存货",购销流水!$S323,IF($L1277="@结算",购销流水!$R323,$L1277)))))</f>
        <v/>
      </c>
      <c r="I1277" s="42" t="n">
        <f aca="false">IF($M1277="借",$O1277,0)</f>
        <v>0</v>
      </c>
      <c r="J1277" s="42" t="n">
        <f aca="false">IF($M1277="贷",$O1277,0)</f>
        <v>0</v>
      </c>
      <c r="K1277" s="48" t="str">
        <f aca="false">IF($H1277="","",购销流水!$E323)</f>
        <v/>
      </c>
      <c r="L1277" s="66" t="str">
        <f aca="false">IF(购销流水!$D323="","",IFERROR(INDEX(记账规则!$A$6:$N$9,MATCH(购销流水!$D323,记账规则!$A$6:$A$9,0),12),""))</f>
        <v/>
      </c>
      <c r="M1277" s="66" t="str">
        <f aca="false">IF($L1277="","",IFERROR(INDEX(记账规则!$A$6:$N$9,MATCH(购销流水!$D323,记账规则!$A$6:$A$9,0),13),""))</f>
        <v/>
      </c>
      <c r="N1277" s="66" t="str">
        <f aca="false">IF($L1277="","",IFERROR(INDEX(记账规则!$A$6:$N$9,MATCH(购销流水!$D323,记账规则!$A$6:$A$9,0),14),""))</f>
        <v/>
      </c>
      <c r="O1277" s="67" t="n">
        <f aca="false">IF($H1277="",0,ROUND(IF($N1277="成本金额",N(购销流水!$W323),IF($N1277="金额",N(购销流水!$Q323),0)),2))</f>
        <v>0</v>
      </c>
      <c r="P1277" s="64" t="str">
        <f aca="false">IF(AND($H1277&lt;&gt;"",ROUND($O1277,2)&lt;&gt;0),"有","")</f>
        <v/>
      </c>
    </row>
    <row r="1278" customFormat="false" ht="15" hidden="true" customHeight="false" outlineLevel="0" collapsed="false">
      <c r="A1278" s="53" t="str">
        <f aca="false">IF($H1278="","",ROW()-5)</f>
        <v/>
      </c>
      <c r="B1278" s="64" t="s">
        <v>36</v>
      </c>
      <c r="C1278" s="53" t="n">
        <v>324</v>
      </c>
      <c r="D1278" s="53" t="n">
        <v>1</v>
      </c>
      <c r="E1278" s="65" t="str">
        <f aca="false">IF($H1278="","",购销流水!$B324)</f>
        <v/>
      </c>
      <c r="F1278" s="55" t="str">
        <f aca="false">IF($H1278="","",购销流水!$C324)</f>
        <v/>
      </c>
      <c r="G1278" s="48" t="str">
        <f aca="false">IF($H1278="","",购销流水!$N324)</f>
        <v/>
      </c>
      <c r="H1278" s="10" t="str">
        <f aca="false">IF($L1278="","",IF($L1278="@成本",购销流水!$U324,IF($L1278="@收入",购销流水!$T324,IF($L1278="@存货",购销流水!$S324,IF($L1278="@结算",购销流水!$R324,$L1278)))))</f>
        <v/>
      </c>
      <c r="I1278" s="42" t="n">
        <f aca="false">IF($M1278="借",$O1278,0)</f>
        <v>0</v>
      </c>
      <c r="J1278" s="42" t="n">
        <f aca="false">IF($M1278="贷",$O1278,0)</f>
        <v>0</v>
      </c>
      <c r="K1278" s="48" t="str">
        <f aca="false">IF($H1278="","",购销流水!$E324)</f>
        <v/>
      </c>
      <c r="L1278" s="66" t="str">
        <f aca="false">IF(购销流水!$D324="","",IFERROR(INDEX(记账规则!$A$6:$N$9,MATCH(购销流水!$D324,记账规则!$A$6:$A$9,0),3),""))</f>
        <v/>
      </c>
      <c r="M1278" s="66" t="str">
        <f aca="false">IF($L1278="","",IFERROR(INDEX(记账规则!$A$6:$N$9,MATCH(购销流水!$D324,记账规则!$A$6:$A$9,0),4),""))</f>
        <v/>
      </c>
      <c r="N1278" s="66" t="str">
        <f aca="false">IF($L1278="","",IFERROR(INDEX(记账规则!$A$6:$N$9,MATCH(购销流水!$D324,记账规则!$A$6:$A$9,0),5),""))</f>
        <v/>
      </c>
      <c r="O1278" s="67" t="n">
        <f aca="false">IF($H1278="",0,ROUND(IF($N1278="成本金额",N(购销流水!$W324),IF($N1278="金额",N(购销流水!$Q324),0)),2))</f>
        <v>0</v>
      </c>
      <c r="P1278" s="64" t="str">
        <f aca="false">IF(AND($H1278&lt;&gt;"",ROUND($O1278,2)&lt;&gt;0),"有","")</f>
        <v/>
      </c>
    </row>
    <row r="1279" customFormat="false" ht="15" hidden="true" customHeight="false" outlineLevel="0" collapsed="false">
      <c r="A1279" s="53" t="str">
        <f aca="false">IF($H1279="","",ROW()-5)</f>
        <v/>
      </c>
      <c r="B1279" s="64" t="s">
        <v>36</v>
      </c>
      <c r="C1279" s="53" t="n">
        <v>324</v>
      </c>
      <c r="D1279" s="53" t="n">
        <v>2</v>
      </c>
      <c r="E1279" s="65" t="str">
        <f aca="false">IF($H1279="","",购销流水!$B324)</f>
        <v/>
      </c>
      <c r="F1279" s="55" t="str">
        <f aca="false">IF($H1279="","",购销流水!$C324)</f>
        <v/>
      </c>
      <c r="G1279" s="48" t="str">
        <f aca="false">IF($H1279="","",购销流水!$N324)</f>
        <v/>
      </c>
      <c r="H1279" s="10" t="str">
        <f aca="false">IF($L1279="","",IF($L1279="@成本",购销流水!$U324,IF($L1279="@收入",购销流水!$T324,IF($L1279="@存货",购销流水!$S324,IF($L1279="@结算",购销流水!$R324,$L1279)))))</f>
        <v/>
      </c>
      <c r="I1279" s="42" t="n">
        <f aca="false">IF($M1279="借",$O1279,0)</f>
        <v>0</v>
      </c>
      <c r="J1279" s="42" t="n">
        <f aca="false">IF($M1279="贷",$O1279,0)</f>
        <v>0</v>
      </c>
      <c r="K1279" s="48" t="str">
        <f aca="false">IF($H1279="","",购销流水!$E324)</f>
        <v/>
      </c>
      <c r="L1279" s="66" t="str">
        <f aca="false">IF(购销流水!$D324="","",IFERROR(INDEX(记账规则!$A$6:$N$9,MATCH(购销流水!$D324,记账规则!$A$6:$A$9,0),6),""))</f>
        <v/>
      </c>
      <c r="M1279" s="66" t="str">
        <f aca="false">IF($L1279="","",IFERROR(INDEX(记账规则!$A$6:$N$9,MATCH(购销流水!$D324,记账规则!$A$6:$A$9,0),7),""))</f>
        <v/>
      </c>
      <c r="N1279" s="66" t="str">
        <f aca="false">IF($L1279="","",IFERROR(INDEX(记账规则!$A$6:$N$9,MATCH(购销流水!$D324,记账规则!$A$6:$A$9,0),8),""))</f>
        <v/>
      </c>
      <c r="O1279" s="67" t="n">
        <f aca="false">IF($H1279="",0,ROUND(IF($N1279="成本金额",N(购销流水!$W324),IF($N1279="金额",N(购销流水!$Q324),0)),2))</f>
        <v>0</v>
      </c>
      <c r="P1279" s="64" t="str">
        <f aca="false">IF(AND($H1279&lt;&gt;"",ROUND($O1279,2)&lt;&gt;0),"有","")</f>
        <v/>
      </c>
    </row>
    <row r="1280" customFormat="false" ht="15" hidden="true" customHeight="false" outlineLevel="0" collapsed="false">
      <c r="A1280" s="53" t="str">
        <f aca="false">IF($H1280="","",ROW()-5)</f>
        <v/>
      </c>
      <c r="B1280" s="64" t="s">
        <v>36</v>
      </c>
      <c r="C1280" s="53" t="n">
        <v>324</v>
      </c>
      <c r="D1280" s="53" t="n">
        <v>3</v>
      </c>
      <c r="E1280" s="65" t="str">
        <f aca="false">IF($H1280="","",购销流水!$B324)</f>
        <v/>
      </c>
      <c r="F1280" s="55" t="str">
        <f aca="false">IF($H1280="","",购销流水!$C324)</f>
        <v/>
      </c>
      <c r="G1280" s="48" t="str">
        <f aca="false">IF($H1280="","",购销流水!$N324)</f>
        <v/>
      </c>
      <c r="H1280" s="10" t="str">
        <f aca="false">IF($L1280="","",IF($L1280="@成本",购销流水!$U324,IF($L1280="@收入",购销流水!$T324,IF($L1280="@存货",购销流水!$S324,IF($L1280="@结算",购销流水!$R324,$L1280)))))</f>
        <v/>
      </c>
      <c r="I1280" s="42" t="n">
        <f aca="false">IF($M1280="借",$O1280,0)</f>
        <v>0</v>
      </c>
      <c r="J1280" s="42" t="n">
        <f aca="false">IF($M1280="贷",$O1280,0)</f>
        <v>0</v>
      </c>
      <c r="K1280" s="48" t="str">
        <f aca="false">IF($H1280="","",购销流水!$E324)</f>
        <v/>
      </c>
      <c r="L1280" s="66" t="str">
        <f aca="false">IF(购销流水!$D324="","",IFERROR(INDEX(记账规则!$A$6:$N$9,MATCH(购销流水!$D324,记账规则!$A$6:$A$9,0),9),""))</f>
        <v/>
      </c>
      <c r="M1280" s="66" t="str">
        <f aca="false">IF($L1280="","",IFERROR(INDEX(记账规则!$A$6:$N$9,MATCH(购销流水!$D324,记账规则!$A$6:$A$9,0),10),""))</f>
        <v/>
      </c>
      <c r="N1280" s="66" t="str">
        <f aca="false">IF($L1280="","",IFERROR(INDEX(记账规则!$A$6:$N$9,MATCH(购销流水!$D324,记账规则!$A$6:$A$9,0),11),""))</f>
        <v/>
      </c>
      <c r="O1280" s="67" t="n">
        <f aca="false">IF($H1280="",0,ROUND(IF($N1280="成本金额",N(购销流水!$W324),IF($N1280="金额",N(购销流水!$Q324),0)),2))</f>
        <v>0</v>
      </c>
      <c r="P1280" s="64" t="str">
        <f aca="false">IF(AND($H1280&lt;&gt;"",ROUND($O1280,2)&lt;&gt;0),"有","")</f>
        <v/>
      </c>
    </row>
    <row r="1281" customFormat="false" ht="15" hidden="true" customHeight="false" outlineLevel="0" collapsed="false">
      <c r="A1281" s="53" t="str">
        <f aca="false">IF($H1281="","",ROW()-5)</f>
        <v/>
      </c>
      <c r="B1281" s="64" t="s">
        <v>36</v>
      </c>
      <c r="C1281" s="53" t="n">
        <v>324</v>
      </c>
      <c r="D1281" s="53" t="n">
        <v>4</v>
      </c>
      <c r="E1281" s="65" t="str">
        <f aca="false">IF($H1281="","",购销流水!$B324)</f>
        <v/>
      </c>
      <c r="F1281" s="55" t="str">
        <f aca="false">IF($H1281="","",购销流水!$C324)</f>
        <v/>
      </c>
      <c r="G1281" s="48" t="str">
        <f aca="false">IF($H1281="","",购销流水!$N324)</f>
        <v/>
      </c>
      <c r="H1281" s="10" t="str">
        <f aca="false">IF($L1281="","",IF($L1281="@成本",购销流水!$U324,IF($L1281="@收入",购销流水!$T324,IF($L1281="@存货",购销流水!$S324,IF($L1281="@结算",购销流水!$R324,$L1281)))))</f>
        <v/>
      </c>
      <c r="I1281" s="42" t="n">
        <f aca="false">IF($M1281="借",$O1281,0)</f>
        <v>0</v>
      </c>
      <c r="J1281" s="42" t="n">
        <f aca="false">IF($M1281="贷",$O1281,0)</f>
        <v>0</v>
      </c>
      <c r="K1281" s="48" t="str">
        <f aca="false">IF($H1281="","",购销流水!$E324)</f>
        <v/>
      </c>
      <c r="L1281" s="66" t="str">
        <f aca="false">IF(购销流水!$D324="","",IFERROR(INDEX(记账规则!$A$6:$N$9,MATCH(购销流水!$D324,记账规则!$A$6:$A$9,0),12),""))</f>
        <v/>
      </c>
      <c r="M1281" s="66" t="str">
        <f aca="false">IF($L1281="","",IFERROR(INDEX(记账规则!$A$6:$N$9,MATCH(购销流水!$D324,记账规则!$A$6:$A$9,0),13),""))</f>
        <v/>
      </c>
      <c r="N1281" s="66" t="str">
        <f aca="false">IF($L1281="","",IFERROR(INDEX(记账规则!$A$6:$N$9,MATCH(购销流水!$D324,记账规则!$A$6:$A$9,0),14),""))</f>
        <v/>
      </c>
      <c r="O1281" s="67" t="n">
        <f aca="false">IF($H1281="",0,ROUND(IF($N1281="成本金额",N(购销流水!$W324),IF($N1281="金额",N(购销流水!$Q324),0)),2))</f>
        <v>0</v>
      </c>
      <c r="P1281" s="64" t="str">
        <f aca="false">IF(AND($H1281&lt;&gt;"",ROUND($O1281,2)&lt;&gt;0),"有","")</f>
        <v/>
      </c>
    </row>
    <row r="1282" customFormat="false" ht="15" hidden="true" customHeight="false" outlineLevel="0" collapsed="false">
      <c r="A1282" s="53" t="str">
        <f aca="false">IF($H1282="","",ROW()-5)</f>
        <v/>
      </c>
      <c r="B1282" s="64" t="s">
        <v>36</v>
      </c>
      <c r="C1282" s="53" t="n">
        <v>325</v>
      </c>
      <c r="D1282" s="53" t="n">
        <v>1</v>
      </c>
      <c r="E1282" s="65" t="str">
        <f aca="false">IF($H1282="","",购销流水!$B325)</f>
        <v/>
      </c>
      <c r="F1282" s="55" t="str">
        <f aca="false">IF($H1282="","",购销流水!$C325)</f>
        <v/>
      </c>
      <c r="G1282" s="48" t="str">
        <f aca="false">IF($H1282="","",购销流水!$N325)</f>
        <v/>
      </c>
      <c r="H1282" s="10" t="str">
        <f aca="false">IF($L1282="","",IF($L1282="@成本",购销流水!$U325,IF($L1282="@收入",购销流水!$T325,IF($L1282="@存货",购销流水!$S325,IF($L1282="@结算",购销流水!$R325,$L1282)))))</f>
        <v/>
      </c>
      <c r="I1282" s="42" t="n">
        <f aca="false">IF($M1282="借",$O1282,0)</f>
        <v>0</v>
      </c>
      <c r="J1282" s="42" t="n">
        <f aca="false">IF($M1282="贷",$O1282,0)</f>
        <v>0</v>
      </c>
      <c r="K1282" s="48" t="str">
        <f aca="false">IF($H1282="","",购销流水!$E325)</f>
        <v/>
      </c>
      <c r="L1282" s="66" t="str">
        <f aca="false">IF(购销流水!$D325="","",IFERROR(INDEX(记账规则!$A$6:$N$9,MATCH(购销流水!$D325,记账规则!$A$6:$A$9,0),3),""))</f>
        <v/>
      </c>
      <c r="M1282" s="66" t="str">
        <f aca="false">IF($L1282="","",IFERROR(INDEX(记账规则!$A$6:$N$9,MATCH(购销流水!$D325,记账规则!$A$6:$A$9,0),4),""))</f>
        <v/>
      </c>
      <c r="N1282" s="66" t="str">
        <f aca="false">IF($L1282="","",IFERROR(INDEX(记账规则!$A$6:$N$9,MATCH(购销流水!$D325,记账规则!$A$6:$A$9,0),5),""))</f>
        <v/>
      </c>
      <c r="O1282" s="67" t="n">
        <f aca="false">IF($H1282="",0,ROUND(IF($N1282="成本金额",N(购销流水!$W325),IF($N1282="金额",N(购销流水!$Q325),0)),2))</f>
        <v>0</v>
      </c>
      <c r="P1282" s="64" t="str">
        <f aca="false">IF(AND($H1282&lt;&gt;"",ROUND($O1282,2)&lt;&gt;0),"有","")</f>
        <v/>
      </c>
    </row>
    <row r="1283" customFormat="false" ht="15" hidden="true" customHeight="false" outlineLevel="0" collapsed="false">
      <c r="A1283" s="53" t="str">
        <f aca="false">IF($H1283="","",ROW()-5)</f>
        <v/>
      </c>
      <c r="B1283" s="64" t="s">
        <v>36</v>
      </c>
      <c r="C1283" s="53" t="n">
        <v>325</v>
      </c>
      <c r="D1283" s="53" t="n">
        <v>2</v>
      </c>
      <c r="E1283" s="65" t="str">
        <f aca="false">IF($H1283="","",购销流水!$B325)</f>
        <v/>
      </c>
      <c r="F1283" s="55" t="str">
        <f aca="false">IF($H1283="","",购销流水!$C325)</f>
        <v/>
      </c>
      <c r="G1283" s="48" t="str">
        <f aca="false">IF($H1283="","",购销流水!$N325)</f>
        <v/>
      </c>
      <c r="H1283" s="10" t="str">
        <f aca="false">IF($L1283="","",IF($L1283="@成本",购销流水!$U325,IF($L1283="@收入",购销流水!$T325,IF($L1283="@存货",购销流水!$S325,IF($L1283="@结算",购销流水!$R325,$L1283)))))</f>
        <v/>
      </c>
      <c r="I1283" s="42" t="n">
        <f aca="false">IF($M1283="借",$O1283,0)</f>
        <v>0</v>
      </c>
      <c r="J1283" s="42" t="n">
        <f aca="false">IF($M1283="贷",$O1283,0)</f>
        <v>0</v>
      </c>
      <c r="K1283" s="48" t="str">
        <f aca="false">IF($H1283="","",购销流水!$E325)</f>
        <v/>
      </c>
      <c r="L1283" s="66" t="str">
        <f aca="false">IF(购销流水!$D325="","",IFERROR(INDEX(记账规则!$A$6:$N$9,MATCH(购销流水!$D325,记账规则!$A$6:$A$9,0),6),""))</f>
        <v/>
      </c>
      <c r="M1283" s="66" t="str">
        <f aca="false">IF($L1283="","",IFERROR(INDEX(记账规则!$A$6:$N$9,MATCH(购销流水!$D325,记账规则!$A$6:$A$9,0),7),""))</f>
        <v/>
      </c>
      <c r="N1283" s="66" t="str">
        <f aca="false">IF($L1283="","",IFERROR(INDEX(记账规则!$A$6:$N$9,MATCH(购销流水!$D325,记账规则!$A$6:$A$9,0),8),""))</f>
        <v/>
      </c>
      <c r="O1283" s="67" t="n">
        <f aca="false">IF($H1283="",0,ROUND(IF($N1283="成本金额",N(购销流水!$W325),IF($N1283="金额",N(购销流水!$Q325),0)),2))</f>
        <v>0</v>
      </c>
      <c r="P1283" s="64" t="str">
        <f aca="false">IF(AND($H1283&lt;&gt;"",ROUND($O1283,2)&lt;&gt;0),"有","")</f>
        <v/>
      </c>
    </row>
    <row r="1284" customFormat="false" ht="15" hidden="true" customHeight="false" outlineLevel="0" collapsed="false">
      <c r="A1284" s="53" t="str">
        <f aca="false">IF($H1284="","",ROW()-5)</f>
        <v/>
      </c>
      <c r="B1284" s="64" t="s">
        <v>36</v>
      </c>
      <c r="C1284" s="53" t="n">
        <v>325</v>
      </c>
      <c r="D1284" s="53" t="n">
        <v>3</v>
      </c>
      <c r="E1284" s="65" t="str">
        <f aca="false">IF($H1284="","",购销流水!$B325)</f>
        <v/>
      </c>
      <c r="F1284" s="55" t="str">
        <f aca="false">IF($H1284="","",购销流水!$C325)</f>
        <v/>
      </c>
      <c r="G1284" s="48" t="str">
        <f aca="false">IF($H1284="","",购销流水!$N325)</f>
        <v/>
      </c>
      <c r="H1284" s="10" t="str">
        <f aca="false">IF($L1284="","",IF($L1284="@成本",购销流水!$U325,IF($L1284="@收入",购销流水!$T325,IF($L1284="@存货",购销流水!$S325,IF($L1284="@结算",购销流水!$R325,$L1284)))))</f>
        <v/>
      </c>
      <c r="I1284" s="42" t="n">
        <f aca="false">IF($M1284="借",$O1284,0)</f>
        <v>0</v>
      </c>
      <c r="J1284" s="42" t="n">
        <f aca="false">IF($M1284="贷",$O1284,0)</f>
        <v>0</v>
      </c>
      <c r="K1284" s="48" t="str">
        <f aca="false">IF($H1284="","",购销流水!$E325)</f>
        <v/>
      </c>
      <c r="L1284" s="66" t="str">
        <f aca="false">IF(购销流水!$D325="","",IFERROR(INDEX(记账规则!$A$6:$N$9,MATCH(购销流水!$D325,记账规则!$A$6:$A$9,0),9),""))</f>
        <v/>
      </c>
      <c r="M1284" s="66" t="str">
        <f aca="false">IF($L1284="","",IFERROR(INDEX(记账规则!$A$6:$N$9,MATCH(购销流水!$D325,记账规则!$A$6:$A$9,0),10),""))</f>
        <v/>
      </c>
      <c r="N1284" s="66" t="str">
        <f aca="false">IF($L1284="","",IFERROR(INDEX(记账规则!$A$6:$N$9,MATCH(购销流水!$D325,记账规则!$A$6:$A$9,0),11),""))</f>
        <v/>
      </c>
      <c r="O1284" s="67" t="n">
        <f aca="false">IF($H1284="",0,ROUND(IF($N1284="成本金额",N(购销流水!$W325),IF($N1284="金额",N(购销流水!$Q325),0)),2))</f>
        <v>0</v>
      </c>
      <c r="P1284" s="64" t="str">
        <f aca="false">IF(AND($H1284&lt;&gt;"",ROUND($O1284,2)&lt;&gt;0),"有","")</f>
        <v/>
      </c>
    </row>
    <row r="1285" customFormat="false" ht="15" hidden="true" customHeight="false" outlineLevel="0" collapsed="false">
      <c r="A1285" s="53" t="str">
        <f aca="false">IF($H1285="","",ROW()-5)</f>
        <v/>
      </c>
      <c r="B1285" s="64" t="s">
        <v>36</v>
      </c>
      <c r="C1285" s="53" t="n">
        <v>325</v>
      </c>
      <c r="D1285" s="53" t="n">
        <v>4</v>
      </c>
      <c r="E1285" s="65" t="str">
        <f aca="false">IF($H1285="","",购销流水!$B325)</f>
        <v/>
      </c>
      <c r="F1285" s="55" t="str">
        <f aca="false">IF($H1285="","",购销流水!$C325)</f>
        <v/>
      </c>
      <c r="G1285" s="48" t="str">
        <f aca="false">IF($H1285="","",购销流水!$N325)</f>
        <v/>
      </c>
      <c r="H1285" s="10" t="str">
        <f aca="false">IF($L1285="","",IF($L1285="@成本",购销流水!$U325,IF($L1285="@收入",购销流水!$T325,IF($L1285="@存货",购销流水!$S325,IF($L1285="@结算",购销流水!$R325,$L1285)))))</f>
        <v/>
      </c>
      <c r="I1285" s="42" t="n">
        <f aca="false">IF($M1285="借",$O1285,0)</f>
        <v>0</v>
      </c>
      <c r="J1285" s="42" t="n">
        <f aca="false">IF($M1285="贷",$O1285,0)</f>
        <v>0</v>
      </c>
      <c r="K1285" s="48" t="str">
        <f aca="false">IF($H1285="","",购销流水!$E325)</f>
        <v/>
      </c>
      <c r="L1285" s="66" t="str">
        <f aca="false">IF(购销流水!$D325="","",IFERROR(INDEX(记账规则!$A$6:$N$9,MATCH(购销流水!$D325,记账规则!$A$6:$A$9,0),12),""))</f>
        <v/>
      </c>
      <c r="M1285" s="66" t="str">
        <f aca="false">IF($L1285="","",IFERROR(INDEX(记账规则!$A$6:$N$9,MATCH(购销流水!$D325,记账规则!$A$6:$A$9,0),13),""))</f>
        <v/>
      </c>
      <c r="N1285" s="66" t="str">
        <f aca="false">IF($L1285="","",IFERROR(INDEX(记账规则!$A$6:$N$9,MATCH(购销流水!$D325,记账规则!$A$6:$A$9,0),14),""))</f>
        <v/>
      </c>
      <c r="O1285" s="67" t="n">
        <f aca="false">IF($H1285="",0,ROUND(IF($N1285="成本金额",N(购销流水!$W325),IF($N1285="金额",N(购销流水!$Q325),0)),2))</f>
        <v>0</v>
      </c>
      <c r="P1285" s="64" t="str">
        <f aca="false">IF(AND($H1285&lt;&gt;"",ROUND($O1285,2)&lt;&gt;0),"有","")</f>
        <v/>
      </c>
    </row>
    <row r="1286" customFormat="false" ht="15" hidden="true" customHeight="false" outlineLevel="0" collapsed="false">
      <c r="A1286" s="53" t="str">
        <f aca="false">IF($H1286="","",ROW()-5)</f>
        <v/>
      </c>
      <c r="B1286" s="64" t="s">
        <v>36</v>
      </c>
      <c r="C1286" s="53" t="n">
        <v>326</v>
      </c>
      <c r="D1286" s="53" t="n">
        <v>1</v>
      </c>
      <c r="E1286" s="65" t="str">
        <f aca="false">IF($H1286="","",购销流水!$B326)</f>
        <v/>
      </c>
      <c r="F1286" s="55" t="str">
        <f aca="false">IF($H1286="","",购销流水!$C326)</f>
        <v/>
      </c>
      <c r="G1286" s="48" t="str">
        <f aca="false">IF($H1286="","",购销流水!$N326)</f>
        <v/>
      </c>
      <c r="H1286" s="10" t="str">
        <f aca="false">IF($L1286="","",IF($L1286="@成本",购销流水!$U326,IF($L1286="@收入",购销流水!$T326,IF($L1286="@存货",购销流水!$S326,IF($L1286="@结算",购销流水!$R326,$L1286)))))</f>
        <v/>
      </c>
      <c r="I1286" s="42" t="n">
        <f aca="false">IF($M1286="借",$O1286,0)</f>
        <v>0</v>
      </c>
      <c r="J1286" s="42" t="n">
        <f aca="false">IF($M1286="贷",$O1286,0)</f>
        <v>0</v>
      </c>
      <c r="K1286" s="48" t="str">
        <f aca="false">IF($H1286="","",购销流水!$E326)</f>
        <v/>
      </c>
      <c r="L1286" s="66" t="str">
        <f aca="false">IF(购销流水!$D326="","",IFERROR(INDEX(记账规则!$A$6:$N$9,MATCH(购销流水!$D326,记账规则!$A$6:$A$9,0),3),""))</f>
        <v/>
      </c>
      <c r="M1286" s="66" t="str">
        <f aca="false">IF($L1286="","",IFERROR(INDEX(记账规则!$A$6:$N$9,MATCH(购销流水!$D326,记账规则!$A$6:$A$9,0),4),""))</f>
        <v/>
      </c>
      <c r="N1286" s="66" t="str">
        <f aca="false">IF($L1286="","",IFERROR(INDEX(记账规则!$A$6:$N$9,MATCH(购销流水!$D326,记账规则!$A$6:$A$9,0),5),""))</f>
        <v/>
      </c>
      <c r="O1286" s="67" t="n">
        <f aca="false">IF($H1286="",0,ROUND(IF($N1286="成本金额",N(购销流水!$W326),IF($N1286="金额",N(购销流水!$Q326),0)),2))</f>
        <v>0</v>
      </c>
      <c r="P1286" s="64" t="str">
        <f aca="false">IF(AND($H1286&lt;&gt;"",ROUND($O1286,2)&lt;&gt;0),"有","")</f>
        <v/>
      </c>
    </row>
    <row r="1287" customFormat="false" ht="15" hidden="true" customHeight="false" outlineLevel="0" collapsed="false">
      <c r="A1287" s="53" t="str">
        <f aca="false">IF($H1287="","",ROW()-5)</f>
        <v/>
      </c>
      <c r="B1287" s="64" t="s">
        <v>36</v>
      </c>
      <c r="C1287" s="53" t="n">
        <v>326</v>
      </c>
      <c r="D1287" s="53" t="n">
        <v>2</v>
      </c>
      <c r="E1287" s="65" t="str">
        <f aca="false">IF($H1287="","",购销流水!$B326)</f>
        <v/>
      </c>
      <c r="F1287" s="55" t="str">
        <f aca="false">IF($H1287="","",购销流水!$C326)</f>
        <v/>
      </c>
      <c r="G1287" s="48" t="str">
        <f aca="false">IF($H1287="","",购销流水!$N326)</f>
        <v/>
      </c>
      <c r="H1287" s="10" t="str">
        <f aca="false">IF($L1287="","",IF($L1287="@成本",购销流水!$U326,IF($L1287="@收入",购销流水!$T326,IF($L1287="@存货",购销流水!$S326,IF($L1287="@结算",购销流水!$R326,$L1287)))))</f>
        <v/>
      </c>
      <c r="I1287" s="42" t="n">
        <f aca="false">IF($M1287="借",$O1287,0)</f>
        <v>0</v>
      </c>
      <c r="J1287" s="42" t="n">
        <f aca="false">IF($M1287="贷",$O1287,0)</f>
        <v>0</v>
      </c>
      <c r="K1287" s="48" t="str">
        <f aca="false">IF($H1287="","",购销流水!$E326)</f>
        <v/>
      </c>
      <c r="L1287" s="66" t="str">
        <f aca="false">IF(购销流水!$D326="","",IFERROR(INDEX(记账规则!$A$6:$N$9,MATCH(购销流水!$D326,记账规则!$A$6:$A$9,0),6),""))</f>
        <v/>
      </c>
      <c r="M1287" s="66" t="str">
        <f aca="false">IF($L1287="","",IFERROR(INDEX(记账规则!$A$6:$N$9,MATCH(购销流水!$D326,记账规则!$A$6:$A$9,0),7),""))</f>
        <v/>
      </c>
      <c r="N1287" s="66" t="str">
        <f aca="false">IF($L1287="","",IFERROR(INDEX(记账规则!$A$6:$N$9,MATCH(购销流水!$D326,记账规则!$A$6:$A$9,0),8),""))</f>
        <v/>
      </c>
      <c r="O1287" s="67" t="n">
        <f aca="false">IF($H1287="",0,ROUND(IF($N1287="成本金额",N(购销流水!$W326),IF($N1287="金额",N(购销流水!$Q326),0)),2))</f>
        <v>0</v>
      </c>
      <c r="P1287" s="64" t="str">
        <f aca="false">IF(AND($H1287&lt;&gt;"",ROUND($O1287,2)&lt;&gt;0),"有","")</f>
        <v/>
      </c>
    </row>
    <row r="1288" customFormat="false" ht="15" hidden="true" customHeight="false" outlineLevel="0" collapsed="false">
      <c r="A1288" s="53" t="str">
        <f aca="false">IF($H1288="","",ROW()-5)</f>
        <v/>
      </c>
      <c r="B1288" s="64" t="s">
        <v>36</v>
      </c>
      <c r="C1288" s="53" t="n">
        <v>326</v>
      </c>
      <c r="D1288" s="53" t="n">
        <v>3</v>
      </c>
      <c r="E1288" s="65" t="str">
        <f aca="false">IF($H1288="","",购销流水!$B326)</f>
        <v/>
      </c>
      <c r="F1288" s="55" t="str">
        <f aca="false">IF($H1288="","",购销流水!$C326)</f>
        <v/>
      </c>
      <c r="G1288" s="48" t="str">
        <f aca="false">IF($H1288="","",购销流水!$N326)</f>
        <v/>
      </c>
      <c r="H1288" s="10" t="str">
        <f aca="false">IF($L1288="","",IF($L1288="@成本",购销流水!$U326,IF($L1288="@收入",购销流水!$T326,IF($L1288="@存货",购销流水!$S326,IF($L1288="@结算",购销流水!$R326,$L1288)))))</f>
        <v/>
      </c>
      <c r="I1288" s="42" t="n">
        <f aca="false">IF($M1288="借",$O1288,0)</f>
        <v>0</v>
      </c>
      <c r="J1288" s="42" t="n">
        <f aca="false">IF($M1288="贷",$O1288,0)</f>
        <v>0</v>
      </c>
      <c r="K1288" s="48" t="str">
        <f aca="false">IF($H1288="","",购销流水!$E326)</f>
        <v/>
      </c>
      <c r="L1288" s="66" t="str">
        <f aca="false">IF(购销流水!$D326="","",IFERROR(INDEX(记账规则!$A$6:$N$9,MATCH(购销流水!$D326,记账规则!$A$6:$A$9,0),9),""))</f>
        <v/>
      </c>
      <c r="M1288" s="66" t="str">
        <f aca="false">IF($L1288="","",IFERROR(INDEX(记账规则!$A$6:$N$9,MATCH(购销流水!$D326,记账规则!$A$6:$A$9,0),10),""))</f>
        <v/>
      </c>
      <c r="N1288" s="66" t="str">
        <f aca="false">IF($L1288="","",IFERROR(INDEX(记账规则!$A$6:$N$9,MATCH(购销流水!$D326,记账规则!$A$6:$A$9,0),11),""))</f>
        <v/>
      </c>
      <c r="O1288" s="67" t="n">
        <f aca="false">IF($H1288="",0,ROUND(IF($N1288="成本金额",N(购销流水!$W326),IF($N1288="金额",N(购销流水!$Q326),0)),2))</f>
        <v>0</v>
      </c>
      <c r="P1288" s="64" t="str">
        <f aca="false">IF(AND($H1288&lt;&gt;"",ROUND($O1288,2)&lt;&gt;0),"有","")</f>
        <v/>
      </c>
    </row>
    <row r="1289" customFormat="false" ht="15" hidden="true" customHeight="false" outlineLevel="0" collapsed="false">
      <c r="A1289" s="53" t="str">
        <f aca="false">IF($H1289="","",ROW()-5)</f>
        <v/>
      </c>
      <c r="B1289" s="64" t="s">
        <v>36</v>
      </c>
      <c r="C1289" s="53" t="n">
        <v>326</v>
      </c>
      <c r="D1289" s="53" t="n">
        <v>4</v>
      </c>
      <c r="E1289" s="65" t="str">
        <f aca="false">IF($H1289="","",购销流水!$B326)</f>
        <v/>
      </c>
      <c r="F1289" s="55" t="str">
        <f aca="false">IF($H1289="","",购销流水!$C326)</f>
        <v/>
      </c>
      <c r="G1289" s="48" t="str">
        <f aca="false">IF($H1289="","",购销流水!$N326)</f>
        <v/>
      </c>
      <c r="H1289" s="10" t="str">
        <f aca="false">IF($L1289="","",IF($L1289="@成本",购销流水!$U326,IF($L1289="@收入",购销流水!$T326,IF($L1289="@存货",购销流水!$S326,IF($L1289="@结算",购销流水!$R326,$L1289)))))</f>
        <v/>
      </c>
      <c r="I1289" s="42" t="n">
        <f aca="false">IF($M1289="借",$O1289,0)</f>
        <v>0</v>
      </c>
      <c r="J1289" s="42" t="n">
        <f aca="false">IF($M1289="贷",$O1289,0)</f>
        <v>0</v>
      </c>
      <c r="K1289" s="48" t="str">
        <f aca="false">IF($H1289="","",购销流水!$E326)</f>
        <v/>
      </c>
      <c r="L1289" s="66" t="str">
        <f aca="false">IF(购销流水!$D326="","",IFERROR(INDEX(记账规则!$A$6:$N$9,MATCH(购销流水!$D326,记账规则!$A$6:$A$9,0),12),""))</f>
        <v/>
      </c>
      <c r="M1289" s="66" t="str">
        <f aca="false">IF($L1289="","",IFERROR(INDEX(记账规则!$A$6:$N$9,MATCH(购销流水!$D326,记账规则!$A$6:$A$9,0),13),""))</f>
        <v/>
      </c>
      <c r="N1289" s="66" t="str">
        <f aca="false">IF($L1289="","",IFERROR(INDEX(记账规则!$A$6:$N$9,MATCH(购销流水!$D326,记账规则!$A$6:$A$9,0),14),""))</f>
        <v/>
      </c>
      <c r="O1289" s="67" t="n">
        <f aca="false">IF($H1289="",0,ROUND(IF($N1289="成本金额",N(购销流水!$W326),IF($N1289="金额",N(购销流水!$Q326),0)),2))</f>
        <v>0</v>
      </c>
      <c r="P1289" s="64" t="str">
        <f aca="false">IF(AND($H1289&lt;&gt;"",ROUND($O1289,2)&lt;&gt;0),"有","")</f>
        <v/>
      </c>
    </row>
    <row r="1290" customFormat="false" ht="15" hidden="true" customHeight="false" outlineLevel="0" collapsed="false">
      <c r="A1290" s="53" t="str">
        <f aca="false">IF($H1290="","",ROW()-5)</f>
        <v/>
      </c>
      <c r="B1290" s="64" t="s">
        <v>36</v>
      </c>
      <c r="C1290" s="53" t="n">
        <v>327</v>
      </c>
      <c r="D1290" s="53" t="n">
        <v>1</v>
      </c>
      <c r="E1290" s="65" t="str">
        <f aca="false">IF($H1290="","",购销流水!$B327)</f>
        <v/>
      </c>
      <c r="F1290" s="55" t="str">
        <f aca="false">IF($H1290="","",购销流水!$C327)</f>
        <v/>
      </c>
      <c r="G1290" s="48" t="str">
        <f aca="false">IF($H1290="","",购销流水!$N327)</f>
        <v/>
      </c>
      <c r="H1290" s="10" t="str">
        <f aca="false">IF($L1290="","",IF($L1290="@成本",购销流水!$U327,IF($L1290="@收入",购销流水!$T327,IF($L1290="@存货",购销流水!$S327,IF($L1290="@结算",购销流水!$R327,$L1290)))))</f>
        <v/>
      </c>
      <c r="I1290" s="42" t="n">
        <f aca="false">IF($M1290="借",$O1290,0)</f>
        <v>0</v>
      </c>
      <c r="J1290" s="42" t="n">
        <f aca="false">IF($M1290="贷",$O1290,0)</f>
        <v>0</v>
      </c>
      <c r="K1290" s="48" t="str">
        <f aca="false">IF($H1290="","",购销流水!$E327)</f>
        <v/>
      </c>
      <c r="L1290" s="66" t="str">
        <f aca="false">IF(购销流水!$D327="","",IFERROR(INDEX(记账规则!$A$6:$N$9,MATCH(购销流水!$D327,记账规则!$A$6:$A$9,0),3),""))</f>
        <v/>
      </c>
      <c r="M1290" s="66" t="str">
        <f aca="false">IF($L1290="","",IFERROR(INDEX(记账规则!$A$6:$N$9,MATCH(购销流水!$D327,记账规则!$A$6:$A$9,0),4),""))</f>
        <v/>
      </c>
      <c r="N1290" s="66" t="str">
        <f aca="false">IF($L1290="","",IFERROR(INDEX(记账规则!$A$6:$N$9,MATCH(购销流水!$D327,记账规则!$A$6:$A$9,0),5),""))</f>
        <v/>
      </c>
      <c r="O1290" s="67" t="n">
        <f aca="false">IF($H1290="",0,ROUND(IF($N1290="成本金额",N(购销流水!$W327),IF($N1290="金额",N(购销流水!$Q327),0)),2))</f>
        <v>0</v>
      </c>
      <c r="P1290" s="64" t="str">
        <f aca="false">IF(AND($H1290&lt;&gt;"",ROUND($O1290,2)&lt;&gt;0),"有","")</f>
        <v/>
      </c>
    </row>
    <row r="1291" customFormat="false" ht="15" hidden="true" customHeight="false" outlineLevel="0" collapsed="false">
      <c r="A1291" s="53" t="str">
        <f aca="false">IF($H1291="","",ROW()-5)</f>
        <v/>
      </c>
      <c r="B1291" s="64" t="s">
        <v>36</v>
      </c>
      <c r="C1291" s="53" t="n">
        <v>327</v>
      </c>
      <c r="D1291" s="53" t="n">
        <v>2</v>
      </c>
      <c r="E1291" s="65" t="str">
        <f aca="false">IF($H1291="","",购销流水!$B327)</f>
        <v/>
      </c>
      <c r="F1291" s="55" t="str">
        <f aca="false">IF($H1291="","",购销流水!$C327)</f>
        <v/>
      </c>
      <c r="G1291" s="48" t="str">
        <f aca="false">IF($H1291="","",购销流水!$N327)</f>
        <v/>
      </c>
      <c r="H1291" s="10" t="str">
        <f aca="false">IF($L1291="","",IF($L1291="@成本",购销流水!$U327,IF($L1291="@收入",购销流水!$T327,IF($L1291="@存货",购销流水!$S327,IF($L1291="@结算",购销流水!$R327,$L1291)))))</f>
        <v/>
      </c>
      <c r="I1291" s="42" t="n">
        <f aca="false">IF($M1291="借",$O1291,0)</f>
        <v>0</v>
      </c>
      <c r="J1291" s="42" t="n">
        <f aca="false">IF($M1291="贷",$O1291,0)</f>
        <v>0</v>
      </c>
      <c r="K1291" s="48" t="str">
        <f aca="false">IF($H1291="","",购销流水!$E327)</f>
        <v/>
      </c>
      <c r="L1291" s="66" t="str">
        <f aca="false">IF(购销流水!$D327="","",IFERROR(INDEX(记账规则!$A$6:$N$9,MATCH(购销流水!$D327,记账规则!$A$6:$A$9,0),6),""))</f>
        <v/>
      </c>
      <c r="M1291" s="66" t="str">
        <f aca="false">IF($L1291="","",IFERROR(INDEX(记账规则!$A$6:$N$9,MATCH(购销流水!$D327,记账规则!$A$6:$A$9,0),7),""))</f>
        <v/>
      </c>
      <c r="N1291" s="66" t="str">
        <f aca="false">IF($L1291="","",IFERROR(INDEX(记账规则!$A$6:$N$9,MATCH(购销流水!$D327,记账规则!$A$6:$A$9,0),8),""))</f>
        <v/>
      </c>
      <c r="O1291" s="67" t="n">
        <f aca="false">IF($H1291="",0,ROUND(IF($N1291="成本金额",N(购销流水!$W327),IF($N1291="金额",N(购销流水!$Q327),0)),2))</f>
        <v>0</v>
      </c>
      <c r="P1291" s="64" t="str">
        <f aca="false">IF(AND($H1291&lt;&gt;"",ROUND($O1291,2)&lt;&gt;0),"有","")</f>
        <v/>
      </c>
    </row>
    <row r="1292" customFormat="false" ht="15" hidden="true" customHeight="false" outlineLevel="0" collapsed="false">
      <c r="A1292" s="53" t="str">
        <f aca="false">IF($H1292="","",ROW()-5)</f>
        <v/>
      </c>
      <c r="B1292" s="64" t="s">
        <v>36</v>
      </c>
      <c r="C1292" s="53" t="n">
        <v>327</v>
      </c>
      <c r="D1292" s="53" t="n">
        <v>3</v>
      </c>
      <c r="E1292" s="65" t="str">
        <f aca="false">IF($H1292="","",购销流水!$B327)</f>
        <v/>
      </c>
      <c r="F1292" s="55" t="str">
        <f aca="false">IF($H1292="","",购销流水!$C327)</f>
        <v/>
      </c>
      <c r="G1292" s="48" t="str">
        <f aca="false">IF($H1292="","",购销流水!$N327)</f>
        <v/>
      </c>
      <c r="H1292" s="10" t="str">
        <f aca="false">IF($L1292="","",IF($L1292="@成本",购销流水!$U327,IF($L1292="@收入",购销流水!$T327,IF($L1292="@存货",购销流水!$S327,IF($L1292="@结算",购销流水!$R327,$L1292)))))</f>
        <v/>
      </c>
      <c r="I1292" s="42" t="n">
        <f aca="false">IF($M1292="借",$O1292,0)</f>
        <v>0</v>
      </c>
      <c r="J1292" s="42" t="n">
        <f aca="false">IF($M1292="贷",$O1292,0)</f>
        <v>0</v>
      </c>
      <c r="K1292" s="48" t="str">
        <f aca="false">IF($H1292="","",购销流水!$E327)</f>
        <v/>
      </c>
      <c r="L1292" s="66" t="str">
        <f aca="false">IF(购销流水!$D327="","",IFERROR(INDEX(记账规则!$A$6:$N$9,MATCH(购销流水!$D327,记账规则!$A$6:$A$9,0),9),""))</f>
        <v/>
      </c>
      <c r="M1292" s="66" t="str">
        <f aca="false">IF($L1292="","",IFERROR(INDEX(记账规则!$A$6:$N$9,MATCH(购销流水!$D327,记账规则!$A$6:$A$9,0),10),""))</f>
        <v/>
      </c>
      <c r="N1292" s="66" t="str">
        <f aca="false">IF($L1292="","",IFERROR(INDEX(记账规则!$A$6:$N$9,MATCH(购销流水!$D327,记账规则!$A$6:$A$9,0),11),""))</f>
        <v/>
      </c>
      <c r="O1292" s="67" t="n">
        <f aca="false">IF($H1292="",0,ROUND(IF($N1292="成本金额",N(购销流水!$W327),IF($N1292="金额",N(购销流水!$Q327),0)),2))</f>
        <v>0</v>
      </c>
      <c r="P1292" s="64" t="str">
        <f aca="false">IF(AND($H1292&lt;&gt;"",ROUND($O1292,2)&lt;&gt;0),"有","")</f>
        <v/>
      </c>
    </row>
    <row r="1293" customFormat="false" ht="15" hidden="true" customHeight="false" outlineLevel="0" collapsed="false">
      <c r="A1293" s="53" t="str">
        <f aca="false">IF($H1293="","",ROW()-5)</f>
        <v/>
      </c>
      <c r="B1293" s="64" t="s">
        <v>36</v>
      </c>
      <c r="C1293" s="53" t="n">
        <v>327</v>
      </c>
      <c r="D1293" s="53" t="n">
        <v>4</v>
      </c>
      <c r="E1293" s="65" t="str">
        <f aca="false">IF($H1293="","",购销流水!$B327)</f>
        <v/>
      </c>
      <c r="F1293" s="55" t="str">
        <f aca="false">IF($H1293="","",购销流水!$C327)</f>
        <v/>
      </c>
      <c r="G1293" s="48" t="str">
        <f aca="false">IF($H1293="","",购销流水!$N327)</f>
        <v/>
      </c>
      <c r="H1293" s="10" t="str">
        <f aca="false">IF($L1293="","",IF($L1293="@成本",购销流水!$U327,IF($L1293="@收入",购销流水!$T327,IF($L1293="@存货",购销流水!$S327,IF($L1293="@结算",购销流水!$R327,$L1293)))))</f>
        <v/>
      </c>
      <c r="I1293" s="42" t="n">
        <f aca="false">IF($M1293="借",$O1293,0)</f>
        <v>0</v>
      </c>
      <c r="J1293" s="42" t="n">
        <f aca="false">IF($M1293="贷",$O1293,0)</f>
        <v>0</v>
      </c>
      <c r="K1293" s="48" t="str">
        <f aca="false">IF($H1293="","",购销流水!$E327)</f>
        <v/>
      </c>
      <c r="L1293" s="66" t="str">
        <f aca="false">IF(购销流水!$D327="","",IFERROR(INDEX(记账规则!$A$6:$N$9,MATCH(购销流水!$D327,记账规则!$A$6:$A$9,0),12),""))</f>
        <v/>
      </c>
      <c r="M1293" s="66" t="str">
        <f aca="false">IF($L1293="","",IFERROR(INDEX(记账规则!$A$6:$N$9,MATCH(购销流水!$D327,记账规则!$A$6:$A$9,0),13),""))</f>
        <v/>
      </c>
      <c r="N1293" s="66" t="str">
        <f aca="false">IF($L1293="","",IFERROR(INDEX(记账规则!$A$6:$N$9,MATCH(购销流水!$D327,记账规则!$A$6:$A$9,0),14),""))</f>
        <v/>
      </c>
      <c r="O1293" s="67" t="n">
        <f aca="false">IF($H1293="",0,ROUND(IF($N1293="成本金额",N(购销流水!$W327),IF($N1293="金额",N(购销流水!$Q327),0)),2))</f>
        <v>0</v>
      </c>
      <c r="P1293" s="64" t="str">
        <f aca="false">IF(AND($H1293&lt;&gt;"",ROUND($O1293,2)&lt;&gt;0),"有","")</f>
        <v/>
      </c>
    </row>
    <row r="1294" customFormat="false" ht="15" hidden="true" customHeight="false" outlineLevel="0" collapsed="false">
      <c r="A1294" s="53" t="str">
        <f aca="false">IF($H1294="","",ROW()-5)</f>
        <v/>
      </c>
      <c r="B1294" s="64" t="s">
        <v>36</v>
      </c>
      <c r="C1294" s="53" t="n">
        <v>328</v>
      </c>
      <c r="D1294" s="53" t="n">
        <v>1</v>
      </c>
      <c r="E1294" s="65" t="str">
        <f aca="false">IF($H1294="","",购销流水!$B328)</f>
        <v/>
      </c>
      <c r="F1294" s="55" t="str">
        <f aca="false">IF($H1294="","",购销流水!$C328)</f>
        <v/>
      </c>
      <c r="G1294" s="48" t="str">
        <f aca="false">IF($H1294="","",购销流水!$N328)</f>
        <v/>
      </c>
      <c r="H1294" s="10" t="str">
        <f aca="false">IF($L1294="","",IF($L1294="@成本",购销流水!$U328,IF($L1294="@收入",购销流水!$T328,IF($L1294="@存货",购销流水!$S328,IF($L1294="@结算",购销流水!$R328,$L1294)))))</f>
        <v/>
      </c>
      <c r="I1294" s="42" t="n">
        <f aca="false">IF($M1294="借",$O1294,0)</f>
        <v>0</v>
      </c>
      <c r="J1294" s="42" t="n">
        <f aca="false">IF($M1294="贷",$O1294,0)</f>
        <v>0</v>
      </c>
      <c r="K1294" s="48" t="str">
        <f aca="false">IF($H1294="","",购销流水!$E328)</f>
        <v/>
      </c>
      <c r="L1294" s="66" t="str">
        <f aca="false">IF(购销流水!$D328="","",IFERROR(INDEX(记账规则!$A$6:$N$9,MATCH(购销流水!$D328,记账规则!$A$6:$A$9,0),3),""))</f>
        <v/>
      </c>
      <c r="M1294" s="66" t="str">
        <f aca="false">IF($L1294="","",IFERROR(INDEX(记账规则!$A$6:$N$9,MATCH(购销流水!$D328,记账规则!$A$6:$A$9,0),4),""))</f>
        <v/>
      </c>
      <c r="N1294" s="66" t="str">
        <f aca="false">IF($L1294="","",IFERROR(INDEX(记账规则!$A$6:$N$9,MATCH(购销流水!$D328,记账规则!$A$6:$A$9,0),5),""))</f>
        <v/>
      </c>
      <c r="O1294" s="67" t="n">
        <f aca="false">IF($H1294="",0,ROUND(IF($N1294="成本金额",N(购销流水!$W328),IF($N1294="金额",N(购销流水!$Q328),0)),2))</f>
        <v>0</v>
      </c>
      <c r="P1294" s="64" t="str">
        <f aca="false">IF(AND($H1294&lt;&gt;"",ROUND($O1294,2)&lt;&gt;0),"有","")</f>
        <v/>
      </c>
    </row>
    <row r="1295" customFormat="false" ht="15" hidden="true" customHeight="false" outlineLevel="0" collapsed="false">
      <c r="A1295" s="53" t="str">
        <f aca="false">IF($H1295="","",ROW()-5)</f>
        <v/>
      </c>
      <c r="B1295" s="64" t="s">
        <v>36</v>
      </c>
      <c r="C1295" s="53" t="n">
        <v>328</v>
      </c>
      <c r="D1295" s="53" t="n">
        <v>2</v>
      </c>
      <c r="E1295" s="65" t="str">
        <f aca="false">IF($H1295="","",购销流水!$B328)</f>
        <v/>
      </c>
      <c r="F1295" s="55" t="str">
        <f aca="false">IF($H1295="","",购销流水!$C328)</f>
        <v/>
      </c>
      <c r="G1295" s="48" t="str">
        <f aca="false">IF($H1295="","",购销流水!$N328)</f>
        <v/>
      </c>
      <c r="H1295" s="10" t="str">
        <f aca="false">IF($L1295="","",IF($L1295="@成本",购销流水!$U328,IF($L1295="@收入",购销流水!$T328,IF($L1295="@存货",购销流水!$S328,IF($L1295="@结算",购销流水!$R328,$L1295)))))</f>
        <v/>
      </c>
      <c r="I1295" s="42" t="n">
        <f aca="false">IF($M1295="借",$O1295,0)</f>
        <v>0</v>
      </c>
      <c r="J1295" s="42" t="n">
        <f aca="false">IF($M1295="贷",$O1295,0)</f>
        <v>0</v>
      </c>
      <c r="K1295" s="48" t="str">
        <f aca="false">IF($H1295="","",购销流水!$E328)</f>
        <v/>
      </c>
      <c r="L1295" s="66" t="str">
        <f aca="false">IF(购销流水!$D328="","",IFERROR(INDEX(记账规则!$A$6:$N$9,MATCH(购销流水!$D328,记账规则!$A$6:$A$9,0),6),""))</f>
        <v/>
      </c>
      <c r="M1295" s="66" t="str">
        <f aca="false">IF($L1295="","",IFERROR(INDEX(记账规则!$A$6:$N$9,MATCH(购销流水!$D328,记账规则!$A$6:$A$9,0),7),""))</f>
        <v/>
      </c>
      <c r="N1295" s="66" t="str">
        <f aca="false">IF($L1295="","",IFERROR(INDEX(记账规则!$A$6:$N$9,MATCH(购销流水!$D328,记账规则!$A$6:$A$9,0),8),""))</f>
        <v/>
      </c>
      <c r="O1295" s="67" t="n">
        <f aca="false">IF($H1295="",0,ROUND(IF($N1295="成本金额",N(购销流水!$W328),IF($N1295="金额",N(购销流水!$Q328),0)),2))</f>
        <v>0</v>
      </c>
      <c r="P1295" s="64" t="str">
        <f aca="false">IF(AND($H1295&lt;&gt;"",ROUND($O1295,2)&lt;&gt;0),"有","")</f>
        <v/>
      </c>
    </row>
    <row r="1296" customFormat="false" ht="15" hidden="true" customHeight="false" outlineLevel="0" collapsed="false">
      <c r="A1296" s="53" t="str">
        <f aca="false">IF($H1296="","",ROW()-5)</f>
        <v/>
      </c>
      <c r="B1296" s="64" t="s">
        <v>36</v>
      </c>
      <c r="C1296" s="53" t="n">
        <v>328</v>
      </c>
      <c r="D1296" s="53" t="n">
        <v>3</v>
      </c>
      <c r="E1296" s="65" t="str">
        <f aca="false">IF($H1296="","",购销流水!$B328)</f>
        <v/>
      </c>
      <c r="F1296" s="55" t="str">
        <f aca="false">IF($H1296="","",购销流水!$C328)</f>
        <v/>
      </c>
      <c r="G1296" s="48" t="str">
        <f aca="false">IF($H1296="","",购销流水!$N328)</f>
        <v/>
      </c>
      <c r="H1296" s="10" t="str">
        <f aca="false">IF($L1296="","",IF($L1296="@成本",购销流水!$U328,IF($L1296="@收入",购销流水!$T328,IF($L1296="@存货",购销流水!$S328,IF($L1296="@结算",购销流水!$R328,$L1296)))))</f>
        <v/>
      </c>
      <c r="I1296" s="42" t="n">
        <f aca="false">IF($M1296="借",$O1296,0)</f>
        <v>0</v>
      </c>
      <c r="J1296" s="42" t="n">
        <f aca="false">IF($M1296="贷",$O1296,0)</f>
        <v>0</v>
      </c>
      <c r="K1296" s="48" t="str">
        <f aca="false">IF($H1296="","",购销流水!$E328)</f>
        <v/>
      </c>
      <c r="L1296" s="66" t="str">
        <f aca="false">IF(购销流水!$D328="","",IFERROR(INDEX(记账规则!$A$6:$N$9,MATCH(购销流水!$D328,记账规则!$A$6:$A$9,0),9),""))</f>
        <v/>
      </c>
      <c r="M1296" s="66" t="str">
        <f aca="false">IF($L1296="","",IFERROR(INDEX(记账规则!$A$6:$N$9,MATCH(购销流水!$D328,记账规则!$A$6:$A$9,0),10),""))</f>
        <v/>
      </c>
      <c r="N1296" s="66" t="str">
        <f aca="false">IF($L1296="","",IFERROR(INDEX(记账规则!$A$6:$N$9,MATCH(购销流水!$D328,记账规则!$A$6:$A$9,0),11),""))</f>
        <v/>
      </c>
      <c r="O1296" s="67" t="n">
        <f aca="false">IF($H1296="",0,ROUND(IF($N1296="成本金额",N(购销流水!$W328),IF($N1296="金额",N(购销流水!$Q328),0)),2))</f>
        <v>0</v>
      </c>
      <c r="P1296" s="64" t="str">
        <f aca="false">IF(AND($H1296&lt;&gt;"",ROUND($O1296,2)&lt;&gt;0),"有","")</f>
        <v/>
      </c>
    </row>
    <row r="1297" customFormat="false" ht="15" hidden="true" customHeight="false" outlineLevel="0" collapsed="false">
      <c r="A1297" s="53" t="str">
        <f aca="false">IF($H1297="","",ROW()-5)</f>
        <v/>
      </c>
      <c r="B1297" s="64" t="s">
        <v>36</v>
      </c>
      <c r="C1297" s="53" t="n">
        <v>328</v>
      </c>
      <c r="D1297" s="53" t="n">
        <v>4</v>
      </c>
      <c r="E1297" s="65" t="str">
        <f aca="false">IF($H1297="","",购销流水!$B328)</f>
        <v/>
      </c>
      <c r="F1297" s="55" t="str">
        <f aca="false">IF($H1297="","",购销流水!$C328)</f>
        <v/>
      </c>
      <c r="G1297" s="48" t="str">
        <f aca="false">IF($H1297="","",购销流水!$N328)</f>
        <v/>
      </c>
      <c r="H1297" s="10" t="str">
        <f aca="false">IF($L1297="","",IF($L1297="@成本",购销流水!$U328,IF($L1297="@收入",购销流水!$T328,IF($L1297="@存货",购销流水!$S328,IF($L1297="@结算",购销流水!$R328,$L1297)))))</f>
        <v/>
      </c>
      <c r="I1297" s="42" t="n">
        <f aca="false">IF($M1297="借",$O1297,0)</f>
        <v>0</v>
      </c>
      <c r="J1297" s="42" t="n">
        <f aca="false">IF($M1297="贷",$O1297,0)</f>
        <v>0</v>
      </c>
      <c r="K1297" s="48" t="str">
        <f aca="false">IF($H1297="","",购销流水!$E328)</f>
        <v/>
      </c>
      <c r="L1297" s="66" t="str">
        <f aca="false">IF(购销流水!$D328="","",IFERROR(INDEX(记账规则!$A$6:$N$9,MATCH(购销流水!$D328,记账规则!$A$6:$A$9,0),12),""))</f>
        <v/>
      </c>
      <c r="M1297" s="66" t="str">
        <f aca="false">IF($L1297="","",IFERROR(INDEX(记账规则!$A$6:$N$9,MATCH(购销流水!$D328,记账规则!$A$6:$A$9,0),13),""))</f>
        <v/>
      </c>
      <c r="N1297" s="66" t="str">
        <f aca="false">IF($L1297="","",IFERROR(INDEX(记账规则!$A$6:$N$9,MATCH(购销流水!$D328,记账规则!$A$6:$A$9,0),14),""))</f>
        <v/>
      </c>
      <c r="O1297" s="67" t="n">
        <f aca="false">IF($H1297="",0,ROUND(IF($N1297="成本金额",N(购销流水!$W328),IF($N1297="金额",N(购销流水!$Q328),0)),2))</f>
        <v>0</v>
      </c>
      <c r="P1297" s="64" t="str">
        <f aca="false">IF(AND($H1297&lt;&gt;"",ROUND($O1297,2)&lt;&gt;0),"有","")</f>
        <v/>
      </c>
    </row>
    <row r="1298" customFormat="false" ht="15" hidden="true" customHeight="false" outlineLevel="0" collapsed="false">
      <c r="A1298" s="53" t="str">
        <f aca="false">IF($H1298="","",ROW()-5)</f>
        <v/>
      </c>
      <c r="B1298" s="64" t="s">
        <v>36</v>
      </c>
      <c r="C1298" s="53" t="n">
        <v>329</v>
      </c>
      <c r="D1298" s="53" t="n">
        <v>1</v>
      </c>
      <c r="E1298" s="65" t="str">
        <f aca="false">IF($H1298="","",购销流水!$B329)</f>
        <v/>
      </c>
      <c r="F1298" s="55" t="str">
        <f aca="false">IF($H1298="","",购销流水!$C329)</f>
        <v/>
      </c>
      <c r="G1298" s="48" t="str">
        <f aca="false">IF($H1298="","",购销流水!$N329)</f>
        <v/>
      </c>
      <c r="H1298" s="10" t="str">
        <f aca="false">IF($L1298="","",IF($L1298="@成本",购销流水!$U329,IF($L1298="@收入",购销流水!$T329,IF($L1298="@存货",购销流水!$S329,IF($L1298="@结算",购销流水!$R329,$L1298)))))</f>
        <v/>
      </c>
      <c r="I1298" s="42" t="n">
        <f aca="false">IF($M1298="借",$O1298,0)</f>
        <v>0</v>
      </c>
      <c r="J1298" s="42" t="n">
        <f aca="false">IF($M1298="贷",$O1298,0)</f>
        <v>0</v>
      </c>
      <c r="K1298" s="48" t="str">
        <f aca="false">IF($H1298="","",购销流水!$E329)</f>
        <v/>
      </c>
      <c r="L1298" s="66" t="str">
        <f aca="false">IF(购销流水!$D329="","",IFERROR(INDEX(记账规则!$A$6:$N$9,MATCH(购销流水!$D329,记账规则!$A$6:$A$9,0),3),""))</f>
        <v/>
      </c>
      <c r="M1298" s="66" t="str">
        <f aca="false">IF($L1298="","",IFERROR(INDEX(记账规则!$A$6:$N$9,MATCH(购销流水!$D329,记账规则!$A$6:$A$9,0),4),""))</f>
        <v/>
      </c>
      <c r="N1298" s="66" t="str">
        <f aca="false">IF($L1298="","",IFERROR(INDEX(记账规则!$A$6:$N$9,MATCH(购销流水!$D329,记账规则!$A$6:$A$9,0),5),""))</f>
        <v/>
      </c>
      <c r="O1298" s="67" t="n">
        <f aca="false">IF($H1298="",0,ROUND(IF($N1298="成本金额",N(购销流水!$W329),IF($N1298="金额",N(购销流水!$Q329),0)),2))</f>
        <v>0</v>
      </c>
      <c r="P1298" s="64" t="str">
        <f aca="false">IF(AND($H1298&lt;&gt;"",ROUND($O1298,2)&lt;&gt;0),"有","")</f>
        <v/>
      </c>
    </row>
    <row r="1299" customFormat="false" ht="15" hidden="true" customHeight="false" outlineLevel="0" collapsed="false">
      <c r="A1299" s="53" t="str">
        <f aca="false">IF($H1299="","",ROW()-5)</f>
        <v/>
      </c>
      <c r="B1299" s="64" t="s">
        <v>36</v>
      </c>
      <c r="C1299" s="53" t="n">
        <v>329</v>
      </c>
      <c r="D1299" s="53" t="n">
        <v>2</v>
      </c>
      <c r="E1299" s="65" t="str">
        <f aca="false">IF($H1299="","",购销流水!$B329)</f>
        <v/>
      </c>
      <c r="F1299" s="55" t="str">
        <f aca="false">IF($H1299="","",购销流水!$C329)</f>
        <v/>
      </c>
      <c r="G1299" s="48" t="str">
        <f aca="false">IF($H1299="","",购销流水!$N329)</f>
        <v/>
      </c>
      <c r="H1299" s="10" t="str">
        <f aca="false">IF($L1299="","",IF($L1299="@成本",购销流水!$U329,IF($L1299="@收入",购销流水!$T329,IF($L1299="@存货",购销流水!$S329,IF($L1299="@结算",购销流水!$R329,$L1299)))))</f>
        <v/>
      </c>
      <c r="I1299" s="42" t="n">
        <f aca="false">IF($M1299="借",$O1299,0)</f>
        <v>0</v>
      </c>
      <c r="J1299" s="42" t="n">
        <f aca="false">IF($M1299="贷",$O1299,0)</f>
        <v>0</v>
      </c>
      <c r="K1299" s="48" t="str">
        <f aca="false">IF($H1299="","",购销流水!$E329)</f>
        <v/>
      </c>
      <c r="L1299" s="66" t="str">
        <f aca="false">IF(购销流水!$D329="","",IFERROR(INDEX(记账规则!$A$6:$N$9,MATCH(购销流水!$D329,记账规则!$A$6:$A$9,0),6),""))</f>
        <v/>
      </c>
      <c r="M1299" s="66" t="str">
        <f aca="false">IF($L1299="","",IFERROR(INDEX(记账规则!$A$6:$N$9,MATCH(购销流水!$D329,记账规则!$A$6:$A$9,0),7),""))</f>
        <v/>
      </c>
      <c r="N1299" s="66" t="str">
        <f aca="false">IF($L1299="","",IFERROR(INDEX(记账规则!$A$6:$N$9,MATCH(购销流水!$D329,记账规则!$A$6:$A$9,0),8),""))</f>
        <v/>
      </c>
      <c r="O1299" s="67" t="n">
        <f aca="false">IF($H1299="",0,ROUND(IF($N1299="成本金额",N(购销流水!$W329),IF($N1299="金额",N(购销流水!$Q329),0)),2))</f>
        <v>0</v>
      </c>
      <c r="P1299" s="64" t="str">
        <f aca="false">IF(AND($H1299&lt;&gt;"",ROUND($O1299,2)&lt;&gt;0),"有","")</f>
        <v/>
      </c>
    </row>
    <row r="1300" customFormat="false" ht="15" hidden="true" customHeight="false" outlineLevel="0" collapsed="false">
      <c r="A1300" s="53" t="str">
        <f aca="false">IF($H1300="","",ROW()-5)</f>
        <v/>
      </c>
      <c r="B1300" s="64" t="s">
        <v>36</v>
      </c>
      <c r="C1300" s="53" t="n">
        <v>329</v>
      </c>
      <c r="D1300" s="53" t="n">
        <v>3</v>
      </c>
      <c r="E1300" s="65" t="str">
        <f aca="false">IF($H1300="","",购销流水!$B329)</f>
        <v/>
      </c>
      <c r="F1300" s="55" t="str">
        <f aca="false">IF($H1300="","",购销流水!$C329)</f>
        <v/>
      </c>
      <c r="G1300" s="48" t="str">
        <f aca="false">IF($H1300="","",购销流水!$N329)</f>
        <v/>
      </c>
      <c r="H1300" s="10" t="str">
        <f aca="false">IF($L1300="","",IF($L1300="@成本",购销流水!$U329,IF($L1300="@收入",购销流水!$T329,IF($L1300="@存货",购销流水!$S329,IF($L1300="@结算",购销流水!$R329,$L1300)))))</f>
        <v/>
      </c>
      <c r="I1300" s="42" t="n">
        <f aca="false">IF($M1300="借",$O1300,0)</f>
        <v>0</v>
      </c>
      <c r="J1300" s="42" t="n">
        <f aca="false">IF($M1300="贷",$O1300,0)</f>
        <v>0</v>
      </c>
      <c r="K1300" s="48" t="str">
        <f aca="false">IF($H1300="","",购销流水!$E329)</f>
        <v/>
      </c>
      <c r="L1300" s="66" t="str">
        <f aca="false">IF(购销流水!$D329="","",IFERROR(INDEX(记账规则!$A$6:$N$9,MATCH(购销流水!$D329,记账规则!$A$6:$A$9,0),9),""))</f>
        <v/>
      </c>
      <c r="M1300" s="66" t="str">
        <f aca="false">IF($L1300="","",IFERROR(INDEX(记账规则!$A$6:$N$9,MATCH(购销流水!$D329,记账规则!$A$6:$A$9,0),10),""))</f>
        <v/>
      </c>
      <c r="N1300" s="66" t="str">
        <f aca="false">IF($L1300="","",IFERROR(INDEX(记账规则!$A$6:$N$9,MATCH(购销流水!$D329,记账规则!$A$6:$A$9,0),11),""))</f>
        <v/>
      </c>
      <c r="O1300" s="67" t="n">
        <f aca="false">IF($H1300="",0,ROUND(IF($N1300="成本金额",N(购销流水!$W329),IF($N1300="金额",N(购销流水!$Q329),0)),2))</f>
        <v>0</v>
      </c>
      <c r="P1300" s="64" t="str">
        <f aca="false">IF(AND($H1300&lt;&gt;"",ROUND($O1300,2)&lt;&gt;0),"有","")</f>
        <v/>
      </c>
    </row>
    <row r="1301" customFormat="false" ht="15" hidden="true" customHeight="false" outlineLevel="0" collapsed="false">
      <c r="A1301" s="53" t="str">
        <f aca="false">IF($H1301="","",ROW()-5)</f>
        <v/>
      </c>
      <c r="B1301" s="64" t="s">
        <v>36</v>
      </c>
      <c r="C1301" s="53" t="n">
        <v>329</v>
      </c>
      <c r="D1301" s="53" t="n">
        <v>4</v>
      </c>
      <c r="E1301" s="65" t="str">
        <f aca="false">IF($H1301="","",购销流水!$B329)</f>
        <v/>
      </c>
      <c r="F1301" s="55" t="str">
        <f aca="false">IF($H1301="","",购销流水!$C329)</f>
        <v/>
      </c>
      <c r="G1301" s="48" t="str">
        <f aca="false">IF($H1301="","",购销流水!$N329)</f>
        <v/>
      </c>
      <c r="H1301" s="10" t="str">
        <f aca="false">IF($L1301="","",IF($L1301="@成本",购销流水!$U329,IF($L1301="@收入",购销流水!$T329,IF($L1301="@存货",购销流水!$S329,IF($L1301="@结算",购销流水!$R329,$L1301)))))</f>
        <v/>
      </c>
      <c r="I1301" s="42" t="n">
        <f aca="false">IF($M1301="借",$O1301,0)</f>
        <v>0</v>
      </c>
      <c r="J1301" s="42" t="n">
        <f aca="false">IF($M1301="贷",$O1301,0)</f>
        <v>0</v>
      </c>
      <c r="K1301" s="48" t="str">
        <f aca="false">IF($H1301="","",购销流水!$E329)</f>
        <v/>
      </c>
      <c r="L1301" s="66" t="str">
        <f aca="false">IF(购销流水!$D329="","",IFERROR(INDEX(记账规则!$A$6:$N$9,MATCH(购销流水!$D329,记账规则!$A$6:$A$9,0),12),""))</f>
        <v/>
      </c>
      <c r="M1301" s="66" t="str">
        <f aca="false">IF($L1301="","",IFERROR(INDEX(记账规则!$A$6:$N$9,MATCH(购销流水!$D329,记账规则!$A$6:$A$9,0),13),""))</f>
        <v/>
      </c>
      <c r="N1301" s="66" t="str">
        <f aca="false">IF($L1301="","",IFERROR(INDEX(记账规则!$A$6:$N$9,MATCH(购销流水!$D329,记账规则!$A$6:$A$9,0),14),""))</f>
        <v/>
      </c>
      <c r="O1301" s="67" t="n">
        <f aca="false">IF($H1301="",0,ROUND(IF($N1301="成本金额",N(购销流水!$W329),IF($N1301="金额",N(购销流水!$Q329),0)),2))</f>
        <v>0</v>
      </c>
      <c r="P1301" s="64" t="str">
        <f aca="false">IF(AND($H1301&lt;&gt;"",ROUND($O1301,2)&lt;&gt;0),"有","")</f>
        <v/>
      </c>
    </row>
    <row r="1302" customFormat="false" ht="15" hidden="true" customHeight="false" outlineLevel="0" collapsed="false">
      <c r="A1302" s="53" t="str">
        <f aca="false">IF($H1302="","",ROW()-5)</f>
        <v/>
      </c>
      <c r="B1302" s="64" t="s">
        <v>36</v>
      </c>
      <c r="C1302" s="53" t="n">
        <v>330</v>
      </c>
      <c r="D1302" s="53" t="n">
        <v>1</v>
      </c>
      <c r="E1302" s="65" t="str">
        <f aca="false">IF($H1302="","",购销流水!$B330)</f>
        <v/>
      </c>
      <c r="F1302" s="55" t="str">
        <f aca="false">IF($H1302="","",购销流水!$C330)</f>
        <v/>
      </c>
      <c r="G1302" s="48" t="str">
        <f aca="false">IF($H1302="","",购销流水!$N330)</f>
        <v/>
      </c>
      <c r="H1302" s="10" t="str">
        <f aca="false">IF($L1302="","",IF($L1302="@成本",购销流水!$U330,IF($L1302="@收入",购销流水!$T330,IF($L1302="@存货",购销流水!$S330,IF($L1302="@结算",购销流水!$R330,$L1302)))))</f>
        <v/>
      </c>
      <c r="I1302" s="42" t="n">
        <f aca="false">IF($M1302="借",$O1302,0)</f>
        <v>0</v>
      </c>
      <c r="J1302" s="42" t="n">
        <f aca="false">IF($M1302="贷",$O1302,0)</f>
        <v>0</v>
      </c>
      <c r="K1302" s="48" t="str">
        <f aca="false">IF($H1302="","",购销流水!$E330)</f>
        <v/>
      </c>
      <c r="L1302" s="66" t="str">
        <f aca="false">IF(购销流水!$D330="","",IFERROR(INDEX(记账规则!$A$6:$N$9,MATCH(购销流水!$D330,记账规则!$A$6:$A$9,0),3),""))</f>
        <v/>
      </c>
      <c r="M1302" s="66" t="str">
        <f aca="false">IF($L1302="","",IFERROR(INDEX(记账规则!$A$6:$N$9,MATCH(购销流水!$D330,记账规则!$A$6:$A$9,0),4),""))</f>
        <v/>
      </c>
      <c r="N1302" s="66" t="str">
        <f aca="false">IF($L1302="","",IFERROR(INDEX(记账规则!$A$6:$N$9,MATCH(购销流水!$D330,记账规则!$A$6:$A$9,0),5),""))</f>
        <v/>
      </c>
      <c r="O1302" s="67" t="n">
        <f aca="false">IF($H1302="",0,ROUND(IF($N1302="成本金额",N(购销流水!$W330),IF($N1302="金额",N(购销流水!$Q330),0)),2))</f>
        <v>0</v>
      </c>
      <c r="P1302" s="64" t="str">
        <f aca="false">IF(AND($H1302&lt;&gt;"",ROUND($O1302,2)&lt;&gt;0),"有","")</f>
        <v/>
      </c>
    </row>
    <row r="1303" customFormat="false" ht="15" hidden="true" customHeight="false" outlineLevel="0" collapsed="false">
      <c r="A1303" s="53" t="str">
        <f aca="false">IF($H1303="","",ROW()-5)</f>
        <v/>
      </c>
      <c r="B1303" s="64" t="s">
        <v>36</v>
      </c>
      <c r="C1303" s="53" t="n">
        <v>330</v>
      </c>
      <c r="D1303" s="53" t="n">
        <v>2</v>
      </c>
      <c r="E1303" s="65" t="str">
        <f aca="false">IF($H1303="","",购销流水!$B330)</f>
        <v/>
      </c>
      <c r="F1303" s="55" t="str">
        <f aca="false">IF($H1303="","",购销流水!$C330)</f>
        <v/>
      </c>
      <c r="G1303" s="48" t="str">
        <f aca="false">IF($H1303="","",购销流水!$N330)</f>
        <v/>
      </c>
      <c r="H1303" s="10" t="str">
        <f aca="false">IF($L1303="","",IF($L1303="@成本",购销流水!$U330,IF($L1303="@收入",购销流水!$T330,IF($L1303="@存货",购销流水!$S330,IF($L1303="@结算",购销流水!$R330,$L1303)))))</f>
        <v/>
      </c>
      <c r="I1303" s="42" t="n">
        <f aca="false">IF($M1303="借",$O1303,0)</f>
        <v>0</v>
      </c>
      <c r="J1303" s="42" t="n">
        <f aca="false">IF($M1303="贷",$O1303,0)</f>
        <v>0</v>
      </c>
      <c r="K1303" s="48" t="str">
        <f aca="false">IF($H1303="","",购销流水!$E330)</f>
        <v/>
      </c>
      <c r="L1303" s="66" t="str">
        <f aca="false">IF(购销流水!$D330="","",IFERROR(INDEX(记账规则!$A$6:$N$9,MATCH(购销流水!$D330,记账规则!$A$6:$A$9,0),6),""))</f>
        <v/>
      </c>
      <c r="M1303" s="66" t="str">
        <f aca="false">IF($L1303="","",IFERROR(INDEX(记账规则!$A$6:$N$9,MATCH(购销流水!$D330,记账规则!$A$6:$A$9,0),7),""))</f>
        <v/>
      </c>
      <c r="N1303" s="66" t="str">
        <f aca="false">IF($L1303="","",IFERROR(INDEX(记账规则!$A$6:$N$9,MATCH(购销流水!$D330,记账规则!$A$6:$A$9,0),8),""))</f>
        <v/>
      </c>
      <c r="O1303" s="67" t="n">
        <f aca="false">IF($H1303="",0,ROUND(IF($N1303="成本金额",N(购销流水!$W330),IF($N1303="金额",N(购销流水!$Q330),0)),2))</f>
        <v>0</v>
      </c>
      <c r="P1303" s="64" t="str">
        <f aca="false">IF(AND($H1303&lt;&gt;"",ROUND($O1303,2)&lt;&gt;0),"有","")</f>
        <v/>
      </c>
    </row>
    <row r="1304" customFormat="false" ht="15" hidden="true" customHeight="false" outlineLevel="0" collapsed="false">
      <c r="A1304" s="53" t="str">
        <f aca="false">IF($H1304="","",ROW()-5)</f>
        <v/>
      </c>
      <c r="B1304" s="64" t="s">
        <v>36</v>
      </c>
      <c r="C1304" s="53" t="n">
        <v>330</v>
      </c>
      <c r="D1304" s="53" t="n">
        <v>3</v>
      </c>
      <c r="E1304" s="65" t="str">
        <f aca="false">IF($H1304="","",购销流水!$B330)</f>
        <v/>
      </c>
      <c r="F1304" s="55" t="str">
        <f aca="false">IF($H1304="","",购销流水!$C330)</f>
        <v/>
      </c>
      <c r="G1304" s="48" t="str">
        <f aca="false">IF($H1304="","",购销流水!$N330)</f>
        <v/>
      </c>
      <c r="H1304" s="10" t="str">
        <f aca="false">IF($L1304="","",IF($L1304="@成本",购销流水!$U330,IF($L1304="@收入",购销流水!$T330,IF($L1304="@存货",购销流水!$S330,IF($L1304="@结算",购销流水!$R330,$L1304)))))</f>
        <v/>
      </c>
      <c r="I1304" s="42" t="n">
        <f aca="false">IF($M1304="借",$O1304,0)</f>
        <v>0</v>
      </c>
      <c r="J1304" s="42" t="n">
        <f aca="false">IF($M1304="贷",$O1304,0)</f>
        <v>0</v>
      </c>
      <c r="K1304" s="48" t="str">
        <f aca="false">IF($H1304="","",购销流水!$E330)</f>
        <v/>
      </c>
      <c r="L1304" s="66" t="str">
        <f aca="false">IF(购销流水!$D330="","",IFERROR(INDEX(记账规则!$A$6:$N$9,MATCH(购销流水!$D330,记账规则!$A$6:$A$9,0),9),""))</f>
        <v/>
      </c>
      <c r="M1304" s="66" t="str">
        <f aca="false">IF($L1304="","",IFERROR(INDEX(记账规则!$A$6:$N$9,MATCH(购销流水!$D330,记账规则!$A$6:$A$9,0),10),""))</f>
        <v/>
      </c>
      <c r="N1304" s="66" t="str">
        <f aca="false">IF($L1304="","",IFERROR(INDEX(记账规则!$A$6:$N$9,MATCH(购销流水!$D330,记账规则!$A$6:$A$9,0),11),""))</f>
        <v/>
      </c>
      <c r="O1304" s="67" t="n">
        <f aca="false">IF($H1304="",0,ROUND(IF($N1304="成本金额",N(购销流水!$W330),IF($N1304="金额",N(购销流水!$Q330),0)),2))</f>
        <v>0</v>
      </c>
      <c r="P1304" s="64" t="str">
        <f aca="false">IF(AND($H1304&lt;&gt;"",ROUND($O1304,2)&lt;&gt;0),"有","")</f>
        <v/>
      </c>
    </row>
    <row r="1305" customFormat="false" ht="15" hidden="true" customHeight="false" outlineLevel="0" collapsed="false">
      <c r="A1305" s="53" t="str">
        <f aca="false">IF($H1305="","",ROW()-5)</f>
        <v/>
      </c>
      <c r="B1305" s="64" t="s">
        <v>36</v>
      </c>
      <c r="C1305" s="53" t="n">
        <v>330</v>
      </c>
      <c r="D1305" s="53" t="n">
        <v>4</v>
      </c>
      <c r="E1305" s="65" t="str">
        <f aca="false">IF($H1305="","",购销流水!$B330)</f>
        <v/>
      </c>
      <c r="F1305" s="55" t="str">
        <f aca="false">IF($H1305="","",购销流水!$C330)</f>
        <v/>
      </c>
      <c r="G1305" s="48" t="str">
        <f aca="false">IF($H1305="","",购销流水!$N330)</f>
        <v/>
      </c>
      <c r="H1305" s="10" t="str">
        <f aca="false">IF($L1305="","",IF($L1305="@成本",购销流水!$U330,IF($L1305="@收入",购销流水!$T330,IF($L1305="@存货",购销流水!$S330,IF($L1305="@结算",购销流水!$R330,$L1305)))))</f>
        <v/>
      </c>
      <c r="I1305" s="42" t="n">
        <f aca="false">IF($M1305="借",$O1305,0)</f>
        <v>0</v>
      </c>
      <c r="J1305" s="42" t="n">
        <f aca="false">IF($M1305="贷",$O1305,0)</f>
        <v>0</v>
      </c>
      <c r="K1305" s="48" t="str">
        <f aca="false">IF($H1305="","",购销流水!$E330)</f>
        <v/>
      </c>
      <c r="L1305" s="66" t="str">
        <f aca="false">IF(购销流水!$D330="","",IFERROR(INDEX(记账规则!$A$6:$N$9,MATCH(购销流水!$D330,记账规则!$A$6:$A$9,0),12),""))</f>
        <v/>
      </c>
      <c r="M1305" s="66" t="str">
        <f aca="false">IF($L1305="","",IFERROR(INDEX(记账规则!$A$6:$N$9,MATCH(购销流水!$D330,记账规则!$A$6:$A$9,0),13),""))</f>
        <v/>
      </c>
      <c r="N1305" s="66" t="str">
        <f aca="false">IF($L1305="","",IFERROR(INDEX(记账规则!$A$6:$N$9,MATCH(购销流水!$D330,记账规则!$A$6:$A$9,0),14),""))</f>
        <v/>
      </c>
      <c r="O1305" s="67" t="n">
        <f aca="false">IF($H1305="",0,ROUND(IF($N1305="成本金额",N(购销流水!$W330),IF($N1305="金额",N(购销流水!$Q330),0)),2))</f>
        <v>0</v>
      </c>
      <c r="P1305" s="64" t="str">
        <f aca="false">IF(AND($H1305&lt;&gt;"",ROUND($O1305,2)&lt;&gt;0),"有","")</f>
        <v/>
      </c>
    </row>
    <row r="1306" customFormat="false" ht="15" hidden="true" customHeight="false" outlineLevel="0" collapsed="false">
      <c r="A1306" s="53" t="str">
        <f aca="false">IF($H1306="","",ROW()-5)</f>
        <v/>
      </c>
      <c r="B1306" s="64" t="s">
        <v>36</v>
      </c>
      <c r="C1306" s="53" t="n">
        <v>331</v>
      </c>
      <c r="D1306" s="53" t="n">
        <v>1</v>
      </c>
      <c r="E1306" s="65" t="str">
        <f aca="false">IF($H1306="","",购销流水!$B331)</f>
        <v/>
      </c>
      <c r="F1306" s="55" t="str">
        <f aca="false">IF($H1306="","",购销流水!$C331)</f>
        <v/>
      </c>
      <c r="G1306" s="48" t="str">
        <f aca="false">IF($H1306="","",购销流水!$N331)</f>
        <v/>
      </c>
      <c r="H1306" s="10" t="str">
        <f aca="false">IF($L1306="","",IF($L1306="@成本",购销流水!$U331,IF($L1306="@收入",购销流水!$T331,IF($L1306="@存货",购销流水!$S331,IF($L1306="@结算",购销流水!$R331,$L1306)))))</f>
        <v/>
      </c>
      <c r="I1306" s="42" t="n">
        <f aca="false">IF($M1306="借",$O1306,0)</f>
        <v>0</v>
      </c>
      <c r="J1306" s="42" t="n">
        <f aca="false">IF($M1306="贷",$O1306,0)</f>
        <v>0</v>
      </c>
      <c r="K1306" s="48" t="str">
        <f aca="false">IF($H1306="","",购销流水!$E331)</f>
        <v/>
      </c>
      <c r="L1306" s="66" t="str">
        <f aca="false">IF(购销流水!$D331="","",IFERROR(INDEX(记账规则!$A$6:$N$9,MATCH(购销流水!$D331,记账规则!$A$6:$A$9,0),3),""))</f>
        <v/>
      </c>
      <c r="M1306" s="66" t="str">
        <f aca="false">IF($L1306="","",IFERROR(INDEX(记账规则!$A$6:$N$9,MATCH(购销流水!$D331,记账规则!$A$6:$A$9,0),4),""))</f>
        <v/>
      </c>
      <c r="N1306" s="66" t="str">
        <f aca="false">IF($L1306="","",IFERROR(INDEX(记账规则!$A$6:$N$9,MATCH(购销流水!$D331,记账规则!$A$6:$A$9,0),5),""))</f>
        <v/>
      </c>
      <c r="O1306" s="67" t="n">
        <f aca="false">IF($H1306="",0,ROUND(IF($N1306="成本金额",N(购销流水!$W331),IF($N1306="金额",N(购销流水!$Q331),0)),2))</f>
        <v>0</v>
      </c>
      <c r="P1306" s="64" t="str">
        <f aca="false">IF(AND($H1306&lt;&gt;"",ROUND($O1306,2)&lt;&gt;0),"有","")</f>
        <v/>
      </c>
    </row>
    <row r="1307" customFormat="false" ht="15" hidden="true" customHeight="false" outlineLevel="0" collapsed="false">
      <c r="A1307" s="53" t="str">
        <f aca="false">IF($H1307="","",ROW()-5)</f>
        <v/>
      </c>
      <c r="B1307" s="64" t="s">
        <v>36</v>
      </c>
      <c r="C1307" s="53" t="n">
        <v>331</v>
      </c>
      <c r="D1307" s="53" t="n">
        <v>2</v>
      </c>
      <c r="E1307" s="65" t="str">
        <f aca="false">IF($H1307="","",购销流水!$B331)</f>
        <v/>
      </c>
      <c r="F1307" s="55" t="str">
        <f aca="false">IF($H1307="","",购销流水!$C331)</f>
        <v/>
      </c>
      <c r="G1307" s="48" t="str">
        <f aca="false">IF($H1307="","",购销流水!$N331)</f>
        <v/>
      </c>
      <c r="H1307" s="10" t="str">
        <f aca="false">IF($L1307="","",IF($L1307="@成本",购销流水!$U331,IF($L1307="@收入",购销流水!$T331,IF($L1307="@存货",购销流水!$S331,IF($L1307="@结算",购销流水!$R331,$L1307)))))</f>
        <v/>
      </c>
      <c r="I1307" s="42" t="n">
        <f aca="false">IF($M1307="借",$O1307,0)</f>
        <v>0</v>
      </c>
      <c r="J1307" s="42" t="n">
        <f aca="false">IF($M1307="贷",$O1307,0)</f>
        <v>0</v>
      </c>
      <c r="K1307" s="48" t="str">
        <f aca="false">IF($H1307="","",购销流水!$E331)</f>
        <v/>
      </c>
      <c r="L1307" s="66" t="str">
        <f aca="false">IF(购销流水!$D331="","",IFERROR(INDEX(记账规则!$A$6:$N$9,MATCH(购销流水!$D331,记账规则!$A$6:$A$9,0),6),""))</f>
        <v/>
      </c>
      <c r="M1307" s="66" t="str">
        <f aca="false">IF($L1307="","",IFERROR(INDEX(记账规则!$A$6:$N$9,MATCH(购销流水!$D331,记账规则!$A$6:$A$9,0),7),""))</f>
        <v/>
      </c>
      <c r="N1307" s="66" t="str">
        <f aca="false">IF($L1307="","",IFERROR(INDEX(记账规则!$A$6:$N$9,MATCH(购销流水!$D331,记账规则!$A$6:$A$9,0),8),""))</f>
        <v/>
      </c>
      <c r="O1307" s="67" t="n">
        <f aca="false">IF($H1307="",0,ROUND(IF($N1307="成本金额",N(购销流水!$W331),IF($N1307="金额",N(购销流水!$Q331),0)),2))</f>
        <v>0</v>
      </c>
      <c r="P1307" s="64" t="str">
        <f aca="false">IF(AND($H1307&lt;&gt;"",ROUND($O1307,2)&lt;&gt;0),"有","")</f>
        <v/>
      </c>
    </row>
    <row r="1308" customFormat="false" ht="15" hidden="true" customHeight="false" outlineLevel="0" collapsed="false">
      <c r="A1308" s="53" t="str">
        <f aca="false">IF($H1308="","",ROW()-5)</f>
        <v/>
      </c>
      <c r="B1308" s="64" t="s">
        <v>36</v>
      </c>
      <c r="C1308" s="53" t="n">
        <v>331</v>
      </c>
      <c r="D1308" s="53" t="n">
        <v>3</v>
      </c>
      <c r="E1308" s="65" t="str">
        <f aca="false">IF($H1308="","",购销流水!$B331)</f>
        <v/>
      </c>
      <c r="F1308" s="55" t="str">
        <f aca="false">IF($H1308="","",购销流水!$C331)</f>
        <v/>
      </c>
      <c r="G1308" s="48" t="str">
        <f aca="false">IF($H1308="","",购销流水!$N331)</f>
        <v/>
      </c>
      <c r="H1308" s="10" t="str">
        <f aca="false">IF($L1308="","",IF($L1308="@成本",购销流水!$U331,IF($L1308="@收入",购销流水!$T331,IF($L1308="@存货",购销流水!$S331,IF($L1308="@结算",购销流水!$R331,$L1308)))))</f>
        <v/>
      </c>
      <c r="I1308" s="42" t="n">
        <f aca="false">IF($M1308="借",$O1308,0)</f>
        <v>0</v>
      </c>
      <c r="J1308" s="42" t="n">
        <f aca="false">IF($M1308="贷",$O1308,0)</f>
        <v>0</v>
      </c>
      <c r="K1308" s="48" t="str">
        <f aca="false">IF($H1308="","",购销流水!$E331)</f>
        <v/>
      </c>
      <c r="L1308" s="66" t="str">
        <f aca="false">IF(购销流水!$D331="","",IFERROR(INDEX(记账规则!$A$6:$N$9,MATCH(购销流水!$D331,记账规则!$A$6:$A$9,0),9),""))</f>
        <v/>
      </c>
      <c r="M1308" s="66" t="str">
        <f aca="false">IF($L1308="","",IFERROR(INDEX(记账规则!$A$6:$N$9,MATCH(购销流水!$D331,记账规则!$A$6:$A$9,0),10),""))</f>
        <v/>
      </c>
      <c r="N1308" s="66" t="str">
        <f aca="false">IF($L1308="","",IFERROR(INDEX(记账规则!$A$6:$N$9,MATCH(购销流水!$D331,记账规则!$A$6:$A$9,0),11),""))</f>
        <v/>
      </c>
      <c r="O1308" s="67" t="n">
        <f aca="false">IF($H1308="",0,ROUND(IF($N1308="成本金额",N(购销流水!$W331),IF($N1308="金额",N(购销流水!$Q331),0)),2))</f>
        <v>0</v>
      </c>
      <c r="P1308" s="64" t="str">
        <f aca="false">IF(AND($H1308&lt;&gt;"",ROUND($O1308,2)&lt;&gt;0),"有","")</f>
        <v/>
      </c>
    </row>
    <row r="1309" customFormat="false" ht="15" hidden="true" customHeight="false" outlineLevel="0" collapsed="false">
      <c r="A1309" s="53" t="str">
        <f aca="false">IF($H1309="","",ROW()-5)</f>
        <v/>
      </c>
      <c r="B1309" s="64" t="s">
        <v>36</v>
      </c>
      <c r="C1309" s="53" t="n">
        <v>331</v>
      </c>
      <c r="D1309" s="53" t="n">
        <v>4</v>
      </c>
      <c r="E1309" s="65" t="str">
        <f aca="false">IF($H1309="","",购销流水!$B331)</f>
        <v/>
      </c>
      <c r="F1309" s="55" t="str">
        <f aca="false">IF($H1309="","",购销流水!$C331)</f>
        <v/>
      </c>
      <c r="G1309" s="48" t="str">
        <f aca="false">IF($H1309="","",购销流水!$N331)</f>
        <v/>
      </c>
      <c r="H1309" s="10" t="str">
        <f aca="false">IF($L1309="","",IF($L1309="@成本",购销流水!$U331,IF($L1309="@收入",购销流水!$T331,IF($L1309="@存货",购销流水!$S331,IF($L1309="@结算",购销流水!$R331,$L1309)))))</f>
        <v/>
      </c>
      <c r="I1309" s="42" t="n">
        <f aca="false">IF($M1309="借",$O1309,0)</f>
        <v>0</v>
      </c>
      <c r="J1309" s="42" t="n">
        <f aca="false">IF($M1309="贷",$O1309,0)</f>
        <v>0</v>
      </c>
      <c r="K1309" s="48" t="str">
        <f aca="false">IF($H1309="","",购销流水!$E331)</f>
        <v/>
      </c>
      <c r="L1309" s="66" t="str">
        <f aca="false">IF(购销流水!$D331="","",IFERROR(INDEX(记账规则!$A$6:$N$9,MATCH(购销流水!$D331,记账规则!$A$6:$A$9,0),12),""))</f>
        <v/>
      </c>
      <c r="M1309" s="66" t="str">
        <f aca="false">IF($L1309="","",IFERROR(INDEX(记账规则!$A$6:$N$9,MATCH(购销流水!$D331,记账规则!$A$6:$A$9,0),13),""))</f>
        <v/>
      </c>
      <c r="N1309" s="66" t="str">
        <f aca="false">IF($L1309="","",IFERROR(INDEX(记账规则!$A$6:$N$9,MATCH(购销流水!$D331,记账规则!$A$6:$A$9,0),14),""))</f>
        <v/>
      </c>
      <c r="O1309" s="67" t="n">
        <f aca="false">IF($H1309="",0,ROUND(IF($N1309="成本金额",N(购销流水!$W331),IF($N1309="金额",N(购销流水!$Q331),0)),2))</f>
        <v>0</v>
      </c>
      <c r="P1309" s="64" t="str">
        <f aca="false">IF(AND($H1309&lt;&gt;"",ROUND($O1309,2)&lt;&gt;0),"有","")</f>
        <v/>
      </c>
    </row>
    <row r="1310" customFormat="false" ht="15" hidden="true" customHeight="false" outlineLevel="0" collapsed="false">
      <c r="A1310" s="53" t="str">
        <f aca="false">IF($H1310="","",ROW()-5)</f>
        <v/>
      </c>
      <c r="B1310" s="64" t="s">
        <v>36</v>
      </c>
      <c r="C1310" s="53" t="n">
        <v>332</v>
      </c>
      <c r="D1310" s="53" t="n">
        <v>1</v>
      </c>
      <c r="E1310" s="65" t="str">
        <f aca="false">IF($H1310="","",购销流水!$B332)</f>
        <v/>
      </c>
      <c r="F1310" s="55" t="str">
        <f aca="false">IF($H1310="","",购销流水!$C332)</f>
        <v/>
      </c>
      <c r="G1310" s="48" t="str">
        <f aca="false">IF($H1310="","",购销流水!$N332)</f>
        <v/>
      </c>
      <c r="H1310" s="10" t="str">
        <f aca="false">IF($L1310="","",IF($L1310="@成本",购销流水!$U332,IF($L1310="@收入",购销流水!$T332,IF($L1310="@存货",购销流水!$S332,IF($L1310="@结算",购销流水!$R332,$L1310)))))</f>
        <v/>
      </c>
      <c r="I1310" s="42" t="n">
        <f aca="false">IF($M1310="借",$O1310,0)</f>
        <v>0</v>
      </c>
      <c r="J1310" s="42" t="n">
        <f aca="false">IF($M1310="贷",$O1310,0)</f>
        <v>0</v>
      </c>
      <c r="K1310" s="48" t="str">
        <f aca="false">IF($H1310="","",购销流水!$E332)</f>
        <v/>
      </c>
      <c r="L1310" s="66" t="str">
        <f aca="false">IF(购销流水!$D332="","",IFERROR(INDEX(记账规则!$A$6:$N$9,MATCH(购销流水!$D332,记账规则!$A$6:$A$9,0),3),""))</f>
        <v/>
      </c>
      <c r="M1310" s="66" t="str">
        <f aca="false">IF($L1310="","",IFERROR(INDEX(记账规则!$A$6:$N$9,MATCH(购销流水!$D332,记账规则!$A$6:$A$9,0),4),""))</f>
        <v/>
      </c>
      <c r="N1310" s="66" t="str">
        <f aca="false">IF($L1310="","",IFERROR(INDEX(记账规则!$A$6:$N$9,MATCH(购销流水!$D332,记账规则!$A$6:$A$9,0),5),""))</f>
        <v/>
      </c>
      <c r="O1310" s="67" t="n">
        <f aca="false">IF($H1310="",0,ROUND(IF($N1310="成本金额",N(购销流水!$W332),IF($N1310="金额",N(购销流水!$Q332),0)),2))</f>
        <v>0</v>
      </c>
      <c r="P1310" s="64" t="str">
        <f aca="false">IF(AND($H1310&lt;&gt;"",ROUND($O1310,2)&lt;&gt;0),"有","")</f>
        <v/>
      </c>
    </row>
    <row r="1311" customFormat="false" ht="15" hidden="true" customHeight="false" outlineLevel="0" collapsed="false">
      <c r="A1311" s="53" t="str">
        <f aca="false">IF($H1311="","",ROW()-5)</f>
        <v/>
      </c>
      <c r="B1311" s="64" t="s">
        <v>36</v>
      </c>
      <c r="C1311" s="53" t="n">
        <v>332</v>
      </c>
      <c r="D1311" s="53" t="n">
        <v>2</v>
      </c>
      <c r="E1311" s="65" t="str">
        <f aca="false">IF($H1311="","",购销流水!$B332)</f>
        <v/>
      </c>
      <c r="F1311" s="55" t="str">
        <f aca="false">IF($H1311="","",购销流水!$C332)</f>
        <v/>
      </c>
      <c r="G1311" s="48" t="str">
        <f aca="false">IF($H1311="","",购销流水!$N332)</f>
        <v/>
      </c>
      <c r="H1311" s="10" t="str">
        <f aca="false">IF($L1311="","",IF($L1311="@成本",购销流水!$U332,IF($L1311="@收入",购销流水!$T332,IF($L1311="@存货",购销流水!$S332,IF($L1311="@结算",购销流水!$R332,$L1311)))))</f>
        <v/>
      </c>
      <c r="I1311" s="42" t="n">
        <f aca="false">IF($M1311="借",$O1311,0)</f>
        <v>0</v>
      </c>
      <c r="J1311" s="42" t="n">
        <f aca="false">IF($M1311="贷",$O1311,0)</f>
        <v>0</v>
      </c>
      <c r="K1311" s="48" t="str">
        <f aca="false">IF($H1311="","",购销流水!$E332)</f>
        <v/>
      </c>
      <c r="L1311" s="66" t="str">
        <f aca="false">IF(购销流水!$D332="","",IFERROR(INDEX(记账规则!$A$6:$N$9,MATCH(购销流水!$D332,记账规则!$A$6:$A$9,0),6),""))</f>
        <v/>
      </c>
      <c r="M1311" s="66" t="str">
        <f aca="false">IF($L1311="","",IFERROR(INDEX(记账规则!$A$6:$N$9,MATCH(购销流水!$D332,记账规则!$A$6:$A$9,0),7),""))</f>
        <v/>
      </c>
      <c r="N1311" s="66" t="str">
        <f aca="false">IF($L1311="","",IFERROR(INDEX(记账规则!$A$6:$N$9,MATCH(购销流水!$D332,记账规则!$A$6:$A$9,0),8),""))</f>
        <v/>
      </c>
      <c r="O1311" s="67" t="n">
        <f aca="false">IF($H1311="",0,ROUND(IF($N1311="成本金额",N(购销流水!$W332),IF($N1311="金额",N(购销流水!$Q332),0)),2))</f>
        <v>0</v>
      </c>
      <c r="P1311" s="64" t="str">
        <f aca="false">IF(AND($H1311&lt;&gt;"",ROUND($O1311,2)&lt;&gt;0),"有","")</f>
        <v/>
      </c>
    </row>
    <row r="1312" customFormat="false" ht="15" hidden="true" customHeight="false" outlineLevel="0" collapsed="false">
      <c r="A1312" s="53" t="str">
        <f aca="false">IF($H1312="","",ROW()-5)</f>
        <v/>
      </c>
      <c r="B1312" s="64" t="s">
        <v>36</v>
      </c>
      <c r="C1312" s="53" t="n">
        <v>332</v>
      </c>
      <c r="D1312" s="53" t="n">
        <v>3</v>
      </c>
      <c r="E1312" s="65" t="str">
        <f aca="false">IF($H1312="","",购销流水!$B332)</f>
        <v/>
      </c>
      <c r="F1312" s="55" t="str">
        <f aca="false">IF($H1312="","",购销流水!$C332)</f>
        <v/>
      </c>
      <c r="G1312" s="48" t="str">
        <f aca="false">IF($H1312="","",购销流水!$N332)</f>
        <v/>
      </c>
      <c r="H1312" s="10" t="str">
        <f aca="false">IF($L1312="","",IF($L1312="@成本",购销流水!$U332,IF($L1312="@收入",购销流水!$T332,IF($L1312="@存货",购销流水!$S332,IF($L1312="@结算",购销流水!$R332,$L1312)))))</f>
        <v/>
      </c>
      <c r="I1312" s="42" t="n">
        <f aca="false">IF($M1312="借",$O1312,0)</f>
        <v>0</v>
      </c>
      <c r="J1312" s="42" t="n">
        <f aca="false">IF($M1312="贷",$O1312,0)</f>
        <v>0</v>
      </c>
      <c r="K1312" s="48" t="str">
        <f aca="false">IF($H1312="","",购销流水!$E332)</f>
        <v/>
      </c>
      <c r="L1312" s="66" t="str">
        <f aca="false">IF(购销流水!$D332="","",IFERROR(INDEX(记账规则!$A$6:$N$9,MATCH(购销流水!$D332,记账规则!$A$6:$A$9,0),9),""))</f>
        <v/>
      </c>
      <c r="M1312" s="66" t="str">
        <f aca="false">IF($L1312="","",IFERROR(INDEX(记账规则!$A$6:$N$9,MATCH(购销流水!$D332,记账规则!$A$6:$A$9,0),10),""))</f>
        <v/>
      </c>
      <c r="N1312" s="66" t="str">
        <f aca="false">IF($L1312="","",IFERROR(INDEX(记账规则!$A$6:$N$9,MATCH(购销流水!$D332,记账规则!$A$6:$A$9,0),11),""))</f>
        <v/>
      </c>
      <c r="O1312" s="67" t="n">
        <f aca="false">IF($H1312="",0,ROUND(IF($N1312="成本金额",N(购销流水!$W332),IF($N1312="金额",N(购销流水!$Q332),0)),2))</f>
        <v>0</v>
      </c>
      <c r="P1312" s="64" t="str">
        <f aca="false">IF(AND($H1312&lt;&gt;"",ROUND($O1312,2)&lt;&gt;0),"有","")</f>
        <v/>
      </c>
    </row>
    <row r="1313" customFormat="false" ht="15" hidden="true" customHeight="false" outlineLevel="0" collapsed="false">
      <c r="A1313" s="53" t="str">
        <f aca="false">IF($H1313="","",ROW()-5)</f>
        <v/>
      </c>
      <c r="B1313" s="64" t="s">
        <v>36</v>
      </c>
      <c r="C1313" s="53" t="n">
        <v>332</v>
      </c>
      <c r="D1313" s="53" t="n">
        <v>4</v>
      </c>
      <c r="E1313" s="65" t="str">
        <f aca="false">IF($H1313="","",购销流水!$B332)</f>
        <v/>
      </c>
      <c r="F1313" s="55" t="str">
        <f aca="false">IF($H1313="","",购销流水!$C332)</f>
        <v/>
      </c>
      <c r="G1313" s="48" t="str">
        <f aca="false">IF($H1313="","",购销流水!$N332)</f>
        <v/>
      </c>
      <c r="H1313" s="10" t="str">
        <f aca="false">IF($L1313="","",IF($L1313="@成本",购销流水!$U332,IF($L1313="@收入",购销流水!$T332,IF($L1313="@存货",购销流水!$S332,IF($L1313="@结算",购销流水!$R332,$L1313)))))</f>
        <v/>
      </c>
      <c r="I1313" s="42" t="n">
        <f aca="false">IF($M1313="借",$O1313,0)</f>
        <v>0</v>
      </c>
      <c r="J1313" s="42" t="n">
        <f aca="false">IF($M1313="贷",$O1313,0)</f>
        <v>0</v>
      </c>
      <c r="K1313" s="48" t="str">
        <f aca="false">IF($H1313="","",购销流水!$E332)</f>
        <v/>
      </c>
      <c r="L1313" s="66" t="str">
        <f aca="false">IF(购销流水!$D332="","",IFERROR(INDEX(记账规则!$A$6:$N$9,MATCH(购销流水!$D332,记账规则!$A$6:$A$9,0),12),""))</f>
        <v/>
      </c>
      <c r="M1313" s="66" t="str">
        <f aca="false">IF($L1313="","",IFERROR(INDEX(记账规则!$A$6:$N$9,MATCH(购销流水!$D332,记账规则!$A$6:$A$9,0),13),""))</f>
        <v/>
      </c>
      <c r="N1313" s="66" t="str">
        <f aca="false">IF($L1313="","",IFERROR(INDEX(记账规则!$A$6:$N$9,MATCH(购销流水!$D332,记账规则!$A$6:$A$9,0),14),""))</f>
        <v/>
      </c>
      <c r="O1313" s="67" t="n">
        <f aca="false">IF($H1313="",0,ROUND(IF($N1313="成本金额",N(购销流水!$W332),IF($N1313="金额",N(购销流水!$Q332),0)),2))</f>
        <v>0</v>
      </c>
      <c r="P1313" s="64" t="str">
        <f aca="false">IF(AND($H1313&lt;&gt;"",ROUND($O1313,2)&lt;&gt;0),"有","")</f>
        <v/>
      </c>
    </row>
    <row r="1314" customFormat="false" ht="15" hidden="true" customHeight="false" outlineLevel="0" collapsed="false">
      <c r="A1314" s="53" t="str">
        <f aca="false">IF($H1314="","",ROW()-5)</f>
        <v/>
      </c>
      <c r="B1314" s="64" t="s">
        <v>36</v>
      </c>
      <c r="C1314" s="53" t="n">
        <v>333</v>
      </c>
      <c r="D1314" s="53" t="n">
        <v>1</v>
      </c>
      <c r="E1314" s="65" t="str">
        <f aca="false">IF($H1314="","",购销流水!$B333)</f>
        <v/>
      </c>
      <c r="F1314" s="55" t="str">
        <f aca="false">IF($H1314="","",购销流水!$C333)</f>
        <v/>
      </c>
      <c r="G1314" s="48" t="str">
        <f aca="false">IF($H1314="","",购销流水!$N333)</f>
        <v/>
      </c>
      <c r="H1314" s="10" t="str">
        <f aca="false">IF($L1314="","",IF($L1314="@成本",购销流水!$U333,IF($L1314="@收入",购销流水!$T333,IF($L1314="@存货",购销流水!$S333,IF($L1314="@结算",购销流水!$R333,$L1314)))))</f>
        <v/>
      </c>
      <c r="I1314" s="42" t="n">
        <f aca="false">IF($M1314="借",$O1314,0)</f>
        <v>0</v>
      </c>
      <c r="J1314" s="42" t="n">
        <f aca="false">IF($M1314="贷",$O1314,0)</f>
        <v>0</v>
      </c>
      <c r="K1314" s="48" t="str">
        <f aca="false">IF($H1314="","",购销流水!$E333)</f>
        <v/>
      </c>
      <c r="L1314" s="66" t="str">
        <f aca="false">IF(购销流水!$D333="","",IFERROR(INDEX(记账规则!$A$6:$N$9,MATCH(购销流水!$D333,记账规则!$A$6:$A$9,0),3),""))</f>
        <v/>
      </c>
      <c r="M1314" s="66" t="str">
        <f aca="false">IF($L1314="","",IFERROR(INDEX(记账规则!$A$6:$N$9,MATCH(购销流水!$D333,记账规则!$A$6:$A$9,0),4),""))</f>
        <v/>
      </c>
      <c r="N1314" s="66" t="str">
        <f aca="false">IF($L1314="","",IFERROR(INDEX(记账规则!$A$6:$N$9,MATCH(购销流水!$D333,记账规则!$A$6:$A$9,0),5),""))</f>
        <v/>
      </c>
      <c r="O1314" s="67" t="n">
        <f aca="false">IF($H1314="",0,ROUND(IF($N1314="成本金额",N(购销流水!$W333),IF($N1314="金额",N(购销流水!$Q333),0)),2))</f>
        <v>0</v>
      </c>
      <c r="P1314" s="64" t="str">
        <f aca="false">IF(AND($H1314&lt;&gt;"",ROUND($O1314,2)&lt;&gt;0),"有","")</f>
        <v/>
      </c>
    </row>
    <row r="1315" customFormat="false" ht="15" hidden="true" customHeight="false" outlineLevel="0" collapsed="false">
      <c r="A1315" s="53" t="str">
        <f aca="false">IF($H1315="","",ROW()-5)</f>
        <v/>
      </c>
      <c r="B1315" s="64" t="s">
        <v>36</v>
      </c>
      <c r="C1315" s="53" t="n">
        <v>333</v>
      </c>
      <c r="D1315" s="53" t="n">
        <v>2</v>
      </c>
      <c r="E1315" s="65" t="str">
        <f aca="false">IF($H1315="","",购销流水!$B333)</f>
        <v/>
      </c>
      <c r="F1315" s="55" t="str">
        <f aca="false">IF($H1315="","",购销流水!$C333)</f>
        <v/>
      </c>
      <c r="G1315" s="48" t="str">
        <f aca="false">IF($H1315="","",购销流水!$N333)</f>
        <v/>
      </c>
      <c r="H1315" s="10" t="str">
        <f aca="false">IF($L1315="","",IF($L1315="@成本",购销流水!$U333,IF($L1315="@收入",购销流水!$T333,IF($L1315="@存货",购销流水!$S333,IF($L1315="@结算",购销流水!$R333,$L1315)))))</f>
        <v/>
      </c>
      <c r="I1315" s="42" t="n">
        <f aca="false">IF($M1315="借",$O1315,0)</f>
        <v>0</v>
      </c>
      <c r="J1315" s="42" t="n">
        <f aca="false">IF($M1315="贷",$O1315,0)</f>
        <v>0</v>
      </c>
      <c r="K1315" s="48" t="str">
        <f aca="false">IF($H1315="","",购销流水!$E333)</f>
        <v/>
      </c>
      <c r="L1315" s="66" t="str">
        <f aca="false">IF(购销流水!$D333="","",IFERROR(INDEX(记账规则!$A$6:$N$9,MATCH(购销流水!$D333,记账规则!$A$6:$A$9,0),6),""))</f>
        <v/>
      </c>
      <c r="M1315" s="66" t="str">
        <f aca="false">IF($L1315="","",IFERROR(INDEX(记账规则!$A$6:$N$9,MATCH(购销流水!$D333,记账规则!$A$6:$A$9,0),7),""))</f>
        <v/>
      </c>
      <c r="N1315" s="66" t="str">
        <f aca="false">IF($L1315="","",IFERROR(INDEX(记账规则!$A$6:$N$9,MATCH(购销流水!$D333,记账规则!$A$6:$A$9,0),8),""))</f>
        <v/>
      </c>
      <c r="O1315" s="67" t="n">
        <f aca="false">IF($H1315="",0,ROUND(IF($N1315="成本金额",N(购销流水!$W333),IF($N1315="金额",N(购销流水!$Q333),0)),2))</f>
        <v>0</v>
      </c>
      <c r="P1315" s="64" t="str">
        <f aca="false">IF(AND($H1315&lt;&gt;"",ROUND($O1315,2)&lt;&gt;0),"有","")</f>
        <v/>
      </c>
    </row>
    <row r="1316" customFormat="false" ht="15" hidden="true" customHeight="false" outlineLevel="0" collapsed="false">
      <c r="A1316" s="53" t="str">
        <f aca="false">IF($H1316="","",ROW()-5)</f>
        <v/>
      </c>
      <c r="B1316" s="64" t="s">
        <v>36</v>
      </c>
      <c r="C1316" s="53" t="n">
        <v>333</v>
      </c>
      <c r="D1316" s="53" t="n">
        <v>3</v>
      </c>
      <c r="E1316" s="65" t="str">
        <f aca="false">IF($H1316="","",购销流水!$B333)</f>
        <v/>
      </c>
      <c r="F1316" s="55" t="str">
        <f aca="false">IF($H1316="","",购销流水!$C333)</f>
        <v/>
      </c>
      <c r="G1316" s="48" t="str">
        <f aca="false">IF($H1316="","",购销流水!$N333)</f>
        <v/>
      </c>
      <c r="H1316" s="10" t="str">
        <f aca="false">IF($L1316="","",IF($L1316="@成本",购销流水!$U333,IF($L1316="@收入",购销流水!$T333,IF($L1316="@存货",购销流水!$S333,IF($L1316="@结算",购销流水!$R333,$L1316)))))</f>
        <v/>
      </c>
      <c r="I1316" s="42" t="n">
        <f aca="false">IF($M1316="借",$O1316,0)</f>
        <v>0</v>
      </c>
      <c r="J1316" s="42" t="n">
        <f aca="false">IF($M1316="贷",$O1316,0)</f>
        <v>0</v>
      </c>
      <c r="K1316" s="48" t="str">
        <f aca="false">IF($H1316="","",购销流水!$E333)</f>
        <v/>
      </c>
      <c r="L1316" s="66" t="str">
        <f aca="false">IF(购销流水!$D333="","",IFERROR(INDEX(记账规则!$A$6:$N$9,MATCH(购销流水!$D333,记账规则!$A$6:$A$9,0),9),""))</f>
        <v/>
      </c>
      <c r="M1316" s="66" t="str">
        <f aca="false">IF($L1316="","",IFERROR(INDEX(记账规则!$A$6:$N$9,MATCH(购销流水!$D333,记账规则!$A$6:$A$9,0),10),""))</f>
        <v/>
      </c>
      <c r="N1316" s="66" t="str">
        <f aca="false">IF($L1316="","",IFERROR(INDEX(记账规则!$A$6:$N$9,MATCH(购销流水!$D333,记账规则!$A$6:$A$9,0),11),""))</f>
        <v/>
      </c>
      <c r="O1316" s="67" t="n">
        <f aca="false">IF($H1316="",0,ROUND(IF($N1316="成本金额",N(购销流水!$W333),IF($N1316="金额",N(购销流水!$Q333),0)),2))</f>
        <v>0</v>
      </c>
      <c r="P1316" s="64" t="str">
        <f aca="false">IF(AND($H1316&lt;&gt;"",ROUND($O1316,2)&lt;&gt;0),"有","")</f>
        <v/>
      </c>
    </row>
    <row r="1317" customFormat="false" ht="15" hidden="true" customHeight="false" outlineLevel="0" collapsed="false">
      <c r="A1317" s="53" t="str">
        <f aca="false">IF($H1317="","",ROW()-5)</f>
        <v/>
      </c>
      <c r="B1317" s="64" t="s">
        <v>36</v>
      </c>
      <c r="C1317" s="53" t="n">
        <v>333</v>
      </c>
      <c r="D1317" s="53" t="n">
        <v>4</v>
      </c>
      <c r="E1317" s="65" t="str">
        <f aca="false">IF($H1317="","",购销流水!$B333)</f>
        <v/>
      </c>
      <c r="F1317" s="55" t="str">
        <f aca="false">IF($H1317="","",购销流水!$C333)</f>
        <v/>
      </c>
      <c r="G1317" s="48" t="str">
        <f aca="false">IF($H1317="","",购销流水!$N333)</f>
        <v/>
      </c>
      <c r="H1317" s="10" t="str">
        <f aca="false">IF($L1317="","",IF($L1317="@成本",购销流水!$U333,IF($L1317="@收入",购销流水!$T333,IF($L1317="@存货",购销流水!$S333,IF($L1317="@结算",购销流水!$R333,$L1317)))))</f>
        <v/>
      </c>
      <c r="I1317" s="42" t="n">
        <f aca="false">IF($M1317="借",$O1317,0)</f>
        <v>0</v>
      </c>
      <c r="J1317" s="42" t="n">
        <f aca="false">IF($M1317="贷",$O1317,0)</f>
        <v>0</v>
      </c>
      <c r="K1317" s="48" t="str">
        <f aca="false">IF($H1317="","",购销流水!$E333)</f>
        <v/>
      </c>
      <c r="L1317" s="66" t="str">
        <f aca="false">IF(购销流水!$D333="","",IFERROR(INDEX(记账规则!$A$6:$N$9,MATCH(购销流水!$D333,记账规则!$A$6:$A$9,0),12),""))</f>
        <v/>
      </c>
      <c r="M1317" s="66" t="str">
        <f aca="false">IF($L1317="","",IFERROR(INDEX(记账规则!$A$6:$N$9,MATCH(购销流水!$D333,记账规则!$A$6:$A$9,0),13),""))</f>
        <v/>
      </c>
      <c r="N1317" s="66" t="str">
        <f aca="false">IF($L1317="","",IFERROR(INDEX(记账规则!$A$6:$N$9,MATCH(购销流水!$D333,记账规则!$A$6:$A$9,0),14),""))</f>
        <v/>
      </c>
      <c r="O1317" s="67" t="n">
        <f aca="false">IF($H1317="",0,ROUND(IF($N1317="成本金额",N(购销流水!$W333),IF($N1317="金额",N(购销流水!$Q333),0)),2))</f>
        <v>0</v>
      </c>
      <c r="P1317" s="64" t="str">
        <f aca="false">IF(AND($H1317&lt;&gt;"",ROUND($O1317,2)&lt;&gt;0),"有","")</f>
        <v/>
      </c>
    </row>
    <row r="1318" customFormat="false" ht="15" hidden="true" customHeight="false" outlineLevel="0" collapsed="false">
      <c r="A1318" s="53" t="str">
        <f aca="false">IF($H1318="","",ROW()-5)</f>
        <v/>
      </c>
      <c r="B1318" s="64" t="s">
        <v>36</v>
      </c>
      <c r="C1318" s="53" t="n">
        <v>334</v>
      </c>
      <c r="D1318" s="53" t="n">
        <v>1</v>
      </c>
      <c r="E1318" s="65" t="str">
        <f aca="false">IF($H1318="","",购销流水!$B334)</f>
        <v/>
      </c>
      <c r="F1318" s="55" t="str">
        <f aca="false">IF($H1318="","",购销流水!$C334)</f>
        <v/>
      </c>
      <c r="G1318" s="48" t="str">
        <f aca="false">IF($H1318="","",购销流水!$N334)</f>
        <v/>
      </c>
      <c r="H1318" s="10" t="str">
        <f aca="false">IF($L1318="","",IF($L1318="@成本",购销流水!$U334,IF($L1318="@收入",购销流水!$T334,IF($L1318="@存货",购销流水!$S334,IF($L1318="@结算",购销流水!$R334,$L1318)))))</f>
        <v/>
      </c>
      <c r="I1318" s="42" t="n">
        <f aca="false">IF($M1318="借",$O1318,0)</f>
        <v>0</v>
      </c>
      <c r="J1318" s="42" t="n">
        <f aca="false">IF($M1318="贷",$O1318,0)</f>
        <v>0</v>
      </c>
      <c r="K1318" s="48" t="str">
        <f aca="false">IF($H1318="","",购销流水!$E334)</f>
        <v/>
      </c>
      <c r="L1318" s="66" t="str">
        <f aca="false">IF(购销流水!$D334="","",IFERROR(INDEX(记账规则!$A$6:$N$9,MATCH(购销流水!$D334,记账规则!$A$6:$A$9,0),3),""))</f>
        <v/>
      </c>
      <c r="M1318" s="66" t="str">
        <f aca="false">IF($L1318="","",IFERROR(INDEX(记账规则!$A$6:$N$9,MATCH(购销流水!$D334,记账规则!$A$6:$A$9,0),4),""))</f>
        <v/>
      </c>
      <c r="N1318" s="66" t="str">
        <f aca="false">IF($L1318="","",IFERROR(INDEX(记账规则!$A$6:$N$9,MATCH(购销流水!$D334,记账规则!$A$6:$A$9,0),5),""))</f>
        <v/>
      </c>
      <c r="O1318" s="67" t="n">
        <f aca="false">IF($H1318="",0,ROUND(IF($N1318="成本金额",N(购销流水!$W334),IF($N1318="金额",N(购销流水!$Q334),0)),2))</f>
        <v>0</v>
      </c>
      <c r="P1318" s="64" t="str">
        <f aca="false">IF(AND($H1318&lt;&gt;"",ROUND($O1318,2)&lt;&gt;0),"有","")</f>
        <v/>
      </c>
    </row>
    <row r="1319" customFormat="false" ht="15" hidden="true" customHeight="false" outlineLevel="0" collapsed="false">
      <c r="A1319" s="53" t="str">
        <f aca="false">IF($H1319="","",ROW()-5)</f>
        <v/>
      </c>
      <c r="B1319" s="64" t="s">
        <v>36</v>
      </c>
      <c r="C1319" s="53" t="n">
        <v>334</v>
      </c>
      <c r="D1319" s="53" t="n">
        <v>2</v>
      </c>
      <c r="E1319" s="65" t="str">
        <f aca="false">IF($H1319="","",购销流水!$B334)</f>
        <v/>
      </c>
      <c r="F1319" s="55" t="str">
        <f aca="false">IF($H1319="","",购销流水!$C334)</f>
        <v/>
      </c>
      <c r="G1319" s="48" t="str">
        <f aca="false">IF($H1319="","",购销流水!$N334)</f>
        <v/>
      </c>
      <c r="H1319" s="10" t="str">
        <f aca="false">IF($L1319="","",IF($L1319="@成本",购销流水!$U334,IF($L1319="@收入",购销流水!$T334,IF($L1319="@存货",购销流水!$S334,IF($L1319="@结算",购销流水!$R334,$L1319)))))</f>
        <v/>
      </c>
      <c r="I1319" s="42" t="n">
        <f aca="false">IF($M1319="借",$O1319,0)</f>
        <v>0</v>
      </c>
      <c r="J1319" s="42" t="n">
        <f aca="false">IF($M1319="贷",$O1319,0)</f>
        <v>0</v>
      </c>
      <c r="K1319" s="48" t="str">
        <f aca="false">IF($H1319="","",购销流水!$E334)</f>
        <v/>
      </c>
      <c r="L1319" s="66" t="str">
        <f aca="false">IF(购销流水!$D334="","",IFERROR(INDEX(记账规则!$A$6:$N$9,MATCH(购销流水!$D334,记账规则!$A$6:$A$9,0),6),""))</f>
        <v/>
      </c>
      <c r="M1319" s="66" t="str">
        <f aca="false">IF($L1319="","",IFERROR(INDEX(记账规则!$A$6:$N$9,MATCH(购销流水!$D334,记账规则!$A$6:$A$9,0),7),""))</f>
        <v/>
      </c>
      <c r="N1319" s="66" t="str">
        <f aca="false">IF($L1319="","",IFERROR(INDEX(记账规则!$A$6:$N$9,MATCH(购销流水!$D334,记账规则!$A$6:$A$9,0),8),""))</f>
        <v/>
      </c>
      <c r="O1319" s="67" t="n">
        <f aca="false">IF($H1319="",0,ROUND(IF($N1319="成本金额",N(购销流水!$W334),IF($N1319="金额",N(购销流水!$Q334),0)),2))</f>
        <v>0</v>
      </c>
      <c r="P1319" s="64" t="str">
        <f aca="false">IF(AND($H1319&lt;&gt;"",ROUND($O1319,2)&lt;&gt;0),"有","")</f>
        <v/>
      </c>
    </row>
    <row r="1320" customFormat="false" ht="15" hidden="true" customHeight="false" outlineLevel="0" collapsed="false">
      <c r="A1320" s="53" t="str">
        <f aca="false">IF($H1320="","",ROW()-5)</f>
        <v/>
      </c>
      <c r="B1320" s="64" t="s">
        <v>36</v>
      </c>
      <c r="C1320" s="53" t="n">
        <v>334</v>
      </c>
      <c r="D1320" s="53" t="n">
        <v>3</v>
      </c>
      <c r="E1320" s="65" t="str">
        <f aca="false">IF($H1320="","",购销流水!$B334)</f>
        <v/>
      </c>
      <c r="F1320" s="55" t="str">
        <f aca="false">IF($H1320="","",购销流水!$C334)</f>
        <v/>
      </c>
      <c r="G1320" s="48" t="str">
        <f aca="false">IF($H1320="","",购销流水!$N334)</f>
        <v/>
      </c>
      <c r="H1320" s="10" t="str">
        <f aca="false">IF($L1320="","",IF($L1320="@成本",购销流水!$U334,IF($L1320="@收入",购销流水!$T334,IF($L1320="@存货",购销流水!$S334,IF($L1320="@结算",购销流水!$R334,$L1320)))))</f>
        <v/>
      </c>
      <c r="I1320" s="42" t="n">
        <f aca="false">IF($M1320="借",$O1320,0)</f>
        <v>0</v>
      </c>
      <c r="J1320" s="42" t="n">
        <f aca="false">IF($M1320="贷",$O1320,0)</f>
        <v>0</v>
      </c>
      <c r="K1320" s="48" t="str">
        <f aca="false">IF($H1320="","",购销流水!$E334)</f>
        <v/>
      </c>
      <c r="L1320" s="66" t="str">
        <f aca="false">IF(购销流水!$D334="","",IFERROR(INDEX(记账规则!$A$6:$N$9,MATCH(购销流水!$D334,记账规则!$A$6:$A$9,0),9),""))</f>
        <v/>
      </c>
      <c r="M1320" s="66" t="str">
        <f aca="false">IF($L1320="","",IFERROR(INDEX(记账规则!$A$6:$N$9,MATCH(购销流水!$D334,记账规则!$A$6:$A$9,0),10),""))</f>
        <v/>
      </c>
      <c r="N1320" s="66" t="str">
        <f aca="false">IF($L1320="","",IFERROR(INDEX(记账规则!$A$6:$N$9,MATCH(购销流水!$D334,记账规则!$A$6:$A$9,0),11),""))</f>
        <v/>
      </c>
      <c r="O1320" s="67" t="n">
        <f aca="false">IF($H1320="",0,ROUND(IF($N1320="成本金额",N(购销流水!$W334),IF($N1320="金额",N(购销流水!$Q334),0)),2))</f>
        <v>0</v>
      </c>
      <c r="P1320" s="64" t="str">
        <f aca="false">IF(AND($H1320&lt;&gt;"",ROUND($O1320,2)&lt;&gt;0),"有","")</f>
        <v/>
      </c>
    </row>
    <row r="1321" customFormat="false" ht="15" hidden="true" customHeight="false" outlineLevel="0" collapsed="false">
      <c r="A1321" s="53" t="str">
        <f aca="false">IF($H1321="","",ROW()-5)</f>
        <v/>
      </c>
      <c r="B1321" s="64" t="s">
        <v>36</v>
      </c>
      <c r="C1321" s="53" t="n">
        <v>334</v>
      </c>
      <c r="D1321" s="53" t="n">
        <v>4</v>
      </c>
      <c r="E1321" s="65" t="str">
        <f aca="false">IF($H1321="","",购销流水!$B334)</f>
        <v/>
      </c>
      <c r="F1321" s="55" t="str">
        <f aca="false">IF($H1321="","",购销流水!$C334)</f>
        <v/>
      </c>
      <c r="G1321" s="48" t="str">
        <f aca="false">IF($H1321="","",购销流水!$N334)</f>
        <v/>
      </c>
      <c r="H1321" s="10" t="str">
        <f aca="false">IF($L1321="","",IF($L1321="@成本",购销流水!$U334,IF($L1321="@收入",购销流水!$T334,IF($L1321="@存货",购销流水!$S334,IF($L1321="@结算",购销流水!$R334,$L1321)))))</f>
        <v/>
      </c>
      <c r="I1321" s="42" t="n">
        <f aca="false">IF($M1321="借",$O1321,0)</f>
        <v>0</v>
      </c>
      <c r="J1321" s="42" t="n">
        <f aca="false">IF($M1321="贷",$O1321,0)</f>
        <v>0</v>
      </c>
      <c r="K1321" s="48" t="str">
        <f aca="false">IF($H1321="","",购销流水!$E334)</f>
        <v/>
      </c>
      <c r="L1321" s="66" t="str">
        <f aca="false">IF(购销流水!$D334="","",IFERROR(INDEX(记账规则!$A$6:$N$9,MATCH(购销流水!$D334,记账规则!$A$6:$A$9,0),12),""))</f>
        <v/>
      </c>
      <c r="M1321" s="66" t="str">
        <f aca="false">IF($L1321="","",IFERROR(INDEX(记账规则!$A$6:$N$9,MATCH(购销流水!$D334,记账规则!$A$6:$A$9,0),13),""))</f>
        <v/>
      </c>
      <c r="N1321" s="66" t="str">
        <f aca="false">IF($L1321="","",IFERROR(INDEX(记账规则!$A$6:$N$9,MATCH(购销流水!$D334,记账规则!$A$6:$A$9,0),14),""))</f>
        <v/>
      </c>
      <c r="O1321" s="67" t="n">
        <f aca="false">IF($H1321="",0,ROUND(IF($N1321="成本金额",N(购销流水!$W334),IF($N1321="金额",N(购销流水!$Q334),0)),2))</f>
        <v>0</v>
      </c>
      <c r="P1321" s="64" t="str">
        <f aca="false">IF(AND($H1321&lt;&gt;"",ROUND($O1321,2)&lt;&gt;0),"有","")</f>
        <v/>
      </c>
    </row>
    <row r="1322" customFormat="false" ht="15" hidden="true" customHeight="false" outlineLevel="0" collapsed="false">
      <c r="A1322" s="53" t="str">
        <f aca="false">IF($H1322="","",ROW()-5)</f>
        <v/>
      </c>
      <c r="B1322" s="64" t="s">
        <v>36</v>
      </c>
      <c r="C1322" s="53" t="n">
        <v>335</v>
      </c>
      <c r="D1322" s="53" t="n">
        <v>1</v>
      </c>
      <c r="E1322" s="65" t="str">
        <f aca="false">IF($H1322="","",购销流水!$B335)</f>
        <v/>
      </c>
      <c r="F1322" s="55" t="str">
        <f aca="false">IF($H1322="","",购销流水!$C335)</f>
        <v/>
      </c>
      <c r="G1322" s="48" t="str">
        <f aca="false">IF($H1322="","",购销流水!$N335)</f>
        <v/>
      </c>
      <c r="H1322" s="10" t="str">
        <f aca="false">IF($L1322="","",IF($L1322="@成本",购销流水!$U335,IF($L1322="@收入",购销流水!$T335,IF($L1322="@存货",购销流水!$S335,IF($L1322="@结算",购销流水!$R335,$L1322)))))</f>
        <v/>
      </c>
      <c r="I1322" s="42" t="n">
        <f aca="false">IF($M1322="借",$O1322,0)</f>
        <v>0</v>
      </c>
      <c r="J1322" s="42" t="n">
        <f aca="false">IF($M1322="贷",$O1322,0)</f>
        <v>0</v>
      </c>
      <c r="K1322" s="48" t="str">
        <f aca="false">IF($H1322="","",购销流水!$E335)</f>
        <v/>
      </c>
      <c r="L1322" s="66" t="str">
        <f aca="false">IF(购销流水!$D335="","",IFERROR(INDEX(记账规则!$A$6:$N$9,MATCH(购销流水!$D335,记账规则!$A$6:$A$9,0),3),""))</f>
        <v/>
      </c>
      <c r="M1322" s="66" t="str">
        <f aca="false">IF($L1322="","",IFERROR(INDEX(记账规则!$A$6:$N$9,MATCH(购销流水!$D335,记账规则!$A$6:$A$9,0),4),""))</f>
        <v/>
      </c>
      <c r="N1322" s="66" t="str">
        <f aca="false">IF($L1322="","",IFERROR(INDEX(记账规则!$A$6:$N$9,MATCH(购销流水!$D335,记账规则!$A$6:$A$9,0),5),""))</f>
        <v/>
      </c>
      <c r="O1322" s="67" t="n">
        <f aca="false">IF($H1322="",0,ROUND(IF($N1322="成本金额",N(购销流水!$W335),IF($N1322="金额",N(购销流水!$Q335),0)),2))</f>
        <v>0</v>
      </c>
      <c r="P1322" s="64" t="str">
        <f aca="false">IF(AND($H1322&lt;&gt;"",ROUND($O1322,2)&lt;&gt;0),"有","")</f>
        <v/>
      </c>
    </row>
    <row r="1323" customFormat="false" ht="15" hidden="true" customHeight="false" outlineLevel="0" collapsed="false">
      <c r="A1323" s="53" t="str">
        <f aca="false">IF($H1323="","",ROW()-5)</f>
        <v/>
      </c>
      <c r="B1323" s="64" t="s">
        <v>36</v>
      </c>
      <c r="C1323" s="53" t="n">
        <v>335</v>
      </c>
      <c r="D1323" s="53" t="n">
        <v>2</v>
      </c>
      <c r="E1323" s="65" t="str">
        <f aca="false">IF($H1323="","",购销流水!$B335)</f>
        <v/>
      </c>
      <c r="F1323" s="55" t="str">
        <f aca="false">IF($H1323="","",购销流水!$C335)</f>
        <v/>
      </c>
      <c r="G1323" s="48" t="str">
        <f aca="false">IF($H1323="","",购销流水!$N335)</f>
        <v/>
      </c>
      <c r="H1323" s="10" t="str">
        <f aca="false">IF($L1323="","",IF($L1323="@成本",购销流水!$U335,IF($L1323="@收入",购销流水!$T335,IF($L1323="@存货",购销流水!$S335,IF($L1323="@结算",购销流水!$R335,$L1323)))))</f>
        <v/>
      </c>
      <c r="I1323" s="42" t="n">
        <f aca="false">IF($M1323="借",$O1323,0)</f>
        <v>0</v>
      </c>
      <c r="J1323" s="42" t="n">
        <f aca="false">IF($M1323="贷",$O1323,0)</f>
        <v>0</v>
      </c>
      <c r="K1323" s="48" t="str">
        <f aca="false">IF($H1323="","",购销流水!$E335)</f>
        <v/>
      </c>
      <c r="L1323" s="66" t="str">
        <f aca="false">IF(购销流水!$D335="","",IFERROR(INDEX(记账规则!$A$6:$N$9,MATCH(购销流水!$D335,记账规则!$A$6:$A$9,0),6),""))</f>
        <v/>
      </c>
      <c r="M1323" s="66" t="str">
        <f aca="false">IF($L1323="","",IFERROR(INDEX(记账规则!$A$6:$N$9,MATCH(购销流水!$D335,记账规则!$A$6:$A$9,0),7),""))</f>
        <v/>
      </c>
      <c r="N1323" s="66" t="str">
        <f aca="false">IF($L1323="","",IFERROR(INDEX(记账规则!$A$6:$N$9,MATCH(购销流水!$D335,记账规则!$A$6:$A$9,0),8),""))</f>
        <v/>
      </c>
      <c r="O1323" s="67" t="n">
        <f aca="false">IF($H1323="",0,ROUND(IF($N1323="成本金额",N(购销流水!$W335),IF($N1323="金额",N(购销流水!$Q335),0)),2))</f>
        <v>0</v>
      </c>
      <c r="P1323" s="64" t="str">
        <f aca="false">IF(AND($H1323&lt;&gt;"",ROUND($O1323,2)&lt;&gt;0),"有","")</f>
        <v/>
      </c>
    </row>
    <row r="1324" customFormat="false" ht="15" hidden="true" customHeight="false" outlineLevel="0" collapsed="false">
      <c r="A1324" s="53" t="str">
        <f aca="false">IF($H1324="","",ROW()-5)</f>
        <v/>
      </c>
      <c r="B1324" s="64" t="s">
        <v>36</v>
      </c>
      <c r="C1324" s="53" t="n">
        <v>335</v>
      </c>
      <c r="D1324" s="53" t="n">
        <v>3</v>
      </c>
      <c r="E1324" s="65" t="str">
        <f aca="false">IF($H1324="","",购销流水!$B335)</f>
        <v/>
      </c>
      <c r="F1324" s="55" t="str">
        <f aca="false">IF($H1324="","",购销流水!$C335)</f>
        <v/>
      </c>
      <c r="G1324" s="48" t="str">
        <f aca="false">IF($H1324="","",购销流水!$N335)</f>
        <v/>
      </c>
      <c r="H1324" s="10" t="str">
        <f aca="false">IF($L1324="","",IF($L1324="@成本",购销流水!$U335,IF($L1324="@收入",购销流水!$T335,IF($L1324="@存货",购销流水!$S335,IF($L1324="@结算",购销流水!$R335,$L1324)))))</f>
        <v/>
      </c>
      <c r="I1324" s="42" t="n">
        <f aca="false">IF($M1324="借",$O1324,0)</f>
        <v>0</v>
      </c>
      <c r="J1324" s="42" t="n">
        <f aca="false">IF($M1324="贷",$O1324,0)</f>
        <v>0</v>
      </c>
      <c r="K1324" s="48" t="str">
        <f aca="false">IF($H1324="","",购销流水!$E335)</f>
        <v/>
      </c>
      <c r="L1324" s="66" t="str">
        <f aca="false">IF(购销流水!$D335="","",IFERROR(INDEX(记账规则!$A$6:$N$9,MATCH(购销流水!$D335,记账规则!$A$6:$A$9,0),9),""))</f>
        <v/>
      </c>
      <c r="M1324" s="66" t="str">
        <f aca="false">IF($L1324="","",IFERROR(INDEX(记账规则!$A$6:$N$9,MATCH(购销流水!$D335,记账规则!$A$6:$A$9,0),10),""))</f>
        <v/>
      </c>
      <c r="N1324" s="66" t="str">
        <f aca="false">IF($L1324="","",IFERROR(INDEX(记账规则!$A$6:$N$9,MATCH(购销流水!$D335,记账规则!$A$6:$A$9,0),11),""))</f>
        <v/>
      </c>
      <c r="O1324" s="67" t="n">
        <f aca="false">IF($H1324="",0,ROUND(IF($N1324="成本金额",N(购销流水!$W335),IF($N1324="金额",N(购销流水!$Q335),0)),2))</f>
        <v>0</v>
      </c>
      <c r="P1324" s="64" t="str">
        <f aca="false">IF(AND($H1324&lt;&gt;"",ROUND($O1324,2)&lt;&gt;0),"有","")</f>
        <v/>
      </c>
    </row>
    <row r="1325" customFormat="false" ht="15" hidden="true" customHeight="false" outlineLevel="0" collapsed="false">
      <c r="A1325" s="53" t="str">
        <f aca="false">IF($H1325="","",ROW()-5)</f>
        <v/>
      </c>
      <c r="B1325" s="64" t="s">
        <v>36</v>
      </c>
      <c r="C1325" s="53" t="n">
        <v>335</v>
      </c>
      <c r="D1325" s="53" t="n">
        <v>4</v>
      </c>
      <c r="E1325" s="65" t="str">
        <f aca="false">IF($H1325="","",购销流水!$B335)</f>
        <v/>
      </c>
      <c r="F1325" s="55" t="str">
        <f aca="false">IF($H1325="","",购销流水!$C335)</f>
        <v/>
      </c>
      <c r="G1325" s="48" t="str">
        <f aca="false">IF($H1325="","",购销流水!$N335)</f>
        <v/>
      </c>
      <c r="H1325" s="10" t="str">
        <f aca="false">IF($L1325="","",IF($L1325="@成本",购销流水!$U335,IF($L1325="@收入",购销流水!$T335,IF($L1325="@存货",购销流水!$S335,IF($L1325="@结算",购销流水!$R335,$L1325)))))</f>
        <v/>
      </c>
      <c r="I1325" s="42" t="n">
        <f aca="false">IF($M1325="借",$O1325,0)</f>
        <v>0</v>
      </c>
      <c r="J1325" s="42" t="n">
        <f aca="false">IF($M1325="贷",$O1325,0)</f>
        <v>0</v>
      </c>
      <c r="K1325" s="48" t="str">
        <f aca="false">IF($H1325="","",购销流水!$E335)</f>
        <v/>
      </c>
      <c r="L1325" s="66" t="str">
        <f aca="false">IF(购销流水!$D335="","",IFERROR(INDEX(记账规则!$A$6:$N$9,MATCH(购销流水!$D335,记账规则!$A$6:$A$9,0),12),""))</f>
        <v/>
      </c>
      <c r="M1325" s="66" t="str">
        <f aca="false">IF($L1325="","",IFERROR(INDEX(记账规则!$A$6:$N$9,MATCH(购销流水!$D335,记账规则!$A$6:$A$9,0),13),""))</f>
        <v/>
      </c>
      <c r="N1325" s="66" t="str">
        <f aca="false">IF($L1325="","",IFERROR(INDEX(记账规则!$A$6:$N$9,MATCH(购销流水!$D335,记账规则!$A$6:$A$9,0),14),""))</f>
        <v/>
      </c>
      <c r="O1325" s="67" t="n">
        <f aca="false">IF($H1325="",0,ROUND(IF($N1325="成本金额",N(购销流水!$W335),IF($N1325="金额",N(购销流水!$Q335),0)),2))</f>
        <v>0</v>
      </c>
      <c r="P1325" s="64" t="str">
        <f aca="false">IF(AND($H1325&lt;&gt;"",ROUND($O1325,2)&lt;&gt;0),"有","")</f>
        <v/>
      </c>
    </row>
    <row r="1326" customFormat="false" ht="15" hidden="true" customHeight="false" outlineLevel="0" collapsed="false">
      <c r="A1326" s="53" t="str">
        <f aca="false">IF($H1326="","",ROW()-5)</f>
        <v/>
      </c>
      <c r="B1326" s="64" t="s">
        <v>36</v>
      </c>
      <c r="C1326" s="53" t="n">
        <v>336</v>
      </c>
      <c r="D1326" s="53" t="n">
        <v>1</v>
      </c>
      <c r="E1326" s="65" t="str">
        <f aca="false">IF($H1326="","",购销流水!$B336)</f>
        <v/>
      </c>
      <c r="F1326" s="55" t="str">
        <f aca="false">IF($H1326="","",购销流水!$C336)</f>
        <v/>
      </c>
      <c r="G1326" s="48" t="str">
        <f aca="false">IF($H1326="","",购销流水!$N336)</f>
        <v/>
      </c>
      <c r="H1326" s="10" t="str">
        <f aca="false">IF($L1326="","",IF($L1326="@成本",购销流水!$U336,IF($L1326="@收入",购销流水!$T336,IF($L1326="@存货",购销流水!$S336,IF($L1326="@结算",购销流水!$R336,$L1326)))))</f>
        <v/>
      </c>
      <c r="I1326" s="42" t="n">
        <f aca="false">IF($M1326="借",$O1326,0)</f>
        <v>0</v>
      </c>
      <c r="J1326" s="42" t="n">
        <f aca="false">IF($M1326="贷",$O1326,0)</f>
        <v>0</v>
      </c>
      <c r="K1326" s="48" t="str">
        <f aca="false">IF($H1326="","",购销流水!$E336)</f>
        <v/>
      </c>
      <c r="L1326" s="66" t="str">
        <f aca="false">IF(购销流水!$D336="","",IFERROR(INDEX(记账规则!$A$6:$N$9,MATCH(购销流水!$D336,记账规则!$A$6:$A$9,0),3),""))</f>
        <v/>
      </c>
      <c r="M1326" s="66" t="str">
        <f aca="false">IF($L1326="","",IFERROR(INDEX(记账规则!$A$6:$N$9,MATCH(购销流水!$D336,记账规则!$A$6:$A$9,0),4),""))</f>
        <v/>
      </c>
      <c r="N1326" s="66" t="str">
        <f aca="false">IF($L1326="","",IFERROR(INDEX(记账规则!$A$6:$N$9,MATCH(购销流水!$D336,记账规则!$A$6:$A$9,0),5),""))</f>
        <v/>
      </c>
      <c r="O1326" s="67" t="n">
        <f aca="false">IF($H1326="",0,ROUND(IF($N1326="成本金额",N(购销流水!$W336),IF($N1326="金额",N(购销流水!$Q336),0)),2))</f>
        <v>0</v>
      </c>
      <c r="P1326" s="64" t="str">
        <f aca="false">IF(AND($H1326&lt;&gt;"",ROUND($O1326,2)&lt;&gt;0),"有","")</f>
        <v/>
      </c>
    </row>
    <row r="1327" customFormat="false" ht="15" hidden="true" customHeight="false" outlineLevel="0" collapsed="false">
      <c r="A1327" s="53" t="str">
        <f aca="false">IF($H1327="","",ROW()-5)</f>
        <v/>
      </c>
      <c r="B1327" s="64" t="s">
        <v>36</v>
      </c>
      <c r="C1327" s="53" t="n">
        <v>336</v>
      </c>
      <c r="D1327" s="53" t="n">
        <v>2</v>
      </c>
      <c r="E1327" s="65" t="str">
        <f aca="false">IF($H1327="","",购销流水!$B336)</f>
        <v/>
      </c>
      <c r="F1327" s="55" t="str">
        <f aca="false">IF($H1327="","",购销流水!$C336)</f>
        <v/>
      </c>
      <c r="G1327" s="48" t="str">
        <f aca="false">IF($H1327="","",购销流水!$N336)</f>
        <v/>
      </c>
      <c r="H1327" s="10" t="str">
        <f aca="false">IF($L1327="","",IF($L1327="@成本",购销流水!$U336,IF($L1327="@收入",购销流水!$T336,IF($L1327="@存货",购销流水!$S336,IF($L1327="@结算",购销流水!$R336,$L1327)))))</f>
        <v/>
      </c>
      <c r="I1327" s="42" t="n">
        <f aca="false">IF($M1327="借",$O1327,0)</f>
        <v>0</v>
      </c>
      <c r="J1327" s="42" t="n">
        <f aca="false">IF($M1327="贷",$O1327,0)</f>
        <v>0</v>
      </c>
      <c r="K1327" s="48" t="str">
        <f aca="false">IF($H1327="","",购销流水!$E336)</f>
        <v/>
      </c>
      <c r="L1327" s="66" t="str">
        <f aca="false">IF(购销流水!$D336="","",IFERROR(INDEX(记账规则!$A$6:$N$9,MATCH(购销流水!$D336,记账规则!$A$6:$A$9,0),6),""))</f>
        <v/>
      </c>
      <c r="M1327" s="66" t="str">
        <f aca="false">IF($L1327="","",IFERROR(INDEX(记账规则!$A$6:$N$9,MATCH(购销流水!$D336,记账规则!$A$6:$A$9,0),7),""))</f>
        <v/>
      </c>
      <c r="N1327" s="66" t="str">
        <f aca="false">IF($L1327="","",IFERROR(INDEX(记账规则!$A$6:$N$9,MATCH(购销流水!$D336,记账规则!$A$6:$A$9,0),8),""))</f>
        <v/>
      </c>
      <c r="O1327" s="67" t="n">
        <f aca="false">IF($H1327="",0,ROUND(IF($N1327="成本金额",N(购销流水!$W336),IF($N1327="金额",N(购销流水!$Q336),0)),2))</f>
        <v>0</v>
      </c>
      <c r="P1327" s="64" t="str">
        <f aca="false">IF(AND($H1327&lt;&gt;"",ROUND($O1327,2)&lt;&gt;0),"有","")</f>
        <v/>
      </c>
    </row>
    <row r="1328" customFormat="false" ht="15" hidden="true" customHeight="false" outlineLevel="0" collapsed="false">
      <c r="A1328" s="53" t="str">
        <f aca="false">IF($H1328="","",ROW()-5)</f>
        <v/>
      </c>
      <c r="B1328" s="64" t="s">
        <v>36</v>
      </c>
      <c r="C1328" s="53" t="n">
        <v>336</v>
      </c>
      <c r="D1328" s="53" t="n">
        <v>3</v>
      </c>
      <c r="E1328" s="65" t="str">
        <f aca="false">IF($H1328="","",购销流水!$B336)</f>
        <v/>
      </c>
      <c r="F1328" s="55" t="str">
        <f aca="false">IF($H1328="","",购销流水!$C336)</f>
        <v/>
      </c>
      <c r="G1328" s="48" t="str">
        <f aca="false">IF($H1328="","",购销流水!$N336)</f>
        <v/>
      </c>
      <c r="H1328" s="10" t="str">
        <f aca="false">IF($L1328="","",IF($L1328="@成本",购销流水!$U336,IF($L1328="@收入",购销流水!$T336,IF($L1328="@存货",购销流水!$S336,IF($L1328="@结算",购销流水!$R336,$L1328)))))</f>
        <v/>
      </c>
      <c r="I1328" s="42" t="n">
        <f aca="false">IF($M1328="借",$O1328,0)</f>
        <v>0</v>
      </c>
      <c r="J1328" s="42" t="n">
        <f aca="false">IF($M1328="贷",$O1328,0)</f>
        <v>0</v>
      </c>
      <c r="K1328" s="48" t="str">
        <f aca="false">IF($H1328="","",购销流水!$E336)</f>
        <v/>
      </c>
      <c r="L1328" s="66" t="str">
        <f aca="false">IF(购销流水!$D336="","",IFERROR(INDEX(记账规则!$A$6:$N$9,MATCH(购销流水!$D336,记账规则!$A$6:$A$9,0),9),""))</f>
        <v/>
      </c>
      <c r="M1328" s="66" t="str">
        <f aca="false">IF($L1328="","",IFERROR(INDEX(记账规则!$A$6:$N$9,MATCH(购销流水!$D336,记账规则!$A$6:$A$9,0),10),""))</f>
        <v/>
      </c>
      <c r="N1328" s="66" t="str">
        <f aca="false">IF($L1328="","",IFERROR(INDEX(记账规则!$A$6:$N$9,MATCH(购销流水!$D336,记账规则!$A$6:$A$9,0),11),""))</f>
        <v/>
      </c>
      <c r="O1328" s="67" t="n">
        <f aca="false">IF($H1328="",0,ROUND(IF($N1328="成本金额",N(购销流水!$W336),IF($N1328="金额",N(购销流水!$Q336),0)),2))</f>
        <v>0</v>
      </c>
      <c r="P1328" s="64" t="str">
        <f aca="false">IF(AND($H1328&lt;&gt;"",ROUND($O1328,2)&lt;&gt;0),"有","")</f>
        <v/>
      </c>
    </row>
    <row r="1329" customFormat="false" ht="15" hidden="true" customHeight="false" outlineLevel="0" collapsed="false">
      <c r="A1329" s="53" t="str">
        <f aca="false">IF($H1329="","",ROW()-5)</f>
        <v/>
      </c>
      <c r="B1329" s="64" t="s">
        <v>36</v>
      </c>
      <c r="C1329" s="53" t="n">
        <v>336</v>
      </c>
      <c r="D1329" s="53" t="n">
        <v>4</v>
      </c>
      <c r="E1329" s="65" t="str">
        <f aca="false">IF($H1329="","",购销流水!$B336)</f>
        <v/>
      </c>
      <c r="F1329" s="55" t="str">
        <f aca="false">IF($H1329="","",购销流水!$C336)</f>
        <v/>
      </c>
      <c r="G1329" s="48" t="str">
        <f aca="false">IF($H1329="","",购销流水!$N336)</f>
        <v/>
      </c>
      <c r="H1329" s="10" t="str">
        <f aca="false">IF($L1329="","",IF($L1329="@成本",购销流水!$U336,IF($L1329="@收入",购销流水!$T336,IF($L1329="@存货",购销流水!$S336,IF($L1329="@结算",购销流水!$R336,$L1329)))))</f>
        <v/>
      </c>
      <c r="I1329" s="42" t="n">
        <f aca="false">IF($M1329="借",$O1329,0)</f>
        <v>0</v>
      </c>
      <c r="J1329" s="42" t="n">
        <f aca="false">IF($M1329="贷",$O1329,0)</f>
        <v>0</v>
      </c>
      <c r="K1329" s="48" t="str">
        <f aca="false">IF($H1329="","",购销流水!$E336)</f>
        <v/>
      </c>
      <c r="L1329" s="66" t="str">
        <f aca="false">IF(购销流水!$D336="","",IFERROR(INDEX(记账规则!$A$6:$N$9,MATCH(购销流水!$D336,记账规则!$A$6:$A$9,0),12),""))</f>
        <v/>
      </c>
      <c r="M1329" s="66" t="str">
        <f aca="false">IF($L1329="","",IFERROR(INDEX(记账规则!$A$6:$N$9,MATCH(购销流水!$D336,记账规则!$A$6:$A$9,0),13),""))</f>
        <v/>
      </c>
      <c r="N1329" s="66" t="str">
        <f aca="false">IF($L1329="","",IFERROR(INDEX(记账规则!$A$6:$N$9,MATCH(购销流水!$D336,记账规则!$A$6:$A$9,0),14),""))</f>
        <v/>
      </c>
      <c r="O1329" s="67" t="n">
        <f aca="false">IF($H1329="",0,ROUND(IF($N1329="成本金额",N(购销流水!$W336),IF($N1329="金额",N(购销流水!$Q336),0)),2))</f>
        <v>0</v>
      </c>
      <c r="P1329" s="64" t="str">
        <f aca="false">IF(AND($H1329&lt;&gt;"",ROUND($O1329,2)&lt;&gt;0),"有","")</f>
        <v/>
      </c>
    </row>
    <row r="1330" customFormat="false" ht="15" hidden="true" customHeight="false" outlineLevel="0" collapsed="false">
      <c r="A1330" s="53" t="str">
        <f aca="false">IF($H1330="","",ROW()-5)</f>
        <v/>
      </c>
      <c r="B1330" s="64" t="s">
        <v>36</v>
      </c>
      <c r="C1330" s="53" t="n">
        <v>337</v>
      </c>
      <c r="D1330" s="53" t="n">
        <v>1</v>
      </c>
      <c r="E1330" s="65" t="str">
        <f aca="false">IF($H1330="","",购销流水!$B337)</f>
        <v/>
      </c>
      <c r="F1330" s="55" t="str">
        <f aca="false">IF($H1330="","",购销流水!$C337)</f>
        <v/>
      </c>
      <c r="G1330" s="48" t="str">
        <f aca="false">IF($H1330="","",购销流水!$N337)</f>
        <v/>
      </c>
      <c r="H1330" s="10" t="str">
        <f aca="false">IF($L1330="","",IF($L1330="@成本",购销流水!$U337,IF($L1330="@收入",购销流水!$T337,IF($L1330="@存货",购销流水!$S337,IF($L1330="@结算",购销流水!$R337,$L1330)))))</f>
        <v/>
      </c>
      <c r="I1330" s="42" t="n">
        <f aca="false">IF($M1330="借",$O1330,0)</f>
        <v>0</v>
      </c>
      <c r="J1330" s="42" t="n">
        <f aca="false">IF($M1330="贷",$O1330,0)</f>
        <v>0</v>
      </c>
      <c r="K1330" s="48" t="str">
        <f aca="false">IF($H1330="","",购销流水!$E337)</f>
        <v/>
      </c>
      <c r="L1330" s="66" t="str">
        <f aca="false">IF(购销流水!$D337="","",IFERROR(INDEX(记账规则!$A$6:$N$9,MATCH(购销流水!$D337,记账规则!$A$6:$A$9,0),3),""))</f>
        <v/>
      </c>
      <c r="M1330" s="66" t="str">
        <f aca="false">IF($L1330="","",IFERROR(INDEX(记账规则!$A$6:$N$9,MATCH(购销流水!$D337,记账规则!$A$6:$A$9,0),4),""))</f>
        <v/>
      </c>
      <c r="N1330" s="66" t="str">
        <f aca="false">IF($L1330="","",IFERROR(INDEX(记账规则!$A$6:$N$9,MATCH(购销流水!$D337,记账规则!$A$6:$A$9,0),5),""))</f>
        <v/>
      </c>
      <c r="O1330" s="67" t="n">
        <f aca="false">IF($H1330="",0,ROUND(IF($N1330="成本金额",N(购销流水!$W337),IF($N1330="金额",N(购销流水!$Q337),0)),2))</f>
        <v>0</v>
      </c>
      <c r="P1330" s="64" t="str">
        <f aca="false">IF(AND($H1330&lt;&gt;"",ROUND($O1330,2)&lt;&gt;0),"有","")</f>
        <v/>
      </c>
    </row>
    <row r="1331" customFormat="false" ht="15" hidden="true" customHeight="false" outlineLevel="0" collapsed="false">
      <c r="A1331" s="53" t="str">
        <f aca="false">IF($H1331="","",ROW()-5)</f>
        <v/>
      </c>
      <c r="B1331" s="64" t="s">
        <v>36</v>
      </c>
      <c r="C1331" s="53" t="n">
        <v>337</v>
      </c>
      <c r="D1331" s="53" t="n">
        <v>2</v>
      </c>
      <c r="E1331" s="65" t="str">
        <f aca="false">IF($H1331="","",购销流水!$B337)</f>
        <v/>
      </c>
      <c r="F1331" s="55" t="str">
        <f aca="false">IF($H1331="","",购销流水!$C337)</f>
        <v/>
      </c>
      <c r="G1331" s="48" t="str">
        <f aca="false">IF($H1331="","",购销流水!$N337)</f>
        <v/>
      </c>
      <c r="H1331" s="10" t="str">
        <f aca="false">IF($L1331="","",IF($L1331="@成本",购销流水!$U337,IF($L1331="@收入",购销流水!$T337,IF($L1331="@存货",购销流水!$S337,IF($L1331="@结算",购销流水!$R337,$L1331)))))</f>
        <v/>
      </c>
      <c r="I1331" s="42" t="n">
        <f aca="false">IF($M1331="借",$O1331,0)</f>
        <v>0</v>
      </c>
      <c r="J1331" s="42" t="n">
        <f aca="false">IF($M1331="贷",$O1331,0)</f>
        <v>0</v>
      </c>
      <c r="K1331" s="48" t="str">
        <f aca="false">IF($H1331="","",购销流水!$E337)</f>
        <v/>
      </c>
      <c r="L1331" s="66" t="str">
        <f aca="false">IF(购销流水!$D337="","",IFERROR(INDEX(记账规则!$A$6:$N$9,MATCH(购销流水!$D337,记账规则!$A$6:$A$9,0),6),""))</f>
        <v/>
      </c>
      <c r="M1331" s="66" t="str">
        <f aca="false">IF($L1331="","",IFERROR(INDEX(记账规则!$A$6:$N$9,MATCH(购销流水!$D337,记账规则!$A$6:$A$9,0),7),""))</f>
        <v/>
      </c>
      <c r="N1331" s="66" t="str">
        <f aca="false">IF($L1331="","",IFERROR(INDEX(记账规则!$A$6:$N$9,MATCH(购销流水!$D337,记账规则!$A$6:$A$9,0),8),""))</f>
        <v/>
      </c>
      <c r="O1331" s="67" t="n">
        <f aca="false">IF($H1331="",0,ROUND(IF($N1331="成本金额",N(购销流水!$W337),IF($N1331="金额",N(购销流水!$Q337),0)),2))</f>
        <v>0</v>
      </c>
      <c r="P1331" s="64" t="str">
        <f aca="false">IF(AND($H1331&lt;&gt;"",ROUND($O1331,2)&lt;&gt;0),"有","")</f>
        <v/>
      </c>
    </row>
    <row r="1332" customFormat="false" ht="15" hidden="true" customHeight="false" outlineLevel="0" collapsed="false">
      <c r="A1332" s="53" t="str">
        <f aca="false">IF($H1332="","",ROW()-5)</f>
        <v/>
      </c>
      <c r="B1332" s="64" t="s">
        <v>36</v>
      </c>
      <c r="C1332" s="53" t="n">
        <v>337</v>
      </c>
      <c r="D1332" s="53" t="n">
        <v>3</v>
      </c>
      <c r="E1332" s="65" t="str">
        <f aca="false">IF($H1332="","",购销流水!$B337)</f>
        <v/>
      </c>
      <c r="F1332" s="55" t="str">
        <f aca="false">IF($H1332="","",购销流水!$C337)</f>
        <v/>
      </c>
      <c r="G1332" s="48" t="str">
        <f aca="false">IF($H1332="","",购销流水!$N337)</f>
        <v/>
      </c>
      <c r="H1332" s="10" t="str">
        <f aca="false">IF($L1332="","",IF($L1332="@成本",购销流水!$U337,IF($L1332="@收入",购销流水!$T337,IF($L1332="@存货",购销流水!$S337,IF($L1332="@结算",购销流水!$R337,$L1332)))))</f>
        <v/>
      </c>
      <c r="I1332" s="42" t="n">
        <f aca="false">IF($M1332="借",$O1332,0)</f>
        <v>0</v>
      </c>
      <c r="J1332" s="42" t="n">
        <f aca="false">IF($M1332="贷",$O1332,0)</f>
        <v>0</v>
      </c>
      <c r="K1332" s="48" t="str">
        <f aca="false">IF($H1332="","",购销流水!$E337)</f>
        <v/>
      </c>
      <c r="L1332" s="66" t="str">
        <f aca="false">IF(购销流水!$D337="","",IFERROR(INDEX(记账规则!$A$6:$N$9,MATCH(购销流水!$D337,记账规则!$A$6:$A$9,0),9),""))</f>
        <v/>
      </c>
      <c r="M1332" s="66" t="str">
        <f aca="false">IF($L1332="","",IFERROR(INDEX(记账规则!$A$6:$N$9,MATCH(购销流水!$D337,记账规则!$A$6:$A$9,0),10),""))</f>
        <v/>
      </c>
      <c r="N1332" s="66" t="str">
        <f aca="false">IF($L1332="","",IFERROR(INDEX(记账规则!$A$6:$N$9,MATCH(购销流水!$D337,记账规则!$A$6:$A$9,0),11),""))</f>
        <v/>
      </c>
      <c r="O1332" s="67" t="n">
        <f aca="false">IF($H1332="",0,ROUND(IF($N1332="成本金额",N(购销流水!$W337),IF($N1332="金额",N(购销流水!$Q337),0)),2))</f>
        <v>0</v>
      </c>
      <c r="P1332" s="64" t="str">
        <f aca="false">IF(AND($H1332&lt;&gt;"",ROUND($O1332,2)&lt;&gt;0),"有","")</f>
        <v/>
      </c>
    </row>
    <row r="1333" customFormat="false" ht="15" hidden="true" customHeight="false" outlineLevel="0" collapsed="false">
      <c r="A1333" s="53" t="str">
        <f aca="false">IF($H1333="","",ROW()-5)</f>
        <v/>
      </c>
      <c r="B1333" s="64" t="s">
        <v>36</v>
      </c>
      <c r="C1333" s="53" t="n">
        <v>337</v>
      </c>
      <c r="D1333" s="53" t="n">
        <v>4</v>
      </c>
      <c r="E1333" s="65" t="str">
        <f aca="false">IF($H1333="","",购销流水!$B337)</f>
        <v/>
      </c>
      <c r="F1333" s="55" t="str">
        <f aca="false">IF($H1333="","",购销流水!$C337)</f>
        <v/>
      </c>
      <c r="G1333" s="48" t="str">
        <f aca="false">IF($H1333="","",购销流水!$N337)</f>
        <v/>
      </c>
      <c r="H1333" s="10" t="str">
        <f aca="false">IF($L1333="","",IF($L1333="@成本",购销流水!$U337,IF($L1333="@收入",购销流水!$T337,IF($L1333="@存货",购销流水!$S337,IF($L1333="@结算",购销流水!$R337,$L1333)))))</f>
        <v/>
      </c>
      <c r="I1333" s="42" t="n">
        <f aca="false">IF($M1333="借",$O1333,0)</f>
        <v>0</v>
      </c>
      <c r="J1333" s="42" t="n">
        <f aca="false">IF($M1333="贷",$O1333,0)</f>
        <v>0</v>
      </c>
      <c r="K1333" s="48" t="str">
        <f aca="false">IF($H1333="","",购销流水!$E337)</f>
        <v/>
      </c>
      <c r="L1333" s="66" t="str">
        <f aca="false">IF(购销流水!$D337="","",IFERROR(INDEX(记账规则!$A$6:$N$9,MATCH(购销流水!$D337,记账规则!$A$6:$A$9,0),12),""))</f>
        <v/>
      </c>
      <c r="M1333" s="66" t="str">
        <f aca="false">IF($L1333="","",IFERROR(INDEX(记账规则!$A$6:$N$9,MATCH(购销流水!$D337,记账规则!$A$6:$A$9,0),13),""))</f>
        <v/>
      </c>
      <c r="N1333" s="66" t="str">
        <f aca="false">IF($L1333="","",IFERROR(INDEX(记账规则!$A$6:$N$9,MATCH(购销流水!$D337,记账规则!$A$6:$A$9,0),14),""))</f>
        <v/>
      </c>
      <c r="O1333" s="67" t="n">
        <f aca="false">IF($H1333="",0,ROUND(IF($N1333="成本金额",N(购销流水!$W337),IF($N1333="金额",N(购销流水!$Q337),0)),2))</f>
        <v>0</v>
      </c>
      <c r="P1333" s="64" t="str">
        <f aca="false">IF(AND($H1333&lt;&gt;"",ROUND($O1333,2)&lt;&gt;0),"有","")</f>
        <v/>
      </c>
    </row>
    <row r="1334" customFormat="false" ht="15" hidden="true" customHeight="false" outlineLevel="0" collapsed="false">
      <c r="A1334" s="53" t="str">
        <f aca="false">IF($H1334="","",ROW()-5)</f>
        <v/>
      </c>
      <c r="B1334" s="64" t="s">
        <v>36</v>
      </c>
      <c r="C1334" s="53" t="n">
        <v>338</v>
      </c>
      <c r="D1334" s="53" t="n">
        <v>1</v>
      </c>
      <c r="E1334" s="65" t="str">
        <f aca="false">IF($H1334="","",购销流水!$B338)</f>
        <v/>
      </c>
      <c r="F1334" s="55" t="str">
        <f aca="false">IF($H1334="","",购销流水!$C338)</f>
        <v/>
      </c>
      <c r="G1334" s="48" t="str">
        <f aca="false">IF($H1334="","",购销流水!$N338)</f>
        <v/>
      </c>
      <c r="H1334" s="10" t="str">
        <f aca="false">IF($L1334="","",IF($L1334="@成本",购销流水!$U338,IF($L1334="@收入",购销流水!$T338,IF($L1334="@存货",购销流水!$S338,IF($L1334="@结算",购销流水!$R338,$L1334)))))</f>
        <v/>
      </c>
      <c r="I1334" s="42" t="n">
        <f aca="false">IF($M1334="借",$O1334,0)</f>
        <v>0</v>
      </c>
      <c r="J1334" s="42" t="n">
        <f aca="false">IF($M1334="贷",$O1334,0)</f>
        <v>0</v>
      </c>
      <c r="K1334" s="48" t="str">
        <f aca="false">IF($H1334="","",购销流水!$E338)</f>
        <v/>
      </c>
      <c r="L1334" s="66" t="str">
        <f aca="false">IF(购销流水!$D338="","",IFERROR(INDEX(记账规则!$A$6:$N$9,MATCH(购销流水!$D338,记账规则!$A$6:$A$9,0),3),""))</f>
        <v/>
      </c>
      <c r="M1334" s="66" t="str">
        <f aca="false">IF($L1334="","",IFERROR(INDEX(记账规则!$A$6:$N$9,MATCH(购销流水!$D338,记账规则!$A$6:$A$9,0),4),""))</f>
        <v/>
      </c>
      <c r="N1334" s="66" t="str">
        <f aca="false">IF($L1334="","",IFERROR(INDEX(记账规则!$A$6:$N$9,MATCH(购销流水!$D338,记账规则!$A$6:$A$9,0),5),""))</f>
        <v/>
      </c>
      <c r="O1334" s="67" t="n">
        <f aca="false">IF($H1334="",0,ROUND(IF($N1334="成本金额",N(购销流水!$W338),IF($N1334="金额",N(购销流水!$Q338),0)),2))</f>
        <v>0</v>
      </c>
      <c r="P1334" s="64" t="str">
        <f aca="false">IF(AND($H1334&lt;&gt;"",ROUND($O1334,2)&lt;&gt;0),"有","")</f>
        <v/>
      </c>
    </row>
    <row r="1335" customFormat="false" ht="15" hidden="true" customHeight="false" outlineLevel="0" collapsed="false">
      <c r="A1335" s="53" t="str">
        <f aca="false">IF($H1335="","",ROW()-5)</f>
        <v/>
      </c>
      <c r="B1335" s="64" t="s">
        <v>36</v>
      </c>
      <c r="C1335" s="53" t="n">
        <v>338</v>
      </c>
      <c r="D1335" s="53" t="n">
        <v>2</v>
      </c>
      <c r="E1335" s="65" t="str">
        <f aca="false">IF($H1335="","",购销流水!$B338)</f>
        <v/>
      </c>
      <c r="F1335" s="55" t="str">
        <f aca="false">IF($H1335="","",购销流水!$C338)</f>
        <v/>
      </c>
      <c r="G1335" s="48" t="str">
        <f aca="false">IF($H1335="","",购销流水!$N338)</f>
        <v/>
      </c>
      <c r="H1335" s="10" t="str">
        <f aca="false">IF($L1335="","",IF($L1335="@成本",购销流水!$U338,IF($L1335="@收入",购销流水!$T338,IF($L1335="@存货",购销流水!$S338,IF($L1335="@结算",购销流水!$R338,$L1335)))))</f>
        <v/>
      </c>
      <c r="I1335" s="42" t="n">
        <f aca="false">IF($M1335="借",$O1335,0)</f>
        <v>0</v>
      </c>
      <c r="J1335" s="42" t="n">
        <f aca="false">IF($M1335="贷",$O1335,0)</f>
        <v>0</v>
      </c>
      <c r="K1335" s="48" t="str">
        <f aca="false">IF($H1335="","",购销流水!$E338)</f>
        <v/>
      </c>
      <c r="L1335" s="66" t="str">
        <f aca="false">IF(购销流水!$D338="","",IFERROR(INDEX(记账规则!$A$6:$N$9,MATCH(购销流水!$D338,记账规则!$A$6:$A$9,0),6),""))</f>
        <v/>
      </c>
      <c r="M1335" s="66" t="str">
        <f aca="false">IF($L1335="","",IFERROR(INDEX(记账规则!$A$6:$N$9,MATCH(购销流水!$D338,记账规则!$A$6:$A$9,0),7),""))</f>
        <v/>
      </c>
      <c r="N1335" s="66" t="str">
        <f aca="false">IF($L1335="","",IFERROR(INDEX(记账规则!$A$6:$N$9,MATCH(购销流水!$D338,记账规则!$A$6:$A$9,0),8),""))</f>
        <v/>
      </c>
      <c r="O1335" s="67" t="n">
        <f aca="false">IF($H1335="",0,ROUND(IF($N1335="成本金额",N(购销流水!$W338),IF($N1335="金额",N(购销流水!$Q338),0)),2))</f>
        <v>0</v>
      </c>
      <c r="P1335" s="64" t="str">
        <f aca="false">IF(AND($H1335&lt;&gt;"",ROUND($O1335,2)&lt;&gt;0),"有","")</f>
        <v/>
      </c>
    </row>
    <row r="1336" customFormat="false" ht="15" hidden="true" customHeight="false" outlineLevel="0" collapsed="false">
      <c r="A1336" s="53" t="str">
        <f aca="false">IF($H1336="","",ROW()-5)</f>
        <v/>
      </c>
      <c r="B1336" s="64" t="s">
        <v>36</v>
      </c>
      <c r="C1336" s="53" t="n">
        <v>338</v>
      </c>
      <c r="D1336" s="53" t="n">
        <v>3</v>
      </c>
      <c r="E1336" s="65" t="str">
        <f aca="false">IF($H1336="","",购销流水!$B338)</f>
        <v/>
      </c>
      <c r="F1336" s="55" t="str">
        <f aca="false">IF($H1336="","",购销流水!$C338)</f>
        <v/>
      </c>
      <c r="G1336" s="48" t="str">
        <f aca="false">IF($H1336="","",购销流水!$N338)</f>
        <v/>
      </c>
      <c r="H1336" s="10" t="str">
        <f aca="false">IF($L1336="","",IF($L1336="@成本",购销流水!$U338,IF($L1336="@收入",购销流水!$T338,IF($L1336="@存货",购销流水!$S338,IF($L1336="@结算",购销流水!$R338,$L1336)))))</f>
        <v/>
      </c>
      <c r="I1336" s="42" t="n">
        <f aca="false">IF($M1336="借",$O1336,0)</f>
        <v>0</v>
      </c>
      <c r="J1336" s="42" t="n">
        <f aca="false">IF($M1336="贷",$O1336,0)</f>
        <v>0</v>
      </c>
      <c r="K1336" s="48" t="str">
        <f aca="false">IF($H1336="","",购销流水!$E338)</f>
        <v/>
      </c>
      <c r="L1336" s="66" t="str">
        <f aca="false">IF(购销流水!$D338="","",IFERROR(INDEX(记账规则!$A$6:$N$9,MATCH(购销流水!$D338,记账规则!$A$6:$A$9,0),9),""))</f>
        <v/>
      </c>
      <c r="M1336" s="66" t="str">
        <f aca="false">IF($L1336="","",IFERROR(INDEX(记账规则!$A$6:$N$9,MATCH(购销流水!$D338,记账规则!$A$6:$A$9,0),10),""))</f>
        <v/>
      </c>
      <c r="N1336" s="66" t="str">
        <f aca="false">IF($L1336="","",IFERROR(INDEX(记账规则!$A$6:$N$9,MATCH(购销流水!$D338,记账规则!$A$6:$A$9,0),11),""))</f>
        <v/>
      </c>
      <c r="O1336" s="67" t="n">
        <f aca="false">IF($H1336="",0,ROUND(IF($N1336="成本金额",N(购销流水!$W338),IF($N1336="金额",N(购销流水!$Q338),0)),2))</f>
        <v>0</v>
      </c>
      <c r="P1336" s="64" t="str">
        <f aca="false">IF(AND($H1336&lt;&gt;"",ROUND($O1336,2)&lt;&gt;0),"有","")</f>
        <v/>
      </c>
    </row>
    <row r="1337" customFormat="false" ht="15" hidden="true" customHeight="false" outlineLevel="0" collapsed="false">
      <c r="A1337" s="53" t="str">
        <f aca="false">IF($H1337="","",ROW()-5)</f>
        <v/>
      </c>
      <c r="B1337" s="64" t="s">
        <v>36</v>
      </c>
      <c r="C1337" s="53" t="n">
        <v>338</v>
      </c>
      <c r="D1337" s="53" t="n">
        <v>4</v>
      </c>
      <c r="E1337" s="65" t="str">
        <f aca="false">IF($H1337="","",购销流水!$B338)</f>
        <v/>
      </c>
      <c r="F1337" s="55" t="str">
        <f aca="false">IF($H1337="","",购销流水!$C338)</f>
        <v/>
      </c>
      <c r="G1337" s="48" t="str">
        <f aca="false">IF($H1337="","",购销流水!$N338)</f>
        <v/>
      </c>
      <c r="H1337" s="10" t="str">
        <f aca="false">IF($L1337="","",IF($L1337="@成本",购销流水!$U338,IF($L1337="@收入",购销流水!$T338,IF($L1337="@存货",购销流水!$S338,IF($L1337="@结算",购销流水!$R338,$L1337)))))</f>
        <v/>
      </c>
      <c r="I1337" s="42" t="n">
        <f aca="false">IF($M1337="借",$O1337,0)</f>
        <v>0</v>
      </c>
      <c r="J1337" s="42" t="n">
        <f aca="false">IF($M1337="贷",$O1337,0)</f>
        <v>0</v>
      </c>
      <c r="K1337" s="48" t="str">
        <f aca="false">IF($H1337="","",购销流水!$E338)</f>
        <v/>
      </c>
      <c r="L1337" s="66" t="str">
        <f aca="false">IF(购销流水!$D338="","",IFERROR(INDEX(记账规则!$A$6:$N$9,MATCH(购销流水!$D338,记账规则!$A$6:$A$9,0),12),""))</f>
        <v/>
      </c>
      <c r="M1337" s="66" t="str">
        <f aca="false">IF($L1337="","",IFERROR(INDEX(记账规则!$A$6:$N$9,MATCH(购销流水!$D338,记账规则!$A$6:$A$9,0),13),""))</f>
        <v/>
      </c>
      <c r="N1337" s="66" t="str">
        <f aca="false">IF($L1337="","",IFERROR(INDEX(记账规则!$A$6:$N$9,MATCH(购销流水!$D338,记账规则!$A$6:$A$9,0),14),""))</f>
        <v/>
      </c>
      <c r="O1337" s="67" t="n">
        <f aca="false">IF($H1337="",0,ROUND(IF($N1337="成本金额",N(购销流水!$W338),IF($N1337="金额",N(购销流水!$Q338),0)),2))</f>
        <v>0</v>
      </c>
      <c r="P1337" s="64" t="str">
        <f aca="false">IF(AND($H1337&lt;&gt;"",ROUND($O1337,2)&lt;&gt;0),"有","")</f>
        <v/>
      </c>
    </row>
    <row r="1338" customFormat="false" ht="15" hidden="true" customHeight="false" outlineLevel="0" collapsed="false">
      <c r="A1338" s="53" t="str">
        <f aca="false">IF($H1338="","",ROW()-5)</f>
        <v/>
      </c>
      <c r="B1338" s="64" t="s">
        <v>36</v>
      </c>
      <c r="C1338" s="53" t="n">
        <v>339</v>
      </c>
      <c r="D1338" s="53" t="n">
        <v>1</v>
      </c>
      <c r="E1338" s="65" t="str">
        <f aca="false">IF($H1338="","",购销流水!$B339)</f>
        <v/>
      </c>
      <c r="F1338" s="55" t="str">
        <f aca="false">IF($H1338="","",购销流水!$C339)</f>
        <v/>
      </c>
      <c r="G1338" s="48" t="str">
        <f aca="false">IF($H1338="","",购销流水!$N339)</f>
        <v/>
      </c>
      <c r="H1338" s="10" t="str">
        <f aca="false">IF($L1338="","",IF($L1338="@成本",购销流水!$U339,IF($L1338="@收入",购销流水!$T339,IF($L1338="@存货",购销流水!$S339,IF($L1338="@结算",购销流水!$R339,$L1338)))))</f>
        <v/>
      </c>
      <c r="I1338" s="42" t="n">
        <f aca="false">IF($M1338="借",$O1338,0)</f>
        <v>0</v>
      </c>
      <c r="J1338" s="42" t="n">
        <f aca="false">IF($M1338="贷",$O1338,0)</f>
        <v>0</v>
      </c>
      <c r="K1338" s="48" t="str">
        <f aca="false">IF($H1338="","",购销流水!$E339)</f>
        <v/>
      </c>
      <c r="L1338" s="66" t="str">
        <f aca="false">IF(购销流水!$D339="","",IFERROR(INDEX(记账规则!$A$6:$N$9,MATCH(购销流水!$D339,记账规则!$A$6:$A$9,0),3),""))</f>
        <v/>
      </c>
      <c r="M1338" s="66" t="str">
        <f aca="false">IF($L1338="","",IFERROR(INDEX(记账规则!$A$6:$N$9,MATCH(购销流水!$D339,记账规则!$A$6:$A$9,0),4),""))</f>
        <v/>
      </c>
      <c r="N1338" s="66" t="str">
        <f aca="false">IF($L1338="","",IFERROR(INDEX(记账规则!$A$6:$N$9,MATCH(购销流水!$D339,记账规则!$A$6:$A$9,0),5),""))</f>
        <v/>
      </c>
      <c r="O1338" s="67" t="n">
        <f aca="false">IF($H1338="",0,ROUND(IF($N1338="成本金额",N(购销流水!$W339),IF($N1338="金额",N(购销流水!$Q339),0)),2))</f>
        <v>0</v>
      </c>
      <c r="P1338" s="64" t="str">
        <f aca="false">IF(AND($H1338&lt;&gt;"",ROUND($O1338,2)&lt;&gt;0),"有","")</f>
        <v/>
      </c>
    </row>
    <row r="1339" customFormat="false" ht="15" hidden="true" customHeight="false" outlineLevel="0" collapsed="false">
      <c r="A1339" s="53" t="str">
        <f aca="false">IF($H1339="","",ROW()-5)</f>
        <v/>
      </c>
      <c r="B1339" s="64" t="s">
        <v>36</v>
      </c>
      <c r="C1339" s="53" t="n">
        <v>339</v>
      </c>
      <c r="D1339" s="53" t="n">
        <v>2</v>
      </c>
      <c r="E1339" s="65" t="str">
        <f aca="false">IF($H1339="","",购销流水!$B339)</f>
        <v/>
      </c>
      <c r="F1339" s="55" t="str">
        <f aca="false">IF($H1339="","",购销流水!$C339)</f>
        <v/>
      </c>
      <c r="G1339" s="48" t="str">
        <f aca="false">IF($H1339="","",购销流水!$N339)</f>
        <v/>
      </c>
      <c r="H1339" s="10" t="str">
        <f aca="false">IF($L1339="","",IF($L1339="@成本",购销流水!$U339,IF($L1339="@收入",购销流水!$T339,IF($L1339="@存货",购销流水!$S339,IF($L1339="@结算",购销流水!$R339,$L1339)))))</f>
        <v/>
      </c>
      <c r="I1339" s="42" t="n">
        <f aca="false">IF($M1339="借",$O1339,0)</f>
        <v>0</v>
      </c>
      <c r="J1339" s="42" t="n">
        <f aca="false">IF($M1339="贷",$O1339,0)</f>
        <v>0</v>
      </c>
      <c r="K1339" s="48" t="str">
        <f aca="false">IF($H1339="","",购销流水!$E339)</f>
        <v/>
      </c>
      <c r="L1339" s="66" t="str">
        <f aca="false">IF(购销流水!$D339="","",IFERROR(INDEX(记账规则!$A$6:$N$9,MATCH(购销流水!$D339,记账规则!$A$6:$A$9,0),6),""))</f>
        <v/>
      </c>
      <c r="M1339" s="66" t="str">
        <f aca="false">IF($L1339="","",IFERROR(INDEX(记账规则!$A$6:$N$9,MATCH(购销流水!$D339,记账规则!$A$6:$A$9,0),7),""))</f>
        <v/>
      </c>
      <c r="N1339" s="66" t="str">
        <f aca="false">IF($L1339="","",IFERROR(INDEX(记账规则!$A$6:$N$9,MATCH(购销流水!$D339,记账规则!$A$6:$A$9,0),8),""))</f>
        <v/>
      </c>
      <c r="O1339" s="67" t="n">
        <f aca="false">IF($H1339="",0,ROUND(IF($N1339="成本金额",N(购销流水!$W339),IF($N1339="金额",N(购销流水!$Q339),0)),2))</f>
        <v>0</v>
      </c>
      <c r="P1339" s="64" t="str">
        <f aca="false">IF(AND($H1339&lt;&gt;"",ROUND($O1339,2)&lt;&gt;0),"有","")</f>
        <v/>
      </c>
    </row>
    <row r="1340" customFormat="false" ht="15" hidden="true" customHeight="false" outlineLevel="0" collapsed="false">
      <c r="A1340" s="53" t="str">
        <f aca="false">IF($H1340="","",ROW()-5)</f>
        <v/>
      </c>
      <c r="B1340" s="64" t="s">
        <v>36</v>
      </c>
      <c r="C1340" s="53" t="n">
        <v>339</v>
      </c>
      <c r="D1340" s="53" t="n">
        <v>3</v>
      </c>
      <c r="E1340" s="65" t="str">
        <f aca="false">IF($H1340="","",购销流水!$B339)</f>
        <v/>
      </c>
      <c r="F1340" s="55" t="str">
        <f aca="false">IF($H1340="","",购销流水!$C339)</f>
        <v/>
      </c>
      <c r="G1340" s="48" t="str">
        <f aca="false">IF($H1340="","",购销流水!$N339)</f>
        <v/>
      </c>
      <c r="H1340" s="10" t="str">
        <f aca="false">IF($L1340="","",IF($L1340="@成本",购销流水!$U339,IF($L1340="@收入",购销流水!$T339,IF($L1340="@存货",购销流水!$S339,IF($L1340="@结算",购销流水!$R339,$L1340)))))</f>
        <v/>
      </c>
      <c r="I1340" s="42" t="n">
        <f aca="false">IF($M1340="借",$O1340,0)</f>
        <v>0</v>
      </c>
      <c r="J1340" s="42" t="n">
        <f aca="false">IF($M1340="贷",$O1340,0)</f>
        <v>0</v>
      </c>
      <c r="K1340" s="48" t="str">
        <f aca="false">IF($H1340="","",购销流水!$E339)</f>
        <v/>
      </c>
      <c r="L1340" s="66" t="str">
        <f aca="false">IF(购销流水!$D339="","",IFERROR(INDEX(记账规则!$A$6:$N$9,MATCH(购销流水!$D339,记账规则!$A$6:$A$9,0),9),""))</f>
        <v/>
      </c>
      <c r="M1340" s="66" t="str">
        <f aca="false">IF($L1340="","",IFERROR(INDEX(记账规则!$A$6:$N$9,MATCH(购销流水!$D339,记账规则!$A$6:$A$9,0),10),""))</f>
        <v/>
      </c>
      <c r="N1340" s="66" t="str">
        <f aca="false">IF($L1340="","",IFERROR(INDEX(记账规则!$A$6:$N$9,MATCH(购销流水!$D339,记账规则!$A$6:$A$9,0),11),""))</f>
        <v/>
      </c>
      <c r="O1340" s="67" t="n">
        <f aca="false">IF($H1340="",0,ROUND(IF($N1340="成本金额",N(购销流水!$W339),IF($N1340="金额",N(购销流水!$Q339),0)),2))</f>
        <v>0</v>
      </c>
      <c r="P1340" s="64" t="str">
        <f aca="false">IF(AND($H1340&lt;&gt;"",ROUND($O1340,2)&lt;&gt;0),"有","")</f>
        <v/>
      </c>
    </row>
    <row r="1341" customFormat="false" ht="15" hidden="true" customHeight="false" outlineLevel="0" collapsed="false">
      <c r="A1341" s="53" t="str">
        <f aca="false">IF($H1341="","",ROW()-5)</f>
        <v/>
      </c>
      <c r="B1341" s="64" t="s">
        <v>36</v>
      </c>
      <c r="C1341" s="53" t="n">
        <v>339</v>
      </c>
      <c r="D1341" s="53" t="n">
        <v>4</v>
      </c>
      <c r="E1341" s="65" t="str">
        <f aca="false">IF($H1341="","",购销流水!$B339)</f>
        <v/>
      </c>
      <c r="F1341" s="55" t="str">
        <f aca="false">IF($H1341="","",购销流水!$C339)</f>
        <v/>
      </c>
      <c r="G1341" s="48" t="str">
        <f aca="false">IF($H1341="","",购销流水!$N339)</f>
        <v/>
      </c>
      <c r="H1341" s="10" t="str">
        <f aca="false">IF($L1341="","",IF($L1341="@成本",购销流水!$U339,IF($L1341="@收入",购销流水!$T339,IF($L1341="@存货",购销流水!$S339,IF($L1341="@结算",购销流水!$R339,$L1341)))))</f>
        <v/>
      </c>
      <c r="I1341" s="42" t="n">
        <f aca="false">IF($M1341="借",$O1341,0)</f>
        <v>0</v>
      </c>
      <c r="J1341" s="42" t="n">
        <f aca="false">IF($M1341="贷",$O1341,0)</f>
        <v>0</v>
      </c>
      <c r="K1341" s="48" t="str">
        <f aca="false">IF($H1341="","",购销流水!$E339)</f>
        <v/>
      </c>
      <c r="L1341" s="66" t="str">
        <f aca="false">IF(购销流水!$D339="","",IFERROR(INDEX(记账规则!$A$6:$N$9,MATCH(购销流水!$D339,记账规则!$A$6:$A$9,0),12),""))</f>
        <v/>
      </c>
      <c r="M1341" s="66" t="str">
        <f aca="false">IF($L1341="","",IFERROR(INDEX(记账规则!$A$6:$N$9,MATCH(购销流水!$D339,记账规则!$A$6:$A$9,0),13),""))</f>
        <v/>
      </c>
      <c r="N1341" s="66" t="str">
        <f aca="false">IF($L1341="","",IFERROR(INDEX(记账规则!$A$6:$N$9,MATCH(购销流水!$D339,记账规则!$A$6:$A$9,0),14),""))</f>
        <v/>
      </c>
      <c r="O1341" s="67" t="n">
        <f aca="false">IF($H1341="",0,ROUND(IF($N1341="成本金额",N(购销流水!$W339),IF($N1341="金额",N(购销流水!$Q339),0)),2))</f>
        <v>0</v>
      </c>
      <c r="P1341" s="64" t="str">
        <f aca="false">IF(AND($H1341&lt;&gt;"",ROUND($O1341,2)&lt;&gt;0),"有","")</f>
        <v/>
      </c>
    </row>
    <row r="1342" customFormat="false" ht="15" hidden="true" customHeight="false" outlineLevel="0" collapsed="false">
      <c r="A1342" s="53" t="str">
        <f aca="false">IF($H1342="","",ROW()-5)</f>
        <v/>
      </c>
      <c r="B1342" s="64" t="s">
        <v>36</v>
      </c>
      <c r="C1342" s="53" t="n">
        <v>340</v>
      </c>
      <c r="D1342" s="53" t="n">
        <v>1</v>
      </c>
      <c r="E1342" s="65" t="str">
        <f aca="false">IF($H1342="","",购销流水!$B340)</f>
        <v/>
      </c>
      <c r="F1342" s="55" t="str">
        <f aca="false">IF($H1342="","",购销流水!$C340)</f>
        <v/>
      </c>
      <c r="G1342" s="48" t="str">
        <f aca="false">IF($H1342="","",购销流水!$N340)</f>
        <v/>
      </c>
      <c r="H1342" s="10" t="str">
        <f aca="false">IF($L1342="","",IF($L1342="@成本",购销流水!$U340,IF($L1342="@收入",购销流水!$T340,IF($L1342="@存货",购销流水!$S340,IF($L1342="@结算",购销流水!$R340,$L1342)))))</f>
        <v/>
      </c>
      <c r="I1342" s="42" t="n">
        <f aca="false">IF($M1342="借",$O1342,0)</f>
        <v>0</v>
      </c>
      <c r="J1342" s="42" t="n">
        <f aca="false">IF($M1342="贷",$O1342,0)</f>
        <v>0</v>
      </c>
      <c r="K1342" s="48" t="str">
        <f aca="false">IF($H1342="","",购销流水!$E340)</f>
        <v/>
      </c>
      <c r="L1342" s="66" t="str">
        <f aca="false">IF(购销流水!$D340="","",IFERROR(INDEX(记账规则!$A$6:$N$9,MATCH(购销流水!$D340,记账规则!$A$6:$A$9,0),3),""))</f>
        <v/>
      </c>
      <c r="M1342" s="66" t="str">
        <f aca="false">IF($L1342="","",IFERROR(INDEX(记账规则!$A$6:$N$9,MATCH(购销流水!$D340,记账规则!$A$6:$A$9,0),4),""))</f>
        <v/>
      </c>
      <c r="N1342" s="66" t="str">
        <f aca="false">IF($L1342="","",IFERROR(INDEX(记账规则!$A$6:$N$9,MATCH(购销流水!$D340,记账规则!$A$6:$A$9,0),5),""))</f>
        <v/>
      </c>
      <c r="O1342" s="67" t="n">
        <f aca="false">IF($H1342="",0,ROUND(IF($N1342="成本金额",N(购销流水!$W340),IF($N1342="金额",N(购销流水!$Q340),0)),2))</f>
        <v>0</v>
      </c>
      <c r="P1342" s="64" t="str">
        <f aca="false">IF(AND($H1342&lt;&gt;"",ROUND($O1342,2)&lt;&gt;0),"有","")</f>
        <v/>
      </c>
    </row>
    <row r="1343" customFormat="false" ht="15" hidden="true" customHeight="false" outlineLevel="0" collapsed="false">
      <c r="A1343" s="53" t="str">
        <f aca="false">IF($H1343="","",ROW()-5)</f>
        <v/>
      </c>
      <c r="B1343" s="64" t="s">
        <v>36</v>
      </c>
      <c r="C1343" s="53" t="n">
        <v>340</v>
      </c>
      <c r="D1343" s="53" t="n">
        <v>2</v>
      </c>
      <c r="E1343" s="65" t="str">
        <f aca="false">IF($H1343="","",购销流水!$B340)</f>
        <v/>
      </c>
      <c r="F1343" s="55" t="str">
        <f aca="false">IF($H1343="","",购销流水!$C340)</f>
        <v/>
      </c>
      <c r="G1343" s="48" t="str">
        <f aca="false">IF($H1343="","",购销流水!$N340)</f>
        <v/>
      </c>
      <c r="H1343" s="10" t="str">
        <f aca="false">IF($L1343="","",IF($L1343="@成本",购销流水!$U340,IF($L1343="@收入",购销流水!$T340,IF($L1343="@存货",购销流水!$S340,IF($L1343="@结算",购销流水!$R340,$L1343)))))</f>
        <v/>
      </c>
      <c r="I1343" s="42" t="n">
        <f aca="false">IF($M1343="借",$O1343,0)</f>
        <v>0</v>
      </c>
      <c r="J1343" s="42" t="n">
        <f aca="false">IF($M1343="贷",$O1343,0)</f>
        <v>0</v>
      </c>
      <c r="K1343" s="48" t="str">
        <f aca="false">IF($H1343="","",购销流水!$E340)</f>
        <v/>
      </c>
      <c r="L1343" s="66" t="str">
        <f aca="false">IF(购销流水!$D340="","",IFERROR(INDEX(记账规则!$A$6:$N$9,MATCH(购销流水!$D340,记账规则!$A$6:$A$9,0),6),""))</f>
        <v/>
      </c>
      <c r="M1343" s="66" t="str">
        <f aca="false">IF($L1343="","",IFERROR(INDEX(记账规则!$A$6:$N$9,MATCH(购销流水!$D340,记账规则!$A$6:$A$9,0),7),""))</f>
        <v/>
      </c>
      <c r="N1343" s="66" t="str">
        <f aca="false">IF($L1343="","",IFERROR(INDEX(记账规则!$A$6:$N$9,MATCH(购销流水!$D340,记账规则!$A$6:$A$9,0),8),""))</f>
        <v/>
      </c>
      <c r="O1343" s="67" t="n">
        <f aca="false">IF($H1343="",0,ROUND(IF($N1343="成本金额",N(购销流水!$W340),IF($N1343="金额",N(购销流水!$Q340),0)),2))</f>
        <v>0</v>
      </c>
      <c r="P1343" s="64" t="str">
        <f aca="false">IF(AND($H1343&lt;&gt;"",ROUND($O1343,2)&lt;&gt;0),"有","")</f>
        <v/>
      </c>
    </row>
    <row r="1344" customFormat="false" ht="15" hidden="true" customHeight="false" outlineLevel="0" collapsed="false">
      <c r="A1344" s="53" t="str">
        <f aca="false">IF($H1344="","",ROW()-5)</f>
        <v/>
      </c>
      <c r="B1344" s="64" t="s">
        <v>36</v>
      </c>
      <c r="C1344" s="53" t="n">
        <v>340</v>
      </c>
      <c r="D1344" s="53" t="n">
        <v>3</v>
      </c>
      <c r="E1344" s="65" t="str">
        <f aca="false">IF($H1344="","",购销流水!$B340)</f>
        <v/>
      </c>
      <c r="F1344" s="55" t="str">
        <f aca="false">IF($H1344="","",购销流水!$C340)</f>
        <v/>
      </c>
      <c r="G1344" s="48" t="str">
        <f aca="false">IF($H1344="","",购销流水!$N340)</f>
        <v/>
      </c>
      <c r="H1344" s="10" t="str">
        <f aca="false">IF($L1344="","",IF($L1344="@成本",购销流水!$U340,IF($L1344="@收入",购销流水!$T340,IF($L1344="@存货",购销流水!$S340,IF($L1344="@结算",购销流水!$R340,$L1344)))))</f>
        <v/>
      </c>
      <c r="I1344" s="42" t="n">
        <f aca="false">IF($M1344="借",$O1344,0)</f>
        <v>0</v>
      </c>
      <c r="J1344" s="42" t="n">
        <f aca="false">IF($M1344="贷",$O1344,0)</f>
        <v>0</v>
      </c>
      <c r="K1344" s="48" t="str">
        <f aca="false">IF($H1344="","",购销流水!$E340)</f>
        <v/>
      </c>
      <c r="L1344" s="66" t="str">
        <f aca="false">IF(购销流水!$D340="","",IFERROR(INDEX(记账规则!$A$6:$N$9,MATCH(购销流水!$D340,记账规则!$A$6:$A$9,0),9),""))</f>
        <v/>
      </c>
      <c r="M1344" s="66" t="str">
        <f aca="false">IF($L1344="","",IFERROR(INDEX(记账规则!$A$6:$N$9,MATCH(购销流水!$D340,记账规则!$A$6:$A$9,0),10),""))</f>
        <v/>
      </c>
      <c r="N1344" s="66" t="str">
        <f aca="false">IF($L1344="","",IFERROR(INDEX(记账规则!$A$6:$N$9,MATCH(购销流水!$D340,记账规则!$A$6:$A$9,0),11),""))</f>
        <v/>
      </c>
      <c r="O1344" s="67" t="n">
        <f aca="false">IF($H1344="",0,ROUND(IF($N1344="成本金额",N(购销流水!$W340),IF($N1344="金额",N(购销流水!$Q340),0)),2))</f>
        <v>0</v>
      </c>
      <c r="P1344" s="64" t="str">
        <f aca="false">IF(AND($H1344&lt;&gt;"",ROUND($O1344,2)&lt;&gt;0),"有","")</f>
        <v/>
      </c>
    </row>
    <row r="1345" customFormat="false" ht="15" hidden="true" customHeight="false" outlineLevel="0" collapsed="false">
      <c r="A1345" s="53" t="str">
        <f aca="false">IF($H1345="","",ROW()-5)</f>
        <v/>
      </c>
      <c r="B1345" s="64" t="s">
        <v>36</v>
      </c>
      <c r="C1345" s="53" t="n">
        <v>340</v>
      </c>
      <c r="D1345" s="53" t="n">
        <v>4</v>
      </c>
      <c r="E1345" s="65" t="str">
        <f aca="false">IF($H1345="","",购销流水!$B340)</f>
        <v/>
      </c>
      <c r="F1345" s="55" t="str">
        <f aca="false">IF($H1345="","",购销流水!$C340)</f>
        <v/>
      </c>
      <c r="G1345" s="48" t="str">
        <f aca="false">IF($H1345="","",购销流水!$N340)</f>
        <v/>
      </c>
      <c r="H1345" s="10" t="str">
        <f aca="false">IF($L1345="","",IF($L1345="@成本",购销流水!$U340,IF($L1345="@收入",购销流水!$T340,IF($L1345="@存货",购销流水!$S340,IF($L1345="@结算",购销流水!$R340,$L1345)))))</f>
        <v/>
      </c>
      <c r="I1345" s="42" t="n">
        <f aca="false">IF($M1345="借",$O1345,0)</f>
        <v>0</v>
      </c>
      <c r="J1345" s="42" t="n">
        <f aca="false">IF($M1345="贷",$O1345,0)</f>
        <v>0</v>
      </c>
      <c r="K1345" s="48" t="str">
        <f aca="false">IF($H1345="","",购销流水!$E340)</f>
        <v/>
      </c>
      <c r="L1345" s="66" t="str">
        <f aca="false">IF(购销流水!$D340="","",IFERROR(INDEX(记账规则!$A$6:$N$9,MATCH(购销流水!$D340,记账规则!$A$6:$A$9,0),12),""))</f>
        <v/>
      </c>
      <c r="M1345" s="66" t="str">
        <f aca="false">IF($L1345="","",IFERROR(INDEX(记账规则!$A$6:$N$9,MATCH(购销流水!$D340,记账规则!$A$6:$A$9,0),13),""))</f>
        <v/>
      </c>
      <c r="N1345" s="66" t="str">
        <f aca="false">IF($L1345="","",IFERROR(INDEX(记账规则!$A$6:$N$9,MATCH(购销流水!$D340,记账规则!$A$6:$A$9,0),14),""))</f>
        <v/>
      </c>
      <c r="O1345" s="67" t="n">
        <f aca="false">IF($H1345="",0,ROUND(IF($N1345="成本金额",N(购销流水!$W340),IF($N1345="金额",N(购销流水!$Q340),0)),2))</f>
        <v>0</v>
      </c>
      <c r="P1345" s="64" t="str">
        <f aca="false">IF(AND($H1345&lt;&gt;"",ROUND($O1345,2)&lt;&gt;0),"有","")</f>
        <v/>
      </c>
    </row>
    <row r="1346" customFormat="false" ht="15" hidden="true" customHeight="false" outlineLevel="0" collapsed="false">
      <c r="A1346" s="53" t="str">
        <f aca="false">IF($H1346="","",ROW()-5)</f>
        <v/>
      </c>
      <c r="B1346" s="64" t="s">
        <v>36</v>
      </c>
      <c r="C1346" s="53" t="n">
        <v>341</v>
      </c>
      <c r="D1346" s="53" t="n">
        <v>1</v>
      </c>
      <c r="E1346" s="65" t="str">
        <f aca="false">IF($H1346="","",购销流水!$B341)</f>
        <v/>
      </c>
      <c r="F1346" s="55" t="str">
        <f aca="false">IF($H1346="","",购销流水!$C341)</f>
        <v/>
      </c>
      <c r="G1346" s="48" t="str">
        <f aca="false">IF($H1346="","",购销流水!$N341)</f>
        <v/>
      </c>
      <c r="H1346" s="10" t="str">
        <f aca="false">IF($L1346="","",IF($L1346="@成本",购销流水!$U341,IF($L1346="@收入",购销流水!$T341,IF($L1346="@存货",购销流水!$S341,IF($L1346="@结算",购销流水!$R341,$L1346)))))</f>
        <v/>
      </c>
      <c r="I1346" s="42" t="n">
        <f aca="false">IF($M1346="借",$O1346,0)</f>
        <v>0</v>
      </c>
      <c r="J1346" s="42" t="n">
        <f aca="false">IF($M1346="贷",$O1346,0)</f>
        <v>0</v>
      </c>
      <c r="K1346" s="48" t="str">
        <f aca="false">IF($H1346="","",购销流水!$E341)</f>
        <v/>
      </c>
      <c r="L1346" s="66" t="str">
        <f aca="false">IF(购销流水!$D341="","",IFERROR(INDEX(记账规则!$A$6:$N$9,MATCH(购销流水!$D341,记账规则!$A$6:$A$9,0),3),""))</f>
        <v/>
      </c>
      <c r="M1346" s="66" t="str">
        <f aca="false">IF($L1346="","",IFERROR(INDEX(记账规则!$A$6:$N$9,MATCH(购销流水!$D341,记账规则!$A$6:$A$9,0),4),""))</f>
        <v/>
      </c>
      <c r="N1346" s="66" t="str">
        <f aca="false">IF($L1346="","",IFERROR(INDEX(记账规则!$A$6:$N$9,MATCH(购销流水!$D341,记账规则!$A$6:$A$9,0),5),""))</f>
        <v/>
      </c>
      <c r="O1346" s="67" t="n">
        <f aca="false">IF($H1346="",0,ROUND(IF($N1346="成本金额",N(购销流水!$W341),IF($N1346="金额",N(购销流水!$Q341),0)),2))</f>
        <v>0</v>
      </c>
      <c r="P1346" s="64" t="str">
        <f aca="false">IF(AND($H1346&lt;&gt;"",ROUND($O1346,2)&lt;&gt;0),"有","")</f>
        <v/>
      </c>
    </row>
    <row r="1347" customFormat="false" ht="15" hidden="true" customHeight="false" outlineLevel="0" collapsed="false">
      <c r="A1347" s="53" t="str">
        <f aca="false">IF($H1347="","",ROW()-5)</f>
        <v/>
      </c>
      <c r="B1347" s="64" t="s">
        <v>36</v>
      </c>
      <c r="C1347" s="53" t="n">
        <v>341</v>
      </c>
      <c r="D1347" s="53" t="n">
        <v>2</v>
      </c>
      <c r="E1347" s="65" t="str">
        <f aca="false">IF($H1347="","",购销流水!$B341)</f>
        <v/>
      </c>
      <c r="F1347" s="55" t="str">
        <f aca="false">IF($H1347="","",购销流水!$C341)</f>
        <v/>
      </c>
      <c r="G1347" s="48" t="str">
        <f aca="false">IF($H1347="","",购销流水!$N341)</f>
        <v/>
      </c>
      <c r="H1347" s="10" t="str">
        <f aca="false">IF($L1347="","",IF($L1347="@成本",购销流水!$U341,IF($L1347="@收入",购销流水!$T341,IF($L1347="@存货",购销流水!$S341,IF($L1347="@结算",购销流水!$R341,$L1347)))))</f>
        <v/>
      </c>
      <c r="I1347" s="42" t="n">
        <f aca="false">IF($M1347="借",$O1347,0)</f>
        <v>0</v>
      </c>
      <c r="J1347" s="42" t="n">
        <f aca="false">IF($M1347="贷",$O1347,0)</f>
        <v>0</v>
      </c>
      <c r="K1347" s="48" t="str">
        <f aca="false">IF($H1347="","",购销流水!$E341)</f>
        <v/>
      </c>
      <c r="L1347" s="66" t="str">
        <f aca="false">IF(购销流水!$D341="","",IFERROR(INDEX(记账规则!$A$6:$N$9,MATCH(购销流水!$D341,记账规则!$A$6:$A$9,0),6),""))</f>
        <v/>
      </c>
      <c r="M1347" s="66" t="str">
        <f aca="false">IF($L1347="","",IFERROR(INDEX(记账规则!$A$6:$N$9,MATCH(购销流水!$D341,记账规则!$A$6:$A$9,0),7),""))</f>
        <v/>
      </c>
      <c r="N1347" s="66" t="str">
        <f aca="false">IF($L1347="","",IFERROR(INDEX(记账规则!$A$6:$N$9,MATCH(购销流水!$D341,记账规则!$A$6:$A$9,0),8),""))</f>
        <v/>
      </c>
      <c r="O1347" s="67" t="n">
        <f aca="false">IF($H1347="",0,ROUND(IF($N1347="成本金额",N(购销流水!$W341),IF($N1347="金额",N(购销流水!$Q341),0)),2))</f>
        <v>0</v>
      </c>
      <c r="P1347" s="64" t="str">
        <f aca="false">IF(AND($H1347&lt;&gt;"",ROUND($O1347,2)&lt;&gt;0),"有","")</f>
        <v/>
      </c>
    </row>
    <row r="1348" customFormat="false" ht="15" hidden="true" customHeight="false" outlineLevel="0" collapsed="false">
      <c r="A1348" s="53" t="str">
        <f aca="false">IF($H1348="","",ROW()-5)</f>
        <v/>
      </c>
      <c r="B1348" s="64" t="s">
        <v>36</v>
      </c>
      <c r="C1348" s="53" t="n">
        <v>341</v>
      </c>
      <c r="D1348" s="53" t="n">
        <v>3</v>
      </c>
      <c r="E1348" s="65" t="str">
        <f aca="false">IF($H1348="","",购销流水!$B341)</f>
        <v/>
      </c>
      <c r="F1348" s="55" t="str">
        <f aca="false">IF($H1348="","",购销流水!$C341)</f>
        <v/>
      </c>
      <c r="G1348" s="48" t="str">
        <f aca="false">IF($H1348="","",购销流水!$N341)</f>
        <v/>
      </c>
      <c r="H1348" s="10" t="str">
        <f aca="false">IF($L1348="","",IF($L1348="@成本",购销流水!$U341,IF($L1348="@收入",购销流水!$T341,IF($L1348="@存货",购销流水!$S341,IF($L1348="@结算",购销流水!$R341,$L1348)))))</f>
        <v/>
      </c>
      <c r="I1348" s="42" t="n">
        <f aca="false">IF($M1348="借",$O1348,0)</f>
        <v>0</v>
      </c>
      <c r="J1348" s="42" t="n">
        <f aca="false">IF($M1348="贷",$O1348,0)</f>
        <v>0</v>
      </c>
      <c r="K1348" s="48" t="str">
        <f aca="false">IF($H1348="","",购销流水!$E341)</f>
        <v/>
      </c>
      <c r="L1348" s="66" t="str">
        <f aca="false">IF(购销流水!$D341="","",IFERROR(INDEX(记账规则!$A$6:$N$9,MATCH(购销流水!$D341,记账规则!$A$6:$A$9,0),9),""))</f>
        <v/>
      </c>
      <c r="M1348" s="66" t="str">
        <f aca="false">IF($L1348="","",IFERROR(INDEX(记账规则!$A$6:$N$9,MATCH(购销流水!$D341,记账规则!$A$6:$A$9,0),10),""))</f>
        <v/>
      </c>
      <c r="N1348" s="66" t="str">
        <f aca="false">IF($L1348="","",IFERROR(INDEX(记账规则!$A$6:$N$9,MATCH(购销流水!$D341,记账规则!$A$6:$A$9,0),11),""))</f>
        <v/>
      </c>
      <c r="O1348" s="67" t="n">
        <f aca="false">IF($H1348="",0,ROUND(IF($N1348="成本金额",N(购销流水!$W341),IF($N1348="金额",N(购销流水!$Q341),0)),2))</f>
        <v>0</v>
      </c>
      <c r="P1348" s="64" t="str">
        <f aca="false">IF(AND($H1348&lt;&gt;"",ROUND($O1348,2)&lt;&gt;0),"有","")</f>
        <v/>
      </c>
    </row>
    <row r="1349" customFormat="false" ht="15" hidden="true" customHeight="false" outlineLevel="0" collapsed="false">
      <c r="A1349" s="53" t="str">
        <f aca="false">IF($H1349="","",ROW()-5)</f>
        <v/>
      </c>
      <c r="B1349" s="64" t="s">
        <v>36</v>
      </c>
      <c r="C1349" s="53" t="n">
        <v>341</v>
      </c>
      <c r="D1349" s="53" t="n">
        <v>4</v>
      </c>
      <c r="E1349" s="65" t="str">
        <f aca="false">IF($H1349="","",购销流水!$B341)</f>
        <v/>
      </c>
      <c r="F1349" s="55" t="str">
        <f aca="false">IF($H1349="","",购销流水!$C341)</f>
        <v/>
      </c>
      <c r="G1349" s="48" t="str">
        <f aca="false">IF($H1349="","",购销流水!$N341)</f>
        <v/>
      </c>
      <c r="H1349" s="10" t="str">
        <f aca="false">IF($L1349="","",IF($L1349="@成本",购销流水!$U341,IF($L1349="@收入",购销流水!$T341,IF($L1349="@存货",购销流水!$S341,IF($L1349="@结算",购销流水!$R341,$L1349)))))</f>
        <v/>
      </c>
      <c r="I1349" s="42" t="n">
        <f aca="false">IF($M1349="借",$O1349,0)</f>
        <v>0</v>
      </c>
      <c r="J1349" s="42" t="n">
        <f aca="false">IF($M1349="贷",$O1349,0)</f>
        <v>0</v>
      </c>
      <c r="K1349" s="48" t="str">
        <f aca="false">IF($H1349="","",购销流水!$E341)</f>
        <v/>
      </c>
      <c r="L1349" s="66" t="str">
        <f aca="false">IF(购销流水!$D341="","",IFERROR(INDEX(记账规则!$A$6:$N$9,MATCH(购销流水!$D341,记账规则!$A$6:$A$9,0),12),""))</f>
        <v/>
      </c>
      <c r="M1349" s="66" t="str">
        <f aca="false">IF($L1349="","",IFERROR(INDEX(记账规则!$A$6:$N$9,MATCH(购销流水!$D341,记账规则!$A$6:$A$9,0),13),""))</f>
        <v/>
      </c>
      <c r="N1349" s="66" t="str">
        <f aca="false">IF($L1349="","",IFERROR(INDEX(记账规则!$A$6:$N$9,MATCH(购销流水!$D341,记账规则!$A$6:$A$9,0),14),""))</f>
        <v/>
      </c>
      <c r="O1349" s="67" t="n">
        <f aca="false">IF($H1349="",0,ROUND(IF($N1349="成本金额",N(购销流水!$W341),IF($N1349="金额",N(购销流水!$Q341),0)),2))</f>
        <v>0</v>
      </c>
      <c r="P1349" s="64" t="str">
        <f aca="false">IF(AND($H1349&lt;&gt;"",ROUND($O1349,2)&lt;&gt;0),"有","")</f>
        <v/>
      </c>
    </row>
    <row r="1350" customFormat="false" ht="15" hidden="true" customHeight="false" outlineLevel="0" collapsed="false">
      <c r="A1350" s="53" t="str">
        <f aca="false">IF($H1350="","",ROW()-5)</f>
        <v/>
      </c>
      <c r="B1350" s="64" t="s">
        <v>36</v>
      </c>
      <c r="C1350" s="53" t="n">
        <v>342</v>
      </c>
      <c r="D1350" s="53" t="n">
        <v>1</v>
      </c>
      <c r="E1350" s="65" t="str">
        <f aca="false">IF($H1350="","",购销流水!$B342)</f>
        <v/>
      </c>
      <c r="F1350" s="55" t="str">
        <f aca="false">IF($H1350="","",购销流水!$C342)</f>
        <v/>
      </c>
      <c r="G1350" s="48" t="str">
        <f aca="false">IF($H1350="","",购销流水!$N342)</f>
        <v/>
      </c>
      <c r="H1350" s="10" t="str">
        <f aca="false">IF($L1350="","",IF($L1350="@成本",购销流水!$U342,IF($L1350="@收入",购销流水!$T342,IF($L1350="@存货",购销流水!$S342,IF($L1350="@结算",购销流水!$R342,$L1350)))))</f>
        <v/>
      </c>
      <c r="I1350" s="42" t="n">
        <f aca="false">IF($M1350="借",$O1350,0)</f>
        <v>0</v>
      </c>
      <c r="J1350" s="42" t="n">
        <f aca="false">IF($M1350="贷",$O1350,0)</f>
        <v>0</v>
      </c>
      <c r="K1350" s="48" t="str">
        <f aca="false">IF($H1350="","",购销流水!$E342)</f>
        <v/>
      </c>
      <c r="L1350" s="66" t="str">
        <f aca="false">IF(购销流水!$D342="","",IFERROR(INDEX(记账规则!$A$6:$N$9,MATCH(购销流水!$D342,记账规则!$A$6:$A$9,0),3),""))</f>
        <v/>
      </c>
      <c r="M1350" s="66" t="str">
        <f aca="false">IF($L1350="","",IFERROR(INDEX(记账规则!$A$6:$N$9,MATCH(购销流水!$D342,记账规则!$A$6:$A$9,0),4),""))</f>
        <v/>
      </c>
      <c r="N1350" s="66" t="str">
        <f aca="false">IF($L1350="","",IFERROR(INDEX(记账规则!$A$6:$N$9,MATCH(购销流水!$D342,记账规则!$A$6:$A$9,0),5),""))</f>
        <v/>
      </c>
      <c r="O1350" s="67" t="n">
        <f aca="false">IF($H1350="",0,ROUND(IF($N1350="成本金额",N(购销流水!$W342),IF($N1350="金额",N(购销流水!$Q342),0)),2))</f>
        <v>0</v>
      </c>
      <c r="P1350" s="64" t="str">
        <f aca="false">IF(AND($H1350&lt;&gt;"",ROUND($O1350,2)&lt;&gt;0),"有","")</f>
        <v/>
      </c>
    </row>
    <row r="1351" customFormat="false" ht="15" hidden="true" customHeight="false" outlineLevel="0" collapsed="false">
      <c r="A1351" s="53" t="str">
        <f aca="false">IF($H1351="","",ROW()-5)</f>
        <v/>
      </c>
      <c r="B1351" s="64" t="s">
        <v>36</v>
      </c>
      <c r="C1351" s="53" t="n">
        <v>342</v>
      </c>
      <c r="D1351" s="53" t="n">
        <v>2</v>
      </c>
      <c r="E1351" s="65" t="str">
        <f aca="false">IF($H1351="","",购销流水!$B342)</f>
        <v/>
      </c>
      <c r="F1351" s="55" t="str">
        <f aca="false">IF($H1351="","",购销流水!$C342)</f>
        <v/>
      </c>
      <c r="G1351" s="48" t="str">
        <f aca="false">IF($H1351="","",购销流水!$N342)</f>
        <v/>
      </c>
      <c r="H1351" s="10" t="str">
        <f aca="false">IF($L1351="","",IF($L1351="@成本",购销流水!$U342,IF($L1351="@收入",购销流水!$T342,IF($L1351="@存货",购销流水!$S342,IF($L1351="@结算",购销流水!$R342,$L1351)))))</f>
        <v/>
      </c>
      <c r="I1351" s="42" t="n">
        <f aca="false">IF($M1351="借",$O1351,0)</f>
        <v>0</v>
      </c>
      <c r="J1351" s="42" t="n">
        <f aca="false">IF($M1351="贷",$O1351,0)</f>
        <v>0</v>
      </c>
      <c r="K1351" s="48" t="str">
        <f aca="false">IF($H1351="","",购销流水!$E342)</f>
        <v/>
      </c>
      <c r="L1351" s="66" t="str">
        <f aca="false">IF(购销流水!$D342="","",IFERROR(INDEX(记账规则!$A$6:$N$9,MATCH(购销流水!$D342,记账规则!$A$6:$A$9,0),6),""))</f>
        <v/>
      </c>
      <c r="M1351" s="66" t="str">
        <f aca="false">IF($L1351="","",IFERROR(INDEX(记账规则!$A$6:$N$9,MATCH(购销流水!$D342,记账规则!$A$6:$A$9,0),7),""))</f>
        <v/>
      </c>
      <c r="N1351" s="66" t="str">
        <f aca="false">IF($L1351="","",IFERROR(INDEX(记账规则!$A$6:$N$9,MATCH(购销流水!$D342,记账规则!$A$6:$A$9,0),8),""))</f>
        <v/>
      </c>
      <c r="O1351" s="67" t="n">
        <f aca="false">IF($H1351="",0,ROUND(IF($N1351="成本金额",N(购销流水!$W342),IF($N1351="金额",N(购销流水!$Q342),0)),2))</f>
        <v>0</v>
      </c>
      <c r="P1351" s="64" t="str">
        <f aca="false">IF(AND($H1351&lt;&gt;"",ROUND($O1351,2)&lt;&gt;0),"有","")</f>
        <v/>
      </c>
    </row>
    <row r="1352" customFormat="false" ht="15" hidden="true" customHeight="false" outlineLevel="0" collapsed="false">
      <c r="A1352" s="53" t="str">
        <f aca="false">IF($H1352="","",ROW()-5)</f>
        <v/>
      </c>
      <c r="B1352" s="64" t="s">
        <v>36</v>
      </c>
      <c r="C1352" s="53" t="n">
        <v>342</v>
      </c>
      <c r="D1352" s="53" t="n">
        <v>3</v>
      </c>
      <c r="E1352" s="65" t="str">
        <f aca="false">IF($H1352="","",购销流水!$B342)</f>
        <v/>
      </c>
      <c r="F1352" s="55" t="str">
        <f aca="false">IF($H1352="","",购销流水!$C342)</f>
        <v/>
      </c>
      <c r="G1352" s="48" t="str">
        <f aca="false">IF($H1352="","",购销流水!$N342)</f>
        <v/>
      </c>
      <c r="H1352" s="10" t="str">
        <f aca="false">IF($L1352="","",IF($L1352="@成本",购销流水!$U342,IF($L1352="@收入",购销流水!$T342,IF($L1352="@存货",购销流水!$S342,IF($L1352="@结算",购销流水!$R342,$L1352)))))</f>
        <v/>
      </c>
      <c r="I1352" s="42" t="n">
        <f aca="false">IF($M1352="借",$O1352,0)</f>
        <v>0</v>
      </c>
      <c r="J1352" s="42" t="n">
        <f aca="false">IF($M1352="贷",$O1352,0)</f>
        <v>0</v>
      </c>
      <c r="K1352" s="48" t="str">
        <f aca="false">IF($H1352="","",购销流水!$E342)</f>
        <v/>
      </c>
      <c r="L1352" s="66" t="str">
        <f aca="false">IF(购销流水!$D342="","",IFERROR(INDEX(记账规则!$A$6:$N$9,MATCH(购销流水!$D342,记账规则!$A$6:$A$9,0),9),""))</f>
        <v/>
      </c>
      <c r="M1352" s="66" t="str">
        <f aca="false">IF($L1352="","",IFERROR(INDEX(记账规则!$A$6:$N$9,MATCH(购销流水!$D342,记账规则!$A$6:$A$9,0),10),""))</f>
        <v/>
      </c>
      <c r="N1352" s="66" t="str">
        <f aca="false">IF($L1352="","",IFERROR(INDEX(记账规则!$A$6:$N$9,MATCH(购销流水!$D342,记账规则!$A$6:$A$9,0),11),""))</f>
        <v/>
      </c>
      <c r="O1352" s="67" t="n">
        <f aca="false">IF($H1352="",0,ROUND(IF($N1352="成本金额",N(购销流水!$W342),IF($N1352="金额",N(购销流水!$Q342),0)),2))</f>
        <v>0</v>
      </c>
      <c r="P1352" s="64" t="str">
        <f aca="false">IF(AND($H1352&lt;&gt;"",ROUND($O1352,2)&lt;&gt;0),"有","")</f>
        <v/>
      </c>
    </row>
    <row r="1353" customFormat="false" ht="15" hidden="true" customHeight="false" outlineLevel="0" collapsed="false">
      <c r="A1353" s="53" t="str">
        <f aca="false">IF($H1353="","",ROW()-5)</f>
        <v/>
      </c>
      <c r="B1353" s="64" t="s">
        <v>36</v>
      </c>
      <c r="C1353" s="53" t="n">
        <v>342</v>
      </c>
      <c r="D1353" s="53" t="n">
        <v>4</v>
      </c>
      <c r="E1353" s="65" t="str">
        <f aca="false">IF($H1353="","",购销流水!$B342)</f>
        <v/>
      </c>
      <c r="F1353" s="55" t="str">
        <f aca="false">IF($H1353="","",购销流水!$C342)</f>
        <v/>
      </c>
      <c r="G1353" s="48" t="str">
        <f aca="false">IF($H1353="","",购销流水!$N342)</f>
        <v/>
      </c>
      <c r="H1353" s="10" t="str">
        <f aca="false">IF($L1353="","",IF($L1353="@成本",购销流水!$U342,IF($L1353="@收入",购销流水!$T342,IF($L1353="@存货",购销流水!$S342,IF($L1353="@结算",购销流水!$R342,$L1353)))))</f>
        <v/>
      </c>
      <c r="I1353" s="42" t="n">
        <f aca="false">IF($M1353="借",$O1353,0)</f>
        <v>0</v>
      </c>
      <c r="J1353" s="42" t="n">
        <f aca="false">IF($M1353="贷",$O1353,0)</f>
        <v>0</v>
      </c>
      <c r="K1353" s="48" t="str">
        <f aca="false">IF($H1353="","",购销流水!$E342)</f>
        <v/>
      </c>
      <c r="L1353" s="66" t="str">
        <f aca="false">IF(购销流水!$D342="","",IFERROR(INDEX(记账规则!$A$6:$N$9,MATCH(购销流水!$D342,记账规则!$A$6:$A$9,0),12),""))</f>
        <v/>
      </c>
      <c r="M1353" s="66" t="str">
        <f aca="false">IF($L1353="","",IFERROR(INDEX(记账规则!$A$6:$N$9,MATCH(购销流水!$D342,记账规则!$A$6:$A$9,0),13),""))</f>
        <v/>
      </c>
      <c r="N1353" s="66" t="str">
        <f aca="false">IF($L1353="","",IFERROR(INDEX(记账规则!$A$6:$N$9,MATCH(购销流水!$D342,记账规则!$A$6:$A$9,0),14),""))</f>
        <v/>
      </c>
      <c r="O1353" s="67" t="n">
        <f aca="false">IF($H1353="",0,ROUND(IF($N1353="成本金额",N(购销流水!$W342),IF($N1353="金额",N(购销流水!$Q342),0)),2))</f>
        <v>0</v>
      </c>
      <c r="P1353" s="64" t="str">
        <f aca="false">IF(AND($H1353&lt;&gt;"",ROUND($O1353,2)&lt;&gt;0),"有","")</f>
        <v/>
      </c>
    </row>
    <row r="1354" customFormat="false" ht="15" hidden="true" customHeight="false" outlineLevel="0" collapsed="false">
      <c r="A1354" s="53" t="str">
        <f aca="false">IF($H1354="","",ROW()-5)</f>
        <v/>
      </c>
      <c r="B1354" s="64" t="s">
        <v>36</v>
      </c>
      <c r="C1354" s="53" t="n">
        <v>343</v>
      </c>
      <c r="D1354" s="53" t="n">
        <v>1</v>
      </c>
      <c r="E1354" s="65" t="str">
        <f aca="false">IF($H1354="","",购销流水!$B343)</f>
        <v/>
      </c>
      <c r="F1354" s="55" t="str">
        <f aca="false">IF($H1354="","",购销流水!$C343)</f>
        <v/>
      </c>
      <c r="G1354" s="48" t="str">
        <f aca="false">IF($H1354="","",购销流水!$N343)</f>
        <v/>
      </c>
      <c r="H1354" s="10" t="str">
        <f aca="false">IF($L1354="","",IF($L1354="@成本",购销流水!$U343,IF($L1354="@收入",购销流水!$T343,IF($L1354="@存货",购销流水!$S343,IF($L1354="@结算",购销流水!$R343,$L1354)))))</f>
        <v/>
      </c>
      <c r="I1354" s="42" t="n">
        <f aca="false">IF($M1354="借",$O1354,0)</f>
        <v>0</v>
      </c>
      <c r="J1354" s="42" t="n">
        <f aca="false">IF($M1354="贷",$O1354,0)</f>
        <v>0</v>
      </c>
      <c r="K1354" s="48" t="str">
        <f aca="false">IF($H1354="","",购销流水!$E343)</f>
        <v/>
      </c>
      <c r="L1354" s="66" t="str">
        <f aca="false">IF(购销流水!$D343="","",IFERROR(INDEX(记账规则!$A$6:$N$9,MATCH(购销流水!$D343,记账规则!$A$6:$A$9,0),3),""))</f>
        <v/>
      </c>
      <c r="M1354" s="66" t="str">
        <f aca="false">IF($L1354="","",IFERROR(INDEX(记账规则!$A$6:$N$9,MATCH(购销流水!$D343,记账规则!$A$6:$A$9,0),4),""))</f>
        <v/>
      </c>
      <c r="N1354" s="66" t="str">
        <f aca="false">IF($L1354="","",IFERROR(INDEX(记账规则!$A$6:$N$9,MATCH(购销流水!$D343,记账规则!$A$6:$A$9,0),5),""))</f>
        <v/>
      </c>
      <c r="O1354" s="67" t="n">
        <f aca="false">IF($H1354="",0,ROUND(IF($N1354="成本金额",N(购销流水!$W343),IF($N1354="金额",N(购销流水!$Q343),0)),2))</f>
        <v>0</v>
      </c>
      <c r="P1354" s="64" t="str">
        <f aca="false">IF(AND($H1354&lt;&gt;"",ROUND($O1354,2)&lt;&gt;0),"有","")</f>
        <v/>
      </c>
    </row>
    <row r="1355" customFormat="false" ht="15" hidden="true" customHeight="false" outlineLevel="0" collapsed="false">
      <c r="A1355" s="53" t="str">
        <f aca="false">IF($H1355="","",ROW()-5)</f>
        <v/>
      </c>
      <c r="B1355" s="64" t="s">
        <v>36</v>
      </c>
      <c r="C1355" s="53" t="n">
        <v>343</v>
      </c>
      <c r="D1355" s="53" t="n">
        <v>2</v>
      </c>
      <c r="E1355" s="65" t="str">
        <f aca="false">IF($H1355="","",购销流水!$B343)</f>
        <v/>
      </c>
      <c r="F1355" s="55" t="str">
        <f aca="false">IF($H1355="","",购销流水!$C343)</f>
        <v/>
      </c>
      <c r="G1355" s="48" t="str">
        <f aca="false">IF($H1355="","",购销流水!$N343)</f>
        <v/>
      </c>
      <c r="H1355" s="10" t="str">
        <f aca="false">IF($L1355="","",IF($L1355="@成本",购销流水!$U343,IF($L1355="@收入",购销流水!$T343,IF($L1355="@存货",购销流水!$S343,IF($L1355="@结算",购销流水!$R343,$L1355)))))</f>
        <v/>
      </c>
      <c r="I1355" s="42" t="n">
        <f aca="false">IF($M1355="借",$O1355,0)</f>
        <v>0</v>
      </c>
      <c r="J1355" s="42" t="n">
        <f aca="false">IF($M1355="贷",$O1355,0)</f>
        <v>0</v>
      </c>
      <c r="K1355" s="48" t="str">
        <f aca="false">IF($H1355="","",购销流水!$E343)</f>
        <v/>
      </c>
      <c r="L1355" s="66" t="str">
        <f aca="false">IF(购销流水!$D343="","",IFERROR(INDEX(记账规则!$A$6:$N$9,MATCH(购销流水!$D343,记账规则!$A$6:$A$9,0),6),""))</f>
        <v/>
      </c>
      <c r="M1355" s="66" t="str">
        <f aca="false">IF($L1355="","",IFERROR(INDEX(记账规则!$A$6:$N$9,MATCH(购销流水!$D343,记账规则!$A$6:$A$9,0),7),""))</f>
        <v/>
      </c>
      <c r="N1355" s="66" t="str">
        <f aca="false">IF($L1355="","",IFERROR(INDEX(记账规则!$A$6:$N$9,MATCH(购销流水!$D343,记账规则!$A$6:$A$9,0),8),""))</f>
        <v/>
      </c>
      <c r="O1355" s="67" t="n">
        <f aca="false">IF($H1355="",0,ROUND(IF($N1355="成本金额",N(购销流水!$W343),IF($N1355="金额",N(购销流水!$Q343),0)),2))</f>
        <v>0</v>
      </c>
      <c r="P1355" s="64" t="str">
        <f aca="false">IF(AND($H1355&lt;&gt;"",ROUND($O1355,2)&lt;&gt;0),"有","")</f>
        <v/>
      </c>
    </row>
    <row r="1356" customFormat="false" ht="15" hidden="true" customHeight="false" outlineLevel="0" collapsed="false">
      <c r="A1356" s="53" t="str">
        <f aca="false">IF($H1356="","",ROW()-5)</f>
        <v/>
      </c>
      <c r="B1356" s="64" t="s">
        <v>36</v>
      </c>
      <c r="C1356" s="53" t="n">
        <v>343</v>
      </c>
      <c r="D1356" s="53" t="n">
        <v>3</v>
      </c>
      <c r="E1356" s="65" t="str">
        <f aca="false">IF($H1356="","",购销流水!$B343)</f>
        <v/>
      </c>
      <c r="F1356" s="55" t="str">
        <f aca="false">IF($H1356="","",购销流水!$C343)</f>
        <v/>
      </c>
      <c r="G1356" s="48" t="str">
        <f aca="false">IF($H1356="","",购销流水!$N343)</f>
        <v/>
      </c>
      <c r="H1356" s="10" t="str">
        <f aca="false">IF($L1356="","",IF($L1356="@成本",购销流水!$U343,IF($L1356="@收入",购销流水!$T343,IF($L1356="@存货",购销流水!$S343,IF($L1356="@结算",购销流水!$R343,$L1356)))))</f>
        <v/>
      </c>
      <c r="I1356" s="42" t="n">
        <f aca="false">IF($M1356="借",$O1356,0)</f>
        <v>0</v>
      </c>
      <c r="J1356" s="42" t="n">
        <f aca="false">IF($M1356="贷",$O1356,0)</f>
        <v>0</v>
      </c>
      <c r="K1356" s="48" t="str">
        <f aca="false">IF($H1356="","",购销流水!$E343)</f>
        <v/>
      </c>
      <c r="L1356" s="66" t="str">
        <f aca="false">IF(购销流水!$D343="","",IFERROR(INDEX(记账规则!$A$6:$N$9,MATCH(购销流水!$D343,记账规则!$A$6:$A$9,0),9),""))</f>
        <v/>
      </c>
      <c r="M1356" s="66" t="str">
        <f aca="false">IF($L1356="","",IFERROR(INDEX(记账规则!$A$6:$N$9,MATCH(购销流水!$D343,记账规则!$A$6:$A$9,0),10),""))</f>
        <v/>
      </c>
      <c r="N1356" s="66" t="str">
        <f aca="false">IF($L1356="","",IFERROR(INDEX(记账规则!$A$6:$N$9,MATCH(购销流水!$D343,记账规则!$A$6:$A$9,0),11),""))</f>
        <v/>
      </c>
      <c r="O1356" s="67" t="n">
        <f aca="false">IF($H1356="",0,ROUND(IF($N1356="成本金额",N(购销流水!$W343),IF($N1356="金额",N(购销流水!$Q343),0)),2))</f>
        <v>0</v>
      </c>
      <c r="P1356" s="64" t="str">
        <f aca="false">IF(AND($H1356&lt;&gt;"",ROUND($O1356,2)&lt;&gt;0),"有","")</f>
        <v/>
      </c>
    </row>
    <row r="1357" customFormat="false" ht="15" hidden="true" customHeight="false" outlineLevel="0" collapsed="false">
      <c r="A1357" s="53" t="str">
        <f aca="false">IF($H1357="","",ROW()-5)</f>
        <v/>
      </c>
      <c r="B1357" s="64" t="s">
        <v>36</v>
      </c>
      <c r="C1357" s="53" t="n">
        <v>343</v>
      </c>
      <c r="D1357" s="53" t="n">
        <v>4</v>
      </c>
      <c r="E1357" s="65" t="str">
        <f aca="false">IF($H1357="","",购销流水!$B343)</f>
        <v/>
      </c>
      <c r="F1357" s="55" t="str">
        <f aca="false">IF($H1357="","",购销流水!$C343)</f>
        <v/>
      </c>
      <c r="G1357" s="48" t="str">
        <f aca="false">IF($H1357="","",购销流水!$N343)</f>
        <v/>
      </c>
      <c r="H1357" s="10" t="str">
        <f aca="false">IF($L1357="","",IF($L1357="@成本",购销流水!$U343,IF($L1357="@收入",购销流水!$T343,IF($L1357="@存货",购销流水!$S343,IF($L1357="@结算",购销流水!$R343,$L1357)))))</f>
        <v/>
      </c>
      <c r="I1357" s="42" t="n">
        <f aca="false">IF($M1357="借",$O1357,0)</f>
        <v>0</v>
      </c>
      <c r="J1357" s="42" t="n">
        <f aca="false">IF($M1357="贷",$O1357,0)</f>
        <v>0</v>
      </c>
      <c r="K1357" s="48" t="str">
        <f aca="false">IF($H1357="","",购销流水!$E343)</f>
        <v/>
      </c>
      <c r="L1357" s="66" t="str">
        <f aca="false">IF(购销流水!$D343="","",IFERROR(INDEX(记账规则!$A$6:$N$9,MATCH(购销流水!$D343,记账规则!$A$6:$A$9,0),12),""))</f>
        <v/>
      </c>
      <c r="M1357" s="66" t="str">
        <f aca="false">IF($L1357="","",IFERROR(INDEX(记账规则!$A$6:$N$9,MATCH(购销流水!$D343,记账规则!$A$6:$A$9,0),13),""))</f>
        <v/>
      </c>
      <c r="N1357" s="66" t="str">
        <f aca="false">IF($L1357="","",IFERROR(INDEX(记账规则!$A$6:$N$9,MATCH(购销流水!$D343,记账规则!$A$6:$A$9,0),14),""))</f>
        <v/>
      </c>
      <c r="O1357" s="67" t="n">
        <f aca="false">IF($H1357="",0,ROUND(IF($N1357="成本金额",N(购销流水!$W343),IF($N1357="金额",N(购销流水!$Q343),0)),2))</f>
        <v>0</v>
      </c>
      <c r="P1357" s="64" t="str">
        <f aca="false">IF(AND($H1357&lt;&gt;"",ROUND($O1357,2)&lt;&gt;0),"有","")</f>
        <v/>
      </c>
    </row>
    <row r="1358" customFormat="false" ht="15" hidden="true" customHeight="false" outlineLevel="0" collapsed="false">
      <c r="A1358" s="53" t="str">
        <f aca="false">IF($H1358="","",ROW()-5)</f>
        <v/>
      </c>
      <c r="B1358" s="64" t="s">
        <v>36</v>
      </c>
      <c r="C1358" s="53" t="n">
        <v>344</v>
      </c>
      <c r="D1358" s="53" t="n">
        <v>1</v>
      </c>
      <c r="E1358" s="65" t="str">
        <f aca="false">IF($H1358="","",购销流水!$B344)</f>
        <v/>
      </c>
      <c r="F1358" s="55" t="str">
        <f aca="false">IF($H1358="","",购销流水!$C344)</f>
        <v/>
      </c>
      <c r="G1358" s="48" t="str">
        <f aca="false">IF($H1358="","",购销流水!$N344)</f>
        <v/>
      </c>
      <c r="H1358" s="10" t="str">
        <f aca="false">IF($L1358="","",IF($L1358="@成本",购销流水!$U344,IF($L1358="@收入",购销流水!$T344,IF($L1358="@存货",购销流水!$S344,IF($L1358="@结算",购销流水!$R344,$L1358)))))</f>
        <v/>
      </c>
      <c r="I1358" s="42" t="n">
        <f aca="false">IF($M1358="借",$O1358,0)</f>
        <v>0</v>
      </c>
      <c r="J1358" s="42" t="n">
        <f aca="false">IF($M1358="贷",$O1358,0)</f>
        <v>0</v>
      </c>
      <c r="K1358" s="48" t="str">
        <f aca="false">IF($H1358="","",购销流水!$E344)</f>
        <v/>
      </c>
      <c r="L1358" s="66" t="str">
        <f aca="false">IF(购销流水!$D344="","",IFERROR(INDEX(记账规则!$A$6:$N$9,MATCH(购销流水!$D344,记账规则!$A$6:$A$9,0),3),""))</f>
        <v/>
      </c>
      <c r="M1358" s="66" t="str">
        <f aca="false">IF($L1358="","",IFERROR(INDEX(记账规则!$A$6:$N$9,MATCH(购销流水!$D344,记账规则!$A$6:$A$9,0),4),""))</f>
        <v/>
      </c>
      <c r="N1358" s="66" t="str">
        <f aca="false">IF($L1358="","",IFERROR(INDEX(记账规则!$A$6:$N$9,MATCH(购销流水!$D344,记账规则!$A$6:$A$9,0),5),""))</f>
        <v/>
      </c>
      <c r="O1358" s="67" t="n">
        <f aca="false">IF($H1358="",0,ROUND(IF($N1358="成本金额",N(购销流水!$W344),IF($N1358="金额",N(购销流水!$Q344),0)),2))</f>
        <v>0</v>
      </c>
      <c r="P1358" s="64" t="str">
        <f aca="false">IF(AND($H1358&lt;&gt;"",ROUND($O1358,2)&lt;&gt;0),"有","")</f>
        <v/>
      </c>
    </row>
    <row r="1359" customFormat="false" ht="15" hidden="true" customHeight="false" outlineLevel="0" collapsed="false">
      <c r="A1359" s="53" t="str">
        <f aca="false">IF($H1359="","",ROW()-5)</f>
        <v/>
      </c>
      <c r="B1359" s="64" t="s">
        <v>36</v>
      </c>
      <c r="C1359" s="53" t="n">
        <v>344</v>
      </c>
      <c r="D1359" s="53" t="n">
        <v>2</v>
      </c>
      <c r="E1359" s="65" t="str">
        <f aca="false">IF($H1359="","",购销流水!$B344)</f>
        <v/>
      </c>
      <c r="F1359" s="55" t="str">
        <f aca="false">IF($H1359="","",购销流水!$C344)</f>
        <v/>
      </c>
      <c r="G1359" s="48" t="str">
        <f aca="false">IF($H1359="","",购销流水!$N344)</f>
        <v/>
      </c>
      <c r="H1359" s="10" t="str">
        <f aca="false">IF($L1359="","",IF($L1359="@成本",购销流水!$U344,IF($L1359="@收入",购销流水!$T344,IF($L1359="@存货",购销流水!$S344,IF($L1359="@结算",购销流水!$R344,$L1359)))))</f>
        <v/>
      </c>
      <c r="I1359" s="42" t="n">
        <f aca="false">IF($M1359="借",$O1359,0)</f>
        <v>0</v>
      </c>
      <c r="J1359" s="42" t="n">
        <f aca="false">IF($M1359="贷",$O1359,0)</f>
        <v>0</v>
      </c>
      <c r="K1359" s="48" t="str">
        <f aca="false">IF($H1359="","",购销流水!$E344)</f>
        <v/>
      </c>
      <c r="L1359" s="66" t="str">
        <f aca="false">IF(购销流水!$D344="","",IFERROR(INDEX(记账规则!$A$6:$N$9,MATCH(购销流水!$D344,记账规则!$A$6:$A$9,0),6),""))</f>
        <v/>
      </c>
      <c r="M1359" s="66" t="str">
        <f aca="false">IF($L1359="","",IFERROR(INDEX(记账规则!$A$6:$N$9,MATCH(购销流水!$D344,记账规则!$A$6:$A$9,0),7),""))</f>
        <v/>
      </c>
      <c r="N1359" s="66" t="str">
        <f aca="false">IF($L1359="","",IFERROR(INDEX(记账规则!$A$6:$N$9,MATCH(购销流水!$D344,记账规则!$A$6:$A$9,0),8),""))</f>
        <v/>
      </c>
      <c r="O1359" s="67" t="n">
        <f aca="false">IF($H1359="",0,ROUND(IF($N1359="成本金额",N(购销流水!$W344),IF($N1359="金额",N(购销流水!$Q344),0)),2))</f>
        <v>0</v>
      </c>
      <c r="P1359" s="64" t="str">
        <f aca="false">IF(AND($H1359&lt;&gt;"",ROUND($O1359,2)&lt;&gt;0),"有","")</f>
        <v/>
      </c>
    </row>
    <row r="1360" customFormat="false" ht="15" hidden="true" customHeight="false" outlineLevel="0" collapsed="false">
      <c r="A1360" s="53" t="str">
        <f aca="false">IF($H1360="","",ROW()-5)</f>
        <v/>
      </c>
      <c r="B1360" s="64" t="s">
        <v>36</v>
      </c>
      <c r="C1360" s="53" t="n">
        <v>344</v>
      </c>
      <c r="D1360" s="53" t="n">
        <v>3</v>
      </c>
      <c r="E1360" s="65" t="str">
        <f aca="false">IF($H1360="","",购销流水!$B344)</f>
        <v/>
      </c>
      <c r="F1360" s="55" t="str">
        <f aca="false">IF($H1360="","",购销流水!$C344)</f>
        <v/>
      </c>
      <c r="G1360" s="48" t="str">
        <f aca="false">IF($H1360="","",购销流水!$N344)</f>
        <v/>
      </c>
      <c r="H1360" s="10" t="str">
        <f aca="false">IF($L1360="","",IF($L1360="@成本",购销流水!$U344,IF($L1360="@收入",购销流水!$T344,IF($L1360="@存货",购销流水!$S344,IF($L1360="@结算",购销流水!$R344,$L1360)))))</f>
        <v/>
      </c>
      <c r="I1360" s="42" t="n">
        <f aca="false">IF($M1360="借",$O1360,0)</f>
        <v>0</v>
      </c>
      <c r="J1360" s="42" t="n">
        <f aca="false">IF($M1360="贷",$O1360,0)</f>
        <v>0</v>
      </c>
      <c r="K1360" s="48" t="str">
        <f aca="false">IF($H1360="","",购销流水!$E344)</f>
        <v/>
      </c>
      <c r="L1360" s="66" t="str">
        <f aca="false">IF(购销流水!$D344="","",IFERROR(INDEX(记账规则!$A$6:$N$9,MATCH(购销流水!$D344,记账规则!$A$6:$A$9,0),9),""))</f>
        <v/>
      </c>
      <c r="M1360" s="66" t="str">
        <f aca="false">IF($L1360="","",IFERROR(INDEX(记账规则!$A$6:$N$9,MATCH(购销流水!$D344,记账规则!$A$6:$A$9,0),10),""))</f>
        <v/>
      </c>
      <c r="N1360" s="66" t="str">
        <f aca="false">IF($L1360="","",IFERROR(INDEX(记账规则!$A$6:$N$9,MATCH(购销流水!$D344,记账规则!$A$6:$A$9,0),11),""))</f>
        <v/>
      </c>
      <c r="O1360" s="67" t="n">
        <f aca="false">IF($H1360="",0,ROUND(IF($N1360="成本金额",N(购销流水!$W344),IF($N1360="金额",N(购销流水!$Q344),0)),2))</f>
        <v>0</v>
      </c>
      <c r="P1360" s="64" t="str">
        <f aca="false">IF(AND($H1360&lt;&gt;"",ROUND($O1360,2)&lt;&gt;0),"有","")</f>
        <v/>
      </c>
    </row>
    <row r="1361" customFormat="false" ht="15" hidden="true" customHeight="false" outlineLevel="0" collapsed="false">
      <c r="A1361" s="53" t="str">
        <f aca="false">IF($H1361="","",ROW()-5)</f>
        <v/>
      </c>
      <c r="B1361" s="64" t="s">
        <v>36</v>
      </c>
      <c r="C1361" s="53" t="n">
        <v>344</v>
      </c>
      <c r="D1361" s="53" t="n">
        <v>4</v>
      </c>
      <c r="E1361" s="65" t="str">
        <f aca="false">IF($H1361="","",购销流水!$B344)</f>
        <v/>
      </c>
      <c r="F1361" s="55" t="str">
        <f aca="false">IF($H1361="","",购销流水!$C344)</f>
        <v/>
      </c>
      <c r="G1361" s="48" t="str">
        <f aca="false">IF($H1361="","",购销流水!$N344)</f>
        <v/>
      </c>
      <c r="H1361" s="10" t="str">
        <f aca="false">IF($L1361="","",IF($L1361="@成本",购销流水!$U344,IF($L1361="@收入",购销流水!$T344,IF($L1361="@存货",购销流水!$S344,IF($L1361="@结算",购销流水!$R344,$L1361)))))</f>
        <v/>
      </c>
      <c r="I1361" s="42" t="n">
        <f aca="false">IF($M1361="借",$O1361,0)</f>
        <v>0</v>
      </c>
      <c r="J1361" s="42" t="n">
        <f aca="false">IF($M1361="贷",$O1361,0)</f>
        <v>0</v>
      </c>
      <c r="K1361" s="48" t="str">
        <f aca="false">IF($H1361="","",购销流水!$E344)</f>
        <v/>
      </c>
      <c r="L1361" s="66" t="str">
        <f aca="false">IF(购销流水!$D344="","",IFERROR(INDEX(记账规则!$A$6:$N$9,MATCH(购销流水!$D344,记账规则!$A$6:$A$9,0),12),""))</f>
        <v/>
      </c>
      <c r="M1361" s="66" t="str">
        <f aca="false">IF($L1361="","",IFERROR(INDEX(记账规则!$A$6:$N$9,MATCH(购销流水!$D344,记账规则!$A$6:$A$9,0),13),""))</f>
        <v/>
      </c>
      <c r="N1361" s="66" t="str">
        <f aca="false">IF($L1361="","",IFERROR(INDEX(记账规则!$A$6:$N$9,MATCH(购销流水!$D344,记账规则!$A$6:$A$9,0),14),""))</f>
        <v/>
      </c>
      <c r="O1361" s="67" t="n">
        <f aca="false">IF($H1361="",0,ROUND(IF($N1361="成本金额",N(购销流水!$W344),IF($N1361="金额",N(购销流水!$Q344),0)),2))</f>
        <v>0</v>
      </c>
      <c r="P1361" s="64" t="str">
        <f aca="false">IF(AND($H1361&lt;&gt;"",ROUND($O1361,2)&lt;&gt;0),"有","")</f>
        <v/>
      </c>
    </row>
    <row r="1362" customFormat="false" ht="15" hidden="true" customHeight="false" outlineLevel="0" collapsed="false">
      <c r="A1362" s="53" t="str">
        <f aca="false">IF($H1362="","",ROW()-5)</f>
        <v/>
      </c>
      <c r="B1362" s="64" t="s">
        <v>36</v>
      </c>
      <c r="C1362" s="53" t="n">
        <v>345</v>
      </c>
      <c r="D1362" s="53" t="n">
        <v>1</v>
      </c>
      <c r="E1362" s="65" t="str">
        <f aca="false">IF($H1362="","",购销流水!$B345)</f>
        <v/>
      </c>
      <c r="F1362" s="55" t="str">
        <f aca="false">IF($H1362="","",购销流水!$C345)</f>
        <v/>
      </c>
      <c r="G1362" s="48" t="str">
        <f aca="false">IF($H1362="","",购销流水!$N345)</f>
        <v/>
      </c>
      <c r="H1362" s="10" t="str">
        <f aca="false">IF($L1362="","",IF($L1362="@成本",购销流水!$U345,IF($L1362="@收入",购销流水!$T345,IF($L1362="@存货",购销流水!$S345,IF($L1362="@结算",购销流水!$R345,$L1362)))))</f>
        <v/>
      </c>
      <c r="I1362" s="42" t="n">
        <f aca="false">IF($M1362="借",$O1362,0)</f>
        <v>0</v>
      </c>
      <c r="J1362" s="42" t="n">
        <f aca="false">IF($M1362="贷",$O1362,0)</f>
        <v>0</v>
      </c>
      <c r="K1362" s="48" t="str">
        <f aca="false">IF($H1362="","",购销流水!$E345)</f>
        <v/>
      </c>
      <c r="L1362" s="66" t="str">
        <f aca="false">IF(购销流水!$D345="","",IFERROR(INDEX(记账规则!$A$6:$N$9,MATCH(购销流水!$D345,记账规则!$A$6:$A$9,0),3),""))</f>
        <v/>
      </c>
      <c r="M1362" s="66" t="str">
        <f aca="false">IF($L1362="","",IFERROR(INDEX(记账规则!$A$6:$N$9,MATCH(购销流水!$D345,记账规则!$A$6:$A$9,0),4),""))</f>
        <v/>
      </c>
      <c r="N1362" s="66" t="str">
        <f aca="false">IF($L1362="","",IFERROR(INDEX(记账规则!$A$6:$N$9,MATCH(购销流水!$D345,记账规则!$A$6:$A$9,0),5),""))</f>
        <v/>
      </c>
      <c r="O1362" s="67" t="n">
        <f aca="false">IF($H1362="",0,ROUND(IF($N1362="成本金额",N(购销流水!$W345),IF($N1362="金额",N(购销流水!$Q345),0)),2))</f>
        <v>0</v>
      </c>
      <c r="P1362" s="64" t="str">
        <f aca="false">IF(AND($H1362&lt;&gt;"",ROUND($O1362,2)&lt;&gt;0),"有","")</f>
        <v/>
      </c>
    </row>
    <row r="1363" customFormat="false" ht="15" hidden="true" customHeight="false" outlineLevel="0" collapsed="false">
      <c r="A1363" s="53" t="str">
        <f aca="false">IF($H1363="","",ROW()-5)</f>
        <v/>
      </c>
      <c r="B1363" s="64" t="s">
        <v>36</v>
      </c>
      <c r="C1363" s="53" t="n">
        <v>345</v>
      </c>
      <c r="D1363" s="53" t="n">
        <v>2</v>
      </c>
      <c r="E1363" s="65" t="str">
        <f aca="false">IF($H1363="","",购销流水!$B345)</f>
        <v/>
      </c>
      <c r="F1363" s="55" t="str">
        <f aca="false">IF($H1363="","",购销流水!$C345)</f>
        <v/>
      </c>
      <c r="G1363" s="48" t="str">
        <f aca="false">IF($H1363="","",购销流水!$N345)</f>
        <v/>
      </c>
      <c r="H1363" s="10" t="str">
        <f aca="false">IF($L1363="","",IF($L1363="@成本",购销流水!$U345,IF($L1363="@收入",购销流水!$T345,IF($L1363="@存货",购销流水!$S345,IF($L1363="@结算",购销流水!$R345,$L1363)))))</f>
        <v/>
      </c>
      <c r="I1363" s="42" t="n">
        <f aca="false">IF($M1363="借",$O1363,0)</f>
        <v>0</v>
      </c>
      <c r="J1363" s="42" t="n">
        <f aca="false">IF($M1363="贷",$O1363,0)</f>
        <v>0</v>
      </c>
      <c r="K1363" s="48" t="str">
        <f aca="false">IF($H1363="","",购销流水!$E345)</f>
        <v/>
      </c>
      <c r="L1363" s="66" t="str">
        <f aca="false">IF(购销流水!$D345="","",IFERROR(INDEX(记账规则!$A$6:$N$9,MATCH(购销流水!$D345,记账规则!$A$6:$A$9,0),6),""))</f>
        <v/>
      </c>
      <c r="M1363" s="66" t="str">
        <f aca="false">IF($L1363="","",IFERROR(INDEX(记账规则!$A$6:$N$9,MATCH(购销流水!$D345,记账规则!$A$6:$A$9,0),7),""))</f>
        <v/>
      </c>
      <c r="N1363" s="66" t="str">
        <f aca="false">IF($L1363="","",IFERROR(INDEX(记账规则!$A$6:$N$9,MATCH(购销流水!$D345,记账规则!$A$6:$A$9,0),8),""))</f>
        <v/>
      </c>
      <c r="O1363" s="67" t="n">
        <f aca="false">IF($H1363="",0,ROUND(IF($N1363="成本金额",N(购销流水!$W345),IF($N1363="金额",N(购销流水!$Q345),0)),2))</f>
        <v>0</v>
      </c>
      <c r="P1363" s="64" t="str">
        <f aca="false">IF(AND($H1363&lt;&gt;"",ROUND($O1363,2)&lt;&gt;0),"有","")</f>
        <v/>
      </c>
    </row>
    <row r="1364" customFormat="false" ht="15" hidden="true" customHeight="false" outlineLevel="0" collapsed="false">
      <c r="A1364" s="53" t="str">
        <f aca="false">IF($H1364="","",ROW()-5)</f>
        <v/>
      </c>
      <c r="B1364" s="64" t="s">
        <v>36</v>
      </c>
      <c r="C1364" s="53" t="n">
        <v>345</v>
      </c>
      <c r="D1364" s="53" t="n">
        <v>3</v>
      </c>
      <c r="E1364" s="65" t="str">
        <f aca="false">IF($H1364="","",购销流水!$B345)</f>
        <v/>
      </c>
      <c r="F1364" s="55" t="str">
        <f aca="false">IF($H1364="","",购销流水!$C345)</f>
        <v/>
      </c>
      <c r="G1364" s="48" t="str">
        <f aca="false">IF($H1364="","",购销流水!$N345)</f>
        <v/>
      </c>
      <c r="H1364" s="10" t="str">
        <f aca="false">IF($L1364="","",IF($L1364="@成本",购销流水!$U345,IF($L1364="@收入",购销流水!$T345,IF($L1364="@存货",购销流水!$S345,IF($L1364="@结算",购销流水!$R345,$L1364)))))</f>
        <v/>
      </c>
      <c r="I1364" s="42" t="n">
        <f aca="false">IF($M1364="借",$O1364,0)</f>
        <v>0</v>
      </c>
      <c r="J1364" s="42" t="n">
        <f aca="false">IF($M1364="贷",$O1364,0)</f>
        <v>0</v>
      </c>
      <c r="K1364" s="48" t="str">
        <f aca="false">IF($H1364="","",购销流水!$E345)</f>
        <v/>
      </c>
      <c r="L1364" s="66" t="str">
        <f aca="false">IF(购销流水!$D345="","",IFERROR(INDEX(记账规则!$A$6:$N$9,MATCH(购销流水!$D345,记账规则!$A$6:$A$9,0),9),""))</f>
        <v/>
      </c>
      <c r="M1364" s="66" t="str">
        <f aca="false">IF($L1364="","",IFERROR(INDEX(记账规则!$A$6:$N$9,MATCH(购销流水!$D345,记账规则!$A$6:$A$9,0),10),""))</f>
        <v/>
      </c>
      <c r="N1364" s="66" t="str">
        <f aca="false">IF($L1364="","",IFERROR(INDEX(记账规则!$A$6:$N$9,MATCH(购销流水!$D345,记账规则!$A$6:$A$9,0),11),""))</f>
        <v/>
      </c>
      <c r="O1364" s="67" t="n">
        <f aca="false">IF($H1364="",0,ROUND(IF($N1364="成本金额",N(购销流水!$W345),IF($N1364="金额",N(购销流水!$Q345),0)),2))</f>
        <v>0</v>
      </c>
      <c r="P1364" s="64" t="str">
        <f aca="false">IF(AND($H1364&lt;&gt;"",ROUND($O1364,2)&lt;&gt;0),"有","")</f>
        <v/>
      </c>
    </row>
    <row r="1365" customFormat="false" ht="15" hidden="true" customHeight="false" outlineLevel="0" collapsed="false">
      <c r="A1365" s="53" t="str">
        <f aca="false">IF($H1365="","",ROW()-5)</f>
        <v/>
      </c>
      <c r="B1365" s="64" t="s">
        <v>36</v>
      </c>
      <c r="C1365" s="53" t="n">
        <v>345</v>
      </c>
      <c r="D1365" s="53" t="n">
        <v>4</v>
      </c>
      <c r="E1365" s="65" t="str">
        <f aca="false">IF($H1365="","",购销流水!$B345)</f>
        <v/>
      </c>
      <c r="F1365" s="55" t="str">
        <f aca="false">IF($H1365="","",购销流水!$C345)</f>
        <v/>
      </c>
      <c r="G1365" s="48" t="str">
        <f aca="false">IF($H1365="","",购销流水!$N345)</f>
        <v/>
      </c>
      <c r="H1365" s="10" t="str">
        <f aca="false">IF($L1365="","",IF($L1365="@成本",购销流水!$U345,IF($L1365="@收入",购销流水!$T345,IF($L1365="@存货",购销流水!$S345,IF($L1365="@结算",购销流水!$R345,$L1365)))))</f>
        <v/>
      </c>
      <c r="I1365" s="42" t="n">
        <f aca="false">IF($M1365="借",$O1365,0)</f>
        <v>0</v>
      </c>
      <c r="J1365" s="42" t="n">
        <f aca="false">IF($M1365="贷",$O1365,0)</f>
        <v>0</v>
      </c>
      <c r="K1365" s="48" t="str">
        <f aca="false">IF($H1365="","",购销流水!$E345)</f>
        <v/>
      </c>
      <c r="L1365" s="66" t="str">
        <f aca="false">IF(购销流水!$D345="","",IFERROR(INDEX(记账规则!$A$6:$N$9,MATCH(购销流水!$D345,记账规则!$A$6:$A$9,0),12),""))</f>
        <v/>
      </c>
      <c r="M1365" s="66" t="str">
        <f aca="false">IF($L1365="","",IFERROR(INDEX(记账规则!$A$6:$N$9,MATCH(购销流水!$D345,记账规则!$A$6:$A$9,0),13),""))</f>
        <v/>
      </c>
      <c r="N1365" s="66" t="str">
        <f aca="false">IF($L1365="","",IFERROR(INDEX(记账规则!$A$6:$N$9,MATCH(购销流水!$D345,记账规则!$A$6:$A$9,0),14),""))</f>
        <v/>
      </c>
      <c r="O1365" s="67" t="n">
        <f aca="false">IF($H1365="",0,ROUND(IF($N1365="成本金额",N(购销流水!$W345),IF($N1365="金额",N(购销流水!$Q345),0)),2))</f>
        <v>0</v>
      </c>
      <c r="P1365" s="64" t="str">
        <f aca="false">IF(AND($H1365&lt;&gt;"",ROUND($O1365,2)&lt;&gt;0),"有","")</f>
        <v/>
      </c>
    </row>
    <row r="1366" customFormat="false" ht="15" hidden="true" customHeight="false" outlineLevel="0" collapsed="false">
      <c r="A1366" s="53" t="str">
        <f aca="false">IF($H1366="","",ROW()-5)</f>
        <v/>
      </c>
      <c r="B1366" s="64" t="s">
        <v>36</v>
      </c>
      <c r="C1366" s="53" t="n">
        <v>346</v>
      </c>
      <c r="D1366" s="53" t="n">
        <v>1</v>
      </c>
      <c r="E1366" s="65" t="str">
        <f aca="false">IF($H1366="","",购销流水!$B346)</f>
        <v/>
      </c>
      <c r="F1366" s="55" t="str">
        <f aca="false">IF($H1366="","",购销流水!$C346)</f>
        <v/>
      </c>
      <c r="G1366" s="48" t="str">
        <f aca="false">IF($H1366="","",购销流水!$N346)</f>
        <v/>
      </c>
      <c r="H1366" s="10" t="str">
        <f aca="false">IF($L1366="","",IF($L1366="@成本",购销流水!$U346,IF($L1366="@收入",购销流水!$T346,IF($L1366="@存货",购销流水!$S346,IF($L1366="@结算",购销流水!$R346,$L1366)))))</f>
        <v/>
      </c>
      <c r="I1366" s="42" t="n">
        <f aca="false">IF($M1366="借",$O1366,0)</f>
        <v>0</v>
      </c>
      <c r="J1366" s="42" t="n">
        <f aca="false">IF($M1366="贷",$O1366,0)</f>
        <v>0</v>
      </c>
      <c r="K1366" s="48" t="str">
        <f aca="false">IF($H1366="","",购销流水!$E346)</f>
        <v/>
      </c>
      <c r="L1366" s="66" t="str">
        <f aca="false">IF(购销流水!$D346="","",IFERROR(INDEX(记账规则!$A$6:$N$9,MATCH(购销流水!$D346,记账规则!$A$6:$A$9,0),3),""))</f>
        <v/>
      </c>
      <c r="M1366" s="66" t="str">
        <f aca="false">IF($L1366="","",IFERROR(INDEX(记账规则!$A$6:$N$9,MATCH(购销流水!$D346,记账规则!$A$6:$A$9,0),4),""))</f>
        <v/>
      </c>
      <c r="N1366" s="66" t="str">
        <f aca="false">IF($L1366="","",IFERROR(INDEX(记账规则!$A$6:$N$9,MATCH(购销流水!$D346,记账规则!$A$6:$A$9,0),5),""))</f>
        <v/>
      </c>
      <c r="O1366" s="67" t="n">
        <f aca="false">IF($H1366="",0,ROUND(IF($N1366="成本金额",N(购销流水!$W346),IF($N1366="金额",N(购销流水!$Q346),0)),2))</f>
        <v>0</v>
      </c>
      <c r="P1366" s="64" t="str">
        <f aca="false">IF(AND($H1366&lt;&gt;"",ROUND($O1366,2)&lt;&gt;0),"有","")</f>
        <v/>
      </c>
    </row>
    <row r="1367" customFormat="false" ht="15" hidden="true" customHeight="false" outlineLevel="0" collapsed="false">
      <c r="A1367" s="53" t="str">
        <f aca="false">IF($H1367="","",ROW()-5)</f>
        <v/>
      </c>
      <c r="B1367" s="64" t="s">
        <v>36</v>
      </c>
      <c r="C1367" s="53" t="n">
        <v>346</v>
      </c>
      <c r="D1367" s="53" t="n">
        <v>2</v>
      </c>
      <c r="E1367" s="65" t="str">
        <f aca="false">IF($H1367="","",购销流水!$B346)</f>
        <v/>
      </c>
      <c r="F1367" s="55" t="str">
        <f aca="false">IF($H1367="","",购销流水!$C346)</f>
        <v/>
      </c>
      <c r="G1367" s="48" t="str">
        <f aca="false">IF($H1367="","",购销流水!$N346)</f>
        <v/>
      </c>
      <c r="H1367" s="10" t="str">
        <f aca="false">IF($L1367="","",IF($L1367="@成本",购销流水!$U346,IF($L1367="@收入",购销流水!$T346,IF($L1367="@存货",购销流水!$S346,IF($L1367="@结算",购销流水!$R346,$L1367)))))</f>
        <v/>
      </c>
      <c r="I1367" s="42" t="n">
        <f aca="false">IF($M1367="借",$O1367,0)</f>
        <v>0</v>
      </c>
      <c r="J1367" s="42" t="n">
        <f aca="false">IF($M1367="贷",$O1367,0)</f>
        <v>0</v>
      </c>
      <c r="K1367" s="48" t="str">
        <f aca="false">IF($H1367="","",购销流水!$E346)</f>
        <v/>
      </c>
      <c r="L1367" s="66" t="str">
        <f aca="false">IF(购销流水!$D346="","",IFERROR(INDEX(记账规则!$A$6:$N$9,MATCH(购销流水!$D346,记账规则!$A$6:$A$9,0),6),""))</f>
        <v/>
      </c>
      <c r="M1367" s="66" t="str">
        <f aca="false">IF($L1367="","",IFERROR(INDEX(记账规则!$A$6:$N$9,MATCH(购销流水!$D346,记账规则!$A$6:$A$9,0),7),""))</f>
        <v/>
      </c>
      <c r="N1367" s="66" t="str">
        <f aca="false">IF($L1367="","",IFERROR(INDEX(记账规则!$A$6:$N$9,MATCH(购销流水!$D346,记账规则!$A$6:$A$9,0),8),""))</f>
        <v/>
      </c>
      <c r="O1367" s="67" t="n">
        <f aca="false">IF($H1367="",0,ROUND(IF($N1367="成本金额",N(购销流水!$W346),IF($N1367="金额",N(购销流水!$Q346),0)),2))</f>
        <v>0</v>
      </c>
      <c r="P1367" s="64" t="str">
        <f aca="false">IF(AND($H1367&lt;&gt;"",ROUND($O1367,2)&lt;&gt;0),"有","")</f>
        <v/>
      </c>
    </row>
    <row r="1368" customFormat="false" ht="15" hidden="true" customHeight="false" outlineLevel="0" collapsed="false">
      <c r="A1368" s="53" t="str">
        <f aca="false">IF($H1368="","",ROW()-5)</f>
        <v/>
      </c>
      <c r="B1368" s="64" t="s">
        <v>36</v>
      </c>
      <c r="C1368" s="53" t="n">
        <v>346</v>
      </c>
      <c r="D1368" s="53" t="n">
        <v>3</v>
      </c>
      <c r="E1368" s="65" t="str">
        <f aca="false">IF($H1368="","",购销流水!$B346)</f>
        <v/>
      </c>
      <c r="F1368" s="55" t="str">
        <f aca="false">IF($H1368="","",购销流水!$C346)</f>
        <v/>
      </c>
      <c r="G1368" s="48" t="str">
        <f aca="false">IF($H1368="","",购销流水!$N346)</f>
        <v/>
      </c>
      <c r="H1368" s="10" t="str">
        <f aca="false">IF($L1368="","",IF($L1368="@成本",购销流水!$U346,IF($L1368="@收入",购销流水!$T346,IF($L1368="@存货",购销流水!$S346,IF($L1368="@结算",购销流水!$R346,$L1368)))))</f>
        <v/>
      </c>
      <c r="I1368" s="42" t="n">
        <f aca="false">IF($M1368="借",$O1368,0)</f>
        <v>0</v>
      </c>
      <c r="J1368" s="42" t="n">
        <f aca="false">IF($M1368="贷",$O1368,0)</f>
        <v>0</v>
      </c>
      <c r="K1368" s="48" t="str">
        <f aca="false">IF($H1368="","",购销流水!$E346)</f>
        <v/>
      </c>
      <c r="L1368" s="66" t="str">
        <f aca="false">IF(购销流水!$D346="","",IFERROR(INDEX(记账规则!$A$6:$N$9,MATCH(购销流水!$D346,记账规则!$A$6:$A$9,0),9),""))</f>
        <v/>
      </c>
      <c r="M1368" s="66" t="str">
        <f aca="false">IF($L1368="","",IFERROR(INDEX(记账规则!$A$6:$N$9,MATCH(购销流水!$D346,记账规则!$A$6:$A$9,0),10),""))</f>
        <v/>
      </c>
      <c r="N1368" s="66" t="str">
        <f aca="false">IF($L1368="","",IFERROR(INDEX(记账规则!$A$6:$N$9,MATCH(购销流水!$D346,记账规则!$A$6:$A$9,0),11),""))</f>
        <v/>
      </c>
      <c r="O1368" s="67" t="n">
        <f aca="false">IF($H1368="",0,ROUND(IF($N1368="成本金额",N(购销流水!$W346),IF($N1368="金额",N(购销流水!$Q346),0)),2))</f>
        <v>0</v>
      </c>
      <c r="P1368" s="64" t="str">
        <f aca="false">IF(AND($H1368&lt;&gt;"",ROUND($O1368,2)&lt;&gt;0),"有","")</f>
        <v/>
      </c>
    </row>
    <row r="1369" customFormat="false" ht="15" hidden="true" customHeight="false" outlineLevel="0" collapsed="false">
      <c r="A1369" s="53" t="str">
        <f aca="false">IF($H1369="","",ROW()-5)</f>
        <v/>
      </c>
      <c r="B1369" s="64" t="s">
        <v>36</v>
      </c>
      <c r="C1369" s="53" t="n">
        <v>346</v>
      </c>
      <c r="D1369" s="53" t="n">
        <v>4</v>
      </c>
      <c r="E1369" s="65" t="str">
        <f aca="false">IF($H1369="","",购销流水!$B346)</f>
        <v/>
      </c>
      <c r="F1369" s="55" t="str">
        <f aca="false">IF($H1369="","",购销流水!$C346)</f>
        <v/>
      </c>
      <c r="G1369" s="48" t="str">
        <f aca="false">IF($H1369="","",购销流水!$N346)</f>
        <v/>
      </c>
      <c r="H1369" s="10" t="str">
        <f aca="false">IF($L1369="","",IF($L1369="@成本",购销流水!$U346,IF($L1369="@收入",购销流水!$T346,IF($L1369="@存货",购销流水!$S346,IF($L1369="@结算",购销流水!$R346,$L1369)))))</f>
        <v/>
      </c>
      <c r="I1369" s="42" t="n">
        <f aca="false">IF($M1369="借",$O1369,0)</f>
        <v>0</v>
      </c>
      <c r="J1369" s="42" t="n">
        <f aca="false">IF($M1369="贷",$O1369,0)</f>
        <v>0</v>
      </c>
      <c r="K1369" s="48" t="str">
        <f aca="false">IF($H1369="","",购销流水!$E346)</f>
        <v/>
      </c>
      <c r="L1369" s="66" t="str">
        <f aca="false">IF(购销流水!$D346="","",IFERROR(INDEX(记账规则!$A$6:$N$9,MATCH(购销流水!$D346,记账规则!$A$6:$A$9,0),12),""))</f>
        <v/>
      </c>
      <c r="M1369" s="66" t="str">
        <f aca="false">IF($L1369="","",IFERROR(INDEX(记账规则!$A$6:$N$9,MATCH(购销流水!$D346,记账规则!$A$6:$A$9,0),13),""))</f>
        <v/>
      </c>
      <c r="N1369" s="66" t="str">
        <f aca="false">IF($L1369="","",IFERROR(INDEX(记账规则!$A$6:$N$9,MATCH(购销流水!$D346,记账规则!$A$6:$A$9,0),14),""))</f>
        <v/>
      </c>
      <c r="O1369" s="67" t="n">
        <f aca="false">IF($H1369="",0,ROUND(IF($N1369="成本金额",N(购销流水!$W346),IF($N1369="金额",N(购销流水!$Q346),0)),2))</f>
        <v>0</v>
      </c>
      <c r="P1369" s="64" t="str">
        <f aca="false">IF(AND($H1369&lt;&gt;"",ROUND($O1369,2)&lt;&gt;0),"有","")</f>
        <v/>
      </c>
    </row>
    <row r="1370" customFormat="false" ht="15" hidden="true" customHeight="false" outlineLevel="0" collapsed="false">
      <c r="A1370" s="53" t="str">
        <f aca="false">IF($H1370="","",ROW()-5)</f>
        <v/>
      </c>
      <c r="B1370" s="64" t="s">
        <v>36</v>
      </c>
      <c r="C1370" s="53" t="n">
        <v>347</v>
      </c>
      <c r="D1370" s="53" t="n">
        <v>1</v>
      </c>
      <c r="E1370" s="65" t="str">
        <f aca="false">IF($H1370="","",购销流水!$B347)</f>
        <v/>
      </c>
      <c r="F1370" s="55" t="str">
        <f aca="false">IF($H1370="","",购销流水!$C347)</f>
        <v/>
      </c>
      <c r="G1370" s="48" t="str">
        <f aca="false">IF($H1370="","",购销流水!$N347)</f>
        <v/>
      </c>
      <c r="H1370" s="10" t="str">
        <f aca="false">IF($L1370="","",IF($L1370="@成本",购销流水!$U347,IF($L1370="@收入",购销流水!$T347,IF($L1370="@存货",购销流水!$S347,IF($L1370="@结算",购销流水!$R347,$L1370)))))</f>
        <v/>
      </c>
      <c r="I1370" s="42" t="n">
        <f aca="false">IF($M1370="借",$O1370,0)</f>
        <v>0</v>
      </c>
      <c r="J1370" s="42" t="n">
        <f aca="false">IF($M1370="贷",$O1370,0)</f>
        <v>0</v>
      </c>
      <c r="K1370" s="48" t="str">
        <f aca="false">IF($H1370="","",购销流水!$E347)</f>
        <v/>
      </c>
      <c r="L1370" s="66" t="str">
        <f aca="false">IF(购销流水!$D347="","",IFERROR(INDEX(记账规则!$A$6:$N$9,MATCH(购销流水!$D347,记账规则!$A$6:$A$9,0),3),""))</f>
        <v/>
      </c>
      <c r="M1370" s="66" t="str">
        <f aca="false">IF($L1370="","",IFERROR(INDEX(记账规则!$A$6:$N$9,MATCH(购销流水!$D347,记账规则!$A$6:$A$9,0),4),""))</f>
        <v/>
      </c>
      <c r="N1370" s="66" t="str">
        <f aca="false">IF($L1370="","",IFERROR(INDEX(记账规则!$A$6:$N$9,MATCH(购销流水!$D347,记账规则!$A$6:$A$9,0),5),""))</f>
        <v/>
      </c>
      <c r="O1370" s="67" t="n">
        <f aca="false">IF($H1370="",0,ROUND(IF($N1370="成本金额",N(购销流水!$W347),IF($N1370="金额",N(购销流水!$Q347),0)),2))</f>
        <v>0</v>
      </c>
      <c r="P1370" s="64" t="str">
        <f aca="false">IF(AND($H1370&lt;&gt;"",ROUND($O1370,2)&lt;&gt;0),"有","")</f>
        <v/>
      </c>
    </row>
    <row r="1371" customFormat="false" ht="15" hidden="true" customHeight="false" outlineLevel="0" collapsed="false">
      <c r="A1371" s="53" t="str">
        <f aca="false">IF($H1371="","",ROW()-5)</f>
        <v/>
      </c>
      <c r="B1371" s="64" t="s">
        <v>36</v>
      </c>
      <c r="C1371" s="53" t="n">
        <v>347</v>
      </c>
      <c r="D1371" s="53" t="n">
        <v>2</v>
      </c>
      <c r="E1371" s="65" t="str">
        <f aca="false">IF($H1371="","",购销流水!$B347)</f>
        <v/>
      </c>
      <c r="F1371" s="55" t="str">
        <f aca="false">IF($H1371="","",购销流水!$C347)</f>
        <v/>
      </c>
      <c r="G1371" s="48" t="str">
        <f aca="false">IF($H1371="","",购销流水!$N347)</f>
        <v/>
      </c>
      <c r="H1371" s="10" t="str">
        <f aca="false">IF($L1371="","",IF($L1371="@成本",购销流水!$U347,IF($L1371="@收入",购销流水!$T347,IF($L1371="@存货",购销流水!$S347,IF($L1371="@结算",购销流水!$R347,$L1371)))))</f>
        <v/>
      </c>
      <c r="I1371" s="42" t="n">
        <f aca="false">IF($M1371="借",$O1371,0)</f>
        <v>0</v>
      </c>
      <c r="J1371" s="42" t="n">
        <f aca="false">IF($M1371="贷",$O1371,0)</f>
        <v>0</v>
      </c>
      <c r="K1371" s="48" t="str">
        <f aca="false">IF($H1371="","",购销流水!$E347)</f>
        <v/>
      </c>
      <c r="L1371" s="66" t="str">
        <f aca="false">IF(购销流水!$D347="","",IFERROR(INDEX(记账规则!$A$6:$N$9,MATCH(购销流水!$D347,记账规则!$A$6:$A$9,0),6),""))</f>
        <v/>
      </c>
      <c r="M1371" s="66" t="str">
        <f aca="false">IF($L1371="","",IFERROR(INDEX(记账规则!$A$6:$N$9,MATCH(购销流水!$D347,记账规则!$A$6:$A$9,0),7),""))</f>
        <v/>
      </c>
      <c r="N1371" s="66" t="str">
        <f aca="false">IF($L1371="","",IFERROR(INDEX(记账规则!$A$6:$N$9,MATCH(购销流水!$D347,记账规则!$A$6:$A$9,0),8),""))</f>
        <v/>
      </c>
      <c r="O1371" s="67" t="n">
        <f aca="false">IF($H1371="",0,ROUND(IF($N1371="成本金额",N(购销流水!$W347),IF($N1371="金额",N(购销流水!$Q347),0)),2))</f>
        <v>0</v>
      </c>
      <c r="P1371" s="64" t="str">
        <f aca="false">IF(AND($H1371&lt;&gt;"",ROUND($O1371,2)&lt;&gt;0),"有","")</f>
        <v/>
      </c>
    </row>
    <row r="1372" customFormat="false" ht="15" hidden="true" customHeight="false" outlineLevel="0" collapsed="false">
      <c r="A1372" s="53" t="str">
        <f aca="false">IF($H1372="","",ROW()-5)</f>
        <v/>
      </c>
      <c r="B1372" s="64" t="s">
        <v>36</v>
      </c>
      <c r="C1372" s="53" t="n">
        <v>347</v>
      </c>
      <c r="D1372" s="53" t="n">
        <v>3</v>
      </c>
      <c r="E1372" s="65" t="str">
        <f aca="false">IF($H1372="","",购销流水!$B347)</f>
        <v/>
      </c>
      <c r="F1372" s="55" t="str">
        <f aca="false">IF($H1372="","",购销流水!$C347)</f>
        <v/>
      </c>
      <c r="G1372" s="48" t="str">
        <f aca="false">IF($H1372="","",购销流水!$N347)</f>
        <v/>
      </c>
      <c r="H1372" s="10" t="str">
        <f aca="false">IF($L1372="","",IF($L1372="@成本",购销流水!$U347,IF($L1372="@收入",购销流水!$T347,IF($L1372="@存货",购销流水!$S347,IF($L1372="@结算",购销流水!$R347,$L1372)))))</f>
        <v/>
      </c>
      <c r="I1372" s="42" t="n">
        <f aca="false">IF($M1372="借",$O1372,0)</f>
        <v>0</v>
      </c>
      <c r="J1372" s="42" t="n">
        <f aca="false">IF($M1372="贷",$O1372,0)</f>
        <v>0</v>
      </c>
      <c r="K1372" s="48" t="str">
        <f aca="false">IF($H1372="","",购销流水!$E347)</f>
        <v/>
      </c>
      <c r="L1372" s="66" t="str">
        <f aca="false">IF(购销流水!$D347="","",IFERROR(INDEX(记账规则!$A$6:$N$9,MATCH(购销流水!$D347,记账规则!$A$6:$A$9,0),9),""))</f>
        <v/>
      </c>
      <c r="M1372" s="66" t="str">
        <f aca="false">IF($L1372="","",IFERROR(INDEX(记账规则!$A$6:$N$9,MATCH(购销流水!$D347,记账规则!$A$6:$A$9,0),10),""))</f>
        <v/>
      </c>
      <c r="N1372" s="66" t="str">
        <f aca="false">IF($L1372="","",IFERROR(INDEX(记账规则!$A$6:$N$9,MATCH(购销流水!$D347,记账规则!$A$6:$A$9,0),11),""))</f>
        <v/>
      </c>
      <c r="O1372" s="67" t="n">
        <f aca="false">IF($H1372="",0,ROUND(IF($N1372="成本金额",N(购销流水!$W347),IF($N1372="金额",N(购销流水!$Q347),0)),2))</f>
        <v>0</v>
      </c>
      <c r="P1372" s="64" t="str">
        <f aca="false">IF(AND($H1372&lt;&gt;"",ROUND($O1372,2)&lt;&gt;0),"有","")</f>
        <v/>
      </c>
    </row>
    <row r="1373" customFormat="false" ht="15" hidden="true" customHeight="false" outlineLevel="0" collapsed="false">
      <c r="A1373" s="53" t="str">
        <f aca="false">IF($H1373="","",ROW()-5)</f>
        <v/>
      </c>
      <c r="B1373" s="64" t="s">
        <v>36</v>
      </c>
      <c r="C1373" s="53" t="n">
        <v>347</v>
      </c>
      <c r="D1373" s="53" t="n">
        <v>4</v>
      </c>
      <c r="E1373" s="65" t="str">
        <f aca="false">IF($H1373="","",购销流水!$B347)</f>
        <v/>
      </c>
      <c r="F1373" s="55" t="str">
        <f aca="false">IF($H1373="","",购销流水!$C347)</f>
        <v/>
      </c>
      <c r="G1373" s="48" t="str">
        <f aca="false">IF($H1373="","",购销流水!$N347)</f>
        <v/>
      </c>
      <c r="H1373" s="10" t="str">
        <f aca="false">IF($L1373="","",IF($L1373="@成本",购销流水!$U347,IF($L1373="@收入",购销流水!$T347,IF($L1373="@存货",购销流水!$S347,IF($L1373="@结算",购销流水!$R347,$L1373)))))</f>
        <v/>
      </c>
      <c r="I1373" s="42" t="n">
        <f aca="false">IF($M1373="借",$O1373,0)</f>
        <v>0</v>
      </c>
      <c r="J1373" s="42" t="n">
        <f aca="false">IF($M1373="贷",$O1373,0)</f>
        <v>0</v>
      </c>
      <c r="K1373" s="48" t="str">
        <f aca="false">IF($H1373="","",购销流水!$E347)</f>
        <v/>
      </c>
      <c r="L1373" s="66" t="str">
        <f aca="false">IF(购销流水!$D347="","",IFERROR(INDEX(记账规则!$A$6:$N$9,MATCH(购销流水!$D347,记账规则!$A$6:$A$9,0),12),""))</f>
        <v/>
      </c>
      <c r="M1373" s="66" t="str">
        <f aca="false">IF($L1373="","",IFERROR(INDEX(记账规则!$A$6:$N$9,MATCH(购销流水!$D347,记账规则!$A$6:$A$9,0),13),""))</f>
        <v/>
      </c>
      <c r="N1373" s="66" t="str">
        <f aca="false">IF($L1373="","",IFERROR(INDEX(记账规则!$A$6:$N$9,MATCH(购销流水!$D347,记账规则!$A$6:$A$9,0),14),""))</f>
        <v/>
      </c>
      <c r="O1373" s="67" t="n">
        <f aca="false">IF($H1373="",0,ROUND(IF($N1373="成本金额",N(购销流水!$W347),IF($N1373="金额",N(购销流水!$Q347),0)),2))</f>
        <v>0</v>
      </c>
      <c r="P1373" s="64" t="str">
        <f aca="false">IF(AND($H1373&lt;&gt;"",ROUND($O1373,2)&lt;&gt;0),"有","")</f>
        <v/>
      </c>
    </row>
    <row r="1374" customFormat="false" ht="15" hidden="true" customHeight="false" outlineLevel="0" collapsed="false">
      <c r="A1374" s="53" t="str">
        <f aca="false">IF($H1374="","",ROW()-5)</f>
        <v/>
      </c>
      <c r="B1374" s="64" t="s">
        <v>36</v>
      </c>
      <c r="C1374" s="53" t="n">
        <v>348</v>
      </c>
      <c r="D1374" s="53" t="n">
        <v>1</v>
      </c>
      <c r="E1374" s="65" t="str">
        <f aca="false">IF($H1374="","",购销流水!$B348)</f>
        <v/>
      </c>
      <c r="F1374" s="55" t="str">
        <f aca="false">IF($H1374="","",购销流水!$C348)</f>
        <v/>
      </c>
      <c r="G1374" s="48" t="str">
        <f aca="false">IF($H1374="","",购销流水!$N348)</f>
        <v/>
      </c>
      <c r="H1374" s="10" t="str">
        <f aca="false">IF($L1374="","",IF($L1374="@成本",购销流水!$U348,IF($L1374="@收入",购销流水!$T348,IF($L1374="@存货",购销流水!$S348,IF($L1374="@结算",购销流水!$R348,$L1374)))))</f>
        <v/>
      </c>
      <c r="I1374" s="42" t="n">
        <f aca="false">IF($M1374="借",$O1374,0)</f>
        <v>0</v>
      </c>
      <c r="J1374" s="42" t="n">
        <f aca="false">IF($M1374="贷",$O1374,0)</f>
        <v>0</v>
      </c>
      <c r="K1374" s="48" t="str">
        <f aca="false">IF($H1374="","",购销流水!$E348)</f>
        <v/>
      </c>
      <c r="L1374" s="66" t="str">
        <f aca="false">IF(购销流水!$D348="","",IFERROR(INDEX(记账规则!$A$6:$N$9,MATCH(购销流水!$D348,记账规则!$A$6:$A$9,0),3),""))</f>
        <v/>
      </c>
      <c r="M1374" s="66" t="str">
        <f aca="false">IF($L1374="","",IFERROR(INDEX(记账规则!$A$6:$N$9,MATCH(购销流水!$D348,记账规则!$A$6:$A$9,0),4),""))</f>
        <v/>
      </c>
      <c r="N1374" s="66" t="str">
        <f aca="false">IF($L1374="","",IFERROR(INDEX(记账规则!$A$6:$N$9,MATCH(购销流水!$D348,记账规则!$A$6:$A$9,0),5),""))</f>
        <v/>
      </c>
      <c r="O1374" s="67" t="n">
        <f aca="false">IF($H1374="",0,ROUND(IF($N1374="成本金额",N(购销流水!$W348),IF($N1374="金额",N(购销流水!$Q348),0)),2))</f>
        <v>0</v>
      </c>
      <c r="P1374" s="64" t="str">
        <f aca="false">IF(AND($H1374&lt;&gt;"",ROUND($O1374,2)&lt;&gt;0),"有","")</f>
        <v/>
      </c>
    </row>
    <row r="1375" customFormat="false" ht="15" hidden="true" customHeight="false" outlineLevel="0" collapsed="false">
      <c r="A1375" s="53" t="str">
        <f aca="false">IF($H1375="","",ROW()-5)</f>
        <v/>
      </c>
      <c r="B1375" s="64" t="s">
        <v>36</v>
      </c>
      <c r="C1375" s="53" t="n">
        <v>348</v>
      </c>
      <c r="D1375" s="53" t="n">
        <v>2</v>
      </c>
      <c r="E1375" s="65" t="str">
        <f aca="false">IF($H1375="","",购销流水!$B348)</f>
        <v/>
      </c>
      <c r="F1375" s="55" t="str">
        <f aca="false">IF($H1375="","",购销流水!$C348)</f>
        <v/>
      </c>
      <c r="G1375" s="48" t="str">
        <f aca="false">IF($H1375="","",购销流水!$N348)</f>
        <v/>
      </c>
      <c r="H1375" s="10" t="str">
        <f aca="false">IF($L1375="","",IF($L1375="@成本",购销流水!$U348,IF($L1375="@收入",购销流水!$T348,IF($L1375="@存货",购销流水!$S348,IF($L1375="@结算",购销流水!$R348,$L1375)))))</f>
        <v/>
      </c>
      <c r="I1375" s="42" t="n">
        <f aca="false">IF($M1375="借",$O1375,0)</f>
        <v>0</v>
      </c>
      <c r="J1375" s="42" t="n">
        <f aca="false">IF($M1375="贷",$O1375,0)</f>
        <v>0</v>
      </c>
      <c r="K1375" s="48" t="str">
        <f aca="false">IF($H1375="","",购销流水!$E348)</f>
        <v/>
      </c>
      <c r="L1375" s="66" t="str">
        <f aca="false">IF(购销流水!$D348="","",IFERROR(INDEX(记账规则!$A$6:$N$9,MATCH(购销流水!$D348,记账规则!$A$6:$A$9,0),6),""))</f>
        <v/>
      </c>
      <c r="M1375" s="66" t="str">
        <f aca="false">IF($L1375="","",IFERROR(INDEX(记账规则!$A$6:$N$9,MATCH(购销流水!$D348,记账规则!$A$6:$A$9,0),7),""))</f>
        <v/>
      </c>
      <c r="N1375" s="66" t="str">
        <f aca="false">IF($L1375="","",IFERROR(INDEX(记账规则!$A$6:$N$9,MATCH(购销流水!$D348,记账规则!$A$6:$A$9,0),8),""))</f>
        <v/>
      </c>
      <c r="O1375" s="67" t="n">
        <f aca="false">IF($H1375="",0,ROUND(IF($N1375="成本金额",N(购销流水!$W348),IF($N1375="金额",N(购销流水!$Q348),0)),2))</f>
        <v>0</v>
      </c>
      <c r="P1375" s="64" t="str">
        <f aca="false">IF(AND($H1375&lt;&gt;"",ROUND($O1375,2)&lt;&gt;0),"有","")</f>
        <v/>
      </c>
    </row>
    <row r="1376" customFormat="false" ht="15" hidden="true" customHeight="false" outlineLevel="0" collapsed="false">
      <c r="A1376" s="53" t="str">
        <f aca="false">IF($H1376="","",ROW()-5)</f>
        <v/>
      </c>
      <c r="B1376" s="64" t="s">
        <v>36</v>
      </c>
      <c r="C1376" s="53" t="n">
        <v>348</v>
      </c>
      <c r="D1376" s="53" t="n">
        <v>3</v>
      </c>
      <c r="E1376" s="65" t="str">
        <f aca="false">IF($H1376="","",购销流水!$B348)</f>
        <v/>
      </c>
      <c r="F1376" s="55" t="str">
        <f aca="false">IF($H1376="","",购销流水!$C348)</f>
        <v/>
      </c>
      <c r="G1376" s="48" t="str">
        <f aca="false">IF($H1376="","",购销流水!$N348)</f>
        <v/>
      </c>
      <c r="H1376" s="10" t="str">
        <f aca="false">IF($L1376="","",IF($L1376="@成本",购销流水!$U348,IF($L1376="@收入",购销流水!$T348,IF($L1376="@存货",购销流水!$S348,IF($L1376="@结算",购销流水!$R348,$L1376)))))</f>
        <v/>
      </c>
      <c r="I1376" s="42" t="n">
        <f aca="false">IF($M1376="借",$O1376,0)</f>
        <v>0</v>
      </c>
      <c r="J1376" s="42" t="n">
        <f aca="false">IF($M1376="贷",$O1376,0)</f>
        <v>0</v>
      </c>
      <c r="K1376" s="48" t="str">
        <f aca="false">IF($H1376="","",购销流水!$E348)</f>
        <v/>
      </c>
      <c r="L1376" s="66" t="str">
        <f aca="false">IF(购销流水!$D348="","",IFERROR(INDEX(记账规则!$A$6:$N$9,MATCH(购销流水!$D348,记账规则!$A$6:$A$9,0),9),""))</f>
        <v/>
      </c>
      <c r="M1376" s="66" t="str">
        <f aca="false">IF($L1376="","",IFERROR(INDEX(记账规则!$A$6:$N$9,MATCH(购销流水!$D348,记账规则!$A$6:$A$9,0),10),""))</f>
        <v/>
      </c>
      <c r="N1376" s="66" t="str">
        <f aca="false">IF($L1376="","",IFERROR(INDEX(记账规则!$A$6:$N$9,MATCH(购销流水!$D348,记账规则!$A$6:$A$9,0),11),""))</f>
        <v/>
      </c>
      <c r="O1376" s="67" t="n">
        <f aca="false">IF($H1376="",0,ROUND(IF($N1376="成本金额",N(购销流水!$W348),IF($N1376="金额",N(购销流水!$Q348),0)),2))</f>
        <v>0</v>
      </c>
      <c r="P1376" s="64" t="str">
        <f aca="false">IF(AND($H1376&lt;&gt;"",ROUND($O1376,2)&lt;&gt;0),"有","")</f>
        <v/>
      </c>
    </row>
    <row r="1377" customFormat="false" ht="15" hidden="true" customHeight="false" outlineLevel="0" collapsed="false">
      <c r="A1377" s="53" t="str">
        <f aca="false">IF($H1377="","",ROW()-5)</f>
        <v/>
      </c>
      <c r="B1377" s="64" t="s">
        <v>36</v>
      </c>
      <c r="C1377" s="53" t="n">
        <v>348</v>
      </c>
      <c r="D1377" s="53" t="n">
        <v>4</v>
      </c>
      <c r="E1377" s="65" t="str">
        <f aca="false">IF($H1377="","",购销流水!$B348)</f>
        <v/>
      </c>
      <c r="F1377" s="55" t="str">
        <f aca="false">IF($H1377="","",购销流水!$C348)</f>
        <v/>
      </c>
      <c r="G1377" s="48" t="str">
        <f aca="false">IF($H1377="","",购销流水!$N348)</f>
        <v/>
      </c>
      <c r="H1377" s="10" t="str">
        <f aca="false">IF($L1377="","",IF($L1377="@成本",购销流水!$U348,IF($L1377="@收入",购销流水!$T348,IF($L1377="@存货",购销流水!$S348,IF($L1377="@结算",购销流水!$R348,$L1377)))))</f>
        <v/>
      </c>
      <c r="I1377" s="42" t="n">
        <f aca="false">IF($M1377="借",$O1377,0)</f>
        <v>0</v>
      </c>
      <c r="J1377" s="42" t="n">
        <f aca="false">IF($M1377="贷",$O1377,0)</f>
        <v>0</v>
      </c>
      <c r="K1377" s="48" t="str">
        <f aca="false">IF($H1377="","",购销流水!$E348)</f>
        <v/>
      </c>
      <c r="L1377" s="66" t="str">
        <f aca="false">IF(购销流水!$D348="","",IFERROR(INDEX(记账规则!$A$6:$N$9,MATCH(购销流水!$D348,记账规则!$A$6:$A$9,0),12),""))</f>
        <v/>
      </c>
      <c r="M1377" s="66" t="str">
        <f aca="false">IF($L1377="","",IFERROR(INDEX(记账规则!$A$6:$N$9,MATCH(购销流水!$D348,记账规则!$A$6:$A$9,0),13),""))</f>
        <v/>
      </c>
      <c r="N1377" s="66" t="str">
        <f aca="false">IF($L1377="","",IFERROR(INDEX(记账规则!$A$6:$N$9,MATCH(购销流水!$D348,记账规则!$A$6:$A$9,0),14),""))</f>
        <v/>
      </c>
      <c r="O1377" s="67" t="n">
        <f aca="false">IF($H1377="",0,ROUND(IF($N1377="成本金额",N(购销流水!$W348),IF($N1377="金额",N(购销流水!$Q348),0)),2))</f>
        <v>0</v>
      </c>
      <c r="P1377" s="64" t="str">
        <f aca="false">IF(AND($H1377&lt;&gt;"",ROUND($O1377,2)&lt;&gt;0),"有","")</f>
        <v/>
      </c>
    </row>
    <row r="1378" customFormat="false" ht="15" hidden="true" customHeight="false" outlineLevel="0" collapsed="false">
      <c r="A1378" s="53" t="str">
        <f aca="false">IF($H1378="","",ROW()-5)</f>
        <v/>
      </c>
      <c r="B1378" s="64" t="s">
        <v>36</v>
      </c>
      <c r="C1378" s="53" t="n">
        <v>349</v>
      </c>
      <c r="D1378" s="53" t="n">
        <v>1</v>
      </c>
      <c r="E1378" s="65" t="str">
        <f aca="false">IF($H1378="","",购销流水!$B349)</f>
        <v/>
      </c>
      <c r="F1378" s="55" t="str">
        <f aca="false">IF($H1378="","",购销流水!$C349)</f>
        <v/>
      </c>
      <c r="G1378" s="48" t="str">
        <f aca="false">IF($H1378="","",购销流水!$N349)</f>
        <v/>
      </c>
      <c r="H1378" s="10" t="str">
        <f aca="false">IF($L1378="","",IF($L1378="@成本",购销流水!$U349,IF($L1378="@收入",购销流水!$T349,IF($L1378="@存货",购销流水!$S349,IF($L1378="@结算",购销流水!$R349,$L1378)))))</f>
        <v/>
      </c>
      <c r="I1378" s="42" t="n">
        <f aca="false">IF($M1378="借",$O1378,0)</f>
        <v>0</v>
      </c>
      <c r="J1378" s="42" t="n">
        <f aca="false">IF($M1378="贷",$O1378,0)</f>
        <v>0</v>
      </c>
      <c r="K1378" s="48" t="str">
        <f aca="false">IF($H1378="","",购销流水!$E349)</f>
        <v/>
      </c>
      <c r="L1378" s="66" t="str">
        <f aca="false">IF(购销流水!$D349="","",IFERROR(INDEX(记账规则!$A$6:$N$9,MATCH(购销流水!$D349,记账规则!$A$6:$A$9,0),3),""))</f>
        <v/>
      </c>
      <c r="M1378" s="66" t="str">
        <f aca="false">IF($L1378="","",IFERROR(INDEX(记账规则!$A$6:$N$9,MATCH(购销流水!$D349,记账规则!$A$6:$A$9,0),4),""))</f>
        <v/>
      </c>
      <c r="N1378" s="66" t="str">
        <f aca="false">IF($L1378="","",IFERROR(INDEX(记账规则!$A$6:$N$9,MATCH(购销流水!$D349,记账规则!$A$6:$A$9,0),5),""))</f>
        <v/>
      </c>
      <c r="O1378" s="67" t="n">
        <f aca="false">IF($H1378="",0,ROUND(IF($N1378="成本金额",N(购销流水!$W349),IF($N1378="金额",N(购销流水!$Q349),0)),2))</f>
        <v>0</v>
      </c>
      <c r="P1378" s="64" t="str">
        <f aca="false">IF(AND($H1378&lt;&gt;"",ROUND($O1378,2)&lt;&gt;0),"有","")</f>
        <v/>
      </c>
    </row>
    <row r="1379" customFormat="false" ht="15" hidden="true" customHeight="false" outlineLevel="0" collapsed="false">
      <c r="A1379" s="53" t="str">
        <f aca="false">IF($H1379="","",ROW()-5)</f>
        <v/>
      </c>
      <c r="B1379" s="64" t="s">
        <v>36</v>
      </c>
      <c r="C1379" s="53" t="n">
        <v>349</v>
      </c>
      <c r="D1379" s="53" t="n">
        <v>2</v>
      </c>
      <c r="E1379" s="65" t="str">
        <f aca="false">IF($H1379="","",购销流水!$B349)</f>
        <v/>
      </c>
      <c r="F1379" s="55" t="str">
        <f aca="false">IF($H1379="","",购销流水!$C349)</f>
        <v/>
      </c>
      <c r="G1379" s="48" t="str">
        <f aca="false">IF($H1379="","",购销流水!$N349)</f>
        <v/>
      </c>
      <c r="H1379" s="10" t="str">
        <f aca="false">IF($L1379="","",IF($L1379="@成本",购销流水!$U349,IF($L1379="@收入",购销流水!$T349,IF($L1379="@存货",购销流水!$S349,IF($L1379="@结算",购销流水!$R349,$L1379)))))</f>
        <v/>
      </c>
      <c r="I1379" s="42" t="n">
        <f aca="false">IF($M1379="借",$O1379,0)</f>
        <v>0</v>
      </c>
      <c r="J1379" s="42" t="n">
        <f aca="false">IF($M1379="贷",$O1379,0)</f>
        <v>0</v>
      </c>
      <c r="K1379" s="48" t="str">
        <f aca="false">IF($H1379="","",购销流水!$E349)</f>
        <v/>
      </c>
      <c r="L1379" s="66" t="str">
        <f aca="false">IF(购销流水!$D349="","",IFERROR(INDEX(记账规则!$A$6:$N$9,MATCH(购销流水!$D349,记账规则!$A$6:$A$9,0),6),""))</f>
        <v/>
      </c>
      <c r="M1379" s="66" t="str">
        <f aca="false">IF($L1379="","",IFERROR(INDEX(记账规则!$A$6:$N$9,MATCH(购销流水!$D349,记账规则!$A$6:$A$9,0),7),""))</f>
        <v/>
      </c>
      <c r="N1379" s="66" t="str">
        <f aca="false">IF($L1379="","",IFERROR(INDEX(记账规则!$A$6:$N$9,MATCH(购销流水!$D349,记账规则!$A$6:$A$9,0),8),""))</f>
        <v/>
      </c>
      <c r="O1379" s="67" t="n">
        <f aca="false">IF($H1379="",0,ROUND(IF($N1379="成本金额",N(购销流水!$W349),IF($N1379="金额",N(购销流水!$Q349),0)),2))</f>
        <v>0</v>
      </c>
      <c r="P1379" s="64" t="str">
        <f aca="false">IF(AND($H1379&lt;&gt;"",ROUND($O1379,2)&lt;&gt;0),"有","")</f>
        <v/>
      </c>
    </row>
    <row r="1380" customFormat="false" ht="15" hidden="true" customHeight="false" outlineLevel="0" collapsed="false">
      <c r="A1380" s="53" t="str">
        <f aca="false">IF($H1380="","",ROW()-5)</f>
        <v/>
      </c>
      <c r="B1380" s="64" t="s">
        <v>36</v>
      </c>
      <c r="C1380" s="53" t="n">
        <v>349</v>
      </c>
      <c r="D1380" s="53" t="n">
        <v>3</v>
      </c>
      <c r="E1380" s="65" t="str">
        <f aca="false">IF($H1380="","",购销流水!$B349)</f>
        <v/>
      </c>
      <c r="F1380" s="55" t="str">
        <f aca="false">IF($H1380="","",购销流水!$C349)</f>
        <v/>
      </c>
      <c r="G1380" s="48" t="str">
        <f aca="false">IF($H1380="","",购销流水!$N349)</f>
        <v/>
      </c>
      <c r="H1380" s="10" t="str">
        <f aca="false">IF($L1380="","",IF($L1380="@成本",购销流水!$U349,IF($L1380="@收入",购销流水!$T349,IF($L1380="@存货",购销流水!$S349,IF($L1380="@结算",购销流水!$R349,$L1380)))))</f>
        <v/>
      </c>
      <c r="I1380" s="42" t="n">
        <f aca="false">IF($M1380="借",$O1380,0)</f>
        <v>0</v>
      </c>
      <c r="J1380" s="42" t="n">
        <f aca="false">IF($M1380="贷",$O1380,0)</f>
        <v>0</v>
      </c>
      <c r="K1380" s="48" t="str">
        <f aca="false">IF($H1380="","",购销流水!$E349)</f>
        <v/>
      </c>
      <c r="L1380" s="66" t="str">
        <f aca="false">IF(购销流水!$D349="","",IFERROR(INDEX(记账规则!$A$6:$N$9,MATCH(购销流水!$D349,记账规则!$A$6:$A$9,0),9),""))</f>
        <v/>
      </c>
      <c r="M1380" s="66" t="str">
        <f aca="false">IF($L1380="","",IFERROR(INDEX(记账规则!$A$6:$N$9,MATCH(购销流水!$D349,记账规则!$A$6:$A$9,0),10),""))</f>
        <v/>
      </c>
      <c r="N1380" s="66" t="str">
        <f aca="false">IF($L1380="","",IFERROR(INDEX(记账规则!$A$6:$N$9,MATCH(购销流水!$D349,记账规则!$A$6:$A$9,0),11),""))</f>
        <v/>
      </c>
      <c r="O1380" s="67" t="n">
        <f aca="false">IF($H1380="",0,ROUND(IF($N1380="成本金额",N(购销流水!$W349),IF($N1380="金额",N(购销流水!$Q349),0)),2))</f>
        <v>0</v>
      </c>
      <c r="P1380" s="64" t="str">
        <f aca="false">IF(AND($H1380&lt;&gt;"",ROUND($O1380,2)&lt;&gt;0),"有","")</f>
        <v/>
      </c>
    </row>
    <row r="1381" customFormat="false" ht="15" hidden="true" customHeight="false" outlineLevel="0" collapsed="false">
      <c r="A1381" s="53" t="str">
        <f aca="false">IF($H1381="","",ROW()-5)</f>
        <v/>
      </c>
      <c r="B1381" s="64" t="s">
        <v>36</v>
      </c>
      <c r="C1381" s="53" t="n">
        <v>349</v>
      </c>
      <c r="D1381" s="53" t="n">
        <v>4</v>
      </c>
      <c r="E1381" s="65" t="str">
        <f aca="false">IF($H1381="","",购销流水!$B349)</f>
        <v/>
      </c>
      <c r="F1381" s="55" t="str">
        <f aca="false">IF($H1381="","",购销流水!$C349)</f>
        <v/>
      </c>
      <c r="G1381" s="48" t="str">
        <f aca="false">IF($H1381="","",购销流水!$N349)</f>
        <v/>
      </c>
      <c r="H1381" s="10" t="str">
        <f aca="false">IF($L1381="","",IF($L1381="@成本",购销流水!$U349,IF($L1381="@收入",购销流水!$T349,IF($L1381="@存货",购销流水!$S349,IF($L1381="@结算",购销流水!$R349,$L1381)))))</f>
        <v/>
      </c>
      <c r="I1381" s="42" t="n">
        <f aca="false">IF($M1381="借",$O1381,0)</f>
        <v>0</v>
      </c>
      <c r="J1381" s="42" t="n">
        <f aca="false">IF($M1381="贷",$O1381,0)</f>
        <v>0</v>
      </c>
      <c r="K1381" s="48" t="str">
        <f aca="false">IF($H1381="","",购销流水!$E349)</f>
        <v/>
      </c>
      <c r="L1381" s="66" t="str">
        <f aca="false">IF(购销流水!$D349="","",IFERROR(INDEX(记账规则!$A$6:$N$9,MATCH(购销流水!$D349,记账规则!$A$6:$A$9,0),12),""))</f>
        <v/>
      </c>
      <c r="M1381" s="66" t="str">
        <f aca="false">IF($L1381="","",IFERROR(INDEX(记账规则!$A$6:$N$9,MATCH(购销流水!$D349,记账规则!$A$6:$A$9,0),13),""))</f>
        <v/>
      </c>
      <c r="N1381" s="66" t="str">
        <f aca="false">IF($L1381="","",IFERROR(INDEX(记账规则!$A$6:$N$9,MATCH(购销流水!$D349,记账规则!$A$6:$A$9,0),14),""))</f>
        <v/>
      </c>
      <c r="O1381" s="67" t="n">
        <f aca="false">IF($H1381="",0,ROUND(IF($N1381="成本金额",N(购销流水!$W349),IF($N1381="金额",N(购销流水!$Q349),0)),2))</f>
        <v>0</v>
      </c>
      <c r="P1381" s="64" t="str">
        <f aca="false">IF(AND($H1381&lt;&gt;"",ROUND($O1381,2)&lt;&gt;0),"有","")</f>
        <v/>
      </c>
    </row>
    <row r="1382" customFormat="false" ht="15" hidden="true" customHeight="false" outlineLevel="0" collapsed="false">
      <c r="A1382" s="53" t="str">
        <f aca="false">IF($H1382="","",ROW()-5)</f>
        <v/>
      </c>
      <c r="B1382" s="64" t="s">
        <v>36</v>
      </c>
      <c r="C1382" s="53" t="n">
        <v>350</v>
      </c>
      <c r="D1382" s="53" t="n">
        <v>1</v>
      </c>
      <c r="E1382" s="65" t="str">
        <f aca="false">IF($H1382="","",购销流水!$B350)</f>
        <v/>
      </c>
      <c r="F1382" s="55" t="str">
        <f aca="false">IF($H1382="","",购销流水!$C350)</f>
        <v/>
      </c>
      <c r="G1382" s="48" t="str">
        <f aca="false">IF($H1382="","",购销流水!$N350)</f>
        <v/>
      </c>
      <c r="H1382" s="10" t="str">
        <f aca="false">IF($L1382="","",IF($L1382="@成本",购销流水!$U350,IF($L1382="@收入",购销流水!$T350,IF($L1382="@存货",购销流水!$S350,IF($L1382="@结算",购销流水!$R350,$L1382)))))</f>
        <v/>
      </c>
      <c r="I1382" s="42" t="n">
        <f aca="false">IF($M1382="借",$O1382,0)</f>
        <v>0</v>
      </c>
      <c r="J1382" s="42" t="n">
        <f aca="false">IF($M1382="贷",$O1382,0)</f>
        <v>0</v>
      </c>
      <c r="K1382" s="48" t="str">
        <f aca="false">IF($H1382="","",购销流水!$E350)</f>
        <v/>
      </c>
      <c r="L1382" s="66" t="str">
        <f aca="false">IF(购销流水!$D350="","",IFERROR(INDEX(记账规则!$A$6:$N$9,MATCH(购销流水!$D350,记账规则!$A$6:$A$9,0),3),""))</f>
        <v/>
      </c>
      <c r="M1382" s="66" t="str">
        <f aca="false">IF($L1382="","",IFERROR(INDEX(记账规则!$A$6:$N$9,MATCH(购销流水!$D350,记账规则!$A$6:$A$9,0),4),""))</f>
        <v/>
      </c>
      <c r="N1382" s="66" t="str">
        <f aca="false">IF($L1382="","",IFERROR(INDEX(记账规则!$A$6:$N$9,MATCH(购销流水!$D350,记账规则!$A$6:$A$9,0),5),""))</f>
        <v/>
      </c>
      <c r="O1382" s="67" t="n">
        <f aca="false">IF($H1382="",0,ROUND(IF($N1382="成本金额",N(购销流水!$W350),IF($N1382="金额",N(购销流水!$Q350),0)),2))</f>
        <v>0</v>
      </c>
      <c r="P1382" s="64" t="str">
        <f aca="false">IF(AND($H1382&lt;&gt;"",ROUND($O1382,2)&lt;&gt;0),"有","")</f>
        <v/>
      </c>
    </row>
    <row r="1383" customFormat="false" ht="15" hidden="true" customHeight="false" outlineLevel="0" collapsed="false">
      <c r="A1383" s="53" t="str">
        <f aca="false">IF($H1383="","",ROW()-5)</f>
        <v/>
      </c>
      <c r="B1383" s="64" t="s">
        <v>36</v>
      </c>
      <c r="C1383" s="53" t="n">
        <v>350</v>
      </c>
      <c r="D1383" s="53" t="n">
        <v>2</v>
      </c>
      <c r="E1383" s="65" t="str">
        <f aca="false">IF($H1383="","",购销流水!$B350)</f>
        <v/>
      </c>
      <c r="F1383" s="55" t="str">
        <f aca="false">IF($H1383="","",购销流水!$C350)</f>
        <v/>
      </c>
      <c r="G1383" s="48" t="str">
        <f aca="false">IF($H1383="","",购销流水!$N350)</f>
        <v/>
      </c>
      <c r="H1383" s="10" t="str">
        <f aca="false">IF($L1383="","",IF($L1383="@成本",购销流水!$U350,IF($L1383="@收入",购销流水!$T350,IF($L1383="@存货",购销流水!$S350,IF($L1383="@结算",购销流水!$R350,$L1383)))))</f>
        <v/>
      </c>
      <c r="I1383" s="42" t="n">
        <f aca="false">IF($M1383="借",$O1383,0)</f>
        <v>0</v>
      </c>
      <c r="J1383" s="42" t="n">
        <f aca="false">IF($M1383="贷",$O1383,0)</f>
        <v>0</v>
      </c>
      <c r="K1383" s="48" t="str">
        <f aca="false">IF($H1383="","",购销流水!$E350)</f>
        <v/>
      </c>
      <c r="L1383" s="66" t="str">
        <f aca="false">IF(购销流水!$D350="","",IFERROR(INDEX(记账规则!$A$6:$N$9,MATCH(购销流水!$D350,记账规则!$A$6:$A$9,0),6),""))</f>
        <v/>
      </c>
      <c r="M1383" s="66" t="str">
        <f aca="false">IF($L1383="","",IFERROR(INDEX(记账规则!$A$6:$N$9,MATCH(购销流水!$D350,记账规则!$A$6:$A$9,0),7),""))</f>
        <v/>
      </c>
      <c r="N1383" s="66" t="str">
        <f aca="false">IF($L1383="","",IFERROR(INDEX(记账规则!$A$6:$N$9,MATCH(购销流水!$D350,记账规则!$A$6:$A$9,0),8),""))</f>
        <v/>
      </c>
      <c r="O1383" s="67" t="n">
        <f aca="false">IF($H1383="",0,ROUND(IF($N1383="成本金额",N(购销流水!$W350),IF($N1383="金额",N(购销流水!$Q350),0)),2))</f>
        <v>0</v>
      </c>
      <c r="P1383" s="64" t="str">
        <f aca="false">IF(AND($H1383&lt;&gt;"",ROUND($O1383,2)&lt;&gt;0),"有","")</f>
        <v/>
      </c>
    </row>
    <row r="1384" customFormat="false" ht="15" hidden="true" customHeight="false" outlineLevel="0" collapsed="false">
      <c r="A1384" s="53" t="str">
        <f aca="false">IF($H1384="","",ROW()-5)</f>
        <v/>
      </c>
      <c r="B1384" s="64" t="s">
        <v>36</v>
      </c>
      <c r="C1384" s="53" t="n">
        <v>350</v>
      </c>
      <c r="D1384" s="53" t="n">
        <v>3</v>
      </c>
      <c r="E1384" s="65" t="str">
        <f aca="false">IF($H1384="","",购销流水!$B350)</f>
        <v/>
      </c>
      <c r="F1384" s="55" t="str">
        <f aca="false">IF($H1384="","",购销流水!$C350)</f>
        <v/>
      </c>
      <c r="G1384" s="48" t="str">
        <f aca="false">IF($H1384="","",购销流水!$N350)</f>
        <v/>
      </c>
      <c r="H1384" s="10" t="str">
        <f aca="false">IF($L1384="","",IF($L1384="@成本",购销流水!$U350,IF($L1384="@收入",购销流水!$T350,IF($L1384="@存货",购销流水!$S350,IF($L1384="@结算",购销流水!$R350,$L1384)))))</f>
        <v/>
      </c>
      <c r="I1384" s="42" t="n">
        <f aca="false">IF($M1384="借",$O1384,0)</f>
        <v>0</v>
      </c>
      <c r="J1384" s="42" t="n">
        <f aca="false">IF($M1384="贷",$O1384,0)</f>
        <v>0</v>
      </c>
      <c r="K1384" s="48" t="str">
        <f aca="false">IF($H1384="","",购销流水!$E350)</f>
        <v/>
      </c>
      <c r="L1384" s="66" t="str">
        <f aca="false">IF(购销流水!$D350="","",IFERROR(INDEX(记账规则!$A$6:$N$9,MATCH(购销流水!$D350,记账规则!$A$6:$A$9,0),9),""))</f>
        <v/>
      </c>
      <c r="M1384" s="66" t="str">
        <f aca="false">IF($L1384="","",IFERROR(INDEX(记账规则!$A$6:$N$9,MATCH(购销流水!$D350,记账规则!$A$6:$A$9,0),10),""))</f>
        <v/>
      </c>
      <c r="N1384" s="66" t="str">
        <f aca="false">IF($L1384="","",IFERROR(INDEX(记账规则!$A$6:$N$9,MATCH(购销流水!$D350,记账规则!$A$6:$A$9,0),11),""))</f>
        <v/>
      </c>
      <c r="O1384" s="67" t="n">
        <f aca="false">IF($H1384="",0,ROUND(IF($N1384="成本金额",N(购销流水!$W350),IF($N1384="金额",N(购销流水!$Q350),0)),2))</f>
        <v>0</v>
      </c>
      <c r="P1384" s="64" t="str">
        <f aca="false">IF(AND($H1384&lt;&gt;"",ROUND($O1384,2)&lt;&gt;0),"有","")</f>
        <v/>
      </c>
    </row>
    <row r="1385" customFormat="false" ht="15" hidden="true" customHeight="false" outlineLevel="0" collapsed="false">
      <c r="A1385" s="53" t="str">
        <f aca="false">IF($H1385="","",ROW()-5)</f>
        <v/>
      </c>
      <c r="B1385" s="64" t="s">
        <v>36</v>
      </c>
      <c r="C1385" s="53" t="n">
        <v>350</v>
      </c>
      <c r="D1385" s="53" t="n">
        <v>4</v>
      </c>
      <c r="E1385" s="65" t="str">
        <f aca="false">IF($H1385="","",购销流水!$B350)</f>
        <v/>
      </c>
      <c r="F1385" s="55" t="str">
        <f aca="false">IF($H1385="","",购销流水!$C350)</f>
        <v/>
      </c>
      <c r="G1385" s="48" t="str">
        <f aca="false">IF($H1385="","",购销流水!$N350)</f>
        <v/>
      </c>
      <c r="H1385" s="10" t="str">
        <f aca="false">IF($L1385="","",IF($L1385="@成本",购销流水!$U350,IF($L1385="@收入",购销流水!$T350,IF($L1385="@存货",购销流水!$S350,IF($L1385="@结算",购销流水!$R350,$L1385)))))</f>
        <v/>
      </c>
      <c r="I1385" s="42" t="n">
        <f aca="false">IF($M1385="借",$O1385,0)</f>
        <v>0</v>
      </c>
      <c r="J1385" s="42" t="n">
        <f aca="false">IF($M1385="贷",$O1385,0)</f>
        <v>0</v>
      </c>
      <c r="K1385" s="48" t="str">
        <f aca="false">IF($H1385="","",购销流水!$E350)</f>
        <v/>
      </c>
      <c r="L1385" s="66" t="str">
        <f aca="false">IF(购销流水!$D350="","",IFERROR(INDEX(记账规则!$A$6:$N$9,MATCH(购销流水!$D350,记账规则!$A$6:$A$9,0),12),""))</f>
        <v/>
      </c>
      <c r="M1385" s="66" t="str">
        <f aca="false">IF($L1385="","",IFERROR(INDEX(记账规则!$A$6:$N$9,MATCH(购销流水!$D350,记账规则!$A$6:$A$9,0),13),""))</f>
        <v/>
      </c>
      <c r="N1385" s="66" t="str">
        <f aca="false">IF($L1385="","",IFERROR(INDEX(记账规则!$A$6:$N$9,MATCH(购销流水!$D350,记账规则!$A$6:$A$9,0),14),""))</f>
        <v/>
      </c>
      <c r="O1385" s="67" t="n">
        <f aca="false">IF($H1385="",0,ROUND(IF($N1385="成本金额",N(购销流水!$W350),IF($N1385="金额",N(购销流水!$Q350),0)),2))</f>
        <v>0</v>
      </c>
      <c r="P1385" s="64" t="str">
        <f aca="false">IF(AND($H1385&lt;&gt;"",ROUND($O1385,2)&lt;&gt;0),"有","")</f>
        <v/>
      </c>
    </row>
    <row r="1386" customFormat="false" ht="15" hidden="true" customHeight="false" outlineLevel="0" collapsed="false">
      <c r="A1386" s="53" t="str">
        <f aca="false">IF($H1386="","",ROW()-5)</f>
        <v/>
      </c>
      <c r="B1386" s="64" t="s">
        <v>36</v>
      </c>
      <c r="C1386" s="53" t="n">
        <v>351</v>
      </c>
      <c r="D1386" s="53" t="n">
        <v>1</v>
      </c>
      <c r="E1386" s="65" t="str">
        <f aca="false">IF($H1386="","",购销流水!$B351)</f>
        <v/>
      </c>
      <c r="F1386" s="55" t="str">
        <f aca="false">IF($H1386="","",购销流水!$C351)</f>
        <v/>
      </c>
      <c r="G1386" s="48" t="str">
        <f aca="false">IF($H1386="","",购销流水!$N351)</f>
        <v/>
      </c>
      <c r="H1386" s="10" t="str">
        <f aca="false">IF($L1386="","",IF($L1386="@成本",购销流水!$U351,IF($L1386="@收入",购销流水!$T351,IF($L1386="@存货",购销流水!$S351,IF($L1386="@结算",购销流水!$R351,$L1386)))))</f>
        <v/>
      </c>
      <c r="I1386" s="42" t="n">
        <f aca="false">IF($M1386="借",$O1386,0)</f>
        <v>0</v>
      </c>
      <c r="J1386" s="42" t="n">
        <f aca="false">IF($M1386="贷",$O1386,0)</f>
        <v>0</v>
      </c>
      <c r="K1386" s="48" t="str">
        <f aca="false">IF($H1386="","",购销流水!$E351)</f>
        <v/>
      </c>
      <c r="L1386" s="66" t="str">
        <f aca="false">IF(购销流水!$D351="","",IFERROR(INDEX(记账规则!$A$6:$N$9,MATCH(购销流水!$D351,记账规则!$A$6:$A$9,0),3),""))</f>
        <v/>
      </c>
      <c r="M1386" s="66" t="str">
        <f aca="false">IF($L1386="","",IFERROR(INDEX(记账规则!$A$6:$N$9,MATCH(购销流水!$D351,记账规则!$A$6:$A$9,0),4),""))</f>
        <v/>
      </c>
      <c r="N1386" s="66" t="str">
        <f aca="false">IF($L1386="","",IFERROR(INDEX(记账规则!$A$6:$N$9,MATCH(购销流水!$D351,记账规则!$A$6:$A$9,0),5),""))</f>
        <v/>
      </c>
      <c r="O1386" s="67" t="n">
        <f aca="false">IF($H1386="",0,ROUND(IF($N1386="成本金额",N(购销流水!$W351),IF($N1386="金额",N(购销流水!$Q351),0)),2))</f>
        <v>0</v>
      </c>
      <c r="P1386" s="64" t="str">
        <f aca="false">IF(AND($H1386&lt;&gt;"",ROUND($O1386,2)&lt;&gt;0),"有","")</f>
        <v/>
      </c>
    </row>
    <row r="1387" customFormat="false" ht="15" hidden="true" customHeight="false" outlineLevel="0" collapsed="false">
      <c r="A1387" s="53" t="str">
        <f aca="false">IF($H1387="","",ROW()-5)</f>
        <v/>
      </c>
      <c r="B1387" s="64" t="s">
        <v>36</v>
      </c>
      <c r="C1387" s="53" t="n">
        <v>351</v>
      </c>
      <c r="D1387" s="53" t="n">
        <v>2</v>
      </c>
      <c r="E1387" s="65" t="str">
        <f aca="false">IF($H1387="","",购销流水!$B351)</f>
        <v/>
      </c>
      <c r="F1387" s="55" t="str">
        <f aca="false">IF($H1387="","",购销流水!$C351)</f>
        <v/>
      </c>
      <c r="G1387" s="48" t="str">
        <f aca="false">IF($H1387="","",购销流水!$N351)</f>
        <v/>
      </c>
      <c r="H1387" s="10" t="str">
        <f aca="false">IF($L1387="","",IF($L1387="@成本",购销流水!$U351,IF($L1387="@收入",购销流水!$T351,IF($L1387="@存货",购销流水!$S351,IF($L1387="@结算",购销流水!$R351,$L1387)))))</f>
        <v/>
      </c>
      <c r="I1387" s="42" t="n">
        <f aca="false">IF($M1387="借",$O1387,0)</f>
        <v>0</v>
      </c>
      <c r="J1387" s="42" t="n">
        <f aca="false">IF($M1387="贷",$O1387,0)</f>
        <v>0</v>
      </c>
      <c r="K1387" s="48" t="str">
        <f aca="false">IF($H1387="","",购销流水!$E351)</f>
        <v/>
      </c>
      <c r="L1387" s="66" t="str">
        <f aca="false">IF(购销流水!$D351="","",IFERROR(INDEX(记账规则!$A$6:$N$9,MATCH(购销流水!$D351,记账规则!$A$6:$A$9,0),6),""))</f>
        <v/>
      </c>
      <c r="M1387" s="66" t="str">
        <f aca="false">IF($L1387="","",IFERROR(INDEX(记账规则!$A$6:$N$9,MATCH(购销流水!$D351,记账规则!$A$6:$A$9,0),7),""))</f>
        <v/>
      </c>
      <c r="N1387" s="66" t="str">
        <f aca="false">IF($L1387="","",IFERROR(INDEX(记账规则!$A$6:$N$9,MATCH(购销流水!$D351,记账规则!$A$6:$A$9,0),8),""))</f>
        <v/>
      </c>
      <c r="O1387" s="67" t="n">
        <f aca="false">IF($H1387="",0,ROUND(IF($N1387="成本金额",N(购销流水!$W351),IF($N1387="金额",N(购销流水!$Q351),0)),2))</f>
        <v>0</v>
      </c>
      <c r="P1387" s="64" t="str">
        <f aca="false">IF(AND($H1387&lt;&gt;"",ROUND($O1387,2)&lt;&gt;0),"有","")</f>
        <v/>
      </c>
    </row>
    <row r="1388" customFormat="false" ht="15" hidden="true" customHeight="false" outlineLevel="0" collapsed="false">
      <c r="A1388" s="53" t="str">
        <f aca="false">IF($H1388="","",ROW()-5)</f>
        <v/>
      </c>
      <c r="B1388" s="64" t="s">
        <v>36</v>
      </c>
      <c r="C1388" s="53" t="n">
        <v>351</v>
      </c>
      <c r="D1388" s="53" t="n">
        <v>3</v>
      </c>
      <c r="E1388" s="65" t="str">
        <f aca="false">IF($H1388="","",购销流水!$B351)</f>
        <v/>
      </c>
      <c r="F1388" s="55" t="str">
        <f aca="false">IF($H1388="","",购销流水!$C351)</f>
        <v/>
      </c>
      <c r="G1388" s="48" t="str">
        <f aca="false">IF($H1388="","",购销流水!$N351)</f>
        <v/>
      </c>
      <c r="H1388" s="10" t="str">
        <f aca="false">IF($L1388="","",IF($L1388="@成本",购销流水!$U351,IF($L1388="@收入",购销流水!$T351,IF($L1388="@存货",购销流水!$S351,IF($L1388="@结算",购销流水!$R351,$L1388)))))</f>
        <v/>
      </c>
      <c r="I1388" s="42" t="n">
        <f aca="false">IF($M1388="借",$O1388,0)</f>
        <v>0</v>
      </c>
      <c r="J1388" s="42" t="n">
        <f aca="false">IF($M1388="贷",$O1388,0)</f>
        <v>0</v>
      </c>
      <c r="K1388" s="48" t="str">
        <f aca="false">IF($H1388="","",购销流水!$E351)</f>
        <v/>
      </c>
      <c r="L1388" s="66" t="str">
        <f aca="false">IF(购销流水!$D351="","",IFERROR(INDEX(记账规则!$A$6:$N$9,MATCH(购销流水!$D351,记账规则!$A$6:$A$9,0),9),""))</f>
        <v/>
      </c>
      <c r="M1388" s="66" t="str">
        <f aca="false">IF($L1388="","",IFERROR(INDEX(记账规则!$A$6:$N$9,MATCH(购销流水!$D351,记账规则!$A$6:$A$9,0),10),""))</f>
        <v/>
      </c>
      <c r="N1388" s="66" t="str">
        <f aca="false">IF($L1388="","",IFERROR(INDEX(记账规则!$A$6:$N$9,MATCH(购销流水!$D351,记账规则!$A$6:$A$9,0),11),""))</f>
        <v/>
      </c>
      <c r="O1388" s="67" t="n">
        <f aca="false">IF($H1388="",0,ROUND(IF($N1388="成本金额",N(购销流水!$W351),IF($N1388="金额",N(购销流水!$Q351),0)),2))</f>
        <v>0</v>
      </c>
      <c r="P1388" s="64" t="str">
        <f aca="false">IF(AND($H1388&lt;&gt;"",ROUND($O1388,2)&lt;&gt;0),"有","")</f>
        <v/>
      </c>
    </row>
    <row r="1389" customFormat="false" ht="15" hidden="true" customHeight="false" outlineLevel="0" collapsed="false">
      <c r="A1389" s="53" t="str">
        <f aca="false">IF($H1389="","",ROW()-5)</f>
        <v/>
      </c>
      <c r="B1389" s="64" t="s">
        <v>36</v>
      </c>
      <c r="C1389" s="53" t="n">
        <v>351</v>
      </c>
      <c r="D1389" s="53" t="n">
        <v>4</v>
      </c>
      <c r="E1389" s="65" t="str">
        <f aca="false">IF($H1389="","",购销流水!$B351)</f>
        <v/>
      </c>
      <c r="F1389" s="55" t="str">
        <f aca="false">IF($H1389="","",购销流水!$C351)</f>
        <v/>
      </c>
      <c r="G1389" s="48" t="str">
        <f aca="false">IF($H1389="","",购销流水!$N351)</f>
        <v/>
      </c>
      <c r="H1389" s="10" t="str">
        <f aca="false">IF($L1389="","",IF($L1389="@成本",购销流水!$U351,IF($L1389="@收入",购销流水!$T351,IF($L1389="@存货",购销流水!$S351,IF($L1389="@结算",购销流水!$R351,$L1389)))))</f>
        <v/>
      </c>
      <c r="I1389" s="42" t="n">
        <f aca="false">IF($M1389="借",$O1389,0)</f>
        <v>0</v>
      </c>
      <c r="J1389" s="42" t="n">
        <f aca="false">IF($M1389="贷",$O1389,0)</f>
        <v>0</v>
      </c>
      <c r="K1389" s="48" t="str">
        <f aca="false">IF($H1389="","",购销流水!$E351)</f>
        <v/>
      </c>
      <c r="L1389" s="66" t="str">
        <f aca="false">IF(购销流水!$D351="","",IFERROR(INDEX(记账规则!$A$6:$N$9,MATCH(购销流水!$D351,记账规则!$A$6:$A$9,0),12),""))</f>
        <v/>
      </c>
      <c r="M1389" s="66" t="str">
        <f aca="false">IF($L1389="","",IFERROR(INDEX(记账规则!$A$6:$N$9,MATCH(购销流水!$D351,记账规则!$A$6:$A$9,0),13),""))</f>
        <v/>
      </c>
      <c r="N1389" s="66" t="str">
        <f aca="false">IF($L1389="","",IFERROR(INDEX(记账规则!$A$6:$N$9,MATCH(购销流水!$D351,记账规则!$A$6:$A$9,0),14),""))</f>
        <v/>
      </c>
      <c r="O1389" s="67" t="n">
        <f aca="false">IF($H1389="",0,ROUND(IF($N1389="成本金额",N(购销流水!$W351),IF($N1389="金额",N(购销流水!$Q351),0)),2))</f>
        <v>0</v>
      </c>
      <c r="P1389" s="64" t="str">
        <f aca="false">IF(AND($H1389&lt;&gt;"",ROUND($O1389,2)&lt;&gt;0),"有","")</f>
        <v/>
      </c>
    </row>
    <row r="1390" customFormat="false" ht="15" hidden="true" customHeight="false" outlineLevel="0" collapsed="false">
      <c r="A1390" s="53" t="str">
        <f aca="false">IF($H1390="","",ROW()-5)</f>
        <v/>
      </c>
      <c r="B1390" s="64" t="s">
        <v>36</v>
      </c>
      <c r="C1390" s="53" t="n">
        <v>352</v>
      </c>
      <c r="D1390" s="53" t="n">
        <v>1</v>
      </c>
      <c r="E1390" s="65" t="str">
        <f aca="false">IF($H1390="","",购销流水!$B352)</f>
        <v/>
      </c>
      <c r="F1390" s="55" t="str">
        <f aca="false">IF($H1390="","",购销流水!$C352)</f>
        <v/>
      </c>
      <c r="G1390" s="48" t="str">
        <f aca="false">IF($H1390="","",购销流水!$N352)</f>
        <v/>
      </c>
      <c r="H1390" s="10" t="str">
        <f aca="false">IF($L1390="","",IF($L1390="@成本",购销流水!$U352,IF($L1390="@收入",购销流水!$T352,IF($L1390="@存货",购销流水!$S352,IF($L1390="@结算",购销流水!$R352,$L1390)))))</f>
        <v/>
      </c>
      <c r="I1390" s="42" t="n">
        <f aca="false">IF($M1390="借",$O1390,0)</f>
        <v>0</v>
      </c>
      <c r="J1390" s="42" t="n">
        <f aca="false">IF($M1390="贷",$O1390,0)</f>
        <v>0</v>
      </c>
      <c r="K1390" s="48" t="str">
        <f aca="false">IF($H1390="","",购销流水!$E352)</f>
        <v/>
      </c>
      <c r="L1390" s="66" t="str">
        <f aca="false">IF(购销流水!$D352="","",IFERROR(INDEX(记账规则!$A$6:$N$9,MATCH(购销流水!$D352,记账规则!$A$6:$A$9,0),3),""))</f>
        <v/>
      </c>
      <c r="M1390" s="66" t="str">
        <f aca="false">IF($L1390="","",IFERROR(INDEX(记账规则!$A$6:$N$9,MATCH(购销流水!$D352,记账规则!$A$6:$A$9,0),4),""))</f>
        <v/>
      </c>
      <c r="N1390" s="66" t="str">
        <f aca="false">IF($L1390="","",IFERROR(INDEX(记账规则!$A$6:$N$9,MATCH(购销流水!$D352,记账规则!$A$6:$A$9,0),5),""))</f>
        <v/>
      </c>
      <c r="O1390" s="67" t="n">
        <f aca="false">IF($H1390="",0,ROUND(IF($N1390="成本金额",N(购销流水!$W352),IF($N1390="金额",N(购销流水!$Q352),0)),2))</f>
        <v>0</v>
      </c>
      <c r="P1390" s="64" t="str">
        <f aca="false">IF(AND($H1390&lt;&gt;"",ROUND($O1390,2)&lt;&gt;0),"有","")</f>
        <v/>
      </c>
    </row>
    <row r="1391" customFormat="false" ht="15" hidden="true" customHeight="false" outlineLevel="0" collapsed="false">
      <c r="A1391" s="53" t="str">
        <f aca="false">IF($H1391="","",ROW()-5)</f>
        <v/>
      </c>
      <c r="B1391" s="64" t="s">
        <v>36</v>
      </c>
      <c r="C1391" s="53" t="n">
        <v>352</v>
      </c>
      <c r="D1391" s="53" t="n">
        <v>2</v>
      </c>
      <c r="E1391" s="65" t="str">
        <f aca="false">IF($H1391="","",购销流水!$B352)</f>
        <v/>
      </c>
      <c r="F1391" s="55" t="str">
        <f aca="false">IF($H1391="","",购销流水!$C352)</f>
        <v/>
      </c>
      <c r="G1391" s="48" t="str">
        <f aca="false">IF($H1391="","",购销流水!$N352)</f>
        <v/>
      </c>
      <c r="H1391" s="10" t="str">
        <f aca="false">IF($L1391="","",IF($L1391="@成本",购销流水!$U352,IF($L1391="@收入",购销流水!$T352,IF($L1391="@存货",购销流水!$S352,IF($L1391="@结算",购销流水!$R352,$L1391)))))</f>
        <v/>
      </c>
      <c r="I1391" s="42" t="n">
        <f aca="false">IF($M1391="借",$O1391,0)</f>
        <v>0</v>
      </c>
      <c r="J1391" s="42" t="n">
        <f aca="false">IF($M1391="贷",$O1391,0)</f>
        <v>0</v>
      </c>
      <c r="K1391" s="48" t="str">
        <f aca="false">IF($H1391="","",购销流水!$E352)</f>
        <v/>
      </c>
      <c r="L1391" s="66" t="str">
        <f aca="false">IF(购销流水!$D352="","",IFERROR(INDEX(记账规则!$A$6:$N$9,MATCH(购销流水!$D352,记账规则!$A$6:$A$9,0),6),""))</f>
        <v/>
      </c>
      <c r="M1391" s="66" t="str">
        <f aca="false">IF($L1391="","",IFERROR(INDEX(记账规则!$A$6:$N$9,MATCH(购销流水!$D352,记账规则!$A$6:$A$9,0),7),""))</f>
        <v/>
      </c>
      <c r="N1391" s="66" t="str">
        <f aca="false">IF($L1391="","",IFERROR(INDEX(记账规则!$A$6:$N$9,MATCH(购销流水!$D352,记账规则!$A$6:$A$9,0),8),""))</f>
        <v/>
      </c>
      <c r="O1391" s="67" t="n">
        <f aca="false">IF($H1391="",0,ROUND(IF($N1391="成本金额",N(购销流水!$W352),IF($N1391="金额",N(购销流水!$Q352),0)),2))</f>
        <v>0</v>
      </c>
      <c r="P1391" s="64" t="str">
        <f aca="false">IF(AND($H1391&lt;&gt;"",ROUND($O1391,2)&lt;&gt;0),"有","")</f>
        <v/>
      </c>
    </row>
    <row r="1392" customFormat="false" ht="15" hidden="true" customHeight="false" outlineLevel="0" collapsed="false">
      <c r="A1392" s="53" t="str">
        <f aca="false">IF($H1392="","",ROW()-5)</f>
        <v/>
      </c>
      <c r="B1392" s="64" t="s">
        <v>36</v>
      </c>
      <c r="C1392" s="53" t="n">
        <v>352</v>
      </c>
      <c r="D1392" s="53" t="n">
        <v>3</v>
      </c>
      <c r="E1392" s="65" t="str">
        <f aca="false">IF($H1392="","",购销流水!$B352)</f>
        <v/>
      </c>
      <c r="F1392" s="55" t="str">
        <f aca="false">IF($H1392="","",购销流水!$C352)</f>
        <v/>
      </c>
      <c r="G1392" s="48" t="str">
        <f aca="false">IF($H1392="","",购销流水!$N352)</f>
        <v/>
      </c>
      <c r="H1392" s="10" t="str">
        <f aca="false">IF($L1392="","",IF($L1392="@成本",购销流水!$U352,IF($L1392="@收入",购销流水!$T352,IF($L1392="@存货",购销流水!$S352,IF($L1392="@结算",购销流水!$R352,$L1392)))))</f>
        <v/>
      </c>
      <c r="I1392" s="42" t="n">
        <f aca="false">IF($M1392="借",$O1392,0)</f>
        <v>0</v>
      </c>
      <c r="J1392" s="42" t="n">
        <f aca="false">IF($M1392="贷",$O1392,0)</f>
        <v>0</v>
      </c>
      <c r="K1392" s="48" t="str">
        <f aca="false">IF($H1392="","",购销流水!$E352)</f>
        <v/>
      </c>
      <c r="L1392" s="66" t="str">
        <f aca="false">IF(购销流水!$D352="","",IFERROR(INDEX(记账规则!$A$6:$N$9,MATCH(购销流水!$D352,记账规则!$A$6:$A$9,0),9),""))</f>
        <v/>
      </c>
      <c r="M1392" s="66" t="str">
        <f aca="false">IF($L1392="","",IFERROR(INDEX(记账规则!$A$6:$N$9,MATCH(购销流水!$D352,记账规则!$A$6:$A$9,0),10),""))</f>
        <v/>
      </c>
      <c r="N1392" s="66" t="str">
        <f aca="false">IF($L1392="","",IFERROR(INDEX(记账规则!$A$6:$N$9,MATCH(购销流水!$D352,记账规则!$A$6:$A$9,0),11),""))</f>
        <v/>
      </c>
      <c r="O1392" s="67" t="n">
        <f aca="false">IF($H1392="",0,ROUND(IF($N1392="成本金额",N(购销流水!$W352),IF($N1392="金额",N(购销流水!$Q352),0)),2))</f>
        <v>0</v>
      </c>
      <c r="P1392" s="64" t="str">
        <f aca="false">IF(AND($H1392&lt;&gt;"",ROUND($O1392,2)&lt;&gt;0),"有","")</f>
        <v/>
      </c>
    </row>
    <row r="1393" customFormat="false" ht="15" hidden="true" customHeight="false" outlineLevel="0" collapsed="false">
      <c r="A1393" s="53" t="str">
        <f aca="false">IF($H1393="","",ROW()-5)</f>
        <v/>
      </c>
      <c r="B1393" s="64" t="s">
        <v>36</v>
      </c>
      <c r="C1393" s="53" t="n">
        <v>352</v>
      </c>
      <c r="D1393" s="53" t="n">
        <v>4</v>
      </c>
      <c r="E1393" s="65" t="str">
        <f aca="false">IF($H1393="","",购销流水!$B352)</f>
        <v/>
      </c>
      <c r="F1393" s="55" t="str">
        <f aca="false">IF($H1393="","",购销流水!$C352)</f>
        <v/>
      </c>
      <c r="G1393" s="48" t="str">
        <f aca="false">IF($H1393="","",购销流水!$N352)</f>
        <v/>
      </c>
      <c r="H1393" s="10" t="str">
        <f aca="false">IF($L1393="","",IF($L1393="@成本",购销流水!$U352,IF($L1393="@收入",购销流水!$T352,IF($L1393="@存货",购销流水!$S352,IF($L1393="@结算",购销流水!$R352,$L1393)))))</f>
        <v/>
      </c>
      <c r="I1393" s="42" t="n">
        <f aca="false">IF($M1393="借",$O1393,0)</f>
        <v>0</v>
      </c>
      <c r="J1393" s="42" t="n">
        <f aca="false">IF($M1393="贷",$O1393,0)</f>
        <v>0</v>
      </c>
      <c r="K1393" s="48" t="str">
        <f aca="false">IF($H1393="","",购销流水!$E352)</f>
        <v/>
      </c>
      <c r="L1393" s="66" t="str">
        <f aca="false">IF(购销流水!$D352="","",IFERROR(INDEX(记账规则!$A$6:$N$9,MATCH(购销流水!$D352,记账规则!$A$6:$A$9,0),12),""))</f>
        <v/>
      </c>
      <c r="M1393" s="66" t="str">
        <f aca="false">IF($L1393="","",IFERROR(INDEX(记账规则!$A$6:$N$9,MATCH(购销流水!$D352,记账规则!$A$6:$A$9,0),13),""))</f>
        <v/>
      </c>
      <c r="N1393" s="66" t="str">
        <f aca="false">IF($L1393="","",IFERROR(INDEX(记账规则!$A$6:$N$9,MATCH(购销流水!$D352,记账规则!$A$6:$A$9,0),14),""))</f>
        <v/>
      </c>
      <c r="O1393" s="67" t="n">
        <f aca="false">IF($H1393="",0,ROUND(IF($N1393="成本金额",N(购销流水!$W352),IF($N1393="金额",N(购销流水!$Q352),0)),2))</f>
        <v>0</v>
      </c>
      <c r="P1393" s="64" t="str">
        <f aca="false">IF(AND($H1393&lt;&gt;"",ROUND($O1393,2)&lt;&gt;0),"有","")</f>
        <v/>
      </c>
    </row>
    <row r="1394" customFormat="false" ht="15" hidden="true" customHeight="false" outlineLevel="0" collapsed="false">
      <c r="A1394" s="53" t="str">
        <f aca="false">IF($H1394="","",ROW()-5)</f>
        <v/>
      </c>
      <c r="B1394" s="64" t="s">
        <v>36</v>
      </c>
      <c r="C1394" s="53" t="n">
        <v>353</v>
      </c>
      <c r="D1394" s="53" t="n">
        <v>1</v>
      </c>
      <c r="E1394" s="65" t="str">
        <f aca="false">IF($H1394="","",购销流水!$B353)</f>
        <v/>
      </c>
      <c r="F1394" s="55" t="str">
        <f aca="false">IF($H1394="","",购销流水!$C353)</f>
        <v/>
      </c>
      <c r="G1394" s="48" t="str">
        <f aca="false">IF($H1394="","",购销流水!$N353)</f>
        <v/>
      </c>
      <c r="H1394" s="10" t="str">
        <f aca="false">IF($L1394="","",IF($L1394="@成本",购销流水!$U353,IF($L1394="@收入",购销流水!$T353,IF($L1394="@存货",购销流水!$S353,IF($L1394="@结算",购销流水!$R353,$L1394)))))</f>
        <v/>
      </c>
      <c r="I1394" s="42" t="n">
        <f aca="false">IF($M1394="借",$O1394,0)</f>
        <v>0</v>
      </c>
      <c r="J1394" s="42" t="n">
        <f aca="false">IF($M1394="贷",$O1394,0)</f>
        <v>0</v>
      </c>
      <c r="K1394" s="48" t="str">
        <f aca="false">IF($H1394="","",购销流水!$E353)</f>
        <v/>
      </c>
      <c r="L1394" s="66" t="str">
        <f aca="false">IF(购销流水!$D353="","",IFERROR(INDEX(记账规则!$A$6:$N$9,MATCH(购销流水!$D353,记账规则!$A$6:$A$9,0),3),""))</f>
        <v/>
      </c>
      <c r="M1394" s="66" t="str">
        <f aca="false">IF($L1394="","",IFERROR(INDEX(记账规则!$A$6:$N$9,MATCH(购销流水!$D353,记账规则!$A$6:$A$9,0),4),""))</f>
        <v/>
      </c>
      <c r="N1394" s="66" t="str">
        <f aca="false">IF($L1394="","",IFERROR(INDEX(记账规则!$A$6:$N$9,MATCH(购销流水!$D353,记账规则!$A$6:$A$9,0),5),""))</f>
        <v/>
      </c>
      <c r="O1394" s="67" t="n">
        <f aca="false">IF($H1394="",0,ROUND(IF($N1394="成本金额",N(购销流水!$W353),IF($N1394="金额",N(购销流水!$Q353),0)),2))</f>
        <v>0</v>
      </c>
      <c r="P1394" s="64" t="str">
        <f aca="false">IF(AND($H1394&lt;&gt;"",ROUND($O1394,2)&lt;&gt;0),"有","")</f>
        <v/>
      </c>
    </row>
    <row r="1395" customFormat="false" ht="15" hidden="true" customHeight="false" outlineLevel="0" collapsed="false">
      <c r="A1395" s="53" t="str">
        <f aca="false">IF($H1395="","",ROW()-5)</f>
        <v/>
      </c>
      <c r="B1395" s="64" t="s">
        <v>36</v>
      </c>
      <c r="C1395" s="53" t="n">
        <v>353</v>
      </c>
      <c r="D1395" s="53" t="n">
        <v>2</v>
      </c>
      <c r="E1395" s="65" t="str">
        <f aca="false">IF($H1395="","",购销流水!$B353)</f>
        <v/>
      </c>
      <c r="F1395" s="55" t="str">
        <f aca="false">IF($H1395="","",购销流水!$C353)</f>
        <v/>
      </c>
      <c r="G1395" s="48" t="str">
        <f aca="false">IF($H1395="","",购销流水!$N353)</f>
        <v/>
      </c>
      <c r="H1395" s="10" t="str">
        <f aca="false">IF($L1395="","",IF($L1395="@成本",购销流水!$U353,IF($L1395="@收入",购销流水!$T353,IF($L1395="@存货",购销流水!$S353,IF($L1395="@结算",购销流水!$R353,$L1395)))))</f>
        <v/>
      </c>
      <c r="I1395" s="42" t="n">
        <f aca="false">IF($M1395="借",$O1395,0)</f>
        <v>0</v>
      </c>
      <c r="J1395" s="42" t="n">
        <f aca="false">IF($M1395="贷",$O1395,0)</f>
        <v>0</v>
      </c>
      <c r="K1395" s="48" t="str">
        <f aca="false">IF($H1395="","",购销流水!$E353)</f>
        <v/>
      </c>
      <c r="L1395" s="66" t="str">
        <f aca="false">IF(购销流水!$D353="","",IFERROR(INDEX(记账规则!$A$6:$N$9,MATCH(购销流水!$D353,记账规则!$A$6:$A$9,0),6),""))</f>
        <v/>
      </c>
      <c r="M1395" s="66" t="str">
        <f aca="false">IF($L1395="","",IFERROR(INDEX(记账规则!$A$6:$N$9,MATCH(购销流水!$D353,记账规则!$A$6:$A$9,0),7),""))</f>
        <v/>
      </c>
      <c r="N1395" s="66" t="str">
        <f aca="false">IF($L1395="","",IFERROR(INDEX(记账规则!$A$6:$N$9,MATCH(购销流水!$D353,记账规则!$A$6:$A$9,0),8),""))</f>
        <v/>
      </c>
      <c r="O1395" s="67" t="n">
        <f aca="false">IF($H1395="",0,ROUND(IF($N1395="成本金额",N(购销流水!$W353),IF($N1395="金额",N(购销流水!$Q353),0)),2))</f>
        <v>0</v>
      </c>
      <c r="P1395" s="64" t="str">
        <f aca="false">IF(AND($H1395&lt;&gt;"",ROUND($O1395,2)&lt;&gt;0),"有","")</f>
        <v/>
      </c>
    </row>
    <row r="1396" customFormat="false" ht="15" hidden="true" customHeight="false" outlineLevel="0" collapsed="false">
      <c r="A1396" s="53" t="str">
        <f aca="false">IF($H1396="","",ROW()-5)</f>
        <v/>
      </c>
      <c r="B1396" s="64" t="s">
        <v>36</v>
      </c>
      <c r="C1396" s="53" t="n">
        <v>353</v>
      </c>
      <c r="D1396" s="53" t="n">
        <v>3</v>
      </c>
      <c r="E1396" s="65" t="str">
        <f aca="false">IF($H1396="","",购销流水!$B353)</f>
        <v/>
      </c>
      <c r="F1396" s="55" t="str">
        <f aca="false">IF($H1396="","",购销流水!$C353)</f>
        <v/>
      </c>
      <c r="G1396" s="48" t="str">
        <f aca="false">IF($H1396="","",购销流水!$N353)</f>
        <v/>
      </c>
      <c r="H1396" s="10" t="str">
        <f aca="false">IF($L1396="","",IF($L1396="@成本",购销流水!$U353,IF($L1396="@收入",购销流水!$T353,IF($L1396="@存货",购销流水!$S353,IF($L1396="@结算",购销流水!$R353,$L1396)))))</f>
        <v/>
      </c>
      <c r="I1396" s="42" t="n">
        <f aca="false">IF($M1396="借",$O1396,0)</f>
        <v>0</v>
      </c>
      <c r="J1396" s="42" t="n">
        <f aca="false">IF($M1396="贷",$O1396,0)</f>
        <v>0</v>
      </c>
      <c r="K1396" s="48" t="str">
        <f aca="false">IF($H1396="","",购销流水!$E353)</f>
        <v/>
      </c>
      <c r="L1396" s="66" t="str">
        <f aca="false">IF(购销流水!$D353="","",IFERROR(INDEX(记账规则!$A$6:$N$9,MATCH(购销流水!$D353,记账规则!$A$6:$A$9,0),9),""))</f>
        <v/>
      </c>
      <c r="M1396" s="66" t="str">
        <f aca="false">IF($L1396="","",IFERROR(INDEX(记账规则!$A$6:$N$9,MATCH(购销流水!$D353,记账规则!$A$6:$A$9,0),10),""))</f>
        <v/>
      </c>
      <c r="N1396" s="66" t="str">
        <f aca="false">IF($L1396="","",IFERROR(INDEX(记账规则!$A$6:$N$9,MATCH(购销流水!$D353,记账规则!$A$6:$A$9,0),11),""))</f>
        <v/>
      </c>
      <c r="O1396" s="67" t="n">
        <f aca="false">IF($H1396="",0,ROUND(IF($N1396="成本金额",N(购销流水!$W353),IF($N1396="金额",N(购销流水!$Q353),0)),2))</f>
        <v>0</v>
      </c>
      <c r="P1396" s="64" t="str">
        <f aca="false">IF(AND($H1396&lt;&gt;"",ROUND($O1396,2)&lt;&gt;0),"有","")</f>
        <v/>
      </c>
    </row>
    <row r="1397" customFormat="false" ht="15" hidden="true" customHeight="false" outlineLevel="0" collapsed="false">
      <c r="A1397" s="53" t="str">
        <f aca="false">IF($H1397="","",ROW()-5)</f>
        <v/>
      </c>
      <c r="B1397" s="64" t="s">
        <v>36</v>
      </c>
      <c r="C1397" s="53" t="n">
        <v>353</v>
      </c>
      <c r="D1397" s="53" t="n">
        <v>4</v>
      </c>
      <c r="E1397" s="65" t="str">
        <f aca="false">IF($H1397="","",购销流水!$B353)</f>
        <v/>
      </c>
      <c r="F1397" s="55" t="str">
        <f aca="false">IF($H1397="","",购销流水!$C353)</f>
        <v/>
      </c>
      <c r="G1397" s="48" t="str">
        <f aca="false">IF($H1397="","",购销流水!$N353)</f>
        <v/>
      </c>
      <c r="H1397" s="10" t="str">
        <f aca="false">IF($L1397="","",IF($L1397="@成本",购销流水!$U353,IF($L1397="@收入",购销流水!$T353,IF($L1397="@存货",购销流水!$S353,IF($L1397="@结算",购销流水!$R353,$L1397)))))</f>
        <v/>
      </c>
      <c r="I1397" s="42" t="n">
        <f aca="false">IF($M1397="借",$O1397,0)</f>
        <v>0</v>
      </c>
      <c r="J1397" s="42" t="n">
        <f aca="false">IF($M1397="贷",$O1397,0)</f>
        <v>0</v>
      </c>
      <c r="K1397" s="48" t="str">
        <f aca="false">IF($H1397="","",购销流水!$E353)</f>
        <v/>
      </c>
      <c r="L1397" s="66" t="str">
        <f aca="false">IF(购销流水!$D353="","",IFERROR(INDEX(记账规则!$A$6:$N$9,MATCH(购销流水!$D353,记账规则!$A$6:$A$9,0),12),""))</f>
        <v/>
      </c>
      <c r="M1397" s="66" t="str">
        <f aca="false">IF($L1397="","",IFERROR(INDEX(记账规则!$A$6:$N$9,MATCH(购销流水!$D353,记账规则!$A$6:$A$9,0),13),""))</f>
        <v/>
      </c>
      <c r="N1397" s="66" t="str">
        <f aca="false">IF($L1397="","",IFERROR(INDEX(记账规则!$A$6:$N$9,MATCH(购销流水!$D353,记账规则!$A$6:$A$9,0),14),""))</f>
        <v/>
      </c>
      <c r="O1397" s="67" t="n">
        <f aca="false">IF($H1397="",0,ROUND(IF($N1397="成本金额",N(购销流水!$W353),IF($N1397="金额",N(购销流水!$Q353),0)),2))</f>
        <v>0</v>
      </c>
      <c r="P1397" s="64" t="str">
        <f aca="false">IF(AND($H1397&lt;&gt;"",ROUND($O1397,2)&lt;&gt;0),"有","")</f>
        <v/>
      </c>
    </row>
    <row r="1398" customFormat="false" ht="15" hidden="true" customHeight="false" outlineLevel="0" collapsed="false">
      <c r="A1398" s="53" t="str">
        <f aca="false">IF($H1398="","",ROW()-5)</f>
        <v/>
      </c>
      <c r="B1398" s="64" t="s">
        <v>36</v>
      </c>
      <c r="C1398" s="53" t="n">
        <v>354</v>
      </c>
      <c r="D1398" s="53" t="n">
        <v>1</v>
      </c>
      <c r="E1398" s="65" t="str">
        <f aca="false">IF($H1398="","",购销流水!$B354)</f>
        <v/>
      </c>
      <c r="F1398" s="55" t="str">
        <f aca="false">IF($H1398="","",购销流水!$C354)</f>
        <v/>
      </c>
      <c r="G1398" s="48" t="str">
        <f aca="false">IF($H1398="","",购销流水!$N354)</f>
        <v/>
      </c>
      <c r="H1398" s="10" t="str">
        <f aca="false">IF($L1398="","",IF($L1398="@成本",购销流水!$U354,IF($L1398="@收入",购销流水!$T354,IF($L1398="@存货",购销流水!$S354,IF($L1398="@结算",购销流水!$R354,$L1398)))))</f>
        <v/>
      </c>
      <c r="I1398" s="42" t="n">
        <f aca="false">IF($M1398="借",$O1398,0)</f>
        <v>0</v>
      </c>
      <c r="J1398" s="42" t="n">
        <f aca="false">IF($M1398="贷",$O1398,0)</f>
        <v>0</v>
      </c>
      <c r="K1398" s="48" t="str">
        <f aca="false">IF($H1398="","",购销流水!$E354)</f>
        <v/>
      </c>
      <c r="L1398" s="66" t="str">
        <f aca="false">IF(购销流水!$D354="","",IFERROR(INDEX(记账规则!$A$6:$N$9,MATCH(购销流水!$D354,记账规则!$A$6:$A$9,0),3),""))</f>
        <v/>
      </c>
      <c r="M1398" s="66" t="str">
        <f aca="false">IF($L1398="","",IFERROR(INDEX(记账规则!$A$6:$N$9,MATCH(购销流水!$D354,记账规则!$A$6:$A$9,0),4),""))</f>
        <v/>
      </c>
      <c r="N1398" s="66" t="str">
        <f aca="false">IF($L1398="","",IFERROR(INDEX(记账规则!$A$6:$N$9,MATCH(购销流水!$D354,记账规则!$A$6:$A$9,0),5),""))</f>
        <v/>
      </c>
      <c r="O1398" s="67" t="n">
        <f aca="false">IF($H1398="",0,ROUND(IF($N1398="成本金额",N(购销流水!$W354),IF($N1398="金额",N(购销流水!$Q354),0)),2))</f>
        <v>0</v>
      </c>
      <c r="P1398" s="64" t="str">
        <f aca="false">IF(AND($H1398&lt;&gt;"",ROUND($O1398,2)&lt;&gt;0),"有","")</f>
        <v/>
      </c>
    </row>
    <row r="1399" customFormat="false" ht="15" hidden="true" customHeight="false" outlineLevel="0" collapsed="false">
      <c r="A1399" s="53" t="str">
        <f aca="false">IF($H1399="","",ROW()-5)</f>
        <v/>
      </c>
      <c r="B1399" s="64" t="s">
        <v>36</v>
      </c>
      <c r="C1399" s="53" t="n">
        <v>354</v>
      </c>
      <c r="D1399" s="53" t="n">
        <v>2</v>
      </c>
      <c r="E1399" s="65" t="str">
        <f aca="false">IF($H1399="","",购销流水!$B354)</f>
        <v/>
      </c>
      <c r="F1399" s="55" t="str">
        <f aca="false">IF($H1399="","",购销流水!$C354)</f>
        <v/>
      </c>
      <c r="G1399" s="48" t="str">
        <f aca="false">IF($H1399="","",购销流水!$N354)</f>
        <v/>
      </c>
      <c r="H1399" s="10" t="str">
        <f aca="false">IF($L1399="","",IF($L1399="@成本",购销流水!$U354,IF($L1399="@收入",购销流水!$T354,IF($L1399="@存货",购销流水!$S354,IF($L1399="@结算",购销流水!$R354,$L1399)))))</f>
        <v/>
      </c>
      <c r="I1399" s="42" t="n">
        <f aca="false">IF($M1399="借",$O1399,0)</f>
        <v>0</v>
      </c>
      <c r="J1399" s="42" t="n">
        <f aca="false">IF($M1399="贷",$O1399,0)</f>
        <v>0</v>
      </c>
      <c r="K1399" s="48" t="str">
        <f aca="false">IF($H1399="","",购销流水!$E354)</f>
        <v/>
      </c>
      <c r="L1399" s="66" t="str">
        <f aca="false">IF(购销流水!$D354="","",IFERROR(INDEX(记账规则!$A$6:$N$9,MATCH(购销流水!$D354,记账规则!$A$6:$A$9,0),6),""))</f>
        <v/>
      </c>
      <c r="M1399" s="66" t="str">
        <f aca="false">IF($L1399="","",IFERROR(INDEX(记账规则!$A$6:$N$9,MATCH(购销流水!$D354,记账规则!$A$6:$A$9,0),7),""))</f>
        <v/>
      </c>
      <c r="N1399" s="66" t="str">
        <f aca="false">IF($L1399="","",IFERROR(INDEX(记账规则!$A$6:$N$9,MATCH(购销流水!$D354,记账规则!$A$6:$A$9,0),8),""))</f>
        <v/>
      </c>
      <c r="O1399" s="67" t="n">
        <f aca="false">IF($H1399="",0,ROUND(IF($N1399="成本金额",N(购销流水!$W354),IF($N1399="金额",N(购销流水!$Q354),0)),2))</f>
        <v>0</v>
      </c>
      <c r="P1399" s="64" t="str">
        <f aca="false">IF(AND($H1399&lt;&gt;"",ROUND($O1399,2)&lt;&gt;0),"有","")</f>
        <v/>
      </c>
    </row>
    <row r="1400" customFormat="false" ht="15" hidden="true" customHeight="false" outlineLevel="0" collapsed="false">
      <c r="A1400" s="53" t="str">
        <f aca="false">IF($H1400="","",ROW()-5)</f>
        <v/>
      </c>
      <c r="B1400" s="64" t="s">
        <v>36</v>
      </c>
      <c r="C1400" s="53" t="n">
        <v>354</v>
      </c>
      <c r="D1400" s="53" t="n">
        <v>3</v>
      </c>
      <c r="E1400" s="65" t="str">
        <f aca="false">IF($H1400="","",购销流水!$B354)</f>
        <v/>
      </c>
      <c r="F1400" s="55" t="str">
        <f aca="false">IF($H1400="","",购销流水!$C354)</f>
        <v/>
      </c>
      <c r="G1400" s="48" t="str">
        <f aca="false">IF($H1400="","",购销流水!$N354)</f>
        <v/>
      </c>
      <c r="H1400" s="10" t="str">
        <f aca="false">IF($L1400="","",IF($L1400="@成本",购销流水!$U354,IF($L1400="@收入",购销流水!$T354,IF($L1400="@存货",购销流水!$S354,IF($L1400="@结算",购销流水!$R354,$L1400)))))</f>
        <v/>
      </c>
      <c r="I1400" s="42" t="n">
        <f aca="false">IF($M1400="借",$O1400,0)</f>
        <v>0</v>
      </c>
      <c r="J1400" s="42" t="n">
        <f aca="false">IF($M1400="贷",$O1400,0)</f>
        <v>0</v>
      </c>
      <c r="K1400" s="48" t="str">
        <f aca="false">IF($H1400="","",购销流水!$E354)</f>
        <v/>
      </c>
      <c r="L1400" s="66" t="str">
        <f aca="false">IF(购销流水!$D354="","",IFERROR(INDEX(记账规则!$A$6:$N$9,MATCH(购销流水!$D354,记账规则!$A$6:$A$9,0),9),""))</f>
        <v/>
      </c>
      <c r="M1400" s="66" t="str">
        <f aca="false">IF($L1400="","",IFERROR(INDEX(记账规则!$A$6:$N$9,MATCH(购销流水!$D354,记账规则!$A$6:$A$9,0),10),""))</f>
        <v/>
      </c>
      <c r="N1400" s="66" t="str">
        <f aca="false">IF($L1400="","",IFERROR(INDEX(记账规则!$A$6:$N$9,MATCH(购销流水!$D354,记账规则!$A$6:$A$9,0),11),""))</f>
        <v/>
      </c>
      <c r="O1400" s="67" t="n">
        <f aca="false">IF($H1400="",0,ROUND(IF($N1400="成本金额",N(购销流水!$W354),IF($N1400="金额",N(购销流水!$Q354),0)),2))</f>
        <v>0</v>
      </c>
      <c r="P1400" s="64" t="str">
        <f aca="false">IF(AND($H1400&lt;&gt;"",ROUND($O1400,2)&lt;&gt;0),"有","")</f>
        <v/>
      </c>
    </row>
    <row r="1401" customFormat="false" ht="15" hidden="true" customHeight="false" outlineLevel="0" collapsed="false">
      <c r="A1401" s="53" t="str">
        <f aca="false">IF($H1401="","",ROW()-5)</f>
        <v/>
      </c>
      <c r="B1401" s="64" t="s">
        <v>36</v>
      </c>
      <c r="C1401" s="53" t="n">
        <v>354</v>
      </c>
      <c r="D1401" s="53" t="n">
        <v>4</v>
      </c>
      <c r="E1401" s="65" t="str">
        <f aca="false">IF($H1401="","",购销流水!$B354)</f>
        <v/>
      </c>
      <c r="F1401" s="55" t="str">
        <f aca="false">IF($H1401="","",购销流水!$C354)</f>
        <v/>
      </c>
      <c r="G1401" s="48" t="str">
        <f aca="false">IF($H1401="","",购销流水!$N354)</f>
        <v/>
      </c>
      <c r="H1401" s="10" t="str">
        <f aca="false">IF($L1401="","",IF($L1401="@成本",购销流水!$U354,IF($L1401="@收入",购销流水!$T354,IF($L1401="@存货",购销流水!$S354,IF($L1401="@结算",购销流水!$R354,$L1401)))))</f>
        <v/>
      </c>
      <c r="I1401" s="42" t="n">
        <f aca="false">IF($M1401="借",$O1401,0)</f>
        <v>0</v>
      </c>
      <c r="J1401" s="42" t="n">
        <f aca="false">IF($M1401="贷",$O1401,0)</f>
        <v>0</v>
      </c>
      <c r="K1401" s="48" t="str">
        <f aca="false">IF($H1401="","",购销流水!$E354)</f>
        <v/>
      </c>
      <c r="L1401" s="66" t="str">
        <f aca="false">IF(购销流水!$D354="","",IFERROR(INDEX(记账规则!$A$6:$N$9,MATCH(购销流水!$D354,记账规则!$A$6:$A$9,0),12),""))</f>
        <v/>
      </c>
      <c r="M1401" s="66" t="str">
        <f aca="false">IF($L1401="","",IFERROR(INDEX(记账规则!$A$6:$N$9,MATCH(购销流水!$D354,记账规则!$A$6:$A$9,0),13),""))</f>
        <v/>
      </c>
      <c r="N1401" s="66" t="str">
        <f aca="false">IF($L1401="","",IFERROR(INDEX(记账规则!$A$6:$N$9,MATCH(购销流水!$D354,记账规则!$A$6:$A$9,0),14),""))</f>
        <v/>
      </c>
      <c r="O1401" s="67" t="n">
        <f aca="false">IF($H1401="",0,ROUND(IF($N1401="成本金额",N(购销流水!$W354),IF($N1401="金额",N(购销流水!$Q354),0)),2))</f>
        <v>0</v>
      </c>
      <c r="P1401" s="64" t="str">
        <f aca="false">IF(AND($H1401&lt;&gt;"",ROUND($O1401,2)&lt;&gt;0),"有","")</f>
        <v/>
      </c>
    </row>
    <row r="1402" customFormat="false" ht="15" hidden="true" customHeight="false" outlineLevel="0" collapsed="false">
      <c r="A1402" s="53" t="str">
        <f aca="false">IF($H1402="","",ROW()-5)</f>
        <v/>
      </c>
      <c r="B1402" s="64" t="s">
        <v>36</v>
      </c>
      <c r="C1402" s="53" t="n">
        <v>355</v>
      </c>
      <c r="D1402" s="53" t="n">
        <v>1</v>
      </c>
      <c r="E1402" s="65" t="str">
        <f aca="false">IF($H1402="","",购销流水!$B355)</f>
        <v/>
      </c>
      <c r="F1402" s="55" t="str">
        <f aca="false">IF($H1402="","",购销流水!$C355)</f>
        <v/>
      </c>
      <c r="G1402" s="48" t="str">
        <f aca="false">IF($H1402="","",购销流水!$N355)</f>
        <v/>
      </c>
      <c r="H1402" s="10" t="str">
        <f aca="false">IF($L1402="","",IF($L1402="@成本",购销流水!$U355,IF($L1402="@收入",购销流水!$T355,IF($L1402="@存货",购销流水!$S355,IF($L1402="@结算",购销流水!$R355,$L1402)))))</f>
        <v/>
      </c>
      <c r="I1402" s="42" t="n">
        <f aca="false">IF($M1402="借",$O1402,0)</f>
        <v>0</v>
      </c>
      <c r="J1402" s="42" t="n">
        <f aca="false">IF($M1402="贷",$O1402,0)</f>
        <v>0</v>
      </c>
      <c r="K1402" s="48" t="str">
        <f aca="false">IF($H1402="","",购销流水!$E355)</f>
        <v/>
      </c>
      <c r="L1402" s="66" t="str">
        <f aca="false">IF(购销流水!$D355="","",IFERROR(INDEX(记账规则!$A$6:$N$9,MATCH(购销流水!$D355,记账规则!$A$6:$A$9,0),3),""))</f>
        <v/>
      </c>
      <c r="M1402" s="66" t="str">
        <f aca="false">IF($L1402="","",IFERROR(INDEX(记账规则!$A$6:$N$9,MATCH(购销流水!$D355,记账规则!$A$6:$A$9,0),4),""))</f>
        <v/>
      </c>
      <c r="N1402" s="66" t="str">
        <f aca="false">IF($L1402="","",IFERROR(INDEX(记账规则!$A$6:$N$9,MATCH(购销流水!$D355,记账规则!$A$6:$A$9,0),5),""))</f>
        <v/>
      </c>
      <c r="O1402" s="67" t="n">
        <f aca="false">IF($H1402="",0,ROUND(IF($N1402="成本金额",N(购销流水!$W355),IF($N1402="金额",N(购销流水!$Q355),0)),2))</f>
        <v>0</v>
      </c>
      <c r="P1402" s="64" t="str">
        <f aca="false">IF(AND($H1402&lt;&gt;"",ROUND($O1402,2)&lt;&gt;0),"有","")</f>
        <v/>
      </c>
    </row>
    <row r="1403" customFormat="false" ht="15" hidden="true" customHeight="false" outlineLevel="0" collapsed="false">
      <c r="A1403" s="53" t="str">
        <f aca="false">IF($H1403="","",ROW()-5)</f>
        <v/>
      </c>
      <c r="B1403" s="64" t="s">
        <v>36</v>
      </c>
      <c r="C1403" s="53" t="n">
        <v>355</v>
      </c>
      <c r="D1403" s="53" t="n">
        <v>2</v>
      </c>
      <c r="E1403" s="65" t="str">
        <f aca="false">IF($H1403="","",购销流水!$B355)</f>
        <v/>
      </c>
      <c r="F1403" s="55" t="str">
        <f aca="false">IF($H1403="","",购销流水!$C355)</f>
        <v/>
      </c>
      <c r="G1403" s="48" t="str">
        <f aca="false">IF($H1403="","",购销流水!$N355)</f>
        <v/>
      </c>
      <c r="H1403" s="10" t="str">
        <f aca="false">IF($L1403="","",IF($L1403="@成本",购销流水!$U355,IF($L1403="@收入",购销流水!$T355,IF($L1403="@存货",购销流水!$S355,IF($L1403="@结算",购销流水!$R355,$L1403)))))</f>
        <v/>
      </c>
      <c r="I1403" s="42" t="n">
        <f aca="false">IF($M1403="借",$O1403,0)</f>
        <v>0</v>
      </c>
      <c r="J1403" s="42" t="n">
        <f aca="false">IF($M1403="贷",$O1403,0)</f>
        <v>0</v>
      </c>
      <c r="K1403" s="48" t="str">
        <f aca="false">IF($H1403="","",购销流水!$E355)</f>
        <v/>
      </c>
      <c r="L1403" s="66" t="str">
        <f aca="false">IF(购销流水!$D355="","",IFERROR(INDEX(记账规则!$A$6:$N$9,MATCH(购销流水!$D355,记账规则!$A$6:$A$9,0),6),""))</f>
        <v/>
      </c>
      <c r="M1403" s="66" t="str">
        <f aca="false">IF($L1403="","",IFERROR(INDEX(记账规则!$A$6:$N$9,MATCH(购销流水!$D355,记账规则!$A$6:$A$9,0),7),""))</f>
        <v/>
      </c>
      <c r="N1403" s="66" t="str">
        <f aca="false">IF($L1403="","",IFERROR(INDEX(记账规则!$A$6:$N$9,MATCH(购销流水!$D355,记账规则!$A$6:$A$9,0),8),""))</f>
        <v/>
      </c>
      <c r="O1403" s="67" t="n">
        <f aca="false">IF($H1403="",0,ROUND(IF($N1403="成本金额",N(购销流水!$W355),IF($N1403="金额",N(购销流水!$Q355),0)),2))</f>
        <v>0</v>
      </c>
      <c r="P1403" s="64" t="str">
        <f aca="false">IF(AND($H1403&lt;&gt;"",ROUND($O1403,2)&lt;&gt;0),"有","")</f>
        <v/>
      </c>
    </row>
    <row r="1404" customFormat="false" ht="15" hidden="true" customHeight="false" outlineLevel="0" collapsed="false">
      <c r="A1404" s="53" t="str">
        <f aca="false">IF($H1404="","",ROW()-5)</f>
        <v/>
      </c>
      <c r="B1404" s="64" t="s">
        <v>36</v>
      </c>
      <c r="C1404" s="53" t="n">
        <v>355</v>
      </c>
      <c r="D1404" s="53" t="n">
        <v>3</v>
      </c>
      <c r="E1404" s="65" t="str">
        <f aca="false">IF($H1404="","",购销流水!$B355)</f>
        <v/>
      </c>
      <c r="F1404" s="55" t="str">
        <f aca="false">IF($H1404="","",购销流水!$C355)</f>
        <v/>
      </c>
      <c r="G1404" s="48" t="str">
        <f aca="false">IF($H1404="","",购销流水!$N355)</f>
        <v/>
      </c>
      <c r="H1404" s="10" t="str">
        <f aca="false">IF($L1404="","",IF($L1404="@成本",购销流水!$U355,IF($L1404="@收入",购销流水!$T355,IF($L1404="@存货",购销流水!$S355,IF($L1404="@结算",购销流水!$R355,$L1404)))))</f>
        <v/>
      </c>
      <c r="I1404" s="42" t="n">
        <f aca="false">IF($M1404="借",$O1404,0)</f>
        <v>0</v>
      </c>
      <c r="J1404" s="42" t="n">
        <f aca="false">IF($M1404="贷",$O1404,0)</f>
        <v>0</v>
      </c>
      <c r="K1404" s="48" t="str">
        <f aca="false">IF($H1404="","",购销流水!$E355)</f>
        <v/>
      </c>
      <c r="L1404" s="66" t="str">
        <f aca="false">IF(购销流水!$D355="","",IFERROR(INDEX(记账规则!$A$6:$N$9,MATCH(购销流水!$D355,记账规则!$A$6:$A$9,0),9),""))</f>
        <v/>
      </c>
      <c r="M1404" s="66" t="str">
        <f aca="false">IF($L1404="","",IFERROR(INDEX(记账规则!$A$6:$N$9,MATCH(购销流水!$D355,记账规则!$A$6:$A$9,0),10),""))</f>
        <v/>
      </c>
      <c r="N1404" s="66" t="str">
        <f aca="false">IF($L1404="","",IFERROR(INDEX(记账规则!$A$6:$N$9,MATCH(购销流水!$D355,记账规则!$A$6:$A$9,0),11),""))</f>
        <v/>
      </c>
      <c r="O1404" s="67" t="n">
        <f aca="false">IF($H1404="",0,ROUND(IF($N1404="成本金额",N(购销流水!$W355),IF($N1404="金额",N(购销流水!$Q355),0)),2))</f>
        <v>0</v>
      </c>
      <c r="P1404" s="64" t="str">
        <f aca="false">IF(AND($H1404&lt;&gt;"",ROUND($O1404,2)&lt;&gt;0),"有","")</f>
        <v/>
      </c>
    </row>
    <row r="1405" customFormat="false" ht="15" hidden="true" customHeight="false" outlineLevel="0" collapsed="false">
      <c r="A1405" s="53" t="str">
        <f aca="false">IF($H1405="","",ROW()-5)</f>
        <v/>
      </c>
      <c r="B1405" s="64" t="s">
        <v>36</v>
      </c>
      <c r="C1405" s="53" t="n">
        <v>355</v>
      </c>
      <c r="D1405" s="53" t="n">
        <v>4</v>
      </c>
      <c r="E1405" s="65" t="str">
        <f aca="false">IF($H1405="","",购销流水!$B355)</f>
        <v/>
      </c>
      <c r="F1405" s="55" t="str">
        <f aca="false">IF($H1405="","",购销流水!$C355)</f>
        <v/>
      </c>
      <c r="G1405" s="48" t="str">
        <f aca="false">IF($H1405="","",购销流水!$N355)</f>
        <v/>
      </c>
      <c r="H1405" s="10" t="str">
        <f aca="false">IF($L1405="","",IF($L1405="@成本",购销流水!$U355,IF($L1405="@收入",购销流水!$T355,IF($L1405="@存货",购销流水!$S355,IF($L1405="@结算",购销流水!$R355,$L1405)))))</f>
        <v/>
      </c>
      <c r="I1405" s="42" t="n">
        <f aca="false">IF($M1405="借",$O1405,0)</f>
        <v>0</v>
      </c>
      <c r="J1405" s="42" t="n">
        <f aca="false">IF($M1405="贷",$O1405,0)</f>
        <v>0</v>
      </c>
      <c r="K1405" s="48" t="str">
        <f aca="false">IF($H1405="","",购销流水!$E355)</f>
        <v/>
      </c>
      <c r="L1405" s="66" t="str">
        <f aca="false">IF(购销流水!$D355="","",IFERROR(INDEX(记账规则!$A$6:$N$9,MATCH(购销流水!$D355,记账规则!$A$6:$A$9,0),12),""))</f>
        <v/>
      </c>
      <c r="M1405" s="66" t="str">
        <f aca="false">IF($L1405="","",IFERROR(INDEX(记账规则!$A$6:$N$9,MATCH(购销流水!$D355,记账规则!$A$6:$A$9,0),13),""))</f>
        <v/>
      </c>
      <c r="N1405" s="66" t="str">
        <f aca="false">IF($L1405="","",IFERROR(INDEX(记账规则!$A$6:$N$9,MATCH(购销流水!$D355,记账规则!$A$6:$A$9,0),14),""))</f>
        <v/>
      </c>
      <c r="O1405" s="67" t="n">
        <f aca="false">IF($H1405="",0,ROUND(IF($N1405="成本金额",N(购销流水!$W355),IF($N1405="金额",N(购销流水!$Q355),0)),2))</f>
        <v>0</v>
      </c>
      <c r="P1405" s="64" t="str">
        <f aca="false">IF(AND($H1405&lt;&gt;"",ROUND($O1405,2)&lt;&gt;0),"有","")</f>
        <v/>
      </c>
    </row>
    <row r="1406" customFormat="false" ht="15" hidden="true" customHeight="false" outlineLevel="0" collapsed="false">
      <c r="A1406" s="53" t="str">
        <f aca="false">IF($H1406="","",ROW()-5)</f>
        <v/>
      </c>
      <c r="B1406" s="64" t="s">
        <v>36</v>
      </c>
      <c r="C1406" s="53" t="n">
        <v>356</v>
      </c>
      <c r="D1406" s="53" t="n">
        <v>1</v>
      </c>
      <c r="E1406" s="65" t="str">
        <f aca="false">IF($H1406="","",购销流水!$B356)</f>
        <v/>
      </c>
      <c r="F1406" s="55" t="str">
        <f aca="false">IF($H1406="","",购销流水!$C356)</f>
        <v/>
      </c>
      <c r="G1406" s="48" t="str">
        <f aca="false">IF($H1406="","",购销流水!$N356)</f>
        <v/>
      </c>
      <c r="H1406" s="10" t="str">
        <f aca="false">IF($L1406="","",IF($L1406="@成本",购销流水!$U356,IF($L1406="@收入",购销流水!$T356,IF($L1406="@存货",购销流水!$S356,IF($L1406="@结算",购销流水!$R356,$L1406)))))</f>
        <v/>
      </c>
      <c r="I1406" s="42" t="n">
        <f aca="false">IF($M1406="借",$O1406,0)</f>
        <v>0</v>
      </c>
      <c r="J1406" s="42" t="n">
        <f aca="false">IF($M1406="贷",$O1406,0)</f>
        <v>0</v>
      </c>
      <c r="K1406" s="48" t="str">
        <f aca="false">IF($H1406="","",购销流水!$E356)</f>
        <v/>
      </c>
      <c r="L1406" s="66" t="str">
        <f aca="false">IF(购销流水!$D356="","",IFERROR(INDEX(记账规则!$A$6:$N$9,MATCH(购销流水!$D356,记账规则!$A$6:$A$9,0),3),""))</f>
        <v/>
      </c>
      <c r="M1406" s="66" t="str">
        <f aca="false">IF($L1406="","",IFERROR(INDEX(记账规则!$A$6:$N$9,MATCH(购销流水!$D356,记账规则!$A$6:$A$9,0),4),""))</f>
        <v/>
      </c>
      <c r="N1406" s="66" t="str">
        <f aca="false">IF($L1406="","",IFERROR(INDEX(记账规则!$A$6:$N$9,MATCH(购销流水!$D356,记账规则!$A$6:$A$9,0),5),""))</f>
        <v/>
      </c>
      <c r="O1406" s="67" t="n">
        <f aca="false">IF($H1406="",0,ROUND(IF($N1406="成本金额",N(购销流水!$W356),IF($N1406="金额",N(购销流水!$Q356),0)),2))</f>
        <v>0</v>
      </c>
      <c r="P1406" s="64" t="str">
        <f aca="false">IF(AND($H1406&lt;&gt;"",ROUND($O1406,2)&lt;&gt;0),"有","")</f>
        <v/>
      </c>
    </row>
    <row r="1407" customFormat="false" ht="15" hidden="true" customHeight="false" outlineLevel="0" collapsed="false">
      <c r="A1407" s="53" t="str">
        <f aca="false">IF($H1407="","",ROW()-5)</f>
        <v/>
      </c>
      <c r="B1407" s="64" t="s">
        <v>36</v>
      </c>
      <c r="C1407" s="53" t="n">
        <v>356</v>
      </c>
      <c r="D1407" s="53" t="n">
        <v>2</v>
      </c>
      <c r="E1407" s="65" t="str">
        <f aca="false">IF($H1407="","",购销流水!$B356)</f>
        <v/>
      </c>
      <c r="F1407" s="55" t="str">
        <f aca="false">IF($H1407="","",购销流水!$C356)</f>
        <v/>
      </c>
      <c r="G1407" s="48" t="str">
        <f aca="false">IF($H1407="","",购销流水!$N356)</f>
        <v/>
      </c>
      <c r="H1407" s="10" t="str">
        <f aca="false">IF($L1407="","",IF($L1407="@成本",购销流水!$U356,IF($L1407="@收入",购销流水!$T356,IF($L1407="@存货",购销流水!$S356,IF($L1407="@结算",购销流水!$R356,$L1407)))))</f>
        <v/>
      </c>
      <c r="I1407" s="42" t="n">
        <f aca="false">IF($M1407="借",$O1407,0)</f>
        <v>0</v>
      </c>
      <c r="J1407" s="42" t="n">
        <f aca="false">IF($M1407="贷",$O1407,0)</f>
        <v>0</v>
      </c>
      <c r="K1407" s="48" t="str">
        <f aca="false">IF($H1407="","",购销流水!$E356)</f>
        <v/>
      </c>
      <c r="L1407" s="66" t="str">
        <f aca="false">IF(购销流水!$D356="","",IFERROR(INDEX(记账规则!$A$6:$N$9,MATCH(购销流水!$D356,记账规则!$A$6:$A$9,0),6),""))</f>
        <v/>
      </c>
      <c r="M1407" s="66" t="str">
        <f aca="false">IF($L1407="","",IFERROR(INDEX(记账规则!$A$6:$N$9,MATCH(购销流水!$D356,记账规则!$A$6:$A$9,0),7),""))</f>
        <v/>
      </c>
      <c r="N1407" s="66" t="str">
        <f aca="false">IF($L1407="","",IFERROR(INDEX(记账规则!$A$6:$N$9,MATCH(购销流水!$D356,记账规则!$A$6:$A$9,0),8),""))</f>
        <v/>
      </c>
      <c r="O1407" s="67" t="n">
        <f aca="false">IF($H1407="",0,ROUND(IF($N1407="成本金额",N(购销流水!$W356),IF($N1407="金额",N(购销流水!$Q356),0)),2))</f>
        <v>0</v>
      </c>
      <c r="P1407" s="64" t="str">
        <f aca="false">IF(AND($H1407&lt;&gt;"",ROUND($O1407,2)&lt;&gt;0),"有","")</f>
        <v/>
      </c>
    </row>
    <row r="1408" customFormat="false" ht="15" hidden="true" customHeight="false" outlineLevel="0" collapsed="false">
      <c r="A1408" s="53" t="str">
        <f aca="false">IF($H1408="","",ROW()-5)</f>
        <v/>
      </c>
      <c r="B1408" s="64" t="s">
        <v>36</v>
      </c>
      <c r="C1408" s="53" t="n">
        <v>356</v>
      </c>
      <c r="D1408" s="53" t="n">
        <v>3</v>
      </c>
      <c r="E1408" s="65" t="str">
        <f aca="false">IF($H1408="","",购销流水!$B356)</f>
        <v/>
      </c>
      <c r="F1408" s="55" t="str">
        <f aca="false">IF($H1408="","",购销流水!$C356)</f>
        <v/>
      </c>
      <c r="G1408" s="48" t="str">
        <f aca="false">IF($H1408="","",购销流水!$N356)</f>
        <v/>
      </c>
      <c r="H1408" s="10" t="str">
        <f aca="false">IF($L1408="","",IF($L1408="@成本",购销流水!$U356,IF($L1408="@收入",购销流水!$T356,IF($L1408="@存货",购销流水!$S356,IF($L1408="@结算",购销流水!$R356,$L1408)))))</f>
        <v/>
      </c>
      <c r="I1408" s="42" t="n">
        <f aca="false">IF($M1408="借",$O1408,0)</f>
        <v>0</v>
      </c>
      <c r="J1408" s="42" t="n">
        <f aca="false">IF($M1408="贷",$O1408,0)</f>
        <v>0</v>
      </c>
      <c r="K1408" s="48" t="str">
        <f aca="false">IF($H1408="","",购销流水!$E356)</f>
        <v/>
      </c>
      <c r="L1408" s="66" t="str">
        <f aca="false">IF(购销流水!$D356="","",IFERROR(INDEX(记账规则!$A$6:$N$9,MATCH(购销流水!$D356,记账规则!$A$6:$A$9,0),9),""))</f>
        <v/>
      </c>
      <c r="M1408" s="66" t="str">
        <f aca="false">IF($L1408="","",IFERROR(INDEX(记账规则!$A$6:$N$9,MATCH(购销流水!$D356,记账规则!$A$6:$A$9,0),10),""))</f>
        <v/>
      </c>
      <c r="N1408" s="66" t="str">
        <f aca="false">IF($L1408="","",IFERROR(INDEX(记账规则!$A$6:$N$9,MATCH(购销流水!$D356,记账规则!$A$6:$A$9,0),11),""))</f>
        <v/>
      </c>
      <c r="O1408" s="67" t="n">
        <f aca="false">IF($H1408="",0,ROUND(IF($N1408="成本金额",N(购销流水!$W356),IF($N1408="金额",N(购销流水!$Q356),0)),2))</f>
        <v>0</v>
      </c>
      <c r="P1408" s="64" t="str">
        <f aca="false">IF(AND($H1408&lt;&gt;"",ROUND($O1408,2)&lt;&gt;0),"有","")</f>
        <v/>
      </c>
    </row>
    <row r="1409" customFormat="false" ht="15" hidden="true" customHeight="false" outlineLevel="0" collapsed="false">
      <c r="A1409" s="53" t="str">
        <f aca="false">IF($H1409="","",ROW()-5)</f>
        <v/>
      </c>
      <c r="B1409" s="64" t="s">
        <v>36</v>
      </c>
      <c r="C1409" s="53" t="n">
        <v>356</v>
      </c>
      <c r="D1409" s="53" t="n">
        <v>4</v>
      </c>
      <c r="E1409" s="65" t="str">
        <f aca="false">IF($H1409="","",购销流水!$B356)</f>
        <v/>
      </c>
      <c r="F1409" s="55" t="str">
        <f aca="false">IF($H1409="","",购销流水!$C356)</f>
        <v/>
      </c>
      <c r="G1409" s="48" t="str">
        <f aca="false">IF($H1409="","",购销流水!$N356)</f>
        <v/>
      </c>
      <c r="H1409" s="10" t="str">
        <f aca="false">IF($L1409="","",IF($L1409="@成本",购销流水!$U356,IF($L1409="@收入",购销流水!$T356,IF($L1409="@存货",购销流水!$S356,IF($L1409="@结算",购销流水!$R356,$L1409)))))</f>
        <v/>
      </c>
      <c r="I1409" s="42" t="n">
        <f aca="false">IF($M1409="借",$O1409,0)</f>
        <v>0</v>
      </c>
      <c r="J1409" s="42" t="n">
        <f aca="false">IF($M1409="贷",$O1409,0)</f>
        <v>0</v>
      </c>
      <c r="K1409" s="48" t="str">
        <f aca="false">IF($H1409="","",购销流水!$E356)</f>
        <v/>
      </c>
      <c r="L1409" s="66" t="str">
        <f aca="false">IF(购销流水!$D356="","",IFERROR(INDEX(记账规则!$A$6:$N$9,MATCH(购销流水!$D356,记账规则!$A$6:$A$9,0),12),""))</f>
        <v/>
      </c>
      <c r="M1409" s="66" t="str">
        <f aca="false">IF($L1409="","",IFERROR(INDEX(记账规则!$A$6:$N$9,MATCH(购销流水!$D356,记账规则!$A$6:$A$9,0),13),""))</f>
        <v/>
      </c>
      <c r="N1409" s="66" t="str">
        <f aca="false">IF($L1409="","",IFERROR(INDEX(记账规则!$A$6:$N$9,MATCH(购销流水!$D356,记账规则!$A$6:$A$9,0),14),""))</f>
        <v/>
      </c>
      <c r="O1409" s="67" t="n">
        <f aca="false">IF($H1409="",0,ROUND(IF($N1409="成本金额",N(购销流水!$W356),IF($N1409="金额",N(购销流水!$Q356),0)),2))</f>
        <v>0</v>
      </c>
      <c r="P1409" s="64" t="str">
        <f aca="false">IF(AND($H1409&lt;&gt;"",ROUND($O1409,2)&lt;&gt;0),"有","")</f>
        <v/>
      </c>
    </row>
    <row r="1410" customFormat="false" ht="15" hidden="true" customHeight="false" outlineLevel="0" collapsed="false">
      <c r="A1410" s="53" t="str">
        <f aca="false">IF($H1410="","",ROW()-5)</f>
        <v/>
      </c>
      <c r="B1410" s="64" t="s">
        <v>36</v>
      </c>
      <c r="C1410" s="53" t="n">
        <v>357</v>
      </c>
      <c r="D1410" s="53" t="n">
        <v>1</v>
      </c>
      <c r="E1410" s="65" t="str">
        <f aca="false">IF($H1410="","",购销流水!$B357)</f>
        <v/>
      </c>
      <c r="F1410" s="55" t="str">
        <f aca="false">IF($H1410="","",购销流水!$C357)</f>
        <v/>
      </c>
      <c r="G1410" s="48" t="str">
        <f aca="false">IF($H1410="","",购销流水!$N357)</f>
        <v/>
      </c>
      <c r="H1410" s="10" t="str">
        <f aca="false">IF($L1410="","",IF($L1410="@成本",购销流水!$U357,IF($L1410="@收入",购销流水!$T357,IF($L1410="@存货",购销流水!$S357,IF($L1410="@结算",购销流水!$R357,$L1410)))))</f>
        <v/>
      </c>
      <c r="I1410" s="42" t="n">
        <f aca="false">IF($M1410="借",$O1410,0)</f>
        <v>0</v>
      </c>
      <c r="J1410" s="42" t="n">
        <f aca="false">IF($M1410="贷",$O1410,0)</f>
        <v>0</v>
      </c>
      <c r="K1410" s="48" t="str">
        <f aca="false">IF($H1410="","",购销流水!$E357)</f>
        <v/>
      </c>
      <c r="L1410" s="66" t="str">
        <f aca="false">IF(购销流水!$D357="","",IFERROR(INDEX(记账规则!$A$6:$N$9,MATCH(购销流水!$D357,记账规则!$A$6:$A$9,0),3),""))</f>
        <v/>
      </c>
      <c r="M1410" s="66" t="str">
        <f aca="false">IF($L1410="","",IFERROR(INDEX(记账规则!$A$6:$N$9,MATCH(购销流水!$D357,记账规则!$A$6:$A$9,0),4),""))</f>
        <v/>
      </c>
      <c r="N1410" s="66" t="str">
        <f aca="false">IF($L1410="","",IFERROR(INDEX(记账规则!$A$6:$N$9,MATCH(购销流水!$D357,记账规则!$A$6:$A$9,0),5),""))</f>
        <v/>
      </c>
      <c r="O1410" s="67" t="n">
        <f aca="false">IF($H1410="",0,ROUND(IF($N1410="成本金额",N(购销流水!$W357),IF($N1410="金额",N(购销流水!$Q357),0)),2))</f>
        <v>0</v>
      </c>
      <c r="P1410" s="64" t="str">
        <f aca="false">IF(AND($H1410&lt;&gt;"",ROUND($O1410,2)&lt;&gt;0),"有","")</f>
        <v/>
      </c>
    </row>
    <row r="1411" customFormat="false" ht="15" hidden="true" customHeight="false" outlineLevel="0" collapsed="false">
      <c r="A1411" s="53" t="str">
        <f aca="false">IF($H1411="","",ROW()-5)</f>
        <v/>
      </c>
      <c r="B1411" s="64" t="s">
        <v>36</v>
      </c>
      <c r="C1411" s="53" t="n">
        <v>357</v>
      </c>
      <c r="D1411" s="53" t="n">
        <v>2</v>
      </c>
      <c r="E1411" s="65" t="str">
        <f aca="false">IF($H1411="","",购销流水!$B357)</f>
        <v/>
      </c>
      <c r="F1411" s="55" t="str">
        <f aca="false">IF($H1411="","",购销流水!$C357)</f>
        <v/>
      </c>
      <c r="G1411" s="48" t="str">
        <f aca="false">IF($H1411="","",购销流水!$N357)</f>
        <v/>
      </c>
      <c r="H1411" s="10" t="str">
        <f aca="false">IF($L1411="","",IF($L1411="@成本",购销流水!$U357,IF($L1411="@收入",购销流水!$T357,IF($L1411="@存货",购销流水!$S357,IF($L1411="@结算",购销流水!$R357,$L1411)))))</f>
        <v/>
      </c>
      <c r="I1411" s="42" t="n">
        <f aca="false">IF($M1411="借",$O1411,0)</f>
        <v>0</v>
      </c>
      <c r="J1411" s="42" t="n">
        <f aca="false">IF($M1411="贷",$O1411,0)</f>
        <v>0</v>
      </c>
      <c r="K1411" s="48" t="str">
        <f aca="false">IF($H1411="","",购销流水!$E357)</f>
        <v/>
      </c>
      <c r="L1411" s="66" t="str">
        <f aca="false">IF(购销流水!$D357="","",IFERROR(INDEX(记账规则!$A$6:$N$9,MATCH(购销流水!$D357,记账规则!$A$6:$A$9,0),6),""))</f>
        <v/>
      </c>
      <c r="M1411" s="66" t="str">
        <f aca="false">IF($L1411="","",IFERROR(INDEX(记账规则!$A$6:$N$9,MATCH(购销流水!$D357,记账规则!$A$6:$A$9,0),7),""))</f>
        <v/>
      </c>
      <c r="N1411" s="66" t="str">
        <f aca="false">IF($L1411="","",IFERROR(INDEX(记账规则!$A$6:$N$9,MATCH(购销流水!$D357,记账规则!$A$6:$A$9,0),8),""))</f>
        <v/>
      </c>
      <c r="O1411" s="67" t="n">
        <f aca="false">IF($H1411="",0,ROUND(IF($N1411="成本金额",N(购销流水!$W357),IF($N1411="金额",N(购销流水!$Q357),0)),2))</f>
        <v>0</v>
      </c>
      <c r="P1411" s="64" t="str">
        <f aca="false">IF(AND($H1411&lt;&gt;"",ROUND($O1411,2)&lt;&gt;0),"有","")</f>
        <v/>
      </c>
    </row>
    <row r="1412" customFormat="false" ht="15" hidden="true" customHeight="false" outlineLevel="0" collapsed="false">
      <c r="A1412" s="53" t="str">
        <f aca="false">IF($H1412="","",ROW()-5)</f>
        <v/>
      </c>
      <c r="B1412" s="64" t="s">
        <v>36</v>
      </c>
      <c r="C1412" s="53" t="n">
        <v>357</v>
      </c>
      <c r="D1412" s="53" t="n">
        <v>3</v>
      </c>
      <c r="E1412" s="65" t="str">
        <f aca="false">IF($H1412="","",购销流水!$B357)</f>
        <v/>
      </c>
      <c r="F1412" s="55" t="str">
        <f aca="false">IF($H1412="","",购销流水!$C357)</f>
        <v/>
      </c>
      <c r="G1412" s="48" t="str">
        <f aca="false">IF($H1412="","",购销流水!$N357)</f>
        <v/>
      </c>
      <c r="H1412" s="10" t="str">
        <f aca="false">IF($L1412="","",IF($L1412="@成本",购销流水!$U357,IF($L1412="@收入",购销流水!$T357,IF($L1412="@存货",购销流水!$S357,IF($L1412="@结算",购销流水!$R357,$L1412)))))</f>
        <v/>
      </c>
      <c r="I1412" s="42" t="n">
        <f aca="false">IF($M1412="借",$O1412,0)</f>
        <v>0</v>
      </c>
      <c r="J1412" s="42" t="n">
        <f aca="false">IF($M1412="贷",$O1412,0)</f>
        <v>0</v>
      </c>
      <c r="K1412" s="48" t="str">
        <f aca="false">IF($H1412="","",购销流水!$E357)</f>
        <v/>
      </c>
      <c r="L1412" s="66" t="str">
        <f aca="false">IF(购销流水!$D357="","",IFERROR(INDEX(记账规则!$A$6:$N$9,MATCH(购销流水!$D357,记账规则!$A$6:$A$9,0),9),""))</f>
        <v/>
      </c>
      <c r="M1412" s="66" t="str">
        <f aca="false">IF($L1412="","",IFERROR(INDEX(记账规则!$A$6:$N$9,MATCH(购销流水!$D357,记账规则!$A$6:$A$9,0),10),""))</f>
        <v/>
      </c>
      <c r="N1412" s="66" t="str">
        <f aca="false">IF($L1412="","",IFERROR(INDEX(记账规则!$A$6:$N$9,MATCH(购销流水!$D357,记账规则!$A$6:$A$9,0),11),""))</f>
        <v/>
      </c>
      <c r="O1412" s="67" t="n">
        <f aca="false">IF($H1412="",0,ROUND(IF($N1412="成本金额",N(购销流水!$W357),IF($N1412="金额",N(购销流水!$Q357),0)),2))</f>
        <v>0</v>
      </c>
      <c r="P1412" s="64" t="str">
        <f aca="false">IF(AND($H1412&lt;&gt;"",ROUND($O1412,2)&lt;&gt;0),"有","")</f>
        <v/>
      </c>
    </row>
    <row r="1413" customFormat="false" ht="15" hidden="true" customHeight="false" outlineLevel="0" collapsed="false">
      <c r="A1413" s="53" t="str">
        <f aca="false">IF($H1413="","",ROW()-5)</f>
        <v/>
      </c>
      <c r="B1413" s="64" t="s">
        <v>36</v>
      </c>
      <c r="C1413" s="53" t="n">
        <v>357</v>
      </c>
      <c r="D1413" s="53" t="n">
        <v>4</v>
      </c>
      <c r="E1413" s="65" t="str">
        <f aca="false">IF($H1413="","",购销流水!$B357)</f>
        <v/>
      </c>
      <c r="F1413" s="55" t="str">
        <f aca="false">IF($H1413="","",购销流水!$C357)</f>
        <v/>
      </c>
      <c r="G1413" s="48" t="str">
        <f aca="false">IF($H1413="","",购销流水!$N357)</f>
        <v/>
      </c>
      <c r="H1413" s="10" t="str">
        <f aca="false">IF($L1413="","",IF($L1413="@成本",购销流水!$U357,IF($L1413="@收入",购销流水!$T357,IF($L1413="@存货",购销流水!$S357,IF($L1413="@结算",购销流水!$R357,$L1413)))))</f>
        <v/>
      </c>
      <c r="I1413" s="42" t="n">
        <f aca="false">IF($M1413="借",$O1413,0)</f>
        <v>0</v>
      </c>
      <c r="J1413" s="42" t="n">
        <f aca="false">IF($M1413="贷",$O1413,0)</f>
        <v>0</v>
      </c>
      <c r="K1413" s="48" t="str">
        <f aca="false">IF($H1413="","",购销流水!$E357)</f>
        <v/>
      </c>
      <c r="L1413" s="66" t="str">
        <f aca="false">IF(购销流水!$D357="","",IFERROR(INDEX(记账规则!$A$6:$N$9,MATCH(购销流水!$D357,记账规则!$A$6:$A$9,0),12),""))</f>
        <v/>
      </c>
      <c r="M1413" s="66" t="str">
        <f aca="false">IF($L1413="","",IFERROR(INDEX(记账规则!$A$6:$N$9,MATCH(购销流水!$D357,记账规则!$A$6:$A$9,0),13),""))</f>
        <v/>
      </c>
      <c r="N1413" s="66" t="str">
        <f aca="false">IF($L1413="","",IFERROR(INDEX(记账规则!$A$6:$N$9,MATCH(购销流水!$D357,记账规则!$A$6:$A$9,0),14),""))</f>
        <v/>
      </c>
      <c r="O1413" s="67" t="n">
        <f aca="false">IF($H1413="",0,ROUND(IF($N1413="成本金额",N(购销流水!$W357),IF($N1413="金额",N(购销流水!$Q357),0)),2))</f>
        <v>0</v>
      </c>
      <c r="P1413" s="64" t="str">
        <f aca="false">IF(AND($H1413&lt;&gt;"",ROUND($O1413,2)&lt;&gt;0),"有","")</f>
        <v/>
      </c>
    </row>
    <row r="1414" customFormat="false" ht="15" hidden="true" customHeight="false" outlineLevel="0" collapsed="false">
      <c r="A1414" s="53" t="str">
        <f aca="false">IF($H1414="","",ROW()-5)</f>
        <v/>
      </c>
      <c r="B1414" s="64" t="s">
        <v>36</v>
      </c>
      <c r="C1414" s="53" t="n">
        <v>358</v>
      </c>
      <c r="D1414" s="53" t="n">
        <v>1</v>
      </c>
      <c r="E1414" s="65" t="str">
        <f aca="false">IF($H1414="","",购销流水!$B358)</f>
        <v/>
      </c>
      <c r="F1414" s="55" t="str">
        <f aca="false">IF($H1414="","",购销流水!$C358)</f>
        <v/>
      </c>
      <c r="G1414" s="48" t="str">
        <f aca="false">IF($H1414="","",购销流水!$N358)</f>
        <v/>
      </c>
      <c r="H1414" s="10" t="str">
        <f aca="false">IF($L1414="","",IF($L1414="@成本",购销流水!$U358,IF($L1414="@收入",购销流水!$T358,IF($L1414="@存货",购销流水!$S358,IF($L1414="@结算",购销流水!$R358,$L1414)))))</f>
        <v/>
      </c>
      <c r="I1414" s="42" t="n">
        <f aca="false">IF($M1414="借",$O1414,0)</f>
        <v>0</v>
      </c>
      <c r="J1414" s="42" t="n">
        <f aca="false">IF($M1414="贷",$O1414,0)</f>
        <v>0</v>
      </c>
      <c r="K1414" s="48" t="str">
        <f aca="false">IF($H1414="","",购销流水!$E358)</f>
        <v/>
      </c>
      <c r="L1414" s="66" t="str">
        <f aca="false">IF(购销流水!$D358="","",IFERROR(INDEX(记账规则!$A$6:$N$9,MATCH(购销流水!$D358,记账规则!$A$6:$A$9,0),3),""))</f>
        <v/>
      </c>
      <c r="M1414" s="66" t="str">
        <f aca="false">IF($L1414="","",IFERROR(INDEX(记账规则!$A$6:$N$9,MATCH(购销流水!$D358,记账规则!$A$6:$A$9,0),4),""))</f>
        <v/>
      </c>
      <c r="N1414" s="66" t="str">
        <f aca="false">IF($L1414="","",IFERROR(INDEX(记账规则!$A$6:$N$9,MATCH(购销流水!$D358,记账规则!$A$6:$A$9,0),5),""))</f>
        <v/>
      </c>
      <c r="O1414" s="67" t="n">
        <f aca="false">IF($H1414="",0,ROUND(IF($N1414="成本金额",N(购销流水!$W358),IF($N1414="金额",N(购销流水!$Q358),0)),2))</f>
        <v>0</v>
      </c>
      <c r="P1414" s="64" t="str">
        <f aca="false">IF(AND($H1414&lt;&gt;"",ROUND($O1414,2)&lt;&gt;0),"有","")</f>
        <v/>
      </c>
    </row>
    <row r="1415" customFormat="false" ht="15" hidden="true" customHeight="false" outlineLevel="0" collapsed="false">
      <c r="A1415" s="53" t="str">
        <f aca="false">IF($H1415="","",ROW()-5)</f>
        <v/>
      </c>
      <c r="B1415" s="64" t="s">
        <v>36</v>
      </c>
      <c r="C1415" s="53" t="n">
        <v>358</v>
      </c>
      <c r="D1415" s="53" t="n">
        <v>2</v>
      </c>
      <c r="E1415" s="65" t="str">
        <f aca="false">IF($H1415="","",购销流水!$B358)</f>
        <v/>
      </c>
      <c r="F1415" s="55" t="str">
        <f aca="false">IF($H1415="","",购销流水!$C358)</f>
        <v/>
      </c>
      <c r="G1415" s="48" t="str">
        <f aca="false">IF($H1415="","",购销流水!$N358)</f>
        <v/>
      </c>
      <c r="H1415" s="10" t="str">
        <f aca="false">IF($L1415="","",IF($L1415="@成本",购销流水!$U358,IF($L1415="@收入",购销流水!$T358,IF($L1415="@存货",购销流水!$S358,IF($L1415="@结算",购销流水!$R358,$L1415)))))</f>
        <v/>
      </c>
      <c r="I1415" s="42" t="n">
        <f aca="false">IF($M1415="借",$O1415,0)</f>
        <v>0</v>
      </c>
      <c r="J1415" s="42" t="n">
        <f aca="false">IF($M1415="贷",$O1415,0)</f>
        <v>0</v>
      </c>
      <c r="K1415" s="48" t="str">
        <f aca="false">IF($H1415="","",购销流水!$E358)</f>
        <v/>
      </c>
      <c r="L1415" s="66" t="str">
        <f aca="false">IF(购销流水!$D358="","",IFERROR(INDEX(记账规则!$A$6:$N$9,MATCH(购销流水!$D358,记账规则!$A$6:$A$9,0),6),""))</f>
        <v/>
      </c>
      <c r="M1415" s="66" t="str">
        <f aca="false">IF($L1415="","",IFERROR(INDEX(记账规则!$A$6:$N$9,MATCH(购销流水!$D358,记账规则!$A$6:$A$9,0),7),""))</f>
        <v/>
      </c>
      <c r="N1415" s="66" t="str">
        <f aca="false">IF($L1415="","",IFERROR(INDEX(记账规则!$A$6:$N$9,MATCH(购销流水!$D358,记账规则!$A$6:$A$9,0),8),""))</f>
        <v/>
      </c>
      <c r="O1415" s="67" t="n">
        <f aca="false">IF($H1415="",0,ROUND(IF($N1415="成本金额",N(购销流水!$W358),IF($N1415="金额",N(购销流水!$Q358),0)),2))</f>
        <v>0</v>
      </c>
      <c r="P1415" s="64" t="str">
        <f aca="false">IF(AND($H1415&lt;&gt;"",ROUND($O1415,2)&lt;&gt;0),"有","")</f>
        <v/>
      </c>
    </row>
    <row r="1416" customFormat="false" ht="15" hidden="true" customHeight="false" outlineLevel="0" collapsed="false">
      <c r="A1416" s="53" t="str">
        <f aca="false">IF($H1416="","",ROW()-5)</f>
        <v/>
      </c>
      <c r="B1416" s="64" t="s">
        <v>36</v>
      </c>
      <c r="C1416" s="53" t="n">
        <v>358</v>
      </c>
      <c r="D1416" s="53" t="n">
        <v>3</v>
      </c>
      <c r="E1416" s="65" t="str">
        <f aca="false">IF($H1416="","",购销流水!$B358)</f>
        <v/>
      </c>
      <c r="F1416" s="55" t="str">
        <f aca="false">IF($H1416="","",购销流水!$C358)</f>
        <v/>
      </c>
      <c r="G1416" s="48" t="str">
        <f aca="false">IF($H1416="","",购销流水!$N358)</f>
        <v/>
      </c>
      <c r="H1416" s="10" t="str">
        <f aca="false">IF($L1416="","",IF($L1416="@成本",购销流水!$U358,IF($L1416="@收入",购销流水!$T358,IF($L1416="@存货",购销流水!$S358,IF($L1416="@结算",购销流水!$R358,$L1416)))))</f>
        <v/>
      </c>
      <c r="I1416" s="42" t="n">
        <f aca="false">IF($M1416="借",$O1416,0)</f>
        <v>0</v>
      </c>
      <c r="J1416" s="42" t="n">
        <f aca="false">IF($M1416="贷",$O1416,0)</f>
        <v>0</v>
      </c>
      <c r="K1416" s="48" t="str">
        <f aca="false">IF($H1416="","",购销流水!$E358)</f>
        <v/>
      </c>
      <c r="L1416" s="66" t="str">
        <f aca="false">IF(购销流水!$D358="","",IFERROR(INDEX(记账规则!$A$6:$N$9,MATCH(购销流水!$D358,记账规则!$A$6:$A$9,0),9),""))</f>
        <v/>
      </c>
      <c r="M1416" s="66" t="str">
        <f aca="false">IF($L1416="","",IFERROR(INDEX(记账规则!$A$6:$N$9,MATCH(购销流水!$D358,记账规则!$A$6:$A$9,0),10),""))</f>
        <v/>
      </c>
      <c r="N1416" s="66" t="str">
        <f aca="false">IF($L1416="","",IFERROR(INDEX(记账规则!$A$6:$N$9,MATCH(购销流水!$D358,记账规则!$A$6:$A$9,0),11),""))</f>
        <v/>
      </c>
      <c r="O1416" s="67" t="n">
        <f aca="false">IF($H1416="",0,ROUND(IF($N1416="成本金额",N(购销流水!$W358),IF($N1416="金额",N(购销流水!$Q358),0)),2))</f>
        <v>0</v>
      </c>
      <c r="P1416" s="64" t="str">
        <f aca="false">IF(AND($H1416&lt;&gt;"",ROUND($O1416,2)&lt;&gt;0),"有","")</f>
        <v/>
      </c>
    </row>
    <row r="1417" customFormat="false" ht="15" hidden="true" customHeight="false" outlineLevel="0" collapsed="false">
      <c r="A1417" s="53" t="str">
        <f aca="false">IF($H1417="","",ROW()-5)</f>
        <v/>
      </c>
      <c r="B1417" s="64" t="s">
        <v>36</v>
      </c>
      <c r="C1417" s="53" t="n">
        <v>358</v>
      </c>
      <c r="D1417" s="53" t="n">
        <v>4</v>
      </c>
      <c r="E1417" s="65" t="str">
        <f aca="false">IF($H1417="","",购销流水!$B358)</f>
        <v/>
      </c>
      <c r="F1417" s="55" t="str">
        <f aca="false">IF($H1417="","",购销流水!$C358)</f>
        <v/>
      </c>
      <c r="G1417" s="48" t="str">
        <f aca="false">IF($H1417="","",购销流水!$N358)</f>
        <v/>
      </c>
      <c r="H1417" s="10" t="str">
        <f aca="false">IF($L1417="","",IF($L1417="@成本",购销流水!$U358,IF($L1417="@收入",购销流水!$T358,IF($L1417="@存货",购销流水!$S358,IF($L1417="@结算",购销流水!$R358,$L1417)))))</f>
        <v/>
      </c>
      <c r="I1417" s="42" t="n">
        <f aca="false">IF($M1417="借",$O1417,0)</f>
        <v>0</v>
      </c>
      <c r="J1417" s="42" t="n">
        <f aca="false">IF($M1417="贷",$O1417,0)</f>
        <v>0</v>
      </c>
      <c r="K1417" s="48" t="str">
        <f aca="false">IF($H1417="","",购销流水!$E358)</f>
        <v/>
      </c>
      <c r="L1417" s="66" t="str">
        <f aca="false">IF(购销流水!$D358="","",IFERROR(INDEX(记账规则!$A$6:$N$9,MATCH(购销流水!$D358,记账规则!$A$6:$A$9,0),12),""))</f>
        <v/>
      </c>
      <c r="M1417" s="66" t="str">
        <f aca="false">IF($L1417="","",IFERROR(INDEX(记账规则!$A$6:$N$9,MATCH(购销流水!$D358,记账规则!$A$6:$A$9,0),13),""))</f>
        <v/>
      </c>
      <c r="N1417" s="66" t="str">
        <f aca="false">IF($L1417="","",IFERROR(INDEX(记账规则!$A$6:$N$9,MATCH(购销流水!$D358,记账规则!$A$6:$A$9,0),14),""))</f>
        <v/>
      </c>
      <c r="O1417" s="67" t="n">
        <f aca="false">IF($H1417="",0,ROUND(IF($N1417="成本金额",N(购销流水!$W358),IF($N1417="金额",N(购销流水!$Q358),0)),2))</f>
        <v>0</v>
      </c>
      <c r="P1417" s="64" t="str">
        <f aca="false">IF(AND($H1417&lt;&gt;"",ROUND($O1417,2)&lt;&gt;0),"有","")</f>
        <v/>
      </c>
    </row>
    <row r="1418" customFormat="false" ht="15" hidden="true" customHeight="false" outlineLevel="0" collapsed="false">
      <c r="A1418" s="53" t="str">
        <f aca="false">IF($H1418="","",ROW()-5)</f>
        <v/>
      </c>
      <c r="B1418" s="64" t="s">
        <v>36</v>
      </c>
      <c r="C1418" s="53" t="n">
        <v>359</v>
      </c>
      <c r="D1418" s="53" t="n">
        <v>1</v>
      </c>
      <c r="E1418" s="65" t="str">
        <f aca="false">IF($H1418="","",购销流水!$B359)</f>
        <v/>
      </c>
      <c r="F1418" s="55" t="str">
        <f aca="false">IF($H1418="","",购销流水!$C359)</f>
        <v/>
      </c>
      <c r="G1418" s="48" t="str">
        <f aca="false">IF($H1418="","",购销流水!$N359)</f>
        <v/>
      </c>
      <c r="H1418" s="10" t="str">
        <f aca="false">IF($L1418="","",IF($L1418="@成本",购销流水!$U359,IF($L1418="@收入",购销流水!$T359,IF($L1418="@存货",购销流水!$S359,IF($L1418="@结算",购销流水!$R359,$L1418)))))</f>
        <v/>
      </c>
      <c r="I1418" s="42" t="n">
        <f aca="false">IF($M1418="借",$O1418,0)</f>
        <v>0</v>
      </c>
      <c r="J1418" s="42" t="n">
        <f aca="false">IF($M1418="贷",$O1418,0)</f>
        <v>0</v>
      </c>
      <c r="K1418" s="48" t="str">
        <f aca="false">IF($H1418="","",购销流水!$E359)</f>
        <v/>
      </c>
      <c r="L1418" s="66" t="str">
        <f aca="false">IF(购销流水!$D359="","",IFERROR(INDEX(记账规则!$A$6:$N$9,MATCH(购销流水!$D359,记账规则!$A$6:$A$9,0),3),""))</f>
        <v/>
      </c>
      <c r="M1418" s="66" t="str">
        <f aca="false">IF($L1418="","",IFERROR(INDEX(记账规则!$A$6:$N$9,MATCH(购销流水!$D359,记账规则!$A$6:$A$9,0),4),""))</f>
        <v/>
      </c>
      <c r="N1418" s="66" t="str">
        <f aca="false">IF($L1418="","",IFERROR(INDEX(记账规则!$A$6:$N$9,MATCH(购销流水!$D359,记账规则!$A$6:$A$9,0),5),""))</f>
        <v/>
      </c>
      <c r="O1418" s="67" t="n">
        <f aca="false">IF($H1418="",0,ROUND(IF($N1418="成本金额",N(购销流水!$W359),IF($N1418="金额",N(购销流水!$Q359),0)),2))</f>
        <v>0</v>
      </c>
      <c r="P1418" s="64" t="str">
        <f aca="false">IF(AND($H1418&lt;&gt;"",ROUND($O1418,2)&lt;&gt;0),"有","")</f>
        <v/>
      </c>
    </row>
    <row r="1419" customFormat="false" ht="15" hidden="true" customHeight="false" outlineLevel="0" collapsed="false">
      <c r="A1419" s="53" t="str">
        <f aca="false">IF($H1419="","",ROW()-5)</f>
        <v/>
      </c>
      <c r="B1419" s="64" t="s">
        <v>36</v>
      </c>
      <c r="C1419" s="53" t="n">
        <v>359</v>
      </c>
      <c r="D1419" s="53" t="n">
        <v>2</v>
      </c>
      <c r="E1419" s="65" t="str">
        <f aca="false">IF($H1419="","",购销流水!$B359)</f>
        <v/>
      </c>
      <c r="F1419" s="55" t="str">
        <f aca="false">IF($H1419="","",购销流水!$C359)</f>
        <v/>
      </c>
      <c r="G1419" s="48" t="str">
        <f aca="false">IF($H1419="","",购销流水!$N359)</f>
        <v/>
      </c>
      <c r="H1419" s="10" t="str">
        <f aca="false">IF($L1419="","",IF($L1419="@成本",购销流水!$U359,IF($L1419="@收入",购销流水!$T359,IF($L1419="@存货",购销流水!$S359,IF($L1419="@结算",购销流水!$R359,$L1419)))))</f>
        <v/>
      </c>
      <c r="I1419" s="42" t="n">
        <f aca="false">IF($M1419="借",$O1419,0)</f>
        <v>0</v>
      </c>
      <c r="J1419" s="42" t="n">
        <f aca="false">IF($M1419="贷",$O1419,0)</f>
        <v>0</v>
      </c>
      <c r="K1419" s="48" t="str">
        <f aca="false">IF($H1419="","",购销流水!$E359)</f>
        <v/>
      </c>
      <c r="L1419" s="66" t="str">
        <f aca="false">IF(购销流水!$D359="","",IFERROR(INDEX(记账规则!$A$6:$N$9,MATCH(购销流水!$D359,记账规则!$A$6:$A$9,0),6),""))</f>
        <v/>
      </c>
      <c r="M1419" s="66" t="str">
        <f aca="false">IF($L1419="","",IFERROR(INDEX(记账规则!$A$6:$N$9,MATCH(购销流水!$D359,记账规则!$A$6:$A$9,0),7),""))</f>
        <v/>
      </c>
      <c r="N1419" s="66" t="str">
        <f aca="false">IF($L1419="","",IFERROR(INDEX(记账规则!$A$6:$N$9,MATCH(购销流水!$D359,记账规则!$A$6:$A$9,0),8),""))</f>
        <v/>
      </c>
      <c r="O1419" s="67" t="n">
        <f aca="false">IF($H1419="",0,ROUND(IF($N1419="成本金额",N(购销流水!$W359),IF($N1419="金额",N(购销流水!$Q359),0)),2))</f>
        <v>0</v>
      </c>
      <c r="P1419" s="64" t="str">
        <f aca="false">IF(AND($H1419&lt;&gt;"",ROUND($O1419,2)&lt;&gt;0),"有","")</f>
        <v/>
      </c>
    </row>
    <row r="1420" customFormat="false" ht="15" hidden="true" customHeight="false" outlineLevel="0" collapsed="false">
      <c r="A1420" s="53" t="str">
        <f aca="false">IF($H1420="","",ROW()-5)</f>
        <v/>
      </c>
      <c r="B1420" s="64" t="s">
        <v>36</v>
      </c>
      <c r="C1420" s="53" t="n">
        <v>359</v>
      </c>
      <c r="D1420" s="53" t="n">
        <v>3</v>
      </c>
      <c r="E1420" s="65" t="str">
        <f aca="false">IF($H1420="","",购销流水!$B359)</f>
        <v/>
      </c>
      <c r="F1420" s="55" t="str">
        <f aca="false">IF($H1420="","",购销流水!$C359)</f>
        <v/>
      </c>
      <c r="G1420" s="48" t="str">
        <f aca="false">IF($H1420="","",购销流水!$N359)</f>
        <v/>
      </c>
      <c r="H1420" s="10" t="str">
        <f aca="false">IF($L1420="","",IF($L1420="@成本",购销流水!$U359,IF($L1420="@收入",购销流水!$T359,IF($L1420="@存货",购销流水!$S359,IF($L1420="@结算",购销流水!$R359,$L1420)))))</f>
        <v/>
      </c>
      <c r="I1420" s="42" t="n">
        <f aca="false">IF($M1420="借",$O1420,0)</f>
        <v>0</v>
      </c>
      <c r="J1420" s="42" t="n">
        <f aca="false">IF($M1420="贷",$O1420,0)</f>
        <v>0</v>
      </c>
      <c r="K1420" s="48" t="str">
        <f aca="false">IF($H1420="","",购销流水!$E359)</f>
        <v/>
      </c>
      <c r="L1420" s="66" t="str">
        <f aca="false">IF(购销流水!$D359="","",IFERROR(INDEX(记账规则!$A$6:$N$9,MATCH(购销流水!$D359,记账规则!$A$6:$A$9,0),9),""))</f>
        <v/>
      </c>
      <c r="M1420" s="66" t="str">
        <f aca="false">IF($L1420="","",IFERROR(INDEX(记账规则!$A$6:$N$9,MATCH(购销流水!$D359,记账规则!$A$6:$A$9,0),10),""))</f>
        <v/>
      </c>
      <c r="N1420" s="66" t="str">
        <f aca="false">IF($L1420="","",IFERROR(INDEX(记账规则!$A$6:$N$9,MATCH(购销流水!$D359,记账规则!$A$6:$A$9,0),11),""))</f>
        <v/>
      </c>
      <c r="O1420" s="67" t="n">
        <f aca="false">IF($H1420="",0,ROUND(IF($N1420="成本金额",N(购销流水!$W359),IF($N1420="金额",N(购销流水!$Q359),0)),2))</f>
        <v>0</v>
      </c>
      <c r="P1420" s="64" t="str">
        <f aca="false">IF(AND($H1420&lt;&gt;"",ROUND($O1420,2)&lt;&gt;0),"有","")</f>
        <v/>
      </c>
    </row>
    <row r="1421" customFormat="false" ht="15" hidden="true" customHeight="false" outlineLevel="0" collapsed="false">
      <c r="A1421" s="53" t="str">
        <f aca="false">IF($H1421="","",ROW()-5)</f>
        <v/>
      </c>
      <c r="B1421" s="64" t="s">
        <v>36</v>
      </c>
      <c r="C1421" s="53" t="n">
        <v>359</v>
      </c>
      <c r="D1421" s="53" t="n">
        <v>4</v>
      </c>
      <c r="E1421" s="65" t="str">
        <f aca="false">IF($H1421="","",购销流水!$B359)</f>
        <v/>
      </c>
      <c r="F1421" s="55" t="str">
        <f aca="false">IF($H1421="","",购销流水!$C359)</f>
        <v/>
      </c>
      <c r="G1421" s="48" t="str">
        <f aca="false">IF($H1421="","",购销流水!$N359)</f>
        <v/>
      </c>
      <c r="H1421" s="10" t="str">
        <f aca="false">IF($L1421="","",IF($L1421="@成本",购销流水!$U359,IF($L1421="@收入",购销流水!$T359,IF($L1421="@存货",购销流水!$S359,IF($L1421="@结算",购销流水!$R359,$L1421)))))</f>
        <v/>
      </c>
      <c r="I1421" s="42" t="n">
        <f aca="false">IF($M1421="借",$O1421,0)</f>
        <v>0</v>
      </c>
      <c r="J1421" s="42" t="n">
        <f aca="false">IF($M1421="贷",$O1421,0)</f>
        <v>0</v>
      </c>
      <c r="K1421" s="48" t="str">
        <f aca="false">IF($H1421="","",购销流水!$E359)</f>
        <v/>
      </c>
      <c r="L1421" s="66" t="str">
        <f aca="false">IF(购销流水!$D359="","",IFERROR(INDEX(记账规则!$A$6:$N$9,MATCH(购销流水!$D359,记账规则!$A$6:$A$9,0),12),""))</f>
        <v/>
      </c>
      <c r="M1421" s="66" t="str">
        <f aca="false">IF($L1421="","",IFERROR(INDEX(记账规则!$A$6:$N$9,MATCH(购销流水!$D359,记账规则!$A$6:$A$9,0),13),""))</f>
        <v/>
      </c>
      <c r="N1421" s="66" t="str">
        <f aca="false">IF($L1421="","",IFERROR(INDEX(记账规则!$A$6:$N$9,MATCH(购销流水!$D359,记账规则!$A$6:$A$9,0),14),""))</f>
        <v/>
      </c>
      <c r="O1421" s="67" t="n">
        <f aca="false">IF($H1421="",0,ROUND(IF($N1421="成本金额",N(购销流水!$W359),IF($N1421="金额",N(购销流水!$Q359),0)),2))</f>
        <v>0</v>
      </c>
      <c r="P1421" s="64" t="str">
        <f aca="false">IF(AND($H1421&lt;&gt;"",ROUND($O1421,2)&lt;&gt;0),"有","")</f>
        <v/>
      </c>
    </row>
    <row r="1422" customFormat="false" ht="15" hidden="true" customHeight="false" outlineLevel="0" collapsed="false">
      <c r="A1422" s="53" t="str">
        <f aca="false">IF($H1422="","",ROW()-5)</f>
        <v/>
      </c>
      <c r="B1422" s="64" t="s">
        <v>36</v>
      </c>
      <c r="C1422" s="53" t="n">
        <v>360</v>
      </c>
      <c r="D1422" s="53" t="n">
        <v>1</v>
      </c>
      <c r="E1422" s="65" t="str">
        <f aca="false">IF($H1422="","",购销流水!$B360)</f>
        <v/>
      </c>
      <c r="F1422" s="55" t="str">
        <f aca="false">IF($H1422="","",购销流水!$C360)</f>
        <v/>
      </c>
      <c r="G1422" s="48" t="str">
        <f aca="false">IF($H1422="","",购销流水!$N360)</f>
        <v/>
      </c>
      <c r="H1422" s="10" t="str">
        <f aca="false">IF($L1422="","",IF($L1422="@成本",购销流水!$U360,IF($L1422="@收入",购销流水!$T360,IF($L1422="@存货",购销流水!$S360,IF($L1422="@结算",购销流水!$R360,$L1422)))))</f>
        <v/>
      </c>
      <c r="I1422" s="42" t="n">
        <f aca="false">IF($M1422="借",$O1422,0)</f>
        <v>0</v>
      </c>
      <c r="J1422" s="42" t="n">
        <f aca="false">IF($M1422="贷",$O1422,0)</f>
        <v>0</v>
      </c>
      <c r="K1422" s="48" t="str">
        <f aca="false">IF($H1422="","",购销流水!$E360)</f>
        <v/>
      </c>
      <c r="L1422" s="66" t="str">
        <f aca="false">IF(购销流水!$D360="","",IFERROR(INDEX(记账规则!$A$6:$N$9,MATCH(购销流水!$D360,记账规则!$A$6:$A$9,0),3),""))</f>
        <v/>
      </c>
      <c r="M1422" s="66" t="str">
        <f aca="false">IF($L1422="","",IFERROR(INDEX(记账规则!$A$6:$N$9,MATCH(购销流水!$D360,记账规则!$A$6:$A$9,0),4),""))</f>
        <v/>
      </c>
      <c r="N1422" s="66" t="str">
        <f aca="false">IF($L1422="","",IFERROR(INDEX(记账规则!$A$6:$N$9,MATCH(购销流水!$D360,记账规则!$A$6:$A$9,0),5),""))</f>
        <v/>
      </c>
      <c r="O1422" s="67" t="n">
        <f aca="false">IF($H1422="",0,ROUND(IF($N1422="成本金额",N(购销流水!$W360),IF($N1422="金额",N(购销流水!$Q360),0)),2))</f>
        <v>0</v>
      </c>
      <c r="P1422" s="64" t="str">
        <f aca="false">IF(AND($H1422&lt;&gt;"",ROUND($O1422,2)&lt;&gt;0),"有","")</f>
        <v/>
      </c>
    </row>
    <row r="1423" customFormat="false" ht="15" hidden="true" customHeight="false" outlineLevel="0" collapsed="false">
      <c r="A1423" s="53" t="str">
        <f aca="false">IF($H1423="","",ROW()-5)</f>
        <v/>
      </c>
      <c r="B1423" s="64" t="s">
        <v>36</v>
      </c>
      <c r="C1423" s="53" t="n">
        <v>360</v>
      </c>
      <c r="D1423" s="53" t="n">
        <v>2</v>
      </c>
      <c r="E1423" s="65" t="str">
        <f aca="false">IF($H1423="","",购销流水!$B360)</f>
        <v/>
      </c>
      <c r="F1423" s="55" t="str">
        <f aca="false">IF($H1423="","",购销流水!$C360)</f>
        <v/>
      </c>
      <c r="G1423" s="48" t="str">
        <f aca="false">IF($H1423="","",购销流水!$N360)</f>
        <v/>
      </c>
      <c r="H1423" s="10" t="str">
        <f aca="false">IF($L1423="","",IF($L1423="@成本",购销流水!$U360,IF($L1423="@收入",购销流水!$T360,IF($L1423="@存货",购销流水!$S360,IF($L1423="@结算",购销流水!$R360,$L1423)))))</f>
        <v/>
      </c>
      <c r="I1423" s="42" t="n">
        <f aca="false">IF($M1423="借",$O1423,0)</f>
        <v>0</v>
      </c>
      <c r="J1423" s="42" t="n">
        <f aca="false">IF($M1423="贷",$O1423,0)</f>
        <v>0</v>
      </c>
      <c r="K1423" s="48" t="str">
        <f aca="false">IF($H1423="","",购销流水!$E360)</f>
        <v/>
      </c>
      <c r="L1423" s="66" t="str">
        <f aca="false">IF(购销流水!$D360="","",IFERROR(INDEX(记账规则!$A$6:$N$9,MATCH(购销流水!$D360,记账规则!$A$6:$A$9,0),6),""))</f>
        <v/>
      </c>
      <c r="M1423" s="66" t="str">
        <f aca="false">IF($L1423="","",IFERROR(INDEX(记账规则!$A$6:$N$9,MATCH(购销流水!$D360,记账规则!$A$6:$A$9,0),7),""))</f>
        <v/>
      </c>
      <c r="N1423" s="66" t="str">
        <f aca="false">IF($L1423="","",IFERROR(INDEX(记账规则!$A$6:$N$9,MATCH(购销流水!$D360,记账规则!$A$6:$A$9,0),8),""))</f>
        <v/>
      </c>
      <c r="O1423" s="67" t="n">
        <f aca="false">IF($H1423="",0,ROUND(IF($N1423="成本金额",N(购销流水!$W360),IF($N1423="金额",N(购销流水!$Q360),0)),2))</f>
        <v>0</v>
      </c>
      <c r="P1423" s="64" t="str">
        <f aca="false">IF(AND($H1423&lt;&gt;"",ROUND($O1423,2)&lt;&gt;0),"有","")</f>
        <v/>
      </c>
    </row>
    <row r="1424" customFormat="false" ht="15" hidden="true" customHeight="false" outlineLevel="0" collapsed="false">
      <c r="A1424" s="53" t="str">
        <f aca="false">IF($H1424="","",ROW()-5)</f>
        <v/>
      </c>
      <c r="B1424" s="64" t="s">
        <v>36</v>
      </c>
      <c r="C1424" s="53" t="n">
        <v>360</v>
      </c>
      <c r="D1424" s="53" t="n">
        <v>3</v>
      </c>
      <c r="E1424" s="65" t="str">
        <f aca="false">IF($H1424="","",购销流水!$B360)</f>
        <v/>
      </c>
      <c r="F1424" s="55" t="str">
        <f aca="false">IF($H1424="","",购销流水!$C360)</f>
        <v/>
      </c>
      <c r="G1424" s="48" t="str">
        <f aca="false">IF($H1424="","",购销流水!$N360)</f>
        <v/>
      </c>
      <c r="H1424" s="10" t="str">
        <f aca="false">IF($L1424="","",IF($L1424="@成本",购销流水!$U360,IF($L1424="@收入",购销流水!$T360,IF($L1424="@存货",购销流水!$S360,IF($L1424="@结算",购销流水!$R360,$L1424)))))</f>
        <v/>
      </c>
      <c r="I1424" s="42" t="n">
        <f aca="false">IF($M1424="借",$O1424,0)</f>
        <v>0</v>
      </c>
      <c r="J1424" s="42" t="n">
        <f aca="false">IF($M1424="贷",$O1424,0)</f>
        <v>0</v>
      </c>
      <c r="K1424" s="48" t="str">
        <f aca="false">IF($H1424="","",购销流水!$E360)</f>
        <v/>
      </c>
      <c r="L1424" s="66" t="str">
        <f aca="false">IF(购销流水!$D360="","",IFERROR(INDEX(记账规则!$A$6:$N$9,MATCH(购销流水!$D360,记账规则!$A$6:$A$9,0),9),""))</f>
        <v/>
      </c>
      <c r="M1424" s="66" t="str">
        <f aca="false">IF($L1424="","",IFERROR(INDEX(记账规则!$A$6:$N$9,MATCH(购销流水!$D360,记账规则!$A$6:$A$9,0),10),""))</f>
        <v/>
      </c>
      <c r="N1424" s="66" t="str">
        <f aca="false">IF($L1424="","",IFERROR(INDEX(记账规则!$A$6:$N$9,MATCH(购销流水!$D360,记账规则!$A$6:$A$9,0),11),""))</f>
        <v/>
      </c>
      <c r="O1424" s="67" t="n">
        <f aca="false">IF($H1424="",0,ROUND(IF($N1424="成本金额",N(购销流水!$W360),IF($N1424="金额",N(购销流水!$Q360),0)),2))</f>
        <v>0</v>
      </c>
      <c r="P1424" s="64" t="str">
        <f aca="false">IF(AND($H1424&lt;&gt;"",ROUND($O1424,2)&lt;&gt;0),"有","")</f>
        <v/>
      </c>
    </row>
    <row r="1425" customFormat="false" ht="15" hidden="true" customHeight="false" outlineLevel="0" collapsed="false">
      <c r="A1425" s="53" t="str">
        <f aca="false">IF($H1425="","",ROW()-5)</f>
        <v/>
      </c>
      <c r="B1425" s="64" t="s">
        <v>36</v>
      </c>
      <c r="C1425" s="53" t="n">
        <v>360</v>
      </c>
      <c r="D1425" s="53" t="n">
        <v>4</v>
      </c>
      <c r="E1425" s="65" t="str">
        <f aca="false">IF($H1425="","",购销流水!$B360)</f>
        <v/>
      </c>
      <c r="F1425" s="55" t="str">
        <f aca="false">IF($H1425="","",购销流水!$C360)</f>
        <v/>
      </c>
      <c r="G1425" s="48" t="str">
        <f aca="false">IF($H1425="","",购销流水!$N360)</f>
        <v/>
      </c>
      <c r="H1425" s="10" t="str">
        <f aca="false">IF($L1425="","",IF($L1425="@成本",购销流水!$U360,IF($L1425="@收入",购销流水!$T360,IF($L1425="@存货",购销流水!$S360,IF($L1425="@结算",购销流水!$R360,$L1425)))))</f>
        <v/>
      </c>
      <c r="I1425" s="42" t="n">
        <f aca="false">IF($M1425="借",$O1425,0)</f>
        <v>0</v>
      </c>
      <c r="J1425" s="42" t="n">
        <f aca="false">IF($M1425="贷",$O1425,0)</f>
        <v>0</v>
      </c>
      <c r="K1425" s="48" t="str">
        <f aca="false">IF($H1425="","",购销流水!$E360)</f>
        <v/>
      </c>
      <c r="L1425" s="66" t="str">
        <f aca="false">IF(购销流水!$D360="","",IFERROR(INDEX(记账规则!$A$6:$N$9,MATCH(购销流水!$D360,记账规则!$A$6:$A$9,0),12),""))</f>
        <v/>
      </c>
      <c r="M1425" s="66" t="str">
        <f aca="false">IF($L1425="","",IFERROR(INDEX(记账规则!$A$6:$N$9,MATCH(购销流水!$D360,记账规则!$A$6:$A$9,0),13),""))</f>
        <v/>
      </c>
      <c r="N1425" s="66" t="str">
        <f aca="false">IF($L1425="","",IFERROR(INDEX(记账规则!$A$6:$N$9,MATCH(购销流水!$D360,记账规则!$A$6:$A$9,0),14),""))</f>
        <v/>
      </c>
      <c r="O1425" s="67" t="n">
        <f aca="false">IF($H1425="",0,ROUND(IF($N1425="成本金额",N(购销流水!$W360),IF($N1425="金额",N(购销流水!$Q360),0)),2))</f>
        <v>0</v>
      </c>
      <c r="P1425" s="64" t="str">
        <f aca="false">IF(AND($H1425&lt;&gt;"",ROUND($O1425,2)&lt;&gt;0),"有","")</f>
        <v/>
      </c>
    </row>
    <row r="1426" customFormat="false" ht="15" hidden="true" customHeight="false" outlineLevel="0" collapsed="false">
      <c r="A1426" s="53" t="str">
        <f aca="false">IF($H1426="","",ROW()-5)</f>
        <v/>
      </c>
      <c r="B1426" s="64" t="s">
        <v>36</v>
      </c>
      <c r="C1426" s="53" t="n">
        <v>361</v>
      </c>
      <c r="D1426" s="53" t="n">
        <v>1</v>
      </c>
      <c r="E1426" s="65" t="str">
        <f aca="false">IF($H1426="","",购销流水!$B361)</f>
        <v/>
      </c>
      <c r="F1426" s="55" t="str">
        <f aca="false">IF($H1426="","",购销流水!$C361)</f>
        <v/>
      </c>
      <c r="G1426" s="48" t="str">
        <f aca="false">IF($H1426="","",购销流水!$N361)</f>
        <v/>
      </c>
      <c r="H1426" s="10" t="str">
        <f aca="false">IF($L1426="","",IF($L1426="@成本",购销流水!$U361,IF($L1426="@收入",购销流水!$T361,IF($L1426="@存货",购销流水!$S361,IF($L1426="@结算",购销流水!$R361,$L1426)))))</f>
        <v/>
      </c>
      <c r="I1426" s="42" t="n">
        <f aca="false">IF($M1426="借",$O1426,0)</f>
        <v>0</v>
      </c>
      <c r="J1426" s="42" t="n">
        <f aca="false">IF($M1426="贷",$O1426,0)</f>
        <v>0</v>
      </c>
      <c r="K1426" s="48" t="str">
        <f aca="false">IF($H1426="","",购销流水!$E361)</f>
        <v/>
      </c>
      <c r="L1426" s="66" t="str">
        <f aca="false">IF(购销流水!$D361="","",IFERROR(INDEX(记账规则!$A$6:$N$9,MATCH(购销流水!$D361,记账规则!$A$6:$A$9,0),3),""))</f>
        <v/>
      </c>
      <c r="M1426" s="66" t="str">
        <f aca="false">IF($L1426="","",IFERROR(INDEX(记账规则!$A$6:$N$9,MATCH(购销流水!$D361,记账规则!$A$6:$A$9,0),4),""))</f>
        <v/>
      </c>
      <c r="N1426" s="66" t="str">
        <f aca="false">IF($L1426="","",IFERROR(INDEX(记账规则!$A$6:$N$9,MATCH(购销流水!$D361,记账规则!$A$6:$A$9,0),5),""))</f>
        <v/>
      </c>
      <c r="O1426" s="67" t="n">
        <f aca="false">IF($H1426="",0,ROUND(IF($N1426="成本金额",N(购销流水!$W361),IF($N1426="金额",N(购销流水!$Q361),0)),2))</f>
        <v>0</v>
      </c>
      <c r="P1426" s="64" t="str">
        <f aca="false">IF(AND($H1426&lt;&gt;"",ROUND($O1426,2)&lt;&gt;0),"有","")</f>
        <v/>
      </c>
    </row>
    <row r="1427" customFormat="false" ht="15" hidden="true" customHeight="false" outlineLevel="0" collapsed="false">
      <c r="A1427" s="53" t="str">
        <f aca="false">IF($H1427="","",ROW()-5)</f>
        <v/>
      </c>
      <c r="B1427" s="64" t="s">
        <v>36</v>
      </c>
      <c r="C1427" s="53" t="n">
        <v>361</v>
      </c>
      <c r="D1427" s="53" t="n">
        <v>2</v>
      </c>
      <c r="E1427" s="65" t="str">
        <f aca="false">IF($H1427="","",购销流水!$B361)</f>
        <v/>
      </c>
      <c r="F1427" s="55" t="str">
        <f aca="false">IF($H1427="","",购销流水!$C361)</f>
        <v/>
      </c>
      <c r="G1427" s="48" t="str">
        <f aca="false">IF($H1427="","",购销流水!$N361)</f>
        <v/>
      </c>
      <c r="H1427" s="10" t="str">
        <f aca="false">IF($L1427="","",IF($L1427="@成本",购销流水!$U361,IF($L1427="@收入",购销流水!$T361,IF($L1427="@存货",购销流水!$S361,IF($L1427="@结算",购销流水!$R361,$L1427)))))</f>
        <v/>
      </c>
      <c r="I1427" s="42" t="n">
        <f aca="false">IF($M1427="借",$O1427,0)</f>
        <v>0</v>
      </c>
      <c r="J1427" s="42" t="n">
        <f aca="false">IF($M1427="贷",$O1427,0)</f>
        <v>0</v>
      </c>
      <c r="K1427" s="48" t="str">
        <f aca="false">IF($H1427="","",购销流水!$E361)</f>
        <v/>
      </c>
      <c r="L1427" s="66" t="str">
        <f aca="false">IF(购销流水!$D361="","",IFERROR(INDEX(记账规则!$A$6:$N$9,MATCH(购销流水!$D361,记账规则!$A$6:$A$9,0),6),""))</f>
        <v/>
      </c>
      <c r="M1427" s="66" t="str">
        <f aca="false">IF($L1427="","",IFERROR(INDEX(记账规则!$A$6:$N$9,MATCH(购销流水!$D361,记账规则!$A$6:$A$9,0),7),""))</f>
        <v/>
      </c>
      <c r="N1427" s="66" t="str">
        <f aca="false">IF($L1427="","",IFERROR(INDEX(记账规则!$A$6:$N$9,MATCH(购销流水!$D361,记账规则!$A$6:$A$9,0),8),""))</f>
        <v/>
      </c>
      <c r="O1427" s="67" t="n">
        <f aca="false">IF($H1427="",0,ROUND(IF($N1427="成本金额",N(购销流水!$W361),IF($N1427="金额",N(购销流水!$Q361),0)),2))</f>
        <v>0</v>
      </c>
      <c r="P1427" s="64" t="str">
        <f aca="false">IF(AND($H1427&lt;&gt;"",ROUND($O1427,2)&lt;&gt;0),"有","")</f>
        <v/>
      </c>
    </row>
    <row r="1428" customFormat="false" ht="15" hidden="true" customHeight="false" outlineLevel="0" collapsed="false">
      <c r="A1428" s="53" t="str">
        <f aca="false">IF($H1428="","",ROW()-5)</f>
        <v/>
      </c>
      <c r="B1428" s="64" t="s">
        <v>36</v>
      </c>
      <c r="C1428" s="53" t="n">
        <v>361</v>
      </c>
      <c r="D1428" s="53" t="n">
        <v>3</v>
      </c>
      <c r="E1428" s="65" t="str">
        <f aca="false">IF($H1428="","",购销流水!$B361)</f>
        <v/>
      </c>
      <c r="F1428" s="55" t="str">
        <f aca="false">IF($H1428="","",购销流水!$C361)</f>
        <v/>
      </c>
      <c r="G1428" s="48" t="str">
        <f aca="false">IF($H1428="","",购销流水!$N361)</f>
        <v/>
      </c>
      <c r="H1428" s="10" t="str">
        <f aca="false">IF($L1428="","",IF($L1428="@成本",购销流水!$U361,IF($L1428="@收入",购销流水!$T361,IF($L1428="@存货",购销流水!$S361,IF($L1428="@结算",购销流水!$R361,$L1428)))))</f>
        <v/>
      </c>
      <c r="I1428" s="42" t="n">
        <f aca="false">IF($M1428="借",$O1428,0)</f>
        <v>0</v>
      </c>
      <c r="J1428" s="42" t="n">
        <f aca="false">IF($M1428="贷",$O1428,0)</f>
        <v>0</v>
      </c>
      <c r="K1428" s="48" t="str">
        <f aca="false">IF($H1428="","",购销流水!$E361)</f>
        <v/>
      </c>
      <c r="L1428" s="66" t="str">
        <f aca="false">IF(购销流水!$D361="","",IFERROR(INDEX(记账规则!$A$6:$N$9,MATCH(购销流水!$D361,记账规则!$A$6:$A$9,0),9),""))</f>
        <v/>
      </c>
      <c r="M1428" s="66" t="str">
        <f aca="false">IF($L1428="","",IFERROR(INDEX(记账规则!$A$6:$N$9,MATCH(购销流水!$D361,记账规则!$A$6:$A$9,0),10),""))</f>
        <v/>
      </c>
      <c r="N1428" s="66" t="str">
        <f aca="false">IF($L1428="","",IFERROR(INDEX(记账规则!$A$6:$N$9,MATCH(购销流水!$D361,记账规则!$A$6:$A$9,0),11),""))</f>
        <v/>
      </c>
      <c r="O1428" s="67" t="n">
        <f aca="false">IF($H1428="",0,ROUND(IF($N1428="成本金额",N(购销流水!$W361),IF($N1428="金额",N(购销流水!$Q361),0)),2))</f>
        <v>0</v>
      </c>
      <c r="P1428" s="64" t="str">
        <f aca="false">IF(AND($H1428&lt;&gt;"",ROUND($O1428,2)&lt;&gt;0),"有","")</f>
        <v/>
      </c>
    </row>
    <row r="1429" customFormat="false" ht="15" hidden="true" customHeight="false" outlineLevel="0" collapsed="false">
      <c r="A1429" s="53" t="str">
        <f aca="false">IF($H1429="","",ROW()-5)</f>
        <v/>
      </c>
      <c r="B1429" s="64" t="s">
        <v>36</v>
      </c>
      <c r="C1429" s="53" t="n">
        <v>361</v>
      </c>
      <c r="D1429" s="53" t="n">
        <v>4</v>
      </c>
      <c r="E1429" s="65" t="str">
        <f aca="false">IF($H1429="","",购销流水!$B361)</f>
        <v/>
      </c>
      <c r="F1429" s="55" t="str">
        <f aca="false">IF($H1429="","",购销流水!$C361)</f>
        <v/>
      </c>
      <c r="G1429" s="48" t="str">
        <f aca="false">IF($H1429="","",购销流水!$N361)</f>
        <v/>
      </c>
      <c r="H1429" s="10" t="str">
        <f aca="false">IF($L1429="","",IF($L1429="@成本",购销流水!$U361,IF($L1429="@收入",购销流水!$T361,IF($L1429="@存货",购销流水!$S361,IF($L1429="@结算",购销流水!$R361,$L1429)))))</f>
        <v/>
      </c>
      <c r="I1429" s="42" t="n">
        <f aca="false">IF($M1429="借",$O1429,0)</f>
        <v>0</v>
      </c>
      <c r="J1429" s="42" t="n">
        <f aca="false">IF($M1429="贷",$O1429,0)</f>
        <v>0</v>
      </c>
      <c r="K1429" s="48" t="str">
        <f aca="false">IF($H1429="","",购销流水!$E361)</f>
        <v/>
      </c>
      <c r="L1429" s="66" t="str">
        <f aca="false">IF(购销流水!$D361="","",IFERROR(INDEX(记账规则!$A$6:$N$9,MATCH(购销流水!$D361,记账规则!$A$6:$A$9,0),12),""))</f>
        <v/>
      </c>
      <c r="M1429" s="66" t="str">
        <f aca="false">IF($L1429="","",IFERROR(INDEX(记账规则!$A$6:$N$9,MATCH(购销流水!$D361,记账规则!$A$6:$A$9,0),13),""))</f>
        <v/>
      </c>
      <c r="N1429" s="66" t="str">
        <f aca="false">IF($L1429="","",IFERROR(INDEX(记账规则!$A$6:$N$9,MATCH(购销流水!$D361,记账规则!$A$6:$A$9,0),14),""))</f>
        <v/>
      </c>
      <c r="O1429" s="67" t="n">
        <f aca="false">IF($H1429="",0,ROUND(IF($N1429="成本金额",N(购销流水!$W361),IF($N1429="金额",N(购销流水!$Q361),0)),2))</f>
        <v>0</v>
      </c>
      <c r="P1429" s="64" t="str">
        <f aca="false">IF(AND($H1429&lt;&gt;"",ROUND($O1429,2)&lt;&gt;0),"有","")</f>
        <v/>
      </c>
    </row>
    <row r="1430" customFormat="false" ht="15" hidden="true" customHeight="false" outlineLevel="0" collapsed="false">
      <c r="A1430" s="53" t="str">
        <f aca="false">IF($H1430="","",ROW()-5)</f>
        <v/>
      </c>
      <c r="B1430" s="64" t="s">
        <v>36</v>
      </c>
      <c r="C1430" s="53" t="n">
        <v>362</v>
      </c>
      <c r="D1430" s="53" t="n">
        <v>1</v>
      </c>
      <c r="E1430" s="65" t="str">
        <f aca="false">IF($H1430="","",购销流水!$B362)</f>
        <v/>
      </c>
      <c r="F1430" s="55" t="str">
        <f aca="false">IF($H1430="","",购销流水!$C362)</f>
        <v/>
      </c>
      <c r="G1430" s="48" t="str">
        <f aca="false">IF($H1430="","",购销流水!$N362)</f>
        <v/>
      </c>
      <c r="H1430" s="10" t="str">
        <f aca="false">IF($L1430="","",IF($L1430="@成本",购销流水!$U362,IF($L1430="@收入",购销流水!$T362,IF($L1430="@存货",购销流水!$S362,IF($L1430="@结算",购销流水!$R362,$L1430)))))</f>
        <v/>
      </c>
      <c r="I1430" s="42" t="n">
        <f aca="false">IF($M1430="借",$O1430,0)</f>
        <v>0</v>
      </c>
      <c r="J1430" s="42" t="n">
        <f aca="false">IF($M1430="贷",$O1430,0)</f>
        <v>0</v>
      </c>
      <c r="K1430" s="48" t="str">
        <f aca="false">IF($H1430="","",购销流水!$E362)</f>
        <v/>
      </c>
      <c r="L1430" s="66" t="str">
        <f aca="false">IF(购销流水!$D362="","",IFERROR(INDEX(记账规则!$A$6:$N$9,MATCH(购销流水!$D362,记账规则!$A$6:$A$9,0),3),""))</f>
        <v/>
      </c>
      <c r="M1430" s="66" t="str">
        <f aca="false">IF($L1430="","",IFERROR(INDEX(记账规则!$A$6:$N$9,MATCH(购销流水!$D362,记账规则!$A$6:$A$9,0),4),""))</f>
        <v/>
      </c>
      <c r="N1430" s="66" t="str">
        <f aca="false">IF($L1430="","",IFERROR(INDEX(记账规则!$A$6:$N$9,MATCH(购销流水!$D362,记账规则!$A$6:$A$9,0),5),""))</f>
        <v/>
      </c>
      <c r="O1430" s="67" t="n">
        <f aca="false">IF($H1430="",0,ROUND(IF($N1430="成本金额",N(购销流水!$W362),IF($N1430="金额",N(购销流水!$Q362),0)),2))</f>
        <v>0</v>
      </c>
      <c r="P1430" s="64" t="str">
        <f aca="false">IF(AND($H1430&lt;&gt;"",ROUND($O1430,2)&lt;&gt;0),"有","")</f>
        <v/>
      </c>
    </row>
    <row r="1431" customFormat="false" ht="15" hidden="true" customHeight="false" outlineLevel="0" collapsed="false">
      <c r="A1431" s="53" t="str">
        <f aca="false">IF($H1431="","",ROW()-5)</f>
        <v/>
      </c>
      <c r="B1431" s="64" t="s">
        <v>36</v>
      </c>
      <c r="C1431" s="53" t="n">
        <v>362</v>
      </c>
      <c r="D1431" s="53" t="n">
        <v>2</v>
      </c>
      <c r="E1431" s="65" t="str">
        <f aca="false">IF($H1431="","",购销流水!$B362)</f>
        <v/>
      </c>
      <c r="F1431" s="55" t="str">
        <f aca="false">IF($H1431="","",购销流水!$C362)</f>
        <v/>
      </c>
      <c r="G1431" s="48" t="str">
        <f aca="false">IF($H1431="","",购销流水!$N362)</f>
        <v/>
      </c>
      <c r="H1431" s="10" t="str">
        <f aca="false">IF($L1431="","",IF($L1431="@成本",购销流水!$U362,IF($L1431="@收入",购销流水!$T362,IF($L1431="@存货",购销流水!$S362,IF($L1431="@结算",购销流水!$R362,$L1431)))))</f>
        <v/>
      </c>
      <c r="I1431" s="42" t="n">
        <f aca="false">IF($M1431="借",$O1431,0)</f>
        <v>0</v>
      </c>
      <c r="J1431" s="42" t="n">
        <f aca="false">IF($M1431="贷",$O1431,0)</f>
        <v>0</v>
      </c>
      <c r="K1431" s="48" t="str">
        <f aca="false">IF($H1431="","",购销流水!$E362)</f>
        <v/>
      </c>
      <c r="L1431" s="66" t="str">
        <f aca="false">IF(购销流水!$D362="","",IFERROR(INDEX(记账规则!$A$6:$N$9,MATCH(购销流水!$D362,记账规则!$A$6:$A$9,0),6),""))</f>
        <v/>
      </c>
      <c r="M1431" s="66" t="str">
        <f aca="false">IF($L1431="","",IFERROR(INDEX(记账规则!$A$6:$N$9,MATCH(购销流水!$D362,记账规则!$A$6:$A$9,0),7),""))</f>
        <v/>
      </c>
      <c r="N1431" s="66" t="str">
        <f aca="false">IF($L1431="","",IFERROR(INDEX(记账规则!$A$6:$N$9,MATCH(购销流水!$D362,记账规则!$A$6:$A$9,0),8),""))</f>
        <v/>
      </c>
      <c r="O1431" s="67" t="n">
        <f aca="false">IF($H1431="",0,ROUND(IF($N1431="成本金额",N(购销流水!$W362),IF($N1431="金额",N(购销流水!$Q362),0)),2))</f>
        <v>0</v>
      </c>
      <c r="P1431" s="64" t="str">
        <f aca="false">IF(AND($H1431&lt;&gt;"",ROUND($O1431,2)&lt;&gt;0),"有","")</f>
        <v/>
      </c>
    </row>
    <row r="1432" customFormat="false" ht="15" hidden="true" customHeight="false" outlineLevel="0" collapsed="false">
      <c r="A1432" s="53" t="str">
        <f aca="false">IF($H1432="","",ROW()-5)</f>
        <v/>
      </c>
      <c r="B1432" s="64" t="s">
        <v>36</v>
      </c>
      <c r="C1432" s="53" t="n">
        <v>362</v>
      </c>
      <c r="D1432" s="53" t="n">
        <v>3</v>
      </c>
      <c r="E1432" s="65" t="str">
        <f aca="false">IF($H1432="","",购销流水!$B362)</f>
        <v/>
      </c>
      <c r="F1432" s="55" t="str">
        <f aca="false">IF($H1432="","",购销流水!$C362)</f>
        <v/>
      </c>
      <c r="G1432" s="48" t="str">
        <f aca="false">IF($H1432="","",购销流水!$N362)</f>
        <v/>
      </c>
      <c r="H1432" s="10" t="str">
        <f aca="false">IF($L1432="","",IF($L1432="@成本",购销流水!$U362,IF($L1432="@收入",购销流水!$T362,IF($L1432="@存货",购销流水!$S362,IF($L1432="@结算",购销流水!$R362,$L1432)))))</f>
        <v/>
      </c>
      <c r="I1432" s="42" t="n">
        <f aca="false">IF($M1432="借",$O1432,0)</f>
        <v>0</v>
      </c>
      <c r="J1432" s="42" t="n">
        <f aca="false">IF($M1432="贷",$O1432,0)</f>
        <v>0</v>
      </c>
      <c r="K1432" s="48" t="str">
        <f aca="false">IF($H1432="","",购销流水!$E362)</f>
        <v/>
      </c>
      <c r="L1432" s="66" t="str">
        <f aca="false">IF(购销流水!$D362="","",IFERROR(INDEX(记账规则!$A$6:$N$9,MATCH(购销流水!$D362,记账规则!$A$6:$A$9,0),9),""))</f>
        <v/>
      </c>
      <c r="M1432" s="66" t="str">
        <f aca="false">IF($L1432="","",IFERROR(INDEX(记账规则!$A$6:$N$9,MATCH(购销流水!$D362,记账规则!$A$6:$A$9,0),10),""))</f>
        <v/>
      </c>
      <c r="N1432" s="66" t="str">
        <f aca="false">IF($L1432="","",IFERROR(INDEX(记账规则!$A$6:$N$9,MATCH(购销流水!$D362,记账规则!$A$6:$A$9,0),11),""))</f>
        <v/>
      </c>
      <c r="O1432" s="67" t="n">
        <f aca="false">IF($H1432="",0,ROUND(IF($N1432="成本金额",N(购销流水!$W362),IF($N1432="金额",N(购销流水!$Q362),0)),2))</f>
        <v>0</v>
      </c>
      <c r="P1432" s="64" t="str">
        <f aca="false">IF(AND($H1432&lt;&gt;"",ROUND($O1432,2)&lt;&gt;0),"有","")</f>
        <v/>
      </c>
    </row>
    <row r="1433" customFormat="false" ht="15" hidden="true" customHeight="false" outlineLevel="0" collapsed="false">
      <c r="A1433" s="53" t="str">
        <f aca="false">IF($H1433="","",ROW()-5)</f>
        <v/>
      </c>
      <c r="B1433" s="64" t="s">
        <v>36</v>
      </c>
      <c r="C1433" s="53" t="n">
        <v>362</v>
      </c>
      <c r="D1433" s="53" t="n">
        <v>4</v>
      </c>
      <c r="E1433" s="65" t="str">
        <f aca="false">IF($H1433="","",购销流水!$B362)</f>
        <v/>
      </c>
      <c r="F1433" s="55" t="str">
        <f aca="false">IF($H1433="","",购销流水!$C362)</f>
        <v/>
      </c>
      <c r="G1433" s="48" t="str">
        <f aca="false">IF($H1433="","",购销流水!$N362)</f>
        <v/>
      </c>
      <c r="H1433" s="10" t="str">
        <f aca="false">IF($L1433="","",IF($L1433="@成本",购销流水!$U362,IF($L1433="@收入",购销流水!$T362,IF($L1433="@存货",购销流水!$S362,IF($L1433="@结算",购销流水!$R362,$L1433)))))</f>
        <v/>
      </c>
      <c r="I1433" s="42" t="n">
        <f aca="false">IF($M1433="借",$O1433,0)</f>
        <v>0</v>
      </c>
      <c r="J1433" s="42" t="n">
        <f aca="false">IF($M1433="贷",$O1433,0)</f>
        <v>0</v>
      </c>
      <c r="K1433" s="48" t="str">
        <f aca="false">IF($H1433="","",购销流水!$E362)</f>
        <v/>
      </c>
      <c r="L1433" s="66" t="str">
        <f aca="false">IF(购销流水!$D362="","",IFERROR(INDEX(记账规则!$A$6:$N$9,MATCH(购销流水!$D362,记账规则!$A$6:$A$9,0),12),""))</f>
        <v/>
      </c>
      <c r="M1433" s="66" t="str">
        <f aca="false">IF($L1433="","",IFERROR(INDEX(记账规则!$A$6:$N$9,MATCH(购销流水!$D362,记账规则!$A$6:$A$9,0),13),""))</f>
        <v/>
      </c>
      <c r="N1433" s="66" t="str">
        <f aca="false">IF($L1433="","",IFERROR(INDEX(记账规则!$A$6:$N$9,MATCH(购销流水!$D362,记账规则!$A$6:$A$9,0),14),""))</f>
        <v/>
      </c>
      <c r="O1433" s="67" t="n">
        <f aca="false">IF($H1433="",0,ROUND(IF($N1433="成本金额",N(购销流水!$W362),IF($N1433="金额",N(购销流水!$Q362),0)),2))</f>
        <v>0</v>
      </c>
      <c r="P1433" s="64" t="str">
        <f aca="false">IF(AND($H1433&lt;&gt;"",ROUND($O1433,2)&lt;&gt;0),"有","")</f>
        <v/>
      </c>
    </row>
    <row r="1434" customFormat="false" ht="15" hidden="true" customHeight="false" outlineLevel="0" collapsed="false">
      <c r="A1434" s="53" t="str">
        <f aca="false">IF($H1434="","",ROW()-5)</f>
        <v/>
      </c>
      <c r="B1434" s="64" t="s">
        <v>36</v>
      </c>
      <c r="C1434" s="53" t="n">
        <v>363</v>
      </c>
      <c r="D1434" s="53" t="n">
        <v>1</v>
      </c>
      <c r="E1434" s="65" t="str">
        <f aca="false">IF($H1434="","",购销流水!$B363)</f>
        <v/>
      </c>
      <c r="F1434" s="55" t="str">
        <f aca="false">IF($H1434="","",购销流水!$C363)</f>
        <v/>
      </c>
      <c r="G1434" s="48" t="str">
        <f aca="false">IF($H1434="","",购销流水!$N363)</f>
        <v/>
      </c>
      <c r="H1434" s="10" t="str">
        <f aca="false">IF($L1434="","",IF($L1434="@成本",购销流水!$U363,IF($L1434="@收入",购销流水!$T363,IF($L1434="@存货",购销流水!$S363,IF($L1434="@结算",购销流水!$R363,$L1434)))))</f>
        <v/>
      </c>
      <c r="I1434" s="42" t="n">
        <f aca="false">IF($M1434="借",$O1434,0)</f>
        <v>0</v>
      </c>
      <c r="J1434" s="42" t="n">
        <f aca="false">IF($M1434="贷",$O1434,0)</f>
        <v>0</v>
      </c>
      <c r="K1434" s="48" t="str">
        <f aca="false">IF($H1434="","",购销流水!$E363)</f>
        <v/>
      </c>
      <c r="L1434" s="66" t="str">
        <f aca="false">IF(购销流水!$D363="","",IFERROR(INDEX(记账规则!$A$6:$N$9,MATCH(购销流水!$D363,记账规则!$A$6:$A$9,0),3),""))</f>
        <v/>
      </c>
      <c r="M1434" s="66" t="str">
        <f aca="false">IF($L1434="","",IFERROR(INDEX(记账规则!$A$6:$N$9,MATCH(购销流水!$D363,记账规则!$A$6:$A$9,0),4),""))</f>
        <v/>
      </c>
      <c r="N1434" s="66" t="str">
        <f aca="false">IF($L1434="","",IFERROR(INDEX(记账规则!$A$6:$N$9,MATCH(购销流水!$D363,记账规则!$A$6:$A$9,0),5),""))</f>
        <v/>
      </c>
      <c r="O1434" s="67" t="n">
        <f aca="false">IF($H1434="",0,ROUND(IF($N1434="成本金额",N(购销流水!$W363),IF($N1434="金额",N(购销流水!$Q363),0)),2))</f>
        <v>0</v>
      </c>
      <c r="P1434" s="64" t="str">
        <f aca="false">IF(AND($H1434&lt;&gt;"",ROUND($O1434,2)&lt;&gt;0),"有","")</f>
        <v/>
      </c>
    </row>
    <row r="1435" customFormat="false" ht="15" hidden="true" customHeight="false" outlineLevel="0" collapsed="false">
      <c r="A1435" s="53" t="str">
        <f aca="false">IF($H1435="","",ROW()-5)</f>
        <v/>
      </c>
      <c r="B1435" s="64" t="s">
        <v>36</v>
      </c>
      <c r="C1435" s="53" t="n">
        <v>363</v>
      </c>
      <c r="D1435" s="53" t="n">
        <v>2</v>
      </c>
      <c r="E1435" s="65" t="str">
        <f aca="false">IF($H1435="","",购销流水!$B363)</f>
        <v/>
      </c>
      <c r="F1435" s="55" t="str">
        <f aca="false">IF($H1435="","",购销流水!$C363)</f>
        <v/>
      </c>
      <c r="G1435" s="48" t="str">
        <f aca="false">IF($H1435="","",购销流水!$N363)</f>
        <v/>
      </c>
      <c r="H1435" s="10" t="str">
        <f aca="false">IF($L1435="","",IF($L1435="@成本",购销流水!$U363,IF($L1435="@收入",购销流水!$T363,IF($L1435="@存货",购销流水!$S363,IF($L1435="@结算",购销流水!$R363,$L1435)))))</f>
        <v/>
      </c>
      <c r="I1435" s="42" t="n">
        <f aca="false">IF($M1435="借",$O1435,0)</f>
        <v>0</v>
      </c>
      <c r="J1435" s="42" t="n">
        <f aca="false">IF($M1435="贷",$O1435,0)</f>
        <v>0</v>
      </c>
      <c r="K1435" s="48" t="str">
        <f aca="false">IF($H1435="","",购销流水!$E363)</f>
        <v/>
      </c>
      <c r="L1435" s="66" t="str">
        <f aca="false">IF(购销流水!$D363="","",IFERROR(INDEX(记账规则!$A$6:$N$9,MATCH(购销流水!$D363,记账规则!$A$6:$A$9,0),6),""))</f>
        <v/>
      </c>
      <c r="M1435" s="66" t="str">
        <f aca="false">IF($L1435="","",IFERROR(INDEX(记账规则!$A$6:$N$9,MATCH(购销流水!$D363,记账规则!$A$6:$A$9,0),7),""))</f>
        <v/>
      </c>
      <c r="N1435" s="66" t="str">
        <f aca="false">IF($L1435="","",IFERROR(INDEX(记账规则!$A$6:$N$9,MATCH(购销流水!$D363,记账规则!$A$6:$A$9,0),8),""))</f>
        <v/>
      </c>
      <c r="O1435" s="67" t="n">
        <f aca="false">IF($H1435="",0,ROUND(IF($N1435="成本金额",N(购销流水!$W363),IF($N1435="金额",N(购销流水!$Q363),0)),2))</f>
        <v>0</v>
      </c>
      <c r="P1435" s="64" t="str">
        <f aca="false">IF(AND($H1435&lt;&gt;"",ROUND($O1435,2)&lt;&gt;0),"有","")</f>
        <v/>
      </c>
    </row>
    <row r="1436" customFormat="false" ht="15" hidden="true" customHeight="false" outlineLevel="0" collapsed="false">
      <c r="A1436" s="53" t="str">
        <f aca="false">IF($H1436="","",ROW()-5)</f>
        <v/>
      </c>
      <c r="B1436" s="64" t="s">
        <v>36</v>
      </c>
      <c r="C1436" s="53" t="n">
        <v>363</v>
      </c>
      <c r="D1436" s="53" t="n">
        <v>3</v>
      </c>
      <c r="E1436" s="65" t="str">
        <f aca="false">IF($H1436="","",购销流水!$B363)</f>
        <v/>
      </c>
      <c r="F1436" s="55" t="str">
        <f aca="false">IF($H1436="","",购销流水!$C363)</f>
        <v/>
      </c>
      <c r="G1436" s="48" t="str">
        <f aca="false">IF($H1436="","",购销流水!$N363)</f>
        <v/>
      </c>
      <c r="H1436" s="10" t="str">
        <f aca="false">IF($L1436="","",IF($L1436="@成本",购销流水!$U363,IF($L1436="@收入",购销流水!$T363,IF($L1436="@存货",购销流水!$S363,IF($L1436="@结算",购销流水!$R363,$L1436)))))</f>
        <v/>
      </c>
      <c r="I1436" s="42" t="n">
        <f aca="false">IF($M1436="借",$O1436,0)</f>
        <v>0</v>
      </c>
      <c r="J1436" s="42" t="n">
        <f aca="false">IF($M1436="贷",$O1436,0)</f>
        <v>0</v>
      </c>
      <c r="K1436" s="48" t="str">
        <f aca="false">IF($H1436="","",购销流水!$E363)</f>
        <v/>
      </c>
      <c r="L1436" s="66" t="str">
        <f aca="false">IF(购销流水!$D363="","",IFERROR(INDEX(记账规则!$A$6:$N$9,MATCH(购销流水!$D363,记账规则!$A$6:$A$9,0),9),""))</f>
        <v/>
      </c>
      <c r="M1436" s="66" t="str">
        <f aca="false">IF($L1436="","",IFERROR(INDEX(记账规则!$A$6:$N$9,MATCH(购销流水!$D363,记账规则!$A$6:$A$9,0),10),""))</f>
        <v/>
      </c>
      <c r="N1436" s="66" t="str">
        <f aca="false">IF($L1436="","",IFERROR(INDEX(记账规则!$A$6:$N$9,MATCH(购销流水!$D363,记账规则!$A$6:$A$9,0),11),""))</f>
        <v/>
      </c>
      <c r="O1436" s="67" t="n">
        <f aca="false">IF($H1436="",0,ROUND(IF($N1436="成本金额",N(购销流水!$W363),IF($N1436="金额",N(购销流水!$Q363),0)),2))</f>
        <v>0</v>
      </c>
      <c r="P1436" s="64" t="str">
        <f aca="false">IF(AND($H1436&lt;&gt;"",ROUND($O1436,2)&lt;&gt;0),"有","")</f>
        <v/>
      </c>
    </row>
    <row r="1437" customFormat="false" ht="15" hidden="true" customHeight="false" outlineLevel="0" collapsed="false">
      <c r="A1437" s="53" t="str">
        <f aca="false">IF($H1437="","",ROW()-5)</f>
        <v/>
      </c>
      <c r="B1437" s="64" t="s">
        <v>36</v>
      </c>
      <c r="C1437" s="53" t="n">
        <v>363</v>
      </c>
      <c r="D1437" s="53" t="n">
        <v>4</v>
      </c>
      <c r="E1437" s="65" t="str">
        <f aca="false">IF($H1437="","",购销流水!$B363)</f>
        <v/>
      </c>
      <c r="F1437" s="55" t="str">
        <f aca="false">IF($H1437="","",购销流水!$C363)</f>
        <v/>
      </c>
      <c r="G1437" s="48" t="str">
        <f aca="false">IF($H1437="","",购销流水!$N363)</f>
        <v/>
      </c>
      <c r="H1437" s="10" t="str">
        <f aca="false">IF($L1437="","",IF($L1437="@成本",购销流水!$U363,IF($L1437="@收入",购销流水!$T363,IF($L1437="@存货",购销流水!$S363,IF($L1437="@结算",购销流水!$R363,$L1437)))))</f>
        <v/>
      </c>
      <c r="I1437" s="42" t="n">
        <f aca="false">IF($M1437="借",$O1437,0)</f>
        <v>0</v>
      </c>
      <c r="J1437" s="42" t="n">
        <f aca="false">IF($M1437="贷",$O1437,0)</f>
        <v>0</v>
      </c>
      <c r="K1437" s="48" t="str">
        <f aca="false">IF($H1437="","",购销流水!$E363)</f>
        <v/>
      </c>
      <c r="L1437" s="66" t="str">
        <f aca="false">IF(购销流水!$D363="","",IFERROR(INDEX(记账规则!$A$6:$N$9,MATCH(购销流水!$D363,记账规则!$A$6:$A$9,0),12),""))</f>
        <v/>
      </c>
      <c r="M1437" s="66" t="str">
        <f aca="false">IF($L1437="","",IFERROR(INDEX(记账规则!$A$6:$N$9,MATCH(购销流水!$D363,记账规则!$A$6:$A$9,0),13),""))</f>
        <v/>
      </c>
      <c r="N1437" s="66" t="str">
        <f aca="false">IF($L1437="","",IFERROR(INDEX(记账规则!$A$6:$N$9,MATCH(购销流水!$D363,记账规则!$A$6:$A$9,0),14),""))</f>
        <v/>
      </c>
      <c r="O1437" s="67" t="n">
        <f aca="false">IF($H1437="",0,ROUND(IF($N1437="成本金额",N(购销流水!$W363),IF($N1437="金额",N(购销流水!$Q363),0)),2))</f>
        <v>0</v>
      </c>
      <c r="P1437" s="64" t="str">
        <f aca="false">IF(AND($H1437&lt;&gt;"",ROUND($O1437,2)&lt;&gt;0),"有","")</f>
        <v/>
      </c>
    </row>
    <row r="1438" customFormat="false" ht="15" hidden="true" customHeight="false" outlineLevel="0" collapsed="false">
      <c r="A1438" s="53" t="str">
        <f aca="false">IF($H1438="","",ROW()-5)</f>
        <v/>
      </c>
      <c r="B1438" s="64" t="s">
        <v>36</v>
      </c>
      <c r="C1438" s="53" t="n">
        <v>364</v>
      </c>
      <c r="D1438" s="53" t="n">
        <v>1</v>
      </c>
      <c r="E1438" s="65" t="str">
        <f aca="false">IF($H1438="","",购销流水!$B364)</f>
        <v/>
      </c>
      <c r="F1438" s="55" t="str">
        <f aca="false">IF($H1438="","",购销流水!$C364)</f>
        <v/>
      </c>
      <c r="G1438" s="48" t="str">
        <f aca="false">IF($H1438="","",购销流水!$N364)</f>
        <v/>
      </c>
      <c r="H1438" s="10" t="str">
        <f aca="false">IF($L1438="","",IF($L1438="@成本",购销流水!$U364,IF($L1438="@收入",购销流水!$T364,IF($L1438="@存货",购销流水!$S364,IF($L1438="@结算",购销流水!$R364,$L1438)))))</f>
        <v/>
      </c>
      <c r="I1438" s="42" t="n">
        <f aca="false">IF($M1438="借",$O1438,0)</f>
        <v>0</v>
      </c>
      <c r="J1438" s="42" t="n">
        <f aca="false">IF($M1438="贷",$O1438,0)</f>
        <v>0</v>
      </c>
      <c r="K1438" s="48" t="str">
        <f aca="false">IF($H1438="","",购销流水!$E364)</f>
        <v/>
      </c>
      <c r="L1438" s="66" t="str">
        <f aca="false">IF(购销流水!$D364="","",IFERROR(INDEX(记账规则!$A$6:$N$9,MATCH(购销流水!$D364,记账规则!$A$6:$A$9,0),3),""))</f>
        <v/>
      </c>
      <c r="M1438" s="66" t="str">
        <f aca="false">IF($L1438="","",IFERROR(INDEX(记账规则!$A$6:$N$9,MATCH(购销流水!$D364,记账规则!$A$6:$A$9,0),4),""))</f>
        <v/>
      </c>
      <c r="N1438" s="66" t="str">
        <f aca="false">IF($L1438="","",IFERROR(INDEX(记账规则!$A$6:$N$9,MATCH(购销流水!$D364,记账规则!$A$6:$A$9,0),5),""))</f>
        <v/>
      </c>
      <c r="O1438" s="67" t="n">
        <f aca="false">IF($H1438="",0,ROUND(IF($N1438="成本金额",N(购销流水!$W364),IF($N1438="金额",N(购销流水!$Q364),0)),2))</f>
        <v>0</v>
      </c>
      <c r="P1438" s="64" t="str">
        <f aca="false">IF(AND($H1438&lt;&gt;"",ROUND($O1438,2)&lt;&gt;0),"有","")</f>
        <v/>
      </c>
    </row>
    <row r="1439" customFormat="false" ht="15" hidden="true" customHeight="false" outlineLevel="0" collapsed="false">
      <c r="A1439" s="53" t="str">
        <f aca="false">IF($H1439="","",ROW()-5)</f>
        <v/>
      </c>
      <c r="B1439" s="64" t="s">
        <v>36</v>
      </c>
      <c r="C1439" s="53" t="n">
        <v>364</v>
      </c>
      <c r="D1439" s="53" t="n">
        <v>2</v>
      </c>
      <c r="E1439" s="65" t="str">
        <f aca="false">IF($H1439="","",购销流水!$B364)</f>
        <v/>
      </c>
      <c r="F1439" s="55" t="str">
        <f aca="false">IF($H1439="","",购销流水!$C364)</f>
        <v/>
      </c>
      <c r="G1439" s="48" t="str">
        <f aca="false">IF($H1439="","",购销流水!$N364)</f>
        <v/>
      </c>
      <c r="H1439" s="10" t="str">
        <f aca="false">IF($L1439="","",IF($L1439="@成本",购销流水!$U364,IF($L1439="@收入",购销流水!$T364,IF($L1439="@存货",购销流水!$S364,IF($L1439="@结算",购销流水!$R364,$L1439)))))</f>
        <v/>
      </c>
      <c r="I1439" s="42" t="n">
        <f aca="false">IF($M1439="借",$O1439,0)</f>
        <v>0</v>
      </c>
      <c r="J1439" s="42" t="n">
        <f aca="false">IF($M1439="贷",$O1439,0)</f>
        <v>0</v>
      </c>
      <c r="K1439" s="48" t="str">
        <f aca="false">IF($H1439="","",购销流水!$E364)</f>
        <v/>
      </c>
      <c r="L1439" s="66" t="str">
        <f aca="false">IF(购销流水!$D364="","",IFERROR(INDEX(记账规则!$A$6:$N$9,MATCH(购销流水!$D364,记账规则!$A$6:$A$9,0),6),""))</f>
        <v/>
      </c>
      <c r="M1439" s="66" t="str">
        <f aca="false">IF($L1439="","",IFERROR(INDEX(记账规则!$A$6:$N$9,MATCH(购销流水!$D364,记账规则!$A$6:$A$9,0),7),""))</f>
        <v/>
      </c>
      <c r="N1439" s="66" t="str">
        <f aca="false">IF($L1439="","",IFERROR(INDEX(记账规则!$A$6:$N$9,MATCH(购销流水!$D364,记账规则!$A$6:$A$9,0),8),""))</f>
        <v/>
      </c>
      <c r="O1439" s="67" t="n">
        <f aca="false">IF($H1439="",0,ROUND(IF($N1439="成本金额",N(购销流水!$W364),IF($N1439="金额",N(购销流水!$Q364),0)),2))</f>
        <v>0</v>
      </c>
      <c r="P1439" s="64" t="str">
        <f aca="false">IF(AND($H1439&lt;&gt;"",ROUND($O1439,2)&lt;&gt;0),"有","")</f>
        <v/>
      </c>
    </row>
    <row r="1440" customFormat="false" ht="15" hidden="true" customHeight="false" outlineLevel="0" collapsed="false">
      <c r="A1440" s="53" t="str">
        <f aca="false">IF($H1440="","",ROW()-5)</f>
        <v/>
      </c>
      <c r="B1440" s="64" t="s">
        <v>36</v>
      </c>
      <c r="C1440" s="53" t="n">
        <v>364</v>
      </c>
      <c r="D1440" s="53" t="n">
        <v>3</v>
      </c>
      <c r="E1440" s="65" t="str">
        <f aca="false">IF($H1440="","",购销流水!$B364)</f>
        <v/>
      </c>
      <c r="F1440" s="55" t="str">
        <f aca="false">IF($H1440="","",购销流水!$C364)</f>
        <v/>
      </c>
      <c r="G1440" s="48" t="str">
        <f aca="false">IF($H1440="","",购销流水!$N364)</f>
        <v/>
      </c>
      <c r="H1440" s="10" t="str">
        <f aca="false">IF($L1440="","",IF($L1440="@成本",购销流水!$U364,IF($L1440="@收入",购销流水!$T364,IF($L1440="@存货",购销流水!$S364,IF($L1440="@结算",购销流水!$R364,$L1440)))))</f>
        <v/>
      </c>
      <c r="I1440" s="42" t="n">
        <f aca="false">IF($M1440="借",$O1440,0)</f>
        <v>0</v>
      </c>
      <c r="J1440" s="42" t="n">
        <f aca="false">IF($M1440="贷",$O1440,0)</f>
        <v>0</v>
      </c>
      <c r="K1440" s="48" t="str">
        <f aca="false">IF($H1440="","",购销流水!$E364)</f>
        <v/>
      </c>
      <c r="L1440" s="66" t="str">
        <f aca="false">IF(购销流水!$D364="","",IFERROR(INDEX(记账规则!$A$6:$N$9,MATCH(购销流水!$D364,记账规则!$A$6:$A$9,0),9),""))</f>
        <v/>
      </c>
      <c r="M1440" s="66" t="str">
        <f aca="false">IF($L1440="","",IFERROR(INDEX(记账规则!$A$6:$N$9,MATCH(购销流水!$D364,记账规则!$A$6:$A$9,0),10),""))</f>
        <v/>
      </c>
      <c r="N1440" s="66" t="str">
        <f aca="false">IF($L1440="","",IFERROR(INDEX(记账规则!$A$6:$N$9,MATCH(购销流水!$D364,记账规则!$A$6:$A$9,0),11),""))</f>
        <v/>
      </c>
      <c r="O1440" s="67" t="n">
        <f aca="false">IF($H1440="",0,ROUND(IF($N1440="成本金额",N(购销流水!$W364),IF($N1440="金额",N(购销流水!$Q364),0)),2))</f>
        <v>0</v>
      </c>
      <c r="P1440" s="64" t="str">
        <f aca="false">IF(AND($H1440&lt;&gt;"",ROUND($O1440,2)&lt;&gt;0),"有","")</f>
        <v/>
      </c>
    </row>
    <row r="1441" customFormat="false" ht="15" hidden="true" customHeight="false" outlineLevel="0" collapsed="false">
      <c r="A1441" s="53" t="str">
        <f aca="false">IF($H1441="","",ROW()-5)</f>
        <v/>
      </c>
      <c r="B1441" s="64" t="s">
        <v>36</v>
      </c>
      <c r="C1441" s="53" t="n">
        <v>364</v>
      </c>
      <c r="D1441" s="53" t="n">
        <v>4</v>
      </c>
      <c r="E1441" s="65" t="str">
        <f aca="false">IF($H1441="","",购销流水!$B364)</f>
        <v/>
      </c>
      <c r="F1441" s="55" t="str">
        <f aca="false">IF($H1441="","",购销流水!$C364)</f>
        <v/>
      </c>
      <c r="G1441" s="48" t="str">
        <f aca="false">IF($H1441="","",购销流水!$N364)</f>
        <v/>
      </c>
      <c r="H1441" s="10" t="str">
        <f aca="false">IF($L1441="","",IF($L1441="@成本",购销流水!$U364,IF($L1441="@收入",购销流水!$T364,IF($L1441="@存货",购销流水!$S364,IF($L1441="@结算",购销流水!$R364,$L1441)))))</f>
        <v/>
      </c>
      <c r="I1441" s="42" t="n">
        <f aca="false">IF($M1441="借",$O1441,0)</f>
        <v>0</v>
      </c>
      <c r="J1441" s="42" t="n">
        <f aca="false">IF($M1441="贷",$O1441,0)</f>
        <v>0</v>
      </c>
      <c r="K1441" s="48" t="str">
        <f aca="false">IF($H1441="","",购销流水!$E364)</f>
        <v/>
      </c>
      <c r="L1441" s="66" t="str">
        <f aca="false">IF(购销流水!$D364="","",IFERROR(INDEX(记账规则!$A$6:$N$9,MATCH(购销流水!$D364,记账规则!$A$6:$A$9,0),12),""))</f>
        <v/>
      </c>
      <c r="M1441" s="66" t="str">
        <f aca="false">IF($L1441="","",IFERROR(INDEX(记账规则!$A$6:$N$9,MATCH(购销流水!$D364,记账规则!$A$6:$A$9,0),13),""))</f>
        <v/>
      </c>
      <c r="N1441" s="66" t="str">
        <f aca="false">IF($L1441="","",IFERROR(INDEX(记账规则!$A$6:$N$9,MATCH(购销流水!$D364,记账规则!$A$6:$A$9,0),14),""))</f>
        <v/>
      </c>
      <c r="O1441" s="67" t="n">
        <f aca="false">IF($H1441="",0,ROUND(IF($N1441="成本金额",N(购销流水!$W364),IF($N1441="金额",N(购销流水!$Q364),0)),2))</f>
        <v>0</v>
      </c>
      <c r="P1441" s="64" t="str">
        <f aca="false">IF(AND($H1441&lt;&gt;"",ROUND($O1441,2)&lt;&gt;0),"有","")</f>
        <v/>
      </c>
    </row>
    <row r="1442" customFormat="false" ht="15" hidden="true" customHeight="false" outlineLevel="0" collapsed="false">
      <c r="A1442" s="53" t="str">
        <f aca="false">IF($H1442="","",ROW()-5)</f>
        <v/>
      </c>
      <c r="B1442" s="64" t="s">
        <v>36</v>
      </c>
      <c r="C1442" s="53" t="n">
        <v>365</v>
      </c>
      <c r="D1442" s="53" t="n">
        <v>1</v>
      </c>
      <c r="E1442" s="65" t="str">
        <f aca="false">IF($H1442="","",购销流水!$B365)</f>
        <v/>
      </c>
      <c r="F1442" s="55" t="str">
        <f aca="false">IF($H1442="","",购销流水!$C365)</f>
        <v/>
      </c>
      <c r="G1442" s="48" t="str">
        <f aca="false">IF($H1442="","",购销流水!$N365)</f>
        <v/>
      </c>
      <c r="H1442" s="10" t="str">
        <f aca="false">IF($L1442="","",IF($L1442="@成本",购销流水!$U365,IF($L1442="@收入",购销流水!$T365,IF($L1442="@存货",购销流水!$S365,IF($L1442="@结算",购销流水!$R365,$L1442)))))</f>
        <v/>
      </c>
      <c r="I1442" s="42" t="n">
        <f aca="false">IF($M1442="借",$O1442,0)</f>
        <v>0</v>
      </c>
      <c r="J1442" s="42" t="n">
        <f aca="false">IF($M1442="贷",$O1442,0)</f>
        <v>0</v>
      </c>
      <c r="K1442" s="48" t="str">
        <f aca="false">IF($H1442="","",购销流水!$E365)</f>
        <v/>
      </c>
      <c r="L1442" s="66" t="str">
        <f aca="false">IF(购销流水!$D365="","",IFERROR(INDEX(记账规则!$A$6:$N$9,MATCH(购销流水!$D365,记账规则!$A$6:$A$9,0),3),""))</f>
        <v/>
      </c>
      <c r="M1442" s="66" t="str">
        <f aca="false">IF($L1442="","",IFERROR(INDEX(记账规则!$A$6:$N$9,MATCH(购销流水!$D365,记账规则!$A$6:$A$9,0),4),""))</f>
        <v/>
      </c>
      <c r="N1442" s="66" t="str">
        <f aca="false">IF($L1442="","",IFERROR(INDEX(记账规则!$A$6:$N$9,MATCH(购销流水!$D365,记账规则!$A$6:$A$9,0),5),""))</f>
        <v/>
      </c>
      <c r="O1442" s="67" t="n">
        <f aca="false">IF($H1442="",0,ROUND(IF($N1442="成本金额",N(购销流水!$W365),IF($N1442="金额",N(购销流水!$Q365),0)),2))</f>
        <v>0</v>
      </c>
      <c r="P1442" s="64" t="str">
        <f aca="false">IF(AND($H1442&lt;&gt;"",ROUND($O1442,2)&lt;&gt;0),"有","")</f>
        <v/>
      </c>
    </row>
    <row r="1443" customFormat="false" ht="15" hidden="true" customHeight="false" outlineLevel="0" collapsed="false">
      <c r="A1443" s="53" t="str">
        <f aca="false">IF($H1443="","",ROW()-5)</f>
        <v/>
      </c>
      <c r="B1443" s="64" t="s">
        <v>36</v>
      </c>
      <c r="C1443" s="53" t="n">
        <v>365</v>
      </c>
      <c r="D1443" s="53" t="n">
        <v>2</v>
      </c>
      <c r="E1443" s="65" t="str">
        <f aca="false">IF($H1443="","",购销流水!$B365)</f>
        <v/>
      </c>
      <c r="F1443" s="55" t="str">
        <f aca="false">IF($H1443="","",购销流水!$C365)</f>
        <v/>
      </c>
      <c r="G1443" s="48" t="str">
        <f aca="false">IF($H1443="","",购销流水!$N365)</f>
        <v/>
      </c>
      <c r="H1443" s="10" t="str">
        <f aca="false">IF($L1443="","",IF($L1443="@成本",购销流水!$U365,IF($L1443="@收入",购销流水!$T365,IF($L1443="@存货",购销流水!$S365,IF($L1443="@结算",购销流水!$R365,$L1443)))))</f>
        <v/>
      </c>
      <c r="I1443" s="42" t="n">
        <f aca="false">IF($M1443="借",$O1443,0)</f>
        <v>0</v>
      </c>
      <c r="J1443" s="42" t="n">
        <f aca="false">IF($M1443="贷",$O1443,0)</f>
        <v>0</v>
      </c>
      <c r="K1443" s="48" t="str">
        <f aca="false">IF($H1443="","",购销流水!$E365)</f>
        <v/>
      </c>
      <c r="L1443" s="66" t="str">
        <f aca="false">IF(购销流水!$D365="","",IFERROR(INDEX(记账规则!$A$6:$N$9,MATCH(购销流水!$D365,记账规则!$A$6:$A$9,0),6),""))</f>
        <v/>
      </c>
      <c r="M1443" s="66" t="str">
        <f aca="false">IF($L1443="","",IFERROR(INDEX(记账规则!$A$6:$N$9,MATCH(购销流水!$D365,记账规则!$A$6:$A$9,0),7),""))</f>
        <v/>
      </c>
      <c r="N1443" s="66" t="str">
        <f aca="false">IF($L1443="","",IFERROR(INDEX(记账规则!$A$6:$N$9,MATCH(购销流水!$D365,记账规则!$A$6:$A$9,0),8),""))</f>
        <v/>
      </c>
      <c r="O1443" s="67" t="n">
        <f aca="false">IF($H1443="",0,ROUND(IF($N1443="成本金额",N(购销流水!$W365),IF($N1443="金额",N(购销流水!$Q365),0)),2))</f>
        <v>0</v>
      </c>
      <c r="P1443" s="64" t="str">
        <f aca="false">IF(AND($H1443&lt;&gt;"",ROUND($O1443,2)&lt;&gt;0),"有","")</f>
        <v/>
      </c>
    </row>
    <row r="1444" customFormat="false" ht="15" hidden="true" customHeight="false" outlineLevel="0" collapsed="false">
      <c r="A1444" s="53" t="str">
        <f aca="false">IF($H1444="","",ROW()-5)</f>
        <v/>
      </c>
      <c r="B1444" s="64" t="s">
        <v>36</v>
      </c>
      <c r="C1444" s="53" t="n">
        <v>365</v>
      </c>
      <c r="D1444" s="53" t="n">
        <v>3</v>
      </c>
      <c r="E1444" s="65" t="str">
        <f aca="false">IF($H1444="","",购销流水!$B365)</f>
        <v/>
      </c>
      <c r="F1444" s="55" t="str">
        <f aca="false">IF($H1444="","",购销流水!$C365)</f>
        <v/>
      </c>
      <c r="G1444" s="48" t="str">
        <f aca="false">IF($H1444="","",购销流水!$N365)</f>
        <v/>
      </c>
      <c r="H1444" s="10" t="str">
        <f aca="false">IF($L1444="","",IF($L1444="@成本",购销流水!$U365,IF($L1444="@收入",购销流水!$T365,IF($L1444="@存货",购销流水!$S365,IF($L1444="@结算",购销流水!$R365,$L1444)))))</f>
        <v/>
      </c>
      <c r="I1444" s="42" t="n">
        <f aca="false">IF($M1444="借",$O1444,0)</f>
        <v>0</v>
      </c>
      <c r="J1444" s="42" t="n">
        <f aca="false">IF($M1444="贷",$O1444,0)</f>
        <v>0</v>
      </c>
      <c r="K1444" s="48" t="str">
        <f aca="false">IF($H1444="","",购销流水!$E365)</f>
        <v/>
      </c>
      <c r="L1444" s="66" t="str">
        <f aca="false">IF(购销流水!$D365="","",IFERROR(INDEX(记账规则!$A$6:$N$9,MATCH(购销流水!$D365,记账规则!$A$6:$A$9,0),9),""))</f>
        <v/>
      </c>
      <c r="M1444" s="66" t="str">
        <f aca="false">IF($L1444="","",IFERROR(INDEX(记账规则!$A$6:$N$9,MATCH(购销流水!$D365,记账规则!$A$6:$A$9,0),10),""))</f>
        <v/>
      </c>
      <c r="N1444" s="66" t="str">
        <f aca="false">IF($L1444="","",IFERROR(INDEX(记账规则!$A$6:$N$9,MATCH(购销流水!$D365,记账规则!$A$6:$A$9,0),11),""))</f>
        <v/>
      </c>
      <c r="O1444" s="67" t="n">
        <f aca="false">IF($H1444="",0,ROUND(IF($N1444="成本金额",N(购销流水!$W365),IF($N1444="金额",N(购销流水!$Q365),0)),2))</f>
        <v>0</v>
      </c>
      <c r="P1444" s="64" t="str">
        <f aca="false">IF(AND($H1444&lt;&gt;"",ROUND($O1444,2)&lt;&gt;0),"有","")</f>
        <v/>
      </c>
    </row>
    <row r="1445" customFormat="false" ht="15" hidden="true" customHeight="false" outlineLevel="0" collapsed="false">
      <c r="A1445" s="53" t="str">
        <f aca="false">IF($H1445="","",ROW()-5)</f>
        <v/>
      </c>
      <c r="B1445" s="64" t="s">
        <v>36</v>
      </c>
      <c r="C1445" s="53" t="n">
        <v>365</v>
      </c>
      <c r="D1445" s="53" t="n">
        <v>4</v>
      </c>
      <c r="E1445" s="65" t="str">
        <f aca="false">IF($H1445="","",购销流水!$B365)</f>
        <v/>
      </c>
      <c r="F1445" s="55" t="str">
        <f aca="false">IF($H1445="","",购销流水!$C365)</f>
        <v/>
      </c>
      <c r="G1445" s="48" t="str">
        <f aca="false">IF($H1445="","",购销流水!$N365)</f>
        <v/>
      </c>
      <c r="H1445" s="10" t="str">
        <f aca="false">IF($L1445="","",IF($L1445="@成本",购销流水!$U365,IF($L1445="@收入",购销流水!$T365,IF($L1445="@存货",购销流水!$S365,IF($L1445="@结算",购销流水!$R365,$L1445)))))</f>
        <v/>
      </c>
      <c r="I1445" s="42" t="n">
        <f aca="false">IF($M1445="借",$O1445,0)</f>
        <v>0</v>
      </c>
      <c r="J1445" s="42" t="n">
        <f aca="false">IF($M1445="贷",$O1445,0)</f>
        <v>0</v>
      </c>
      <c r="K1445" s="48" t="str">
        <f aca="false">IF($H1445="","",购销流水!$E365)</f>
        <v/>
      </c>
      <c r="L1445" s="66" t="str">
        <f aca="false">IF(购销流水!$D365="","",IFERROR(INDEX(记账规则!$A$6:$N$9,MATCH(购销流水!$D365,记账规则!$A$6:$A$9,0),12),""))</f>
        <v/>
      </c>
      <c r="M1445" s="66" t="str">
        <f aca="false">IF($L1445="","",IFERROR(INDEX(记账规则!$A$6:$N$9,MATCH(购销流水!$D365,记账规则!$A$6:$A$9,0),13),""))</f>
        <v/>
      </c>
      <c r="N1445" s="66" t="str">
        <f aca="false">IF($L1445="","",IFERROR(INDEX(记账规则!$A$6:$N$9,MATCH(购销流水!$D365,记账规则!$A$6:$A$9,0),14),""))</f>
        <v/>
      </c>
      <c r="O1445" s="67" t="n">
        <f aca="false">IF($H1445="",0,ROUND(IF($N1445="成本金额",N(购销流水!$W365),IF($N1445="金额",N(购销流水!$Q365),0)),2))</f>
        <v>0</v>
      </c>
      <c r="P1445" s="64" t="str">
        <f aca="false">IF(AND($H1445&lt;&gt;"",ROUND($O1445,2)&lt;&gt;0),"有","")</f>
        <v/>
      </c>
    </row>
    <row r="1446" customFormat="false" ht="15" hidden="true" customHeight="false" outlineLevel="0" collapsed="false">
      <c r="A1446" s="53" t="str">
        <f aca="false">IF($H1446="","",ROW()-5)</f>
        <v/>
      </c>
      <c r="B1446" s="64" t="s">
        <v>36</v>
      </c>
      <c r="C1446" s="53" t="n">
        <v>366</v>
      </c>
      <c r="D1446" s="53" t="n">
        <v>1</v>
      </c>
      <c r="E1446" s="65" t="str">
        <f aca="false">IF($H1446="","",购销流水!$B366)</f>
        <v/>
      </c>
      <c r="F1446" s="55" t="str">
        <f aca="false">IF($H1446="","",购销流水!$C366)</f>
        <v/>
      </c>
      <c r="G1446" s="48" t="str">
        <f aca="false">IF($H1446="","",购销流水!$N366)</f>
        <v/>
      </c>
      <c r="H1446" s="10" t="str">
        <f aca="false">IF($L1446="","",IF($L1446="@成本",购销流水!$U366,IF($L1446="@收入",购销流水!$T366,IF($L1446="@存货",购销流水!$S366,IF($L1446="@结算",购销流水!$R366,$L1446)))))</f>
        <v/>
      </c>
      <c r="I1446" s="42" t="n">
        <f aca="false">IF($M1446="借",$O1446,0)</f>
        <v>0</v>
      </c>
      <c r="J1446" s="42" t="n">
        <f aca="false">IF($M1446="贷",$O1446,0)</f>
        <v>0</v>
      </c>
      <c r="K1446" s="48" t="str">
        <f aca="false">IF($H1446="","",购销流水!$E366)</f>
        <v/>
      </c>
      <c r="L1446" s="66" t="str">
        <f aca="false">IF(购销流水!$D366="","",IFERROR(INDEX(记账规则!$A$6:$N$9,MATCH(购销流水!$D366,记账规则!$A$6:$A$9,0),3),""))</f>
        <v/>
      </c>
      <c r="M1446" s="66" t="str">
        <f aca="false">IF($L1446="","",IFERROR(INDEX(记账规则!$A$6:$N$9,MATCH(购销流水!$D366,记账规则!$A$6:$A$9,0),4),""))</f>
        <v/>
      </c>
      <c r="N1446" s="66" t="str">
        <f aca="false">IF($L1446="","",IFERROR(INDEX(记账规则!$A$6:$N$9,MATCH(购销流水!$D366,记账规则!$A$6:$A$9,0),5),""))</f>
        <v/>
      </c>
      <c r="O1446" s="67" t="n">
        <f aca="false">IF($H1446="",0,ROUND(IF($N1446="成本金额",N(购销流水!$W366),IF($N1446="金额",N(购销流水!$Q366),0)),2))</f>
        <v>0</v>
      </c>
      <c r="P1446" s="64" t="str">
        <f aca="false">IF(AND($H1446&lt;&gt;"",ROUND($O1446,2)&lt;&gt;0),"有","")</f>
        <v/>
      </c>
    </row>
    <row r="1447" customFormat="false" ht="15" hidden="true" customHeight="false" outlineLevel="0" collapsed="false">
      <c r="A1447" s="53" t="str">
        <f aca="false">IF($H1447="","",ROW()-5)</f>
        <v/>
      </c>
      <c r="B1447" s="64" t="s">
        <v>36</v>
      </c>
      <c r="C1447" s="53" t="n">
        <v>366</v>
      </c>
      <c r="D1447" s="53" t="n">
        <v>2</v>
      </c>
      <c r="E1447" s="65" t="str">
        <f aca="false">IF($H1447="","",购销流水!$B366)</f>
        <v/>
      </c>
      <c r="F1447" s="55" t="str">
        <f aca="false">IF($H1447="","",购销流水!$C366)</f>
        <v/>
      </c>
      <c r="G1447" s="48" t="str">
        <f aca="false">IF($H1447="","",购销流水!$N366)</f>
        <v/>
      </c>
      <c r="H1447" s="10" t="str">
        <f aca="false">IF($L1447="","",IF($L1447="@成本",购销流水!$U366,IF($L1447="@收入",购销流水!$T366,IF($L1447="@存货",购销流水!$S366,IF($L1447="@结算",购销流水!$R366,$L1447)))))</f>
        <v/>
      </c>
      <c r="I1447" s="42" t="n">
        <f aca="false">IF($M1447="借",$O1447,0)</f>
        <v>0</v>
      </c>
      <c r="J1447" s="42" t="n">
        <f aca="false">IF($M1447="贷",$O1447,0)</f>
        <v>0</v>
      </c>
      <c r="K1447" s="48" t="str">
        <f aca="false">IF($H1447="","",购销流水!$E366)</f>
        <v/>
      </c>
      <c r="L1447" s="66" t="str">
        <f aca="false">IF(购销流水!$D366="","",IFERROR(INDEX(记账规则!$A$6:$N$9,MATCH(购销流水!$D366,记账规则!$A$6:$A$9,0),6),""))</f>
        <v/>
      </c>
      <c r="M1447" s="66" t="str">
        <f aca="false">IF($L1447="","",IFERROR(INDEX(记账规则!$A$6:$N$9,MATCH(购销流水!$D366,记账规则!$A$6:$A$9,0),7),""))</f>
        <v/>
      </c>
      <c r="N1447" s="66" t="str">
        <f aca="false">IF($L1447="","",IFERROR(INDEX(记账规则!$A$6:$N$9,MATCH(购销流水!$D366,记账规则!$A$6:$A$9,0),8),""))</f>
        <v/>
      </c>
      <c r="O1447" s="67" t="n">
        <f aca="false">IF($H1447="",0,ROUND(IF($N1447="成本金额",N(购销流水!$W366),IF($N1447="金额",N(购销流水!$Q366),0)),2))</f>
        <v>0</v>
      </c>
      <c r="P1447" s="64" t="str">
        <f aca="false">IF(AND($H1447&lt;&gt;"",ROUND($O1447,2)&lt;&gt;0),"有","")</f>
        <v/>
      </c>
    </row>
    <row r="1448" customFormat="false" ht="15" hidden="true" customHeight="false" outlineLevel="0" collapsed="false">
      <c r="A1448" s="53" t="str">
        <f aca="false">IF($H1448="","",ROW()-5)</f>
        <v/>
      </c>
      <c r="B1448" s="64" t="s">
        <v>36</v>
      </c>
      <c r="C1448" s="53" t="n">
        <v>366</v>
      </c>
      <c r="D1448" s="53" t="n">
        <v>3</v>
      </c>
      <c r="E1448" s="65" t="str">
        <f aca="false">IF($H1448="","",购销流水!$B366)</f>
        <v/>
      </c>
      <c r="F1448" s="55" t="str">
        <f aca="false">IF($H1448="","",购销流水!$C366)</f>
        <v/>
      </c>
      <c r="G1448" s="48" t="str">
        <f aca="false">IF($H1448="","",购销流水!$N366)</f>
        <v/>
      </c>
      <c r="H1448" s="10" t="str">
        <f aca="false">IF($L1448="","",IF($L1448="@成本",购销流水!$U366,IF($L1448="@收入",购销流水!$T366,IF($L1448="@存货",购销流水!$S366,IF($L1448="@结算",购销流水!$R366,$L1448)))))</f>
        <v/>
      </c>
      <c r="I1448" s="42" t="n">
        <f aca="false">IF($M1448="借",$O1448,0)</f>
        <v>0</v>
      </c>
      <c r="J1448" s="42" t="n">
        <f aca="false">IF($M1448="贷",$O1448,0)</f>
        <v>0</v>
      </c>
      <c r="K1448" s="48" t="str">
        <f aca="false">IF($H1448="","",购销流水!$E366)</f>
        <v/>
      </c>
      <c r="L1448" s="66" t="str">
        <f aca="false">IF(购销流水!$D366="","",IFERROR(INDEX(记账规则!$A$6:$N$9,MATCH(购销流水!$D366,记账规则!$A$6:$A$9,0),9),""))</f>
        <v/>
      </c>
      <c r="M1448" s="66" t="str">
        <f aca="false">IF($L1448="","",IFERROR(INDEX(记账规则!$A$6:$N$9,MATCH(购销流水!$D366,记账规则!$A$6:$A$9,0),10),""))</f>
        <v/>
      </c>
      <c r="N1448" s="66" t="str">
        <f aca="false">IF($L1448="","",IFERROR(INDEX(记账规则!$A$6:$N$9,MATCH(购销流水!$D366,记账规则!$A$6:$A$9,0),11),""))</f>
        <v/>
      </c>
      <c r="O1448" s="67" t="n">
        <f aca="false">IF($H1448="",0,ROUND(IF($N1448="成本金额",N(购销流水!$W366),IF($N1448="金额",N(购销流水!$Q366),0)),2))</f>
        <v>0</v>
      </c>
      <c r="P1448" s="64" t="str">
        <f aca="false">IF(AND($H1448&lt;&gt;"",ROUND($O1448,2)&lt;&gt;0),"有","")</f>
        <v/>
      </c>
    </row>
    <row r="1449" customFormat="false" ht="15" hidden="true" customHeight="false" outlineLevel="0" collapsed="false">
      <c r="A1449" s="53" t="str">
        <f aca="false">IF($H1449="","",ROW()-5)</f>
        <v/>
      </c>
      <c r="B1449" s="64" t="s">
        <v>36</v>
      </c>
      <c r="C1449" s="53" t="n">
        <v>366</v>
      </c>
      <c r="D1449" s="53" t="n">
        <v>4</v>
      </c>
      <c r="E1449" s="65" t="str">
        <f aca="false">IF($H1449="","",购销流水!$B366)</f>
        <v/>
      </c>
      <c r="F1449" s="55" t="str">
        <f aca="false">IF($H1449="","",购销流水!$C366)</f>
        <v/>
      </c>
      <c r="G1449" s="48" t="str">
        <f aca="false">IF($H1449="","",购销流水!$N366)</f>
        <v/>
      </c>
      <c r="H1449" s="10" t="str">
        <f aca="false">IF($L1449="","",IF($L1449="@成本",购销流水!$U366,IF($L1449="@收入",购销流水!$T366,IF($L1449="@存货",购销流水!$S366,IF($L1449="@结算",购销流水!$R366,$L1449)))))</f>
        <v/>
      </c>
      <c r="I1449" s="42" t="n">
        <f aca="false">IF($M1449="借",$O1449,0)</f>
        <v>0</v>
      </c>
      <c r="J1449" s="42" t="n">
        <f aca="false">IF($M1449="贷",$O1449,0)</f>
        <v>0</v>
      </c>
      <c r="K1449" s="48" t="str">
        <f aca="false">IF($H1449="","",购销流水!$E366)</f>
        <v/>
      </c>
      <c r="L1449" s="66" t="str">
        <f aca="false">IF(购销流水!$D366="","",IFERROR(INDEX(记账规则!$A$6:$N$9,MATCH(购销流水!$D366,记账规则!$A$6:$A$9,0),12),""))</f>
        <v/>
      </c>
      <c r="M1449" s="66" t="str">
        <f aca="false">IF($L1449="","",IFERROR(INDEX(记账规则!$A$6:$N$9,MATCH(购销流水!$D366,记账规则!$A$6:$A$9,0),13),""))</f>
        <v/>
      </c>
      <c r="N1449" s="66" t="str">
        <f aca="false">IF($L1449="","",IFERROR(INDEX(记账规则!$A$6:$N$9,MATCH(购销流水!$D366,记账规则!$A$6:$A$9,0),14),""))</f>
        <v/>
      </c>
      <c r="O1449" s="67" t="n">
        <f aca="false">IF($H1449="",0,ROUND(IF($N1449="成本金额",N(购销流水!$W366),IF($N1449="金额",N(购销流水!$Q366),0)),2))</f>
        <v>0</v>
      </c>
      <c r="P1449" s="64" t="str">
        <f aca="false">IF(AND($H1449&lt;&gt;"",ROUND($O1449,2)&lt;&gt;0),"有","")</f>
        <v/>
      </c>
    </row>
    <row r="1450" customFormat="false" ht="15" hidden="true" customHeight="false" outlineLevel="0" collapsed="false">
      <c r="A1450" s="53" t="str">
        <f aca="false">IF($H1450="","",ROW()-5)</f>
        <v/>
      </c>
      <c r="B1450" s="64" t="s">
        <v>36</v>
      </c>
      <c r="C1450" s="53" t="n">
        <v>367</v>
      </c>
      <c r="D1450" s="53" t="n">
        <v>1</v>
      </c>
      <c r="E1450" s="65" t="str">
        <f aca="false">IF($H1450="","",购销流水!$B367)</f>
        <v/>
      </c>
      <c r="F1450" s="55" t="str">
        <f aca="false">IF($H1450="","",购销流水!$C367)</f>
        <v/>
      </c>
      <c r="G1450" s="48" t="str">
        <f aca="false">IF($H1450="","",购销流水!$N367)</f>
        <v/>
      </c>
      <c r="H1450" s="10" t="str">
        <f aca="false">IF($L1450="","",IF($L1450="@成本",购销流水!$U367,IF($L1450="@收入",购销流水!$T367,IF($L1450="@存货",购销流水!$S367,IF($L1450="@结算",购销流水!$R367,$L1450)))))</f>
        <v/>
      </c>
      <c r="I1450" s="42" t="n">
        <f aca="false">IF($M1450="借",$O1450,0)</f>
        <v>0</v>
      </c>
      <c r="J1450" s="42" t="n">
        <f aca="false">IF($M1450="贷",$O1450,0)</f>
        <v>0</v>
      </c>
      <c r="K1450" s="48" t="str">
        <f aca="false">IF($H1450="","",购销流水!$E367)</f>
        <v/>
      </c>
      <c r="L1450" s="66" t="str">
        <f aca="false">IF(购销流水!$D367="","",IFERROR(INDEX(记账规则!$A$6:$N$9,MATCH(购销流水!$D367,记账规则!$A$6:$A$9,0),3),""))</f>
        <v/>
      </c>
      <c r="M1450" s="66" t="str">
        <f aca="false">IF($L1450="","",IFERROR(INDEX(记账规则!$A$6:$N$9,MATCH(购销流水!$D367,记账规则!$A$6:$A$9,0),4),""))</f>
        <v/>
      </c>
      <c r="N1450" s="66" t="str">
        <f aca="false">IF($L1450="","",IFERROR(INDEX(记账规则!$A$6:$N$9,MATCH(购销流水!$D367,记账规则!$A$6:$A$9,0),5),""))</f>
        <v/>
      </c>
      <c r="O1450" s="67" t="n">
        <f aca="false">IF($H1450="",0,ROUND(IF($N1450="成本金额",N(购销流水!$W367),IF($N1450="金额",N(购销流水!$Q367),0)),2))</f>
        <v>0</v>
      </c>
      <c r="P1450" s="64" t="str">
        <f aca="false">IF(AND($H1450&lt;&gt;"",ROUND($O1450,2)&lt;&gt;0),"有","")</f>
        <v/>
      </c>
    </row>
    <row r="1451" customFormat="false" ht="15" hidden="true" customHeight="false" outlineLevel="0" collapsed="false">
      <c r="A1451" s="53" t="str">
        <f aca="false">IF($H1451="","",ROW()-5)</f>
        <v/>
      </c>
      <c r="B1451" s="64" t="s">
        <v>36</v>
      </c>
      <c r="C1451" s="53" t="n">
        <v>367</v>
      </c>
      <c r="D1451" s="53" t="n">
        <v>2</v>
      </c>
      <c r="E1451" s="65" t="str">
        <f aca="false">IF($H1451="","",购销流水!$B367)</f>
        <v/>
      </c>
      <c r="F1451" s="55" t="str">
        <f aca="false">IF($H1451="","",购销流水!$C367)</f>
        <v/>
      </c>
      <c r="G1451" s="48" t="str">
        <f aca="false">IF($H1451="","",购销流水!$N367)</f>
        <v/>
      </c>
      <c r="H1451" s="10" t="str">
        <f aca="false">IF($L1451="","",IF($L1451="@成本",购销流水!$U367,IF($L1451="@收入",购销流水!$T367,IF($L1451="@存货",购销流水!$S367,IF($L1451="@结算",购销流水!$R367,$L1451)))))</f>
        <v/>
      </c>
      <c r="I1451" s="42" t="n">
        <f aca="false">IF($M1451="借",$O1451,0)</f>
        <v>0</v>
      </c>
      <c r="J1451" s="42" t="n">
        <f aca="false">IF($M1451="贷",$O1451,0)</f>
        <v>0</v>
      </c>
      <c r="K1451" s="48" t="str">
        <f aca="false">IF($H1451="","",购销流水!$E367)</f>
        <v/>
      </c>
      <c r="L1451" s="66" t="str">
        <f aca="false">IF(购销流水!$D367="","",IFERROR(INDEX(记账规则!$A$6:$N$9,MATCH(购销流水!$D367,记账规则!$A$6:$A$9,0),6),""))</f>
        <v/>
      </c>
      <c r="M1451" s="66" t="str">
        <f aca="false">IF($L1451="","",IFERROR(INDEX(记账规则!$A$6:$N$9,MATCH(购销流水!$D367,记账规则!$A$6:$A$9,0),7),""))</f>
        <v/>
      </c>
      <c r="N1451" s="66" t="str">
        <f aca="false">IF($L1451="","",IFERROR(INDEX(记账规则!$A$6:$N$9,MATCH(购销流水!$D367,记账规则!$A$6:$A$9,0),8),""))</f>
        <v/>
      </c>
      <c r="O1451" s="67" t="n">
        <f aca="false">IF($H1451="",0,ROUND(IF($N1451="成本金额",N(购销流水!$W367),IF($N1451="金额",N(购销流水!$Q367),0)),2))</f>
        <v>0</v>
      </c>
      <c r="P1451" s="64" t="str">
        <f aca="false">IF(AND($H1451&lt;&gt;"",ROUND($O1451,2)&lt;&gt;0),"有","")</f>
        <v/>
      </c>
    </row>
    <row r="1452" customFormat="false" ht="15" hidden="true" customHeight="false" outlineLevel="0" collapsed="false">
      <c r="A1452" s="53" t="str">
        <f aca="false">IF($H1452="","",ROW()-5)</f>
        <v/>
      </c>
      <c r="B1452" s="64" t="s">
        <v>36</v>
      </c>
      <c r="C1452" s="53" t="n">
        <v>367</v>
      </c>
      <c r="D1452" s="53" t="n">
        <v>3</v>
      </c>
      <c r="E1452" s="65" t="str">
        <f aca="false">IF($H1452="","",购销流水!$B367)</f>
        <v/>
      </c>
      <c r="F1452" s="55" t="str">
        <f aca="false">IF($H1452="","",购销流水!$C367)</f>
        <v/>
      </c>
      <c r="G1452" s="48" t="str">
        <f aca="false">IF($H1452="","",购销流水!$N367)</f>
        <v/>
      </c>
      <c r="H1452" s="10" t="str">
        <f aca="false">IF($L1452="","",IF($L1452="@成本",购销流水!$U367,IF($L1452="@收入",购销流水!$T367,IF($L1452="@存货",购销流水!$S367,IF($L1452="@结算",购销流水!$R367,$L1452)))))</f>
        <v/>
      </c>
      <c r="I1452" s="42" t="n">
        <f aca="false">IF($M1452="借",$O1452,0)</f>
        <v>0</v>
      </c>
      <c r="J1452" s="42" t="n">
        <f aca="false">IF($M1452="贷",$O1452,0)</f>
        <v>0</v>
      </c>
      <c r="K1452" s="48" t="str">
        <f aca="false">IF($H1452="","",购销流水!$E367)</f>
        <v/>
      </c>
      <c r="L1452" s="66" t="str">
        <f aca="false">IF(购销流水!$D367="","",IFERROR(INDEX(记账规则!$A$6:$N$9,MATCH(购销流水!$D367,记账规则!$A$6:$A$9,0),9),""))</f>
        <v/>
      </c>
      <c r="M1452" s="66" t="str">
        <f aca="false">IF($L1452="","",IFERROR(INDEX(记账规则!$A$6:$N$9,MATCH(购销流水!$D367,记账规则!$A$6:$A$9,0),10),""))</f>
        <v/>
      </c>
      <c r="N1452" s="66" t="str">
        <f aca="false">IF($L1452="","",IFERROR(INDEX(记账规则!$A$6:$N$9,MATCH(购销流水!$D367,记账规则!$A$6:$A$9,0),11),""))</f>
        <v/>
      </c>
      <c r="O1452" s="67" t="n">
        <f aca="false">IF($H1452="",0,ROUND(IF($N1452="成本金额",N(购销流水!$W367),IF($N1452="金额",N(购销流水!$Q367),0)),2))</f>
        <v>0</v>
      </c>
      <c r="P1452" s="64" t="str">
        <f aca="false">IF(AND($H1452&lt;&gt;"",ROUND($O1452,2)&lt;&gt;0),"有","")</f>
        <v/>
      </c>
    </row>
    <row r="1453" customFormat="false" ht="15" hidden="true" customHeight="false" outlineLevel="0" collapsed="false">
      <c r="A1453" s="53" t="str">
        <f aca="false">IF($H1453="","",ROW()-5)</f>
        <v/>
      </c>
      <c r="B1453" s="64" t="s">
        <v>36</v>
      </c>
      <c r="C1453" s="53" t="n">
        <v>367</v>
      </c>
      <c r="D1453" s="53" t="n">
        <v>4</v>
      </c>
      <c r="E1453" s="65" t="str">
        <f aca="false">IF($H1453="","",购销流水!$B367)</f>
        <v/>
      </c>
      <c r="F1453" s="55" t="str">
        <f aca="false">IF($H1453="","",购销流水!$C367)</f>
        <v/>
      </c>
      <c r="G1453" s="48" t="str">
        <f aca="false">IF($H1453="","",购销流水!$N367)</f>
        <v/>
      </c>
      <c r="H1453" s="10" t="str">
        <f aca="false">IF($L1453="","",IF($L1453="@成本",购销流水!$U367,IF($L1453="@收入",购销流水!$T367,IF($L1453="@存货",购销流水!$S367,IF($L1453="@结算",购销流水!$R367,$L1453)))))</f>
        <v/>
      </c>
      <c r="I1453" s="42" t="n">
        <f aca="false">IF($M1453="借",$O1453,0)</f>
        <v>0</v>
      </c>
      <c r="J1453" s="42" t="n">
        <f aca="false">IF($M1453="贷",$O1453,0)</f>
        <v>0</v>
      </c>
      <c r="K1453" s="48" t="str">
        <f aca="false">IF($H1453="","",购销流水!$E367)</f>
        <v/>
      </c>
      <c r="L1453" s="66" t="str">
        <f aca="false">IF(购销流水!$D367="","",IFERROR(INDEX(记账规则!$A$6:$N$9,MATCH(购销流水!$D367,记账规则!$A$6:$A$9,0),12),""))</f>
        <v/>
      </c>
      <c r="M1453" s="66" t="str">
        <f aca="false">IF($L1453="","",IFERROR(INDEX(记账规则!$A$6:$N$9,MATCH(购销流水!$D367,记账规则!$A$6:$A$9,0),13),""))</f>
        <v/>
      </c>
      <c r="N1453" s="66" t="str">
        <f aca="false">IF($L1453="","",IFERROR(INDEX(记账规则!$A$6:$N$9,MATCH(购销流水!$D367,记账规则!$A$6:$A$9,0),14),""))</f>
        <v/>
      </c>
      <c r="O1453" s="67" t="n">
        <f aca="false">IF($H1453="",0,ROUND(IF($N1453="成本金额",N(购销流水!$W367),IF($N1453="金额",N(购销流水!$Q367),0)),2))</f>
        <v>0</v>
      </c>
      <c r="P1453" s="64" t="str">
        <f aca="false">IF(AND($H1453&lt;&gt;"",ROUND($O1453,2)&lt;&gt;0),"有","")</f>
        <v/>
      </c>
    </row>
    <row r="1454" customFormat="false" ht="15" hidden="true" customHeight="false" outlineLevel="0" collapsed="false">
      <c r="A1454" s="53" t="str">
        <f aca="false">IF($H1454="","",ROW()-5)</f>
        <v/>
      </c>
      <c r="B1454" s="64" t="s">
        <v>36</v>
      </c>
      <c r="C1454" s="53" t="n">
        <v>368</v>
      </c>
      <c r="D1454" s="53" t="n">
        <v>1</v>
      </c>
      <c r="E1454" s="65" t="str">
        <f aca="false">IF($H1454="","",购销流水!$B368)</f>
        <v/>
      </c>
      <c r="F1454" s="55" t="str">
        <f aca="false">IF($H1454="","",购销流水!$C368)</f>
        <v/>
      </c>
      <c r="G1454" s="48" t="str">
        <f aca="false">IF($H1454="","",购销流水!$N368)</f>
        <v/>
      </c>
      <c r="H1454" s="10" t="str">
        <f aca="false">IF($L1454="","",IF($L1454="@成本",购销流水!$U368,IF($L1454="@收入",购销流水!$T368,IF($L1454="@存货",购销流水!$S368,IF($L1454="@结算",购销流水!$R368,$L1454)))))</f>
        <v/>
      </c>
      <c r="I1454" s="42" t="n">
        <f aca="false">IF($M1454="借",$O1454,0)</f>
        <v>0</v>
      </c>
      <c r="J1454" s="42" t="n">
        <f aca="false">IF($M1454="贷",$O1454,0)</f>
        <v>0</v>
      </c>
      <c r="K1454" s="48" t="str">
        <f aca="false">IF($H1454="","",购销流水!$E368)</f>
        <v/>
      </c>
      <c r="L1454" s="66" t="str">
        <f aca="false">IF(购销流水!$D368="","",IFERROR(INDEX(记账规则!$A$6:$N$9,MATCH(购销流水!$D368,记账规则!$A$6:$A$9,0),3),""))</f>
        <v/>
      </c>
      <c r="M1454" s="66" t="str">
        <f aca="false">IF($L1454="","",IFERROR(INDEX(记账规则!$A$6:$N$9,MATCH(购销流水!$D368,记账规则!$A$6:$A$9,0),4),""))</f>
        <v/>
      </c>
      <c r="N1454" s="66" t="str">
        <f aca="false">IF($L1454="","",IFERROR(INDEX(记账规则!$A$6:$N$9,MATCH(购销流水!$D368,记账规则!$A$6:$A$9,0),5),""))</f>
        <v/>
      </c>
      <c r="O1454" s="67" t="n">
        <f aca="false">IF($H1454="",0,ROUND(IF($N1454="成本金额",N(购销流水!$W368),IF($N1454="金额",N(购销流水!$Q368),0)),2))</f>
        <v>0</v>
      </c>
      <c r="P1454" s="64" t="str">
        <f aca="false">IF(AND($H1454&lt;&gt;"",ROUND($O1454,2)&lt;&gt;0),"有","")</f>
        <v/>
      </c>
    </row>
    <row r="1455" customFormat="false" ht="15" hidden="true" customHeight="false" outlineLevel="0" collapsed="false">
      <c r="A1455" s="53" t="str">
        <f aca="false">IF($H1455="","",ROW()-5)</f>
        <v/>
      </c>
      <c r="B1455" s="64" t="s">
        <v>36</v>
      </c>
      <c r="C1455" s="53" t="n">
        <v>368</v>
      </c>
      <c r="D1455" s="53" t="n">
        <v>2</v>
      </c>
      <c r="E1455" s="65" t="str">
        <f aca="false">IF($H1455="","",购销流水!$B368)</f>
        <v/>
      </c>
      <c r="F1455" s="55" t="str">
        <f aca="false">IF($H1455="","",购销流水!$C368)</f>
        <v/>
      </c>
      <c r="G1455" s="48" t="str">
        <f aca="false">IF($H1455="","",购销流水!$N368)</f>
        <v/>
      </c>
      <c r="H1455" s="10" t="str">
        <f aca="false">IF($L1455="","",IF($L1455="@成本",购销流水!$U368,IF($L1455="@收入",购销流水!$T368,IF($L1455="@存货",购销流水!$S368,IF($L1455="@结算",购销流水!$R368,$L1455)))))</f>
        <v/>
      </c>
      <c r="I1455" s="42" t="n">
        <f aca="false">IF($M1455="借",$O1455,0)</f>
        <v>0</v>
      </c>
      <c r="J1455" s="42" t="n">
        <f aca="false">IF($M1455="贷",$O1455,0)</f>
        <v>0</v>
      </c>
      <c r="K1455" s="48" t="str">
        <f aca="false">IF($H1455="","",购销流水!$E368)</f>
        <v/>
      </c>
      <c r="L1455" s="66" t="str">
        <f aca="false">IF(购销流水!$D368="","",IFERROR(INDEX(记账规则!$A$6:$N$9,MATCH(购销流水!$D368,记账规则!$A$6:$A$9,0),6),""))</f>
        <v/>
      </c>
      <c r="M1455" s="66" t="str">
        <f aca="false">IF($L1455="","",IFERROR(INDEX(记账规则!$A$6:$N$9,MATCH(购销流水!$D368,记账规则!$A$6:$A$9,0),7),""))</f>
        <v/>
      </c>
      <c r="N1455" s="66" t="str">
        <f aca="false">IF($L1455="","",IFERROR(INDEX(记账规则!$A$6:$N$9,MATCH(购销流水!$D368,记账规则!$A$6:$A$9,0),8),""))</f>
        <v/>
      </c>
      <c r="O1455" s="67" t="n">
        <f aca="false">IF($H1455="",0,ROUND(IF($N1455="成本金额",N(购销流水!$W368),IF($N1455="金额",N(购销流水!$Q368),0)),2))</f>
        <v>0</v>
      </c>
      <c r="P1455" s="64" t="str">
        <f aca="false">IF(AND($H1455&lt;&gt;"",ROUND($O1455,2)&lt;&gt;0),"有","")</f>
        <v/>
      </c>
    </row>
    <row r="1456" customFormat="false" ht="15" hidden="true" customHeight="false" outlineLevel="0" collapsed="false">
      <c r="A1456" s="53" t="str">
        <f aca="false">IF($H1456="","",ROW()-5)</f>
        <v/>
      </c>
      <c r="B1456" s="64" t="s">
        <v>36</v>
      </c>
      <c r="C1456" s="53" t="n">
        <v>368</v>
      </c>
      <c r="D1456" s="53" t="n">
        <v>3</v>
      </c>
      <c r="E1456" s="65" t="str">
        <f aca="false">IF($H1456="","",购销流水!$B368)</f>
        <v/>
      </c>
      <c r="F1456" s="55" t="str">
        <f aca="false">IF($H1456="","",购销流水!$C368)</f>
        <v/>
      </c>
      <c r="G1456" s="48" t="str">
        <f aca="false">IF($H1456="","",购销流水!$N368)</f>
        <v/>
      </c>
      <c r="H1456" s="10" t="str">
        <f aca="false">IF($L1456="","",IF($L1456="@成本",购销流水!$U368,IF($L1456="@收入",购销流水!$T368,IF($L1456="@存货",购销流水!$S368,IF($L1456="@结算",购销流水!$R368,$L1456)))))</f>
        <v/>
      </c>
      <c r="I1456" s="42" t="n">
        <f aca="false">IF($M1456="借",$O1456,0)</f>
        <v>0</v>
      </c>
      <c r="J1456" s="42" t="n">
        <f aca="false">IF($M1456="贷",$O1456,0)</f>
        <v>0</v>
      </c>
      <c r="K1456" s="48" t="str">
        <f aca="false">IF($H1456="","",购销流水!$E368)</f>
        <v/>
      </c>
      <c r="L1456" s="66" t="str">
        <f aca="false">IF(购销流水!$D368="","",IFERROR(INDEX(记账规则!$A$6:$N$9,MATCH(购销流水!$D368,记账规则!$A$6:$A$9,0),9),""))</f>
        <v/>
      </c>
      <c r="M1456" s="66" t="str">
        <f aca="false">IF($L1456="","",IFERROR(INDEX(记账规则!$A$6:$N$9,MATCH(购销流水!$D368,记账规则!$A$6:$A$9,0),10),""))</f>
        <v/>
      </c>
      <c r="N1456" s="66" t="str">
        <f aca="false">IF($L1456="","",IFERROR(INDEX(记账规则!$A$6:$N$9,MATCH(购销流水!$D368,记账规则!$A$6:$A$9,0),11),""))</f>
        <v/>
      </c>
      <c r="O1456" s="67" t="n">
        <f aca="false">IF($H1456="",0,ROUND(IF($N1456="成本金额",N(购销流水!$W368),IF($N1456="金额",N(购销流水!$Q368),0)),2))</f>
        <v>0</v>
      </c>
      <c r="P1456" s="64" t="str">
        <f aca="false">IF(AND($H1456&lt;&gt;"",ROUND($O1456,2)&lt;&gt;0),"有","")</f>
        <v/>
      </c>
    </row>
    <row r="1457" customFormat="false" ht="15" hidden="true" customHeight="false" outlineLevel="0" collapsed="false">
      <c r="A1457" s="53" t="str">
        <f aca="false">IF($H1457="","",ROW()-5)</f>
        <v/>
      </c>
      <c r="B1457" s="64" t="s">
        <v>36</v>
      </c>
      <c r="C1457" s="53" t="n">
        <v>368</v>
      </c>
      <c r="D1457" s="53" t="n">
        <v>4</v>
      </c>
      <c r="E1457" s="65" t="str">
        <f aca="false">IF($H1457="","",购销流水!$B368)</f>
        <v/>
      </c>
      <c r="F1457" s="55" t="str">
        <f aca="false">IF($H1457="","",购销流水!$C368)</f>
        <v/>
      </c>
      <c r="G1457" s="48" t="str">
        <f aca="false">IF($H1457="","",购销流水!$N368)</f>
        <v/>
      </c>
      <c r="H1457" s="10" t="str">
        <f aca="false">IF($L1457="","",IF($L1457="@成本",购销流水!$U368,IF($L1457="@收入",购销流水!$T368,IF($L1457="@存货",购销流水!$S368,IF($L1457="@结算",购销流水!$R368,$L1457)))))</f>
        <v/>
      </c>
      <c r="I1457" s="42" t="n">
        <f aca="false">IF($M1457="借",$O1457,0)</f>
        <v>0</v>
      </c>
      <c r="J1457" s="42" t="n">
        <f aca="false">IF($M1457="贷",$O1457,0)</f>
        <v>0</v>
      </c>
      <c r="K1457" s="48" t="str">
        <f aca="false">IF($H1457="","",购销流水!$E368)</f>
        <v/>
      </c>
      <c r="L1457" s="66" t="str">
        <f aca="false">IF(购销流水!$D368="","",IFERROR(INDEX(记账规则!$A$6:$N$9,MATCH(购销流水!$D368,记账规则!$A$6:$A$9,0),12),""))</f>
        <v/>
      </c>
      <c r="M1457" s="66" t="str">
        <f aca="false">IF($L1457="","",IFERROR(INDEX(记账规则!$A$6:$N$9,MATCH(购销流水!$D368,记账规则!$A$6:$A$9,0),13),""))</f>
        <v/>
      </c>
      <c r="N1457" s="66" t="str">
        <f aca="false">IF($L1457="","",IFERROR(INDEX(记账规则!$A$6:$N$9,MATCH(购销流水!$D368,记账规则!$A$6:$A$9,0),14),""))</f>
        <v/>
      </c>
      <c r="O1457" s="67" t="n">
        <f aca="false">IF($H1457="",0,ROUND(IF($N1457="成本金额",N(购销流水!$W368),IF($N1457="金额",N(购销流水!$Q368),0)),2))</f>
        <v>0</v>
      </c>
      <c r="P1457" s="64" t="str">
        <f aca="false">IF(AND($H1457&lt;&gt;"",ROUND($O1457,2)&lt;&gt;0),"有","")</f>
        <v/>
      </c>
    </row>
    <row r="1458" customFormat="false" ht="15" hidden="true" customHeight="false" outlineLevel="0" collapsed="false">
      <c r="A1458" s="53" t="str">
        <f aca="false">IF($H1458="","",ROW()-5)</f>
        <v/>
      </c>
      <c r="B1458" s="64" t="s">
        <v>36</v>
      </c>
      <c r="C1458" s="53" t="n">
        <v>369</v>
      </c>
      <c r="D1458" s="53" t="n">
        <v>1</v>
      </c>
      <c r="E1458" s="65" t="str">
        <f aca="false">IF($H1458="","",购销流水!$B369)</f>
        <v/>
      </c>
      <c r="F1458" s="55" t="str">
        <f aca="false">IF($H1458="","",购销流水!$C369)</f>
        <v/>
      </c>
      <c r="G1458" s="48" t="str">
        <f aca="false">IF($H1458="","",购销流水!$N369)</f>
        <v/>
      </c>
      <c r="H1458" s="10" t="str">
        <f aca="false">IF($L1458="","",IF($L1458="@成本",购销流水!$U369,IF($L1458="@收入",购销流水!$T369,IF($L1458="@存货",购销流水!$S369,IF($L1458="@结算",购销流水!$R369,$L1458)))))</f>
        <v/>
      </c>
      <c r="I1458" s="42" t="n">
        <f aca="false">IF($M1458="借",$O1458,0)</f>
        <v>0</v>
      </c>
      <c r="J1458" s="42" t="n">
        <f aca="false">IF($M1458="贷",$O1458,0)</f>
        <v>0</v>
      </c>
      <c r="K1458" s="48" t="str">
        <f aca="false">IF($H1458="","",购销流水!$E369)</f>
        <v/>
      </c>
      <c r="L1458" s="66" t="str">
        <f aca="false">IF(购销流水!$D369="","",IFERROR(INDEX(记账规则!$A$6:$N$9,MATCH(购销流水!$D369,记账规则!$A$6:$A$9,0),3),""))</f>
        <v/>
      </c>
      <c r="M1458" s="66" t="str">
        <f aca="false">IF($L1458="","",IFERROR(INDEX(记账规则!$A$6:$N$9,MATCH(购销流水!$D369,记账规则!$A$6:$A$9,0),4),""))</f>
        <v/>
      </c>
      <c r="N1458" s="66" t="str">
        <f aca="false">IF($L1458="","",IFERROR(INDEX(记账规则!$A$6:$N$9,MATCH(购销流水!$D369,记账规则!$A$6:$A$9,0),5),""))</f>
        <v/>
      </c>
      <c r="O1458" s="67" t="n">
        <f aca="false">IF($H1458="",0,ROUND(IF($N1458="成本金额",N(购销流水!$W369),IF($N1458="金额",N(购销流水!$Q369),0)),2))</f>
        <v>0</v>
      </c>
      <c r="P1458" s="64" t="str">
        <f aca="false">IF(AND($H1458&lt;&gt;"",ROUND($O1458,2)&lt;&gt;0),"有","")</f>
        <v/>
      </c>
    </row>
    <row r="1459" customFormat="false" ht="15" hidden="true" customHeight="false" outlineLevel="0" collapsed="false">
      <c r="A1459" s="53" t="str">
        <f aca="false">IF($H1459="","",ROW()-5)</f>
        <v/>
      </c>
      <c r="B1459" s="64" t="s">
        <v>36</v>
      </c>
      <c r="C1459" s="53" t="n">
        <v>369</v>
      </c>
      <c r="D1459" s="53" t="n">
        <v>2</v>
      </c>
      <c r="E1459" s="65" t="str">
        <f aca="false">IF($H1459="","",购销流水!$B369)</f>
        <v/>
      </c>
      <c r="F1459" s="55" t="str">
        <f aca="false">IF($H1459="","",购销流水!$C369)</f>
        <v/>
      </c>
      <c r="G1459" s="48" t="str">
        <f aca="false">IF($H1459="","",购销流水!$N369)</f>
        <v/>
      </c>
      <c r="H1459" s="10" t="str">
        <f aca="false">IF($L1459="","",IF($L1459="@成本",购销流水!$U369,IF($L1459="@收入",购销流水!$T369,IF($L1459="@存货",购销流水!$S369,IF($L1459="@结算",购销流水!$R369,$L1459)))))</f>
        <v/>
      </c>
      <c r="I1459" s="42" t="n">
        <f aca="false">IF($M1459="借",$O1459,0)</f>
        <v>0</v>
      </c>
      <c r="J1459" s="42" t="n">
        <f aca="false">IF($M1459="贷",$O1459,0)</f>
        <v>0</v>
      </c>
      <c r="K1459" s="48" t="str">
        <f aca="false">IF($H1459="","",购销流水!$E369)</f>
        <v/>
      </c>
      <c r="L1459" s="66" t="str">
        <f aca="false">IF(购销流水!$D369="","",IFERROR(INDEX(记账规则!$A$6:$N$9,MATCH(购销流水!$D369,记账规则!$A$6:$A$9,0),6),""))</f>
        <v/>
      </c>
      <c r="M1459" s="66" t="str">
        <f aca="false">IF($L1459="","",IFERROR(INDEX(记账规则!$A$6:$N$9,MATCH(购销流水!$D369,记账规则!$A$6:$A$9,0),7),""))</f>
        <v/>
      </c>
      <c r="N1459" s="66" t="str">
        <f aca="false">IF($L1459="","",IFERROR(INDEX(记账规则!$A$6:$N$9,MATCH(购销流水!$D369,记账规则!$A$6:$A$9,0),8),""))</f>
        <v/>
      </c>
      <c r="O1459" s="67" t="n">
        <f aca="false">IF($H1459="",0,ROUND(IF($N1459="成本金额",N(购销流水!$W369),IF($N1459="金额",N(购销流水!$Q369),0)),2))</f>
        <v>0</v>
      </c>
      <c r="P1459" s="64" t="str">
        <f aca="false">IF(AND($H1459&lt;&gt;"",ROUND($O1459,2)&lt;&gt;0),"有","")</f>
        <v/>
      </c>
    </row>
    <row r="1460" customFormat="false" ht="15" hidden="true" customHeight="false" outlineLevel="0" collapsed="false">
      <c r="A1460" s="53" t="str">
        <f aca="false">IF($H1460="","",ROW()-5)</f>
        <v/>
      </c>
      <c r="B1460" s="64" t="s">
        <v>36</v>
      </c>
      <c r="C1460" s="53" t="n">
        <v>369</v>
      </c>
      <c r="D1460" s="53" t="n">
        <v>3</v>
      </c>
      <c r="E1460" s="65" t="str">
        <f aca="false">IF($H1460="","",购销流水!$B369)</f>
        <v/>
      </c>
      <c r="F1460" s="55" t="str">
        <f aca="false">IF($H1460="","",购销流水!$C369)</f>
        <v/>
      </c>
      <c r="G1460" s="48" t="str">
        <f aca="false">IF($H1460="","",购销流水!$N369)</f>
        <v/>
      </c>
      <c r="H1460" s="10" t="str">
        <f aca="false">IF($L1460="","",IF($L1460="@成本",购销流水!$U369,IF($L1460="@收入",购销流水!$T369,IF($L1460="@存货",购销流水!$S369,IF($L1460="@结算",购销流水!$R369,$L1460)))))</f>
        <v/>
      </c>
      <c r="I1460" s="42" t="n">
        <f aca="false">IF($M1460="借",$O1460,0)</f>
        <v>0</v>
      </c>
      <c r="J1460" s="42" t="n">
        <f aca="false">IF($M1460="贷",$O1460,0)</f>
        <v>0</v>
      </c>
      <c r="K1460" s="48" t="str">
        <f aca="false">IF($H1460="","",购销流水!$E369)</f>
        <v/>
      </c>
      <c r="L1460" s="66" t="str">
        <f aca="false">IF(购销流水!$D369="","",IFERROR(INDEX(记账规则!$A$6:$N$9,MATCH(购销流水!$D369,记账规则!$A$6:$A$9,0),9),""))</f>
        <v/>
      </c>
      <c r="M1460" s="66" t="str">
        <f aca="false">IF($L1460="","",IFERROR(INDEX(记账规则!$A$6:$N$9,MATCH(购销流水!$D369,记账规则!$A$6:$A$9,0),10),""))</f>
        <v/>
      </c>
      <c r="N1460" s="66" t="str">
        <f aca="false">IF($L1460="","",IFERROR(INDEX(记账规则!$A$6:$N$9,MATCH(购销流水!$D369,记账规则!$A$6:$A$9,0),11),""))</f>
        <v/>
      </c>
      <c r="O1460" s="67" t="n">
        <f aca="false">IF($H1460="",0,ROUND(IF($N1460="成本金额",N(购销流水!$W369),IF($N1460="金额",N(购销流水!$Q369),0)),2))</f>
        <v>0</v>
      </c>
      <c r="P1460" s="64" t="str">
        <f aca="false">IF(AND($H1460&lt;&gt;"",ROUND($O1460,2)&lt;&gt;0),"有","")</f>
        <v/>
      </c>
    </row>
    <row r="1461" customFormat="false" ht="15" hidden="true" customHeight="false" outlineLevel="0" collapsed="false">
      <c r="A1461" s="53" t="str">
        <f aca="false">IF($H1461="","",ROW()-5)</f>
        <v/>
      </c>
      <c r="B1461" s="64" t="s">
        <v>36</v>
      </c>
      <c r="C1461" s="53" t="n">
        <v>369</v>
      </c>
      <c r="D1461" s="53" t="n">
        <v>4</v>
      </c>
      <c r="E1461" s="65" t="str">
        <f aca="false">IF($H1461="","",购销流水!$B369)</f>
        <v/>
      </c>
      <c r="F1461" s="55" t="str">
        <f aca="false">IF($H1461="","",购销流水!$C369)</f>
        <v/>
      </c>
      <c r="G1461" s="48" t="str">
        <f aca="false">IF($H1461="","",购销流水!$N369)</f>
        <v/>
      </c>
      <c r="H1461" s="10" t="str">
        <f aca="false">IF($L1461="","",IF($L1461="@成本",购销流水!$U369,IF($L1461="@收入",购销流水!$T369,IF($L1461="@存货",购销流水!$S369,IF($L1461="@结算",购销流水!$R369,$L1461)))))</f>
        <v/>
      </c>
      <c r="I1461" s="42" t="n">
        <f aca="false">IF($M1461="借",$O1461,0)</f>
        <v>0</v>
      </c>
      <c r="J1461" s="42" t="n">
        <f aca="false">IF($M1461="贷",$O1461,0)</f>
        <v>0</v>
      </c>
      <c r="K1461" s="48" t="str">
        <f aca="false">IF($H1461="","",购销流水!$E369)</f>
        <v/>
      </c>
      <c r="L1461" s="66" t="str">
        <f aca="false">IF(购销流水!$D369="","",IFERROR(INDEX(记账规则!$A$6:$N$9,MATCH(购销流水!$D369,记账规则!$A$6:$A$9,0),12),""))</f>
        <v/>
      </c>
      <c r="M1461" s="66" t="str">
        <f aca="false">IF($L1461="","",IFERROR(INDEX(记账规则!$A$6:$N$9,MATCH(购销流水!$D369,记账规则!$A$6:$A$9,0),13),""))</f>
        <v/>
      </c>
      <c r="N1461" s="66" t="str">
        <f aca="false">IF($L1461="","",IFERROR(INDEX(记账规则!$A$6:$N$9,MATCH(购销流水!$D369,记账规则!$A$6:$A$9,0),14),""))</f>
        <v/>
      </c>
      <c r="O1461" s="67" t="n">
        <f aca="false">IF($H1461="",0,ROUND(IF($N1461="成本金额",N(购销流水!$W369),IF($N1461="金额",N(购销流水!$Q369),0)),2))</f>
        <v>0</v>
      </c>
      <c r="P1461" s="64" t="str">
        <f aca="false">IF(AND($H1461&lt;&gt;"",ROUND($O1461,2)&lt;&gt;0),"有","")</f>
        <v/>
      </c>
    </row>
    <row r="1462" customFormat="false" ht="15" hidden="true" customHeight="false" outlineLevel="0" collapsed="false">
      <c r="A1462" s="53" t="str">
        <f aca="false">IF($H1462="","",ROW()-5)</f>
        <v/>
      </c>
      <c r="B1462" s="64" t="s">
        <v>36</v>
      </c>
      <c r="C1462" s="53" t="n">
        <v>370</v>
      </c>
      <c r="D1462" s="53" t="n">
        <v>1</v>
      </c>
      <c r="E1462" s="65" t="str">
        <f aca="false">IF($H1462="","",购销流水!$B370)</f>
        <v/>
      </c>
      <c r="F1462" s="55" t="str">
        <f aca="false">IF($H1462="","",购销流水!$C370)</f>
        <v/>
      </c>
      <c r="G1462" s="48" t="str">
        <f aca="false">IF($H1462="","",购销流水!$N370)</f>
        <v/>
      </c>
      <c r="H1462" s="10" t="str">
        <f aca="false">IF($L1462="","",IF($L1462="@成本",购销流水!$U370,IF($L1462="@收入",购销流水!$T370,IF($L1462="@存货",购销流水!$S370,IF($L1462="@结算",购销流水!$R370,$L1462)))))</f>
        <v/>
      </c>
      <c r="I1462" s="42" t="n">
        <f aca="false">IF($M1462="借",$O1462,0)</f>
        <v>0</v>
      </c>
      <c r="J1462" s="42" t="n">
        <f aca="false">IF($M1462="贷",$O1462,0)</f>
        <v>0</v>
      </c>
      <c r="K1462" s="48" t="str">
        <f aca="false">IF($H1462="","",购销流水!$E370)</f>
        <v/>
      </c>
      <c r="L1462" s="66" t="str">
        <f aca="false">IF(购销流水!$D370="","",IFERROR(INDEX(记账规则!$A$6:$N$9,MATCH(购销流水!$D370,记账规则!$A$6:$A$9,0),3),""))</f>
        <v/>
      </c>
      <c r="M1462" s="66" t="str">
        <f aca="false">IF($L1462="","",IFERROR(INDEX(记账规则!$A$6:$N$9,MATCH(购销流水!$D370,记账规则!$A$6:$A$9,0),4),""))</f>
        <v/>
      </c>
      <c r="N1462" s="66" t="str">
        <f aca="false">IF($L1462="","",IFERROR(INDEX(记账规则!$A$6:$N$9,MATCH(购销流水!$D370,记账规则!$A$6:$A$9,0),5),""))</f>
        <v/>
      </c>
      <c r="O1462" s="67" t="n">
        <f aca="false">IF($H1462="",0,ROUND(IF($N1462="成本金额",N(购销流水!$W370),IF($N1462="金额",N(购销流水!$Q370),0)),2))</f>
        <v>0</v>
      </c>
      <c r="P1462" s="64" t="str">
        <f aca="false">IF(AND($H1462&lt;&gt;"",ROUND($O1462,2)&lt;&gt;0),"有","")</f>
        <v/>
      </c>
    </row>
    <row r="1463" customFormat="false" ht="15" hidden="true" customHeight="false" outlineLevel="0" collapsed="false">
      <c r="A1463" s="53" t="str">
        <f aca="false">IF($H1463="","",ROW()-5)</f>
        <v/>
      </c>
      <c r="B1463" s="64" t="s">
        <v>36</v>
      </c>
      <c r="C1463" s="53" t="n">
        <v>370</v>
      </c>
      <c r="D1463" s="53" t="n">
        <v>2</v>
      </c>
      <c r="E1463" s="65" t="str">
        <f aca="false">IF($H1463="","",购销流水!$B370)</f>
        <v/>
      </c>
      <c r="F1463" s="55" t="str">
        <f aca="false">IF($H1463="","",购销流水!$C370)</f>
        <v/>
      </c>
      <c r="G1463" s="48" t="str">
        <f aca="false">IF($H1463="","",购销流水!$N370)</f>
        <v/>
      </c>
      <c r="H1463" s="10" t="str">
        <f aca="false">IF($L1463="","",IF($L1463="@成本",购销流水!$U370,IF($L1463="@收入",购销流水!$T370,IF($L1463="@存货",购销流水!$S370,IF($L1463="@结算",购销流水!$R370,$L1463)))))</f>
        <v/>
      </c>
      <c r="I1463" s="42" t="n">
        <f aca="false">IF($M1463="借",$O1463,0)</f>
        <v>0</v>
      </c>
      <c r="J1463" s="42" t="n">
        <f aca="false">IF($M1463="贷",$O1463,0)</f>
        <v>0</v>
      </c>
      <c r="K1463" s="48" t="str">
        <f aca="false">IF($H1463="","",购销流水!$E370)</f>
        <v/>
      </c>
      <c r="L1463" s="66" t="str">
        <f aca="false">IF(购销流水!$D370="","",IFERROR(INDEX(记账规则!$A$6:$N$9,MATCH(购销流水!$D370,记账规则!$A$6:$A$9,0),6),""))</f>
        <v/>
      </c>
      <c r="M1463" s="66" t="str">
        <f aca="false">IF($L1463="","",IFERROR(INDEX(记账规则!$A$6:$N$9,MATCH(购销流水!$D370,记账规则!$A$6:$A$9,0),7),""))</f>
        <v/>
      </c>
      <c r="N1463" s="66" t="str">
        <f aca="false">IF($L1463="","",IFERROR(INDEX(记账规则!$A$6:$N$9,MATCH(购销流水!$D370,记账规则!$A$6:$A$9,0),8),""))</f>
        <v/>
      </c>
      <c r="O1463" s="67" t="n">
        <f aca="false">IF($H1463="",0,ROUND(IF($N1463="成本金额",N(购销流水!$W370),IF($N1463="金额",N(购销流水!$Q370),0)),2))</f>
        <v>0</v>
      </c>
      <c r="P1463" s="64" t="str">
        <f aca="false">IF(AND($H1463&lt;&gt;"",ROUND($O1463,2)&lt;&gt;0),"有","")</f>
        <v/>
      </c>
    </row>
    <row r="1464" customFormat="false" ht="15" hidden="true" customHeight="false" outlineLevel="0" collapsed="false">
      <c r="A1464" s="53" t="str">
        <f aca="false">IF($H1464="","",ROW()-5)</f>
        <v/>
      </c>
      <c r="B1464" s="64" t="s">
        <v>36</v>
      </c>
      <c r="C1464" s="53" t="n">
        <v>370</v>
      </c>
      <c r="D1464" s="53" t="n">
        <v>3</v>
      </c>
      <c r="E1464" s="65" t="str">
        <f aca="false">IF($H1464="","",购销流水!$B370)</f>
        <v/>
      </c>
      <c r="F1464" s="55" t="str">
        <f aca="false">IF($H1464="","",购销流水!$C370)</f>
        <v/>
      </c>
      <c r="G1464" s="48" t="str">
        <f aca="false">IF($H1464="","",购销流水!$N370)</f>
        <v/>
      </c>
      <c r="H1464" s="10" t="str">
        <f aca="false">IF($L1464="","",IF($L1464="@成本",购销流水!$U370,IF($L1464="@收入",购销流水!$T370,IF($L1464="@存货",购销流水!$S370,IF($L1464="@结算",购销流水!$R370,$L1464)))))</f>
        <v/>
      </c>
      <c r="I1464" s="42" t="n">
        <f aca="false">IF($M1464="借",$O1464,0)</f>
        <v>0</v>
      </c>
      <c r="J1464" s="42" t="n">
        <f aca="false">IF($M1464="贷",$O1464,0)</f>
        <v>0</v>
      </c>
      <c r="K1464" s="48" t="str">
        <f aca="false">IF($H1464="","",购销流水!$E370)</f>
        <v/>
      </c>
      <c r="L1464" s="66" t="str">
        <f aca="false">IF(购销流水!$D370="","",IFERROR(INDEX(记账规则!$A$6:$N$9,MATCH(购销流水!$D370,记账规则!$A$6:$A$9,0),9),""))</f>
        <v/>
      </c>
      <c r="M1464" s="66" t="str">
        <f aca="false">IF($L1464="","",IFERROR(INDEX(记账规则!$A$6:$N$9,MATCH(购销流水!$D370,记账规则!$A$6:$A$9,0),10),""))</f>
        <v/>
      </c>
      <c r="N1464" s="66" t="str">
        <f aca="false">IF($L1464="","",IFERROR(INDEX(记账规则!$A$6:$N$9,MATCH(购销流水!$D370,记账规则!$A$6:$A$9,0),11),""))</f>
        <v/>
      </c>
      <c r="O1464" s="67" t="n">
        <f aca="false">IF($H1464="",0,ROUND(IF($N1464="成本金额",N(购销流水!$W370),IF($N1464="金额",N(购销流水!$Q370),0)),2))</f>
        <v>0</v>
      </c>
      <c r="P1464" s="64" t="str">
        <f aca="false">IF(AND($H1464&lt;&gt;"",ROUND($O1464,2)&lt;&gt;0),"有","")</f>
        <v/>
      </c>
    </row>
    <row r="1465" customFormat="false" ht="15" hidden="true" customHeight="false" outlineLevel="0" collapsed="false">
      <c r="A1465" s="53" t="str">
        <f aca="false">IF($H1465="","",ROW()-5)</f>
        <v/>
      </c>
      <c r="B1465" s="64" t="s">
        <v>36</v>
      </c>
      <c r="C1465" s="53" t="n">
        <v>370</v>
      </c>
      <c r="D1465" s="53" t="n">
        <v>4</v>
      </c>
      <c r="E1465" s="65" t="str">
        <f aca="false">IF($H1465="","",购销流水!$B370)</f>
        <v/>
      </c>
      <c r="F1465" s="55" t="str">
        <f aca="false">IF($H1465="","",购销流水!$C370)</f>
        <v/>
      </c>
      <c r="G1465" s="48" t="str">
        <f aca="false">IF($H1465="","",购销流水!$N370)</f>
        <v/>
      </c>
      <c r="H1465" s="10" t="str">
        <f aca="false">IF($L1465="","",IF($L1465="@成本",购销流水!$U370,IF($L1465="@收入",购销流水!$T370,IF($L1465="@存货",购销流水!$S370,IF($L1465="@结算",购销流水!$R370,$L1465)))))</f>
        <v/>
      </c>
      <c r="I1465" s="42" t="n">
        <f aca="false">IF($M1465="借",$O1465,0)</f>
        <v>0</v>
      </c>
      <c r="J1465" s="42" t="n">
        <f aca="false">IF($M1465="贷",$O1465,0)</f>
        <v>0</v>
      </c>
      <c r="K1465" s="48" t="str">
        <f aca="false">IF($H1465="","",购销流水!$E370)</f>
        <v/>
      </c>
      <c r="L1465" s="66" t="str">
        <f aca="false">IF(购销流水!$D370="","",IFERROR(INDEX(记账规则!$A$6:$N$9,MATCH(购销流水!$D370,记账规则!$A$6:$A$9,0),12),""))</f>
        <v/>
      </c>
      <c r="M1465" s="66" t="str">
        <f aca="false">IF($L1465="","",IFERROR(INDEX(记账规则!$A$6:$N$9,MATCH(购销流水!$D370,记账规则!$A$6:$A$9,0),13),""))</f>
        <v/>
      </c>
      <c r="N1465" s="66" t="str">
        <f aca="false">IF($L1465="","",IFERROR(INDEX(记账规则!$A$6:$N$9,MATCH(购销流水!$D370,记账规则!$A$6:$A$9,0),14),""))</f>
        <v/>
      </c>
      <c r="O1465" s="67" t="n">
        <f aca="false">IF($H1465="",0,ROUND(IF($N1465="成本金额",N(购销流水!$W370),IF($N1465="金额",N(购销流水!$Q370),0)),2))</f>
        <v>0</v>
      </c>
      <c r="P1465" s="64" t="str">
        <f aca="false">IF(AND($H1465&lt;&gt;"",ROUND($O1465,2)&lt;&gt;0),"有","")</f>
        <v/>
      </c>
    </row>
    <row r="1466" customFormat="false" ht="15" hidden="true" customHeight="false" outlineLevel="0" collapsed="false">
      <c r="A1466" s="53" t="str">
        <f aca="false">IF($H1466="","",ROW()-5)</f>
        <v/>
      </c>
      <c r="B1466" s="64" t="s">
        <v>36</v>
      </c>
      <c r="C1466" s="53" t="n">
        <v>371</v>
      </c>
      <c r="D1466" s="53" t="n">
        <v>1</v>
      </c>
      <c r="E1466" s="65" t="str">
        <f aca="false">IF($H1466="","",购销流水!$B371)</f>
        <v/>
      </c>
      <c r="F1466" s="55" t="str">
        <f aca="false">IF($H1466="","",购销流水!$C371)</f>
        <v/>
      </c>
      <c r="G1466" s="48" t="str">
        <f aca="false">IF($H1466="","",购销流水!$N371)</f>
        <v/>
      </c>
      <c r="H1466" s="10" t="str">
        <f aca="false">IF($L1466="","",IF($L1466="@成本",购销流水!$U371,IF($L1466="@收入",购销流水!$T371,IF($L1466="@存货",购销流水!$S371,IF($L1466="@结算",购销流水!$R371,$L1466)))))</f>
        <v/>
      </c>
      <c r="I1466" s="42" t="n">
        <f aca="false">IF($M1466="借",$O1466,0)</f>
        <v>0</v>
      </c>
      <c r="J1466" s="42" t="n">
        <f aca="false">IF($M1466="贷",$O1466,0)</f>
        <v>0</v>
      </c>
      <c r="K1466" s="48" t="str">
        <f aca="false">IF($H1466="","",购销流水!$E371)</f>
        <v/>
      </c>
      <c r="L1466" s="66" t="str">
        <f aca="false">IF(购销流水!$D371="","",IFERROR(INDEX(记账规则!$A$6:$N$9,MATCH(购销流水!$D371,记账规则!$A$6:$A$9,0),3),""))</f>
        <v/>
      </c>
      <c r="M1466" s="66" t="str">
        <f aca="false">IF($L1466="","",IFERROR(INDEX(记账规则!$A$6:$N$9,MATCH(购销流水!$D371,记账规则!$A$6:$A$9,0),4),""))</f>
        <v/>
      </c>
      <c r="N1466" s="66" t="str">
        <f aca="false">IF($L1466="","",IFERROR(INDEX(记账规则!$A$6:$N$9,MATCH(购销流水!$D371,记账规则!$A$6:$A$9,0),5),""))</f>
        <v/>
      </c>
      <c r="O1466" s="67" t="n">
        <f aca="false">IF($H1466="",0,ROUND(IF($N1466="成本金额",N(购销流水!$W371),IF($N1466="金额",N(购销流水!$Q371),0)),2))</f>
        <v>0</v>
      </c>
      <c r="P1466" s="64" t="str">
        <f aca="false">IF(AND($H1466&lt;&gt;"",ROUND($O1466,2)&lt;&gt;0),"有","")</f>
        <v/>
      </c>
    </row>
    <row r="1467" customFormat="false" ht="15" hidden="true" customHeight="false" outlineLevel="0" collapsed="false">
      <c r="A1467" s="53" t="str">
        <f aca="false">IF($H1467="","",ROW()-5)</f>
        <v/>
      </c>
      <c r="B1467" s="64" t="s">
        <v>36</v>
      </c>
      <c r="C1467" s="53" t="n">
        <v>371</v>
      </c>
      <c r="D1467" s="53" t="n">
        <v>2</v>
      </c>
      <c r="E1467" s="65" t="str">
        <f aca="false">IF($H1467="","",购销流水!$B371)</f>
        <v/>
      </c>
      <c r="F1467" s="55" t="str">
        <f aca="false">IF($H1467="","",购销流水!$C371)</f>
        <v/>
      </c>
      <c r="G1467" s="48" t="str">
        <f aca="false">IF($H1467="","",购销流水!$N371)</f>
        <v/>
      </c>
      <c r="H1467" s="10" t="str">
        <f aca="false">IF($L1467="","",IF($L1467="@成本",购销流水!$U371,IF($L1467="@收入",购销流水!$T371,IF($L1467="@存货",购销流水!$S371,IF($L1467="@结算",购销流水!$R371,$L1467)))))</f>
        <v/>
      </c>
      <c r="I1467" s="42" t="n">
        <f aca="false">IF($M1467="借",$O1467,0)</f>
        <v>0</v>
      </c>
      <c r="J1467" s="42" t="n">
        <f aca="false">IF($M1467="贷",$O1467,0)</f>
        <v>0</v>
      </c>
      <c r="K1467" s="48" t="str">
        <f aca="false">IF($H1467="","",购销流水!$E371)</f>
        <v/>
      </c>
      <c r="L1467" s="66" t="str">
        <f aca="false">IF(购销流水!$D371="","",IFERROR(INDEX(记账规则!$A$6:$N$9,MATCH(购销流水!$D371,记账规则!$A$6:$A$9,0),6),""))</f>
        <v/>
      </c>
      <c r="M1467" s="66" t="str">
        <f aca="false">IF($L1467="","",IFERROR(INDEX(记账规则!$A$6:$N$9,MATCH(购销流水!$D371,记账规则!$A$6:$A$9,0),7),""))</f>
        <v/>
      </c>
      <c r="N1467" s="66" t="str">
        <f aca="false">IF($L1467="","",IFERROR(INDEX(记账规则!$A$6:$N$9,MATCH(购销流水!$D371,记账规则!$A$6:$A$9,0),8),""))</f>
        <v/>
      </c>
      <c r="O1467" s="67" t="n">
        <f aca="false">IF($H1467="",0,ROUND(IF($N1467="成本金额",N(购销流水!$W371),IF($N1467="金额",N(购销流水!$Q371),0)),2))</f>
        <v>0</v>
      </c>
      <c r="P1467" s="64" t="str">
        <f aca="false">IF(AND($H1467&lt;&gt;"",ROUND($O1467,2)&lt;&gt;0),"有","")</f>
        <v/>
      </c>
    </row>
    <row r="1468" customFormat="false" ht="15" hidden="true" customHeight="false" outlineLevel="0" collapsed="false">
      <c r="A1468" s="53" t="str">
        <f aca="false">IF($H1468="","",ROW()-5)</f>
        <v/>
      </c>
      <c r="B1468" s="64" t="s">
        <v>36</v>
      </c>
      <c r="C1468" s="53" t="n">
        <v>371</v>
      </c>
      <c r="D1468" s="53" t="n">
        <v>3</v>
      </c>
      <c r="E1468" s="65" t="str">
        <f aca="false">IF($H1468="","",购销流水!$B371)</f>
        <v/>
      </c>
      <c r="F1468" s="55" t="str">
        <f aca="false">IF($H1468="","",购销流水!$C371)</f>
        <v/>
      </c>
      <c r="G1468" s="48" t="str">
        <f aca="false">IF($H1468="","",购销流水!$N371)</f>
        <v/>
      </c>
      <c r="H1468" s="10" t="str">
        <f aca="false">IF($L1468="","",IF($L1468="@成本",购销流水!$U371,IF($L1468="@收入",购销流水!$T371,IF($L1468="@存货",购销流水!$S371,IF($L1468="@结算",购销流水!$R371,$L1468)))))</f>
        <v/>
      </c>
      <c r="I1468" s="42" t="n">
        <f aca="false">IF($M1468="借",$O1468,0)</f>
        <v>0</v>
      </c>
      <c r="J1468" s="42" t="n">
        <f aca="false">IF($M1468="贷",$O1468,0)</f>
        <v>0</v>
      </c>
      <c r="K1468" s="48" t="str">
        <f aca="false">IF($H1468="","",购销流水!$E371)</f>
        <v/>
      </c>
      <c r="L1468" s="66" t="str">
        <f aca="false">IF(购销流水!$D371="","",IFERROR(INDEX(记账规则!$A$6:$N$9,MATCH(购销流水!$D371,记账规则!$A$6:$A$9,0),9),""))</f>
        <v/>
      </c>
      <c r="M1468" s="66" t="str">
        <f aca="false">IF($L1468="","",IFERROR(INDEX(记账规则!$A$6:$N$9,MATCH(购销流水!$D371,记账规则!$A$6:$A$9,0),10),""))</f>
        <v/>
      </c>
      <c r="N1468" s="66" t="str">
        <f aca="false">IF($L1468="","",IFERROR(INDEX(记账规则!$A$6:$N$9,MATCH(购销流水!$D371,记账规则!$A$6:$A$9,0),11),""))</f>
        <v/>
      </c>
      <c r="O1468" s="67" t="n">
        <f aca="false">IF($H1468="",0,ROUND(IF($N1468="成本金额",N(购销流水!$W371),IF($N1468="金额",N(购销流水!$Q371),0)),2))</f>
        <v>0</v>
      </c>
      <c r="P1468" s="64" t="str">
        <f aca="false">IF(AND($H1468&lt;&gt;"",ROUND($O1468,2)&lt;&gt;0),"有","")</f>
        <v/>
      </c>
    </row>
    <row r="1469" customFormat="false" ht="15" hidden="true" customHeight="false" outlineLevel="0" collapsed="false">
      <c r="A1469" s="53" t="str">
        <f aca="false">IF($H1469="","",ROW()-5)</f>
        <v/>
      </c>
      <c r="B1469" s="64" t="s">
        <v>36</v>
      </c>
      <c r="C1469" s="53" t="n">
        <v>371</v>
      </c>
      <c r="D1469" s="53" t="n">
        <v>4</v>
      </c>
      <c r="E1469" s="65" t="str">
        <f aca="false">IF($H1469="","",购销流水!$B371)</f>
        <v/>
      </c>
      <c r="F1469" s="55" t="str">
        <f aca="false">IF($H1469="","",购销流水!$C371)</f>
        <v/>
      </c>
      <c r="G1469" s="48" t="str">
        <f aca="false">IF($H1469="","",购销流水!$N371)</f>
        <v/>
      </c>
      <c r="H1469" s="10" t="str">
        <f aca="false">IF($L1469="","",IF($L1469="@成本",购销流水!$U371,IF($L1469="@收入",购销流水!$T371,IF($L1469="@存货",购销流水!$S371,IF($L1469="@结算",购销流水!$R371,$L1469)))))</f>
        <v/>
      </c>
      <c r="I1469" s="42" t="n">
        <f aca="false">IF($M1469="借",$O1469,0)</f>
        <v>0</v>
      </c>
      <c r="J1469" s="42" t="n">
        <f aca="false">IF($M1469="贷",$O1469,0)</f>
        <v>0</v>
      </c>
      <c r="K1469" s="48" t="str">
        <f aca="false">IF($H1469="","",购销流水!$E371)</f>
        <v/>
      </c>
      <c r="L1469" s="66" t="str">
        <f aca="false">IF(购销流水!$D371="","",IFERROR(INDEX(记账规则!$A$6:$N$9,MATCH(购销流水!$D371,记账规则!$A$6:$A$9,0),12),""))</f>
        <v/>
      </c>
      <c r="M1469" s="66" t="str">
        <f aca="false">IF($L1469="","",IFERROR(INDEX(记账规则!$A$6:$N$9,MATCH(购销流水!$D371,记账规则!$A$6:$A$9,0),13),""))</f>
        <v/>
      </c>
      <c r="N1469" s="66" t="str">
        <f aca="false">IF($L1469="","",IFERROR(INDEX(记账规则!$A$6:$N$9,MATCH(购销流水!$D371,记账规则!$A$6:$A$9,0),14),""))</f>
        <v/>
      </c>
      <c r="O1469" s="67" t="n">
        <f aca="false">IF($H1469="",0,ROUND(IF($N1469="成本金额",N(购销流水!$W371),IF($N1469="金额",N(购销流水!$Q371),0)),2))</f>
        <v>0</v>
      </c>
      <c r="P1469" s="64" t="str">
        <f aca="false">IF(AND($H1469&lt;&gt;"",ROUND($O1469,2)&lt;&gt;0),"有","")</f>
        <v/>
      </c>
    </row>
    <row r="1470" customFormat="false" ht="15" hidden="true" customHeight="false" outlineLevel="0" collapsed="false">
      <c r="A1470" s="53" t="str">
        <f aca="false">IF($H1470="","",ROW()-5)</f>
        <v/>
      </c>
      <c r="B1470" s="64" t="s">
        <v>36</v>
      </c>
      <c r="C1470" s="53" t="n">
        <v>372</v>
      </c>
      <c r="D1470" s="53" t="n">
        <v>1</v>
      </c>
      <c r="E1470" s="65" t="str">
        <f aca="false">IF($H1470="","",购销流水!$B372)</f>
        <v/>
      </c>
      <c r="F1470" s="55" t="str">
        <f aca="false">IF($H1470="","",购销流水!$C372)</f>
        <v/>
      </c>
      <c r="G1470" s="48" t="str">
        <f aca="false">IF($H1470="","",购销流水!$N372)</f>
        <v/>
      </c>
      <c r="H1470" s="10" t="str">
        <f aca="false">IF($L1470="","",IF($L1470="@成本",购销流水!$U372,IF($L1470="@收入",购销流水!$T372,IF($L1470="@存货",购销流水!$S372,IF($L1470="@结算",购销流水!$R372,$L1470)))))</f>
        <v/>
      </c>
      <c r="I1470" s="42" t="n">
        <f aca="false">IF($M1470="借",$O1470,0)</f>
        <v>0</v>
      </c>
      <c r="J1470" s="42" t="n">
        <f aca="false">IF($M1470="贷",$O1470,0)</f>
        <v>0</v>
      </c>
      <c r="K1470" s="48" t="str">
        <f aca="false">IF($H1470="","",购销流水!$E372)</f>
        <v/>
      </c>
      <c r="L1470" s="66" t="str">
        <f aca="false">IF(购销流水!$D372="","",IFERROR(INDEX(记账规则!$A$6:$N$9,MATCH(购销流水!$D372,记账规则!$A$6:$A$9,0),3),""))</f>
        <v/>
      </c>
      <c r="M1470" s="66" t="str">
        <f aca="false">IF($L1470="","",IFERROR(INDEX(记账规则!$A$6:$N$9,MATCH(购销流水!$D372,记账规则!$A$6:$A$9,0),4),""))</f>
        <v/>
      </c>
      <c r="N1470" s="66" t="str">
        <f aca="false">IF($L1470="","",IFERROR(INDEX(记账规则!$A$6:$N$9,MATCH(购销流水!$D372,记账规则!$A$6:$A$9,0),5),""))</f>
        <v/>
      </c>
      <c r="O1470" s="67" t="n">
        <f aca="false">IF($H1470="",0,ROUND(IF($N1470="成本金额",N(购销流水!$W372),IF($N1470="金额",N(购销流水!$Q372),0)),2))</f>
        <v>0</v>
      </c>
      <c r="P1470" s="64" t="str">
        <f aca="false">IF(AND($H1470&lt;&gt;"",ROUND($O1470,2)&lt;&gt;0),"有","")</f>
        <v/>
      </c>
    </row>
    <row r="1471" customFormat="false" ht="15" hidden="true" customHeight="false" outlineLevel="0" collapsed="false">
      <c r="A1471" s="53" t="str">
        <f aca="false">IF($H1471="","",ROW()-5)</f>
        <v/>
      </c>
      <c r="B1471" s="64" t="s">
        <v>36</v>
      </c>
      <c r="C1471" s="53" t="n">
        <v>372</v>
      </c>
      <c r="D1471" s="53" t="n">
        <v>2</v>
      </c>
      <c r="E1471" s="65" t="str">
        <f aca="false">IF($H1471="","",购销流水!$B372)</f>
        <v/>
      </c>
      <c r="F1471" s="55" t="str">
        <f aca="false">IF($H1471="","",购销流水!$C372)</f>
        <v/>
      </c>
      <c r="G1471" s="48" t="str">
        <f aca="false">IF($H1471="","",购销流水!$N372)</f>
        <v/>
      </c>
      <c r="H1471" s="10" t="str">
        <f aca="false">IF($L1471="","",IF($L1471="@成本",购销流水!$U372,IF($L1471="@收入",购销流水!$T372,IF($L1471="@存货",购销流水!$S372,IF($L1471="@结算",购销流水!$R372,$L1471)))))</f>
        <v/>
      </c>
      <c r="I1471" s="42" t="n">
        <f aca="false">IF($M1471="借",$O1471,0)</f>
        <v>0</v>
      </c>
      <c r="J1471" s="42" t="n">
        <f aca="false">IF($M1471="贷",$O1471,0)</f>
        <v>0</v>
      </c>
      <c r="K1471" s="48" t="str">
        <f aca="false">IF($H1471="","",购销流水!$E372)</f>
        <v/>
      </c>
      <c r="L1471" s="66" t="str">
        <f aca="false">IF(购销流水!$D372="","",IFERROR(INDEX(记账规则!$A$6:$N$9,MATCH(购销流水!$D372,记账规则!$A$6:$A$9,0),6),""))</f>
        <v/>
      </c>
      <c r="M1471" s="66" t="str">
        <f aca="false">IF($L1471="","",IFERROR(INDEX(记账规则!$A$6:$N$9,MATCH(购销流水!$D372,记账规则!$A$6:$A$9,0),7),""))</f>
        <v/>
      </c>
      <c r="N1471" s="66" t="str">
        <f aca="false">IF($L1471="","",IFERROR(INDEX(记账规则!$A$6:$N$9,MATCH(购销流水!$D372,记账规则!$A$6:$A$9,0),8),""))</f>
        <v/>
      </c>
      <c r="O1471" s="67" t="n">
        <f aca="false">IF($H1471="",0,ROUND(IF($N1471="成本金额",N(购销流水!$W372),IF($N1471="金额",N(购销流水!$Q372),0)),2))</f>
        <v>0</v>
      </c>
      <c r="P1471" s="64" t="str">
        <f aca="false">IF(AND($H1471&lt;&gt;"",ROUND($O1471,2)&lt;&gt;0),"有","")</f>
        <v/>
      </c>
    </row>
    <row r="1472" customFormat="false" ht="15" hidden="true" customHeight="false" outlineLevel="0" collapsed="false">
      <c r="A1472" s="53" t="str">
        <f aca="false">IF($H1472="","",ROW()-5)</f>
        <v/>
      </c>
      <c r="B1472" s="64" t="s">
        <v>36</v>
      </c>
      <c r="C1472" s="53" t="n">
        <v>372</v>
      </c>
      <c r="D1472" s="53" t="n">
        <v>3</v>
      </c>
      <c r="E1472" s="65" t="str">
        <f aca="false">IF($H1472="","",购销流水!$B372)</f>
        <v/>
      </c>
      <c r="F1472" s="55" t="str">
        <f aca="false">IF($H1472="","",购销流水!$C372)</f>
        <v/>
      </c>
      <c r="G1472" s="48" t="str">
        <f aca="false">IF($H1472="","",购销流水!$N372)</f>
        <v/>
      </c>
      <c r="H1472" s="10" t="str">
        <f aca="false">IF($L1472="","",IF($L1472="@成本",购销流水!$U372,IF($L1472="@收入",购销流水!$T372,IF($L1472="@存货",购销流水!$S372,IF($L1472="@结算",购销流水!$R372,$L1472)))))</f>
        <v/>
      </c>
      <c r="I1472" s="42" t="n">
        <f aca="false">IF($M1472="借",$O1472,0)</f>
        <v>0</v>
      </c>
      <c r="J1472" s="42" t="n">
        <f aca="false">IF($M1472="贷",$O1472,0)</f>
        <v>0</v>
      </c>
      <c r="K1472" s="48" t="str">
        <f aca="false">IF($H1472="","",购销流水!$E372)</f>
        <v/>
      </c>
      <c r="L1472" s="66" t="str">
        <f aca="false">IF(购销流水!$D372="","",IFERROR(INDEX(记账规则!$A$6:$N$9,MATCH(购销流水!$D372,记账规则!$A$6:$A$9,0),9),""))</f>
        <v/>
      </c>
      <c r="M1472" s="66" t="str">
        <f aca="false">IF($L1472="","",IFERROR(INDEX(记账规则!$A$6:$N$9,MATCH(购销流水!$D372,记账规则!$A$6:$A$9,0),10),""))</f>
        <v/>
      </c>
      <c r="N1472" s="66" t="str">
        <f aca="false">IF($L1472="","",IFERROR(INDEX(记账规则!$A$6:$N$9,MATCH(购销流水!$D372,记账规则!$A$6:$A$9,0),11),""))</f>
        <v/>
      </c>
      <c r="O1472" s="67" t="n">
        <f aca="false">IF($H1472="",0,ROUND(IF($N1472="成本金额",N(购销流水!$W372),IF($N1472="金额",N(购销流水!$Q372),0)),2))</f>
        <v>0</v>
      </c>
      <c r="P1472" s="64" t="str">
        <f aca="false">IF(AND($H1472&lt;&gt;"",ROUND($O1472,2)&lt;&gt;0),"有","")</f>
        <v/>
      </c>
    </row>
    <row r="1473" customFormat="false" ht="15" hidden="true" customHeight="false" outlineLevel="0" collapsed="false">
      <c r="A1473" s="53" t="str">
        <f aca="false">IF($H1473="","",ROW()-5)</f>
        <v/>
      </c>
      <c r="B1473" s="64" t="s">
        <v>36</v>
      </c>
      <c r="C1473" s="53" t="n">
        <v>372</v>
      </c>
      <c r="D1473" s="53" t="n">
        <v>4</v>
      </c>
      <c r="E1473" s="65" t="str">
        <f aca="false">IF($H1473="","",购销流水!$B372)</f>
        <v/>
      </c>
      <c r="F1473" s="55" t="str">
        <f aca="false">IF($H1473="","",购销流水!$C372)</f>
        <v/>
      </c>
      <c r="G1473" s="48" t="str">
        <f aca="false">IF($H1473="","",购销流水!$N372)</f>
        <v/>
      </c>
      <c r="H1473" s="10" t="str">
        <f aca="false">IF($L1473="","",IF($L1473="@成本",购销流水!$U372,IF($L1473="@收入",购销流水!$T372,IF($L1473="@存货",购销流水!$S372,IF($L1473="@结算",购销流水!$R372,$L1473)))))</f>
        <v/>
      </c>
      <c r="I1473" s="42" t="n">
        <f aca="false">IF($M1473="借",$O1473,0)</f>
        <v>0</v>
      </c>
      <c r="J1473" s="42" t="n">
        <f aca="false">IF($M1473="贷",$O1473,0)</f>
        <v>0</v>
      </c>
      <c r="K1473" s="48" t="str">
        <f aca="false">IF($H1473="","",购销流水!$E372)</f>
        <v/>
      </c>
      <c r="L1473" s="66" t="str">
        <f aca="false">IF(购销流水!$D372="","",IFERROR(INDEX(记账规则!$A$6:$N$9,MATCH(购销流水!$D372,记账规则!$A$6:$A$9,0),12),""))</f>
        <v/>
      </c>
      <c r="M1473" s="66" t="str">
        <f aca="false">IF($L1473="","",IFERROR(INDEX(记账规则!$A$6:$N$9,MATCH(购销流水!$D372,记账规则!$A$6:$A$9,0),13),""))</f>
        <v/>
      </c>
      <c r="N1473" s="66" t="str">
        <f aca="false">IF($L1473="","",IFERROR(INDEX(记账规则!$A$6:$N$9,MATCH(购销流水!$D372,记账规则!$A$6:$A$9,0),14),""))</f>
        <v/>
      </c>
      <c r="O1473" s="67" t="n">
        <f aca="false">IF($H1473="",0,ROUND(IF($N1473="成本金额",N(购销流水!$W372),IF($N1473="金额",N(购销流水!$Q372),0)),2))</f>
        <v>0</v>
      </c>
      <c r="P1473" s="64" t="str">
        <f aca="false">IF(AND($H1473&lt;&gt;"",ROUND($O1473,2)&lt;&gt;0),"有","")</f>
        <v/>
      </c>
    </row>
    <row r="1474" customFormat="false" ht="15" hidden="true" customHeight="false" outlineLevel="0" collapsed="false">
      <c r="A1474" s="53" t="str">
        <f aca="false">IF($H1474="","",ROW()-5)</f>
        <v/>
      </c>
      <c r="B1474" s="64" t="s">
        <v>36</v>
      </c>
      <c r="C1474" s="53" t="n">
        <v>373</v>
      </c>
      <c r="D1474" s="53" t="n">
        <v>1</v>
      </c>
      <c r="E1474" s="65" t="str">
        <f aca="false">IF($H1474="","",购销流水!$B373)</f>
        <v/>
      </c>
      <c r="F1474" s="55" t="str">
        <f aca="false">IF($H1474="","",购销流水!$C373)</f>
        <v/>
      </c>
      <c r="G1474" s="48" t="str">
        <f aca="false">IF($H1474="","",购销流水!$N373)</f>
        <v/>
      </c>
      <c r="H1474" s="10" t="str">
        <f aca="false">IF($L1474="","",IF($L1474="@成本",购销流水!$U373,IF($L1474="@收入",购销流水!$T373,IF($L1474="@存货",购销流水!$S373,IF($L1474="@结算",购销流水!$R373,$L1474)))))</f>
        <v/>
      </c>
      <c r="I1474" s="42" t="n">
        <f aca="false">IF($M1474="借",$O1474,0)</f>
        <v>0</v>
      </c>
      <c r="J1474" s="42" t="n">
        <f aca="false">IF($M1474="贷",$O1474,0)</f>
        <v>0</v>
      </c>
      <c r="K1474" s="48" t="str">
        <f aca="false">IF($H1474="","",购销流水!$E373)</f>
        <v/>
      </c>
      <c r="L1474" s="66" t="str">
        <f aca="false">IF(购销流水!$D373="","",IFERROR(INDEX(记账规则!$A$6:$N$9,MATCH(购销流水!$D373,记账规则!$A$6:$A$9,0),3),""))</f>
        <v/>
      </c>
      <c r="M1474" s="66" t="str">
        <f aca="false">IF($L1474="","",IFERROR(INDEX(记账规则!$A$6:$N$9,MATCH(购销流水!$D373,记账规则!$A$6:$A$9,0),4),""))</f>
        <v/>
      </c>
      <c r="N1474" s="66" t="str">
        <f aca="false">IF($L1474="","",IFERROR(INDEX(记账规则!$A$6:$N$9,MATCH(购销流水!$D373,记账规则!$A$6:$A$9,0),5),""))</f>
        <v/>
      </c>
      <c r="O1474" s="67" t="n">
        <f aca="false">IF($H1474="",0,ROUND(IF($N1474="成本金额",N(购销流水!$W373),IF($N1474="金额",N(购销流水!$Q373),0)),2))</f>
        <v>0</v>
      </c>
      <c r="P1474" s="64" t="str">
        <f aca="false">IF(AND($H1474&lt;&gt;"",ROUND($O1474,2)&lt;&gt;0),"有","")</f>
        <v/>
      </c>
    </row>
    <row r="1475" customFormat="false" ht="15" hidden="true" customHeight="false" outlineLevel="0" collapsed="false">
      <c r="A1475" s="53" t="str">
        <f aca="false">IF($H1475="","",ROW()-5)</f>
        <v/>
      </c>
      <c r="B1475" s="64" t="s">
        <v>36</v>
      </c>
      <c r="C1475" s="53" t="n">
        <v>373</v>
      </c>
      <c r="D1475" s="53" t="n">
        <v>2</v>
      </c>
      <c r="E1475" s="65" t="str">
        <f aca="false">IF($H1475="","",购销流水!$B373)</f>
        <v/>
      </c>
      <c r="F1475" s="55" t="str">
        <f aca="false">IF($H1475="","",购销流水!$C373)</f>
        <v/>
      </c>
      <c r="G1475" s="48" t="str">
        <f aca="false">IF($H1475="","",购销流水!$N373)</f>
        <v/>
      </c>
      <c r="H1475" s="10" t="str">
        <f aca="false">IF($L1475="","",IF($L1475="@成本",购销流水!$U373,IF($L1475="@收入",购销流水!$T373,IF($L1475="@存货",购销流水!$S373,IF($L1475="@结算",购销流水!$R373,$L1475)))))</f>
        <v/>
      </c>
      <c r="I1475" s="42" t="n">
        <f aca="false">IF($M1475="借",$O1475,0)</f>
        <v>0</v>
      </c>
      <c r="J1475" s="42" t="n">
        <f aca="false">IF($M1475="贷",$O1475,0)</f>
        <v>0</v>
      </c>
      <c r="K1475" s="48" t="str">
        <f aca="false">IF($H1475="","",购销流水!$E373)</f>
        <v/>
      </c>
      <c r="L1475" s="66" t="str">
        <f aca="false">IF(购销流水!$D373="","",IFERROR(INDEX(记账规则!$A$6:$N$9,MATCH(购销流水!$D373,记账规则!$A$6:$A$9,0),6),""))</f>
        <v/>
      </c>
      <c r="M1475" s="66" t="str">
        <f aca="false">IF($L1475="","",IFERROR(INDEX(记账规则!$A$6:$N$9,MATCH(购销流水!$D373,记账规则!$A$6:$A$9,0),7),""))</f>
        <v/>
      </c>
      <c r="N1475" s="66" t="str">
        <f aca="false">IF($L1475="","",IFERROR(INDEX(记账规则!$A$6:$N$9,MATCH(购销流水!$D373,记账规则!$A$6:$A$9,0),8),""))</f>
        <v/>
      </c>
      <c r="O1475" s="67" t="n">
        <f aca="false">IF($H1475="",0,ROUND(IF($N1475="成本金额",N(购销流水!$W373),IF($N1475="金额",N(购销流水!$Q373),0)),2))</f>
        <v>0</v>
      </c>
      <c r="P1475" s="64" t="str">
        <f aca="false">IF(AND($H1475&lt;&gt;"",ROUND($O1475,2)&lt;&gt;0),"有","")</f>
        <v/>
      </c>
    </row>
    <row r="1476" customFormat="false" ht="15" hidden="true" customHeight="false" outlineLevel="0" collapsed="false">
      <c r="A1476" s="53" t="str">
        <f aca="false">IF($H1476="","",ROW()-5)</f>
        <v/>
      </c>
      <c r="B1476" s="64" t="s">
        <v>36</v>
      </c>
      <c r="C1476" s="53" t="n">
        <v>373</v>
      </c>
      <c r="D1476" s="53" t="n">
        <v>3</v>
      </c>
      <c r="E1476" s="65" t="str">
        <f aca="false">IF($H1476="","",购销流水!$B373)</f>
        <v/>
      </c>
      <c r="F1476" s="55" t="str">
        <f aca="false">IF($H1476="","",购销流水!$C373)</f>
        <v/>
      </c>
      <c r="G1476" s="48" t="str">
        <f aca="false">IF($H1476="","",购销流水!$N373)</f>
        <v/>
      </c>
      <c r="H1476" s="10" t="str">
        <f aca="false">IF($L1476="","",IF($L1476="@成本",购销流水!$U373,IF($L1476="@收入",购销流水!$T373,IF($L1476="@存货",购销流水!$S373,IF($L1476="@结算",购销流水!$R373,$L1476)))))</f>
        <v/>
      </c>
      <c r="I1476" s="42" t="n">
        <f aca="false">IF($M1476="借",$O1476,0)</f>
        <v>0</v>
      </c>
      <c r="J1476" s="42" t="n">
        <f aca="false">IF($M1476="贷",$O1476,0)</f>
        <v>0</v>
      </c>
      <c r="K1476" s="48" t="str">
        <f aca="false">IF($H1476="","",购销流水!$E373)</f>
        <v/>
      </c>
      <c r="L1476" s="66" t="str">
        <f aca="false">IF(购销流水!$D373="","",IFERROR(INDEX(记账规则!$A$6:$N$9,MATCH(购销流水!$D373,记账规则!$A$6:$A$9,0),9),""))</f>
        <v/>
      </c>
      <c r="M1476" s="66" t="str">
        <f aca="false">IF($L1476="","",IFERROR(INDEX(记账规则!$A$6:$N$9,MATCH(购销流水!$D373,记账规则!$A$6:$A$9,0),10),""))</f>
        <v/>
      </c>
      <c r="N1476" s="66" t="str">
        <f aca="false">IF($L1476="","",IFERROR(INDEX(记账规则!$A$6:$N$9,MATCH(购销流水!$D373,记账规则!$A$6:$A$9,0),11),""))</f>
        <v/>
      </c>
      <c r="O1476" s="67" t="n">
        <f aca="false">IF($H1476="",0,ROUND(IF($N1476="成本金额",N(购销流水!$W373),IF($N1476="金额",N(购销流水!$Q373),0)),2))</f>
        <v>0</v>
      </c>
      <c r="P1476" s="64" t="str">
        <f aca="false">IF(AND($H1476&lt;&gt;"",ROUND($O1476,2)&lt;&gt;0),"有","")</f>
        <v/>
      </c>
    </row>
    <row r="1477" customFormat="false" ht="15" hidden="true" customHeight="false" outlineLevel="0" collapsed="false">
      <c r="A1477" s="53" t="str">
        <f aca="false">IF($H1477="","",ROW()-5)</f>
        <v/>
      </c>
      <c r="B1477" s="64" t="s">
        <v>36</v>
      </c>
      <c r="C1477" s="53" t="n">
        <v>373</v>
      </c>
      <c r="D1477" s="53" t="n">
        <v>4</v>
      </c>
      <c r="E1477" s="65" t="str">
        <f aca="false">IF($H1477="","",购销流水!$B373)</f>
        <v/>
      </c>
      <c r="F1477" s="55" t="str">
        <f aca="false">IF($H1477="","",购销流水!$C373)</f>
        <v/>
      </c>
      <c r="G1477" s="48" t="str">
        <f aca="false">IF($H1477="","",购销流水!$N373)</f>
        <v/>
      </c>
      <c r="H1477" s="10" t="str">
        <f aca="false">IF($L1477="","",IF($L1477="@成本",购销流水!$U373,IF($L1477="@收入",购销流水!$T373,IF($L1477="@存货",购销流水!$S373,IF($L1477="@结算",购销流水!$R373,$L1477)))))</f>
        <v/>
      </c>
      <c r="I1477" s="42" t="n">
        <f aca="false">IF($M1477="借",$O1477,0)</f>
        <v>0</v>
      </c>
      <c r="J1477" s="42" t="n">
        <f aca="false">IF($M1477="贷",$O1477,0)</f>
        <v>0</v>
      </c>
      <c r="K1477" s="48" t="str">
        <f aca="false">IF($H1477="","",购销流水!$E373)</f>
        <v/>
      </c>
      <c r="L1477" s="66" t="str">
        <f aca="false">IF(购销流水!$D373="","",IFERROR(INDEX(记账规则!$A$6:$N$9,MATCH(购销流水!$D373,记账规则!$A$6:$A$9,0),12),""))</f>
        <v/>
      </c>
      <c r="M1477" s="66" t="str">
        <f aca="false">IF($L1477="","",IFERROR(INDEX(记账规则!$A$6:$N$9,MATCH(购销流水!$D373,记账规则!$A$6:$A$9,0),13),""))</f>
        <v/>
      </c>
      <c r="N1477" s="66" t="str">
        <f aca="false">IF($L1477="","",IFERROR(INDEX(记账规则!$A$6:$N$9,MATCH(购销流水!$D373,记账规则!$A$6:$A$9,0),14),""))</f>
        <v/>
      </c>
      <c r="O1477" s="67" t="n">
        <f aca="false">IF($H1477="",0,ROUND(IF($N1477="成本金额",N(购销流水!$W373),IF($N1477="金额",N(购销流水!$Q373),0)),2))</f>
        <v>0</v>
      </c>
      <c r="P1477" s="64" t="str">
        <f aca="false">IF(AND($H1477&lt;&gt;"",ROUND($O1477,2)&lt;&gt;0),"有","")</f>
        <v/>
      </c>
    </row>
    <row r="1478" customFormat="false" ht="15" hidden="true" customHeight="false" outlineLevel="0" collapsed="false">
      <c r="A1478" s="53" t="str">
        <f aca="false">IF($H1478="","",ROW()-5)</f>
        <v/>
      </c>
      <c r="B1478" s="64" t="s">
        <v>36</v>
      </c>
      <c r="C1478" s="53" t="n">
        <v>374</v>
      </c>
      <c r="D1478" s="53" t="n">
        <v>1</v>
      </c>
      <c r="E1478" s="65" t="str">
        <f aca="false">IF($H1478="","",购销流水!$B374)</f>
        <v/>
      </c>
      <c r="F1478" s="55" t="str">
        <f aca="false">IF($H1478="","",购销流水!$C374)</f>
        <v/>
      </c>
      <c r="G1478" s="48" t="str">
        <f aca="false">IF($H1478="","",购销流水!$N374)</f>
        <v/>
      </c>
      <c r="H1478" s="10" t="str">
        <f aca="false">IF($L1478="","",IF($L1478="@成本",购销流水!$U374,IF($L1478="@收入",购销流水!$T374,IF($L1478="@存货",购销流水!$S374,IF($L1478="@结算",购销流水!$R374,$L1478)))))</f>
        <v/>
      </c>
      <c r="I1478" s="42" t="n">
        <f aca="false">IF($M1478="借",$O1478,0)</f>
        <v>0</v>
      </c>
      <c r="J1478" s="42" t="n">
        <f aca="false">IF($M1478="贷",$O1478,0)</f>
        <v>0</v>
      </c>
      <c r="K1478" s="48" t="str">
        <f aca="false">IF($H1478="","",购销流水!$E374)</f>
        <v/>
      </c>
      <c r="L1478" s="66" t="str">
        <f aca="false">IF(购销流水!$D374="","",IFERROR(INDEX(记账规则!$A$6:$N$9,MATCH(购销流水!$D374,记账规则!$A$6:$A$9,0),3),""))</f>
        <v/>
      </c>
      <c r="M1478" s="66" t="str">
        <f aca="false">IF($L1478="","",IFERROR(INDEX(记账规则!$A$6:$N$9,MATCH(购销流水!$D374,记账规则!$A$6:$A$9,0),4),""))</f>
        <v/>
      </c>
      <c r="N1478" s="66" t="str">
        <f aca="false">IF($L1478="","",IFERROR(INDEX(记账规则!$A$6:$N$9,MATCH(购销流水!$D374,记账规则!$A$6:$A$9,0),5),""))</f>
        <v/>
      </c>
      <c r="O1478" s="67" t="n">
        <f aca="false">IF($H1478="",0,ROUND(IF($N1478="成本金额",N(购销流水!$W374),IF($N1478="金额",N(购销流水!$Q374),0)),2))</f>
        <v>0</v>
      </c>
      <c r="P1478" s="64" t="str">
        <f aca="false">IF(AND($H1478&lt;&gt;"",ROUND($O1478,2)&lt;&gt;0),"有","")</f>
        <v/>
      </c>
    </row>
    <row r="1479" customFormat="false" ht="15" hidden="true" customHeight="false" outlineLevel="0" collapsed="false">
      <c r="A1479" s="53" t="str">
        <f aca="false">IF($H1479="","",ROW()-5)</f>
        <v/>
      </c>
      <c r="B1479" s="64" t="s">
        <v>36</v>
      </c>
      <c r="C1479" s="53" t="n">
        <v>374</v>
      </c>
      <c r="D1479" s="53" t="n">
        <v>2</v>
      </c>
      <c r="E1479" s="65" t="str">
        <f aca="false">IF($H1479="","",购销流水!$B374)</f>
        <v/>
      </c>
      <c r="F1479" s="55" t="str">
        <f aca="false">IF($H1479="","",购销流水!$C374)</f>
        <v/>
      </c>
      <c r="G1479" s="48" t="str">
        <f aca="false">IF($H1479="","",购销流水!$N374)</f>
        <v/>
      </c>
      <c r="H1479" s="10" t="str">
        <f aca="false">IF($L1479="","",IF($L1479="@成本",购销流水!$U374,IF($L1479="@收入",购销流水!$T374,IF($L1479="@存货",购销流水!$S374,IF($L1479="@结算",购销流水!$R374,$L1479)))))</f>
        <v/>
      </c>
      <c r="I1479" s="42" t="n">
        <f aca="false">IF($M1479="借",$O1479,0)</f>
        <v>0</v>
      </c>
      <c r="J1479" s="42" t="n">
        <f aca="false">IF($M1479="贷",$O1479,0)</f>
        <v>0</v>
      </c>
      <c r="K1479" s="48" t="str">
        <f aca="false">IF($H1479="","",购销流水!$E374)</f>
        <v/>
      </c>
      <c r="L1479" s="66" t="str">
        <f aca="false">IF(购销流水!$D374="","",IFERROR(INDEX(记账规则!$A$6:$N$9,MATCH(购销流水!$D374,记账规则!$A$6:$A$9,0),6),""))</f>
        <v/>
      </c>
      <c r="M1479" s="66" t="str">
        <f aca="false">IF($L1479="","",IFERROR(INDEX(记账规则!$A$6:$N$9,MATCH(购销流水!$D374,记账规则!$A$6:$A$9,0),7),""))</f>
        <v/>
      </c>
      <c r="N1479" s="66" t="str">
        <f aca="false">IF($L1479="","",IFERROR(INDEX(记账规则!$A$6:$N$9,MATCH(购销流水!$D374,记账规则!$A$6:$A$9,0),8),""))</f>
        <v/>
      </c>
      <c r="O1479" s="67" t="n">
        <f aca="false">IF($H1479="",0,ROUND(IF($N1479="成本金额",N(购销流水!$W374),IF($N1479="金额",N(购销流水!$Q374),0)),2))</f>
        <v>0</v>
      </c>
      <c r="P1479" s="64" t="str">
        <f aca="false">IF(AND($H1479&lt;&gt;"",ROUND($O1479,2)&lt;&gt;0),"有","")</f>
        <v/>
      </c>
    </row>
    <row r="1480" customFormat="false" ht="15" hidden="true" customHeight="false" outlineLevel="0" collapsed="false">
      <c r="A1480" s="53" t="str">
        <f aca="false">IF($H1480="","",ROW()-5)</f>
        <v/>
      </c>
      <c r="B1480" s="64" t="s">
        <v>36</v>
      </c>
      <c r="C1480" s="53" t="n">
        <v>374</v>
      </c>
      <c r="D1480" s="53" t="n">
        <v>3</v>
      </c>
      <c r="E1480" s="65" t="str">
        <f aca="false">IF($H1480="","",购销流水!$B374)</f>
        <v/>
      </c>
      <c r="F1480" s="55" t="str">
        <f aca="false">IF($H1480="","",购销流水!$C374)</f>
        <v/>
      </c>
      <c r="G1480" s="48" t="str">
        <f aca="false">IF($H1480="","",购销流水!$N374)</f>
        <v/>
      </c>
      <c r="H1480" s="10" t="str">
        <f aca="false">IF($L1480="","",IF($L1480="@成本",购销流水!$U374,IF($L1480="@收入",购销流水!$T374,IF($L1480="@存货",购销流水!$S374,IF($L1480="@结算",购销流水!$R374,$L1480)))))</f>
        <v/>
      </c>
      <c r="I1480" s="42" t="n">
        <f aca="false">IF($M1480="借",$O1480,0)</f>
        <v>0</v>
      </c>
      <c r="J1480" s="42" t="n">
        <f aca="false">IF($M1480="贷",$O1480,0)</f>
        <v>0</v>
      </c>
      <c r="K1480" s="48" t="str">
        <f aca="false">IF($H1480="","",购销流水!$E374)</f>
        <v/>
      </c>
      <c r="L1480" s="66" t="str">
        <f aca="false">IF(购销流水!$D374="","",IFERROR(INDEX(记账规则!$A$6:$N$9,MATCH(购销流水!$D374,记账规则!$A$6:$A$9,0),9),""))</f>
        <v/>
      </c>
      <c r="M1480" s="66" t="str">
        <f aca="false">IF($L1480="","",IFERROR(INDEX(记账规则!$A$6:$N$9,MATCH(购销流水!$D374,记账规则!$A$6:$A$9,0),10),""))</f>
        <v/>
      </c>
      <c r="N1480" s="66" t="str">
        <f aca="false">IF($L1480="","",IFERROR(INDEX(记账规则!$A$6:$N$9,MATCH(购销流水!$D374,记账规则!$A$6:$A$9,0),11),""))</f>
        <v/>
      </c>
      <c r="O1480" s="67" t="n">
        <f aca="false">IF($H1480="",0,ROUND(IF($N1480="成本金额",N(购销流水!$W374),IF($N1480="金额",N(购销流水!$Q374),0)),2))</f>
        <v>0</v>
      </c>
      <c r="P1480" s="64" t="str">
        <f aca="false">IF(AND($H1480&lt;&gt;"",ROUND($O1480,2)&lt;&gt;0),"有","")</f>
        <v/>
      </c>
    </row>
    <row r="1481" customFormat="false" ht="15" hidden="true" customHeight="false" outlineLevel="0" collapsed="false">
      <c r="A1481" s="53" t="str">
        <f aca="false">IF($H1481="","",ROW()-5)</f>
        <v/>
      </c>
      <c r="B1481" s="64" t="s">
        <v>36</v>
      </c>
      <c r="C1481" s="53" t="n">
        <v>374</v>
      </c>
      <c r="D1481" s="53" t="n">
        <v>4</v>
      </c>
      <c r="E1481" s="65" t="str">
        <f aca="false">IF($H1481="","",购销流水!$B374)</f>
        <v/>
      </c>
      <c r="F1481" s="55" t="str">
        <f aca="false">IF($H1481="","",购销流水!$C374)</f>
        <v/>
      </c>
      <c r="G1481" s="48" t="str">
        <f aca="false">IF($H1481="","",购销流水!$N374)</f>
        <v/>
      </c>
      <c r="H1481" s="10" t="str">
        <f aca="false">IF($L1481="","",IF($L1481="@成本",购销流水!$U374,IF($L1481="@收入",购销流水!$T374,IF($L1481="@存货",购销流水!$S374,IF($L1481="@结算",购销流水!$R374,$L1481)))))</f>
        <v/>
      </c>
      <c r="I1481" s="42" t="n">
        <f aca="false">IF($M1481="借",$O1481,0)</f>
        <v>0</v>
      </c>
      <c r="J1481" s="42" t="n">
        <f aca="false">IF($M1481="贷",$O1481,0)</f>
        <v>0</v>
      </c>
      <c r="K1481" s="48" t="str">
        <f aca="false">IF($H1481="","",购销流水!$E374)</f>
        <v/>
      </c>
      <c r="L1481" s="66" t="str">
        <f aca="false">IF(购销流水!$D374="","",IFERROR(INDEX(记账规则!$A$6:$N$9,MATCH(购销流水!$D374,记账规则!$A$6:$A$9,0),12),""))</f>
        <v/>
      </c>
      <c r="M1481" s="66" t="str">
        <f aca="false">IF($L1481="","",IFERROR(INDEX(记账规则!$A$6:$N$9,MATCH(购销流水!$D374,记账规则!$A$6:$A$9,0),13),""))</f>
        <v/>
      </c>
      <c r="N1481" s="66" t="str">
        <f aca="false">IF($L1481="","",IFERROR(INDEX(记账规则!$A$6:$N$9,MATCH(购销流水!$D374,记账规则!$A$6:$A$9,0),14),""))</f>
        <v/>
      </c>
      <c r="O1481" s="67" t="n">
        <f aca="false">IF($H1481="",0,ROUND(IF($N1481="成本金额",N(购销流水!$W374),IF($N1481="金额",N(购销流水!$Q374),0)),2))</f>
        <v>0</v>
      </c>
      <c r="P1481" s="64" t="str">
        <f aca="false">IF(AND($H1481&lt;&gt;"",ROUND($O1481,2)&lt;&gt;0),"有","")</f>
        <v/>
      </c>
    </row>
    <row r="1482" customFormat="false" ht="15" hidden="true" customHeight="false" outlineLevel="0" collapsed="false">
      <c r="A1482" s="53" t="str">
        <f aca="false">IF($H1482="","",ROW()-5)</f>
        <v/>
      </c>
      <c r="B1482" s="64" t="s">
        <v>36</v>
      </c>
      <c r="C1482" s="53" t="n">
        <v>375</v>
      </c>
      <c r="D1482" s="53" t="n">
        <v>1</v>
      </c>
      <c r="E1482" s="65" t="str">
        <f aca="false">IF($H1482="","",购销流水!$B375)</f>
        <v/>
      </c>
      <c r="F1482" s="55" t="str">
        <f aca="false">IF($H1482="","",购销流水!$C375)</f>
        <v/>
      </c>
      <c r="G1482" s="48" t="str">
        <f aca="false">IF($H1482="","",购销流水!$N375)</f>
        <v/>
      </c>
      <c r="H1482" s="10" t="str">
        <f aca="false">IF($L1482="","",IF($L1482="@成本",购销流水!$U375,IF($L1482="@收入",购销流水!$T375,IF($L1482="@存货",购销流水!$S375,IF($L1482="@结算",购销流水!$R375,$L1482)))))</f>
        <v/>
      </c>
      <c r="I1482" s="42" t="n">
        <f aca="false">IF($M1482="借",$O1482,0)</f>
        <v>0</v>
      </c>
      <c r="J1482" s="42" t="n">
        <f aca="false">IF($M1482="贷",$O1482,0)</f>
        <v>0</v>
      </c>
      <c r="K1482" s="48" t="str">
        <f aca="false">IF($H1482="","",购销流水!$E375)</f>
        <v/>
      </c>
      <c r="L1482" s="66" t="str">
        <f aca="false">IF(购销流水!$D375="","",IFERROR(INDEX(记账规则!$A$6:$N$9,MATCH(购销流水!$D375,记账规则!$A$6:$A$9,0),3),""))</f>
        <v/>
      </c>
      <c r="M1482" s="66" t="str">
        <f aca="false">IF($L1482="","",IFERROR(INDEX(记账规则!$A$6:$N$9,MATCH(购销流水!$D375,记账规则!$A$6:$A$9,0),4),""))</f>
        <v/>
      </c>
      <c r="N1482" s="66" t="str">
        <f aca="false">IF($L1482="","",IFERROR(INDEX(记账规则!$A$6:$N$9,MATCH(购销流水!$D375,记账规则!$A$6:$A$9,0),5),""))</f>
        <v/>
      </c>
      <c r="O1482" s="67" t="n">
        <f aca="false">IF($H1482="",0,ROUND(IF($N1482="成本金额",N(购销流水!$W375),IF($N1482="金额",N(购销流水!$Q375),0)),2))</f>
        <v>0</v>
      </c>
      <c r="P1482" s="64" t="str">
        <f aca="false">IF(AND($H1482&lt;&gt;"",ROUND($O1482,2)&lt;&gt;0),"有","")</f>
        <v/>
      </c>
    </row>
    <row r="1483" customFormat="false" ht="15" hidden="true" customHeight="false" outlineLevel="0" collapsed="false">
      <c r="A1483" s="53" t="str">
        <f aca="false">IF($H1483="","",ROW()-5)</f>
        <v/>
      </c>
      <c r="B1483" s="64" t="s">
        <v>36</v>
      </c>
      <c r="C1483" s="53" t="n">
        <v>375</v>
      </c>
      <c r="D1483" s="53" t="n">
        <v>2</v>
      </c>
      <c r="E1483" s="65" t="str">
        <f aca="false">IF($H1483="","",购销流水!$B375)</f>
        <v/>
      </c>
      <c r="F1483" s="55" t="str">
        <f aca="false">IF($H1483="","",购销流水!$C375)</f>
        <v/>
      </c>
      <c r="G1483" s="48" t="str">
        <f aca="false">IF($H1483="","",购销流水!$N375)</f>
        <v/>
      </c>
      <c r="H1483" s="10" t="str">
        <f aca="false">IF($L1483="","",IF($L1483="@成本",购销流水!$U375,IF($L1483="@收入",购销流水!$T375,IF($L1483="@存货",购销流水!$S375,IF($L1483="@结算",购销流水!$R375,$L1483)))))</f>
        <v/>
      </c>
      <c r="I1483" s="42" t="n">
        <f aca="false">IF($M1483="借",$O1483,0)</f>
        <v>0</v>
      </c>
      <c r="J1483" s="42" t="n">
        <f aca="false">IF($M1483="贷",$O1483,0)</f>
        <v>0</v>
      </c>
      <c r="K1483" s="48" t="str">
        <f aca="false">IF($H1483="","",购销流水!$E375)</f>
        <v/>
      </c>
      <c r="L1483" s="66" t="str">
        <f aca="false">IF(购销流水!$D375="","",IFERROR(INDEX(记账规则!$A$6:$N$9,MATCH(购销流水!$D375,记账规则!$A$6:$A$9,0),6),""))</f>
        <v/>
      </c>
      <c r="M1483" s="66" t="str">
        <f aca="false">IF($L1483="","",IFERROR(INDEX(记账规则!$A$6:$N$9,MATCH(购销流水!$D375,记账规则!$A$6:$A$9,0),7),""))</f>
        <v/>
      </c>
      <c r="N1483" s="66" t="str">
        <f aca="false">IF($L1483="","",IFERROR(INDEX(记账规则!$A$6:$N$9,MATCH(购销流水!$D375,记账规则!$A$6:$A$9,0),8),""))</f>
        <v/>
      </c>
      <c r="O1483" s="67" t="n">
        <f aca="false">IF($H1483="",0,ROUND(IF($N1483="成本金额",N(购销流水!$W375),IF($N1483="金额",N(购销流水!$Q375),0)),2))</f>
        <v>0</v>
      </c>
      <c r="P1483" s="64" t="str">
        <f aca="false">IF(AND($H1483&lt;&gt;"",ROUND($O1483,2)&lt;&gt;0),"有","")</f>
        <v/>
      </c>
    </row>
    <row r="1484" customFormat="false" ht="15" hidden="true" customHeight="false" outlineLevel="0" collapsed="false">
      <c r="A1484" s="53" t="str">
        <f aca="false">IF($H1484="","",ROW()-5)</f>
        <v/>
      </c>
      <c r="B1484" s="64" t="s">
        <v>36</v>
      </c>
      <c r="C1484" s="53" t="n">
        <v>375</v>
      </c>
      <c r="D1484" s="53" t="n">
        <v>3</v>
      </c>
      <c r="E1484" s="65" t="str">
        <f aca="false">IF($H1484="","",购销流水!$B375)</f>
        <v/>
      </c>
      <c r="F1484" s="55" t="str">
        <f aca="false">IF($H1484="","",购销流水!$C375)</f>
        <v/>
      </c>
      <c r="G1484" s="48" t="str">
        <f aca="false">IF($H1484="","",购销流水!$N375)</f>
        <v/>
      </c>
      <c r="H1484" s="10" t="str">
        <f aca="false">IF($L1484="","",IF($L1484="@成本",购销流水!$U375,IF($L1484="@收入",购销流水!$T375,IF($L1484="@存货",购销流水!$S375,IF($L1484="@结算",购销流水!$R375,$L1484)))))</f>
        <v/>
      </c>
      <c r="I1484" s="42" t="n">
        <f aca="false">IF($M1484="借",$O1484,0)</f>
        <v>0</v>
      </c>
      <c r="J1484" s="42" t="n">
        <f aca="false">IF($M1484="贷",$O1484,0)</f>
        <v>0</v>
      </c>
      <c r="K1484" s="48" t="str">
        <f aca="false">IF($H1484="","",购销流水!$E375)</f>
        <v/>
      </c>
      <c r="L1484" s="66" t="str">
        <f aca="false">IF(购销流水!$D375="","",IFERROR(INDEX(记账规则!$A$6:$N$9,MATCH(购销流水!$D375,记账规则!$A$6:$A$9,0),9),""))</f>
        <v/>
      </c>
      <c r="M1484" s="66" t="str">
        <f aca="false">IF($L1484="","",IFERROR(INDEX(记账规则!$A$6:$N$9,MATCH(购销流水!$D375,记账规则!$A$6:$A$9,0),10),""))</f>
        <v/>
      </c>
      <c r="N1484" s="66" t="str">
        <f aca="false">IF($L1484="","",IFERROR(INDEX(记账规则!$A$6:$N$9,MATCH(购销流水!$D375,记账规则!$A$6:$A$9,0),11),""))</f>
        <v/>
      </c>
      <c r="O1484" s="67" t="n">
        <f aca="false">IF($H1484="",0,ROUND(IF($N1484="成本金额",N(购销流水!$W375),IF($N1484="金额",N(购销流水!$Q375),0)),2))</f>
        <v>0</v>
      </c>
      <c r="P1484" s="64" t="str">
        <f aca="false">IF(AND($H1484&lt;&gt;"",ROUND($O1484,2)&lt;&gt;0),"有","")</f>
        <v/>
      </c>
    </row>
    <row r="1485" customFormat="false" ht="15" hidden="true" customHeight="false" outlineLevel="0" collapsed="false">
      <c r="A1485" s="53" t="str">
        <f aca="false">IF($H1485="","",ROW()-5)</f>
        <v/>
      </c>
      <c r="B1485" s="64" t="s">
        <v>36</v>
      </c>
      <c r="C1485" s="53" t="n">
        <v>375</v>
      </c>
      <c r="D1485" s="53" t="n">
        <v>4</v>
      </c>
      <c r="E1485" s="65" t="str">
        <f aca="false">IF($H1485="","",购销流水!$B375)</f>
        <v/>
      </c>
      <c r="F1485" s="55" t="str">
        <f aca="false">IF($H1485="","",购销流水!$C375)</f>
        <v/>
      </c>
      <c r="G1485" s="48" t="str">
        <f aca="false">IF($H1485="","",购销流水!$N375)</f>
        <v/>
      </c>
      <c r="H1485" s="10" t="str">
        <f aca="false">IF($L1485="","",IF($L1485="@成本",购销流水!$U375,IF($L1485="@收入",购销流水!$T375,IF($L1485="@存货",购销流水!$S375,IF($L1485="@结算",购销流水!$R375,$L1485)))))</f>
        <v/>
      </c>
      <c r="I1485" s="42" t="n">
        <f aca="false">IF($M1485="借",$O1485,0)</f>
        <v>0</v>
      </c>
      <c r="J1485" s="42" t="n">
        <f aca="false">IF($M1485="贷",$O1485,0)</f>
        <v>0</v>
      </c>
      <c r="K1485" s="48" t="str">
        <f aca="false">IF($H1485="","",购销流水!$E375)</f>
        <v/>
      </c>
      <c r="L1485" s="66" t="str">
        <f aca="false">IF(购销流水!$D375="","",IFERROR(INDEX(记账规则!$A$6:$N$9,MATCH(购销流水!$D375,记账规则!$A$6:$A$9,0),12),""))</f>
        <v/>
      </c>
      <c r="M1485" s="66" t="str">
        <f aca="false">IF($L1485="","",IFERROR(INDEX(记账规则!$A$6:$N$9,MATCH(购销流水!$D375,记账规则!$A$6:$A$9,0),13),""))</f>
        <v/>
      </c>
      <c r="N1485" s="66" t="str">
        <f aca="false">IF($L1485="","",IFERROR(INDEX(记账规则!$A$6:$N$9,MATCH(购销流水!$D375,记账规则!$A$6:$A$9,0),14),""))</f>
        <v/>
      </c>
      <c r="O1485" s="67" t="n">
        <f aca="false">IF($H1485="",0,ROUND(IF($N1485="成本金额",N(购销流水!$W375),IF($N1485="金额",N(购销流水!$Q375),0)),2))</f>
        <v>0</v>
      </c>
      <c r="P1485" s="64" t="str">
        <f aca="false">IF(AND($H1485&lt;&gt;"",ROUND($O1485,2)&lt;&gt;0),"有","")</f>
        <v/>
      </c>
    </row>
    <row r="1486" customFormat="false" ht="15" hidden="true" customHeight="false" outlineLevel="0" collapsed="false">
      <c r="A1486" s="53" t="str">
        <f aca="false">IF($H1486="","",ROW()-5)</f>
        <v/>
      </c>
      <c r="B1486" s="64" t="s">
        <v>36</v>
      </c>
      <c r="C1486" s="53" t="n">
        <v>376</v>
      </c>
      <c r="D1486" s="53" t="n">
        <v>1</v>
      </c>
      <c r="E1486" s="65" t="str">
        <f aca="false">IF($H1486="","",购销流水!$B376)</f>
        <v/>
      </c>
      <c r="F1486" s="55" t="str">
        <f aca="false">IF($H1486="","",购销流水!$C376)</f>
        <v/>
      </c>
      <c r="G1486" s="48" t="str">
        <f aca="false">IF($H1486="","",购销流水!$N376)</f>
        <v/>
      </c>
      <c r="H1486" s="10" t="str">
        <f aca="false">IF($L1486="","",IF($L1486="@成本",购销流水!$U376,IF($L1486="@收入",购销流水!$T376,IF($L1486="@存货",购销流水!$S376,IF($L1486="@结算",购销流水!$R376,$L1486)))))</f>
        <v/>
      </c>
      <c r="I1486" s="42" t="n">
        <f aca="false">IF($M1486="借",$O1486,0)</f>
        <v>0</v>
      </c>
      <c r="J1486" s="42" t="n">
        <f aca="false">IF($M1486="贷",$O1486,0)</f>
        <v>0</v>
      </c>
      <c r="K1486" s="48" t="str">
        <f aca="false">IF($H1486="","",购销流水!$E376)</f>
        <v/>
      </c>
      <c r="L1486" s="66" t="str">
        <f aca="false">IF(购销流水!$D376="","",IFERROR(INDEX(记账规则!$A$6:$N$9,MATCH(购销流水!$D376,记账规则!$A$6:$A$9,0),3),""))</f>
        <v/>
      </c>
      <c r="M1486" s="66" t="str">
        <f aca="false">IF($L1486="","",IFERROR(INDEX(记账规则!$A$6:$N$9,MATCH(购销流水!$D376,记账规则!$A$6:$A$9,0),4),""))</f>
        <v/>
      </c>
      <c r="N1486" s="66" t="str">
        <f aca="false">IF($L1486="","",IFERROR(INDEX(记账规则!$A$6:$N$9,MATCH(购销流水!$D376,记账规则!$A$6:$A$9,0),5),""))</f>
        <v/>
      </c>
      <c r="O1486" s="67" t="n">
        <f aca="false">IF($H1486="",0,ROUND(IF($N1486="成本金额",N(购销流水!$W376),IF($N1486="金额",N(购销流水!$Q376),0)),2))</f>
        <v>0</v>
      </c>
      <c r="P1486" s="64" t="str">
        <f aca="false">IF(AND($H1486&lt;&gt;"",ROUND($O1486,2)&lt;&gt;0),"有","")</f>
        <v/>
      </c>
    </row>
    <row r="1487" customFormat="false" ht="15" hidden="true" customHeight="false" outlineLevel="0" collapsed="false">
      <c r="A1487" s="53" t="str">
        <f aca="false">IF($H1487="","",ROW()-5)</f>
        <v/>
      </c>
      <c r="B1487" s="64" t="s">
        <v>36</v>
      </c>
      <c r="C1487" s="53" t="n">
        <v>376</v>
      </c>
      <c r="D1487" s="53" t="n">
        <v>2</v>
      </c>
      <c r="E1487" s="65" t="str">
        <f aca="false">IF($H1487="","",购销流水!$B376)</f>
        <v/>
      </c>
      <c r="F1487" s="55" t="str">
        <f aca="false">IF($H1487="","",购销流水!$C376)</f>
        <v/>
      </c>
      <c r="G1487" s="48" t="str">
        <f aca="false">IF($H1487="","",购销流水!$N376)</f>
        <v/>
      </c>
      <c r="H1487" s="10" t="str">
        <f aca="false">IF($L1487="","",IF($L1487="@成本",购销流水!$U376,IF($L1487="@收入",购销流水!$T376,IF($L1487="@存货",购销流水!$S376,IF($L1487="@结算",购销流水!$R376,$L1487)))))</f>
        <v/>
      </c>
      <c r="I1487" s="42" t="n">
        <f aca="false">IF($M1487="借",$O1487,0)</f>
        <v>0</v>
      </c>
      <c r="J1487" s="42" t="n">
        <f aca="false">IF($M1487="贷",$O1487,0)</f>
        <v>0</v>
      </c>
      <c r="K1487" s="48" t="str">
        <f aca="false">IF($H1487="","",购销流水!$E376)</f>
        <v/>
      </c>
      <c r="L1487" s="66" t="str">
        <f aca="false">IF(购销流水!$D376="","",IFERROR(INDEX(记账规则!$A$6:$N$9,MATCH(购销流水!$D376,记账规则!$A$6:$A$9,0),6),""))</f>
        <v/>
      </c>
      <c r="M1487" s="66" t="str">
        <f aca="false">IF($L1487="","",IFERROR(INDEX(记账规则!$A$6:$N$9,MATCH(购销流水!$D376,记账规则!$A$6:$A$9,0),7),""))</f>
        <v/>
      </c>
      <c r="N1487" s="66" t="str">
        <f aca="false">IF($L1487="","",IFERROR(INDEX(记账规则!$A$6:$N$9,MATCH(购销流水!$D376,记账规则!$A$6:$A$9,0),8),""))</f>
        <v/>
      </c>
      <c r="O1487" s="67" t="n">
        <f aca="false">IF($H1487="",0,ROUND(IF($N1487="成本金额",N(购销流水!$W376),IF($N1487="金额",N(购销流水!$Q376),0)),2))</f>
        <v>0</v>
      </c>
      <c r="P1487" s="64" t="str">
        <f aca="false">IF(AND($H1487&lt;&gt;"",ROUND($O1487,2)&lt;&gt;0),"有","")</f>
        <v/>
      </c>
    </row>
    <row r="1488" customFormat="false" ht="15" hidden="true" customHeight="false" outlineLevel="0" collapsed="false">
      <c r="A1488" s="53" t="str">
        <f aca="false">IF($H1488="","",ROW()-5)</f>
        <v/>
      </c>
      <c r="B1488" s="64" t="s">
        <v>36</v>
      </c>
      <c r="C1488" s="53" t="n">
        <v>376</v>
      </c>
      <c r="D1488" s="53" t="n">
        <v>3</v>
      </c>
      <c r="E1488" s="65" t="str">
        <f aca="false">IF($H1488="","",购销流水!$B376)</f>
        <v/>
      </c>
      <c r="F1488" s="55" t="str">
        <f aca="false">IF($H1488="","",购销流水!$C376)</f>
        <v/>
      </c>
      <c r="G1488" s="48" t="str">
        <f aca="false">IF($H1488="","",购销流水!$N376)</f>
        <v/>
      </c>
      <c r="H1488" s="10" t="str">
        <f aca="false">IF($L1488="","",IF($L1488="@成本",购销流水!$U376,IF($L1488="@收入",购销流水!$T376,IF($L1488="@存货",购销流水!$S376,IF($L1488="@结算",购销流水!$R376,$L1488)))))</f>
        <v/>
      </c>
      <c r="I1488" s="42" t="n">
        <f aca="false">IF($M1488="借",$O1488,0)</f>
        <v>0</v>
      </c>
      <c r="J1488" s="42" t="n">
        <f aca="false">IF($M1488="贷",$O1488,0)</f>
        <v>0</v>
      </c>
      <c r="K1488" s="48" t="str">
        <f aca="false">IF($H1488="","",购销流水!$E376)</f>
        <v/>
      </c>
      <c r="L1488" s="66" t="str">
        <f aca="false">IF(购销流水!$D376="","",IFERROR(INDEX(记账规则!$A$6:$N$9,MATCH(购销流水!$D376,记账规则!$A$6:$A$9,0),9),""))</f>
        <v/>
      </c>
      <c r="M1488" s="66" t="str">
        <f aca="false">IF($L1488="","",IFERROR(INDEX(记账规则!$A$6:$N$9,MATCH(购销流水!$D376,记账规则!$A$6:$A$9,0),10),""))</f>
        <v/>
      </c>
      <c r="N1488" s="66" t="str">
        <f aca="false">IF($L1488="","",IFERROR(INDEX(记账规则!$A$6:$N$9,MATCH(购销流水!$D376,记账规则!$A$6:$A$9,0),11),""))</f>
        <v/>
      </c>
      <c r="O1488" s="67" t="n">
        <f aca="false">IF($H1488="",0,ROUND(IF($N1488="成本金额",N(购销流水!$W376),IF($N1488="金额",N(购销流水!$Q376),0)),2))</f>
        <v>0</v>
      </c>
      <c r="P1488" s="64" t="str">
        <f aca="false">IF(AND($H1488&lt;&gt;"",ROUND($O1488,2)&lt;&gt;0),"有","")</f>
        <v/>
      </c>
    </row>
    <row r="1489" customFormat="false" ht="15" hidden="true" customHeight="false" outlineLevel="0" collapsed="false">
      <c r="A1489" s="53" t="str">
        <f aca="false">IF($H1489="","",ROW()-5)</f>
        <v/>
      </c>
      <c r="B1489" s="64" t="s">
        <v>36</v>
      </c>
      <c r="C1489" s="53" t="n">
        <v>376</v>
      </c>
      <c r="D1489" s="53" t="n">
        <v>4</v>
      </c>
      <c r="E1489" s="65" t="str">
        <f aca="false">IF($H1489="","",购销流水!$B376)</f>
        <v/>
      </c>
      <c r="F1489" s="55" t="str">
        <f aca="false">IF($H1489="","",购销流水!$C376)</f>
        <v/>
      </c>
      <c r="G1489" s="48" t="str">
        <f aca="false">IF($H1489="","",购销流水!$N376)</f>
        <v/>
      </c>
      <c r="H1489" s="10" t="str">
        <f aca="false">IF($L1489="","",IF($L1489="@成本",购销流水!$U376,IF($L1489="@收入",购销流水!$T376,IF($L1489="@存货",购销流水!$S376,IF($L1489="@结算",购销流水!$R376,$L1489)))))</f>
        <v/>
      </c>
      <c r="I1489" s="42" t="n">
        <f aca="false">IF($M1489="借",$O1489,0)</f>
        <v>0</v>
      </c>
      <c r="J1489" s="42" t="n">
        <f aca="false">IF($M1489="贷",$O1489,0)</f>
        <v>0</v>
      </c>
      <c r="K1489" s="48" t="str">
        <f aca="false">IF($H1489="","",购销流水!$E376)</f>
        <v/>
      </c>
      <c r="L1489" s="66" t="str">
        <f aca="false">IF(购销流水!$D376="","",IFERROR(INDEX(记账规则!$A$6:$N$9,MATCH(购销流水!$D376,记账规则!$A$6:$A$9,0),12),""))</f>
        <v/>
      </c>
      <c r="M1489" s="66" t="str">
        <f aca="false">IF($L1489="","",IFERROR(INDEX(记账规则!$A$6:$N$9,MATCH(购销流水!$D376,记账规则!$A$6:$A$9,0),13),""))</f>
        <v/>
      </c>
      <c r="N1489" s="66" t="str">
        <f aca="false">IF($L1489="","",IFERROR(INDEX(记账规则!$A$6:$N$9,MATCH(购销流水!$D376,记账规则!$A$6:$A$9,0),14),""))</f>
        <v/>
      </c>
      <c r="O1489" s="67" t="n">
        <f aca="false">IF($H1489="",0,ROUND(IF($N1489="成本金额",N(购销流水!$W376),IF($N1489="金额",N(购销流水!$Q376),0)),2))</f>
        <v>0</v>
      </c>
      <c r="P1489" s="64" t="str">
        <f aca="false">IF(AND($H1489&lt;&gt;"",ROUND($O1489,2)&lt;&gt;0),"有","")</f>
        <v/>
      </c>
    </row>
    <row r="1490" customFormat="false" ht="15" hidden="true" customHeight="false" outlineLevel="0" collapsed="false">
      <c r="A1490" s="53" t="str">
        <f aca="false">IF($H1490="","",ROW()-5)</f>
        <v/>
      </c>
      <c r="B1490" s="64" t="s">
        <v>36</v>
      </c>
      <c r="C1490" s="53" t="n">
        <v>377</v>
      </c>
      <c r="D1490" s="53" t="n">
        <v>1</v>
      </c>
      <c r="E1490" s="65" t="str">
        <f aca="false">IF($H1490="","",购销流水!$B377)</f>
        <v/>
      </c>
      <c r="F1490" s="55" t="str">
        <f aca="false">IF($H1490="","",购销流水!$C377)</f>
        <v/>
      </c>
      <c r="G1490" s="48" t="str">
        <f aca="false">IF($H1490="","",购销流水!$N377)</f>
        <v/>
      </c>
      <c r="H1490" s="10" t="str">
        <f aca="false">IF($L1490="","",IF($L1490="@成本",购销流水!$U377,IF($L1490="@收入",购销流水!$T377,IF($L1490="@存货",购销流水!$S377,IF($L1490="@结算",购销流水!$R377,$L1490)))))</f>
        <v/>
      </c>
      <c r="I1490" s="42" t="n">
        <f aca="false">IF($M1490="借",$O1490,0)</f>
        <v>0</v>
      </c>
      <c r="J1490" s="42" t="n">
        <f aca="false">IF($M1490="贷",$O1490,0)</f>
        <v>0</v>
      </c>
      <c r="K1490" s="48" t="str">
        <f aca="false">IF($H1490="","",购销流水!$E377)</f>
        <v/>
      </c>
      <c r="L1490" s="66" t="str">
        <f aca="false">IF(购销流水!$D377="","",IFERROR(INDEX(记账规则!$A$6:$N$9,MATCH(购销流水!$D377,记账规则!$A$6:$A$9,0),3),""))</f>
        <v/>
      </c>
      <c r="M1490" s="66" t="str">
        <f aca="false">IF($L1490="","",IFERROR(INDEX(记账规则!$A$6:$N$9,MATCH(购销流水!$D377,记账规则!$A$6:$A$9,0),4),""))</f>
        <v/>
      </c>
      <c r="N1490" s="66" t="str">
        <f aca="false">IF($L1490="","",IFERROR(INDEX(记账规则!$A$6:$N$9,MATCH(购销流水!$D377,记账规则!$A$6:$A$9,0),5),""))</f>
        <v/>
      </c>
      <c r="O1490" s="67" t="n">
        <f aca="false">IF($H1490="",0,ROUND(IF($N1490="成本金额",N(购销流水!$W377),IF($N1490="金额",N(购销流水!$Q377),0)),2))</f>
        <v>0</v>
      </c>
      <c r="P1490" s="64" t="str">
        <f aca="false">IF(AND($H1490&lt;&gt;"",ROUND($O1490,2)&lt;&gt;0),"有","")</f>
        <v/>
      </c>
    </row>
    <row r="1491" customFormat="false" ht="15" hidden="true" customHeight="false" outlineLevel="0" collapsed="false">
      <c r="A1491" s="53" t="str">
        <f aca="false">IF($H1491="","",ROW()-5)</f>
        <v/>
      </c>
      <c r="B1491" s="64" t="s">
        <v>36</v>
      </c>
      <c r="C1491" s="53" t="n">
        <v>377</v>
      </c>
      <c r="D1491" s="53" t="n">
        <v>2</v>
      </c>
      <c r="E1491" s="65" t="str">
        <f aca="false">IF($H1491="","",购销流水!$B377)</f>
        <v/>
      </c>
      <c r="F1491" s="55" t="str">
        <f aca="false">IF($H1491="","",购销流水!$C377)</f>
        <v/>
      </c>
      <c r="G1491" s="48" t="str">
        <f aca="false">IF($H1491="","",购销流水!$N377)</f>
        <v/>
      </c>
      <c r="H1491" s="10" t="str">
        <f aca="false">IF($L1491="","",IF($L1491="@成本",购销流水!$U377,IF($L1491="@收入",购销流水!$T377,IF($L1491="@存货",购销流水!$S377,IF($L1491="@结算",购销流水!$R377,$L1491)))))</f>
        <v/>
      </c>
      <c r="I1491" s="42" t="n">
        <f aca="false">IF($M1491="借",$O1491,0)</f>
        <v>0</v>
      </c>
      <c r="J1491" s="42" t="n">
        <f aca="false">IF($M1491="贷",$O1491,0)</f>
        <v>0</v>
      </c>
      <c r="K1491" s="48" t="str">
        <f aca="false">IF($H1491="","",购销流水!$E377)</f>
        <v/>
      </c>
      <c r="L1491" s="66" t="str">
        <f aca="false">IF(购销流水!$D377="","",IFERROR(INDEX(记账规则!$A$6:$N$9,MATCH(购销流水!$D377,记账规则!$A$6:$A$9,0),6),""))</f>
        <v/>
      </c>
      <c r="M1491" s="66" t="str">
        <f aca="false">IF($L1491="","",IFERROR(INDEX(记账规则!$A$6:$N$9,MATCH(购销流水!$D377,记账规则!$A$6:$A$9,0),7),""))</f>
        <v/>
      </c>
      <c r="N1491" s="66" t="str">
        <f aca="false">IF($L1491="","",IFERROR(INDEX(记账规则!$A$6:$N$9,MATCH(购销流水!$D377,记账规则!$A$6:$A$9,0),8),""))</f>
        <v/>
      </c>
      <c r="O1491" s="67" t="n">
        <f aca="false">IF($H1491="",0,ROUND(IF($N1491="成本金额",N(购销流水!$W377),IF($N1491="金额",N(购销流水!$Q377),0)),2))</f>
        <v>0</v>
      </c>
      <c r="P1491" s="64" t="str">
        <f aca="false">IF(AND($H1491&lt;&gt;"",ROUND($O1491,2)&lt;&gt;0),"有","")</f>
        <v/>
      </c>
    </row>
    <row r="1492" customFormat="false" ht="15" hidden="true" customHeight="false" outlineLevel="0" collapsed="false">
      <c r="A1492" s="53" t="str">
        <f aca="false">IF($H1492="","",ROW()-5)</f>
        <v/>
      </c>
      <c r="B1492" s="64" t="s">
        <v>36</v>
      </c>
      <c r="C1492" s="53" t="n">
        <v>377</v>
      </c>
      <c r="D1492" s="53" t="n">
        <v>3</v>
      </c>
      <c r="E1492" s="65" t="str">
        <f aca="false">IF($H1492="","",购销流水!$B377)</f>
        <v/>
      </c>
      <c r="F1492" s="55" t="str">
        <f aca="false">IF($H1492="","",购销流水!$C377)</f>
        <v/>
      </c>
      <c r="G1492" s="48" t="str">
        <f aca="false">IF($H1492="","",购销流水!$N377)</f>
        <v/>
      </c>
      <c r="H1492" s="10" t="str">
        <f aca="false">IF($L1492="","",IF($L1492="@成本",购销流水!$U377,IF($L1492="@收入",购销流水!$T377,IF($L1492="@存货",购销流水!$S377,IF($L1492="@结算",购销流水!$R377,$L1492)))))</f>
        <v/>
      </c>
      <c r="I1492" s="42" t="n">
        <f aca="false">IF($M1492="借",$O1492,0)</f>
        <v>0</v>
      </c>
      <c r="J1492" s="42" t="n">
        <f aca="false">IF($M1492="贷",$O1492,0)</f>
        <v>0</v>
      </c>
      <c r="K1492" s="48" t="str">
        <f aca="false">IF($H1492="","",购销流水!$E377)</f>
        <v/>
      </c>
      <c r="L1492" s="66" t="str">
        <f aca="false">IF(购销流水!$D377="","",IFERROR(INDEX(记账规则!$A$6:$N$9,MATCH(购销流水!$D377,记账规则!$A$6:$A$9,0),9),""))</f>
        <v/>
      </c>
      <c r="M1492" s="66" t="str">
        <f aca="false">IF($L1492="","",IFERROR(INDEX(记账规则!$A$6:$N$9,MATCH(购销流水!$D377,记账规则!$A$6:$A$9,0),10),""))</f>
        <v/>
      </c>
      <c r="N1492" s="66" t="str">
        <f aca="false">IF($L1492="","",IFERROR(INDEX(记账规则!$A$6:$N$9,MATCH(购销流水!$D377,记账规则!$A$6:$A$9,0),11),""))</f>
        <v/>
      </c>
      <c r="O1492" s="67" t="n">
        <f aca="false">IF($H1492="",0,ROUND(IF($N1492="成本金额",N(购销流水!$W377),IF($N1492="金额",N(购销流水!$Q377),0)),2))</f>
        <v>0</v>
      </c>
      <c r="P1492" s="64" t="str">
        <f aca="false">IF(AND($H1492&lt;&gt;"",ROUND($O1492,2)&lt;&gt;0),"有","")</f>
        <v/>
      </c>
    </row>
    <row r="1493" customFormat="false" ht="15" hidden="true" customHeight="false" outlineLevel="0" collapsed="false">
      <c r="A1493" s="53" t="str">
        <f aca="false">IF($H1493="","",ROW()-5)</f>
        <v/>
      </c>
      <c r="B1493" s="64" t="s">
        <v>36</v>
      </c>
      <c r="C1493" s="53" t="n">
        <v>377</v>
      </c>
      <c r="D1493" s="53" t="n">
        <v>4</v>
      </c>
      <c r="E1493" s="65" t="str">
        <f aca="false">IF($H1493="","",购销流水!$B377)</f>
        <v/>
      </c>
      <c r="F1493" s="55" t="str">
        <f aca="false">IF($H1493="","",购销流水!$C377)</f>
        <v/>
      </c>
      <c r="G1493" s="48" t="str">
        <f aca="false">IF($H1493="","",购销流水!$N377)</f>
        <v/>
      </c>
      <c r="H1493" s="10" t="str">
        <f aca="false">IF($L1493="","",IF($L1493="@成本",购销流水!$U377,IF($L1493="@收入",购销流水!$T377,IF($L1493="@存货",购销流水!$S377,IF($L1493="@结算",购销流水!$R377,$L1493)))))</f>
        <v/>
      </c>
      <c r="I1493" s="42" t="n">
        <f aca="false">IF($M1493="借",$O1493,0)</f>
        <v>0</v>
      </c>
      <c r="J1493" s="42" t="n">
        <f aca="false">IF($M1493="贷",$O1493,0)</f>
        <v>0</v>
      </c>
      <c r="K1493" s="48" t="str">
        <f aca="false">IF($H1493="","",购销流水!$E377)</f>
        <v/>
      </c>
      <c r="L1493" s="66" t="str">
        <f aca="false">IF(购销流水!$D377="","",IFERROR(INDEX(记账规则!$A$6:$N$9,MATCH(购销流水!$D377,记账规则!$A$6:$A$9,0),12),""))</f>
        <v/>
      </c>
      <c r="M1493" s="66" t="str">
        <f aca="false">IF($L1493="","",IFERROR(INDEX(记账规则!$A$6:$N$9,MATCH(购销流水!$D377,记账规则!$A$6:$A$9,0),13),""))</f>
        <v/>
      </c>
      <c r="N1493" s="66" t="str">
        <f aca="false">IF($L1493="","",IFERROR(INDEX(记账规则!$A$6:$N$9,MATCH(购销流水!$D377,记账规则!$A$6:$A$9,0),14),""))</f>
        <v/>
      </c>
      <c r="O1493" s="67" t="n">
        <f aca="false">IF($H1493="",0,ROUND(IF($N1493="成本金额",N(购销流水!$W377),IF($N1493="金额",N(购销流水!$Q377),0)),2))</f>
        <v>0</v>
      </c>
      <c r="P1493" s="64" t="str">
        <f aca="false">IF(AND($H1493&lt;&gt;"",ROUND($O1493,2)&lt;&gt;0),"有","")</f>
        <v/>
      </c>
    </row>
    <row r="1494" customFormat="false" ht="15" hidden="true" customHeight="false" outlineLevel="0" collapsed="false">
      <c r="A1494" s="53" t="str">
        <f aca="false">IF($H1494="","",ROW()-5)</f>
        <v/>
      </c>
      <c r="B1494" s="64" t="s">
        <v>36</v>
      </c>
      <c r="C1494" s="53" t="n">
        <v>378</v>
      </c>
      <c r="D1494" s="53" t="n">
        <v>1</v>
      </c>
      <c r="E1494" s="65" t="str">
        <f aca="false">IF($H1494="","",购销流水!$B378)</f>
        <v/>
      </c>
      <c r="F1494" s="55" t="str">
        <f aca="false">IF($H1494="","",购销流水!$C378)</f>
        <v/>
      </c>
      <c r="G1494" s="48" t="str">
        <f aca="false">IF($H1494="","",购销流水!$N378)</f>
        <v/>
      </c>
      <c r="H1494" s="10" t="str">
        <f aca="false">IF($L1494="","",IF($L1494="@成本",购销流水!$U378,IF($L1494="@收入",购销流水!$T378,IF($L1494="@存货",购销流水!$S378,IF($L1494="@结算",购销流水!$R378,$L1494)))))</f>
        <v/>
      </c>
      <c r="I1494" s="42" t="n">
        <f aca="false">IF($M1494="借",$O1494,0)</f>
        <v>0</v>
      </c>
      <c r="J1494" s="42" t="n">
        <f aca="false">IF($M1494="贷",$O1494,0)</f>
        <v>0</v>
      </c>
      <c r="K1494" s="48" t="str">
        <f aca="false">IF($H1494="","",购销流水!$E378)</f>
        <v/>
      </c>
      <c r="L1494" s="66" t="str">
        <f aca="false">IF(购销流水!$D378="","",IFERROR(INDEX(记账规则!$A$6:$N$9,MATCH(购销流水!$D378,记账规则!$A$6:$A$9,0),3),""))</f>
        <v/>
      </c>
      <c r="M1494" s="66" t="str">
        <f aca="false">IF($L1494="","",IFERROR(INDEX(记账规则!$A$6:$N$9,MATCH(购销流水!$D378,记账规则!$A$6:$A$9,0),4),""))</f>
        <v/>
      </c>
      <c r="N1494" s="66" t="str">
        <f aca="false">IF($L1494="","",IFERROR(INDEX(记账规则!$A$6:$N$9,MATCH(购销流水!$D378,记账规则!$A$6:$A$9,0),5),""))</f>
        <v/>
      </c>
      <c r="O1494" s="67" t="n">
        <f aca="false">IF($H1494="",0,ROUND(IF($N1494="成本金额",N(购销流水!$W378),IF($N1494="金额",N(购销流水!$Q378),0)),2))</f>
        <v>0</v>
      </c>
      <c r="P1494" s="64" t="str">
        <f aca="false">IF(AND($H1494&lt;&gt;"",ROUND($O1494,2)&lt;&gt;0),"有","")</f>
        <v/>
      </c>
    </row>
    <row r="1495" customFormat="false" ht="15" hidden="true" customHeight="false" outlineLevel="0" collapsed="false">
      <c r="A1495" s="53" t="str">
        <f aca="false">IF($H1495="","",ROW()-5)</f>
        <v/>
      </c>
      <c r="B1495" s="64" t="s">
        <v>36</v>
      </c>
      <c r="C1495" s="53" t="n">
        <v>378</v>
      </c>
      <c r="D1495" s="53" t="n">
        <v>2</v>
      </c>
      <c r="E1495" s="65" t="str">
        <f aca="false">IF($H1495="","",购销流水!$B378)</f>
        <v/>
      </c>
      <c r="F1495" s="55" t="str">
        <f aca="false">IF($H1495="","",购销流水!$C378)</f>
        <v/>
      </c>
      <c r="G1495" s="48" t="str">
        <f aca="false">IF($H1495="","",购销流水!$N378)</f>
        <v/>
      </c>
      <c r="H1495" s="10" t="str">
        <f aca="false">IF($L1495="","",IF($L1495="@成本",购销流水!$U378,IF($L1495="@收入",购销流水!$T378,IF($L1495="@存货",购销流水!$S378,IF($L1495="@结算",购销流水!$R378,$L1495)))))</f>
        <v/>
      </c>
      <c r="I1495" s="42" t="n">
        <f aca="false">IF($M1495="借",$O1495,0)</f>
        <v>0</v>
      </c>
      <c r="J1495" s="42" t="n">
        <f aca="false">IF($M1495="贷",$O1495,0)</f>
        <v>0</v>
      </c>
      <c r="K1495" s="48" t="str">
        <f aca="false">IF($H1495="","",购销流水!$E378)</f>
        <v/>
      </c>
      <c r="L1495" s="66" t="str">
        <f aca="false">IF(购销流水!$D378="","",IFERROR(INDEX(记账规则!$A$6:$N$9,MATCH(购销流水!$D378,记账规则!$A$6:$A$9,0),6),""))</f>
        <v/>
      </c>
      <c r="M1495" s="66" t="str">
        <f aca="false">IF($L1495="","",IFERROR(INDEX(记账规则!$A$6:$N$9,MATCH(购销流水!$D378,记账规则!$A$6:$A$9,0),7),""))</f>
        <v/>
      </c>
      <c r="N1495" s="66" t="str">
        <f aca="false">IF($L1495="","",IFERROR(INDEX(记账规则!$A$6:$N$9,MATCH(购销流水!$D378,记账规则!$A$6:$A$9,0),8),""))</f>
        <v/>
      </c>
      <c r="O1495" s="67" t="n">
        <f aca="false">IF($H1495="",0,ROUND(IF($N1495="成本金额",N(购销流水!$W378),IF($N1495="金额",N(购销流水!$Q378),0)),2))</f>
        <v>0</v>
      </c>
      <c r="P1495" s="64" t="str">
        <f aca="false">IF(AND($H1495&lt;&gt;"",ROUND($O1495,2)&lt;&gt;0),"有","")</f>
        <v/>
      </c>
    </row>
    <row r="1496" customFormat="false" ht="15" hidden="true" customHeight="false" outlineLevel="0" collapsed="false">
      <c r="A1496" s="53" t="str">
        <f aca="false">IF($H1496="","",ROW()-5)</f>
        <v/>
      </c>
      <c r="B1496" s="64" t="s">
        <v>36</v>
      </c>
      <c r="C1496" s="53" t="n">
        <v>378</v>
      </c>
      <c r="D1496" s="53" t="n">
        <v>3</v>
      </c>
      <c r="E1496" s="65" t="str">
        <f aca="false">IF($H1496="","",购销流水!$B378)</f>
        <v/>
      </c>
      <c r="F1496" s="55" t="str">
        <f aca="false">IF($H1496="","",购销流水!$C378)</f>
        <v/>
      </c>
      <c r="G1496" s="48" t="str">
        <f aca="false">IF($H1496="","",购销流水!$N378)</f>
        <v/>
      </c>
      <c r="H1496" s="10" t="str">
        <f aca="false">IF($L1496="","",IF($L1496="@成本",购销流水!$U378,IF($L1496="@收入",购销流水!$T378,IF($L1496="@存货",购销流水!$S378,IF($L1496="@结算",购销流水!$R378,$L1496)))))</f>
        <v/>
      </c>
      <c r="I1496" s="42" t="n">
        <f aca="false">IF($M1496="借",$O1496,0)</f>
        <v>0</v>
      </c>
      <c r="J1496" s="42" t="n">
        <f aca="false">IF($M1496="贷",$O1496,0)</f>
        <v>0</v>
      </c>
      <c r="K1496" s="48" t="str">
        <f aca="false">IF($H1496="","",购销流水!$E378)</f>
        <v/>
      </c>
      <c r="L1496" s="66" t="str">
        <f aca="false">IF(购销流水!$D378="","",IFERROR(INDEX(记账规则!$A$6:$N$9,MATCH(购销流水!$D378,记账规则!$A$6:$A$9,0),9),""))</f>
        <v/>
      </c>
      <c r="M1496" s="66" t="str">
        <f aca="false">IF($L1496="","",IFERROR(INDEX(记账规则!$A$6:$N$9,MATCH(购销流水!$D378,记账规则!$A$6:$A$9,0),10),""))</f>
        <v/>
      </c>
      <c r="N1496" s="66" t="str">
        <f aca="false">IF($L1496="","",IFERROR(INDEX(记账规则!$A$6:$N$9,MATCH(购销流水!$D378,记账规则!$A$6:$A$9,0),11),""))</f>
        <v/>
      </c>
      <c r="O1496" s="67" t="n">
        <f aca="false">IF($H1496="",0,ROUND(IF($N1496="成本金额",N(购销流水!$W378),IF($N1496="金额",N(购销流水!$Q378),0)),2))</f>
        <v>0</v>
      </c>
      <c r="P1496" s="64" t="str">
        <f aca="false">IF(AND($H1496&lt;&gt;"",ROUND($O1496,2)&lt;&gt;0),"有","")</f>
        <v/>
      </c>
    </row>
    <row r="1497" customFormat="false" ht="15" hidden="true" customHeight="false" outlineLevel="0" collapsed="false">
      <c r="A1497" s="53" t="str">
        <f aca="false">IF($H1497="","",ROW()-5)</f>
        <v/>
      </c>
      <c r="B1497" s="64" t="s">
        <v>36</v>
      </c>
      <c r="C1497" s="53" t="n">
        <v>378</v>
      </c>
      <c r="D1497" s="53" t="n">
        <v>4</v>
      </c>
      <c r="E1497" s="65" t="str">
        <f aca="false">IF($H1497="","",购销流水!$B378)</f>
        <v/>
      </c>
      <c r="F1497" s="55" t="str">
        <f aca="false">IF($H1497="","",购销流水!$C378)</f>
        <v/>
      </c>
      <c r="G1497" s="48" t="str">
        <f aca="false">IF($H1497="","",购销流水!$N378)</f>
        <v/>
      </c>
      <c r="H1497" s="10" t="str">
        <f aca="false">IF($L1497="","",IF($L1497="@成本",购销流水!$U378,IF($L1497="@收入",购销流水!$T378,IF($L1497="@存货",购销流水!$S378,IF($L1497="@结算",购销流水!$R378,$L1497)))))</f>
        <v/>
      </c>
      <c r="I1497" s="42" t="n">
        <f aca="false">IF($M1497="借",$O1497,0)</f>
        <v>0</v>
      </c>
      <c r="J1497" s="42" t="n">
        <f aca="false">IF($M1497="贷",$O1497,0)</f>
        <v>0</v>
      </c>
      <c r="K1497" s="48" t="str">
        <f aca="false">IF($H1497="","",购销流水!$E378)</f>
        <v/>
      </c>
      <c r="L1497" s="66" t="str">
        <f aca="false">IF(购销流水!$D378="","",IFERROR(INDEX(记账规则!$A$6:$N$9,MATCH(购销流水!$D378,记账规则!$A$6:$A$9,0),12),""))</f>
        <v/>
      </c>
      <c r="M1497" s="66" t="str">
        <f aca="false">IF($L1497="","",IFERROR(INDEX(记账规则!$A$6:$N$9,MATCH(购销流水!$D378,记账规则!$A$6:$A$9,0),13),""))</f>
        <v/>
      </c>
      <c r="N1497" s="66" t="str">
        <f aca="false">IF($L1497="","",IFERROR(INDEX(记账规则!$A$6:$N$9,MATCH(购销流水!$D378,记账规则!$A$6:$A$9,0),14),""))</f>
        <v/>
      </c>
      <c r="O1497" s="67" t="n">
        <f aca="false">IF($H1497="",0,ROUND(IF($N1497="成本金额",N(购销流水!$W378),IF($N1497="金额",N(购销流水!$Q378),0)),2))</f>
        <v>0</v>
      </c>
      <c r="P1497" s="64" t="str">
        <f aca="false">IF(AND($H1497&lt;&gt;"",ROUND($O1497,2)&lt;&gt;0),"有","")</f>
        <v/>
      </c>
    </row>
    <row r="1498" customFormat="false" ht="15" hidden="true" customHeight="false" outlineLevel="0" collapsed="false">
      <c r="A1498" s="53" t="str">
        <f aca="false">IF($H1498="","",ROW()-5)</f>
        <v/>
      </c>
      <c r="B1498" s="64" t="s">
        <v>36</v>
      </c>
      <c r="C1498" s="53" t="n">
        <v>379</v>
      </c>
      <c r="D1498" s="53" t="n">
        <v>1</v>
      </c>
      <c r="E1498" s="65" t="str">
        <f aca="false">IF($H1498="","",购销流水!$B379)</f>
        <v/>
      </c>
      <c r="F1498" s="55" t="str">
        <f aca="false">IF($H1498="","",购销流水!$C379)</f>
        <v/>
      </c>
      <c r="G1498" s="48" t="str">
        <f aca="false">IF($H1498="","",购销流水!$N379)</f>
        <v/>
      </c>
      <c r="H1498" s="10" t="str">
        <f aca="false">IF($L1498="","",IF($L1498="@成本",购销流水!$U379,IF($L1498="@收入",购销流水!$T379,IF($L1498="@存货",购销流水!$S379,IF($L1498="@结算",购销流水!$R379,$L1498)))))</f>
        <v/>
      </c>
      <c r="I1498" s="42" t="n">
        <f aca="false">IF($M1498="借",$O1498,0)</f>
        <v>0</v>
      </c>
      <c r="J1498" s="42" t="n">
        <f aca="false">IF($M1498="贷",$O1498,0)</f>
        <v>0</v>
      </c>
      <c r="K1498" s="48" t="str">
        <f aca="false">IF($H1498="","",购销流水!$E379)</f>
        <v/>
      </c>
      <c r="L1498" s="66" t="str">
        <f aca="false">IF(购销流水!$D379="","",IFERROR(INDEX(记账规则!$A$6:$N$9,MATCH(购销流水!$D379,记账规则!$A$6:$A$9,0),3),""))</f>
        <v/>
      </c>
      <c r="M1498" s="66" t="str">
        <f aca="false">IF($L1498="","",IFERROR(INDEX(记账规则!$A$6:$N$9,MATCH(购销流水!$D379,记账规则!$A$6:$A$9,0),4),""))</f>
        <v/>
      </c>
      <c r="N1498" s="66" t="str">
        <f aca="false">IF($L1498="","",IFERROR(INDEX(记账规则!$A$6:$N$9,MATCH(购销流水!$D379,记账规则!$A$6:$A$9,0),5),""))</f>
        <v/>
      </c>
      <c r="O1498" s="67" t="n">
        <f aca="false">IF($H1498="",0,ROUND(IF($N1498="成本金额",N(购销流水!$W379),IF($N1498="金额",N(购销流水!$Q379),0)),2))</f>
        <v>0</v>
      </c>
      <c r="P1498" s="64" t="str">
        <f aca="false">IF(AND($H1498&lt;&gt;"",ROUND($O1498,2)&lt;&gt;0),"有","")</f>
        <v/>
      </c>
    </row>
    <row r="1499" customFormat="false" ht="15" hidden="true" customHeight="false" outlineLevel="0" collapsed="false">
      <c r="A1499" s="53" t="str">
        <f aca="false">IF($H1499="","",ROW()-5)</f>
        <v/>
      </c>
      <c r="B1499" s="64" t="s">
        <v>36</v>
      </c>
      <c r="C1499" s="53" t="n">
        <v>379</v>
      </c>
      <c r="D1499" s="53" t="n">
        <v>2</v>
      </c>
      <c r="E1499" s="65" t="str">
        <f aca="false">IF($H1499="","",购销流水!$B379)</f>
        <v/>
      </c>
      <c r="F1499" s="55" t="str">
        <f aca="false">IF($H1499="","",购销流水!$C379)</f>
        <v/>
      </c>
      <c r="G1499" s="48" t="str">
        <f aca="false">IF($H1499="","",购销流水!$N379)</f>
        <v/>
      </c>
      <c r="H1499" s="10" t="str">
        <f aca="false">IF($L1499="","",IF($L1499="@成本",购销流水!$U379,IF($L1499="@收入",购销流水!$T379,IF($L1499="@存货",购销流水!$S379,IF($L1499="@结算",购销流水!$R379,$L1499)))))</f>
        <v/>
      </c>
      <c r="I1499" s="42" t="n">
        <f aca="false">IF($M1499="借",$O1499,0)</f>
        <v>0</v>
      </c>
      <c r="J1499" s="42" t="n">
        <f aca="false">IF($M1499="贷",$O1499,0)</f>
        <v>0</v>
      </c>
      <c r="K1499" s="48" t="str">
        <f aca="false">IF($H1499="","",购销流水!$E379)</f>
        <v/>
      </c>
      <c r="L1499" s="66" t="str">
        <f aca="false">IF(购销流水!$D379="","",IFERROR(INDEX(记账规则!$A$6:$N$9,MATCH(购销流水!$D379,记账规则!$A$6:$A$9,0),6),""))</f>
        <v/>
      </c>
      <c r="M1499" s="66" t="str">
        <f aca="false">IF($L1499="","",IFERROR(INDEX(记账规则!$A$6:$N$9,MATCH(购销流水!$D379,记账规则!$A$6:$A$9,0),7),""))</f>
        <v/>
      </c>
      <c r="N1499" s="66" t="str">
        <f aca="false">IF($L1499="","",IFERROR(INDEX(记账规则!$A$6:$N$9,MATCH(购销流水!$D379,记账规则!$A$6:$A$9,0),8),""))</f>
        <v/>
      </c>
      <c r="O1499" s="67" t="n">
        <f aca="false">IF($H1499="",0,ROUND(IF($N1499="成本金额",N(购销流水!$W379),IF($N1499="金额",N(购销流水!$Q379),0)),2))</f>
        <v>0</v>
      </c>
      <c r="P1499" s="64" t="str">
        <f aca="false">IF(AND($H1499&lt;&gt;"",ROUND($O1499,2)&lt;&gt;0),"有","")</f>
        <v/>
      </c>
    </row>
    <row r="1500" customFormat="false" ht="15" hidden="true" customHeight="false" outlineLevel="0" collapsed="false">
      <c r="A1500" s="53" t="str">
        <f aca="false">IF($H1500="","",ROW()-5)</f>
        <v/>
      </c>
      <c r="B1500" s="64" t="s">
        <v>36</v>
      </c>
      <c r="C1500" s="53" t="n">
        <v>379</v>
      </c>
      <c r="D1500" s="53" t="n">
        <v>3</v>
      </c>
      <c r="E1500" s="65" t="str">
        <f aca="false">IF($H1500="","",购销流水!$B379)</f>
        <v/>
      </c>
      <c r="F1500" s="55" t="str">
        <f aca="false">IF($H1500="","",购销流水!$C379)</f>
        <v/>
      </c>
      <c r="G1500" s="48" t="str">
        <f aca="false">IF($H1500="","",购销流水!$N379)</f>
        <v/>
      </c>
      <c r="H1500" s="10" t="str">
        <f aca="false">IF($L1500="","",IF($L1500="@成本",购销流水!$U379,IF($L1500="@收入",购销流水!$T379,IF($L1500="@存货",购销流水!$S379,IF($L1500="@结算",购销流水!$R379,$L1500)))))</f>
        <v/>
      </c>
      <c r="I1500" s="42" t="n">
        <f aca="false">IF($M1500="借",$O1500,0)</f>
        <v>0</v>
      </c>
      <c r="J1500" s="42" t="n">
        <f aca="false">IF($M1500="贷",$O1500,0)</f>
        <v>0</v>
      </c>
      <c r="K1500" s="48" t="str">
        <f aca="false">IF($H1500="","",购销流水!$E379)</f>
        <v/>
      </c>
      <c r="L1500" s="66" t="str">
        <f aca="false">IF(购销流水!$D379="","",IFERROR(INDEX(记账规则!$A$6:$N$9,MATCH(购销流水!$D379,记账规则!$A$6:$A$9,0),9),""))</f>
        <v/>
      </c>
      <c r="M1500" s="66" t="str">
        <f aca="false">IF($L1500="","",IFERROR(INDEX(记账规则!$A$6:$N$9,MATCH(购销流水!$D379,记账规则!$A$6:$A$9,0),10),""))</f>
        <v/>
      </c>
      <c r="N1500" s="66" t="str">
        <f aca="false">IF($L1500="","",IFERROR(INDEX(记账规则!$A$6:$N$9,MATCH(购销流水!$D379,记账规则!$A$6:$A$9,0),11),""))</f>
        <v/>
      </c>
      <c r="O1500" s="67" t="n">
        <f aca="false">IF($H1500="",0,ROUND(IF($N1500="成本金额",N(购销流水!$W379),IF($N1500="金额",N(购销流水!$Q379),0)),2))</f>
        <v>0</v>
      </c>
      <c r="P1500" s="64" t="str">
        <f aca="false">IF(AND($H1500&lt;&gt;"",ROUND($O1500,2)&lt;&gt;0),"有","")</f>
        <v/>
      </c>
    </row>
    <row r="1501" customFormat="false" ht="15" hidden="true" customHeight="false" outlineLevel="0" collapsed="false">
      <c r="A1501" s="53" t="str">
        <f aca="false">IF($H1501="","",ROW()-5)</f>
        <v/>
      </c>
      <c r="B1501" s="64" t="s">
        <v>36</v>
      </c>
      <c r="C1501" s="53" t="n">
        <v>379</v>
      </c>
      <c r="D1501" s="53" t="n">
        <v>4</v>
      </c>
      <c r="E1501" s="65" t="str">
        <f aca="false">IF($H1501="","",购销流水!$B379)</f>
        <v/>
      </c>
      <c r="F1501" s="55" t="str">
        <f aca="false">IF($H1501="","",购销流水!$C379)</f>
        <v/>
      </c>
      <c r="G1501" s="48" t="str">
        <f aca="false">IF($H1501="","",购销流水!$N379)</f>
        <v/>
      </c>
      <c r="H1501" s="10" t="str">
        <f aca="false">IF($L1501="","",IF($L1501="@成本",购销流水!$U379,IF($L1501="@收入",购销流水!$T379,IF($L1501="@存货",购销流水!$S379,IF($L1501="@结算",购销流水!$R379,$L1501)))))</f>
        <v/>
      </c>
      <c r="I1501" s="42" t="n">
        <f aca="false">IF($M1501="借",$O1501,0)</f>
        <v>0</v>
      </c>
      <c r="J1501" s="42" t="n">
        <f aca="false">IF($M1501="贷",$O1501,0)</f>
        <v>0</v>
      </c>
      <c r="K1501" s="48" t="str">
        <f aca="false">IF($H1501="","",购销流水!$E379)</f>
        <v/>
      </c>
      <c r="L1501" s="66" t="str">
        <f aca="false">IF(购销流水!$D379="","",IFERROR(INDEX(记账规则!$A$6:$N$9,MATCH(购销流水!$D379,记账规则!$A$6:$A$9,0),12),""))</f>
        <v/>
      </c>
      <c r="M1501" s="66" t="str">
        <f aca="false">IF($L1501="","",IFERROR(INDEX(记账规则!$A$6:$N$9,MATCH(购销流水!$D379,记账规则!$A$6:$A$9,0),13),""))</f>
        <v/>
      </c>
      <c r="N1501" s="66" t="str">
        <f aca="false">IF($L1501="","",IFERROR(INDEX(记账规则!$A$6:$N$9,MATCH(购销流水!$D379,记账规则!$A$6:$A$9,0),14),""))</f>
        <v/>
      </c>
      <c r="O1501" s="67" t="n">
        <f aca="false">IF($H1501="",0,ROUND(IF($N1501="成本金额",N(购销流水!$W379),IF($N1501="金额",N(购销流水!$Q379),0)),2))</f>
        <v>0</v>
      </c>
      <c r="P1501" s="64" t="str">
        <f aca="false">IF(AND($H1501&lt;&gt;"",ROUND($O1501,2)&lt;&gt;0),"有","")</f>
        <v/>
      </c>
    </row>
    <row r="1502" customFormat="false" ht="15" hidden="true" customHeight="false" outlineLevel="0" collapsed="false">
      <c r="A1502" s="53" t="str">
        <f aca="false">IF($H1502="","",ROW()-5)</f>
        <v/>
      </c>
      <c r="B1502" s="64" t="s">
        <v>36</v>
      </c>
      <c r="C1502" s="53" t="n">
        <v>380</v>
      </c>
      <c r="D1502" s="53" t="n">
        <v>1</v>
      </c>
      <c r="E1502" s="65" t="str">
        <f aca="false">IF($H1502="","",购销流水!$B380)</f>
        <v/>
      </c>
      <c r="F1502" s="55" t="str">
        <f aca="false">IF($H1502="","",购销流水!$C380)</f>
        <v/>
      </c>
      <c r="G1502" s="48" t="str">
        <f aca="false">IF($H1502="","",购销流水!$N380)</f>
        <v/>
      </c>
      <c r="H1502" s="10" t="str">
        <f aca="false">IF($L1502="","",IF($L1502="@成本",购销流水!$U380,IF($L1502="@收入",购销流水!$T380,IF($L1502="@存货",购销流水!$S380,IF($L1502="@结算",购销流水!$R380,$L1502)))))</f>
        <v/>
      </c>
      <c r="I1502" s="42" t="n">
        <f aca="false">IF($M1502="借",$O1502,0)</f>
        <v>0</v>
      </c>
      <c r="J1502" s="42" t="n">
        <f aca="false">IF($M1502="贷",$O1502,0)</f>
        <v>0</v>
      </c>
      <c r="K1502" s="48" t="str">
        <f aca="false">IF($H1502="","",购销流水!$E380)</f>
        <v/>
      </c>
      <c r="L1502" s="66" t="str">
        <f aca="false">IF(购销流水!$D380="","",IFERROR(INDEX(记账规则!$A$6:$N$9,MATCH(购销流水!$D380,记账规则!$A$6:$A$9,0),3),""))</f>
        <v/>
      </c>
      <c r="M1502" s="66" t="str">
        <f aca="false">IF($L1502="","",IFERROR(INDEX(记账规则!$A$6:$N$9,MATCH(购销流水!$D380,记账规则!$A$6:$A$9,0),4),""))</f>
        <v/>
      </c>
      <c r="N1502" s="66" t="str">
        <f aca="false">IF($L1502="","",IFERROR(INDEX(记账规则!$A$6:$N$9,MATCH(购销流水!$D380,记账规则!$A$6:$A$9,0),5),""))</f>
        <v/>
      </c>
      <c r="O1502" s="67" t="n">
        <f aca="false">IF($H1502="",0,ROUND(IF($N1502="成本金额",N(购销流水!$W380),IF($N1502="金额",N(购销流水!$Q380),0)),2))</f>
        <v>0</v>
      </c>
      <c r="P1502" s="64" t="str">
        <f aca="false">IF(AND($H1502&lt;&gt;"",ROUND($O1502,2)&lt;&gt;0),"有","")</f>
        <v/>
      </c>
    </row>
    <row r="1503" customFormat="false" ht="15" hidden="true" customHeight="false" outlineLevel="0" collapsed="false">
      <c r="A1503" s="53" t="str">
        <f aca="false">IF($H1503="","",ROW()-5)</f>
        <v/>
      </c>
      <c r="B1503" s="64" t="s">
        <v>36</v>
      </c>
      <c r="C1503" s="53" t="n">
        <v>380</v>
      </c>
      <c r="D1503" s="53" t="n">
        <v>2</v>
      </c>
      <c r="E1503" s="65" t="str">
        <f aca="false">IF($H1503="","",购销流水!$B380)</f>
        <v/>
      </c>
      <c r="F1503" s="55" t="str">
        <f aca="false">IF($H1503="","",购销流水!$C380)</f>
        <v/>
      </c>
      <c r="G1503" s="48" t="str">
        <f aca="false">IF($H1503="","",购销流水!$N380)</f>
        <v/>
      </c>
      <c r="H1503" s="10" t="str">
        <f aca="false">IF($L1503="","",IF($L1503="@成本",购销流水!$U380,IF($L1503="@收入",购销流水!$T380,IF($L1503="@存货",购销流水!$S380,IF($L1503="@结算",购销流水!$R380,$L1503)))))</f>
        <v/>
      </c>
      <c r="I1503" s="42" t="n">
        <f aca="false">IF($M1503="借",$O1503,0)</f>
        <v>0</v>
      </c>
      <c r="J1503" s="42" t="n">
        <f aca="false">IF($M1503="贷",$O1503,0)</f>
        <v>0</v>
      </c>
      <c r="K1503" s="48" t="str">
        <f aca="false">IF($H1503="","",购销流水!$E380)</f>
        <v/>
      </c>
      <c r="L1503" s="66" t="str">
        <f aca="false">IF(购销流水!$D380="","",IFERROR(INDEX(记账规则!$A$6:$N$9,MATCH(购销流水!$D380,记账规则!$A$6:$A$9,0),6),""))</f>
        <v/>
      </c>
      <c r="M1503" s="66" t="str">
        <f aca="false">IF($L1503="","",IFERROR(INDEX(记账规则!$A$6:$N$9,MATCH(购销流水!$D380,记账规则!$A$6:$A$9,0),7),""))</f>
        <v/>
      </c>
      <c r="N1503" s="66" t="str">
        <f aca="false">IF($L1503="","",IFERROR(INDEX(记账规则!$A$6:$N$9,MATCH(购销流水!$D380,记账规则!$A$6:$A$9,0),8),""))</f>
        <v/>
      </c>
      <c r="O1503" s="67" t="n">
        <f aca="false">IF($H1503="",0,ROUND(IF($N1503="成本金额",N(购销流水!$W380),IF($N1503="金额",N(购销流水!$Q380),0)),2))</f>
        <v>0</v>
      </c>
      <c r="P1503" s="64" t="str">
        <f aca="false">IF(AND($H1503&lt;&gt;"",ROUND($O1503,2)&lt;&gt;0),"有","")</f>
        <v/>
      </c>
    </row>
    <row r="1504" customFormat="false" ht="15" hidden="true" customHeight="false" outlineLevel="0" collapsed="false">
      <c r="A1504" s="53" t="str">
        <f aca="false">IF($H1504="","",ROW()-5)</f>
        <v/>
      </c>
      <c r="B1504" s="64" t="s">
        <v>36</v>
      </c>
      <c r="C1504" s="53" t="n">
        <v>380</v>
      </c>
      <c r="D1504" s="53" t="n">
        <v>3</v>
      </c>
      <c r="E1504" s="65" t="str">
        <f aca="false">IF($H1504="","",购销流水!$B380)</f>
        <v/>
      </c>
      <c r="F1504" s="55" t="str">
        <f aca="false">IF($H1504="","",购销流水!$C380)</f>
        <v/>
      </c>
      <c r="G1504" s="48" t="str">
        <f aca="false">IF($H1504="","",购销流水!$N380)</f>
        <v/>
      </c>
      <c r="H1504" s="10" t="str">
        <f aca="false">IF($L1504="","",IF($L1504="@成本",购销流水!$U380,IF($L1504="@收入",购销流水!$T380,IF($L1504="@存货",购销流水!$S380,IF($L1504="@结算",购销流水!$R380,$L1504)))))</f>
        <v/>
      </c>
      <c r="I1504" s="42" t="n">
        <f aca="false">IF($M1504="借",$O1504,0)</f>
        <v>0</v>
      </c>
      <c r="J1504" s="42" t="n">
        <f aca="false">IF($M1504="贷",$O1504,0)</f>
        <v>0</v>
      </c>
      <c r="K1504" s="48" t="str">
        <f aca="false">IF($H1504="","",购销流水!$E380)</f>
        <v/>
      </c>
      <c r="L1504" s="66" t="str">
        <f aca="false">IF(购销流水!$D380="","",IFERROR(INDEX(记账规则!$A$6:$N$9,MATCH(购销流水!$D380,记账规则!$A$6:$A$9,0),9),""))</f>
        <v/>
      </c>
      <c r="M1504" s="66" t="str">
        <f aca="false">IF($L1504="","",IFERROR(INDEX(记账规则!$A$6:$N$9,MATCH(购销流水!$D380,记账规则!$A$6:$A$9,0),10),""))</f>
        <v/>
      </c>
      <c r="N1504" s="66" t="str">
        <f aca="false">IF($L1504="","",IFERROR(INDEX(记账规则!$A$6:$N$9,MATCH(购销流水!$D380,记账规则!$A$6:$A$9,0),11),""))</f>
        <v/>
      </c>
      <c r="O1504" s="67" t="n">
        <f aca="false">IF($H1504="",0,ROUND(IF($N1504="成本金额",N(购销流水!$W380),IF($N1504="金额",N(购销流水!$Q380),0)),2))</f>
        <v>0</v>
      </c>
      <c r="P1504" s="64" t="str">
        <f aca="false">IF(AND($H1504&lt;&gt;"",ROUND($O1504,2)&lt;&gt;0),"有","")</f>
        <v/>
      </c>
    </row>
    <row r="1505" customFormat="false" ht="15" hidden="true" customHeight="false" outlineLevel="0" collapsed="false">
      <c r="A1505" s="53" t="str">
        <f aca="false">IF($H1505="","",ROW()-5)</f>
        <v/>
      </c>
      <c r="B1505" s="64" t="s">
        <v>36</v>
      </c>
      <c r="C1505" s="53" t="n">
        <v>380</v>
      </c>
      <c r="D1505" s="53" t="n">
        <v>4</v>
      </c>
      <c r="E1505" s="65" t="str">
        <f aca="false">IF($H1505="","",购销流水!$B380)</f>
        <v/>
      </c>
      <c r="F1505" s="55" t="str">
        <f aca="false">IF($H1505="","",购销流水!$C380)</f>
        <v/>
      </c>
      <c r="G1505" s="48" t="str">
        <f aca="false">IF($H1505="","",购销流水!$N380)</f>
        <v/>
      </c>
      <c r="H1505" s="10" t="str">
        <f aca="false">IF($L1505="","",IF($L1505="@成本",购销流水!$U380,IF($L1505="@收入",购销流水!$T380,IF($L1505="@存货",购销流水!$S380,IF($L1505="@结算",购销流水!$R380,$L1505)))))</f>
        <v/>
      </c>
      <c r="I1505" s="42" t="n">
        <f aca="false">IF($M1505="借",$O1505,0)</f>
        <v>0</v>
      </c>
      <c r="J1505" s="42" t="n">
        <f aca="false">IF($M1505="贷",$O1505,0)</f>
        <v>0</v>
      </c>
      <c r="K1505" s="48" t="str">
        <f aca="false">IF($H1505="","",购销流水!$E380)</f>
        <v/>
      </c>
      <c r="L1505" s="66" t="str">
        <f aca="false">IF(购销流水!$D380="","",IFERROR(INDEX(记账规则!$A$6:$N$9,MATCH(购销流水!$D380,记账规则!$A$6:$A$9,0),12),""))</f>
        <v/>
      </c>
      <c r="M1505" s="66" t="str">
        <f aca="false">IF($L1505="","",IFERROR(INDEX(记账规则!$A$6:$N$9,MATCH(购销流水!$D380,记账规则!$A$6:$A$9,0),13),""))</f>
        <v/>
      </c>
      <c r="N1505" s="66" t="str">
        <f aca="false">IF($L1505="","",IFERROR(INDEX(记账规则!$A$6:$N$9,MATCH(购销流水!$D380,记账规则!$A$6:$A$9,0),14),""))</f>
        <v/>
      </c>
      <c r="O1505" s="67" t="n">
        <f aca="false">IF($H1505="",0,ROUND(IF($N1505="成本金额",N(购销流水!$W380),IF($N1505="金额",N(购销流水!$Q380),0)),2))</f>
        <v>0</v>
      </c>
      <c r="P1505" s="64" t="str">
        <f aca="false">IF(AND($H1505&lt;&gt;"",ROUND($O1505,2)&lt;&gt;0),"有","")</f>
        <v/>
      </c>
    </row>
    <row r="1506" customFormat="false" ht="15" hidden="true" customHeight="false" outlineLevel="0" collapsed="false">
      <c r="A1506" s="53" t="str">
        <f aca="false">IF($H1506="","",ROW()-5)</f>
        <v/>
      </c>
      <c r="B1506" s="64" t="s">
        <v>36</v>
      </c>
      <c r="C1506" s="53" t="n">
        <v>381</v>
      </c>
      <c r="D1506" s="53" t="n">
        <v>1</v>
      </c>
      <c r="E1506" s="65" t="str">
        <f aca="false">IF($H1506="","",购销流水!$B381)</f>
        <v/>
      </c>
      <c r="F1506" s="55" t="str">
        <f aca="false">IF($H1506="","",购销流水!$C381)</f>
        <v/>
      </c>
      <c r="G1506" s="48" t="str">
        <f aca="false">IF($H1506="","",购销流水!$N381)</f>
        <v/>
      </c>
      <c r="H1506" s="10" t="str">
        <f aca="false">IF($L1506="","",IF($L1506="@成本",购销流水!$U381,IF($L1506="@收入",购销流水!$T381,IF($L1506="@存货",购销流水!$S381,IF($L1506="@结算",购销流水!$R381,$L1506)))))</f>
        <v/>
      </c>
      <c r="I1506" s="42" t="n">
        <f aca="false">IF($M1506="借",$O1506,0)</f>
        <v>0</v>
      </c>
      <c r="J1506" s="42" t="n">
        <f aca="false">IF($M1506="贷",$O1506,0)</f>
        <v>0</v>
      </c>
      <c r="K1506" s="48" t="str">
        <f aca="false">IF($H1506="","",购销流水!$E381)</f>
        <v/>
      </c>
      <c r="L1506" s="66" t="str">
        <f aca="false">IF(购销流水!$D381="","",IFERROR(INDEX(记账规则!$A$6:$N$9,MATCH(购销流水!$D381,记账规则!$A$6:$A$9,0),3),""))</f>
        <v/>
      </c>
      <c r="M1506" s="66" t="str">
        <f aca="false">IF($L1506="","",IFERROR(INDEX(记账规则!$A$6:$N$9,MATCH(购销流水!$D381,记账规则!$A$6:$A$9,0),4),""))</f>
        <v/>
      </c>
      <c r="N1506" s="66" t="str">
        <f aca="false">IF($L1506="","",IFERROR(INDEX(记账规则!$A$6:$N$9,MATCH(购销流水!$D381,记账规则!$A$6:$A$9,0),5),""))</f>
        <v/>
      </c>
      <c r="O1506" s="67" t="n">
        <f aca="false">IF($H1506="",0,ROUND(IF($N1506="成本金额",N(购销流水!$W381),IF($N1506="金额",N(购销流水!$Q381),0)),2))</f>
        <v>0</v>
      </c>
      <c r="P1506" s="64" t="str">
        <f aca="false">IF(AND($H1506&lt;&gt;"",ROUND($O1506,2)&lt;&gt;0),"有","")</f>
        <v/>
      </c>
    </row>
    <row r="1507" customFormat="false" ht="15" hidden="true" customHeight="false" outlineLevel="0" collapsed="false">
      <c r="A1507" s="53" t="str">
        <f aca="false">IF($H1507="","",ROW()-5)</f>
        <v/>
      </c>
      <c r="B1507" s="64" t="s">
        <v>36</v>
      </c>
      <c r="C1507" s="53" t="n">
        <v>381</v>
      </c>
      <c r="D1507" s="53" t="n">
        <v>2</v>
      </c>
      <c r="E1507" s="65" t="str">
        <f aca="false">IF($H1507="","",购销流水!$B381)</f>
        <v/>
      </c>
      <c r="F1507" s="55" t="str">
        <f aca="false">IF($H1507="","",购销流水!$C381)</f>
        <v/>
      </c>
      <c r="G1507" s="48" t="str">
        <f aca="false">IF($H1507="","",购销流水!$N381)</f>
        <v/>
      </c>
      <c r="H1507" s="10" t="str">
        <f aca="false">IF($L1507="","",IF($L1507="@成本",购销流水!$U381,IF($L1507="@收入",购销流水!$T381,IF($L1507="@存货",购销流水!$S381,IF($L1507="@结算",购销流水!$R381,$L1507)))))</f>
        <v/>
      </c>
      <c r="I1507" s="42" t="n">
        <f aca="false">IF($M1507="借",$O1507,0)</f>
        <v>0</v>
      </c>
      <c r="J1507" s="42" t="n">
        <f aca="false">IF($M1507="贷",$O1507,0)</f>
        <v>0</v>
      </c>
      <c r="K1507" s="48" t="str">
        <f aca="false">IF($H1507="","",购销流水!$E381)</f>
        <v/>
      </c>
      <c r="L1507" s="66" t="str">
        <f aca="false">IF(购销流水!$D381="","",IFERROR(INDEX(记账规则!$A$6:$N$9,MATCH(购销流水!$D381,记账规则!$A$6:$A$9,0),6),""))</f>
        <v/>
      </c>
      <c r="M1507" s="66" t="str">
        <f aca="false">IF($L1507="","",IFERROR(INDEX(记账规则!$A$6:$N$9,MATCH(购销流水!$D381,记账规则!$A$6:$A$9,0),7),""))</f>
        <v/>
      </c>
      <c r="N1507" s="66" t="str">
        <f aca="false">IF($L1507="","",IFERROR(INDEX(记账规则!$A$6:$N$9,MATCH(购销流水!$D381,记账规则!$A$6:$A$9,0),8),""))</f>
        <v/>
      </c>
      <c r="O1507" s="67" t="n">
        <f aca="false">IF($H1507="",0,ROUND(IF($N1507="成本金额",N(购销流水!$W381),IF($N1507="金额",N(购销流水!$Q381),0)),2))</f>
        <v>0</v>
      </c>
      <c r="P1507" s="64" t="str">
        <f aca="false">IF(AND($H1507&lt;&gt;"",ROUND($O1507,2)&lt;&gt;0),"有","")</f>
        <v/>
      </c>
    </row>
    <row r="1508" customFormat="false" ht="15" hidden="true" customHeight="false" outlineLevel="0" collapsed="false">
      <c r="A1508" s="53" t="str">
        <f aca="false">IF($H1508="","",ROW()-5)</f>
        <v/>
      </c>
      <c r="B1508" s="64" t="s">
        <v>36</v>
      </c>
      <c r="C1508" s="53" t="n">
        <v>381</v>
      </c>
      <c r="D1508" s="53" t="n">
        <v>3</v>
      </c>
      <c r="E1508" s="65" t="str">
        <f aca="false">IF($H1508="","",购销流水!$B381)</f>
        <v/>
      </c>
      <c r="F1508" s="55" t="str">
        <f aca="false">IF($H1508="","",购销流水!$C381)</f>
        <v/>
      </c>
      <c r="G1508" s="48" t="str">
        <f aca="false">IF($H1508="","",购销流水!$N381)</f>
        <v/>
      </c>
      <c r="H1508" s="10" t="str">
        <f aca="false">IF($L1508="","",IF($L1508="@成本",购销流水!$U381,IF($L1508="@收入",购销流水!$T381,IF($L1508="@存货",购销流水!$S381,IF($L1508="@结算",购销流水!$R381,$L1508)))))</f>
        <v/>
      </c>
      <c r="I1508" s="42" t="n">
        <f aca="false">IF($M1508="借",$O1508,0)</f>
        <v>0</v>
      </c>
      <c r="J1508" s="42" t="n">
        <f aca="false">IF($M1508="贷",$O1508,0)</f>
        <v>0</v>
      </c>
      <c r="K1508" s="48" t="str">
        <f aca="false">IF($H1508="","",购销流水!$E381)</f>
        <v/>
      </c>
      <c r="L1508" s="66" t="str">
        <f aca="false">IF(购销流水!$D381="","",IFERROR(INDEX(记账规则!$A$6:$N$9,MATCH(购销流水!$D381,记账规则!$A$6:$A$9,0),9),""))</f>
        <v/>
      </c>
      <c r="M1508" s="66" t="str">
        <f aca="false">IF($L1508="","",IFERROR(INDEX(记账规则!$A$6:$N$9,MATCH(购销流水!$D381,记账规则!$A$6:$A$9,0),10),""))</f>
        <v/>
      </c>
      <c r="N1508" s="66" t="str">
        <f aca="false">IF($L1508="","",IFERROR(INDEX(记账规则!$A$6:$N$9,MATCH(购销流水!$D381,记账规则!$A$6:$A$9,0),11),""))</f>
        <v/>
      </c>
      <c r="O1508" s="67" t="n">
        <f aca="false">IF($H1508="",0,ROUND(IF($N1508="成本金额",N(购销流水!$W381),IF($N1508="金额",N(购销流水!$Q381),0)),2))</f>
        <v>0</v>
      </c>
      <c r="P1508" s="64" t="str">
        <f aca="false">IF(AND($H1508&lt;&gt;"",ROUND($O1508,2)&lt;&gt;0),"有","")</f>
        <v/>
      </c>
    </row>
    <row r="1509" customFormat="false" ht="15" hidden="true" customHeight="false" outlineLevel="0" collapsed="false">
      <c r="A1509" s="53" t="str">
        <f aca="false">IF($H1509="","",ROW()-5)</f>
        <v/>
      </c>
      <c r="B1509" s="64" t="s">
        <v>36</v>
      </c>
      <c r="C1509" s="53" t="n">
        <v>381</v>
      </c>
      <c r="D1509" s="53" t="n">
        <v>4</v>
      </c>
      <c r="E1509" s="65" t="str">
        <f aca="false">IF($H1509="","",购销流水!$B381)</f>
        <v/>
      </c>
      <c r="F1509" s="55" t="str">
        <f aca="false">IF($H1509="","",购销流水!$C381)</f>
        <v/>
      </c>
      <c r="G1509" s="48" t="str">
        <f aca="false">IF($H1509="","",购销流水!$N381)</f>
        <v/>
      </c>
      <c r="H1509" s="10" t="str">
        <f aca="false">IF($L1509="","",IF($L1509="@成本",购销流水!$U381,IF($L1509="@收入",购销流水!$T381,IF($L1509="@存货",购销流水!$S381,IF($L1509="@结算",购销流水!$R381,$L1509)))))</f>
        <v/>
      </c>
      <c r="I1509" s="42" t="n">
        <f aca="false">IF($M1509="借",$O1509,0)</f>
        <v>0</v>
      </c>
      <c r="J1509" s="42" t="n">
        <f aca="false">IF($M1509="贷",$O1509,0)</f>
        <v>0</v>
      </c>
      <c r="K1509" s="48" t="str">
        <f aca="false">IF($H1509="","",购销流水!$E381)</f>
        <v/>
      </c>
      <c r="L1509" s="66" t="str">
        <f aca="false">IF(购销流水!$D381="","",IFERROR(INDEX(记账规则!$A$6:$N$9,MATCH(购销流水!$D381,记账规则!$A$6:$A$9,0),12),""))</f>
        <v/>
      </c>
      <c r="M1509" s="66" t="str">
        <f aca="false">IF($L1509="","",IFERROR(INDEX(记账规则!$A$6:$N$9,MATCH(购销流水!$D381,记账规则!$A$6:$A$9,0),13),""))</f>
        <v/>
      </c>
      <c r="N1509" s="66" t="str">
        <f aca="false">IF($L1509="","",IFERROR(INDEX(记账规则!$A$6:$N$9,MATCH(购销流水!$D381,记账规则!$A$6:$A$9,0),14),""))</f>
        <v/>
      </c>
      <c r="O1509" s="67" t="n">
        <f aca="false">IF($H1509="",0,ROUND(IF($N1509="成本金额",N(购销流水!$W381),IF($N1509="金额",N(购销流水!$Q381),0)),2))</f>
        <v>0</v>
      </c>
      <c r="P1509" s="64" t="str">
        <f aca="false">IF(AND($H1509&lt;&gt;"",ROUND($O1509,2)&lt;&gt;0),"有","")</f>
        <v/>
      </c>
    </row>
    <row r="1510" customFormat="false" ht="15" hidden="true" customHeight="false" outlineLevel="0" collapsed="false">
      <c r="A1510" s="53" t="str">
        <f aca="false">IF($H1510="","",ROW()-5)</f>
        <v/>
      </c>
      <c r="B1510" s="64" t="s">
        <v>36</v>
      </c>
      <c r="C1510" s="53" t="n">
        <v>382</v>
      </c>
      <c r="D1510" s="53" t="n">
        <v>1</v>
      </c>
      <c r="E1510" s="65" t="str">
        <f aca="false">IF($H1510="","",购销流水!$B382)</f>
        <v/>
      </c>
      <c r="F1510" s="55" t="str">
        <f aca="false">IF($H1510="","",购销流水!$C382)</f>
        <v/>
      </c>
      <c r="G1510" s="48" t="str">
        <f aca="false">IF($H1510="","",购销流水!$N382)</f>
        <v/>
      </c>
      <c r="H1510" s="10" t="str">
        <f aca="false">IF($L1510="","",IF($L1510="@成本",购销流水!$U382,IF($L1510="@收入",购销流水!$T382,IF($L1510="@存货",购销流水!$S382,IF($L1510="@结算",购销流水!$R382,$L1510)))))</f>
        <v/>
      </c>
      <c r="I1510" s="42" t="n">
        <f aca="false">IF($M1510="借",$O1510,0)</f>
        <v>0</v>
      </c>
      <c r="J1510" s="42" t="n">
        <f aca="false">IF($M1510="贷",$O1510,0)</f>
        <v>0</v>
      </c>
      <c r="K1510" s="48" t="str">
        <f aca="false">IF($H1510="","",购销流水!$E382)</f>
        <v/>
      </c>
      <c r="L1510" s="66" t="str">
        <f aca="false">IF(购销流水!$D382="","",IFERROR(INDEX(记账规则!$A$6:$N$9,MATCH(购销流水!$D382,记账规则!$A$6:$A$9,0),3),""))</f>
        <v/>
      </c>
      <c r="M1510" s="66" t="str">
        <f aca="false">IF($L1510="","",IFERROR(INDEX(记账规则!$A$6:$N$9,MATCH(购销流水!$D382,记账规则!$A$6:$A$9,0),4),""))</f>
        <v/>
      </c>
      <c r="N1510" s="66" t="str">
        <f aca="false">IF($L1510="","",IFERROR(INDEX(记账规则!$A$6:$N$9,MATCH(购销流水!$D382,记账规则!$A$6:$A$9,0),5),""))</f>
        <v/>
      </c>
      <c r="O1510" s="67" t="n">
        <f aca="false">IF($H1510="",0,ROUND(IF($N1510="成本金额",N(购销流水!$W382),IF($N1510="金额",N(购销流水!$Q382),0)),2))</f>
        <v>0</v>
      </c>
      <c r="P1510" s="64" t="str">
        <f aca="false">IF(AND($H1510&lt;&gt;"",ROUND($O1510,2)&lt;&gt;0),"有","")</f>
        <v/>
      </c>
    </row>
    <row r="1511" customFormat="false" ht="15" hidden="true" customHeight="false" outlineLevel="0" collapsed="false">
      <c r="A1511" s="53" t="str">
        <f aca="false">IF($H1511="","",ROW()-5)</f>
        <v/>
      </c>
      <c r="B1511" s="64" t="s">
        <v>36</v>
      </c>
      <c r="C1511" s="53" t="n">
        <v>382</v>
      </c>
      <c r="D1511" s="53" t="n">
        <v>2</v>
      </c>
      <c r="E1511" s="65" t="str">
        <f aca="false">IF($H1511="","",购销流水!$B382)</f>
        <v/>
      </c>
      <c r="F1511" s="55" t="str">
        <f aca="false">IF($H1511="","",购销流水!$C382)</f>
        <v/>
      </c>
      <c r="G1511" s="48" t="str">
        <f aca="false">IF($H1511="","",购销流水!$N382)</f>
        <v/>
      </c>
      <c r="H1511" s="10" t="str">
        <f aca="false">IF($L1511="","",IF($L1511="@成本",购销流水!$U382,IF($L1511="@收入",购销流水!$T382,IF($L1511="@存货",购销流水!$S382,IF($L1511="@结算",购销流水!$R382,$L1511)))))</f>
        <v/>
      </c>
      <c r="I1511" s="42" t="n">
        <f aca="false">IF($M1511="借",$O1511,0)</f>
        <v>0</v>
      </c>
      <c r="J1511" s="42" t="n">
        <f aca="false">IF($M1511="贷",$O1511,0)</f>
        <v>0</v>
      </c>
      <c r="K1511" s="48" t="str">
        <f aca="false">IF($H1511="","",购销流水!$E382)</f>
        <v/>
      </c>
      <c r="L1511" s="66" t="str">
        <f aca="false">IF(购销流水!$D382="","",IFERROR(INDEX(记账规则!$A$6:$N$9,MATCH(购销流水!$D382,记账规则!$A$6:$A$9,0),6),""))</f>
        <v/>
      </c>
      <c r="M1511" s="66" t="str">
        <f aca="false">IF($L1511="","",IFERROR(INDEX(记账规则!$A$6:$N$9,MATCH(购销流水!$D382,记账规则!$A$6:$A$9,0),7),""))</f>
        <v/>
      </c>
      <c r="N1511" s="66" t="str">
        <f aca="false">IF($L1511="","",IFERROR(INDEX(记账规则!$A$6:$N$9,MATCH(购销流水!$D382,记账规则!$A$6:$A$9,0),8),""))</f>
        <v/>
      </c>
      <c r="O1511" s="67" t="n">
        <f aca="false">IF($H1511="",0,ROUND(IF($N1511="成本金额",N(购销流水!$W382),IF($N1511="金额",N(购销流水!$Q382),0)),2))</f>
        <v>0</v>
      </c>
      <c r="P1511" s="64" t="str">
        <f aca="false">IF(AND($H1511&lt;&gt;"",ROUND($O1511,2)&lt;&gt;0),"有","")</f>
        <v/>
      </c>
    </row>
    <row r="1512" customFormat="false" ht="15" hidden="true" customHeight="false" outlineLevel="0" collapsed="false">
      <c r="A1512" s="53" t="str">
        <f aca="false">IF($H1512="","",ROW()-5)</f>
        <v/>
      </c>
      <c r="B1512" s="64" t="s">
        <v>36</v>
      </c>
      <c r="C1512" s="53" t="n">
        <v>382</v>
      </c>
      <c r="D1512" s="53" t="n">
        <v>3</v>
      </c>
      <c r="E1512" s="65" t="str">
        <f aca="false">IF($H1512="","",购销流水!$B382)</f>
        <v/>
      </c>
      <c r="F1512" s="55" t="str">
        <f aca="false">IF($H1512="","",购销流水!$C382)</f>
        <v/>
      </c>
      <c r="G1512" s="48" t="str">
        <f aca="false">IF($H1512="","",购销流水!$N382)</f>
        <v/>
      </c>
      <c r="H1512" s="10" t="str">
        <f aca="false">IF($L1512="","",IF($L1512="@成本",购销流水!$U382,IF($L1512="@收入",购销流水!$T382,IF($L1512="@存货",购销流水!$S382,IF($L1512="@结算",购销流水!$R382,$L1512)))))</f>
        <v/>
      </c>
      <c r="I1512" s="42" t="n">
        <f aca="false">IF($M1512="借",$O1512,0)</f>
        <v>0</v>
      </c>
      <c r="J1512" s="42" t="n">
        <f aca="false">IF($M1512="贷",$O1512,0)</f>
        <v>0</v>
      </c>
      <c r="K1512" s="48" t="str">
        <f aca="false">IF($H1512="","",购销流水!$E382)</f>
        <v/>
      </c>
      <c r="L1512" s="66" t="str">
        <f aca="false">IF(购销流水!$D382="","",IFERROR(INDEX(记账规则!$A$6:$N$9,MATCH(购销流水!$D382,记账规则!$A$6:$A$9,0),9),""))</f>
        <v/>
      </c>
      <c r="M1512" s="66" t="str">
        <f aca="false">IF($L1512="","",IFERROR(INDEX(记账规则!$A$6:$N$9,MATCH(购销流水!$D382,记账规则!$A$6:$A$9,0),10),""))</f>
        <v/>
      </c>
      <c r="N1512" s="66" t="str">
        <f aca="false">IF($L1512="","",IFERROR(INDEX(记账规则!$A$6:$N$9,MATCH(购销流水!$D382,记账规则!$A$6:$A$9,0),11),""))</f>
        <v/>
      </c>
      <c r="O1512" s="67" t="n">
        <f aca="false">IF($H1512="",0,ROUND(IF($N1512="成本金额",N(购销流水!$W382),IF($N1512="金额",N(购销流水!$Q382),0)),2))</f>
        <v>0</v>
      </c>
      <c r="P1512" s="64" t="str">
        <f aca="false">IF(AND($H1512&lt;&gt;"",ROUND($O1512,2)&lt;&gt;0),"有","")</f>
        <v/>
      </c>
    </row>
    <row r="1513" customFormat="false" ht="15" hidden="true" customHeight="false" outlineLevel="0" collapsed="false">
      <c r="A1513" s="53" t="str">
        <f aca="false">IF($H1513="","",ROW()-5)</f>
        <v/>
      </c>
      <c r="B1513" s="64" t="s">
        <v>36</v>
      </c>
      <c r="C1513" s="53" t="n">
        <v>382</v>
      </c>
      <c r="D1513" s="53" t="n">
        <v>4</v>
      </c>
      <c r="E1513" s="65" t="str">
        <f aca="false">IF($H1513="","",购销流水!$B382)</f>
        <v/>
      </c>
      <c r="F1513" s="55" t="str">
        <f aca="false">IF($H1513="","",购销流水!$C382)</f>
        <v/>
      </c>
      <c r="G1513" s="48" t="str">
        <f aca="false">IF($H1513="","",购销流水!$N382)</f>
        <v/>
      </c>
      <c r="H1513" s="10" t="str">
        <f aca="false">IF($L1513="","",IF($L1513="@成本",购销流水!$U382,IF($L1513="@收入",购销流水!$T382,IF($L1513="@存货",购销流水!$S382,IF($L1513="@结算",购销流水!$R382,$L1513)))))</f>
        <v/>
      </c>
      <c r="I1513" s="42" t="n">
        <f aca="false">IF($M1513="借",$O1513,0)</f>
        <v>0</v>
      </c>
      <c r="J1513" s="42" t="n">
        <f aca="false">IF($M1513="贷",$O1513,0)</f>
        <v>0</v>
      </c>
      <c r="K1513" s="48" t="str">
        <f aca="false">IF($H1513="","",购销流水!$E382)</f>
        <v/>
      </c>
      <c r="L1513" s="66" t="str">
        <f aca="false">IF(购销流水!$D382="","",IFERROR(INDEX(记账规则!$A$6:$N$9,MATCH(购销流水!$D382,记账规则!$A$6:$A$9,0),12),""))</f>
        <v/>
      </c>
      <c r="M1513" s="66" t="str">
        <f aca="false">IF($L1513="","",IFERROR(INDEX(记账规则!$A$6:$N$9,MATCH(购销流水!$D382,记账规则!$A$6:$A$9,0),13),""))</f>
        <v/>
      </c>
      <c r="N1513" s="66" t="str">
        <f aca="false">IF($L1513="","",IFERROR(INDEX(记账规则!$A$6:$N$9,MATCH(购销流水!$D382,记账规则!$A$6:$A$9,0),14),""))</f>
        <v/>
      </c>
      <c r="O1513" s="67" t="n">
        <f aca="false">IF($H1513="",0,ROUND(IF($N1513="成本金额",N(购销流水!$W382),IF($N1513="金额",N(购销流水!$Q382),0)),2))</f>
        <v>0</v>
      </c>
      <c r="P1513" s="64" t="str">
        <f aca="false">IF(AND($H1513&lt;&gt;"",ROUND($O1513,2)&lt;&gt;0),"有","")</f>
        <v/>
      </c>
    </row>
    <row r="1514" customFormat="false" ht="15" hidden="true" customHeight="false" outlineLevel="0" collapsed="false">
      <c r="A1514" s="53" t="str">
        <f aca="false">IF($H1514="","",ROW()-5)</f>
        <v/>
      </c>
      <c r="B1514" s="64" t="s">
        <v>36</v>
      </c>
      <c r="C1514" s="53" t="n">
        <v>383</v>
      </c>
      <c r="D1514" s="53" t="n">
        <v>1</v>
      </c>
      <c r="E1514" s="65" t="str">
        <f aca="false">IF($H1514="","",购销流水!$B383)</f>
        <v/>
      </c>
      <c r="F1514" s="55" t="str">
        <f aca="false">IF($H1514="","",购销流水!$C383)</f>
        <v/>
      </c>
      <c r="G1514" s="48" t="str">
        <f aca="false">IF($H1514="","",购销流水!$N383)</f>
        <v/>
      </c>
      <c r="H1514" s="10" t="str">
        <f aca="false">IF($L1514="","",IF($L1514="@成本",购销流水!$U383,IF($L1514="@收入",购销流水!$T383,IF($L1514="@存货",购销流水!$S383,IF($L1514="@结算",购销流水!$R383,$L1514)))))</f>
        <v/>
      </c>
      <c r="I1514" s="42" t="n">
        <f aca="false">IF($M1514="借",$O1514,0)</f>
        <v>0</v>
      </c>
      <c r="J1514" s="42" t="n">
        <f aca="false">IF($M1514="贷",$O1514,0)</f>
        <v>0</v>
      </c>
      <c r="K1514" s="48" t="str">
        <f aca="false">IF($H1514="","",购销流水!$E383)</f>
        <v/>
      </c>
      <c r="L1514" s="66" t="str">
        <f aca="false">IF(购销流水!$D383="","",IFERROR(INDEX(记账规则!$A$6:$N$9,MATCH(购销流水!$D383,记账规则!$A$6:$A$9,0),3),""))</f>
        <v/>
      </c>
      <c r="M1514" s="66" t="str">
        <f aca="false">IF($L1514="","",IFERROR(INDEX(记账规则!$A$6:$N$9,MATCH(购销流水!$D383,记账规则!$A$6:$A$9,0),4),""))</f>
        <v/>
      </c>
      <c r="N1514" s="66" t="str">
        <f aca="false">IF($L1514="","",IFERROR(INDEX(记账规则!$A$6:$N$9,MATCH(购销流水!$D383,记账规则!$A$6:$A$9,0),5),""))</f>
        <v/>
      </c>
      <c r="O1514" s="67" t="n">
        <f aca="false">IF($H1514="",0,ROUND(IF($N1514="成本金额",N(购销流水!$W383),IF($N1514="金额",N(购销流水!$Q383),0)),2))</f>
        <v>0</v>
      </c>
      <c r="P1514" s="64" t="str">
        <f aca="false">IF(AND($H1514&lt;&gt;"",ROUND($O1514,2)&lt;&gt;0),"有","")</f>
        <v/>
      </c>
    </row>
    <row r="1515" customFormat="false" ht="15" hidden="true" customHeight="false" outlineLevel="0" collapsed="false">
      <c r="A1515" s="53" t="str">
        <f aca="false">IF($H1515="","",ROW()-5)</f>
        <v/>
      </c>
      <c r="B1515" s="64" t="s">
        <v>36</v>
      </c>
      <c r="C1515" s="53" t="n">
        <v>383</v>
      </c>
      <c r="D1515" s="53" t="n">
        <v>2</v>
      </c>
      <c r="E1515" s="65" t="str">
        <f aca="false">IF($H1515="","",购销流水!$B383)</f>
        <v/>
      </c>
      <c r="F1515" s="55" t="str">
        <f aca="false">IF($H1515="","",购销流水!$C383)</f>
        <v/>
      </c>
      <c r="G1515" s="48" t="str">
        <f aca="false">IF($H1515="","",购销流水!$N383)</f>
        <v/>
      </c>
      <c r="H1515" s="10" t="str">
        <f aca="false">IF($L1515="","",IF($L1515="@成本",购销流水!$U383,IF($L1515="@收入",购销流水!$T383,IF($L1515="@存货",购销流水!$S383,IF($L1515="@结算",购销流水!$R383,$L1515)))))</f>
        <v/>
      </c>
      <c r="I1515" s="42" t="n">
        <f aca="false">IF($M1515="借",$O1515,0)</f>
        <v>0</v>
      </c>
      <c r="J1515" s="42" t="n">
        <f aca="false">IF($M1515="贷",$O1515,0)</f>
        <v>0</v>
      </c>
      <c r="K1515" s="48" t="str">
        <f aca="false">IF($H1515="","",购销流水!$E383)</f>
        <v/>
      </c>
      <c r="L1515" s="66" t="str">
        <f aca="false">IF(购销流水!$D383="","",IFERROR(INDEX(记账规则!$A$6:$N$9,MATCH(购销流水!$D383,记账规则!$A$6:$A$9,0),6),""))</f>
        <v/>
      </c>
      <c r="M1515" s="66" t="str">
        <f aca="false">IF($L1515="","",IFERROR(INDEX(记账规则!$A$6:$N$9,MATCH(购销流水!$D383,记账规则!$A$6:$A$9,0),7),""))</f>
        <v/>
      </c>
      <c r="N1515" s="66" t="str">
        <f aca="false">IF($L1515="","",IFERROR(INDEX(记账规则!$A$6:$N$9,MATCH(购销流水!$D383,记账规则!$A$6:$A$9,0),8),""))</f>
        <v/>
      </c>
      <c r="O1515" s="67" t="n">
        <f aca="false">IF($H1515="",0,ROUND(IF($N1515="成本金额",N(购销流水!$W383),IF($N1515="金额",N(购销流水!$Q383),0)),2))</f>
        <v>0</v>
      </c>
      <c r="P1515" s="64" t="str">
        <f aca="false">IF(AND($H1515&lt;&gt;"",ROUND($O1515,2)&lt;&gt;0),"有","")</f>
        <v/>
      </c>
    </row>
    <row r="1516" customFormat="false" ht="15" hidden="true" customHeight="false" outlineLevel="0" collapsed="false">
      <c r="A1516" s="53" t="str">
        <f aca="false">IF($H1516="","",ROW()-5)</f>
        <v/>
      </c>
      <c r="B1516" s="64" t="s">
        <v>36</v>
      </c>
      <c r="C1516" s="53" t="n">
        <v>383</v>
      </c>
      <c r="D1516" s="53" t="n">
        <v>3</v>
      </c>
      <c r="E1516" s="65" t="str">
        <f aca="false">IF($H1516="","",购销流水!$B383)</f>
        <v/>
      </c>
      <c r="F1516" s="55" t="str">
        <f aca="false">IF($H1516="","",购销流水!$C383)</f>
        <v/>
      </c>
      <c r="G1516" s="48" t="str">
        <f aca="false">IF($H1516="","",购销流水!$N383)</f>
        <v/>
      </c>
      <c r="H1516" s="10" t="str">
        <f aca="false">IF($L1516="","",IF($L1516="@成本",购销流水!$U383,IF($L1516="@收入",购销流水!$T383,IF($L1516="@存货",购销流水!$S383,IF($L1516="@结算",购销流水!$R383,$L1516)))))</f>
        <v/>
      </c>
      <c r="I1516" s="42" t="n">
        <f aca="false">IF($M1516="借",$O1516,0)</f>
        <v>0</v>
      </c>
      <c r="J1516" s="42" t="n">
        <f aca="false">IF($M1516="贷",$O1516,0)</f>
        <v>0</v>
      </c>
      <c r="K1516" s="48" t="str">
        <f aca="false">IF($H1516="","",购销流水!$E383)</f>
        <v/>
      </c>
      <c r="L1516" s="66" t="str">
        <f aca="false">IF(购销流水!$D383="","",IFERROR(INDEX(记账规则!$A$6:$N$9,MATCH(购销流水!$D383,记账规则!$A$6:$A$9,0),9),""))</f>
        <v/>
      </c>
      <c r="M1516" s="66" t="str">
        <f aca="false">IF($L1516="","",IFERROR(INDEX(记账规则!$A$6:$N$9,MATCH(购销流水!$D383,记账规则!$A$6:$A$9,0),10),""))</f>
        <v/>
      </c>
      <c r="N1516" s="66" t="str">
        <f aca="false">IF($L1516="","",IFERROR(INDEX(记账规则!$A$6:$N$9,MATCH(购销流水!$D383,记账规则!$A$6:$A$9,0),11),""))</f>
        <v/>
      </c>
      <c r="O1516" s="67" t="n">
        <f aca="false">IF($H1516="",0,ROUND(IF($N1516="成本金额",N(购销流水!$W383),IF($N1516="金额",N(购销流水!$Q383),0)),2))</f>
        <v>0</v>
      </c>
      <c r="P1516" s="64" t="str">
        <f aca="false">IF(AND($H1516&lt;&gt;"",ROUND($O1516,2)&lt;&gt;0),"有","")</f>
        <v/>
      </c>
    </row>
    <row r="1517" customFormat="false" ht="15" hidden="true" customHeight="false" outlineLevel="0" collapsed="false">
      <c r="A1517" s="53" t="str">
        <f aca="false">IF($H1517="","",ROW()-5)</f>
        <v/>
      </c>
      <c r="B1517" s="64" t="s">
        <v>36</v>
      </c>
      <c r="C1517" s="53" t="n">
        <v>383</v>
      </c>
      <c r="D1517" s="53" t="n">
        <v>4</v>
      </c>
      <c r="E1517" s="65" t="str">
        <f aca="false">IF($H1517="","",购销流水!$B383)</f>
        <v/>
      </c>
      <c r="F1517" s="55" t="str">
        <f aca="false">IF($H1517="","",购销流水!$C383)</f>
        <v/>
      </c>
      <c r="G1517" s="48" t="str">
        <f aca="false">IF($H1517="","",购销流水!$N383)</f>
        <v/>
      </c>
      <c r="H1517" s="10" t="str">
        <f aca="false">IF($L1517="","",IF($L1517="@成本",购销流水!$U383,IF($L1517="@收入",购销流水!$T383,IF($L1517="@存货",购销流水!$S383,IF($L1517="@结算",购销流水!$R383,$L1517)))))</f>
        <v/>
      </c>
      <c r="I1517" s="42" t="n">
        <f aca="false">IF($M1517="借",$O1517,0)</f>
        <v>0</v>
      </c>
      <c r="J1517" s="42" t="n">
        <f aca="false">IF($M1517="贷",$O1517,0)</f>
        <v>0</v>
      </c>
      <c r="K1517" s="48" t="str">
        <f aca="false">IF($H1517="","",购销流水!$E383)</f>
        <v/>
      </c>
      <c r="L1517" s="66" t="str">
        <f aca="false">IF(购销流水!$D383="","",IFERROR(INDEX(记账规则!$A$6:$N$9,MATCH(购销流水!$D383,记账规则!$A$6:$A$9,0),12),""))</f>
        <v/>
      </c>
      <c r="M1517" s="66" t="str">
        <f aca="false">IF($L1517="","",IFERROR(INDEX(记账规则!$A$6:$N$9,MATCH(购销流水!$D383,记账规则!$A$6:$A$9,0),13),""))</f>
        <v/>
      </c>
      <c r="N1517" s="66" t="str">
        <f aca="false">IF($L1517="","",IFERROR(INDEX(记账规则!$A$6:$N$9,MATCH(购销流水!$D383,记账规则!$A$6:$A$9,0),14),""))</f>
        <v/>
      </c>
      <c r="O1517" s="67" t="n">
        <f aca="false">IF($H1517="",0,ROUND(IF($N1517="成本金额",N(购销流水!$W383),IF($N1517="金额",N(购销流水!$Q383),0)),2))</f>
        <v>0</v>
      </c>
      <c r="P1517" s="64" t="str">
        <f aca="false">IF(AND($H1517&lt;&gt;"",ROUND($O1517,2)&lt;&gt;0),"有","")</f>
        <v/>
      </c>
    </row>
    <row r="1518" customFormat="false" ht="15" hidden="true" customHeight="false" outlineLevel="0" collapsed="false">
      <c r="A1518" s="53" t="str">
        <f aca="false">IF($H1518="","",ROW()-5)</f>
        <v/>
      </c>
      <c r="B1518" s="64" t="s">
        <v>36</v>
      </c>
      <c r="C1518" s="53" t="n">
        <v>384</v>
      </c>
      <c r="D1518" s="53" t="n">
        <v>1</v>
      </c>
      <c r="E1518" s="65" t="str">
        <f aca="false">IF($H1518="","",购销流水!$B384)</f>
        <v/>
      </c>
      <c r="F1518" s="55" t="str">
        <f aca="false">IF($H1518="","",购销流水!$C384)</f>
        <v/>
      </c>
      <c r="G1518" s="48" t="str">
        <f aca="false">IF($H1518="","",购销流水!$N384)</f>
        <v/>
      </c>
      <c r="H1518" s="10" t="str">
        <f aca="false">IF($L1518="","",IF($L1518="@成本",购销流水!$U384,IF($L1518="@收入",购销流水!$T384,IF($L1518="@存货",购销流水!$S384,IF($L1518="@结算",购销流水!$R384,$L1518)))))</f>
        <v/>
      </c>
      <c r="I1518" s="42" t="n">
        <f aca="false">IF($M1518="借",$O1518,0)</f>
        <v>0</v>
      </c>
      <c r="J1518" s="42" t="n">
        <f aca="false">IF($M1518="贷",$O1518,0)</f>
        <v>0</v>
      </c>
      <c r="K1518" s="48" t="str">
        <f aca="false">IF($H1518="","",购销流水!$E384)</f>
        <v/>
      </c>
      <c r="L1518" s="66" t="str">
        <f aca="false">IF(购销流水!$D384="","",IFERROR(INDEX(记账规则!$A$6:$N$9,MATCH(购销流水!$D384,记账规则!$A$6:$A$9,0),3),""))</f>
        <v/>
      </c>
      <c r="M1518" s="66" t="str">
        <f aca="false">IF($L1518="","",IFERROR(INDEX(记账规则!$A$6:$N$9,MATCH(购销流水!$D384,记账规则!$A$6:$A$9,0),4),""))</f>
        <v/>
      </c>
      <c r="N1518" s="66" t="str">
        <f aca="false">IF($L1518="","",IFERROR(INDEX(记账规则!$A$6:$N$9,MATCH(购销流水!$D384,记账规则!$A$6:$A$9,0),5),""))</f>
        <v/>
      </c>
      <c r="O1518" s="67" t="n">
        <f aca="false">IF($H1518="",0,ROUND(IF($N1518="成本金额",N(购销流水!$W384),IF($N1518="金额",N(购销流水!$Q384),0)),2))</f>
        <v>0</v>
      </c>
      <c r="P1518" s="64" t="str">
        <f aca="false">IF(AND($H1518&lt;&gt;"",ROUND($O1518,2)&lt;&gt;0),"有","")</f>
        <v/>
      </c>
    </row>
    <row r="1519" customFormat="false" ht="15" hidden="true" customHeight="false" outlineLevel="0" collapsed="false">
      <c r="A1519" s="53" t="str">
        <f aca="false">IF($H1519="","",ROW()-5)</f>
        <v/>
      </c>
      <c r="B1519" s="64" t="s">
        <v>36</v>
      </c>
      <c r="C1519" s="53" t="n">
        <v>384</v>
      </c>
      <c r="D1519" s="53" t="n">
        <v>2</v>
      </c>
      <c r="E1519" s="65" t="str">
        <f aca="false">IF($H1519="","",购销流水!$B384)</f>
        <v/>
      </c>
      <c r="F1519" s="55" t="str">
        <f aca="false">IF($H1519="","",购销流水!$C384)</f>
        <v/>
      </c>
      <c r="G1519" s="48" t="str">
        <f aca="false">IF($H1519="","",购销流水!$N384)</f>
        <v/>
      </c>
      <c r="H1519" s="10" t="str">
        <f aca="false">IF($L1519="","",IF($L1519="@成本",购销流水!$U384,IF($L1519="@收入",购销流水!$T384,IF($L1519="@存货",购销流水!$S384,IF($L1519="@结算",购销流水!$R384,$L1519)))))</f>
        <v/>
      </c>
      <c r="I1519" s="42" t="n">
        <f aca="false">IF($M1519="借",$O1519,0)</f>
        <v>0</v>
      </c>
      <c r="J1519" s="42" t="n">
        <f aca="false">IF($M1519="贷",$O1519,0)</f>
        <v>0</v>
      </c>
      <c r="K1519" s="48" t="str">
        <f aca="false">IF($H1519="","",购销流水!$E384)</f>
        <v/>
      </c>
      <c r="L1519" s="66" t="str">
        <f aca="false">IF(购销流水!$D384="","",IFERROR(INDEX(记账规则!$A$6:$N$9,MATCH(购销流水!$D384,记账规则!$A$6:$A$9,0),6),""))</f>
        <v/>
      </c>
      <c r="M1519" s="66" t="str">
        <f aca="false">IF($L1519="","",IFERROR(INDEX(记账规则!$A$6:$N$9,MATCH(购销流水!$D384,记账规则!$A$6:$A$9,0),7),""))</f>
        <v/>
      </c>
      <c r="N1519" s="66" t="str">
        <f aca="false">IF($L1519="","",IFERROR(INDEX(记账规则!$A$6:$N$9,MATCH(购销流水!$D384,记账规则!$A$6:$A$9,0),8),""))</f>
        <v/>
      </c>
      <c r="O1519" s="67" t="n">
        <f aca="false">IF($H1519="",0,ROUND(IF($N1519="成本金额",N(购销流水!$W384),IF($N1519="金额",N(购销流水!$Q384),0)),2))</f>
        <v>0</v>
      </c>
      <c r="P1519" s="64" t="str">
        <f aca="false">IF(AND($H1519&lt;&gt;"",ROUND($O1519,2)&lt;&gt;0),"有","")</f>
        <v/>
      </c>
    </row>
    <row r="1520" customFormat="false" ht="15" hidden="true" customHeight="false" outlineLevel="0" collapsed="false">
      <c r="A1520" s="53" t="str">
        <f aca="false">IF($H1520="","",ROW()-5)</f>
        <v/>
      </c>
      <c r="B1520" s="64" t="s">
        <v>36</v>
      </c>
      <c r="C1520" s="53" t="n">
        <v>384</v>
      </c>
      <c r="D1520" s="53" t="n">
        <v>3</v>
      </c>
      <c r="E1520" s="65" t="str">
        <f aca="false">IF($H1520="","",购销流水!$B384)</f>
        <v/>
      </c>
      <c r="F1520" s="55" t="str">
        <f aca="false">IF($H1520="","",购销流水!$C384)</f>
        <v/>
      </c>
      <c r="G1520" s="48" t="str">
        <f aca="false">IF($H1520="","",购销流水!$N384)</f>
        <v/>
      </c>
      <c r="H1520" s="10" t="str">
        <f aca="false">IF($L1520="","",IF($L1520="@成本",购销流水!$U384,IF($L1520="@收入",购销流水!$T384,IF($L1520="@存货",购销流水!$S384,IF($L1520="@结算",购销流水!$R384,$L1520)))))</f>
        <v/>
      </c>
      <c r="I1520" s="42" t="n">
        <f aca="false">IF($M1520="借",$O1520,0)</f>
        <v>0</v>
      </c>
      <c r="J1520" s="42" t="n">
        <f aca="false">IF($M1520="贷",$O1520,0)</f>
        <v>0</v>
      </c>
      <c r="K1520" s="48" t="str">
        <f aca="false">IF($H1520="","",购销流水!$E384)</f>
        <v/>
      </c>
      <c r="L1520" s="66" t="str">
        <f aca="false">IF(购销流水!$D384="","",IFERROR(INDEX(记账规则!$A$6:$N$9,MATCH(购销流水!$D384,记账规则!$A$6:$A$9,0),9),""))</f>
        <v/>
      </c>
      <c r="M1520" s="66" t="str">
        <f aca="false">IF($L1520="","",IFERROR(INDEX(记账规则!$A$6:$N$9,MATCH(购销流水!$D384,记账规则!$A$6:$A$9,0),10),""))</f>
        <v/>
      </c>
      <c r="N1520" s="66" t="str">
        <f aca="false">IF($L1520="","",IFERROR(INDEX(记账规则!$A$6:$N$9,MATCH(购销流水!$D384,记账规则!$A$6:$A$9,0),11),""))</f>
        <v/>
      </c>
      <c r="O1520" s="67" t="n">
        <f aca="false">IF($H1520="",0,ROUND(IF($N1520="成本金额",N(购销流水!$W384),IF($N1520="金额",N(购销流水!$Q384),0)),2))</f>
        <v>0</v>
      </c>
      <c r="P1520" s="64" t="str">
        <f aca="false">IF(AND($H1520&lt;&gt;"",ROUND($O1520,2)&lt;&gt;0),"有","")</f>
        <v/>
      </c>
    </row>
    <row r="1521" customFormat="false" ht="15" hidden="true" customHeight="false" outlineLevel="0" collapsed="false">
      <c r="A1521" s="53" t="str">
        <f aca="false">IF($H1521="","",ROW()-5)</f>
        <v/>
      </c>
      <c r="B1521" s="64" t="s">
        <v>36</v>
      </c>
      <c r="C1521" s="53" t="n">
        <v>384</v>
      </c>
      <c r="D1521" s="53" t="n">
        <v>4</v>
      </c>
      <c r="E1521" s="65" t="str">
        <f aca="false">IF($H1521="","",购销流水!$B384)</f>
        <v/>
      </c>
      <c r="F1521" s="55" t="str">
        <f aca="false">IF($H1521="","",购销流水!$C384)</f>
        <v/>
      </c>
      <c r="G1521" s="48" t="str">
        <f aca="false">IF($H1521="","",购销流水!$N384)</f>
        <v/>
      </c>
      <c r="H1521" s="10" t="str">
        <f aca="false">IF($L1521="","",IF($L1521="@成本",购销流水!$U384,IF($L1521="@收入",购销流水!$T384,IF($L1521="@存货",购销流水!$S384,IF($L1521="@结算",购销流水!$R384,$L1521)))))</f>
        <v/>
      </c>
      <c r="I1521" s="42" t="n">
        <f aca="false">IF($M1521="借",$O1521,0)</f>
        <v>0</v>
      </c>
      <c r="J1521" s="42" t="n">
        <f aca="false">IF($M1521="贷",$O1521,0)</f>
        <v>0</v>
      </c>
      <c r="K1521" s="48" t="str">
        <f aca="false">IF($H1521="","",购销流水!$E384)</f>
        <v/>
      </c>
      <c r="L1521" s="66" t="str">
        <f aca="false">IF(购销流水!$D384="","",IFERROR(INDEX(记账规则!$A$6:$N$9,MATCH(购销流水!$D384,记账规则!$A$6:$A$9,0),12),""))</f>
        <v/>
      </c>
      <c r="M1521" s="66" t="str">
        <f aca="false">IF($L1521="","",IFERROR(INDEX(记账规则!$A$6:$N$9,MATCH(购销流水!$D384,记账规则!$A$6:$A$9,0),13),""))</f>
        <v/>
      </c>
      <c r="N1521" s="66" t="str">
        <f aca="false">IF($L1521="","",IFERROR(INDEX(记账规则!$A$6:$N$9,MATCH(购销流水!$D384,记账规则!$A$6:$A$9,0),14),""))</f>
        <v/>
      </c>
      <c r="O1521" s="67" t="n">
        <f aca="false">IF($H1521="",0,ROUND(IF($N1521="成本金额",N(购销流水!$W384),IF($N1521="金额",N(购销流水!$Q384),0)),2))</f>
        <v>0</v>
      </c>
      <c r="P1521" s="64" t="str">
        <f aca="false">IF(AND($H1521&lt;&gt;"",ROUND($O1521,2)&lt;&gt;0),"有","")</f>
        <v/>
      </c>
    </row>
    <row r="1522" customFormat="false" ht="15" hidden="true" customHeight="false" outlineLevel="0" collapsed="false">
      <c r="A1522" s="53" t="str">
        <f aca="false">IF($H1522="","",ROW()-5)</f>
        <v/>
      </c>
      <c r="B1522" s="64" t="s">
        <v>36</v>
      </c>
      <c r="C1522" s="53" t="n">
        <v>385</v>
      </c>
      <c r="D1522" s="53" t="n">
        <v>1</v>
      </c>
      <c r="E1522" s="65" t="str">
        <f aca="false">IF($H1522="","",购销流水!$B385)</f>
        <v/>
      </c>
      <c r="F1522" s="55" t="str">
        <f aca="false">IF($H1522="","",购销流水!$C385)</f>
        <v/>
      </c>
      <c r="G1522" s="48" t="str">
        <f aca="false">IF($H1522="","",购销流水!$N385)</f>
        <v/>
      </c>
      <c r="H1522" s="10" t="str">
        <f aca="false">IF($L1522="","",IF($L1522="@成本",购销流水!$U385,IF($L1522="@收入",购销流水!$T385,IF($L1522="@存货",购销流水!$S385,IF($L1522="@结算",购销流水!$R385,$L1522)))))</f>
        <v/>
      </c>
      <c r="I1522" s="42" t="n">
        <f aca="false">IF($M1522="借",$O1522,0)</f>
        <v>0</v>
      </c>
      <c r="J1522" s="42" t="n">
        <f aca="false">IF($M1522="贷",$O1522,0)</f>
        <v>0</v>
      </c>
      <c r="K1522" s="48" t="str">
        <f aca="false">IF($H1522="","",购销流水!$E385)</f>
        <v/>
      </c>
      <c r="L1522" s="66" t="str">
        <f aca="false">IF(购销流水!$D385="","",IFERROR(INDEX(记账规则!$A$6:$N$9,MATCH(购销流水!$D385,记账规则!$A$6:$A$9,0),3),""))</f>
        <v/>
      </c>
      <c r="M1522" s="66" t="str">
        <f aca="false">IF($L1522="","",IFERROR(INDEX(记账规则!$A$6:$N$9,MATCH(购销流水!$D385,记账规则!$A$6:$A$9,0),4),""))</f>
        <v/>
      </c>
      <c r="N1522" s="66" t="str">
        <f aca="false">IF($L1522="","",IFERROR(INDEX(记账规则!$A$6:$N$9,MATCH(购销流水!$D385,记账规则!$A$6:$A$9,0),5),""))</f>
        <v/>
      </c>
      <c r="O1522" s="67" t="n">
        <f aca="false">IF($H1522="",0,ROUND(IF($N1522="成本金额",N(购销流水!$W385),IF($N1522="金额",N(购销流水!$Q385),0)),2))</f>
        <v>0</v>
      </c>
      <c r="P1522" s="64" t="str">
        <f aca="false">IF(AND($H1522&lt;&gt;"",ROUND($O1522,2)&lt;&gt;0),"有","")</f>
        <v/>
      </c>
    </row>
    <row r="1523" customFormat="false" ht="15" hidden="true" customHeight="false" outlineLevel="0" collapsed="false">
      <c r="A1523" s="53" t="str">
        <f aca="false">IF($H1523="","",ROW()-5)</f>
        <v/>
      </c>
      <c r="B1523" s="64" t="s">
        <v>36</v>
      </c>
      <c r="C1523" s="53" t="n">
        <v>385</v>
      </c>
      <c r="D1523" s="53" t="n">
        <v>2</v>
      </c>
      <c r="E1523" s="65" t="str">
        <f aca="false">IF($H1523="","",购销流水!$B385)</f>
        <v/>
      </c>
      <c r="F1523" s="55" t="str">
        <f aca="false">IF($H1523="","",购销流水!$C385)</f>
        <v/>
      </c>
      <c r="G1523" s="48" t="str">
        <f aca="false">IF($H1523="","",购销流水!$N385)</f>
        <v/>
      </c>
      <c r="H1523" s="10" t="str">
        <f aca="false">IF($L1523="","",IF($L1523="@成本",购销流水!$U385,IF($L1523="@收入",购销流水!$T385,IF($L1523="@存货",购销流水!$S385,IF($L1523="@结算",购销流水!$R385,$L1523)))))</f>
        <v/>
      </c>
      <c r="I1523" s="42" t="n">
        <f aca="false">IF($M1523="借",$O1523,0)</f>
        <v>0</v>
      </c>
      <c r="J1523" s="42" t="n">
        <f aca="false">IF($M1523="贷",$O1523,0)</f>
        <v>0</v>
      </c>
      <c r="K1523" s="48" t="str">
        <f aca="false">IF($H1523="","",购销流水!$E385)</f>
        <v/>
      </c>
      <c r="L1523" s="66" t="str">
        <f aca="false">IF(购销流水!$D385="","",IFERROR(INDEX(记账规则!$A$6:$N$9,MATCH(购销流水!$D385,记账规则!$A$6:$A$9,0),6),""))</f>
        <v/>
      </c>
      <c r="M1523" s="66" t="str">
        <f aca="false">IF($L1523="","",IFERROR(INDEX(记账规则!$A$6:$N$9,MATCH(购销流水!$D385,记账规则!$A$6:$A$9,0),7),""))</f>
        <v/>
      </c>
      <c r="N1523" s="66" t="str">
        <f aca="false">IF($L1523="","",IFERROR(INDEX(记账规则!$A$6:$N$9,MATCH(购销流水!$D385,记账规则!$A$6:$A$9,0),8),""))</f>
        <v/>
      </c>
      <c r="O1523" s="67" t="n">
        <f aca="false">IF($H1523="",0,ROUND(IF($N1523="成本金额",N(购销流水!$W385),IF($N1523="金额",N(购销流水!$Q385),0)),2))</f>
        <v>0</v>
      </c>
      <c r="P1523" s="64" t="str">
        <f aca="false">IF(AND($H1523&lt;&gt;"",ROUND($O1523,2)&lt;&gt;0),"有","")</f>
        <v/>
      </c>
    </row>
    <row r="1524" customFormat="false" ht="15" hidden="true" customHeight="false" outlineLevel="0" collapsed="false">
      <c r="A1524" s="53" t="str">
        <f aca="false">IF($H1524="","",ROW()-5)</f>
        <v/>
      </c>
      <c r="B1524" s="64" t="s">
        <v>36</v>
      </c>
      <c r="C1524" s="53" t="n">
        <v>385</v>
      </c>
      <c r="D1524" s="53" t="n">
        <v>3</v>
      </c>
      <c r="E1524" s="65" t="str">
        <f aca="false">IF($H1524="","",购销流水!$B385)</f>
        <v/>
      </c>
      <c r="F1524" s="55" t="str">
        <f aca="false">IF($H1524="","",购销流水!$C385)</f>
        <v/>
      </c>
      <c r="G1524" s="48" t="str">
        <f aca="false">IF($H1524="","",购销流水!$N385)</f>
        <v/>
      </c>
      <c r="H1524" s="10" t="str">
        <f aca="false">IF($L1524="","",IF($L1524="@成本",购销流水!$U385,IF($L1524="@收入",购销流水!$T385,IF($L1524="@存货",购销流水!$S385,IF($L1524="@结算",购销流水!$R385,$L1524)))))</f>
        <v/>
      </c>
      <c r="I1524" s="42" t="n">
        <f aca="false">IF($M1524="借",$O1524,0)</f>
        <v>0</v>
      </c>
      <c r="J1524" s="42" t="n">
        <f aca="false">IF($M1524="贷",$O1524,0)</f>
        <v>0</v>
      </c>
      <c r="K1524" s="48" t="str">
        <f aca="false">IF($H1524="","",购销流水!$E385)</f>
        <v/>
      </c>
      <c r="L1524" s="66" t="str">
        <f aca="false">IF(购销流水!$D385="","",IFERROR(INDEX(记账规则!$A$6:$N$9,MATCH(购销流水!$D385,记账规则!$A$6:$A$9,0),9),""))</f>
        <v/>
      </c>
      <c r="M1524" s="66" t="str">
        <f aca="false">IF($L1524="","",IFERROR(INDEX(记账规则!$A$6:$N$9,MATCH(购销流水!$D385,记账规则!$A$6:$A$9,0),10),""))</f>
        <v/>
      </c>
      <c r="N1524" s="66" t="str">
        <f aca="false">IF($L1524="","",IFERROR(INDEX(记账规则!$A$6:$N$9,MATCH(购销流水!$D385,记账规则!$A$6:$A$9,0),11),""))</f>
        <v/>
      </c>
      <c r="O1524" s="67" t="n">
        <f aca="false">IF($H1524="",0,ROUND(IF($N1524="成本金额",N(购销流水!$W385),IF($N1524="金额",N(购销流水!$Q385),0)),2))</f>
        <v>0</v>
      </c>
      <c r="P1524" s="64" t="str">
        <f aca="false">IF(AND($H1524&lt;&gt;"",ROUND($O1524,2)&lt;&gt;0),"有","")</f>
        <v/>
      </c>
    </row>
    <row r="1525" customFormat="false" ht="15" hidden="true" customHeight="false" outlineLevel="0" collapsed="false">
      <c r="A1525" s="53" t="str">
        <f aca="false">IF($H1525="","",ROW()-5)</f>
        <v/>
      </c>
      <c r="B1525" s="64" t="s">
        <v>36</v>
      </c>
      <c r="C1525" s="53" t="n">
        <v>385</v>
      </c>
      <c r="D1525" s="53" t="n">
        <v>4</v>
      </c>
      <c r="E1525" s="65" t="str">
        <f aca="false">IF($H1525="","",购销流水!$B385)</f>
        <v/>
      </c>
      <c r="F1525" s="55" t="str">
        <f aca="false">IF($H1525="","",购销流水!$C385)</f>
        <v/>
      </c>
      <c r="G1525" s="48" t="str">
        <f aca="false">IF($H1525="","",购销流水!$N385)</f>
        <v/>
      </c>
      <c r="H1525" s="10" t="str">
        <f aca="false">IF($L1525="","",IF($L1525="@成本",购销流水!$U385,IF($L1525="@收入",购销流水!$T385,IF($L1525="@存货",购销流水!$S385,IF($L1525="@结算",购销流水!$R385,$L1525)))))</f>
        <v/>
      </c>
      <c r="I1525" s="42" t="n">
        <f aca="false">IF($M1525="借",$O1525,0)</f>
        <v>0</v>
      </c>
      <c r="J1525" s="42" t="n">
        <f aca="false">IF($M1525="贷",$O1525,0)</f>
        <v>0</v>
      </c>
      <c r="K1525" s="48" t="str">
        <f aca="false">IF($H1525="","",购销流水!$E385)</f>
        <v/>
      </c>
      <c r="L1525" s="66" t="str">
        <f aca="false">IF(购销流水!$D385="","",IFERROR(INDEX(记账规则!$A$6:$N$9,MATCH(购销流水!$D385,记账规则!$A$6:$A$9,0),12),""))</f>
        <v/>
      </c>
      <c r="M1525" s="66" t="str">
        <f aca="false">IF($L1525="","",IFERROR(INDEX(记账规则!$A$6:$N$9,MATCH(购销流水!$D385,记账规则!$A$6:$A$9,0),13),""))</f>
        <v/>
      </c>
      <c r="N1525" s="66" t="str">
        <f aca="false">IF($L1525="","",IFERROR(INDEX(记账规则!$A$6:$N$9,MATCH(购销流水!$D385,记账规则!$A$6:$A$9,0),14),""))</f>
        <v/>
      </c>
      <c r="O1525" s="67" t="n">
        <f aca="false">IF($H1525="",0,ROUND(IF($N1525="成本金额",N(购销流水!$W385),IF($N1525="金额",N(购销流水!$Q385),0)),2))</f>
        <v>0</v>
      </c>
      <c r="P1525" s="64" t="str">
        <f aca="false">IF(AND($H1525&lt;&gt;"",ROUND($O1525,2)&lt;&gt;0),"有","")</f>
        <v/>
      </c>
    </row>
    <row r="1526" customFormat="false" ht="15" hidden="true" customHeight="false" outlineLevel="0" collapsed="false">
      <c r="A1526" s="53" t="str">
        <f aca="false">IF($H1526="","",ROW()-5)</f>
        <v/>
      </c>
      <c r="B1526" s="64" t="s">
        <v>36</v>
      </c>
      <c r="C1526" s="53" t="n">
        <v>386</v>
      </c>
      <c r="D1526" s="53" t="n">
        <v>1</v>
      </c>
      <c r="E1526" s="65" t="str">
        <f aca="false">IF($H1526="","",购销流水!$B386)</f>
        <v/>
      </c>
      <c r="F1526" s="55" t="str">
        <f aca="false">IF($H1526="","",购销流水!$C386)</f>
        <v/>
      </c>
      <c r="G1526" s="48" t="str">
        <f aca="false">IF($H1526="","",购销流水!$N386)</f>
        <v/>
      </c>
      <c r="H1526" s="10" t="str">
        <f aca="false">IF($L1526="","",IF($L1526="@成本",购销流水!$U386,IF($L1526="@收入",购销流水!$T386,IF($L1526="@存货",购销流水!$S386,IF($L1526="@结算",购销流水!$R386,$L1526)))))</f>
        <v/>
      </c>
      <c r="I1526" s="42" t="n">
        <f aca="false">IF($M1526="借",$O1526,0)</f>
        <v>0</v>
      </c>
      <c r="J1526" s="42" t="n">
        <f aca="false">IF($M1526="贷",$O1526,0)</f>
        <v>0</v>
      </c>
      <c r="K1526" s="48" t="str">
        <f aca="false">IF($H1526="","",购销流水!$E386)</f>
        <v/>
      </c>
      <c r="L1526" s="66" t="str">
        <f aca="false">IF(购销流水!$D386="","",IFERROR(INDEX(记账规则!$A$6:$N$9,MATCH(购销流水!$D386,记账规则!$A$6:$A$9,0),3),""))</f>
        <v/>
      </c>
      <c r="M1526" s="66" t="str">
        <f aca="false">IF($L1526="","",IFERROR(INDEX(记账规则!$A$6:$N$9,MATCH(购销流水!$D386,记账规则!$A$6:$A$9,0),4),""))</f>
        <v/>
      </c>
      <c r="N1526" s="66" t="str">
        <f aca="false">IF($L1526="","",IFERROR(INDEX(记账规则!$A$6:$N$9,MATCH(购销流水!$D386,记账规则!$A$6:$A$9,0),5),""))</f>
        <v/>
      </c>
      <c r="O1526" s="67" t="n">
        <f aca="false">IF($H1526="",0,ROUND(IF($N1526="成本金额",N(购销流水!$W386),IF($N1526="金额",N(购销流水!$Q386),0)),2))</f>
        <v>0</v>
      </c>
      <c r="P1526" s="64" t="str">
        <f aca="false">IF(AND($H1526&lt;&gt;"",ROUND($O1526,2)&lt;&gt;0),"有","")</f>
        <v/>
      </c>
    </row>
    <row r="1527" customFormat="false" ht="15" hidden="true" customHeight="false" outlineLevel="0" collapsed="false">
      <c r="A1527" s="53" t="str">
        <f aca="false">IF($H1527="","",ROW()-5)</f>
        <v/>
      </c>
      <c r="B1527" s="64" t="s">
        <v>36</v>
      </c>
      <c r="C1527" s="53" t="n">
        <v>386</v>
      </c>
      <c r="D1527" s="53" t="n">
        <v>2</v>
      </c>
      <c r="E1527" s="65" t="str">
        <f aca="false">IF($H1527="","",购销流水!$B386)</f>
        <v/>
      </c>
      <c r="F1527" s="55" t="str">
        <f aca="false">IF($H1527="","",购销流水!$C386)</f>
        <v/>
      </c>
      <c r="G1527" s="48" t="str">
        <f aca="false">IF($H1527="","",购销流水!$N386)</f>
        <v/>
      </c>
      <c r="H1527" s="10" t="str">
        <f aca="false">IF($L1527="","",IF($L1527="@成本",购销流水!$U386,IF($L1527="@收入",购销流水!$T386,IF($L1527="@存货",购销流水!$S386,IF($L1527="@结算",购销流水!$R386,$L1527)))))</f>
        <v/>
      </c>
      <c r="I1527" s="42" t="n">
        <f aca="false">IF($M1527="借",$O1527,0)</f>
        <v>0</v>
      </c>
      <c r="J1527" s="42" t="n">
        <f aca="false">IF($M1527="贷",$O1527,0)</f>
        <v>0</v>
      </c>
      <c r="K1527" s="48" t="str">
        <f aca="false">IF($H1527="","",购销流水!$E386)</f>
        <v/>
      </c>
      <c r="L1527" s="66" t="str">
        <f aca="false">IF(购销流水!$D386="","",IFERROR(INDEX(记账规则!$A$6:$N$9,MATCH(购销流水!$D386,记账规则!$A$6:$A$9,0),6),""))</f>
        <v/>
      </c>
      <c r="M1527" s="66" t="str">
        <f aca="false">IF($L1527="","",IFERROR(INDEX(记账规则!$A$6:$N$9,MATCH(购销流水!$D386,记账规则!$A$6:$A$9,0),7),""))</f>
        <v/>
      </c>
      <c r="N1527" s="66" t="str">
        <f aca="false">IF($L1527="","",IFERROR(INDEX(记账规则!$A$6:$N$9,MATCH(购销流水!$D386,记账规则!$A$6:$A$9,0),8),""))</f>
        <v/>
      </c>
      <c r="O1527" s="67" t="n">
        <f aca="false">IF($H1527="",0,ROUND(IF($N1527="成本金额",N(购销流水!$W386),IF($N1527="金额",N(购销流水!$Q386),0)),2))</f>
        <v>0</v>
      </c>
      <c r="P1527" s="64" t="str">
        <f aca="false">IF(AND($H1527&lt;&gt;"",ROUND($O1527,2)&lt;&gt;0),"有","")</f>
        <v/>
      </c>
    </row>
    <row r="1528" customFormat="false" ht="15" hidden="true" customHeight="false" outlineLevel="0" collapsed="false">
      <c r="A1528" s="53" t="str">
        <f aca="false">IF($H1528="","",ROW()-5)</f>
        <v/>
      </c>
      <c r="B1528" s="64" t="s">
        <v>36</v>
      </c>
      <c r="C1528" s="53" t="n">
        <v>386</v>
      </c>
      <c r="D1528" s="53" t="n">
        <v>3</v>
      </c>
      <c r="E1528" s="65" t="str">
        <f aca="false">IF($H1528="","",购销流水!$B386)</f>
        <v/>
      </c>
      <c r="F1528" s="55" t="str">
        <f aca="false">IF($H1528="","",购销流水!$C386)</f>
        <v/>
      </c>
      <c r="G1528" s="48" t="str">
        <f aca="false">IF($H1528="","",购销流水!$N386)</f>
        <v/>
      </c>
      <c r="H1528" s="10" t="str">
        <f aca="false">IF($L1528="","",IF($L1528="@成本",购销流水!$U386,IF($L1528="@收入",购销流水!$T386,IF($L1528="@存货",购销流水!$S386,IF($L1528="@结算",购销流水!$R386,$L1528)))))</f>
        <v/>
      </c>
      <c r="I1528" s="42" t="n">
        <f aca="false">IF($M1528="借",$O1528,0)</f>
        <v>0</v>
      </c>
      <c r="J1528" s="42" t="n">
        <f aca="false">IF($M1528="贷",$O1528,0)</f>
        <v>0</v>
      </c>
      <c r="K1528" s="48" t="str">
        <f aca="false">IF($H1528="","",购销流水!$E386)</f>
        <v/>
      </c>
      <c r="L1528" s="66" t="str">
        <f aca="false">IF(购销流水!$D386="","",IFERROR(INDEX(记账规则!$A$6:$N$9,MATCH(购销流水!$D386,记账规则!$A$6:$A$9,0),9),""))</f>
        <v/>
      </c>
      <c r="M1528" s="66" t="str">
        <f aca="false">IF($L1528="","",IFERROR(INDEX(记账规则!$A$6:$N$9,MATCH(购销流水!$D386,记账规则!$A$6:$A$9,0),10),""))</f>
        <v/>
      </c>
      <c r="N1528" s="66" t="str">
        <f aca="false">IF($L1528="","",IFERROR(INDEX(记账规则!$A$6:$N$9,MATCH(购销流水!$D386,记账规则!$A$6:$A$9,0),11),""))</f>
        <v/>
      </c>
      <c r="O1528" s="67" t="n">
        <f aca="false">IF($H1528="",0,ROUND(IF($N1528="成本金额",N(购销流水!$W386),IF($N1528="金额",N(购销流水!$Q386),0)),2))</f>
        <v>0</v>
      </c>
      <c r="P1528" s="64" t="str">
        <f aca="false">IF(AND($H1528&lt;&gt;"",ROUND($O1528,2)&lt;&gt;0),"有","")</f>
        <v/>
      </c>
    </row>
    <row r="1529" customFormat="false" ht="15" hidden="true" customHeight="false" outlineLevel="0" collapsed="false">
      <c r="A1529" s="53" t="str">
        <f aca="false">IF($H1529="","",ROW()-5)</f>
        <v/>
      </c>
      <c r="B1529" s="64" t="s">
        <v>36</v>
      </c>
      <c r="C1529" s="53" t="n">
        <v>386</v>
      </c>
      <c r="D1529" s="53" t="n">
        <v>4</v>
      </c>
      <c r="E1529" s="65" t="str">
        <f aca="false">IF($H1529="","",购销流水!$B386)</f>
        <v/>
      </c>
      <c r="F1529" s="55" t="str">
        <f aca="false">IF($H1529="","",购销流水!$C386)</f>
        <v/>
      </c>
      <c r="G1529" s="48" t="str">
        <f aca="false">IF($H1529="","",购销流水!$N386)</f>
        <v/>
      </c>
      <c r="H1529" s="10" t="str">
        <f aca="false">IF($L1529="","",IF($L1529="@成本",购销流水!$U386,IF($L1529="@收入",购销流水!$T386,IF($L1529="@存货",购销流水!$S386,IF($L1529="@结算",购销流水!$R386,$L1529)))))</f>
        <v/>
      </c>
      <c r="I1529" s="42" t="n">
        <f aca="false">IF($M1529="借",$O1529,0)</f>
        <v>0</v>
      </c>
      <c r="J1529" s="42" t="n">
        <f aca="false">IF($M1529="贷",$O1529,0)</f>
        <v>0</v>
      </c>
      <c r="K1529" s="48" t="str">
        <f aca="false">IF($H1529="","",购销流水!$E386)</f>
        <v/>
      </c>
      <c r="L1529" s="66" t="str">
        <f aca="false">IF(购销流水!$D386="","",IFERROR(INDEX(记账规则!$A$6:$N$9,MATCH(购销流水!$D386,记账规则!$A$6:$A$9,0),12),""))</f>
        <v/>
      </c>
      <c r="M1529" s="66" t="str">
        <f aca="false">IF($L1529="","",IFERROR(INDEX(记账规则!$A$6:$N$9,MATCH(购销流水!$D386,记账规则!$A$6:$A$9,0),13),""))</f>
        <v/>
      </c>
      <c r="N1529" s="66" t="str">
        <f aca="false">IF($L1529="","",IFERROR(INDEX(记账规则!$A$6:$N$9,MATCH(购销流水!$D386,记账规则!$A$6:$A$9,0),14),""))</f>
        <v/>
      </c>
      <c r="O1529" s="67" t="n">
        <f aca="false">IF($H1529="",0,ROUND(IF($N1529="成本金额",N(购销流水!$W386),IF($N1529="金额",N(购销流水!$Q386),0)),2))</f>
        <v>0</v>
      </c>
      <c r="P1529" s="64" t="str">
        <f aca="false">IF(AND($H1529&lt;&gt;"",ROUND($O1529,2)&lt;&gt;0),"有","")</f>
        <v/>
      </c>
    </row>
    <row r="1530" customFormat="false" ht="15" hidden="true" customHeight="false" outlineLevel="0" collapsed="false">
      <c r="A1530" s="53" t="str">
        <f aca="false">IF($H1530="","",ROW()-5)</f>
        <v/>
      </c>
      <c r="B1530" s="64" t="s">
        <v>36</v>
      </c>
      <c r="C1530" s="53" t="n">
        <v>387</v>
      </c>
      <c r="D1530" s="53" t="n">
        <v>1</v>
      </c>
      <c r="E1530" s="65" t="str">
        <f aca="false">IF($H1530="","",购销流水!$B387)</f>
        <v/>
      </c>
      <c r="F1530" s="55" t="str">
        <f aca="false">IF($H1530="","",购销流水!$C387)</f>
        <v/>
      </c>
      <c r="G1530" s="48" t="str">
        <f aca="false">IF($H1530="","",购销流水!$N387)</f>
        <v/>
      </c>
      <c r="H1530" s="10" t="str">
        <f aca="false">IF($L1530="","",IF($L1530="@成本",购销流水!$U387,IF($L1530="@收入",购销流水!$T387,IF($L1530="@存货",购销流水!$S387,IF($L1530="@结算",购销流水!$R387,$L1530)))))</f>
        <v/>
      </c>
      <c r="I1530" s="42" t="n">
        <f aca="false">IF($M1530="借",$O1530,0)</f>
        <v>0</v>
      </c>
      <c r="J1530" s="42" t="n">
        <f aca="false">IF($M1530="贷",$O1530,0)</f>
        <v>0</v>
      </c>
      <c r="K1530" s="48" t="str">
        <f aca="false">IF($H1530="","",购销流水!$E387)</f>
        <v/>
      </c>
      <c r="L1530" s="66" t="str">
        <f aca="false">IF(购销流水!$D387="","",IFERROR(INDEX(记账规则!$A$6:$N$9,MATCH(购销流水!$D387,记账规则!$A$6:$A$9,0),3),""))</f>
        <v/>
      </c>
      <c r="M1530" s="66" t="str">
        <f aca="false">IF($L1530="","",IFERROR(INDEX(记账规则!$A$6:$N$9,MATCH(购销流水!$D387,记账规则!$A$6:$A$9,0),4),""))</f>
        <v/>
      </c>
      <c r="N1530" s="66" t="str">
        <f aca="false">IF($L1530="","",IFERROR(INDEX(记账规则!$A$6:$N$9,MATCH(购销流水!$D387,记账规则!$A$6:$A$9,0),5),""))</f>
        <v/>
      </c>
      <c r="O1530" s="67" t="n">
        <f aca="false">IF($H1530="",0,ROUND(IF($N1530="成本金额",N(购销流水!$W387),IF($N1530="金额",N(购销流水!$Q387),0)),2))</f>
        <v>0</v>
      </c>
      <c r="P1530" s="64" t="str">
        <f aca="false">IF(AND($H1530&lt;&gt;"",ROUND($O1530,2)&lt;&gt;0),"有","")</f>
        <v/>
      </c>
    </row>
    <row r="1531" customFormat="false" ht="15" hidden="true" customHeight="false" outlineLevel="0" collapsed="false">
      <c r="A1531" s="53" t="str">
        <f aca="false">IF($H1531="","",ROW()-5)</f>
        <v/>
      </c>
      <c r="B1531" s="64" t="s">
        <v>36</v>
      </c>
      <c r="C1531" s="53" t="n">
        <v>387</v>
      </c>
      <c r="D1531" s="53" t="n">
        <v>2</v>
      </c>
      <c r="E1531" s="65" t="str">
        <f aca="false">IF($H1531="","",购销流水!$B387)</f>
        <v/>
      </c>
      <c r="F1531" s="55" t="str">
        <f aca="false">IF($H1531="","",购销流水!$C387)</f>
        <v/>
      </c>
      <c r="G1531" s="48" t="str">
        <f aca="false">IF($H1531="","",购销流水!$N387)</f>
        <v/>
      </c>
      <c r="H1531" s="10" t="str">
        <f aca="false">IF($L1531="","",IF($L1531="@成本",购销流水!$U387,IF($L1531="@收入",购销流水!$T387,IF($L1531="@存货",购销流水!$S387,IF($L1531="@结算",购销流水!$R387,$L1531)))))</f>
        <v/>
      </c>
      <c r="I1531" s="42" t="n">
        <f aca="false">IF($M1531="借",$O1531,0)</f>
        <v>0</v>
      </c>
      <c r="J1531" s="42" t="n">
        <f aca="false">IF($M1531="贷",$O1531,0)</f>
        <v>0</v>
      </c>
      <c r="K1531" s="48" t="str">
        <f aca="false">IF($H1531="","",购销流水!$E387)</f>
        <v/>
      </c>
      <c r="L1531" s="66" t="str">
        <f aca="false">IF(购销流水!$D387="","",IFERROR(INDEX(记账规则!$A$6:$N$9,MATCH(购销流水!$D387,记账规则!$A$6:$A$9,0),6),""))</f>
        <v/>
      </c>
      <c r="M1531" s="66" t="str">
        <f aca="false">IF($L1531="","",IFERROR(INDEX(记账规则!$A$6:$N$9,MATCH(购销流水!$D387,记账规则!$A$6:$A$9,0),7),""))</f>
        <v/>
      </c>
      <c r="N1531" s="66" t="str">
        <f aca="false">IF($L1531="","",IFERROR(INDEX(记账规则!$A$6:$N$9,MATCH(购销流水!$D387,记账规则!$A$6:$A$9,0),8),""))</f>
        <v/>
      </c>
      <c r="O1531" s="67" t="n">
        <f aca="false">IF($H1531="",0,ROUND(IF($N1531="成本金额",N(购销流水!$W387),IF($N1531="金额",N(购销流水!$Q387),0)),2))</f>
        <v>0</v>
      </c>
      <c r="P1531" s="64" t="str">
        <f aca="false">IF(AND($H1531&lt;&gt;"",ROUND($O1531,2)&lt;&gt;0),"有","")</f>
        <v/>
      </c>
    </row>
    <row r="1532" customFormat="false" ht="15" hidden="true" customHeight="false" outlineLevel="0" collapsed="false">
      <c r="A1532" s="53" t="str">
        <f aca="false">IF($H1532="","",ROW()-5)</f>
        <v/>
      </c>
      <c r="B1532" s="64" t="s">
        <v>36</v>
      </c>
      <c r="C1532" s="53" t="n">
        <v>387</v>
      </c>
      <c r="D1532" s="53" t="n">
        <v>3</v>
      </c>
      <c r="E1532" s="65" t="str">
        <f aca="false">IF($H1532="","",购销流水!$B387)</f>
        <v/>
      </c>
      <c r="F1532" s="55" t="str">
        <f aca="false">IF($H1532="","",购销流水!$C387)</f>
        <v/>
      </c>
      <c r="G1532" s="48" t="str">
        <f aca="false">IF($H1532="","",购销流水!$N387)</f>
        <v/>
      </c>
      <c r="H1532" s="10" t="str">
        <f aca="false">IF($L1532="","",IF($L1532="@成本",购销流水!$U387,IF($L1532="@收入",购销流水!$T387,IF($L1532="@存货",购销流水!$S387,IF($L1532="@结算",购销流水!$R387,$L1532)))))</f>
        <v/>
      </c>
      <c r="I1532" s="42" t="n">
        <f aca="false">IF($M1532="借",$O1532,0)</f>
        <v>0</v>
      </c>
      <c r="J1532" s="42" t="n">
        <f aca="false">IF($M1532="贷",$O1532,0)</f>
        <v>0</v>
      </c>
      <c r="K1532" s="48" t="str">
        <f aca="false">IF($H1532="","",购销流水!$E387)</f>
        <v/>
      </c>
      <c r="L1532" s="66" t="str">
        <f aca="false">IF(购销流水!$D387="","",IFERROR(INDEX(记账规则!$A$6:$N$9,MATCH(购销流水!$D387,记账规则!$A$6:$A$9,0),9),""))</f>
        <v/>
      </c>
      <c r="M1532" s="66" t="str">
        <f aca="false">IF($L1532="","",IFERROR(INDEX(记账规则!$A$6:$N$9,MATCH(购销流水!$D387,记账规则!$A$6:$A$9,0),10),""))</f>
        <v/>
      </c>
      <c r="N1532" s="66" t="str">
        <f aca="false">IF($L1532="","",IFERROR(INDEX(记账规则!$A$6:$N$9,MATCH(购销流水!$D387,记账规则!$A$6:$A$9,0),11),""))</f>
        <v/>
      </c>
      <c r="O1532" s="67" t="n">
        <f aca="false">IF($H1532="",0,ROUND(IF($N1532="成本金额",N(购销流水!$W387),IF($N1532="金额",N(购销流水!$Q387),0)),2))</f>
        <v>0</v>
      </c>
      <c r="P1532" s="64" t="str">
        <f aca="false">IF(AND($H1532&lt;&gt;"",ROUND($O1532,2)&lt;&gt;0),"有","")</f>
        <v/>
      </c>
    </row>
    <row r="1533" customFormat="false" ht="15" hidden="true" customHeight="false" outlineLevel="0" collapsed="false">
      <c r="A1533" s="53" t="str">
        <f aca="false">IF($H1533="","",ROW()-5)</f>
        <v/>
      </c>
      <c r="B1533" s="64" t="s">
        <v>36</v>
      </c>
      <c r="C1533" s="53" t="n">
        <v>387</v>
      </c>
      <c r="D1533" s="53" t="n">
        <v>4</v>
      </c>
      <c r="E1533" s="65" t="str">
        <f aca="false">IF($H1533="","",购销流水!$B387)</f>
        <v/>
      </c>
      <c r="F1533" s="55" t="str">
        <f aca="false">IF($H1533="","",购销流水!$C387)</f>
        <v/>
      </c>
      <c r="G1533" s="48" t="str">
        <f aca="false">IF($H1533="","",购销流水!$N387)</f>
        <v/>
      </c>
      <c r="H1533" s="10" t="str">
        <f aca="false">IF($L1533="","",IF($L1533="@成本",购销流水!$U387,IF($L1533="@收入",购销流水!$T387,IF($L1533="@存货",购销流水!$S387,IF($L1533="@结算",购销流水!$R387,$L1533)))))</f>
        <v/>
      </c>
      <c r="I1533" s="42" t="n">
        <f aca="false">IF($M1533="借",$O1533,0)</f>
        <v>0</v>
      </c>
      <c r="J1533" s="42" t="n">
        <f aca="false">IF($M1533="贷",$O1533,0)</f>
        <v>0</v>
      </c>
      <c r="K1533" s="48" t="str">
        <f aca="false">IF($H1533="","",购销流水!$E387)</f>
        <v/>
      </c>
      <c r="L1533" s="66" t="str">
        <f aca="false">IF(购销流水!$D387="","",IFERROR(INDEX(记账规则!$A$6:$N$9,MATCH(购销流水!$D387,记账规则!$A$6:$A$9,0),12),""))</f>
        <v/>
      </c>
      <c r="M1533" s="66" t="str">
        <f aca="false">IF($L1533="","",IFERROR(INDEX(记账规则!$A$6:$N$9,MATCH(购销流水!$D387,记账规则!$A$6:$A$9,0),13),""))</f>
        <v/>
      </c>
      <c r="N1533" s="66" t="str">
        <f aca="false">IF($L1533="","",IFERROR(INDEX(记账规则!$A$6:$N$9,MATCH(购销流水!$D387,记账规则!$A$6:$A$9,0),14),""))</f>
        <v/>
      </c>
      <c r="O1533" s="67" t="n">
        <f aca="false">IF($H1533="",0,ROUND(IF($N1533="成本金额",N(购销流水!$W387),IF($N1533="金额",N(购销流水!$Q387),0)),2))</f>
        <v>0</v>
      </c>
      <c r="P1533" s="64" t="str">
        <f aca="false">IF(AND($H1533&lt;&gt;"",ROUND($O1533,2)&lt;&gt;0),"有","")</f>
        <v/>
      </c>
    </row>
    <row r="1534" customFormat="false" ht="15" hidden="true" customHeight="false" outlineLevel="0" collapsed="false">
      <c r="A1534" s="53" t="str">
        <f aca="false">IF($H1534="","",ROW()-5)</f>
        <v/>
      </c>
      <c r="B1534" s="64" t="s">
        <v>36</v>
      </c>
      <c r="C1534" s="53" t="n">
        <v>388</v>
      </c>
      <c r="D1534" s="53" t="n">
        <v>1</v>
      </c>
      <c r="E1534" s="65" t="str">
        <f aca="false">IF($H1534="","",购销流水!$B388)</f>
        <v/>
      </c>
      <c r="F1534" s="55" t="str">
        <f aca="false">IF($H1534="","",购销流水!$C388)</f>
        <v/>
      </c>
      <c r="G1534" s="48" t="str">
        <f aca="false">IF($H1534="","",购销流水!$N388)</f>
        <v/>
      </c>
      <c r="H1534" s="10" t="str">
        <f aca="false">IF($L1534="","",IF($L1534="@成本",购销流水!$U388,IF($L1534="@收入",购销流水!$T388,IF($L1534="@存货",购销流水!$S388,IF($L1534="@结算",购销流水!$R388,$L1534)))))</f>
        <v/>
      </c>
      <c r="I1534" s="42" t="n">
        <f aca="false">IF($M1534="借",$O1534,0)</f>
        <v>0</v>
      </c>
      <c r="J1534" s="42" t="n">
        <f aca="false">IF($M1534="贷",$O1534,0)</f>
        <v>0</v>
      </c>
      <c r="K1534" s="48" t="str">
        <f aca="false">IF($H1534="","",购销流水!$E388)</f>
        <v/>
      </c>
      <c r="L1534" s="66" t="str">
        <f aca="false">IF(购销流水!$D388="","",IFERROR(INDEX(记账规则!$A$6:$N$9,MATCH(购销流水!$D388,记账规则!$A$6:$A$9,0),3),""))</f>
        <v/>
      </c>
      <c r="M1534" s="66" t="str">
        <f aca="false">IF($L1534="","",IFERROR(INDEX(记账规则!$A$6:$N$9,MATCH(购销流水!$D388,记账规则!$A$6:$A$9,0),4),""))</f>
        <v/>
      </c>
      <c r="N1534" s="66" t="str">
        <f aca="false">IF($L1534="","",IFERROR(INDEX(记账规则!$A$6:$N$9,MATCH(购销流水!$D388,记账规则!$A$6:$A$9,0),5),""))</f>
        <v/>
      </c>
      <c r="O1534" s="67" t="n">
        <f aca="false">IF($H1534="",0,ROUND(IF($N1534="成本金额",N(购销流水!$W388),IF($N1534="金额",N(购销流水!$Q388),0)),2))</f>
        <v>0</v>
      </c>
      <c r="P1534" s="64" t="str">
        <f aca="false">IF(AND($H1534&lt;&gt;"",ROUND($O1534,2)&lt;&gt;0),"有","")</f>
        <v/>
      </c>
    </row>
    <row r="1535" customFormat="false" ht="15" hidden="true" customHeight="false" outlineLevel="0" collapsed="false">
      <c r="A1535" s="53" t="str">
        <f aca="false">IF($H1535="","",ROW()-5)</f>
        <v/>
      </c>
      <c r="B1535" s="64" t="s">
        <v>36</v>
      </c>
      <c r="C1535" s="53" t="n">
        <v>388</v>
      </c>
      <c r="D1535" s="53" t="n">
        <v>2</v>
      </c>
      <c r="E1535" s="65" t="str">
        <f aca="false">IF($H1535="","",购销流水!$B388)</f>
        <v/>
      </c>
      <c r="F1535" s="55" t="str">
        <f aca="false">IF($H1535="","",购销流水!$C388)</f>
        <v/>
      </c>
      <c r="G1535" s="48" t="str">
        <f aca="false">IF($H1535="","",购销流水!$N388)</f>
        <v/>
      </c>
      <c r="H1535" s="10" t="str">
        <f aca="false">IF($L1535="","",IF($L1535="@成本",购销流水!$U388,IF($L1535="@收入",购销流水!$T388,IF($L1535="@存货",购销流水!$S388,IF($L1535="@结算",购销流水!$R388,$L1535)))))</f>
        <v/>
      </c>
      <c r="I1535" s="42" t="n">
        <f aca="false">IF($M1535="借",$O1535,0)</f>
        <v>0</v>
      </c>
      <c r="J1535" s="42" t="n">
        <f aca="false">IF($M1535="贷",$O1535,0)</f>
        <v>0</v>
      </c>
      <c r="K1535" s="48" t="str">
        <f aca="false">IF($H1535="","",购销流水!$E388)</f>
        <v/>
      </c>
      <c r="L1535" s="66" t="str">
        <f aca="false">IF(购销流水!$D388="","",IFERROR(INDEX(记账规则!$A$6:$N$9,MATCH(购销流水!$D388,记账规则!$A$6:$A$9,0),6),""))</f>
        <v/>
      </c>
      <c r="M1535" s="66" t="str">
        <f aca="false">IF($L1535="","",IFERROR(INDEX(记账规则!$A$6:$N$9,MATCH(购销流水!$D388,记账规则!$A$6:$A$9,0),7),""))</f>
        <v/>
      </c>
      <c r="N1535" s="66" t="str">
        <f aca="false">IF($L1535="","",IFERROR(INDEX(记账规则!$A$6:$N$9,MATCH(购销流水!$D388,记账规则!$A$6:$A$9,0),8),""))</f>
        <v/>
      </c>
      <c r="O1535" s="67" t="n">
        <f aca="false">IF($H1535="",0,ROUND(IF($N1535="成本金额",N(购销流水!$W388),IF($N1535="金额",N(购销流水!$Q388),0)),2))</f>
        <v>0</v>
      </c>
      <c r="P1535" s="64" t="str">
        <f aca="false">IF(AND($H1535&lt;&gt;"",ROUND($O1535,2)&lt;&gt;0),"有","")</f>
        <v/>
      </c>
    </row>
    <row r="1536" customFormat="false" ht="15" hidden="true" customHeight="false" outlineLevel="0" collapsed="false">
      <c r="A1536" s="53" t="str">
        <f aca="false">IF($H1536="","",ROW()-5)</f>
        <v/>
      </c>
      <c r="B1536" s="64" t="s">
        <v>36</v>
      </c>
      <c r="C1536" s="53" t="n">
        <v>388</v>
      </c>
      <c r="D1536" s="53" t="n">
        <v>3</v>
      </c>
      <c r="E1536" s="65" t="str">
        <f aca="false">IF($H1536="","",购销流水!$B388)</f>
        <v/>
      </c>
      <c r="F1536" s="55" t="str">
        <f aca="false">IF($H1536="","",购销流水!$C388)</f>
        <v/>
      </c>
      <c r="G1536" s="48" t="str">
        <f aca="false">IF($H1536="","",购销流水!$N388)</f>
        <v/>
      </c>
      <c r="H1536" s="10" t="str">
        <f aca="false">IF($L1536="","",IF($L1536="@成本",购销流水!$U388,IF($L1536="@收入",购销流水!$T388,IF($L1536="@存货",购销流水!$S388,IF($L1536="@结算",购销流水!$R388,$L1536)))))</f>
        <v/>
      </c>
      <c r="I1536" s="42" t="n">
        <f aca="false">IF($M1536="借",$O1536,0)</f>
        <v>0</v>
      </c>
      <c r="J1536" s="42" t="n">
        <f aca="false">IF($M1536="贷",$O1536,0)</f>
        <v>0</v>
      </c>
      <c r="K1536" s="48" t="str">
        <f aca="false">IF($H1536="","",购销流水!$E388)</f>
        <v/>
      </c>
      <c r="L1536" s="66" t="str">
        <f aca="false">IF(购销流水!$D388="","",IFERROR(INDEX(记账规则!$A$6:$N$9,MATCH(购销流水!$D388,记账规则!$A$6:$A$9,0),9),""))</f>
        <v/>
      </c>
      <c r="M1536" s="66" t="str">
        <f aca="false">IF($L1536="","",IFERROR(INDEX(记账规则!$A$6:$N$9,MATCH(购销流水!$D388,记账规则!$A$6:$A$9,0),10),""))</f>
        <v/>
      </c>
      <c r="N1536" s="66" t="str">
        <f aca="false">IF($L1536="","",IFERROR(INDEX(记账规则!$A$6:$N$9,MATCH(购销流水!$D388,记账规则!$A$6:$A$9,0),11),""))</f>
        <v/>
      </c>
      <c r="O1536" s="67" t="n">
        <f aca="false">IF($H1536="",0,ROUND(IF($N1536="成本金额",N(购销流水!$W388),IF($N1536="金额",N(购销流水!$Q388),0)),2))</f>
        <v>0</v>
      </c>
      <c r="P1536" s="64" t="str">
        <f aca="false">IF(AND($H1536&lt;&gt;"",ROUND($O1536,2)&lt;&gt;0),"有","")</f>
        <v/>
      </c>
    </row>
    <row r="1537" customFormat="false" ht="15" hidden="true" customHeight="false" outlineLevel="0" collapsed="false">
      <c r="A1537" s="53" t="str">
        <f aca="false">IF($H1537="","",ROW()-5)</f>
        <v/>
      </c>
      <c r="B1537" s="64" t="s">
        <v>36</v>
      </c>
      <c r="C1537" s="53" t="n">
        <v>388</v>
      </c>
      <c r="D1537" s="53" t="n">
        <v>4</v>
      </c>
      <c r="E1537" s="65" t="str">
        <f aca="false">IF($H1537="","",购销流水!$B388)</f>
        <v/>
      </c>
      <c r="F1537" s="55" t="str">
        <f aca="false">IF($H1537="","",购销流水!$C388)</f>
        <v/>
      </c>
      <c r="G1537" s="48" t="str">
        <f aca="false">IF($H1537="","",购销流水!$N388)</f>
        <v/>
      </c>
      <c r="H1537" s="10" t="str">
        <f aca="false">IF($L1537="","",IF($L1537="@成本",购销流水!$U388,IF($L1537="@收入",购销流水!$T388,IF($L1537="@存货",购销流水!$S388,IF($L1537="@结算",购销流水!$R388,$L1537)))))</f>
        <v/>
      </c>
      <c r="I1537" s="42" t="n">
        <f aca="false">IF($M1537="借",$O1537,0)</f>
        <v>0</v>
      </c>
      <c r="J1537" s="42" t="n">
        <f aca="false">IF($M1537="贷",$O1537,0)</f>
        <v>0</v>
      </c>
      <c r="K1537" s="48" t="str">
        <f aca="false">IF($H1537="","",购销流水!$E388)</f>
        <v/>
      </c>
      <c r="L1537" s="66" t="str">
        <f aca="false">IF(购销流水!$D388="","",IFERROR(INDEX(记账规则!$A$6:$N$9,MATCH(购销流水!$D388,记账规则!$A$6:$A$9,0),12),""))</f>
        <v/>
      </c>
      <c r="M1537" s="66" t="str">
        <f aca="false">IF($L1537="","",IFERROR(INDEX(记账规则!$A$6:$N$9,MATCH(购销流水!$D388,记账规则!$A$6:$A$9,0),13),""))</f>
        <v/>
      </c>
      <c r="N1537" s="66" t="str">
        <f aca="false">IF($L1537="","",IFERROR(INDEX(记账规则!$A$6:$N$9,MATCH(购销流水!$D388,记账规则!$A$6:$A$9,0),14),""))</f>
        <v/>
      </c>
      <c r="O1537" s="67" t="n">
        <f aca="false">IF($H1537="",0,ROUND(IF($N1537="成本金额",N(购销流水!$W388),IF($N1537="金额",N(购销流水!$Q388),0)),2))</f>
        <v>0</v>
      </c>
      <c r="P1537" s="64" t="str">
        <f aca="false">IF(AND($H1537&lt;&gt;"",ROUND($O1537,2)&lt;&gt;0),"有","")</f>
        <v/>
      </c>
    </row>
    <row r="1538" customFormat="false" ht="15" hidden="true" customHeight="false" outlineLevel="0" collapsed="false">
      <c r="A1538" s="53" t="str">
        <f aca="false">IF($H1538="","",ROW()-5)</f>
        <v/>
      </c>
      <c r="B1538" s="64" t="s">
        <v>36</v>
      </c>
      <c r="C1538" s="53" t="n">
        <v>389</v>
      </c>
      <c r="D1538" s="53" t="n">
        <v>1</v>
      </c>
      <c r="E1538" s="65" t="str">
        <f aca="false">IF($H1538="","",购销流水!$B389)</f>
        <v/>
      </c>
      <c r="F1538" s="55" t="str">
        <f aca="false">IF($H1538="","",购销流水!$C389)</f>
        <v/>
      </c>
      <c r="G1538" s="48" t="str">
        <f aca="false">IF($H1538="","",购销流水!$N389)</f>
        <v/>
      </c>
      <c r="H1538" s="10" t="str">
        <f aca="false">IF($L1538="","",IF($L1538="@成本",购销流水!$U389,IF($L1538="@收入",购销流水!$T389,IF($L1538="@存货",购销流水!$S389,IF($L1538="@结算",购销流水!$R389,$L1538)))))</f>
        <v/>
      </c>
      <c r="I1538" s="42" t="n">
        <f aca="false">IF($M1538="借",$O1538,0)</f>
        <v>0</v>
      </c>
      <c r="J1538" s="42" t="n">
        <f aca="false">IF($M1538="贷",$O1538,0)</f>
        <v>0</v>
      </c>
      <c r="K1538" s="48" t="str">
        <f aca="false">IF($H1538="","",购销流水!$E389)</f>
        <v/>
      </c>
      <c r="L1538" s="66" t="str">
        <f aca="false">IF(购销流水!$D389="","",IFERROR(INDEX(记账规则!$A$6:$N$9,MATCH(购销流水!$D389,记账规则!$A$6:$A$9,0),3),""))</f>
        <v/>
      </c>
      <c r="M1538" s="66" t="str">
        <f aca="false">IF($L1538="","",IFERROR(INDEX(记账规则!$A$6:$N$9,MATCH(购销流水!$D389,记账规则!$A$6:$A$9,0),4),""))</f>
        <v/>
      </c>
      <c r="N1538" s="66" t="str">
        <f aca="false">IF($L1538="","",IFERROR(INDEX(记账规则!$A$6:$N$9,MATCH(购销流水!$D389,记账规则!$A$6:$A$9,0),5),""))</f>
        <v/>
      </c>
      <c r="O1538" s="67" t="n">
        <f aca="false">IF($H1538="",0,ROUND(IF($N1538="成本金额",N(购销流水!$W389),IF($N1538="金额",N(购销流水!$Q389),0)),2))</f>
        <v>0</v>
      </c>
      <c r="P1538" s="64" t="str">
        <f aca="false">IF(AND($H1538&lt;&gt;"",ROUND($O1538,2)&lt;&gt;0),"有","")</f>
        <v/>
      </c>
    </row>
    <row r="1539" customFormat="false" ht="15" hidden="true" customHeight="false" outlineLevel="0" collapsed="false">
      <c r="A1539" s="53" t="str">
        <f aca="false">IF($H1539="","",ROW()-5)</f>
        <v/>
      </c>
      <c r="B1539" s="64" t="s">
        <v>36</v>
      </c>
      <c r="C1539" s="53" t="n">
        <v>389</v>
      </c>
      <c r="D1539" s="53" t="n">
        <v>2</v>
      </c>
      <c r="E1539" s="65" t="str">
        <f aca="false">IF($H1539="","",购销流水!$B389)</f>
        <v/>
      </c>
      <c r="F1539" s="55" t="str">
        <f aca="false">IF($H1539="","",购销流水!$C389)</f>
        <v/>
      </c>
      <c r="G1539" s="48" t="str">
        <f aca="false">IF($H1539="","",购销流水!$N389)</f>
        <v/>
      </c>
      <c r="H1539" s="10" t="str">
        <f aca="false">IF($L1539="","",IF($L1539="@成本",购销流水!$U389,IF($L1539="@收入",购销流水!$T389,IF($L1539="@存货",购销流水!$S389,IF($L1539="@结算",购销流水!$R389,$L1539)))))</f>
        <v/>
      </c>
      <c r="I1539" s="42" t="n">
        <f aca="false">IF($M1539="借",$O1539,0)</f>
        <v>0</v>
      </c>
      <c r="J1539" s="42" t="n">
        <f aca="false">IF($M1539="贷",$O1539,0)</f>
        <v>0</v>
      </c>
      <c r="K1539" s="48" t="str">
        <f aca="false">IF($H1539="","",购销流水!$E389)</f>
        <v/>
      </c>
      <c r="L1539" s="66" t="str">
        <f aca="false">IF(购销流水!$D389="","",IFERROR(INDEX(记账规则!$A$6:$N$9,MATCH(购销流水!$D389,记账规则!$A$6:$A$9,0),6),""))</f>
        <v/>
      </c>
      <c r="M1539" s="66" t="str">
        <f aca="false">IF($L1539="","",IFERROR(INDEX(记账规则!$A$6:$N$9,MATCH(购销流水!$D389,记账规则!$A$6:$A$9,0),7),""))</f>
        <v/>
      </c>
      <c r="N1539" s="66" t="str">
        <f aca="false">IF($L1539="","",IFERROR(INDEX(记账规则!$A$6:$N$9,MATCH(购销流水!$D389,记账规则!$A$6:$A$9,0),8),""))</f>
        <v/>
      </c>
      <c r="O1539" s="67" t="n">
        <f aca="false">IF($H1539="",0,ROUND(IF($N1539="成本金额",N(购销流水!$W389),IF($N1539="金额",N(购销流水!$Q389),0)),2))</f>
        <v>0</v>
      </c>
      <c r="P1539" s="64" t="str">
        <f aca="false">IF(AND($H1539&lt;&gt;"",ROUND($O1539,2)&lt;&gt;0),"有","")</f>
        <v/>
      </c>
    </row>
    <row r="1540" customFormat="false" ht="15" hidden="true" customHeight="false" outlineLevel="0" collapsed="false">
      <c r="A1540" s="53" t="str">
        <f aca="false">IF($H1540="","",ROW()-5)</f>
        <v/>
      </c>
      <c r="B1540" s="64" t="s">
        <v>36</v>
      </c>
      <c r="C1540" s="53" t="n">
        <v>389</v>
      </c>
      <c r="D1540" s="53" t="n">
        <v>3</v>
      </c>
      <c r="E1540" s="65" t="str">
        <f aca="false">IF($H1540="","",购销流水!$B389)</f>
        <v/>
      </c>
      <c r="F1540" s="55" t="str">
        <f aca="false">IF($H1540="","",购销流水!$C389)</f>
        <v/>
      </c>
      <c r="G1540" s="48" t="str">
        <f aca="false">IF($H1540="","",购销流水!$N389)</f>
        <v/>
      </c>
      <c r="H1540" s="10" t="str">
        <f aca="false">IF($L1540="","",IF($L1540="@成本",购销流水!$U389,IF($L1540="@收入",购销流水!$T389,IF($L1540="@存货",购销流水!$S389,IF($L1540="@结算",购销流水!$R389,$L1540)))))</f>
        <v/>
      </c>
      <c r="I1540" s="42" t="n">
        <f aca="false">IF($M1540="借",$O1540,0)</f>
        <v>0</v>
      </c>
      <c r="J1540" s="42" t="n">
        <f aca="false">IF($M1540="贷",$O1540,0)</f>
        <v>0</v>
      </c>
      <c r="K1540" s="48" t="str">
        <f aca="false">IF($H1540="","",购销流水!$E389)</f>
        <v/>
      </c>
      <c r="L1540" s="66" t="str">
        <f aca="false">IF(购销流水!$D389="","",IFERROR(INDEX(记账规则!$A$6:$N$9,MATCH(购销流水!$D389,记账规则!$A$6:$A$9,0),9),""))</f>
        <v/>
      </c>
      <c r="M1540" s="66" t="str">
        <f aca="false">IF($L1540="","",IFERROR(INDEX(记账规则!$A$6:$N$9,MATCH(购销流水!$D389,记账规则!$A$6:$A$9,0),10),""))</f>
        <v/>
      </c>
      <c r="N1540" s="66" t="str">
        <f aca="false">IF($L1540="","",IFERROR(INDEX(记账规则!$A$6:$N$9,MATCH(购销流水!$D389,记账规则!$A$6:$A$9,0),11),""))</f>
        <v/>
      </c>
      <c r="O1540" s="67" t="n">
        <f aca="false">IF($H1540="",0,ROUND(IF($N1540="成本金额",N(购销流水!$W389),IF($N1540="金额",N(购销流水!$Q389),0)),2))</f>
        <v>0</v>
      </c>
      <c r="P1540" s="64" t="str">
        <f aca="false">IF(AND($H1540&lt;&gt;"",ROUND($O1540,2)&lt;&gt;0),"有","")</f>
        <v/>
      </c>
    </row>
    <row r="1541" customFormat="false" ht="15" hidden="true" customHeight="false" outlineLevel="0" collapsed="false">
      <c r="A1541" s="53" t="str">
        <f aca="false">IF($H1541="","",ROW()-5)</f>
        <v/>
      </c>
      <c r="B1541" s="64" t="s">
        <v>36</v>
      </c>
      <c r="C1541" s="53" t="n">
        <v>389</v>
      </c>
      <c r="D1541" s="53" t="n">
        <v>4</v>
      </c>
      <c r="E1541" s="65" t="str">
        <f aca="false">IF($H1541="","",购销流水!$B389)</f>
        <v/>
      </c>
      <c r="F1541" s="55" t="str">
        <f aca="false">IF($H1541="","",购销流水!$C389)</f>
        <v/>
      </c>
      <c r="G1541" s="48" t="str">
        <f aca="false">IF($H1541="","",购销流水!$N389)</f>
        <v/>
      </c>
      <c r="H1541" s="10" t="str">
        <f aca="false">IF($L1541="","",IF($L1541="@成本",购销流水!$U389,IF($L1541="@收入",购销流水!$T389,IF($L1541="@存货",购销流水!$S389,IF($L1541="@结算",购销流水!$R389,$L1541)))))</f>
        <v/>
      </c>
      <c r="I1541" s="42" t="n">
        <f aca="false">IF($M1541="借",$O1541,0)</f>
        <v>0</v>
      </c>
      <c r="J1541" s="42" t="n">
        <f aca="false">IF($M1541="贷",$O1541,0)</f>
        <v>0</v>
      </c>
      <c r="K1541" s="48" t="str">
        <f aca="false">IF($H1541="","",购销流水!$E389)</f>
        <v/>
      </c>
      <c r="L1541" s="66" t="str">
        <f aca="false">IF(购销流水!$D389="","",IFERROR(INDEX(记账规则!$A$6:$N$9,MATCH(购销流水!$D389,记账规则!$A$6:$A$9,0),12),""))</f>
        <v/>
      </c>
      <c r="M1541" s="66" t="str">
        <f aca="false">IF($L1541="","",IFERROR(INDEX(记账规则!$A$6:$N$9,MATCH(购销流水!$D389,记账规则!$A$6:$A$9,0),13),""))</f>
        <v/>
      </c>
      <c r="N1541" s="66" t="str">
        <f aca="false">IF($L1541="","",IFERROR(INDEX(记账规则!$A$6:$N$9,MATCH(购销流水!$D389,记账规则!$A$6:$A$9,0),14),""))</f>
        <v/>
      </c>
      <c r="O1541" s="67" t="n">
        <f aca="false">IF($H1541="",0,ROUND(IF($N1541="成本金额",N(购销流水!$W389),IF($N1541="金额",N(购销流水!$Q389),0)),2))</f>
        <v>0</v>
      </c>
      <c r="P1541" s="64" t="str">
        <f aca="false">IF(AND($H1541&lt;&gt;"",ROUND($O1541,2)&lt;&gt;0),"有","")</f>
        <v/>
      </c>
    </row>
    <row r="1542" customFormat="false" ht="15" hidden="true" customHeight="false" outlineLevel="0" collapsed="false">
      <c r="A1542" s="53" t="str">
        <f aca="false">IF($H1542="","",ROW()-5)</f>
        <v/>
      </c>
      <c r="B1542" s="64" t="s">
        <v>36</v>
      </c>
      <c r="C1542" s="53" t="n">
        <v>390</v>
      </c>
      <c r="D1542" s="53" t="n">
        <v>1</v>
      </c>
      <c r="E1542" s="65" t="str">
        <f aca="false">IF($H1542="","",购销流水!$B390)</f>
        <v/>
      </c>
      <c r="F1542" s="55" t="str">
        <f aca="false">IF($H1542="","",购销流水!$C390)</f>
        <v/>
      </c>
      <c r="G1542" s="48" t="str">
        <f aca="false">IF($H1542="","",购销流水!$N390)</f>
        <v/>
      </c>
      <c r="H1542" s="10" t="str">
        <f aca="false">IF($L1542="","",IF($L1542="@成本",购销流水!$U390,IF($L1542="@收入",购销流水!$T390,IF($L1542="@存货",购销流水!$S390,IF($L1542="@结算",购销流水!$R390,$L1542)))))</f>
        <v/>
      </c>
      <c r="I1542" s="42" t="n">
        <f aca="false">IF($M1542="借",$O1542,0)</f>
        <v>0</v>
      </c>
      <c r="J1542" s="42" t="n">
        <f aca="false">IF($M1542="贷",$O1542,0)</f>
        <v>0</v>
      </c>
      <c r="K1542" s="48" t="str">
        <f aca="false">IF($H1542="","",购销流水!$E390)</f>
        <v/>
      </c>
      <c r="L1542" s="66" t="str">
        <f aca="false">IF(购销流水!$D390="","",IFERROR(INDEX(记账规则!$A$6:$N$9,MATCH(购销流水!$D390,记账规则!$A$6:$A$9,0),3),""))</f>
        <v/>
      </c>
      <c r="M1542" s="66" t="str">
        <f aca="false">IF($L1542="","",IFERROR(INDEX(记账规则!$A$6:$N$9,MATCH(购销流水!$D390,记账规则!$A$6:$A$9,0),4),""))</f>
        <v/>
      </c>
      <c r="N1542" s="66" t="str">
        <f aca="false">IF($L1542="","",IFERROR(INDEX(记账规则!$A$6:$N$9,MATCH(购销流水!$D390,记账规则!$A$6:$A$9,0),5),""))</f>
        <v/>
      </c>
      <c r="O1542" s="67" t="n">
        <f aca="false">IF($H1542="",0,ROUND(IF($N1542="成本金额",N(购销流水!$W390),IF($N1542="金额",N(购销流水!$Q390),0)),2))</f>
        <v>0</v>
      </c>
      <c r="P1542" s="64" t="str">
        <f aca="false">IF(AND($H1542&lt;&gt;"",ROUND($O1542,2)&lt;&gt;0),"有","")</f>
        <v/>
      </c>
    </row>
    <row r="1543" customFormat="false" ht="15" hidden="true" customHeight="false" outlineLevel="0" collapsed="false">
      <c r="A1543" s="53" t="str">
        <f aca="false">IF($H1543="","",ROW()-5)</f>
        <v/>
      </c>
      <c r="B1543" s="64" t="s">
        <v>36</v>
      </c>
      <c r="C1543" s="53" t="n">
        <v>390</v>
      </c>
      <c r="D1543" s="53" t="n">
        <v>2</v>
      </c>
      <c r="E1543" s="65" t="str">
        <f aca="false">IF($H1543="","",购销流水!$B390)</f>
        <v/>
      </c>
      <c r="F1543" s="55" t="str">
        <f aca="false">IF($H1543="","",购销流水!$C390)</f>
        <v/>
      </c>
      <c r="G1543" s="48" t="str">
        <f aca="false">IF($H1543="","",购销流水!$N390)</f>
        <v/>
      </c>
      <c r="H1543" s="10" t="str">
        <f aca="false">IF($L1543="","",IF($L1543="@成本",购销流水!$U390,IF($L1543="@收入",购销流水!$T390,IF($L1543="@存货",购销流水!$S390,IF($L1543="@结算",购销流水!$R390,$L1543)))))</f>
        <v/>
      </c>
      <c r="I1543" s="42" t="n">
        <f aca="false">IF($M1543="借",$O1543,0)</f>
        <v>0</v>
      </c>
      <c r="J1543" s="42" t="n">
        <f aca="false">IF($M1543="贷",$O1543,0)</f>
        <v>0</v>
      </c>
      <c r="K1543" s="48" t="str">
        <f aca="false">IF($H1543="","",购销流水!$E390)</f>
        <v/>
      </c>
      <c r="L1543" s="66" t="str">
        <f aca="false">IF(购销流水!$D390="","",IFERROR(INDEX(记账规则!$A$6:$N$9,MATCH(购销流水!$D390,记账规则!$A$6:$A$9,0),6),""))</f>
        <v/>
      </c>
      <c r="M1543" s="66" t="str">
        <f aca="false">IF($L1543="","",IFERROR(INDEX(记账规则!$A$6:$N$9,MATCH(购销流水!$D390,记账规则!$A$6:$A$9,0),7),""))</f>
        <v/>
      </c>
      <c r="N1543" s="66" t="str">
        <f aca="false">IF($L1543="","",IFERROR(INDEX(记账规则!$A$6:$N$9,MATCH(购销流水!$D390,记账规则!$A$6:$A$9,0),8),""))</f>
        <v/>
      </c>
      <c r="O1543" s="67" t="n">
        <f aca="false">IF($H1543="",0,ROUND(IF($N1543="成本金额",N(购销流水!$W390),IF($N1543="金额",N(购销流水!$Q390),0)),2))</f>
        <v>0</v>
      </c>
      <c r="P1543" s="64" t="str">
        <f aca="false">IF(AND($H1543&lt;&gt;"",ROUND($O1543,2)&lt;&gt;0),"有","")</f>
        <v/>
      </c>
    </row>
    <row r="1544" customFormat="false" ht="15" hidden="true" customHeight="false" outlineLevel="0" collapsed="false">
      <c r="A1544" s="53" t="str">
        <f aca="false">IF($H1544="","",ROW()-5)</f>
        <v/>
      </c>
      <c r="B1544" s="64" t="s">
        <v>36</v>
      </c>
      <c r="C1544" s="53" t="n">
        <v>390</v>
      </c>
      <c r="D1544" s="53" t="n">
        <v>3</v>
      </c>
      <c r="E1544" s="65" t="str">
        <f aca="false">IF($H1544="","",购销流水!$B390)</f>
        <v/>
      </c>
      <c r="F1544" s="55" t="str">
        <f aca="false">IF($H1544="","",购销流水!$C390)</f>
        <v/>
      </c>
      <c r="G1544" s="48" t="str">
        <f aca="false">IF($H1544="","",购销流水!$N390)</f>
        <v/>
      </c>
      <c r="H1544" s="10" t="str">
        <f aca="false">IF($L1544="","",IF($L1544="@成本",购销流水!$U390,IF($L1544="@收入",购销流水!$T390,IF($L1544="@存货",购销流水!$S390,IF($L1544="@结算",购销流水!$R390,$L1544)))))</f>
        <v/>
      </c>
      <c r="I1544" s="42" t="n">
        <f aca="false">IF($M1544="借",$O1544,0)</f>
        <v>0</v>
      </c>
      <c r="J1544" s="42" t="n">
        <f aca="false">IF($M1544="贷",$O1544,0)</f>
        <v>0</v>
      </c>
      <c r="K1544" s="48" t="str">
        <f aca="false">IF($H1544="","",购销流水!$E390)</f>
        <v/>
      </c>
      <c r="L1544" s="66" t="str">
        <f aca="false">IF(购销流水!$D390="","",IFERROR(INDEX(记账规则!$A$6:$N$9,MATCH(购销流水!$D390,记账规则!$A$6:$A$9,0),9),""))</f>
        <v/>
      </c>
      <c r="M1544" s="66" t="str">
        <f aca="false">IF($L1544="","",IFERROR(INDEX(记账规则!$A$6:$N$9,MATCH(购销流水!$D390,记账规则!$A$6:$A$9,0),10),""))</f>
        <v/>
      </c>
      <c r="N1544" s="66" t="str">
        <f aca="false">IF($L1544="","",IFERROR(INDEX(记账规则!$A$6:$N$9,MATCH(购销流水!$D390,记账规则!$A$6:$A$9,0),11),""))</f>
        <v/>
      </c>
      <c r="O1544" s="67" t="n">
        <f aca="false">IF($H1544="",0,ROUND(IF($N1544="成本金额",N(购销流水!$W390),IF($N1544="金额",N(购销流水!$Q390),0)),2))</f>
        <v>0</v>
      </c>
      <c r="P1544" s="64" t="str">
        <f aca="false">IF(AND($H1544&lt;&gt;"",ROUND($O1544,2)&lt;&gt;0),"有","")</f>
        <v/>
      </c>
    </row>
    <row r="1545" customFormat="false" ht="15" hidden="true" customHeight="false" outlineLevel="0" collapsed="false">
      <c r="A1545" s="53" t="str">
        <f aca="false">IF($H1545="","",ROW()-5)</f>
        <v/>
      </c>
      <c r="B1545" s="64" t="s">
        <v>36</v>
      </c>
      <c r="C1545" s="53" t="n">
        <v>390</v>
      </c>
      <c r="D1545" s="53" t="n">
        <v>4</v>
      </c>
      <c r="E1545" s="65" t="str">
        <f aca="false">IF($H1545="","",购销流水!$B390)</f>
        <v/>
      </c>
      <c r="F1545" s="55" t="str">
        <f aca="false">IF($H1545="","",购销流水!$C390)</f>
        <v/>
      </c>
      <c r="G1545" s="48" t="str">
        <f aca="false">IF($H1545="","",购销流水!$N390)</f>
        <v/>
      </c>
      <c r="H1545" s="10" t="str">
        <f aca="false">IF($L1545="","",IF($L1545="@成本",购销流水!$U390,IF($L1545="@收入",购销流水!$T390,IF($L1545="@存货",购销流水!$S390,IF($L1545="@结算",购销流水!$R390,$L1545)))))</f>
        <v/>
      </c>
      <c r="I1545" s="42" t="n">
        <f aca="false">IF($M1545="借",$O1545,0)</f>
        <v>0</v>
      </c>
      <c r="J1545" s="42" t="n">
        <f aca="false">IF($M1545="贷",$O1545,0)</f>
        <v>0</v>
      </c>
      <c r="K1545" s="48" t="str">
        <f aca="false">IF($H1545="","",购销流水!$E390)</f>
        <v/>
      </c>
      <c r="L1545" s="66" t="str">
        <f aca="false">IF(购销流水!$D390="","",IFERROR(INDEX(记账规则!$A$6:$N$9,MATCH(购销流水!$D390,记账规则!$A$6:$A$9,0),12),""))</f>
        <v/>
      </c>
      <c r="M1545" s="66" t="str">
        <f aca="false">IF($L1545="","",IFERROR(INDEX(记账规则!$A$6:$N$9,MATCH(购销流水!$D390,记账规则!$A$6:$A$9,0),13),""))</f>
        <v/>
      </c>
      <c r="N1545" s="66" t="str">
        <f aca="false">IF($L1545="","",IFERROR(INDEX(记账规则!$A$6:$N$9,MATCH(购销流水!$D390,记账规则!$A$6:$A$9,0),14),""))</f>
        <v/>
      </c>
      <c r="O1545" s="67" t="n">
        <f aca="false">IF($H1545="",0,ROUND(IF($N1545="成本金额",N(购销流水!$W390),IF($N1545="金额",N(购销流水!$Q390),0)),2))</f>
        <v>0</v>
      </c>
      <c r="P1545" s="64" t="str">
        <f aca="false">IF(AND($H1545&lt;&gt;"",ROUND($O1545,2)&lt;&gt;0),"有","")</f>
        <v/>
      </c>
    </row>
    <row r="1546" customFormat="false" ht="15" hidden="true" customHeight="false" outlineLevel="0" collapsed="false">
      <c r="A1546" s="53" t="str">
        <f aca="false">IF($H1546="","",ROW()-5)</f>
        <v/>
      </c>
      <c r="B1546" s="64" t="s">
        <v>36</v>
      </c>
      <c r="C1546" s="53" t="n">
        <v>391</v>
      </c>
      <c r="D1546" s="53" t="n">
        <v>1</v>
      </c>
      <c r="E1546" s="65" t="str">
        <f aca="false">IF($H1546="","",购销流水!$B391)</f>
        <v/>
      </c>
      <c r="F1546" s="55" t="str">
        <f aca="false">IF($H1546="","",购销流水!$C391)</f>
        <v/>
      </c>
      <c r="G1546" s="48" t="str">
        <f aca="false">IF($H1546="","",购销流水!$N391)</f>
        <v/>
      </c>
      <c r="H1546" s="10" t="str">
        <f aca="false">IF($L1546="","",IF($L1546="@成本",购销流水!$U391,IF($L1546="@收入",购销流水!$T391,IF($L1546="@存货",购销流水!$S391,IF($L1546="@结算",购销流水!$R391,$L1546)))))</f>
        <v/>
      </c>
      <c r="I1546" s="42" t="n">
        <f aca="false">IF($M1546="借",$O1546,0)</f>
        <v>0</v>
      </c>
      <c r="J1546" s="42" t="n">
        <f aca="false">IF($M1546="贷",$O1546,0)</f>
        <v>0</v>
      </c>
      <c r="K1546" s="48" t="str">
        <f aca="false">IF($H1546="","",购销流水!$E391)</f>
        <v/>
      </c>
      <c r="L1546" s="66" t="str">
        <f aca="false">IF(购销流水!$D391="","",IFERROR(INDEX(记账规则!$A$6:$N$9,MATCH(购销流水!$D391,记账规则!$A$6:$A$9,0),3),""))</f>
        <v/>
      </c>
      <c r="M1546" s="66" t="str">
        <f aca="false">IF($L1546="","",IFERROR(INDEX(记账规则!$A$6:$N$9,MATCH(购销流水!$D391,记账规则!$A$6:$A$9,0),4),""))</f>
        <v/>
      </c>
      <c r="N1546" s="66" t="str">
        <f aca="false">IF($L1546="","",IFERROR(INDEX(记账规则!$A$6:$N$9,MATCH(购销流水!$D391,记账规则!$A$6:$A$9,0),5),""))</f>
        <v/>
      </c>
      <c r="O1546" s="67" t="n">
        <f aca="false">IF($H1546="",0,ROUND(IF($N1546="成本金额",N(购销流水!$W391),IF($N1546="金额",N(购销流水!$Q391),0)),2))</f>
        <v>0</v>
      </c>
      <c r="P1546" s="64" t="str">
        <f aca="false">IF(AND($H1546&lt;&gt;"",ROUND($O1546,2)&lt;&gt;0),"有","")</f>
        <v/>
      </c>
    </row>
    <row r="1547" customFormat="false" ht="15" hidden="true" customHeight="false" outlineLevel="0" collapsed="false">
      <c r="A1547" s="53" t="str">
        <f aca="false">IF($H1547="","",ROW()-5)</f>
        <v/>
      </c>
      <c r="B1547" s="64" t="s">
        <v>36</v>
      </c>
      <c r="C1547" s="53" t="n">
        <v>391</v>
      </c>
      <c r="D1547" s="53" t="n">
        <v>2</v>
      </c>
      <c r="E1547" s="65" t="str">
        <f aca="false">IF($H1547="","",购销流水!$B391)</f>
        <v/>
      </c>
      <c r="F1547" s="55" t="str">
        <f aca="false">IF($H1547="","",购销流水!$C391)</f>
        <v/>
      </c>
      <c r="G1547" s="48" t="str">
        <f aca="false">IF($H1547="","",购销流水!$N391)</f>
        <v/>
      </c>
      <c r="H1547" s="10" t="str">
        <f aca="false">IF($L1547="","",IF($L1547="@成本",购销流水!$U391,IF($L1547="@收入",购销流水!$T391,IF($L1547="@存货",购销流水!$S391,IF($L1547="@结算",购销流水!$R391,$L1547)))))</f>
        <v/>
      </c>
      <c r="I1547" s="42" t="n">
        <f aca="false">IF($M1547="借",$O1547,0)</f>
        <v>0</v>
      </c>
      <c r="J1547" s="42" t="n">
        <f aca="false">IF($M1547="贷",$O1547,0)</f>
        <v>0</v>
      </c>
      <c r="K1547" s="48" t="str">
        <f aca="false">IF($H1547="","",购销流水!$E391)</f>
        <v/>
      </c>
      <c r="L1547" s="66" t="str">
        <f aca="false">IF(购销流水!$D391="","",IFERROR(INDEX(记账规则!$A$6:$N$9,MATCH(购销流水!$D391,记账规则!$A$6:$A$9,0),6),""))</f>
        <v/>
      </c>
      <c r="M1547" s="66" t="str">
        <f aca="false">IF($L1547="","",IFERROR(INDEX(记账规则!$A$6:$N$9,MATCH(购销流水!$D391,记账规则!$A$6:$A$9,0),7),""))</f>
        <v/>
      </c>
      <c r="N1547" s="66" t="str">
        <f aca="false">IF($L1547="","",IFERROR(INDEX(记账规则!$A$6:$N$9,MATCH(购销流水!$D391,记账规则!$A$6:$A$9,0),8),""))</f>
        <v/>
      </c>
      <c r="O1547" s="67" t="n">
        <f aca="false">IF($H1547="",0,ROUND(IF($N1547="成本金额",N(购销流水!$W391),IF($N1547="金额",N(购销流水!$Q391),0)),2))</f>
        <v>0</v>
      </c>
      <c r="P1547" s="64" t="str">
        <f aca="false">IF(AND($H1547&lt;&gt;"",ROUND($O1547,2)&lt;&gt;0),"有","")</f>
        <v/>
      </c>
    </row>
    <row r="1548" customFormat="false" ht="15" hidden="true" customHeight="false" outlineLevel="0" collapsed="false">
      <c r="A1548" s="53" t="str">
        <f aca="false">IF($H1548="","",ROW()-5)</f>
        <v/>
      </c>
      <c r="B1548" s="64" t="s">
        <v>36</v>
      </c>
      <c r="C1548" s="53" t="n">
        <v>391</v>
      </c>
      <c r="D1548" s="53" t="n">
        <v>3</v>
      </c>
      <c r="E1548" s="65" t="str">
        <f aca="false">IF($H1548="","",购销流水!$B391)</f>
        <v/>
      </c>
      <c r="F1548" s="55" t="str">
        <f aca="false">IF($H1548="","",购销流水!$C391)</f>
        <v/>
      </c>
      <c r="G1548" s="48" t="str">
        <f aca="false">IF($H1548="","",购销流水!$N391)</f>
        <v/>
      </c>
      <c r="H1548" s="10" t="str">
        <f aca="false">IF($L1548="","",IF($L1548="@成本",购销流水!$U391,IF($L1548="@收入",购销流水!$T391,IF($L1548="@存货",购销流水!$S391,IF($L1548="@结算",购销流水!$R391,$L1548)))))</f>
        <v/>
      </c>
      <c r="I1548" s="42" t="n">
        <f aca="false">IF($M1548="借",$O1548,0)</f>
        <v>0</v>
      </c>
      <c r="J1548" s="42" t="n">
        <f aca="false">IF($M1548="贷",$O1548,0)</f>
        <v>0</v>
      </c>
      <c r="K1548" s="48" t="str">
        <f aca="false">IF($H1548="","",购销流水!$E391)</f>
        <v/>
      </c>
      <c r="L1548" s="66" t="str">
        <f aca="false">IF(购销流水!$D391="","",IFERROR(INDEX(记账规则!$A$6:$N$9,MATCH(购销流水!$D391,记账规则!$A$6:$A$9,0),9),""))</f>
        <v/>
      </c>
      <c r="M1548" s="66" t="str">
        <f aca="false">IF($L1548="","",IFERROR(INDEX(记账规则!$A$6:$N$9,MATCH(购销流水!$D391,记账规则!$A$6:$A$9,0),10),""))</f>
        <v/>
      </c>
      <c r="N1548" s="66" t="str">
        <f aca="false">IF($L1548="","",IFERROR(INDEX(记账规则!$A$6:$N$9,MATCH(购销流水!$D391,记账规则!$A$6:$A$9,0),11),""))</f>
        <v/>
      </c>
      <c r="O1548" s="67" t="n">
        <f aca="false">IF($H1548="",0,ROUND(IF($N1548="成本金额",N(购销流水!$W391),IF($N1548="金额",N(购销流水!$Q391),0)),2))</f>
        <v>0</v>
      </c>
      <c r="P1548" s="64" t="str">
        <f aca="false">IF(AND($H1548&lt;&gt;"",ROUND($O1548,2)&lt;&gt;0),"有","")</f>
        <v/>
      </c>
    </row>
    <row r="1549" customFormat="false" ht="15" hidden="true" customHeight="false" outlineLevel="0" collapsed="false">
      <c r="A1549" s="53" t="str">
        <f aca="false">IF($H1549="","",ROW()-5)</f>
        <v/>
      </c>
      <c r="B1549" s="64" t="s">
        <v>36</v>
      </c>
      <c r="C1549" s="53" t="n">
        <v>391</v>
      </c>
      <c r="D1549" s="53" t="n">
        <v>4</v>
      </c>
      <c r="E1549" s="65" t="str">
        <f aca="false">IF($H1549="","",购销流水!$B391)</f>
        <v/>
      </c>
      <c r="F1549" s="55" t="str">
        <f aca="false">IF($H1549="","",购销流水!$C391)</f>
        <v/>
      </c>
      <c r="G1549" s="48" t="str">
        <f aca="false">IF($H1549="","",购销流水!$N391)</f>
        <v/>
      </c>
      <c r="H1549" s="10" t="str">
        <f aca="false">IF($L1549="","",IF($L1549="@成本",购销流水!$U391,IF($L1549="@收入",购销流水!$T391,IF($L1549="@存货",购销流水!$S391,IF($L1549="@结算",购销流水!$R391,$L1549)))))</f>
        <v/>
      </c>
      <c r="I1549" s="42" t="n">
        <f aca="false">IF($M1549="借",$O1549,0)</f>
        <v>0</v>
      </c>
      <c r="J1549" s="42" t="n">
        <f aca="false">IF($M1549="贷",$O1549,0)</f>
        <v>0</v>
      </c>
      <c r="K1549" s="48" t="str">
        <f aca="false">IF($H1549="","",购销流水!$E391)</f>
        <v/>
      </c>
      <c r="L1549" s="66" t="str">
        <f aca="false">IF(购销流水!$D391="","",IFERROR(INDEX(记账规则!$A$6:$N$9,MATCH(购销流水!$D391,记账规则!$A$6:$A$9,0),12),""))</f>
        <v/>
      </c>
      <c r="M1549" s="66" t="str">
        <f aca="false">IF($L1549="","",IFERROR(INDEX(记账规则!$A$6:$N$9,MATCH(购销流水!$D391,记账规则!$A$6:$A$9,0),13),""))</f>
        <v/>
      </c>
      <c r="N1549" s="66" t="str">
        <f aca="false">IF($L1549="","",IFERROR(INDEX(记账规则!$A$6:$N$9,MATCH(购销流水!$D391,记账规则!$A$6:$A$9,0),14),""))</f>
        <v/>
      </c>
      <c r="O1549" s="67" t="n">
        <f aca="false">IF($H1549="",0,ROUND(IF($N1549="成本金额",N(购销流水!$W391),IF($N1549="金额",N(购销流水!$Q391),0)),2))</f>
        <v>0</v>
      </c>
      <c r="P1549" s="64" t="str">
        <f aca="false">IF(AND($H1549&lt;&gt;"",ROUND($O1549,2)&lt;&gt;0),"有","")</f>
        <v/>
      </c>
    </row>
    <row r="1550" customFormat="false" ht="15" hidden="true" customHeight="false" outlineLevel="0" collapsed="false">
      <c r="A1550" s="53" t="str">
        <f aca="false">IF($H1550="","",ROW()-5)</f>
        <v/>
      </c>
      <c r="B1550" s="64" t="s">
        <v>36</v>
      </c>
      <c r="C1550" s="53" t="n">
        <v>392</v>
      </c>
      <c r="D1550" s="53" t="n">
        <v>1</v>
      </c>
      <c r="E1550" s="65" t="str">
        <f aca="false">IF($H1550="","",购销流水!$B392)</f>
        <v/>
      </c>
      <c r="F1550" s="55" t="str">
        <f aca="false">IF($H1550="","",购销流水!$C392)</f>
        <v/>
      </c>
      <c r="G1550" s="48" t="str">
        <f aca="false">IF($H1550="","",购销流水!$N392)</f>
        <v/>
      </c>
      <c r="H1550" s="10" t="str">
        <f aca="false">IF($L1550="","",IF($L1550="@成本",购销流水!$U392,IF($L1550="@收入",购销流水!$T392,IF($L1550="@存货",购销流水!$S392,IF($L1550="@结算",购销流水!$R392,$L1550)))))</f>
        <v/>
      </c>
      <c r="I1550" s="42" t="n">
        <f aca="false">IF($M1550="借",$O1550,0)</f>
        <v>0</v>
      </c>
      <c r="J1550" s="42" t="n">
        <f aca="false">IF($M1550="贷",$O1550,0)</f>
        <v>0</v>
      </c>
      <c r="K1550" s="48" t="str">
        <f aca="false">IF($H1550="","",购销流水!$E392)</f>
        <v/>
      </c>
      <c r="L1550" s="66" t="str">
        <f aca="false">IF(购销流水!$D392="","",IFERROR(INDEX(记账规则!$A$6:$N$9,MATCH(购销流水!$D392,记账规则!$A$6:$A$9,0),3),""))</f>
        <v/>
      </c>
      <c r="M1550" s="66" t="str">
        <f aca="false">IF($L1550="","",IFERROR(INDEX(记账规则!$A$6:$N$9,MATCH(购销流水!$D392,记账规则!$A$6:$A$9,0),4),""))</f>
        <v/>
      </c>
      <c r="N1550" s="66" t="str">
        <f aca="false">IF($L1550="","",IFERROR(INDEX(记账规则!$A$6:$N$9,MATCH(购销流水!$D392,记账规则!$A$6:$A$9,0),5),""))</f>
        <v/>
      </c>
      <c r="O1550" s="67" t="n">
        <f aca="false">IF($H1550="",0,ROUND(IF($N1550="成本金额",N(购销流水!$W392),IF($N1550="金额",N(购销流水!$Q392),0)),2))</f>
        <v>0</v>
      </c>
      <c r="P1550" s="64" t="str">
        <f aca="false">IF(AND($H1550&lt;&gt;"",ROUND($O1550,2)&lt;&gt;0),"有","")</f>
        <v/>
      </c>
    </row>
    <row r="1551" customFormat="false" ht="15" hidden="true" customHeight="false" outlineLevel="0" collapsed="false">
      <c r="A1551" s="53" t="str">
        <f aca="false">IF($H1551="","",ROW()-5)</f>
        <v/>
      </c>
      <c r="B1551" s="64" t="s">
        <v>36</v>
      </c>
      <c r="C1551" s="53" t="n">
        <v>392</v>
      </c>
      <c r="D1551" s="53" t="n">
        <v>2</v>
      </c>
      <c r="E1551" s="65" t="str">
        <f aca="false">IF($H1551="","",购销流水!$B392)</f>
        <v/>
      </c>
      <c r="F1551" s="55" t="str">
        <f aca="false">IF($H1551="","",购销流水!$C392)</f>
        <v/>
      </c>
      <c r="G1551" s="48" t="str">
        <f aca="false">IF($H1551="","",购销流水!$N392)</f>
        <v/>
      </c>
      <c r="H1551" s="10" t="str">
        <f aca="false">IF($L1551="","",IF($L1551="@成本",购销流水!$U392,IF($L1551="@收入",购销流水!$T392,IF($L1551="@存货",购销流水!$S392,IF($L1551="@结算",购销流水!$R392,$L1551)))))</f>
        <v/>
      </c>
      <c r="I1551" s="42" t="n">
        <f aca="false">IF($M1551="借",$O1551,0)</f>
        <v>0</v>
      </c>
      <c r="J1551" s="42" t="n">
        <f aca="false">IF($M1551="贷",$O1551,0)</f>
        <v>0</v>
      </c>
      <c r="K1551" s="48" t="str">
        <f aca="false">IF($H1551="","",购销流水!$E392)</f>
        <v/>
      </c>
      <c r="L1551" s="66" t="str">
        <f aca="false">IF(购销流水!$D392="","",IFERROR(INDEX(记账规则!$A$6:$N$9,MATCH(购销流水!$D392,记账规则!$A$6:$A$9,0),6),""))</f>
        <v/>
      </c>
      <c r="M1551" s="66" t="str">
        <f aca="false">IF($L1551="","",IFERROR(INDEX(记账规则!$A$6:$N$9,MATCH(购销流水!$D392,记账规则!$A$6:$A$9,0),7),""))</f>
        <v/>
      </c>
      <c r="N1551" s="66" t="str">
        <f aca="false">IF($L1551="","",IFERROR(INDEX(记账规则!$A$6:$N$9,MATCH(购销流水!$D392,记账规则!$A$6:$A$9,0),8),""))</f>
        <v/>
      </c>
      <c r="O1551" s="67" t="n">
        <f aca="false">IF($H1551="",0,ROUND(IF($N1551="成本金额",N(购销流水!$W392),IF($N1551="金额",N(购销流水!$Q392),0)),2))</f>
        <v>0</v>
      </c>
      <c r="P1551" s="64" t="str">
        <f aca="false">IF(AND($H1551&lt;&gt;"",ROUND($O1551,2)&lt;&gt;0),"有","")</f>
        <v/>
      </c>
    </row>
    <row r="1552" customFormat="false" ht="15" hidden="true" customHeight="false" outlineLevel="0" collapsed="false">
      <c r="A1552" s="53" t="str">
        <f aca="false">IF($H1552="","",ROW()-5)</f>
        <v/>
      </c>
      <c r="B1552" s="64" t="s">
        <v>36</v>
      </c>
      <c r="C1552" s="53" t="n">
        <v>392</v>
      </c>
      <c r="D1552" s="53" t="n">
        <v>3</v>
      </c>
      <c r="E1552" s="65" t="str">
        <f aca="false">IF($H1552="","",购销流水!$B392)</f>
        <v/>
      </c>
      <c r="F1552" s="55" t="str">
        <f aca="false">IF($H1552="","",购销流水!$C392)</f>
        <v/>
      </c>
      <c r="G1552" s="48" t="str">
        <f aca="false">IF($H1552="","",购销流水!$N392)</f>
        <v/>
      </c>
      <c r="H1552" s="10" t="str">
        <f aca="false">IF($L1552="","",IF($L1552="@成本",购销流水!$U392,IF($L1552="@收入",购销流水!$T392,IF($L1552="@存货",购销流水!$S392,IF($L1552="@结算",购销流水!$R392,$L1552)))))</f>
        <v/>
      </c>
      <c r="I1552" s="42" t="n">
        <f aca="false">IF($M1552="借",$O1552,0)</f>
        <v>0</v>
      </c>
      <c r="J1552" s="42" t="n">
        <f aca="false">IF($M1552="贷",$O1552,0)</f>
        <v>0</v>
      </c>
      <c r="K1552" s="48" t="str">
        <f aca="false">IF($H1552="","",购销流水!$E392)</f>
        <v/>
      </c>
      <c r="L1552" s="66" t="str">
        <f aca="false">IF(购销流水!$D392="","",IFERROR(INDEX(记账规则!$A$6:$N$9,MATCH(购销流水!$D392,记账规则!$A$6:$A$9,0),9),""))</f>
        <v/>
      </c>
      <c r="M1552" s="66" t="str">
        <f aca="false">IF($L1552="","",IFERROR(INDEX(记账规则!$A$6:$N$9,MATCH(购销流水!$D392,记账规则!$A$6:$A$9,0),10),""))</f>
        <v/>
      </c>
      <c r="N1552" s="66" t="str">
        <f aca="false">IF($L1552="","",IFERROR(INDEX(记账规则!$A$6:$N$9,MATCH(购销流水!$D392,记账规则!$A$6:$A$9,0),11),""))</f>
        <v/>
      </c>
      <c r="O1552" s="67" t="n">
        <f aca="false">IF($H1552="",0,ROUND(IF($N1552="成本金额",N(购销流水!$W392),IF($N1552="金额",N(购销流水!$Q392),0)),2))</f>
        <v>0</v>
      </c>
      <c r="P1552" s="64" t="str">
        <f aca="false">IF(AND($H1552&lt;&gt;"",ROUND($O1552,2)&lt;&gt;0),"有","")</f>
        <v/>
      </c>
    </row>
    <row r="1553" customFormat="false" ht="15" hidden="true" customHeight="false" outlineLevel="0" collapsed="false">
      <c r="A1553" s="53" t="str">
        <f aca="false">IF($H1553="","",ROW()-5)</f>
        <v/>
      </c>
      <c r="B1553" s="64" t="s">
        <v>36</v>
      </c>
      <c r="C1553" s="53" t="n">
        <v>392</v>
      </c>
      <c r="D1553" s="53" t="n">
        <v>4</v>
      </c>
      <c r="E1553" s="65" t="str">
        <f aca="false">IF($H1553="","",购销流水!$B392)</f>
        <v/>
      </c>
      <c r="F1553" s="55" t="str">
        <f aca="false">IF($H1553="","",购销流水!$C392)</f>
        <v/>
      </c>
      <c r="G1553" s="48" t="str">
        <f aca="false">IF($H1553="","",购销流水!$N392)</f>
        <v/>
      </c>
      <c r="H1553" s="10" t="str">
        <f aca="false">IF($L1553="","",IF($L1553="@成本",购销流水!$U392,IF($L1553="@收入",购销流水!$T392,IF($L1553="@存货",购销流水!$S392,IF($L1553="@结算",购销流水!$R392,$L1553)))))</f>
        <v/>
      </c>
      <c r="I1553" s="42" t="n">
        <f aca="false">IF($M1553="借",$O1553,0)</f>
        <v>0</v>
      </c>
      <c r="J1553" s="42" t="n">
        <f aca="false">IF($M1553="贷",$O1553,0)</f>
        <v>0</v>
      </c>
      <c r="K1553" s="48" t="str">
        <f aca="false">IF($H1553="","",购销流水!$E392)</f>
        <v/>
      </c>
      <c r="L1553" s="66" t="str">
        <f aca="false">IF(购销流水!$D392="","",IFERROR(INDEX(记账规则!$A$6:$N$9,MATCH(购销流水!$D392,记账规则!$A$6:$A$9,0),12),""))</f>
        <v/>
      </c>
      <c r="M1553" s="66" t="str">
        <f aca="false">IF($L1553="","",IFERROR(INDEX(记账规则!$A$6:$N$9,MATCH(购销流水!$D392,记账规则!$A$6:$A$9,0),13),""))</f>
        <v/>
      </c>
      <c r="N1553" s="66" t="str">
        <f aca="false">IF($L1553="","",IFERROR(INDEX(记账规则!$A$6:$N$9,MATCH(购销流水!$D392,记账规则!$A$6:$A$9,0),14),""))</f>
        <v/>
      </c>
      <c r="O1553" s="67" t="n">
        <f aca="false">IF($H1553="",0,ROUND(IF($N1553="成本金额",N(购销流水!$W392),IF($N1553="金额",N(购销流水!$Q392),0)),2))</f>
        <v>0</v>
      </c>
      <c r="P1553" s="64" t="str">
        <f aca="false">IF(AND($H1553&lt;&gt;"",ROUND($O1553,2)&lt;&gt;0),"有","")</f>
        <v/>
      </c>
    </row>
    <row r="1554" customFormat="false" ht="15" hidden="true" customHeight="false" outlineLevel="0" collapsed="false">
      <c r="A1554" s="53" t="str">
        <f aca="false">IF($H1554="","",ROW()-5)</f>
        <v/>
      </c>
      <c r="B1554" s="64" t="s">
        <v>36</v>
      </c>
      <c r="C1554" s="53" t="n">
        <v>393</v>
      </c>
      <c r="D1554" s="53" t="n">
        <v>1</v>
      </c>
      <c r="E1554" s="65" t="str">
        <f aca="false">IF($H1554="","",购销流水!$B393)</f>
        <v/>
      </c>
      <c r="F1554" s="55" t="str">
        <f aca="false">IF($H1554="","",购销流水!$C393)</f>
        <v/>
      </c>
      <c r="G1554" s="48" t="str">
        <f aca="false">IF($H1554="","",购销流水!$N393)</f>
        <v/>
      </c>
      <c r="H1554" s="10" t="str">
        <f aca="false">IF($L1554="","",IF($L1554="@成本",购销流水!$U393,IF($L1554="@收入",购销流水!$T393,IF($L1554="@存货",购销流水!$S393,IF($L1554="@结算",购销流水!$R393,$L1554)))))</f>
        <v/>
      </c>
      <c r="I1554" s="42" t="n">
        <f aca="false">IF($M1554="借",$O1554,0)</f>
        <v>0</v>
      </c>
      <c r="J1554" s="42" t="n">
        <f aca="false">IF($M1554="贷",$O1554,0)</f>
        <v>0</v>
      </c>
      <c r="K1554" s="48" t="str">
        <f aca="false">IF($H1554="","",购销流水!$E393)</f>
        <v/>
      </c>
      <c r="L1554" s="66" t="str">
        <f aca="false">IF(购销流水!$D393="","",IFERROR(INDEX(记账规则!$A$6:$N$9,MATCH(购销流水!$D393,记账规则!$A$6:$A$9,0),3),""))</f>
        <v/>
      </c>
      <c r="M1554" s="66" t="str">
        <f aca="false">IF($L1554="","",IFERROR(INDEX(记账规则!$A$6:$N$9,MATCH(购销流水!$D393,记账规则!$A$6:$A$9,0),4),""))</f>
        <v/>
      </c>
      <c r="N1554" s="66" t="str">
        <f aca="false">IF($L1554="","",IFERROR(INDEX(记账规则!$A$6:$N$9,MATCH(购销流水!$D393,记账规则!$A$6:$A$9,0),5),""))</f>
        <v/>
      </c>
      <c r="O1554" s="67" t="n">
        <f aca="false">IF($H1554="",0,ROUND(IF($N1554="成本金额",N(购销流水!$W393),IF($N1554="金额",N(购销流水!$Q393),0)),2))</f>
        <v>0</v>
      </c>
      <c r="P1554" s="64" t="str">
        <f aca="false">IF(AND($H1554&lt;&gt;"",ROUND($O1554,2)&lt;&gt;0),"有","")</f>
        <v/>
      </c>
    </row>
    <row r="1555" customFormat="false" ht="15" hidden="true" customHeight="false" outlineLevel="0" collapsed="false">
      <c r="A1555" s="53" t="str">
        <f aca="false">IF($H1555="","",ROW()-5)</f>
        <v/>
      </c>
      <c r="B1555" s="64" t="s">
        <v>36</v>
      </c>
      <c r="C1555" s="53" t="n">
        <v>393</v>
      </c>
      <c r="D1555" s="53" t="n">
        <v>2</v>
      </c>
      <c r="E1555" s="65" t="str">
        <f aca="false">IF($H1555="","",购销流水!$B393)</f>
        <v/>
      </c>
      <c r="F1555" s="55" t="str">
        <f aca="false">IF($H1555="","",购销流水!$C393)</f>
        <v/>
      </c>
      <c r="G1555" s="48" t="str">
        <f aca="false">IF($H1555="","",购销流水!$N393)</f>
        <v/>
      </c>
      <c r="H1555" s="10" t="str">
        <f aca="false">IF($L1555="","",IF($L1555="@成本",购销流水!$U393,IF($L1555="@收入",购销流水!$T393,IF($L1555="@存货",购销流水!$S393,IF($L1555="@结算",购销流水!$R393,$L1555)))))</f>
        <v/>
      </c>
      <c r="I1555" s="42" t="n">
        <f aca="false">IF($M1555="借",$O1555,0)</f>
        <v>0</v>
      </c>
      <c r="J1555" s="42" t="n">
        <f aca="false">IF($M1555="贷",$O1555,0)</f>
        <v>0</v>
      </c>
      <c r="K1555" s="48" t="str">
        <f aca="false">IF($H1555="","",购销流水!$E393)</f>
        <v/>
      </c>
      <c r="L1555" s="66" t="str">
        <f aca="false">IF(购销流水!$D393="","",IFERROR(INDEX(记账规则!$A$6:$N$9,MATCH(购销流水!$D393,记账规则!$A$6:$A$9,0),6),""))</f>
        <v/>
      </c>
      <c r="M1555" s="66" t="str">
        <f aca="false">IF($L1555="","",IFERROR(INDEX(记账规则!$A$6:$N$9,MATCH(购销流水!$D393,记账规则!$A$6:$A$9,0),7),""))</f>
        <v/>
      </c>
      <c r="N1555" s="66" t="str">
        <f aca="false">IF($L1555="","",IFERROR(INDEX(记账规则!$A$6:$N$9,MATCH(购销流水!$D393,记账规则!$A$6:$A$9,0),8),""))</f>
        <v/>
      </c>
      <c r="O1555" s="67" t="n">
        <f aca="false">IF($H1555="",0,ROUND(IF($N1555="成本金额",N(购销流水!$W393),IF($N1555="金额",N(购销流水!$Q393),0)),2))</f>
        <v>0</v>
      </c>
      <c r="P1555" s="64" t="str">
        <f aca="false">IF(AND($H1555&lt;&gt;"",ROUND($O1555,2)&lt;&gt;0),"有","")</f>
        <v/>
      </c>
    </row>
    <row r="1556" customFormat="false" ht="15" hidden="true" customHeight="false" outlineLevel="0" collapsed="false">
      <c r="A1556" s="53" t="str">
        <f aca="false">IF($H1556="","",ROW()-5)</f>
        <v/>
      </c>
      <c r="B1556" s="64" t="s">
        <v>36</v>
      </c>
      <c r="C1556" s="53" t="n">
        <v>393</v>
      </c>
      <c r="D1556" s="53" t="n">
        <v>3</v>
      </c>
      <c r="E1556" s="65" t="str">
        <f aca="false">IF($H1556="","",购销流水!$B393)</f>
        <v/>
      </c>
      <c r="F1556" s="55" t="str">
        <f aca="false">IF($H1556="","",购销流水!$C393)</f>
        <v/>
      </c>
      <c r="G1556" s="48" t="str">
        <f aca="false">IF($H1556="","",购销流水!$N393)</f>
        <v/>
      </c>
      <c r="H1556" s="10" t="str">
        <f aca="false">IF($L1556="","",IF($L1556="@成本",购销流水!$U393,IF($L1556="@收入",购销流水!$T393,IF($L1556="@存货",购销流水!$S393,IF($L1556="@结算",购销流水!$R393,$L1556)))))</f>
        <v/>
      </c>
      <c r="I1556" s="42" t="n">
        <f aca="false">IF($M1556="借",$O1556,0)</f>
        <v>0</v>
      </c>
      <c r="J1556" s="42" t="n">
        <f aca="false">IF($M1556="贷",$O1556,0)</f>
        <v>0</v>
      </c>
      <c r="K1556" s="48" t="str">
        <f aca="false">IF($H1556="","",购销流水!$E393)</f>
        <v/>
      </c>
      <c r="L1556" s="66" t="str">
        <f aca="false">IF(购销流水!$D393="","",IFERROR(INDEX(记账规则!$A$6:$N$9,MATCH(购销流水!$D393,记账规则!$A$6:$A$9,0),9),""))</f>
        <v/>
      </c>
      <c r="M1556" s="66" t="str">
        <f aca="false">IF($L1556="","",IFERROR(INDEX(记账规则!$A$6:$N$9,MATCH(购销流水!$D393,记账规则!$A$6:$A$9,0),10),""))</f>
        <v/>
      </c>
      <c r="N1556" s="66" t="str">
        <f aca="false">IF($L1556="","",IFERROR(INDEX(记账规则!$A$6:$N$9,MATCH(购销流水!$D393,记账规则!$A$6:$A$9,0),11),""))</f>
        <v/>
      </c>
      <c r="O1556" s="67" t="n">
        <f aca="false">IF($H1556="",0,ROUND(IF($N1556="成本金额",N(购销流水!$W393),IF($N1556="金额",N(购销流水!$Q393),0)),2))</f>
        <v>0</v>
      </c>
      <c r="P1556" s="64" t="str">
        <f aca="false">IF(AND($H1556&lt;&gt;"",ROUND($O1556,2)&lt;&gt;0),"有","")</f>
        <v/>
      </c>
    </row>
    <row r="1557" customFormat="false" ht="15" hidden="true" customHeight="false" outlineLevel="0" collapsed="false">
      <c r="A1557" s="53" t="str">
        <f aca="false">IF($H1557="","",ROW()-5)</f>
        <v/>
      </c>
      <c r="B1557" s="64" t="s">
        <v>36</v>
      </c>
      <c r="C1557" s="53" t="n">
        <v>393</v>
      </c>
      <c r="D1557" s="53" t="n">
        <v>4</v>
      </c>
      <c r="E1557" s="65" t="str">
        <f aca="false">IF($H1557="","",购销流水!$B393)</f>
        <v/>
      </c>
      <c r="F1557" s="55" t="str">
        <f aca="false">IF($H1557="","",购销流水!$C393)</f>
        <v/>
      </c>
      <c r="G1557" s="48" t="str">
        <f aca="false">IF($H1557="","",购销流水!$N393)</f>
        <v/>
      </c>
      <c r="H1557" s="10" t="str">
        <f aca="false">IF($L1557="","",IF($L1557="@成本",购销流水!$U393,IF($L1557="@收入",购销流水!$T393,IF($L1557="@存货",购销流水!$S393,IF($L1557="@结算",购销流水!$R393,$L1557)))))</f>
        <v/>
      </c>
      <c r="I1557" s="42" t="n">
        <f aca="false">IF($M1557="借",$O1557,0)</f>
        <v>0</v>
      </c>
      <c r="J1557" s="42" t="n">
        <f aca="false">IF($M1557="贷",$O1557,0)</f>
        <v>0</v>
      </c>
      <c r="K1557" s="48" t="str">
        <f aca="false">IF($H1557="","",购销流水!$E393)</f>
        <v/>
      </c>
      <c r="L1557" s="66" t="str">
        <f aca="false">IF(购销流水!$D393="","",IFERROR(INDEX(记账规则!$A$6:$N$9,MATCH(购销流水!$D393,记账规则!$A$6:$A$9,0),12),""))</f>
        <v/>
      </c>
      <c r="M1557" s="66" t="str">
        <f aca="false">IF($L1557="","",IFERROR(INDEX(记账规则!$A$6:$N$9,MATCH(购销流水!$D393,记账规则!$A$6:$A$9,0),13),""))</f>
        <v/>
      </c>
      <c r="N1557" s="66" t="str">
        <f aca="false">IF($L1557="","",IFERROR(INDEX(记账规则!$A$6:$N$9,MATCH(购销流水!$D393,记账规则!$A$6:$A$9,0),14),""))</f>
        <v/>
      </c>
      <c r="O1557" s="67" t="n">
        <f aca="false">IF($H1557="",0,ROUND(IF($N1557="成本金额",N(购销流水!$W393),IF($N1557="金额",N(购销流水!$Q393),0)),2))</f>
        <v>0</v>
      </c>
      <c r="P1557" s="64" t="str">
        <f aca="false">IF(AND($H1557&lt;&gt;"",ROUND($O1557,2)&lt;&gt;0),"有","")</f>
        <v/>
      </c>
    </row>
    <row r="1558" customFormat="false" ht="15" hidden="true" customHeight="false" outlineLevel="0" collapsed="false">
      <c r="A1558" s="53" t="str">
        <f aca="false">IF($H1558="","",ROW()-5)</f>
        <v/>
      </c>
      <c r="B1558" s="64" t="s">
        <v>36</v>
      </c>
      <c r="C1558" s="53" t="n">
        <v>394</v>
      </c>
      <c r="D1558" s="53" t="n">
        <v>1</v>
      </c>
      <c r="E1558" s="65" t="str">
        <f aca="false">IF($H1558="","",购销流水!$B394)</f>
        <v/>
      </c>
      <c r="F1558" s="55" t="str">
        <f aca="false">IF($H1558="","",购销流水!$C394)</f>
        <v/>
      </c>
      <c r="G1558" s="48" t="str">
        <f aca="false">IF($H1558="","",购销流水!$N394)</f>
        <v/>
      </c>
      <c r="H1558" s="10" t="str">
        <f aca="false">IF($L1558="","",IF($L1558="@成本",购销流水!$U394,IF($L1558="@收入",购销流水!$T394,IF($L1558="@存货",购销流水!$S394,IF($L1558="@结算",购销流水!$R394,$L1558)))))</f>
        <v/>
      </c>
      <c r="I1558" s="42" t="n">
        <f aca="false">IF($M1558="借",$O1558,0)</f>
        <v>0</v>
      </c>
      <c r="J1558" s="42" t="n">
        <f aca="false">IF($M1558="贷",$O1558,0)</f>
        <v>0</v>
      </c>
      <c r="K1558" s="48" t="str">
        <f aca="false">IF($H1558="","",购销流水!$E394)</f>
        <v/>
      </c>
      <c r="L1558" s="66" t="str">
        <f aca="false">IF(购销流水!$D394="","",IFERROR(INDEX(记账规则!$A$6:$N$9,MATCH(购销流水!$D394,记账规则!$A$6:$A$9,0),3),""))</f>
        <v/>
      </c>
      <c r="M1558" s="66" t="str">
        <f aca="false">IF($L1558="","",IFERROR(INDEX(记账规则!$A$6:$N$9,MATCH(购销流水!$D394,记账规则!$A$6:$A$9,0),4),""))</f>
        <v/>
      </c>
      <c r="N1558" s="66" t="str">
        <f aca="false">IF($L1558="","",IFERROR(INDEX(记账规则!$A$6:$N$9,MATCH(购销流水!$D394,记账规则!$A$6:$A$9,0),5),""))</f>
        <v/>
      </c>
      <c r="O1558" s="67" t="n">
        <f aca="false">IF($H1558="",0,ROUND(IF($N1558="成本金额",N(购销流水!$W394),IF($N1558="金额",N(购销流水!$Q394),0)),2))</f>
        <v>0</v>
      </c>
      <c r="P1558" s="64" t="str">
        <f aca="false">IF(AND($H1558&lt;&gt;"",ROUND($O1558,2)&lt;&gt;0),"有","")</f>
        <v/>
      </c>
    </row>
    <row r="1559" customFormat="false" ht="15" hidden="true" customHeight="false" outlineLevel="0" collapsed="false">
      <c r="A1559" s="53" t="str">
        <f aca="false">IF($H1559="","",ROW()-5)</f>
        <v/>
      </c>
      <c r="B1559" s="64" t="s">
        <v>36</v>
      </c>
      <c r="C1559" s="53" t="n">
        <v>394</v>
      </c>
      <c r="D1559" s="53" t="n">
        <v>2</v>
      </c>
      <c r="E1559" s="65" t="str">
        <f aca="false">IF($H1559="","",购销流水!$B394)</f>
        <v/>
      </c>
      <c r="F1559" s="55" t="str">
        <f aca="false">IF($H1559="","",购销流水!$C394)</f>
        <v/>
      </c>
      <c r="G1559" s="48" t="str">
        <f aca="false">IF($H1559="","",购销流水!$N394)</f>
        <v/>
      </c>
      <c r="H1559" s="10" t="str">
        <f aca="false">IF($L1559="","",IF($L1559="@成本",购销流水!$U394,IF($L1559="@收入",购销流水!$T394,IF($L1559="@存货",购销流水!$S394,IF($L1559="@结算",购销流水!$R394,$L1559)))))</f>
        <v/>
      </c>
      <c r="I1559" s="42" t="n">
        <f aca="false">IF($M1559="借",$O1559,0)</f>
        <v>0</v>
      </c>
      <c r="J1559" s="42" t="n">
        <f aca="false">IF($M1559="贷",$O1559,0)</f>
        <v>0</v>
      </c>
      <c r="K1559" s="48" t="str">
        <f aca="false">IF($H1559="","",购销流水!$E394)</f>
        <v/>
      </c>
      <c r="L1559" s="66" t="str">
        <f aca="false">IF(购销流水!$D394="","",IFERROR(INDEX(记账规则!$A$6:$N$9,MATCH(购销流水!$D394,记账规则!$A$6:$A$9,0),6),""))</f>
        <v/>
      </c>
      <c r="M1559" s="66" t="str">
        <f aca="false">IF($L1559="","",IFERROR(INDEX(记账规则!$A$6:$N$9,MATCH(购销流水!$D394,记账规则!$A$6:$A$9,0),7),""))</f>
        <v/>
      </c>
      <c r="N1559" s="66" t="str">
        <f aca="false">IF($L1559="","",IFERROR(INDEX(记账规则!$A$6:$N$9,MATCH(购销流水!$D394,记账规则!$A$6:$A$9,0),8),""))</f>
        <v/>
      </c>
      <c r="O1559" s="67" t="n">
        <f aca="false">IF($H1559="",0,ROUND(IF($N1559="成本金额",N(购销流水!$W394),IF($N1559="金额",N(购销流水!$Q394),0)),2))</f>
        <v>0</v>
      </c>
      <c r="P1559" s="64" t="str">
        <f aca="false">IF(AND($H1559&lt;&gt;"",ROUND($O1559,2)&lt;&gt;0),"有","")</f>
        <v/>
      </c>
    </row>
    <row r="1560" customFormat="false" ht="15" hidden="true" customHeight="false" outlineLevel="0" collapsed="false">
      <c r="A1560" s="53" t="str">
        <f aca="false">IF($H1560="","",ROW()-5)</f>
        <v/>
      </c>
      <c r="B1560" s="64" t="s">
        <v>36</v>
      </c>
      <c r="C1560" s="53" t="n">
        <v>394</v>
      </c>
      <c r="D1560" s="53" t="n">
        <v>3</v>
      </c>
      <c r="E1560" s="65" t="str">
        <f aca="false">IF($H1560="","",购销流水!$B394)</f>
        <v/>
      </c>
      <c r="F1560" s="55" t="str">
        <f aca="false">IF($H1560="","",购销流水!$C394)</f>
        <v/>
      </c>
      <c r="G1560" s="48" t="str">
        <f aca="false">IF($H1560="","",购销流水!$N394)</f>
        <v/>
      </c>
      <c r="H1560" s="10" t="str">
        <f aca="false">IF($L1560="","",IF($L1560="@成本",购销流水!$U394,IF($L1560="@收入",购销流水!$T394,IF($L1560="@存货",购销流水!$S394,IF($L1560="@结算",购销流水!$R394,$L1560)))))</f>
        <v/>
      </c>
      <c r="I1560" s="42" t="n">
        <f aca="false">IF($M1560="借",$O1560,0)</f>
        <v>0</v>
      </c>
      <c r="J1560" s="42" t="n">
        <f aca="false">IF($M1560="贷",$O1560,0)</f>
        <v>0</v>
      </c>
      <c r="K1560" s="48" t="str">
        <f aca="false">IF($H1560="","",购销流水!$E394)</f>
        <v/>
      </c>
      <c r="L1560" s="66" t="str">
        <f aca="false">IF(购销流水!$D394="","",IFERROR(INDEX(记账规则!$A$6:$N$9,MATCH(购销流水!$D394,记账规则!$A$6:$A$9,0),9),""))</f>
        <v/>
      </c>
      <c r="M1560" s="66" t="str">
        <f aca="false">IF($L1560="","",IFERROR(INDEX(记账规则!$A$6:$N$9,MATCH(购销流水!$D394,记账规则!$A$6:$A$9,0),10),""))</f>
        <v/>
      </c>
      <c r="N1560" s="66" t="str">
        <f aca="false">IF($L1560="","",IFERROR(INDEX(记账规则!$A$6:$N$9,MATCH(购销流水!$D394,记账规则!$A$6:$A$9,0),11),""))</f>
        <v/>
      </c>
      <c r="O1560" s="67" t="n">
        <f aca="false">IF($H1560="",0,ROUND(IF($N1560="成本金额",N(购销流水!$W394),IF($N1560="金额",N(购销流水!$Q394),0)),2))</f>
        <v>0</v>
      </c>
      <c r="P1560" s="64" t="str">
        <f aca="false">IF(AND($H1560&lt;&gt;"",ROUND($O1560,2)&lt;&gt;0),"有","")</f>
        <v/>
      </c>
    </row>
    <row r="1561" customFormat="false" ht="15" hidden="true" customHeight="false" outlineLevel="0" collapsed="false">
      <c r="A1561" s="53" t="str">
        <f aca="false">IF($H1561="","",ROW()-5)</f>
        <v/>
      </c>
      <c r="B1561" s="64" t="s">
        <v>36</v>
      </c>
      <c r="C1561" s="53" t="n">
        <v>394</v>
      </c>
      <c r="D1561" s="53" t="n">
        <v>4</v>
      </c>
      <c r="E1561" s="65" t="str">
        <f aca="false">IF($H1561="","",购销流水!$B394)</f>
        <v/>
      </c>
      <c r="F1561" s="55" t="str">
        <f aca="false">IF($H1561="","",购销流水!$C394)</f>
        <v/>
      </c>
      <c r="G1561" s="48" t="str">
        <f aca="false">IF($H1561="","",购销流水!$N394)</f>
        <v/>
      </c>
      <c r="H1561" s="10" t="str">
        <f aca="false">IF($L1561="","",IF($L1561="@成本",购销流水!$U394,IF($L1561="@收入",购销流水!$T394,IF($L1561="@存货",购销流水!$S394,IF($L1561="@结算",购销流水!$R394,$L1561)))))</f>
        <v/>
      </c>
      <c r="I1561" s="42" t="n">
        <f aca="false">IF($M1561="借",$O1561,0)</f>
        <v>0</v>
      </c>
      <c r="J1561" s="42" t="n">
        <f aca="false">IF($M1561="贷",$O1561,0)</f>
        <v>0</v>
      </c>
      <c r="K1561" s="48" t="str">
        <f aca="false">IF($H1561="","",购销流水!$E394)</f>
        <v/>
      </c>
      <c r="L1561" s="66" t="str">
        <f aca="false">IF(购销流水!$D394="","",IFERROR(INDEX(记账规则!$A$6:$N$9,MATCH(购销流水!$D394,记账规则!$A$6:$A$9,0),12),""))</f>
        <v/>
      </c>
      <c r="M1561" s="66" t="str">
        <f aca="false">IF($L1561="","",IFERROR(INDEX(记账规则!$A$6:$N$9,MATCH(购销流水!$D394,记账规则!$A$6:$A$9,0),13),""))</f>
        <v/>
      </c>
      <c r="N1561" s="66" t="str">
        <f aca="false">IF($L1561="","",IFERROR(INDEX(记账规则!$A$6:$N$9,MATCH(购销流水!$D394,记账规则!$A$6:$A$9,0),14),""))</f>
        <v/>
      </c>
      <c r="O1561" s="67" t="n">
        <f aca="false">IF($H1561="",0,ROUND(IF($N1561="成本金额",N(购销流水!$W394),IF($N1561="金额",N(购销流水!$Q394),0)),2))</f>
        <v>0</v>
      </c>
      <c r="P1561" s="64" t="str">
        <f aca="false">IF(AND($H1561&lt;&gt;"",ROUND($O1561,2)&lt;&gt;0),"有","")</f>
        <v/>
      </c>
    </row>
    <row r="1562" customFormat="false" ht="15" hidden="true" customHeight="false" outlineLevel="0" collapsed="false">
      <c r="A1562" s="53" t="str">
        <f aca="false">IF($H1562="","",ROW()-5)</f>
        <v/>
      </c>
      <c r="B1562" s="64" t="s">
        <v>36</v>
      </c>
      <c r="C1562" s="53" t="n">
        <v>395</v>
      </c>
      <c r="D1562" s="53" t="n">
        <v>1</v>
      </c>
      <c r="E1562" s="65" t="str">
        <f aca="false">IF($H1562="","",购销流水!$B395)</f>
        <v/>
      </c>
      <c r="F1562" s="55" t="str">
        <f aca="false">IF($H1562="","",购销流水!$C395)</f>
        <v/>
      </c>
      <c r="G1562" s="48" t="str">
        <f aca="false">IF($H1562="","",购销流水!$N395)</f>
        <v/>
      </c>
      <c r="H1562" s="10" t="str">
        <f aca="false">IF($L1562="","",IF($L1562="@成本",购销流水!$U395,IF($L1562="@收入",购销流水!$T395,IF($L1562="@存货",购销流水!$S395,IF($L1562="@结算",购销流水!$R395,$L1562)))))</f>
        <v/>
      </c>
      <c r="I1562" s="42" t="n">
        <f aca="false">IF($M1562="借",$O1562,0)</f>
        <v>0</v>
      </c>
      <c r="J1562" s="42" t="n">
        <f aca="false">IF($M1562="贷",$O1562,0)</f>
        <v>0</v>
      </c>
      <c r="K1562" s="48" t="str">
        <f aca="false">IF($H1562="","",购销流水!$E395)</f>
        <v/>
      </c>
      <c r="L1562" s="66" t="str">
        <f aca="false">IF(购销流水!$D395="","",IFERROR(INDEX(记账规则!$A$6:$N$9,MATCH(购销流水!$D395,记账规则!$A$6:$A$9,0),3),""))</f>
        <v/>
      </c>
      <c r="M1562" s="66" t="str">
        <f aca="false">IF($L1562="","",IFERROR(INDEX(记账规则!$A$6:$N$9,MATCH(购销流水!$D395,记账规则!$A$6:$A$9,0),4),""))</f>
        <v/>
      </c>
      <c r="N1562" s="66" t="str">
        <f aca="false">IF($L1562="","",IFERROR(INDEX(记账规则!$A$6:$N$9,MATCH(购销流水!$D395,记账规则!$A$6:$A$9,0),5),""))</f>
        <v/>
      </c>
      <c r="O1562" s="67" t="n">
        <f aca="false">IF($H1562="",0,ROUND(IF($N1562="成本金额",N(购销流水!$W395),IF($N1562="金额",N(购销流水!$Q395),0)),2))</f>
        <v>0</v>
      </c>
      <c r="P1562" s="64" t="str">
        <f aca="false">IF(AND($H1562&lt;&gt;"",ROUND($O1562,2)&lt;&gt;0),"有","")</f>
        <v/>
      </c>
    </row>
    <row r="1563" customFormat="false" ht="15" hidden="true" customHeight="false" outlineLevel="0" collapsed="false">
      <c r="A1563" s="53" t="str">
        <f aca="false">IF($H1563="","",ROW()-5)</f>
        <v/>
      </c>
      <c r="B1563" s="64" t="s">
        <v>36</v>
      </c>
      <c r="C1563" s="53" t="n">
        <v>395</v>
      </c>
      <c r="D1563" s="53" t="n">
        <v>2</v>
      </c>
      <c r="E1563" s="65" t="str">
        <f aca="false">IF($H1563="","",购销流水!$B395)</f>
        <v/>
      </c>
      <c r="F1563" s="55" t="str">
        <f aca="false">IF($H1563="","",购销流水!$C395)</f>
        <v/>
      </c>
      <c r="G1563" s="48" t="str">
        <f aca="false">IF($H1563="","",购销流水!$N395)</f>
        <v/>
      </c>
      <c r="H1563" s="10" t="str">
        <f aca="false">IF($L1563="","",IF($L1563="@成本",购销流水!$U395,IF($L1563="@收入",购销流水!$T395,IF($L1563="@存货",购销流水!$S395,IF($L1563="@结算",购销流水!$R395,$L1563)))))</f>
        <v/>
      </c>
      <c r="I1563" s="42" t="n">
        <f aca="false">IF($M1563="借",$O1563,0)</f>
        <v>0</v>
      </c>
      <c r="J1563" s="42" t="n">
        <f aca="false">IF($M1563="贷",$O1563,0)</f>
        <v>0</v>
      </c>
      <c r="K1563" s="48" t="str">
        <f aca="false">IF($H1563="","",购销流水!$E395)</f>
        <v/>
      </c>
      <c r="L1563" s="66" t="str">
        <f aca="false">IF(购销流水!$D395="","",IFERROR(INDEX(记账规则!$A$6:$N$9,MATCH(购销流水!$D395,记账规则!$A$6:$A$9,0),6),""))</f>
        <v/>
      </c>
      <c r="M1563" s="66" t="str">
        <f aca="false">IF($L1563="","",IFERROR(INDEX(记账规则!$A$6:$N$9,MATCH(购销流水!$D395,记账规则!$A$6:$A$9,0),7),""))</f>
        <v/>
      </c>
      <c r="N1563" s="66" t="str">
        <f aca="false">IF($L1563="","",IFERROR(INDEX(记账规则!$A$6:$N$9,MATCH(购销流水!$D395,记账规则!$A$6:$A$9,0),8),""))</f>
        <v/>
      </c>
      <c r="O1563" s="67" t="n">
        <f aca="false">IF($H1563="",0,ROUND(IF($N1563="成本金额",N(购销流水!$W395),IF($N1563="金额",N(购销流水!$Q395),0)),2))</f>
        <v>0</v>
      </c>
      <c r="P1563" s="64" t="str">
        <f aca="false">IF(AND($H1563&lt;&gt;"",ROUND($O1563,2)&lt;&gt;0),"有","")</f>
        <v/>
      </c>
    </row>
    <row r="1564" customFormat="false" ht="15" hidden="true" customHeight="false" outlineLevel="0" collapsed="false">
      <c r="A1564" s="53" t="str">
        <f aca="false">IF($H1564="","",ROW()-5)</f>
        <v/>
      </c>
      <c r="B1564" s="64" t="s">
        <v>36</v>
      </c>
      <c r="C1564" s="53" t="n">
        <v>395</v>
      </c>
      <c r="D1564" s="53" t="n">
        <v>3</v>
      </c>
      <c r="E1564" s="65" t="str">
        <f aca="false">IF($H1564="","",购销流水!$B395)</f>
        <v/>
      </c>
      <c r="F1564" s="55" t="str">
        <f aca="false">IF($H1564="","",购销流水!$C395)</f>
        <v/>
      </c>
      <c r="G1564" s="48" t="str">
        <f aca="false">IF($H1564="","",购销流水!$N395)</f>
        <v/>
      </c>
      <c r="H1564" s="10" t="str">
        <f aca="false">IF($L1564="","",IF($L1564="@成本",购销流水!$U395,IF($L1564="@收入",购销流水!$T395,IF($L1564="@存货",购销流水!$S395,IF($L1564="@结算",购销流水!$R395,$L1564)))))</f>
        <v/>
      </c>
      <c r="I1564" s="42" t="n">
        <f aca="false">IF($M1564="借",$O1564,0)</f>
        <v>0</v>
      </c>
      <c r="J1564" s="42" t="n">
        <f aca="false">IF($M1564="贷",$O1564,0)</f>
        <v>0</v>
      </c>
      <c r="K1564" s="48" t="str">
        <f aca="false">IF($H1564="","",购销流水!$E395)</f>
        <v/>
      </c>
      <c r="L1564" s="66" t="str">
        <f aca="false">IF(购销流水!$D395="","",IFERROR(INDEX(记账规则!$A$6:$N$9,MATCH(购销流水!$D395,记账规则!$A$6:$A$9,0),9),""))</f>
        <v/>
      </c>
      <c r="M1564" s="66" t="str">
        <f aca="false">IF($L1564="","",IFERROR(INDEX(记账规则!$A$6:$N$9,MATCH(购销流水!$D395,记账规则!$A$6:$A$9,0),10),""))</f>
        <v/>
      </c>
      <c r="N1564" s="66" t="str">
        <f aca="false">IF($L1564="","",IFERROR(INDEX(记账规则!$A$6:$N$9,MATCH(购销流水!$D395,记账规则!$A$6:$A$9,0),11),""))</f>
        <v/>
      </c>
      <c r="O1564" s="67" t="n">
        <f aca="false">IF($H1564="",0,ROUND(IF($N1564="成本金额",N(购销流水!$W395),IF($N1564="金额",N(购销流水!$Q395),0)),2))</f>
        <v>0</v>
      </c>
      <c r="P1564" s="64" t="str">
        <f aca="false">IF(AND($H1564&lt;&gt;"",ROUND($O1564,2)&lt;&gt;0),"有","")</f>
        <v/>
      </c>
    </row>
    <row r="1565" customFormat="false" ht="15" hidden="true" customHeight="false" outlineLevel="0" collapsed="false">
      <c r="A1565" s="53" t="str">
        <f aca="false">IF($H1565="","",ROW()-5)</f>
        <v/>
      </c>
      <c r="B1565" s="64" t="s">
        <v>36</v>
      </c>
      <c r="C1565" s="53" t="n">
        <v>395</v>
      </c>
      <c r="D1565" s="53" t="n">
        <v>4</v>
      </c>
      <c r="E1565" s="65" t="str">
        <f aca="false">IF($H1565="","",购销流水!$B395)</f>
        <v/>
      </c>
      <c r="F1565" s="55" t="str">
        <f aca="false">IF($H1565="","",购销流水!$C395)</f>
        <v/>
      </c>
      <c r="G1565" s="48" t="str">
        <f aca="false">IF($H1565="","",购销流水!$N395)</f>
        <v/>
      </c>
      <c r="H1565" s="10" t="str">
        <f aca="false">IF($L1565="","",IF($L1565="@成本",购销流水!$U395,IF($L1565="@收入",购销流水!$T395,IF($L1565="@存货",购销流水!$S395,IF($L1565="@结算",购销流水!$R395,$L1565)))))</f>
        <v/>
      </c>
      <c r="I1565" s="42" t="n">
        <f aca="false">IF($M1565="借",$O1565,0)</f>
        <v>0</v>
      </c>
      <c r="J1565" s="42" t="n">
        <f aca="false">IF($M1565="贷",$O1565,0)</f>
        <v>0</v>
      </c>
      <c r="K1565" s="48" t="str">
        <f aca="false">IF($H1565="","",购销流水!$E395)</f>
        <v/>
      </c>
      <c r="L1565" s="66" t="str">
        <f aca="false">IF(购销流水!$D395="","",IFERROR(INDEX(记账规则!$A$6:$N$9,MATCH(购销流水!$D395,记账规则!$A$6:$A$9,0),12),""))</f>
        <v/>
      </c>
      <c r="M1565" s="66" t="str">
        <f aca="false">IF($L1565="","",IFERROR(INDEX(记账规则!$A$6:$N$9,MATCH(购销流水!$D395,记账规则!$A$6:$A$9,0),13),""))</f>
        <v/>
      </c>
      <c r="N1565" s="66" t="str">
        <f aca="false">IF($L1565="","",IFERROR(INDEX(记账规则!$A$6:$N$9,MATCH(购销流水!$D395,记账规则!$A$6:$A$9,0),14),""))</f>
        <v/>
      </c>
      <c r="O1565" s="67" t="n">
        <f aca="false">IF($H1565="",0,ROUND(IF($N1565="成本金额",N(购销流水!$W395),IF($N1565="金额",N(购销流水!$Q395),0)),2))</f>
        <v>0</v>
      </c>
      <c r="P1565" s="64" t="str">
        <f aca="false">IF(AND($H1565&lt;&gt;"",ROUND($O1565,2)&lt;&gt;0),"有","")</f>
        <v/>
      </c>
    </row>
    <row r="1566" customFormat="false" ht="15" hidden="true" customHeight="false" outlineLevel="0" collapsed="false">
      <c r="A1566" s="53" t="str">
        <f aca="false">IF($H1566="","",ROW()-5)</f>
        <v/>
      </c>
      <c r="B1566" s="64" t="s">
        <v>36</v>
      </c>
      <c r="C1566" s="53" t="n">
        <v>396</v>
      </c>
      <c r="D1566" s="53" t="n">
        <v>1</v>
      </c>
      <c r="E1566" s="65" t="str">
        <f aca="false">IF($H1566="","",购销流水!$B396)</f>
        <v/>
      </c>
      <c r="F1566" s="55" t="str">
        <f aca="false">IF($H1566="","",购销流水!$C396)</f>
        <v/>
      </c>
      <c r="G1566" s="48" t="str">
        <f aca="false">IF($H1566="","",购销流水!$N396)</f>
        <v/>
      </c>
      <c r="H1566" s="10" t="str">
        <f aca="false">IF($L1566="","",IF($L1566="@成本",购销流水!$U396,IF($L1566="@收入",购销流水!$T396,IF($L1566="@存货",购销流水!$S396,IF($L1566="@结算",购销流水!$R396,$L1566)))))</f>
        <v/>
      </c>
      <c r="I1566" s="42" t="n">
        <f aca="false">IF($M1566="借",$O1566,0)</f>
        <v>0</v>
      </c>
      <c r="J1566" s="42" t="n">
        <f aca="false">IF($M1566="贷",$O1566,0)</f>
        <v>0</v>
      </c>
      <c r="K1566" s="48" t="str">
        <f aca="false">IF($H1566="","",购销流水!$E396)</f>
        <v/>
      </c>
      <c r="L1566" s="66" t="str">
        <f aca="false">IF(购销流水!$D396="","",IFERROR(INDEX(记账规则!$A$6:$N$9,MATCH(购销流水!$D396,记账规则!$A$6:$A$9,0),3),""))</f>
        <v/>
      </c>
      <c r="M1566" s="66" t="str">
        <f aca="false">IF($L1566="","",IFERROR(INDEX(记账规则!$A$6:$N$9,MATCH(购销流水!$D396,记账规则!$A$6:$A$9,0),4),""))</f>
        <v/>
      </c>
      <c r="N1566" s="66" t="str">
        <f aca="false">IF($L1566="","",IFERROR(INDEX(记账规则!$A$6:$N$9,MATCH(购销流水!$D396,记账规则!$A$6:$A$9,0),5),""))</f>
        <v/>
      </c>
      <c r="O1566" s="67" t="n">
        <f aca="false">IF($H1566="",0,ROUND(IF($N1566="成本金额",N(购销流水!$W396),IF($N1566="金额",N(购销流水!$Q396),0)),2))</f>
        <v>0</v>
      </c>
      <c r="P1566" s="64" t="str">
        <f aca="false">IF(AND($H1566&lt;&gt;"",ROUND($O1566,2)&lt;&gt;0),"有","")</f>
        <v/>
      </c>
    </row>
    <row r="1567" customFormat="false" ht="15" hidden="true" customHeight="false" outlineLevel="0" collapsed="false">
      <c r="A1567" s="53" t="str">
        <f aca="false">IF($H1567="","",ROW()-5)</f>
        <v/>
      </c>
      <c r="B1567" s="64" t="s">
        <v>36</v>
      </c>
      <c r="C1567" s="53" t="n">
        <v>396</v>
      </c>
      <c r="D1567" s="53" t="n">
        <v>2</v>
      </c>
      <c r="E1567" s="65" t="str">
        <f aca="false">IF($H1567="","",购销流水!$B396)</f>
        <v/>
      </c>
      <c r="F1567" s="55" t="str">
        <f aca="false">IF($H1567="","",购销流水!$C396)</f>
        <v/>
      </c>
      <c r="G1567" s="48" t="str">
        <f aca="false">IF($H1567="","",购销流水!$N396)</f>
        <v/>
      </c>
      <c r="H1567" s="10" t="str">
        <f aca="false">IF($L1567="","",IF($L1567="@成本",购销流水!$U396,IF($L1567="@收入",购销流水!$T396,IF($L1567="@存货",购销流水!$S396,IF($L1567="@结算",购销流水!$R396,$L1567)))))</f>
        <v/>
      </c>
      <c r="I1567" s="42" t="n">
        <f aca="false">IF($M1567="借",$O1567,0)</f>
        <v>0</v>
      </c>
      <c r="J1567" s="42" t="n">
        <f aca="false">IF($M1567="贷",$O1567,0)</f>
        <v>0</v>
      </c>
      <c r="K1567" s="48" t="str">
        <f aca="false">IF($H1567="","",购销流水!$E396)</f>
        <v/>
      </c>
      <c r="L1567" s="66" t="str">
        <f aca="false">IF(购销流水!$D396="","",IFERROR(INDEX(记账规则!$A$6:$N$9,MATCH(购销流水!$D396,记账规则!$A$6:$A$9,0),6),""))</f>
        <v/>
      </c>
      <c r="M1567" s="66" t="str">
        <f aca="false">IF($L1567="","",IFERROR(INDEX(记账规则!$A$6:$N$9,MATCH(购销流水!$D396,记账规则!$A$6:$A$9,0),7),""))</f>
        <v/>
      </c>
      <c r="N1567" s="66" t="str">
        <f aca="false">IF($L1567="","",IFERROR(INDEX(记账规则!$A$6:$N$9,MATCH(购销流水!$D396,记账规则!$A$6:$A$9,0),8),""))</f>
        <v/>
      </c>
      <c r="O1567" s="67" t="n">
        <f aca="false">IF($H1567="",0,ROUND(IF($N1567="成本金额",N(购销流水!$W396),IF($N1567="金额",N(购销流水!$Q396),0)),2))</f>
        <v>0</v>
      </c>
      <c r="P1567" s="64" t="str">
        <f aca="false">IF(AND($H1567&lt;&gt;"",ROUND($O1567,2)&lt;&gt;0),"有","")</f>
        <v/>
      </c>
    </row>
    <row r="1568" customFormat="false" ht="15" hidden="true" customHeight="false" outlineLevel="0" collapsed="false">
      <c r="A1568" s="53" t="str">
        <f aca="false">IF($H1568="","",ROW()-5)</f>
        <v/>
      </c>
      <c r="B1568" s="64" t="s">
        <v>36</v>
      </c>
      <c r="C1568" s="53" t="n">
        <v>396</v>
      </c>
      <c r="D1568" s="53" t="n">
        <v>3</v>
      </c>
      <c r="E1568" s="65" t="str">
        <f aca="false">IF($H1568="","",购销流水!$B396)</f>
        <v/>
      </c>
      <c r="F1568" s="55" t="str">
        <f aca="false">IF($H1568="","",购销流水!$C396)</f>
        <v/>
      </c>
      <c r="G1568" s="48" t="str">
        <f aca="false">IF($H1568="","",购销流水!$N396)</f>
        <v/>
      </c>
      <c r="H1568" s="10" t="str">
        <f aca="false">IF($L1568="","",IF($L1568="@成本",购销流水!$U396,IF($L1568="@收入",购销流水!$T396,IF($L1568="@存货",购销流水!$S396,IF($L1568="@结算",购销流水!$R396,$L1568)))))</f>
        <v/>
      </c>
      <c r="I1568" s="42" t="n">
        <f aca="false">IF($M1568="借",$O1568,0)</f>
        <v>0</v>
      </c>
      <c r="J1568" s="42" t="n">
        <f aca="false">IF($M1568="贷",$O1568,0)</f>
        <v>0</v>
      </c>
      <c r="K1568" s="48" t="str">
        <f aca="false">IF($H1568="","",购销流水!$E396)</f>
        <v/>
      </c>
      <c r="L1568" s="66" t="str">
        <f aca="false">IF(购销流水!$D396="","",IFERROR(INDEX(记账规则!$A$6:$N$9,MATCH(购销流水!$D396,记账规则!$A$6:$A$9,0),9),""))</f>
        <v/>
      </c>
      <c r="M1568" s="66" t="str">
        <f aca="false">IF($L1568="","",IFERROR(INDEX(记账规则!$A$6:$N$9,MATCH(购销流水!$D396,记账规则!$A$6:$A$9,0),10),""))</f>
        <v/>
      </c>
      <c r="N1568" s="66" t="str">
        <f aca="false">IF($L1568="","",IFERROR(INDEX(记账规则!$A$6:$N$9,MATCH(购销流水!$D396,记账规则!$A$6:$A$9,0),11),""))</f>
        <v/>
      </c>
      <c r="O1568" s="67" t="n">
        <f aca="false">IF($H1568="",0,ROUND(IF($N1568="成本金额",N(购销流水!$W396),IF($N1568="金额",N(购销流水!$Q396),0)),2))</f>
        <v>0</v>
      </c>
      <c r="P1568" s="64" t="str">
        <f aca="false">IF(AND($H1568&lt;&gt;"",ROUND($O1568,2)&lt;&gt;0),"有","")</f>
        <v/>
      </c>
    </row>
    <row r="1569" customFormat="false" ht="15" hidden="true" customHeight="false" outlineLevel="0" collapsed="false">
      <c r="A1569" s="53" t="str">
        <f aca="false">IF($H1569="","",ROW()-5)</f>
        <v/>
      </c>
      <c r="B1569" s="64" t="s">
        <v>36</v>
      </c>
      <c r="C1569" s="53" t="n">
        <v>396</v>
      </c>
      <c r="D1569" s="53" t="n">
        <v>4</v>
      </c>
      <c r="E1569" s="65" t="str">
        <f aca="false">IF($H1569="","",购销流水!$B396)</f>
        <v/>
      </c>
      <c r="F1569" s="55" t="str">
        <f aca="false">IF($H1569="","",购销流水!$C396)</f>
        <v/>
      </c>
      <c r="G1569" s="48" t="str">
        <f aca="false">IF($H1569="","",购销流水!$N396)</f>
        <v/>
      </c>
      <c r="H1569" s="10" t="str">
        <f aca="false">IF($L1569="","",IF($L1569="@成本",购销流水!$U396,IF($L1569="@收入",购销流水!$T396,IF($L1569="@存货",购销流水!$S396,IF($L1569="@结算",购销流水!$R396,$L1569)))))</f>
        <v/>
      </c>
      <c r="I1569" s="42" t="n">
        <f aca="false">IF($M1569="借",$O1569,0)</f>
        <v>0</v>
      </c>
      <c r="J1569" s="42" t="n">
        <f aca="false">IF($M1569="贷",$O1569,0)</f>
        <v>0</v>
      </c>
      <c r="K1569" s="48" t="str">
        <f aca="false">IF($H1569="","",购销流水!$E396)</f>
        <v/>
      </c>
      <c r="L1569" s="66" t="str">
        <f aca="false">IF(购销流水!$D396="","",IFERROR(INDEX(记账规则!$A$6:$N$9,MATCH(购销流水!$D396,记账规则!$A$6:$A$9,0),12),""))</f>
        <v/>
      </c>
      <c r="M1569" s="66" t="str">
        <f aca="false">IF($L1569="","",IFERROR(INDEX(记账规则!$A$6:$N$9,MATCH(购销流水!$D396,记账规则!$A$6:$A$9,0),13),""))</f>
        <v/>
      </c>
      <c r="N1569" s="66" t="str">
        <f aca="false">IF($L1569="","",IFERROR(INDEX(记账规则!$A$6:$N$9,MATCH(购销流水!$D396,记账规则!$A$6:$A$9,0),14),""))</f>
        <v/>
      </c>
      <c r="O1569" s="67" t="n">
        <f aca="false">IF($H1569="",0,ROUND(IF($N1569="成本金额",N(购销流水!$W396),IF($N1569="金额",N(购销流水!$Q396),0)),2))</f>
        <v>0</v>
      </c>
      <c r="P1569" s="64" t="str">
        <f aca="false">IF(AND($H1569&lt;&gt;"",ROUND($O1569,2)&lt;&gt;0),"有","")</f>
        <v/>
      </c>
    </row>
    <row r="1570" customFormat="false" ht="15" hidden="true" customHeight="false" outlineLevel="0" collapsed="false">
      <c r="A1570" s="53" t="str">
        <f aca="false">IF($H1570="","",ROW()-5)</f>
        <v/>
      </c>
      <c r="B1570" s="64" t="s">
        <v>36</v>
      </c>
      <c r="C1570" s="53" t="n">
        <v>397</v>
      </c>
      <c r="D1570" s="53" t="n">
        <v>1</v>
      </c>
      <c r="E1570" s="65" t="str">
        <f aca="false">IF($H1570="","",购销流水!$B397)</f>
        <v/>
      </c>
      <c r="F1570" s="55" t="str">
        <f aca="false">IF($H1570="","",购销流水!$C397)</f>
        <v/>
      </c>
      <c r="G1570" s="48" t="str">
        <f aca="false">IF($H1570="","",购销流水!$N397)</f>
        <v/>
      </c>
      <c r="H1570" s="10" t="str">
        <f aca="false">IF($L1570="","",IF($L1570="@成本",购销流水!$U397,IF($L1570="@收入",购销流水!$T397,IF($L1570="@存货",购销流水!$S397,IF($L1570="@结算",购销流水!$R397,$L1570)))))</f>
        <v/>
      </c>
      <c r="I1570" s="42" t="n">
        <f aca="false">IF($M1570="借",$O1570,0)</f>
        <v>0</v>
      </c>
      <c r="J1570" s="42" t="n">
        <f aca="false">IF($M1570="贷",$O1570,0)</f>
        <v>0</v>
      </c>
      <c r="K1570" s="48" t="str">
        <f aca="false">IF($H1570="","",购销流水!$E397)</f>
        <v/>
      </c>
      <c r="L1570" s="66" t="str">
        <f aca="false">IF(购销流水!$D397="","",IFERROR(INDEX(记账规则!$A$6:$N$9,MATCH(购销流水!$D397,记账规则!$A$6:$A$9,0),3),""))</f>
        <v/>
      </c>
      <c r="M1570" s="66" t="str">
        <f aca="false">IF($L1570="","",IFERROR(INDEX(记账规则!$A$6:$N$9,MATCH(购销流水!$D397,记账规则!$A$6:$A$9,0),4),""))</f>
        <v/>
      </c>
      <c r="N1570" s="66" t="str">
        <f aca="false">IF($L1570="","",IFERROR(INDEX(记账规则!$A$6:$N$9,MATCH(购销流水!$D397,记账规则!$A$6:$A$9,0),5),""))</f>
        <v/>
      </c>
      <c r="O1570" s="67" t="n">
        <f aca="false">IF($H1570="",0,ROUND(IF($N1570="成本金额",N(购销流水!$W397),IF($N1570="金额",N(购销流水!$Q397),0)),2))</f>
        <v>0</v>
      </c>
      <c r="P1570" s="64" t="str">
        <f aca="false">IF(AND($H1570&lt;&gt;"",ROUND($O1570,2)&lt;&gt;0),"有","")</f>
        <v/>
      </c>
    </row>
    <row r="1571" customFormat="false" ht="15" hidden="true" customHeight="false" outlineLevel="0" collapsed="false">
      <c r="A1571" s="53" t="str">
        <f aca="false">IF($H1571="","",ROW()-5)</f>
        <v/>
      </c>
      <c r="B1571" s="64" t="s">
        <v>36</v>
      </c>
      <c r="C1571" s="53" t="n">
        <v>397</v>
      </c>
      <c r="D1571" s="53" t="n">
        <v>2</v>
      </c>
      <c r="E1571" s="65" t="str">
        <f aca="false">IF($H1571="","",购销流水!$B397)</f>
        <v/>
      </c>
      <c r="F1571" s="55" t="str">
        <f aca="false">IF($H1571="","",购销流水!$C397)</f>
        <v/>
      </c>
      <c r="G1571" s="48" t="str">
        <f aca="false">IF($H1571="","",购销流水!$N397)</f>
        <v/>
      </c>
      <c r="H1571" s="10" t="str">
        <f aca="false">IF($L1571="","",IF($L1571="@成本",购销流水!$U397,IF($L1571="@收入",购销流水!$T397,IF($L1571="@存货",购销流水!$S397,IF($L1571="@结算",购销流水!$R397,$L1571)))))</f>
        <v/>
      </c>
      <c r="I1571" s="42" t="n">
        <f aca="false">IF($M1571="借",$O1571,0)</f>
        <v>0</v>
      </c>
      <c r="J1571" s="42" t="n">
        <f aca="false">IF($M1571="贷",$O1571,0)</f>
        <v>0</v>
      </c>
      <c r="K1571" s="48" t="str">
        <f aca="false">IF($H1571="","",购销流水!$E397)</f>
        <v/>
      </c>
      <c r="L1571" s="66" t="str">
        <f aca="false">IF(购销流水!$D397="","",IFERROR(INDEX(记账规则!$A$6:$N$9,MATCH(购销流水!$D397,记账规则!$A$6:$A$9,0),6),""))</f>
        <v/>
      </c>
      <c r="M1571" s="66" t="str">
        <f aca="false">IF($L1571="","",IFERROR(INDEX(记账规则!$A$6:$N$9,MATCH(购销流水!$D397,记账规则!$A$6:$A$9,0),7),""))</f>
        <v/>
      </c>
      <c r="N1571" s="66" t="str">
        <f aca="false">IF($L1571="","",IFERROR(INDEX(记账规则!$A$6:$N$9,MATCH(购销流水!$D397,记账规则!$A$6:$A$9,0),8),""))</f>
        <v/>
      </c>
      <c r="O1571" s="67" t="n">
        <f aca="false">IF($H1571="",0,ROUND(IF($N1571="成本金额",N(购销流水!$W397),IF($N1571="金额",N(购销流水!$Q397),0)),2))</f>
        <v>0</v>
      </c>
      <c r="P1571" s="64" t="str">
        <f aca="false">IF(AND($H1571&lt;&gt;"",ROUND($O1571,2)&lt;&gt;0),"有","")</f>
        <v/>
      </c>
    </row>
    <row r="1572" customFormat="false" ht="15" hidden="true" customHeight="false" outlineLevel="0" collapsed="false">
      <c r="A1572" s="53" t="str">
        <f aca="false">IF($H1572="","",ROW()-5)</f>
        <v/>
      </c>
      <c r="B1572" s="64" t="s">
        <v>36</v>
      </c>
      <c r="C1572" s="53" t="n">
        <v>397</v>
      </c>
      <c r="D1572" s="53" t="n">
        <v>3</v>
      </c>
      <c r="E1572" s="65" t="str">
        <f aca="false">IF($H1572="","",购销流水!$B397)</f>
        <v/>
      </c>
      <c r="F1572" s="55" t="str">
        <f aca="false">IF($H1572="","",购销流水!$C397)</f>
        <v/>
      </c>
      <c r="G1572" s="48" t="str">
        <f aca="false">IF($H1572="","",购销流水!$N397)</f>
        <v/>
      </c>
      <c r="H1572" s="10" t="str">
        <f aca="false">IF($L1572="","",IF($L1572="@成本",购销流水!$U397,IF($L1572="@收入",购销流水!$T397,IF($L1572="@存货",购销流水!$S397,IF($L1572="@结算",购销流水!$R397,$L1572)))))</f>
        <v/>
      </c>
      <c r="I1572" s="42" t="n">
        <f aca="false">IF($M1572="借",$O1572,0)</f>
        <v>0</v>
      </c>
      <c r="J1572" s="42" t="n">
        <f aca="false">IF($M1572="贷",$O1572,0)</f>
        <v>0</v>
      </c>
      <c r="K1572" s="48" t="str">
        <f aca="false">IF($H1572="","",购销流水!$E397)</f>
        <v/>
      </c>
      <c r="L1572" s="66" t="str">
        <f aca="false">IF(购销流水!$D397="","",IFERROR(INDEX(记账规则!$A$6:$N$9,MATCH(购销流水!$D397,记账规则!$A$6:$A$9,0),9),""))</f>
        <v/>
      </c>
      <c r="M1572" s="66" t="str">
        <f aca="false">IF($L1572="","",IFERROR(INDEX(记账规则!$A$6:$N$9,MATCH(购销流水!$D397,记账规则!$A$6:$A$9,0),10),""))</f>
        <v/>
      </c>
      <c r="N1572" s="66" t="str">
        <f aca="false">IF($L1572="","",IFERROR(INDEX(记账规则!$A$6:$N$9,MATCH(购销流水!$D397,记账规则!$A$6:$A$9,0),11),""))</f>
        <v/>
      </c>
      <c r="O1572" s="67" t="n">
        <f aca="false">IF($H1572="",0,ROUND(IF($N1572="成本金额",N(购销流水!$W397),IF($N1572="金额",N(购销流水!$Q397),0)),2))</f>
        <v>0</v>
      </c>
      <c r="P1572" s="64" t="str">
        <f aca="false">IF(AND($H1572&lt;&gt;"",ROUND($O1572,2)&lt;&gt;0),"有","")</f>
        <v/>
      </c>
    </row>
    <row r="1573" customFormat="false" ht="15" hidden="true" customHeight="false" outlineLevel="0" collapsed="false">
      <c r="A1573" s="53" t="str">
        <f aca="false">IF($H1573="","",ROW()-5)</f>
        <v/>
      </c>
      <c r="B1573" s="64" t="s">
        <v>36</v>
      </c>
      <c r="C1573" s="53" t="n">
        <v>397</v>
      </c>
      <c r="D1573" s="53" t="n">
        <v>4</v>
      </c>
      <c r="E1573" s="65" t="str">
        <f aca="false">IF($H1573="","",购销流水!$B397)</f>
        <v/>
      </c>
      <c r="F1573" s="55" t="str">
        <f aca="false">IF($H1573="","",购销流水!$C397)</f>
        <v/>
      </c>
      <c r="G1573" s="48" t="str">
        <f aca="false">IF($H1573="","",购销流水!$N397)</f>
        <v/>
      </c>
      <c r="H1573" s="10" t="str">
        <f aca="false">IF($L1573="","",IF($L1573="@成本",购销流水!$U397,IF($L1573="@收入",购销流水!$T397,IF($L1573="@存货",购销流水!$S397,IF($L1573="@结算",购销流水!$R397,$L1573)))))</f>
        <v/>
      </c>
      <c r="I1573" s="42" t="n">
        <f aca="false">IF($M1573="借",$O1573,0)</f>
        <v>0</v>
      </c>
      <c r="J1573" s="42" t="n">
        <f aca="false">IF($M1573="贷",$O1573,0)</f>
        <v>0</v>
      </c>
      <c r="K1573" s="48" t="str">
        <f aca="false">IF($H1573="","",购销流水!$E397)</f>
        <v/>
      </c>
      <c r="L1573" s="66" t="str">
        <f aca="false">IF(购销流水!$D397="","",IFERROR(INDEX(记账规则!$A$6:$N$9,MATCH(购销流水!$D397,记账规则!$A$6:$A$9,0),12),""))</f>
        <v/>
      </c>
      <c r="M1573" s="66" t="str">
        <f aca="false">IF($L1573="","",IFERROR(INDEX(记账规则!$A$6:$N$9,MATCH(购销流水!$D397,记账规则!$A$6:$A$9,0),13),""))</f>
        <v/>
      </c>
      <c r="N1573" s="66" t="str">
        <f aca="false">IF($L1573="","",IFERROR(INDEX(记账规则!$A$6:$N$9,MATCH(购销流水!$D397,记账规则!$A$6:$A$9,0),14),""))</f>
        <v/>
      </c>
      <c r="O1573" s="67" t="n">
        <f aca="false">IF($H1573="",0,ROUND(IF($N1573="成本金额",N(购销流水!$W397),IF($N1573="金额",N(购销流水!$Q397),0)),2))</f>
        <v>0</v>
      </c>
      <c r="P1573" s="64" t="str">
        <f aca="false">IF(AND($H1573&lt;&gt;"",ROUND($O1573,2)&lt;&gt;0),"有","")</f>
        <v/>
      </c>
    </row>
    <row r="1574" customFormat="false" ht="15" hidden="true" customHeight="false" outlineLevel="0" collapsed="false">
      <c r="A1574" s="53" t="str">
        <f aca="false">IF($H1574="","",ROW()-5)</f>
        <v/>
      </c>
      <c r="B1574" s="64" t="s">
        <v>36</v>
      </c>
      <c r="C1574" s="53" t="n">
        <v>398</v>
      </c>
      <c r="D1574" s="53" t="n">
        <v>1</v>
      </c>
      <c r="E1574" s="65" t="str">
        <f aca="false">IF($H1574="","",购销流水!$B398)</f>
        <v/>
      </c>
      <c r="F1574" s="55" t="str">
        <f aca="false">IF($H1574="","",购销流水!$C398)</f>
        <v/>
      </c>
      <c r="G1574" s="48" t="str">
        <f aca="false">IF($H1574="","",购销流水!$N398)</f>
        <v/>
      </c>
      <c r="H1574" s="10" t="str">
        <f aca="false">IF($L1574="","",IF($L1574="@成本",购销流水!$U398,IF($L1574="@收入",购销流水!$T398,IF($L1574="@存货",购销流水!$S398,IF($L1574="@结算",购销流水!$R398,$L1574)))))</f>
        <v/>
      </c>
      <c r="I1574" s="42" t="n">
        <f aca="false">IF($M1574="借",$O1574,0)</f>
        <v>0</v>
      </c>
      <c r="J1574" s="42" t="n">
        <f aca="false">IF($M1574="贷",$O1574,0)</f>
        <v>0</v>
      </c>
      <c r="K1574" s="48" t="str">
        <f aca="false">IF($H1574="","",购销流水!$E398)</f>
        <v/>
      </c>
      <c r="L1574" s="66" t="str">
        <f aca="false">IF(购销流水!$D398="","",IFERROR(INDEX(记账规则!$A$6:$N$9,MATCH(购销流水!$D398,记账规则!$A$6:$A$9,0),3),""))</f>
        <v/>
      </c>
      <c r="M1574" s="66" t="str">
        <f aca="false">IF($L1574="","",IFERROR(INDEX(记账规则!$A$6:$N$9,MATCH(购销流水!$D398,记账规则!$A$6:$A$9,0),4),""))</f>
        <v/>
      </c>
      <c r="N1574" s="66" t="str">
        <f aca="false">IF($L1574="","",IFERROR(INDEX(记账规则!$A$6:$N$9,MATCH(购销流水!$D398,记账规则!$A$6:$A$9,0),5),""))</f>
        <v/>
      </c>
      <c r="O1574" s="67" t="n">
        <f aca="false">IF($H1574="",0,ROUND(IF($N1574="成本金额",N(购销流水!$W398),IF($N1574="金额",N(购销流水!$Q398),0)),2))</f>
        <v>0</v>
      </c>
      <c r="P1574" s="64" t="str">
        <f aca="false">IF(AND($H1574&lt;&gt;"",ROUND($O1574,2)&lt;&gt;0),"有","")</f>
        <v/>
      </c>
    </row>
    <row r="1575" customFormat="false" ht="15" hidden="true" customHeight="false" outlineLevel="0" collapsed="false">
      <c r="A1575" s="53" t="str">
        <f aca="false">IF($H1575="","",ROW()-5)</f>
        <v/>
      </c>
      <c r="B1575" s="64" t="s">
        <v>36</v>
      </c>
      <c r="C1575" s="53" t="n">
        <v>398</v>
      </c>
      <c r="D1575" s="53" t="n">
        <v>2</v>
      </c>
      <c r="E1575" s="65" t="str">
        <f aca="false">IF($H1575="","",购销流水!$B398)</f>
        <v/>
      </c>
      <c r="F1575" s="55" t="str">
        <f aca="false">IF($H1575="","",购销流水!$C398)</f>
        <v/>
      </c>
      <c r="G1575" s="48" t="str">
        <f aca="false">IF($H1575="","",购销流水!$N398)</f>
        <v/>
      </c>
      <c r="H1575" s="10" t="str">
        <f aca="false">IF($L1575="","",IF($L1575="@成本",购销流水!$U398,IF($L1575="@收入",购销流水!$T398,IF($L1575="@存货",购销流水!$S398,IF($L1575="@结算",购销流水!$R398,$L1575)))))</f>
        <v/>
      </c>
      <c r="I1575" s="42" t="n">
        <f aca="false">IF($M1575="借",$O1575,0)</f>
        <v>0</v>
      </c>
      <c r="J1575" s="42" t="n">
        <f aca="false">IF($M1575="贷",$O1575,0)</f>
        <v>0</v>
      </c>
      <c r="K1575" s="48" t="str">
        <f aca="false">IF($H1575="","",购销流水!$E398)</f>
        <v/>
      </c>
      <c r="L1575" s="66" t="str">
        <f aca="false">IF(购销流水!$D398="","",IFERROR(INDEX(记账规则!$A$6:$N$9,MATCH(购销流水!$D398,记账规则!$A$6:$A$9,0),6),""))</f>
        <v/>
      </c>
      <c r="M1575" s="66" t="str">
        <f aca="false">IF($L1575="","",IFERROR(INDEX(记账规则!$A$6:$N$9,MATCH(购销流水!$D398,记账规则!$A$6:$A$9,0),7),""))</f>
        <v/>
      </c>
      <c r="N1575" s="66" t="str">
        <f aca="false">IF($L1575="","",IFERROR(INDEX(记账规则!$A$6:$N$9,MATCH(购销流水!$D398,记账规则!$A$6:$A$9,0),8),""))</f>
        <v/>
      </c>
      <c r="O1575" s="67" t="n">
        <f aca="false">IF($H1575="",0,ROUND(IF($N1575="成本金额",N(购销流水!$W398),IF($N1575="金额",N(购销流水!$Q398),0)),2))</f>
        <v>0</v>
      </c>
      <c r="P1575" s="64" t="str">
        <f aca="false">IF(AND($H1575&lt;&gt;"",ROUND($O1575,2)&lt;&gt;0),"有","")</f>
        <v/>
      </c>
    </row>
    <row r="1576" customFormat="false" ht="15" hidden="true" customHeight="false" outlineLevel="0" collapsed="false">
      <c r="A1576" s="53" t="str">
        <f aca="false">IF($H1576="","",ROW()-5)</f>
        <v/>
      </c>
      <c r="B1576" s="64" t="s">
        <v>36</v>
      </c>
      <c r="C1576" s="53" t="n">
        <v>398</v>
      </c>
      <c r="D1576" s="53" t="n">
        <v>3</v>
      </c>
      <c r="E1576" s="65" t="str">
        <f aca="false">IF($H1576="","",购销流水!$B398)</f>
        <v/>
      </c>
      <c r="F1576" s="55" t="str">
        <f aca="false">IF($H1576="","",购销流水!$C398)</f>
        <v/>
      </c>
      <c r="G1576" s="48" t="str">
        <f aca="false">IF($H1576="","",购销流水!$N398)</f>
        <v/>
      </c>
      <c r="H1576" s="10" t="str">
        <f aca="false">IF($L1576="","",IF($L1576="@成本",购销流水!$U398,IF($L1576="@收入",购销流水!$T398,IF($L1576="@存货",购销流水!$S398,IF($L1576="@结算",购销流水!$R398,$L1576)))))</f>
        <v/>
      </c>
      <c r="I1576" s="42" t="n">
        <f aca="false">IF($M1576="借",$O1576,0)</f>
        <v>0</v>
      </c>
      <c r="J1576" s="42" t="n">
        <f aca="false">IF($M1576="贷",$O1576,0)</f>
        <v>0</v>
      </c>
      <c r="K1576" s="48" t="str">
        <f aca="false">IF($H1576="","",购销流水!$E398)</f>
        <v/>
      </c>
      <c r="L1576" s="66" t="str">
        <f aca="false">IF(购销流水!$D398="","",IFERROR(INDEX(记账规则!$A$6:$N$9,MATCH(购销流水!$D398,记账规则!$A$6:$A$9,0),9),""))</f>
        <v/>
      </c>
      <c r="M1576" s="66" t="str">
        <f aca="false">IF($L1576="","",IFERROR(INDEX(记账规则!$A$6:$N$9,MATCH(购销流水!$D398,记账规则!$A$6:$A$9,0),10),""))</f>
        <v/>
      </c>
      <c r="N1576" s="66" t="str">
        <f aca="false">IF($L1576="","",IFERROR(INDEX(记账规则!$A$6:$N$9,MATCH(购销流水!$D398,记账规则!$A$6:$A$9,0),11),""))</f>
        <v/>
      </c>
      <c r="O1576" s="67" t="n">
        <f aca="false">IF($H1576="",0,ROUND(IF($N1576="成本金额",N(购销流水!$W398),IF($N1576="金额",N(购销流水!$Q398),0)),2))</f>
        <v>0</v>
      </c>
      <c r="P1576" s="64" t="str">
        <f aca="false">IF(AND($H1576&lt;&gt;"",ROUND($O1576,2)&lt;&gt;0),"有","")</f>
        <v/>
      </c>
    </row>
    <row r="1577" customFormat="false" ht="15" hidden="true" customHeight="false" outlineLevel="0" collapsed="false">
      <c r="A1577" s="53" t="str">
        <f aca="false">IF($H1577="","",ROW()-5)</f>
        <v/>
      </c>
      <c r="B1577" s="64" t="s">
        <v>36</v>
      </c>
      <c r="C1577" s="53" t="n">
        <v>398</v>
      </c>
      <c r="D1577" s="53" t="n">
        <v>4</v>
      </c>
      <c r="E1577" s="65" t="str">
        <f aca="false">IF($H1577="","",购销流水!$B398)</f>
        <v/>
      </c>
      <c r="F1577" s="55" t="str">
        <f aca="false">IF($H1577="","",购销流水!$C398)</f>
        <v/>
      </c>
      <c r="G1577" s="48" t="str">
        <f aca="false">IF($H1577="","",购销流水!$N398)</f>
        <v/>
      </c>
      <c r="H1577" s="10" t="str">
        <f aca="false">IF($L1577="","",IF($L1577="@成本",购销流水!$U398,IF($L1577="@收入",购销流水!$T398,IF($L1577="@存货",购销流水!$S398,IF($L1577="@结算",购销流水!$R398,$L1577)))))</f>
        <v/>
      </c>
      <c r="I1577" s="42" t="n">
        <f aca="false">IF($M1577="借",$O1577,0)</f>
        <v>0</v>
      </c>
      <c r="J1577" s="42" t="n">
        <f aca="false">IF($M1577="贷",$O1577,0)</f>
        <v>0</v>
      </c>
      <c r="K1577" s="48" t="str">
        <f aca="false">IF($H1577="","",购销流水!$E398)</f>
        <v/>
      </c>
      <c r="L1577" s="66" t="str">
        <f aca="false">IF(购销流水!$D398="","",IFERROR(INDEX(记账规则!$A$6:$N$9,MATCH(购销流水!$D398,记账规则!$A$6:$A$9,0),12),""))</f>
        <v/>
      </c>
      <c r="M1577" s="66" t="str">
        <f aca="false">IF($L1577="","",IFERROR(INDEX(记账规则!$A$6:$N$9,MATCH(购销流水!$D398,记账规则!$A$6:$A$9,0),13),""))</f>
        <v/>
      </c>
      <c r="N1577" s="66" t="str">
        <f aca="false">IF($L1577="","",IFERROR(INDEX(记账规则!$A$6:$N$9,MATCH(购销流水!$D398,记账规则!$A$6:$A$9,0),14),""))</f>
        <v/>
      </c>
      <c r="O1577" s="67" t="n">
        <f aca="false">IF($H1577="",0,ROUND(IF($N1577="成本金额",N(购销流水!$W398),IF($N1577="金额",N(购销流水!$Q398),0)),2))</f>
        <v>0</v>
      </c>
      <c r="P1577" s="64" t="str">
        <f aca="false">IF(AND($H1577&lt;&gt;"",ROUND($O1577,2)&lt;&gt;0),"有","")</f>
        <v/>
      </c>
    </row>
    <row r="1578" customFormat="false" ht="15" hidden="true" customHeight="false" outlineLevel="0" collapsed="false">
      <c r="A1578" s="53" t="str">
        <f aca="false">IF($H1578="","",ROW()-5)</f>
        <v/>
      </c>
      <c r="B1578" s="64" t="s">
        <v>36</v>
      </c>
      <c r="C1578" s="53" t="n">
        <v>399</v>
      </c>
      <c r="D1578" s="53" t="n">
        <v>1</v>
      </c>
      <c r="E1578" s="65" t="str">
        <f aca="false">IF($H1578="","",购销流水!$B399)</f>
        <v/>
      </c>
      <c r="F1578" s="55" t="str">
        <f aca="false">IF($H1578="","",购销流水!$C399)</f>
        <v/>
      </c>
      <c r="G1578" s="48" t="str">
        <f aca="false">IF($H1578="","",购销流水!$N399)</f>
        <v/>
      </c>
      <c r="H1578" s="10" t="str">
        <f aca="false">IF($L1578="","",IF($L1578="@成本",购销流水!$U399,IF($L1578="@收入",购销流水!$T399,IF($L1578="@存货",购销流水!$S399,IF($L1578="@结算",购销流水!$R399,$L1578)))))</f>
        <v/>
      </c>
      <c r="I1578" s="42" t="n">
        <f aca="false">IF($M1578="借",$O1578,0)</f>
        <v>0</v>
      </c>
      <c r="J1578" s="42" t="n">
        <f aca="false">IF($M1578="贷",$O1578,0)</f>
        <v>0</v>
      </c>
      <c r="K1578" s="48" t="str">
        <f aca="false">IF($H1578="","",购销流水!$E399)</f>
        <v/>
      </c>
      <c r="L1578" s="66" t="str">
        <f aca="false">IF(购销流水!$D399="","",IFERROR(INDEX(记账规则!$A$6:$N$9,MATCH(购销流水!$D399,记账规则!$A$6:$A$9,0),3),""))</f>
        <v/>
      </c>
      <c r="M1578" s="66" t="str">
        <f aca="false">IF($L1578="","",IFERROR(INDEX(记账规则!$A$6:$N$9,MATCH(购销流水!$D399,记账规则!$A$6:$A$9,0),4),""))</f>
        <v/>
      </c>
      <c r="N1578" s="66" t="str">
        <f aca="false">IF($L1578="","",IFERROR(INDEX(记账规则!$A$6:$N$9,MATCH(购销流水!$D399,记账规则!$A$6:$A$9,0),5),""))</f>
        <v/>
      </c>
      <c r="O1578" s="67" t="n">
        <f aca="false">IF($H1578="",0,ROUND(IF($N1578="成本金额",N(购销流水!$W399),IF($N1578="金额",N(购销流水!$Q399),0)),2))</f>
        <v>0</v>
      </c>
      <c r="P1578" s="64" t="str">
        <f aca="false">IF(AND($H1578&lt;&gt;"",ROUND($O1578,2)&lt;&gt;0),"有","")</f>
        <v/>
      </c>
    </row>
    <row r="1579" customFormat="false" ht="15" hidden="true" customHeight="false" outlineLevel="0" collapsed="false">
      <c r="A1579" s="53" t="str">
        <f aca="false">IF($H1579="","",ROW()-5)</f>
        <v/>
      </c>
      <c r="B1579" s="64" t="s">
        <v>36</v>
      </c>
      <c r="C1579" s="53" t="n">
        <v>399</v>
      </c>
      <c r="D1579" s="53" t="n">
        <v>2</v>
      </c>
      <c r="E1579" s="65" t="str">
        <f aca="false">IF($H1579="","",购销流水!$B399)</f>
        <v/>
      </c>
      <c r="F1579" s="55" t="str">
        <f aca="false">IF($H1579="","",购销流水!$C399)</f>
        <v/>
      </c>
      <c r="G1579" s="48" t="str">
        <f aca="false">IF($H1579="","",购销流水!$N399)</f>
        <v/>
      </c>
      <c r="H1579" s="10" t="str">
        <f aca="false">IF($L1579="","",IF($L1579="@成本",购销流水!$U399,IF($L1579="@收入",购销流水!$T399,IF($L1579="@存货",购销流水!$S399,IF($L1579="@结算",购销流水!$R399,$L1579)))))</f>
        <v/>
      </c>
      <c r="I1579" s="42" t="n">
        <f aca="false">IF($M1579="借",$O1579,0)</f>
        <v>0</v>
      </c>
      <c r="J1579" s="42" t="n">
        <f aca="false">IF($M1579="贷",$O1579,0)</f>
        <v>0</v>
      </c>
      <c r="K1579" s="48" t="str">
        <f aca="false">IF($H1579="","",购销流水!$E399)</f>
        <v/>
      </c>
      <c r="L1579" s="66" t="str">
        <f aca="false">IF(购销流水!$D399="","",IFERROR(INDEX(记账规则!$A$6:$N$9,MATCH(购销流水!$D399,记账规则!$A$6:$A$9,0),6),""))</f>
        <v/>
      </c>
      <c r="M1579" s="66" t="str">
        <f aca="false">IF($L1579="","",IFERROR(INDEX(记账规则!$A$6:$N$9,MATCH(购销流水!$D399,记账规则!$A$6:$A$9,0),7),""))</f>
        <v/>
      </c>
      <c r="N1579" s="66" t="str">
        <f aca="false">IF($L1579="","",IFERROR(INDEX(记账规则!$A$6:$N$9,MATCH(购销流水!$D399,记账规则!$A$6:$A$9,0),8),""))</f>
        <v/>
      </c>
      <c r="O1579" s="67" t="n">
        <f aca="false">IF($H1579="",0,ROUND(IF($N1579="成本金额",N(购销流水!$W399),IF($N1579="金额",N(购销流水!$Q399),0)),2))</f>
        <v>0</v>
      </c>
      <c r="P1579" s="64" t="str">
        <f aca="false">IF(AND($H1579&lt;&gt;"",ROUND($O1579,2)&lt;&gt;0),"有","")</f>
        <v/>
      </c>
    </row>
    <row r="1580" customFormat="false" ht="15" hidden="true" customHeight="false" outlineLevel="0" collapsed="false">
      <c r="A1580" s="53" t="str">
        <f aca="false">IF($H1580="","",ROW()-5)</f>
        <v/>
      </c>
      <c r="B1580" s="64" t="s">
        <v>36</v>
      </c>
      <c r="C1580" s="53" t="n">
        <v>399</v>
      </c>
      <c r="D1580" s="53" t="n">
        <v>3</v>
      </c>
      <c r="E1580" s="65" t="str">
        <f aca="false">IF($H1580="","",购销流水!$B399)</f>
        <v/>
      </c>
      <c r="F1580" s="55" t="str">
        <f aca="false">IF($H1580="","",购销流水!$C399)</f>
        <v/>
      </c>
      <c r="G1580" s="48" t="str">
        <f aca="false">IF($H1580="","",购销流水!$N399)</f>
        <v/>
      </c>
      <c r="H1580" s="10" t="str">
        <f aca="false">IF($L1580="","",IF($L1580="@成本",购销流水!$U399,IF($L1580="@收入",购销流水!$T399,IF($L1580="@存货",购销流水!$S399,IF($L1580="@结算",购销流水!$R399,$L1580)))))</f>
        <v/>
      </c>
      <c r="I1580" s="42" t="n">
        <f aca="false">IF($M1580="借",$O1580,0)</f>
        <v>0</v>
      </c>
      <c r="J1580" s="42" t="n">
        <f aca="false">IF($M1580="贷",$O1580,0)</f>
        <v>0</v>
      </c>
      <c r="K1580" s="48" t="str">
        <f aca="false">IF($H1580="","",购销流水!$E399)</f>
        <v/>
      </c>
      <c r="L1580" s="66" t="str">
        <f aca="false">IF(购销流水!$D399="","",IFERROR(INDEX(记账规则!$A$6:$N$9,MATCH(购销流水!$D399,记账规则!$A$6:$A$9,0),9),""))</f>
        <v/>
      </c>
      <c r="M1580" s="66" t="str">
        <f aca="false">IF($L1580="","",IFERROR(INDEX(记账规则!$A$6:$N$9,MATCH(购销流水!$D399,记账规则!$A$6:$A$9,0),10),""))</f>
        <v/>
      </c>
      <c r="N1580" s="66" t="str">
        <f aca="false">IF($L1580="","",IFERROR(INDEX(记账规则!$A$6:$N$9,MATCH(购销流水!$D399,记账规则!$A$6:$A$9,0),11),""))</f>
        <v/>
      </c>
      <c r="O1580" s="67" t="n">
        <f aca="false">IF($H1580="",0,ROUND(IF($N1580="成本金额",N(购销流水!$W399),IF($N1580="金额",N(购销流水!$Q399),0)),2))</f>
        <v>0</v>
      </c>
      <c r="P1580" s="64" t="str">
        <f aca="false">IF(AND($H1580&lt;&gt;"",ROUND($O1580,2)&lt;&gt;0),"有","")</f>
        <v/>
      </c>
    </row>
    <row r="1581" customFormat="false" ht="15" hidden="true" customHeight="false" outlineLevel="0" collapsed="false">
      <c r="A1581" s="53" t="str">
        <f aca="false">IF($H1581="","",ROW()-5)</f>
        <v/>
      </c>
      <c r="B1581" s="64" t="s">
        <v>36</v>
      </c>
      <c r="C1581" s="53" t="n">
        <v>399</v>
      </c>
      <c r="D1581" s="53" t="n">
        <v>4</v>
      </c>
      <c r="E1581" s="65" t="str">
        <f aca="false">IF($H1581="","",购销流水!$B399)</f>
        <v/>
      </c>
      <c r="F1581" s="55" t="str">
        <f aca="false">IF($H1581="","",购销流水!$C399)</f>
        <v/>
      </c>
      <c r="G1581" s="48" t="str">
        <f aca="false">IF($H1581="","",购销流水!$N399)</f>
        <v/>
      </c>
      <c r="H1581" s="10" t="str">
        <f aca="false">IF($L1581="","",IF($L1581="@成本",购销流水!$U399,IF($L1581="@收入",购销流水!$T399,IF($L1581="@存货",购销流水!$S399,IF($L1581="@结算",购销流水!$R399,$L1581)))))</f>
        <v/>
      </c>
      <c r="I1581" s="42" t="n">
        <f aca="false">IF($M1581="借",$O1581,0)</f>
        <v>0</v>
      </c>
      <c r="J1581" s="42" t="n">
        <f aca="false">IF($M1581="贷",$O1581,0)</f>
        <v>0</v>
      </c>
      <c r="K1581" s="48" t="str">
        <f aca="false">IF($H1581="","",购销流水!$E399)</f>
        <v/>
      </c>
      <c r="L1581" s="66" t="str">
        <f aca="false">IF(购销流水!$D399="","",IFERROR(INDEX(记账规则!$A$6:$N$9,MATCH(购销流水!$D399,记账规则!$A$6:$A$9,0),12),""))</f>
        <v/>
      </c>
      <c r="M1581" s="66" t="str">
        <f aca="false">IF($L1581="","",IFERROR(INDEX(记账规则!$A$6:$N$9,MATCH(购销流水!$D399,记账规则!$A$6:$A$9,0),13),""))</f>
        <v/>
      </c>
      <c r="N1581" s="66" t="str">
        <f aca="false">IF($L1581="","",IFERROR(INDEX(记账规则!$A$6:$N$9,MATCH(购销流水!$D399,记账规则!$A$6:$A$9,0),14),""))</f>
        <v/>
      </c>
      <c r="O1581" s="67" t="n">
        <f aca="false">IF($H1581="",0,ROUND(IF($N1581="成本金额",N(购销流水!$W399),IF($N1581="金额",N(购销流水!$Q399),0)),2))</f>
        <v>0</v>
      </c>
      <c r="P1581" s="64" t="str">
        <f aca="false">IF(AND($H1581&lt;&gt;"",ROUND($O1581,2)&lt;&gt;0),"有","")</f>
        <v/>
      </c>
    </row>
    <row r="1582" customFormat="false" ht="15" hidden="true" customHeight="false" outlineLevel="0" collapsed="false">
      <c r="A1582" s="53" t="str">
        <f aca="false">IF($H1582="","",ROW()-5)</f>
        <v/>
      </c>
      <c r="B1582" s="64" t="s">
        <v>36</v>
      </c>
      <c r="C1582" s="53" t="n">
        <v>400</v>
      </c>
      <c r="D1582" s="53" t="n">
        <v>1</v>
      </c>
      <c r="E1582" s="65" t="str">
        <f aca="false">IF($H1582="","",购销流水!$B400)</f>
        <v/>
      </c>
      <c r="F1582" s="55" t="str">
        <f aca="false">IF($H1582="","",购销流水!$C400)</f>
        <v/>
      </c>
      <c r="G1582" s="48" t="str">
        <f aca="false">IF($H1582="","",购销流水!$N400)</f>
        <v/>
      </c>
      <c r="H1582" s="10" t="str">
        <f aca="false">IF($L1582="","",IF($L1582="@成本",购销流水!$U400,IF($L1582="@收入",购销流水!$T400,IF($L1582="@存货",购销流水!$S400,IF($L1582="@结算",购销流水!$R400,$L1582)))))</f>
        <v/>
      </c>
      <c r="I1582" s="42" t="n">
        <f aca="false">IF($M1582="借",$O1582,0)</f>
        <v>0</v>
      </c>
      <c r="J1582" s="42" t="n">
        <f aca="false">IF($M1582="贷",$O1582,0)</f>
        <v>0</v>
      </c>
      <c r="K1582" s="48" t="str">
        <f aca="false">IF($H1582="","",购销流水!$E400)</f>
        <v/>
      </c>
      <c r="L1582" s="66" t="str">
        <f aca="false">IF(购销流水!$D400="","",IFERROR(INDEX(记账规则!$A$6:$N$9,MATCH(购销流水!$D400,记账规则!$A$6:$A$9,0),3),""))</f>
        <v/>
      </c>
      <c r="M1582" s="66" t="str">
        <f aca="false">IF($L1582="","",IFERROR(INDEX(记账规则!$A$6:$N$9,MATCH(购销流水!$D400,记账规则!$A$6:$A$9,0),4),""))</f>
        <v/>
      </c>
      <c r="N1582" s="66" t="str">
        <f aca="false">IF($L1582="","",IFERROR(INDEX(记账规则!$A$6:$N$9,MATCH(购销流水!$D400,记账规则!$A$6:$A$9,0),5),""))</f>
        <v/>
      </c>
      <c r="O1582" s="67" t="n">
        <f aca="false">IF($H1582="",0,ROUND(IF($N1582="成本金额",N(购销流水!$W400),IF($N1582="金额",N(购销流水!$Q400),0)),2))</f>
        <v>0</v>
      </c>
      <c r="P1582" s="64" t="str">
        <f aca="false">IF(AND($H1582&lt;&gt;"",ROUND($O1582,2)&lt;&gt;0),"有","")</f>
        <v/>
      </c>
    </row>
    <row r="1583" customFormat="false" ht="15" hidden="true" customHeight="false" outlineLevel="0" collapsed="false">
      <c r="A1583" s="53" t="str">
        <f aca="false">IF($H1583="","",ROW()-5)</f>
        <v/>
      </c>
      <c r="B1583" s="64" t="s">
        <v>36</v>
      </c>
      <c r="C1583" s="53" t="n">
        <v>400</v>
      </c>
      <c r="D1583" s="53" t="n">
        <v>2</v>
      </c>
      <c r="E1583" s="65" t="str">
        <f aca="false">IF($H1583="","",购销流水!$B400)</f>
        <v/>
      </c>
      <c r="F1583" s="55" t="str">
        <f aca="false">IF($H1583="","",购销流水!$C400)</f>
        <v/>
      </c>
      <c r="G1583" s="48" t="str">
        <f aca="false">IF($H1583="","",购销流水!$N400)</f>
        <v/>
      </c>
      <c r="H1583" s="10" t="str">
        <f aca="false">IF($L1583="","",IF($L1583="@成本",购销流水!$U400,IF($L1583="@收入",购销流水!$T400,IF($L1583="@存货",购销流水!$S400,IF($L1583="@结算",购销流水!$R400,$L1583)))))</f>
        <v/>
      </c>
      <c r="I1583" s="42" t="n">
        <f aca="false">IF($M1583="借",$O1583,0)</f>
        <v>0</v>
      </c>
      <c r="J1583" s="42" t="n">
        <f aca="false">IF($M1583="贷",$O1583,0)</f>
        <v>0</v>
      </c>
      <c r="K1583" s="48" t="str">
        <f aca="false">IF($H1583="","",购销流水!$E400)</f>
        <v/>
      </c>
      <c r="L1583" s="66" t="str">
        <f aca="false">IF(购销流水!$D400="","",IFERROR(INDEX(记账规则!$A$6:$N$9,MATCH(购销流水!$D400,记账规则!$A$6:$A$9,0),6),""))</f>
        <v/>
      </c>
      <c r="M1583" s="66" t="str">
        <f aca="false">IF($L1583="","",IFERROR(INDEX(记账规则!$A$6:$N$9,MATCH(购销流水!$D400,记账规则!$A$6:$A$9,0),7),""))</f>
        <v/>
      </c>
      <c r="N1583" s="66" t="str">
        <f aca="false">IF($L1583="","",IFERROR(INDEX(记账规则!$A$6:$N$9,MATCH(购销流水!$D400,记账规则!$A$6:$A$9,0),8),""))</f>
        <v/>
      </c>
      <c r="O1583" s="67" t="n">
        <f aca="false">IF($H1583="",0,ROUND(IF($N1583="成本金额",N(购销流水!$W400),IF($N1583="金额",N(购销流水!$Q400),0)),2))</f>
        <v>0</v>
      </c>
      <c r="P1583" s="64" t="str">
        <f aca="false">IF(AND($H1583&lt;&gt;"",ROUND($O1583,2)&lt;&gt;0),"有","")</f>
        <v/>
      </c>
    </row>
    <row r="1584" customFormat="false" ht="15" hidden="true" customHeight="false" outlineLevel="0" collapsed="false">
      <c r="A1584" s="53" t="str">
        <f aca="false">IF($H1584="","",ROW()-5)</f>
        <v/>
      </c>
      <c r="B1584" s="64" t="s">
        <v>36</v>
      </c>
      <c r="C1584" s="53" t="n">
        <v>400</v>
      </c>
      <c r="D1584" s="53" t="n">
        <v>3</v>
      </c>
      <c r="E1584" s="65" t="str">
        <f aca="false">IF($H1584="","",购销流水!$B400)</f>
        <v/>
      </c>
      <c r="F1584" s="55" t="str">
        <f aca="false">IF($H1584="","",购销流水!$C400)</f>
        <v/>
      </c>
      <c r="G1584" s="48" t="str">
        <f aca="false">IF($H1584="","",购销流水!$N400)</f>
        <v/>
      </c>
      <c r="H1584" s="10" t="str">
        <f aca="false">IF($L1584="","",IF($L1584="@成本",购销流水!$U400,IF($L1584="@收入",购销流水!$T400,IF($L1584="@存货",购销流水!$S400,IF($L1584="@结算",购销流水!$R400,$L1584)))))</f>
        <v/>
      </c>
      <c r="I1584" s="42" t="n">
        <f aca="false">IF($M1584="借",$O1584,0)</f>
        <v>0</v>
      </c>
      <c r="J1584" s="42" t="n">
        <f aca="false">IF($M1584="贷",$O1584,0)</f>
        <v>0</v>
      </c>
      <c r="K1584" s="48" t="str">
        <f aca="false">IF($H1584="","",购销流水!$E400)</f>
        <v/>
      </c>
      <c r="L1584" s="66" t="str">
        <f aca="false">IF(购销流水!$D400="","",IFERROR(INDEX(记账规则!$A$6:$N$9,MATCH(购销流水!$D400,记账规则!$A$6:$A$9,0),9),""))</f>
        <v/>
      </c>
      <c r="M1584" s="66" t="str">
        <f aca="false">IF($L1584="","",IFERROR(INDEX(记账规则!$A$6:$N$9,MATCH(购销流水!$D400,记账规则!$A$6:$A$9,0),10),""))</f>
        <v/>
      </c>
      <c r="N1584" s="66" t="str">
        <f aca="false">IF($L1584="","",IFERROR(INDEX(记账规则!$A$6:$N$9,MATCH(购销流水!$D400,记账规则!$A$6:$A$9,0),11),""))</f>
        <v/>
      </c>
      <c r="O1584" s="67" t="n">
        <f aca="false">IF($H1584="",0,ROUND(IF($N1584="成本金额",N(购销流水!$W400),IF($N1584="金额",N(购销流水!$Q400),0)),2))</f>
        <v>0</v>
      </c>
      <c r="P1584" s="64" t="str">
        <f aca="false">IF(AND($H1584&lt;&gt;"",ROUND($O1584,2)&lt;&gt;0),"有","")</f>
        <v/>
      </c>
    </row>
    <row r="1585" customFormat="false" ht="15" hidden="true" customHeight="false" outlineLevel="0" collapsed="false">
      <c r="A1585" s="53" t="str">
        <f aca="false">IF($H1585="","",ROW()-5)</f>
        <v/>
      </c>
      <c r="B1585" s="64" t="s">
        <v>36</v>
      </c>
      <c r="C1585" s="53" t="n">
        <v>400</v>
      </c>
      <c r="D1585" s="53" t="n">
        <v>4</v>
      </c>
      <c r="E1585" s="65" t="str">
        <f aca="false">IF($H1585="","",购销流水!$B400)</f>
        <v/>
      </c>
      <c r="F1585" s="55" t="str">
        <f aca="false">IF($H1585="","",购销流水!$C400)</f>
        <v/>
      </c>
      <c r="G1585" s="48" t="str">
        <f aca="false">IF($H1585="","",购销流水!$N400)</f>
        <v/>
      </c>
      <c r="H1585" s="10" t="str">
        <f aca="false">IF($L1585="","",IF($L1585="@成本",购销流水!$U400,IF($L1585="@收入",购销流水!$T400,IF($L1585="@存货",购销流水!$S400,IF($L1585="@结算",购销流水!$R400,$L1585)))))</f>
        <v/>
      </c>
      <c r="I1585" s="42" t="n">
        <f aca="false">IF($M1585="借",$O1585,0)</f>
        <v>0</v>
      </c>
      <c r="J1585" s="42" t="n">
        <f aca="false">IF($M1585="贷",$O1585,0)</f>
        <v>0</v>
      </c>
      <c r="K1585" s="48" t="str">
        <f aca="false">IF($H1585="","",购销流水!$E400)</f>
        <v/>
      </c>
      <c r="L1585" s="66" t="str">
        <f aca="false">IF(购销流水!$D400="","",IFERROR(INDEX(记账规则!$A$6:$N$9,MATCH(购销流水!$D400,记账规则!$A$6:$A$9,0),12),""))</f>
        <v/>
      </c>
      <c r="M1585" s="66" t="str">
        <f aca="false">IF($L1585="","",IFERROR(INDEX(记账规则!$A$6:$N$9,MATCH(购销流水!$D400,记账规则!$A$6:$A$9,0),13),""))</f>
        <v/>
      </c>
      <c r="N1585" s="66" t="str">
        <f aca="false">IF($L1585="","",IFERROR(INDEX(记账规则!$A$6:$N$9,MATCH(购销流水!$D400,记账规则!$A$6:$A$9,0),14),""))</f>
        <v/>
      </c>
      <c r="O1585" s="67" t="n">
        <f aca="false">IF($H1585="",0,ROUND(IF($N1585="成本金额",N(购销流水!$W400),IF($N1585="金额",N(购销流水!$Q400),0)),2))</f>
        <v>0</v>
      </c>
      <c r="P1585" s="64" t="str">
        <f aca="false">IF(AND($H1585&lt;&gt;"",ROUND($O1585,2)&lt;&gt;0),"有","")</f>
        <v/>
      </c>
    </row>
    <row r="1586" customFormat="false" ht="15" hidden="true" customHeight="false" outlineLevel="0" collapsed="false">
      <c r="A1586" s="53" t="str">
        <f aca="false">IF($H1586="","",ROW()-5)</f>
        <v/>
      </c>
      <c r="B1586" s="64" t="s">
        <v>36</v>
      </c>
      <c r="C1586" s="53" t="n">
        <v>401</v>
      </c>
      <c r="D1586" s="53" t="n">
        <v>1</v>
      </c>
      <c r="E1586" s="65" t="str">
        <f aca="false">IF($H1586="","",购销流水!$B401)</f>
        <v/>
      </c>
      <c r="F1586" s="55" t="str">
        <f aca="false">IF($H1586="","",购销流水!$C401)</f>
        <v/>
      </c>
      <c r="G1586" s="48" t="str">
        <f aca="false">IF($H1586="","",购销流水!$N401)</f>
        <v/>
      </c>
      <c r="H1586" s="10" t="str">
        <f aca="false">IF($L1586="","",IF($L1586="@成本",购销流水!$U401,IF($L1586="@收入",购销流水!$T401,IF($L1586="@存货",购销流水!$S401,IF($L1586="@结算",购销流水!$R401,$L1586)))))</f>
        <v/>
      </c>
      <c r="I1586" s="42" t="n">
        <f aca="false">IF($M1586="借",$O1586,0)</f>
        <v>0</v>
      </c>
      <c r="J1586" s="42" t="n">
        <f aca="false">IF($M1586="贷",$O1586,0)</f>
        <v>0</v>
      </c>
      <c r="K1586" s="48" t="str">
        <f aca="false">IF($H1586="","",购销流水!$E401)</f>
        <v/>
      </c>
      <c r="L1586" s="66" t="str">
        <f aca="false">IF(购销流水!$D401="","",IFERROR(INDEX(记账规则!$A$6:$N$9,MATCH(购销流水!$D401,记账规则!$A$6:$A$9,0),3),""))</f>
        <v/>
      </c>
      <c r="M1586" s="66" t="str">
        <f aca="false">IF($L1586="","",IFERROR(INDEX(记账规则!$A$6:$N$9,MATCH(购销流水!$D401,记账规则!$A$6:$A$9,0),4),""))</f>
        <v/>
      </c>
      <c r="N1586" s="66" t="str">
        <f aca="false">IF($L1586="","",IFERROR(INDEX(记账规则!$A$6:$N$9,MATCH(购销流水!$D401,记账规则!$A$6:$A$9,0),5),""))</f>
        <v/>
      </c>
      <c r="O1586" s="67" t="n">
        <f aca="false">IF($H1586="",0,ROUND(IF($N1586="成本金额",N(购销流水!$W401),IF($N1586="金额",N(购销流水!$Q401),0)),2))</f>
        <v>0</v>
      </c>
      <c r="P1586" s="64" t="str">
        <f aca="false">IF(AND($H1586&lt;&gt;"",ROUND($O1586,2)&lt;&gt;0),"有","")</f>
        <v/>
      </c>
    </row>
    <row r="1587" customFormat="false" ht="15" hidden="true" customHeight="false" outlineLevel="0" collapsed="false">
      <c r="A1587" s="53" t="str">
        <f aca="false">IF($H1587="","",ROW()-5)</f>
        <v/>
      </c>
      <c r="B1587" s="64" t="s">
        <v>36</v>
      </c>
      <c r="C1587" s="53" t="n">
        <v>401</v>
      </c>
      <c r="D1587" s="53" t="n">
        <v>2</v>
      </c>
      <c r="E1587" s="65" t="str">
        <f aca="false">IF($H1587="","",购销流水!$B401)</f>
        <v/>
      </c>
      <c r="F1587" s="55" t="str">
        <f aca="false">IF($H1587="","",购销流水!$C401)</f>
        <v/>
      </c>
      <c r="G1587" s="48" t="str">
        <f aca="false">IF($H1587="","",购销流水!$N401)</f>
        <v/>
      </c>
      <c r="H1587" s="10" t="str">
        <f aca="false">IF($L1587="","",IF($L1587="@成本",购销流水!$U401,IF($L1587="@收入",购销流水!$T401,IF($L1587="@存货",购销流水!$S401,IF($L1587="@结算",购销流水!$R401,$L1587)))))</f>
        <v/>
      </c>
      <c r="I1587" s="42" t="n">
        <f aca="false">IF($M1587="借",$O1587,0)</f>
        <v>0</v>
      </c>
      <c r="J1587" s="42" t="n">
        <f aca="false">IF($M1587="贷",$O1587,0)</f>
        <v>0</v>
      </c>
      <c r="K1587" s="48" t="str">
        <f aca="false">IF($H1587="","",购销流水!$E401)</f>
        <v/>
      </c>
      <c r="L1587" s="66" t="str">
        <f aca="false">IF(购销流水!$D401="","",IFERROR(INDEX(记账规则!$A$6:$N$9,MATCH(购销流水!$D401,记账规则!$A$6:$A$9,0),6),""))</f>
        <v/>
      </c>
      <c r="M1587" s="66" t="str">
        <f aca="false">IF($L1587="","",IFERROR(INDEX(记账规则!$A$6:$N$9,MATCH(购销流水!$D401,记账规则!$A$6:$A$9,0),7),""))</f>
        <v/>
      </c>
      <c r="N1587" s="66" t="str">
        <f aca="false">IF($L1587="","",IFERROR(INDEX(记账规则!$A$6:$N$9,MATCH(购销流水!$D401,记账规则!$A$6:$A$9,0),8),""))</f>
        <v/>
      </c>
      <c r="O1587" s="67" t="n">
        <f aca="false">IF($H1587="",0,ROUND(IF($N1587="成本金额",N(购销流水!$W401),IF($N1587="金额",N(购销流水!$Q401),0)),2))</f>
        <v>0</v>
      </c>
      <c r="P1587" s="64" t="str">
        <f aca="false">IF(AND($H1587&lt;&gt;"",ROUND($O1587,2)&lt;&gt;0),"有","")</f>
        <v/>
      </c>
    </row>
    <row r="1588" customFormat="false" ht="15" hidden="true" customHeight="false" outlineLevel="0" collapsed="false">
      <c r="A1588" s="53" t="str">
        <f aca="false">IF($H1588="","",ROW()-5)</f>
        <v/>
      </c>
      <c r="B1588" s="64" t="s">
        <v>36</v>
      </c>
      <c r="C1588" s="53" t="n">
        <v>401</v>
      </c>
      <c r="D1588" s="53" t="n">
        <v>3</v>
      </c>
      <c r="E1588" s="65" t="str">
        <f aca="false">IF($H1588="","",购销流水!$B401)</f>
        <v/>
      </c>
      <c r="F1588" s="55" t="str">
        <f aca="false">IF($H1588="","",购销流水!$C401)</f>
        <v/>
      </c>
      <c r="G1588" s="48" t="str">
        <f aca="false">IF($H1588="","",购销流水!$N401)</f>
        <v/>
      </c>
      <c r="H1588" s="10" t="str">
        <f aca="false">IF($L1588="","",IF($L1588="@成本",购销流水!$U401,IF($L1588="@收入",购销流水!$T401,IF($L1588="@存货",购销流水!$S401,IF($L1588="@结算",购销流水!$R401,$L1588)))))</f>
        <v/>
      </c>
      <c r="I1588" s="42" t="n">
        <f aca="false">IF($M1588="借",$O1588,0)</f>
        <v>0</v>
      </c>
      <c r="J1588" s="42" t="n">
        <f aca="false">IF($M1588="贷",$O1588,0)</f>
        <v>0</v>
      </c>
      <c r="K1588" s="48" t="str">
        <f aca="false">IF($H1588="","",购销流水!$E401)</f>
        <v/>
      </c>
      <c r="L1588" s="66" t="str">
        <f aca="false">IF(购销流水!$D401="","",IFERROR(INDEX(记账规则!$A$6:$N$9,MATCH(购销流水!$D401,记账规则!$A$6:$A$9,0),9),""))</f>
        <v/>
      </c>
      <c r="M1588" s="66" t="str">
        <f aca="false">IF($L1588="","",IFERROR(INDEX(记账规则!$A$6:$N$9,MATCH(购销流水!$D401,记账规则!$A$6:$A$9,0),10),""))</f>
        <v/>
      </c>
      <c r="N1588" s="66" t="str">
        <f aca="false">IF($L1588="","",IFERROR(INDEX(记账规则!$A$6:$N$9,MATCH(购销流水!$D401,记账规则!$A$6:$A$9,0),11),""))</f>
        <v/>
      </c>
      <c r="O1588" s="67" t="n">
        <f aca="false">IF($H1588="",0,ROUND(IF($N1588="成本金额",N(购销流水!$W401),IF($N1588="金额",N(购销流水!$Q401),0)),2))</f>
        <v>0</v>
      </c>
      <c r="P1588" s="64" t="str">
        <f aca="false">IF(AND($H1588&lt;&gt;"",ROUND($O1588,2)&lt;&gt;0),"有","")</f>
        <v/>
      </c>
    </row>
    <row r="1589" customFormat="false" ht="15" hidden="true" customHeight="false" outlineLevel="0" collapsed="false">
      <c r="A1589" s="53" t="str">
        <f aca="false">IF($H1589="","",ROW()-5)</f>
        <v/>
      </c>
      <c r="B1589" s="64" t="s">
        <v>36</v>
      </c>
      <c r="C1589" s="53" t="n">
        <v>401</v>
      </c>
      <c r="D1589" s="53" t="n">
        <v>4</v>
      </c>
      <c r="E1589" s="65" t="str">
        <f aca="false">IF($H1589="","",购销流水!$B401)</f>
        <v/>
      </c>
      <c r="F1589" s="55" t="str">
        <f aca="false">IF($H1589="","",购销流水!$C401)</f>
        <v/>
      </c>
      <c r="G1589" s="48" t="str">
        <f aca="false">IF($H1589="","",购销流水!$N401)</f>
        <v/>
      </c>
      <c r="H1589" s="10" t="str">
        <f aca="false">IF($L1589="","",IF($L1589="@成本",购销流水!$U401,IF($L1589="@收入",购销流水!$T401,IF($L1589="@存货",购销流水!$S401,IF($L1589="@结算",购销流水!$R401,$L1589)))))</f>
        <v/>
      </c>
      <c r="I1589" s="42" t="n">
        <f aca="false">IF($M1589="借",$O1589,0)</f>
        <v>0</v>
      </c>
      <c r="J1589" s="42" t="n">
        <f aca="false">IF($M1589="贷",$O1589,0)</f>
        <v>0</v>
      </c>
      <c r="K1589" s="48" t="str">
        <f aca="false">IF($H1589="","",购销流水!$E401)</f>
        <v/>
      </c>
      <c r="L1589" s="66" t="str">
        <f aca="false">IF(购销流水!$D401="","",IFERROR(INDEX(记账规则!$A$6:$N$9,MATCH(购销流水!$D401,记账规则!$A$6:$A$9,0),12),""))</f>
        <v/>
      </c>
      <c r="M1589" s="66" t="str">
        <f aca="false">IF($L1589="","",IFERROR(INDEX(记账规则!$A$6:$N$9,MATCH(购销流水!$D401,记账规则!$A$6:$A$9,0),13),""))</f>
        <v/>
      </c>
      <c r="N1589" s="66" t="str">
        <f aca="false">IF($L1589="","",IFERROR(INDEX(记账规则!$A$6:$N$9,MATCH(购销流水!$D401,记账规则!$A$6:$A$9,0),14),""))</f>
        <v/>
      </c>
      <c r="O1589" s="67" t="n">
        <f aca="false">IF($H1589="",0,ROUND(IF($N1589="成本金额",N(购销流水!$W401),IF($N1589="金额",N(购销流水!$Q401),0)),2))</f>
        <v>0</v>
      </c>
      <c r="P1589" s="64" t="str">
        <f aca="false">IF(AND($H1589&lt;&gt;"",ROUND($O1589,2)&lt;&gt;0),"有","")</f>
        <v/>
      </c>
    </row>
    <row r="1590" customFormat="false" ht="15" hidden="true" customHeight="false" outlineLevel="0" collapsed="false">
      <c r="A1590" s="53" t="str">
        <f aca="false">IF($H1590="","",ROW()-5)</f>
        <v/>
      </c>
      <c r="B1590" s="64" t="s">
        <v>36</v>
      </c>
      <c r="C1590" s="53" t="n">
        <v>402</v>
      </c>
      <c r="D1590" s="53" t="n">
        <v>1</v>
      </c>
      <c r="E1590" s="65" t="str">
        <f aca="false">IF($H1590="","",购销流水!$B402)</f>
        <v/>
      </c>
      <c r="F1590" s="55" t="str">
        <f aca="false">IF($H1590="","",购销流水!$C402)</f>
        <v/>
      </c>
      <c r="G1590" s="48" t="str">
        <f aca="false">IF($H1590="","",购销流水!$N402)</f>
        <v/>
      </c>
      <c r="H1590" s="10" t="str">
        <f aca="false">IF($L1590="","",IF($L1590="@成本",购销流水!$U402,IF($L1590="@收入",购销流水!$T402,IF($L1590="@存货",购销流水!$S402,IF($L1590="@结算",购销流水!$R402,$L1590)))))</f>
        <v/>
      </c>
      <c r="I1590" s="42" t="n">
        <f aca="false">IF($M1590="借",$O1590,0)</f>
        <v>0</v>
      </c>
      <c r="J1590" s="42" t="n">
        <f aca="false">IF($M1590="贷",$O1590,0)</f>
        <v>0</v>
      </c>
      <c r="K1590" s="48" t="str">
        <f aca="false">IF($H1590="","",购销流水!$E402)</f>
        <v/>
      </c>
      <c r="L1590" s="66" t="str">
        <f aca="false">IF(购销流水!$D402="","",IFERROR(INDEX(记账规则!$A$6:$N$9,MATCH(购销流水!$D402,记账规则!$A$6:$A$9,0),3),""))</f>
        <v/>
      </c>
      <c r="M1590" s="66" t="str">
        <f aca="false">IF($L1590="","",IFERROR(INDEX(记账规则!$A$6:$N$9,MATCH(购销流水!$D402,记账规则!$A$6:$A$9,0),4),""))</f>
        <v/>
      </c>
      <c r="N1590" s="66" t="str">
        <f aca="false">IF($L1590="","",IFERROR(INDEX(记账规则!$A$6:$N$9,MATCH(购销流水!$D402,记账规则!$A$6:$A$9,0),5),""))</f>
        <v/>
      </c>
      <c r="O1590" s="67" t="n">
        <f aca="false">IF($H1590="",0,ROUND(IF($N1590="成本金额",N(购销流水!$W402),IF($N1590="金额",N(购销流水!$Q402),0)),2))</f>
        <v>0</v>
      </c>
      <c r="P1590" s="64" t="str">
        <f aca="false">IF(AND($H1590&lt;&gt;"",ROUND($O1590,2)&lt;&gt;0),"有","")</f>
        <v/>
      </c>
    </row>
    <row r="1591" customFormat="false" ht="15" hidden="true" customHeight="false" outlineLevel="0" collapsed="false">
      <c r="A1591" s="53" t="str">
        <f aca="false">IF($H1591="","",ROW()-5)</f>
        <v/>
      </c>
      <c r="B1591" s="64" t="s">
        <v>36</v>
      </c>
      <c r="C1591" s="53" t="n">
        <v>402</v>
      </c>
      <c r="D1591" s="53" t="n">
        <v>2</v>
      </c>
      <c r="E1591" s="65" t="str">
        <f aca="false">IF($H1591="","",购销流水!$B402)</f>
        <v/>
      </c>
      <c r="F1591" s="55" t="str">
        <f aca="false">IF($H1591="","",购销流水!$C402)</f>
        <v/>
      </c>
      <c r="G1591" s="48" t="str">
        <f aca="false">IF($H1591="","",购销流水!$N402)</f>
        <v/>
      </c>
      <c r="H1591" s="10" t="str">
        <f aca="false">IF($L1591="","",IF($L1591="@成本",购销流水!$U402,IF($L1591="@收入",购销流水!$T402,IF($L1591="@存货",购销流水!$S402,IF($L1591="@结算",购销流水!$R402,$L1591)))))</f>
        <v/>
      </c>
      <c r="I1591" s="42" t="n">
        <f aca="false">IF($M1591="借",$O1591,0)</f>
        <v>0</v>
      </c>
      <c r="J1591" s="42" t="n">
        <f aca="false">IF($M1591="贷",$O1591,0)</f>
        <v>0</v>
      </c>
      <c r="K1591" s="48" t="str">
        <f aca="false">IF($H1591="","",购销流水!$E402)</f>
        <v/>
      </c>
      <c r="L1591" s="66" t="str">
        <f aca="false">IF(购销流水!$D402="","",IFERROR(INDEX(记账规则!$A$6:$N$9,MATCH(购销流水!$D402,记账规则!$A$6:$A$9,0),6),""))</f>
        <v/>
      </c>
      <c r="M1591" s="66" t="str">
        <f aca="false">IF($L1591="","",IFERROR(INDEX(记账规则!$A$6:$N$9,MATCH(购销流水!$D402,记账规则!$A$6:$A$9,0),7),""))</f>
        <v/>
      </c>
      <c r="N1591" s="66" t="str">
        <f aca="false">IF($L1591="","",IFERROR(INDEX(记账规则!$A$6:$N$9,MATCH(购销流水!$D402,记账规则!$A$6:$A$9,0),8),""))</f>
        <v/>
      </c>
      <c r="O1591" s="67" t="n">
        <f aca="false">IF($H1591="",0,ROUND(IF($N1591="成本金额",N(购销流水!$W402),IF($N1591="金额",N(购销流水!$Q402),0)),2))</f>
        <v>0</v>
      </c>
      <c r="P1591" s="64" t="str">
        <f aca="false">IF(AND($H1591&lt;&gt;"",ROUND($O1591,2)&lt;&gt;0),"有","")</f>
        <v/>
      </c>
    </row>
    <row r="1592" customFormat="false" ht="15" hidden="true" customHeight="false" outlineLevel="0" collapsed="false">
      <c r="A1592" s="53" t="str">
        <f aca="false">IF($H1592="","",ROW()-5)</f>
        <v/>
      </c>
      <c r="B1592" s="64" t="s">
        <v>36</v>
      </c>
      <c r="C1592" s="53" t="n">
        <v>402</v>
      </c>
      <c r="D1592" s="53" t="n">
        <v>3</v>
      </c>
      <c r="E1592" s="65" t="str">
        <f aca="false">IF($H1592="","",购销流水!$B402)</f>
        <v/>
      </c>
      <c r="F1592" s="55" t="str">
        <f aca="false">IF($H1592="","",购销流水!$C402)</f>
        <v/>
      </c>
      <c r="G1592" s="48" t="str">
        <f aca="false">IF($H1592="","",购销流水!$N402)</f>
        <v/>
      </c>
      <c r="H1592" s="10" t="str">
        <f aca="false">IF($L1592="","",IF($L1592="@成本",购销流水!$U402,IF($L1592="@收入",购销流水!$T402,IF($L1592="@存货",购销流水!$S402,IF($L1592="@结算",购销流水!$R402,$L1592)))))</f>
        <v/>
      </c>
      <c r="I1592" s="42" t="n">
        <f aca="false">IF($M1592="借",$O1592,0)</f>
        <v>0</v>
      </c>
      <c r="J1592" s="42" t="n">
        <f aca="false">IF($M1592="贷",$O1592,0)</f>
        <v>0</v>
      </c>
      <c r="K1592" s="48" t="str">
        <f aca="false">IF($H1592="","",购销流水!$E402)</f>
        <v/>
      </c>
      <c r="L1592" s="66" t="str">
        <f aca="false">IF(购销流水!$D402="","",IFERROR(INDEX(记账规则!$A$6:$N$9,MATCH(购销流水!$D402,记账规则!$A$6:$A$9,0),9),""))</f>
        <v/>
      </c>
      <c r="M1592" s="66" t="str">
        <f aca="false">IF($L1592="","",IFERROR(INDEX(记账规则!$A$6:$N$9,MATCH(购销流水!$D402,记账规则!$A$6:$A$9,0),10),""))</f>
        <v/>
      </c>
      <c r="N1592" s="66" t="str">
        <f aca="false">IF($L1592="","",IFERROR(INDEX(记账规则!$A$6:$N$9,MATCH(购销流水!$D402,记账规则!$A$6:$A$9,0),11),""))</f>
        <v/>
      </c>
      <c r="O1592" s="67" t="n">
        <f aca="false">IF($H1592="",0,ROUND(IF($N1592="成本金额",N(购销流水!$W402),IF($N1592="金额",N(购销流水!$Q402),0)),2))</f>
        <v>0</v>
      </c>
      <c r="P1592" s="64" t="str">
        <f aca="false">IF(AND($H1592&lt;&gt;"",ROUND($O1592,2)&lt;&gt;0),"有","")</f>
        <v/>
      </c>
    </row>
    <row r="1593" customFormat="false" ht="15" hidden="true" customHeight="false" outlineLevel="0" collapsed="false">
      <c r="A1593" s="53" t="str">
        <f aca="false">IF($H1593="","",ROW()-5)</f>
        <v/>
      </c>
      <c r="B1593" s="64" t="s">
        <v>36</v>
      </c>
      <c r="C1593" s="53" t="n">
        <v>402</v>
      </c>
      <c r="D1593" s="53" t="n">
        <v>4</v>
      </c>
      <c r="E1593" s="65" t="str">
        <f aca="false">IF($H1593="","",购销流水!$B402)</f>
        <v/>
      </c>
      <c r="F1593" s="55" t="str">
        <f aca="false">IF($H1593="","",购销流水!$C402)</f>
        <v/>
      </c>
      <c r="G1593" s="48" t="str">
        <f aca="false">IF($H1593="","",购销流水!$N402)</f>
        <v/>
      </c>
      <c r="H1593" s="10" t="str">
        <f aca="false">IF($L1593="","",IF($L1593="@成本",购销流水!$U402,IF($L1593="@收入",购销流水!$T402,IF($L1593="@存货",购销流水!$S402,IF($L1593="@结算",购销流水!$R402,$L1593)))))</f>
        <v/>
      </c>
      <c r="I1593" s="42" t="n">
        <f aca="false">IF($M1593="借",$O1593,0)</f>
        <v>0</v>
      </c>
      <c r="J1593" s="42" t="n">
        <f aca="false">IF($M1593="贷",$O1593,0)</f>
        <v>0</v>
      </c>
      <c r="K1593" s="48" t="str">
        <f aca="false">IF($H1593="","",购销流水!$E402)</f>
        <v/>
      </c>
      <c r="L1593" s="66" t="str">
        <f aca="false">IF(购销流水!$D402="","",IFERROR(INDEX(记账规则!$A$6:$N$9,MATCH(购销流水!$D402,记账规则!$A$6:$A$9,0),12),""))</f>
        <v/>
      </c>
      <c r="M1593" s="66" t="str">
        <f aca="false">IF($L1593="","",IFERROR(INDEX(记账规则!$A$6:$N$9,MATCH(购销流水!$D402,记账规则!$A$6:$A$9,0),13),""))</f>
        <v/>
      </c>
      <c r="N1593" s="66" t="str">
        <f aca="false">IF($L1593="","",IFERROR(INDEX(记账规则!$A$6:$N$9,MATCH(购销流水!$D402,记账规则!$A$6:$A$9,0),14),""))</f>
        <v/>
      </c>
      <c r="O1593" s="67" t="n">
        <f aca="false">IF($H1593="",0,ROUND(IF($N1593="成本金额",N(购销流水!$W402),IF($N1593="金额",N(购销流水!$Q402),0)),2))</f>
        <v>0</v>
      </c>
      <c r="P1593" s="64" t="str">
        <f aca="false">IF(AND($H1593&lt;&gt;"",ROUND($O1593,2)&lt;&gt;0),"有","")</f>
        <v/>
      </c>
    </row>
    <row r="1594" customFormat="false" ht="15" hidden="true" customHeight="false" outlineLevel="0" collapsed="false">
      <c r="A1594" s="53" t="str">
        <f aca="false">IF($H1594="","",ROW()-5)</f>
        <v/>
      </c>
      <c r="B1594" s="64" t="s">
        <v>36</v>
      </c>
      <c r="C1594" s="53" t="n">
        <v>403</v>
      </c>
      <c r="D1594" s="53" t="n">
        <v>1</v>
      </c>
      <c r="E1594" s="65" t="str">
        <f aca="false">IF($H1594="","",购销流水!$B403)</f>
        <v/>
      </c>
      <c r="F1594" s="55" t="str">
        <f aca="false">IF($H1594="","",购销流水!$C403)</f>
        <v/>
      </c>
      <c r="G1594" s="48" t="str">
        <f aca="false">IF($H1594="","",购销流水!$N403)</f>
        <v/>
      </c>
      <c r="H1594" s="10" t="str">
        <f aca="false">IF($L1594="","",IF($L1594="@成本",购销流水!$U403,IF($L1594="@收入",购销流水!$T403,IF($L1594="@存货",购销流水!$S403,IF($L1594="@结算",购销流水!$R403,$L1594)))))</f>
        <v/>
      </c>
      <c r="I1594" s="42" t="n">
        <f aca="false">IF($M1594="借",$O1594,0)</f>
        <v>0</v>
      </c>
      <c r="J1594" s="42" t="n">
        <f aca="false">IF($M1594="贷",$O1594,0)</f>
        <v>0</v>
      </c>
      <c r="K1594" s="48" t="str">
        <f aca="false">IF($H1594="","",购销流水!$E403)</f>
        <v/>
      </c>
      <c r="L1594" s="66" t="str">
        <f aca="false">IF(购销流水!$D403="","",IFERROR(INDEX(记账规则!$A$6:$N$9,MATCH(购销流水!$D403,记账规则!$A$6:$A$9,0),3),""))</f>
        <v/>
      </c>
      <c r="M1594" s="66" t="str">
        <f aca="false">IF($L1594="","",IFERROR(INDEX(记账规则!$A$6:$N$9,MATCH(购销流水!$D403,记账规则!$A$6:$A$9,0),4),""))</f>
        <v/>
      </c>
      <c r="N1594" s="66" t="str">
        <f aca="false">IF($L1594="","",IFERROR(INDEX(记账规则!$A$6:$N$9,MATCH(购销流水!$D403,记账规则!$A$6:$A$9,0),5),""))</f>
        <v/>
      </c>
      <c r="O1594" s="67" t="n">
        <f aca="false">IF($H1594="",0,ROUND(IF($N1594="成本金额",N(购销流水!$W403),IF($N1594="金额",N(购销流水!$Q403),0)),2))</f>
        <v>0</v>
      </c>
      <c r="P1594" s="64" t="str">
        <f aca="false">IF(AND($H1594&lt;&gt;"",ROUND($O1594,2)&lt;&gt;0),"有","")</f>
        <v/>
      </c>
    </row>
    <row r="1595" customFormat="false" ht="15" hidden="true" customHeight="false" outlineLevel="0" collapsed="false">
      <c r="A1595" s="53" t="str">
        <f aca="false">IF($H1595="","",ROW()-5)</f>
        <v/>
      </c>
      <c r="B1595" s="64" t="s">
        <v>36</v>
      </c>
      <c r="C1595" s="53" t="n">
        <v>403</v>
      </c>
      <c r="D1595" s="53" t="n">
        <v>2</v>
      </c>
      <c r="E1595" s="65" t="str">
        <f aca="false">IF($H1595="","",购销流水!$B403)</f>
        <v/>
      </c>
      <c r="F1595" s="55" t="str">
        <f aca="false">IF($H1595="","",购销流水!$C403)</f>
        <v/>
      </c>
      <c r="G1595" s="48" t="str">
        <f aca="false">IF($H1595="","",购销流水!$N403)</f>
        <v/>
      </c>
      <c r="H1595" s="10" t="str">
        <f aca="false">IF($L1595="","",IF($L1595="@成本",购销流水!$U403,IF($L1595="@收入",购销流水!$T403,IF($L1595="@存货",购销流水!$S403,IF($L1595="@结算",购销流水!$R403,$L1595)))))</f>
        <v/>
      </c>
      <c r="I1595" s="42" t="n">
        <f aca="false">IF($M1595="借",$O1595,0)</f>
        <v>0</v>
      </c>
      <c r="J1595" s="42" t="n">
        <f aca="false">IF($M1595="贷",$O1595,0)</f>
        <v>0</v>
      </c>
      <c r="K1595" s="48" t="str">
        <f aca="false">IF($H1595="","",购销流水!$E403)</f>
        <v/>
      </c>
      <c r="L1595" s="66" t="str">
        <f aca="false">IF(购销流水!$D403="","",IFERROR(INDEX(记账规则!$A$6:$N$9,MATCH(购销流水!$D403,记账规则!$A$6:$A$9,0),6),""))</f>
        <v/>
      </c>
      <c r="M1595" s="66" t="str">
        <f aca="false">IF($L1595="","",IFERROR(INDEX(记账规则!$A$6:$N$9,MATCH(购销流水!$D403,记账规则!$A$6:$A$9,0),7),""))</f>
        <v/>
      </c>
      <c r="N1595" s="66" t="str">
        <f aca="false">IF($L1595="","",IFERROR(INDEX(记账规则!$A$6:$N$9,MATCH(购销流水!$D403,记账规则!$A$6:$A$9,0),8),""))</f>
        <v/>
      </c>
      <c r="O1595" s="67" t="n">
        <f aca="false">IF($H1595="",0,ROUND(IF($N1595="成本金额",N(购销流水!$W403),IF($N1595="金额",N(购销流水!$Q403),0)),2))</f>
        <v>0</v>
      </c>
      <c r="P1595" s="64" t="str">
        <f aca="false">IF(AND($H1595&lt;&gt;"",ROUND($O1595,2)&lt;&gt;0),"有","")</f>
        <v/>
      </c>
    </row>
    <row r="1596" customFormat="false" ht="15" hidden="true" customHeight="false" outlineLevel="0" collapsed="false">
      <c r="A1596" s="53" t="str">
        <f aca="false">IF($H1596="","",ROW()-5)</f>
        <v/>
      </c>
      <c r="B1596" s="64" t="s">
        <v>36</v>
      </c>
      <c r="C1596" s="53" t="n">
        <v>403</v>
      </c>
      <c r="D1596" s="53" t="n">
        <v>3</v>
      </c>
      <c r="E1596" s="65" t="str">
        <f aca="false">IF($H1596="","",购销流水!$B403)</f>
        <v/>
      </c>
      <c r="F1596" s="55" t="str">
        <f aca="false">IF($H1596="","",购销流水!$C403)</f>
        <v/>
      </c>
      <c r="G1596" s="48" t="str">
        <f aca="false">IF($H1596="","",购销流水!$N403)</f>
        <v/>
      </c>
      <c r="H1596" s="10" t="str">
        <f aca="false">IF($L1596="","",IF($L1596="@成本",购销流水!$U403,IF($L1596="@收入",购销流水!$T403,IF($L1596="@存货",购销流水!$S403,IF($L1596="@结算",购销流水!$R403,$L1596)))))</f>
        <v/>
      </c>
      <c r="I1596" s="42" t="n">
        <f aca="false">IF($M1596="借",$O1596,0)</f>
        <v>0</v>
      </c>
      <c r="J1596" s="42" t="n">
        <f aca="false">IF($M1596="贷",$O1596,0)</f>
        <v>0</v>
      </c>
      <c r="K1596" s="48" t="str">
        <f aca="false">IF($H1596="","",购销流水!$E403)</f>
        <v/>
      </c>
      <c r="L1596" s="66" t="str">
        <f aca="false">IF(购销流水!$D403="","",IFERROR(INDEX(记账规则!$A$6:$N$9,MATCH(购销流水!$D403,记账规则!$A$6:$A$9,0),9),""))</f>
        <v/>
      </c>
      <c r="M1596" s="66" t="str">
        <f aca="false">IF($L1596="","",IFERROR(INDEX(记账规则!$A$6:$N$9,MATCH(购销流水!$D403,记账规则!$A$6:$A$9,0),10),""))</f>
        <v/>
      </c>
      <c r="N1596" s="66" t="str">
        <f aca="false">IF($L1596="","",IFERROR(INDEX(记账规则!$A$6:$N$9,MATCH(购销流水!$D403,记账规则!$A$6:$A$9,0),11),""))</f>
        <v/>
      </c>
      <c r="O1596" s="67" t="n">
        <f aca="false">IF($H1596="",0,ROUND(IF($N1596="成本金额",N(购销流水!$W403),IF($N1596="金额",N(购销流水!$Q403),0)),2))</f>
        <v>0</v>
      </c>
      <c r="P1596" s="64" t="str">
        <f aca="false">IF(AND($H1596&lt;&gt;"",ROUND($O1596,2)&lt;&gt;0),"有","")</f>
        <v/>
      </c>
    </row>
    <row r="1597" customFormat="false" ht="15" hidden="true" customHeight="false" outlineLevel="0" collapsed="false">
      <c r="A1597" s="53" t="str">
        <f aca="false">IF($H1597="","",ROW()-5)</f>
        <v/>
      </c>
      <c r="B1597" s="64" t="s">
        <v>36</v>
      </c>
      <c r="C1597" s="53" t="n">
        <v>403</v>
      </c>
      <c r="D1597" s="53" t="n">
        <v>4</v>
      </c>
      <c r="E1597" s="65" t="str">
        <f aca="false">IF($H1597="","",购销流水!$B403)</f>
        <v/>
      </c>
      <c r="F1597" s="55" t="str">
        <f aca="false">IF($H1597="","",购销流水!$C403)</f>
        <v/>
      </c>
      <c r="G1597" s="48" t="str">
        <f aca="false">IF($H1597="","",购销流水!$N403)</f>
        <v/>
      </c>
      <c r="H1597" s="10" t="str">
        <f aca="false">IF($L1597="","",IF($L1597="@成本",购销流水!$U403,IF($L1597="@收入",购销流水!$T403,IF($L1597="@存货",购销流水!$S403,IF($L1597="@结算",购销流水!$R403,$L1597)))))</f>
        <v/>
      </c>
      <c r="I1597" s="42" t="n">
        <f aca="false">IF($M1597="借",$O1597,0)</f>
        <v>0</v>
      </c>
      <c r="J1597" s="42" t="n">
        <f aca="false">IF($M1597="贷",$O1597,0)</f>
        <v>0</v>
      </c>
      <c r="K1597" s="48" t="str">
        <f aca="false">IF($H1597="","",购销流水!$E403)</f>
        <v/>
      </c>
      <c r="L1597" s="66" t="str">
        <f aca="false">IF(购销流水!$D403="","",IFERROR(INDEX(记账规则!$A$6:$N$9,MATCH(购销流水!$D403,记账规则!$A$6:$A$9,0),12),""))</f>
        <v/>
      </c>
      <c r="M1597" s="66" t="str">
        <f aca="false">IF($L1597="","",IFERROR(INDEX(记账规则!$A$6:$N$9,MATCH(购销流水!$D403,记账规则!$A$6:$A$9,0),13),""))</f>
        <v/>
      </c>
      <c r="N1597" s="66" t="str">
        <f aca="false">IF($L1597="","",IFERROR(INDEX(记账规则!$A$6:$N$9,MATCH(购销流水!$D403,记账规则!$A$6:$A$9,0),14),""))</f>
        <v/>
      </c>
      <c r="O1597" s="67" t="n">
        <f aca="false">IF($H1597="",0,ROUND(IF($N1597="成本金额",N(购销流水!$W403),IF($N1597="金额",N(购销流水!$Q403),0)),2))</f>
        <v>0</v>
      </c>
      <c r="P1597" s="64" t="str">
        <f aca="false">IF(AND($H1597&lt;&gt;"",ROUND($O1597,2)&lt;&gt;0),"有","")</f>
        <v/>
      </c>
    </row>
    <row r="1598" customFormat="false" ht="15" hidden="true" customHeight="false" outlineLevel="0" collapsed="false">
      <c r="A1598" s="53" t="str">
        <f aca="false">IF($H1598="","",ROW()-5)</f>
        <v/>
      </c>
      <c r="B1598" s="64" t="s">
        <v>36</v>
      </c>
      <c r="C1598" s="53" t="n">
        <v>404</v>
      </c>
      <c r="D1598" s="53" t="n">
        <v>1</v>
      </c>
      <c r="E1598" s="65" t="str">
        <f aca="false">IF($H1598="","",购销流水!$B404)</f>
        <v/>
      </c>
      <c r="F1598" s="55" t="str">
        <f aca="false">IF($H1598="","",购销流水!$C404)</f>
        <v/>
      </c>
      <c r="G1598" s="48" t="str">
        <f aca="false">IF($H1598="","",购销流水!$N404)</f>
        <v/>
      </c>
      <c r="H1598" s="10" t="str">
        <f aca="false">IF($L1598="","",IF($L1598="@成本",购销流水!$U404,IF($L1598="@收入",购销流水!$T404,IF($L1598="@存货",购销流水!$S404,IF($L1598="@结算",购销流水!$R404,$L1598)))))</f>
        <v/>
      </c>
      <c r="I1598" s="42" t="n">
        <f aca="false">IF($M1598="借",$O1598,0)</f>
        <v>0</v>
      </c>
      <c r="J1598" s="42" t="n">
        <f aca="false">IF($M1598="贷",$O1598,0)</f>
        <v>0</v>
      </c>
      <c r="K1598" s="48" t="str">
        <f aca="false">IF($H1598="","",购销流水!$E404)</f>
        <v/>
      </c>
      <c r="L1598" s="66" t="str">
        <f aca="false">IF(购销流水!$D404="","",IFERROR(INDEX(记账规则!$A$6:$N$9,MATCH(购销流水!$D404,记账规则!$A$6:$A$9,0),3),""))</f>
        <v/>
      </c>
      <c r="M1598" s="66" t="str">
        <f aca="false">IF($L1598="","",IFERROR(INDEX(记账规则!$A$6:$N$9,MATCH(购销流水!$D404,记账规则!$A$6:$A$9,0),4),""))</f>
        <v/>
      </c>
      <c r="N1598" s="66" t="str">
        <f aca="false">IF($L1598="","",IFERROR(INDEX(记账规则!$A$6:$N$9,MATCH(购销流水!$D404,记账规则!$A$6:$A$9,0),5),""))</f>
        <v/>
      </c>
      <c r="O1598" s="67" t="n">
        <f aca="false">IF($H1598="",0,ROUND(IF($N1598="成本金额",N(购销流水!$W404),IF($N1598="金额",N(购销流水!$Q404),0)),2))</f>
        <v>0</v>
      </c>
      <c r="P1598" s="64" t="str">
        <f aca="false">IF(AND($H1598&lt;&gt;"",ROUND($O1598,2)&lt;&gt;0),"有","")</f>
        <v/>
      </c>
    </row>
    <row r="1599" customFormat="false" ht="15" hidden="true" customHeight="false" outlineLevel="0" collapsed="false">
      <c r="A1599" s="53" t="str">
        <f aca="false">IF($H1599="","",ROW()-5)</f>
        <v/>
      </c>
      <c r="B1599" s="64" t="s">
        <v>36</v>
      </c>
      <c r="C1599" s="53" t="n">
        <v>404</v>
      </c>
      <c r="D1599" s="53" t="n">
        <v>2</v>
      </c>
      <c r="E1599" s="65" t="str">
        <f aca="false">IF($H1599="","",购销流水!$B404)</f>
        <v/>
      </c>
      <c r="F1599" s="55" t="str">
        <f aca="false">IF($H1599="","",购销流水!$C404)</f>
        <v/>
      </c>
      <c r="G1599" s="48" t="str">
        <f aca="false">IF($H1599="","",购销流水!$N404)</f>
        <v/>
      </c>
      <c r="H1599" s="10" t="str">
        <f aca="false">IF($L1599="","",IF($L1599="@成本",购销流水!$U404,IF($L1599="@收入",购销流水!$T404,IF($L1599="@存货",购销流水!$S404,IF($L1599="@结算",购销流水!$R404,$L1599)))))</f>
        <v/>
      </c>
      <c r="I1599" s="42" t="n">
        <f aca="false">IF($M1599="借",$O1599,0)</f>
        <v>0</v>
      </c>
      <c r="J1599" s="42" t="n">
        <f aca="false">IF($M1599="贷",$O1599,0)</f>
        <v>0</v>
      </c>
      <c r="K1599" s="48" t="str">
        <f aca="false">IF($H1599="","",购销流水!$E404)</f>
        <v/>
      </c>
      <c r="L1599" s="66" t="str">
        <f aca="false">IF(购销流水!$D404="","",IFERROR(INDEX(记账规则!$A$6:$N$9,MATCH(购销流水!$D404,记账规则!$A$6:$A$9,0),6),""))</f>
        <v/>
      </c>
      <c r="M1599" s="66" t="str">
        <f aca="false">IF($L1599="","",IFERROR(INDEX(记账规则!$A$6:$N$9,MATCH(购销流水!$D404,记账规则!$A$6:$A$9,0),7),""))</f>
        <v/>
      </c>
      <c r="N1599" s="66" t="str">
        <f aca="false">IF($L1599="","",IFERROR(INDEX(记账规则!$A$6:$N$9,MATCH(购销流水!$D404,记账规则!$A$6:$A$9,0),8),""))</f>
        <v/>
      </c>
      <c r="O1599" s="67" t="n">
        <f aca="false">IF($H1599="",0,ROUND(IF($N1599="成本金额",N(购销流水!$W404),IF($N1599="金额",N(购销流水!$Q404),0)),2))</f>
        <v>0</v>
      </c>
      <c r="P1599" s="64" t="str">
        <f aca="false">IF(AND($H1599&lt;&gt;"",ROUND($O1599,2)&lt;&gt;0),"有","")</f>
        <v/>
      </c>
    </row>
    <row r="1600" customFormat="false" ht="15" hidden="true" customHeight="false" outlineLevel="0" collapsed="false">
      <c r="A1600" s="53" t="str">
        <f aca="false">IF($H1600="","",ROW()-5)</f>
        <v/>
      </c>
      <c r="B1600" s="64" t="s">
        <v>36</v>
      </c>
      <c r="C1600" s="53" t="n">
        <v>404</v>
      </c>
      <c r="D1600" s="53" t="n">
        <v>3</v>
      </c>
      <c r="E1600" s="65" t="str">
        <f aca="false">IF($H1600="","",购销流水!$B404)</f>
        <v/>
      </c>
      <c r="F1600" s="55" t="str">
        <f aca="false">IF($H1600="","",购销流水!$C404)</f>
        <v/>
      </c>
      <c r="G1600" s="48" t="str">
        <f aca="false">IF($H1600="","",购销流水!$N404)</f>
        <v/>
      </c>
      <c r="H1600" s="10" t="str">
        <f aca="false">IF($L1600="","",IF($L1600="@成本",购销流水!$U404,IF($L1600="@收入",购销流水!$T404,IF($L1600="@存货",购销流水!$S404,IF($L1600="@结算",购销流水!$R404,$L1600)))))</f>
        <v/>
      </c>
      <c r="I1600" s="42" t="n">
        <f aca="false">IF($M1600="借",$O1600,0)</f>
        <v>0</v>
      </c>
      <c r="J1600" s="42" t="n">
        <f aca="false">IF($M1600="贷",$O1600,0)</f>
        <v>0</v>
      </c>
      <c r="K1600" s="48" t="str">
        <f aca="false">IF($H1600="","",购销流水!$E404)</f>
        <v/>
      </c>
      <c r="L1600" s="66" t="str">
        <f aca="false">IF(购销流水!$D404="","",IFERROR(INDEX(记账规则!$A$6:$N$9,MATCH(购销流水!$D404,记账规则!$A$6:$A$9,0),9),""))</f>
        <v/>
      </c>
      <c r="M1600" s="66" t="str">
        <f aca="false">IF($L1600="","",IFERROR(INDEX(记账规则!$A$6:$N$9,MATCH(购销流水!$D404,记账规则!$A$6:$A$9,0),10),""))</f>
        <v/>
      </c>
      <c r="N1600" s="66" t="str">
        <f aca="false">IF($L1600="","",IFERROR(INDEX(记账规则!$A$6:$N$9,MATCH(购销流水!$D404,记账规则!$A$6:$A$9,0),11),""))</f>
        <v/>
      </c>
      <c r="O1600" s="67" t="n">
        <f aca="false">IF($H1600="",0,ROUND(IF($N1600="成本金额",N(购销流水!$W404),IF($N1600="金额",N(购销流水!$Q404),0)),2))</f>
        <v>0</v>
      </c>
      <c r="P1600" s="64" t="str">
        <f aca="false">IF(AND($H1600&lt;&gt;"",ROUND($O1600,2)&lt;&gt;0),"有","")</f>
        <v/>
      </c>
    </row>
    <row r="1601" customFormat="false" ht="15" hidden="true" customHeight="false" outlineLevel="0" collapsed="false">
      <c r="A1601" s="53" t="str">
        <f aca="false">IF($H1601="","",ROW()-5)</f>
        <v/>
      </c>
      <c r="B1601" s="64" t="s">
        <v>36</v>
      </c>
      <c r="C1601" s="53" t="n">
        <v>404</v>
      </c>
      <c r="D1601" s="53" t="n">
        <v>4</v>
      </c>
      <c r="E1601" s="65" t="str">
        <f aca="false">IF($H1601="","",购销流水!$B404)</f>
        <v/>
      </c>
      <c r="F1601" s="55" t="str">
        <f aca="false">IF($H1601="","",购销流水!$C404)</f>
        <v/>
      </c>
      <c r="G1601" s="48" t="str">
        <f aca="false">IF($H1601="","",购销流水!$N404)</f>
        <v/>
      </c>
      <c r="H1601" s="10" t="str">
        <f aca="false">IF($L1601="","",IF($L1601="@成本",购销流水!$U404,IF($L1601="@收入",购销流水!$T404,IF($L1601="@存货",购销流水!$S404,IF($L1601="@结算",购销流水!$R404,$L1601)))))</f>
        <v/>
      </c>
      <c r="I1601" s="42" t="n">
        <f aca="false">IF($M1601="借",$O1601,0)</f>
        <v>0</v>
      </c>
      <c r="J1601" s="42" t="n">
        <f aca="false">IF($M1601="贷",$O1601,0)</f>
        <v>0</v>
      </c>
      <c r="K1601" s="48" t="str">
        <f aca="false">IF($H1601="","",购销流水!$E404)</f>
        <v/>
      </c>
      <c r="L1601" s="66" t="str">
        <f aca="false">IF(购销流水!$D404="","",IFERROR(INDEX(记账规则!$A$6:$N$9,MATCH(购销流水!$D404,记账规则!$A$6:$A$9,0),12),""))</f>
        <v/>
      </c>
      <c r="M1601" s="66" t="str">
        <f aca="false">IF($L1601="","",IFERROR(INDEX(记账规则!$A$6:$N$9,MATCH(购销流水!$D404,记账规则!$A$6:$A$9,0),13),""))</f>
        <v/>
      </c>
      <c r="N1601" s="66" t="str">
        <f aca="false">IF($L1601="","",IFERROR(INDEX(记账规则!$A$6:$N$9,MATCH(购销流水!$D404,记账规则!$A$6:$A$9,0),14),""))</f>
        <v/>
      </c>
      <c r="O1601" s="67" t="n">
        <f aca="false">IF($H1601="",0,ROUND(IF($N1601="成本金额",N(购销流水!$W404),IF($N1601="金额",N(购销流水!$Q404),0)),2))</f>
        <v>0</v>
      </c>
      <c r="P1601" s="64" t="str">
        <f aca="false">IF(AND($H1601&lt;&gt;"",ROUND($O1601,2)&lt;&gt;0),"有","")</f>
        <v/>
      </c>
    </row>
    <row r="1602" customFormat="false" ht="15" hidden="true" customHeight="false" outlineLevel="0" collapsed="false">
      <c r="A1602" s="53" t="str">
        <f aca="false">IF($H1602="","",ROW()-5)</f>
        <v/>
      </c>
      <c r="B1602" s="64" t="s">
        <v>36</v>
      </c>
      <c r="C1602" s="53" t="n">
        <v>405</v>
      </c>
      <c r="D1602" s="53" t="n">
        <v>1</v>
      </c>
      <c r="E1602" s="65" t="str">
        <f aca="false">IF($H1602="","",购销流水!$B405)</f>
        <v/>
      </c>
      <c r="F1602" s="55" t="str">
        <f aca="false">IF($H1602="","",购销流水!$C405)</f>
        <v/>
      </c>
      <c r="G1602" s="48" t="str">
        <f aca="false">IF($H1602="","",购销流水!$N405)</f>
        <v/>
      </c>
      <c r="H1602" s="10" t="str">
        <f aca="false">IF($L1602="","",IF($L1602="@成本",购销流水!$U405,IF($L1602="@收入",购销流水!$T405,IF($L1602="@存货",购销流水!$S405,IF($L1602="@结算",购销流水!$R405,$L1602)))))</f>
        <v/>
      </c>
      <c r="I1602" s="42" t="n">
        <f aca="false">IF($M1602="借",$O1602,0)</f>
        <v>0</v>
      </c>
      <c r="J1602" s="42" t="n">
        <f aca="false">IF($M1602="贷",$O1602,0)</f>
        <v>0</v>
      </c>
      <c r="K1602" s="48" t="str">
        <f aca="false">IF($H1602="","",购销流水!$E405)</f>
        <v/>
      </c>
      <c r="L1602" s="66" t="str">
        <f aca="false">IF(购销流水!$D405="","",IFERROR(INDEX(记账规则!$A$6:$N$9,MATCH(购销流水!$D405,记账规则!$A$6:$A$9,0),3),""))</f>
        <v/>
      </c>
      <c r="M1602" s="66" t="str">
        <f aca="false">IF($L1602="","",IFERROR(INDEX(记账规则!$A$6:$N$9,MATCH(购销流水!$D405,记账规则!$A$6:$A$9,0),4),""))</f>
        <v/>
      </c>
      <c r="N1602" s="66" t="str">
        <f aca="false">IF($L1602="","",IFERROR(INDEX(记账规则!$A$6:$N$9,MATCH(购销流水!$D405,记账规则!$A$6:$A$9,0),5),""))</f>
        <v/>
      </c>
      <c r="O1602" s="67" t="n">
        <f aca="false">IF($H1602="",0,ROUND(IF($N1602="成本金额",N(购销流水!$W405),IF($N1602="金额",N(购销流水!$Q405),0)),2))</f>
        <v>0</v>
      </c>
      <c r="P1602" s="64" t="str">
        <f aca="false">IF(AND($H1602&lt;&gt;"",ROUND($O1602,2)&lt;&gt;0),"有","")</f>
        <v/>
      </c>
    </row>
    <row r="1603" customFormat="false" ht="15" hidden="true" customHeight="false" outlineLevel="0" collapsed="false">
      <c r="A1603" s="53" t="str">
        <f aca="false">IF($H1603="","",ROW()-5)</f>
        <v/>
      </c>
      <c r="B1603" s="64" t="s">
        <v>36</v>
      </c>
      <c r="C1603" s="53" t="n">
        <v>405</v>
      </c>
      <c r="D1603" s="53" t="n">
        <v>2</v>
      </c>
      <c r="E1603" s="65" t="str">
        <f aca="false">IF($H1603="","",购销流水!$B405)</f>
        <v/>
      </c>
      <c r="F1603" s="55" t="str">
        <f aca="false">IF($H1603="","",购销流水!$C405)</f>
        <v/>
      </c>
      <c r="G1603" s="48" t="str">
        <f aca="false">IF($H1603="","",购销流水!$N405)</f>
        <v/>
      </c>
      <c r="H1603" s="10" t="str">
        <f aca="false">IF($L1603="","",IF($L1603="@成本",购销流水!$U405,IF($L1603="@收入",购销流水!$T405,IF($L1603="@存货",购销流水!$S405,IF($L1603="@结算",购销流水!$R405,$L1603)))))</f>
        <v/>
      </c>
      <c r="I1603" s="42" t="n">
        <f aca="false">IF($M1603="借",$O1603,0)</f>
        <v>0</v>
      </c>
      <c r="J1603" s="42" t="n">
        <f aca="false">IF($M1603="贷",$O1603,0)</f>
        <v>0</v>
      </c>
      <c r="K1603" s="48" t="str">
        <f aca="false">IF($H1603="","",购销流水!$E405)</f>
        <v/>
      </c>
      <c r="L1603" s="66" t="str">
        <f aca="false">IF(购销流水!$D405="","",IFERROR(INDEX(记账规则!$A$6:$N$9,MATCH(购销流水!$D405,记账规则!$A$6:$A$9,0),6),""))</f>
        <v/>
      </c>
      <c r="M1603" s="66" t="str">
        <f aca="false">IF($L1603="","",IFERROR(INDEX(记账规则!$A$6:$N$9,MATCH(购销流水!$D405,记账规则!$A$6:$A$9,0),7),""))</f>
        <v/>
      </c>
      <c r="N1603" s="66" t="str">
        <f aca="false">IF($L1603="","",IFERROR(INDEX(记账规则!$A$6:$N$9,MATCH(购销流水!$D405,记账规则!$A$6:$A$9,0),8),""))</f>
        <v/>
      </c>
      <c r="O1603" s="67" t="n">
        <f aca="false">IF($H1603="",0,ROUND(IF($N1603="成本金额",N(购销流水!$W405),IF($N1603="金额",N(购销流水!$Q405),0)),2))</f>
        <v>0</v>
      </c>
      <c r="P1603" s="64" t="str">
        <f aca="false">IF(AND($H1603&lt;&gt;"",ROUND($O1603,2)&lt;&gt;0),"有","")</f>
        <v/>
      </c>
    </row>
    <row r="1604" customFormat="false" ht="15" hidden="true" customHeight="false" outlineLevel="0" collapsed="false">
      <c r="A1604" s="53" t="str">
        <f aca="false">IF($H1604="","",ROW()-5)</f>
        <v/>
      </c>
      <c r="B1604" s="64" t="s">
        <v>36</v>
      </c>
      <c r="C1604" s="53" t="n">
        <v>405</v>
      </c>
      <c r="D1604" s="53" t="n">
        <v>3</v>
      </c>
      <c r="E1604" s="65" t="str">
        <f aca="false">IF($H1604="","",购销流水!$B405)</f>
        <v/>
      </c>
      <c r="F1604" s="55" t="str">
        <f aca="false">IF($H1604="","",购销流水!$C405)</f>
        <v/>
      </c>
      <c r="G1604" s="48" t="str">
        <f aca="false">IF($H1604="","",购销流水!$N405)</f>
        <v/>
      </c>
      <c r="H1604" s="10" t="str">
        <f aca="false">IF($L1604="","",IF($L1604="@成本",购销流水!$U405,IF($L1604="@收入",购销流水!$T405,IF($L1604="@存货",购销流水!$S405,IF($L1604="@结算",购销流水!$R405,$L1604)))))</f>
        <v/>
      </c>
      <c r="I1604" s="42" t="n">
        <f aca="false">IF($M1604="借",$O1604,0)</f>
        <v>0</v>
      </c>
      <c r="J1604" s="42" t="n">
        <f aca="false">IF($M1604="贷",$O1604,0)</f>
        <v>0</v>
      </c>
      <c r="K1604" s="48" t="str">
        <f aca="false">IF($H1604="","",购销流水!$E405)</f>
        <v/>
      </c>
      <c r="L1604" s="66" t="str">
        <f aca="false">IF(购销流水!$D405="","",IFERROR(INDEX(记账规则!$A$6:$N$9,MATCH(购销流水!$D405,记账规则!$A$6:$A$9,0),9),""))</f>
        <v/>
      </c>
      <c r="M1604" s="66" t="str">
        <f aca="false">IF($L1604="","",IFERROR(INDEX(记账规则!$A$6:$N$9,MATCH(购销流水!$D405,记账规则!$A$6:$A$9,0),10),""))</f>
        <v/>
      </c>
      <c r="N1604" s="66" t="str">
        <f aca="false">IF($L1604="","",IFERROR(INDEX(记账规则!$A$6:$N$9,MATCH(购销流水!$D405,记账规则!$A$6:$A$9,0),11),""))</f>
        <v/>
      </c>
      <c r="O1604" s="67" t="n">
        <f aca="false">IF($H1604="",0,ROUND(IF($N1604="成本金额",N(购销流水!$W405),IF($N1604="金额",N(购销流水!$Q405),0)),2))</f>
        <v>0</v>
      </c>
      <c r="P1604" s="64" t="str">
        <f aca="false">IF(AND($H1604&lt;&gt;"",ROUND($O1604,2)&lt;&gt;0),"有","")</f>
        <v/>
      </c>
    </row>
    <row r="1605" customFormat="false" ht="15" hidden="true" customHeight="false" outlineLevel="0" collapsed="false">
      <c r="A1605" s="53" t="str">
        <f aca="false">IF($H1605="","",ROW()-5)</f>
        <v/>
      </c>
      <c r="B1605" s="64" t="s">
        <v>36</v>
      </c>
      <c r="C1605" s="53" t="n">
        <v>405</v>
      </c>
      <c r="D1605" s="53" t="n">
        <v>4</v>
      </c>
      <c r="E1605" s="65" t="str">
        <f aca="false">IF($H1605="","",购销流水!$B405)</f>
        <v/>
      </c>
      <c r="F1605" s="55" t="str">
        <f aca="false">IF($H1605="","",购销流水!$C405)</f>
        <v/>
      </c>
      <c r="G1605" s="48" t="str">
        <f aca="false">IF($H1605="","",购销流水!$N405)</f>
        <v/>
      </c>
      <c r="H1605" s="10" t="str">
        <f aca="false">IF($L1605="","",IF($L1605="@成本",购销流水!$U405,IF($L1605="@收入",购销流水!$T405,IF($L1605="@存货",购销流水!$S405,IF($L1605="@结算",购销流水!$R405,$L1605)))))</f>
        <v/>
      </c>
      <c r="I1605" s="42" t="n">
        <f aca="false">IF($M1605="借",$O1605,0)</f>
        <v>0</v>
      </c>
      <c r="J1605" s="42" t="n">
        <f aca="false">IF($M1605="贷",$O1605,0)</f>
        <v>0</v>
      </c>
      <c r="K1605" s="48" t="str">
        <f aca="false">IF($H1605="","",购销流水!$E405)</f>
        <v/>
      </c>
      <c r="L1605" s="66" t="str">
        <f aca="false">IF(购销流水!$D405="","",IFERROR(INDEX(记账规则!$A$6:$N$9,MATCH(购销流水!$D405,记账规则!$A$6:$A$9,0),12),""))</f>
        <v/>
      </c>
      <c r="M1605" s="66" t="str">
        <f aca="false">IF($L1605="","",IFERROR(INDEX(记账规则!$A$6:$N$9,MATCH(购销流水!$D405,记账规则!$A$6:$A$9,0),13),""))</f>
        <v/>
      </c>
      <c r="N1605" s="66" t="str">
        <f aca="false">IF($L1605="","",IFERROR(INDEX(记账规则!$A$6:$N$9,MATCH(购销流水!$D405,记账规则!$A$6:$A$9,0),14),""))</f>
        <v/>
      </c>
      <c r="O1605" s="67" t="n">
        <f aca="false">IF($H1605="",0,ROUND(IF($N1605="成本金额",N(购销流水!$W405),IF($N1605="金额",N(购销流水!$Q405),0)),2))</f>
        <v>0</v>
      </c>
      <c r="P1605" s="64" t="str">
        <f aca="false">IF(AND($H1605&lt;&gt;"",ROUND($O1605,2)&lt;&gt;0),"有","")</f>
        <v/>
      </c>
    </row>
    <row r="1606" customFormat="false" ht="15" hidden="true" customHeight="false" outlineLevel="0" collapsed="false">
      <c r="A1606" s="53" t="str">
        <f aca="false">IF($H1606="","",ROW()-5)</f>
        <v/>
      </c>
      <c r="B1606" s="64" t="s">
        <v>36</v>
      </c>
      <c r="C1606" s="53" t="n">
        <v>406</v>
      </c>
      <c r="D1606" s="53" t="n">
        <v>1</v>
      </c>
      <c r="E1606" s="65" t="str">
        <f aca="false">IF($H1606="","",购销流水!$B406)</f>
        <v/>
      </c>
      <c r="F1606" s="55" t="str">
        <f aca="false">IF($H1606="","",购销流水!$C406)</f>
        <v/>
      </c>
      <c r="G1606" s="48" t="str">
        <f aca="false">IF($H1606="","",购销流水!$N406)</f>
        <v/>
      </c>
      <c r="H1606" s="10" t="str">
        <f aca="false">IF($L1606="","",IF($L1606="@成本",购销流水!$U406,IF($L1606="@收入",购销流水!$T406,IF($L1606="@存货",购销流水!$S406,IF($L1606="@结算",购销流水!$R406,$L1606)))))</f>
        <v/>
      </c>
      <c r="I1606" s="42" t="n">
        <f aca="false">IF($M1606="借",$O1606,0)</f>
        <v>0</v>
      </c>
      <c r="J1606" s="42" t="n">
        <f aca="false">IF($M1606="贷",$O1606,0)</f>
        <v>0</v>
      </c>
      <c r="K1606" s="48" t="str">
        <f aca="false">IF($H1606="","",购销流水!$E406)</f>
        <v/>
      </c>
      <c r="L1606" s="66" t="str">
        <f aca="false">IF(购销流水!$D406="","",IFERROR(INDEX(记账规则!$A$6:$N$9,MATCH(购销流水!$D406,记账规则!$A$6:$A$9,0),3),""))</f>
        <v/>
      </c>
      <c r="M1606" s="66" t="str">
        <f aca="false">IF($L1606="","",IFERROR(INDEX(记账规则!$A$6:$N$9,MATCH(购销流水!$D406,记账规则!$A$6:$A$9,0),4),""))</f>
        <v/>
      </c>
      <c r="N1606" s="66" t="str">
        <f aca="false">IF($L1606="","",IFERROR(INDEX(记账规则!$A$6:$N$9,MATCH(购销流水!$D406,记账规则!$A$6:$A$9,0),5),""))</f>
        <v/>
      </c>
      <c r="O1606" s="67" t="n">
        <f aca="false">IF($H1606="",0,ROUND(IF($N1606="成本金额",N(购销流水!$W406),IF($N1606="金额",N(购销流水!$Q406),0)),2))</f>
        <v>0</v>
      </c>
      <c r="P1606" s="64" t="str">
        <f aca="false">IF(AND($H1606&lt;&gt;"",ROUND($O1606,2)&lt;&gt;0),"有","")</f>
        <v/>
      </c>
    </row>
    <row r="1607" customFormat="false" ht="15" hidden="true" customHeight="false" outlineLevel="0" collapsed="false">
      <c r="A1607" s="53" t="str">
        <f aca="false">IF($H1607="","",ROW()-5)</f>
        <v/>
      </c>
      <c r="B1607" s="64" t="s">
        <v>36</v>
      </c>
      <c r="C1607" s="53" t="n">
        <v>406</v>
      </c>
      <c r="D1607" s="53" t="n">
        <v>2</v>
      </c>
      <c r="E1607" s="65" t="str">
        <f aca="false">IF($H1607="","",购销流水!$B406)</f>
        <v/>
      </c>
      <c r="F1607" s="55" t="str">
        <f aca="false">IF($H1607="","",购销流水!$C406)</f>
        <v/>
      </c>
      <c r="G1607" s="48" t="str">
        <f aca="false">IF($H1607="","",购销流水!$N406)</f>
        <v/>
      </c>
      <c r="H1607" s="10" t="str">
        <f aca="false">IF($L1607="","",IF($L1607="@成本",购销流水!$U406,IF($L1607="@收入",购销流水!$T406,IF($L1607="@存货",购销流水!$S406,IF($L1607="@结算",购销流水!$R406,$L1607)))))</f>
        <v/>
      </c>
      <c r="I1607" s="42" t="n">
        <f aca="false">IF($M1607="借",$O1607,0)</f>
        <v>0</v>
      </c>
      <c r="J1607" s="42" t="n">
        <f aca="false">IF($M1607="贷",$O1607,0)</f>
        <v>0</v>
      </c>
      <c r="K1607" s="48" t="str">
        <f aca="false">IF($H1607="","",购销流水!$E406)</f>
        <v/>
      </c>
      <c r="L1607" s="66" t="str">
        <f aca="false">IF(购销流水!$D406="","",IFERROR(INDEX(记账规则!$A$6:$N$9,MATCH(购销流水!$D406,记账规则!$A$6:$A$9,0),6),""))</f>
        <v/>
      </c>
      <c r="M1607" s="66" t="str">
        <f aca="false">IF($L1607="","",IFERROR(INDEX(记账规则!$A$6:$N$9,MATCH(购销流水!$D406,记账规则!$A$6:$A$9,0),7),""))</f>
        <v/>
      </c>
      <c r="N1607" s="66" t="str">
        <f aca="false">IF($L1607="","",IFERROR(INDEX(记账规则!$A$6:$N$9,MATCH(购销流水!$D406,记账规则!$A$6:$A$9,0),8),""))</f>
        <v/>
      </c>
      <c r="O1607" s="67" t="n">
        <f aca="false">IF($H1607="",0,ROUND(IF($N1607="成本金额",N(购销流水!$W406),IF($N1607="金额",N(购销流水!$Q406),0)),2))</f>
        <v>0</v>
      </c>
      <c r="P1607" s="64" t="str">
        <f aca="false">IF(AND($H1607&lt;&gt;"",ROUND($O1607,2)&lt;&gt;0),"有","")</f>
        <v/>
      </c>
    </row>
    <row r="1608" customFormat="false" ht="15" hidden="true" customHeight="false" outlineLevel="0" collapsed="false">
      <c r="A1608" s="53" t="str">
        <f aca="false">IF($H1608="","",ROW()-5)</f>
        <v/>
      </c>
      <c r="B1608" s="64" t="s">
        <v>36</v>
      </c>
      <c r="C1608" s="53" t="n">
        <v>406</v>
      </c>
      <c r="D1608" s="53" t="n">
        <v>3</v>
      </c>
      <c r="E1608" s="65" t="str">
        <f aca="false">IF($H1608="","",购销流水!$B406)</f>
        <v/>
      </c>
      <c r="F1608" s="55" t="str">
        <f aca="false">IF($H1608="","",购销流水!$C406)</f>
        <v/>
      </c>
      <c r="G1608" s="48" t="str">
        <f aca="false">IF($H1608="","",购销流水!$N406)</f>
        <v/>
      </c>
      <c r="H1608" s="10" t="str">
        <f aca="false">IF($L1608="","",IF($L1608="@成本",购销流水!$U406,IF($L1608="@收入",购销流水!$T406,IF($L1608="@存货",购销流水!$S406,IF($L1608="@结算",购销流水!$R406,$L1608)))))</f>
        <v/>
      </c>
      <c r="I1608" s="42" t="n">
        <f aca="false">IF($M1608="借",$O1608,0)</f>
        <v>0</v>
      </c>
      <c r="J1608" s="42" t="n">
        <f aca="false">IF($M1608="贷",$O1608,0)</f>
        <v>0</v>
      </c>
      <c r="K1608" s="48" t="str">
        <f aca="false">IF($H1608="","",购销流水!$E406)</f>
        <v/>
      </c>
      <c r="L1608" s="66" t="str">
        <f aca="false">IF(购销流水!$D406="","",IFERROR(INDEX(记账规则!$A$6:$N$9,MATCH(购销流水!$D406,记账规则!$A$6:$A$9,0),9),""))</f>
        <v/>
      </c>
      <c r="M1608" s="66" t="str">
        <f aca="false">IF($L1608="","",IFERROR(INDEX(记账规则!$A$6:$N$9,MATCH(购销流水!$D406,记账规则!$A$6:$A$9,0),10),""))</f>
        <v/>
      </c>
      <c r="N1608" s="66" t="str">
        <f aca="false">IF($L1608="","",IFERROR(INDEX(记账规则!$A$6:$N$9,MATCH(购销流水!$D406,记账规则!$A$6:$A$9,0),11),""))</f>
        <v/>
      </c>
      <c r="O1608" s="67" t="n">
        <f aca="false">IF($H1608="",0,ROUND(IF($N1608="成本金额",N(购销流水!$W406),IF($N1608="金额",N(购销流水!$Q406),0)),2))</f>
        <v>0</v>
      </c>
      <c r="P1608" s="64" t="str">
        <f aca="false">IF(AND($H1608&lt;&gt;"",ROUND($O1608,2)&lt;&gt;0),"有","")</f>
        <v/>
      </c>
    </row>
    <row r="1609" customFormat="false" ht="15" hidden="true" customHeight="false" outlineLevel="0" collapsed="false">
      <c r="A1609" s="53" t="str">
        <f aca="false">IF($H1609="","",ROW()-5)</f>
        <v/>
      </c>
      <c r="B1609" s="64" t="s">
        <v>36</v>
      </c>
      <c r="C1609" s="53" t="n">
        <v>406</v>
      </c>
      <c r="D1609" s="53" t="n">
        <v>4</v>
      </c>
      <c r="E1609" s="65" t="str">
        <f aca="false">IF($H1609="","",购销流水!$B406)</f>
        <v/>
      </c>
      <c r="F1609" s="55" t="str">
        <f aca="false">IF($H1609="","",购销流水!$C406)</f>
        <v/>
      </c>
      <c r="G1609" s="48" t="str">
        <f aca="false">IF($H1609="","",购销流水!$N406)</f>
        <v/>
      </c>
      <c r="H1609" s="10" t="str">
        <f aca="false">IF($L1609="","",IF($L1609="@成本",购销流水!$U406,IF($L1609="@收入",购销流水!$T406,IF($L1609="@存货",购销流水!$S406,IF($L1609="@结算",购销流水!$R406,$L1609)))))</f>
        <v/>
      </c>
      <c r="I1609" s="42" t="n">
        <f aca="false">IF($M1609="借",$O1609,0)</f>
        <v>0</v>
      </c>
      <c r="J1609" s="42" t="n">
        <f aca="false">IF($M1609="贷",$O1609,0)</f>
        <v>0</v>
      </c>
      <c r="K1609" s="48" t="str">
        <f aca="false">IF($H1609="","",购销流水!$E406)</f>
        <v/>
      </c>
      <c r="L1609" s="66" t="str">
        <f aca="false">IF(购销流水!$D406="","",IFERROR(INDEX(记账规则!$A$6:$N$9,MATCH(购销流水!$D406,记账规则!$A$6:$A$9,0),12),""))</f>
        <v/>
      </c>
      <c r="M1609" s="66" t="str">
        <f aca="false">IF($L1609="","",IFERROR(INDEX(记账规则!$A$6:$N$9,MATCH(购销流水!$D406,记账规则!$A$6:$A$9,0),13),""))</f>
        <v/>
      </c>
      <c r="N1609" s="66" t="str">
        <f aca="false">IF($L1609="","",IFERROR(INDEX(记账规则!$A$6:$N$9,MATCH(购销流水!$D406,记账规则!$A$6:$A$9,0),14),""))</f>
        <v/>
      </c>
      <c r="O1609" s="67" t="n">
        <f aca="false">IF($H1609="",0,ROUND(IF($N1609="成本金额",N(购销流水!$W406),IF($N1609="金额",N(购销流水!$Q406),0)),2))</f>
        <v>0</v>
      </c>
      <c r="P1609" s="64" t="str">
        <f aca="false">IF(AND($H1609&lt;&gt;"",ROUND($O1609,2)&lt;&gt;0),"有","")</f>
        <v/>
      </c>
    </row>
    <row r="1610" customFormat="false" ht="15" hidden="true" customHeight="false" outlineLevel="0" collapsed="false">
      <c r="A1610" s="53" t="str">
        <f aca="false">IF($H1610="","",ROW()-5)</f>
        <v/>
      </c>
      <c r="B1610" s="64" t="s">
        <v>36</v>
      </c>
      <c r="C1610" s="53" t="n">
        <v>407</v>
      </c>
      <c r="D1610" s="53" t="n">
        <v>1</v>
      </c>
      <c r="E1610" s="65" t="str">
        <f aca="false">IF($H1610="","",购销流水!$B407)</f>
        <v/>
      </c>
      <c r="F1610" s="55" t="str">
        <f aca="false">IF($H1610="","",购销流水!$C407)</f>
        <v/>
      </c>
      <c r="G1610" s="48" t="str">
        <f aca="false">IF($H1610="","",购销流水!$N407)</f>
        <v/>
      </c>
      <c r="H1610" s="10" t="str">
        <f aca="false">IF($L1610="","",IF($L1610="@成本",购销流水!$U407,IF($L1610="@收入",购销流水!$T407,IF($L1610="@存货",购销流水!$S407,IF($L1610="@结算",购销流水!$R407,$L1610)))))</f>
        <v/>
      </c>
      <c r="I1610" s="42" t="n">
        <f aca="false">IF($M1610="借",$O1610,0)</f>
        <v>0</v>
      </c>
      <c r="J1610" s="42" t="n">
        <f aca="false">IF($M1610="贷",$O1610,0)</f>
        <v>0</v>
      </c>
      <c r="K1610" s="48" t="str">
        <f aca="false">IF($H1610="","",购销流水!$E407)</f>
        <v/>
      </c>
      <c r="L1610" s="66" t="str">
        <f aca="false">IF(购销流水!$D407="","",IFERROR(INDEX(记账规则!$A$6:$N$9,MATCH(购销流水!$D407,记账规则!$A$6:$A$9,0),3),""))</f>
        <v/>
      </c>
      <c r="M1610" s="66" t="str">
        <f aca="false">IF($L1610="","",IFERROR(INDEX(记账规则!$A$6:$N$9,MATCH(购销流水!$D407,记账规则!$A$6:$A$9,0),4),""))</f>
        <v/>
      </c>
      <c r="N1610" s="66" t="str">
        <f aca="false">IF($L1610="","",IFERROR(INDEX(记账规则!$A$6:$N$9,MATCH(购销流水!$D407,记账规则!$A$6:$A$9,0),5),""))</f>
        <v/>
      </c>
      <c r="O1610" s="67" t="n">
        <f aca="false">IF($H1610="",0,ROUND(IF($N1610="成本金额",N(购销流水!$W407),IF($N1610="金额",N(购销流水!$Q407),0)),2))</f>
        <v>0</v>
      </c>
      <c r="P1610" s="64" t="str">
        <f aca="false">IF(AND($H1610&lt;&gt;"",ROUND($O1610,2)&lt;&gt;0),"有","")</f>
        <v/>
      </c>
    </row>
    <row r="1611" customFormat="false" ht="15" hidden="true" customHeight="false" outlineLevel="0" collapsed="false">
      <c r="A1611" s="53" t="str">
        <f aca="false">IF($H1611="","",ROW()-5)</f>
        <v/>
      </c>
      <c r="B1611" s="64" t="s">
        <v>36</v>
      </c>
      <c r="C1611" s="53" t="n">
        <v>407</v>
      </c>
      <c r="D1611" s="53" t="n">
        <v>2</v>
      </c>
      <c r="E1611" s="65" t="str">
        <f aca="false">IF($H1611="","",购销流水!$B407)</f>
        <v/>
      </c>
      <c r="F1611" s="55" t="str">
        <f aca="false">IF($H1611="","",购销流水!$C407)</f>
        <v/>
      </c>
      <c r="G1611" s="48" t="str">
        <f aca="false">IF($H1611="","",购销流水!$N407)</f>
        <v/>
      </c>
      <c r="H1611" s="10" t="str">
        <f aca="false">IF($L1611="","",IF($L1611="@成本",购销流水!$U407,IF($L1611="@收入",购销流水!$T407,IF($L1611="@存货",购销流水!$S407,IF($L1611="@结算",购销流水!$R407,$L1611)))))</f>
        <v/>
      </c>
      <c r="I1611" s="42" t="n">
        <f aca="false">IF($M1611="借",$O1611,0)</f>
        <v>0</v>
      </c>
      <c r="J1611" s="42" t="n">
        <f aca="false">IF($M1611="贷",$O1611,0)</f>
        <v>0</v>
      </c>
      <c r="K1611" s="48" t="str">
        <f aca="false">IF($H1611="","",购销流水!$E407)</f>
        <v/>
      </c>
      <c r="L1611" s="66" t="str">
        <f aca="false">IF(购销流水!$D407="","",IFERROR(INDEX(记账规则!$A$6:$N$9,MATCH(购销流水!$D407,记账规则!$A$6:$A$9,0),6),""))</f>
        <v/>
      </c>
      <c r="M1611" s="66" t="str">
        <f aca="false">IF($L1611="","",IFERROR(INDEX(记账规则!$A$6:$N$9,MATCH(购销流水!$D407,记账规则!$A$6:$A$9,0),7),""))</f>
        <v/>
      </c>
      <c r="N1611" s="66" t="str">
        <f aca="false">IF($L1611="","",IFERROR(INDEX(记账规则!$A$6:$N$9,MATCH(购销流水!$D407,记账规则!$A$6:$A$9,0),8),""))</f>
        <v/>
      </c>
      <c r="O1611" s="67" t="n">
        <f aca="false">IF($H1611="",0,ROUND(IF($N1611="成本金额",N(购销流水!$W407),IF($N1611="金额",N(购销流水!$Q407),0)),2))</f>
        <v>0</v>
      </c>
      <c r="P1611" s="64" t="str">
        <f aca="false">IF(AND($H1611&lt;&gt;"",ROUND($O1611,2)&lt;&gt;0),"有","")</f>
        <v/>
      </c>
    </row>
    <row r="1612" customFormat="false" ht="15" hidden="true" customHeight="false" outlineLevel="0" collapsed="false">
      <c r="A1612" s="53" t="str">
        <f aca="false">IF($H1612="","",ROW()-5)</f>
        <v/>
      </c>
      <c r="B1612" s="64" t="s">
        <v>36</v>
      </c>
      <c r="C1612" s="53" t="n">
        <v>407</v>
      </c>
      <c r="D1612" s="53" t="n">
        <v>3</v>
      </c>
      <c r="E1612" s="65" t="str">
        <f aca="false">IF($H1612="","",购销流水!$B407)</f>
        <v/>
      </c>
      <c r="F1612" s="55" t="str">
        <f aca="false">IF($H1612="","",购销流水!$C407)</f>
        <v/>
      </c>
      <c r="G1612" s="48" t="str">
        <f aca="false">IF($H1612="","",购销流水!$N407)</f>
        <v/>
      </c>
      <c r="H1612" s="10" t="str">
        <f aca="false">IF($L1612="","",IF($L1612="@成本",购销流水!$U407,IF($L1612="@收入",购销流水!$T407,IF($L1612="@存货",购销流水!$S407,IF($L1612="@结算",购销流水!$R407,$L1612)))))</f>
        <v/>
      </c>
      <c r="I1612" s="42" t="n">
        <f aca="false">IF($M1612="借",$O1612,0)</f>
        <v>0</v>
      </c>
      <c r="J1612" s="42" t="n">
        <f aca="false">IF($M1612="贷",$O1612,0)</f>
        <v>0</v>
      </c>
      <c r="K1612" s="48" t="str">
        <f aca="false">IF($H1612="","",购销流水!$E407)</f>
        <v/>
      </c>
      <c r="L1612" s="66" t="str">
        <f aca="false">IF(购销流水!$D407="","",IFERROR(INDEX(记账规则!$A$6:$N$9,MATCH(购销流水!$D407,记账规则!$A$6:$A$9,0),9),""))</f>
        <v/>
      </c>
      <c r="M1612" s="66" t="str">
        <f aca="false">IF($L1612="","",IFERROR(INDEX(记账规则!$A$6:$N$9,MATCH(购销流水!$D407,记账规则!$A$6:$A$9,0),10),""))</f>
        <v/>
      </c>
      <c r="N1612" s="66" t="str">
        <f aca="false">IF($L1612="","",IFERROR(INDEX(记账规则!$A$6:$N$9,MATCH(购销流水!$D407,记账规则!$A$6:$A$9,0),11),""))</f>
        <v/>
      </c>
      <c r="O1612" s="67" t="n">
        <f aca="false">IF($H1612="",0,ROUND(IF($N1612="成本金额",N(购销流水!$W407),IF($N1612="金额",N(购销流水!$Q407),0)),2))</f>
        <v>0</v>
      </c>
      <c r="P1612" s="64" t="str">
        <f aca="false">IF(AND($H1612&lt;&gt;"",ROUND($O1612,2)&lt;&gt;0),"有","")</f>
        <v/>
      </c>
    </row>
    <row r="1613" customFormat="false" ht="15" hidden="true" customHeight="false" outlineLevel="0" collapsed="false">
      <c r="A1613" s="53" t="str">
        <f aca="false">IF($H1613="","",ROW()-5)</f>
        <v/>
      </c>
      <c r="B1613" s="64" t="s">
        <v>36</v>
      </c>
      <c r="C1613" s="53" t="n">
        <v>407</v>
      </c>
      <c r="D1613" s="53" t="n">
        <v>4</v>
      </c>
      <c r="E1613" s="65" t="str">
        <f aca="false">IF($H1613="","",购销流水!$B407)</f>
        <v/>
      </c>
      <c r="F1613" s="55" t="str">
        <f aca="false">IF($H1613="","",购销流水!$C407)</f>
        <v/>
      </c>
      <c r="G1613" s="48" t="str">
        <f aca="false">IF($H1613="","",购销流水!$N407)</f>
        <v/>
      </c>
      <c r="H1613" s="10" t="str">
        <f aca="false">IF($L1613="","",IF($L1613="@成本",购销流水!$U407,IF($L1613="@收入",购销流水!$T407,IF($L1613="@存货",购销流水!$S407,IF($L1613="@结算",购销流水!$R407,$L1613)))))</f>
        <v/>
      </c>
      <c r="I1613" s="42" t="n">
        <f aca="false">IF($M1613="借",$O1613,0)</f>
        <v>0</v>
      </c>
      <c r="J1613" s="42" t="n">
        <f aca="false">IF($M1613="贷",$O1613,0)</f>
        <v>0</v>
      </c>
      <c r="K1613" s="48" t="str">
        <f aca="false">IF($H1613="","",购销流水!$E407)</f>
        <v/>
      </c>
      <c r="L1613" s="66" t="str">
        <f aca="false">IF(购销流水!$D407="","",IFERROR(INDEX(记账规则!$A$6:$N$9,MATCH(购销流水!$D407,记账规则!$A$6:$A$9,0),12),""))</f>
        <v/>
      </c>
      <c r="M1613" s="66" t="str">
        <f aca="false">IF($L1613="","",IFERROR(INDEX(记账规则!$A$6:$N$9,MATCH(购销流水!$D407,记账规则!$A$6:$A$9,0),13),""))</f>
        <v/>
      </c>
      <c r="N1613" s="66" t="str">
        <f aca="false">IF($L1613="","",IFERROR(INDEX(记账规则!$A$6:$N$9,MATCH(购销流水!$D407,记账规则!$A$6:$A$9,0),14),""))</f>
        <v/>
      </c>
      <c r="O1613" s="67" t="n">
        <f aca="false">IF($H1613="",0,ROUND(IF($N1613="成本金额",N(购销流水!$W407),IF($N1613="金额",N(购销流水!$Q407),0)),2))</f>
        <v>0</v>
      </c>
      <c r="P1613" s="64" t="str">
        <f aca="false">IF(AND($H1613&lt;&gt;"",ROUND($O1613,2)&lt;&gt;0),"有","")</f>
        <v/>
      </c>
    </row>
    <row r="1614" customFormat="false" ht="15" hidden="true" customHeight="false" outlineLevel="0" collapsed="false">
      <c r="A1614" s="53" t="str">
        <f aca="false">IF($H1614="","",ROW()-5)</f>
        <v/>
      </c>
      <c r="B1614" s="64" t="s">
        <v>36</v>
      </c>
      <c r="C1614" s="53" t="n">
        <v>408</v>
      </c>
      <c r="D1614" s="53" t="n">
        <v>1</v>
      </c>
      <c r="E1614" s="65" t="str">
        <f aca="false">IF($H1614="","",购销流水!$B408)</f>
        <v/>
      </c>
      <c r="F1614" s="55" t="str">
        <f aca="false">IF($H1614="","",购销流水!$C408)</f>
        <v/>
      </c>
      <c r="G1614" s="48" t="str">
        <f aca="false">IF($H1614="","",购销流水!$N408)</f>
        <v/>
      </c>
      <c r="H1614" s="10" t="str">
        <f aca="false">IF($L1614="","",IF($L1614="@成本",购销流水!$U408,IF($L1614="@收入",购销流水!$T408,IF($L1614="@存货",购销流水!$S408,IF($L1614="@结算",购销流水!$R408,$L1614)))))</f>
        <v/>
      </c>
      <c r="I1614" s="42" t="n">
        <f aca="false">IF($M1614="借",$O1614,0)</f>
        <v>0</v>
      </c>
      <c r="J1614" s="42" t="n">
        <f aca="false">IF($M1614="贷",$O1614,0)</f>
        <v>0</v>
      </c>
      <c r="K1614" s="48" t="str">
        <f aca="false">IF($H1614="","",购销流水!$E408)</f>
        <v/>
      </c>
      <c r="L1614" s="66" t="str">
        <f aca="false">IF(购销流水!$D408="","",IFERROR(INDEX(记账规则!$A$6:$N$9,MATCH(购销流水!$D408,记账规则!$A$6:$A$9,0),3),""))</f>
        <v/>
      </c>
      <c r="M1614" s="66" t="str">
        <f aca="false">IF($L1614="","",IFERROR(INDEX(记账规则!$A$6:$N$9,MATCH(购销流水!$D408,记账规则!$A$6:$A$9,0),4),""))</f>
        <v/>
      </c>
      <c r="N1614" s="66" t="str">
        <f aca="false">IF($L1614="","",IFERROR(INDEX(记账规则!$A$6:$N$9,MATCH(购销流水!$D408,记账规则!$A$6:$A$9,0),5),""))</f>
        <v/>
      </c>
      <c r="O1614" s="67" t="n">
        <f aca="false">IF($H1614="",0,ROUND(IF($N1614="成本金额",N(购销流水!$W408),IF($N1614="金额",N(购销流水!$Q408),0)),2))</f>
        <v>0</v>
      </c>
      <c r="P1614" s="64" t="str">
        <f aca="false">IF(AND($H1614&lt;&gt;"",ROUND($O1614,2)&lt;&gt;0),"有","")</f>
        <v/>
      </c>
    </row>
    <row r="1615" customFormat="false" ht="15" hidden="true" customHeight="false" outlineLevel="0" collapsed="false">
      <c r="A1615" s="53" t="str">
        <f aca="false">IF($H1615="","",ROW()-5)</f>
        <v/>
      </c>
      <c r="B1615" s="64" t="s">
        <v>36</v>
      </c>
      <c r="C1615" s="53" t="n">
        <v>408</v>
      </c>
      <c r="D1615" s="53" t="n">
        <v>2</v>
      </c>
      <c r="E1615" s="65" t="str">
        <f aca="false">IF($H1615="","",购销流水!$B408)</f>
        <v/>
      </c>
      <c r="F1615" s="55" t="str">
        <f aca="false">IF($H1615="","",购销流水!$C408)</f>
        <v/>
      </c>
      <c r="G1615" s="48" t="str">
        <f aca="false">IF($H1615="","",购销流水!$N408)</f>
        <v/>
      </c>
      <c r="H1615" s="10" t="str">
        <f aca="false">IF($L1615="","",IF($L1615="@成本",购销流水!$U408,IF($L1615="@收入",购销流水!$T408,IF($L1615="@存货",购销流水!$S408,IF($L1615="@结算",购销流水!$R408,$L1615)))))</f>
        <v/>
      </c>
      <c r="I1615" s="42" t="n">
        <f aca="false">IF($M1615="借",$O1615,0)</f>
        <v>0</v>
      </c>
      <c r="J1615" s="42" t="n">
        <f aca="false">IF($M1615="贷",$O1615,0)</f>
        <v>0</v>
      </c>
      <c r="K1615" s="48" t="str">
        <f aca="false">IF($H1615="","",购销流水!$E408)</f>
        <v/>
      </c>
      <c r="L1615" s="66" t="str">
        <f aca="false">IF(购销流水!$D408="","",IFERROR(INDEX(记账规则!$A$6:$N$9,MATCH(购销流水!$D408,记账规则!$A$6:$A$9,0),6),""))</f>
        <v/>
      </c>
      <c r="M1615" s="66" t="str">
        <f aca="false">IF($L1615="","",IFERROR(INDEX(记账规则!$A$6:$N$9,MATCH(购销流水!$D408,记账规则!$A$6:$A$9,0),7),""))</f>
        <v/>
      </c>
      <c r="N1615" s="66" t="str">
        <f aca="false">IF($L1615="","",IFERROR(INDEX(记账规则!$A$6:$N$9,MATCH(购销流水!$D408,记账规则!$A$6:$A$9,0),8),""))</f>
        <v/>
      </c>
      <c r="O1615" s="67" t="n">
        <f aca="false">IF($H1615="",0,ROUND(IF($N1615="成本金额",N(购销流水!$W408),IF($N1615="金额",N(购销流水!$Q408),0)),2))</f>
        <v>0</v>
      </c>
      <c r="P1615" s="64" t="str">
        <f aca="false">IF(AND($H1615&lt;&gt;"",ROUND($O1615,2)&lt;&gt;0),"有","")</f>
        <v/>
      </c>
    </row>
    <row r="1616" customFormat="false" ht="15" hidden="true" customHeight="false" outlineLevel="0" collapsed="false">
      <c r="A1616" s="53" t="str">
        <f aca="false">IF($H1616="","",ROW()-5)</f>
        <v/>
      </c>
      <c r="B1616" s="64" t="s">
        <v>36</v>
      </c>
      <c r="C1616" s="53" t="n">
        <v>408</v>
      </c>
      <c r="D1616" s="53" t="n">
        <v>3</v>
      </c>
      <c r="E1616" s="65" t="str">
        <f aca="false">IF($H1616="","",购销流水!$B408)</f>
        <v/>
      </c>
      <c r="F1616" s="55" t="str">
        <f aca="false">IF($H1616="","",购销流水!$C408)</f>
        <v/>
      </c>
      <c r="G1616" s="48" t="str">
        <f aca="false">IF($H1616="","",购销流水!$N408)</f>
        <v/>
      </c>
      <c r="H1616" s="10" t="str">
        <f aca="false">IF($L1616="","",IF($L1616="@成本",购销流水!$U408,IF($L1616="@收入",购销流水!$T408,IF($L1616="@存货",购销流水!$S408,IF($L1616="@结算",购销流水!$R408,$L1616)))))</f>
        <v/>
      </c>
      <c r="I1616" s="42" t="n">
        <f aca="false">IF($M1616="借",$O1616,0)</f>
        <v>0</v>
      </c>
      <c r="J1616" s="42" t="n">
        <f aca="false">IF($M1616="贷",$O1616,0)</f>
        <v>0</v>
      </c>
      <c r="K1616" s="48" t="str">
        <f aca="false">IF($H1616="","",购销流水!$E408)</f>
        <v/>
      </c>
      <c r="L1616" s="66" t="str">
        <f aca="false">IF(购销流水!$D408="","",IFERROR(INDEX(记账规则!$A$6:$N$9,MATCH(购销流水!$D408,记账规则!$A$6:$A$9,0),9),""))</f>
        <v/>
      </c>
      <c r="M1616" s="66" t="str">
        <f aca="false">IF($L1616="","",IFERROR(INDEX(记账规则!$A$6:$N$9,MATCH(购销流水!$D408,记账规则!$A$6:$A$9,0),10),""))</f>
        <v/>
      </c>
      <c r="N1616" s="66" t="str">
        <f aca="false">IF($L1616="","",IFERROR(INDEX(记账规则!$A$6:$N$9,MATCH(购销流水!$D408,记账规则!$A$6:$A$9,0),11),""))</f>
        <v/>
      </c>
      <c r="O1616" s="67" t="n">
        <f aca="false">IF($H1616="",0,ROUND(IF($N1616="成本金额",N(购销流水!$W408),IF($N1616="金额",N(购销流水!$Q408),0)),2))</f>
        <v>0</v>
      </c>
      <c r="P1616" s="64" t="str">
        <f aca="false">IF(AND($H1616&lt;&gt;"",ROUND($O1616,2)&lt;&gt;0),"有","")</f>
        <v/>
      </c>
    </row>
    <row r="1617" customFormat="false" ht="15" hidden="true" customHeight="false" outlineLevel="0" collapsed="false">
      <c r="A1617" s="53" t="str">
        <f aca="false">IF($H1617="","",ROW()-5)</f>
        <v/>
      </c>
      <c r="B1617" s="64" t="s">
        <v>36</v>
      </c>
      <c r="C1617" s="53" t="n">
        <v>408</v>
      </c>
      <c r="D1617" s="53" t="n">
        <v>4</v>
      </c>
      <c r="E1617" s="65" t="str">
        <f aca="false">IF($H1617="","",购销流水!$B408)</f>
        <v/>
      </c>
      <c r="F1617" s="55" t="str">
        <f aca="false">IF($H1617="","",购销流水!$C408)</f>
        <v/>
      </c>
      <c r="G1617" s="48" t="str">
        <f aca="false">IF($H1617="","",购销流水!$N408)</f>
        <v/>
      </c>
      <c r="H1617" s="10" t="str">
        <f aca="false">IF($L1617="","",IF($L1617="@成本",购销流水!$U408,IF($L1617="@收入",购销流水!$T408,IF($L1617="@存货",购销流水!$S408,IF($L1617="@结算",购销流水!$R408,$L1617)))))</f>
        <v/>
      </c>
      <c r="I1617" s="42" t="n">
        <f aca="false">IF($M1617="借",$O1617,0)</f>
        <v>0</v>
      </c>
      <c r="J1617" s="42" t="n">
        <f aca="false">IF($M1617="贷",$O1617,0)</f>
        <v>0</v>
      </c>
      <c r="K1617" s="48" t="str">
        <f aca="false">IF($H1617="","",购销流水!$E408)</f>
        <v/>
      </c>
      <c r="L1617" s="66" t="str">
        <f aca="false">IF(购销流水!$D408="","",IFERROR(INDEX(记账规则!$A$6:$N$9,MATCH(购销流水!$D408,记账规则!$A$6:$A$9,0),12),""))</f>
        <v/>
      </c>
      <c r="M1617" s="66" t="str">
        <f aca="false">IF($L1617="","",IFERROR(INDEX(记账规则!$A$6:$N$9,MATCH(购销流水!$D408,记账规则!$A$6:$A$9,0),13),""))</f>
        <v/>
      </c>
      <c r="N1617" s="66" t="str">
        <f aca="false">IF($L1617="","",IFERROR(INDEX(记账规则!$A$6:$N$9,MATCH(购销流水!$D408,记账规则!$A$6:$A$9,0),14),""))</f>
        <v/>
      </c>
      <c r="O1617" s="67" t="n">
        <f aca="false">IF($H1617="",0,ROUND(IF($N1617="成本金额",N(购销流水!$W408),IF($N1617="金额",N(购销流水!$Q408),0)),2))</f>
        <v>0</v>
      </c>
      <c r="P1617" s="64" t="str">
        <f aca="false">IF(AND($H1617&lt;&gt;"",ROUND($O1617,2)&lt;&gt;0),"有","")</f>
        <v/>
      </c>
    </row>
    <row r="1618" customFormat="false" ht="15" hidden="true" customHeight="false" outlineLevel="0" collapsed="false">
      <c r="A1618" s="53" t="str">
        <f aca="false">IF($H1618="","",ROW()-5)</f>
        <v/>
      </c>
      <c r="B1618" s="64" t="s">
        <v>36</v>
      </c>
      <c r="C1618" s="53" t="n">
        <v>409</v>
      </c>
      <c r="D1618" s="53" t="n">
        <v>1</v>
      </c>
      <c r="E1618" s="65" t="str">
        <f aca="false">IF($H1618="","",购销流水!$B409)</f>
        <v/>
      </c>
      <c r="F1618" s="55" t="str">
        <f aca="false">IF($H1618="","",购销流水!$C409)</f>
        <v/>
      </c>
      <c r="G1618" s="48" t="str">
        <f aca="false">IF($H1618="","",购销流水!$N409)</f>
        <v/>
      </c>
      <c r="H1618" s="10" t="str">
        <f aca="false">IF($L1618="","",IF($L1618="@成本",购销流水!$U409,IF($L1618="@收入",购销流水!$T409,IF($L1618="@存货",购销流水!$S409,IF($L1618="@结算",购销流水!$R409,$L1618)))))</f>
        <v/>
      </c>
      <c r="I1618" s="42" t="n">
        <f aca="false">IF($M1618="借",$O1618,0)</f>
        <v>0</v>
      </c>
      <c r="J1618" s="42" t="n">
        <f aca="false">IF($M1618="贷",$O1618,0)</f>
        <v>0</v>
      </c>
      <c r="K1618" s="48" t="str">
        <f aca="false">IF($H1618="","",购销流水!$E409)</f>
        <v/>
      </c>
      <c r="L1618" s="66" t="str">
        <f aca="false">IF(购销流水!$D409="","",IFERROR(INDEX(记账规则!$A$6:$N$9,MATCH(购销流水!$D409,记账规则!$A$6:$A$9,0),3),""))</f>
        <v/>
      </c>
      <c r="M1618" s="66" t="str">
        <f aca="false">IF($L1618="","",IFERROR(INDEX(记账规则!$A$6:$N$9,MATCH(购销流水!$D409,记账规则!$A$6:$A$9,0),4),""))</f>
        <v/>
      </c>
      <c r="N1618" s="66" t="str">
        <f aca="false">IF($L1618="","",IFERROR(INDEX(记账规则!$A$6:$N$9,MATCH(购销流水!$D409,记账规则!$A$6:$A$9,0),5),""))</f>
        <v/>
      </c>
      <c r="O1618" s="67" t="n">
        <f aca="false">IF($H1618="",0,ROUND(IF($N1618="成本金额",N(购销流水!$W409),IF($N1618="金额",N(购销流水!$Q409),0)),2))</f>
        <v>0</v>
      </c>
      <c r="P1618" s="64" t="str">
        <f aca="false">IF(AND($H1618&lt;&gt;"",ROUND($O1618,2)&lt;&gt;0),"有","")</f>
        <v/>
      </c>
    </row>
    <row r="1619" customFormat="false" ht="15" hidden="true" customHeight="false" outlineLevel="0" collapsed="false">
      <c r="A1619" s="53" t="str">
        <f aca="false">IF($H1619="","",ROW()-5)</f>
        <v/>
      </c>
      <c r="B1619" s="64" t="s">
        <v>36</v>
      </c>
      <c r="C1619" s="53" t="n">
        <v>409</v>
      </c>
      <c r="D1619" s="53" t="n">
        <v>2</v>
      </c>
      <c r="E1619" s="65" t="str">
        <f aca="false">IF($H1619="","",购销流水!$B409)</f>
        <v/>
      </c>
      <c r="F1619" s="55" t="str">
        <f aca="false">IF($H1619="","",购销流水!$C409)</f>
        <v/>
      </c>
      <c r="G1619" s="48" t="str">
        <f aca="false">IF($H1619="","",购销流水!$N409)</f>
        <v/>
      </c>
      <c r="H1619" s="10" t="str">
        <f aca="false">IF($L1619="","",IF($L1619="@成本",购销流水!$U409,IF($L1619="@收入",购销流水!$T409,IF($L1619="@存货",购销流水!$S409,IF($L1619="@结算",购销流水!$R409,$L1619)))))</f>
        <v/>
      </c>
      <c r="I1619" s="42" t="n">
        <f aca="false">IF($M1619="借",$O1619,0)</f>
        <v>0</v>
      </c>
      <c r="J1619" s="42" t="n">
        <f aca="false">IF($M1619="贷",$O1619,0)</f>
        <v>0</v>
      </c>
      <c r="K1619" s="48" t="str">
        <f aca="false">IF($H1619="","",购销流水!$E409)</f>
        <v/>
      </c>
      <c r="L1619" s="66" t="str">
        <f aca="false">IF(购销流水!$D409="","",IFERROR(INDEX(记账规则!$A$6:$N$9,MATCH(购销流水!$D409,记账规则!$A$6:$A$9,0),6),""))</f>
        <v/>
      </c>
      <c r="M1619" s="66" t="str">
        <f aca="false">IF($L1619="","",IFERROR(INDEX(记账规则!$A$6:$N$9,MATCH(购销流水!$D409,记账规则!$A$6:$A$9,0),7),""))</f>
        <v/>
      </c>
      <c r="N1619" s="66" t="str">
        <f aca="false">IF($L1619="","",IFERROR(INDEX(记账规则!$A$6:$N$9,MATCH(购销流水!$D409,记账规则!$A$6:$A$9,0),8),""))</f>
        <v/>
      </c>
      <c r="O1619" s="67" t="n">
        <f aca="false">IF($H1619="",0,ROUND(IF($N1619="成本金额",N(购销流水!$W409),IF($N1619="金额",N(购销流水!$Q409),0)),2))</f>
        <v>0</v>
      </c>
      <c r="P1619" s="64" t="str">
        <f aca="false">IF(AND($H1619&lt;&gt;"",ROUND($O1619,2)&lt;&gt;0),"有","")</f>
        <v/>
      </c>
    </row>
    <row r="1620" customFormat="false" ht="15" hidden="true" customHeight="false" outlineLevel="0" collapsed="false">
      <c r="A1620" s="53" t="str">
        <f aca="false">IF($H1620="","",ROW()-5)</f>
        <v/>
      </c>
      <c r="B1620" s="64" t="s">
        <v>36</v>
      </c>
      <c r="C1620" s="53" t="n">
        <v>409</v>
      </c>
      <c r="D1620" s="53" t="n">
        <v>3</v>
      </c>
      <c r="E1620" s="65" t="str">
        <f aca="false">IF($H1620="","",购销流水!$B409)</f>
        <v/>
      </c>
      <c r="F1620" s="55" t="str">
        <f aca="false">IF($H1620="","",购销流水!$C409)</f>
        <v/>
      </c>
      <c r="G1620" s="48" t="str">
        <f aca="false">IF($H1620="","",购销流水!$N409)</f>
        <v/>
      </c>
      <c r="H1620" s="10" t="str">
        <f aca="false">IF($L1620="","",IF($L1620="@成本",购销流水!$U409,IF($L1620="@收入",购销流水!$T409,IF($L1620="@存货",购销流水!$S409,IF($L1620="@结算",购销流水!$R409,$L1620)))))</f>
        <v/>
      </c>
      <c r="I1620" s="42" t="n">
        <f aca="false">IF($M1620="借",$O1620,0)</f>
        <v>0</v>
      </c>
      <c r="J1620" s="42" t="n">
        <f aca="false">IF($M1620="贷",$O1620,0)</f>
        <v>0</v>
      </c>
      <c r="K1620" s="48" t="str">
        <f aca="false">IF($H1620="","",购销流水!$E409)</f>
        <v/>
      </c>
      <c r="L1620" s="66" t="str">
        <f aca="false">IF(购销流水!$D409="","",IFERROR(INDEX(记账规则!$A$6:$N$9,MATCH(购销流水!$D409,记账规则!$A$6:$A$9,0),9),""))</f>
        <v/>
      </c>
      <c r="M1620" s="66" t="str">
        <f aca="false">IF($L1620="","",IFERROR(INDEX(记账规则!$A$6:$N$9,MATCH(购销流水!$D409,记账规则!$A$6:$A$9,0),10),""))</f>
        <v/>
      </c>
      <c r="N1620" s="66" t="str">
        <f aca="false">IF($L1620="","",IFERROR(INDEX(记账规则!$A$6:$N$9,MATCH(购销流水!$D409,记账规则!$A$6:$A$9,0),11),""))</f>
        <v/>
      </c>
      <c r="O1620" s="67" t="n">
        <f aca="false">IF($H1620="",0,ROUND(IF($N1620="成本金额",N(购销流水!$W409),IF($N1620="金额",N(购销流水!$Q409),0)),2))</f>
        <v>0</v>
      </c>
      <c r="P1620" s="64" t="str">
        <f aca="false">IF(AND($H1620&lt;&gt;"",ROUND($O1620,2)&lt;&gt;0),"有","")</f>
        <v/>
      </c>
    </row>
    <row r="1621" customFormat="false" ht="15" hidden="true" customHeight="false" outlineLevel="0" collapsed="false">
      <c r="A1621" s="53" t="str">
        <f aca="false">IF($H1621="","",ROW()-5)</f>
        <v/>
      </c>
      <c r="B1621" s="64" t="s">
        <v>36</v>
      </c>
      <c r="C1621" s="53" t="n">
        <v>409</v>
      </c>
      <c r="D1621" s="53" t="n">
        <v>4</v>
      </c>
      <c r="E1621" s="65" t="str">
        <f aca="false">IF($H1621="","",购销流水!$B409)</f>
        <v/>
      </c>
      <c r="F1621" s="55" t="str">
        <f aca="false">IF($H1621="","",购销流水!$C409)</f>
        <v/>
      </c>
      <c r="G1621" s="48" t="str">
        <f aca="false">IF($H1621="","",购销流水!$N409)</f>
        <v/>
      </c>
      <c r="H1621" s="10" t="str">
        <f aca="false">IF($L1621="","",IF($L1621="@成本",购销流水!$U409,IF($L1621="@收入",购销流水!$T409,IF($L1621="@存货",购销流水!$S409,IF($L1621="@结算",购销流水!$R409,$L1621)))))</f>
        <v/>
      </c>
      <c r="I1621" s="42" t="n">
        <f aca="false">IF($M1621="借",$O1621,0)</f>
        <v>0</v>
      </c>
      <c r="J1621" s="42" t="n">
        <f aca="false">IF($M1621="贷",$O1621,0)</f>
        <v>0</v>
      </c>
      <c r="K1621" s="48" t="str">
        <f aca="false">IF($H1621="","",购销流水!$E409)</f>
        <v/>
      </c>
      <c r="L1621" s="66" t="str">
        <f aca="false">IF(购销流水!$D409="","",IFERROR(INDEX(记账规则!$A$6:$N$9,MATCH(购销流水!$D409,记账规则!$A$6:$A$9,0),12),""))</f>
        <v/>
      </c>
      <c r="M1621" s="66" t="str">
        <f aca="false">IF($L1621="","",IFERROR(INDEX(记账规则!$A$6:$N$9,MATCH(购销流水!$D409,记账规则!$A$6:$A$9,0),13),""))</f>
        <v/>
      </c>
      <c r="N1621" s="66" t="str">
        <f aca="false">IF($L1621="","",IFERROR(INDEX(记账规则!$A$6:$N$9,MATCH(购销流水!$D409,记账规则!$A$6:$A$9,0),14),""))</f>
        <v/>
      </c>
      <c r="O1621" s="67" t="n">
        <f aca="false">IF($H1621="",0,ROUND(IF($N1621="成本金额",N(购销流水!$W409),IF($N1621="金额",N(购销流水!$Q409),0)),2))</f>
        <v>0</v>
      </c>
      <c r="P1621" s="64" t="str">
        <f aca="false">IF(AND($H1621&lt;&gt;"",ROUND($O1621,2)&lt;&gt;0),"有","")</f>
        <v/>
      </c>
    </row>
    <row r="1622" customFormat="false" ht="15" hidden="true" customHeight="false" outlineLevel="0" collapsed="false">
      <c r="A1622" s="53" t="str">
        <f aca="false">IF($H1622="","",ROW()-5)</f>
        <v/>
      </c>
      <c r="B1622" s="64" t="s">
        <v>36</v>
      </c>
      <c r="C1622" s="53" t="n">
        <v>410</v>
      </c>
      <c r="D1622" s="53" t="n">
        <v>1</v>
      </c>
      <c r="E1622" s="65" t="str">
        <f aca="false">IF($H1622="","",购销流水!$B410)</f>
        <v/>
      </c>
      <c r="F1622" s="55" t="str">
        <f aca="false">IF($H1622="","",购销流水!$C410)</f>
        <v/>
      </c>
      <c r="G1622" s="48" t="str">
        <f aca="false">IF($H1622="","",购销流水!$N410)</f>
        <v/>
      </c>
      <c r="H1622" s="10" t="str">
        <f aca="false">IF($L1622="","",IF($L1622="@成本",购销流水!$U410,IF($L1622="@收入",购销流水!$T410,IF($L1622="@存货",购销流水!$S410,IF($L1622="@结算",购销流水!$R410,$L1622)))))</f>
        <v/>
      </c>
      <c r="I1622" s="42" t="n">
        <f aca="false">IF($M1622="借",$O1622,0)</f>
        <v>0</v>
      </c>
      <c r="J1622" s="42" t="n">
        <f aca="false">IF($M1622="贷",$O1622,0)</f>
        <v>0</v>
      </c>
      <c r="K1622" s="48" t="str">
        <f aca="false">IF($H1622="","",购销流水!$E410)</f>
        <v/>
      </c>
      <c r="L1622" s="66" t="str">
        <f aca="false">IF(购销流水!$D410="","",IFERROR(INDEX(记账规则!$A$6:$N$9,MATCH(购销流水!$D410,记账规则!$A$6:$A$9,0),3),""))</f>
        <v/>
      </c>
      <c r="M1622" s="66" t="str">
        <f aca="false">IF($L1622="","",IFERROR(INDEX(记账规则!$A$6:$N$9,MATCH(购销流水!$D410,记账规则!$A$6:$A$9,0),4),""))</f>
        <v/>
      </c>
      <c r="N1622" s="66" t="str">
        <f aca="false">IF($L1622="","",IFERROR(INDEX(记账规则!$A$6:$N$9,MATCH(购销流水!$D410,记账规则!$A$6:$A$9,0),5),""))</f>
        <v/>
      </c>
      <c r="O1622" s="67" t="n">
        <f aca="false">IF($H1622="",0,ROUND(IF($N1622="成本金额",N(购销流水!$W410),IF($N1622="金额",N(购销流水!$Q410),0)),2))</f>
        <v>0</v>
      </c>
      <c r="P1622" s="64" t="str">
        <f aca="false">IF(AND($H1622&lt;&gt;"",ROUND($O1622,2)&lt;&gt;0),"有","")</f>
        <v/>
      </c>
    </row>
    <row r="1623" customFormat="false" ht="15" hidden="true" customHeight="false" outlineLevel="0" collapsed="false">
      <c r="A1623" s="53" t="str">
        <f aca="false">IF($H1623="","",ROW()-5)</f>
        <v/>
      </c>
      <c r="B1623" s="64" t="s">
        <v>36</v>
      </c>
      <c r="C1623" s="53" t="n">
        <v>410</v>
      </c>
      <c r="D1623" s="53" t="n">
        <v>2</v>
      </c>
      <c r="E1623" s="65" t="str">
        <f aca="false">IF($H1623="","",购销流水!$B410)</f>
        <v/>
      </c>
      <c r="F1623" s="55" t="str">
        <f aca="false">IF($H1623="","",购销流水!$C410)</f>
        <v/>
      </c>
      <c r="G1623" s="48" t="str">
        <f aca="false">IF($H1623="","",购销流水!$N410)</f>
        <v/>
      </c>
      <c r="H1623" s="10" t="str">
        <f aca="false">IF($L1623="","",IF($L1623="@成本",购销流水!$U410,IF($L1623="@收入",购销流水!$T410,IF($L1623="@存货",购销流水!$S410,IF($L1623="@结算",购销流水!$R410,$L1623)))))</f>
        <v/>
      </c>
      <c r="I1623" s="42" t="n">
        <f aca="false">IF($M1623="借",$O1623,0)</f>
        <v>0</v>
      </c>
      <c r="J1623" s="42" t="n">
        <f aca="false">IF($M1623="贷",$O1623,0)</f>
        <v>0</v>
      </c>
      <c r="K1623" s="48" t="str">
        <f aca="false">IF($H1623="","",购销流水!$E410)</f>
        <v/>
      </c>
      <c r="L1623" s="66" t="str">
        <f aca="false">IF(购销流水!$D410="","",IFERROR(INDEX(记账规则!$A$6:$N$9,MATCH(购销流水!$D410,记账规则!$A$6:$A$9,0),6),""))</f>
        <v/>
      </c>
      <c r="M1623" s="66" t="str">
        <f aca="false">IF($L1623="","",IFERROR(INDEX(记账规则!$A$6:$N$9,MATCH(购销流水!$D410,记账规则!$A$6:$A$9,0),7),""))</f>
        <v/>
      </c>
      <c r="N1623" s="66" t="str">
        <f aca="false">IF($L1623="","",IFERROR(INDEX(记账规则!$A$6:$N$9,MATCH(购销流水!$D410,记账规则!$A$6:$A$9,0),8),""))</f>
        <v/>
      </c>
      <c r="O1623" s="67" t="n">
        <f aca="false">IF($H1623="",0,ROUND(IF($N1623="成本金额",N(购销流水!$W410),IF($N1623="金额",N(购销流水!$Q410),0)),2))</f>
        <v>0</v>
      </c>
      <c r="P1623" s="64" t="str">
        <f aca="false">IF(AND($H1623&lt;&gt;"",ROUND($O1623,2)&lt;&gt;0),"有","")</f>
        <v/>
      </c>
    </row>
    <row r="1624" customFormat="false" ht="15" hidden="true" customHeight="false" outlineLevel="0" collapsed="false">
      <c r="A1624" s="53" t="str">
        <f aca="false">IF($H1624="","",ROW()-5)</f>
        <v/>
      </c>
      <c r="B1624" s="64" t="s">
        <v>36</v>
      </c>
      <c r="C1624" s="53" t="n">
        <v>410</v>
      </c>
      <c r="D1624" s="53" t="n">
        <v>3</v>
      </c>
      <c r="E1624" s="65" t="str">
        <f aca="false">IF($H1624="","",购销流水!$B410)</f>
        <v/>
      </c>
      <c r="F1624" s="55" t="str">
        <f aca="false">IF($H1624="","",购销流水!$C410)</f>
        <v/>
      </c>
      <c r="G1624" s="48" t="str">
        <f aca="false">IF($H1624="","",购销流水!$N410)</f>
        <v/>
      </c>
      <c r="H1624" s="10" t="str">
        <f aca="false">IF($L1624="","",IF($L1624="@成本",购销流水!$U410,IF($L1624="@收入",购销流水!$T410,IF($L1624="@存货",购销流水!$S410,IF($L1624="@结算",购销流水!$R410,$L1624)))))</f>
        <v/>
      </c>
      <c r="I1624" s="42" t="n">
        <f aca="false">IF($M1624="借",$O1624,0)</f>
        <v>0</v>
      </c>
      <c r="J1624" s="42" t="n">
        <f aca="false">IF($M1624="贷",$O1624,0)</f>
        <v>0</v>
      </c>
      <c r="K1624" s="48" t="str">
        <f aca="false">IF($H1624="","",购销流水!$E410)</f>
        <v/>
      </c>
      <c r="L1624" s="66" t="str">
        <f aca="false">IF(购销流水!$D410="","",IFERROR(INDEX(记账规则!$A$6:$N$9,MATCH(购销流水!$D410,记账规则!$A$6:$A$9,0),9),""))</f>
        <v/>
      </c>
      <c r="M1624" s="66" t="str">
        <f aca="false">IF($L1624="","",IFERROR(INDEX(记账规则!$A$6:$N$9,MATCH(购销流水!$D410,记账规则!$A$6:$A$9,0),10),""))</f>
        <v/>
      </c>
      <c r="N1624" s="66" t="str">
        <f aca="false">IF($L1624="","",IFERROR(INDEX(记账规则!$A$6:$N$9,MATCH(购销流水!$D410,记账规则!$A$6:$A$9,0),11),""))</f>
        <v/>
      </c>
      <c r="O1624" s="67" t="n">
        <f aca="false">IF($H1624="",0,ROUND(IF($N1624="成本金额",N(购销流水!$W410),IF($N1624="金额",N(购销流水!$Q410),0)),2))</f>
        <v>0</v>
      </c>
      <c r="P1624" s="64" t="str">
        <f aca="false">IF(AND($H1624&lt;&gt;"",ROUND($O1624,2)&lt;&gt;0),"有","")</f>
        <v/>
      </c>
    </row>
    <row r="1625" customFormat="false" ht="15" hidden="true" customHeight="false" outlineLevel="0" collapsed="false">
      <c r="A1625" s="53" t="str">
        <f aca="false">IF($H1625="","",ROW()-5)</f>
        <v/>
      </c>
      <c r="B1625" s="64" t="s">
        <v>36</v>
      </c>
      <c r="C1625" s="53" t="n">
        <v>410</v>
      </c>
      <c r="D1625" s="53" t="n">
        <v>4</v>
      </c>
      <c r="E1625" s="65" t="str">
        <f aca="false">IF($H1625="","",购销流水!$B410)</f>
        <v/>
      </c>
      <c r="F1625" s="55" t="str">
        <f aca="false">IF($H1625="","",购销流水!$C410)</f>
        <v/>
      </c>
      <c r="G1625" s="48" t="str">
        <f aca="false">IF($H1625="","",购销流水!$N410)</f>
        <v/>
      </c>
      <c r="H1625" s="10" t="str">
        <f aca="false">IF($L1625="","",IF($L1625="@成本",购销流水!$U410,IF($L1625="@收入",购销流水!$T410,IF($L1625="@存货",购销流水!$S410,IF($L1625="@结算",购销流水!$R410,$L1625)))))</f>
        <v/>
      </c>
      <c r="I1625" s="42" t="n">
        <f aca="false">IF($M1625="借",$O1625,0)</f>
        <v>0</v>
      </c>
      <c r="J1625" s="42" t="n">
        <f aca="false">IF($M1625="贷",$O1625,0)</f>
        <v>0</v>
      </c>
      <c r="K1625" s="48" t="str">
        <f aca="false">IF($H1625="","",购销流水!$E410)</f>
        <v/>
      </c>
      <c r="L1625" s="66" t="str">
        <f aca="false">IF(购销流水!$D410="","",IFERROR(INDEX(记账规则!$A$6:$N$9,MATCH(购销流水!$D410,记账规则!$A$6:$A$9,0),12),""))</f>
        <v/>
      </c>
      <c r="M1625" s="66" t="str">
        <f aca="false">IF($L1625="","",IFERROR(INDEX(记账规则!$A$6:$N$9,MATCH(购销流水!$D410,记账规则!$A$6:$A$9,0),13),""))</f>
        <v/>
      </c>
      <c r="N1625" s="66" t="str">
        <f aca="false">IF($L1625="","",IFERROR(INDEX(记账规则!$A$6:$N$9,MATCH(购销流水!$D410,记账规则!$A$6:$A$9,0),14),""))</f>
        <v/>
      </c>
      <c r="O1625" s="67" t="n">
        <f aca="false">IF($H1625="",0,ROUND(IF($N1625="成本金额",N(购销流水!$W410),IF($N1625="金额",N(购销流水!$Q410),0)),2))</f>
        <v>0</v>
      </c>
      <c r="P1625" s="64" t="str">
        <f aca="false">IF(AND($H1625&lt;&gt;"",ROUND($O1625,2)&lt;&gt;0),"有","")</f>
        <v/>
      </c>
    </row>
    <row r="1626" customFormat="false" ht="15" hidden="true" customHeight="false" outlineLevel="0" collapsed="false">
      <c r="A1626" s="53" t="str">
        <f aca="false">IF($H1626="","",ROW()-5)</f>
        <v/>
      </c>
      <c r="B1626" s="64" t="s">
        <v>36</v>
      </c>
      <c r="C1626" s="53" t="n">
        <v>411</v>
      </c>
      <c r="D1626" s="53" t="n">
        <v>1</v>
      </c>
      <c r="E1626" s="65" t="str">
        <f aca="false">IF($H1626="","",购销流水!$B411)</f>
        <v/>
      </c>
      <c r="F1626" s="55" t="str">
        <f aca="false">IF($H1626="","",购销流水!$C411)</f>
        <v/>
      </c>
      <c r="G1626" s="48" t="str">
        <f aca="false">IF($H1626="","",购销流水!$N411)</f>
        <v/>
      </c>
      <c r="H1626" s="10" t="str">
        <f aca="false">IF($L1626="","",IF($L1626="@成本",购销流水!$U411,IF($L1626="@收入",购销流水!$T411,IF($L1626="@存货",购销流水!$S411,IF($L1626="@结算",购销流水!$R411,$L1626)))))</f>
        <v/>
      </c>
      <c r="I1626" s="42" t="n">
        <f aca="false">IF($M1626="借",$O1626,0)</f>
        <v>0</v>
      </c>
      <c r="J1626" s="42" t="n">
        <f aca="false">IF($M1626="贷",$O1626,0)</f>
        <v>0</v>
      </c>
      <c r="K1626" s="48" t="str">
        <f aca="false">IF($H1626="","",购销流水!$E411)</f>
        <v/>
      </c>
      <c r="L1626" s="66" t="str">
        <f aca="false">IF(购销流水!$D411="","",IFERROR(INDEX(记账规则!$A$6:$N$9,MATCH(购销流水!$D411,记账规则!$A$6:$A$9,0),3),""))</f>
        <v/>
      </c>
      <c r="M1626" s="66" t="str">
        <f aca="false">IF($L1626="","",IFERROR(INDEX(记账规则!$A$6:$N$9,MATCH(购销流水!$D411,记账规则!$A$6:$A$9,0),4),""))</f>
        <v/>
      </c>
      <c r="N1626" s="66" t="str">
        <f aca="false">IF($L1626="","",IFERROR(INDEX(记账规则!$A$6:$N$9,MATCH(购销流水!$D411,记账规则!$A$6:$A$9,0),5),""))</f>
        <v/>
      </c>
      <c r="O1626" s="67" t="n">
        <f aca="false">IF($H1626="",0,ROUND(IF($N1626="成本金额",N(购销流水!$W411),IF($N1626="金额",N(购销流水!$Q411),0)),2))</f>
        <v>0</v>
      </c>
      <c r="P1626" s="64" t="str">
        <f aca="false">IF(AND($H1626&lt;&gt;"",ROUND($O1626,2)&lt;&gt;0),"有","")</f>
        <v/>
      </c>
    </row>
    <row r="1627" customFormat="false" ht="15" hidden="true" customHeight="false" outlineLevel="0" collapsed="false">
      <c r="A1627" s="53" t="str">
        <f aca="false">IF($H1627="","",ROW()-5)</f>
        <v/>
      </c>
      <c r="B1627" s="64" t="s">
        <v>36</v>
      </c>
      <c r="C1627" s="53" t="n">
        <v>411</v>
      </c>
      <c r="D1627" s="53" t="n">
        <v>2</v>
      </c>
      <c r="E1627" s="65" t="str">
        <f aca="false">IF($H1627="","",购销流水!$B411)</f>
        <v/>
      </c>
      <c r="F1627" s="55" t="str">
        <f aca="false">IF($H1627="","",购销流水!$C411)</f>
        <v/>
      </c>
      <c r="G1627" s="48" t="str">
        <f aca="false">IF($H1627="","",购销流水!$N411)</f>
        <v/>
      </c>
      <c r="H1627" s="10" t="str">
        <f aca="false">IF($L1627="","",IF($L1627="@成本",购销流水!$U411,IF($L1627="@收入",购销流水!$T411,IF($L1627="@存货",购销流水!$S411,IF($L1627="@结算",购销流水!$R411,$L1627)))))</f>
        <v/>
      </c>
      <c r="I1627" s="42" t="n">
        <f aca="false">IF($M1627="借",$O1627,0)</f>
        <v>0</v>
      </c>
      <c r="J1627" s="42" t="n">
        <f aca="false">IF($M1627="贷",$O1627,0)</f>
        <v>0</v>
      </c>
      <c r="K1627" s="48" t="str">
        <f aca="false">IF($H1627="","",购销流水!$E411)</f>
        <v/>
      </c>
      <c r="L1627" s="66" t="str">
        <f aca="false">IF(购销流水!$D411="","",IFERROR(INDEX(记账规则!$A$6:$N$9,MATCH(购销流水!$D411,记账规则!$A$6:$A$9,0),6),""))</f>
        <v/>
      </c>
      <c r="M1627" s="66" t="str">
        <f aca="false">IF($L1627="","",IFERROR(INDEX(记账规则!$A$6:$N$9,MATCH(购销流水!$D411,记账规则!$A$6:$A$9,0),7),""))</f>
        <v/>
      </c>
      <c r="N1627" s="66" t="str">
        <f aca="false">IF($L1627="","",IFERROR(INDEX(记账规则!$A$6:$N$9,MATCH(购销流水!$D411,记账规则!$A$6:$A$9,0),8),""))</f>
        <v/>
      </c>
      <c r="O1627" s="67" t="n">
        <f aca="false">IF($H1627="",0,ROUND(IF($N1627="成本金额",N(购销流水!$W411),IF($N1627="金额",N(购销流水!$Q411),0)),2))</f>
        <v>0</v>
      </c>
      <c r="P1627" s="64" t="str">
        <f aca="false">IF(AND($H1627&lt;&gt;"",ROUND($O1627,2)&lt;&gt;0),"有","")</f>
        <v/>
      </c>
    </row>
    <row r="1628" customFormat="false" ht="15" hidden="true" customHeight="false" outlineLevel="0" collapsed="false">
      <c r="A1628" s="53" t="str">
        <f aca="false">IF($H1628="","",ROW()-5)</f>
        <v/>
      </c>
      <c r="B1628" s="64" t="s">
        <v>36</v>
      </c>
      <c r="C1628" s="53" t="n">
        <v>411</v>
      </c>
      <c r="D1628" s="53" t="n">
        <v>3</v>
      </c>
      <c r="E1628" s="65" t="str">
        <f aca="false">IF($H1628="","",购销流水!$B411)</f>
        <v/>
      </c>
      <c r="F1628" s="55" t="str">
        <f aca="false">IF($H1628="","",购销流水!$C411)</f>
        <v/>
      </c>
      <c r="G1628" s="48" t="str">
        <f aca="false">IF($H1628="","",购销流水!$N411)</f>
        <v/>
      </c>
      <c r="H1628" s="10" t="str">
        <f aca="false">IF($L1628="","",IF($L1628="@成本",购销流水!$U411,IF($L1628="@收入",购销流水!$T411,IF($L1628="@存货",购销流水!$S411,IF($L1628="@结算",购销流水!$R411,$L1628)))))</f>
        <v/>
      </c>
      <c r="I1628" s="42" t="n">
        <f aca="false">IF($M1628="借",$O1628,0)</f>
        <v>0</v>
      </c>
      <c r="J1628" s="42" t="n">
        <f aca="false">IF($M1628="贷",$O1628,0)</f>
        <v>0</v>
      </c>
      <c r="K1628" s="48" t="str">
        <f aca="false">IF($H1628="","",购销流水!$E411)</f>
        <v/>
      </c>
      <c r="L1628" s="66" t="str">
        <f aca="false">IF(购销流水!$D411="","",IFERROR(INDEX(记账规则!$A$6:$N$9,MATCH(购销流水!$D411,记账规则!$A$6:$A$9,0),9),""))</f>
        <v/>
      </c>
      <c r="M1628" s="66" t="str">
        <f aca="false">IF($L1628="","",IFERROR(INDEX(记账规则!$A$6:$N$9,MATCH(购销流水!$D411,记账规则!$A$6:$A$9,0),10),""))</f>
        <v/>
      </c>
      <c r="N1628" s="66" t="str">
        <f aca="false">IF($L1628="","",IFERROR(INDEX(记账规则!$A$6:$N$9,MATCH(购销流水!$D411,记账规则!$A$6:$A$9,0),11),""))</f>
        <v/>
      </c>
      <c r="O1628" s="67" t="n">
        <f aca="false">IF($H1628="",0,ROUND(IF($N1628="成本金额",N(购销流水!$W411),IF($N1628="金额",N(购销流水!$Q411),0)),2))</f>
        <v>0</v>
      </c>
      <c r="P1628" s="64" t="str">
        <f aca="false">IF(AND($H1628&lt;&gt;"",ROUND($O1628,2)&lt;&gt;0),"有","")</f>
        <v/>
      </c>
    </row>
    <row r="1629" customFormat="false" ht="15" hidden="true" customHeight="false" outlineLevel="0" collapsed="false">
      <c r="A1629" s="53" t="str">
        <f aca="false">IF($H1629="","",ROW()-5)</f>
        <v/>
      </c>
      <c r="B1629" s="64" t="s">
        <v>36</v>
      </c>
      <c r="C1629" s="53" t="n">
        <v>411</v>
      </c>
      <c r="D1629" s="53" t="n">
        <v>4</v>
      </c>
      <c r="E1629" s="65" t="str">
        <f aca="false">IF($H1629="","",购销流水!$B411)</f>
        <v/>
      </c>
      <c r="F1629" s="55" t="str">
        <f aca="false">IF($H1629="","",购销流水!$C411)</f>
        <v/>
      </c>
      <c r="G1629" s="48" t="str">
        <f aca="false">IF($H1629="","",购销流水!$N411)</f>
        <v/>
      </c>
      <c r="H1629" s="10" t="str">
        <f aca="false">IF($L1629="","",IF($L1629="@成本",购销流水!$U411,IF($L1629="@收入",购销流水!$T411,IF($L1629="@存货",购销流水!$S411,IF($L1629="@结算",购销流水!$R411,$L1629)))))</f>
        <v/>
      </c>
      <c r="I1629" s="42" t="n">
        <f aca="false">IF($M1629="借",$O1629,0)</f>
        <v>0</v>
      </c>
      <c r="J1629" s="42" t="n">
        <f aca="false">IF($M1629="贷",$O1629,0)</f>
        <v>0</v>
      </c>
      <c r="K1629" s="48" t="str">
        <f aca="false">IF($H1629="","",购销流水!$E411)</f>
        <v/>
      </c>
      <c r="L1629" s="66" t="str">
        <f aca="false">IF(购销流水!$D411="","",IFERROR(INDEX(记账规则!$A$6:$N$9,MATCH(购销流水!$D411,记账规则!$A$6:$A$9,0),12),""))</f>
        <v/>
      </c>
      <c r="M1629" s="66" t="str">
        <f aca="false">IF($L1629="","",IFERROR(INDEX(记账规则!$A$6:$N$9,MATCH(购销流水!$D411,记账规则!$A$6:$A$9,0),13),""))</f>
        <v/>
      </c>
      <c r="N1629" s="66" t="str">
        <f aca="false">IF($L1629="","",IFERROR(INDEX(记账规则!$A$6:$N$9,MATCH(购销流水!$D411,记账规则!$A$6:$A$9,0),14),""))</f>
        <v/>
      </c>
      <c r="O1629" s="67" t="n">
        <f aca="false">IF($H1629="",0,ROUND(IF($N1629="成本金额",N(购销流水!$W411),IF($N1629="金额",N(购销流水!$Q411),0)),2))</f>
        <v>0</v>
      </c>
      <c r="P1629" s="64" t="str">
        <f aca="false">IF(AND($H1629&lt;&gt;"",ROUND($O1629,2)&lt;&gt;0),"有","")</f>
        <v/>
      </c>
    </row>
    <row r="1630" customFormat="false" ht="15" hidden="true" customHeight="false" outlineLevel="0" collapsed="false">
      <c r="A1630" s="53" t="str">
        <f aca="false">IF($H1630="","",ROW()-5)</f>
        <v/>
      </c>
      <c r="B1630" s="64" t="s">
        <v>36</v>
      </c>
      <c r="C1630" s="53" t="n">
        <v>412</v>
      </c>
      <c r="D1630" s="53" t="n">
        <v>1</v>
      </c>
      <c r="E1630" s="65" t="str">
        <f aca="false">IF($H1630="","",购销流水!$B412)</f>
        <v/>
      </c>
      <c r="F1630" s="55" t="str">
        <f aca="false">IF($H1630="","",购销流水!$C412)</f>
        <v/>
      </c>
      <c r="G1630" s="48" t="str">
        <f aca="false">IF($H1630="","",购销流水!$N412)</f>
        <v/>
      </c>
      <c r="H1630" s="10" t="str">
        <f aca="false">IF($L1630="","",IF($L1630="@成本",购销流水!$U412,IF($L1630="@收入",购销流水!$T412,IF($L1630="@存货",购销流水!$S412,IF($L1630="@结算",购销流水!$R412,$L1630)))))</f>
        <v/>
      </c>
      <c r="I1630" s="42" t="n">
        <f aca="false">IF($M1630="借",$O1630,0)</f>
        <v>0</v>
      </c>
      <c r="J1630" s="42" t="n">
        <f aca="false">IF($M1630="贷",$O1630,0)</f>
        <v>0</v>
      </c>
      <c r="K1630" s="48" t="str">
        <f aca="false">IF($H1630="","",购销流水!$E412)</f>
        <v/>
      </c>
      <c r="L1630" s="66" t="str">
        <f aca="false">IF(购销流水!$D412="","",IFERROR(INDEX(记账规则!$A$6:$N$9,MATCH(购销流水!$D412,记账规则!$A$6:$A$9,0),3),""))</f>
        <v/>
      </c>
      <c r="M1630" s="66" t="str">
        <f aca="false">IF($L1630="","",IFERROR(INDEX(记账规则!$A$6:$N$9,MATCH(购销流水!$D412,记账规则!$A$6:$A$9,0),4),""))</f>
        <v/>
      </c>
      <c r="N1630" s="66" t="str">
        <f aca="false">IF($L1630="","",IFERROR(INDEX(记账规则!$A$6:$N$9,MATCH(购销流水!$D412,记账规则!$A$6:$A$9,0),5),""))</f>
        <v/>
      </c>
      <c r="O1630" s="67" t="n">
        <f aca="false">IF($H1630="",0,ROUND(IF($N1630="成本金额",N(购销流水!$W412),IF($N1630="金额",N(购销流水!$Q412),0)),2))</f>
        <v>0</v>
      </c>
      <c r="P1630" s="64" t="str">
        <f aca="false">IF(AND($H1630&lt;&gt;"",ROUND($O1630,2)&lt;&gt;0),"有","")</f>
        <v/>
      </c>
    </row>
    <row r="1631" customFormat="false" ht="15" hidden="true" customHeight="false" outlineLevel="0" collapsed="false">
      <c r="A1631" s="53" t="str">
        <f aca="false">IF($H1631="","",ROW()-5)</f>
        <v/>
      </c>
      <c r="B1631" s="64" t="s">
        <v>36</v>
      </c>
      <c r="C1631" s="53" t="n">
        <v>412</v>
      </c>
      <c r="D1631" s="53" t="n">
        <v>2</v>
      </c>
      <c r="E1631" s="65" t="str">
        <f aca="false">IF($H1631="","",购销流水!$B412)</f>
        <v/>
      </c>
      <c r="F1631" s="55" t="str">
        <f aca="false">IF($H1631="","",购销流水!$C412)</f>
        <v/>
      </c>
      <c r="G1631" s="48" t="str">
        <f aca="false">IF($H1631="","",购销流水!$N412)</f>
        <v/>
      </c>
      <c r="H1631" s="10" t="str">
        <f aca="false">IF($L1631="","",IF($L1631="@成本",购销流水!$U412,IF($L1631="@收入",购销流水!$T412,IF($L1631="@存货",购销流水!$S412,IF($L1631="@结算",购销流水!$R412,$L1631)))))</f>
        <v/>
      </c>
      <c r="I1631" s="42" t="n">
        <f aca="false">IF($M1631="借",$O1631,0)</f>
        <v>0</v>
      </c>
      <c r="J1631" s="42" t="n">
        <f aca="false">IF($M1631="贷",$O1631,0)</f>
        <v>0</v>
      </c>
      <c r="K1631" s="48" t="str">
        <f aca="false">IF($H1631="","",购销流水!$E412)</f>
        <v/>
      </c>
      <c r="L1631" s="66" t="str">
        <f aca="false">IF(购销流水!$D412="","",IFERROR(INDEX(记账规则!$A$6:$N$9,MATCH(购销流水!$D412,记账规则!$A$6:$A$9,0),6),""))</f>
        <v/>
      </c>
      <c r="M1631" s="66" t="str">
        <f aca="false">IF($L1631="","",IFERROR(INDEX(记账规则!$A$6:$N$9,MATCH(购销流水!$D412,记账规则!$A$6:$A$9,0),7),""))</f>
        <v/>
      </c>
      <c r="N1631" s="66" t="str">
        <f aca="false">IF($L1631="","",IFERROR(INDEX(记账规则!$A$6:$N$9,MATCH(购销流水!$D412,记账规则!$A$6:$A$9,0),8),""))</f>
        <v/>
      </c>
      <c r="O1631" s="67" t="n">
        <f aca="false">IF($H1631="",0,ROUND(IF($N1631="成本金额",N(购销流水!$W412),IF($N1631="金额",N(购销流水!$Q412),0)),2))</f>
        <v>0</v>
      </c>
      <c r="P1631" s="64" t="str">
        <f aca="false">IF(AND($H1631&lt;&gt;"",ROUND($O1631,2)&lt;&gt;0),"有","")</f>
        <v/>
      </c>
    </row>
    <row r="1632" customFormat="false" ht="15" hidden="true" customHeight="false" outlineLevel="0" collapsed="false">
      <c r="A1632" s="53" t="str">
        <f aca="false">IF($H1632="","",ROW()-5)</f>
        <v/>
      </c>
      <c r="B1632" s="64" t="s">
        <v>36</v>
      </c>
      <c r="C1632" s="53" t="n">
        <v>412</v>
      </c>
      <c r="D1632" s="53" t="n">
        <v>3</v>
      </c>
      <c r="E1632" s="65" t="str">
        <f aca="false">IF($H1632="","",购销流水!$B412)</f>
        <v/>
      </c>
      <c r="F1632" s="55" t="str">
        <f aca="false">IF($H1632="","",购销流水!$C412)</f>
        <v/>
      </c>
      <c r="G1632" s="48" t="str">
        <f aca="false">IF($H1632="","",购销流水!$N412)</f>
        <v/>
      </c>
      <c r="H1632" s="10" t="str">
        <f aca="false">IF($L1632="","",IF($L1632="@成本",购销流水!$U412,IF($L1632="@收入",购销流水!$T412,IF($L1632="@存货",购销流水!$S412,IF($L1632="@结算",购销流水!$R412,$L1632)))))</f>
        <v/>
      </c>
      <c r="I1632" s="42" t="n">
        <f aca="false">IF($M1632="借",$O1632,0)</f>
        <v>0</v>
      </c>
      <c r="J1632" s="42" t="n">
        <f aca="false">IF($M1632="贷",$O1632,0)</f>
        <v>0</v>
      </c>
      <c r="K1632" s="48" t="str">
        <f aca="false">IF($H1632="","",购销流水!$E412)</f>
        <v/>
      </c>
      <c r="L1632" s="66" t="str">
        <f aca="false">IF(购销流水!$D412="","",IFERROR(INDEX(记账规则!$A$6:$N$9,MATCH(购销流水!$D412,记账规则!$A$6:$A$9,0),9),""))</f>
        <v/>
      </c>
      <c r="M1632" s="66" t="str">
        <f aca="false">IF($L1632="","",IFERROR(INDEX(记账规则!$A$6:$N$9,MATCH(购销流水!$D412,记账规则!$A$6:$A$9,0),10),""))</f>
        <v/>
      </c>
      <c r="N1632" s="66" t="str">
        <f aca="false">IF($L1632="","",IFERROR(INDEX(记账规则!$A$6:$N$9,MATCH(购销流水!$D412,记账规则!$A$6:$A$9,0),11),""))</f>
        <v/>
      </c>
      <c r="O1632" s="67" t="n">
        <f aca="false">IF($H1632="",0,ROUND(IF($N1632="成本金额",N(购销流水!$W412),IF($N1632="金额",N(购销流水!$Q412),0)),2))</f>
        <v>0</v>
      </c>
      <c r="P1632" s="64" t="str">
        <f aca="false">IF(AND($H1632&lt;&gt;"",ROUND($O1632,2)&lt;&gt;0),"有","")</f>
        <v/>
      </c>
    </row>
    <row r="1633" customFormat="false" ht="15" hidden="true" customHeight="false" outlineLevel="0" collapsed="false">
      <c r="A1633" s="53" t="str">
        <f aca="false">IF($H1633="","",ROW()-5)</f>
        <v/>
      </c>
      <c r="B1633" s="64" t="s">
        <v>36</v>
      </c>
      <c r="C1633" s="53" t="n">
        <v>412</v>
      </c>
      <c r="D1633" s="53" t="n">
        <v>4</v>
      </c>
      <c r="E1633" s="65" t="str">
        <f aca="false">IF($H1633="","",购销流水!$B412)</f>
        <v/>
      </c>
      <c r="F1633" s="55" t="str">
        <f aca="false">IF($H1633="","",购销流水!$C412)</f>
        <v/>
      </c>
      <c r="G1633" s="48" t="str">
        <f aca="false">IF($H1633="","",购销流水!$N412)</f>
        <v/>
      </c>
      <c r="H1633" s="10" t="str">
        <f aca="false">IF($L1633="","",IF($L1633="@成本",购销流水!$U412,IF($L1633="@收入",购销流水!$T412,IF($L1633="@存货",购销流水!$S412,IF($L1633="@结算",购销流水!$R412,$L1633)))))</f>
        <v/>
      </c>
      <c r="I1633" s="42" t="n">
        <f aca="false">IF($M1633="借",$O1633,0)</f>
        <v>0</v>
      </c>
      <c r="J1633" s="42" t="n">
        <f aca="false">IF($M1633="贷",$O1633,0)</f>
        <v>0</v>
      </c>
      <c r="K1633" s="48" t="str">
        <f aca="false">IF($H1633="","",购销流水!$E412)</f>
        <v/>
      </c>
      <c r="L1633" s="66" t="str">
        <f aca="false">IF(购销流水!$D412="","",IFERROR(INDEX(记账规则!$A$6:$N$9,MATCH(购销流水!$D412,记账规则!$A$6:$A$9,0),12),""))</f>
        <v/>
      </c>
      <c r="M1633" s="66" t="str">
        <f aca="false">IF($L1633="","",IFERROR(INDEX(记账规则!$A$6:$N$9,MATCH(购销流水!$D412,记账规则!$A$6:$A$9,0),13),""))</f>
        <v/>
      </c>
      <c r="N1633" s="66" t="str">
        <f aca="false">IF($L1633="","",IFERROR(INDEX(记账规则!$A$6:$N$9,MATCH(购销流水!$D412,记账规则!$A$6:$A$9,0),14),""))</f>
        <v/>
      </c>
      <c r="O1633" s="67" t="n">
        <f aca="false">IF($H1633="",0,ROUND(IF($N1633="成本金额",N(购销流水!$W412),IF($N1633="金额",N(购销流水!$Q412),0)),2))</f>
        <v>0</v>
      </c>
      <c r="P1633" s="64" t="str">
        <f aca="false">IF(AND($H1633&lt;&gt;"",ROUND($O1633,2)&lt;&gt;0),"有","")</f>
        <v/>
      </c>
    </row>
    <row r="1634" customFormat="false" ht="15" hidden="true" customHeight="false" outlineLevel="0" collapsed="false">
      <c r="A1634" s="53" t="str">
        <f aca="false">IF($H1634="","",ROW()-5)</f>
        <v/>
      </c>
      <c r="B1634" s="64" t="s">
        <v>36</v>
      </c>
      <c r="C1634" s="53" t="n">
        <v>413</v>
      </c>
      <c r="D1634" s="53" t="n">
        <v>1</v>
      </c>
      <c r="E1634" s="65" t="str">
        <f aca="false">IF($H1634="","",购销流水!$B413)</f>
        <v/>
      </c>
      <c r="F1634" s="55" t="str">
        <f aca="false">IF($H1634="","",购销流水!$C413)</f>
        <v/>
      </c>
      <c r="G1634" s="48" t="str">
        <f aca="false">IF($H1634="","",购销流水!$N413)</f>
        <v/>
      </c>
      <c r="H1634" s="10" t="str">
        <f aca="false">IF($L1634="","",IF($L1634="@成本",购销流水!$U413,IF($L1634="@收入",购销流水!$T413,IF($L1634="@存货",购销流水!$S413,IF($L1634="@结算",购销流水!$R413,$L1634)))))</f>
        <v/>
      </c>
      <c r="I1634" s="42" t="n">
        <f aca="false">IF($M1634="借",$O1634,0)</f>
        <v>0</v>
      </c>
      <c r="J1634" s="42" t="n">
        <f aca="false">IF($M1634="贷",$O1634,0)</f>
        <v>0</v>
      </c>
      <c r="K1634" s="48" t="str">
        <f aca="false">IF($H1634="","",购销流水!$E413)</f>
        <v/>
      </c>
      <c r="L1634" s="66" t="str">
        <f aca="false">IF(购销流水!$D413="","",IFERROR(INDEX(记账规则!$A$6:$N$9,MATCH(购销流水!$D413,记账规则!$A$6:$A$9,0),3),""))</f>
        <v/>
      </c>
      <c r="M1634" s="66" t="str">
        <f aca="false">IF($L1634="","",IFERROR(INDEX(记账规则!$A$6:$N$9,MATCH(购销流水!$D413,记账规则!$A$6:$A$9,0),4),""))</f>
        <v/>
      </c>
      <c r="N1634" s="66" t="str">
        <f aca="false">IF($L1634="","",IFERROR(INDEX(记账规则!$A$6:$N$9,MATCH(购销流水!$D413,记账规则!$A$6:$A$9,0),5),""))</f>
        <v/>
      </c>
      <c r="O1634" s="67" t="n">
        <f aca="false">IF($H1634="",0,ROUND(IF($N1634="成本金额",N(购销流水!$W413),IF($N1634="金额",N(购销流水!$Q413),0)),2))</f>
        <v>0</v>
      </c>
      <c r="P1634" s="64" t="str">
        <f aca="false">IF(AND($H1634&lt;&gt;"",ROUND($O1634,2)&lt;&gt;0),"有","")</f>
        <v/>
      </c>
    </row>
    <row r="1635" customFormat="false" ht="15" hidden="true" customHeight="false" outlineLevel="0" collapsed="false">
      <c r="A1635" s="53" t="str">
        <f aca="false">IF($H1635="","",ROW()-5)</f>
        <v/>
      </c>
      <c r="B1635" s="64" t="s">
        <v>36</v>
      </c>
      <c r="C1635" s="53" t="n">
        <v>413</v>
      </c>
      <c r="D1635" s="53" t="n">
        <v>2</v>
      </c>
      <c r="E1635" s="65" t="str">
        <f aca="false">IF($H1635="","",购销流水!$B413)</f>
        <v/>
      </c>
      <c r="F1635" s="55" t="str">
        <f aca="false">IF($H1635="","",购销流水!$C413)</f>
        <v/>
      </c>
      <c r="G1635" s="48" t="str">
        <f aca="false">IF($H1635="","",购销流水!$N413)</f>
        <v/>
      </c>
      <c r="H1635" s="10" t="str">
        <f aca="false">IF($L1635="","",IF($L1635="@成本",购销流水!$U413,IF($L1635="@收入",购销流水!$T413,IF($L1635="@存货",购销流水!$S413,IF($L1635="@结算",购销流水!$R413,$L1635)))))</f>
        <v/>
      </c>
      <c r="I1635" s="42" t="n">
        <f aca="false">IF($M1635="借",$O1635,0)</f>
        <v>0</v>
      </c>
      <c r="J1635" s="42" t="n">
        <f aca="false">IF($M1635="贷",$O1635,0)</f>
        <v>0</v>
      </c>
      <c r="K1635" s="48" t="str">
        <f aca="false">IF($H1635="","",购销流水!$E413)</f>
        <v/>
      </c>
      <c r="L1635" s="66" t="str">
        <f aca="false">IF(购销流水!$D413="","",IFERROR(INDEX(记账规则!$A$6:$N$9,MATCH(购销流水!$D413,记账规则!$A$6:$A$9,0),6),""))</f>
        <v/>
      </c>
      <c r="M1635" s="66" t="str">
        <f aca="false">IF($L1635="","",IFERROR(INDEX(记账规则!$A$6:$N$9,MATCH(购销流水!$D413,记账规则!$A$6:$A$9,0),7),""))</f>
        <v/>
      </c>
      <c r="N1635" s="66" t="str">
        <f aca="false">IF($L1635="","",IFERROR(INDEX(记账规则!$A$6:$N$9,MATCH(购销流水!$D413,记账规则!$A$6:$A$9,0),8),""))</f>
        <v/>
      </c>
      <c r="O1635" s="67" t="n">
        <f aca="false">IF($H1635="",0,ROUND(IF($N1635="成本金额",N(购销流水!$W413),IF($N1635="金额",N(购销流水!$Q413),0)),2))</f>
        <v>0</v>
      </c>
      <c r="P1635" s="64" t="str">
        <f aca="false">IF(AND($H1635&lt;&gt;"",ROUND($O1635,2)&lt;&gt;0),"有","")</f>
        <v/>
      </c>
    </row>
    <row r="1636" customFormat="false" ht="15" hidden="true" customHeight="false" outlineLevel="0" collapsed="false">
      <c r="A1636" s="53" t="str">
        <f aca="false">IF($H1636="","",ROW()-5)</f>
        <v/>
      </c>
      <c r="B1636" s="64" t="s">
        <v>36</v>
      </c>
      <c r="C1636" s="53" t="n">
        <v>413</v>
      </c>
      <c r="D1636" s="53" t="n">
        <v>3</v>
      </c>
      <c r="E1636" s="65" t="str">
        <f aca="false">IF($H1636="","",购销流水!$B413)</f>
        <v/>
      </c>
      <c r="F1636" s="55" t="str">
        <f aca="false">IF($H1636="","",购销流水!$C413)</f>
        <v/>
      </c>
      <c r="G1636" s="48" t="str">
        <f aca="false">IF($H1636="","",购销流水!$N413)</f>
        <v/>
      </c>
      <c r="H1636" s="10" t="str">
        <f aca="false">IF($L1636="","",IF($L1636="@成本",购销流水!$U413,IF($L1636="@收入",购销流水!$T413,IF($L1636="@存货",购销流水!$S413,IF($L1636="@结算",购销流水!$R413,$L1636)))))</f>
        <v/>
      </c>
      <c r="I1636" s="42" t="n">
        <f aca="false">IF($M1636="借",$O1636,0)</f>
        <v>0</v>
      </c>
      <c r="J1636" s="42" t="n">
        <f aca="false">IF($M1636="贷",$O1636,0)</f>
        <v>0</v>
      </c>
      <c r="K1636" s="48" t="str">
        <f aca="false">IF($H1636="","",购销流水!$E413)</f>
        <v/>
      </c>
      <c r="L1636" s="66" t="str">
        <f aca="false">IF(购销流水!$D413="","",IFERROR(INDEX(记账规则!$A$6:$N$9,MATCH(购销流水!$D413,记账规则!$A$6:$A$9,0),9),""))</f>
        <v/>
      </c>
      <c r="M1636" s="66" t="str">
        <f aca="false">IF($L1636="","",IFERROR(INDEX(记账规则!$A$6:$N$9,MATCH(购销流水!$D413,记账规则!$A$6:$A$9,0),10),""))</f>
        <v/>
      </c>
      <c r="N1636" s="66" t="str">
        <f aca="false">IF($L1636="","",IFERROR(INDEX(记账规则!$A$6:$N$9,MATCH(购销流水!$D413,记账规则!$A$6:$A$9,0),11),""))</f>
        <v/>
      </c>
      <c r="O1636" s="67" t="n">
        <f aca="false">IF($H1636="",0,ROUND(IF($N1636="成本金额",N(购销流水!$W413),IF($N1636="金额",N(购销流水!$Q413),0)),2))</f>
        <v>0</v>
      </c>
      <c r="P1636" s="64" t="str">
        <f aca="false">IF(AND($H1636&lt;&gt;"",ROUND($O1636,2)&lt;&gt;0),"有","")</f>
        <v/>
      </c>
    </row>
    <row r="1637" customFormat="false" ht="15" hidden="true" customHeight="false" outlineLevel="0" collapsed="false">
      <c r="A1637" s="53" t="str">
        <f aca="false">IF($H1637="","",ROW()-5)</f>
        <v/>
      </c>
      <c r="B1637" s="64" t="s">
        <v>36</v>
      </c>
      <c r="C1637" s="53" t="n">
        <v>413</v>
      </c>
      <c r="D1637" s="53" t="n">
        <v>4</v>
      </c>
      <c r="E1637" s="65" t="str">
        <f aca="false">IF($H1637="","",购销流水!$B413)</f>
        <v/>
      </c>
      <c r="F1637" s="55" t="str">
        <f aca="false">IF($H1637="","",购销流水!$C413)</f>
        <v/>
      </c>
      <c r="G1637" s="48" t="str">
        <f aca="false">IF($H1637="","",购销流水!$N413)</f>
        <v/>
      </c>
      <c r="H1637" s="10" t="str">
        <f aca="false">IF($L1637="","",IF($L1637="@成本",购销流水!$U413,IF($L1637="@收入",购销流水!$T413,IF($L1637="@存货",购销流水!$S413,IF($L1637="@结算",购销流水!$R413,$L1637)))))</f>
        <v/>
      </c>
      <c r="I1637" s="42" t="n">
        <f aca="false">IF($M1637="借",$O1637,0)</f>
        <v>0</v>
      </c>
      <c r="J1637" s="42" t="n">
        <f aca="false">IF($M1637="贷",$O1637,0)</f>
        <v>0</v>
      </c>
      <c r="K1637" s="48" t="str">
        <f aca="false">IF($H1637="","",购销流水!$E413)</f>
        <v/>
      </c>
      <c r="L1637" s="66" t="str">
        <f aca="false">IF(购销流水!$D413="","",IFERROR(INDEX(记账规则!$A$6:$N$9,MATCH(购销流水!$D413,记账规则!$A$6:$A$9,0),12),""))</f>
        <v/>
      </c>
      <c r="M1637" s="66" t="str">
        <f aca="false">IF($L1637="","",IFERROR(INDEX(记账规则!$A$6:$N$9,MATCH(购销流水!$D413,记账规则!$A$6:$A$9,0),13),""))</f>
        <v/>
      </c>
      <c r="N1637" s="66" t="str">
        <f aca="false">IF($L1637="","",IFERROR(INDEX(记账规则!$A$6:$N$9,MATCH(购销流水!$D413,记账规则!$A$6:$A$9,0),14),""))</f>
        <v/>
      </c>
      <c r="O1637" s="67" t="n">
        <f aca="false">IF($H1637="",0,ROUND(IF($N1637="成本金额",N(购销流水!$W413),IF($N1637="金额",N(购销流水!$Q413),0)),2))</f>
        <v>0</v>
      </c>
      <c r="P1637" s="64" t="str">
        <f aca="false">IF(AND($H1637&lt;&gt;"",ROUND($O1637,2)&lt;&gt;0),"有","")</f>
        <v/>
      </c>
    </row>
    <row r="1638" customFormat="false" ht="15" hidden="true" customHeight="false" outlineLevel="0" collapsed="false">
      <c r="A1638" s="53" t="str">
        <f aca="false">IF($H1638="","",ROW()-5)</f>
        <v/>
      </c>
      <c r="B1638" s="64" t="s">
        <v>36</v>
      </c>
      <c r="C1638" s="53" t="n">
        <v>414</v>
      </c>
      <c r="D1638" s="53" t="n">
        <v>1</v>
      </c>
      <c r="E1638" s="65" t="str">
        <f aca="false">IF($H1638="","",购销流水!$B414)</f>
        <v/>
      </c>
      <c r="F1638" s="55" t="str">
        <f aca="false">IF($H1638="","",购销流水!$C414)</f>
        <v/>
      </c>
      <c r="G1638" s="48" t="str">
        <f aca="false">IF($H1638="","",购销流水!$N414)</f>
        <v/>
      </c>
      <c r="H1638" s="10" t="str">
        <f aca="false">IF($L1638="","",IF($L1638="@成本",购销流水!$U414,IF($L1638="@收入",购销流水!$T414,IF($L1638="@存货",购销流水!$S414,IF($L1638="@结算",购销流水!$R414,$L1638)))))</f>
        <v/>
      </c>
      <c r="I1638" s="42" t="n">
        <f aca="false">IF($M1638="借",$O1638,0)</f>
        <v>0</v>
      </c>
      <c r="J1638" s="42" t="n">
        <f aca="false">IF($M1638="贷",$O1638,0)</f>
        <v>0</v>
      </c>
      <c r="K1638" s="48" t="str">
        <f aca="false">IF($H1638="","",购销流水!$E414)</f>
        <v/>
      </c>
      <c r="L1638" s="66" t="str">
        <f aca="false">IF(购销流水!$D414="","",IFERROR(INDEX(记账规则!$A$6:$N$9,MATCH(购销流水!$D414,记账规则!$A$6:$A$9,0),3),""))</f>
        <v/>
      </c>
      <c r="M1638" s="66" t="str">
        <f aca="false">IF($L1638="","",IFERROR(INDEX(记账规则!$A$6:$N$9,MATCH(购销流水!$D414,记账规则!$A$6:$A$9,0),4),""))</f>
        <v/>
      </c>
      <c r="N1638" s="66" t="str">
        <f aca="false">IF($L1638="","",IFERROR(INDEX(记账规则!$A$6:$N$9,MATCH(购销流水!$D414,记账规则!$A$6:$A$9,0),5),""))</f>
        <v/>
      </c>
      <c r="O1638" s="67" t="n">
        <f aca="false">IF($H1638="",0,ROUND(IF($N1638="成本金额",N(购销流水!$W414),IF($N1638="金额",N(购销流水!$Q414),0)),2))</f>
        <v>0</v>
      </c>
      <c r="P1638" s="64" t="str">
        <f aca="false">IF(AND($H1638&lt;&gt;"",ROUND($O1638,2)&lt;&gt;0),"有","")</f>
        <v/>
      </c>
    </row>
    <row r="1639" customFormat="false" ht="15" hidden="true" customHeight="false" outlineLevel="0" collapsed="false">
      <c r="A1639" s="53" t="str">
        <f aca="false">IF($H1639="","",ROW()-5)</f>
        <v/>
      </c>
      <c r="B1639" s="64" t="s">
        <v>36</v>
      </c>
      <c r="C1639" s="53" t="n">
        <v>414</v>
      </c>
      <c r="D1639" s="53" t="n">
        <v>2</v>
      </c>
      <c r="E1639" s="65" t="str">
        <f aca="false">IF($H1639="","",购销流水!$B414)</f>
        <v/>
      </c>
      <c r="F1639" s="55" t="str">
        <f aca="false">IF($H1639="","",购销流水!$C414)</f>
        <v/>
      </c>
      <c r="G1639" s="48" t="str">
        <f aca="false">IF($H1639="","",购销流水!$N414)</f>
        <v/>
      </c>
      <c r="H1639" s="10" t="str">
        <f aca="false">IF($L1639="","",IF($L1639="@成本",购销流水!$U414,IF($L1639="@收入",购销流水!$T414,IF($L1639="@存货",购销流水!$S414,IF($L1639="@结算",购销流水!$R414,$L1639)))))</f>
        <v/>
      </c>
      <c r="I1639" s="42" t="n">
        <f aca="false">IF($M1639="借",$O1639,0)</f>
        <v>0</v>
      </c>
      <c r="J1639" s="42" t="n">
        <f aca="false">IF($M1639="贷",$O1639,0)</f>
        <v>0</v>
      </c>
      <c r="K1639" s="48" t="str">
        <f aca="false">IF($H1639="","",购销流水!$E414)</f>
        <v/>
      </c>
      <c r="L1639" s="66" t="str">
        <f aca="false">IF(购销流水!$D414="","",IFERROR(INDEX(记账规则!$A$6:$N$9,MATCH(购销流水!$D414,记账规则!$A$6:$A$9,0),6),""))</f>
        <v/>
      </c>
      <c r="M1639" s="66" t="str">
        <f aca="false">IF($L1639="","",IFERROR(INDEX(记账规则!$A$6:$N$9,MATCH(购销流水!$D414,记账规则!$A$6:$A$9,0),7),""))</f>
        <v/>
      </c>
      <c r="N1639" s="66" t="str">
        <f aca="false">IF($L1639="","",IFERROR(INDEX(记账规则!$A$6:$N$9,MATCH(购销流水!$D414,记账规则!$A$6:$A$9,0),8),""))</f>
        <v/>
      </c>
      <c r="O1639" s="67" t="n">
        <f aca="false">IF($H1639="",0,ROUND(IF($N1639="成本金额",N(购销流水!$W414),IF($N1639="金额",N(购销流水!$Q414),0)),2))</f>
        <v>0</v>
      </c>
      <c r="P1639" s="64" t="str">
        <f aca="false">IF(AND($H1639&lt;&gt;"",ROUND($O1639,2)&lt;&gt;0),"有","")</f>
        <v/>
      </c>
    </row>
    <row r="1640" customFormat="false" ht="15" hidden="true" customHeight="false" outlineLevel="0" collapsed="false">
      <c r="A1640" s="53" t="str">
        <f aca="false">IF($H1640="","",ROW()-5)</f>
        <v/>
      </c>
      <c r="B1640" s="64" t="s">
        <v>36</v>
      </c>
      <c r="C1640" s="53" t="n">
        <v>414</v>
      </c>
      <c r="D1640" s="53" t="n">
        <v>3</v>
      </c>
      <c r="E1640" s="65" t="str">
        <f aca="false">IF($H1640="","",购销流水!$B414)</f>
        <v/>
      </c>
      <c r="F1640" s="55" t="str">
        <f aca="false">IF($H1640="","",购销流水!$C414)</f>
        <v/>
      </c>
      <c r="G1640" s="48" t="str">
        <f aca="false">IF($H1640="","",购销流水!$N414)</f>
        <v/>
      </c>
      <c r="H1640" s="10" t="str">
        <f aca="false">IF($L1640="","",IF($L1640="@成本",购销流水!$U414,IF($L1640="@收入",购销流水!$T414,IF($L1640="@存货",购销流水!$S414,IF($L1640="@结算",购销流水!$R414,$L1640)))))</f>
        <v/>
      </c>
      <c r="I1640" s="42" t="n">
        <f aca="false">IF($M1640="借",$O1640,0)</f>
        <v>0</v>
      </c>
      <c r="J1640" s="42" t="n">
        <f aca="false">IF($M1640="贷",$O1640,0)</f>
        <v>0</v>
      </c>
      <c r="K1640" s="48" t="str">
        <f aca="false">IF($H1640="","",购销流水!$E414)</f>
        <v/>
      </c>
      <c r="L1640" s="66" t="str">
        <f aca="false">IF(购销流水!$D414="","",IFERROR(INDEX(记账规则!$A$6:$N$9,MATCH(购销流水!$D414,记账规则!$A$6:$A$9,0),9),""))</f>
        <v/>
      </c>
      <c r="M1640" s="66" t="str">
        <f aca="false">IF($L1640="","",IFERROR(INDEX(记账规则!$A$6:$N$9,MATCH(购销流水!$D414,记账规则!$A$6:$A$9,0),10),""))</f>
        <v/>
      </c>
      <c r="N1640" s="66" t="str">
        <f aca="false">IF($L1640="","",IFERROR(INDEX(记账规则!$A$6:$N$9,MATCH(购销流水!$D414,记账规则!$A$6:$A$9,0),11),""))</f>
        <v/>
      </c>
      <c r="O1640" s="67" t="n">
        <f aca="false">IF($H1640="",0,ROUND(IF($N1640="成本金额",N(购销流水!$W414),IF($N1640="金额",N(购销流水!$Q414),0)),2))</f>
        <v>0</v>
      </c>
      <c r="P1640" s="64" t="str">
        <f aca="false">IF(AND($H1640&lt;&gt;"",ROUND($O1640,2)&lt;&gt;0),"有","")</f>
        <v/>
      </c>
    </row>
    <row r="1641" customFormat="false" ht="15" hidden="true" customHeight="false" outlineLevel="0" collapsed="false">
      <c r="A1641" s="53" t="str">
        <f aca="false">IF($H1641="","",ROW()-5)</f>
        <v/>
      </c>
      <c r="B1641" s="64" t="s">
        <v>36</v>
      </c>
      <c r="C1641" s="53" t="n">
        <v>414</v>
      </c>
      <c r="D1641" s="53" t="n">
        <v>4</v>
      </c>
      <c r="E1641" s="65" t="str">
        <f aca="false">IF($H1641="","",购销流水!$B414)</f>
        <v/>
      </c>
      <c r="F1641" s="55" t="str">
        <f aca="false">IF($H1641="","",购销流水!$C414)</f>
        <v/>
      </c>
      <c r="G1641" s="48" t="str">
        <f aca="false">IF($H1641="","",购销流水!$N414)</f>
        <v/>
      </c>
      <c r="H1641" s="10" t="str">
        <f aca="false">IF($L1641="","",IF($L1641="@成本",购销流水!$U414,IF($L1641="@收入",购销流水!$T414,IF($L1641="@存货",购销流水!$S414,IF($L1641="@结算",购销流水!$R414,$L1641)))))</f>
        <v/>
      </c>
      <c r="I1641" s="42" t="n">
        <f aca="false">IF($M1641="借",$O1641,0)</f>
        <v>0</v>
      </c>
      <c r="J1641" s="42" t="n">
        <f aca="false">IF($M1641="贷",$O1641,0)</f>
        <v>0</v>
      </c>
      <c r="K1641" s="48" t="str">
        <f aca="false">IF($H1641="","",购销流水!$E414)</f>
        <v/>
      </c>
      <c r="L1641" s="66" t="str">
        <f aca="false">IF(购销流水!$D414="","",IFERROR(INDEX(记账规则!$A$6:$N$9,MATCH(购销流水!$D414,记账规则!$A$6:$A$9,0),12),""))</f>
        <v/>
      </c>
      <c r="M1641" s="66" t="str">
        <f aca="false">IF($L1641="","",IFERROR(INDEX(记账规则!$A$6:$N$9,MATCH(购销流水!$D414,记账规则!$A$6:$A$9,0),13),""))</f>
        <v/>
      </c>
      <c r="N1641" s="66" t="str">
        <f aca="false">IF($L1641="","",IFERROR(INDEX(记账规则!$A$6:$N$9,MATCH(购销流水!$D414,记账规则!$A$6:$A$9,0),14),""))</f>
        <v/>
      </c>
      <c r="O1641" s="67" t="n">
        <f aca="false">IF($H1641="",0,ROUND(IF($N1641="成本金额",N(购销流水!$W414),IF($N1641="金额",N(购销流水!$Q414),0)),2))</f>
        <v>0</v>
      </c>
      <c r="P1641" s="64" t="str">
        <f aca="false">IF(AND($H1641&lt;&gt;"",ROUND($O1641,2)&lt;&gt;0),"有","")</f>
        <v/>
      </c>
    </row>
    <row r="1642" customFormat="false" ht="15" hidden="true" customHeight="false" outlineLevel="0" collapsed="false">
      <c r="A1642" s="53" t="str">
        <f aca="false">IF($H1642="","",ROW()-5)</f>
        <v/>
      </c>
      <c r="B1642" s="64" t="s">
        <v>36</v>
      </c>
      <c r="C1642" s="53" t="n">
        <v>415</v>
      </c>
      <c r="D1642" s="53" t="n">
        <v>1</v>
      </c>
      <c r="E1642" s="65" t="str">
        <f aca="false">IF($H1642="","",购销流水!$B415)</f>
        <v/>
      </c>
      <c r="F1642" s="55" t="str">
        <f aca="false">IF($H1642="","",购销流水!$C415)</f>
        <v/>
      </c>
      <c r="G1642" s="48" t="str">
        <f aca="false">IF($H1642="","",购销流水!$N415)</f>
        <v/>
      </c>
      <c r="H1642" s="10" t="str">
        <f aca="false">IF($L1642="","",IF($L1642="@成本",购销流水!$U415,IF($L1642="@收入",购销流水!$T415,IF($L1642="@存货",购销流水!$S415,IF($L1642="@结算",购销流水!$R415,$L1642)))))</f>
        <v/>
      </c>
      <c r="I1642" s="42" t="n">
        <f aca="false">IF($M1642="借",$O1642,0)</f>
        <v>0</v>
      </c>
      <c r="J1642" s="42" t="n">
        <f aca="false">IF($M1642="贷",$O1642,0)</f>
        <v>0</v>
      </c>
      <c r="K1642" s="48" t="str">
        <f aca="false">IF($H1642="","",购销流水!$E415)</f>
        <v/>
      </c>
      <c r="L1642" s="66" t="str">
        <f aca="false">IF(购销流水!$D415="","",IFERROR(INDEX(记账规则!$A$6:$N$9,MATCH(购销流水!$D415,记账规则!$A$6:$A$9,0),3),""))</f>
        <v/>
      </c>
      <c r="M1642" s="66" t="str">
        <f aca="false">IF($L1642="","",IFERROR(INDEX(记账规则!$A$6:$N$9,MATCH(购销流水!$D415,记账规则!$A$6:$A$9,0),4),""))</f>
        <v/>
      </c>
      <c r="N1642" s="66" t="str">
        <f aca="false">IF($L1642="","",IFERROR(INDEX(记账规则!$A$6:$N$9,MATCH(购销流水!$D415,记账规则!$A$6:$A$9,0),5),""))</f>
        <v/>
      </c>
      <c r="O1642" s="67" t="n">
        <f aca="false">IF($H1642="",0,ROUND(IF($N1642="成本金额",N(购销流水!$W415),IF($N1642="金额",N(购销流水!$Q415),0)),2))</f>
        <v>0</v>
      </c>
      <c r="P1642" s="64" t="str">
        <f aca="false">IF(AND($H1642&lt;&gt;"",ROUND($O1642,2)&lt;&gt;0),"有","")</f>
        <v/>
      </c>
    </row>
    <row r="1643" customFormat="false" ht="15" hidden="true" customHeight="false" outlineLevel="0" collapsed="false">
      <c r="A1643" s="53" t="str">
        <f aca="false">IF($H1643="","",ROW()-5)</f>
        <v/>
      </c>
      <c r="B1643" s="64" t="s">
        <v>36</v>
      </c>
      <c r="C1643" s="53" t="n">
        <v>415</v>
      </c>
      <c r="D1643" s="53" t="n">
        <v>2</v>
      </c>
      <c r="E1643" s="65" t="str">
        <f aca="false">IF($H1643="","",购销流水!$B415)</f>
        <v/>
      </c>
      <c r="F1643" s="55" t="str">
        <f aca="false">IF($H1643="","",购销流水!$C415)</f>
        <v/>
      </c>
      <c r="G1643" s="48" t="str">
        <f aca="false">IF($H1643="","",购销流水!$N415)</f>
        <v/>
      </c>
      <c r="H1643" s="10" t="str">
        <f aca="false">IF($L1643="","",IF($L1643="@成本",购销流水!$U415,IF($L1643="@收入",购销流水!$T415,IF($L1643="@存货",购销流水!$S415,IF($L1643="@结算",购销流水!$R415,$L1643)))))</f>
        <v/>
      </c>
      <c r="I1643" s="42" t="n">
        <f aca="false">IF($M1643="借",$O1643,0)</f>
        <v>0</v>
      </c>
      <c r="J1643" s="42" t="n">
        <f aca="false">IF($M1643="贷",$O1643,0)</f>
        <v>0</v>
      </c>
      <c r="K1643" s="48" t="str">
        <f aca="false">IF($H1643="","",购销流水!$E415)</f>
        <v/>
      </c>
      <c r="L1643" s="66" t="str">
        <f aca="false">IF(购销流水!$D415="","",IFERROR(INDEX(记账规则!$A$6:$N$9,MATCH(购销流水!$D415,记账规则!$A$6:$A$9,0),6),""))</f>
        <v/>
      </c>
      <c r="M1643" s="66" t="str">
        <f aca="false">IF($L1643="","",IFERROR(INDEX(记账规则!$A$6:$N$9,MATCH(购销流水!$D415,记账规则!$A$6:$A$9,0),7),""))</f>
        <v/>
      </c>
      <c r="N1643" s="66" t="str">
        <f aca="false">IF($L1643="","",IFERROR(INDEX(记账规则!$A$6:$N$9,MATCH(购销流水!$D415,记账规则!$A$6:$A$9,0),8),""))</f>
        <v/>
      </c>
      <c r="O1643" s="67" t="n">
        <f aca="false">IF($H1643="",0,ROUND(IF($N1643="成本金额",N(购销流水!$W415),IF($N1643="金额",N(购销流水!$Q415),0)),2))</f>
        <v>0</v>
      </c>
      <c r="P1643" s="64" t="str">
        <f aca="false">IF(AND($H1643&lt;&gt;"",ROUND($O1643,2)&lt;&gt;0),"有","")</f>
        <v/>
      </c>
    </row>
    <row r="1644" customFormat="false" ht="15" hidden="true" customHeight="false" outlineLevel="0" collapsed="false">
      <c r="A1644" s="53" t="str">
        <f aca="false">IF($H1644="","",ROW()-5)</f>
        <v/>
      </c>
      <c r="B1644" s="64" t="s">
        <v>36</v>
      </c>
      <c r="C1644" s="53" t="n">
        <v>415</v>
      </c>
      <c r="D1644" s="53" t="n">
        <v>3</v>
      </c>
      <c r="E1644" s="65" t="str">
        <f aca="false">IF($H1644="","",购销流水!$B415)</f>
        <v/>
      </c>
      <c r="F1644" s="55" t="str">
        <f aca="false">IF($H1644="","",购销流水!$C415)</f>
        <v/>
      </c>
      <c r="G1644" s="48" t="str">
        <f aca="false">IF($H1644="","",购销流水!$N415)</f>
        <v/>
      </c>
      <c r="H1644" s="10" t="str">
        <f aca="false">IF($L1644="","",IF($L1644="@成本",购销流水!$U415,IF($L1644="@收入",购销流水!$T415,IF($L1644="@存货",购销流水!$S415,IF($L1644="@结算",购销流水!$R415,$L1644)))))</f>
        <v/>
      </c>
      <c r="I1644" s="42" t="n">
        <f aca="false">IF($M1644="借",$O1644,0)</f>
        <v>0</v>
      </c>
      <c r="J1644" s="42" t="n">
        <f aca="false">IF($M1644="贷",$O1644,0)</f>
        <v>0</v>
      </c>
      <c r="K1644" s="48" t="str">
        <f aca="false">IF($H1644="","",购销流水!$E415)</f>
        <v/>
      </c>
      <c r="L1644" s="66" t="str">
        <f aca="false">IF(购销流水!$D415="","",IFERROR(INDEX(记账规则!$A$6:$N$9,MATCH(购销流水!$D415,记账规则!$A$6:$A$9,0),9),""))</f>
        <v/>
      </c>
      <c r="M1644" s="66" t="str">
        <f aca="false">IF($L1644="","",IFERROR(INDEX(记账规则!$A$6:$N$9,MATCH(购销流水!$D415,记账规则!$A$6:$A$9,0),10),""))</f>
        <v/>
      </c>
      <c r="N1644" s="66" t="str">
        <f aca="false">IF($L1644="","",IFERROR(INDEX(记账规则!$A$6:$N$9,MATCH(购销流水!$D415,记账规则!$A$6:$A$9,0),11),""))</f>
        <v/>
      </c>
      <c r="O1644" s="67" t="n">
        <f aca="false">IF($H1644="",0,ROUND(IF($N1644="成本金额",N(购销流水!$W415),IF($N1644="金额",N(购销流水!$Q415),0)),2))</f>
        <v>0</v>
      </c>
      <c r="P1644" s="64" t="str">
        <f aca="false">IF(AND($H1644&lt;&gt;"",ROUND($O1644,2)&lt;&gt;0),"有","")</f>
        <v/>
      </c>
    </row>
    <row r="1645" customFormat="false" ht="15" hidden="true" customHeight="false" outlineLevel="0" collapsed="false">
      <c r="A1645" s="53" t="str">
        <f aca="false">IF($H1645="","",ROW()-5)</f>
        <v/>
      </c>
      <c r="B1645" s="64" t="s">
        <v>36</v>
      </c>
      <c r="C1645" s="53" t="n">
        <v>415</v>
      </c>
      <c r="D1645" s="53" t="n">
        <v>4</v>
      </c>
      <c r="E1645" s="65" t="str">
        <f aca="false">IF($H1645="","",购销流水!$B415)</f>
        <v/>
      </c>
      <c r="F1645" s="55" t="str">
        <f aca="false">IF($H1645="","",购销流水!$C415)</f>
        <v/>
      </c>
      <c r="G1645" s="48" t="str">
        <f aca="false">IF($H1645="","",购销流水!$N415)</f>
        <v/>
      </c>
      <c r="H1645" s="10" t="str">
        <f aca="false">IF($L1645="","",IF($L1645="@成本",购销流水!$U415,IF($L1645="@收入",购销流水!$T415,IF($L1645="@存货",购销流水!$S415,IF($L1645="@结算",购销流水!$R415,$L1645)))))</f>
        <v/>
      </c>
      <c r="I1645" s="42" t="n">
        <f aca="false">IF($M1645="借",$O1645,0)</f>
        <v>0</v>
      </c>
      <c r="J1645" s="42" t="n">
        <f aca="false">IF($M1645="贷",$O1645,0)</f>
        <v>0</v>
      </c>
      <c r="K1645" s="48" t="str">
        <f aca="false">IF($H1645="","",购销流水!$E415)</f>
        <v/>
      </c>
      <c r="L1645" s="66" t="str">
        <f aca="false">IF(购销流水!$D415="","",IFERROR(INDEX(记账规则!$A$6:$N$9,MATCH(购销流水!$D415,记账规则!$A$6:$A$9,0),12),""))</f>
        <v/>
      </c>
      <c r="M1645" s="66" t="str">
        <f aca="false">IF($L1645="","",IFERROR(INDEX(记账规则!$A$6:$N$9,MATCH(购销流水!$D415,记账规则!$A$6:$A$9,0),13),""))</f>
        <v/>
      </c>
      <c r="N1645" s="66" t="str">
        <f aca="false">IF($L1645="","",IFERROR(INDEX(记账规则!$A$6:$N$9,MATCH(购销流水!$D415,记账规则!$A$6:$A$9,0),14),""))</f>
        <v/>
      </c>
      <c r="O1645" s="67" t="n">
        <f aca="false">IF($H1645="",0,ROUND(IF($N1645="成本金额",N(购销流水!$W415),IF($N1645="金额",N(购销流水!$Q415),0)),2))</f>
        <v>0</v>
      </c>
      <c r="P1645" s="64" t="str">
        <f aca="false">IF(AND($H1645&lt;&gt;"",ROUND($O1645,2)&lt;&gt;0),"有","")</f>
        <v/>
      </c>
    </row>
    <row r="1646" customFormat="false" ht="15" hidden="true" customHeight="false" outlineLevel="0" collapsed="false">
      <c r="A1646" s="53" t="str">
        <f aca="false">IF($H1646="","",ROW()-5)</f>
        <v/>
      </c>
      <c r="B1646" s="64" t="s">
        <v>36</v>
      </c>
      <c r="C1646" s="53" t="n">
        <v>416</v>
      </c>
      <c r="D1646" s="53" t="n">
        <v>1</v>
      </c>
      <c r="E1646" s="65" t="str">
        <f aca="false">IF($H1646="","",购销流水!$B416)</f>
        <v/>
      </c>
      <c r="F1646" s="55" t="str">
        <f aca="false">IF($H1646="","",购销流水!$C416)</f>
        <v/>
      </c>
      <c r="G1646" s="48" t="str">
        <f aca="false">IF($H1646="","",购销流水!$N416)</f>
        <v/>
      </c>
      <c r="H1646" s="10" t="str">
        <f aca="false">IF($L1646="","",IF($L1646="@成本",购销流水!$U416,IF($L1646="@收入",购销流水!$T416,IF($L1646="@存货",购销流水!$S416,IF($L1646="@结算",购销流水!$R416,$L1646)))))</f>
        <v/>
      </c>
      <c r="I1646" s="42" t="n">
        <f aca="false">IF($M1646="借",$O1646,0)</f>
        <v>0</v>
      </c>
      <c r="J1646" s="42" t="n">
        <f aca="false">IF($M1646="贷",$O1646,0)</f>
        <v>0</v>
      </c>
      <c r="K1646" s="48" t="str">
        <f aca="false">IF($H1646="","",购销流水!$E416)</f>
        <v/>
      </c>
      <c r="L1646" s="66" t="str">
        <f aca="false">IF(购销流水!$D416="","",IFERROR(INDEX(记账规则!$A$6:$N$9,MATCH(购销流水!$D416,记账规则!$A$6:$A$9,0),3),""))</f>
        <v/>
      </c>
      <c r="M1646" s="66" t="str">
        <f aca="false">IF($L1646="","",IFERROR(INDEX(记账规则!$A$6:$N$9,MATCH(购销流水!$D416,记账规则!$A$6:$A$9,0),4),""))</f>
        <v/>
      </c>
      <c r="N1646" s="66" t="str">
        <f aca="false">IF($L1646="","",IFERROR(INDEX(记账规则!$A$6:$N$9,MATCH(购销流水!$D416,记账规则!$A$6:$A$9,0),5),""))</f>
        <v/>
      </c>
      <c r="O1646" s="67" t="n">
        <f aca="false">IF($H1646="",0,ROUND(IF($N1646="成本金额",N(购销流水!$W416),IF($N1646="金额",N(购销流水!$Q416),0)),2))</f>
        <v>0</v>
      </c>
      <c r="P1646" s="64" t="str">
        <f aca="false">IF(AND($H1646&lt;&gt;"",ROUND($O1646,2)&lt;&gt;0),"有","")</f>
        <v/>
      </c>
    </row>
    <row r="1647" customFormat="false" ht="15" hidden="true" customHeight="false" outlineLevel="0" collapsed="false">
      <c r="A1647" s="53" t="str">
        <f aca="false">IF($H1647="","",ROW()-5)</f>
        <v/>
      </c>
      <c r="B1647" s="64" t="s">
        <v>36</v>
      </c>
      <c r="C1647" s="53" t="n">
        <v>416</v>
      </c>
      <c r="D1647" s="53" t="n">
        <v>2</v>
      </c>
      <c r="E1647" s="65" t="str">
        <f aca="false">IF($H1647="","",购销流水!$B416)</f>
        <v/>
      </c>
      <c r="F1647" s="55" t="str">
        <f aca="false">IF($H1647="","",购销流水!$C416)</f>
        <v/>
      </c>
      <c r="G1647" s="48" t="str">
        <f aca="false">IF($H1647="","",购销流水!$N416)</f>
        <v/>
      </c>
      <c r="H1647" s="10" t="str">
        <f aca="false">IF($L1647="","",IF($L1647="@成本",购销流水!$U416,IF($L1647="@收入",购销流水!$T416,IF($L1647="@存货",购销流水!$S416,IF($L1647="@结算",购销流水!$R416,$L1647)))))</f>
        <v/>
      </c>
      <c r="I1647" s="42" t="n">
        <f aca="false">IF($M1647="借",$O1647,0)</f>
        <v>0</v>
      </c>
      <c r="J1647" s="42" t="n">
        <f aca="false">IF($M1647="贷",$O1647,0)</f>
        <v>0</v>
      </c>
      <c r="K1647" s="48" t="str">
        <f aca="false">IF($H1647="","",购销流水!$E416)</f>
        <v/>
      </c>
      <c r="L1647" s="66" t="str">
        <f aca="false">IF(购销流水!$D416="","",IFERROR(INDEX(记账规则!$A$6:$N$9,MATCH(购销流水!$D416,记账规则!$A$6:$A$9,0),6),""))</f>
        <v/>
      </c>
      <c r="M1647" s="66" t="str">
        <f aca="false">IF($L1647="","",IFERROR(INDEX(记账规则!$A$6:$N$9,MATCH(购销流水!$D416,记账规则!$A$6:$A$9,0),7),""))</f>
        <v/>
      </c>
      <c r="N1647" s="66" t="str">
        <f aca="false">IF($L1647="","",IFERROR(INDEX(记账规则!$A$6:$N$9,MATCH(购销流水!$D416,记账规则!$A$6:$A$9,0),8),""))</f>
        <v/>
      </c>
      <c r="O1647" s="67" t="n">
        <f aca="false">IF($H1647="",0,ROUND(IF($N1647="成本金额",N(购销流水!$W416),IF($N1647="金额",N(购销流水!$Q416),0)),2))</f>
        <v>0</v>
      </c>
      <c r="P1647" s="64" t="str">
        <f aca="false">IF(AND($H1647&lt;&gt;"",ROUND($O1647,2)&lt;&gt;0),"有","")</f>
        <v/>
      </c>
    </row>
    <row r="1648" customFormat="false" ht="15" hidden="true" customHeight="false" outlineLevel="0" collapsed="false">
      <c r="A1648" s="53" t="str">
        <f aca="false">IF($H1648="","",ROW()-5)</f>
        <v/>
      </c>
      <c r="B1648" s="64" t="s">
        <v>36</v>
      </c>
      <c r="C1648" s="53" t="n">
        <v>416</v>
      </c>
      <c r="D1648" s="53" t="n">
        <v>3</v>
      </c>
      <c r="E1648" s="65" t="str">
        <f aca="false">IF($H1648="","",购销流水!$B416)</f>
        <v/>
      </c>
      <c r="F1648" s="55" t="str">
        <f aca="false">IF($H1648="","",购销流水!$C416)</f>
        <v/>
      </c>
      <c r="G1648" s="48" t="str">
        <f aca="false">IF($H1648="","",购销流水!$N416)</f>
        <v/>
      </c>
      <c r="H1648" s="10" t="str">
        <f aca="false">IF($L1648="","",IF($L1648="@成本",购销流水!$U416,IF($L1648="@收入",购销流水!$T416,IF($L1648="@存货",购销流水!$S416,IF($L1648="@结算",购销流水!$R416,$L1648)))))</f>
        <v/>
      </c>
      <c r="I1648" s="42" t="n">
        <f aca="false">IF($M1648="借",$O1648,0)</f>
        <v>0</v>
      </c>
      <c r="J1648" s="42" t="n">
        <f aca="false">IF($M1648="贷",$O1648,0)</f>
        <v>0</v>
      </c>
      <c r="K1648" s="48" t="str">
        <f aca="false">IF($H1648="","",购销流水!$E416)</f>
        <v/>
      </c>
      <c r="L1648" s="66" t="str">
        <f aca="false">IF(购销流水!$D416="","",IFERROR(INDEX(记账规则!$A$6:$N$9,MATCH(购销流水!$D416,记账规则!$A$6:$A$9,0),9),""))</f>
        <v/>
      </c>
      <c r="M1648" s="66" t="str">
        <f aca="false">IF($L1648="","",IFERROR(INDEX(记账规则!$A$6:$N$9,MATCH(购销流水!$D416,记账规则!$A$6:$A$9,0),10),""))</f>
        <v/>
      </c>
      <c r="N1648" s="66" t="str">
        <f aca="false">IF($L1648="","",IFERROR(INDEX(记账规则!$A$6:$N$9,MATCH(购销流水!$D416,记账规则!$A$6:$A$9,0),11),""))</f>
        <v/>
      </c>
      <c r="O1648" s="67" t="n">
        <f aca="false">IF($H1648="",0,ROUND(IF($N1648="成本金额",N(购销流水!$W416),IF($N1648="金额",N(购销流水!$Q416),0)),2))</f>
        <v>0</v>
      </c>
      <c r="P1648" s="64" t="str">
        <f aca="false">IF(AND($H1648&lt;&gt;"",ROUND($O1648,2)&lt;&gt;0),"有","")</f>
        <v/>
      </c>
    </row>
    <row r="1649" customFormat="false" ht="15" hidden="true" customHeight="false" outlineLevel="0" collapsed="false">
      <c r="A1649" s="53" t="str">
        <f aca="false">IF($H1649="","",ROW()-5)</f>
        <v/>
      </c>
      <c r="B1649" s="64" t="s">
        <v>36</v>
      </c>
      <c r="C1649" s="53" t="n">
        <v>416</v>
      </c>
      <c r="D1649" s="53" t="n">
        <v>4</v>
      </c>
      <c r="E1649" s="65" t="str">
        <f aca="false">IF($H1649="","",购销流水!$B416)</f>
        <v/>
      </c>
      <c r="F1649" s="55" t="str">
        <f aca="false">IF($H1649="","",购销流水!$C416)</f>
        <v/>
      </c>
      <c r="G1649" s="48" t="str">
        <f aca="false">IF($H1649="","",购销流水!$N416)</f>
        <v/>
      </c>
      <c r="H1649" s="10" t="str">
        <f aca="false">IF($L1649="","",IF($L1649="@成本",购销流水!$U416,IF($L1649="@收入",购销流水!$T416,IF($L1649="@存货",购销流水!$S416,IF($L1649="@结算",购销流水!$R416,$L1649)))))</f>
        <v/>
      </c>
      <c r="I1649" s="42" t="n">
        <f aca="false">IF($M1649="借",$O1649,0)</f>
        <v>0</v>
      </c>
      <c r="J1649" s="42" t="n">
        <f aca="false">IF($M1649="贷",$O1649,0)</f>
        <v>0</v>
      </c>
      <c r="K1649" s="48" t="str">
        <f aca="false">IF($H1649="","",购销流水!$E416)</f>
        <v/>
      </c>
      <c r="L1649" s="66" t="str">
        <f aca="false">IF(购销流水!$D416="","",IFERROR(INDEX(记账规则!$A$6:$N$9,MATCH(购销流水!$D416,记账规则!$A$6:$A$9,0),12),""))</f>
        <v/>
      </c>
      <c r="M1649" s="66" t="str">
        <f aca="false">IF($L1649="","",IFERROR(INDEX(记账规则!$A$6:$N$9,MATCH(购销流水!$D416,记账规则!$A$6:$A$9,0),13),""))</f>
        <v/>
      </c>
      <c r="N1649" s="66" t="str">
        <f aca="false">IF($L1649="","",IFERROR(INDEX(记账规则!$A$6:$N$9,MATCH(购销流水!$D416,记账规则!$A$6:$A$9,0),14),""))</f>
        <v/>
      </c>
      <c r="O1649" s="67" t="n">
        <f aca="false">IF($H1649="",0,ROUND(IF($N1649="成本金额",N(购销流水!$W416),IF($N1649="金额",N(购销流水!$Q416),0)),2))</f>
        <v>0</v>
      </c>
      <c r="P1649" s="64" t="str">
        <f aca="false">IF(AND($H1649&lt;&gt;"",ROUND($O1649,2)&lt;&gt;0),"有","")</f>
        <v/>
      </c>
    </row>
    <row r="1650" customFormat="false" ht="15" hidden="true" customHeight="false" outlineLevel="0" collapsed="false">
      <c r="A1650" s="53" t="str">
        <f aca="false">IF($H1650="","",ROW()-5)</f>
        <v/>
      </c>
      <c r="B1650" s="64" t="s">
        <v>36</v>
      </c>
      <c r="C1650" s="53" t="n">
        <v>417</v>
      </c>
      <c r="D1650" s="53" t="n">
        <v>1</v>
      </c>
      <c r="E1650" s="65" t="str">
        <f aca="false">IF($H1650="","",购销流水!$B417)</f>
        <v/>
      </c>
      <c r="F1650" s="55" t="str">
        <f aca="false">IF($H1650="","",购销流水!$C417)</f>
        <v/>
      </c>
      <c r="G1650" s="48" t="str">
        <f aca="false">IF($H1650="","",购销流水!$N417)</f>
        <v/>
      </c>
      <c r="H1650" s="10" t="str">
        <f aca="false">IF($L1650="","",IF($L1650="@成本",购销流水!$U417,IF($L1650="@收入",购销流水!$T417,IF($L1650="@存货",购销流水!$S417,IF($L1650="@结算",购销流水!$R417,$L1650)))))</f>
        <v/>
      </c>
      <c r="I1650" s="42" t="n">
        <f aca="false">IF($M1650="借",$O1650,0)</f>
        <v>0</v>
      </c>
      <c r="J1650" s="42" t="n">
        <f aca="false">IF($M1650="贷",$O1650,0)</f>
        <v>0</v>
      </c>
      <c r="K1650" s="48" t="str">
        <f aca="false">IF($H1650="","",购销流水!$E417)</f>
        <v/>
      </c>
      <c r="L1650" s="66" t="str">
        <f aca="false">IF(购销流水!$D417="","",IFERROR(INDEX(记账规则!$A$6:$N$9,MATCH(购销流水!$D417,记账规则!$A$6:$A$9,0),3),""))</f>
        <v/>
      </c>
      <c r="M1650" s="66" t="str">
        <f aca="false">IF($L1650="","",IFERROR(INDEX(记账规则!$A$6:$N$9,MATCH(购销流水!$D417,记账规则!$A$6:$A$9,0),4),""))</f>
        <v/>
      </c>
      <c r="N1650" s="66" t="str">
        <f aca="false">IF($L1650="","",IFERROR(INDEX(记账规则!$A$6:$N$9,MATCH(购销流水!$D417,记账规则!$A$6:$A$9,0),5),""))</f>
        <v/>
      </c>
      <c r="O1650" s="67" t="n">
        <f aca="false">IF($H1650="",0,ROUND(IF($N1650="成本金额",N(购销流水!$W417),IF($N1650="金额",N(购销流水!$Q417),0)),2))</f>
        <v>0</v>
      </c>
      <c r="P1650" s="64" t="str">
        <f aca="false">IF(AND($H1650&lt;&gt;"",ROUND($O1650,2)&lt;&gt;0),"有","")</f>
        <v/>
      </c>
    </row>
    <row r="1651" customFormat="false" ht="15" hidden="true" customHeight="false" outlineLevel="0" collapsed="false">
      <c r="A1651" s="53" t="str">
        <f aca="false">IF($H1651="","",ROW()-5)</f>
        <v/>
      </c>
      <c r="B1651" s="64" t="s">
        <v>36</v>
      </c>
      <c r="C1651" s="53" t="n">
        <v>417</v>
      </c>
      <c r="D1651" s="53" t="n">
        <v>2</v>
      </c>
      <c r="E1651" s="65" t="str">
        <f aca="false">IF($H1651="","",购销流水!$B417)</f>
        <v/>
      </c>
      <c r="F1651" s="55" t="str">
        <f aca="false">IF($H1651="","",购销流水!$C417)</f>
        <v/>
      </c>
      <c r="G1651" s="48" t="str">
        <f aca="false">IF($H1651="","",购销流水!$N417)</f>
        <v/>
      </c>
      <c r="H1651" s="10" t="str">
        <f aca="false">IF($L1651="","",IF($L1651="@成本",购销流水!$U417,IF($L1651="@收入",购销流水!$T417,IF($L1651="@存货",购销流水!$S417,IF($L1651="@结算",购销流水!$R417,$L1651)))))</f>
        <v/>
      </c>
      <c r="I1651" s="42" t="n">
        <f aca="false">IF($M1651="借",$O1651,0)</f>
        <v>0</v>
      </c>
      <c r="J1651" s="42" t="n">
        <f aca="false">IF($M1651="贷",$O1651,0)</f>
        <v>0</v>
      </c>
      <c r="K1651" s="48" t="str">
        <f aca="false">IF($H1651="","",购销流水!$E417)</f>
        <v/>
      </c>
      <c r="L1651" s="66" t="str">
        <f aca="false">IF(购销流水!$D417="","",IFERROR(INDEX(记账规则!$A$6:$N$9,MATCH(购销流水!$D417,记账规则!$A$6:$A$9,0),6),""))</f>
        <v/>
      </c>
      <c r="M1651" s="66" t="str">
        <f aca="false">IF($L1651="","",IFERROR(INDEX(记账规则!$A$6:$N$9,MATCH(购销流水!$D417,记账规则!$A$6:$A$9,0),7),""))</f>
        <v/>
      </c>
      <c r="N1651" s="66" t="str">
        <f aca="false">IF($L1651="","",IFERROR(INDEX(记账规则!$A$6:$N$9,MATCH(购销流水!$D417,记账规则!$A$6:$A$9,0),8),""))</f>
        <v/>
      </c>
      <c r="O1651" s="67" t="n">
        <f aca="false">IF($H1651="",0,ROUND(IF($N1651="成本金额",N(购销流水!$W417),IF($N1651="金额",N(购销流水!$Q417),0)),2))</f>
        <v>0</v>
      </c>
      <c r="P1651" s="64" t="str">
        <f aca="false">IF(AND($H1651&lt;&gt;"",ROUND($O1651,2)&lt;&gt;0),"有","")</f>
        <v/>
      </c>
    </row>
    <row r="1652" customFormat="false" ht="15" hidden="true" customHeight="false" outlineLevel="0" collapsed="false">
      <c r="A1652" s="53" t="str">
        <f aca="false">IF($H1652="","",ROW()-5)</f>
        <v/>
      </c>
      <c r="B1652" s="64" t="s">
        <v>36</v>
      </c>
      <c r="C1652" s="53" t="n">
        <v>417</v>
      </c>
      <c r="D1652" s="53" t="n">
        <v>3</v>
      </c>
      <c r="E1652" s="65" t="str">
        <f aca="false">IF($H1652="","",购销流水!$B417)</f>
        <v/>
      </c>
      <c r="F1652" s="55" t="str">
        <f aca="false">IF($H1652="","",购销流水!$C417)</f>
        <v/>
      </c>
      <c r="G1652" s="48" t="str">
        <f aca="false">IF($H1652="","",购销流水!$N417)</f>
        <v/>
      </c>
      <c r="H1652" s="10" t="str">
        <f aca="false">IF($L1652="","",IF($L1652="@成本",购销流水!$U417,IF($L1652="@收入",购销流水!$T417,IF($L1652="@存货",购销流水!$S417,IF($L1652="@结算",购销流水!$R417,$L1652)))))</f>
        <v/>
      </c>
      <c r="I1652" s="42" t="n">
        <f aca="false">IF($M1652="借",$O1652,0)</f>
        <v>0</v>
      </c>
      <c r="J1652" s="42" t="n">
        <f aca="false">IF($M1652="贷",$O1652,0)</f>
        <v>0</v>
      </c>
      <c r="K1652" s="48" t="str">
        <f aca="false">IF($H1652="","",购销流水!$E417)</f>
        <v/>
      </c>
      <c r="L1652" s="66" t="str">
        <f aca="false">IF(购销流水!$D417="","",IFERROR(INDEX(记账规则!$A$6:$N$9,MATCH(购销流水!$D417,记账规则!$A$6:$A$9,0),9),""))</f>
        <v/>
      </c>
      <c r="M1652" s="66" t="str">
        <f aca="false">IF($L1652="","",IFERROR(INDEX(记账规则!$A$6:$N$9,MATCH(购销流水!$D417,记账规则!$A$6:$A$9,0),10),""))</f>
        <v/>
      </c>
      <c r="N1652" s="66" t="str">
        <f aca="false">IF($L1652="","",IFERROR(INDEX(记账规则!$A$6:$N$9,MATCH(购销流水!$D417,记账规则!$A$6:$A$9,0),11),""))</f>
        <v/>
      </c>
      <c r="O1652" s="67" t="n">
        <f aca="false">IF($H1652="",0,ROUND(IF($N1652="成本金额",N(购销流水!$W417),IF($N1652="金额",N(购销流水!$Q417),0)),2))</f>
        <v>0</v>
      </c>
      <c r="P1652" s="64" t="str">
        <f aca="false">IF(AND($H1652&lt;&gt;"",ROUND($O1652,2)&lt;&gt;0),"有","")</f>
        <v/>
      </c>
    </row>
    <row r="1653" customFormat="false" ht="15" hidden="true" customHeight="false" outlineLevel="0" collapsed="false">
      <c r="A1653" s="53" t="str">
        <f aca="false">IF($H1653="","",ROW()-5)</f>
        <v/>
      </c>
      <c r="B1653" s="64" t="s">
        <v>36</v>
      </c>
      <c r="C1653" s="53" t="n">
        <v>417</v>
      </c>
      <c r="D1653" s="53" t="n">
        <v>4</v>
      </c>
      <c r="E1653" s="65" t="str">
        <f aca="false">IF($H1653="","",购销流水!$B417)</f>
        <v/>
      </c>
      <c r="F1653" s="55" t="str">
        <f aca="false">IF($H1653="","",购销流水!$C417)</f>
        <v/>
      </c>
      <c r="G1653" s="48" t="str">
        <f aca="false">IF($H1653="","",购销流水!$N417)</f>
        <v/>
      </c>
      <c r="H1653" s="10" t="str">
        <f aca="false">IF($L1653="","",IF($L1653="@成本",购销流水!$U417,IF($L1653="@收入",购销流水!$T417,IF($L1653="@存货",购销流水!$S417,IF($L1653="@结算",购销流水!$R417,$L1653)))))</f>
        <v/>
      </c>
      <c r="I1653" s="42" t="n">
        <f aca="false">IF($M1653="借",$O1653,0)</f>
        <v>0</v>
      </c>
      <c r="J1653" s="42" t="n">
        <f aca="false">IF($M1653="贷",$O1653,0)</f>
        <v>0</v>
      </c>
      <c r="K1653" s="48" t="str">
        <f aca="false">IF($H1653="","",购销流水!$E417)</f>
        <v/>
      </c>
      <c r="L1653" s="66" t="str">
        <f aca="false">IF(购销流水!$D417="","",IFERROR(INDEX(记账规则!$A$6:$N$9,MATCH(购销流水!$D417,记账规则!$A$6:$A$9,0),12),""))</f>
        <v/>
      </c>
      <c r="M1653" s="66" t="str">
        <f aca="false">IF($L1653="","",IFERROR(INDEX(记账规则!$A$6:$N$9,MATCH(购销流水!$D417,记账规则!$A$6:$A$9,0),13),""))</f>
        <v/>
      </c>
      <c r="N1653" s="66" t="str">
        <f aca="false">IF($L1653="","",IFERROR(INDEX(记账规则!$A$6:$N$9,MATCH(购销流水!$D417,记账规则!$A$6:$A$9,0),14),""))</f>
        <v/>
      </c>
      <c r="O1653" s="67" t="n">
        <f aca="false">IF($H1653="",0,ROUND(IF($N1653="成本金额",N(购销流水!$W417),IF($N1653="金额",N(购销流水!$Q417),0)),2))</f>
        <v>0</v>
      </c>
      <c r="P1653" s="64" t="str">
        <f aca="false">IF(AND($H1653&lt;&gt;"",ROUND($O1653,2)&lt;&gt;0),"有","")</f>
        <v/>
      </c>
    </row>
    <row r="1654" customFormat="false" ht="15" hidden="true" customHeight="false" outlineLevel="0" collapsed="false">
      <c r="A1654" s="53" t="str">
        <f aca="false">IF($H1654="","",ROW()-5)</f>
        <v/>
      </c>
      <c r="B1654" s="64" t="s">
        <v>36</v>
      </c>
      <c r="C1654" s="53" t="n">
        <v>418</v>
      </c>
      <c r="D1654" s="53" t="n">
        <v>1</v>
      </c>
      <c r="E1654" s="65" t="str">
        <f aca="false">IF($H1654="","",购销流水!$B418)</f>
        <v/>
      </c>
      <c r="F1654" s="55" t="str">
        <f aca="false">IF($H1654="","",购销流水!$C418)</f>
        <v/>
      </c>
      <c r="G1654" s="48" t="str">
        <f aca="false">IF($H1654="","",购销流水!$N418)</f>
        <v/>
      </c>
      <c r="H1654" s="10" t="str">
        <f aca="false">IF($L1654="","",IF($L1654="@成本",购销流水!$U418,IF($L1654="@收入",购销流水!$T418,IF($L1654="@存货",购销流水!$S418,IF($L1654="@结算",购销流水!$R418,$L1654)))))</f>
        <v/>
      </c>
      <c r="I1654" s="42" t="n">
        <f aca="false">IF($M1654="借",$O1654,0)</f>
        <v>0</v>
      </c>
      <c r="J1654" s="42" t="n">
        <f aca="false">IF($M1654="贷",$O1654,0)</f>
        <v>0</v>
      </c>
      <c r="K1654" s="48" t="str">
        <f aca="false">IF($H1654="","",购销流水!$E418)</f>
        <v/>
      </c>
      <c r="L1654" s="66" t="str">
        <f aca="false">IF(购销流水!$D418="","",IFERROR(INDEX(记账规则!$A$6:$N$9,MATCH(购销流水!$D418,记账规则!$A$6:$A$9,0),3),""))</f>
        <v/>
      </c>
      <c r="M1654" s="66" t="str">
        <f aca="false">IF($L1654="","",IFERROR(INDEX(记账规则!$A$6:$N$9,MATCH(购销流水!$D418,记账规则!$A$6:$A$9,0),4),""))</f>
        <v/>
      </c>
      <c r="N1654" s="66" t="str">
        <f aca="false">IF($L1654="","",IFERROR(INDEX(记账规则!$A$6:$N$9,MATCH(购销流水!$D418,记账规则!$A$6:$A$9,0),5),""))</f>
        <v/>
      </c>
      <c r="O1654" s="67" t="n">
        <f aca="false">IF($H1654="",0,ROUND(IF($N1654="成本金额",N(购销流水!$W418),IF($N1654="金额",N(购销流水!$Q418),0)),2))</f>
        <v>0</v>
      </c>
      <c r="P1654" s="64" t="str">
        <f aca="false">IF(AND($H1654&lt;&gt;"",ROUND($O1654,2)&lt;&gt;0),"有","")</f>
        <v/>
      </c>
    </row>
    <row r="1655" customFormat="false" ht="15" hidden="true" customHeight="false" outlineLevel="0" collapsed="false">
      <c r="A1655" s="53" t="str">
        <f aca="false">IF($H1655="","",ROW()-5)</f>
        <v/>
      </c>
      <c r="B1655" s="64" t="s">
        <v>36</v>
      </c>
      <c r="C1655" s="53" t="n">
        <v>418</v>
      </c>
      <c r="D1655" s="53" t="n">
        <v>2</v>
      </c>
      <c r="E1655" s="65" t="str">
        <f aca="false">IF($H1655="","",购销流水!$B418)</f>
        <v/>
      </c>
      <c r="F1655" s="55" t="str">
        <f aca="false">IF($H1655="","",购销流水!$C418)</f>
        <v/>
      </c>
      <c r="G1655" s="48" t="str">
        <f aca="false">IF($H1655="","",购销流水!$N418)</f>
        <v/>
      </c>
      <c r="H1655" s="10" t="str">
        <f aca="false">IF($L1655="","",IF($L1655="@成本",购销流水!$U418,IF($L1655="@收入",购销流水!$T418,IF($L1655="@存货",购销流水!$S418,IF($L1655="@结算",购销流水!$R418,$L1655)))))</f>
        <v/>
      </c>
      <c r="I1655" s="42" t="n">
        <f aca="false">IF($M1655="借",$O1655,0)</f>
        <v>0</v>
      </c>
      <c r="J1655" s="42" t="n">
        <f aca="false">IF($M1655="贷",$O1655,0)</f>
        <v>0</v>
      </c>
      <c r="K1655" s="48" t="str">
        <f aca="false">IF($H1655="","",购销流水!$E418)</f>
        <v/>
      </c>
      <c r="L1655" s="66" t="str">
        <f aca="false">IF(购销流水!$D418="","",IFERROR(INDEX(记账规则!$A$6:$N$9,MATCH(购销流水!$D418,记账规则!$A$6:$A$9,0),6),""))</f>
        <v/>
      </c>
      <c r="M1655" s="66" t="str">
        <f aca="false">IF($L1655="","",IFERROR(INDEX(记账规则!$A$6:$N$9,MATCH(购销流水!$D418,记账规则!$A$6:$A$9,0),7),""))</f>
        <v/>
      </c>
      <c r="N1655" s="66" t="str">
        <f aca="false">IF($L1655="","",IFERROR(INDEX(记账规则!$A$6:$N$9,MATCH(购销流水!$D418,记账规则!$A$6:$A$9,0),8),""))</f>
        <v/>
      </c>
      <c r="O1655" s="67" t="n">
        <f aca="false">IF($H1655="",0,ROUND(IF($N1655="成本金额",N(购销流水!$W418),IF($N1655="金额",N(购销流水!$Q418),0)),2))</f>
        <v>0</v>
      </c>
      <c r="P1655" s="64" t="str">
        <f aca="false">IF(AND($H1655&lt;&gt;"",ROUND($O1655,2)&lt;&gt;0),"有","")</f>
        <v/>
      </c>
    </row>
    <row r="1656" customFormat="false" ht="15" hidden="true" customHeight="false" outlineLevel="0" collapsed="false">
      <c r="A1656" s="53" t="str">
        <f aca="false">IF($H1656="","",ROW()-5)</f>
        <v/>
      </c>
      <c r="B1656" s="64" t="s">
        <v>36</v>
      </c>
      <c r="C1656" s="53" t="n">
        <v>418</v>
      </c>
      <c r="D1656" s="53" t="n">
        <v>3</v>
      </c>
      <c r="E1656" s="65" t="str">
        <f aca="false">IF($H1656="","",购销流水!$B418)</f>
        <v/>
      </c>
      <c r="F1656" s="55" t="str">
        <f aca="false">IF($H1656="","",购销流水!$C418)</f>
        <v/>
      </c>
      <c r="G1656" s="48" t="str">
        <f aca="false">IF($H1656="","",购销流水!$N418)</f>
        <v/>
      </c>
      <c r="H1656" s="10" t="str">
        <f aca="false">IF($L1656="","",IF($L1656="@成本",购销流水!$U418,IF($L1656="@收入",购销流水!$T418,IF($L1656="@存货",购销流水!$S418,IF($L1656="@结算",购销流水!$R418,$L1656)))))</f>
        <v/>
      </c>
      <c r="I1656" s="42" t="n">
        <f aca="false">IF($M1656="借",$O1656,0)</f>
        <v>0</v>
      </c>
      <c r="J1656" s="42" t="n">
        <f aca="false">IF($M1656="贷",$O1656,0)</f>
        <v>0</v>
      </c>
      <c r="K1656" s="48" t="str">
        <f aca="false">IF($H1656="","",购销流水!$E418)</f>
        <v/>
      </c>
      <c r="L1656" s="66" t="str">
        <f aca="false">IF(购销流水!$D418="","",IFERROR(INDEX(记账规则!$A$6:$N$9,MATCH(购销流水!$D418,记账规则!$A$6:$A$9,0),9),""))</f>
        <v/>
      </c>
      <c r="M1656" s="66" t="str">
        <f aca="false">IF($L1656="","",IFERROR(INDEX(记账规则!$A$6:$N$9,MATCH(购销流水!$D418,记账规则!$A$6:$A$9,0),10),""))</f>
        <v/>
      </c>
      <c r="N1656" s="66" t="str">
        <f aca="false">IF($L1656="","",IFERROR(INDEX(记账规则!$A$6:$N$9,MATCH(购销流水!$D418,记账规则!$A$6:$A$9,0),11),""))</f>
        <v/>
      </c>
      <c r="O1656" s="67" t="n">
        <f aca="false">IF($H1656="",0,ROUND(IF($N1656="成本金额",N(购销流水!$W418),IF($N1656="金额",N(购销流水!$Q418),0)),2))</f>
        <v>0</v>
      </c>
      <c r="P1656" s="64" t="str">
        <f aca="false">IF(AND($H1656&lt;&gt;"",ROUND($O1656,2)&lt;&gt;0),"有","")</f>
        <v/>
      </c>
    </row>
    <row r="1657" customFormat="false" ht="15" hidden="true" customHeight="false" outlineLevel="0" collapsed="false">
      <c r="A1657" s="53" t="str">
        <f aca="false">IF($H1657="","",ROW()-5)</f>
        <v/>
      </c>
      <c r="B1657" s="64" t="s">
        <v>36</v>
      </c>
      <c r="C1657" s="53" t="n">
        <v>418</v>
      </c>
      <c r="D1657" s="53" t="n">
        <v>4</v>
      </c>
      <c r="E1657" s="65" t="str">
        <f aca="false">IF($H1657="","",购销流水!$B418)</f>
        <v/>
      </c>
      <c r="F1657" s="55" t="str">
        <f aca="false">IF($H1657="","",购销流水!$C418)</f>
        <v/>
      </c>
      <c r="G1657" s="48" t="str">
        <f aca="false">IF($H1657="","",购销流水!$N418)</f>
        <v/>
      </c>
      <c r="H1657" s="10" t="str">
        <f aca="false">IF($L1657="","",IF($L1657="@成本",购销流水!$U418,IF($L1657="@收入",购销流水!$T418,IF($L1657="@存货",购销流水!$S418,IF($L1657="@结算",购销流水!$R418,$L1657)))))</f>
        <v/>
      </c>
      <c r="I1657" s="42" t="n">
        <f aca="false">IF($M1657="借",$O1657,0)</f>
        <v>0</v>
      </c>
      <c r="J1657" s="42" t="n">
        <f aca="false">IF($M1657="贷",$O1657,0)</f>
        <v>0</v>
      </c>
      <c r="K1657" s="48" t="str">
        <f aca="false">IF($H1657="","",购销流水!$E418)</f>
        <v/>
      </c>
      <c r="L1657" s="66" t="str">
        <f aca="false">IF(购销流水!$D418="","",IFERROR(INDEX(记账规则!$A$6:$N$9,MATCH(购销流水!$D418,记账规则!$A$6:$A$9,0),12),""))</f>
        <v/>
      </c>
      <c r="M1657" s="66" t="str">
        <f aca="false">IF($L1657="","",IFERROR(INDEX(记账规则!$A$6:$N$9,MATCH(购销流水!$D418,记账规则!$A$6:$A$9,0),13),""))</f>
        <v/>
      </c>
      <c r="N1657" s="66" t="str">
        <f aca="false">IF($L1657="","",IFERROR(INDEX(记账规则!$A$6:$N$9,MATCH(购销流水!$D418,记账规则!$A$6:$A$9,0),14),""))</f>
        <v/>
      </c>
      <c r="O1657" s="67" t="n">
        <f aca="false">IF($H1657="",0,ROUND(IF($N1657="成本金额",N(购销流水!$W418),IF($N1657="金额",N(购销流水!$Q418),0)),2))</f>
        <v>0</v>
      </c>
      <c r="P1657" s="64" t="str">
        <f aca="false">IF(AND($H1657&lt;&gt;"",ROUND($O1657,2)&lt;&gt;0),"有","")</f>
        <v/>
      </c>
    </row>
    <row r="1658" customFormat="false" ht="15" hidden="true" customHeight="false" outlineLevel="0" collapsed="false">
      <c r="A1658" s="53" t="str">
        <f aca="false">IF($H1658="","",ROW()-5)</f>
        <v/>
      </c>
      <c r="B1658" s="64" t="s">
        <v>36</v>
      </c>
      <c r="C1658" s="53" t="n">
        <v>419</v>
      </c>
      <c r="D1658" s="53" t="n">
        <v>1</v>
      </c>
      <c r="E1658" s="65" t="str">
        <f aca="false">IF($H1658="","",购销流水!$B419)</f>
        <v/>
      </c>
      <c r="F1658" s="55" t="str">
        <f aca="false">IF($H1658="","",购销流水!$C419)</f>
        <v/>
      </c>
      <c r="G1658" s="48" t="str">
        <f aca="false">IF($H1658="","",购销流水!$N419)</f>
        <v/>
      </c>
      <c r="H1658" s="10" t="str">
        <f aca="false">IF($L1658="","",IF($L1658="@成本",购销流水!$U419,IF($L1658="@收入",购销流水!$T419,IF($L1658="@存货",购销流水!$S419,IF($L1658="@结算",购销流水!$R419,$L1658)))))</f>
        <v/>
      </c>
      <c r="I1658" s="42" t="n">
        <f aca="false">IF($M1658="借",$O1658,0)</f>
        <v>0</v>
      </c>
      <c r="J1658" s="42" t="n">
        <f aca="false">IF($M1658="贷",$O1658,0)</f>
        <v>0</v>
      </c>
      <c r="K1658" s="48" t="str">
        <f aca="false">IF($H1658="","",购销流水!$E419)</f>
        <v/>
      </c>
      <c r="L1658" s="66" t="str">
        <f aca="false">IF(购销流水!$D419="","",IFERROR(INDEX(记账规则!$A$6:$N$9,MATCH(购销流水!$D419,记账规则!$A$6:$A$9,0),3),""))</f>
        <v/>
      </c>
      <c r="M1658" s="66" t="str">
        <f aca="false">IF($L1658="","",IFERROR(INDEX(记账规则!$A$6:$N$9,MATCH(购销流水!$D419,记账规则!$A$6:$A$9,0),4),""))</f>
        <v/>
      </c>
      <c r="N1658" s="66" t="str">
        <f aca="false">IF($L1658="","",IFERROR(INDEX(记账规则!$A$6:$N$9,MATCH(购销流水!$D419,记账规则!$A$6:$A$9,0),5),""))</f>
        <v/>
      </c>
      <c r="O1658" s="67" t="n">
        <f aca="false">IF($H1658="",0,ROUND(IF($N1658="成本金额",N(购销流水!$W419),IF($N1658="金额",N(购销流水!$Q419),0)),2))</f>
        <v>0</v>
      </c>
      <c r="P1658" s="64" t="str">
        <f aca="false">IF(AND($H1658&lt;&gt;"",ROUND($O1658,2)&lt;&gt;0),"有","")</f>
        <v/>
      </c>
    </row>
    <row r="1659" customFormat="false" ht="15" hidden="true" customHeight="false" outlineLevel="0" collapsed="false">
      <c r="A1659" s="53" t="str">
        <f aca="false">IF($H1659="","",ROW()-5)</f>
        <v/>
      </c>
      <c r="B1659" s="64" t="s">
        <v>36</v>
      </c>
      <c r="C1659" s="53" t="n">
        <v>419</v>
      </c>
      <c r="D1659" s="53" t="n">
        <v>2</v>
      </c>
      <c r="E1659" s="65" t="str">
        <f aca="false">IF($H1659="","",购销流水!$B419)</f>
        <v/>
      </c>
      <c r="F1659" s="55" t="str">
        <f aca="false">IF($H1659="","",购销流水!$C419)</f>
        <v/>
      </c>
      <c r="G1659" s="48" t="str">
        <f aca="false">IF($H1659="","",购销流水!$N419)</f>
        <v/>
      </c>
      <c r="H1659" s="10" t="str">
        <f aca="false">IF($L1659="","",IF($L1659="@成本",购销流水!$U419,IF($L1659="@收入",购销流水!$T419,IF($L1659="@存货",购销流水!$S419,IF($L1659="@结算",购销流水!$R419,$L1659)))))</f>
        <v/>
      </c>
      <c r="I1659" s="42" t="n">
        <f aca="false">IF($M1659="借",$O1659,0)</f>
        <v>0</v>
      </c>
      <c r="J1659" s="42" t="n">
        <f aca="false">IF($M1659="贷",$O1659,0)</f>
        <v>0</v>
      </c>
      <c r="K1659" s="48" t="str">
        <f aca="false">IF($H1659="","",购销流水!$E419)</f>
        <v/>
      </c>
      <c r="L1659" s="66" t="str">
        <f aca="false">IF(购销流水!$D419="","",IFERROR(INDEX(记账规则!$A$6:$N$9,MATCH(购销流水!$D419,记账规则!$A$6:$A$9,0),6),""))</f>
        <v/>
      </c>
      <c r="M1659" s="66" t="str">
        <f aca="false">IF($L1659="","",IFERROR(INDEX(记账规则!$A$6:$N$9,MATCH(购销流水!$D419,记账规则!$A$6:$A$9,0),7),""))</f>
        <v/>
      </c>
      <c r="N1659" s="66" t="str">
        <f aca="false">IF($L1659="","",IFERROR(INDEX(记账规则!$A$6:$N$9,MATCH(购销流水!$D419,记账规则!$A$6:$A$9,0),8),""))</f>
        <v/>
      </c>
      <c r="O1659" s="67" t="n">
        <f aca="false">IF($H1659="",0,ROUND(IF($N1659="成本金额",N(购销流水!$W419),IF($N1659="金额",N(购销流水!$Q419),0)),2))</f>
        <v>0</v>
      </c>
      <c r="P1659" s="64" t="str">
        <f aca="false">IF(AND($H1659&lt;&gt;"",ROUND($O1659,2)&lt;&gt;0),"有","")</f>
        <v/>
      </c>
    </row>
    <row r="1660" customFormat="false" ht="15" hidden="true" customHeight="false" outlineLevel="0" collapsed="false">
      <c r="A1660" s="53" t="str">
        <f aca="false">IF($H1660="","",ROW()-5)</f>
        <v/>
      </c>
      <c r="B1660" s="64" t="s">
        <v>36</v>
      </c>
      <c r="C1660" s="53" t="n">
        <v>419</v>
      </c>
      <c r="D1660" s="53" t="n">
        <v>3</v>
      </c>
      <c r="E1660" s="65" t="str">
        <f aca="false">IF($H1660="","",购销流水!$B419)</f>
        <v/>
      </c>
      <c r="F1660" s="55" t="str">
        <f aca="false">IF($H1660="","",购销流水!$C419)</f>
        <v/>
      </c>
      <c r="G1660" s="48" t="str">
        <f aca="false">IF($H1660="","",购销流水!$N419)</f>
        <v/>
      </c>
      <c r="H1660" s="10" t="str">
        <f aca="false">IF($L1660="","",IF($L1660="@成本",购销流水!$U419,IF($L1660="@收入",购销流水!$T419,IF($L1660="@存货",购销流水!$S419,IF($L1660="@结算",购销流水!$R419,$L1660)))))</f>
        <v/>
      </c>
      <c r="I1660" s="42" t="n">
        <f aca="false">IF($M1660="借",$O1660,0)</f>
        <v>0</v>
      </c>
      <c r="J1660" s="42" t="n">
        <f aca="false">IF($M1660="贷",$O1660,0)</f>
        <v>0</v>
      </c>
      <c r="K1660" s="48" t="str">
        <f aca="false">IF($H1660="","",购销流水!$E419)</f>
        <v/>
      </c>
      <c r="L1660" s="66" t="str">
        <f aca="false">IF(购销流水!$D419="","",IFERROR(INDEX(记账规则!$A$6:$N$9,MATCH(购销流水!$D419,记账规则!$A$6:$A$9,0),9),""))</f>
        <v/>
      </c>
      <c r="M1660" s="66" t="str">
        <f aca="false">IF($L1660="","",IFERROR(INDEX(记账规则!$A$6:$N$9,MATCH(购销流水!$D419,记账规则!$A$6:$A$9,0),10),""))</f>
        <v/>
      </c>
      <c r="N1660" s="66" t="str">
        <f aca="false">IF($L1660="","",IFERROR(INDEX(记账规则!$A$6:$N$9,MATCH(购销流水!$D419,记账规则!$A$6:$A$9,0),11),""))</f>
        <v/>
      </c>
      <c r="O1660" s="67" t="n">
        <f aca="false">IF($H1660="",0,ROUND(IF($N1660="成本金额",N(购销流水!$W419),IF($N1660="金额",N(购销流水!$Q419),0)),2))</f>
        <v>0</v>
      </c>
      <c r="P1660" s="64" t="str">
        <f aca="false">IF(AND($H1660&lt;&gt;"",ROUND($O1660,2)&lt;&gt;0),"有","")</f>
        <v/>
      </c>
    </row>
    <row r="1661" customFormat="false" ht="15" hidden="true" customHeight="false" outlineLevel="0" collapsed="false">
      <c r="A1661" s="53" t="str">
        <f aca="false">IF($H1661="","",ROW()-5)</f>
        <v/>
      </c>
      <c r="B1661" s="64" t="s">
        <v>36</v>
      </c>
      <c r="C1661" s="53" t="n">
        <v>419</v>
      </c>
      <c r="D1661" s="53" t="n">
        <v>4</v>
      </c>
      <c r="E1661" s="65" t="str">
        <f aca="false">IF($H1661="","",购销流水!$B419)</f>
        <v/>
      </c>
      <c r="F1661" s="55" t="str">
        <f aca="false">IF($H1661="","",购销流水!$C419)</f>
        <v/>
      </c>
      <c r="G1661" s="48" t="str">
        <f aca="false">IF($H1661="","",购销流水!$N419)</f>
        <v/>
      </c>
      <c r="H1661" s="10" t="str">
        <f aca="false">IF($L1661="","",IF($L1661="@成本",购销流水!$U419,IF($L1661="@收入",购销流水!$T419,IF($L1661="@存货",购销流水!$S419,IF($L1661="@结算",购销流水!$R419,$L1661)))))</f>
        <v/>
      </c>
      <c r="I1661" s="42" t="n">
        <f aca="false">IF($M1661="借",$O1661,0)</f>
        <v>0</v>
      </c>
      <c r="J1661" s="42" t="n">
        <f aca="false">IF($M1661="贷",$O1661,0)</f>
        <v>0</v>
      </c>
      <c r="K1661" s="48" t="str">
        <f aca="false">IF($H1661="","",购销流水!$E419)</f>
        <v/>
      </c>
      <c r="L1661" s="66" t="str">
        <f aca="false">IF(购销流水!$D419="","",IFERROR(INDEX(记账规则!$A$6:$N$9,MATCH(购销流水!$D419,记账规则!$A$6:$A$9,0),12),""))</f>
        <v/>
      </c>
      <c r="M1661" s="66" t="str">
        <f aca="false">IF($L1661="","",IFERROR(INDEX(记账规则!$A$6:$N$9,MATCH(购销流水!$D419,记账规则!$A$6:$A$9,0),13),""))</f>
        <v/>
      </c>
      <c r="N1661" s="66" t="str">
        <f aca="false">IF($L1661="","",IFERROR(INDEX(记账规则!$A$6:$N$9,MATCH(购销流水!$D419,记账规则!$A$6:$A$9,0),14),""))</f>
        <v/>
      </c>
      <c r="O1661" s="67" t="n">
        <f aca="false">IF($H1661="",0,ROUND(IF($N1661="成本金额",N(购销流水!$W419),IF($N1661="金额",N(购销流水!$Q419),0)),2))</f>
        <v>0</v>
      </c>
      <c r="P1661" s="64" t="str">
        <f aca="false">IF(AND($H1661&lt;&gt;"",ROUND($O1661,2)&lt;&gt;0),"有","")</f>
        <v/>
      </c>
    </row>
    <row r="1662" customFormat="false" ht="15" hidden="true" customHeight="false" outlineLevel="0" collapsed="false">
      <c r="A1662" s="53" t="str">
        <f aca="false">IF($H1662="","",ROW()-5)</f>
        <v/>
      </c>
      <c r="B1662" s="64" t="s">
        <v>36</v>
      </c>
      <c r="C1662" s="53" t="n">
        <v>420</v>
      </c>
      <c r="D1662" s="53" t="n">
        <v>1</v>
      </c>
      <c r="E1662" s="65" t="str">
        <f aca="false">IF($H1662="","",购销流水!$B420)</f>
        <v/>
      </c>
      <c r="F1662" s="55" t="str">
        <f aca="false">IF($H1662="","",购销流水!$C420)</f>
        <v/>
      </c>
      <c r="G1662" s="48" t="str">
        <f aca="false">IF($H1662="","",购销流水!$N420)</f>
        <v/>
      </c>
      <c r="H1662" s="10" t="str">
        <f aca="false">IF($L1662="","",IF($L1662="@成本",购销流水!$U420,IF($L1662="@收入",购销流水!$T420,IF($L1662="@存货",购销流水!$S420,IF($L1662="@结算",购销流水!$R420,$L1662)))))</f>
        <v/>
      </c>
      <c r="I1662" s="42" t="n">
        <f aca="false">IF($M1662="借",$O1662,0)</f>
        <v>0</v>
      </c>
      <c r="J1662" s="42" t="n">
        <f aca="false">IF($M1662="贷",$O1662,0)</f>
        <v>0</v>
      </c>
      <c r="K1662" s="48" t="str">
        <f aca="false">IF($H1662="","",购销流水!$E420)</f>
        <v/>
      </c>
      <c r="L1662" s="66" t="str">
        <f aca="false">IF(购销流水!$D420="","",IFERROR(INDEX(记账规则!$A$6:$N$9,MATCH(购销流水!$D420,记账规则!$A$6:$A$9,0),3),""))</f>
        <v/>
      </c>
      <c r="M1662" s="66" t="str">
        <f aca="false">IF($L1662="","",IFERROR(INDEX(记账规则!$A$6:$N$9,MATCH(购销流水!$D420,记账规则!$A$6:$A$9,0),4),""))</f>
        <v/>
      </c>
      <c r="N1662" s="66" t="str">
        <f aca="false">IF($L1662="","",IFERROR(INDEX(记账规则!$A$6:$N$9,MATCH(购销流水!$D420,记账规则!$A$6:$A$9,0),5),""))</f>
        <v/>
      </c>
      <c r="O1662" s="67" t="n">
        <f aca="false">IF($H1662="",0,ROUND(IF($N1662="成本金额",N(购销流水!$W420),IF($N1662="金额",N(购销流水!$Q420),0)),2))</f>
        <v>0</v>
      </c>
      <c r="P1662" s="64" t="str">
        <f aca="false">IF(AND($H1662&lt;&gt;"",ROUND($O1662,2)&lt;&gt;0),"有","")</f>
        <v/>
      </c>
    </row>
    <row r="1663" customFormat="false" ht="15" hidden="true" customHeight="false" outlineLevel="0" collapsed="false">
      <c r="A1663" s="53" t="str">
        <f aca="false">IF($H1663="","",ROW()-5)</f>
        <v/>
      </c>
      <c r="B1663" s="64" t="s">
        <v>36</v>
      </c>
      <c r="C1663" s="53" t="n">
        <v>420</v>
      </c>
      <c r="D1663" s="53" t="n">
        <v>2</v>
      </c>
      <c r="E1663" s="65" t="str">
        <f aca="false">IF($H1663="","",购销流水!$B420)</f>
        <v/>
      </c>
      <c r="F1663" s="55" t="str">
        <f aca="false">IF($H1663="","",购销流水!$C420)</f>
        <v/>
      </c>
      <c r="G1663" s="48" t="str">
        <f aca="false">IF($H1663="","",购销流水!$N420)</f>
        <v/>
      </c>
      <c r="H1663" s="10" t="str">
        <f aca="false">IF($L1663="","",IF($L1663="@成本",购销流水!$U420,IF($L1663="@收入",购销流水!$T420,IF($L1663="@存货",购销流水!$S420,IF($L1663="@结算",购销流水!$R420,$L1663)))))</f>
        <v/>
      </c>
      <c r="I1663" s="42" t="n">
        <f aca="false">IF($M1663="借",$O1663,0)</f>
        <v>0</v>
      </c>
      <c r="J1663" s="42" t="n">
        <f aca="false">IF($M1663="贷",$O1663,0)</f>
        <v>0</v>
      </c>
      <c r="K1663" s="48" t="str">
        <f aca="false">IF($H1663="","",购销流水!$E420)</f>
        <v/>
      </c>
      <c r="L1663" s="66" t="str">
        <f aca="false">IF(购销流水!$D420="","",IFERROR(INDEX(记账规则!$A$6:$N$9,MATCH(购销流水!$D420,记账规则!$A$6:$A$9,0),6),""))</f>
        <v/>
      </c>
      <c r="M1663" s="66" t="str">
        <f aca="false">IF($L1663="","",IFERROR(INDEX(记账规则!$A$6:$N$9,MATCH(购销流水!$D420,记账规则!$A$6:$A$9,0),7),""))</f>
        <v/>
      </c>
      <c r="N1663" s="66" t="str">
        <f aca="false">IF($L1663="","",IFERROR(INDEX(记账规则!$A$6:$N$9,MATCH(购销流水!$D420,记账规则!$A$6:$A$9,0),8),""))</f>
        <v/>
      </c>
      <c r="O1663" s="67" t="n">
        <f aca="false">IF($H1663="",0,ROUND(IF($N1663="成本金额",N(购销流水!$W420),IF($N1663="金额",N(购销流水!$Q420),0)),2))</f>
        <v>0</v>
      </c>
      <c r="P1663" s="64" t="str">
        <f aca="false">IF(AND($H1663&lt;&gt;"",ROUND($O1663,2)&lt;&gt;0),"有","")</f>
        <v/>
      </c>
    </row>
    <row r="1664" customFormat="false" ht="15" hidden="true" customHeight="false" outlineLevel="0" collapsed="false">
      <c r="A1664" s="53" t="str">
        <f aca="false">IF($H1664="","",ROW()-5)</f>
        <v/>
      </c>
      <c r="B1664" s="64" t="s">
        <v>36</v>
      </c>
      <c r="C1664" s="53" t="n">
        <v>420</v>
      </c>
      <c r="D1664" s="53" t="n">
        <v>3</v>
      </c>
      <c r="E1664" s="65" t="str">
        <f aca="false">IF($H1664="","",购销流水!$B420)</f>
        <v/>
      </c>
      <c r="F1664" s="55" t="str">
        <f aca="false">IF($H1664="","",购销流水!$C420)</f>
        <v/>
      </c>
      <c r="G1664" s="48" t="str">
        <f aca="false">IF($H1664="","",购销流水!$N420)</f>
        <v/>
      </c>
      <c r="H1664" s="10" t="str">
        <f aca="false">IF($L1664="","",IF($L1664="@成本",购销流水!$U420,IF($L1664="@收入",购销流水!$T420,IF($L1664="@存货",购销流水!$S420,IF($L1664="@结算",购销流水!$R420,$L1664)))))</f>
        <v/>
      </c>
      <c r="I1664" s="42" t="n">
        <f aca="false">IF($M1664="借",$O1664,0)</f>
        <v>0</v>
      </c>
      <c r="J1664" s="42" t="n">
        <f aca="false">IF($M1664="贷",$O1664,0)</f>
        <v>0</v>
      </c>
      <c r="K1664" s="48" t="str">
        <f aca="false">IF($H1664="","",购销流水!$E420)</f>
        <v/>
      </c>
      <c r="L1664" s="66" t="str">
        <f aca="false">IF(购销流水!$D420="","",IFERROR(INDEX(记账规则!$A$6:$N$9,MATCH(购销流水!$D420,记账规则!$A$6:$A$9,0),9),""))</f>
        <v/>
      </c>
      <c r="M1664" s="66" t="str">
        <f aca="false">IF($L1664="","",IFERROR(INDEX(记账规则!$A$6:$N$9,MATCH(购销流水!$D420,记账规则!$A$6:$A$9,0),10),""))</f>
        <v/>
      </c>
      <c r="N1664" s="66" t="str">
        <f aca="false">IF($L1664="","",IFERROR(INDEX(记账规则!$A$6:$N$9,MATCH(购销流水!$D420,记账规则!$A$6:$A$9,0),11),""))</f>
        <v/>
      </c>
      <c r="O1664" s="67" t="n">
        <f aca="false">IF($H1664="",0,ROUND(IF($N1664="成本金额",N(购销流水!$W420),IF($N1664="金额",N(购销流水!$Q420),0)),2))</f>
        <v>0</v>
      </c>
      <c r="P1664" s="64" t="str">
        <f aca="false">IF(AND($H1664&lt;&gt;"",ROUND($O1664,2)&lt;&gt;0),"有","")</f>
        <v/>
      </c>
    </row>
    <row r="1665" customFormat="false" ht="15" hidden="true" customHeight="false" outlineLevel="0" collapsed="false">
      <c r="A1665" s="53" t="str">
        <f aca="false">IF($H1665="","",ROW()-5)</f>
        <v/>
      </c>
      <c r="B1665" s="64" t="s">
        <v>36</v>
      </c>
      <c r="C1665" s="53" t="n">
        <v>420</v>
      </c>
      <c r="D1665" s="53" t="n">
        <v>4</v>
      </c>
      <c r="E1665" s="65" t="str">
        <f aca="false">IF($H1665="","",购销流水!$B420)</f>
        <v/>
      </c>
      <c r="F1665" s="55" t="str">
        <f aca="false">IF($H1665="","",购销流水!$C420)</f>
        <v/>
      </c>
      <c r="G1665" s="48" t="str">
        <f aca="false">IF($H1665="","",购销流水!$N420)</f>
        <v/>
      </c>
      <c r="H1665" s="10" t="str">
        <f aca="false">IF($L1665="","",IF($L1665="@成本",购销流水!$U420,IF($L1665="@收入",购销流水!$T420,IF($L1665="@存货",购销流水!$S420,IF($L1665="@结算",购销流水!$R420,$L1665)))))</f>
        <v/>
      </c>
      <c r="I1665" s="42" t="n">
        <f aca="false">IF($M1665="借",$O1665,0)</f>
        <v>0</v>
      </c>
      <c r="J1665" s="42" t="n">
        <f aca="false">IF($M1665="贷",$O1665,0)</f>
        <v>0</v>
      </c>
      <c r="K1665" s="48" t="str">
        <f aca="false">IF($H1665="","",购销流水!$E420)</f>
        <v/>
      </c>
      <c r="L1665" s="66" t="str">
        <f aca="false">IF(购销流水!$D420="","",IFERROR(INDEX(记账规则!$A$6:$N$9,MATCH(购销流水!$D420,记账规则!$A$6:$A$9,0),12),""))</f>
        <v/>
      </c>
      <c r="M1665" s="66" t="str">
        <f aca="false">IF($L1665="","",IFERROR(INDEX(记账规则!$A$6:$N$9,MATCH(购销流水!$D420,记账规则!$A$6:$A$9,0),13),""))</f>
        <v/>
      </c>
      <c r="N1665" s="66" t="str">
        <f aca="false">IF($L1665="","",IFERROR(INDEX(记账规则!$A$6:$N$9,MATCH(购销流水!$D420,记账规则!$A$6:$A$9,0),14),""))</f>
        <v/>
      </c>
      <c r="O1665" s="67" t="n">
        <f aca="false">IF($H1665="",0,ROUND(IF($N1665="成本金额",N(购销流水!$W420),IF($N1665="金额",N(购销流水!$Q420),0)),2))</f>
        <v>0</v>
      </c>
      <c r="P1665" s="64" t="str">
        <f aca="false">IF(AND($H1665&lt;&gt;"",ROUND($O1665,2)&lt;&gt;0),"有","")</f>
        <v/>
      </c>
    </row>
    <row r="1666" customFormat="false" ht="15" hidden="true" customHeight="false" outlineLevel="0" collapsed="false">
      <c r="A1666" s="53" t="str">
        <f aca="false">IF($H1666="","",ROW()-5)</f>
        <v/>
      </c>
      <c r="B1666" s="64" t="s">
        <v>36</v>
      </c>
      <c r="C1666" s="53" t="n">
        <v>421</v>
      </c>
      <c r="D1666" s="53" t="n">
        <v>1</v>
      </c>
      <c r="E1666" s="65" t="str">
        <f aca="false">IF($H1666="","",购销流水!$B421)</f>
        <v/>
      </c>
      <c r="F1666" s="55" t="str">
        <f aca="false">IF($H1666="","",购销流水!$C421)</f>
        <v/>
      </c>
      <c r="G1666" s="48" t="str">
        <f aca="false">IF($H1666="","",购销流水!$N421)</f>
        <v/>
      </c>
      <c r="H1666" s="10" t="str">
        <f aca="false">IF($L1666="","",IF($L1666="@成本",购销流水!$U421,IF($L1666="@收入",购销流水!$T421,IF($L1666="@存货",购销流水!$S421,IF($L1666="@结算",购销流水!$R421,$L1666)))))</f>
        <v/>
      </c>
      <c r="I1666" s="42" t="n">
        <f aca="false">IF($M1666="借",$O1666,0)</f>
        <v>0</v>
      </c>
      <c r="J1666" s="42" t="n">
        <f aca="false">IF($M1666="贷",$O1666,0)</f>
        <v>0</v>
      </c>
      <c r="K1666" s="48" t="str">
        <f aca="false">IF($H1666="","",购销流水!$E421)</f>
        <v/>
      </c>
      <c r="L1666" s="66" t="str">
        <f aca="false">IF(购销流水!$D421="","",IFERROR(INDEX(记账规则!$A$6:$N$9,MATCH(购销流水!$D421,记账规则!$A$6:$A$9,0),3),""))</f>
        <v/>
      </c>
      <c r="M1666" s="66" t="str">
        <f aca="false">IF($L1666="","",IFERROR(INDEX(记账规则!$A$6:$N$9,MATCH(购销流水!$D421,记账规则!$A$6:$A$9,0),4),""))</f>
        <v/>
      </c>
      <c r="N1666" s="66" t="str">
        <f aca="false">IF($L1666="","",IFERROR(INDEX(记账规则!$A$6:$N$9,MATCH(购销流水!$D421,记账规则!$A$6:$A$9,0),5),""))</f>
        <v/>
      </c>
      <c r="O1666" s="67" t="n">
        <f aca="false">IF($H1666="",0,ROUND(IF($N1666="成本金额",N(购销流水!$W421),IF($N1666="金额",N(购销流水!$Q421),0)),2))</f>
        <v>0</v>
      </c>
      <c r="P1666" s="64" t="str">
        <f aca="false">IF(AND($H1666&lt;&gt;"",ROUND($O1666,2)&lt;&gt;0),"有","")</f>
        <v/>
      </c>
    </row>
    <row r="1667" customFormat="false" ht="15" hidden="true" customHeight="false" outlineLevel="0" collapsed="false">
      <c r="A1667" s="53" t="str">
        <f aca="false">IF($H1667="","",ROW()-5)</f>
        <v/>
      </c>
      <c r="B1667" s="64" t="s">
        <v>36</v>
      </c>
      <c r="C1667" s="53" t="n">
        <v>421</v>
      </c>
      <c r="D1667" s="53" t="n">
        <v>2</v>
      </c>
      <c r="E1667" s="65" t="str">
        <f aca="false">IF($H1667="","",购销流水!$B421)</f>
        <v/>
      </c>
      <c r="F1667" s="55" t="str">
        <f aca="false">IF($H1667="","",购销流水!$C421)</f>
        <v/>
      </c>
      <c r="G1667" s="48" t="str">
        <f aca="false">IF($H1667="","",购销流水!$N421)</f>
        <v/>
      </c>
      <c r="H1667" s="10" t="str">
        <f aca="false">IF($L1667="","",IF($L1667="@成本",购销流水!$U421,IF($L1667="@收入",购销流水!$T421,IF($L1667="@存货",购销流水!$S421,IF($L1667="@结算",购销流水!$R421,$L1667)))))</f>
        <v/>
      </c>
      <c r="I1667" s="42" t="n">
        <f aca="false">IF($M1667="借",$O1667,0)</f>
        <v>0</v>
      </c>
      <c r="J1667" s="42" t="n">
        <f aca="false">IF($M1667="贷",$O1667,0)</f>
        <v>0</v>
      </c>
      <c r="K1667" s="48" t="str">
        <f aca="false">IF($H1667="","",购销流水!$E421)</f>
        <v/>
      </c>
      <c r="L1667" s="66" t="str">
        <f aca="false">IF(购销流水!$D421="","",IFERROR(INDEX(记账规则!$A$6:$N$9,MATCH(购销流水!$D421,记账规则!$A$6:$A$9,0),6),""))</f>
        <v/>
      </c>
      <c r="M1667" s="66" t="str">
        <f aca="false">IF($L1667="","",IFERROR(INDEX(记账规则!$A$6:$N$9,MATCH(购销流水!$D421,记账规则!$A$6:$A$9,0),7),""))</f>
        <v/>
      </c>
      <c r="N1667" s="66" t="str">
        <f aca="false">IF($L1667="","",IFERROR(INDEX(记账规则!$A$6:$N$9,MATCH(购销流水!$D421,记账规则!$A$6:$A$9,0),8),""))</f>
        <v/>
      </c>
      <c r="O1667" s="67" t="n">
        <f aca="false">IF($H1667="",0,ROUND(IF($N1667="成本金额",N(购销流水!$W421),IF($N1667="金额",N(购销流水!$Q421),0)),2))</f>
        <v>0</v>
      </c>
      <c r="P1667" s="64" t="str">
        <f aca="false">IF(AND($H1667&lt;&gt;"",ROUND($O1667,2)&lt;&gt;0),"有","")</f>
        <v/>
      </c>
    </row>
    <row r="1668" customFormat="false" ht="15" hidden="true" customHeight="false" outlineLevel="0" collapsed="false">
      <c r="A1668" s="53" t="str">
        <f aca="false">IF($H1668="","",ROW()-5)</f>
        <v/>
      </c>
      <c r="B1668" s="64" t="s">
        <v>36</v>
      </c>
      <c r="C1668" s="53" t="n">
        <v>421</v>
      </c>
      <c r="D1668" s="53" t="n">
        <v>3</v>
      </c>
      <c r="E1668" s="65" t="str">
        <f aca="false">IF($H1668="","",购销流水!$B421)</f>
        <v/>
      </c>
      <c r="F1668" s="55" t="str">
        <f aca="false">IF($H1668="","",购销流水!$C421)</f>
        <v/>
      </c>
      <c r="G1668" s="48" t="str">
        <f aca="false">IF($H1668="","",购销流水!$N421)</f>
        <v/>
      </c>
      <c r="H1668" s="10" t="str">
        <f aca="false">IF($L1668="","",IF($L1668="@成本",购销流水!$U421,IF($L1668="@收入",购销流水!$T421,IF($L1668="@存货",购销流水!$S421,IF($L1668="@结算",购销流水!$R421,$L1668)))))</f>
        <v/>
      </c>
      <c r="I1668" s="42" t="n">
        <f aca="false">IF($M1668="借",$O1668,0)</f>
        <v>0</v>
      </c>
      <c r="J1668" s="42" t="n">
        <f aca="false">IF($M1668="贷",$O1668,0)</f>
        <v>0</v>
      </c>
      <c r="K1668" s="48" t="str">
        <f aca="false">IF($H1668="","",购销流水!$E421)</f>
        <v/>
      </c>
      <c r="L1668" s="66" t="str">
        <f aca="false">IF(购销流水!$D421="","",IFERROR(INDEX(记账规则!$A$6:$N$9,MATCH(购销流水!$D421,记账规则!$A$6:$A$9,0),9),""))</f>
        <v/>
      </c>
      <c r="M1668" s="66" t="str">
        <f aca="false">IF($L1668="","",IFERROR(INDEX(记账规则!$A$6:$N$9,MATCH(购销流水!$D421,记账规则!$A$6:$A$9,0),10),""))</f>
        <v/>
      </c>
      <c r="N1668" s="66" t="str">
        <f aca="false">IF($L1668="","",IFERROR(INDEX(记账规则!$A$6:$N$9,MATCH(购销流水!$D421,记账规则!$A$6:$A$9,0),11),""))</f>
        <v/>
      </c>
      <c r="O1668" s="67" t="n">
        <f aca="false">IF($H1668="",0,ROUND(IF($N1668="成本金额",N(购销流水!$W421),IF($N1668="金额",N(购销流水!$Q421),0)),2))</f>
        <v>0</v>
      </c>
      <c r="P1668" s="64" t="str">
        <f aca="false">IF(AND($H1668&lt;&gt;"",ROUND($O1668,2)&lt;&gt;0),"有","")</f>
        <v/>
      </c>
    </row>
    <row r="1669" customFormat="false" ht="15" hidden="true" customHeight="false" outlineLevel="0" collapsed="false">
      <c r="A1669" s="53" t="str">
        <f aca="false">IF($H1669="","",ROW()-5)</f>
        <v/>
      </c>
      <c r="B1669" s="64" t="s">
        <v>36</v>
      </c>
      <c r="C1669" s="53" t="n">
        <v>421</v>
      </c>
      <c r="D1669" s="53" t="n">
        <v>4</v>
      </c>
      <c r="E1669" s="65" t="str">
        <f aca="false">IF($H1669="","",购销流水!$B421)</f>
        <v/>
      </c>
      <c r="F1669" s="55" t="str">
        <f aca="false">IF($H1669="","",购销流水!$C421)</f>
        <v/>
      </c>
      <c r="G1669" s="48" t="str">
        <f aca="false">IF($H1669="","",购销流水!$N421)</f>
        <v/>
      </c>
      <c r="H1669" s="10" t="str">
        <f aca="false">IF($L1669="","",IF($L1669="@成本",购销流水!$U421,IF($L1669="@收入",购销流水!$T421,IF($L1669="@存货",购销流水!$S421,IF($L1669="@结算",购销流水!$R421,$L1669)))))</f>
        <v/>
      </c>
      <c r="I1669" s="42" t="n">
        <f aca="false">IF($M1669="借",$O1669,0)</f>
        <v>0</v>
      </c>
      <c r="J1669" s="42" t="n">
        <f aca="false">IF($M1669="贷",$O1669,0)</f>
        <v>0</v>
      </c>
      <c r="K1669" s="48" t="str">
        <f aca="false">IF($H1669="","",购销流水!$E421)</f>
        <v/>
      </c>
      <c r="L1669" s="66" t="str">
        <f aca="false">IF(购销流水!$D421="","",IFERROR(INDEX(记账规则!$A$6:$N$9,MATCH(购销流水!$D421,记账规则!$A$6:$A$9,0),12),""))</f>
        <v/>
      </c>
      <c r="M1669" s="66" t="str">
        <f aca="false">IF($L1669="","",IFERROR(INDEX(记账规则!$A$6:$N$9,MATCH(购销流水!$D421,记账规则!$A$6:$A$9,0),13),""))</f>
        <v/>
      </c>
      <c r="N1669" s="66" t="str">
        <f aca="false">IF($L1669="","",IFERROR(INDEX(记账规则!$A$6:$N$9,MATCH(购销流水!$D421,记账规则!$A$6:$A$9,0),14),""))</f>
        <v/>
      </c>
      <c r="O1669" s="67" t="n">
        <f aca="false">IF($H1669="",0,ROUND(IF($N1669="成本金额",N(购销流水!$W421),IF($N1669="金额",N(购销流水!$Q421),0)),2))</f>
        <v>0</v>
      </c>
      <c r="P1669" s="64" t="str">
        <f aca="false">IF(AND($H1669&lt;&gt;"",ROUND($O1669,2)&lt;&gt;0),"有","")</f>
        <v/>
      </c>
    </row>
    <row r="1670" customFormat="false" ht="15" hidden="true" customHeight="false" outlineLevel="0" collapsed="false">
      <c r="A1670" s="53" t="str">
        <f aca="false">IF($H1670="","",ROW()-5)</f>
        <v/>
      </c>
      <c r="B1670" s="64" t="s">
        <v>36</v>
      </c>
      <c r="C1670" s="53" t="n">
        <v>422</v>
      </c>
      <c r="D1670" s="53" t="n">
        <v>1</v>
      </c>
      <c r="E1670" s="65" t="str">
        <f aca="false">IF($H1670="","",购销流水!$B422)</f>
        <v/>
      </c>
      <c r="F1670" s="55" t="str">
        <f aca="false">IF($H1670="","",购销流水!$C422)</f>
        <v/>
      </c>
      <c r="G1670" s="48" t="str">
        <f aca="false">IF($H1670="","",购销流水!$N422)</f>
        <v/>
      </c>
      <c r="H1670" s="10" t="str">
        <f aca="false">IF($L1670="","",IF($L1670="@成本",购销流水!$U422,IF($L1670="@收入",购销流水!$T422,IF($L1670="@存货",购销流水!$S422,IF($L1670="@结算",购销流水!$R422,$L1670)))))</f>
        <v/>
      </c>
      <c r="I1670" s="42" t="n">
        <f aca="false">IF($M1670="借",$O1670,0)</f>
        <v>0</v>
      </c>
      <c r="J1670" s="42" t="n">
        <f aca="false">IF($M1670="贷",$O1670,0)</f>
        <v>0</v>
      </c>
      <c r="K1670" s="48" t="str">
        <f aca="false">IF($H1670="","",购销流水!$E422)</f>
        <v/>
      </c>
      <c r="L1670" s="66" t="str">
        <f aca="false">IF(购销流水!$D422="","",IFERROR(INDEX(记账规则!$A$6:$N$9,MATCH(购销流水!$D422,记账规则!$A$6:$A$9,0),3),""))</f>
        <v/>
      </c>
      <c r="M1670" s="66" t="str">
        <f aca="false">IF($L1670="","",IFERROR(INDEX(记账规则!$A$6:$N$9,MATCH(购销流水!$D422,记账规则!$A$6:$A$9,0),4),""))</f>
        <v/>
      </c>
      <c r="N1670" s="66" t="str">
        <f aca="false">IF($L1670="","",IFERROR(INDEX(记账规则!$A$6:$N$9,MATCH(购销流水!$D422,记账规则!$A$6:$A$9,0),5),""))</f>
        <v/>
      </c>
      <c r="O1670" s="67" t="n">
        <f aca="false">IF($H1670="",0,ROUND(IF($N1670="成本金额",N(购销流水!$W422),IF($N1670="金额",N(购销流水!$Q422),0)),2))</f>
        <v>0</v>
      </c>
      <c r="P1670" s="64" t="str">
        <f aca="false">IF(AND($H1670&lt;&gt;"",ROUND($O1670,2)&lt;&gt;0),"有","")</f>
        <v/>
      </c>
    </row>
    <row r="1671" customFormat="false" ht="15" hidden="true" customHeight="false" outlineLevel="0" collapsed="false">
      <c r="A1671" s="53" t="str">
        <f aca="false">IF($H1671="","",ROW()-5)</f>
        <v/>
      </c>
      <c r="B1671" s="64" t="s">
        <v>36</v>
      </c>
      <c r="C1671" s="53" t="n">
        <v>422</v>
      </c>
      <c r="D1671" s="53" t="n">
        <v>2</v>
      </c>
      <c r="E1671" s="65" t="str">
        <f aca="false">IF($H1671="","",购销流水!$B422)</f>
        <v/>
      </c>
      <c r="F1671" s="55" t="str">
        <f aca="false">IF($H1671="","",购销流水!$C422)</f>
        <v/>
      </c>
      <c r="G1671" s="48" t="str">
        <f aca="false">IF($H1671="","",购销流水!$N422)</f>
        <v/>
      </c>
      <c r="H1671" s="10" t="str">
        <f aca="false">IF($L1671="","",IF($L1671="@成本",购销流水!$U422,IF($L1671="@收入",购销流水!$T422,IF($L1671="@存货",购销流水!$S422,IF($L1671="@结算",购销流水!$R422,$L1671)))))</f>
        <v/>
      </c>
      <c r="I1671" s="42" t="n">
        <f aca="false">IF($M1671="借",$O1671,0)</f>
        <v>0</v>
      </c>
      <c r="J1671" s="42" t="n">
        <f aca="false">IF($M1671="贷",$O1671,0)</f>
        <v>0</v>
      </c>
      <c r="K1671" s="48" t="str">
        <f aca="false">IF($H1671="","",购销流水!$E422)</f>
        <v/>
      </c>
      <c r="L1671" s="66" t="str">
        <f aca="false">IF(购销流水!$D422="","",IFERROR(INDEX(记账规则!$A$6:$N$9,MATCH(购销流水!$D422,记账规则!$A$6:$A$9,0),6),""))</f>
        <v/>
      </c>
      <c r="M1671" s="66" t="str">
        <f aca="false">IF($L1671="","",IFERROR(INDEX(记账规则!$A$6:$N$9,MATCH(购销流水!$D422,记账规则!$A$6:$A$9,0),7),""))</f>
        <v/>
      </c>
      <c r="N1671" s="66" t="str">
        <f aca="false">IF($L1671="","",IFERROR(INDEX(记账规则!$A$6:$N$9,MATCH(购销流水!$D422,记账规则!$A$6:$A$9,0),8),""))</f>
        <v/>
      </c>
      <c r="O1671" s="67" t="n">
        <f aca="false">IF($H1671="",0,ROUND(IF($N1671="成本金额",N(购销流水!$W422),IF($N1671="金额",N(购销流水!$Q422),0)),2))</f>
        <v>0</v>
      </c>
      <c r="P1671" s="64" t="str">
        <f aca="false">IF(AND($H1671&lt;&gt;"",ROUND($O1671,2)&lt;&gt;0),"有","")</f>
        <v/>
      </c>
    </row>
    <row r="1672" customFormat="false" ht="15" hidden="true" customHeight="false" outlineLevel="0" collapsed="false">
      <c r="A1672" s="53" t="str">
        <f aca="false">IF($H1672="","",ROW()-5)</f>
        <v/>
      </c>
      <c r="B1672" s="64" t="s">
        <v>36</v>
      </c>
      <c r="C1672" s="53" t="n">
        <v>422</v>
      </c>
      <c r="D1672" s="53" t="n">
        <v>3</v>
      </c>
      <c r="E1672" s="65" t="str">
        <f aca="false">IF($H1672="","",购销流水!$B422)</f>
        <v/>
      </c>
      <c r="F1672" s="55" t="str">
        <f aca="false">IF($H1672="","",购销流水!$C422)</f>
        <v/>
      </c>
      <c r="G1672" s="48" t="str">
        <f aca="false">IF($H1672="","",购销流水!$N422)</f>
        <v/>
      </c>
      <c r="H1672" s="10" t="str">
        <f aca="false">IF($L1672="","",IF($L1672="@成本",购销流水!$U422,IF($L1672="@收入",购销流水!$T422,IF($L1672="@存货",购销流水!$S422,IF($L1672="@结算",购销流水!$R422,$L1672)))))</f>
        <v/>
      </c>
      <c r="I1672" s="42" t="n">
        <f aca="false">IF($M1672="借",$O1672,0)</f>
        <v>0</v>
      </c>
      <c r="J1672" s="42" t="n">
        <f aca="false">IF($M1672="贷",$O1672,0)</f>
        <v>0</v>
      </c>
      <c r="K1672" s="48" t="str">
        <f aca="false">IF($H1672="","",购销流水!$E422)</f>
        <v/>
      </c>
      <c r="L1672" s="66" t="str">
        <f aca="false">IF(购销流水!$D422="","",IFERROR(INDEX(记账规则!$A$6:$N$9,MATCH(购销流水!$D422,记账规则!$A$6:$A$9,0),9),""))</f>
        <v/>
      </c>
      <c r="M1672" s="66" t="str">
        <f aca="false">IF($L1672="","",IFERROR(INDEX(记账规则!$A$6:$N$9,MATCH(购销流水!$D422,记账规则!$A$6:$A$9,0),10),""))</f>
        <v/>
      </c>
      <c r="N1672" s="66" t="str">
        <f aca="false">IF($L1672="","",IFERROR(INDEX(记账规则!$A$6:$N$9,MATCH(购销流水!$D422,记账规则!$A$6:$A$9,0),11),""))</f>
        <v/>
      </c>
      <c r="O1672" s="67" t="n">
        <f aca="false">IF($H1672="",0,ROUND(IF($N1672="成本金额",N(购销流水!$W422),IF($N1672="金额",N(购销流水!$Q422),0)),2))</f>
        <v>0</v>
      </c>
      <c r="P1672" s="64" t="str">
        <f aca="false">IF(AND($H1672&lt;&gt;"",ROUND($O1672,2)&lt;&gt;0),"有","")</f>
        <v/>
      </c>
    </row>
    <row r="1673" customFormat="false" ht="15" hidden="true" customHeight="false" outlineLevel="0" collapsed="false">
      <c r="A1673" s="53" t="str">
        <f aca="false">IF($H1673="","",ROW()-5)</f>
        <v/>
      </c>
      <c r="B1673" s="64" t="s">
        <v>36</v>
      </c>
      <c r="C1673" s="53" t="n">
        <v>422</v>
      </c>
      <c r="D1673" s="53" t="n">
        <v>4</v>
      </c>
      <c r="E1673" s="65" t="str">
        <f aca="false">IF($H1673="","",购销流水!$B422)</f>
        <v/>
      </c>
      <c r="F1673" s="55" t="str">
        <f aca="false">IF($H1673="","",购销流水!$C422)</f>
        <v/>
      </c>
      <c r="G1673" s="48" t="str">
        <f aca="false">IF($H1673="","",购销流水!$N422)</f>
        <v/>
      </c>
      <c r="H1673" s="10" t="str">
        <f aca="false">IF($L1673="","",IF($L1673="@成本",购销流水!$U422,IF($L1673="@收入",购销流水!$T422,IF($L1673="@存货",购销流水!$S422,IF($L1673="@结算",购销流水!$R422,$L1673)))))</f>
        <v/>
      </c>
      <c r="I1673" s="42" t="n">
        <f aca="false">IF($M1673="借",$O1673,0)</f>
        <v>0</v>
      </c>
      <c r="J1673" s="42" t="n">
        <f aca="false">IF($M1673="贷",$O1673,0)</f>
        <v>0</v>
      </c>
      <c r="K1673" s="48" t="str">
        <f aca="false">IF($H1673="","",购销流水!$E422)</f>
        <v/>
      </c>
      <c r="L1673" s="66" t="str">
        <f aca="false">IF(购销流水!$D422="","",IFERROR(INDEX(记账规则!$A$6:$N$9,MATCH(购销流水!$D422,记账规则!$A$6:$A$9,0),12),""))</f>
        <v/>
      </c>
      <c r="M1673" s="66" t="str">
        <f aca="false">IF($L1673="","",IFERROR(INDEX(记账规则!$A$6:$N$9,MATCH(购销流水!$D422,记账规则!$A$6:$A$9,0),13),""))</f>
        <v/>
      </c>
      <c r="N1673" s="66" t="str">
        <f aca="false">IF($L1673="","",IFERROR(INDEX(记账规则!$A$6:$N$9,MATCH(购销流水!$D422,记账规则!$A$6:$A$9,0),14),""))</f>
        <v/>
      </c>
      <c r="O1673" s="67" t="n">
        <f aca="false">IF($H1673="",0,ROUND(IF($N1673="成本金额",N(购销流水!$W422),IF($N1673="金额",N(购销流水!$Q422),0)),2))</f>
        <v>0</v>
      </c>
      <c r="P1673" s="64" t="str">
        <f aca="false">IF(AND($H1673&lt;&gt;"",ROUND($O1673,2)&lt;&gt;0),"有","")</f>
        <v/>
      </c>
    </row>
    <row r="1674" customFormat="false" ht="15" hidden="true" customHeight="false" outlineLevel="0" collapsed="false">
      <c r="A1674" s="53" t="str">
        <f aca="false">IF($H1674="","",ROW()-5)</f>
        <v/>
      </c>
      <c r="B1674" s="64" t="s">
        <v>36</v>
      </c>
      <c r="C1674" s="53" t="n">
        <v>423</v>
      </c>
      <c r="D1674" s="53" t="n">
        <v>1</v>
      </c>
      <c r="E1674" s="65" t="str">
        <f aca="false">IF($H1674="","",购销流水!$B423)</f>
        <v/>
      </c>
      <c r="F1674" s="55" t="str">
        <f aca="false">IF($H1674="","",购销流水!$C423)</f>
        <v/>
      </c>
      <c r="G1674" s="48" t="str">
        <f aca="false">IF($H1674="","",购销流水!$N423)</f>
        <v/>
      </c>
      <c r="H1674" s="10" t="str">
        <f aca="false">IF($L1674="","",IF($L1674="@成本",购销流水!$U423,IF($L1674="@收入",购销流水!$T423,IF($L1674="@存货",购销流水!$S423,IF($L1674="@结算",购销流水!$R423,$L1674)))))</f>
        <v/>
      </c>
      <c r="I1674" s="42" t="n">
        <f aca="false">IF($M1674="借",$O1674,0)</f>
        <v>0</v>
      </c>
      <c r="J1674" s="42" t="n">
        <f aca="false">IF($M1674="贷",$O1674,0)</f>
        <v>0</v>
      </c>
      <c r="K1674" s="48" t="str">
        <f aca="false">IF($H1674="","",购销流水!$E423)</f>
        <v/>
      </c>
      <c r="L1674" s="66" t="str">
        <f aca="false">IF(购销流水!$D423="","",IFERROR(INDEX(记账规则!$A$6:$N$9,MATCH(购销流水!$D423,记账规则!$A$6:$A$9,0),3),""))</f>
        <v/>
      </c>
      <c r="M1674" s="66" t="str">
        <f aca="false">IF($L1674="","",IFERROR(INDEX(记账规则!$A$6:$N$9,MATCH(购销流水!$D423,记账规则!$A$6:$A$9,0),4),""))</f>
        <v/>
      </c>
      <c r="N1674" s="66" t="str">
        <f aca="false">IF($L1674="","",IFERROR(INDEX(记账规则!$A$6:$N$9,MATCH(购销流水!$D423,记账规则!$A$6:$A$9,0),5),""))</f>
        <v/>
      </c>
      <c r="O1674" s="67" t="n">
        <f aca="false">IF($H1674="",0,ROUND(IF($N1674="成本金额",N(购销流水!$W423),IF($N1674="金额",N(购销流水!$Q423),0)),2))</f>
        <v>0</v>
      </c>
      <c r="P1674" s="64" t="str">
        <f aca="false">IF(AND($H1674&lt;&gt;"",ROUND($O1674,2)&lt;&gt;0),"有","")</f>
        <v/>
      </c>
    </row>
    <row r="1675" customFormat="false" ht="15" hidden="true" customHeight="false" outlineLevel="0" collapsed="false">
      <c r="A1675" s="53" t="str">
        <f aca="false">IF($H1675="","",ROW()-5)</f>
        <v/>
      </c>
      <c r="B1675" s="64" t="s">
        <v>36</v>
      </c>
      <c r="C1675" s="53" t="n">
        <v>423</v>
      </c>
      <c r="D1675" s="53" t="n">
        <v>2</v>
      </c>
      <c r="E1675" s="65" t="str">
        <f aca="false">IF($H1675="","",购销流水!$B423)</f>
        <v/>
      </c>
      <c r="F1675" s="55" t="str">
        <f aca="false">IF($H1675="","",购销流水!$C423)</f>
        <v/>
      </c>
      <c r="G1675" s="48" t="str">
        <f aca="false">IF($H1675="","",购销流水!$N423)</f>
        <v/>
      </c>
      <c r="H1675" s="10" t="str">
        <f aca="false">IF($L1675="","",IF($L1675="@成本",购销流水!$U423,IF($L1675="@收入",购销流水!$T423,IF($L1675="@存货",购销流水!$S423,IF($L1675="@结算",购销流水!$R423,$L1675)))))</f>
        <v/>
      </c>
      <c r="I1675" s="42" t="n">
        <f aca="false">IF($M1675="借",$O1675,0)</f>
        <v>0</v>
      </c>
      <c r="J1675" s="42" t="n">
        <f aca="false">IF($M1675="贷",$O1675,0)</f>
        <v>0</v>
      </c>
      <c r="K1675" s="48" t="str">
        <f aca="false">IF($H1675="","",购销流水!$E423)</f>
        <v/>
      </c>
      <c r="L1675" s="66" t="str">
        <f aca="false">IF(购销流水!$D423="","",IFERROR(INDEX(记账规则!$A$6:$N$9,MATCH(购销流水!$D423,记账规则!$A$6:$A$9,0),6),""))</f>
        <v/>
      </c>
      <c r="M1675" s="66" t="str">
        <f aca="false">IF($L1675="","",IFERROR(INDEX(记账规则!$A$6:$N$9,MATCH(购销流水!$D423,记账规则!$A$6:$A$9,0),7),""))</f>
        <v/>
      </c>
      <c r="N1675" s="66" t="str">
        <f aca="false">IF($L1675="","",IFERROR(INDEX(记账规则!$A$6:$N$9,MATCH(购销流水!$D423,记账规则!$A$6:$A$9,0),8),""))</f>
        <v/>
      </c>
      <c r="O1675" s="67" t="n">
        <f aca="false">IF($H1675="",0,ROUND(IF($N1675="成本金额",N(购销流水!$W423),IF($N1675="金额",N(购销流水!$Q423),0)),2))</f>
        <v>0</v>
      </c>
      <c r="P1675" s="64" t="str">
        <f aca="false">IF(AND($H1675&lt;&gt;"",ROUND($O1675,2)&lt;&gt;0),"有","")</f>
        <v/>
      </c>
    </row>
    <row r="1676" customFormat="false" ht="15" hidden="true" customHeight="false" outlineLevel="0" collapsed="false">
      <c r="A1676" s="53" t="str">
        <f aca="false">IF($H1676="","",ROW()-5)</f>
        <v/>
      </c>
      <c r="B1676" s="64" t="s">
        <v>36</v>
      </c>
      <c r="C1676" s="53" t="n">
        <v>423</v>
      </c>
      <c r="D1676" s="53" t="n">
        <v>3</v>
      </c>
      <c r="E1676" s="65" t="str">
        <f aca="false">IF($H1676="","",购销流水!$B423)</f>
        <v/>
      </c>
      <c r="F1676" s="55" t="str">
        <f aca="false">IF($H1676="","",购销流水!$C423)</f>
        <v/>
      </c>
      <c r="G1676" s="48" t="str">
        <f aca="false">IF($H1676="","",购销流水!$N423)</f>
        <v/>
      </c>
      <c r="H1676" s="10" t="str">
        <f aca="false">IF($L1676="","",IF($L1676="@成本",购销流水!$U423,IF($L1676="@收入",购销流水!$T423,IF($L1676="@存货",购销流水!$S423,IF($L1676="@结算",购销流水!$R423,$L1676)))))</f>
        <v/>
      </c>
      <c r="I1676" s="42" t="n">
        <f aca="false">IF($M1676="借",$O1676,0)</f>
        <v>0</v>
      </c>
      <c r="J1676" s="42" t="n">
        <f aca="false">IF($M1676="贷",$O1676,0)</f>
        <v>0</v>
      </c>
      <c r="K1676" s="48" t="str">
        <f aca="false">IF($H1676="","",购销流水!$E423)</f>
        <v/>
      </c>
      <c r="L1676" s="66" t="str">
        <f aca="false">IF(购销流水!$D423="","",IFERROR(INDEX(记账规则!$A$6:$N$9,MATCH(购销流水!$D423,记账规则!$A$6:$A$9,0),9),""))</f>
        <v/>
      </c>
      <c r="M1676" s="66" t="str">
        <f aca="false">IF($L1676="","",IFERROR(INDEX(记账规则!$A$6:$N$9,MATCH(购销流水!$D423,记账规则!$A$6:$A$9,0),10),""))</f>
        <v/>
      </c>
      <c r="N1676" s="66" t="str">
        <f aca="false">IF($L1676="","",IFERROR(INDEX(记账规则!$A$6:$N$9,MATCH(购销流水!$D423,记账规则!$A$6:$A$9,0),11),""))</f>
        <v/>
      </c>
      <c r="O1676" s="67" t="n">
        <f aca="false">IF($H1676="",0,ROUND(IF($N1676="成本金额",N(购销流水!$W423),IF($N1676="金额",N(购销流水!$Q423),0)),2))</f>
        <v>0</v>
      </c>
      <c r="P1676" s="64" t="str">
        <f aca="false">IF(AND($H1676&lt;&gt;"",ROUND($O1676,2)&lt;&gt;0),"有","")</f>
        <v/>
      </c>
    </row>
    <row r="1677" customFormat="false" ht="15" hidden="true" customHeight="false" outlineLevel="0" collapsed="false">
      <c r="A1677" s="53" t="str">
        <f aca="false">IF($H1677="","",ROW()-5)</f>
        <v/>
      </c>
      <c r="B1677" s="64" t="s">
        <v>36</v>
      </c>
      <c r="C1677" s="53" t="n">
        <v>423</v>
      </c>
      <c r="D1677" s="53" t="n">
        <v>4</v>
      </c>
      <c r="E1677" s="65" t="str">
        <f aca="false">IF($H1677="","",购销流水!$B423)</f>
        <v/>
      </c>
      <c r="F1677" s="55" t="str">
        <f aca="false">IF($H1677="","",购销流水!$C423)</f>
        <v/>
      </c>
      <c r="G1677" s="48" t="str">
        <f aca="false">IF($H1677="","",购销流水!$N423)</f>
        <v/>
      </c>
      <c r="H1677" s="10" t="str">
        <f aca="false">IF($L1677="","",IF($L1677="@成本",购销流水!$U423,IF($L1677="@收入",购销流水!$T423,IF($L1677="@存货",购销流水!$S423,IF($L1677="@结算",购销流水!$R423,$L1677)))))</f>
        <v/>
      </c>
      <c r="I1677" s="42" t="n">
        <f aca="false">IF($M1677="借",$O1677,0)</f>
        <v>0</v>
      </c>
      <c r="J1677" s="42" t="n">
        <f aca="false">IF($M1677="贷",$O1677,0)</f>
        <v>0</v>
      </c>
      <c r="K1677" s="48" t="str">
        <f aca="false">IF($H1677="","",购销流水!$E423)</f>
        <v/>
      </c>
      <c r="L1677" s="66" t="str">
        <f aca="false">IF(购销流水!$D423="","",IFERROR(INDEX(记账规则!$A$6:$N$9,MATCH(购销流水!$D423,记账规则!$A$6:$A$9,0),12),""))</f>
        <v/>
      </c>
      <c r="M1677" s="66" t="str">
        <f aca="false">IF($L1677="","",IFERROR(INDEX(记账规则!$A$6:$N$9,MATCH(购销流水!$D423,记账规则!$A$6:$A$9,0),13),""))</f>
        <v/>
      </c>
      <c r="N1677" s="66" t="str">
        <f aca="false">IF($L1677="","",IFERROR(INDEX(记账规则!$A$6:$N$9,MATCH(购销流水!$D423,记账规则!$A$6:$A$9,0),14),""))</f>
        <v/>
      </c>
      <c r="O1677" s="67" t="n">
        <f aca="false">IF($H1677="",0,ROUND(IF($N1677="成本金额",N(购销流水!$W423),IF($N1677="金额",N(购销流水!$Q423),0)),2))</f>
        <v>0</v>
      </c>
      <c r="P1677" s="64" t="str">
        <f aca="false">IF(AND($H1677&lt;&gt;"",ROUND($O1677,2)&lt;&gt;0),"有","")</f>
        <v/>
      </c>
    </row>
    <row r="1678" customFormat="false" ht="15" hidden="true" customHeight="false" outlineLevel="0" collapsed="false">
      <c r="A1678" s="53" t="str">
        <f aca="false">IF($H1678="","",ROW()-5)</f>
        <v/>
      </c>
      <c r="B1678" s="64" t="s">
        <v>36</v>
      </c>
      <c r="C1678" s="53" t="n">
        <v>424</v>
      </c>
      <c r="D1678" s="53" t="n">
        <v>1</v>
      </c>
      <c r="E1678" s="65" t="str">
        <f aca="false">IF($H1678="","",购销流水!$B424)</f>
        <v/>
      </c>
      <c r="F1678" s="55" t="str">
        <f aca="false">IF($H1678="","",购销流水!$C424)</f>
        <v/>
      </c>
      <c r="G1678" s="48" t="str">
        <f aca="false">IF($H1678="","",购销流水!$N424)</f>
        <v/>
      </c>
      <c r="H1678" s="10" t="str">
        <f aca="false">IF($L1678="","",IF($L1678="@成本",购销流水!$U424,IF($L1678="@收入",购销流水!$T424,IF($L1678="@存货",购销流水!$S424,IF($L1678="@结算",购销流水!$R424,$L1678)))))</f>
        <v/>
      </c>
      <c r="I1678" s="42" t="n">
        <f aca="false">IF($M1678="借",$O1678,0)</f>
        <v>0</v>
      </c>
      <c r="J1678" s="42" t="n">
        <f aca="false">IF($M1678="贷",$O1678,0)</f>
        <v>0</v>
      </c>
      <c r="K1678" s="48" t="str">
        <f aca="false">IF($H1678="","",购销流水!$E424)</f>
        <v/>
      </c>
      <c r="L1678" s="66" t="str">
        <f aca="false">IF(购销流水!$D424="","",IFERROR(INDEX(记账规则!$A$6:$N$9,MATCH(购销流水!$D424,记账规则!$A$6:$A$9,0),3),""))</f>
        <v/>
      </c>
      <c r="M1678" s="66" t="str">
        <f aca="false">IF($L1678="","",IFERROR(INDEX(记账规则!$A$6:$N$9,MATCH(购销流水!$D424,记账规则!$A$6:$A$9,0),4),""))</f>
        <v/>
      </c>
      <c r="N1678" s="66" t="str">
        <f aca="false">IF($L1678="","",IFERROR(INDEX(记账规则!$A$6:$N$9,MATCH(购销流水!$D424,记账规则!$A$6:$A$9,0),5),""))</f>
        <v/>
      </c>
      <c r="O1678" s="67" t="n">
        <f aca="false">IF($H1678="",0,ROUND(IF($N1678="成本金额",N(购销流水!$W424),IF($N1678="金额",N(购销流水!$Q424),0)),2))</f>
        <v>0</v>
      </c>
      <c r="P1678" s="64" t="str">
        <f aca="false">IF(AND($H1678&lt;&gt;"",ROUND($O1678,2)&lt;&gt;0),"有","")</f>
        <v/>
      </c>
    </row>
    <row r="1679" customFormat="false" ht="15" hidden="true" customHeight="false" outlineLevel="0" collapsed="false">
      <c r="A1679" s="53" t="str">
        <f aca="false">IF($H1679="","",ROW()-5)</f>
        <v/>
      </c>
      <c r="B1679" s="64" t="s">
        <v>36</v>
      </c>
      <c r="C1679" s="53" t="n">
        <v>424</v>
      </c>
      <c r="D1679" s="53" t="n">
        <v>2</v>
      </c>
      <c r="E1679" s="65" t="str">
        <f aca="false">IF($H1679="","",购销流水!$B424)</f>
        <v/>
      </c>
      <c r="F1679" s="55" t="str">
        <f aca="false">IF($H1679="","",购销流水!$C424)</f>
        <v/>
      </c>
      <c r="G1679" s="48" t="str">
        <f aca="false">IF($H1679="","",购销流水!$N424)</f>
        <v/>
      </c>
      <c r="H1679" s="10" t="str">
        <f aca="false">IF($L1679="","",IF($L1679="@成本",购销流水!$U424,IF($L1679="@收入",购销流水!$T424,IF($L1679="@存货",购销流水!$S424,IF($L1679="@结算",购销流水!$R424,$L1679)))))</f>
        <v/>
      </c>
      <c r="I1679" s="42" t="n">
        <f aca="false">IF($M1679="借",$O1679,0)</f>
        <v>0</v>
      </c>
      <c r="J1679" s="42" t="n">
        <f aca="false">IF($M1679="贷",$O1679,0)</f>
        <v>0</v>
      </c>
      <c r="K1679" s="48" t="str">
        <f aca="false">IF($H1679="","",购销流水!$E424)</f>
        <v/>
      </c>
      <c r="L1679" s="66" t="str">
        <f aca="false">IF(购销流水!$D424="","",IFERROR(INDEX(记账规则!$A$6:$N$9,MATCH(购销流水!$D424,记账规则!$A$6:$A$9,0),6),""))</f>
        <v/>
      </c>
      <c r="M1679" s="66" t="str">
        <f aca="false">IF($L1679="","",IFERROR(INDEX(记账规则!$A$6:$N$9,MATCH(购销流水!$D424,记账规则!$A$6:$A$9,0),7),""))</f>
        <v/>
      </c>
      <c r="N1679" s="66" t="str">
        <f aca="false">IF($L1679="","",IFERROR(INDEX(记账规则!$A$6:$N$9,MATCH(购销流水!$D424,记账规则!$A$6:$A$9,0),8),""))</f>
        <v/>
      </c>
      <c r="O1679" s="67" t="n">
        <f aca="false">IF($H1679="",0,ROUND(IF($N1679="成本金额",N(购销流水!$W424),IF($N1679="金额",N(购销流水!$Q424),0)),2))</f>
        <v>0</v>
      </c>
      <c r="P1679" s="64" t="str">
        <f aca="false">IF(AND($H1679&lt;&gt;"",ROUND($O1679,2)&lt;&gt;0),"有","")</f>
        <v/>
      </c>
    </row>
    <row r="1680" customFormat="false" ht="15" hidden="true" customHeight="false" outlineLevel="0" collapsed="false">
      <c r="A1680" s="53" t="str">
        <f aca="false">IF($H1680="","",ROW()-5)</f>
        <v/>
      </c>
      <c r="B1680" s="64" t="s">
        <v>36</v>
      </c>
      <c r="C1680" s="53" t="n">
        <v>424</v>
      </c>
      <c r="D1680" s="53" t="n">
        <v>3</v>
      </c>
      <c r="E1680" s="65" t="str">
        <f aca="false">IF($H1680="","",购销流水!$B424)</f>
        <v/>
      </c>
      <c r="F1680" s="55" t="str">
        <f aca="false">IF($H1680="","",购销流水!$C424)</f>
        <v/>
      </c>
      <c r="G1680" s="48" t="str">
        <f aca="false">IF($H1680="","",购销流水!$N424)</f>
        <v/>
      </c>
      <c r="H1680" s="10" t="str">
        <f aca="false">IF($L1680="","",IF($L1680="@成本",购销流水!$U424,IF($L1680="@收入",购销流水!$T424,IF($L1680="@存货",购销流水!$S424,IF($L1680="@结算",购销流水!$R424,$L1680)))))</f>
        <v/>
      </c>
      <c r="I1680" s="42" t="n">
        <f aca="false">IF($M1680="借",$O1680,0)</f>
        <v>0</v>
      </c>
      <c r="J1680" s="42" t="n">
        <f aca="false">IF($M1680="贷",$O1680,0)</f>
        <v>0</v>
      </c>
      <c r="K1680" s="48" t="str">
        <f aca="false">IF($H1680="","",购销流水!$E424)</f>
        <v/>
      </c>
      <c r="L1680" s="66" t="str">
        <f aca="false">IF(购销流水!$D424="","",IFERROR(INDEX(记账规则!$A$6:$N$9,MATCH(购销流水!$D424,记账规则!$A$6:$A$9,0),9),""))</f>
        <v/>
      </c>
      <c r="M1680" s="66" t="str">
        <f aca="false">IF($L1680="","",IFERROR(INDEX(记账规则!$A$6:$N$9,MATCH(购销流水!$D424,记账规则!$A$6:$A$9,0),10),""))</f>
        <v/>
      </c>
      <c r="N1680" s="66" t="str">
        <f aca="false">IF($L1680="","",IFERROR(INDEX(记账规则!$A$6:$N$9,MATCH(购销流水!$D424,记账规则!$A$6:$A$9,0),11),""))</f>
        <v/>
      </c>
      <c r="O1680" s="67" t="n">
        <f aca="false">IF($H1680="",0,ROUND(IF($N1680="成本金额",N(购销流水!$W424),IF($N1680="金额",N(购销流水!$Q424),0)),2))</f>
        <v>0</v>
      </c>
      <c r="P1680" s="64" t="str">
        <f aca="false">IF(AND($H1680&lt;&gt;"",ROUND($O1680,2)&lt;&gt;0),"有","")</f>
        <v/>
      </c>
    </row>
    <row r="1681" customFormat="false" ht="15" hidden="true" customHeight="false" outlineLevel="0" collapsed="false">
      <c r="A1681" s="53" t="str">
        <f aca="false">IF($H1681="","",ROW()-5)</f>
        <v/>
      </c>
      <c r="B1681" s="64" t="s">
        <v>36</v>
      </c>
      <c r="C1681" s="53" t="n">
        <v>424</v>
      </c>
      <c r="D1681" s="53" t="n">
        <v>4</v>
      </c>
      <c r="E1681" s="65" t="str">
        <f aca="false">IF($H1681="","",购销流水!$B424)</f>
        <v/>
      </c>
      <c r="F1681" s="55" t="str">
        <f aca="false">IF($H1681="","",购销流水!$C424)</f>
        <v/>
      </c>
      <c r="G1681" s="48" t="str">
        <f aca="false">IF($H1681="","",购销流水!$N424)</f>
        <v/>
      </c>
      <c r="H1681" s="10" t="str">
        <f aca="false">IF($L1681="","",IF($L1681="@成本",购销流水!$U424,IF($L1681="@收入",购销流水!$T424,IF($L1681="@存货",购销流水!$S424,IF($L1681="@结算",购销流水!$R424,$L1681)))))</f>
        <v/>
      </c>
      <c r="I1681" s="42" t="n">
        <f aca="false">IF($M1681="借",$O1681,0)</f>
        <v>0</v>
      </c>
      <c r="J1681" s="42" t="n">
        <f aca="false">IF($M1681="贷",$O1681,0)</f>
        <v>0</v>
      </c>
      <c r="K1681" s="48" t="str">
        <f aca="false">IF($H1681="","",购销流水!$E424)</f>
        <v/>
      </c>
      <c r="L1681" s="66" t="str">
        <f aca="false">IF(购销流水!$D424="","",IFERROR(INDEX(记账规则!$A$6:$N$9,MATCH(购销流水!$D424,记账规则!$A$6:$A$9,0),12),""))</f>
        <v/>
      </c>
      <c r="M1681" s="66" t="str">
        <f aca="false">IF($L1681="","",IFERROR(INDEX(记账规则!$A$6:$N$9,MATCH(购销流水!$D424,记账规则!$A$6:$A$9,0),13),""))</f>
        <v/>
      </c>
      <c r="N1681" s="66" t="str">
        <f aca="false">IF($L1681="","",IFERROR(INDEX(记账规则!$A$6:$N$9,MATCH(购销流水!$D424,记账规则!$A$6:$A$9,0),14),""))</f>
        <v/>
      </c>
      <c r="O1681" s="67" t="n">
        <f aca="false">IF($H1681="",0,ROUND(IF($N1681="成本金额",N(购销流水!$W424),IF($N1681="金额",N(购销流水!$Q424),0)),2))</f>
        <v>0</v>
      </c>
      <c r="P1681" s="64" t="str">
        <f aca="false">IF(AND($H1681&lt;&gt;"",ROUND($O1681,2)&lt;&gt;0),"有","")</f>
        <v/>
      </c>
    </row>
    <row r="1682" customFormat="false" ht="15" hidden="true" customHeight="false" outlineLevel="0" collapsed="false">
      <c r="A1682" s="53" t="str">
        <f aca="false">IF($H1682="","",ROW()-5)</f>
        <v/>
      </c>
      <c r="B1682" s="64" t="s">
        <v>36</v>
      </c>
      <c r="C1682" s="53" t="n">
        <v>425</v>
      </c>
      <c r="D1682" s="53" t="n">
        <v>1</v>
      </c>
      <c r="E1682" s="65" t="str">
        <f aca="false">IF($H1682="","",购销流水!$B425)</f>
        <v/>
      </c>
      <c r="F1682" s="55" t="str">
        <f aca="false">IF($H1682="","",购销流水!$C425)</f>
        <v/>
      </c>
      <c r="G1682" s="48" t="str">
        <f aca="false">IF($H1682="","",购销流水!$N425)</f>
        <v/>
      </c>
      <c r="H1682" s="10" t="str">
        <f aca="false">IF($L1682="","",IF($L1682="@成本",购销流水!$U425,IF($L1682="@收入",购销流水!$T425,IF($L1682="@存货",购销流水!$S425,IF($L1682="@结算",购销流水!$R425,$L1682)))))</f>
        <v/>
      </c>
      <c r="I1682" s="42" t="n">
        <f aca="false">IF($M1682="借",$O1682,0)</f>
        <v>0</v>
      </c>
      <c r="J1682" s="42" t="n">
        <f aca="false">IF($M1682="贷",$O1682,0)</f>
        <v>0</v>
      </c>
      <c r="K1682" s="48" t="str">
        <f aca="false">IF($H1682="","",购销流水!$E425)</f>
        <v/>
      </c>
      <c r="L1682" s="66" t="str">
        <f aca="false">IF(购销流水!$D425="","",IFERROR(INDEX(记账规则!$A$6:$N$9,MATCH(购销流水!$D425,记账规则!$A$6:$A$9,0),3),""))</f>
        <v/>
      </c>
      <c r="M1682" s="66" t="str">
        <f aca="false">IF($L1682="","",IFERROR(INDEX(记账规则!$A$6:$N$9,MATCH(购销流水!$D425,记账规则!$A$6:$A$9,0),4),""))</f>
        <v/>
      </c>
      <c r="N1682" s="66" t="str">
        <f aca="false">IF($L1682="","",IFERROR(INDEX(记账规则!$A$6:$N$9,MATCH(购销流水!$D425,记账规则!$A$6:$A$9,0),5),""))</f>
        <v/>
      </c>
      <c r="O1682" s="67" t="n">
        <f aca="false">IF($H1682="",0,ROUND(IF($N1682="成本金额",N(购销流水!$W425),IF($N1682="金额",N(购销流水!$Q425),0)),2))</f>
        <v>0</v>
      </c>
      <c r="P1682" s="64" t="str">
        <f aca="false">IF(AND($H1682&lt;&gt;"",ROUND($O1682,2)&lt;&gt;0),"有","")</f>
        <v/>
      </c>
    </row>
    <row r="1683" customFormat="false" ht="15" hidden="true" customHeight="false" outlineLevel="0" collapsed="false">
      <c r="A1683" s="53" t="str">
        <f aca="false">IF($H1683="","",ROW()-5)</f>
        <v/>
      </c>
      <c r="B1683" s="64" t="s">
        <v>36</v>
      </c>
      <c r="C1683" s="53" t="n">
        <v>425</v>
      </c>
      <c r="D1683" s="53" t="n">
        <v>2</v>
      </c>
      <c r="E1683" s="65" t="str">
        <f aca="false">IF($H1683="","",购销流水!$B425)</f>
        <v/>
      </c>
      <c r="F1683" s="55" t="str">
        <f aca="false">IF($H1683="","",购销流水!$C425)</f>
        <v/>
      </c>
      <c r="G1683" s="48" t="str">
        <f aca="false">IF($H1683="","",购销流水!$N425)</f>
        <v/>
      </c>
      <c r="H1683" s="10" t="str">
        <f aca="false">IF($L1683="","",IF($L1683="@成本",购销流水!$U425,IF($L1683="@收入",购销流水!$T425,IF($L1683="@存货",购销流水!$S425,IF($L1683="@结算",购销流水!$R425,$L1683)))))</f>
        <v/>
      </c>
      <c r="I1683" s="42" t="n">
        <f aca="false">IF($M1683="借",$O1683,0)</f>
        <v>0</v>
      </c>
      <c r="J1683" s="42" t="n">
        <f aca="false">IF($M1683="贷",$O1683,0)</f>
        <v>0</v>
      </c>
      <c r="K1683" s="48" t="str">
        <f aca="false">IF($H1683="","",购销流水!$E425)</f>
        <v/>
      </c>
      <c r="L1683" s="66" t="str">
        <f aca="false">IF(购销流水!$D425="","",IFERROR(INDEX(记账规则!$A$6:$N$9,MATCH(购销流水!$D425,记账规则!$A$6:$A$9,0),6),""))</f>
        <v/>
      </c>
      <c r="M1683" s="66" t="str">
        <f aca="false">IF($L1683="","",IFERROR(INDEX(记账规则!$A$6:$N$9,MATCH(购销流水!$D425,记账规则!$A$6:$A$9,0),7),""))</f>
        <v/>
      </c>
      <c r="N1683" s="66" t="str">
        <f aca="false">IF($L1683="","",IFERROR(INDEX(记账规则!$A$6:$N$9,MATCH(购销流水!$D425,记账规则!$A$6:$A$9,0),8),""))</f>
        <v/>
      </c>
      <c r="O1683" s="67" t="n">
        <f aca="false">IF($H1683="",0,ROUND(IF($N1683="成本金额",N(购销流水!$W425),IF($N1683="金额",N(购销流水!$Q425),0)),2))</f>
        <v>0</v>
      </c>
      <c r="P1683" s="64" t="str">
        <f aca="false">IF(AND($H1683&lt;&gt;"",ROUND($O1683,2)&lt;&gt;0),"有","")</f>
        <v/>
      </c>
    </row>
    <row r="1684" customFormat="false" ht="15" hidden="true" customHeight="false" outlineLevel="0" collapsed="false">
      <c r="A1684" s="53" t="str">
        <f aca="false">IF($H1684="","",ROW()-5)</f>
        <v/>
      </c>
      <c r="B1684" s="64" t="s">
        <v>36</v>
      </c>
      <c r="C1684" s="53" t="n">
        <v>425</v>
      </c>
      <c r="D1684" s="53" t="n">
        <v>3</v>
      </c>
      <c r="E1684" s="65" t="str">
        <f aca="false">IF($H1684="","",购销流水!$B425)</f>
        <v/>
      </c>
      <c r="F1684" s="55" t="str">
        <f aca="false">IF($H1684="","",购销流水!$C425)</f>
        <v/>
      </c>
      <c r="G1684" s="48" t="str">
        <f aca="false">IF($H1684="","",购销流水!$N425)</f>
        <v/>
      </c>
      <c r="H1684" s="10" t="str">
        <f aca="false">IF($L1684="","",IF($L1684="@成本",购销流水!$U425,IF($L1684="@收入",购销流水!$T425,IF($L1684="@存货",购销流水!$S425,IF($L1684="@结算",购销流水!$R425,$L1684)))))</f>
        <v/>
      </c>
      <c r="I1684" s="42" t="n">
        <f aca="false">IF($M1684="借",$O1684,0)</f>
        <v>0</v>
      </c>
      <c r="J1684" s="42" t="n">
        <f aca="false">IF($M1684="贷",$O1684,0)</f>
        <v>0</v>
      </c>
      <c r="K1684" s="48" t="str">
        <f aca="false">IF($H1684="","",购销流水!$E425)</f>
        <v/>
      </c>
      <c r="L1684" s="66" t="str">
        <f aca="false">IF(购销流水!$D425="","",IFERROR(INDEX(记账规则!$A$6:$N$9,MATCH(购销流水!$D425,记账规则!$A$6:$A$9,0),9),""))</f>
        <v/>
      </c>
      <c r="M1684" s="66" t="str">
        <f aca="false">IF($L1684="","",IFERROR(INDEX(记账规则!$A$6:$N$9,MATCH(购销流水!$D425,记账规则!$A$6:$A$9,0),10),""))</f>
        <v/>
      </c>
      <c r="N1684" s="66" t="str">
        <f aca="false">IF($L1684="","",IFERROR(INDEX(记账规则!$A$6:$N$9,MATCH(购销流水!$D425,记账规则!$A$6:$A$9,0),11),""))</f>
        <v/>
      </c>
      <c r="O1684" s="67" t="n">
        <f aca="false">IF($H1684="",0,ROUND(IF($N1684="成本金额",N(购销流水!$W425),IF($N1684="金额",N(购销流水!$Q425),0)),2))</f>
        <v>0</v>
      </c>
      <c r="P1684" s="64" t="str">
        <f aca="false">IF(AND($H1684&lt;&gt;"",ROUND($O1684,2)&lt;&gt;0),"有","")</f>
        <v/>
      </c>
    </row>
    <row r="1685" customFormat="false" ht="15" hidden="true" customHeight="false" outlineLevel="0" collapsed="false">
      <c r="A1685" s="53" t="str">
        <f aca="false">IF($H1685="","",ROW()-5)</f>
        <v/>
      </c>
      <c r="B1685" s="64" t="s">
        <v>36</v>
      </c>
      <c r="C1685" s="53" t="n">
        <v>425</v>
      </c>
      <c r="D1685" s="53" t="n">
        <v>4</v>
      </c>
      <c r="E1685" s="65" t="str">
        <f aca="false">IF($H1685="","",购销流水!$B425)</f>
        <v/>
      </c>
      <c r="F1685" s="55" t="str">
        <f aca="false">IF($H1685="","",购销流水!$C425)</f>
        <v/>
      </c>
      <c r="G1685" s="48" t="str">
        <f aca="false">IF($H1685="","",购销流水!$N425)</f>
        <v/>
      </c>
      <c r="H1685" s="10" t="str">
        <f aca="false">IF($L1685="","",IF($L1685="@成本",购销流水!$U425,IF($L1685="@收入",购销流水!$T425,IF($L1685="@存货",购销流水!$S425,IF($L1685="@结算",购销流水!$R425,$L1685)))))</f>
        <v/>
      </c>
      <c r="I1685" s="42" t="n">
        <f aca="false">IF($M1685="借",$O1685,0)</f>
        <v>0</v>
      </c>
      <c r="J1685" s="42" t="n">
        <f aca="false">IF($M1685="贷",$O1685,0)</f>
        <v>0</v>
      </c>
      <c r="K1685" s="48" t="str">
        <f aca="false">IF($H1685="","",购销流水!$E425)</f>
        <v/>
      </c>
      <c r="L1685" s="66" t="str">
        <f aca="false">IF(购销流水!$D425="","",IFERROR(INDEX(记账规则!$A$6:$N$9,MATCH(购销流水!$D425,记账规则!$A$6:$A$9,0),12),""))</f>
        <v/>
      </c>
      <c r="M1685" s="66" t="str">
        <f aca="false">IF($L1685="","",IFERROR(INDEX(记账规则!$A$6:$N$9,MATCH(购销流水!$D425,记账规则!$A$6:$A$9,0),13),""))</f>
        <v/>
      </c>
      <c r="N1685" s="66" t="str">
        <f aca="false">IF($L1685="","",IFERROR(INDEX(记账规则!$A$6:$N$9,MATCH(购销流水!$D425,记账规则!$A$6:$A$9,0),14),""))</f>
        <v/>
      </c>
      <c r="O1685" s="67" t="n">
        <f aca="false">IF($H1685="",0,ROUND(IF($N1685="成本金额",N(购销流水!$W425),IF($N1685="金额",N(购销流水!$Q425),0)),2))</f>
        <v>0</v>
      </c>
      <c r="P1685" s="64" t="str">
        <f aca="false">IF(AND($H1685&lt;&gt;"",ROUND($O1685,2)&lt;&gt;0),"有","")</f>
        <v/>
      </c>
    </row>
    <row r="1686" customFormat="false" ht="15" hidden="true" customHeight="false" outlineLevel="0" collapsed="false">
      <c r="A1686" s="53" t="str">
        <f aca="false">IF($H1686="","",ROW()-5)</f>
        <v/>
      </c>
      <c r="B1686" s="64" t="s">
        <v>36</v>
      </c>
      <c r="C1686" s="53" t="n">
        <v>426</v>
      </c>
      <c r="D1686" s="53" t="n">
        <v>1</v>
      </c>
      <c r="E1686" s="65" t="str">
        <f aca="false">IF($H1686="","",购销流水!$B426)</f>
        <v/>
      </c>
      <c r="F1686" s="55" t="str">
        <f aca="false">IF($H1686="","",购销流水!$C426)</f>
        <v/>
      </c>
      <c r="G1686" s="48" t="str">
        <f aca="false">IF($H1686="","",购销流水!$N426)</f>
        <v/>
      </c>
      <c r="H1686" s="10" t="str">
        <f aca="false">IF($L1686="","",IF($L1686="@成本",购销流水!$U426,IF($L1686="@收入",购销流水!$T426,IF($L1686="@存货",购销流水!$S426,IF($L1686="@结算",购销流水!$R426,$L1686)))))</f>
        <v/>
      </c>
      <c r="I1686" s="42" t="n">
        <f aca="false">IF($M1686="借",$O1686,0)</f>
        <v>0</v>
      </c>
      <c r="J1686" s="42" t="n">
        <f aca="false">IF($M1686="贷",$O1686,0)</f>
        <v>0</v>
      </c>
      <c r="K1686" s="48" t="str">
        <f aca="false">IF($H1686="","",购销流水!$E426)</f>
        <v/>
      </c>
      <c r="L1686" s="66" t="str">
        <f aca="false">IF(购销流水!$D426="","",IFERROR(INDEX(记账规则!$A$6:$N$9,MATCH(购销流水!$D426,记账规则!$A$6:$A$9,0),3),""))</f>
        <v/>
      </c>
      <c r="M1686" s="66" t="str">
        <f aca="false">IF($L1686="","",IFERROR(INDEX(记账规则!$A$6:$N$9,MATCH(购销流水!$D426,记账规则!$A$6:$A$9,0),4),""))</f>
        <v/>
      </c>
      <c r="N1686" s="66" t="str">
        <f aca="false">IF($L1686="","",IFERROR(INDEX(记账规则!$A$6:$N$9,MATCH(购销流水!$D426,记账规则!$A$6:$A$9,0),5),""))</f>
        <v/>
      </c>
      <c r="O1686" s="67" t="n">
        <f aca="false">IF($H1686="",0,ROUND(IF($N1686="成本金额",N(购销流水!$W426),IF($N1686="金额",N(购销流水!$Q426),0)),2))</f>
        <v>0</v>
      </c>
      <c r="P1686" s="64" t="str">
        <f aca="false">IF(AND($H1686&lt;&gt;"",ROUND($O1686,2)&lt;&gt;0),"有","")</f>
        <v/>
      </c>
    </row>
    <row r="1687" customFormat="false" ht="15" hidden="true" customHeight="false" outlineLevel="0" collapsed="false">
      <c r="A1687" s="53" t="str">
        <f aca="false">IF($H1687="","",ROW()-5)</f>
        <v/>
      </c>
      <c r="B1687" s="64" t="s">
        <v>36</v>
      </c>
      <c r="C1687" s="53" t="n">
        <v>426</v>
      </c>
      <c r="D1687" s="53" t="n">
        <v>2</v>
      </c>
      <c r="E1687" s="65" t="str">
        <f aca="false">IF($H1687="","",购销流水!$B426)</f>
        <v/>
      </c>
      <c r="F1687" s="55" t="str">
        <f aca="false">IF($H1687="","",购销流水!$C426)</f>
        <v/>
      </c>
      <c r="G1687" s="48" t="str">
        <f aca="false">IF($H1687="","",购销流水!$N426)</f>
        <v/>
      </c>
      <c r="H1687" s="10" t="str">
        <f aca="false">IF($L1687="","",IF($L1687="@成本",购销流水!$U426,IF($L1687="@收入",购销流水!$T426,IF($L1687="@存货",购销流水!$S426,IF($L1687="@结算",购销流水!$R426,$L1687)))))</f>
        <v/>
      </c>
      <c r="I1687" s="42" t="n">
        <f aca="false">IF($M1687="借",$O1687,0)</f>
        <v>0</v>
      </c>
      <c r="J1687" s="42" t="n">
        <f aca="false">IF($M1687="贷",$O1687,0)</f>
        <v>0</v>
      </c>
      <c r="K1687" s="48" t="str">
        <f aca="false">IF($H1687="","",购销流水!$E426)</f>
        <v/>
      </c>
      <c r="L1687" s="66" t="str">
        <f aca="false">IF(购销流水!$D426="","",IFERROR(INDEX(记账规则!$A$6:$N$9,MATCH(购销流水!$D426,记账规则!$A$6:$A$9,0),6),""))</f>
        <v/>
      </c>
      <c r="M1687" s="66" t="str">
        <f aca="false">IF($L1687="","",IFERROR(INDEX(记账规则!$A$6:$N$9,MATCH(购销流水!$D426,记账规则!$A$6:$A$9,0),7),""))</f>
        <v/>
      </c>
      <c r="N1687" s="66" t="str">
        <f aca="false">IF($L1687="","",IFERROR(INDEX(记账规则!$A$6:$N$9,MATCH(购销流水!$D426,记账规则!$A$6:$A$9,0),8),""))</f>
        <v/>
      </c>
      <c r="O1687" s="67" t="n">
        <f aca="false">IF($H1687="",0,ROUND(IF($N1687="成本金额",N(购销流水!$W426),IF($N1687="金额",N(购销流水!$Q426),0)),2))</f>
        <v>0</v>
      </c>
      <c r="P1687" s="64" t="str">
        <f aca="false">IF(AND($H1687&lt;&gt;"",ROUND($O1687,2)&lt;&gt;0),"有","")</f>
        <v/>
      </c>
    </row>
    <row r="1688" customFormat="false" ht="15" hidden="true" customHeight="false" outlineLevel="0" collapsed="false">
      <c r="A1688" s="53" t="str">
        <f aca="false">IF($H1688="","",ROW()-5)</f>
        <v/>
      </c>
      <c r="B1688" s="64" t="s">
        <v>36</v>
      </c>
      <c r="C1688" s="53" t="n">
        <v>426</v>
      </c>
      <c r="D1688" s="53" t="n">
        <v>3</v>
      </c>
      <c r="E1688" s="65" t="str">
        <f aca="false">IF($H1688="","",购销流水!$B426)</f>
        <v/>
      </c>
      <c r="F1688" s="55" t="str">
        <f aca="false">IF($H1688="","",购销流水!$C426)</f>
        <v/>
      </c>
      <c r="G1688" s="48" t="str">
        <f aca="false">IF($H1688="","",购销流水!$N426)</f>
        <v/>
      </c>
      <c r="H1688" s="10" t="str">
        <f aca="false">IF($L1688="","",IF($L1688="@成本",购销流水!$U426,IF($L1688="@收入",购销流水!$T426,IF($L1688="@存货",购销流水!$S426,IF($L1688="@结算",购销流水!$R426,$L1688)))))</f>
        <v/>
      </c>
      <c r="I1688" s="42" t="n">
        <f aca="false">IF($M1688="借",$O1688,0)</f>
        <v>0</v>
      </c>
      <c r="J1688" s="42" t="n">
        <f aca="false">IF($M1688="贷",$O1688,0)</f>
        <v>0</v>
      </c>
      <c r="K1688" s="48" t="str">
        <f aca="false">IF($H1688="","",购销流水!$E426)</f>
        <v/>
      </c>
      <c r="L1688" s="66" t="str">
        <f aca="false">IF(购销流水!$D426="","",IFERROR(INDEX(记账规则!$A$6:$N$9,MATCH(购销流水!$D426,记账规则!$A$6:$A$9,0),9),""))</f>
        <v/>
      </c>
      <c r="M1688" s="66" t="str">
        <f aca="false">IF($L1688="","",IFERROR(INDEX(记账规则!$A$6:$N$9,MATCH(购销流水!$D426,记账规则!$A$6:$A$9,0),10),""))</f>
        <v/>
      </c>
      <c r="N1688" s="66" t="str">
        <f aca="false">IF($L1688="","",IFERROR(INDEX(记账规则!$A$6:$N$9,MATCH(购销流水!$D426,记账规则!$A$6:$A$9,0),11),""))</f>
        <v/>
      </c>
      <c r="O1688" s="67" t="n">
        <f aca="false">IF($H1688="",0,ROUND(IF($N1688="成本金额",N(购销流水!$W426),IF($N1688="金额",N(购销流水!$Q426),0)),2))</f>
        <v>0</v>
      </c>
      <c r="P1688" s="64" t="str">
        <f aca="false">IF(AND($H1688&lt;&gt;"",ROUND($O1688,2)&lt;&gt;0),"有","")</f>
        <v/>
      </c>
    </row>
    <row r="1689" customFormat="false" ht="15" hidden="true" customHeight="false" outlineLevel="0" collapsed="false">
      <c r="A1689" s="53" t="str">
        <f aca="false">IF($H1689="","",ROW()-5)</f>
        <v/>
      </c>
      <c r="B1689" s="64" t="s">
        <v>36</v>
      </c>
      <c r="C1689" s="53" t="n">
        <v>426</v>
      </c>
      <c r="D1689" s="53" t="n">
        <v>4</v>
      </c>
      <c r="E1689" s="65" t="str">
        <f aca="false">IF($H1689="","",购销流水!$B426)</f>
        <v/>
      </c>
      <c r="F1689" s="55" t="str">
        <f aca="false">IF($H1689="","",购销流水!$C426)</f>
        <v/>
      </c>
      <c r="G1689" s="48" t="str">
        <f aca="false">IF($H1689="","",购销流水!$N426)</f>
        <v/>
      </c>
      <c r="H1689" s="10" t="str">
        <f aca="false">IF($L1689="","",IF($L1689="@成本",购销流水!$U426,IF($L1689="@收入",购销流水!$T426,IF($L1689="@存货",购销流水!$S426,IF($L1689="@结算",购销流水!$R426,$L1689)))))</f>
        <v/>
      </c>
      <c r="I1689" s="42" t="n">
        <f aca="false">IF($M1689="借",$O1689,0)</f>
        <v>0</v>
      </c>
      <c r="J1689" s="42" t="n">
        <f aca="false">IF($M1689="贷",$O1689,0)</f>
        <v>0</v>
      </c>
      <c r="K1689" s="48" t="str">
        <f aca="false">IF($H1689="","",购销流水!$E426)</f>
        <v/>
      </c>
      <c r="L1689" s="66" t="str">
        <f aca="false">IF(购销流水!$D426="","",IFERROR(INDEX(记账规则!$A$6:$N$9,MATCH(购销流水!$D426,记账规则!$A$6:$A$9,0),12),""))</f>
        <v/>
      </c>
      <c r="M1689" s="66" t="str">
        <f aca="false">IF($L1689="","",IFERROR(INDEX(记账规则!$A$6:$N$9,MATCH(购销流水!$D426,记账规则!$A$6:$A$9,0),13),""))</f>
        <v/>
      </c>
      <c r="N1689" s="66" t="str">
        <f aca="false">IF($L1689="","",IFERROR(INDEX(记账规则!$A$6:$N$9,MATCH(购销流水!$D426,记账规则!$A$6:$A$9,0),14),""))</f>
        <v/>
      </c>
      <c r="O1689" s="67" t="n">
        <f aca="false">IF($H1689="",0,ROUND(IF($N1689="成本金额",N(购销流水!$W426),IF($N1689="金额",N(购销流水!$Q426),0)),2))</f>
        <v>0</v>
      </c>
      <c r="P1689" s="64" t="str">
        <f aca="false">IF(AND($H1689&lt;&gt;"",ROUND($O1689,2)&lt;&gt;0),"有","")</f>
        <v/>
      </c>
    </row>
    <row r="1690" customFormat="false" ht="15" hidden="true" customHeight="false" outlineLevel="0" collapsed="false">
      <c r="A1690" s="53" t="str">
        <f aca="false">IF($H1690="","",ROW()-5)</f>
        <v/>
      </c>
      <c r="B1690" s="64" t="s">
        <v>36</v>
      </c>
      <c r="C1690" s="53" t="n">
        <v>427</v>
      </c>
      <c r="D1690" s="53" t="n">
        <v>1</v>
      </c>
      <c r="E1690" s="65" t="str">
        <f aca="false">IF($H1690="","",购销流水!$B427)</f>
        <v/>
      </c>
      <c r="F1690" s="55" t="str">
        <f aca="false">IF($H1690="","",购销流水!$C427)</f>
        <v/>
      </c>
      <c r="G1690" s="48" t="str">
        <f aca="false">IF($H1690="","",购销流水!$N427)</f>
        <v/>
      </c>
      <c r="H1690" s="10" t="str">
        <f aca="false">IF($L1690="","",IF($L1690="@成本",购销流水!$U427,IF($L1690="@收入",购销流水!$T427,IF($L1690="@存货",购销流水!$S427,IF($L1690="@结算",购销流水!$R427,$L1690)))))</f>
        <v/>
      </c>
      <c r="I1690" s="42" t="n">
        <f aca="false">IF($M1690="借",$O1690,0)</f>
        <v>0</v>
      </c>
      <c r="J1690" s="42" t="n">
        <f aca="false">IF($M1690="贷",$O1690,0)</f>
        <v>0</v>
      </c>
      <c r="K1690" s="48" t="str">
        <f aca="false">IF($H1690="","",购销流水!$E427)</f>
        <v/>
      </c>
      <c r="L1690" s="66" t="str">
        <f aca="false">IF(购销流水!$D427="","",IFERROR(INDEX(记账规则!$A$6:$N$9,MATCH(购销流水!$D427,记账规则!$A$6:$A$9,0),3),""))</f>
        <v/>
      </c>
      <c r="M1690" s="66" t="str">
        <f aca="false">IF($L1690="","",IFERROR(INDEX(记账规则!$A$6:$N$9,MATCH(购销流水!$D427,记账规则!$A$6:$A$9,0),4),""))</f>
        <v/>
      </c>
      <c r="N1690" s="66" t="str">
        <f aca="false">IF($L1690="","",IFERROR(INDEX(记账规则!$A$6:$N$9,MATCH(购销流水!$D427,记账规则!$A$6:$A$9,0),5),""))</f>
        <v/>
      </c>
      <c r="O1690" s="67" t="n">
        <f aca="false">IF($H1690="",0,ROUND(IF($N1690="成本金额",N(购销流水!$W427),IF($N1690="金额",N(购销流水!$Q427),0)),2))</f>
        <v>0</v>
      </c>
      <c r="P1690" s="64" t="str">
        <f aca="false">IF(AND($H1690&lt;&gt;"",ROUND($O1690,2)&lt;&gt;0),"有","")</f>
        <v/>
      </c>
    </row>
    <row r="1691" customFormat="false" ht="15" hidden="true" customHeight="false" outlineLevel="0" collapsed="false">
      <c r="A1691" s="53" t="str">
        <f aca="false">IF($H1691="","",ROW()-5)</f>
        <v/>
      </c>
      <c r="B1691" s="64" t="s">
        <v>36</v>
      </c>
      <c r="C1691" s="53" t="n">
        <v>427</v>
      </c>
      <c r="D1691" s="53" t="n">
        <v>2</v>
      </c>
      <c r="E1691" s="65" t="str">
        <f aca="false">IF($H1691="","",购销流水!$B427)</f>
        <v/>
      </c>
      <c r="F1691" s="55" t="str">
        <f aca="false">IF($H1691="","",购销流水!$C427)</f>
        <v/>
      </c>
      <c r="G1691" s="48" t="str">
        <f aca="false">IF($H1691="","",购销流水!$N427)</f>
        <v/>
      </c>
      <c r="H1691" s="10" t="str">
        <f aca="false">IF($L1691="","",IF($L1691="@成本",购销流水!$U427,IF($L1691="@收入",购销流水!$T427,IF($L1691="@存货",购销流水!$S427,IF($L1691="@结算",购销流水!$R427,$L1691)))))</f>
        <v/>
      </c>
      <c r="I1691" s="42" t="n">
        <f aca="false">IF($M1691="借",$O1691,0)</f>
        <v>0</v>
      </c>
      <c r="J1691" s="42" t="n">
        <f aca="false">IF($M1691="贷",$O1691,0)</f>
        <v>0</v>
      </c>
      <c r="K1691" s="48" t="str">
        <f aca="false">IF($H1691="","",购销流水!$E427)</f>
        <v/>
      </c>
      <c r="L1691" s="66" t="str">
        <f aca="false">IF(购销流水!$D427="","",IFERROR(INDEX(记账规则!$A$6:$N$9,MATCH(购销流水!$D427,记账规则!$A$6:$A$9,0),6),""))</f>
        <v/>
      </c>
      <c r="M1691" s="66" t="str">
        <f aca="false">IF($L1691="","",IFERROR(INDEX(记账规则!$A$6:$N$9,MATCH(购销流水!$D427,记账规则!$A$6:$A$9,0),7),""))</f>
        <v/>
      </c>
      <c r="N1691" s="66" t="str">
        <f aca="false">IF($L1691="","",IFERROR(INDEX(记账规则!$A$6:$N$9,MATCH(购销流水!$D427,记账规则!$A$6:$A$9,0),8),""))</f>
        <v/>
      </c>
      <c r="O1691" s="67" t="n">
        <f aca="false">IF($H1691="",0,ROUND(IF($N1691="成本金额",N(购销流水!$W427),IF($N1691="金额",N(购销流水!$Q427),0)),2))</f>
        <v>0</v>
      </c>
      <c r="P1691" s="64" t="str">
        <f aca="false">IF(AND($H1691&lt;&gt;"",ROUND($O1691,2)&lt;&gt;0),"有","")</f>
        <v/>
      </c>
    </row>
    <row r="1692" customFormat="false" ht="15" hidden="true" customHeight="false" outlineLevel="0" collapsed="false">
      <c r="A1692" s="53" t="str">
        <f aca="false">IF($H1692="","",ROW()-5)</f>
        <v/>
      </c>
      <c r="B1692" s="64" t="s">
        <v>36</v>
      </c>
      <c r="C1692" s="53" t="n">
        <v>427</v>
      </c>
      <c r="D1692" s="53" t="n">
        <v>3</v>
      </c>
      <c r="E1692" s="65" t="str">
        <f aca="false">IF($H1692="","",购销流水!$B427)</f>
        <v/>
      </c>
      <c r="F1692" s="55" t="str">
        <f aca="false">IF($H1692="","",购销流水!$C427)</f>
        <v/>
      </c>
      <c r="G1692" s="48" t="str">
        <f aca="false">IF($H1692="","",购销流水!$N427)</f>
        <v/>
      </c>
      <c r="H1692" s="10" t="str">
        <f aca="false">IF($L1692="","",IF($L1692="@成本",购销流水!$U427,IF($L1692="@收入",购销流水!$T427,IF($L1692="@存货",购销流水!$S427,IF($L1692="@结算",购销流水!$R427,$L1692)))))</f>
        <v/>
      </c>
      <c r="I1692" s="42" t="n">
        <f aca="false">IF($M1692="借",$O1692,0)</f>
        <v>0</v>
      </c>
      <c r="J1692" s="42" t="n">
        <f aca="false">IF($M1692="贷",$O1692,0)</f>
        <v>0</v>
      </c>
      <c r="K1692" s="48" t="str">
        <f aca="false">IF($H1692="","",购销流水!$E427)</f>
        <v/>
      </c>
      <c r="L1692" s="66" t="str">
        <f aca="false">IF(购销流水!$D427="","",IFERROR(INDEX(记账规则!$A$6:$N$9,MATCH(购销流水!$D427,记账规则!$A$6:$A$9,0),9),""))</f>
        <v/>
      </c>
      <c r="M1692" s="66" t="str">
        <f aca="false">IF($L1692="","",IFERROR(INDEX(记账规则!$A$6:$N$9,MATCH(购销流水!$D427,记账规则!$A$6:$A$9,0),10),""))</f>
        <v/>
      </c>
      <c r="N1692" s="66" t="str">
        <f aca="false">IF($L1692="","",IFERROR(INDEX(记账规则!$A$6:$N$9,MATCH(购销流水!$D427,记账规则!$A$6:$A$9,0),11),""))</f>
        <v/>
      </c>
      <c r="O1692" s="67" t="n">
        <f aca="false">IF($H1692="",0,ROUND(IF($N1692="成本金额",N(购销流水!$W427),IF($N1692="金额",N(购销流水!$Q427),0)),2))</f>
        <v>0</v>
      </c>
      <c r="P1692" s="64" t="str">
        <f aca="false">IF(AND($H1692&lt;&gt;"",ROUND($O1692,2)&lt;&gt;0),"有","")</f>
        <v/>
      </c>
    </row>
    <row r="1693" customFormat="false" ht="15" hidden="true" customHeight="false" outlineLevel="0" collapsed="false">
      <c r="A1693" s="53" t="str">
        <f aca="false">IF($H1693="","",ROW()-5)</f>
        <v/>
      </c>
      <c r="B1693" s="64" t="s">
        <v>36</v>
      </c>
      <c r="C1693" s="53" t="n">
        <v>427</v>
      </c>
      <c r="D1693" s="53" t="n">
        <v>4</v>
      </c>
      <c r="E1693" s="65" t="str">
        <f aca="false">IF($H1693="","",购销流水!$B427)</f>
        <v/>
      </c>
      <c r="F1693" s="55" t="str">
        <f aca="false">IF($H1693="","",购销流水!$C427)</f>
        <v/>
      </c>
      <c r="G1693" s="48" t="str">
        <f aca="false">IF($H1693="","",购销流水!$N427)</f>
        <v/>
      </c>
      <c r="H1693" s="10" t="str">
        <f aca="false">IF($L1693="","",IF($L1693="@成本",购销流水!$U427,IF($L1693="@收入",购销流水!$T427,IF($L1693="@存货",购销流水!$S427,IF($L1693="@结算",购销流水!$R427,$L1693)))))</f>
        <v/>
      </c>
      <c r="I1693" s="42" t="n">
        <f aca="false">IF($M1693="借",$O1693,0)</f>
        <v>0</v>
      </c>
      <c r="J1693" s="42" t="n">
        <f aca="false">IF($M1693="贷",$O1693,0)</f>
        <v>0</v>
      </c>
      <c r="K1693" s="48" t="str">
        <f aca="false">IF($H1693="","",购销流水!$E427)</f>
        <v/>
      </c>
      <c r="L1693" s="66" t="str">
        <f aca="false">IF(购销流水!$D427="","",IFERROR(INDEX(记账规则!$A$6:$N$9,MATCH(购销流水!$D427,记账规则!$A$6:$A$9,0),12),""))</f>
        <v/>
      </c>
      <c r="M1693" s="66" t="str">
        <f aca="false">IF($L1693="","",IFERROR(INDEX(记账规则!$A$6:$N$9,MATCH(购销流水!$D427,记账规则!$A$6:$A$9,0),13),""))</f>
        <v/>
      </c>
      <c r="N1693" s="66" t="str">
        <f aca="false">IF($L1693="","",IFERROR(INDEX(记账规则!$A$6:$N$9,MATCH(购销流水!$D427,记账规则!$A$6:$A$9,0),14),""))</f>
        <v/>
      </c>
      <c r="O1693" s="67" t="n">
        <f aca="false">IF($H1693="",0,ROUND(IF($N1693="成本金额",N(购销流水!$W427),IF($N1693="金额",N(购销流水!$Q427),0)),2))</f>
        <v>0</v>
      </c>
      <c r="P1693" s="64" t="str">
        <f aca="false">IF(AND($H1693&lt;&gt;"",ROUND($O1693,2)&lt;&gt;0),"有","")</f>
        <v/>
      </c>
    </row>
    <row r="1694" customFormat="false" ht="15" hidden="true" customHeight="false" outlineLevel="0" collapsed="false">
      <c r="A1694" s="53" t="str">
        <f aca="false">IF($H1694="","",ROW()-5)</f>
        <v/>
      </c>
      <c r="B1694" s="64" t="s">
        <v>36</v>
      </c>
      <c r="C1694" s="53" t="n">
        <v>428</v>
      </c>
      <c r="D1694" s="53" t="n">
        <v>1</v>
      </c>
      <c r="E1694" s="65" t="str">
        <f aca="false">IF($H1694="","",购销流水!$B428)</f>
        <v/>
      </c>
      <c r="F1694" s="55" t="str">
        <f aca="false">IF($H1694="","",购销流水!$C428)</f>
        <v/>
      </c>
      <c r="G1694" s="48" t="str">
        <f aca="false">IF($H1694="","",购销流水!$N428)</f>
        <v/>
      </c>
      <c r="H1694" s="10" t="str">
        <f aca="false">IF($L1694="","",IF($L1694="@成本",购销流水!$U428,IF($L1694="@收入",购销流水!$T428,IF($L1694="@存货",购销流水!$S428,IF($L1694="@结算",购销流水!$R428,$L1694)))))</f>
        <v/>
      </c>
      <c r="I1694" s="42" t="n">
        <f aca="false">IF($M1694="借",$O1694,0)</f>
        <v>0</v>
      </c>
      <c r="J1694" s="42" t="n">
        <f aca="false">IF($M1694="贷",$O1694,0)</f>
        <v>0</v>
      </c>
      <c r="K1694" s="48" t="str">
        <f aca="false">IF($H1694="","",购销流水!$E428)</f>
        <v/>
      </c>
      <c r="L1694" s="66" t="str">
        <f aca="false">IF(购销流水!$D428="","",IFERROR(INDEX(记账规则!$A$6:$N$9,MATCH(购销流水!$D428,记账规则!$A$6:$A$9,0),3),""))</f>
        <v/>
      </c>
      <c r="M1694" s="66" t="str">
        <f aca="false">IF($L1694="","",IFERROR(INDEX(记账规则!$A$6:$N$9,MATCH(购销流水!$D428,记账规则!$A$6:$A$9,0),4),""))</f>
        <v/>
      </c>
      <c r="N1694" s="66" t="str">
        <f aca="false">IF($L1694="","",IFERROR(INDEX(记账规则!$A$6:$N$9,MATCH(购销流水!$D428,记账规则!$A$6:$A$9,0),5),""))</f>
        <v/>
      </c>
      <c r="O1694" s="67" t="n">
        <f aca="false">IF($H1694="",0,ROUND(IF($N1694="成本金额",N(购销流水!$W428),IF($N1694="金额",N(购销流水!$Q428),0)),2))</f>
        <v>0</v>
      </c>
      <c r="P1694" s="64" t="str">
        <f aca="false">IF(AND($H1694&lt;&gt;"",ROUND($O1694,2)&lt;&gt;0),"有","")</f>
        <v/>
      </c>
    </row>
    <row r="1695" customFormat="false" ht="15" hidden="true" customHeight="false" outlineLevel="0" collapsed="false">
      <c r="A1695" s="53" t="str">
        <f aca="false">IF($H1695="","",ROW()-5)</f>
        <v/>
      </c>
      <c r="B1695" s="64" t="s">
        <v>36</v>
      </c>
      <c r="C1695" s="53" t="n">
        <v>428</v>
      </c>
      <c r="D1695" s="53" t="n">
        <v>2</v>
      </c>
      <c r="E1695" s="65" t="str">
        <f aca="false">IF($H1695="","",购销流水!$B428)</f>
        <v/>
      </c>
      <c r="F1695" s="55" t="str">
        <f aca="false">IF($H1695="","",购销流水!$C428)</f>
        <v/>
      </c>
      <c r="G1695" s="48" t="str">
        <f aca="false">IF($H1695="","",购销流水!$N428)</f>
        <v/>
      </c>
      <c r="H1695" s="10" t="str">
        <f aca="false">IF($L1695="","",IF($L1695="@成本",购销流水!$U428,IF($L1695="@收入",购销流水!$T428,IF($L1695="@存货",购销流水!$S428,IF($L1695="@结算",购销流水!$R428,$L1695)))))</f>
        <v/>
      </c>
      <c r="I1695" s="42" t="n">
        <f aca="false">IF($M1695="借",$O1695,0)</f>
        <v>0</v>
      </c>
      <c r="J1695" s="42" t="n">
        <f aca="false">IF($M1695="贷",$O1695,0)</f>
        <v>0</v>
      </c>
      <c r="K1695" s="48" t="str">
        <f aca="false">IF($H1695="","",购销流水!$E428)</f>
        <v/>
      </c>
      <c r="L1695" s="66" t="str">
        <f aca="false">IF(购销流水!$D428="","",IFERROR(INDEX(记账规则!$A$6:$N$9,MATCH(购销流水!$D428,记账规则!$A$6:$A$9,0),6),""))</f>
        <v/>
      </c>
      <c r="M1695" s="66" t="str">
        <f aca="false">IF($L1695="","",IFERROR(INDEX(记账规则!$A$6:$N$9,MATCH(购销流水!$D428,记账规则!$A$6:$A$9,0),7),""))</f>
        <v/>
      </c>
      <c r="N1695" s="66" t="str">
        <f aca="false">IF($L1695="","",IFERROR(INDEX(记账规则!$A$6:$N$9,MATCH(购销流水!$D428,记账规则!$A$6:$A$9,0),8),""))</f>
        <v/>
      </c>
      <c r="O1695" s="67" t="n">
        <f aca="false">IF($H1695="",0,ROUND(IF($N1695="成本金额",N(购销流水!$W428),IF($N1695="金额",N(购销流水!$Q428),0)),2))</f>
        <v>0</v>
      </c>
      <c r="P1695" s="64" t="str">
        <f aca="false">IF(AND($H1695&lt;&gt;"",ROUND($O1695,2)&lt;&gt;0),"有","")</f>
        <v/>
      </c>
    </row>
    <row r="1696" customFormat="false" ht="15" hidden="true" customHeight="false" outlineLevel="0" collapsed="false">
      <c r="A1696" s="53" t="str">
        <f aca="false">IF($H1696="","",ROW()-5)</f>
        <v/>
      </c>
      <c r="B1696" s="64" t="s">
        <v>36</v>
      </c>
      <c r="C1696" s="53" t="n">
        <v>428</v>
      </c>
      <c r="D1696" s="53" t="n">
        <v>3</v>
      </c>
      <c r="E1696" s="65" t="str">
        <f aca="false">IF($H1696="","",购销流水!$B428)</f>
        <v/>
      </c>
      <c r="F1696" s="55" t="str">
        <f aca="false">IF($H1696="","",购销流水!$C428)</f>
        <v/>
      </c>
      <c r="G1696" s="48" t="str">
        <f aca="false">IF($H1696="","",购销流水!$N428)</f>
        <v/>
      </c>
      <c r="H1696" s="10" t="str">
        <f aca="false">IF($L1696="","",IF($L1696="@成本",购销流水!$U428,IF($L1696="@收入",购销流水!$T428,IF($L1696="@存货",购销流水!$S428,IF($L1696="@结算",购销流水!$R428,$L1696)))))</f>
        <v/>
      </c>
      <c r="I1696" s="42" t="n">
        <f aca="false">IF($M1696="借",$O1696,0)</f>
        <v>0</v>
      </c>
      <c r="J1696" s="42" t="n">
        <f aca="false">IF($M1696="贷",$O1696,0)</f>
        <v>0</v>
      </c>
      <c r="K1696" s="48" t="str">
        <f aca="false">IF($H1696="","",购销流水!$E428)</f>
        <v/>
      </c>
      <c r="L1696" s="66" t="str">
        <f aca="false">IF(购销流水!$D428="","",IFERROR(INDEX(记账规则!$A$6:$N$9,MATCH(购销流水!$D428,记账规则!$A$6:$A$9,0),9),""))</f>
        <v/>
      </c>
      <c r="M1696" s="66" t="str">
        <f aca="false">IF($L1696="","",IFERROR(INDEX(记账规则!$A$6:$N$9,MATCH(购销流水!$D428,记账规则!$A$6:$A$9,0),10),""))</f>
        <v/>
      </c>
      <c r="N1696" s="66" t="str">
        <f aca="false">IF($L1696="","",IFERROR(INDEX(记账规则!$A$6:$N$9,MATCH(购销流水!$D428,记账规则!$A$6:$A$9,0),11),""))</f>
        <v/>
      </c>
      <c r="O1696" s="67" t="n">
        <f aca="false">IF($H1696="",0,ROUND(IF($N1696="成本金额",N(购销流水!$W428),IF($N1696="金额",N(购销流水!$Q428),0)),2))</f>
        <v>0</v>
      </c>
      <c r="P1696" s="64" t="str">
        <f aca="false">IF(AND($H1696&lt;&gt;"",ROUND($O1696,2)&lt;&gt;0),"有","")</f>
        <v/>
      </c>
    </row>
    <row r="1697" customFormat="false" ht="15" hidden="true" customHeight="false" outlineLevel="0" collapsed="false">
      <c r="A1697" s="53" t="str">
        <f aca="false">IF($H1697="","",ROW()-5)</f>
        <v/>
      </c>
      <c r="B1697" s="64" t="s">
        <v>36</v>
      </c>
      <c r="C1697" s="53" t="n">
        <v>428</v>
      </c>
      <c r="D1697" s="53" t="n">
        <v>4</v>
      </c>
      <c r="E1697" s="65" t="str">
        <f aca="false">IF($H1697="","",购销流水!$B428)</f>
        <v/>
      </c>
      <c r="F1697" s="55" t="str">
        <f aca="false">IF($H1697="","",购销流水!$C428)</f>
        <v/>
      </c>
      <c r="G1697" s="48" t="str">
        <f aca="false">IF($H1697="","",购销流水!$N428)</f>
        <v/>
      </c>
      <c r="H1697" s="10" t="str">
        <f aca="false">IF($L1697="","",IF($L1697="@成本",购销流水!$U428,IF($L1697="@收入",购销流水!$T428,IF($L1697="@存货",购销流水!$S428,IF($L1697="@结算",购销流水!$R428,$L1697)))))</f>
        <v/>
      </c>
      <c r="I1697" s="42" t="n">
        <f aca="false">IF($M1697="借",$O1697,0)</f>
        <v>0</v>
      </c>
      <c r="J1697" s="42" t="n">
        <f aca="false">IF($M1697="贷",$O1697,0)</f>
        <v>0</v>
      </c>
      <c r="K1697" s="48" t="str">
        <f aca="false">IF($H1697="","",购销流水!$E428)</f>
        <v/>
      </c>
      <c r="L1697" s="66" t="str">
        <f aca="false">IF(购销流水!$D428="","",IFERROR(INDEX(记账规则!$A$6:$N$9,MATCH(购销流水!$D428,记账规则!$A$6:$A$9,0),12),""))</f>
        <v/>
      </c>
      <c r="M1697" s="66" t="str">
        <f aca="false">IF($L1697="","",IFERROR(INDEX(记账规则!$A$6:$N$9,MATCH(购销流水!$D428,记账规则!$A$6:$A$9,0),13),""))</f>
        <v/>
      </c>
      <c r="N1697" s="66" t="str">
        <f aca="false">IF($L1697="","",IFERROR(INDEX(记账规则!$A$6:$N$9,MATCH(购销流水!$D428,记账规则!$A$6:$A$9,0),14),""))</f>
        <v/>
      </c>
      <c r="O1697" s="67" t="n">
        <f aca="false">IF($H1697="",0,ROUND(IF($N1697="成本金额",N(购销流水!$W428),IF($N1697="金额",N(购销流水!$Q428),0)),2))</f>
        <v>0</v>
      </c>
      <c r="P1697" s="64" t="str">
        <f aca="false">IF(AND($H1697&lt;&gt;"",ROUND($O1697,2)&lt;&gt;0),"有","")</f>
        <v/>
      </c>
    </row>
    <row r="1698" customFormat="false" ht="15" hidden="true" customHeight="false" outlineLevel="0" collapsed="false">
      <c r="A1698" s="53" t="str">
        <f aca="false">IF($H1698="","",ROW()-5)</f>
        <v/>
      </c>
      <c r="B1698" s="64" t="s">
        <v>36</v>
      </c>
      <c r="C1698" s="53" t="n">
        <v>429</v>
      </c>
      <c r="D1698" s="53" t="n">
        <v>1</v>
      </c>
      <c r="E1698" s="65" t="str">
        <f aca="false">IF($H1698="","",购销流水!$B429)</f>
        <v/>
      </c>
      <c r="F1698" s="55" t="str">
        <f aca="false">IF($H1698="","",购销流水!$C429)</f>
        <v/>
      </c>
      <c r="G1698" s="48" t="str">
        <f aca="false">IF($H1698="","",购销流水!$N429)</f>
        <v/>
      </c>
      <c r="H1698" s="10" t="str">
        <f aca="false">IF($L1698="","",IF($L1698="@成本",购销流水!$U429,IF($L1698="@收入",购销流水!$T429,IF($L1698="@存货",购销流水!$S429,IF($L1698="@结算",购销流水!$R429,$L1698)))))</f>
        <v/>
      </c>
      <c r="I1698" s="42" t="n">
        <f aca="false">IF($M1698="借",$O1698,0)</f>
        <v>0</v>
      </c>
      <c r="J1698" s="42" t="n">
        <f aca="false">IF($M1698="贷",$O1698,0)</f>
        <v>0</v>
      </c>
      <c r="K1698" s="48" t="str">
        <f aca="false">IF($H1698="","",购销流水!$E429)</f>
        <v/>
      </c>
      <c r="L1698" s="66" t="str">
        <f aca="false">IF(购销流水!$D429="","",IFERROR(INDEX(记账规则!$A$6:$N$9,MATCH(购销流水!$D429,记账规则!$A$6:$A$9,0),3),""))</f>
        <v/>
      </c>
      <c r="M1698" s="66" t="str">
        <f aca="false">IF($L1698="","",IFERROR(INDEX(记账规则!$A$6:$N$9,MATCH(购销流水!$D429,记账规则!$A$6:$A$9,0),4),""))</f>
        <v/>
      </c>
      <c r="N1698" s="66" t="str">
        <f aca="false">IF($L1698="","",IFERROR(INDEX(记账规则!$A$6:$N$9,MATCH(购销流水!$D429,记账规则!$A$6:$A$9,0),5),""))</f>
        <v/>
      </c>
      <c r="O1698" s="67" t="n">
        <f aca="false">IF($H1698="",0,ROUND(IF($N1698="成本金额",N(购销流水!$W429),IF($N1698="金额",N(购销流水!$Q429),0)),2))</f>
        <v>0</v>
      </c>
      <c r="P1698" s="64" t="str">
        <f aca="false">IF(AND($H1698&lt;&gt;"",ROUND($O1698,2)&lt;&gt;0),"有","")</f>
        <v/>
      </c>
    </row>
    <row r="1699" customFormat="false" ht="15" hidden="true" customHeight="false" outlineLevel="0" collapsed="false">
      <c r="A1699" s="53" t="str">
        <f aca="false">IF($H1699="","",ROW()-5)</f>
        <v/>
      </c>
      <c r="B1699" s="64" t="s">
        <v>36</v>
      </c>
      <c r="C1699" s="53" t="n">
        <v>429</v>
      </c>
      <c r="D1699" s="53" t="n">
        <v>2</v>
      </c>
      <c r="E1699" s="65" t="str">
        <f aca="false">IF($H1699="","",购销流水!$B429)</f>
        <v/>
      </c>
      <c r="F1699" s="55" t="str">
        <f aca="false">IF($H1699="","",购销流水!$C429)</f>
        <v/>
      </c>
      <c r="G1699" s="48" t="str">
        <f aca="false">IF($H1699="","",购销流水!$N429)</f>
        <v/>
      </c>
      <c r="H1699" s="10" t="str">
        <f aca="false">IF($L1699="","",IF($L1699="@成本",购销流水!$U429,IF($L1699="@收入",购销流水!$T429,IF($L1699="@存货",购销流水!$S429,IF($L1699="@结算",购销流水!$R429,$L1699)))))</f>
        <v/>
      </c>
      <c r="I1699" s="42" t="n">
        <f aca="false">IF($M1699="借",$O1699,0)</f>
        <v>0</v>
      </c>
      <c r="J1699" s="42" t="n">
        <f aca="false">IF($M1699="贷",$O1699,0)</f>
        <v>0</v>
      </c>
      <c r="K1699" s="48" t="str">
        <f aca="false">IF($H1699="","",购销流水!$E429)</f>
        <v/>
      </c>
      <c r="L1699" s="66" t="str">
        <f aca="false">IF(购销流水!$D429="","",IFERROR(INDEX(记账规则!$A$6:$N$9,MATCH(购销流水!$D429,记账规则!$A$6:$A$9,0),6),""))</f>
        <v/>
      </c>
      <c r="M1699" s="66" t="str">
        <f aca="false">IF($L1699="","",IFERROR(INDEX(记账规则!$A$6:$N$9,MATCH(购销流水!$D429,记账规则!$A$6:$A$9,0),7),""))</f>
        <v/>
      </c>
      <c r="N1699" s="66" t="str">
        <f aca="false">IF($L1699="","",IFERROR(INDEX(记账规则!$A$6:$N$9,MATCH(购销流水!$D429,记账规则!$A$6:$A$9,0),8),""))</f>
        <v/>
      </c>
      <c r="O1699" s="67" t="n">
        <f aca="false">IF($H1699="",0,ROUND(IF($N1699="成本金额",N(购销流水!$W429),IF($N1699="金额",N(购销流水!$Q429),0)),2))</f>
        <v>0</v>
      </c>
      <c r="P1699" s="64" t="str">
        <f aca="false">IF(AND($H1699&lt;&gt;"",ROUND($O1699,2)&lt;&gt;0),"有","")</f>
        <v/>
      </c>
    </row>
    <row r="1700" customFormat="false" ht="15" hidden="true" customHeight="false" outlineLevel="0" collapsed="false">
      <c r="A1700" s="53" t="str">
        <f aca="false">IF($H1700="","",ROW()-5)</f>
        <v/>
      </c>
      <c r="B1700" s="64" t="s">
        <v>36</v>
      </c>
      <c r="C1700" s="53" t="n">
        <v>429</v>
      </c>
      <c r="D1700" s="53" t="n">
        <v>3</v>
      </c>
      <c r="E1700" s="65" t="str">
        <f aca="false">IF($H1700="","",购销流水!$B429)</f>
        <v/>
      </c>
      <c r="F1700" s="55" t="str">
        <f aca="false">IF($H1700="","",购销流水!$C429)</f>
        <v/>
      </c>
      <c r="G1700" s="48" t="str">
        <f aca="false">IF($H1700="","",购销流水!$N429)</f>
        <v/>
      </c>
      <c r="H1700" s="10" t="str">
        <f aca="false">IF($L1700="","",IF($L1700="@成本",购销流水!$U429,IF($L1700="@收入",购销流水!$T429,IF($L1700="@存货",购销流水!$S429,IF($L1700="@结算",购销流水!$R429,$L1700)))))</f>
        <v/>
      </c>
      <c r="I1700" s="42" t="n">
        <f aca="false">IF($M1700="借",$O1700,0)</f>
        <v>0</v>
      </c>
      <c r="J1700" s="42" t="n">
        <f aca="false">IF($M1700="贷",$O1700,0)</f>
        <v>0</v>
      </c>
      <c r="K1700" s="48" t="str">
        <f aca="false">IF($H1700="","",购销流水!$E429)</f>
        <v/>
      </c>
      <c r="L1700" s="66" t="str">
        <f aca="false">IF(购销流水!$D429="","",IFERROR(INDEX(记账规则!$A$6:$N$9,MATCH(购销流水!$D429,记账规则!$A$6:$A$9,0),9),""))</f>
        <v/>
      </c>
      <c r="M1700" s="66" t="str">
        <f aca="false">IF($L1700="","",IFERROR(INDEX(记账规则!$A$6:$N$9,MATCH(购销流水!$D429,记账规则!$A$6:$A$9,0),10),""))</f>
        <v/>
      </c>
      <c r="N1700" s="66" t="str">
        <f aca="false">IF($L1700="","",IFERROR(INDEX(记账规则!$A$6:$N$9,MATCH(购销流水!$D429,记账规则!$A$6:$A$9,0),11),""))</f>
        <v/>
      </c>
      <c r="O1700" s="67" t="n">
        <f aca="false">IF($H1700="",0,ROUND(IF($N1700="成本金额",N(购销流水!$W429),IF($N1700="金额",N(购销流水!$Q429),0)),2))</f>
        <v>0</v>
      </c>
      <c r="P1700" s="64" t="str">
        <f aca="false">IF(AND($H1700&lt;&gt;"",ROUND($O1700,2)&lt;&gt;0),"有","")</f>
        <v/>
      </c>
    </row>
    <row r="1701" customFormat="false" ht="15" hidden="true" customHeight="false" outlineLevel="0" collapsed="false">
      <c r="A1701" s="53" t="str">
        <f aca="false">IF($H1701="","",ROW()-5)</f>
        <v/>
      </c>
      <c r="B1701" s="64" t="s">
        <v>36</v>
      </c>
      <c r="C1701" s="53" t="n">
        <v>429</v>
      </c>
      <c r="D1701" s="53" t="n">
        <v>4</v>
      </c>
      <c r="E1701" s="65" t="str">
        <f aca="false">IF($H1701="","",购销流水!$B429)</f>
        <v/>
      </c>
      <c r="F1701" s="55" t="str">
        <f aca="false">IF($H1701="","",购销流水!$C429)</f>
        <v/>
      </c>
      <c r="G1701" s="48" t="str">
        <f aca="false">IF($H1701="","",购销流水!$N429)</f>
        <v/>
      </c>
      <c r="H1701" s="10" t="str">
        <f aca="false">IF($L1701="","",IF($L1701="@成本",购销流水!$U429,IF($L1701="@收入",购销流水!$T429,IF($L1701="@存货",购销流水!$S429,IF($L1701="@结算",购销流水!$R429,$L1701)))))</f>
        <v/>
      </c>
      <c r="I1701" s="42" t="n">
        <f aca="false">IF($M1701="借",$O1701,0)</f>
        <v>0</v>
      </c>
      <c r="J1701" s="42" t="n">
        <f aca="false">IF($M1701="贷",$O1701,0)</f>
        <v>0</v>
      </c>
      <c r="K1701" s="48" t="str">
        <f aca="false">IF($H1701="","",购销流水!$E429)</f>
        <v/>
      </c>
      <c r="L1701" s="66" t="str">
        <f aca="false">IF(购销流水!$D429="","",IFERROR(INDEX(记账规则!$A$6:$N$9,MATCH(购销流水!$D429,记账规则!$A$6:$A$9,0),12),""))</f>
        <v/>
      </c>
      <c r="M1701" s="66" t="str">
        <f aca="false">IF($L1701="","",IFERROR(INDEX(记账规则!$A$6:$N$9,MATCH(购销流水!$D429,记账规则!$A$6:$A$9,0),13),""))</f>
        <v/>
      </c>
      <c r="N1701" s="66" t="str">
        <f aca="false">IF($L1701="","",IFERROR(INDEX(记账规则!$A$6:$N$9,MATCH(购销流水!$D429,记账规则!$A$6:$A$9,0),14),""))</f>
        <v/>
      </c>
      <c r="O1701" s="67" t="n">
        <f aca="false">IF($H1701="",0,ROUND(IF($N1701="成本金额",N(购销流水!$W429),IF($N1701="金额",N(购销流水!$Q429),0)),2))</f>
        <v>0</v>
      </c>
      <c r="P1701" s="64" t="str">
        <f aca="false">IF(AND($H1701&lt;&gt;"",ROUND($O1701,2)&lt;&gt;0),"有","")</f>
        <v/>
      </c>
    </row>
    <row r="1702" customFormat="false" ht="15" hidden="true" customHeight="false" outlineLevel="0" collapsed="false">
      <c r="A1702" s="53" t="str">
        <f aca="false">IF($H1702="","",ROW()-5)</f>
        <v/>
      </c>
      <c r="B1702" s="64" t="s">
        <v>36</v>
      </c>
      <c r="C1702" s="53" t="n">
        <v>430</v>
      </c>
      <c r="D1702" s="53" t="n">
        <v>1</v>
      </c>
      <c r="E1702" s="65" t="str">
        <f aca="false">IF($H1702="","",购销流水!$B430)</f>
        <v/>
      </c>
      <c r="F1702" s="55" t="str">
        <f aca="false">IF($H1702="","",购销流水!$C430)</f>
        <v/>
      </c>
      <c r="G1702" s="48" t="str">
        <f aca="false">IF($H1702="","",购销流水!$N430)</f>
        <v/>
      </c>
      <c r="H1702" s="10" t="str">
        <f aca="false">IF($L1702="","",IF($L1702="@成本",购销流水!$U430,IF($L1702="@收入",购销流水!$T430,IF($L1702="@存货",购销流水!$S430,IF($L1702="@结算",购销流水!$R430,$L1702)))))</f>
        <v/>
      </c>
      <c r="I1702" s="42" t="n">
        <f aca="false">IF($M1702="借",$O1702,0)</f>
        <v>0</v>
      </c>
      <c r="J1702" s="42" t="n">
        <f aca="false">IF($M1702="贷",$O1702,0)</f>
        <v>0</v>
      </c>
      <c r="K1702" s="48" t="str">
        <f aca="false">IF($H1702="","",购销流水!$E430)</f>
        <v/>
      </c>
      <c r="L1702" s="66" t="str">
        <f aca="false">IF(购销流水!$D430="","",IFERROR(INDEX(记账规则!$A$6:$N$9,MATCH(购销流水!$D430,记账规则!$A$6:$A$9,0),3),""))</f>
        <v/>
      </c>
      <c r="M1702" s="66" t="str">
        <f aca="false">IF($L1702="","",IFERROR(INDEX(记账规则!$A$6:$N$9,MATCH(购销流水!$D430,记账规则!$A$6:$A$9,0),4),""))</f>
        <v/>
      </c>
      <c r="N1702" s="66" t="str">
        <f aca="false">IF($L1702="","",IFERROR(INDEX(记账规则!$A$6:$N$9,MATCH(购销流水!$D430,记账规则!$A$6:$A$9,0),5),""))</f>
        <v/>
      </c>
      <c r="O1702" s="67" t="n">
        <f aca="false">IF($H1702="",0,ROUND(IF($N1702="成本金额",N(购销流水!$W430),IF($N1702="金额",N(购销流水!$Q430),0)),2))</f>
        <v>0</v>
      </c>
      <c r="P1702" s="64" t="str">
        <f aca="false">IF(AND($H1702&lt;&gt;"",ROUND($O1702,2)&lt;&gt;0),"有","")</f>
        <v/>
      </c>
    </row>
    <row r="1703" customFormat="false" ht="15" hidden="true" customHeight="false" outlineLevel="0" collapsed="false">
      <c r="A1703" s="53" t="str">
        <f aca="false">IF($H1703="","",ROW()-5)</f>
        <v/>
      </c>
      <c r="B1703" s="64" t="s">
        <v>36</v>
      </c>
      <c r="C1703" s="53" t="n">
        <v>430</v>
      </c>
      <c r="D1703" s="53" t="n">
        <v>2</v>
      </c>
      <c r="E1703" s="65" t="str">
        <f aca="false">IF($H1703="","",购销流水!$B430)</f>
        <v/>
      </c>
      <c r="F1703" s="55" t="str">
        <f aca="false">IF($H1703="","",购销流水!$C430)</f>
        <v/>
      </c>
      <c r="G1703" s="48" t="str">
        <f aca="false">IF($H1703="","",购销流水!$N430)</f>
        <v/>
      </c>
      <c r="H1703" s="10" t="str">
        <f aca="false">IF($L1703="","",IF($L1703="@成本",购销流水!$U430,IF($L1703="@收入",购销流水!$T430,IF($L1703="@存货",购销流水!$S430,IF($L1703="@结算",购销流水!$R430,$L1703)))))</f>
        <v/>
      </c>
      <c r="I1703" s="42" t="n">
        <f aca="false">IF($M1703="借",$O1703,0)</f>
        <v>0</v>
      </c>
      <c r="J1703" s="42" t="n">
        <f aca="false">IF($M1703="贷",$O1703,0)</f>
        <v>0</v>
      </c>
      <c r="K1703" s="48" t="str">
        <f aca="false">IF($H1703="","",购销流水!$E430)</f>
        <v/>
      </c>
      <c r="L1703" s="66" t="str">
        <f aca="false">IF(购销流水!$D430="","",IFERROR(INDEX(记账规则!$A$6:$N$9,MATCH(购销流水!$D430,记账规则!$A$6:$A$9,0),6),""))</f>
        <v/>
      </c>
      <c r="M1703" s="66" t="str">
        <f aca="false">IF($L1703="","",IFERROR(INDEX(记账规则!$A$6:$N$9,MATCH(购销流水!$D430,记账规则!$A$6:$A$9,0),7),""))</f>
        <v/>
      </c>
      <c r="N1703" s="66" t="str">
        <f aca="false">IF($L1703="","",IFERROR(INDEX(记账规则!$A$6:$N$9,MATCH(购销流水!$D430,记账规则!$A$6:$A$9,0),8),""))</f>
        <v/>
      </c>
      <c r="O1703" s="67" t="n">
        <f aca="false">IF($H1703="",0,ROUND(IF($N1703="成本金额",N(购销流水!$W430),IF($N1703="金额",N(购销流水!$Q430),0)),2))</f>
        <v>0</v>
      </c>
      <c r="P1703" s="64" t="str">
        <f aca="false">IF(AND($H1703&lt;&gt;"",ROUND($O1703,2)&lt;&gt;0),"有","")</f>
        <v/>
      </c>
    </row>
    <row r="1704" customFormat="false" ht="15" hidden="true" customHeight="false" outlineLevel="0" collapsed="false">
      <c r="A1704" s="53" t="str">
        <f aca="false">IF($H1704="","",ROW()-5)</f>
        <v/>
      </c>
      <c r="B1704" s="64" t="s">
        <v>36</v>
      </c>
      <c r="C1704" s="53" t="n">
        <v>430</v>
      </c>
      <c r="D1704" s="53" t="n">
        <v>3</v>
      </c>
      <c r="E1704" s="65" t="str">
        <f aca="false">IF($H1704="","",购销流水!$B430)</f>
        <v/>
      </c>
      <c r="F1704" s="55" t="str">
        <f aca="false">IF($H1704="","",购销流水!$C430)</f>
        <v/>
      </c>
      <c r="G1704" s="48" t="str">
        <f aca="false">IF($H1704="","",购销流水!$N430)</f>
        <v/>
      </c>
      <c r="H1704" s="10" t="str">
        <f aca="false">IF($L1704="","",IF($L1704="@成本",购销流水!$U430,IF($L1704="@收入",购销流水!$T430,IF($L1704="@存货",购销流水!$S430,IF($L1704="@结算",购销流水!$R430,$L1704)))))</f>
        <v/>
      </c>
      <c r="I1704" s="42" t="n">
        <f aca="false">IF($M1704="借",$O1704,0)</f>
        <v>0</v>
      </c>
      <c r="J1704" s="42" t="n">
        <f aca="false">IF($M1704="贷",$O1704,0)</f>
        <v>0</v>
      </c>
      <c r="K1704" s="48" t="str">
        <f aca="false">IF($H1704="","",购销流水!$E430)</f>
        <v/>
      </c>
      <c r="L1704" s="66" t="str">
        <f aca="false">IF(购销流水!$D430="","",IFERROR(INDEX(记账规则!$A$6:$N$9,MATCH(购销流水!$D430,记账规则!$A$6:$A$9,0),9),""))</f>
        <v/>
      </c>
      <c r="M1704" s="66" t="str">
        <f aca="false">IF($L1704="","",IFERROR(INDEX(记账规则!$A$6:$N$9,MATCH(购销流水!$D430,记账规则!$A$6:$A$9,0),10),""))</f>
        <v/>
      </c>
      <c r="N1704" s="66" t="str">
        <f aca="false">IF($L1704="","",IFERROR(INDEX(记账规则!$A$6:$N$9,MATCH(购销流水!$D430,记账规则!$A$6:$A$9,0),11),""))</f>
        <v/>
      </c>
      <c r="O1704" s="67" t="n">
        <f aca="false">IF($H1704="",0,ROUND(IF($N1704="成本金额",N(购销流水!$W430),IF($N1704="金额",N(购销流水!$Q430),0)),2))</f>
        <v>0</v>
      </c>
      <c r="P1704" s="64" t="str">
        <f aca="false">IF(AND($H1704&lt;&gt;"",ROUND($O1704,2)&lt;&gt;0),"有","")</f>
        <v/>
      </c>
    </row>
    <row r="1705" customFormat="false" ht="15" hidden="true" customHeight="false" outlineLevel="0" collapsed="false">
      <c r="A1705" s="53" t="str">
        <f aca="false">IF($H1705="","",ROW()-5)</f>
        <v/>
      </c>
      <c r="B1705" s="64" t="s">
        <v>36</v>
      </c>
      <c r="C1705" s="53" t="n">
        <v>430</v>
      </c>
      <c r="D1705" s="53" t="n">
        <v>4</v>
      </c>
      <c r="E1705" s="65" t="str">
        <f aca="false">IF($H1705="","",购销流水!$B430)</f>
        <v/>
      </c>
      <c r="F1705" s="55" t="str">
        <f aca="false">IF($H1705="","",购销流水!$C430)</f>
        <v/>
      </c>
      <c r="G1705" s="48" t="str">
        <f aca="false">IF($H1705="","",购销流水!$N430)</f>
        <v/>
      </c>
      <c r="H1705" s="10" t="str">
        <f aca="false">IF($L1705="","",IF($L1705="@成本",购销流水!$U430,IF($L1705="@收入",购销流水!$T430,IF($L1705="@存货",购销流水!$S430,IF($L1705="@结算",购销流水!$R430,$L1705)))))</f>
        <v/>
      </c>
      <c r="I1705" s="42" t="n">
        <f aca="false">IF($M1705="借",$O1705,0)</f>
        <v>0</v>
      </c>
      <c r="J1705" s="42" t="n">
        <f aca="false">IF($M1705="贷",$O1705,0)</f>
        <v>0</v>
      </c>
      <c r="K1705" s="48" t="str">
        <f aca="false">IF($H1705="","",购销流水!$E430)</f>
        <v/>
      </c>
      <c r="L1705" s="66" t="str">
        <f aca="false">IF(购销流水!$D430="","",IFERROR(INDEX(记账规则!$A$6:$N$9,MATCH(购销流水!$D430,记账规则!$A$6:$A$9,0),12),""))</f>
        <v/>
      </c>
      <c r="M1705" s="66" t="str">
        <f aca="false">IF($L1705="","",IFERROR(INDEX(记账规则!$A$6:$N$9,MATCH(购销流水!$D430,记账规则!$A$6:$A$9,0),13),""))</f>
        <v/>
      </c>
      <c r="N1705" s="66" t="str">
        <f aca="false">IF($L1705="","",IFERROR(INDEX(记账规则!$A$6:$N$9,MATCH(购销流水!$D430,记账规则!$A$6:$A$9,0),14),""))</f>
        <v/>
      </c>
      <c r="O1705" s="67" t="n">
        <f aca="false">IF($H1705="",0,ROUND(IF($N1705="成本金额",N(购销流水!$W430),IF($N1705="金额",N(购销流水!$Q430),0)),2))</f>
        <v>0</v>
      </c>
      <c r="P1705" s="64" t="str">
        <f aca="false">IF(AND($H1705&lt;&gt;"",ROUND($O1705,2)&lt;&gt;0),"有","")</f>
        <v/>
      </c>
    </row>
    <row r="1706" customFormat="false" ht="15" hidden="true" customHeight="false" outlineLevel="0" collapsed="false">
      <c r="A1706" s="53" t="str">
        <f aca="false">IF($H1706="","",ROW()-5)</f>
        <v/>
      </c>
      <c r="B1706" s="64" t="s">
        <v>36</v>
      </c>
      <c r="C1706" s="53" t="n">
        <v>431</v>
      </c>
      <c r="D1706" s="53" t="n">
        <v>1</v>
      </c>
      <c r="E1706" s="65" t="str">
        <f aca="false">IF($H1706="","",购销流水!$B431)</f>
        <v/>
      </c>
      <c r="F1706" s="55" t="str">
        <f aca="false">IF($H1706="","",购销流水!$C431)</f>
        <v/>
      </c>
      <c r="G1706" s="48" t="str">
        <f aca="false">IF($H1706="","",购销流水!$N431)</f>
        <v/>
      </c>
      <c r="H1706" s="10" t="str">
        <f aca="false">IF($L1706="","",IF($L1706="@成本",购销流水!$U431,IF($L1706="@收入",购销流水!$T431,IF($L1706="@存货",购销流水!$S431,IF($L1706="@结算",购销流水!$R431,$L1706)))))</f>
        <v/>
      </c>
      <c r="I1706" s="42" t="n">
        <f aca="false">IF($M1706="借",$O1706,0)</f>
        <v>0</v>
      </c>
      <c r="J1706" s="42" t="n">
        <f aca="false">IF($M1706="贷",$O1706,0)</f>
        <v>0</v>
      </c>
      <c r="K1706" s="48" t="str">
        <f aca="false">IF($H1706="","",购销流水!$E431)</f>
        <v/>
      </c>
      <c r="L1706" s="66" t="str">
        <f aca="false">IF(购销流水!$D431="","",IFERROR(INDEX(记账规则!$A$6:$N$9,MATCH(购销流水!$D431,记账规则!$A$6:$A$9,0),3),""))</f>
        <v/>
      </c>
      <c r="M1706" s="66" t="str">
        <f aca="false">IF($L1706="","",IFERROR(INDEX(记账规则!$A$6:$N$9,MATCH(购销流水!$D431,记账规则!$A$6:$A$9,0),4),""))</f>
        <v/>
      </c>
      <c r="N1706" s="66" t="str">
        <f aca="false">IF($L1706="","",IFERROR(INDEX(记账规则!$A$6:$N$9,MATCH(购销流水!$D431,记账规则!$A$6:$A$9,0),5),""))</f>
        <v/>
      </c>
      <c r="O1706" s="67" t="n">
        <f aca="false">IF($H1706="",0,ROUND(IF($N1706="成本金额",N(购销流水!$W431),IF($N1706="金额",N(购销流水!$Q431),0)),2))</f>
        <v>0</v>
      </c>
      <c r="P1706" s="64" t="str">
        <f aca="false">IF(AND($H1706&lt;&gt;"",ROUND($O1706,2)&lt;&gt;0),"有","")</f>
        <v/>
      </c>
    </row>
    <row r="1707" customFormat="false" ht="15" hidden="true" customHeight="false" outlineLevel="0" collapsed="false">
      <c r="A1707" s="53" t="str">
        <f aca="false">IF($H1707="","",ROW()-5)</f>
        <v/>
      </c>
      <c r="B1707" s="64" t="s">
        <v>36</v>
      </c>
      <c r="C1707" s="53" t="n">
        <v>431</v>
      </c>
      <c r="D1707" s="53" t="n">
        <v>2</v>
      </c>
      <c r="E1707" s="65" t="str">
        <f aca="false">IF($H1707="","",购销流水!$B431)</f>
        <v/>
      </c>
      <c r="F1707" s="55" t="str">
        <f aca="false">IF($H1707="","",购销流水!$C431)</f>
        <v/>
      </c>
      <c r="G1707" s="48" t="str">
        <f aca="false">IF($H1707="","",购销流水!$N431)</f>
        <v/>
      </c>
      <c r="H1707" s="10" t="str">
        <f aca="false">IF($L1707="","",IF($L1707="@成本",购销流水!$U431,IF($L1707="@收入",购销流水!$T431,IF($L1707="@存货",购销流水!$S431,IF($L1707="@结算",购销流水!$R431,$L1707)))))</f>
        <v/>
      </c>
      <c r="I1707" s="42" t="n">
        <f aca="false">IF($M1707="借",$O1707,0)</f>
        <v>0</v>
      </c>
      <c r="J1707" s="42" t="n">
        <f aca="false">IF($M1707="贷",$O1707,0)</f>
        <v>0</v>
      </c>
      <c r="K1707" s="48" t="str">
        <f aca="false">IF($H1707="","",购销流水!$E431)</f>
        <v/>
      </c>
      <c r="L1707" s="66" t="str">
        <f aca="false">IF(购销流水!$D431="","",IFERROR(INDEX(记账规则!$A$6:$N$9,MATCH(购销流水!$D431,记账规则!$A$6:$A$9,0),6),""))</f>
        <v/>
      </c>
      <c r="M1707" s="66" t="str">
        <f aca="false">IF($L1707="","",IFERROR(INDEX(记账规则!$A$6:$N$9,MATCH(购销流水!$D431,记账规则!$A$6:$A$9,0),7),""))</f>
        <v/>
      </c>
      <c r="N1707" s="66" t="str">
        <f aca="false">IF($L1707="","",IFERROR(INDEX(记账规则!$A$6:$N$9,MATCH(购销流水!$D431,记账规则!$A$6:$A$9,0),8),""))</f>
        <v/>
      </c>
      <c r="O1707" s="67" t="n">
        <f aca="false">IF($H1707="",0,ROUND(IF($N1707="成本金额",N(购销流水!$W431),IF($N1707="金额",N(购销流水!$Q431),0)),2))</f>
        <v>0</v>
      </c>
      <c r="P1707" s="64" t="str">
        <f aca="false">IF(AND($H1707&lt;&gt;"",ROUND($O1707,2)&lt;&gt;0),"有","")</f>
        <v/>
      </c>
    </row>
    <row r="1708" customFormat="false" ht="15" hidden="true" customHeight="false" outlineLevel="0" collapsed="false">
      <c r="A1708" s="53" t="str">
        <f aca="false">IF($H1708="","",ROW()-5)</f>
        <v/>
      </c>
      <c r="B1708" s="64" t="s">
        <v>36</v>
      </c>
      <c r="C1708" s="53" t="n">
        <v>431</v>
      </c>
      <c r="D1708" s="53" t="n">
        <v>3</v>
      </c>
      <c r="E1708" s="65" t="str">
        <f aca="false">IF($H1708="","",购销流水!$B431)</f>
        <v/>
      </c>
      <c r="F1708" s="55" t="str">
        <f aca="false">IF($H1708="","",购销流水!$C431)</f>
        <v/>
      </c>
      <c r="G1708" s="48" t="str">
        <f aca="false">IF($H1708="","",购销流水!$N431)</f>
        <v/>
      </c>
      <c r="H1708" s="10" t="str">
        <f aca="false">IF($L1708="","",IF($L1708="@成本",购销流水!$U431,IF($L1708="@收入",购销流水!$T431,IF($L1708="@存货",购销流水!$S431,IF($L1708="@结算",购销流水!$R431,$L1708)))))</f>
        <v/>
      </c>
      <c r="I1708" s="42" t="n">
        <f aca="false">IF($M1708="借",$O1708,0)</f>
        <v>0</v>
      </c>
      <c r="J1708" s="42" t="n">
        <f aca="false">IF($M1708="贷",$O1708,0)</f>
        <v>0</v>
      </c>
      <c r="K1708" s="48" t="str">
        <f aca="false">IF($H1708="","",购销流水!$E431)</f>
        <v/>
      </c>
      <c r="L1708" s="66" t="str">
        <f aca="false">IF(购销流水!$D431="","",IFERROR(INDEX(记账规则!$A$6:$N$9,MATCH(购销流水!$D431,记账规则!$A$6:$A$9,0),9),""))</f>
        <v/>
      </c>
      <c r="M1708" s="66" t="str">
        <f aca="false">IF($L1708="","",IFERROR(INDEX(记账规则!$A$6:$N$9,MATCH(购销流水!$D431,记账规则!$A$6:$A$9,0),10),""))</f>
        <v/>
      </c>
      <c r="N1708" s="66" t="str">
        <f aca="false">IF($L1708="","",IFERROR(INDEX(记账规则!$A$6:$N$9,MATCH(购销流水!$D431,记账规则!$A$6:$A$9,0),11),""))</f>
        <v/>
      </c>
      <c r="O1708" s="67" t="n">
        <f aca="false">IF($H1708="",0,ROUND(IF($N1708="成本金额",N(购销流水!$W431),IF($N1708="金额",N(购销流水!$Q431),0)),2))</f>
        <v>0</v>
      </c>
      <c r="P1708" s="64" t="str">
        <f aca="false">IF(AND($H1708&lt;&gt;"",ROUND($O1708,2)&lt;&gt;0),"有","")</f>
        <v/>
      </c>
    </row>
    <row r="1709" customFormat="false" ht="15" hidden="true" customHeight="false" outlineLevel="0" collapsed="false">
      <c r="A1709" s="53" t="str">
        <f aca="false">IF($H1709="","",ROW()-5)</f>
        <v/>
      </c>
      <c r="B1709" s="64" t="s">
        <v>36</v>
      </c>
      <c r="C1709" s="53" t="n">
        <v>431</v>
      </c>
      <c r="D1709" s="53" t="n">
        <v>4</v>
      </c>
      <c r="E1709" s="65" t="str">
        <f aca="false">IF($H1709="","",购销流水!$B431)</f>
        <v/>
      </c>
      <c r="F1709" s="55" t="str">
        <f aca="false">IF($H1709="","",购销流水!$C431)</f>
        <v/>
      </c>
      <c r="G1709" s="48" t="str">
        <f aca="false">IF($H1709="","",购销流水!$N431)</f>
        <v/>
      </c>
      <c r="H1709" s="10" t="str">
        <f aca="false">IF($L1709="","",IF($L1709="@成本",购销流水!$U431,IF($L1709="@收入",购销流水!$T431,IF($L1709="@存货",购销流水!$S431,IF($L1709="@结算",购销流水!$R431,$L1709)))))</f>
        <v/>
      </c>
      <c r="I1709" s="42" t="n">
        <f aca="false">IF($M1709="借",$O1709,0)</f>
        <v>0</v>
      </c>
      <c r="J1709" s="42" t="n">
        <f aca="false">IF($M1709="贷",$O1709,0)</f>
        <v>0</v>
      </c>
      <c r="K1709" s="48" t="str">
        <f aca="false">IF($H1709="","",购销流水!$E431)</f>
        <v/>
      </c>
      <c r="L1709" s="66" t="str">
        <f aca="false">IF(购销流水!$D431="","",IFERROR(INDEX(记账规则!$A$6:$N$9,MATCH(购销流水!$D431,记账规则!$A$6:$A$9,0),12),""))</f>
        <v/>
      </c>
      <c r="M1709" s="66" t="str">
        <f aca="false">IF($L1709="","",IFERROR(INDEX(记账规则!$A$6:$N$9,MATCH(购销流水!$D431,记账规则!$A$6:$A$9,0),13),""))</f>
        <v/>
      </c>
      <c r="N1709" s="66" t="str">
        <f aca="false">IF($L1709="","",IFERROR(INDEX(记账规则!$A$6:$N$9,MATCH(购销流水!$D431,记账规则!$A$6:$A$9,0),14),""))</f>
        <v/>
      </c>
      <c r="O1709" s="67" t="n">
        <f aca="false">IF($H1709="",0,ROUND(IF($N1709="成本金额",N(购销流水!$W431),IF($N1709="金额",N(购销流水!$Q431),0)),2))</f>
        <v>0</v>
      </c>
      <c r="P1709" s="64" t="str">
        <f aca="false">IF(AND($H1709&lt;&gt;"",ROUND($O1709,2)&lt;&gt;0),"有","")</f>
        <v/>
      </c>
    </row>
    <row r="1710" customFormat="false" ht="15" hidden="true" customHeight="false" outlineLevel="0" collapsed="false">
      <c r="A1710" s="53" t="str">
        <f aca="false">IF($H1710="","",ROW()-5)</f>
        <v/>
      </c>
      <c r="B1710" s="64" t="s">
        <v>36</v>
      </c>
      <c r="C1710" s="53" t="n">
        <v>432</v>
      </c>
      <c r="D1710" s="53" t="n">
        <v>1</v>
      </c>
      <c r="E1710" s="65" t="str">
        <f aca="false">IF($H1710="","",购销流水!$B432)</f>
        <v/>
      </c>
      <c r="F1710" s="55" t="str">
        <f aca="false">IF($H1710="","",购销流水!$C432)</f>
        <v/>
      </c>
      <c r="G1710" s="48" t="str">
        <f aca="false">IF($H1710="","",购销流水!$N432)</f>
        <v/>
      </c>
      <c r="H1710" s="10" t="str">
        <f aca="false">IF($L1710="","",IF($L1710="@成本",购销流水!$U432,IF($L1710="@收入",购销流水!$T432,IF($L1710="@存货",购销流水!$S432,IF($L1710="@结算",购销流水!$R432,$L1710)))))</f>
        <v/>
      </c>
      <c r="I1710" s="42" t="n">
        <f aca="false">IF($M1710="借",$O1710,0)</f>
        <v>0</v>
      </c>
      <c r="J1710" s="42" t="n">
        <f aca="false">IF($M1710="贷",$O1710,0)</f>
        <v>0</v>
      </c>
      <c r="K1710" s="48" t="str">
        <f aca="false">IF($H1710="","",购销流水!$E432)</f>
        <v/>
      </c>
      <c r="L1710" s="66" t="str">
        <f aca="false">IF(购销流水!$D432="","",IFERROR(INDEX(记账规则!$A$6:$N$9,MATCH(购销流水!$D432,记账规则!$A$6:$A$9,0),3),""))</f>
        <v/>
      </c>
      <c r="M1710" s="66" t="str">
        <f aca="false">IF($L1710="","",IFERROR(INDEX(记账规则!$A$6:$N$9,MATCH(购销流水!$D432,记账规则!$A$6:$A$9,0),4),""))</f>
        <v/>
      </c>
      <c r="N1710" s="66" t="str">
        <f aca="false">IF($L1710="","",IFERROR(INDEX(记账规则!$A$6:$N$9,MATCH(购销流水!$D432,记账规则!$A$6:$A$9,0),5),""))</f>
        <v/>
      </c>
      <c r="O1710" s="67" t="n">
        <f aca="false">IF($H1710="",0,ROUND(IF($N1710="成本金额",N(购销流水!$W432),IF($N1710="金额",N(购销流水!$Q432),0)),2))</f>
        <v>0</v>
      </c>
      <c r="P1710" s="64" t="str">
        <f aca="false">IF(AND($H1710&lt;&gt;"",ROUND($O1710,2)&lt;&gt;0),"有","")</f>
        <v/>
      </c>
    </row>
    <row r="1711" customFormat="false" ht="15" hidden="true" customHeight="false" outlineLevel="0" collapsed="false">
      <c r="A1711" s="53" t="str">
        <f aca="false">IF($H1711="","",ROW()-5)</f>
        <v/>
      </c>
      <c r="B1711" s="64" t="s">
        <v>36</v>
      </c>
      <c r="C1711" s="53" t="n">
        <v>432</v>
      </c>
      <c r="D1711" s="53" t="n">
        <v>2</v>
      </c>
      <c r="E1711" s="65" t="str">
        <f aca="false">IF($H1711="","",购销流水!$B432)</f>
        <v/>
      </c>
      <c r="F1711" s="55" t="str">
        <f aca="false">IF($H1711="","",购销流水!$C432)</f>
        <v/>
      </c>
      <c r="G1711" s="48" t="str">
        <f aca="false">IF($H1711="","",购销流水!$N432)</f>
        <v/>
      </c>
      <c r="H1711" s="10" t="str">
        <f aca="false">IF($L1711="","",IF($L1711="@成本",购销流水!$U432,IF($L1711="@收入",购销流水!$T432,IF($L1711="@存货",购销流水!$S432,IF($L1711="@结算",购销流水!$R432,$L1711)))))</f>
        <v/>
      </c>
      <c r="I1711" s="42" t="n">
        <f aca="false">IF($M1711="借",$O1711,0)</f>
        <v>0</v>
      </c>
      <c r="J1711" s="42" t="n">
        <f aca="false">IF($M1711="贷",$O1711,0)</f>
        <v>0</v>
      </c>
      <c r="K1711" s="48" t="str">
        <f aca="false">IF($H1711="","",购销流水!$E432)</f>
        <v/>
      </c>
      <c r="L1711" s="66" t="str">
        <f aca="false">IF(购销流水!$D432="","",IFERROR(INDEX(记账规则!$A$6:$N$9,MATCH(购销流水!$D432,记账规则!$A$6:$A$9,0),6),""))</f>
        <v/>
      </c>
      <c r="M1711" s="66" t="str">
        <f aca="false">IF($L1711="","",IFERROR(INDEX(记账规则!$A$6:$N$9,MATCH(购销流水!$D432,记账规则!$A$6:$A$9,0),7),""))</f>
        <v/>
      </c>
      <c r="N1711" s="66" t="str">
        <f aca="false">IF($L1711="","",IFERROR(INDEX(记账规则!$A$6:$N$9,MATCH(购销流水!$D432,记账规则!$A$6:$A$9,0),8),""))</f>
        <v/>
      </c>
      <c r="O1711" s="67" t="n">
        <f aca="false">IF($H1711="",0,ROUND(IF($N1711="成本金额",N(购销流水!$W432),IF($N1711="金额",N(购销流水!$Q432),0)),2))</f>
        <v>0</v>
      </c>
      <c r="P1711" s="64" t="str">
        <f aca="false">IF(AND($H1711&lt;&gt;"",ROUND($O1711,2)&lt;&gt;0),"有","")</f>
        <v/>
      </c>
    </row>
    <row r="1712" customFormat="false" ht="15" hidden="true" customHeight="false" outlineLevel="0" collapsed="false">
      <c r="A1712" s="53" t="str">
        <f aca="false">IF($H1712="","",ROW()-5)</f>
        <v/>
      </c>
      <c r="B1712" s="64" t="s">
        <v>36</v>
      </c>
      <c r="C1712" s="53" t="n">
        <v>432</v>
      </c>
      <c r="D1712" s="53" t="n">
        <v>3</v>
      </c>
      <c r="E1712" s="65" t="str">
        <f aca="false">IF($H1712="","",购销流水!$B432)</f>
        <v/>
      </c>
      <c r="F1712" s="55" t="str">
        <f aca="false">IF($H1712="","",购销流水!$C432)</f>
        <v/>
      </c>
      <c r="G1712" s="48" t="str">
        <f aca="false">IF($H1712="","",购销流水!$N432)</f>
        <v/>
      </c>
      <c r="H1712" s="10" t="str">
        <f aca="false">IF($L1712="","",IF($L1712="@成本",购销流水!$U432,IF($L1712="@收入",购销流水!$T432,IF($L1712="@存货",购销流水!$S432,IF($L1712="@结算",购销流水!$R432,$L1712)))))</f>
        <v/>
      </c>
      <c r="I1712" s="42" t="n">
        <f aca="false">IF($M1712="借",$O1712,0)</f>
        <v>0</v>
      </c>
      <c r="J1712" s="42" t="n">
        <f aca="false">IF($M1712="贷",$O1712,0)</f>
        <v>0</v>
      </c>
      <c r="K1712" s="48" t="str">
        <f aca="false">IF($H1712="","",购销流水!$E432)</f>
        <v/>
      </c>
      <c r="L1712" s="66" t="str">
        <f aca="false">IF(购销流水!$D432="","",IFERROR(INDEX(记账规则!$A$6:$N$9,MATCH(购销流水!$D432,记账规则!$A$6:$A$9,0),9),""))</f>
        <v/>
      </c>
      <c r="M1712" s="66" t="str">
        <f aca="false">IF($L1712="","",IFERROR(INDEX(记账规则!$A$6:$N$9,MATCH(购销流水!$D432,记账规则!$A$6:$A$9,0),10),""))</f>
        <v/>
      </c>
      <c r="N1712" s="66" t="str">
        <f aca="false">IF($L1712="","",IFERROR(INDEX(记账规则!$A$6:$N$9,MATCH(购销流水!$D432,记账规则!$A$6:$A$9,0),11),""))</f>
        <v/>
      </c>
      <c r="O1712" s="67" t="n">
        <f aca="false">IF($H1712="",0,ROUND(IF($N1712="成本金额",N(购销流水!$W432),IF($N1712="金额",N(购销流水!$Q432),0)),2))</f>
        <v>0</v>
      </c>
      <c r="P1712" s="64" t="str">
        <f aca="false">IF(AND($H1712&lt;&gt;"",ROUND($O1712,2)&lt;&gt;0),"有","")</f>
        <v/>
      </c>
    </row>
    <row r="1713" customFormat="false" ht="15" hidden="true" customHeight="false" outlineLevel="0" collapsed="false">
      <c r="A1713" s="53" t="str">
        <f aca="false">IF($H1713="","",ROW()-5)</f>
        <v/>
      </c>
      <c r="B1713" s="64" t="s">
        <v>36</v>
      </c>
      <c r="C1713" s="53" t="n">
        <v>432</v>
      </c>
      <c r="D1713" s="53" t="n">
        <v>4</v>
      </c>
      <c r="E1713" s="65" t="str">
        <f aca="false">IF($H1713="","",购销流水!$B432)</f>
        <v/>
      </c>
      <c r="F1713" s="55" t="str">
        <f aca="false">IF($H1713="","",购销流水!$C432)</f>
        <v/>
      </c>
      <c r="G1713" s="48" t="str">
        <f aca="false">IF($H1713="","",购销流水!$N432)</f>
        <v/>
      </c>
      <c r="H1713" s="10" t="str">
        <f aca="false">IF($L1713="","",IF($L1713="@成本",购销流水!$U432,IF($L1713="@收入",购销流水!$T432,IF($L1713="@存货",购销流水!$S432,IF($L1713="@结算",购销流水!$R432,$L1713)))))</f>
        <v/>
      </c>
      <c r="I1713" s="42" t="n">
        <f aca="false">IF($M1713="借",$O1713,0)</f>
        <v>0</v>
      </c>
      <c r="J1713" s="42" t="n">
        <f aca="false">IF($M1713="贷",$O1713,0)</f>
        <v>0</v>
      </c>
      <c r="K1713" s="48" t="str">
        <f aca="false">IF($H1713="","",购销流水!$E432)</f>
        <v/>
      </c>
      <c r="L1713" s="66" t="str">
        <f aca="false">IF(购销流水!$D432="","",IFERROR(INDEX(记账规则!$A$6:$N$9,MATCH(购销流水!$D432,记账规则!$A$6:$A$9,0),12),""))</f>
        <v/>
      </c>
      <c r="M1713" s="66" t="str">
        <f aca="false">IF($L1713="","",IFERROR(INDEX(记账规则!$A$6:$N$9,MATCH(购销流水!$D432,记账规则!$A$6:$A$9,0),13),""))</f>
        <v/>
      </c>
      <c r="N1713" s="66" t="str">
        <f aca="false">IF($L1713="","",IFERROR(INDEX(记账规则!$A$6:$N$9,MATCH(购销流水!$D432,记账规则!$A$6:$A$9,0),14),""))</f>
        <v/>
      </c>
      <c r="O1713" s="67" t="n">
        <f aca="false">IF($H1713="",0,ROUND(IF($N1713="成本金额",N(购销流水!$W432),IF($N1713="金额",N(购销流水!$Q432),0)),2))</f>
        <v>0</v>
      </c>
      <c r="P1713" s="64" t="str">
        <f aca="false">IF(AND($H1713&lt;&gt;"",ROUND($O1713,2)&lt;&gt;0),"有","")</f>
        <v/>
      </c>
    </row>
    <row r="1714" customFormat="false" ht="15" hidden="true" customHeight="false" outlineLevel="0" collapsed="false">
      <c r="A1714" s="53" t="str">
        <f aca="false">IF($H1714="","",ROW()-5)</f>
        <v/>
      </c>
      <c r="B1714" s="64" t="s">
        <v>36</v>
      </c>
      <c r="C1714" s="53" t="n">
        <v>433</v>
      </c>
      <c r="D1714" s="53" t="n">
        <v>1</v>
      </c>
      <c r="E1714" s="65" t="str">
        <f aca="false">IF($H1714="","",购销流水!$B433)</f>
        <v/>
      </c>
      <c r="F1714" s="55" t="str">
        <f aca="false">IF($H1714="","",购销流水!$C433)</f>
        <v/>
      </c>
      <c r="G1714" s="48" t="str">
        <f aca="false">IF($H1714="","",购销流水!$N433)</f>
        <v/>
      </c>
      <c r="H1714" s="10" t="str">
        <f aca="false">IF($L1714="","",IF($L1714="@成本",购销流水!$U433,IF($L1714="@收入",购销流水!$T433,IF($L1714="@存货",购销流水!$S433,IF($L1714="@结算",购销流水!$R433,$L1714)))))</f>
        <v/>
      </c>
      <c r="I1714" s="42" t="n">
        <f aca="false">IF($M1714="借",$O1714,0)</f>
        <v>0</v>
      </c>
      <c r="J1714" s="42" t="n">
        <f aca="false">IF($M1714="贷",$O1714,0)</f>
        <v>0</v>
      </c>
      <c r="K1714" s="48" t="str">
        <f aca="false">IF($H1714="","",购销流水!$E433)</f>
        <v/>
      </c>
      <c r="L1714" s="66" t="str">
        <f aca="false">IF(购销流水!$D433="","",IFERROR(INDEX(记账规则!$A$6:$N$9,MATCH(购销流水!$D433,记账规则!$A$6:$A$9,0),3),""))</f>
        <v/>
      </c>
      <c r="M1714" s="66" t="str">
        <f aca="false">IF($L1714="","",IFERROR(INDEX(记账规则!$A$6:$N$9,MATCH(购销流水!$D433,记账规则!$A$6:$A$9,0),4),""))</f>
        <v/>
      </c>
      <c r="N1714" s="66" t="str">
        <f aca="false">IF($L1714="","",IFERROR(INDEX(记账规则!$A$6:$N$9,MATCH(购销流水!$D433,记账规则!$A$6:$A$9,0),5),""))</f>
        <v/>
      </c>
      <c r="O1714" s="67" t="n">
        <f aca="false">IF($H1714="",0,ROUND(IF($N1714="成本金额",N(购销流水!$W433),IF($N1714="金额",N(购销流水!$Q433),0)),2))</f>
        <v>0</v>
      </c>
      <c r="P1714" s="64" t="str">
        <f aca="false">IF(AND($H1714&lt;&gt;"",ROUND($O1714,2)&lt;&gt;0),"有","")</f>
        <v/>
      </c>
    </row>
    <row r="1715" customFormat="false" ht="15" hidden="true" customHeight="false" outlineLevel="0" collapsed="false">
      <c r="A1715" s="53" t="str">
        <f aca="false">IF($H1715="","",ROW()-5)</f>
        <v/>
      </c>
      <c r="B1715" s="64" t="s">
        <v>36</v>
      </c>
      <c r="C1715" s="53" t="n">
        <v>433</v>
      </c>
      <c r="D1715" s="53" t="n">
        <v>2</v>
      </c>
      <c r="E1715" s="65" t="str">
        <f aca="false">IF($H1715="","",购销流水!$B433)</f>
        <v/>
      </c>
      <c r="F1715" s="55" t="str">
        <f aca="false">IF($H1715="","",购销流水!$C433)</f>
        <v/>
      </c>
      <c r="G1715" s="48" t="str">
        <f aca="false">IF($H1715="","",购销流水!$N433)</f>
        <v/>
      </c>
      <c r="H1715" s="10" t="str">
        <f aca="false">IF($L1715="","",IF($L1715="@成本",购销流水!$U433,IF($L1715="@收入",购销流水!$T433,IF($L1715="@存货",购销流水!$S433,IF($L1715="@结算",购销流水!$R433,$L1715)))))</f>
        <v/>
      </c>
      <c r="I1715" s="42" t="n">
        <f aca="false">IF($M1715="借",$O1715,0)</f>
        <v>0</v>
      </c>
      <c r="J1715" s="42" t="n">
        <f aca="false">IF($M1715="贷",$O1715,0)</f>
        <v>0</v>
      </c>
      <c r="K1715" s="48" t="str">
        <f aca="false">IF($H1715="","",购销流水!$E433)</f>
        <v/>
      </c>
      <c r="L1715" s="66" t="str">
        <f aca="false">IF(购销流水!$D433="","",IFERROR(INDEX(记账规则!$A$6:$N$9,MATCH(购销流水!$D433,记账规则!$A$6:$A$9,0),6),""))</f>
        <v/>
      </c>
      <c r="M1715" s="66" t="str">
        <f aca="false">IF($L1715="","",IFERROR(INDEX(记账规则!$A$6:$N$9,MATCH(购销流水!$D433,记账规则!$A$6:$A$9,0),7),""))</f>
        <v/>
      </c>
      <c r="N1715" s="66" t="str">
        <f aca="false">IF($L1715="","",IFERROR(INDEX(记账规则!$A$6:$N$9,MATCH(购销流水!$D433,记账规则!$A$6:$A$9,0),8),""))</f>
        <v/>
      </c>
      <c r="O1715" s="67" t="n">
        <f aca="false">IF($H1715="",0,ROUND(IF($N1715="成本金额",N(购销流水!$W433),IF($N1715="金额",N(购销流水!$Q433),0)),2))</f>
        <v>0</v>
      </c>
      <c r="P1715" s="64" t="str">
        <f aca="false">IF(AND($H1715&lt;&gt;"",ROUND($O1715,2)&lt;&gt;0),"有","")</f>
        <v/>
      </c>
    </row>
    <row r="1716" customFormat="false" ht="15" hidden="true" customHeight="false" outlineLevel="0" collapsed="false">
      <c r="A1716" s="53" t="str">
        <f aca="false">IF($H1716="","",ROW()-5)</f>
        <v/>
      </c>
      <c r="B1716" s="64" t="s">
        <v>36</v>
      </c>
      <c r="C1716" s="53" t="n">
        <v>433</v>
      </c>
      <c r="D1716" s="53" t="n">
        <v>3</v>
      </c>
      <c r="E1716" s="65" t="str">
        <f aca="false">IF($H1716="","",购销流水!$B433)</f>
        <v/>
      </c>
      <c r="F1716" s="55" t="str">
        <f aca="false">IF($H1716="","",购销流水!$C433)</f>
        <v/>
      </c>
      <c r="G1716" s="48" t="str">
        <f aca="false">IF($H1716="","",购销流水!$N433)</f>
        <v/>
      </c>
      <c r="H1716" s="10" t="str">
        <f aca="false">IF($L1716="","",IF($L1716="@成本",购销流水!$U433,IF($L1716="@收入",购销流水!$T433,IF($L1716="@存货",购销流水!$S433,IF($L1716="@结算",购销流水!$R433,$L1716)))))</f>
        <v/>
      </c>
      <c r="I1716" s="42" t="n">
        <f aca="false">IF($M1716="借",$O1716,0)</f>
        <v>0</v>
      </c>
      <c r="J1716" s="42" t="n">
        <f aca="false">IF($M1716="贷",$O1716,0)</f>
        <v>0</v>
      </c>
      <c r="K1716" s="48" t="str">
        <f aca="false">IF($H1716="","",购销流水!$E433)</f>
        <v/>
      </c>
      <c r="L1716" s="66" t="str">
        <f aca="false">IF(购销流水!$D433="","",IFERROR(INDEX(记账规则!$A$6:$N$9,MATCH(购销流水!$D433,记账规则!$A$6:$A$9,0),9),""))</f>
        <v/>
      </c>
      <c r="M1716" s="66" t="str">
        <f aca="false">IF($L1716="","",IFERROR(INDEX(记账规则!$A$6:$N$9,MATCH(购销流水!$D433,记账规则!$A$6:$A$9,0),10),""))</f>
        <v/>
      </c>
      <c r="N1716" s="66" t="str">
        <f aca="false">IF($L1716="","",IFERROR(INDEX(记账规则!$A$6:$N$9,MATCH(购销流水!$D433,记账规则!$A$6:$A$9,0),11),""))</f>
        <v/>
      </c>
      <c r="O1716" s="67" t="n">
        <f aca="false">IF($H1716="",0,ROUND(IF($N1716="成本金额",N(购销流水!$W433),IF($N1716="金额",N(购销流水!$Q433),0)),2))</f>
        <v>0</v>
      </c>
      <c r="P1716" s="64" t="str">
        <f aca="false">IF(AND($H1716&lt;&gt;"",ROUND($O1716,2)&lt;&gt;0),"有","")</f>
        <v/>
      </c>
    </row>
    <row r="1717" customFormat="false" ht="15" hidden="true" customHeight="false" outlineLevel="0" collapsed="false">
      <c r="A1717" s="53" t="str">
        <f aca="false">IF($H1717="","",ROW()-5)</f>
        <v/>
      </c>
      <c r="B1717" s="64" t="s">
        <v>36</v>
      </c>
      <c r="C1717" s="53" t="n">
        <v>433</v>
      </c>
      <c r="D1717" s="53" t="n">
        <v>4</v>
      </c>
      <c r="E1717" s="65" t="str">
        <f aca="false">IF($H1717="","",购销流水!$B433)</f>
        <v/>
      </c>
      <c r="F1717" s="55" t="str">
        <f aca="false">IF($H1717="","",购销流水!$C433)</f>
        <v/>
      </c>
      <c r="G1717" s="48" t="str">
        <f aca="false">IF($H1717="","",购销流水!$N433)</f>
        <v/>
      </c>
      <c r="H1717" s="10" t="str">
        <f aca="false">IF($L1717="","",IF($L1717="@成本",购销流水!$U433,IF($L1717="@收入",购销流水!$T433,IF($L1717="@存货",购销流水!$S433,IF($L1717="@结算",购销流水!$R433,$L1717)))))</f>
        <v/>
      </c>
      <c r="I1717" s="42" t="n">
        <f aca="false">IF($M1717="借",$O1717,0)</f>
        <v>0</v>
      </c>
      <c r="J1717" s="42" t="n">
        <f aca="false">IF($M1717="贷",$O1717,0)</f>
        <v>0</v>
      </c>
      <c r="K1717" s="48" t="str">
        <f aca="false">IF($H1717="","",购销流水!$E433)</f>
        <v/>
      </c>
      <c r="L1717" s="66" t="str">
        <f aca="false">IF(购销流水!$D433="","",IFERROR(INDEX(记账规则!$A$6:$N$9,MATCH(购销流水!$D433,记账规则!$A$6:$A$9,0),12),""))</f>
        <v/>
      </c>
      <c r="M1717" s="66" t="str">
        <f aca="false">IF($L1717="","",IFERROR(INDEX(记账规则!$A$6:$N$9,MATCH(购销流水!$D433,记账规则!$A$6:$A$9,0),13),""))</f>
        <v/>
      </c>
      <c r="N1717" s="66" t="str">
        <f aca="false">IF($L1717="","",IFERROR(INDEX(记账规则!$A$6:$N$9,MATCH(购销流水!$D433,记账规则!$A$6:$A$9,0),14),""))</f>
        <v/>
      </c>
      <c r="O1717" s="67" t="n">
        <f aca="false">IF($H1717="",0,ROUND(IF($N1717="成本金额",N(购销流水!$W433),IF($N1717="金额",N(购销流水!$Q433),0)),2))</f>
        <v>0</v>
      </c>
      <c r="P1717" s="64" t="str">
        <f aca="false">IF(AND($H1717&lt;&gt;"",ROUND($O1717,2)&lt;&gt;0),"有","")</f>
        <v/>
      </c>
    </row>
    <row r="1718" customFormat="false" ht="15" hidden="true" customHeight="false" outlineLevel="0" collapsed="false">
      <c r="A1718" s="53" t="str">
        <f aca="false">IF($H1718="","",ROW()-5)</f>
        <v/>
      </c>
      <c r="B1718" s="64" t="s">
        <v>36</v>
      </c>
      <c r="C1718" s="53" t="n">
        <v>434</v>
      </c>
      <c r="D1718" s="53" t="n">
        <v>1</v>
      </c>
      <c r="E1718" s="65" t="str">
        <f aca="false">IF($H1718="","",购销流水!$B434)</f>
        <v/>
      </c>
      <c r="F1718" s="55" t="str">
        <f aca="false">IF($H1718="","",购销流水!$C434)</f>
        <v/>
      </c>
      <c r="G1718" s="48" t="str">
        <f aca="false">IF($H1718="","",购销流水!$N434)</f>
        <v/>
      </c>
      <c r="H1718" s="10" t="str">
        <f aca="false">IF($L1718="","",IF($L1718="@成本",购销流水!$U434,IF($L1718="@收入",购销流水!$T434,IF($L1718="@存货",购销流水!$S434,IF($L1718="@结算",购销流水!$R434,$L1718)))))</f>
        <v/>
      </c>
      <c r="I1718" s="42" t="n">
        <f aca="false">IF($M1718="借",$O1718,0)</f>
        <v>0</v>
      </c>
      <c r="J1718" s="42" t="n">
        <f aca="false">IF($M1718="贷",$O1718,0)</f>
        <v>0</v>
      </c>
      <c r="K1718" s="48" t="str">
        <f aca="false">IF($H1718="","",购销流水!$E434)</f>
        <v/>
      </c>
      <c r="L1718" s="66" t="str">
        <f aca="false">IF(购销流水!$D434="","",IFERROR(INDEX(记账规则!$A$6:$N$9,MATCH(购销流水!$D434,记账规则!$A$6:$A$9,0),3),""))</f>
        <v/>
      </c>
      <c r="M1718" s="66" t="str">
        <f aca="false">IF($L1718="","",IFERROR(INDEX(记账规则!$A$6:$N$9,MATCH(购销流水!$D434,记账规则!$A$6:$A$9,0),4),""))</f>
        <v/>
      </c>
      <c r="N1718" s="66" t="str">
        <f aca="false">IF($L1718="","",IFERROR(INDEX(记账规则!$A$6:$N$9,MATCH(购销流水!$D434,记账规则!$A$6:$A$9,0),5),""))</f>
        <v/>
      </c>
      <c r="O1718" s="67" t="n">
        <f aca="false">IF($H1718="",0,ROUND(IF($N1718="成本金额",N(购销流水!$W434),IF($N1718="金额",N(购销流水!$Q434),0)),2))</f>
        <v>0</v>
      </c>
      <c r="P1718" s="64" t="str">
        <f aca="false">IF(AND($H1718&lt;&gt;"",ROUND($O1718,2)&lt;&gt;0),"有","")</f>
        <v/>
      </c>
    </row>
    <row r="1719" customFormat="false" ht="15" hidden="true" customHeight="false" outlineLevel="0" collapsed="false">
      <c r="A1719" s="53" t="str">
        <f aca="false">IF($H1719="","",ROW()-5)</f>
        <v/>
      </c>
      <c r="B1719" s="64" t="s">
        <v>36</v>
      </c>
      <c r="C1719" s="53" t="n">
        <v>434</v>
      </c>
      <c r="D1719" s="53" t="n">
        <v>2</v>
      </c>
      <c r="E1719" s="65" t="str">
        <f aca="false">IF($H1719="","",购销流水!$B434)</f>
        <v/>
      </c>
      <c r="F1719" s="55" t="str">
        <f aca="false">IF($H1719="","",购销流水!$C434)</f>
        <v/>
      </c>
      <c r="G1719" s="48" t="str">
        <f aca="false">IF($H1719="","",购销流水!$N434)</f>
        <v/>
      </c>
      <c r="H1719" s="10" t="str">
        <f aca="false">IF($L1719="","",IF($L1719="@成本",购销流水!$U434,IF($L1719="@收入",购销流水!$T434,IF($L1719="@存货",购销流水!$S434,IF($L1719="@结算",购销流水!$R434,$L1719)))))</f>
        <v/>
      </c>
      <c r="I1719" s="42" t="n">
        <f aca="false">IF($M1719="借",$O1719,0)</f>
        <v>0</v>
      </c>
      <c r="J1719" s="42" t="n">
        <f aca="false">IF($M1719="贷",$O1719,0)</f>
        <v>0</v>
      </c>
      <c r="K1719" s="48" t="str">
        <f aca="false">IF($H1719="","",购销流水!$E434)</f>
        <v/>
      </c>
      <c r="L1719" s="66" t="str">
        <f aca="false">IF(购销流水!$D434="","",IFERROR(INDEX(记账规则!$A$6:$N$9,MATCH(购销流水!$D434,记账规则!$A$6:$A$9,0),6),""))</f>
        <v/>
      </c>
      <c r="M1719" s="66" t="str">
        <f aca="false">IF($L1719="","",IFERROR(INDEX(记账规则!$A$6:$N$9,MATCH(购销流水!$D434,记账规则!$A$6:$A$9,0),7),""))</f>
        <v/>
      </c>
      <c r="N1719" s="66" t="str">
        <f aca="false">IF($L1719="","",IFERROR(INDEX(记账规则!$A$6:$N$9,MATCH(购销流水!$D434,记账规则!$A$6:$A$9,0),8),""))</f>
        <v/>
      </c>
      <c r="O1719" s="67" t="n">
        <f aca="false">IF($H1719="",0,ROUND(IF($N1719="成本金额",N(购销流水!$W434),IF($N1719="金额",N(购销流水!$Q434),0)),2))</f>
        <v>0</v>
      </c>
      <c r="P1719" s="64" t="str">
        <f aca="false">IF(AND($H1719&lt;&gt;"",ROUND($O1719,2)&lt;&gt;0),"有","")</f>
        <v/>
      </c>
    </row>
    <row r="1720" customFormat="false" ht="15" hidden="true" customHeight="false" outlineLevel="0" collapsed="false">
      <c r="A1720" s="53" t="str">
        <f aca="false">IF($H1720="","",ROW()-5)</f>
        <v/>
      </c>
      <c r="B1720" s="64" t="s">
        <v>36</v>
      </c>
      <c r="C1720" s="53" t="n">
        <v>434</v>
      </c>
      <c r="D1720" s="53" t="n">
        <v>3</v>
      </c>
      <c r="E1720" s="65" t="str">
        <f aca="false">IF($H1720="","",购销流水!$B434)</f>
        <v/>
      </c>
      <c r="F1720" s="55" t="str">
        <f aca="false">IF($H1720="","",购销流水!$C434)</f>
        <v/>
      </c>
      <c r="G1720" s="48" t="str">
        <f aca="false">IF($H1720="","",购销流水!$N434)</f>
        <v/>
      </c>
      <c r="H1720" s="10" t="str">
        <f aca="false">IF($L1720="","",IF($L1720="@成本",购销流水!$U434,IF($L1720="@收入",购销流水!$T434,IF($L1720="@存货",购销流水!$S434,IF($L1720="@结算",购销流水!$R434,$L1720)))))</f>
        <v/>
      </c>
      <c r="I1720" s="42" t="n">
        <f aca="false">IF($M1720="借",$O1720,0)</f>
        <v>0</v>
      </c>
      <c r="J1720" s="42" t="n">
        <f aca="false">IF($M1720="贷",$O1720,0)</f>
        <v>0</v>
      </c>
      <c r="K1720" s="48" t="str">
        <f aca="false">IF($H1720="","",购销流水!$E434)</f>
        <v/>
      </c>
      <c r="L1720" s="66" t="str">
        <f aca="false">IF(购销流水!$D434="","",IFERROR(INDEX(记账规则!$A$6:$N$9,MATCH(购销流水!$D434,记账规则!$A$6:$A$9,0),9),""))</f>
        <v/>
      </c>
      <c r="M1720" s="66" t="str">
        <f aca="false">IF($L1720="","",IFERROR(INDEX(记账规则!$A$6:$N$9,MATCH(购销流水!$D434,记账规则!$A$6:$A$9,0),10),""))</f>
        <v/>
      </c>
      <c r="N1720" s="66" t="str">
        <f aca="false">IF($L1720="","",IFERROR(INDEX(记账规则!$A$6:$N$9,MATCH(购销流水!$D434,记账规则!$A$6:$A$9,0),11),""))</f>
        <v/>
      </c>
      <c r="O1720" s="67" t="n">
        <f aca="false">IF($H1720="",0,ROUND(IF($N1720="成本金额",N(购销流水!$W434),IF($N1720="金额",N(购销流水!$Q434),0)),2))</f>
        <v>0</v>
      </c>
      <c r="P1720" s="64" t="str">
        <f aca="false">IF(AND($H1720&lt;&gt;"",ROUND($O1720,2)&lt;&gt;0),"有","")</f>
        <v/>
      </c>
    </row>
    <row r="1721" customFormat="false" ht="15" hidden="true" customHeight="false" outlineLevel="0" collapsed="false">
      <c r="A1721" s="53" t="str">
        <f aca="false">IF($H1721="","",ROW()-5)</f>
        <v/>
      </c>
      <c r="B1721" s="64" t="s">
        <v>36</v>
      </c>
      <c r="C1721" s="53" t="n">
        <v>434</v>
      </c>
      <c r="D1721" s="53" t="n">
        <v>4</v>
      </c>
      <c r="E1721" s="65" t="str">
        <f aca="false">IF($H1721="","",购销流水!$B434)</f>
        <v/>
      </c>
      <c r="F1721" s="55" t="str">
        <f aca="false">IF($H1721="","",购销流水!$C434)</f>
        <v/>
      </c>
      <c r="G1721" s="48" t="str">
        <f aca="false">IF($H1721="","",购销流水!$N434)</f>
        <v/>
      </c>
      <c r="H1721" s="10" t="str">
        <f aca="false">IF($L1721="","",IF($L1721="@成本",购销流水!$U434,IF($L1721="@收入",购销流水!$T434,IF($L1721="@存货",购销流水!$S434,IF($L1721="@结算",购销流水!$R434,$L1721)))))</f>
        <v/>
      </c>
      <c r="I1721" s="42" t="n">
        <f aca="false">IF($M1721="借",$O1721,0)</f>
        <v>0</v>
      </c>
      <c r="J1721" s="42" t="n">
        <f aca="false">IF($M1721="贷",$O1721,0)</f>
        <v>0</v>
      </c>
      <c r="K1721" s="48" t="str">
        <f aca="false">IF($H1721="","",购销流水!$E434)</f>
        <v/>
      </c>
      <c r="L1721" s="66" t="str">
        <f aca="false">IF(购销流水!$D434="","",IFERROR(INDEX(记账规则!$A$6:$N$9,MATCH(购销流水!$D434,记账规则!$A$6:$A$9,0),12),""))</f>
        <v/>
      </c>
      <c r="M1721" s="66" t="str">
        <f aca="false">IF($L1721="","",IFERROR(INDEX(记账规则!$A$6:$N$9,MATCH(购销流水!$D434,记账规则!$A$6:$A$9,0),13),""))</f>
        <v/>
      </c>
      <c r="N1721" s="66" t="str">
        <f aca="false">IF($L1721="","",IFERROR(INDEX(记账规则!$A$6:$N$9,MATCH(购销流水!$D434,记账规则!$A$6:$A$9,0),14),""))</f>
        <v/>
      </c>
      <c r="O1721" s="67" t="n">
        <f aca="false">IF($H1721="",0,ROUND(IF($N1721="成本金额",N(购销流水!$W434),IF($N1721="金额",N(购销流水!$Q434),0)),2))</f>
        <v>0</v>
      </c>
      <c r="P1721" s="64" t="str">
        <f aca="false">IF(AND($H1721&lt;&gt;"",ROUND($O1721,2)&lt;&gt;0),"有","")</f>
        <v/>
      </c>
    </row>
    <row r="1722" customFormat="false" ht="15" hidden="true" customHeight="false" outlineLevel="0" collapsed="false">
      <c r="A1722" s="53" t="str">
        <f aca="false">IF($H1722="","",ROW()-5)</f>
        <v/>
      </c>
      <c r="B1722" s="64" t="s">
        <v>36</v>
      </c>
      <c r="C1722" s="53" t="n">
        <v>435</v>
      </c>
      <c r="D1722" s="53" t="n">
        <v>1</v>
      </c>
      <c r="E1722" s="65" t="str">
        <f aca="false">IF($H1722="","",购销流水!$B435)</f>
        <v/>
      </c>
      <c r="F1722" s="55" t="str">
        <f aca="false">IF($H1722="","",购销流水!$C435)</f>
        <v/>
      </c>
      <c r="G1722" s="48" t="str">
        <f aca="false">IF($H1722="","",购销流水!$N435)</f>
        <v/>
      </c>
      <c r="H1722" s="10" t="str">
        <f aca="false">IF($L1722="","",IF($L1722="@成本",购销流水!$U435,IF($L1722="@收入",购销流水!$T435,IF($L1722="@存货",购销流水!$S435,IF($L1722="@结算",购销流水!$R435,$L1722)))))</f>
        <v/>
      </c>
      <c r="I1722" s="42" t="n">
        <f aca="false">IF($M1722="借",$O1722,0)</f>
        <v>0</v>
      </c>
      <c r="J1722" s="42" t="n">
        <f aca="false">IF($M1722="贷",$O1722,0)</f>
        <v>0</v>
      </c>
      <c r="K1722" s="48" t="str">
        <f aca="false">IF($H1722="","",购销流水!$E435)</f>
        <v/>
      </c>
      <c r="L1722" s="66" t="str">
        <f aca="false">IF(购销流水!$D435="","",IFERROR(INDEX(记账规则!$A$6:$N$9,MATCH(购销流水!$D435,记账规则!$A$6:$A$9,0),3),""))</f>
        <v/>
      </c>
      <c r="M1722" s="66" t="str">
        <f aca="false">IF($L1722="","",IFERROR(INDEX(记账规则!$A$6:$N$9,MATCH(购销流水!$D435,记账规则!$A$6:$A$9,0),4),""))</f>
        <v/>
      </c>
      <c r="N1722" s="66" t="str">
        <f aca="false">IF($L1722="","",IFERROR(INDEX(记账规则!$A$6:$N$9,MATCH(购销流水!$D435,记账规则!$A$6:$A$9,0),5),""))</f>
        <v/>
      </c>
      <c r="O1722" s="67" t="n">
        <f aca="false">IF($H1722="",0,ROUND(IF($N1722="成本金额",N(购销流水!$W435),IF($N1722="金额",N(购销流水!$Q435),0)),2))</f>
        <v>0</v>
      </c>
      <c r="P1722" s="64" t="str">
        <f aca="false">IF(AND($H1722&lt;&gt;"",ROUND($O1722,2)&lt;&gt;0),"有","")</f>
        <v/>
      </c>
    </row>
    <row r="1723" customFormat="false" ht="15" hidden="true" customHeight="false" outlineLevel="0" collapsed="false">
      <c r="A1723" s="53" t="str">
        <f aca="false">IF($H1723="","",ROW()-5)</f>
        <v/>
      </c>
      <c r="B1723" s="64" t="s">
        <v>36</v>
      </c>
      <c r="C1723" s="53" t="n">
        <v>435</v>
      </c>
      <c r="D1723" s="53" t="n">
        <v>2</v>
      </c>
      <c r="E1723" s="65" t="str">
        <f aca="false">IF($H1723="","",购销流水!$B435)</f>
        <v/>
      </c>
      <c r="F1723" s="55" t="str">
        <f aca="false">IF($H1723="","",购销流水!$C435)</f>
        <v/>
      </c>
      <c r="G1723" s="48" t="str">
        <f aca="false">IF($H1723="","",购销流水!$N435)</f>
        <v/>
      </c>
      <c r="H1723" s="10" t="str">
        <f aca="false">IF($L1723="","",IF($L1723="@成本",购销流水!$U435,IF($L1723="@收入",购销流水!$T435,IF($L1723="@存货",购销流水!$S435,IF($L1723="@结算",购销流水!$R435,$L1723)))))</f>
        <v/>
      </c>
      <c r="I1723" s="42" t="n">
        <f aca="false">IF($M1723="借",$O1723,0)</f>
        <v>0</v>
      </c>
      <c r="J1723" s="42" t="n">
        <f aca="false">IF($M1723="贷",$O1723,0)</f>
        <v>0</v>
      </c>
      <c r="K1723" s="48" t="str">
        <f aca="false">IF($H1723="","",购销流水!$E435)</f>
        <v/>
      </c>
      <c r="L1723" s="66" t="str">
        <f aca="false">IF(购销流水!$D435="","",IFERROR(INDEX(记账规则!$A$6:$N$9,MATCH(购销流水!$D435,记账规则!$A$6:$A$9,0),6),""))</f>
        <v/>
      </c>
      <c r="M1723" s="66" t="str">
        <f aca="false">IF($L1723="","",IFERROR(INDEX(记账规则!$A$6:$N$9,MATCH(购销流水!$D435,记账规则!$A$6:$A$9,0),7),""))</f>
        <v/>
      </c>
      <c r="N1723" s="66" t="str">
        <f aca="false">IF($L1723="","",IFERROR(INDEX(记账规则!$A$6:$N$9,MATCH(购销流水!$D435,记账规则!$A$6:$A$9,0),8),""))</f>
        <v/>
      </c>
      <c r="O1723" s="67" t="n">
        <f aca="false">IF($H1723="",0,ROUND(IF($N1723="成本金额",N(购销流水!$W435),IF($N1723="金额",N(购销流水!$Q435),0)),2))</f>
        <v>0</v>
      </c>
      <c r="P1723" s="64" t="str">
        <f aca="false">IF(AND($H1723&lt;&gt;"",ROUND($O1723,2)&lt;&gt;0),"有","")</f>
        <v/>
      </c>
    </row>
    <row r="1724" customFormat="false" ht="15" hidden="true" customHeight="false" outlineLevel="0" collapsed="false">
      <c r="A1724" s="53" t="str">
        <f aca="false">IF($H1724="","",ROW()-5)</f>
        <v/>
      </c>
      <c r="B1724" s="64" t="s">
        <v>36</v>
      </c>
      <c r="C1724" s="53" t="n">
        <v>435</v>
      </c>
      <c r="D1724" s="53" t="n">
        <v>3</v>
      </c>
      <c r="E1724" s="65" t="str">
        <f aca="false">IF($H1724="","",购销流水!$B435)</f>
        <v/>
      </c>
      <c r="F1724" s="55" t="str">
        <f aca="false">IF($H1724="","",购销流水!$C435)</f>
        <v/>
      </c>
      <c r="G1724" s="48" t="str">
        <f aca="false">IF($H1724="","",购销流水!$N435)</f>
        <v/>
      </c>
      <c r="H1724" s="10" t="str">
        <f aca="false">IF($L1724="","",IF($L1724="@成本",购销流水!$U435,IF($L1724="@收入",购销流水!$T435,IF($L1724="@存货",购销流水!$S435,IF($L1724="@结算",购销流水!$R435,$L1724)))))</f>
        <v/>
      </c>
      <c r="I1724" s="42" t="n">
        <f aca="false">IF($M1724="借",$O1724,0)</f>
        <v>0</v>
      </c>
      <c r="J1724" s="42" t="n">
        <f aca="false">IF($M1724="贷",$O1724,0)</f>
        <v>0</v>
      </c>
      <c r="K1724" s="48" t="str">
        <f aca="false">IF($H1724="","",购销流水!$E435)</f>
        <v/>
      </c>
      <c r="L1724" s="66" t="str">
        <f aca="false">IF(购销流水!$D435="","",IFERROR(INDEX(记账规则!$A$6:$N$9,MATCH(购销流水!$D435,记账规则!$A$6:$A$9,0),9),""))</f>
        <v/>
      </c>
      <c r="M1724" s="66" t="str">
        <f aca="false">IF($L1724="","",IFERROR(INDEX(记账规则!$A$6:$N$9,MATCH(购销流水!$D435,记账规则!$A$6:$A$9,0),10),""))</f>
        <v/>
      </c>
      <c r="N1724" s="66" t="str">
        <f aca="false">IF($L1724="","",IFERROR(INDEX(记账规则!$A$6:$N$9,MATCH(购销流水!$D435,记账规则!$A$6:$A$9,0),11),""))</f>
        <v/>
      </c>
      <c r="O1724" s="67" t="n">
        <f aca="false">IF($H1724="",0,ROUND(IF($N1724="成本金额",N(购销流水!$W435),IF($N1724="金额",N(购销流水!$Q435),0)),2))</f>
        <v>0</v>
      </c>
      <c r="P1724" s="64" t="str">
        <f aca="false">IF(AND($H1724&lt;&gt;"",ROUND($O1724,2)&lt;&gt;0),"有","")</f>
        <v/>
      </c>
    </row>
    <row r="1725" customFormat="false" ht="15" hidden="true" customHeight="false" outlineLevel="0" collapsed="false">
      <c r="A1725" s="53" t="str">
        <f aca="false">IF($H1725="","",ROW()-5)</f>
        <v/>
      </c>
      <c r="B1725" s="64" t="s">
        <v>36</v>
      </c>
      <c r="C1725" s="53" t="n">
        <v>435</v>
      </c>
      <c r="D1725" s="53" t="n">
        <v>4</v>
      </c>
      <c r="E1725" s="65" t="str">
        <f aca="false">IF($H1725="","",购销流水!$B435)</f>
        <v/>
      </c>
      <c r="F1725" s="55" t="str">
        <f aca="false">IF($H1725="","",购销流水!$C435)</f>
        <v/>
      </c>
      <c r="G1725" s="48" t="str">
        <f aca="false">IF($H1725="","",购销流水!$N435)</f>
        <v/>
      </c>
      <c r="H1725" s="10" t="str">
        <f aca="false">IF($L1725="","",IF($L1725="@成本",购销流水!$U435,IF($L1725="@收入",购销流水!$T435,IF($L1725="@存货",购销流水!$S435,IF($L1725="@结算",购销流水!$R435,$L1725)))))</f>
        <v/>
      </c>
      <c r="I1725" s="42" t="n">
        <f aca="false">IF($M1725="借",$O1725,0)</f>
        <v>0</v>
      </c>
      <c r="J1725" s="42" t="n">
        <f aca="false">IF($M1725="贷",$O1725,0)</f>
        <v>0</v>
      </c>
      <c r="K1725" s="48" t="str">
        <f aca="false">IF($H1725="","",购销流水!$E435)</f>
        <v/>
      </c>
      <c r="L1725" s="66" t="str">
        <f aca="false">IF(购销流水!$D435="","",IFERROR(INDEX(记账规则!$A$6:$N$9,MATCH(购销流水!$D435,记账规则!$A$6:$A$9,0),12),""))</f>
        <v/>
      </c>
      <c r="M1725" s="66" t="str">
        <f aca="false">IF($L1725="","",IFERROR(INDEX(记账规则!$A$6:$N$9,MATCH(购销流水!$D435,记账规则!$A$6:$A$9,0),13),""))</f>
        <v/>
      </c>
      <c r="N1725" s="66" t="str">
        <f aca="false">IF($L1725="","",IFERROR(INDEX(记账规则!$A$6:$N$9,MATCH(购销流水!$D435,记账规则!$A$6:$A$9,0),14),""))</f>
        <v/>
      </c>
      <c r="O1725" s="67" t="n">
        <f aca="false">IF($H1725="",0,ROUND(IF($N1725="成本金额",N(购销流水!$W435),IF($N1725="金额",N(购销流水!$Q435),0)),2))</f>
        <v>0</v>
      </c>
      <c r="P1725" s="64" t="str">
        <f aca="false">IF(AND($H1725&lt;&gt;"",ROUND($O1725,2)&lt;&gt;0),"有","")</f>
        <v/>
      </c>
    </row>
    <row r="1726" customFormat="false" ht="15" hidden="true" customHeight="false" outlineLevel="0" collapsed="false">
      <c r="A1726" s="53" t="str">
        <f aca="false">IF($H1726="","",ROW()-5)</f>
        <v/>
      </c>
      <c r="B1726" s="64" t="s">
        <v>36</v>
      </c>
      <c r="C1726" s="53" t="n">
        <v>436</v>
      </c>
      <c r="D1726" s="53" t="n">
        <v>1</v>
      </c>
      <c r="E1726" s="65" t="str">
        <f aca="false">IF($H1726="","",购销流水!$B436)</f>
        <v/>
      </c>
      <c r="F1726" s="55" t="str">
        <f aca="false">IF($H1726="","",购销流水!$C436)</f>
        <v/>
      </c>
      <c r="G1726" s="48" t="str">
        <f aca="false">IF($H1726="","",购销流水!$N436)</f>
        <v/>
      </c>
      <c r="H1726" s="10" t="str">
        <f aca="false">IF($L1726="","",IF($L1726="@成本",购销流水!$U436,IF($L1726="@收入",购销流水!$T436,IF($L1726="@存货",购销流水!$S436,IF($L1726="@结算",购销流水!$R436,$L1726)))))</f>
        <v/>
      </c>
      <c r="I1726" s="42" t="n">
        <f aca="false">IF($M1726="借",$O1726,0)</f>
        <v>0</v>
      </c>
      <c r="J1726" s="42" t="n">
        <f aca="false">IF($M1726="贷",$O1726,0)</f>
        <v>0</v>
      </c>
      <c r="K1726" s="48" t="str">
        <f aca="false">IF($H1726="","",购销流水!$E436)</f>
        <v/>
      </c>
      <c r="L1726" s="66" t="str">
        <f aca="false">IF(购销流水!$D436="","",IFERROR(INDEX(记账规则!$A$6:$N$9,MATCH(购销流水!$D436,记账规则!$A$6:$A$9,0),3),""))</f>
        <v/>
      </c>
      <c r="M1726" s="66" t="str">
        <f aca="false">IF($L1726="","",IFERROR(INDEX(记账规则!$A$6:$N$9,MATCH(购销流水!$D436,记账规则!$A$6:$A$9,0),4),""))</f>
        <v/>
      </c>
      <c r="N1726" s="66" t="str">
        <f aca="false">IF($L1726="","",IFERROR(INDEX(记账规则!$A$6:$N$9,MATCH(购销流水!$D436,记账规则!$A$6:$A$9,0),5),""))</f>
        <v/>
      </c>
      <c r="O1726" s="67" t="n">
        <f aca="false">IF($H1726="",0,ROUND(IF($N1726="成本金额",N(购销流水!$W436),IF($N1726="金额",N(购销流水!$Q436),0)),2))</f>
        <v>0</v>
      </c>
      <c r="P1726" s="64" t="str">
        <f aca="false">IF(AND($H1726&lt;&gt;"",ROUND($O1726,2)&lt;&gt;0),"有","")</f>
        <v/>
      </c>
    </row>
    <row r="1727" customFormat="false" ht="15" hidden="true" customHeight="false" outlineLevel="0" collapsed="false">
      <c r="A1727" s="53" t="str">
        <f aca="false">IF($H1727="","",ROW()-5)</f>
        <v/>
      </c>
      <c r="B1727" s="64" t="s">
        <v>36</v>
      </c>
      <c r="C1727" s="53" t="n">
        <v>436</v>
      </c>
      <c r="D1727" s="53" t="n">
        <v>2</v>
      </c>
      <c r="E1727" s="65" t="str">
        <f aca="false">IF($H1727="","",购销流水!$B436)</f>
        <v/>
      </c>
      <c r="F1727" s="55" t="str">
        <f aca="false">IF($H1727="","",购销流水!$C436)</f>
        <v/>
      </c>
      <c r="G1727" s="48" t="str">
        <f aca="false">IF($H1727="","",购销流水!$N436)</f>
        <v/>
      </c>
      <c r="H1727" s="10" t="str">
        <f aca="false">IF($L1727="","",IF($L1727="@成本",购销流水!$U436,IF($L1727="@收入",购销流水!$T436,IF($L1727="@存货",购销流水!$S436,IF($L1727="@结算",购销流水!$R436,$L1727)))))</f>
        <v/>
      </c>
      <c r="I1727" s="42" t="n">
        <f aca="false">IF($M1727="借",$O1727,0)</f>
        <v>0</v>
      </c>
      <c r="J1727" s="42" t="n">
        <f aca="false">IF($M1727="贷",$O1727,0)</f>
        <v>0</v>
      </c>
      <c r="K1727" s="48" t="str">
        <f aca="false">IF($H1727="","",购销流水!$E436)</f>
        <v/>
      </c>
      <c r="L1727" s="66" t="str">
        <f aca="false">IF(购销流水!$D436="","",IFERROR(INDEX(记账规则!$A$6:$N$9,MATCH(购销流水!$D436,记账规则!$A$6:$A$9,0),6),""))</f>
        <v/>
      </c>
      <c r="M1727" s="66" t="str">
        <f aca="false">IF($L1727="","",IFERROR(INDEX(记账规则!$A$6:$N$9,MATCH(购销流水!$D436,记账规则!$A$6:$A$9,0),7),""))</f>
        <v/>
      </c>
      <c r="N1727" s="66" t="str">
        <f aca="false">IF($L1727="","",IFERROR(INDEX(记账规则!$A$6:$N$9,MATCH(购销流水!$D436,记账规则!$A$6:$A$9,0),8),""))</f>
        <v/>
      </c>
      <c r="O1727" s="67" t="n">
        <f aca="false">IF($H1727="",0,ROUND(IF($N1727="成本金额",N(购销流水!$W436),IF($N1727="金额",N(购销流水!$Q436),0)),2))</f>
        <v>0</v>
      </c>
      <c r="P1727" s="64" t="str">
        <f aca="false">IF(AND($H1727&lt;&gt;"",ROUND($O1727,2)&lt;&gt;0),"有","")</f>
        <v/>
      </c>
    </row>
    <row r="1728" customFormat="false" ht="15" hidden="true" customHeight="false" outlineLevel="0" collapsed="false">
      <c r="A1728" s="53" t="str">
        <f aca="false">IF($H1728="","",ROW()-5)</f>
        <v/>
      </c>
      <c r="B1728" s="64" t="s">
        <v>36</v>
      </c>
      <c r="C1728" s="53" t="n">
        <v>436</v>
      </c>
      <c r="D1728" s="53" t="n">
        <v>3</v>
      </c>
      <c r="E1728" s="65" t="str">
        <f aca="false">IF($H1728="","",购销流水!$B436)</f>
        <v/>
      </c>
      <c r="F1728" s="55" t="str">
        <f aca="false">IF($H1728="","",购销流水!$C436)</f>
        <v/>
      </c>
      <c r="G1728" s="48" t="str">
        <f aca="false">IF($H1728="","",购销流水!$N436)</f>
        <v/>
      </c>
      <c r="H1728" s="10" t="str">
        <f aca="false">IF($L1728="","",IF($L1728="@成本",购销流水!$U436,IF($L1728="@收入",购销流水!$T436,IF($L1728="@存货",购销流水!$S436,IF($L1728="@结算",购销流水!$R436,$L1728)))))</f>
        <v/>
      </c>
      <c r="I1728" s="42" t="n">
        <f aca="false">IF($M1728="借",$O1728,0)</f>
        <v>0</v>
      </c>
      <c r="J1728" s="42" t="n">
        <f aca="false">IF($M1728="贷",$O1728,0)</f>
        <v>0</v>
      </c>
      <c r="K1728" s="48" t="str">
        <f aca="false">IF($H1728="","",购销流水!$E436)</f>
        <v/>
      </c>
      <c r="L1728" s="66" t="str">
        <f aca="false">IF(购销流水!$D436="","",IFERROR(INDEX(记账规则!$A$6:$N$9,MATCH(购销流水!$D436,记账规则!$A$6:$A$9,0),9),""))</f>
        <v/>
      </c>
      <c r="M1728" s="66" t="str">
        <f aca="false">IF($L1728="","",IFERROR(INDEX(记账规则!$A$6:$N$9,MATCH(购销流水!$D436,记账规则!$A$6:$A$9,0),10),""))</f>
        <v/>
      </c>
      <c r="N1728" s="66" t="str">
        <f aca="false">IF($L1728="","",IFERROR(INDEX(记账规则!$A$6:$N$9,MATCH(购销流水!$D436,记账规则!$A$6:$A$9,0),11),""))</f>
        <v/>
      </c>
      <c r="O1728" s="67" t="n">
        <f aca="false">IF($H1728="",0,ROUND(IF($N1728="成本金额",N(购销流水!$W436),IF($N1728="金额",N(购销流水!$Q436),0)),2))</f>
        <v>0</v>
      </c>
      <c r="P1728" s="64" t="str">
        <f aca="false">IF(AND($H1728&lt;&gt;"",ROUND($O1728,2)&lt;&gt;0),"有","")</f>
        <v/>
      </c>
    </row>
    <row r="1729" customFormat="false" ht="15" hidden="true" customHeight="false" outlineLevel="0" collapsed="false">
      <c r="A1729" s="53" t="str">
        <f aca="false">IF($H1729="","",ROW()-5)</f>
        <v/>
      </c>
      <c r="B1729" s="64" t="s">
        <v>36</v>
      </c>
      <c r="C1729" s="53" t="n">
        <v>436</v>
      </c>
      <c r="D1729" s="53" t="n">
        <v>4</v>
      </c>
      <c r="E1729" s="65" t="str">
        <f aca="false">IF($H1729="","",购销流水!$B436)</f>
        <v/>
      </c>
      <c r="F1729" s="55" t="str">
        <f aca="false">IF($H1729="","",购销流水!$C436)</f>
        <v/>
      </c>
      <c r="G1729" s="48" t="str">
        <f aca="false">IF($H1729="","",购销流水!$N436)</f>
        <v/>
      </c>
      <c r="H1729" s="10" t="str">
        <f aca="false">IF($L1729="","",IF($L1729="@成本",购销流水!$U436,IF($L1729="@收入",购销流水!$T436,IF($L1729="@存货",购销流水!$S436,IF($L1729="@结算",购销流水!$R436,$L1729)))))</f>
        <v/>
      </c>
      <c r="I1729" s="42" t="n">
        <f aca="false">IF($M1729="借",$O1729,0)</f>
        <v>0</v>
      </c>
      <c r="J1729" s="42" t="n">
        <f aca="false">IF($M1729="贷",$O1729,0)</f>
        <v>0</v>
      </c>
      <c r="K1729" s="48" t="str">
        <f aca="false">IF($H1729="","",购销流水!$E436)</f>
        <v/>
      </c>
      <c r="L1729" s="66" t="str">
        <f aca="false">IF(购销流水!$D436="","",IFERROR(INDEX(记账规则!$A$6:$N$9,MATCH(购销流水!$D436,记账规则!$A$6:$A$9,0),12),""))</f>
        <v/>
      </c>
      <c r="M1729" s="66" t="str">
        <f aca="false">IF($L1729="","",IFERROR(INDEX(记账规则!$A$6:$N$9,MATCH(购销流水!$D436,记账规则!$A$6:$A$9,0),13),""))</f>
        <v/>
      </c>
      <c r="N1729" s="66" t="str">
        <f aca="false">IF($L1729="","",IFERROR(INDEX(记账规则!$A$6:$N$9,MATCH(购销流水!$D436,记账规则!$A$6:$A$9,0),14),""))</f>
        <v/>
      </c>
      <c r="O1729" s="67" t="n">
        <f aca="false">IF($H1729="",0,ROUND(IF($N1729="成本金额",N(购销流水!$W436),IF($N1729="金额",N(购销流水!$Q436),0)),2))</f>
        <v>0</v>
      </c>
      <c r="P1729" s="64" t="str">
        <f aca="false">IF(AND($H1729&lt;&gt;"",ROUND($O1729,2)&lt;&gt;0),"有","")</f>
        <v/>
      </c>
    </row>
    <row r="1730" customFormat="false" ht="15" hidden="true" customHeight="false" outlineLevel="0" collapsed="false">
      <c r="A1730" s="53" t="str">
        <f aca="false">IF($H1730="","",ROW()-5)</f>
        <v/>
      </c>
      <c r="B1730" s="64" t="s">
        <v>36</v>
      </c>
      <c r="C1730" s="53" t="n">
        <v>437</v>
      </c>
      <c r="D1730" s="53" t="n">
        <v>1</v>
      </c>
      <c r="E1730" s="65" t="str">
        <f aca="false">IF($H1730="","",购销流水!$B437)</f>
        <v/>
      </c>
      <c r="F1730" s="55" t="str">
        <f aca="false">IF($H1730="","",购销流水!$C437)</f>
        <v/>
      </c>
      <c r="G1730" s="48" t="str">
        <f aca="false">IF($H1730="","",购销流水!$N437)</f>
        <v/>
      </c>
      <c r="H1730" s="10" t="str">
        <f aca="false">IF($L1730="","",IF($L1730="@成本",购销流水!$U437,IF($L1730="@收入",购销流水!$T437,IF($L1730="@存货",购销流水!$S437,IF($L1730="@结算",购销流水!$R437,$L1730)))))</f>
        <v/>
      </c>
      <c r="I1730" s="42" t="n">
        <f aca="false">IF($M1730="借",$O1730,0)</f>
        <v>0</v>
      </c>
      <c r="J1730" s="42" t="n">
        <f aca="false">IF($M1730="贷",$O1730,0)</f>
        <v>0</v>
      </c>
      <c r="K1730" s="48" t="str">
        <f aca="false">IF($H1730="","",购销流水!$E437)</f>
        <v/>
      </c>
      <c r="L1730" s="66" t="str">
        <f aca="false">IF(购销流水!$D437="","",IFERROR(INDEX(记账规则!$A$6:$N$9,MATCH(购销流水!$D437,记账规则!$A$6:$A$9,0),3),""))</f>
        <v/>
      </c>
      <c r="M1730" s="66" t="str">
        <f aca="false">IF($L1730="","",IFERROR(INDEX(记账规则!$A$6:$N$9,MATCH(购销流水!$D437,记账规则!$A$6:$A$9,0),4),""))</f>
        <v/>
      </c>
      <c r="N1730" s="66" t="str">
        <f aca="false">IF($L1730="","",IFERROR(INDEX(记账规则!$A$6:$N$9,MATCH(购销流水!$D437,记账规则!$A$6:$A$9,0),5),""))</f>
        <v/>
      </c>
      <c r="O1730" s="67" t="n">
        <f aca="false">IF($H1730="",0,ROUND(IF($N1730="成本金额",N(购销流水!$W437),IF($N1730="金额",N(购销流水!$Q437),0)),2))</f>
        <v>0</v>
      </c>
      <c r="P1730" s="64" t="str">
        <f aca="false">IF(AND($H1730&lt;&gt;"",ROUND($O1730,2)&lt;&gt;0),"有","")</f>
        <v/>
      </c>
    </row>
    <row r="1731" customFormat="false" ht="15" hidden="true" customHeight="false" outlineLevel="0" collapsed="false">
      <c r="A1731" s="53" t="str">
        <f aca="false">IF($H1731="","",ROW()-5)</f>
        <v/>
      </c>
      <c r="B1731" s="64" t="s">
        <v>36</v>
      </c>
      <c r="C1731" s="53" t="n">
        <v>437</v>
      </c>
      <c r="D1731" s="53" t="n">
        <v>2</v>
      </c>
      <c r="E1731" s="65" t="str">
        <f aca="false">IF($H1731="","",购销流水!$B437)</f>
        <v/>
      </c>
      <c r="F1731" s="55" t="str">
        <f aca="false">IF($H1731="","",购销流水!$C437)</f>
        <v/>
      </c>
      <c r="G1731" s="48" t="str">
        <f aca="false">IF($H1731="","",购销流水!$N437)</f>
        <v/>
      </c>
      <c r="H1731" s="10" t="str">
        <f aca="false">IF($L1731="","",IF($L1731="@成本",购销流水!$U437,IF($L1731="@收入",购销流水!$T437,IF($L1731="@存货",购销流水!$S437,IF($L1731="@结算",购销流水!$R437,$L1731)))))</f>
        <v/>
      </c>
      <c r="I1731" s="42" t="n">
        <f aca="false">IF($M1731="借",$O1731,0)</f>
        <v>0</v>
      </c>
      <c r="J1731" s="42" t="n">
        <f aca="false">IF($M1731="贷",$O1731,0)</f>
        <v>0</v>
      </c>
      <c r="K1731" s="48" t="str">
        <f aca="false">IF($H1731="","",购销流水!$E437)</f>
        <v/>
      </c>
      <c r="L1731" s="66" t="str">
        <f aca="false">IF(购销流水!$D437="","",IFERROR(INDEX(记账规则!$A$6:$N$9,MATCH(购销流水!$D437,记账规则!$A$6:$A$9,0),6),""))</f>
        <v/>
      </c>
      <c r="M1731" s="66" t="str">
        <f aca="false">IF($L1731="","",IFERROR(INDEX(记账规则!$A$6:$N$9,MATCH(购销流水!$D437,记账规则!$A$6:$A$9,0),7),""))</f>
        <v/>
      </c>
      <c r="N1731" s="66" t="str">
        <f aca="false">IF($L1731="","",IFERROR(INDEX(记账规则!$A$6:$N$9,MATCH(购销流水!$D437,记账规则!$A$6:$A$9,0),8),""))</f>
        <v/>
      </c>
      <c r="O1731" s="67" t="n">
        <f aca="false">IF($H1731="",0,ROUND(IF($N1731="成本金额",N(购销流水!$W437),IF($N1731="金额",N(购销流水!$Q437),0)),2))</f>
        <v>0</v>
      </c>
      <c r="P1731" s="64" t="str">
        <f aca="false">IF(AND($H1731&lt;&gt;"",ROUND($O1731,2)&lt;&gt;0),"有","")</f>
        <v/>
      </c>
    </row>
    <row r="1732" customFormat="false" ht="15" hidden="true" customHeight="false" outlineLevel="0" collapsed="false">
      <c r="A1732" s="53" t="str">
        <f aca="false">IF($H1732="","",ROW()-5)</f>
        <v/>
      </c>
      <c r="B1732" s="64" t="s">
        <v>36</v>
      </c>
      <c r="C1732" s="53" t="n">
        <v>437</v>
      </c>
      <c r="D1732" s="53" t="n">
        <v>3</v>
      </c>
      <c r="E1732" s="65" t="str">
        <f aca="false">IF($H1732="","",购销流水!$B437)</f>
        <v/>
      </c>
      <c r="F1732" s="55" t="str">
        <f aca="false">IF($H1732="","",购销流水!$C437)</f>
        <v/>
      </c>
      <c r="G1732" s="48" t="str">
        <f aca="false">IF($H1732="","",购销流水!$N437)</f>
        <v/>
      </c>
      <c r="H1732" s="10" t="str">
        <f aca="false">IF($L1732="","",IF($L1732="@成本",购销流水!$U437,IF($L1732="@收入",购销流水!$T437,IF($L1732="@存货",购销流水!$S437,IF($L1732="@结算",购销流水!$R437,$L1732)))))</f>
        <v/>
      </c>
      <c r="I1732" s="42" t="n">
        <f aca="false">IF($M1732="借",$O1732,0)</f>
        <v>0</v>
      </c>
      <c r="J1732" s="42" t="n">
        <f aca="false">IF($M1732="贷",$O1732,0)</f>
        <v>0</v>
      </c>
      <c r="K1732" s="48" t="str">
        <f aca="false">IF($H1732="","",购销流水!$E437)</f>
        <v/>
      </c>
      <c r="L1732" s="66" t="str">
        <f aca="false">IF(购销流水!$D437="","",IFERROR(INDEX(记账规则!$A$6:$N$9,MATCH(购销流水!$D437,记账规则!$A$6:$A$9,0),9),""))</f>
        <v/>
      </c>
      <c r="M1732" s="66" t="str">
        <f aca="false">IF($L1732="","",IFERROR(INDEX(记账规则!$A$6:$N$9,MATCH(购销流水!$D437,记账规则!$A$6:$A$9,0),10),""))</f>
        <v/>
      </c>
      <c r="N1732" s="66" t="str">
        <f aca="false">IF($L1732="","",IFERROR(INDEX(记账规则!$A$6:$N$9,MATCH(购销流水!$D437,记账规则!$A$6:$A$9,0),11),""))</f>
        <v/>
      </c>
      <c r="O1732" s="67" t="n">
        <f aca="false">IF($H1732="",0,ROUND(IF($N1732="成本金额",N(购销流水!$W437),IF($N1732="金额",N(购销流水!$Q437),0)),2))</f>
        <v>0</v>
      </c>
      <c r="P1732" s="64" t="str">
        <f aca="false">IF(AND($H1732&lt;&gt;"",ROUND($O1732,2)&lt;&gt;0),"有","")</f>
        <v/>
      </c>
    </row>
    <row r="1733" customFormat="false" ht="15" hidden="true" customHeight="false" outlineLevel="0" collapsed="false">
      <c r="A1733" s="53" t="str">
        <f aca="false">IF($H1733="","",ROW()-5)</f>
        <v/>
      </c>
      <c r="B1733" s="64" t="s">
        <v>36</v>
      </c>
      <c r="C1733" s="53" t="n">
        <v>437</v>
      </c>
      <c r="D1733" s="53" t="n">
        <v>4</v>
      </c>
      <c r="E1733" s="65" t="str">
        <f aca="false">IF($H1733="","",购销流水!$B437)</f>
        <v/>
      </c>
      <c r="F1733" s="55" t="str">
        <f aca="false">IF($H1733="","",购销流水!$C437)</f>
        <v/>
      </c>
      <c r="G1733" s="48" t="str">
        <f aca="false">IF($H1733="","",购销流水!$N437)</f>
        <v/>
      </c>
      <c r="H1733" s="10" t="str">
        <f aca="false">IF($L1733="","",IF($L1733="@成本",购销流水!$U437,IF($L1733="@收入",购销流水!$T437,IF($L1733="@存货",购销流水!$S437,IF($L1733="@结算",购销流水!$R437,$L1733)))))</f>
        <v/>
      </c>
      <c r="I1733" s="42" t="n">
        <f aca="false">IF($M1733="借",$O1733,0)</f>
        <v>0</v>
      </c>
      <c r="J1733" s="42" t="n">
        <f aca="false">IF($M1733="贷",$O1733,0)</f>
        <v>0</v>
      </c>
      <c r="K1733" s="48" t="str">
        <f aca="false">IF($H1733="","",购销流水!$E437)</f>
        <v/>
      </c>
      <c r="L1733" s="66" t="str">
        <f aca="false">IF(购销流水!$D437="","",IFERROR(INDEX(记账规则!$A$6:$N$9,MATCH(购销流水!$D437,记账规则!$A$6:$A$9,0),12),""))</f>
        <v/>
      </c>
      <c r="M1733" s="66" t="str">
        <f aca="false">IF($L1733="","",IFERROR(INDEX(记账规则!$A$6:$N$9,MATCH(购销流水!$D437,记账规则!$A$6:$A$9,0),13),""))</f>
        <v/>
      </c>
      <c r="N1733" s="66" t="str">
        <f aca="false">IF($L1733="","",IFERROR(INDEX(记账规则!$A$6:$N$9,MATCH(购销流水!$D437,记账规则!$A$6:$A$9,0),14),""))</f>
        <v/>
      </c>
      <c r="O1733" s="67" t="n">
        <f aca="false">IF($H1733="",0,ROUND(IF($N1733="成本金额",N(购销流水!$W437),IF($N1733="金额",N(购销流水!$Q437),0)),2))</f>
        <v>0</v>
      </c>
      <c r="P1733" s="64" t="str">
        <f aca="false">IF(AND($H1733&lt;&gt;"",ROUND($O1733,2)&lt;&gt;0),"有","")</f>
        <v/>
      </c>
    </row>
    <row r="1734" customFormat="false" ht="15" hidden="true" customHeight="false" outlineLevel="0" collapsed="false">
      <c r="A1734" s="53" t="str">
        <f aca="false">IF($H1734="","",ROW()-5)</f>
        <v/>
      </c>
      <c r="B1734" s="64" t="s">
        <v>36</v>
      </c>
      <c r="C1734" s="53" t="n">
        <v>438</v>
      </c>
      <c r="D1734" s="53" t="n">
        <v>1</v>
      </c>
      <c r="E1734" s="65" t="str">
        <f aca="false">IF($H1734="","",购销流水!$B438)</f>
        <v/>
      </c>
      <c r="F1734" s="55" t="str">
        <f aca="false">IF($H1734="","",购销流水!$C438)</f>
        <v/>
      </c>
      <c r="G1734" s="48" t="str">
        <f aca="false">IF($H1734="","",购销流水!$N438)</f>
        <v/>
      </c>
      <c r="H1734" s="10" t="str">
        <f aca="false">IF($L1734="","",IF($L1734="@成本",购销流水!$U438,IF($L1734="@收入",购销流水!$T438,IF($L1734="@存货",购销流水!$S438,IF($L1734="@结算",购销流水!$R438,$L1734)))))</f>
        <v/>
      </c>
      <c r="I1734" s="42" t="n">
        <f aca="false">IF($M1734="借",$O1734,0)</f>
        <v>0</v>
      </c>
      <c r="J1734" s="42" t="n">
        <f aca="false">IF($M1734="贷",$O1734,0)</f>
        <v>0</v>
      </c>
      <c r="K1734" s="48" t="str">
        <f aca="false">IF($H1734="","",购销流水!$E438)</f>
        <v/>
      </c>
      <c r="L1734" s="66" t="str">
        <f aca="false">IF(购销流水!$D438="","",IFERROR(INDEX(记账规则!$A$6:$N$9,MATCH(购销流水!$D438,记账规则!$A$6:$A$9,0),3),""))</f>
        <v/>
      </c>
      <c r="M1734" s="66" t="str">
        <f aca="false">IF($L1734="","",IFERROR(INDEX(记账规则!$A$6:$N$9,MATCH(购销流水!$D438,记账规则!$A$6:$A$9,0),4),""))</f>
        <v/>
      </c>
      <c r="N1734" s="66" t="str">
        <f aca="false">IF($L1734="","",IFERROR(INDEX(记账规则!$A$6:$N$9,MATCH(购销流水!$D438,记账规则!$A$6:$A$9,0),5),""))</f>
        <v/>
      </c>
      <c r="O1734" s="67" t="n">
        <f aca="false">IF($H1734="",0,ROUND(IF($N1734="成本金额",N(购销流水!$W438),IF($N1734="金额",N(购销流水!$Q438),0)),2))</f>
        <v>0</v>
      </c>
      <c r="P1734" s="64" t="str">
        <f aca="false">IF(AND($H1734&lt;&gt;"",ROUND($O1734,2)&lt;&gt;0),"有","")</f>
        <v/>
      </c>
    </row>
    <row r="1735" customFormat="false" ht="15" hidden="true" customHeight="false" outlineLevel="0" collapsed="false">
      <c r="A1735" s="53" t="str">
        <f aca="false">IF($H1735="","",ROW()-5)</f>
        <v/>
      </c>
      <c r="B1735" s="64" t="s">
        <v>36</v>
      </c>
      <c r="C1735" s="53" t="n">
        <v>438</v>
      </c>
      <c r="D1735" s="53" t="n">
        <v>2</v>
      </c>
      <c r="E1735" s="65" t="str">
        <f aca="false">IF($H1735="","",购销流水!$B438)</f>
        <v/>
      </c>
      <c r="F1735" s="55" t="str">
        <f aca="false">IF($H1735="","",购销流水!$C438)</f>
        <v/>
      </c>
      <c r="G1735" s="48" t="str">
        <f aca="false">IF($H1735="","",购销流水!$N438)</f>
        <v/>
      </c>
      <c r="H1735" s="10" t="str">
        <f aca="false">IF($L1735="","",IF($L1735="@成本",购销流水!$U438,IF($L1735="@收入",购销流水!$T438,IF($L1735="@存货",购销流水!$S438,IF($L1735="@结算",购销流水!$R438,$L1735)))))</f>
        <v/>
      </c>
      <c r="I1735" s="42" t="n">
        <f aca="false">IF($M1735="借",$O1735,0)</f>
        <v>0</v>
      </c>
      <c r="J1735" s="42" t="n">
        <f aca="false">IF($M1735="贷",$O1735,0)</f>
        <v>0</v>
      </c>
      <c r="K1735" s="48" t="str">
        <f aca="false">IF($H1735="","",购销流水!$E438)</f>
        <v/>
      </c>
      <c r="L1735" s="66" t="str">
        <f aca="false">IF(购销流水!$D438="","",IFERROR(INDEX(记账规则!$A$6:$N$9,MATCH(购销流水!$D438,记账规则!$A$6:$A$9,0),6),""))</f>
        <v/>
      </c>
      <c r="M1735" s="66" t="str">
        <f aca="false">IF($L1735="","",IFERROR(INDEX(记账规则!$A$6:$N$9,MATCH(购销流水!$D438,记账规则!$A$6:$A$9,0),7),""))</f>
        <v/>
      </c>
      <c r="N1735" s="66" t="str">
        <f aca="false">IF($L1735="","",IFERROR(INDEX(记账规则!$A$6:$N$9,MATCH(购销流水!$D438,记账规则!$A$6:$A$9,0),8),""))</f>
        <v/>
      </c>
      <c r="O1735" s="67" t="n">
        <f aca="false">IF($H1735="",0,ROUND(IF($N1735="成本金额",N(购销流水!$W438),IF($N1735="金额",N(购销流水!$Q438),0)),2))</f>
        <v>0</v>
      </c>
      <c r="P1735" s="64" t="str">
        <f aca="false">IF(AND($H1735&lt;&gt;"",ROUND($O1735,2)&lt;&gt;0),"有","")</f>
        <v/>
      </c>
    </row>
    <row r="1736" customFormat="false" ht="15" hidden="true" customHeight="false" outlineLevel="0" collapsed="false">
      <c r="A1736" s="53" t="str">
        <f aca="false">IF($H1736="","",ROW()-5)</f>
        <v/>
      </c>
      <c r="B1736" s="64" t="s">
        <v>36</v>
      </c>
      <c r="C1736" s="53" t="n">
        <v>438</v>
      </c>
      <c r="D1736" s="53" t="n">
        <v>3</v>
      </c>
      <c r="E1736" s="65" t="str">
        <f aca="false">IF($H1736="","",购销流水!$B438)</f>
        <v/>
      </c>
      <c r="F1736" s="55" t="str">
        <f aca="false">IF($H1736="","",购销流水!$C438)</f>
        <v/>
      </c>
      <c r="G1736" s="48" t="str">
        <f aca="false">IF($H1736="","",购销流水!$N438)</f>
        <v/>
      </c>
      <c r="H1736" s="10" t="str">
        <f aca="false">IF($L1736="","",IF($L1736="@成本",购销流水!$U438,IF($L1736="@收入",购销流水!$T438,IF($L1736="@存货",购销流水!$S438,IF($L1736="@结算",购销流水!$R438,$L1736)))))</f>
        <v/>
      </c>
      <c r="I1736" s="42" t="n">
        <f aca="false">IF($M1736="借",$O1736,0)</f>
        <v>0</v>
      </c>
      <c r="J1736" s="42" t="n">
        <f aca="false">IF($M1736="贷",$O1736,0)</f>
        <v>0</v>
      </c>
      <c r="K1736" s="48" t="str">
        <f aca="false">IF($H1736="","",购销流水!$E438)</f>
        <v/>
      </c>
      <c r="L1736" s="66" t="str">
        <f aca="false">IF(购销流水!$D438="","",IFERROR(INDEX(记账规则!$A$6:$N$9,MATCH(购销流水!$D438,记账规则!$A$6:$A$9,0),9),""))</f>
        <v/>
      </c>
      <c r="M1736" s="66" t="str">
        <f aca="false">IF($L1736="","",IFERROR(INDEX(记账规则!$A$6:$N$9,MATCH(购销流水!$D438,记账规则!$A$6:$A$9,0),10),""))</f>
        <v/>
      </c>
      <c r="N1736" s="66" t="str">
        <f aca="false">IF($L1736="","",IFERROR(INDEX(记账规则!$A$6:$N$9,MATCH(购销流水!$D438,记账规则!$A$6:$A$9,0),11),""))</f>
        <v/>
      </c>
      <c r="O1736" s="67" t="n">
        <f aca="false">IF($H1736="",0,ROUND(IF($N1736="成本金额",N(购销流水!$W438),IF($N1736="金额",N(购销流水!$Q438),0)),2))</f>
        <v>0</v>
      </c>
      <c r="P1736" s="64" t="str">
        <f aca="false">IF(AND($H1736&lt;&gt;"",ROUND($O1736,2)&lt;&gt;0),"有","")</f>
        <v/>
      </c>
    </row>
    <row r="1737" customFormat="false" ht="15" hidden="true" customHeight="false" outlineLevel="0" collapsed="false">
      <c r="A1737" s="53" t="str">
        <f aca="false">IF($H1737="","",ROW()-5)</f>
        <v/>
      </c>
      <c r="B1737" s="64" t="s">
        <v>36</v>
      </c>
      <c r="C1737" s="53" t="n">
        <v>438</v>
      </c>
      <c r="D1737" s="53" t="n">
        <v>4</v>
      </c>
      <c r="E1737" s="65" t="str">
        <f aca="false">IF($H1737="","",购销流水!$B438)</f>
        <v/>
      </c>
      <c r="F1737" s="55" t="str">
        <f aca="false">IF($H1737="","",购销流水!$C438)</f>
        <v/>
      </c>
      <c r="G1737" s="48" t="str">
        <f aca="false">IF($H1737="","",购销流水!$N438)</f>
        <v/>
      </c>
      <c r="H1737" s="10" t="str">
        <f aca="false">IF($L1737="","",IF($L1737="@成本",购销流水!$U438,IF($L1737="@收入",购销流水!$T438,IF($L1737="@存货",购销流水!$S438,IF($L1737="@结算",购销流水!$R438,$L1737)))))</f>
        <v/>
      </c>
      <c r="I1737" s="42" t="n">
        <f aca="false">IF($M1737="借",$O1737,0)</f>
        <v>0</v>
      </c>
      <c r="J1737" s="42" t="n">
        <f aca="false">IF($M1737="贷",$O1737,0)</f>
        <v>0</v>
      </c>
      <c r="K1737" s="48" t="str">
        <f aca="false">IF($H1737="","",购销流水!$E438)</f>
        <v/>
      </c>
      <c r="L1737" s="66" t="str">
        <f aca="false">IF(购销流水!$D438="","",IFERROR(INDEX(记账规则!$A$6:$N$9,MATCH(购销流水!$D438,记账规则!$A$6:$A$9,0),12),""))</f>
        <v/>
      </c>
      <c r="M1737" s="66" t="str">
        <f aca="false">IF($L1737="","",IFERROR(INDEX(记账规则!$A$6:$N$9,MATCH(购销流水!$D438,记账规则!$A$6:$A$9,0),13),""))</f>
        <v/>
      </c>
      <c r="N1737" s="66" t="str">
        <f aca="false">IF($L1737="","",IFERROR(INDEX(记账规则!$A$6:$N$9,MATCH(购销流水!$D438,记账规则!$A$6:$A$9,0),14),""))</f>
        <v/>
      </c>
      <c r="O1737" s="67" t="n">
        <f aca="false">IF($H1737="",0,ROUND(IF($N1737="成本金额",N(购销流水!$W438),IF($N1737="金额",N(购销流水!$Q438),0)),2))</f>
        <v>0</v>
      </c>
      <c r="P1737" s="64" t="str">
        <f aca="false">IF(AND($H1737&lt;&gt;"",ROUND($O1737,2)&lt;&gt;0),"有","")</f>
        <v/>
      </c>
    </row>
    <row r="1738" customFormat="false" ht="15" hidden="true" customHeight="false" outlineLevel="0" collapsed="false">
      <c r="A1738" s="53" t="str">
        <f aca="false">IF($H1738="","",ROW()-5)</f>
        <v/>
      </c>
      <c r="B1738" s="64" t="s">
        <v>36</v>
      </c>
      <c r="C1738" s="53" t="n">
        <v>439</v>
      </c>
      <c r="D1738" s="53" t="n">
        <v>1</v>
      </c>
      <c r="E1738" s="65" t="str">
        <f aca="false">IF($H1738="","",购销流水!$B439)</f>
        <v/>
      </c>
      <c r="F1738" s="55" t="str">
        <f aca="false">IF($H1738="","",购销流水!$C439)</f>
        <v/>
      </c>
      <c r="G1738" s="48" t="str">
        <f aca="false">IF($H1738="","",购销流水!$N439)</f>
        <v/>
      </c>
      <c r="H1738" s="10" t="str">
        <f aca="false">IF($L1738="","",IF($L1738="@成本",购销流水!$U439,IF($L1738="@收入",购销流水!$T439,IF($L1738="@存货",购销流水!$S439,IF($L1738="@结算",购销流水!$R439,$L1738)))))</f>
        <v/>
      </c>
      <c r="I1738" s="42" t="n">
        <f aca="false">IF($M1738="借",$O1738,0)</f>
        <v>0</v>
      </c>
      <c r="J1738" s="42" t="n">
        <f aca="false">IF($M1738="贷",$O1738,0)</f>
        <v>0</v>
      </c>
      <c r="K1738" s="48" t="str">
        <f aca="false">IF($H1738="","",购销流水!$E439)</f>
        <v/>
      </c>
      <c r="L1738" s="66" t="str">
        <f aca="false">IF(购销流水!$D439="","",IFERROR(INDEX(记账规则!$A$6:$N$9,MATCH(购销流水!$D439,记账规则!$A$6:$A$9,0),3),""))</f>
        <v/>
      </c>
      <c r="M1738" s="66" t="str">
        <f aca="false">IF($L1738="","",IFERROR(INDEX(记账规则!$A$6:$N$9,MATCH(购销流水!$D439,记账规则!$A$6:$A$9,0),4),""))</f>
        <v/>
      </c>
      <c r="N1738" s="66" t="str">
        <f aca="false">IF($L1738="","",IFERROR(INDEX(记账规则!$A$6:$N$9,MATCH(购销流水!$D439,记账规则!$A$6:$A$9,0),5),""))</f>
        <v/>
      </c>
      <c r="O1738" s="67" t="n">
        <f aca="false">IF($H1738="",0,ROUND(IF($N1738="成本金额",N(购销流水!$W439),IF($N1738="金额",N(购销流水!$Q439),0)),2))</f>
        <v>0</v>
      </c>
      <c r="P1738" s="64" t="str">
        <f aca="false">IF(AND($H1738&lt;&gt;"",ROUND($O1738,2)&lt;&gt;0),"有","")</f>
        <v/>
      </c>
    </row>
    <row r="1739" customFormat="false" ht="15" hidden="true" customHeight="false" outlineLevel="0" collapsed="false">
      <c r="A1739" s="53" t="str">
        <f aca="false">IF($H1739="","",ROW()-5)</f>
        <v/>
      </c>
      <c r="B1739" s="64" t="s">
        <v>36</v>
      </c>
      <c r="C1739" s="53" t="n">
        <v>439</v>
      </c>
      <c r="D1739" s="53" t="n">
        <v>2</v>
      </c>
      <c r="E1739" s="65" t="str">
        <f aca="false">IF($H1739="","",购销流水!$B439)</f>
        <v/>
      </c>
      <c r="F1739" s="55" t="str">
        <f aca="false">IF($H1739="","",购销流水!$C439)</f>
        <v/>
      </c>
      <c r="G1739" s="48" t="str">
        <f aca="false">IF($H1739="","",购销流水!$N439)</f>
        <v/>
      </c>
      <c r="H1739" s="10" t="str">
        <f aca="false">IF($L1739="","",IF($L1739="@成本",购销流水!$U439,IF($L1739="@收入",购销流水!$T439,IF($L1739="@存货",购销流水!$S439,IF($L1739="@结算",购销流水!$R439,$L1739)))))</f>
        <v/>
      </c>
      <c r="I1739" s="42" t="n">
        <f aca="false">IF($M1739="借",$O1739,0)</f>
        <v>0</v>
      </c>
      <c r="J1739" s="42" t="n">
        <f aca="false">IF($M1739="贷",$O1739,0)</f>
        <v>0</v>
      </c>
      <c r="K1739" s="48" t="str">
        <f aca="false">IF($H1739="","",购销流水!$E439)</f>
        <v/>
      </c>
      <c r="L1739" s="66" t="str">
        <f aca="false">IF(购销流水!$D439="","",IFERROR(INDEX(记账规则!$A$6:$N$9,MATCH(购销流水!$D439,记账规则!$A$6:$A$9,0),6),""))</f>
        <v/>
      </c>
      <c r="M1739" s="66" t="str">
        <f aca="false">IF($L1739="","",IFERROR(INDEX(记账规则!$A$6:$N$9,MATCH(购销流水!$D439,记账规则!$A$6:$A$9,0),7),""))</f>
        <v/>
      </c>
      <c r="N1739" s="66" t="str">
        <f aca="false">IF($L1739="","",IFERROR(INDEX(记账规则!$A$6:$N$9,MATCH(购销流水!$D439,记账规则!$A$6:$A$9,0),8),""))</f>
        <v/>
      </c>
      <c r="O1739" s="67" t="n">
        <f aca="false">IF($H1739="",0,ROUND(IF($N1739="成本金额",N(购销流水!$W439),IF($N1739="金额",N(购销流水!$Q439),0)),2))</f>
        <v>0</v>
      </c>
      <c r="P1739" s="64" t="str">
        <f aca="false">IF(AND($H1739&lt;&gt;"",ROUND($O1739,2)&lt;&gt;0),"有","")</f>
        <v/>
      </c>
    </row>
    <row r="1740" customFormat="false" ht="15" hidden="true" customHeight="false" outlineLevel="0" collapsed="false">
      <c r="A1740" s="53" t="str">
        <f aca="false">IF($H1740="","",ROW()-5)</f>
        <v/>
      </c>
      <c r="B1740" s="64" t="s">
        <v>36</v>
      </c>
      <c r="C1740" s="53" t="n">
        <v>439</v>
      </c>
      <c r="D1740" s="53" t="n">
        <v>3</v>
      </c>
      <c r="E1740" s="65" t="str">
        <f aca="false">IF($H1740="","",购销流水!$B439)</f>
        <v/>
      </c>
      <c r="F1740" s="55" t="str">
        <f aca="false">IF($H1740="","",购销流水!$C439)</f>
        <v/>
      </c>
      <c r="G1740" s="48" t="str">
        <f aca="false">IF($H1740="","",购销流水!$N439)</f>
        <v/>
      </c>
      <c r="H1740" s="10" t="str">
        <f aca="false">IF($L1740="","",IF($L1740="@成本",购销流水!$U439,IF($L1740="@收入",购销流水!$T439,IF($L1740="@存货",购销流水!$S439,IF($L1740="@结算",购销流水!$R439,$L1740)))))</f>
        <v/>
      </c>
      <c r="I1740" s="42" t="n">
        <f aca="false">IF($M1740="借",$O1740,0)</f>
        <v>0</v>
      </c>
      <c r="J1740" s="42" t="n">
        <f aca="false">IF($M1740="贷",$O1740,0)</f>
        <v>0</v>
      </c>
      <c r="K1740" s="48" t="str">
        <f aca="false">IF($H1740="","",购销流水!$E439)</f>
        <v/>
      </c>
      <c r="L1740" s="66" t="str">
        <f aca="false">IF(购销流水!$D439="","",IFERROR(INDEX(记账规则!$A$6:$N$9,MATCH(购销流水!$D439,记账规则!$A$6:$A$9,0),9),""))</f>
        <v/>
      </c>
      <c r="M1740" s="66" t="str">
        <f aca="false">IF($L1740="","",IFERROR(INDEX(记账规则!$A$6:$N$9,MATCH(购销流水!$D439,记账规则!$A$6:$A$9,0),10),""))</f>
        <v/>
      </c>
      <c r="N1740" s="66" t="str">
        <f aca="false">IF($L1740="","",IFERROR(INDEX(记账规则!$A$6:$N$9,MATCH(购销流水!$D439,记账规则!$A$6:$A$9,0),11),""))</f>
        <v/>
      </c>
      <c r="O1740" s="67" t="n">
        <f aca="false">IF($H1740="",0,ROUND(IF($N1740="成本金额",N(购销流水!$W439),IF($N1740="金额",N(购销流水!$Q439),0)),2))</f>
        <v>0</v>
      </c>
      <c r="P1740" s="64" t="str">
        <f aca="false">IF(AND($H1740&lt;&gt;"",ROUND($O1740,2)&lt;&gt;0),"有","")</f>
        <v/>
      </c>
    </row>
    <row r="1741" customFormat="false" ht="15" hidden="true" customHeight="false" outlineLevel="0" collapsed="false">
      <c r="A1741" s="53" t="str">
        <f aca="false">IF($H1741="","",ROW()-5)</f>
        <v/>
      </c>
      <c r="B1741" s="64" t="s">
        <v>36</v>
      </c>
      <c r="C1741" s="53" t="n">
        <v>439</v>
      </c>
      <c r="D1741" s="53" t="n">
        <v>4</v>
      </c>
      <c r="E1741" s="65" t="str">
        <f aca="false">IF($H1741="","",购销流水!$B439)</f>
        <v/>
      </c>
      <c r="F1741" s="55" t="str">
        <f aca="false">IF($H1741="","",购销流水!$C439)</f>
        <v/>
      </c>
      <c r="G1741" s="48" t="str">
        <f aca="false">IF($H1741="","",购销流水!$N439)</f>
        <v/>
      </c>
      <c r="H1741" s="10" t="str">
        <f aca="false">IF($L1741="","",IF($L1741="@成本",购销流水!$U439,IF($L1741="@收入",购销流水!$T439,IF($L1741="@存货",购销流水!$S439,IF($L1741="@结算",购销流水!$R439,$L1741)))))</f>
        <v/>
      </c>
      <c r="I1741" s="42" t="n">
        <f aca="false">IF($M1741="借",$O1741,0)</f>
        <v>0</v>
      </c>
      <c r="J1741" s="42" t="n">
        <f aca="false">IF($M1741="贷",$O1741,0)</f>
        <v>0</v>
      </c>
      <c r="K1741" s="48" t="str">
        <f aca="false">IF($H1741="","",购销流水!$E439)</f>
        <v/>
      </c>
      <c r="L1741" s="66" t="str">
        <f aca="false">IF(购销流水!$D439="","",IFERROR(INDEX(记账规则!$A$6:$N$9,MATCH(购销流水!$D439,记账规则!$A$6:$A$9,0),12),""))</f>
        <v/>
      </c>
      <c r="M1741" s="66" t="str">
        <f aca="false">IF($L1741="","",IFERROR(INDEX(记账规则!$A$6:$N$9,MATCH(购销流水!$D439,记账规则!$A$6:$A$9,0),13),""))</f>
        <v/>
      </c>
      <c r="N1741" s="66" t="str">
        <f aca="false">IF($L1741="","",IFERROR(INDEX(记账规则!$A$6:$N$9,MATCH(购销流水!$D439,记账规则!$A$6:$A$9,0),14),""))</f>
        <v/>
      </c>
      <c r="O1741" s="67" t="n">
        <f aca="false">IF($H1741="",0,ROUND(IF($N1741="成本金额",N(购销流水!$W439),IF($N1741="金额",N(购销流水!$Q439),0)),2))</f>
        <v>0</v>
      </c>
      <c r="P1741" s="64" t="str">
        <f aca="false">IF(AND($H1741&lt;&gt;"",ROUND($O1741,2)&lt;&gt;0),"有","")</f>
        <v/>
      </c>
    </row>
    <row r="1742" customFormat="false" ht="15" hidden="true" customHeight="false" outlineLevel="0" collapsed="false">
      <c r="A1742" s="53" t="str">
        <f aca="false">IF($H1742="","",ROW()-5)</f>
        <v/>
      </c>
      <c r="B1742" s="64" t="s">
        <v>36</v>
      </c>
      <c r="C1742" s="53" t="n">
        <v>440</v>
      </c>
      <c r="D1742" s="53" t="n">
        <v>1</v>
      </c>
      <c r="E1742" s="65" t="str">
        <f aca="false">IF($H1742="","",购销流水!$B440)</f>
        <v/>
      </c>
      <c r="F1742" s="55" t="str">
        <f aca="false">IF($H1742="","",购销流水!$C440)</f>
        <v/>
      </c>
      <c r="G1742" s="48" t="str">
        <f aca="false">IF($H1742="","",购销流水!$N440)</f>
        <v/>
      </c>
      <c r="H1742" s="10" t="str">
        <f aca="false">IF($L1742="","",IF($L1742="@成本",购销流水!$U440,IF($L1742="@收入",购销流水!$T440,IF($L1742="@存货",购销流水!$S440,IF($L1742="@结算",购销流水!$R440,$L1742)))))</f>
        <v/>
      </c>
      <c r="I1742" s="42" t="n">
        <f aca="false">IF($M1742="借",$O1742,0)</f>
        <v>0</v>
      </c>
      <c r="J1742" s="42" t="n">
        <f aca="false">IF($M1742="贷",$O1742,0)</f>
        <v>0</v>
      </c>
      <c r="K1742" s="48" t="str">
        <f aca="false">IF($H1742="","",购销流水!$E440)</f>
        <v/>
      </c>
      <c r="L1742" s="66" t="str">
        <f aca="false">IF(购销流水!$D440="","",IFERROR(INDEX(记账规则!$A$6:$N$9,MATCH(购销流水!$D440,记账规则!$A$6:$A$9,0),3),""))</f>
        <v/>
      </c>
      <c r="M1742" s="66" t="str">
        <f aca="false">IF($L1742="","",IFERROR(INDEX(记账规则!$A$6:$N$9,MATCH(购销流水!$D440,记账规则!$A$6:$A$9,0),4),""))</f>
        <v/>
      </c>
      <c r="N1742" s="66" t="str">
        <f aca="false">IF($L1742="","",IFERROR(INDEX(记账规则!$A$6:$N$9,MATCH(购销流水!$D440,记账规则!$A$6:$A$9,0),5),""))</f>
        <v/>
      </c>
      <c r="O1742" s="67" t="n">
        <f aca="false">IF($H1742="",0,ROUND(IF($N1742="成本金额",N(购销流水!$W440),IF($N1742="金额",N(购销流水!$Q440),0)),2))</f>
        <v>0</v>
      </c>
      <c r="P1742" s="64" t="str">
        <f aca="false">IF(AND($H1742&lt;&gt;"",ROUND($O1742,2)&lt;&gt;0),"有","")</f>
        <v/>
      </c>
    </row>
    <row r="1743" customFormat="false" ht="15" hidden="true" customHeight="false" outlineLevel="0" collapsed="false">
      <c r="A1743" s="53" t="str">
        <f aca="false">IF($H1743="","",ROW()-5)</f>
        <v/>
      </c>
      <c r="B1743" s="64" t="s">
        <v>36</v>
      </c>
      <c r="C1743" s="53" t="n">
        <v>440</v>
      </c>
      <c r="D1743" s="53" t="n">
        <v>2</v>
      </c>
      <c r="E1743" s="65" t="str">
        <f aca="false">IF($H1743="","",购销流水!$B440)</f>
        <v/>
      </c>
      <c r="F1743" s="55" t="str">
        <f aca="false">IF($H1743="","",购销流水!$C440)</f>
        <v/>
      </c>
      <c r="G1743" s="48" t="str">
        <f aca="false">IF($H1743="","",购销流水!$N440)</f>
        <v/>
      </c>
      <c r="H1743" s="10" t="str">
        <f aca="false">IF($L1743="","",IF($L1743="@成本",购销流水!$U440,IF($L1743="@收入",购销流水!$T440,IF($L1743="@存货",购销流水!$S440,IF($L1743="@结算",购销流水!$R440,$L1743)))))</f>
        <v/>
      </c>
      <c r="I1743" s="42" t="n">
        <f aca="false">IF($M1743="借",$O1743,0)</f>
        <v>0</v>
      </c>
      <c r="J1743" s="42" t="n">
        <f aca="false">IF($M1743="贷",$O1743,0)</f>
        <v>0</v>
      </c>
      <c r="K1743" s="48" t="str">
        <f aca="false">IF($H1743="","",购销流水!$E440)</f>
        <v/>
      </c>
      <c r="L1743" s="66" t="str">
        <f aca="false">IF(购销流水!$D440="","",IFERROR(INDEX(记账规则!$A$6:$N$9,MATCH(购销流水!$D440,记账规则!$A$6:$A$9,0),6),""))</f>
        <v/>
      </c>
      <c r="M1743" s="66" t="str">
        <f aca="false">IF($L1743="","",IFERROR(INDEX(记账规则!$A$6:$N$9,MATCH(购销流水!$D440,记账规则!$A$6:$A$9,0),7),""))</f>
        <v/>
      </c>
      <c r="N1743" s="66" t="str">
        <f aca="false">IF($L1743="","",IFERROR(INDEX(记账规则!$A$6:$N$9,MATCH(购销流水!$D440,记账规则!$A$6:$A$9,0),8),""))</f>
        <v/>
      </c>
      <c r="O1743" s="67" t="n">
        <f aca="false">IF($H1743="",0,ROUND(IF($N1743="成本金额",N(购销流水!$W440),IF($N1743="金额",N(购销流水!$Q440),0)),2))</f>
        <v>0</v>
      </c>
      <c r="P1743" s="64" t="str">
        <f aca="false">IF(AND($H1743&lt;&gt;"",ROUND($O1743,2)&lt;&gt;0),"有","")</f>
        <v/>
      </c>
    </row>
    <row r="1744" customFormat="false" ht="15" hidden="true" customHeight="false" outlineLevel="0" collapsed="false">
      <c r="A1744" s="53" t="str">
        <f aca="false">IF($H1744="","",ROW()-5)</f>
        <v/>
      </c>
      <c r="B1744" s="64" t="s">
        <v>36</v>
      </c>
      <c r="C1744" s="53" t="n">
        <v>440</v>
      </c>
      <c r="D1744" s="53" t="n">
        <v>3</v>
      </c>
      <c r="E1744" s="65" t="str">
        <f aca="false">IF($H1744="","",购销流水!$B440)</f>
        <v/>
      </c>
      <c r="F1744" s="55" t="str">
        <f aca="false">IF($H1744="","",购销流水!$C440)</f>
        <v/>
      </c>
      <c r="G1744" s="48" t="str">
        <f aca="false">IF($H1744="","",购销流水!$N440)</f>
        <v/>
      </c>
      <c r="H1744" s="10" t="str">
        <f aca="false">IF($L1744="","",IF($L1744="@成本",购销流水!$U440,IF($L1744="@收入",购销流水!$T440,IF($L1744="@存货",购销流水!$S440,IF($L1744="@结算",购销流水!$R440,$L1744)))))</f>
        <v/>
      </c>
      <c r="I1744" s="42" t="n">
        <f aca="false">IF($M1744="借",$O1744,0)</f>
        <v>0</v>
      </c>
      <c r="J1744" s="42" t="n">
        <f aca="false">IF($M1744="贷",$O1744,0)</f>
        <v>0</v>
      </c>
      <c r="K1744" s="48" t="str">
        <f aca="false">IF($H1744="","",购销流水!$E440)</f>
        <v/>
      </c>
      <c r="L1744" s="66" t="str">
        <f aca="false">IF(购销流水!$D440="","",IFERROR(INDEX(记账规则!$A$6:$N$9,MATCH(购销流水!$D440,记账规则!$A$6:$A$9,0),9),""))</f>
        <v/>
      </c>
      <c r="M1744" s="66" t="str">
        <f aca="false">IF($L1744="","",IFERROR(INDEX(记账规则!$A$6:$N$9,MATCH(购销流水!$D440,记账规则!$A$6:$A$9,0),10),""))</f>
        <v/>
      </c>
      <c r="N1744" s="66" t="str">
        <f aca="false">IF($L1744="","",IFERROR(INDEX(记账规则!$A$6:$N$9,MATCH(购销流水!$D440,记账规则!$A$6:$A$9,0),11),""))</f>
        <v/>
      </c>
      <c r="O1744" s="67" t="n">
        <f aca="false">IF($H1744="",0,ROUND(IF($N1744="成本金额",N(购销流水!$W440),IF($N1744="金额",N(购销流水!$Q440),0)),2))</f>
        <v>0</v>
      </c>
      <c r="P1744" s="64" t="str">
        <f aca="false">IF(AND($H1744&lt;&gt;"",ROUND($O1744,2)&lt;&gt;0),"有","")</f>
        <v/>
      </c>
    </row>
    <row r="1745" customFormat="false" ht="15" hidden="true" customHeight="false" outlineLevel="0" collapsed="false">
      <c r="A1745" s="53" t="str">
        <f aca="false">IF($H1745="","",ROW()-5)</f>
        <v/>
      </c>
      <c r="B1745" s="64" t="s">
        <v>36</v>
      </c>
      <c r="C1745" s="53" t="n">
        <v>440</v>
      </c>
      <c r="D1745" s="53" t="n">
        <v>4</v>
      </c>
      <c r="E1745" s="65" t="str">
        <f aca="false">IF($H1745="","",购销流水!$B440)</f>
        <v/>
      </c>
      <c r="F1745" s="55" t="str">
        <f aca="false">IF($H1745="","",购销流水!$C440)</f>
        <v/>
      </c>
      <c r="G1745" s="48" t="str">
        <f aca="false">IF($H1745="","",购销流水!$N440)</f>
        <v/>
      </c>
      <c r="H1745" s="10" t="str">
        <f aca="false">IF($L1745="","",IF($L1745="@成本",购销流水!$U440,IF($L1745="@收入",购销流水!$T440,IF($L1745="@存货",购销流水!$S440,IF($L1745="@结算",购销流水!$R440,$L1745)))))</f>
        <v/>
      </c>
      <c r="I1745" s="42" t="n">
        <f aca="false">IF($M1745="借",$O1745,0)</f>
        <v>0</v>
      </c>
      <c r="J1745" s="42" t="n">
        <f aca="false">IF($M1745="贷",$O1745,0)</f>
        <v>0</v>
      </c>
      <c r="K1745" s="48" t="str">
        <f aca="false">IF($H1745="","",购销流水!$E440)</f>
        <v/>
      </c>
      <c r="L1745" s="66" t="str">
        <f aca="false">IF(购销流水!$D440="","",IFERROR(INDEX(记账规则!$A$6:$N$9,MATCH(购销流水!$D440,记账规则!$A$6:$A$9,0),12),""))</f>
        <v/>
      </c>
      <c r="M1745" s="66" t="str">
        <f aca="false">IF($L1745="","",IFERROR(INDEX(记账规则!$A$6:$N$9,MATCH(购销流水!$D440,记账规则!$A$6:$A$9,0),13),""))</f>
        <v/>
      </c>
      <c r="N1745" s="66" t="str">
        <f aca="false">IF($L1745="","",IFERROR(INDEX(记账规则!$A$6:$N$9,MATCH(购销流水!$D440,记账规则!$A$6:$A$9,0),14),""))</f>
        <v/>
      </c>
      <c r="O1745" s="67" t="n">
        <f aca="false">IF($H1745="",0,ROUND(IF($N1745="成本金额",N(购销流水!$W440),IF($N1745="金额",N(购销流水!$Q440),0)),2))</f>
        <v>0</v>
      </c>
      <c r="P1745" s="64" t="str">
        <f aca="false">IF(AND($H1745&lt;&gt;"",ROUND($O1745,2)&lt;&gt;0),"有","")</f>
        <v/>
      </c>
    </row>
    <row r="1746" customFormat="false" ht="15" hidden="true" customHeight="false" outlineLevel="0" collapsed="false">
      <c r="A1746" s="53" t="str">
        <f aca="false">IF($H1746="","",ROW()-5)</f>
        <v/>
      </c>
      <c r="B1746" s="64" t="s">
        <v>36</v>
      </c>
      <c r="C1746" s="53" t="n">
        <v>441</v>
      </c>
      <c r="D1746" s="53" t="n">
        <v>1</v>
      </c>
      <c r="E1746" s="65" t="str">
        <f aca="false">IF($H1746="","",购销流水!$B441)</f>
        <v/>
      </c>
      <c r="F1746" s="55" t="str">
        <f aca="false">IF($H1746="","",购销流水!$C441)</f>
        <v/>
      </c>
      <c r="G1746" s="48" t="str">
        <f aca="false">IF($H1746="","",购销流水!$N441)</f>
        <v/>
      </c>
      <c r="H1746" s="10" t="str">
        <f aca="false">IF($L1746="","",IF($L1746="@成本",购销流水!$U441,IF($L1746="@收入",购销流水!$T441,IF($L1746="@存货",购销流水!$S441,IF($L1746="@结算",购销流水!$R441,$L1746)))))</f>
        <v/>
      </c>
      <c r="I1746" s="42" t="n">
        <f aca="false">IF($M1746="借",$O1746,0)</f>
        <v>0</v>
      </c>
      <c r="J1746" s="42" t="n">
        <f aca="false">IF($M1746="贷",$O1746,0)</f>
        <v>0</v>
      </c>
      <c r="K1746" s="48" t="str">
        <f aca="false">IF($H1746="","",购销流水!$E441)</f>
        <v/>
      </c>
      <c r="L1746" s="66" t="str">
        <f aca="false">IF(购销流水!$D441="","",IFERROR(INDEX(记账规则!$A$6:$N$9,MATCH(购销流水!$D441,记账规则!$A$6:$A$9,0),3),""))</f>
        <v/>
      </c>
      <c r="M1746" s="66" t="str">
        <f aca="false">IF($L1746="","",IFERROR(INDEX(记账规则!$A$6:$N$9,MATCH(购销流水!$D441,记账规则!$A$6:$A$9,0),4),""))</f>
        <v/>
      </c>
      <c r="N1746" s="66" t="str">
        <f aca="false">IF($L1746="","",IFERROR(INDEX(记账规则!$A$6:$N$9,MATCH(购销流水!$D441,记账规则!$A$6:$A$9,0),5),""))</f>
        <v/>
      </c>
      <c r="O1746" s="67" t="n">
        <f aca="false">IF($H1746="",0,ROUND(IF($N1746="成本金额",N(购销流水!$W441),IF($N1746="金额",N(购销流水!$Q441),0)),2))</f>
        <v>0</v>
      </c>
      <c r="P1746" s="64" t="str">
        <f aca="false">IF(AND($H1746&lt;&gt;"",ROUND($O1746,2)&lt;&gt;0),"有","")</f>
        <v/>
      </c>
    </row>
    <row r="1747" customFormat="false" ht="15" hidden="true" customHeight="false" outlineLevel="0" collapsed="false">
      <c r="A1747" s="53" t="str">
        <f aca="false">IF($H1747="","",ROW()-5)</f>
        <v/>
      </c>
      <c r="B1747" s="64" t="s">
        <v>36</v>
      </c>
      <c r="C1747" s="53" t="n">
        <v>441</v>
      </c>
      <c r="D1747" s="53" t="n">
        <v>2</v>
      </c>
      <c r="E1747" s="65" t="str">
        <f aca="false">IF($H1747="","",购销流水!$B441)</f>
        <v/>
      </c>
      <c r="F1747" s="55" t="str">
        <f aca="false">IF($H1747="","",购销流水!$C441)</f>
        <v/>
      </c>
      <c r="G1747" s="48" t="str">
        <f aca="false">IF($H1747="","",购销流水!$N441)</f>
        <v/>
      </c>
      <c r="H1747" s="10" t="str">
        <f aca="false">IF($L1747="","",IF($L1747="@成本",购销流水!$U441,IF($L1747="@收入",购销流水!$T441,IF($L1747="@存货",购销流水!$S441,IF($L1747="@结算",购销流水!$R441,$L1747)))))</f>
        <v/>
      </c>
      <c r="I1747" s="42" t="n">
        <f aca="false">IF($M1747="借",$O1747,0)</f>
        <v>0</v>
      </c>
      <c r="J1747" s="42" t="n">
        <f aca="false">IF($M1747="贷",$O1747,0)</f>
        <v>0</v>
      </c>
      <c r="K1747" s="48" t="str">
        <f aca="false">IF($H1747="","",购销流水!$E441)</f>
        <v/>
      </c>
      <c r="L1747" s="66" t="str">
        <f aca="false">IF(购销流水!$D441="","",IFERROR(INDEX(记账规则!$A$6:$N$9,MATCH(购销流水!$D441,记账规则!$A$6:$A$9,0),6),""))</f>
        <v/>
      </c>
      <c r="M1747" s="66" t="str">
        <f aca="false">IF($L1747="","",IFERROR(INDEX(记账规则!$A$6:$N$9,MATCH(购销流水!$D441,记账规则!$A$6:$A$9,0),7),""))</f>
        <v/>
      </c>
      <c r="N1747" s="66" t="str">
        <f aca="false">IF($L1747="","",IFERROR(INDEX(记账规则!$A$6:$N$9,MATCH(购销流水!$D441,记账规则!$A$6:$A$9,0),8),""))</f>
        <v/>
      </c>
      <c r="O1747" s="67" t="n">
        <f aca="false">IF($H1747="",0,ROUND(IF($N1747="成本金额",N(购销流水!$W441),IF($N1747="金额",N(购销流水!$Q441),0)),2))</f>
        <v>0</v>
      </c>
      <c r="P1747" s="64" t="str">
        <f aca="false">IF(AND($H1747&lt;&gt;"",ROUND($O1747,2)&lt;&gt;0),"有","")</f>
        <v/>
      </c>
    </row>
    <row r="1748" customFormat="false" ht="15" hidden="true" customHeight="false" outlineLevel="0" collapsed="false">
      <c r="A1748" s="53" t="str">
        <f aca="false">IF($H1748="","",ROW()-5)</f>
        <v/>
      </c>
      <c r="B1748" s="64" t="s">
        <v>36</v>
      </c>
      <c r="C1748" s="53" t="n">
        <v>441</v>
      </c>
      <c r="D1748" s="53" t="n">
        <v>3</v>
      </c>
      <c r="E1748" s="65" t="str">
        <f aca="false">IF($H1748="","",购销流水!$B441)</f>
        <v/>
      </c>
      <c r="F1748" s="55" t="str">
        <f aca="false">IF($H1748="","",购销流水!$C441)</f>
        <v/>
      </c>
      <c r="G1748" s="48" t="str">
        <f aca="false">IF($H1748="","",购销流水!$N441)</f>
        <v/>
      </c>
      <c r="H1748" s="10" t="str">
        <f aca="false">IF($L1748="","",IF($L1748="@成本",购销流水!$U441,IF($L1748="@收入",购销流水!$T441,IF($L1748="@存货",购销流水!$S441,IF($L1748="@结算",购销流水!$R441,$L1748)))))</f>
        <v/>
      </c>
      <c r="I1748" s="42" t="n">
        <f aca="false">IF($M1748="借",$O1748,0)</f>
        <v>0</v>
      </c>
      <c r="J1748" s="42" t="n">
        <f aca="false">IF($M1748="贷",$O1748,0)</f>
        <v>0</v>
      </c>
      <c r="K1748" s="48" t="str">
        <f aca="false">IF($H1748="","",购销流水!$E441)</f>
        <v/>
      </c>
      <c r="L1748" s="66" t="str">
        <f aca="false">IF(购销流水!$D441="","",IFERROR(INDEX(记账规则!$A$6:$N$9,MATCH(购销流水!$D441,记账规则!$A$6:$A$9,0),9),""))</f>
        <v/>
      </c>
      <c r="M1748" s="66" t="str">
        <f aca="false">IF($L1748="","",IFERROR(INDEX(记账规则!$A$6:$N$9,MATCH(购销流水!$D441,记账规则!$A$6:$A$9,0),10),""))</f>
        <v/>
      </c>
      <c r="N1748" s="66" t="str">
        <f aca="false">IF($L1748="","",IFERROR(INDEX(记账规则!$A$6:$N$9,MATCH(购销流水!$D441,记账规则!$A$6:$A$9,0),11),""))</f>
        <v/>
      </c>
      <c r="O1748" s="67" t="n">
        <f aca="false">IF($H1748="",0,ROUND(IF($N1748="成本金额",N(购销流水!$W441),IF($N1748="金额",N(购销流水!$Q441),0)),2))</f>
        <v>0</v>
      </c>
      <c r="P1748" s="64" t="str">
        <f aca="false">IF(AND($H1748&lt;&gt;"",ROUND($O1748,2)&lt;&gt;0),"有","")</f>
        <v/>
      </c>
    </row>
    <row r="1749" customFormat="false" ht="15" hidden="true" customHeight="false" outlineLevel="0" collapsed="false">
      <c r="A1749" s="53" t="str">
        <f aca="false">IF($H1749="","",ROW()-5)</f>
        <v/>
      </c>
      <c r="B1749" s="64" t="s">
        <v>36</v>
      </c>
      <c r="C1749" s="53" t="n">
        <v>441</v>
      </c>
      <c r="D1749" s="53" t="n">
        <v>4</v>
      </c>
      <c r="E1749" s="65" t="str">
        <f aca="false">IF($H1749="","",购销流水!$B441)</f>
        <v/>
      </c>
      <c r="F1749" s="55" t="str">
        <f aca="false">IF($H1749="","",购销流水!$C441)</f>
        <v/>
      </c>
      <c r="G1749" s="48" t="str">
        <f aca="false">IF($H1749="","",购销流水!$N441)</f>
        <v/>
      </c>
      <c r="H1749" s="10" t="str">
        <f aca="false">IF($L1749="","",IF($L1749="@成本",购销流水!$U441,IF($L1749="@收入",购销流水!$T441,IF($L1749="@存货",购销流水!$S441,IF($L1749="@结算",购销流水!$R441,$L1749)))))</f>
        <v/>
      </c>
      <c r="I1749" s="42" t="n">
        <f aca="false">IF($M1749="借",$O1749,0)</f>
        <v>0</v>
      </c>
      <c r="J1749" s="42" t="n">
        <f aca="false">IF($M1749="贷",$O1749,0)</f>
        <v>0</v>
      </c>
      <c r="K1749" s="48" t="str">
        <f aca="false">IF($H1749="","",购销流水!$E441)</f>
        <v/>
      </c>
      <c r="L1749" s="66" t="str">
        <f aca="false">IF(购销流水!$D441="","",IFERROR(INDEX(记账规则!$A$6:$N$9,MATCH(购销流水!$D441,记账规则!$A$6:$A$9,0),12),""))</f>
        <v/>
      </c>
      <c r="M1749" s="66" t="str">
        <f aca="false">IF($L1749="","",IFERROR(INDEX(记账规则!$A$6:$N$9,MATCH(购销流水!$D441,记账规则!$A$6:$A$9,0),13),""))</f>
        <v/>
      </c>
      <c r="N1749" s="66" t="str">
        <f aca="false">IF($L1749="","",IFERROR(INDEX(记账规则!$A$6:$N$9,MATCH(购销流水!$D441,记账规则!$A$6:$A$9,0),14),""))</f>
        <v/>
      </c>
      <c r="O1749" s="67" t="n">
        <f aca="false">IF($H1749="",0,ROUND(IF($N1749="成本金额",N(购销流水!$W441),IF($N1749="金额",N(购销流水!$Q441),0)),2))</f>
        <v>0</v>
      </c>
      <c r="P1749" s="64" t="str">
        <f aca="false">IF(AND($H1749&lt;&gt;"",ROUND($O1749,2)&lt;&gt;0),"有","")</f>
        <v/>
      </c>
    </row>
    <row r="1750" customFormat="false" ht="15" hidden="true" customHeight="false" outlineLevel="0" collapsed="false">
      <c r="A1750" s="53" t="str">
        <f aca="false">IF($H1750="","",ROW()-5)</f>
        <v/>
      </c>
      <c r="B1750" s="64" t="s">
        <v>36</v>
      </c>
      <c r="C1750" s="53" t="n">
        <v>442</v>
      </c>
      <c r="D1750" s="53" t="n">
        <v>1</v>
      </c>
      <c r="E1750" s="65" t="str">
        <f aca="false">IF($H1750="","",购销流水!$B442)</f>
        <v/>
      </c>
      <c r="F1750" s="55" t="str">
        <f aca="false">IF($H1750="","",购销流水!$C442)</f>
        <v/>
      </c>
      <c r="G1750" s="48" t="str">
        <f aca="false">IF($H1750="","",购销流水!$N442)</f>
        <v/>
      </c>
      <c r="H1750" s="10" t="str">
        <f aca="false">IF($L1750="","",IF($L1750="@成本",购销流水!$U442,IF($L1750="@收入",购销流水!$T442,IF($L1750="@存货",购销流水!$S442,IF($L1750="@结算",购销流水!$R442,$L1750)))))</f>
        <v/>
      </c>
      <c r="I1750" s="42" t="n">
        <f aca="false">IF($M1750="借",$O1750,0)</f>
        <v>0</v>
      </c>
      <c r="J1750" s="42" t="n">
        <f aca="false">IF($M1750="贷",$O1750,0)</f>
        <v>0</v>
      </c>
      <c r="K1750" s="48" t="str">
        <f aca="false">IF($H1750="","",购销流水!$E442)</f>
        <v/>
      </c>
      <c r="L1750" s="66" t="str">
        <f aca="false">IF(购销流水!$D442="","",IFERROR(INDEX(记账规则!$A$6:$N$9,MATCH(购销流水!$D442,记账规则!$A$6:$A$9,0),3),""))</f>
        <v/>
      </c>
      <c r="M1750" s="66" t="str">
        <f aca="false">IF($L1750="","",IFERROR(INDEX(记账规则!$A$6:$N$9,MATCH(购销流水!$D442,记账规则!$A$6:$A$9,0),4),""))</f>
        <v/>
      </c>
      <c r="N1750" s="66" t="str">
        <f aca="false">IF($L1750="","",IFERROR(INDEX(记账规则!$A$6:$N$9,MATCH(购销流水!$D442,记账规则!$A$6:$A$9,0),5),""))</f>
        <v/>
      </c>
      <c r="O1750" s="67" t="n">
        <f aca="false">IF($H1750="",0,ROUND(IF($N1750="成本金额",N(购销流水!$W442),IF($N1750="金额",N(购销流水!$Q442),0)),2))</f>
        <v>0</v>
      </c>
      <c r="P1750" s="64" t="str">
        <f aca="false">IF(AND($H1750&lt;&gt;"",ROUND($O1750,2)&lt;&gt;0),"有","")</f>
        <v/>
      </c>
    </row>
    <row r="1751" customFormat="false" ht="15" hidden="true" customHeight="false" outlineLevel="0" collapsed="false">
      <c r="A1751" s="53" t="str">
        <f aca="false">IF($H1751="","",ROW()-5)</f>
        <v/>
      </c>
      <c r="B1751" s="64" t="s">
        <v>36</v>
      </c>
      <c r="C1751" s="53" t="n">
        <v>442</v>
      </c>
      <c r="D1751" s="53" t="n">
        <v>2</v>
      </c>
      <c r="E1751" s="65" t="str">
        <f aca="false">IF($H1751="","",购销流水!$B442)</f>
        <v/>
      </c>
      <c r="F1751" s="55" t="str">
        <f aca="false">IF($H1751="","",购销流水!$C442)</f>
        <v/>
      </c>
      <c r="G1751" s="48" t="str">
        <f aca="false">IF($H1751="","",购销流水!$N442)</f>
        <v/>
      </c>
      <c r="H1751" s="10" t="str">
        <f aca="false">IF($L1751="","",IF($L1751="@成本",购销流水!$U442,IF($L1751="@收入",购销流水!$T442,IF($L1751="@存货",购销流水!$S442,IF($L1751="@结算",购销流水!$R442,$L1751)))))</f>
        <v/>
      </c>
      <c r="I1751" s="42" t="n">
        <f aca="false">IF($M1751="借",$O1751,0)</f>
        <v>0</v>
      </c>
      <c r="J1751" s="42" t="n">
        <f aca="false">IF($M1751="贷",$O1751,0)</f>
        <v>0</v>
      </c>
      <c r="K1751" s="48" t="str">
        <f aca="false">IF($H1751="","",购销流水!$E442)</f>
        <v/>
      </c>
      <c r="L1751" s="66" t="str">
        <f aca="false">IF(购销流水!$D442="","",IFERROR(INDEX(记账规则!$A$6:$N$9,MATCH(购销流水!$D442,记账规则!$A$6:$A$9,0),6),""))</f>
        <v/>
      </c>
      <c r="M1751" s="66" t="str">
        <f aca="false">IF($L1751="","",IFERROR(INDEX(记账规则!$A$6:$N$9,MATCH(购销流水!$D442,记账规则!$A$6:$A$9,0),7),""))</f>
        <v/>
      </c>
      <c r="N1751" s="66" t="str">
        <f aca="false">IF($L1751="","",IFERROR(INDEX(记账规则!$A$6:$N$9,MATCH(购销流水!$D442,记账规则!$A$6:$A$9,0),8),""))</f>
        <v/>
      </c>
      <c r="O1751" s="67" t="n">
        <f aca="false">IF($H1751="",0,ROUND(IF($N1751="成本金额",N(购销流水!$W442),IF($N1751="金额",N(购销流水!$Q442),0)),2))</f>
        <v>0</v>
      </c>
      <c r="P1751" s="64" t="str">
        <f aca="false">IF(AND($H1751&lt;&gt;"",ROUND($O1751,2)&lt;&gt;0),"有","")</f>
        <v/>
      </c>
    </row>
    <row r="1752" customFormat="false" ht="15" hidden="true" customHeight="false" outlineLevel="0" collapsed="false">
      <c r="A1752" s="53" t="str">
        <f aca="false">IF($H1752="","",ROW()-5)</f>
        <v/>
      </c>
      <c r="B1752" s="64" t="s">
        <v>36</v>
      </c>
      <c r="C1752" s="53" t="n">
        <v>442</v>
      </c>
      <c r="D1752" s="53" t="n">
        <v>3</v>
      </c>
      <c r="E1752" s="65" t="str">
        <f aca="false">IF($H1752="","",购销流水!$B442)</f>
        <v/>
      </c>
      <c r="F1752" s="55" t="str">
        <f aca="false">IF($H1752="","",购销流水!$C442)</f>
        <v/>
      </c>
      <c r="G1752" s="48" t="str">
        <f aca="false">IF($H1752="","",购销流水!$N442)</f>
        <v/>
      </c>
      <c r="H1752" s="10" t="str">
        <f aca="false">IF($L1752="","",IF($L1752="@成本",购销流水!$U442,IF($L1752="@收入",购销流水!$T442,IF($L1752="@存货",购销流水!$S442,IF($L1752="@结算",购销流水!$R442,$L1752)))))</f>
        <v/>
      </c>
      <c r="I1752" s="42" t="n">
        <f aca="false">IF($M1752="借",$O1752,0)</f>
        <v>0</v>
      </c>
      <c r="J1752" s="42" t="n">
        <f aca="false">IF($M1752="贷",$O1752,0)</f>
        <v>0</v>
      </c>
      <c r="K1752" s="48" t="str">
        <f aca="false">IF($H1752="","",购销流水!$E442)</f>
        <v/>
      </c>
      <c r="L1752" s="66" t="str">
        <f aca="false">IF(购销流水!$D442="","",IFERROR(INDEX(记账规则!$A$6:$N$9,MATCH(购销流水!$D442,记账规则!$A$6:$A$9,0),9),""))</f>
        <v/>
      </c>
      <c r="M1752" s="66" t="str">
        <f aca="false">IF($L1752="","",IFERROR(INDEX(记账规则!$A$6:$N$9,MATCH(购销流水!$D442,记账规则!$A$6:$A$9,0),10),""))</f>
        <v/>
      </c>
      <c r="N1752" s="66" t="str">
        <f aca="false">IF($L1752="","",IFERROR(INDEX(记账规则!$A$6:$N$9,MATCH(购销流水!$D442,记账规则!$A$6:$A$9,0),11),""))</f>
        <v/>
      </c>
      <c r="O1752" s="67" t="n">
        <f aca="false">IF($H1752="",0,ROUND(IF($N1752="成本金额",N(购销流水!$W442),IF($N1752="金额",N(购销流水!$Q442),0)),2))</f>
        <v>0</v>
      </c>
      <c r="P1752" s="64" t="str">
        <f aca="false">IF(AND($H1752&lt;&gt;"",ROUND($O1752,2)&lt;&gt;0),"有","")</f>
        <v/>
      </c>
    </row>
    <row r="1753" customFormat="false" ht="15" hidden="true" customHeight="false" outlineLevel="0" collapsed="false">
      <c r="A1753" s="53" t="str">
        <f aca="false">IF($H1753="","",ROW()-5)</f>
        <v/>
      </c>
      <c r="B1753" s="64" t="s">
        <v>36</v>
      </c>
      <c r="C1753" s="53" t="n">
        <v>442</v>
      </c>
      <c r="D1753" s="53" t="n">
        <v>4</v>
      </c>
      <c r="E1753" s="65" t="str">
        <f aca="false">IF($H1753="","",购销流水!$B442)</f>
        <v/>
      </c>
      <c r="F1753" s="55" t="str">
        <f aca="false">IF($H1753="","",购销流水!$C442)</f>
        <v/>
      </c>
      <c r="G1753" s="48" t="str">
        <f aca="false">IF($H1753="","",购销流水!$N442)</f>
        <v/>
      </c>
      <c r="H1753" s="10" t="str">
        <f aca="false">IF($L1753="","",IF($L1753="@成本",购销流水!$U442,IF($L1753="@收入",购销流水!$T442,IF($L1753="@存货",购销流水!$S442,IF($L1753="@结算",购销流水!$R442,$L1753)))))</f>
        <v/>
      </c>
      <c r="I1753" s="42" t="n">
        <f aca="false">IF($M1753="借",$O1753,0)</f>
        <v>0</v>
      </c>
      <c r="J1753" s="42" t="n">
        <f aca="false">IF($M1753="贷",$O1753,0)</f>
        <v>0</v>
      </c>
      <c r="K1753" s="48" t="str">
        <f aca="false">IF($H1753="","",购销流水!$E442)</f>
        <v/>
      </c>
      <c r="L1753" s="66" t="str">
        <f aca="false">IF(购销流水!$D442="","",IFERROR(INDEX(记账规则!$A$6:$N$9,MATCH(购销流水!$D442,记账规则!$A$6:$A$9,0),12),""))</f>
        <v/>
      </c>
      <c r="M1753" s="66" t="str">
        <f aca="false">IF($L1753="","",IFERROR(INDEX(记账规则!$A$6:$N$9,MATCH(购销流水!$D442,记账规则!$A$6:$A$9,0),13),""))</f>
        <v/>
      </c>
      <c r="N1753" s="66" t="str">
        <f aca="false">IF($L1753="","",IFERROR(INDEX(记账规则!$A$6:$N$9,MATCH(购销流水!$D442,记账规则!$A$6:$A$9,0),14),""))</f>
        <v/>
      </c>
      <c r="O1753" s="67" t="n">
        <f aca="false">IF($H1753="",0,ROUND(IF($N1753="成本金额",N(购销流水!$W442),IF($N1753="金额",N(购销流水!$Q442),0)),2))</f>
        <v>0</v>
      </c>
      <c r="P1753" s="64" t="str">
        <f aca="false">IF(AND($H1753&lt;&gt;"",ROUND($O1753,2)&lt;&gt;0),"有","")</f>
        <v/>
      </c>
    </row>
    <row r="1754" customFormat="false" ht="15" hidden="true" customHeight="false" outlineLevel="0" collapsed="false">
      <c r="A1754" s="53" t="str">
        <f aca="false">IF($H1754="","",ROW()-5)</f>
        <v/>
      </c>
      <c r="B1754" s="64" t="s">
        <v>36</v>
      </c>
      <c r="C1754" s="53" t="n">
        <v>443</v>
      </c>
      <c r="D1754" s="53" t="n">
        <v>1</v>
      </c>
      <c r="E1754" s="65" t="str">
        <f aca="false">IF($H1754="","",购销流水!$B443)</f>
        <v/>
      </c>
      <c r="F1754" s="55" t="str">
        <f aca="false">IF($H1754="","",购销流水!$C443)</f>
        <v/>
      </c>
      <c r="G1754" s="48" t="str">
        <f aca="false">IF($H1754="","",购销流水!$N443)</f>
        <v/>
      </c>
      <c r="H1754" s="10" t="str">
        <f aca="false">IF($L1754="","",IF($L1754="@成本",购销流水!$U443,IF($L1754="@收入",购销流水!$T443,IF($L1754="@存货",购销流水!$S443,IF($L1754="@结算",购销流水!$R443,$L1754)))))</f>
        <v/>
      </c>
      <c r="I1754" s="42" t="n">
        <f aca="false">IF($M1754="借",$O1754,0)</f>
        <v>0</v>
      </c>
      <c r="J1754" s="42" t="n">
        <f aca="false">IF($M1754="贷",$O1754,0)</f>
        <v>0</v>
      </c>
      <c r="K1754" s="48" t="str">
        <f aca="false">IF($H1754="","",购销流水!$E443)</f>
        <v/>
      </c>
      <c r="L1754" s="66" t="str">
        <f aca="false">IF(购销流水!$D443="","",IFERROR(INDEX(记账规则!$A$6:$N$9,MATCH(购销流水!$D443,记账规则!$A$6:$A$9,0),3),""))</f>
        <v/>
      </c>
      <c r="M1754" s="66" t="str">
        <f aca="false">IF($L1754="","",IFERROR(INDEX(记账规则!$A$6:$N$9,MATCH(购销流水!$D443,记账规则!$A$6:$A$9,0),4),""))</f>
        <v/>
      </c>
      <c r="N1754" s="66" t="str">
        <f aca="false">IF($L1754="","",IFERROR(INDEX(记账规则!$A$6:$N$9,MATCH(购销流水!$D443,记账规则!$A$6:$A$9,0),5),""))</f>
        <v/>
      </c>
      <c r="O1754" s="67" t="n">
        <f aca="false">IF($H1754="",0,ROUND(IF($N1754="成本金额",N(购销流水!$W443),IF($N1754="金额",N(购销流水!$Q443),0)),2))</f>
        <v>0</v>
      </c>
      <c r="P1754" s="64" t="str">
        <f aca="false">IF(AND($H1754&lt;&gt;"",ROUND($O1754,2)&lt;&gt;0),"有","")</f>
        <v/>
      </c>
    </row>
    <row r="1755" customFormat="false" ht="15" hidden="true" customHeight="false" outlineLevel="0" collapsed="false">
      <c r="A1755" s="53" t="str">
        <f aca="false">IF($H1755="","",ROW()-5)</f>
        <v/>
      </c>
      <c r="B1755" s="64" t="s">
        <v>36</v>
      </c>
      <c r="C1755" s="53" t="n">
        <v>443</v>
      </c>
      <c r="D1755" s="53" t="n">
        <v>2</v>
      </c>
      <c r="E1755" s="65" t="str">
        <f aca="false">IF($H1755="","",购销流水!$B443)</f>
        <v/>
      </c>
      <c r="F1755" s="55" t="str">
        <f aca="false">IF($H1755="","",购销流水!$C443)</f>
        <v/>
      </c>
      <c r="G1755" s="48" t="str">
        <f aca="false">IF($H1755="","",购销流水!$N443)</f>
        <v/>
      </c>
      <c r="H1755" s="10" t="str">
        <f aca="false">IF($L1755="","",IF($L1755="@成本",购销流水!$U443,IF($L1755="@收入",购销流水!$T443,IF($L1755="@存货",购销流水!$S443,IF($L1755="@结算",购销流水!$R443,$L1755)))))</f>
        <v/>
      </c>
      <c r="I1755" s="42" t="n">
        <f aca="false">IF($M1755="借",$O1755,0)</f>
        <v>0</v>
      </c>
      <c r="J1755" s="42" t="n">
        <f aca="false">IF($M1755="贷",$O1755,0)</f>
        <v>0</v>
      </c>
      <c r="K1755" s="48" t="str">
        <f aca="false">IF($H1755="","",购销流水!$E443)</f>
        <v/>
      </c>
      <c r="L1755" s="66" t="str">
        <f aca="false">IF(购销流水!$D443="","",IFERROR(INDEX(记账规则!$A$6:$N$9,MATCH(购销流水!$D443,记账规则!$A$6:$A$9,0),6),""))</f>
        <v/>
      </c>
      <c r="M1755" s="66" t="str">
        <f aca="false">IF($L1755="","",IFERROR(INDEX(记账规则!$A$6:$N$9,MATCH(购销流水!$D443,记账规则!$A$6:$A$9,0),7),""))</f>
        <v/>
      </c>
      <c r="N1755" s="66" t="str">
        <f aca="false">IF($L1755="","",IFERROR(INDEX(记账规则!$A$6:$N$9,MATCH(购销流水!$D443,记账规则!$A$6:$A$9,0),8),""))</f>
        <v/>
      </c>
      <c r="O1755" s="67" t="n">
        <f aca="false">IF($H1755="",0,ROUND(IF($N1755="成本金额",N(购销流水!$W443),IF($N1755="金额",N(购销流水!$Q443),0)),2))</f>
        <v>0</v>
      </c>
      <c r="P1755" s="64" t="str">
        <f aca="false">IF(AND($H1755&lt;&gt;"",ROUND($O1755,2)&lt;&gt;0),"有","")</f>
        <v/>
      </c>
    </row>
    <row r="1756" customFormat="false" ht="15" hidden="true" customHeight="false" outlineLevel="0" collapsed="false">
      <c r="A1756" s="53" t="str">
        <f aca="false">IF($H1756="","",ROW()-5)</f>
        <v/>
      </c>
      <c r="B1756" s="64" t="s">
        <v>36</v>
      </c>
      <c r="C1756" s="53" t="n">
        <v>443</v>
      </c>
      <c r="D1756" s="53" t="n">
        <v>3</v>
      </c>
      <c r="E1756" s="65" t="str">
        <f aca="false">IF($H1756="","",购销流水!$B443)</f>
        <v/>
      </c>
      <c r="F1756" s="55" t="str">
        <f aca="false">IF($H1756="","",购销流水!$C443)</f>
        <v/>
      </c>
      <c r="G1756" s="48" t="str">
        <f aca="false">IF($H1756="","",购销流水!$N443)</f>
        <v/>
      </c>
      <c r="H1756" s="10" t="str">
        <f aca="false">IF($L1756="","",IF($L1756="@成本",购销流水!$U443,IF($L1756="@收入",购销流水!$T443,IF($L1756="@存货",购销流水!$S443,IF($L1756="@结算",购销流水!$R443,$L1756)))))</f>
        <v/>
      </c>
      <c r="I1756" s="42" t="n">
        <f aca="false">IF($M1756="借",$O1756,0)</f>
        <v>0</v>
      </c>
      <c r="J1756" s="42" t="n">
        <f aca="false">IF($M1756="贷",$O1756,0)</f>
        <v>0</v>
      </c>
      <c r="K1756" s="48" t="str">
        <f aca="false">IF($H1756="","",购销流水!$E443)</f>
        <v/>
      </c>
      <c r="L1756" s="66" t="str">
        <f aca="false">IF(购销流水!$D443="","",IFERROR(INDEX(记账规则!$A$6:$N$9,MATCH(购销流水!$D443,记账规则!$A$6:$A$9,0),9),""))</f>
        <v/>
      </c>
      <c r="M1756" s="66" t="str">
        <f aca="false">IF($L1756="","",IFERROR(INDEX(记账规则!$A$6:$N$9,MATCH(购销流水!$D443,记账规则!$A$6:$A$9,0),10),""))</f>
        <v/>
      </c>
      <c r="N1756" s="66" t="str">
        <f aca="false">IF($L1756="","",IFERROR(INDEX(记账规则!$A$6:$N$9,MATCH(购销流水!$D443,记账规则!$A$6:$A$9,0),11),""))</f>
        <v/>
      </c>
      <c r="O1756" s="67" t="n">
        <f aca="false">IF($H1756="",0,ROUND(IF($N1756="成本金额",N(购销流水!$W443),IF($N1756="金额",N(购销流水!$Q443),0)),2))</f>
        <v>0</v>
      </c>
      <c r="P1756" s="64" t="str">
        <f aca="false">IF(AND($H1756&lt;&gt;"",ROUND($O1756,2)&lt;&gt;0),"有","")</f>
        <v/>
      </c>
    </row>
    <row r="1757" customFormat="false" ht="15" hidden="true" customHeight="false" outlineLevel="0" collapsed="false">
      <c r="A1757" s="53" t="str">
        <f aca="false">IF($H1757="","",ROW()-5)</f>
        <v/>
      </c>
      <c r="B1757" s="64" t="s">
        <v>36</v>
      </c>
      <c r="C1757" s="53" t="n">
        <v>443</v>
      </c>
      <c r="D1757" s="53" t="n">
        <v>4</v>
      </c>
      <c r="E1757" s="65" t="str">
        <f aca="false">IF($H1757="","",购销流水!$B443)</f>
        <v/>
      </c>
      <c r="F1757" s="55" t="str">
        <f aca="false">IF($H1757="","",购销流水!$C443)</f>
        <v/>
      </c>
      <c r="G1757" s="48" t="str">
        <f aca="false">IF($H1757="","",购销流水!$N443)</f>
        <v/>
      </c>
      <c r="H1757" s="10" t="str">
        <f aca="false">IF($L1757="","",IF($L1757="@成本",购销流水!$U443,IF($L1757="@收入",购销流水!$T443,IF($L1757="@存货",购销流水!$S443,IF($L1757="@结算",购销流水!$R443,$L1757)))))</f>
        <v/>
      </c>
      <c r="I1757" s="42" t="n">
        <f aca="false">IF($M1757="借",$O1757,0)</f>
        <v>0</v>
      </c>
      <c r="J1757" s="42" t="n">
        <f aca="false">IF($M1757="贷",$O1757,0)</f>
        <v>0</v>
      </c>
      <c r="K1757" s="48" t="str">
        <f aca="false">IF($H1757="","",购销流水!$E443)</f>
        <v/>
      </c>
      <c r="L1757" s="66" t="str">
        <f aca="false">IF(购销流水!$D443="","",IFERROR(INDEX(记账规则!$A$6:$N$9,MATCH(购销流水!$D443,记账规则!$A$6:$A$9,0),12),""))</f>
        <v/>
      </c>
      <c r="M1757" s="66" t="str">
        <f aca="false">IF($L1757="","",IFERROR(INDEX(记账规则!$A$6:$N$9,MATCH(购销流水!$D443,记账规则!$A$6:$A$9,0),13),""))</f>
        <v/>
      </c>
      <c r="N1757" s="66" t="str">
        <f aca="false">IF($L1757="","",IFERROR(INDEX(记账规则!$A$6:$N$9,MATCH(购销流水!$D443,记账规则!$A$6:$A$9,0),14),""))</f>
        <v/>
      </c>
      <c r="O1757" s="67" t="n">
        <f aca="false">IF($H1757="",0,ROUND(IF($N1757="成本金额",N(购销流水!$W443),IF($N1757="金额",N(购销流水!$Q443),0)),2))</f>
        <v>0</v>
      </c>
      <c r="P1757" s="64" t="str">
        <f aca="false">IF(AND($H1757&lt;&gt;"",ROUND($O1757,2)&lt;&gt;0),"有","")</f>
        <v/>
      </c>
    </row>
    <row r="1758" customFormat="false" ht="15" hidden="true" customHeight="false" outlineLevel="0" collapsed="false">
      <c r="A1758" s="53" t="str">
        <f aca="false">IF($H1758="","",ROW()-5)</f>
        <v/>
      </c>
      <c r="B1758" s="64" t="s">
        <v>36</v>
      </c>
      <c r="C1758" s="53" t="n">
        <v>444</v>
      </c>
      <c r="D1758" s="53" t="n">
        <v>1</v>
      </c>
      <c r="E1758" s="65" t="str">
        <f aca="false">IF($H1758="","",购销流水!$B444)</f>
        <v/>
      </c>
      <c r="F1758" s="55" t="str">
        <f aca="false">IF($H1758="","",购销流水!$C444)</f>
        <v/>
      </c>
      <c r="G1758" s="48" t="str">
        <f aca="false">IF($H1758="","",购销流水!$N444)</f>
        <v/>
      </c>
      <c r="H1758" s="10" t="str">
        <f aca="false">IF($L1758="","",IF($L1758="@成本",购销流水!$U444,IF($L1758="@收入",购销流水!$T444,IF($L1758="@存货",购销流水!$S444,IF($L1758="@结算",购销流水!$R444,$L1758)))))</f>
        <v/>
      </c>
      <c r="I1758" s="42" t="n">
        <f aca="false">IF($M1758="借",$O1758,0)</f>
        <v>0</v>
      </c>
      <c r="J1758" s="42" t="n">
        <f aca="false">IF($M1758="贷",$O1758,0)</f>
        <v>0</v>
      </c>
      <c r="K1758" s="48" t="str">
        <f aca="false">IF($H1758="","",购销流水!$E444)</f>
        <v/>
      </c>
      <c r="L1758" s="66" t="str">
        <f aca="false">IF(购销流水!$D444="","",IFERROR(INDEX(记账规则!$A$6:$N$9,MATCH(购销流水!$D444,记账规则!$A$6:$A$9,0),3),""))</f>
        <v/>
      </c>
      <c r="M1758" s="66" t="str">
        <f aca="false">IF($L1758="","",IFERROR(INDEX(记账规则!$A$6:$N$9,MATCH(购销流水!$D444,记账规则!$A$6:$A$9,0),4),""))</f>
        <v/>
      </c>
      <c r="N1758" s="66" t="str">
        <f aca="false">IF($L1758="","",IFERROR(INDEX(记账规则!$A$6:$N$9,MATCH(购销流水!$D444,记账规则!$A$6:$A$9,0),5),""))</f>
        <v/>
      </c>
      <c r="O1758" s="67" t="n">
        <f aca="false">IF($H1758="",0,ROUND(IF($N1758="成本金额",N(购销流水!$W444),IF($N1758="金额",N(购销流水!$Q444),0)),2))</f>
        <v>0</v>
      </c>
      <c r="P1758" s="64" t="str">
        <f aca="false">IF(AND($H1758&lt;&gt;"",ROUND($O1758,2)&lt;&gt;0),"有","")</f>
        <v/>
      </c>
    </row>
    <row r="1759" customFormat="false" ht="15" hidden="true" customHeight="false" outlineLevel="0" collapsed="false">
      <c r="A1759" s="53" t="str">
        <f aca="false">IF($H1759="","",ROW()-5)</f>
        <v/>
      </c>
      <c r="B1759" s="64" t="s">
        <v>36</v>
      </c>
      <c r="C1759" s="53" t="n">
        <v>444</v>
      </c>
      <c r="D1759" s="53" t="n">
        <v>2</v>
      </c>
      <c r="E1759" s="65" t="str">
        <f aca="false">IF($H1759="","",购销流水!$B444)</f>
        <v/>
      </c>
      <c r="F1759" s="55" t="str">
        <f aca="false">IF($H1759="","",购销流水!$C444)</f>
        <v/>
      </c>
      <c r="G1759" s="48" t="str">
        <f aca="false">IF($H1759="","",购销流水!$N444)</f>
        <v/>
      </c>
      <c r="H1759" s="10" t="str">
        <f aca="false">IF($L1759="","",IF($L1759="@成本",购销流水!$U444,IF($L1759="@收入",购销流水!$T444,IF($L1759="@存货",购销流水!$S444,IF($L1759="@结算",购销流水!$R444,$L1759)))))</f>
        <v/>
      </c>
      <c r="I1759" s="42" t="n">
        <f aca="false">IF($M1759="借",$O1759,0)</f>
        <v>0</v>
      </c>
      <c r="J1759" s="42" t="n">
        <f aca="false">IF($M1759="贷",$O1759,0)</f>
        <v>0</v>
      </c>
      <c r="K1759" s="48" t="str">
        <f aca="false">IF($H1759="","",购销流水!$E444)</f>
        <v/>
      </c>
      <c r="L1759" s="66" t="str">
        <f aca="false">IF(购销流水!$D444="","",IFERROR(INDEX(记账规则!$A$6:$N$9,MATCH(购销流水!$D444,记账规则!$A$6:$A$9,0),6),""))</f>
        <v/>
      </c>
      <c r="M1759" s="66" t="str">
        <f aca="false">IF($L1759="","",IFERROR(INDEX(记账规则!$A$6:$N$9,MATCH(购销流水!$D444,记账规则!$A$6:$A$9,0),7),""))</f>
        <v/>
      </c>
      <c r="N1759" s="66" t="str">
        <f aca="false">IF($L1759="","",IFERROR(INDEX(记账规则!$A$6:$N$9,MATCH(购销流水!$D444,记账规则!$A$6:$A$9,0),8),""))</f>
        <v/>
      </c>
      <c r="O1759" s="67" t="n">
        <f aca="false">IF($H1759="",0,ROUND(IF($N1759="成本金额",N(购销流水!$W444),IF($N1759="金额",N(购销流水!$Q444),0)),2))</f>
        <v>0</v>
      </c>
      <c r="P1759" s="64" t="str">
        <f aca="false">IF(AND($H1759&lt;&gt;"",ROUND($O1759,2)&lt;&gt;0),"有","")</f>
        <v/>
      </c>
    </row>
    <row r="1760" customFormat="false" ht="15" hidden="true" customHeight="false" outlineLevel="0" collapsed="false">
      <c r="A1760" s="53" t="str">
        <f aca="false">IF($H1760="","",ROW()-5)</f>
        <v/>
      </c>
      <c r="B1760" s="64" t="s">
        <v>36</v>
      </c>
      <c r="C1760" s="53" t="n">
        <v>444</v>
      </c>
      <c r="D1760" s="53" t="n">
        <v>3</v>
      </c>
      <c r="E1760" s="65" t="str">
        <f aca="false">IF($H1760="","",购销流水!$B444)</f>
        <v/>
      </c>
      <c r="F1760" s="55" t="str">
        <f aca="false">IF($H1760="","",购销流水!$C444)</f>
        <v/>
      </c>
      <c r="G1760" s="48" t="str">
        <f aca="false">IF($H1760="","",购销流水!$N444)</f>
        <v/>
      </c>
      <c r="H1760" s="10" t="str">
        <f aca="false">IF($L1760="","",IF($L1760="@成本",购销流水!$U444,IF($L1760="@收入",购销流水!$T444,IF($L1760="@存货",购销流水!$S444,IF($L1760="@结算",购销流水!$R444,$L1760)))))</f>
        <v/>
      </c>
      <c r="I1760" s="42" t="n">
        <f aca="false">IF($M1760="借",$O1760,0)</f>
        <v>0</v>
      </c>
      <c r="J1760" s="42" t="n">
        <f aca="false">IF($M1760="贷",$O1760,0)</f>
        <v>0</v>
      </c>
      <c r="K1760" s="48" t="str">
        <f aca="false">IF($H1760="","",购销流水!$E444)</f>
        <v/>
      </c>
      <c r="L1760" s="66" t="str">
        <f aca="false">IF(购销流水!$D444="","",IFERROR(INDEX(记账规则!$A$6:$N$9,MATCH(购销流水!$D444,记账规则!$A$6:$A$9,0),9),""))</f>
        <v/>
      </c>
      <c r="M1760" s="66" t="str">
        <f aca="false">IF($L1760="","",IFERROR(INDEX(记账规则!$A$6:$N$9,MATCH(购销流水!$D444,记账规则!$A$6:$A$9,0),10),""))</f>
        <v/>
      </c>
      <c r="N1760" s="66" t="str">
        <f aca="false">IF($L1760="","",IFERROR(INDEX(记账规则!$A$6:$N$9,MATCH(购销流水!$D444,记账规则!$A$6:$A$9,0),11),""))</f>
        <v/>
      </c>
      <c r="O1760" s="67" t="n">
        <f aca="false">IF($H1760="",0,ROUND(IF($N1760="成本金额",N(购销流水!$W444),IF($N1760="金额",N(购销流水!$Q444),0)),2))</f>
        <v>0</v>
      </c>
      <c r="P1760" s="64" t="str">
        <f aca="false">IF(AND($H1760&lt;&gt;"",ROUND($O1760,2)&lt;&gt;0),"有","")</f>
        <v/>
      </c>
    </row>
    <row r="1761" customFormat="false" ht="15" hidden="true" customHeight="false" outlineLevel="0" collapsed="false">
      <c r="A1761" s="53" t="str">
        <f aca="false">IF($H1761="","",ROW()-5)</f>
        <v/>
      </c>
      <c r="B1761" s="64" t="s">
        <v>36</v>
      </c>
      <c r="C1761" s="53" t="n">
        <v>444</v>
      </c>
      <c r="D1761" s="53" t="n">
        <v>4</v>
      </c>
      <c r="E1761" s="65" t="str">
        <f aca="false">IF($H1761="","",购销流水!$B444)</f>
        <v/>
      </c>
      <c r="F1761" s="55" t="str">
        <f aca="false">IF($H1761="","",购销流水!$C444)</f>
        <v/>
      </c>
      <c r="G1761" s="48" t="str">
        <f aca="false">IF($H1761="","",购销流水!$N444)</f>
        <v/>
      </c>
      <c r="H1761" s="10" t="str">
        <f aca="false">IF($L1761="","",IF($L1761="@成本",购销流水!$U444,IF($L1761="@收入",购销流水!$T444,IF($L1761="@存货",购销流水!$S444,IF($L1761="@结算",购销流水!$R444,$L1761)))))</f>
        <v/>
      </c>
      <c r="I1761" s="42" t="n">
        <f aca="false">IF($M1761="借",$O1761,0)</f>
        <v>0</v>
      </c>
      <c r="J1761" s="42" t="n">
        <f aca="false">IF($M1761="贷",$O1761,0)</f>
        <v>0</v>
      </c>
      <c r="K1761" s="48" t="str">
        <f aca="false">IF($H1761="","",购销流水!$E444)</f>
        <v/>
      </c>
      <c r="L1761" s="66" t="str">
        <f aca="false">IF(购销流水!$D444="","",IFERROR(INDEX(记账规则!$A$6:$N$9,MATCH(购销流水!$D444,记账规则!$A$6:$A$9,0),12),""))</f>
        <v/>
      </c>
      <c r="M1761" s="66" t="str">
        <f aca="false">IF($L1761="","",IFERROR(INDEX(记账规则!$A$6:$N$9,MATCH(购销流水!$D444,记账规则!$A$6:$A$9,0),13),""))</f>
        <v/>
      </c>
      <c r="N1761" s="66" t="str">
        <f aca="false">IF($L1761="","",IFERROR(INDEX(记账规则!$A$6:$N$9,MATCH(购销流水!$D444,记账规则!$A$6:$A$9,0),14),""))</f>
        <v/>
      </c>
      <c r="O1761" s="67" t="n">
        <f aca="false">IF($H1761="",0,ROUND(IF($N1761="成本金额",N(购销流水!$W444),IF($N1761="金额",N(购销流水!$Q444),0)),2))</f>
        <v>0</v>
      </c>
      <c r="P1761" s="64" t="str">
        <f aca="false">IF(AND($H1761&lt;&gt;"",ROUND($O1761,2)&lt;&gt;0),"有","")</f>
        <v/>
      </c>
    </row>
    <row r="1762" customFormat="false" ht="15" hidden="true" customHeight="false" outlineLevel="0" collapsed="false">
      <c r="A1762" s="53" t="str">
        <f aca="false">IF($H1762="","",ROW()-5)</f>
        <v/>
      </c>
      <c r="B1762" s="64" t="s">
        <v>36</v>
      </c>
      <c r="C1762" s="53" t="n">
        <v>445</v>
      </c>
      <c r="D1762" s="53" t="n">
        <v>1</v>
      </c>
      <c r="E1762" s="65" t="str">
        <f aca="false">IF($H1762="","",购销流水!$B445)</f>
        <v/>
      </c>
      <c r="F1762" s="55" t="str">
        <f aca="false">IF($H1762="","",购销流水!$C445)</f>
        <v/>
      </c>
      <c r="G1762" s="48" t="str">
        <f aca="false">IF($H1762="","",购销流水!$N445)</f>
        <v/>
      </c>
      <c r="H1762" s="10" t="str">
        <f aca="false">IF($L1762="","",IF($L1762="@成本",购销流水!$U445,IF($L1762="@收入",购销流水!$T445,IF($L1762="@存货",购销流水!$S445,IF($L1762="@结算",购销流水!$R445,$L1762)))))</f>
        <v/>
      </c>
      <c r="I1762" s="42" t="n">
        <f aca="false">IF($M1762="借",$O1762,0)</f>
        <v>0</v>
      </c>
      <c r="J1762" s="42" t="n">
        <f aca="false">IF($M1762="贷",$O1762,0)</f>
        <v>0</v>
      </c>
      <c r="K1762" s="48" t="str">
        <f aca="false">IF($H1762="","",购销流水!$E445)</f>
        <v/>
      </c>
      <c r="L1762" s="66" t="str">
        <f aca="false">IF(购销流水!$D445="","",IFERROR(INDEX(记账规则!$A$6:$N$9,MATCH(购销流水!$D445,记账规则!$A$6:$A$9,0),3),""))</f>
        <v/>
      </c>
      <c r="M1762" s="66" t="str">
        <f aca="false">IF($L1762="","",IFERROR(INDEX(记账规则!$A$6:$N$9,MATCH(购销流水!$D445,记账规则!$A$6:$A$9,0),4),""))</f>
        <v/>
      </c>
      <c r="N1762" s="66" t="str">
        <f aca="false">IF($L1762="","",IFERROR(INDEX(记账规则!$A$6:$N$9,MATCH(购销流水!$D445,记账规则!$A$6:$A$9,0),5),""))</f>
        <v/>
      </c>
      <c r="O1762" s="67" t="n">
        <f aca="false">IF($H1762="",0,ROUND(IF($N1762="成本金额",N(购销流水!$W445),IF($N1762="金额",N(购销流水!$Q445),0)),2))</f>
        <v>0</v>
      </c>
      <c r="P1762" s="64" t="str">
        <f aca="false">IF(AND($H1762&lt;&gt;"",ROUND($O1762,2)&lt;&gt;0),"有","")</f>
        <v/>
      </c>
    </row>
    <row r="1763" customFormat="false" ht="15" hidden="true" customHeight="false" outlineLevel="0" collapsed="false">
      <c r="A1763" s="53" t="str">
        <f aca="false">IF($H1763="","",ROW()-5)</f>
        <v/>
      </c>
      <c r="B1763" s="64" t="s">
        <v>36</v>
      </c>
      <c r="C1763" s="53" t="n">
        <v>445</v>
      </c>
      <c r="D1763" s="53" t="n">
        <v>2</v>
      </c>
      <c r="E1763" s="65" t="str">
        <f aca="false">IF($H1763="","",购销流水!$B445)</f>
        <v/>
      </c>
      <c r="F1763" s="55" t="str">
        <f aca="false">IF($H1763="","",购销流水!$C445)</f>
        <v/>
      </c>
      <c r="G1763" s="48" t="str">
        <f aca="false">IF($H1763="","",购销流水!$N445)</f>
        <v/>
      </c>
      <c r="H1763" s="10" t="str">
        <f aca="false">IF($L1763="","",IF($L1763="@成本",购销流水!$U445,IF($L1763="@收入",购销流水!$T445,IF($L1763="@存货",购销流水!$S445,IF($L1763="@结算",购销流水!$R445,$L1763)))))</f>
        <v/>
      </c>
      <c r="I1763" s="42" t="n">
        <f aca="false">IF($M1763="借",$O1763,0)</f>
        <v>0</v>
      </c>
      <c r="J1763" s="42" t="n">
        <f aca="false">IF($M1763="贷",$O1763,0)</f>
        <v>0</v>
      </c>
      <c r="K1763" s="48" t="str">
        <f aca="false">IF($H1763="","",购销流水!$E445)</f>
        <v/>
      </c>
      <c r="L1763" s="66" t="str">
        <f aca="false">IF(购销流水!$D445="","",IFERROR(INDEX(记账规则!$A$6:$N$9,MATCH(购销流水!$D445,记账规则!$A$6:$A$9,0),6),""))</f>
        <v/>
      </c>
      <c r="M1763" s="66" t="str">
        <f aca="false">IF($L1763="","",IFERROR(INDEX(记账规则!$A$6:$N$9,MATCH(购销流水!$D445,记账规则!$A$6:$A$9,0),7),""))</f>
        <v/>
      </c>
      <c r="N1763" s="66" t="str">
        <f aca="false">IF($L1763="","",IFERROR(INDEX(记账规则!$A$6:$N$9,MATCH(购销流水!$D445,记账规则!$A$6:$A$9,0),8),""))</f>
        <v/>
      </c>
      <c r="O1763" s="67" t="n">
        <f aca="false">IF($H1763="",0,ROUND(IF($N1763="成本金额",N(购销流水!$W445),IF($N1763="金额",N(购销流水!$Q445),0)),2))</f>
        <v>0</v>
      </c>
      <c r="P1763" s="64" t="str">
        <f aca="false">IF(AND($H1763&lt;&gt;"",ROUND($O1763,2)&lt;&gt;0),"有","")</f>
        <v/>
      </c>
    </row>
    <row r="1764" customFormat="false" ht="15" hidden="true" customHeight="false" outlineLevel="0" collapsed="false">
      <c r="A1764" s="53" t="str">
        <f aca="false">IF($H1764="","",ROW()-5)</f>
        <v/>
      </c>
      <c r="B1764" s="64" t="s">
        <v>36</v>
      </c>
      <c r="C1764" s="53" t="n">
        <v>445</v>
      </c>
      <c r="D1764" s="53" t="n">
        <v>3</v>
      </c>
      <c r="E1764" s="65" t="str">
        <f aca="false">IF($H1764="","",购销流水!$B445)</f>
        <v/>
      </c>
      <c r="F1764" s="55" t="str">
        <f aca="false">IF($H1764="","",购销流水!$C445)</f>
        <v/>
      </c>
      <c r="G1764" s="48" t="str">
        <f aca="false">IF($H1764="","",购销流水!$N445)</f>
        <v/>
      </c>
      <c r="H1764" s="10" t="str">
        <f aca="false">IF($L1764="","",IF($L1764="@成本",购销流水!$U445,IF($L1764="@收入",购销流水!$T445,IF($L1764="@存货",购销流水!$S445,IF($L1764="@结算",购销流水!$R445,$L1764)))))</f>
        <v/>
      </c>
      <c r="I1764" s="42" t="n">
        <f aca="false">IF($M1764="借",$O1764,0)</f>
        <v>0</v>
      </c>
      <c r="J1764" s="42" t="n">
        <f aca="false">IF($M1764="贷",$O1764,0)</f>
        <v>0</v>
      </c>
      <c r="K1764" s="48" t="str">
        <f aca="false">IF($H1764="","",购销流水!$E445)</f>
        <v/>
      </c>
      <c r="L1764" s="66" t="str">
        <f aca="false">IF(购销流水!$D445="","",IFERROR(INDEX(记账规则!$A$6:$N$9,MATCH(购销流水!$D445,记账规则!$A$6:$A$9,0),9),""))</f>
        <v/>
      </c>
      <c r="M1764" s="66" t="str">
        <f aca="false">IF($L1764="","",IFERROR(INDEX(记账规则!$A$6:$N$9,MATCH(购销流水!$D445,记账规则!$A$6:$A$9,0),10),""))</f>
        <v/>
      </c>
      <c r="N1764" s="66" t="str">
        <f aca="false">IF($L1764="","",IFERROR(INDEX(记账规则!$A$6:$N$9,MATCH(购销流水!$D445,记账规则!$A$6:$A$9,0),11),""))</f>
        <v/>
      </c>
      <c r="O1764" s="67" t="n">
        <f aca="false">IF($H1764="",0,ROUND(IF($N1764="成本金额",N(购销流水!$W445),IF($N1764="金额",N(购销流水!$Q445),0)),2))</f>
        <v>0</v>
      </c>
      <c r="P1764" s="64" t="str">
        <f aca="false">IF(AND($H1764&lt;&gt;"",ROUND($O1764,2)&lt;&gt;0),"有","")</f>
        <v/>
      </c>
    </row>
    <row r="1765" customFormat="false" ht="15" hidden="true" customHeight="false" outlineLevel="0" collapsed="false">
      <c r="A1765" s="53" t="str">
        <f aca="false">IF($H1765="","",ROW()-5)</f>
        <v/>
      </c>
      <c r="B1765" s="64" t="s">
        <v>36</v>
      </c>
      <c r="C1765" s="53" t="n">
        <v>445</v>
      </c>
      <c r="D1765" s="53" t="n">
        <v>4</v>
      </c>
      <c r="E1765" s="65" t="str">
        <f aca="false">IF($H1765="","",购销流水!$B445)</f>
        <v/>
      </c>
      <c r="F1765" s="55" t="str">
        <f aca="false">IF($H1765="","",购销流水!$C445)</f>
        <v/>
      </c>
      <c r="G1765" s="48" t="str">
        <f aca="false">IF($H1765="","",购销流水!$N445)</f>
        <v/>
      </c>
      <c r="H1765" s="10" t="str">
        <f aca="false">IF($L1765="","",IF($L1765="@成本",购销流水!$U445,IF($L1765="@收入",购销流水!$T445,IF($L1765="@存货",购销流水!$S445,IF($L1765="@结算",购销流水!$R445,$L1765)))))</f>
        <v/>
      </c>
      <c r="I1765" s="42" t="n">
        <f aca="false">IF($M1765="借",$O1765,0)</f>
        <v>0</v>
      </c>
      <c r="J1765" s="42" t="n">
        <f aca="false">IF($M1765="贷",$O1765,0)</f>
        <v>0</v>
      </c>
      <c r="K1765" s="48" t="str">
        <f aca="false">IF($H1765="","",购销流水!$E445)</f>
        <v/>
      </c>
      <c r="L1765" s="66" t="str">
        <f aca="false">IF(购销流水!$D445="","",IFERROR(INDEX(记账规则!$A$6:$N$9,MATCH(购销流水!$D445,记账规则!$A$6:$A$9,0),12),""))</f>
        <v/>
      </c>
      <c r="M1765" s="66" t="str">
        <f aca="false">IF($L1765="","",IFERROR(INDEX(记账规则!$A$6:$N$9,MATCH(购销流水!$D445,记账规则!$A$6:$A$9,0),13),""))</f>
        <v/>
      </c>
      <c r="N1765" s="66" t="str">
        <f aca="false">IF($L1765="","",IFERROR(INDEX(记账规则!$A$6:$N$9,MATCH(购销流水!$D445,记账规则!$A$6:$A$9,0),14),""))</f>
        <v/>
      </c>
      <c r="O1765" s="67" t="n">
        <f aca="false">IF($H1765="",0,ROUND(IF($N1765="成本金额",N(购销流水!$W445),IF($N1765="金额",N(购销流水!$Q445),0)),2))</f>
        <v>0</v>
      </c>
      <c r="P1765" s="64" t="str">
        <f aca="false">IF(AND($H1765&lt;&gt;"",ROUND($O1765,2)&lt;&gt;0),"有","")</f>
        <v/>
      </c>
    </row>
    <row r="1766" customFormat="false" ht="15" hidden="true" customHeight="false" outlineLevel="0" collapsed="false">
      <c r="A1766" s="53" t="str">
        <f aca="false">IF($H1766="","",ROW()-5)</f>
        <v/>
      </c>
      <c r="B1766" s="64" t="s">
        <v>36</v>
      </c>
      <c r="C1766" s="53" t="n">
        <v>446</v>
      </c>
      <c r="D1766" s="53" t="n">
        <v>1</v>
      </c>
      <c r="E1766" s="65" t="str">
        <f aca="false">IF($H1766="","",购销流水!$B446)</f>
        <v/>
      </c>
      <c r="F1766" s="55" t="str">
        <f aca="false">IF($H1766="","",购销流水!$C446)</f>
        <v/>
      </c>
      <c r="G1766" s="48" t="str">
        <f aca="false">IF($H1766="","",购销流水!$N446)</f>
        <v/>
      </c>
      <c r="H1766" s="10" t="str">
        <f aca="false">IF($L1766="","",IF($L1766="@成本",购销流水!$U446,IF($L1766="@收入",购销流水!$T446,IF($L1766="@存货",购销流水!$S446,IF($L1766="@结算",购销流水!$R446,$L1766)))))</f>
        <v/>
      </c>
      <c r="I1766" s="42" t="n">
        <f aca="false">IF($M1766="借",$O1766,0)</f>
        <v>0</v>
      </c>
      <c r="J1766" s="42" t="n">
        <f aca="false">IF($M1766="贷",$O1766,0)</f>
        <v>0</v>
      </c>
      <c r="K1766" s="48" t="str">
        <f aca="false">IF($H1766="","",购销流水!$E446)</f>
        <v/>
      </c>
      <c r="L1766" s="66" t="str">
        <f aca="false">IF(购销流水!$D446="","",IFERROR(INDEX(记账规则!$A$6:$N$9,MATCH(购销流水!$D446,记账规则!$A$6:$A$9,0),3),""))</f>
        <v/>
      </c>
      <c r="M1766" s="66" t="str">
        <f aca="false">IF($L1766="","",IFERROR(INDEX(记账规则!$A$6:$N$9,MATCH(购销流水!$D446,记账规则!$A$6:$A$9,0),4),""))</f>
        <v/>
      </c>
      <c r="N1766" s="66" t="str">
        <f aca="false">IF($L1766="","",IFERROR(INDEX(记账规则!$A$6:$N$9,MATCH(购销流水!$D446,记账规则!$A$6:$A$9,0),5),""))</f>
        <v/>
      </c>
      <c r="O1766" s="67" t="n">
        <f aca="false">IF($H1766="",0,ROUND(IF($N1766="成本金额",N(购销流水!$W446),IF($N1766="金额",N(购销流水!$Q446),0)),2))</f>
        <v>0</v>
      </c>
      <c r="P1766" s="64" t="str">
        <f aca="false">IF(AND($H1766&lt;&gt;"",ROUND($O1766,2)&lt;&gt;0),"有","")</f>
        <v/>
      </c>
    </row>
    <row r="1767" customFormat="false" ht="15" hidden="true" customHeight="false" outlineLevel="0" collapsed="false">
      <c r="A1767" s="53" t="str">
        <f aca="false">IF($H1767="","",ROW()-5)</f>
        <v/>
      </c>
      <c r="B1767" s="64" t="s">
        <v>36</v>
      </c>
      <c r="C1767" s="53" t="n">
        <v>446</v>
      </c>
      <c r="D1767" s="53" t="n">
        <v>2</v>
      </c>
      <c r="E1767" s="65" t="str">
        <f aca="false">IF($H1767="","",购销流水!$B446)</f>
        <v/>
      </c>
      <c r="F1767" s="55" t="str">
        <f aca="false">IF($H1767="","",购销流水!$C446)</f>
        <v/>
      </c>
      <c r="G1767" s="48" t="str">
        <f aca="false">IF($H1767="","",购销流水!$N446)</f>
        <v/>
      </c>
      <c r="H1767" s="10" t="str">
        <f aca="false">IF($L1767="","",IF($L1767="@成本",购销流水!$U446,IF($L1767="@收入",购销流水!$T446,IF($L1767="@存货",购销流水!$S446,IF($L1767="@结算",购销流水!$R446,$L1767)))))</f>
        <v/>
      </c>
      <c r="I1767" s="42" t="n">
        <f aca="false">IF($M1767="借",$O1767,0)</f>
        <v>0</v>
      </c>
      <c r="J1767" s="42" t="n">
        <f aca="false">IF($M1767="贷",$O1767,0)</f>
        <v>0</v>
      </c>
      <c r="K1767" s="48" t="str">
        <f aca="false">IF($H1767="","",购销流水!$E446)</f>
        <v/>
      </c>
      <c r="L1767" s="66" t="str">
        <f aca="false">IF(购销流水!$D446="","",IFERROR(INDEX(记账规则!$A$6:$N$9,MATCH(购销流水!$D446,记账规则!$A$6:$A$9,0),6),""))</f>
        <v/>
      </c>
      <c r="M1767" s="66" t="str">
        <f aca="false">IF($L1767="","",IFERROR(INDEX(记账规则!$A$6:$N$9,MATCH(购销流水!$D446,记账规则!$A$6:$A$9,0),7),""))</f>
        <v/>
      </c>
      <c r="N1767" s="66" t="str">
        <f aca="false">IF($L1767="","",IFERROR(INDEX(记账规则!$A$6:$N$9,MATCH(购销流水!$D446,记账规则!$A$6:$A$9,0),8),""))</f>
        <v/>
      </c>
      <c r="O1767" s="67" t="n">
        <f aca="false">IF($H1767="",0,ROUND(IF($N1767="成本金额",N(购销流水!$W446),IF($N1767="金额",N(购销流水!$Q446),0)),2))</f>
        <v>0</v>
      </c>
      <c r="P1767" s="64" t="str">
        <f aca="false">IF(AND($H1767&lt;&gt;"",ROUND($O1767,2)&lt;&gt;0),"有","")</f>
        <v/>
      </c>
    </row>
    <row r="1768" customFormat="false" ht="15" hidden="true" customHeight="false" outlineLevel="0" collapsed="false">
      <c r="A1768" s="53" t="str">
        <f aca="false">IF($H1768="","",ROW()-5)</f>
        <v/>
      </c>
      <c r="B1768" s="64" t="s">
        <v>36</v>
      </c>
      <c r="C1768" s="53" t="n">
        <v>446</v>
      </c>
      <c r="D1768" s="53" t="n">
        <v>3</v>
      </c>
      <c r="E1768" s="65" t="str">
        <f aca="false">IF($H1768="","",购销流水!$B446)</f>
        <v/>
      </c>
      <c r="F1768" s="55" t="str">
        <f aca="false">IF($H1768="","",购销流水!$C446)</f>
        <v/>
      </c>
      <c r="G1768" s="48" t="str">
        <f aca="false">IF($H1768="","",购销流水!$N446)</f>
        <v/>
      </c>
      <c r="H1768" s="10" t="str">
        <f aca="false">IF($L1768="","",IF($L1768="@成本",购销流水!$U446,IF($L1768="@收入",购销流水!$T446,IF($L1768="@存货",购销流水!$S446,IF($L1768="@结算",购销流水!$R446,$L1768)))))</f>
        <v/>
      </c>
      <c r="I1768" s="42" t="n">
        <f aca="false">IF($M1768="借",$O1768,0)</f>
        <v>0</v>
      </c>
      <c r="J1768" s="42" t="n">
        <f aca="false">IF($M1768="贷",$O1768,0)</f>
        <v>0</v>
      </c>
      <c r="K1768" s="48" t="str">
        <f aca="false">IF($H1768="","",购销流水!$E446)</f>
        <v/>
      </c>
      <c r="L1768" s="66" t="str">
        <f aca="false">IF(购销流水!$D446="","",IFERROR(INDEX(记账规则!$A$6:$N$9,MATCH(购销流水!$D446,记账规则!$A$6:$A$9,0),9),""))</f>
        <v/>
      </c>
      <c r="M1768" s="66" t="str">
        <f aca="false">IF($L1768="","",IFERROR(INDEX(记账规则!$A$6:$N$9,MATCH(购销流水!$D446,记账规则!$A$6:$A$9,0),10),""))</f>
        <v/>
      </c>
      <c r="N1768" s="66" t="str">
        <f aca="false">IF($L1768="","",IFERROR(INDEX(记账规则!$A$6:$N$9,MATCH(购销流水!$D446,记账规则!$A$6:$A$9,0),11),""))</f>
        <v/>
      </c>
      <c r="O1768" s="67" t="n">
        <f aca="false">IF($H1768="",0,ROUND(IF($N1768="成本金额",N(购销流水!$W446),IF($N1768="金额",N(购销流水!$Q446),0)),2))</f>
        <v>0</v>
      </c>
      <c r="P1768" s="64" t="str">
        <f aca="false">IF(AND($H1768&lt;&gt;"",ROUND($O1768,2)&lt;&gt;0),"有","")</f>
        <v/>
      </c>
    </row>
    <row r="1769" customFormat="false" ht="15" hidden="true" customHeight="false" outlineLevel="0" collapsed="false">
      <c r="A1769" s="53" t="str">
        <f aca="false">IF($H1769="","",ROW()-5)</f>
        <v/>
      </c>
      <c r="B1769" s="64" t="s">
        <v>36</v>
      </c>
      <c r="C1769" s="53" t="n">
        <v>446</v>
      </c>
      <c r="D1769" s="53" t="n">
        <v>4</v>
      </c>
      <c r="E1769" s="65" t="str">
        <f aca="false">IF($H1769="","",购销流水!$B446)</f>
        <v/>
      </c>
      <c r="F1769" s="55" t="str">
        <f aca="false">IF($H1769="","",购销流水!$C446)</f>
        <v/>
      </c>
      <c r="G1769" s="48" t="str">
        <f aca="false">IF($H1769="","",购销流水!$N446)</f>
        <v/>
      </c>
      <c r="H1769" s="10" t="str">
        <f aca="false">IF($L1769="","",IF($L1769="@成本",购销流水!$U446,IF($L1769="@收入",购销流水!$T446,IF($L1769="@存货",购销流水!$S446,IF($L1769="@结算",购销流水!$R446,$L1769)))))</f>
        <v/>
      </c>
      <c r="I1769" s="42" t="n">
        <f aca="false">IF($M1769="借",$O1769,0)</f>
        <v>0</v>
      </c>
      <c r="J1769" s="42" t="n">
        <f aca="false">IF($M1769="贷",$O1769,0)</f>
        <v>0</v>
      </c>
      <c r="K1769" s="48" t="str">
        <f aca="false">IF($H1769="","",购销流水!$E446)</f>
        <v/>
      </c>
      <c r="L1769" s="66" t="str">
        <f aca="false">IF(购销流水!$D446="","",IFERROR(INDEX(记账规则!$A$6:$N$9,MATCH(购销流水!$D446,记账规则!$A$6:$A$9,0),12),""))</f>
        <v/>
      </c>
      <c r="M1769" s="66" t="str">
        <f aca="false">IF($L1769="","",IFERROR(INDEX(记账规则!$A$6:$N$9,MATCH(购销流水!$D446,记账规则!$A$6:$A$9,0),13),""))</f>
        <v/>
      </c>
      <c r="N1769" s="66" t="str">
        <f aca="false">IF($L1769="","",IFERROR(INDEX(记账规则!$A$6:$N$9,MATCH(购销流水!$D446,记账规则!$A$6:$A$9,0),14),""))</f>
        <v/>
      </c>
      <c r="O1769" s="67" t="n">
        <f aca="false">IF($H1769="",0,ROUND(IF($N1769="成本金额",N(购销流水!$W446),IF($N1769="金额",N(购销流水!$Q446),0)),2))</f>
        <v>0</v>
      </c>
      <c r="P1769" s="64" t="str">
        <f aca="false">IF(AND($H1769&lt;&gt;"",ROUND($O1769,2)&lt;&gt;0),"有","")</f>
        <v/>
      </c>
    </row>
    <row r="1770" customFormat="false" ht="15" hidden="true" customHeight="false" outlineLevel="0" collapsed="false">
      <c r="A1770" s="53" t="str">
        <f aca="false">IF($H1770="","",ROW()-5)</f>
        <v/>
      </c>
      <c r="B1770" s="64" t="s">
        <v>36</v>
      </c>
      <c r="C1770" s="53" t="n">
        <v>447</v>
      </c>
      <c r="D1770" s="53" t="n">
        <v>1</v>
      </c>
      <c r="E1770" s="65" t="str">
        <f aca="false">IF($H1770="","",购销流水!$B447)</f>
        <v/>
      </c>
      <c r="F1770" s="55" t="str">
        <f aca="false">IF($H1770="","",购销流水!$C447)</f>
        <v/>
      </c>
      <c r="G1770" s="48" t="str">
        <f aca="false">IF($H1770="","",购销流水!$N447)</f>
        <v/>
      </c>
      <c r="H1770" s="10" t="str">
        <f aca="false">IF($L1770="","",IF($L1770="@成本",购销流水!$U447,IF($L1770="@收入",购销流水!$T447,IF($L1770="@存货",购销流水!$S447,IF($L1770="@结算",购销流水!$R447,$L1770)))))</f>
        <v/>
      </c>
      <c r="I1770" s="42" t="n">
        <f aca="false">IF($M1770="借",$O1770,0)</f>
        <v>0</v>
      </c>
      <c r="J1770" s="42" t="n">
        <f aca="false">IF($M1770="贷",$O1770,0)</f>
        <v>0</v>
      </c>
      <c r="K1770" s="48" t="str">
        <f aca="false">IF($H1770="","",购销流水!$E447)</f>
        <v/>
      </c>
      <c r="L1770" s="66" t="str">
        <f aca="false">IF(购销流水!$D447="","",IFERROR(INDEX(记账规则!$A$6:$N$9,MATCH(购销流水!$D447,记账规则!$A$6:$A$9,0),3),""))</f>
        <v/>
      </c>
      <c r="M1770" s="66" t="str">
        <f aca="false">IF($L1770="","",IFERROR(INDEX(记账规则!$A$6:$N$9,MATCH(购销流水!$D447,记账规则!$A$6:$A$9,0),4),""))</f>
        <v/>
      </c>
      <c r="N1770" s="66" t="str">
        <f aca="false">IF($L1770="","",IFERROR(INDEX(记账规则!$A$6:$N$9,MATCH(购销流水!$D447,记账规则!$A$6:$A$9,0),5),""))</f>
        <v/>
      </c>
      <c r="O1770" s="67" t="n">
        <f aca="false">IF($H1770="",0,ROUND(IF($N1770="成本金额",N(购销流水!$W447),IF($N1770="金额",N(购销流水!$Q447),0)),2))</f>
        <v>0</v>
      </c>
      <c r="P1770" s="64" t="str">
        <f aca="false">IF(AND($H1770&lt;&gt;"",ROUND($O1770,2)&lt;&gt;0),"有","")</f>
        <v/>
      </c>
    </row>
    <row r="1771" customFormat="false" ht="15" hidden="true" customHeight="false" outlineLevel="0" collapsed="false">
      <c r="A1771" s="53" t="str">
        <f aca="false">IF($H1771="","",ROW()-5)</f>
        <v/>
      </c>
      <c r="B1771" s="64" t="s">
        <v>36</v>
      </c>
      <c r="C1771" s="53" t="n">
        <v>447</v>
      </c>
      <c r="D1771" s="53" t="n">
        <v>2</v>
      </c>
      <c r="E1771" s="65" t="str">
        <f aca="false">IF($H1771="","",购销流水!$B447)</f>
        <v/>
      </c>
      <c r="F1771" s="55" t="str">
        <f aca="false">IF($H1771="","",购销流水!$C447)</f>
        <v/>
      </c>
      <c r="G1771" s="48" t="str">
        <f aca="false">IF($H1771="","",购销流水!$N447)</f>
        <v/>
      </c>
      <c r="H1771" s="10" t="str">
        <f aca="false">IF($L1771="","",IF($L1771="@成本",购销流水!$U447,IF($L1771="@收入",购销流水!$T447,IF($L1771="@存货",购销流水!$S447,IF($L1771="@结算",购销流水!$R447,$L1771)))))</f>
        <v/>
      </c>
      <c r="I1771" s="42" t="n">
        <f aca="false">IF($M1771="借",$O1771,0)</f>
        <v>0</v>
      </c>
      <c r="J1771" s="42" t="n">
        <f aca="false">IF($M1771="贷",$O1771,0)</f>
        <v>0</v>
      </c>
      <c r="K1771" s="48" t="str">
        <f aca="false">IF($H1771="","",购销流水!$E447)</f>
        <v/>
      </c>
      <c r="L1771" s="66" t="str">
        <f aca="false">IF(购销流水!$D447="","",IFERROR(INDEX(记账规则!$A$6:$N$9,MATCH(购销流水!$D447,记账规则!$A$6:$A$9,0),6),""))</f>
        <v/>
      </c>
      <c r="M1771" s="66" t="str">
        <f aca="false">IF($L1771="","",IFERROR(INDEX(记账规则!$A$6:$N$9,MATCH(购销流水!$D447,记账规则!$A$6:$A$9,0),7),""))</f>
        <v/>
      </c>
      <c r="N1771" s="66" t="str">
        <f aca="false">IF($L1771="","",IFERROR(INDEX(记账规则!$A$6:$N$9,MATCH(购销流水!$D447,记账规则!$A$6:$A$9,0),8),""))</f>
        <v/>
      </c>
      <c r="O1771" s="67" t="n">
        <f aca="false">IF($H1771="",0,ROUND(IF($N1771="成本金额",N(购销流水!$W447),IF($N1771="金额",N(购销流水!$Q447),0)),2))</f>
        <v>0</v>
      </c>
      <c r="P1771" s="64" t="str">
        <f aca="false">IF(AND($H1771&lt;&gt;"",ROUND($O1771,2)&lt;&gt;0),"有","")</f>
        <v/>
      </c>
    </row>
    <row r="1772" customFormat="false" ht="15" hidden="true" customHeight="false" outlineLevel="0" collapsed="false">
      <c r="A1772" s="53" t="str">
        <f aca="false">IF($H1772="","",ROW()-5)</f>
        <v/>
      </c>
      <c r="B1772" s="64" t="s">
        <v>36</v>
      </c>
      <c r="C1772" s="53" t="n">
        <v>447</v>
      </c>
      <c r="D1772" s="53" t="n">
        <v>3</v>
      </c>
      <c r="E1772" s="65" t="str">
        <f aca="false">IF($H1772="","",购销流水!$B447)</f>
        <v/>
      </c>
      <c r="F1772" s="55" t="str">
        <f aca="false">IF($H1772="","",购销流水!$C447)</f>
        <v/>
      </c>
      <c r="G1772" s="48" t="str">
        <f aca="false">IF($H1772="","",购销流水!$N447)</f>
        <v/>
      </c>
      <c r="H1772" s="10" t="str">
        <f aca="false">IF($L1772="","",IF($L1772="@成本",购销流水!$U447,IF($L1772="@收入",购销流水!$T447,IF($L1772="@存货",购销流水!$S447,IF($L1772="@结算",购销流水!$R447,$L1772)))))</f>
        <v/>
      </c>
      <c r="I1772" s="42" t="n">
        <f aca="false">IF($M1772="借",$O1772,0)</f>
        <v>0</v>
      </c>
      <c r="J1772" s="42" t="n">
        <f aca="false">IF($M1772="贷",$O1772,0)</f>
        <v>0</v>
      </c>
      <c r="K1772" s="48" t="str">
        <f aca="false">IF($H1772="","",购销流水!$E447)</f>
        <v/>
      </c>
      <c r="L1772" s="66" t="str">
        <f aca="false">IF(购销流水!$D447="","",IFERROR(INDEX(记账规则!$A$6:$N$9,MATCH(购销流水!$D447,记账规则!$A$6:$A$9,0),9),""))</f>
        <v/>
      </c>
      <c r="M1772" s="66" t="str">
        <f aca="false">IF($L1772="","",IFERROR(INDEX(记账规则!$A$6:$N$9,MATCH(购销流水!$D447,记账规则!$A$6:$A$9,0),10),""))</f>
        <v/>
      </c>
      <c r="N1772" s="66" t="str">
        <f aca="false">IF($L1772="","",IFERROR(INDEX(记账规则!$A$6:$N$9,MATCH(购销流水!$D447,记账规则!$A$6:$A$9,0),11),""))</f>
        <v/>
      </c>
      <c r="O1772" s="67" t="n">
        <f aca="false">IF($H1772="",0,ROUND(IF($N1772="成本金额",N(购销流水!$W447),IF($N1772="金额",N(购销流水!$Q447),0)),2))</f>
        <v>0</v>
      </c>
      <c r="P1772" s="64" t="str">
        <f aca="false">IF(AND($H1772&lt;&gt;"",ROUND($O1772,2)&lt;&gt;0),"有","")</f>
        <v/>
      </c>
    </row>
    <row r="1773" customFormat="false" ht="15" hidden="true" customHeight="false" outlineLevel="0" collapsed="false">
      <c r="A1773" s="53" t="str">
        <f aca="false">IF($H1773="","",ROW()-5)</f>
        <v/>
      </c>
      <c r="B1773" s="64" t="s">
        <v>36</v>
      </c>
      <c r="C1773" s="53" t="n">
        <v>447</v>
      </c>
      <c r="D1773" s="53" t="n">
        <v>4</v>
      </c>
      <c r="E1773" s="65" t="str">
        <f aca="false">IF($H1773="","",购销流水!$B447)</f>
        <v/>
      </c>
      <c r="F1773" s="55" t="str">
        <f aca="false">IF($H1773="","",购销流水!$C447)</f>
        <v/>
      </c>
      <c r="G1773" s="48" t="str">
        <f aca="false">IF($H1773="","",购销流水!$N447)</f>
        <v/>
      </c>
      <c r="H1773" s="10" t="str">
        <f aca="false">IF($L1773="","",IF($L1773="@成本",购销流水!$U447,IF($L1773="@收入",购销流水!$T447,IF($L1773="@存货",购销流水!$S447,IF($L1773="@结算",购销流水!$R447,$L1773)))))</f>
        <v/>
      </c>
      <c r="I1773" s="42" t="n">
        <f aca="false">IF($M1773="借",$O1773,0)</f>
        <v>0</v>
      </c>
      <c r="J1773" s="42" t="n">
        <f aca="false">IF($M1773="贷",$O1773,0)</f>
        <v>0</v>
      </c>
      <c r="K1773" s="48" t="str">
        <f aca="false">IF($H1773="","",购销流水!$E447)</f>
        <v/>
      </c>
      <c r="L1773" s="66" t="str">
        <f aca="false">IF(购销流水!$D447="","",IFERROR(INDEX(记账规则!$A$6:$N$9,MATCH(购销流水!$D447,记账规则!$A$6:$A$9,0),12),""))</f>
        <v/>
      </c>
      <c r="M1773" s="66" t="str">
        <f aca="false">IF($L1773="","",IFERROR(INDEX(记账规则!$A$6:$N$9,MATCH(购销流水!$D447,记账规则!$A$6:$A$9,0),13),""))</f>
        <v/>
      </c>
      <c r="N1773" s="66" t="str">
        <f aca="false">IF($L1773="","",IFERROR(INDEX(记账规则!$A$6:$N$9,MATCH(购销流水!$D447,记账规则!$A$6:$A$9,0),14),""))</f>
        <v/>
      </c>
      <c r="O1773" s="67" t="n">
        <f aca="false">IF($H1773="",0,ROUND(IF($N1773="成本金额",N(购销流水!$W447),IF($N1773="金额",N(购销流水!$Q447),0)),2))</f>
        <v>0</v>
      </c>
      <c r="P1773" s="64" t="str">
        <f aca="false">IF(AND($H1773&lt;&gt;"",ROUND($O1773,2)&lt;&gt;0),"有","")</f>
        <v/>
      </c>
    </row>
    <row r="1774" customFormat="false" ht="15" hidden="true" customHeight="false" outlineLevel="0" collapsed="false">
      <c r="A1774" s="53" t="str">
        <f aca="false">IF($H1774="","",ROW()-5)</f>
        <v/>
      </c>
      <c r="B1774" s="64" t="s">
        <v>36</v>
      </c>
      <c r="C1774" s="53" t="n">
        <v>448</v>
      </c>
      <c r="D1774" s="53" t="n">
        <v>1</v>
      </c>
      <c r="E1774" s="65" t="str">
        <f aca="false">IF($H1774="","",购销流水!$B448)</f>
        <v/>
      </c>
      <c r="F1774" s="55" t="str">
        <f aca="false">IF($H1774="","",购销流水!$C448)</f>
        <v/>
      </c>
      <c r="G1774" s="48" t="str">
        <f aca="false">IF($H1774="","",购销流水!$N448)</f>
        <v/>
      </c>
      <c r="H1774" s="10" t="str">
        <f aca="false">IF($L1774="","",IF($L1774="@成本",购销流水!$U448,IF($L1774="@收入",购销流水!$T448,IF($L1774="@存货",购销流水!$S448,IF($L1774="@结算",购销流水!$R448,$L1774)))))</f>
        <v/>
      </c>
      <c r="I1774" s="42" t="n">
        <f aca="false">IF($M1774="借",$O1774,0)</f>
        <v>0</v>
      </c>
      <c r="J1774" s="42" t="n">
        <f aca="false">IF($M1774="贷",$O1774,0)</f>
        <v>0</v>
      </c>
      <c r="K1774" s="48" t="str">
        <f aca="false">IF($H1774="","",购销流水!$E448)</f>
        <v/>
      </c>
      <c r="L1774" s="66" t="str">
        <f aca="false">IF(购销流水!$D448="","",IFERROR(INDEX(记账规则!$A$6:$N$9,MATCH(购销流水!$D448,记账规则!$A$6:$A$9,0),3),""))</f>
        <v/>
      </c>
      <c r="M1774" s="66" t="str">
        <f aca="false">IF($L1774="","",IFERROR(INDEX(记账规则!$A$6:$N$9,MATCH(购销流水!$D448,记账规则!$A$6:$A$9,0),4),""))</f>
        <v/>
      </c>
      <c r="N1774" s="66" t="str">
        <f aca="false">IF($L1774="","",IFERROR(INDEX(记账规则!$A$6:$N$9,MATCH(购销流水!$D448,记账规则!$A$6:$A$9,0),5),""))</f>
        <v/>
      </c>
      <c r="O1774" s="67" t="n">
        <f aca="false">IF($H1774="",0,ROUND(IF($N1774="成本金额",N(购销流水!$W448),IF($N1774="金额",N(购销流水!$Q448),0)),2))</f>
        <v>0</v>
      </c>
      <c r="P1774" s="64" t="str">
        <f aca="false">IF(AND($H1774&lt;&gt;"",ROUND($O1774,2)&lt;&gt;0),"有","")</f>
        <v/>
      </c>
    </row>
    <row r="1775" customFormat="false" ht="15" hidden="true" customHeight="false" outlineLevel="0" collapsed="false">
      <c r="A1775" s="53" t="str">
        <f aca="false">IF($H1775="","",ROW()-5)</f>
        <v/>
      </c>
      <c r="B1775" s="64" t="s">
        <v>36</v>
      </c>
      <c r="C1775" s="53" t="n">
        <v>448</v>
      </c>
      <c r="D1775" s="53" t="n">
        <v>2</v>
      </c>
      <c r="E1775" s="65" t="str">
        <f aca="false">IF($H1775="","",购销流水!$B448)</f>
        <v/>
      </c>
      <c r="F1775" s="55" t="str">
        <f aca="false">IF($H1775="","",购销流水!$C448)</f>
        <v/>
      </c>
      <c r="G1775" s="48" t="str">
        <f aca="false">IF($H1775="","",购销流水!$N448)</f>
        <v/>
      </c>
      <c r="H1775" s="10" t="str">
        <f aca="false">IF($L1775="","",IF($L1775="@成本",购销流水!$U448,IF($L1775="@收入",购销流水!$T448,IF($L1775="@存货",购销流水!$S448,IF($L1775="@结算",购销流水!$R448,$L1775)))))</f>
        <v/>
      </c>
      <c r="I1775" s="42" t="n">
        <f aca="false">IF($M1775="借",$O1775,0)</f>
        <v>0</v>
      </c>
      <c r="J1775" s="42" t="n">
        <f aca="false">IF($M1775="贷",$O1775,0)</f>
        <v>0</v>
      </c>
      <c r="K1775" s="48" t="str">
        <f aca="false">IF($H1775="","",购销流水!$E448)</f>
        <v/>
      </c>
      <c r="L1775" s="66" t="str">
        <f aca="false">IF(购销流水!$D448="","",IFERROR(INDEX(记账规则!$A$6:$N$9,MATCH(购销流水!$D448,记账规则!$A$6:$A$9,0),6),""))</f>
        <v/>
      </c>
      <c r="M1775" s="66" t="str">
        <f aca="false">IF($L1775="","",IFERROR(INDEX(记账规则!$A$6:$N$9,MATCH(购销流水!$D448,记账规则!$A$6:$A$9,0),7),""))</f>
        <v/>
      </c>
      <c r="N1775" s="66" t="str">
        <f aca="false">IF($L1775="","",IFERROR(INDEX(记账规则!$A$6:$N$9,MATCH(购销流水!$D448,记账规则!$A$6:$A$9,0),8),""))</f>
        <v/>
      </c>
      <c r="O1775" s="67" t="n">
        <f aca="false">IF($H1775="",0,ROUND(IF($N1775="成本金额",N(购销流水!$W448),IF($N1775="金额",N(购销流水!$Q448),0)),2))</f>
        <v>0</v>
      </c>
      <c r="P1775" s="64" t="str">
        <f aca="false">IF(AND($H1775&lt;&gt;"",ROUND($O1775,2)&lt;&gt;0),"有","")</f>
        <v/>
      </c>
    </row>
    <row r="1776" customFormat="false" ht="15" hidden="true" customHeight="false" outlineLevel="0" collapsed="false">
      <c r="A1776" s="53" t="str">
        <f aca="false">IF($H1776="","",ROW()-5)</f>
        <v/>
      </c>
      <c r="B1776" s="64" t="s">
        <v>36</v>
      </c>
      <c r="C1776" s="53" t="n">
        <v>448</v>
      </c>
      <c r="D1776" s="53" t="n">
        <v>3</v>
      </c>
      <c r="E1776" s="65" t="str">
        <f aca="false">IF($H1776="","",购销流水!$B448)</f>
        <v/>
      </c>
      <c r="F1776" s="55" t="str">
        <f aca="false">IF($H1776="","",购销流水!$C448)</f>
        <v/>
      </c>
      <c r="G1776" s="48" t="str">
        <f aca="false">IF($H1776="","",购销流水!$N448)</f>
        <v/>
      </c>
      <c r="H1776" s="10" t="str">
        <f aca="false">IF($L1776="","",IF($L1776="@成本",购销流水!$U448,IF($L1776="@收入",购销流水!$T448,IF($L1776="@存货",购销流水!$S448,IF($L1776="@结算",购销流水!$R448,$L1776)))))</f>
        <v/>
      </c>
      <c r="I1776" s="42" t="n">
        <f aca="false">IF($M1776="借",$O1776,0)</f>
        <v>0</v>
      </c>
      <c r="J1776" s="42" t="n">
        <f aca="false">IF($M1776="贷",$O1776,0)</f>
        <v>0</v>
      </c>
      <c r="K1776" s="48" t="str">
        <f aca="false">IF($H1776="","",购销流水!$E448)</f>
        <v/>
      </c>
      <c r="L1776" s="66" t="str">
        <f aca="false">IF(购销流水!$D448="","",IFERROR(INDEX(记账规则!$A$6:$N$9,MATCH(购销流水!$D448,记账规则!$A$6:$A$9,0),9),""))</f>
        <v/>
      </c>
      <c r="M1776" s="66" t="str">
        <f aca="false">IF($L1776="","",IFERROR(INDEX(记账规则!$A$6:$N$9,MATCH(购销流水!$D448,记账规则!$A$6:$A$9,0),10),""))</f>
        <v/>
      </c>
      <c r="N1776" s="66" t="str">
        <f aca="false">IF($L1776="","",IFERROR(INDEX(记账规则!$A$6:$N$9,MATCH(购销流水!$D448,记账规则!$A$6:$A$9,0),11),""))</f>
        <v/>
      </c>
      <c r="O1776" s="67" t="n">
        <f aca="false">IF($H1776="",0,ROUND(IF($N1776="成本金额",N(购销流水!$W448),IF($N1776="金额",N(购销流水!$Q448),0)),2))</f>
        <v>0</v>
      </c>
      <c r="P1776" s="64" t="str">
        <f aca="false">IF(AND($H1776&lt;&gt;"",ROUND($O1776,2)&lt;&gt;0),"有","")</f>
        <v/>
      </c>
    </row>
    <row r="1777" customFormat="false" ht="15" hidden="true" customHeight="false" outlineLevel="0" collapsed="false">
      <c r="A1777" s="53" t="str">
        <f aca="false">IF($H1777="","",ROW()-5)</f>
        <v/>
      </c>
      <c r="B1777" s="64" t="s">
        <v>36</v>
      </c>
      <c r="C1777" s="53" t="n">
        <v>448</v>
      </c>
      <c r="D1777" s="53" t="n">
        <v>4</v>
      </c>
      <c r="E1777" s="65" t="str">
        <f aca="false">IF($H1777="","",购销流水!$B448)</f>
        <v/>
      </c>
      <c r="F1777" s="55" t="str">
        <f aca="false">IF($H1777="","",购销流水!$C448)</f>
        <v/>
      </c>
      <c r="G1777" s="48" t="str">
        <f aca="false">IF($H1777="","",购销流水!$N448)</f>
        <v/>
      </c>
      <c r="H1777" s="10" t="str">
        <f aca="false">IF($L1777="","",IF($L1777="@成本",购销流水!$U448,IF($L1777="@收入",购销流水!$T448,IF($L1777="@存货",购销流水!$S448,IF($L1777="@结算",购销流水!$R448,$L1777)))))</f>
        <v/>
      </c>
      <c r="I1777" s="42" t="n">
        <f aca="false">IF($M1777="借",$O1777,0)</f>
        <v>0</v>
      </c>
      <c r="J1777" s="42" t="n">
        <f aca="false">IF($M1777="贷",$O1777,0)</f>
        <v>0</v>
      </c>
      <c r="K1777" s="48" t="str">
        <f aca="false">IF($H1777="","",购销流水!$E448)</f>
        <v/>
      </c>
      <c r="L1777" s="66" t="str">
        <f aca="false">IF(购销流水!$D448="","",IFERROR(INDEX(记账规则!$A$6:$N$9,MATCH(购销流水!$D448,记账规则!$A$6:$A$9,0),12),""))</f>
        <v/>
      </c>
      <c r="M1777" s="66" t="str">
        <f aca="false">IF($L1777="","",IFERROR(INDEX(记账规则!$A$6:$N$9,MATCH(购销流水!$D448,记账规则!$A$6:$A$9,0),13),""))</f>
        <v/>
      </c>
      <c r="N1777" s="66" t="str">
        <f aca="false">IF($L1777="","",IFERROR(INDEX(记账规则!$A$6:$N$9,MATCH(购销流水!$D448,记账规则!$A$6:$A$9,0),14),""))</f>
        <v/>
      </c>
      <c r="O1777" s="67" t="n">
        <f aca="false">IF($H1777="",0,ROUND(IF($N1777="成本金额",N(购销流水!$W448),IF($N1777="金额",N(购销流水!$Q448),0)),2))</f>
        <v>0</v>
      </c>
      <c r="P1777" s="64" t="str">
        <f aca="false">IF(AND($H1777&lt;&gt;"",ROUND($O1777,2)&lt;&gt;0),"有","")</f>
        <v/>
      </c>
    </row>
    <row r="1778" customFormat="false" ht="15" hidden="true" customHeight="false" outlineLevel="0" collapsed="false">
      <c r="A1778" s="53" t="str">
        <f aca="false">IF($H1778="","",ROW()-5)</f>
        <v/>
      </c>
      <c r="B1778" s="64" t="s">
        <v>36</v>
      </c>
      <c r="C1778" s="53" t="n">
        <v>449</v>
      </c>
      <c r="D1778" s="53" t="n">
        <v>1</v>
      </c>
      <c r="E1778" s="65" t="str">
        <f aca="false">IF($H1778="","",购销流水!$B449)</f>
        <v/>
      </c>
      <c r="F1778" s="55" t="str">
        <f aca="false">IF($H1778="","",购销流水!$C449)</f>
        <v/>
      </c>
      <c r="G1778" s="48" t="str">
        <f aca="false">IF($H1778="","",购销流水!$N449)</f>
        <v/>
      </c>
      <c r="H1778" s="10" t="str">
        <f aca="false">IF($L1778="","",IF($L1778="@成本",购销流水!$U449,IF($L1778="@收入",购销流水!$T449,IF($L1778="@存货",购销流水!$S449,IF($L1778="@结算",购销流水!$R449,$L1778)))))</f>
        <v/>
      </c>
      <c r="I1778" s="42" t="n">
        <f aca="false">IF($M1778="借",$O1778,0)</f>
        <v>0</v>
      </c>
      <c r="J1778" s="42" t="n">
        <f aca="false">IF($M1778="贷",$O1778,0)</f>
        <v>0</v>
      </c>
      <c r="K1778" s="48" t="str">
        <f aca="false">IF($H1778="","",购销流水!$E449)</f>
        <v/>
      </c>
      <c r="L1778" s="66" t="str">
        <f aca="false">IF(购销流水!$D449="","",IFERROR(INDEX(记账规则!$A$6:$N$9,MATCH(购销流水!$D449,记账规则!$A$6:$A$9,0),3),""))</f>
        <v/>
      </c>
      <c r="M1778" s="66" t="str">
        <f aca="false">IF($L1778="","",IFERROR(INDEX(记账规则!$A$6:$N$9,MATCH(购销流水!$D449,记账规则!$A$6:$A$9,0),4),""))</f>
        <v/>
      </c>
      <c r="N1778" s="66" t="str">
        <f aca="false">IF($L1778="","",IFERROR(INDEX(记账规则!$A$6:$N$9,MATCH(购销流水!$D449,记账规则!$A$6:$A$9,0),5),""))</f>
        <v/>
      </c>
      <c r="O1778" s="67" t="n">
        <f aca="false">IF($H1778="",0,ROUND(IF($N1778="成本金额",N(购销流水!$W449),IF($N1778="金额",N(购销流水!$Q449),0)),2))</f>
        <v>0</v>
      </c>
      <c r="P1778" s="64" t="str">
        <f aca="false">IF(AND($H1778&lt;&gt;"",ROUND($O1778,2)&lt;&gt;0),"有","")</f>
        <v/>
      </c>
    </row>
    <row r="1779" customFormat="false" ht="15" hidden="true" customHeight="false" outlineLevel="0" collapsed="false">
      <c r="A1779" s="53" t="str">
        <f aca="false">IF($H1779="","",ROW()-5)</f>
        <v/>
      </c>
      <c r="B1779" s="64" t="s">
        <v>36</v>
      </c>
      <c r="C1779" s="53" t="n">
        <v>449</v>
      </c>
      <c r="D1779" s="53" t="n">
        <v>2</v>
      </c>
      <c r="E1779" s="65" t="str">
        <f aca="false">IF($H1779="","",购销流水!$B449)</f>
        <v/>
      </c>
      <c r="F1779" s="55" t="str">
        <f aca="false">IF($H1779="","",购销流水!$C449)</f>
        <v/>
      </c>
      <c r="G1779" s="48" t="str">
        <f aca="false">IF($H1779="","",购销流水!$N449)</f>
        <v/>
      </c>
      <c r="H1779" s="10" t="str">
        <f aca="false">IF($L1779="","",IF($L1779="@成本",购销流水!$U449,IF($L1779="@收入",购销流水!$T449,IF($L1779="@存货",购销流水!$S449,IF($L1779="@结算",购销流水!$R449,$L1779)))))</f>
        <v/>
      </c>
      <c r="I1779" s="42" t="n">
        <f aca="false">IF($M1779="借",$O1779,0)</f>
        <v>0</v>
      </c>
      <c r="J1779" s="42" t="n">
        <f aca="false">IF($M1779="贷",$O1779,0)</f>
        <v>0</v>
      </c>
      <c r="K1779" s="48" t="str">
        <f aca="false">IF($H1779="","",购销流水!$E449)</f>
        <v/>
      </c>
      <c r="L1779" s="66" t="str">
        <f aca="false">IF(购销流水!$D449="","",IFERROR(INDEX(记账规则!$A$6:$N$9,MATCH(购销流水!$D449,记账规则!$A$6:$A$9,0),6),""))</f>
        <v/>
      </c>
      <c r="M1779" s="66" t="str">
        <f aca="false">IF($L1779="","",IFERROR(INDEX(记账规则!$A$6:$N$9,MATCH(购销流水!$D449,记账规则!$A$6:$A$9,0),7),""))</f>
        <v/>
      </c>
      <c r="N1779" s="66" t="str">
        <f aca="false">IF($L1779="","",IFERROR(INDEX(记账规则!$A$6:$N$9,MATCH(购销流水!$D449,记账规则!$A$6:$A$9,0),8),""))</f>
        <v/>
      </c>
      <c r="O1779" s="67" t="n">
        <f aca="false">IF($H1779="",0,ROUND(IF($N1779="成本金额",N(购销流水!$W449),IF($N1779="金额",N(购销流水!$Q449),0)),2))</f>
        <v>0</v>
      </c>
      <c r="P1779" s="64" t="str">
        <f aca="false">IF(AND($H1779&lt;&gt;"",ROUND($O1779,2)&lt;&gt;0),"有","")</f>
        <v/>
      </c>
    </row>
    <row r="1780" customFormat="false" ht="15" hidden="true" customHeight="false" outlineLevel="0" collapsed="false">
      <c r="A1780" s="53" t="str">
        <f aca="false">IF($H1780="","",ROW()-5)</f>
        <v/>
      </c>
      <c r="B1780" s="64" t="s">
        <v>36</v>
      </c>
      <c r="C1780" s="53" t="n">
        <v>449</v>
      </c>
      <c r="D1780" s="53" t="n">
        <v>3</v>
      </c>
      <c r="E1780" s="65" t="str">
        <f aca="false">IF($H1780="","",购销流水!$B449)</f>
        <v/>
      </c>
      <c r="F1780" s="55" t="str">
        <f aca="false">IF($H1780="","",购销流水!$C449)</f>
        <v/>
      </c>
      <c r="G1780" s="48" t="str">
        <f aca="false">IF($H1780="","",购销流水!$N449)</f>
        <v/>
      </c>
      <c r="H1780" s="10" t="str">
        <f aca="false">IF($L1780="","",IF($L1780="@成本",购销流水!$U449,IF($L1780="@收入",购销流水!$T449,IF($L1780="@存货",购销流水!$S449,IF($L1780="@结算",购销流水!$R449,$L1780)))))</f>
        <v/>
      </c>
      <c r="I1780" s="42" t="n">
        <f aca="false">IF($M1780="借",$O1780,0)</f>
        <v>0</v>
      </c>
      <c r="J1780" s="42" t="n">
        <f aca="false">IF($M1780="贷",$O1780,0)</f>
        <v>0</v>
      </c>
      <c r="K1780" s="48" t="str">
        <f aca="false">IF($H1780="","",购销流水!$E449)</f>
        <v/>
      </c>
      <c r="L1780" s="66" t="str">
        <f aca="false">IF(购销流水!$D449="","",IFERROR(INDEX(记账规则!$A$6:$N$9,MATCH(购销流水!$D449,记账规则!$A$6:$A$9,0),9),""))</f>
        <v/>
      </c>
      <c r="M1780" s="66" t="str">
        <f aca="false">IF($L1780="","",IFERROR(INDEX(记账规则!$A$6:$N$9,MATCH(购销流水!$D449,记账规则!$A$6:$A$9,0),10),""))</f>
        <v/>
      </c>
      <c r="N1780" s="66" t="str">
        <f aca="false">IF($L1780="","",IFERROR(INDEX(记账规则!$A$6:$N$9,MATCH(购销流水!$D449,记账规则!$A$6:$A$9,0),11),""))</f>
        <v/>
      </c>
      <c r="O1780" s="67" t="n">
        <f aca="false">IF($H1780="",0,ROUND(IF($N1780="成本金额",N(购销流水!$W449),IF($N1780="金额",N(购销流水!$Q449),0)),2))</f>
        <v>0</v>
      </c>
      <c r="P1780" s="64" t="str">
        <f aca="false">IF(AND($H1780&lt;&gt;"",ROUND($O1780,2)&lt;&gt;0),"有","")</f>
        <v/>
      </c>
    </row>
    <row r="1781" customFormat="false" ht="15" hidden="true" customHeight="false" outlineLevel="0" collapsed="false">
      <c r="A1781" s="53" t="str">
        <f aca="false">IF($H1781="","",ROW()-5)</f>
        <v/>
      </c>
      <c r="B1781" s="64" t="s">
        <v>36</v>
      </c>
      <c r="C1781" s="53" t="n">
        <v>449</v>
      </c>
      <c r="D1781" s="53" t="n">
        <v>4</v>
      </c>
      <c r="E1781" s="65" t="str">
        <f aca="false">IF($H1781="","",购销流水!$B449)</f>
        <v/>
      </c>
      <c r="F1781" s="55" t="str">
        <f aca="false">IF($H1781="","",购销流水!$C449)</f>
        <v/>
      </c>
      <c r="G1781" s="48" t="str">
        <f aca="false">IF($H1781="","",购销流水!$N449)</f>
        <v/>
      </c>
      <c r="H1781" s="10" t="str">
        <f aca="false">IF($L1781="","",IF($L1781="@成本",购销流水!$U449,IF($L1781="@收入",购销流水!$T449,IF($L1781="@存货",购销流水!$S449,IF($L1781="@结算",购销流水!$R449,$L1781)))))</f>
        <v/>
      </c>
      <c r="I1781" s="42" t="n">
        <f aca="false">IF($M1781="借",$O1781,0)</f>
        <v>0</v>
      </c>
      <c r="J1781" s="42" t="n">
        <f aca="false">IF($M1781="贷",$O1781,0)</f>
        <v>0</v>
      </c>
      <c r="K1781" s="48" t="str">
        <f aca="false">IF($H1781="","",购销流水!$E449)</f>
        <v/>
      </c>
      <c r="L1781" s="66" t="str">
        <f aca="false">IF(购销流水!$D449="","",IFERROR(INDEX(记账规则!$A$6:$N$9,MATCH(购销流水!$D449,记账规则!$A$6:$A$9,0),12),""))</f>
        <v/>
      </c>
      <c r="M1781" s="66" t="str">
        <f aca="false">IF($L1781="","",IFERROR(INDEX(记账规则!$A$6:$N$9,MATCH(购销流水!$D449,记账规则!$A$6:$A$9,0),13),""))</f>
        <v/>
      </c>
      <c r="N1781" s="66" t="str">
        <f aca="false">IF($L1781="","",IFERROR(INDEX(记账规则!$A$6:$N$9,MATCH(购销流水!$D449,记账规则!$A$6:$A$9,0),14),""))</f>
        <v/>
      </c>
      <c r="O1781" s="67" t="n">
        <f aca="false">IF($H1781="",0,ROUND(IF($N1781="成本金额",N(购销流水!$W449),IF($N1781="金额",N(购销流水!$Q449),0)),2))</f>
        <v>0</v>
      </c>
      <c r="P1781" s="64" t="str">
        <f aca="false">IF(AND($H1781&lt;&gt;"",ROUND($O1781,2)&lt;&gt;0),"有","")</f>
        <v/>
      </c>
    </row>
    <row r="1782" customFormat="false" ht="15" hidden="true" customHeight="false" outlineLevel="0" collapsed="false">
      <c r="A1782" s="53" t="str">
        <f aca="false">IF($H1782="","",ROW()-5)</f>
        <v/>
      </c>
      <c r="B1782" s="64" t="s">
        <v>36</v>
      </c>
      <c r="C1782" s="53" t="n">
        <v>450</v>
      </c>
      <c r="D1782" s="53" t="n">
        <v>1</v>
      </c>
      <c r="E1782" s="65" t="str">
        <f aca="false">IF($H1782="","",购销流水!$B450)</f>
        <v/>
      </c>
      <c r="F1782" s="55" t="str">
        <f aca="false">IF($H1782="","",购销流水!$C450)</f>
        <v/>
      </c>
      <c r="G1782" s="48" t="str">
        <f aca="false">IF($H1782="","",购销流水!$N450)</f>
        <v/>
      </c>
      <c r="H1782" s="10" t="str">
        <f aca="false">IF($L1782="","",IF($L1782="@成本",购销流水!$U450,IF($L1782="@收入",购销流水!$T450,IF($L1782="@存货",购销流水!$S450,IF($L1782="@结算",购销流水!$R450,$L1782)))))</f>
        <v/>
      </c>
      <c r="I1782" s="42" t="n">
        <f aca="false">IF($M1782="借",$O1782,0)</f>
        <v>0</v>
      </c>
      <c r="J1782" s="42" t="n">
        <f aca="false">IF($M1782="贷",$O1782,0)</f>
        <v>0</v>
      </c>
      <c r="K1782" s="48" t="str">
        <f aca="false">IF($H1782="","",购销流水!$E450)</f>
        <v/>
      </c>
      <c r="L1782" s="66" t="str">
        <f aca="false">IF(购销流水!$D450="","",IFERROR(INDEX(记账规则!$A$6:$N$9,MATCH(购销流水!$D450,记账规则!$A$6:$A$9,0),3),""))</f>
        <v/>
      </c>
      <c r="M1782" s="66" t="str">
        <f aca="false">IF($L1782="","",IFERROR(INDEX(记账规则!$A$6:$N$9,MATCH(购销流水!$D450,记账规则!$A$6:$A$9,0),4),""))</f>
        <v/>
      </c>
      <c r="N1782" s="66" t="str">
        <f aca="false">IF($L1782="","",IFERROR(INDEX(记账规则!$A$6:$N$9,MATCH(购销流水!$D450,记账规则!$A$6:$A$9,0),5),""))</f>
        <v/>
      </c>
      <c r="O1782" s="67" t="n">
        <f aca="false">IF($H1782="",0,ROUND(IF($N1782="成本金额",N(购销流水!$W450),IF($N1782="金额",N(购销流水!$Q450),0)),2))</f>
        <v>0</v>
      </c>
      <c r="P1782" s="64" t="str">
        <f aca="false">IF(AND($H1782&lt;&gt;"",ROUND($O1782,2)&lt;&gt;0),"有","")</f>
        <v/>
      </c>
    </row>
    <row r="1783" customFormat="false" ht="15" hidden="true" customHeight="false" outlineLevel="0" collapsed="false">
      <c r="A1783" s="53" t="str">
        <f aca="false">IF($H1783="","",ROW()-5)</f>
        <v/>
      </c>
      <c r="B1783" s="64" t="s">
        <v>36</v>
      </c>
      <c r="C1783" s="53" t="n">
        <v>450</v>
      </c>
      <c r="D1783" s="53" t="n">
        <v>2</v>
      </c>
      <c r="E1783" s="65" t="str">
        <f aca="false">IF($H1783="","",购销流水!$B450)</f>
        <v/>
      </c>
      <c r="F1783" s="55" t="str">
        <f aca="false">IF($H1783="","",购销流水!$C450)</f>
        <v/>
      </c>
      <c r="G1783" s="48" t="str">
        <f aca="false">IF($H1783="","",购销流水!$N450)</f>
        <v/>
      </c>
      <c r="H1783" s="10" t="str">
        <f aca="false">IF($L1783="","",IF($L1783="@成本",购销流水!$U450,IF($L1783="@收入",购销流水!$T450,IF($L1783="@存货",购销流水!$S450,IF($L1783="@结算",购销流水!$R450,$L1783)))))</f>
        <v/>
      </c>
      <c r="I1783" s="42" t="n">
        <f aca="false">IF($M1783="借",$O1783,0)</f>
        <v>0</v>
      </c>
      <c r="J1783" s="42" t="n">
        <f aca="false">IF($M1783="贷",$O1783,0)</f>
        <v>0</v>
      </c>
      <c r="K1783" s="48" t="str">
        <f aca="false">IF($H1783="","",购销流水!$E450)</f>
        <v/>
      </c>
      <c r="L1783" s="66" t="str">
        <f aca="false">IF(购销流水!$D450="","",IFERROR(INDEX(记账规则!$A$6:$N$9,MATCH(购销流水!$D450,记账规则!$A$6:$A$9,0),6),""))</f>
        <v/>
      </c>
      <c r="M1783" s="66" t="str">
        <f aca="false">IF($L1783="","",IFERROR(INDEX(记账规则!$A$6:$N$9,MATCH(购销流水!$D450,记账规则!$A$6:$A$9,0),7),""))</f>
        <v/>
      </c>
      <c r="N1783" s="66" t="str">
        <f aca="false">IF($L1783="","",IFERROR(INDEX(记账规则!$A$6:$N$9,MATCH(购销流水!$D450,记账规则!$A$6:$A$9,0),8),""))</f>
        <v/>
      </c>
      <c r="O1783" s="67" t="n">
        <f aca="false">IF($H1783="",0,ROUND(IF($N1783="成本金额",N(购销流水!$W450),IF($N1783="金额",N(购销流水!$Q450),0)),2))</f>
        <v>0</v>
      </c>
      <c r="P1783" s="64" t="str">
        <f aca="false">IF(AND($H1783&lt;&gt;"",ROUND($O1783,2)&lt;&gt;0),"有","")</f>
        <v/>
      </c>
    </row>
    <row r="1784" customFormat="false" ht="15" hidden="true" customHeight="false" outlineLevel="0" collapsed="false">
      <c r="A1784" s="53" t="str">
        <f aca="false">IF($H1784="","",ROW()-5)</f>
        <v/>
      </c>
      <c r="B1784" s="64" t="s">
        <v>36</v>
      </c>
      <c r="C1784" s="53" t="n">
        <v>450</v>
      </c>
      <c r="D1784" s="53" t="n">
        <v>3</v>
      </c>
      <c r="E1784" s="65" t="str">
        <f aca="false">IF($H1784="","",购销流水!$B450)</f>
        <v/>
      </c>
      <c r="F1784" s="55" t="str">
        <f aca="false">IF($H1784="","",购销流水!$C450)</f>
        <v/>
      </c>
      <c r="G1784" s="48" t="str">
        <f aca="false">IF($H1784="","",购销流水!$N450)</f>
        <v/>
      </c>
      <c r="H1784" s="10" t="str">
        <f aca="false">IF($L1784="","",IF($L1784="@成本",购销流水!$U450,IF($L1784="@收入",购销流水!$T450,IF($L1784="@存货",购销流水!$S450,IF($L1784="@结算",购销流水!$R450,$L1784)))))</f>
        <v/>
      </c>
      <c r="I1784" s="42" t="n">
        <f aca="false">IF($M1784="借",$O1784,0)</f>
        <v>0</v>
      </c>
      <c r="J1784" s="42" t="n">
        <f aca="false">IF($M1784="贷",$O1784,0)</f>
        <v>0</v>
      </c>
      <c r="K1784" s="48" t="str">
        <f aca="false">IF($H1784="","",购销流水!$E450)</f>
        <v/>
      </c>
      <c r="L1784" s="66" t="str">
        <f aca="false">IF(购销流水!$D450="","",IFERROR(INDEX(记账规则!$A$6:$N$9,MATCH(购销流水!$D450,记账规则!$A$6:$A$9,0),9),""))</f>
        <v/>
      </c>
      <c r="M1784" s="66" t="str">
        <f aca="false">IF($L1784="","",IFERROR(INDEX(记账规则!$A$6:$N$9,MATCH(购销流水!$D450,记账规则!$A$6:$A$9,0),10),""))</f>
        <v/>
      </c>
      <c r="N1784" s="66" t="str">
        <f aca="false">IF($L1784="","",IFERROR(INDEX(记账规则!$A$6:$N$9,MATCH(购销流水!$D450,记账规则!$A$6:$A$9,0),11),""))</f>
        <v/>
      </c>
      <c r="O1784" s="67" t="n">
        <f aca="false">IF($H1784="",0,ROUND(IF($N1784="成本金额",N(购销流水!$W450),IF($N1784="金额",N(购销流水!$Q450),0)),2))</f>
        <v>0</v>
      </c>
      <c r="P1784" s="64" t="str">
        <f aca="false">IF(AND($H1784&lt;&gt;"",ROUND($O1784,2)&lt;&gt;0),"有","")</f>
        <v/>
      </c>
    </row>
    <row r="1785" customFormat="false" ht="15" hidden="true" customHeight="false" outlineLevel="0" collapsed="false">
      <c r="A1785" s="53" t="str">
        <f aca="false">IF($H1785="","",ROW()-5)</f>
        <v/>
      </c>
      <c r="B1785" s="64" t="s">
        <v>36</v>
      </c>
      <c r="C1785" s="53" t="n">
        <v>450</v>
      </c>
      <c r="D1785" s="53" t="n">
        <v>4</v>
      </c>
      <c r="E1785" s="65" t="str">
        <f aca="false">IF($H1785="","",购销流水!$B450)</f>
        <v/>
      </c>
      <c r="F1785" s="55" t="str">
        <f aca="false">IF($H1785="","",购销流水!$C450)</f>
        <v/>
      </c>
      <c r="G1785" s="48" t="str">
        <f aca="false">IF($H1785="","",购销流水!$N450)</f>
        <v/>
      </c>
      <c r="H1785" s="10" t="str">
        <f aca="false">IF($L1785="","",IF($L1785="@成本",购销流水!$U450,IF($L1785="@收入",购销流水!$T450,IF($L1785="@存货",购销流水!$S450,IF($L1785="@结算",购销流水!$R450,$L1785)))))</f>
        <v/>
      </c>
      <c r="I1785" s="42" t="n">
        <f aca="false">IF($M1785="借",$O1785,0)</f>
        <v>0</v>
      </c>
      <c r="J1785" s="42" t="n">
        <f aca="false">IF($M1785="贷",$O1785,0)</f>
        <v>0</v>
      </c>
      <c r="K1785" s="48" t="str">
        <f aca="false">IF($H1785="","",购销流水!$E450)</f>
        <v/>
      </c>
      <c r="L1785" s="66" t="str">
        <f aca="false">IF(购销流水!$D450="","",IFERROR(INDEX(记账规则!$A$6:$N$9,MATCH(购销流水!$D450,记账规则!$A$6:$A$9,0),12),""))</f>
        <v/>
      </c>
      <c r="M1785" s="66" t="str">
        <f aca="false">IF($L1785="","",IFERROR(INDEX(记账规则!$A$6:$N$9,MATCH(购销流水!$D450,记账规则!$A$6:$A$9,0),13),""))</f>
        <v/>
      </c>
      <c r="N1785" s="66" t="str">
        <f aca="false">IF($L1785="","",IFERROR(INDEX(记账规则!$A$6:$N$9,MATCH(购销流水!$D450,记账规则!$A$6:$A$9,0),14),""))</f>
        <v/>
      </c>
      <c r="O1785" s="67" t="n">
        <f aca="false">IF($H1785="",0,ROUND(IF($N1785="成本金额",N(购销流水!$W450),IF($N1785="金额",N(购销流水!$Q450),0)),2))</f>
        <v>0</v>
      </c>
      <c r="P1785" s="64" t="str">
        <f aca="false">IF(AND($H1785&lt;&gt;"",ROUND($O1785,2)&lt;&gt;0),"有","")</f>
        <v/>
      </c>
    </row>
    <row r="1786" customFormat="false" ht="15" hidden="true" customHeight="false" outlineLevel="0" collapsed="false">
      <c r="A1786" s="53" t="str">
        <f aca="false">IF($H1786="","",ROW()-5)</f>
        <v/>
      </c>
      <c r="B1786" s="64" t="s">
        <v>36</v>
      </c>
      <c r="C1786" s="53" t="n">
        <v>451</v>
      </c>
      <c r="D1786" s="53" t="n">
        <v>1</v>
      </c>
      <c r="E1786" s="65" t="str">
        <f aca="false">IF($H1786="","",购销流水!$B451)</f>
        <v/>
      </c>
      <c r="F1786" s="55" t="str">
        <f aca="false">IF($H1786="","",购销流水!$C451)</f>
        <v/>
      </c>
      <c r="G1786" s="48" t="str">
        <f aca="false">IF($H1786="","",购销流水!$N451)</f>
        <v/>
      </c>
      <c r="H1786" s="10" t="str">
        <f aca="false">IF($L1786="","",IF($L1786="@成本",购销流水!$U451,IF($L1786="@收入",购销流水!$T451,IF($L1786="@存货",购销流水!$S451,IF($L1786="@结算",购销流水!$R451,$L1786)))))</f>
        <v/>
      </c>
      <c r="I1786" s="42" t="n">
        <f aca="false">IF($M1786="借",$O1786,0)</f>
        <v>0</v>
      </c>
      <c r="J1786" s="42" t="n">
        <f aca="false">IF($M1786="贷",$O1786,0)</f>
        <v>0</v>
      </c>
      <c r="K1786" s="48" t="str">
        <f aca="false">IF($H1786="","",购销流水!$E451)</f>
        <v/>
      </c>
      <c r="L1786" s="66" t="str">
        <f aca="false">IF(购销流水!$D451="","",IFERROR(INDEX(记账规则!$A$6:$N$9,MATCH(购销流水!$D451,记账规则!$A$6:$A$9,0),3),""))</f>
        <v/>
      </c>
      <c r="M1786" s="66" t="str">
        <f aca="false">IF($L1786="","",IFERROR(INDEX(记账规则!$A$6:$N$9,MATCH(购销流水!$D451,记账规则!$A$6:$A$9,0),4),""))</f>
        <v/>
      </c>
      <c r="N1786" s="66" t="str">
        <f aca="false">IF($L1786="","",IFERROR(INDEX(记账规则!$A$6:$N$9,MATCH(购销流水!$D451,记账规则!$A$6:$A$9,0),5),""))</f>
        <v/>
      </c>
      <c r="O1786" s="67" t="n">
        <f aca="false">IF($H1786="",0,ROUND(IF($N1786="成本金额",N(购销流水!$W451),IF($N1786="金额",N(购销流水!$Q451),0)),2))</f>
        <v>0</v>
      </c>
      <c r="P1786" s="64" t="str">
        <f aca="false">IF(AND($H1786&lt;&gt;"",ROUND($O1786,2)&lt;&gt;0),"有","")</f>
        <v/>
      </c>
    </row>
    <row r="1787" customFormat="false" ht="15" hidden="true" customHeight="false" outlineLevel="0" collapsed="false">
      <c r="A1787" s="53" t="str">
        <f aca="false">IF($H1787="","",ROW()-5)</f>
        <v/>
      </c>
      <c r="B1787" s="64" t="s">
        <v>36</v>
      </c>
      <c r="C1787" s="53" t="n">
        <v>451</v>
      </c>
      <c r="D1787" s="53" t="n">
        <v>2</v>
      </c>
      <c r="E1787" s="65" t="str">
        <f aca="false">IF($H1787="","",购销流水!$B451)</f>
        <v/>
      </c>
      <c r="F1787" s="55" t="str">
        <f aca="false">IF($H1787="","",购销流水!$C451)</f>
        <v/>
      </c>
      <c r="G1787" s="48" t="str">
        <f aca="false">IF($H1787="","",购销流水!$N451)</f>
        <v/>
      </c>
      <c r="H1787" s="10" t="str">
        <f aca="false">IF($L1787="","",IF($L1787="@成本",购销流水!$U451,IF($L1787="@收入",购销流水!$T451,IF($L1787="@存货",购销流水!$S451,IF($L1787="@结算",购销流水!$R451,$L1787)))))</f>
        <v/>
      </c>
      <c r="I1787" s="42" t="n">
        <f aca="false">IF($M1787="借",$O1787,0)</f>
        <v>0</v>
      </c>
      <c r="J1787" s="42" t="n">
        <f aca="false">IF($M1787="贷",$O1787,0)</f>
        <v>0</v>
      </c>
      <c r="K1787" s="48" t="str">
        <f aca="false">IF($H1787="","",购销流水!$E451)</f>
        <v/>
      </c>
      <c r="L1787" s="66" t="str">
        <f aca="false">IF(购销流水!$D451="","",IFERROR(INDEX(记账规则!$A$6:$N$9,MATCH(购销流水!$D451,记账规则!$A$6:$A$9,0),6),""))</f>
        <v/>
      </c>
      <c r="M1787" s="66" t="str">
        <f aca="false">IF($L1787="","",IFERROR(INDEX(记账规则!$A$6:$N$9,MATCH(购销流水!$D451,记账规则!$A$6:$A$9,0),7),""))</f>
        <v/>
      </c>
      <c r="N1787" s="66" t="str">
        <f aca="false">IF($L1787="","",IFERROR(INDEX(记账规则!$A$6:$N$9,MATCH(购销流水!$D451,记账规则!$A$6:$A$9,0),8),""))</f>
        <v/>
      </c>
      <c r="O1787" s="67" t="n">
        <f aca="false">IF($H1787="",0,ROUND(IF($N1787="成本金额",N(购销流水!$W451),IF($N1787="金额",N(购销流水!$Q451),0)),2))</f>
        <v>0</v>
      </c>
      <c r="P1787" s="64" t="str">
        <f aca="false">IF(AND($H1787&lt;&gt;"",ROUND($O1787,2)&lt;&gt;0),"有","")</f>
        <v/>
      </c>
    </row>
    <row r="1788" customFormat="false" ht="15" hidden="true" customHeight="false" outlineLevel="0" collapsed="false">
      <c r="A1788" s="53" t="str">
        <f aca="false">IF($H1788="","",ROW()-5)</f>
        <v/>
      </c>
      <c r="B1788" s="64" t="s">
        <v>36</v>
      </c>
      <c r="C1788" s="53" t="n">
        <v>451</v>
      </c>
      <c r="D1788" s="53" t="n">
        <v>3</v>
      </c>
      <c r="E1788" s="65" t="str">
        <f aca="false">IF($H1788="","",购销流水!$B451)</f>
        <v/>
      </c>
      <c r="F1788" s="55" t="str">
        <f aca="false">IF($H1788="","",购销流水!$C451)</f>
        <v/>
      </c>
      <c r="G1788" s="48" t="str">
        <f aca="false">IF($H1788="","",购销流水!$N451)</f>
        <v/>
      </c>
      <c r="H1788" s="10" t="str">
        <f aca="false">IF($L1788="","",IF($L1788="@成本",购销流水!$U451,IF($L1788="@收入",购销流水!$T451,IF($L1788="@存货",购销流水!$S451,IF($L1788="@结算",购销流水!$R451,$L1788)))))</f>
        <v/>
      </c>
      <c r="I1788" s="42" t="n">
        <f aca="false">IF($M1788="借",$O1788,0)</f>
        <v>0</v>
      </c>
      <c r="J1788" s="42" t="n">
        <f aca="false">IF($M1788="贷",$O1788,0)</f>
        <v>0</v>
      </c>
      <c r="K1788" s="48" t="str">
        <f aca="false">IF($H1788="","",购销流水!$E451)</f>
        <v/>
      </c>
      <c r="L1788" s="66" t="str">
        <f aca="false">IF(购销流水!$D451="","",IFERROR(INDEX(记账规则!$A$6:$N$9,MATCH(购销流水!$D451,记账规则!$A$6:$A$9,0),9),""))</f>
        <v/>
      </c>
      <c r="M1788" s="66" t="str">
        <f aca="false">IF($L1788="","",IFERROR(INDEX(记账规则!$A$6:$N$9,MATCH(购销流水!$D451,记账规则!$A$6:$A$9,0),10),""))</f>
        <v/>
      </c>
      <c r="N1788" s="66" t="str">
        <f aca="false">IF($L1788="","",IFERROR(INDEX(记账规则!$A$6:$N$9,MATCH(购销流水!$D451,记账规则!$A$6:$A$9,0),11),""))</f>
        <v/>
      </c>
      <c r="O1788" s="67" t="n">
        <f aca="false">IF($H1788="",0,ROUND(IF($N1788="成本金额",N(购销流水!$W451),IF($N1788="金额",N(购销流水!$Q451),0)),2))</f>
        <v>0</v>
      </c>
      <c r="P1788" s="64" t="str">
        <f aca="false">IF(AND($H1788&lt;&gt;"",ROUND($O1788,2)&lt;&gt;0),"有","")</f>
        <v/>
      </c>
    </row>
    <row r="1789" customFormat="false" ht="15" hidden="true" customHeight="false" outlineLevel="0" collapsed="false">
      <c r="A1789" s="53" t="str">
        <f aca="false">IF($H1789="","",ROW()-5)</f>
        <v/>
      </c>
      <c r="B1789" s="64" t="s">
        <v>36</v>
      </c>
      <c r="C1789" s="53" t="n">
        <v>451</v>
      </c>
      <c r="D1789" s="53" t="n">
        <v>4</v>
      </c>
      <c r="E1789" s="65" t="str">
        <f aca="false">IF($H1789="","",购销流水!$B451)</f>
        <v/>
      </c>
      <c r="F1789" s="55" t="str">
        <f aca="false">IF($H1789="","",购销流水!$C451)</f>
        <v/>
      </c>
      <c r="G1789" s="48" t="str">
        <f aca="false">IF($H1789="","",购销流水!$N451)</f>
        <v/>
      </c>
      <c r="H1789" s="10" t="str">
        <f aca="false">IF($L1789="","",IF($L1789="@成本",购销流水!$U451,IF($L1789="@收入",购销流水!$T451,IF($L1789="@存货",购销流水!$S451,IF($L1789="@结算",购销流水!$R451,$L1789)))))</f>
        <v/>
      </c>
      <c r="I1789" s="42" t="n">
        <f aca="false">IF($M1789="借",$O1789,0)</f>
        <v>0</v>
      </c>
      <c r="J1789" s="42" t="n">
        <f aca="false">IF($M1789="贷",$O1789,0)</f>
        <v>0</v>
      </c>
      <c r="K1789" s="48" t="str">
        <f aca="false">IF($H1789="","",购销流水!$E451)</f>
        <v/>
      </c>
      <c r="L1789" s="66" t="str">
        <f aca="false">IF(购销流水!$D451="","",IFERROR(INDEX(记账规则!$A$6:$N$9,MATCH(购销流水!$D451,记账规则!$A$6:$A$9,0),12),""))</f>
        <v/>
      </c>
      <c r="M1789" s="66" t="str">
        <f aca="false">IF($L1789="","",IFERROR(INDEX(记账规则!$A$6:$N$9,MATCH(购销流水!$D451,记账规则!$A$6:$A$9,0),13),""))</f>
        <v/>
      </c>
      <c r="N1789" s="66" t="str">
        <f aca="false">IF($L1789="","",IFERROR(INDEX(记账规则!$A$6:$N$9,MATCH(购销流水!$D451,记账规则!$A$6:$A$9,0),14),""))</f>
        <v/>
      </c>
      <c r="O1789" s="67" t="n">
        <f aca="false">IF($H1789="",0,ROUND(IF($N1789="成本金额",N(购销流水!$W451),IF($N1789="金额",N(购销流水!$Q451),0)),2))</f>
        <v>0</v>
      </c>
      <c r="P1789" s="64" t="str">
        <f aca="false">IF(AND($H1789&lt;&gt;"",ROUND($O1789,2)&lt;&gt;0),"有","")</f>
        <v/>
      </c>
    </row>
    <row r="1790" customFormat="false" ht="15" hidden="true" customHeight="false" outlineLevel="0" collapsed="false">
      <c r="A1790" s="53" t="str">
        <f aca="false">IF($H1790="","",ROW()-5)</f>
        <v/>
      </c>
      <c r="B1790" s="64" t="s">
        <v>36</v>
      </c>
      <c r="C1790" s="53" t="n">
        <v>452</v>
      </c>
      <c r="D1790" s="53" t="n">
        <v>1</v>
      </c>
      <c r="E1790" s="65" t="str">
        <f aca="false">IF($H1790="","",购销流水!$B452)</f>
        <v/>
      </c>
      <c r="F1790" s="55" t="str">
        <f aca="false">IF($H1790="","",购销流水!$C452)</f>
        <v/>
      </c>
      <c r="G1790" s="48" t="str">
        <f aca="false">IF($H1790="","",购销流水!$N452)</f>
        <v/>
      </c>
      <c r="H1790" s="10" t="str">
        <f aca="false">IF($L1790="","",IF($L1790="@成本",购销流水!$U452,IF($L1790="@收入",购销流水!$T452,IF($L1790="@存货",购销流水!$S452,IF($L1790="@结算",购销流水!$R452,$L1790)))))</f>
        <v/>
      </c>
      <c r="I1790" s="42" t="n">
        <f aca="false">IF($M1790="借",$O1790,0)</f>
        <v>0</v>
      </c>
      <c r="J1790" s="42" t="n">
        <f aca="false">IF($M1790="贷",$O1790,0)</f>
        <v>0</v>
      </c>
      <c r="K1790" s="48" t="str">
        <f aca="false">IF($H1790="","",购销流水!$E452)</f>
        <v/>
      </c>
      <c r="L1790" s="66" t="str">
        <f aca="false">IF(购销流水!$D452="","",IFERROR(INDEX(记账规则!$A$6:$N$9,MATCH(购销流水!$D452,记账规则!$A$6:$A$9,0),3),""))</f>
        <v/>
      </c>
      <c r="M1790" s="66" t="str">
        <f aca="false">IF($L1790="","",IFERROR(INDEX(记账规则!$A$6:$N$9,MATCH(购销流水!$D452,记账规则!$A$6:$A$9,0),4),""))</f>
        <v/>
      </c>
      <c r="N1790" s="66" t="str">
        <f aca="false">IF($L1790="","",IFERROR(INDEX(记账规则!$A$6:$N$9,MATCH(购销流水!$D452,记账规则!$A$6:$A$9,0),5),""))</f>
        <v/>
      </c>
      <c r="O1790" s="67" t="n">
        <f aca="false">IF($H1790="",0,ROUND(IF($N1790="成本金额",N(购销流水!$W452),IF($N1790="金额",N(购销流水!$Q452),0)),2))</f>
        <v>0</v>
      </c>
      <c r="P1790" s="64" t="str">
        <f aca="false">IF(AND($H1790&lt;&gt;"",ROUND($O1790,2)&lt;&gt;0),"有","")</f>
        <v/>
      </c>
    </row>
    <row r="1791" customFormat="false" ht="15" hidden="true" customHeight="false" outlineLevel="0" collapsed="false">
      <c r="A1791" s="53" t="str">
        <f aca="false">IF($H1791="","",ROW()-5)</f>
        <v/>
      </c>
      <c r="B1791" s="64" t="s">
        <v>36</v>
      </c>
      <c r="C1791" s="53" t="n">
        <v>452</v>
      </c>
      <c r="D1791" s="53" t="n">
        <v>2</v>
      </c>
      <c r="E1791" s="65" t="str">
        <f aca="false">IF($H1791="","",购销流水!$B452)</f>
        <v/>
      </c>
      <c r="F1791" s="55" t="str">
        <f aca="false">IF($H1791="","",购销流水!$C452)</f>
        <v/>
      </c>
      <c r="G1791" s="48" t="str">
        <f aca="false">IF($H1791="","",购销流水!$N452)</f>
        <v/>
      </c>
      <c r="H1791" s="10" t="str">
        <f aca="false">IF($L1791="","",IF($L1791="@成本",购销流水!$U452,IF($L1791="@收入",购销流水!$T452,IF($L1791="@存货",购销流水!$S452,IF($L1791="@结算",购销流水!$R452,$L1791)))))</f>
        <v/>
      </c>
      <c r="I1791" s="42" t="n">
        <f aca="false">IF($M1791="借",$O1791,0)</f>
        <v>0</v>
      </c>
      <c r="J1791" s="42" t="n">
        <f aca="false">IF($M1791="贷",$O1791,0)</f>
        <v>0</v>
      </c>
      <c r="K1791" s="48" t="str">
        <f aca="false">IF($H1791="","",购销流水!$E452)</f>
        <v/>
      </c>
      <c r="L1791" s="66" t="str">
        <f aca="false">IF(购销流水!$D452="","",IFERROR(INDEX(记账规则!$A$6:$N$9,MATCH(购销流水!$D452,记账规则!$A$6:$A$9,0),6),""))</f>
        <v/>
      </c>
      <c r="M1791" s="66" t="str">
        <f aca="false">IF($L1791="","",IFERROR(INDEX(记账规则!$A$6:$N$9,MATCH(购销流水!$D452,记账规则!$A$6:$A$9,0),7),""))</f>
        <v/>
      </c>
      <c r="N1791" s="66" t="str">
        <f aca="false">IF($L1791="","",IFERROR(INDEX(记账规则!$A$6:$N$9,MATCH(购销流水!$D452,记账规则!$A$6:$A$9,0),8),""))</f>
        <v/>
      </c>
      <c r="O1791" s="67" t="n">
        <f aca="false">IF($H1791="",0,ROUND(IF($N1791="成本金额",N(购销流水!$W452),IF($N1791="金额",N(购销流水!$Q452),0)),2))</f>
        <v>0</v>
      </c>
      <c r="P1791" s="64" t="str">
        <f aca="false">IF(AND($H1791&lt;&gt;"",ROUND($O1791,2)&lt;&gt;0),"有","")</f>
        <v/>
      </c>
    </row>
    <row r="1792" customFormat="false" ht="15" hidden="true" customHeight="false" outlineLevel="0" collapsed="false">
      <c r="A1792" s="53" t="str">
        <f aca="false">IF($H1792="","",ROW()-5)</f>
        <v/>
      </c>
      <c r="B1792" s="64" t="s">
        <v>36</v>
      </c>
      <c r="C1792" s="53" t="n">
        <v>452</v>
      </c>
      <c r="D1792" s="53" t="n">
        <v>3</v>
      </c>
      <c r="E1792" s="65" t="str">
        <f aca="false">IF($H1792="","",购销流水!$B452)</f>
        <v/>
      </c>
      <c r="F1792" s="55" t="str">
        <f aca="false">IF($H1792="","",购销流水!$C452)</f>
        <v/>
      </c>
      <c r="G1792" s="48" t="str">
        <f aca="false">IF($H1792="","",购销流水!$N452)</f>
        <v/>
      </c>
      <c r="H1792" s="10" t="str">
        <f aca="false">IF($L1792="","",IF($L1792="@成本",购销流水!$U452,IF($L1792="@收入",购销流水!$T452,IF($L1792="@存货",购销流水!$S452,IF($L1792="@结算",购销流水!$R452,$L1792)))))</f>
        <v/>
      </c>
      <c r="I1792" s="42" t="n">
        <f aca="false">IF($M1792="借",$O1792,0)</f>
        <v>0</v>
      </c>
      <c r="J1792" s="42" t="n">
        <f aca="false">IF($M1792="贷",$O1792,0)</f>
        <v>0</v>
      </c>
      <c r="K1792" s="48" t="str">
        <f aca="false">IF($H1792="","",购销流水!$E452)</f>
        <v/>
      </c>
      <c r="L1792" s="66" t="str">
        <f aca="false">IF(购销流水!$D452="","",IFERROR(INDEX(记账规则!$A$6:$N$9,MATCH(购销流水!$D452,记账规则!$A$6:$A$9,0),9),""))</f>
        <v/>
      </c>
      <c r="M1792" s="66" t="str">
        <f aca="false">IF($L1792="","",IFERROR(INDEX(记账规则!$A$6:$N$9,MATCH(购销流水!$D452,记账规则!$A$6:$A$9,0),10),""))</f>
        <v/>
      </c>
      <c r="N1792" s="66" t="str">
        <f aca="false">IF($L1792="","",IFERROR(INDEX(记账规则!$A$6:$N$9,MATCH(购销流水!$D452,记账规则!$A$6:$A$9,0),11),""))</f>
        <v/>
      </c>
      <c r="O1792" s="67" t="n">
        <f aca="false">IF($H1792="",0,ROUND(IF($N1792="成本金额",N(购销流水!$W452),IF($N1792="金额",N(购销流水!$Q452),0)),2))</f>
        <v>0</v>
      </c>
      <c r="P1792" s="64" t="str">
        <f aca="false">IF(AND($H1792&lt;&gt;"",ROUND($O1792,2)&lt;&gt;0),"有","")</f>
        <v/>
      </c>
    </row>
    <row r="1793" customFormat="false" ht="15" hidden="true" customHeight="false" outlineLevel="0" collapsed="false">
      <c r="A1793" s="53" t="str">
        <f aca="false">IF($H1793="","",ROW()-5)</f>
        <v/>
      </c>
      <c r="B1793" s="64" t="s">
        <v>36</v>
      </c>
      <c r="C1793" s="53" t="n">
        <v>452</v>
      </c>
      <c r="D1793" s="53" t="n">
        <v>4</v>
      </c>
      <c r="E1793" s="65" t="str">
        <f aca="false">IF($H1793="","",购销流水!$B452)</f>
        <v/>
      </c>
      <c r="F1793" s="55" t="str">
        <f aca="false">IF($H1793="","",购销流水!$C452)</f>
        <v/>
      </c>
      <c r="G1793" s="48" t="str">
        <f aca="false">IF($H1793="","",购销流水!$N452)</f>
        <v/>
      </c>
      <c r="H1793" s="10" t="str">
        <f aca="false">IF($L1793="","",IF($L1793="@成本",购销流水!$U452,IF($L1793="@收入",购销流水!$T452,IF($L1793="@存货",购销流水!$S452,IF($L1793="@结算",购销流水!$R452,$L1793)))))</f>
        <v/>
      </c>
      <c r="I1793" s="42" t="n">
        <f aca="false">IF($M1793="借",$O1793,0)</f>
        <v>0</v>
      </c>
      <c r="J1793" s="42" t="n">
        <f aca="false">IF($M1793="贷",$O1793,0)</f>
        <v>0</v>
      </c>
      <c r="K1793" s="48" t="str">
        <f aca="false">IF($H1793="","",购销流水!$E452)</f>
        <v/>
      </c>
      <c r="L1793" s="66" t="str">
        <f aca="false">IF(购销流水!$D452="","",IFERROR(INDEX(记账规则!$A$6:$N$9,MATCH(购销流水!$D452,记账规则!$A$6:$A$9,0),12),""))</f>
        <v/>
      </c>
      <c r="M1793" s="66" t="str">
        <f aca="false">IF($L1793="","",IFERROR(INDEX(记账规则!$A$6:$N$9,MATCH(购销流水!$D452,记账规则!$A$6:$A$9,0),13),""))</f>
        <v/>
      </c>
      <c r="N1793" s="66" t="str">
        <f aca="false">IF($L1793="","",IFERROR(INDEX(记账规则!$A$6:$N$9,MATCH(购销流水!$D452,记账规则!$A$6:$A$9,0),14),""))</f>
        <v/>
      </c>
      <c r="O1793" s="67" t="n">
        <f aca="false">IF($H1793="",0,ROUND(IF($N1793="成本金额",N(购销流水!$W452),IF($N1793="金额",N(购销流水!$Q452),0)),2))</f>
        <v>0</v>
      </c>
      <c r="P1793" s="64" t="str">
        <f aca="false">IF(AND($H1793&lt;&gt;"",ROUND($O1793,2)&lt;&gt;0),"有","")</f>
        <v/>
      </c>
    </row>
    <row r="1794" customFormat="false" ht="15" hidden="true" customHeight="false" outlineLevel="0" collapsed="false">
      <c r="A1794" s="53" t="str">
        <f aca="false">IF($H1794="","",ROW()-5)</f>
        <v/>
      </c>
      <c r="B1794" s="64" t="s">
        <v>36</v>
      </c>
      <c r="C1794" s="53" t="n">
        <v>453</v>
      </c>
      <c r="D1794" s="53" t="n">
        <v>1</v>
      </c>
      <c r="E1794" s="65" t="str">
        <f aca="false">IF($H1794="","",购销流水!$B453)</f>
        <v/>
      </c>
      <c r="F1794" s="55" t="str">
        <f aca="false">IF($H1794="","",购销流水!$C453)</f>
        <v/>
      </c>
      <c r="G1794" s="48" t="str">
        <f aca="false">IF($H1794="","",购销流水!$N453)</f>
        <v/>
      </c>
      <c r="H1794" s="10" t="str">
        <f aca="false">IF($L1794="","",IF($L1794="@成本",购销流水!$U453,IF($L1794="@收入",购销流水!$T453,IF($L1794="@存货",购销流水!$S453,IF($L1794="@结算",购销流水!$R453,$L1794)))))</f>
        <v/>
      </c>
      <c r="I1794" s="42" t="n">
        <f aca="false">IF($M1794="借",$O1794,0)</f>
        <v>0</v>
      </c>
      <c r="J1794" s="42" t="n">
        <f aca="false">IF($M1794="贷",$O1794,0)</f>
        <v>0</v>
      </c>
      <c r="K1794" s="48" t="str">
        <f aca="false">IF($H1794="","",购销流水!$E453)</f>
        <v/>
      </c>
      <c r="L1794" s="66" t="str">
        <f aca="false">IF(购销流水!$D453="","",IFERROR(INDEX(记账规则!$A$6:$N$9,MATCH(购销流水!$D453,记账规则!$A$6:$A$9,0),3),""))</f>
        <v/>
      </c>
      <c r="M1794" s="66" t="str">
        <f aca="false">IF($L1794="","",IFERROR(INDEX(记账规则!$A$6:$N$9,MATCH(购销流水!$D453,记账规则!$A$6:$A$9,0),4),""))</f>
        <v/>
      </c>
      <c r="N1794" s="66" t="str">
        <f aca="false">IF($L1794="","",IFERROR(INDEX(记账规则!$A$6:$N$9,MATCH(购销流水!$D453,记账规则!$A$6:$A$9,0),5),""))</f>
        <v/>
      </c>
      <c r="O1794" s="67" t="n">
        <f aca="false">IF($H1794="",0,ROUND(IF($N1794="成本金额",N(购销流水!$W453),IF($N1794="金额",N(购销流水!$Q453),0)),2))</f>
        <v>0</v>
      </c>
      <c r="P1794" s="64" t="str">
        <f aca="false">IF(AND($H1794&lt;&gt;"",ROUND($O1794,2)&lt;&gt;0),"有","")</f>
        <v/>
      </c>
    </row>
    <row r="1795" customFormat="false" ht="15" hidden="true" customHeight="false" outlineLevel="0" collapsed="false">
      <c r="A1795" s="53" t="str">
        <f aca="false">IF($H1795="","",ROW()-5)</f>
        <v/>
      </c>
      <c r="B1795" s="64" t="s">
        <v>36</v>
      </c>
      <c r="C1795" s="53" t="n">
        <v>453</v>
      </c>
      <c r="D1795" s="53" t="n">
        <v>2</v>
      </c>
      <c r="E1795" s="65" t="str">
        <f aca="false">IF($H1795="","",购销流水!$B453)</f>
        <v/>
      </c>
      <c r="F1795" s="55" t="str">
        <f aca="false">IF($H1795="","",购销流水!$C453)</f>
        <v/>
      </c>
      <c r="G1795" s="48" t="str">
        <f aca="false">IF($H1795="","",购销流水!$N453)</f>
        <v/>
      </c>
      <c r="H1795" s="10" t="str">
        <f aca="false">IF($L1795="","",IF($L1795="@成本",购销流水!$U453,IF($L1795="@收入",购销流水!$T453,IF($L1795="@存货",购销流水!$S453,IF($L1795="@结算",购销流水!$R453,$L1795)))))</f>
        <v/>
      </c>
      <c r="I1795" s="42" t="n">
        <f aca="false">IF($M1795="借",$O1795,0)</f>
        <v>0</v>
      </c>
      <c r="J1795" s="42" t="n">
        <f aca="false">IF($M1795="贷",$O1795,0)</f>
        <v>0</v>
      </c>
      <c r="K1795" s="48" t="str">
        <f aca="false">IF($H1795="","",购销流水!$E453)</f>
        <v/>
      </c>
      <c r="L1795" s="66" t="str">
        <f aca="false">IF(购销流水!$D453="","",IFERROR(INDEX(记账规则!$A$6:$N$9,MATCH(购销流水!$D453,记账规则!$A$6:$A$9,0),6),""))</f>
        <v/>
      </c>
      <c r="M1795" s="66" t="str">
        <f aca="false">IF($L1795="","",IFERROR(INDEX(记账规则!$A$6:$N$9,MATCH(购销流水!$D453,记账规则!$A$6:$A$9,0),7),""))</f>
        <v/>
      </c>
      <c r="N1795" s="66" t="str">
        <f aca="false">IF($L1795="","",IFERROR(INDEX(记账规则!$A$6:$N$9,MATCH(购销流水!$D453,记账规则!$A$6:$A$9,0),8),""))</f>
        <v/>
      </c>
      <c r="O1795" s="67" t="n">
        <f aca="false">IF($H1795="",0,ROUND(IF($N1795="成本金额",N(购销流水!$W453),IF($N1795="金额",N(购销流水!$Q453),0)),2))</f>
        <v>0</v>
      </c>
      <c r="P1795" s="64" t="str">
        <f aca="false">IF(AND($H1795&lt;&gt;"",ROUND($O1795,2)&lt;&gt;0),"有","")</f>
        <v/>
      </c>
    </row>
    <row r="1796" customFormat="false" ht="15" hidden="true" customHeight="false" outlineLevel="0" collapsed="false">
      <c r="A1796" s="53" t="str">
        <f aca="false">IF($H1796="","",ROW()-5)</f>
        <v/>
      </c>
      <c r="B1796" s="64" t="s">
        <v>36</v>
      </c>
      <c r="C1796" s="53" t="n">
        <v>453</v>
      </c>
      <c r="D1796" s="53" t="n">
        <v>3</v>
      </c>
      <c r="E1796" s="65" t="str">
        <f aca="false">IF($H1796="","",购销流水!$B453)</f>
        <v/>
      </c>
      <c r="F1796" s="55" t="str">
        <f aca="false">IF($H1796="","",购销流水!$C453)</f>
        <v/>
      </c>
      <c r="G1796" s="48" t="str">
        <f aca="false">IF($H1796="","",购销流水!$N453)</f>
        <v/>
      </c>
      <c r="H1796" s="10" t="str">
        <f aca="false">IF($L1796="","",IF($L1796="@成本",购销流水!$U453,IF($L1796="@收入",购销流水!$T453,IF($L1796="@存货",购销流水!$S453,IF($L1796="@结算",购销流水!$R453,$L1796)))))</f>
        <v/>
      </c>
      <c r="I1796" s="42" t="n">
        <f aca="false">IF($M1796="借",$O1796,0)</f>
        <v>0</v>
      </c>
      <c r="J1796" s="42" t="n">
        <f aca="false">IF($M1796="贷",$O1796,0)</f>
        <v>0</v>
      </c>
      <c r="K1796" s="48" t="str">
        <f aca="false">IF($H1796="","",购销流水!$E453)</f>
        <v/>
      </c>
      <c r="L1796" s="66" t="str">
        <f aca="false">IF(购销流水!$D453="","",IFERROR(INDEX(记账规则!$A$6:$N$9,MATCH(购销流水!$D453,记账规则!$A$6:$A$9,0),9),""))</f>
        <v/>
      </c>
      <c r="M1796" s="66" t="str">
        <f aca="false">IF($L1796="","",IFERROR(INDEX(记账规则!$A$6:$N$9,MATCH(购销流水!$D453,记账规则!$A$6:$A$9,0),10),""))</f>
        <v/>
      </c>
      <c r="N1796" s="66" t="str">
        <f aca="false">IF($L1796="","",IFERROR(INDEX(记账规则!$A$6:$N$9,MATCH(购销流水!$D453,记账规则!$A$6:$A$9,0),11),""))</f>
        <v/>
      </c>
      <c r="O1796" s="67" t="n">
        <f aca="false">IF($H1796="",0,ROUND(IF($N1796="成本金额",N(购销流水!$W453),IF($N1796="金额",N(购销流水!$Q453),0)),2))</f>
        <v>0</v>
      </c>
      <c r="P1796" s="64" t="str">
        <f aca="false">IF(AND($H1796&lt;&gt;"",ROUND($O1796,2)&lt;&gt;0),"有","")</f>
        <v/>
      </c>
    </row>
    <row r="1797" customFormat="false" ht="15" hidden="true" customHeight="false" outlineLevel="0" collapsed="false">
      <c r="A1797" s="53" t="str">
        <f aca="false">IF($H1797="","",ROW()-5)</f>
        <v/>
      </c>
      <c r="B1797" s="64" t="s">
        <v>36</v>
      </c>
      <c r="C1797" s="53" t="n">
        <v>453</v>
      </c>
      <c r="D1797" s="53" t="n">
        <v>4</v>
      </c>
      <c r="E1797" s="65" t="str">
        <f aca="false">IF($H1797="","",购销流水!$B453)</f>
        <v/>
      </c>
      <c r="F1797" s="55" t="str">
        <f aca="false">IF($H1797="","",购销流水!$C453)</f>
        <v/>
      </c>
      <c r="G1797" s="48" t="str">
        <f aca="false">IF($H1797="","",购销流水!$N453)</f>
        <v/>
      </c>
      <c r="H1797" s="10" t="str">
        <f aca="false">IF($L1797="","",IF($L1797="@成本",购销流水!$U453,IF($L1797="@收入",购销流水!$T453,IF($L1797="@存货",购销流水!$S453,IF($L1797="@结算",购销流水!$R453,$L1797)))))</f>
        <v/>
      </c>
      <c r="I1797" s="42" t="n">
        <f aca="false">IF($M1797="借",$O1797,0)</f>
        <v>0</v>
      </c>
      <c r="J1797" s="42" t="n">
        <f aca="false">IF($M1797="贷",$O1797,0)</f>
        <v>0</v>
      </c>
      <c r="K1797" s="48" t="str">
        <f aca="false">IF($H1797="","",购销流水!$E453)</f>
        <v/>
      </c>
      <c r="L1797" s="66" t="str">
        <f aca="false">IF(购销流水!$D453="","",IFERROR(INDEX(记账规则!$A$6:$N$9,MATCH(购销流水!$D453,记账规则!$A$6:$A$9,0),12),""))</f>
        <v/>
      </c>
      <c r="M1797" s="66" t="str">
        <f aca="false">IF($L1797="","",IFERROR(INDEX(记账规则!$A$6:$N$9,MATCH(购销流水!$D453,记账规则!$A$6:$A$9,0),13),""))</f>
        <v/>
      </c>
      <c r="N1797" s="66" t="str">
        <f aca="false">IF($L1797="","",IFERROR(INDEX(记账规则!$A$6:$N$9,MATCH(购销流水!$D453,记账规则!$A$6:$A$9,0),14),""))</f>
        <v/>
      </c>
      <c r="O1797" s="67" t="n">
        <f aca="false">IF($H1797="",0,ROUND(IF($N1797="成本金额",N(购销流水!$W453),IF($N1797="金额",N(购销流水!$Q453),0)),2))</f>
        <v>0</v>
      </c>
      <c r="P1797" s="64" t="str">
        <f aca="false">IF(AND($H1797&lt;&gt;"",ROUND($O1797,2)&lt;&gt;0),"有","")</f>
        <v/>
      </c>
    </row>
    <row r="1798" customFormat="false" ht="15" hidden="true" customHeight="false" outlineLevel="0" collapsed="false">
      <c r="A1798" s="53" t="str">
        <f aca="false">IF($H1798="","",ROW()-5)</f>
        <v/>
      </c>
      <c r="B1798" s="64" t="s">
        <v>36</v>
      </c>
      <c r="C1798" s="53" t="n">
        <v>454</v>
      </c>
      <c r="D1798" s="53" t="n">
        <v>1</v>
      </c>
      <c r="E1798" s="65" t="str">
        <f aca="false">IF($H1798="","",购销流水!$B454)</f>
        <v/>
      </c>
      <c r="F1798" s="55" t="str">
        <f aca="false">IF($H1798="","",购销流水!$C454)</f>
        <v/>
      </c>
      <c r="G1798" s="48" t="str">
        <f aca="false">IF($H1798="","",购销流水!$N454)</f>
        <v/>
      </c>
      <c r="H1798" s="10" t="str">
        <f aca="false">IF($L1798="","",IF($L1798="@成本",购销流水!$U454,IF($L1798="@收入",购销流水!$T454,IF($L1798="@存货",购销流水!$S454,IF($L1798="@结算",购销流水!$R454,$L1798)))))</f>
        <v/>
      </c>
      <c r="I1798" s="42" t="n">
        <f aca="false">IF($M1798="借",$O1798,0)</f>
        <v>0</v>
      </c>
      <c r="J1798" s="42" t="n">
        <f aca="false">IF($M1798="贷",$O1798,0)</f>
        <v>0</v>
      </c>
      <c r="K1798" s="48" t="str">
        <f aca="false">IF($H1798="","",购销流水!$E454)</f>
        <v/>
      </c>
      <c r="L1798" s="66" t="str">
        <f aca="false">IF(购销流水!$D454="","",IFERROR(INDEX(记账规则!$A$6:$N$9,MATCH(购销流水!$D454,记账规则!$A$6:$A$9,0),3),""))</f>
        <v/>
      </c>
      <c r="M1798" s="66" t="str">
        <f aca="false">IF($L1798="","",IFERROR(INDEX(记账规则!$A$6:$N$9,MATCH(购销流水!$D454,记账规则!$A$6:$A$9,0),4),""))</f>
        <v/>
      </c>
      <c r="N1798" s="66" t="str">
        <f aca="false">IF($L1798="","",IFERROR(INDEX(记账规则!$A$6:$N$9,MATCH(购销流水!$D454,记账规则!$A$6:$A$9,0),5),""))</f>
        <v/>
      </c>
      <c r="O1798" s="67" t="n">
        <f aca="false">IF($H1798="",0,ROUND(IF($N1798="成本金额",N(购销流水!$W454),IF($N1798="金额",N(购销流水!$Q454),0)),2))</f>
        <v>0</v>
      </c>
      <c r="P1798" s="64" t="str">
        <f aca="false">IF(AND($H1798&lt;&gt;"",ROUND($O1798,2)&lt;&gt;0),"有","")</f>
        <v/>
      </c>
    </row>
    <row r="1799" customFormat="false" ht="15" hidden="true" customHeight="false" outlineLevel="0" collapsed="false">
      <c r="A1799" s="53" t="str">
        <f aca="false">IF($H1799="","",ROW()-5)</f>
        <v/>
      </c>
      <c r="B1799" s="64" t="s">
        <v>36</v>
      </c>
      <c r="C1799" s="53" t="n">
        <v>454</v>
      </c>
      <c r="D1799" s="53" t="n">
        <v>2</v>
      </c>
      <c r="E1799" s="65" t="str">
        <f aca="false">IF($H1799="","",购销流水!$B454)</f>
        <v/>
      </c>
      <c r="F1799" s="55" t="str">
        <f aca="false">IF($H1799="","",购销流水!$C454)</f>
        <v/>
      </c>
      <c r="G1799" s="48" t="str">
        <f aca="false">IF($H1799="","",购销流水!$N454)</f>
        <v/>
      </c>
      <c r="H1799" s="10" t="str">
        <f aca="false">IF($L1799="","",IF($L1799="@成本",购销流水!$U454,IF($L1799="@收入",购销流水!$T454,IF($L1799="@存货",购销流水!$S454,IF($L1799="@结算",购销流水!$R454,$L1799)))))</f>
        <v/>
      </c>
      <c r="I1799" s="42" t="n">
        <f aca="false">IF($M1799="借",$O1799,0)</f>
        <v>0</v>
      </c>
      <c r="J1799" s="42" t="n">
        <f aca="false">IF($M1799="贷",$O1799,0)</f>
        <v>0</v>
      </c>
      <c r="K1799" s="48" t="str">
        <f aca="false">IF($H1799="","",购销流水!$E454)</f>
        <v/>
      </c>
      <c r="L1799" s="66" t="str">
        <f aca="false">IF(购销流水!$D454="","",IFERROR(INDEX(记账规则!$A$6:$N$9,MATCH(购销流水!$D454,记账规则!$A$6:$A$9,0),6),""))</f>
        <v/>
      </c>
      <c r="M1799" s="66" t="str">
        <f aca="false">IF($L1799="","",IFERROR(INDEX(记账规则!$A$6:$N$9,MATCH(购销流水!$D454,记账规则!$A$6:$A$9,0),7),""))</f>
        <v/>
      </c>
      <c r="N1799" s="66" t="str">
        <f aca="false">IF($L1799="","",IFERROR(INDEX(记账规则!$A$6:$N$9,MATCH(购销流水!$D454,记账规则!$A$6:$A$9,0),8),""))</f>
        <v/>
      </c>
      <c r="O1799" s="67" t="n">
        <f aca="false">IF($H1799="",0,ROUND(IF($N1799="成本金额",N(购销流水!$W454),IF($N1799="金额",N(购销流水!$Q454),0)),2))</f>
        <v>0</v>
      </c>
      <c r="P1799" s="64" t="str">
        <f aca="false">IF(AND($H1799&lt;&gt;"",ROUND($O1799,2)&lt;&gt;0),"有","")</f>
        <v/>
      </c>
    </row>
    <row r="1800" customFormat="false" ht="15" hidden="true" customHeight="false" outlineLevel="0" collapsed="false">
      <c r="A1800" s="53" t="str">
        <f aca="false">IF($H1800="","",ROW()-5)</f>
        <v/>
      </c>
      <c r="B1800" s="64" t="s">
        <v>36</v>
      </c>
      <c r="C1800" s="53" t="n">
        <v>454</v>
      </c>
      <c r="D1800" s="53" t="n">
        <v>3</v>
      </c>
      <c r="E1800" s="65" t="str">
        <f aca="false">IF($H1800="","",购销流水!$B454)</f>
        <v/>
      </c>
      <c r="F1800" s="55" t="str">
        <f aca="false">IF($H1800="","",购销流水!$C454)</f>
        <v/>
      </c>
      <c r="G1800" s="48" t="str">
        <f aca="false">IF($H1800="","",购销流水!$N454)</f>
        <v/>
      </c>
      <c r="H1800" s="10" t="str">
        <f aca="false">IF($L1800="","",IF($L1800="@成本",购销流水!$U454,IF($L1800="@收入",购销流水!$T454,IF($L1800="@存货",购销流水!$S454,IF($L1800="@结算",购销流水!$R454,$L1800)))))</f>
        <v/>
      </c>
      <c r="I1800" s="42" t="n">
        <f aca="false">IF($M1800="借",$O1800,0)</f>
        <v>0</v>
      </c>
      <c r="J1800" s="42" t="n">
        <f aca="false">IF($M1800="贷",$O1800,0)</f>
        <v>0</v>
      </c>
      <c r="K1800" s="48" t="str">
        <f aca="false">IF($H1800="","",购销流水!$E454)</f>
        <v/>
      </c>
      <c r="L1800" s="66" t="str">
        <f aca="false">IF(购销流水!$D454="","",IFERROR(INDEX(记账规则!$A$6:$N$9,MATCH(购销流水!$D454,记账规则!$A$6:$A$9,0),9),""))</f>
        <v/>
      </c>
      <c r="M1800" s="66" t="str">
        <f aca="false">IF($L1800="","",IFERROR(INDEX(记账规则!$A$6:$N$9,MATCH(购销流水!$D454,记账规则!$A$6:$A$9,0),10),""))</f>
        <v/>
      </c>
      <c r="N1800" s="66" t="str">
        <f aca="false">IF($L1800="","",IFERROR(INDEX(记账规则!$A$6:$N$9,MATCH(购销流水!$D454,记账规则!$A$6:$A$9,0),11),""))</f>
        <v/>
      </c>
      <c r="O1800" s="67" t="n">
        <f aca="false">IF($H1800="",0,ROUND(IF($N1800="成本金额",N(购销流水!$W454),IF($N1800="金额",N(购销流水!$Q454),0)),2))</f>
        <v>0</v>
      </c>
      <c r="P1800" s="64" t="str">
        <f aca="false">IF(AND($H1800&lt;&gt;"",ROUND($O1800,2)&lt;&gt;0),"有","")</f>
        <v/>
      </c>
    </row>
    <row r="1801" customFormat="false" ht="15" hidden="true" customHeight="false" outlineLevel="0" collapsed="false">
      <c r="A1801" s="53" t="str">
        <f aca="false">IF($H1801="","",ROW()-5)</f>
        <v/>
      </c>
      <c r="B1801" s="64" t="s">
        <v>36</v>
      </c>
      <c r="C1801" s="53" t="n">
        <v>454</v>
      </c>
      <c r="D1801" s="53" t="n">
        <v>4</v>
      </c>
      <c r="E1801" s="65" t="str">
        <f aca="false">IF($H1801="","",购销流水!$B454)</f>
        <v/>
      </c>
      <c r="F1801" s="55" t="str">
        <f aca="false">IF($H1801="","",购销流水!$C454)</f>
        <v/>
      </c>
      <c r="G1801" s="48" t="str">
        <f aca="false">IF($H1801="","",购销流水!$N454)</f>
        <v/>
      </c>
      <c r="H1801" s="10" t="str">
        <f aca="false">IF($L1801="","",IF($L1801="@成本",购销流水!$U454,IF($L1801="@收入",购销流水!$T454,IF($L1801="@存货",购销流水!$S454,IF($L1801="@结算",购销流水!$R454,$L1801)))))</f>
        <v/>
      </c>
      <c r="I1801" s="42" t="n">
        <f aca="false">IF($M1801="借",$O1801,0)</f>
        <v>0</v>
      </c>
      <c r="J1801" s="42" t="n">
        <f aca="false">IF($M1801="贷",$O1801,0)</f>
        <v>0</v>
      </c>
      <c r="K1801" s="48" t="str">
        <f aca="false">IF($H1801="","",购销流水!$E454)</f>
        <v/>
      </c>
      <c r="L1801" s="66" t="str">
        <f aca="false">IF(购销流水!$D454="","",IFERROR(INDEX(记账规则!$A$6:$N$9,MATCH(购销流水!$D454,记账规则!$A$6:$A$9,0),12),""))</f>
        <v/>
      </c>
      <c r="M1801" s="66" t="str">
        <f aca="false">IF($L1801="","",IFERROR(INDEX(记账规则!$A$6:$N$9,MATCH(购销流水!$D454,记账规则!$A$6:$A$9,0),13),""))</f>
        <v/>
      </c>
      <c r="N1801" s="66" t="str">
        <f aca="false">IF($L1801="","",IFERROR(INDEX(记账规则!$A$6:$N$9,MATCH(购销流水!$D454,记账规则!$A$6:$A$9,0),14),""))</f>
        <v/>
      </c>
      <c r="O1801" s="67" t="n">
        <f aca="false">IF($H1801="",0,ROUND(IF($N1801="成本金额",N(购销流水!$W454),IF($N1801="金额",N(购销流水!$Q454),0)),2))</f>
        <v>0</v>
      </c>
      <c r="P1801" s="64" t="str">
        <f aca="false">IF(AND($H1801&lt;&gt;"",ROUND($O1801,2)&lt;&gt;0),"有","")</f>
        <v/>
      </c>
    </row>
    <row r="1802" customFormat="false" ht="15" hidden="true" customHeight="false" outlineLevel="0" collapsed="false">
      <c r="A1802" s="53" t="str">
        <f aca="false">IF($H1802="","",ROW()-5)</f>
        <v/>
      </c>
      <c r="B1802" s="64" t="s">
        <v>36</v>
      </c>
      <c r="C1802" s="53" t="n">
        <v>455</v>
      </c>
      <c r="D1802" s="53" t="n">
        <v>1</v>
      </c>
      <c r="E1802" s="65" t="str">
        <f aca="false">IF($H1802="","",购销流水!$B455)</f>
        <v/>
      </c>
      <c r="F1802" s="55" t="str">
        <f aca="false">IF($H1802="","",购销流水!$C455)</f>
        <v/>
      </c>
      <c r="G1802" s="48" t="str">
        <f aca="false">IF($H1802="","",购销流水!$N455)</f>
        <v/>
      </c>
      <c r="H1802" s="10" t="str">
        <f aca="false">IF($L1802="","",IF($L1802="@成本",购销流水!$U455,IF($L1802="@收入",购销流水!$T455,IF($L1802="@存货",购销流水!$S455,IF($L1802="@结算",购销流水!$R455,$L1802)))))</f>
        <v/>
      </c>
      <c r="I1802" s="42" t="n">
        <f aca="false">IF($M1802="借",$O1802,0)</f>
        <v>0</v>
      </c>
      <c r="J1802" s="42" t="n">
        <f aca="false">IF($M1802="贷",$O1802,0)</f>
        <v>0</v>
      </c>
      <c r="K1802" s="48" t="str">
        <f aca="false">IF($H1802="","",购销流水!$E455)</f>
        <v/>
      </c>
      <c r="L1802" s="66" t="str">
        <f aca="false">IF(购销流水!$D455="","",IFERROR(INDEX(记账规则!$A$6:$N$9,MATCH(购销流水!$D455,记账规则!$A$6:$A$9,0),3),""))</f>
        <v/>
      </c>
      <c r="M1802" s="66" t="str">
        <f aca="false">IF($L1802="","",IFERROR(INDEX(记账规则!$A$6:$N$9,MATCH(购销流水!$D455,记账规则!$A$6:$A$9,0),4),""))</f>
        <v/>
      </c>
      <c r="N1802" s="66" t="str">
        <f aca="false">IF($L1802="","",IFERROR(INDEX(记账规则!$A$6:$N$9,MATCH(购销流水!$D455,记账规则!$A$6:$A$9,0),5),""))</f>
        <v/>
      </c>
      <c r="O1802" s="67" t="n">
        <f aca="false">IF($H1802="",0,ROUND(IF($N1802="成本金额",N(购销流水!$W455),IF($N1802="金额",N(购销流水!$Q455),0)),2))</f>
        <v>0</v>
      </c>
      <c r="P1802" s="64" t="str">
        <f aca="false">IF(AND($H1802&lt;&gt;"",ROUND($O1802,2)&lt;&gt;0),"有","")</f>
        <v/>
      </c>
    </row>
    <row r="1803" customFormat="false" ht="15" hidden="true" customHeight="false" outlineLevel="0" collapsed="false">
      <c r="A1803" s="53" t="str">
        <f aca="false">IF($H1803="","",ROW()-5)</f>
        <v/>
      </c>
      <c r="B1803" s="64" t="s">
        <v>36</v>
      </c>
      <c r="C1803" s="53" t="n">
        <v>455</v>
      </c>
      <c r="D1803" s="53" t="n">
        <v>2</v>
      </c>
      <c r="E1803" s="65" t="str">
        <f aca="false">IF($H1803="","",购销流水!$B455)</f>
        <v/>
      </c>
      <c r="F1803" s="55" t="str">
        <f aca="false">IF($H1803="","",购销流水!$C455)</f>
        <v/>
      </c>
      <c r="G1803" s="48" t="str">
        <f aca="false">IF($H1803="","",购销流水!$N455)</f>
        <v/>
      </c>
      <c r="H1803" s="10" t="str">
        <f aca="false">IF($L1803="","",IF($L1803="@成本",购销流水!$U455,IF($L1803="@收入",购销流水!$T455,IF($L1803="@存货",购销流水!$S455,IF($L1803="@结算",购销流水!$R455,$L1803)))))</f>
        <v/>
      </c>
      <c r="I1803" s="42" t="n">
        <f aca="false">IF($M1803="借",$O1803,0)</f>
        <v>0</v>
      </c>
      <c r="J1803" s="42" t="n">
        <f aca="false">IF($M1803="贷",$O1803,0)</f>
        <v>0</v>
      </c>
      <c r="K1803" s="48" t="str">
        <f aca="false">IF($H1803="","",购销流水!$E455)</f>
        <v/>
      </c>
      <c r="L1803" s="66" t="str">
        <f aca="false">IF(购销流水!$D455="","",IFERROR(INDEX(记账规则!$A$6:$N$9,MATCH(购销流水!$D455,记账规则!$A$6:$A$9,0),6),""))</f>
        <v/>
      </c>
      <c r="M1803" s="66" t="str">
        <f aca="false">IF($L1803="","",IFERROR(INDEX(记账规则!$A$6:$N$9,MATCH(购销流水!$D455,记账规则!$A$6:$A$9,0),7),""))</f>
        <v/>
      </c>
      <c r="N1803" s="66" t="str">
        <f aca="false">IF($L1803="","",IFERROR(INDEX(记账规则!$A$6:$N$9,MATCH(购销流水!$D455,记账规则!$A$6:$A$9,0),8),""))</f>
        <v/>
      </c>
      <c r="O1803" s="67" t="n">
        <f aca="false">IF($H1803="",0,ROUND(IF($N1803="成本金额",N(购销流水!$W455),IF($N1803="金额",N(购销流水!$Q455),0)),2))</f>
        <v>0</v>
      </c>
      <c r="P1803" s="64" t="str">
        <f aca="false">IF(AND($H1803&lt;&gt;"",ROUND($O1803,2)&lt;&gt;0),"有","")</f>
        <v/>
      </c>
    </row>
    <row r="1804" customFormat="false" ht="15" hidden="true" customHeight="false" outlineLevel="0" collapsed="false">
      <c r="A1804" s="53" t="str">
        <f aca="false">IF($H1804="","",ROW()-5)</f>
        <v/>
      </c>
      <c r="B1804" s="64" t="s">
        <v>36</v>
      </c>
      <c r="C1804" s="53" t="n">
        <v>455</v>
      </c>
      <c r="D1804" s="53" t="n">
        <v>3</v>
      </c>
      <c r="E1804" s="65" t="str">
        <f aca="false">IF($H1804="","",购销流水!$B455)</f>
        <v/>
      </c>
      <c r="F1804" s="55" t="str">
        <f aca="false">IF($H1804="","",购销流水!$C455)</f>
        <v/>
      </c>
      <c r="G1804" s="48" t="str">
        <f aca="false">IF($H1804="","",购销流水!$N455)</f>
        <v/>
      </c>
      <c r="H1804" s="10" t="str">
        <f aca="false">IF($L1804="","",IF($L1804="@成本",购销流水!$U455,IF($L1804="@收入",购销流水!$T455,IF($L1804="@存货",购销流水!$S455,IF($L1804="@结算",购销流水!$R455,$L1804)))))</f>
        <v/>
      </c>
      <c r="I1804" s="42" t="n">
        <f aca="false">IF($M1804="借",$O1804,0)</f>
        <v>0</v>
      </c>
      <c r="J1804" s="42" t="n">
        <f aca="false">IF($M1804="贷",$O1804,0)</f>
        <v>0</v>
      </c>
      <c r="K1804" s="48" t="str">
        <f aca="false">IF($H1804="","",购销流水!$E455)</f>
        <v/>
      </c>
      <c r="L1804" s="66" t="str">
        <f aca="false">IF(购销流水!$D455="","",IFERROR(INDEX(记账规则!$A$6:$N$9,MATCH(购销流水!$D455,记账规则!$A$6:$A$9,0),9),""))</f>
        <v/>
      </c>
      <c r="M1804" s="66" t="str">
        <f aca="false">IF($L1804="","",IFERROR(INDEX(记账规则!$A$6:$N$9,MATCH(购销流水!$D455,记账规则!$A$6:$A$9,0),10),""))</f>
        <v/>
      </c>
      <c r="N1804" s="66" t="str">
        <f aca="false">IF($L1804="","",IFERROR(INDEX(记账规则!$A$6:$N$9,MATCH(购销流水!$D455,记账规则!$A$6:$A$9,0),11),""))</f>
        <v/>
      </c>
      <c r="O1804" s="67" t="n">
        <f aca="false">IF($H1804="",0,ROUND(IF($N1804="成本金额",N(购销流水!$W455),IF($N1804="金额",N(购销流水!$Q455),0)),2))</f>
        <v>0</v>
      </c>
      <c r="P1804" s="64" t="str">
        <f aca="false">IF(AND($H1804&lt;&gt;"",ROUND($O1804,2)&lt;&gt;0),"有","")</f>
        <v/>
      </c>
    </row>
    <row r="1805" customFormat="false" ht="15" hidden="true" customHeight="false" outlineLevel="0" collapsed="false">
      <c r="A1805" s="53" t="str">
        <f aca="false">IF($H1805="","",ROW()-5)</f>
        <v/>
      </c>
      <c r="B1805" s="64" t="s">
        <v>36</v>
      </c>
      <c r="C1805" s="53" t="n">
        <v>455</v>
      </c>
      <c r="D1805" s="53" t="n">
        <v>4</v>
      </c>
      <c r="E1805" s="65" t="str">
        <f aca="false">IF($H1805="","",购销流水!$B455)</f>
        <v/>
      </c>
      <c r="F1805" s="55" t="str">
        <f aca="false">IF($H1805="","",购销流水!$C455)</f>
        <v/>
      </c>
      <c r="G1805" s="48" t="str">
        <f aca="false">IF($H1805="","",购销流水!$N455)</f>
        <v/>
      </c>
      <c r="H1805" s="10" t="str">
        <f aca="false">IF($L1805="","",IF($L1805="@成本",购销流水!$U455,IF($L1805="@收入",购销流水!$T455,IF($L1805="@存货",购销流水!$S455,IF($L1805="@结算",购销流水!$R455,$L1805)))))</f>
        <v/>
      </c>
      <c r="I1805" s="42" t="n">
        <f aca="false">IF($M1805="借",$O1805,0)</f>
        <v>0</v>
      </c>
      <c r="J1805" s="42" t="n">
        <f aca="false">IF($M1805="贷",$O1805,0)</f>
        <v>0</v>
      </c>
      <c r="K1805" s="48" t="str">
        <f aca="false">IF($H1805="","",购销流水!$E455)</f>
        <v/>
      </c>
      <c r="L1805" s="66" t="str">
        <f aca="false">IF(购销流水!$D455="","",IFERROR(INDEX(记账规则!$A$6:$N$9,MATCH(购销流水!$D455,记账规则!$A$6:$A$9,0),12),""))</f>
        <v/>
      </c>
      <c r="M1805" s="66" t="str">
        <f aca="false">IF($L1805="","",IFERROR(INDEX(记账规则!$A$6:$N$9,MATCH(购销流水!$D455,记账规则!$A$6:$A$9,0),13),""))</f>
        <v/>
      </c>
      <c r="N1805" s="66" t="str">
        <f aca="false">IF($L1805="","",IFERROR(INDEX(记账规则!$A$6:$N$9,MATCH(购销流水!$D455,记账规则!$A$6:$A$9,0),14),""))</f>
        <v/>
      </c>
      <c r="O1805" s="67" t="n">
        <f aca="false">IF($H1805="",0,ROUND(IF($N1805="成本金额",N(购销流水!$W455),IF($N1805="金额",N(购销流水!$Q455),0)),2))</f>
        <v>0</v>
      </c>
      <c r="P1805" s="64" t="str">
        <f aca="false">IF(AND($H1805&lt;&gt;"",ROUND($O1805,2)&lt;&gt;0),"有","")</f>
        <v/>
      </c>
    </row>
    <row r="1806" customFormat="false" ht="15" hidden="true" customHeight="false" outlineLevel="0" collapsed="false">
      <c r="A1806" s="53" t="str">
        <f aca="false">IF($H1806="","",ROW()-5)</f>
        <v/>
      </c>
      <c r="B1806" s="64" t="s">
        <v>36</v>
      </c>
      <c r="C1806" s="53" t="n">
        <v>456</v>
      </c>
      <c r="D1806" s="53" t="n">
        <v>1</v>
      </c>
      <c r="E1806" s="65" t="str">
        <f aca="false">IF($H1806="","",购销流水!$B456)</f>
        <v/>
      </c>
      <c r="F1806" s="55" t="str">
        <f aca="false">IF($H1806="","",购销流水!$C456)</f>
        <v/>
      </c>
      <c r="G1806" s="48" t="str">
        <f aca="false">IF($H1806="","",购销流水!$N456)</f>
        <v/>
      </c>
      <c r="H1806" s="10" t="str">
        <f aca="false">IF($L1806="","",IF($L1806="@成本",购销流水!$U456,IF($L1806="@收入",购销流水!$T456,IF($L1806="@存货",购销流水!$S456,IF($L1806="@结算",购销流水!$R456,$L1806)))))</f>
        <v/>
      </c>
      <c r="I1806" s="42" t="n">
        <f aca="false">IF($M1806="借",$O1806,0)</f>
        <v>0</v>
      </c>
      <c r="J1806" s="42" t="n">
        <f aca="false">IF($M1806="贷",$O1806,0)</f>
        <v>0</v>
      </c>
      <c r="K1806" s="48" t="str">
        <f aca="false">IF($H1806="","",购销流水!$E456)</f>
        <v/>
      </c>
      <c r="L1806" s="66" t="str">
        <f aca="false">IF(购销流水!$D456="","",IFERROR(INDEX(记账规则!$A$6:$N$9,MATCH(购销流水!$D456,记账规则!$A$6:$A$9,0),3),""))</f>
        <v/>
      </c>
      <c r="M1806" s="66" t="str">
        <f aca="false">IF($L1806="","",IFERROR(INDEX(记账规则!$A$6:$N$9,MATCH(购销流水!$D456,记账规则!$A$6:$A$9,0),4),""))</f>
        <v/>
      </c>
      <c r="N1806" s="66" t="str">
        <f aca="false">IF($L1806="","",IFERROR(INDEX(记账规则!$A$6:$N$9,MATCH(购销流水!$D456,记账规则!$A$6:$A$9,0),5),""))</f>
        <v/>
      </c>
      <c r="O1806" s="67" t="n">
        <f aca="false">IF($H1806="",0,ROUND(IF($N1806="成本金额",N(购销流水!$W456),IF($N1806="金额",N(购销流水!$Q456),0)),2))</f>
        <v>0</v>
      </c>
      <c r="P1806" s="64" t="str">
        <f aca="false">IF(AND($H1806&lt;&gt;"",ROUND($O1806,2)&lt;&gt;0),"有","")</f>
        <v/>
      </c>
    </row>
    <row r="1807" customFormat="false" ht="15" hidden="true" customHeight="false" outlineLevel="0" collapsed="false">
      <c r="A1807" s="53" t="str">
        <f aca="false">IF($H1807="","",ROW()-5)</f>
        <v/>
      </c>
      <c r="B1807" s="64" t="s">
        <v>36</v>
      </c>
      <c r="C1807" s="53" t="n">
        <v>456</v>
      </c>
      <c r="D1807" s="53" t="n">
        <v>2</v>
      </c>
      <c r="E1807" s="65" t="str">
        <f aca="false">IF($H1807="","",购销流水!$B456)</f>
        <v/>
      </c>
      <c r="F1807" s="55" t="str">
        <f aca="false">IF($H1807="","",购销流水!$C456)</f>
        <v/>
      </c>
      <c r="G1807" s="48" t="str">
        <f aca="false">IF($H1807="","",购销流水!$N456)</f>
        <v/>
      </c>
      <c r="H1807" s="10" t="str">
        <f aca="false">IF($L1807="","",IF($L1807="@成本",购销流水!$U456,IF($L1807="@收入",购销流水!$T456,IF($L1807="@存货",购销流水!$S456,IF($L1807="@结算",购销流水!$R456,$L1807)))))</f>
        <v/>
      </c>
      <c r="I1807" s="42" t="n">
        <f aca="false">IF($M1807="借",$O1807,0)</f>
        <v>0</v>
      </c>
      <c r="J1807" s="42" t="n">
        <f aca="false">IF($M1807="贷",$O1807,0)</f>
        <v>0</v>
      </c>
      <c r="K1807" s="48" t="str">
        <f aca="false">IF($H1807="","",购销流水!$E456)</f>
        <v/>
      </c>
      <c r="L1807" s="66" t="str">
        <f aca="false">IF(购销流水!$D456="","",IFERROR(INDEX(记账规则!$A$6:$N$9,MATCH(购销流水!$D456,记账规则!$A$6:$A$9,0),6),""))</f>
        <v/>
      </c>
      <c r="M1807" s="66" t="str">
        <f aca="false">IF($L1807="","",IFERROR(INDEX(记账规则!$A$6:$N$9,MATCH(购销流水!$D456,记账规则!$A$6:$A$9,0),7),""))</f>
        <v/>
      </c>
      <c r="N1807" s="66" t="str">
        <f aca="false">IF($L1807="","",IFERROR(INDEX(记账规则!$A$6:$N$9,MATCH(购销流水!$D456,记账规则!$A$6:$A$9,0),8),""))</f>
        <v/>
      </c>
      <c r="O1807" s="67" t="n">
        <f aca="false">IF($H1807="",0,ROUND(IF($N1807="成本金额",N(购销流水!$W456),IF($N1807="金额",N(购销流水!$Q456),0)),2))</f>
        <v>0</v>
      </c>
      <c r="P1807" s="64" t="str">
        <f aca="false">IF(AND($H1807&lt;&gt;"",ROUND($O1807,2)&lt;&gt;0),"有","")</f>
        <v/>
      </c>
    </row>
    <row r="1808" customFormat="false" ht="15" hidden="true" customHeight="false" outlineLevel="0" collapsed="false">
      <c r="A1808" s="53" t="str">
        <f aca="false">IF($H1808="","",ROW()-5)</f>
        <v/>
      </c>
      <c r="B1808" s="64" t="s">
        <v>36</v>
      </c>
      <c r="C1808" s="53" t="n">
        <v>456</v>
      </c>
      <c r="D1808" s="53" t="n">
        <v>3</v>
      </c>
      <c r="E1808" s="65" t="str">
        <f aca="false">IF($H1808="","",购销流水!$B456)</f>
        <v/>
      </c>
      <c r="F1808" s="55" t="str">
        <f aca="false">IF($H1808="","",购销流水!$C456)</f>
        <v/>
      </c>
      <c r="G1808" s="48" t="str">
        <f aca="false">IF($H1808="","",购销流水!$N456)</f>
        <v/>
      </c>
      <c r="H1808" s="10" t="str">
        <f aca="false">IF($L1808="","",IF($L1808="@成本",购销流水!$U456,IF($L1808="@收入",购销流水!$T456,IF($L1808="@存货",购销流水!$S456,IF($L1808="@结算",购销流水!$R456,$L1808)))))</f>
        <v/>
      </c>
      <c r="I1808" s="42" t="n">
        <f aca="false">IF($M1808="借",$O1808,0)</f>
        <v>0</v>
      </c>
      <c r="J1808" s="42" t="n">
        <f aca="false">IF($M1808="贷",$O1808,0)</f>
        <v>0</v>
      </c>
      <c r="K1808" s="48" t="str">
        <f aca="false">IF($H1808="","",购销流水!$E456)</f>
        <v/>
      </c>
      <c r="L1808" s="66" t="str">
        <f aca="false">IF(购销流水!$D456="","",IFERROR(INDEX(记账规则!$A$6:$N$9,MATCH(购销流水!$D456,记账规则!$A$6:$A$9,0),9),""))</f>
        <v/>
      </c>
      <c r="M1808" s="66" t="str">
        <f aca="false">IF($L1808="","",IFERROR(INDEX(记账规则!$A$6:$N$9,MATCH(购销流水!$D456,记账规则!$A$6:$A$9,0),10),""))</f>
        <v/>
      </c>
      <c r="N1808" s="66" t="str">
        <f aca="false">IF($L1808="","",IFERROR(INDEX(记账规则!$A$6:$N$9,MATCH(购销流水!$D456,记账规则!$A$6:$A$9,0),11),""))</f>
        <v/>
      </c>
      <c r="O1808" s="67" t="n">
        <f aca="false">IF($H1808="",0,ROUND(IF($N1808="成本金额",N(购销流水!$W456),IF($N1808="金额",N(购销流水!$Q456),0)),2))</f>
        <v>0</v>
      </c>
      <c r="P1808" s="64" t="str">
        <f aca="false">IF(AND($H1808&lt;&gt;"",ROUND($O1808,2)&lt;&gt;0),"有","")</f>
        <v/>
      </c>
    </row>
    <row r="1809" customFormat="false" ht="15" hidden="true" customHeight="false" outlineLevel="0" collapsed="false">
      <c r="A1809" s="53" t="str">
        <f aca="false">IF($H1809="","",ROW()-5)</f>
        <v/>
      </c>
      <c r="B1809" s="64" t="s">
        <v>36</v>
      </c>
      <c r="C1809" s="53" t="n">
        <v>456</v>
      </c>
      <c r="D1809" s="53" t="n">
        <v>4</v>
      </c>
      <c r="E1809" s="65" t="str">
        <f aca="false">IF($H1809="","",购销流水!$B456)</f>
        <v/>
      </c>
      <c r="F1809" s="55" t="str">
        <f aca="false">IF($H1809="","",购销流水!$C456)</f>
        <v/>
      </c>
      <c r="G1809" s="48" t="str">
        <f aca="false">IF($H1809="","",购销流水!$N456)</f>
        <v/>
      </c>
      <c r="H1809" s="10" t="str">
        <f aca="false">IF($L1809="","",IF($L1809="@成本",购销流水!$U456,IF($L1809="@收入",购销流水!$T456,IF($L1809="@存货",购销流水!$S456,IF($L1809="@结算",购销流水!$R456,$L1809)))))</f>
        <v/>
      </c>
      <c r="I1809" s="42" t="n">
        <f aca="false">IF($M1809="借",$O1809,0)</f>
        <v>0</v>
      </c>
      <c r="J1809" s="42" t="n">
        <f aca="false">IF($M1809="贷",$O1809,0)</f>
        <v>0</v>
      </c>
      <c r="K1809" s="48" t="str">
        <f aca="false">IF($H1809="","",购销流水!$E456)</f>
        <v/>
      </c>
      <c r="L1809" s="66" t="str">
        <f aca="false">IF(购销流水!$D456="","",IFERROR(INDEX(记账规则!$A$6:$N$9,MATCH(购销流水!$D456,记账规则!$A$6:$A$9,0),12),""))</f>
        <v/>
      </c>
      <c r="M1809" s="66" t="str">
        <f aca="false">IF($L1809="","",IFERROR(INDEX(记账规则!$A$6:$N$9,MATCH(购销流水!$D456,记账规则!$A$6:$A$9,0),13),""))</f>
        <v/>
      </c>
      <c r="N1809" s="66" t="str">
        <f aca="false">IF($L1809="","",IFERROR(INDEX(记账规则!$A$6:$N$9,MATCH(购销流水!$D456,记账规则!$A$6:$A$9,0),14),""))</f>
        <v/>
      </c>
      <c r="O1809" s="67" t="n">
        <f aca="false">IF($H1809="",0,ROUND(IF($N1809="成本金额",N(购销流水!$W456),IF($N1809="金额",N(购销流水!$Q456),0)),2))</f>
        <v>0</v>
      </c>
      <c r="P1809" s="64" t="str">
        <f aca="false">IF(AND($H1809&lt;&gt;"",ROUND($O1809,2)&lt;&gt;0),"有","")</f>
        <v/>
      </c>
    </row>
    <row r="1810" customFormat="false" ht="15" hidden="true" customHeight="false" outlineLevel="0" collapsed="false">
      <c r="A1810" s="53" t="str">
        <f aca="false">IF($H1810="","",ROW()-5)</f>
        <v/>
      </c>
      <c r="B1810" s="64" t="s">
        <v>36</v>
      </c>
      <c r="C1810" s="53" t="n">
        <v>457</v>
      </c>
      <c r="D1810" s="53" t="n">
        <v>1</v>
      </c>
      <c r="E1810" s="65" t="str">
        <f aca="false">IF($H1810="","",购销流水!$B457)</f>
        <v/>
      </c>
      <c r="F1810" s="55" t="str">
        <f aca="false">IF($H1810="","",购销流水!$C457)</f>
        <v/>
      </c>
      <c r="G1810" s="48" t="str">
        <f aca="false">IF($H1810="","",购销流水!$N457)</f>
        <v/>
      </c>
      <c r="H1810" s="10" t="str">
        <f aca="false">IF($L1810="","",IF($L1810="@成本",购销流水!$U457,IF($L1810="@收入",购销流水!$T457,IF($L1810="@存货",购销流水!$S457,IF($L1810="@结算",购销流水!$R457,$L1810)))))</f>
        <v/>
      </c>
      <c r="I1810" s="42" t="n">
        <f aca="false">IF($M1810="借",$O1810,0)</f>
        <v>0</v>
      </c>
      <c r="J1810" s="42" t="n">
        <f aca="false">IF($M1810="贷",$O1810,0)</f>
        <v>0</v>
      </c>
      <c r="K1810" s="48" t="str">
        <f aca="false">IF($H1810="","",购销流水!$E457)</f>
        <v/>
      </c>
      <c r="L1810" s="66" t="str">
        <f aca="false">IF(购销流水!$D457="","",IFERROR(INDEX(记账规则!$A$6:$N$9,MATCH(购销流水!$D457,记账规则!$A$6:$A$9,0),3),""))</f>
        <v/>
      </c>
      <c r="M1810" s="66" t="str">
        <f aca="false">IF($L1810="","",IFERROR(INDEX(记账规则!$A$6:$N$9,MATCH(购销流水!$D457,记账规则!$A$6:$A$9,0),4),""))</f>
        <v/>
      </c>
      <c r="N1810" s="66" t="str">
        <f aca="false">IF($L1810="","",IFERROR(INDEX(记账规则!$A$6:$N$9,MATCH(购销流水!$D457,记账规则!$A$6:$A$9,0),5),""))</f>
        <v/>
      </c>
      <c r="O1810" s="67" t="n">
        <f aca="false">IF($H1810="",0,ROUND(IF($N1810="成本金额",N(购销流水!$W457),IF($N1810="金额",N(购销流水!$Q457),0)),2))</f>
        <v>0</v>
      </c>
      <c r="P1810" s="64" t="str">
        <f aca="false">IF(AND($H1810&lt;&gt;"",ROUND($O1810,2)&lt;&gt;0),"有","")</f>
        <v/>
      </c>
    </row>
    <row r="1811" customFormat="false" ht="15" hidden="true" customHeight="false" outlineLevel="0" collapsed="false">
      <c r="A1811" s="53" t="str">
        <f aca="false">IF($H1811="","",ROW()-5)</f>
        <v/>
      </c>
      <c r="B1811" s="64" t="s">
        <v>36</v>
      </c>
      <c r="C1811" s="53" t="n">
        <v>457</v>
      </c>
      <c r="D1811" s="53" t="n">
        <v>2</v>
      </c>
      <c r="E1811" s="65" t="str">
        <f aca="false">IF($H1811="","",购销流水!$B457)</f>
        <v/>
      </c>
      <c r="F1811" s="55" t="str">
        <f aca="false">IF($H1811="","",购销流水!$C457)</f>
        <v/>
      </c>
      <c r="G1811" s="48" t="str">
        <f aca="false">IF($H1811="","",购销流水!$N457)</f>
        <v/>
      </c>
      <c r="H1811" s="10" t="str">
        <f aca="false">IF($L1811="","",IF($L1811="@成本",购销流水!$U457,IF($L1811="@收入",购销流水!$T457,IF($L1811="@存货",购销流水!$S457,IF($L1811="@结算",购销流水!$R457,$L1811)))))</f>
        <v/>
      </c>
      <c r="I1811" s="42" t="n">
        <f aca="false">IF($M1811="借",$O1811,0)</f>
        <v>0</v>
      </c>
      <c r="J1811" s="42" t="n">
        <f aca="false">IF($M1811="贷",$O1811,0)</f>
        <v>0</v>
      </c>
      <c r="K1811" s="48" t="str">
        <f aca="false">IF($H1811="","",购销流水!$E457)</f>
        <v/>
      </c>
      <c r="L1811" s="66" t="str">
        <f aca="false">IF(购销流水!$D457="","",IFERROR(INDEX(记账规则!$A$6:$N$9,MATCH(购销流水!$D457,记账规则!$A$6:$A$9,0),6),""))</f>
        <v/>
      </c>
      <c r="M1811" s="66" t="str">
        <f aca="false">IF($L1811="","",IFERROR(INDEX(记账规则!$A$6:$N$9,MATCH(购销流水!$D457,记账规则!$A$6:$A$9,0),7),""))</f>
        <v/>
      </c>
      <c r="N1811" s="66" t="str">
        <f aca="false">IF($L1811="","",IFERROR(INDEX(记账规则!$A$6:$N$9,MATCH(购销流水!$D457,记账规则!$A$6:$A$9,0),8),""))</f>
        <v/>
      </c>
      <c r="O1811" s="67" t="n">
        <f aca="false">IF($H1811="",0,ROUND(IF($N1811="成本金额",N(购销流水!$W457),IF($N1811="金额",N(购销流水!$Q457),0)),2))</f>
        <v>0</v>
      </c>
      <c r="P1811" s="64" t="str">
        <f aca="false">IF(AND($H1811&lt;&gt;"",ROUND($O1811,2)&lt;&gt;0),"有","")</f>
        <v/>
      </c>
    </row>
    <row r="1812" customFormat="false" ht="15" hidden="true" customHeight="false" outlineLevel="0" collapsed="false">
      <c r="A1812" s="53" t="str">
        <f aca="false">IF($H1812="","",ROW()-5)</f>
        <v/>
      </c>
      <c r="B1812" s="64" t="s">
        <v>36</v>
      </c>
      <c r="C1812" s="53" t="n">
        <v>457</v>
      </c>
      <c r="D1812" s="53" t="n">
        <v>3</v>
      </c>
      <c r="E1812" s="65" t="str">
        <f aca="false">IF($H1812="","",购销流水!$B457)</f>
        <v/>
      </c>
      <c r="F1812" s="55" t="str">
        <f aca="false">IF($H1812="","",购销流水!$C457)</f>
        <v/>
      </c>
      <c r="G1812" s="48" t="str">
        <f aca="false">IF($H1812="","",购销流水!$N457)</f>
        <v/>
      </c>
      <c r="H1812" s="10" t="str">
        <f aca="false">IF($L1812="","",IF($L1812="@成本",购销流水!$U457,IF($L1812="@收入",购销流水!$T457,IF($L1812="@存货",购销流水!$S457,IF($L1812="@结算",购销流水!$R457,$L1812)))))</f>
        <v/>
      </c>
      <c r="I1812" s="42" t="n">
        <f aca="false">IF($M1812="借",$O1812,0)</f>
        <v>0</v>
      </c>
      <c r="J1812" s="42" t="n">
        <f aca="false">IF($M1812="贷",$O1812,0)</f>
        <v>0</v>
      </c>
      <c r="K1812" s="48" t="str">
        <f aca="false">IF($H1812="","",购销流水!$E457)</f>
        <v/>
      </c>
      <c r="L1812" s="66" t="str">
        <f aca="false">IF(购销流水!$D457="","",IFERROR(INDEX(记账规则!$A$6:$N$9,MATCH(购销流水!$D457,记账规则!$A$6:$A$9,0),9),""))</f>
        <v/>
      </c>
      <c r="M1812" s="66" t="str">
        <f aca="false">IF($L1812="","",IFERROR(INDEX(记账规则!$A$6:$N$9,MATCH(购销流水!$D457,记账规则!$A$6:$A$9,0),10),""))</f>
        <v/>
      </c>
      <c r="N1812" s="66" t="str">
        <f aca="false">IF($L1812="","",IFERROR(INDEX(记账规则!$A$6:$N$9,MATCH(购销流水!$D457,记账规则!$A$6:$A$9,0),11),""))</f>
        <v/>
      </c>
      <c r="O1812" s="67" t="n">
        <f aca="false">IF($H1812="",0,ROUND(IF($N1812="成本金额",N(购销流水!$W457),IF($N1812="金额",N(购销流水!$Q457),0)),2))</f>
        <v>0</v>
      </c>
      <c r="P1812" s="64" t="str">
        <f aca="false">IF(AND($H1812&lt;&gt;"",ROUND($O1812,2)&lt;&gt;0),"有","")</f>
        <v/>
      </c>
    </row>
    <row r="1813" customFormat="false" ht="15" hidden="true" customHeight="false" outlineLevel="0" collapsed="false">
      <c r="A1813" s="53" t="str">
        <f aca="false">IF($H1813="","",ROW()-5)</f>
        <v/>
      </c>
      <c r="B1813" s="64" t="s">
        <v>36</v>
      </c>
      <c r="C1813" s="53" t="n">
        <v>457</v>
      </c>
      <c r="D1813" s="53" t="n">
        <v>4</v>
      </c>
      <c r="E1813" s="65" t="str">
        <f aca="false">IF($H1813="","",购销流水!$B457)</f>
        <v/>
      </c>
      <c r="F1813" s="55" t="str">
        <f aca="false">IF($H1813="","",购销流水!$C457)</f>
        <v/>
      </c>
      <c r="G1813" s="48" t="str">
        <f aca="false">IF($H1813="","",购销流水!$N457)</f>
        <v/>
      </c>
      <c r="H1813" s="10" t="str">
        <f aca="false">IF($L1813="","",IF($L1813="@成本",购销流水!$U457,IF($L1813="@收入",购销流水!$T457,IF($L1813="@存货",购销流水!$S457,IF($L1813="@结算",购销流水!$R457,$L1813)))))</f>
        <v/>
      </c>
      <c r="I1813" s="42" t="n">
        <f aca="false">IF($M1813="借",$O1813,0)</f>
        <v>0</v>
      </c>
      <c r="J1813" s="42" t="n">
        <f aca="false">IF($M1813="贷",$O1813,0)</f>
        <v>0</v>
      </c>
      <c r="K1813" s="48" t="str">
        <f aca="false">IF($H1813="","",购销流水!$E457)</f>
        <v/>
      </c>
      <c r="L1813" s="66" t="str">
        <f aca="false">IF(购销流水!$D457="","",IFERROR(INDEX(记账规则!$A$6:$N$9,MATCH(购销流水!$D457,记账规则!$A$6:$A$9,0),12),""))</f>
        <v/>
      </c>
      <c r="M1813" s="66" t="str">
        <f aca="false">IF($L1813="","",IFERROR(INDEX(记账规则!$A$6:$N$9,MATCH(购销流水!$D457,记账规则!$A$6:$A$9,0),13),""))</f>
        <v/>
      </c>
      <c r="N1813" s="66" t="str">
        <f aca="false">IF($L1813="","",IFERROR(INDEX(记账规则!$A$6:$N$9,MATCH(购销流水!$D457,记账规则!$A$6:$A$9,0),14),""))</f>
        <v/>
      </c>
      <c r="O1813" s="67" t="n">
        <f aca="false">IF($H1813="",0,ROUND(IF($N1813="成本金额",N(购销流水!$W457),IF($N1813="金额",N(购销流水!$Q457),0)),2))</f>
        <v>0</v>
      </c>
      <c r="P1813" s="64" t="str">
        <f aca="false">IF(AND($H1813&lt;&gt;"",ROUND($O1813,2)&lt;&gt;0),"有","")</f>
        <v/>
      </c>
    </row>
    <row r="1814" customFormat="false" ht="15" hidden="true" customHeight="false" outlineLevel="0" collapsed="false">
      <c r="A1814" s="53" t="str">
        <f aca="false">IF($H1814="","",ROW()-5)</f>
        <v/>
      </c>
      <c r="B1814" s="64" t="s">
        <v>36</v>
      </c>
      <c r="C1814" s="53" t="n">
        <v>458</v>
      </c>
      <c r="D1814" s="53" t="n">
        <v>1</v>
      </c>
      <c r="E1814" s="65" t="str">
        <f aca="false">IF($H1814="","",购销流水!$B458)</f>
        <v/>
      </c>
      <c r="F1814" s="55" t="str">
        <f aca="false">IF($H1814="","",购销流水!$C458)</f>
        <v/>
      </c>
      <c r="G1814" s="48" t="str">
        <f aca="false">IF($H1814="","",购销流水!$N458)</f>
        <v/>
      </c>
      <c r="H1814" s="10" t="str">
        <f aca="false">IF($L1814="","",IF($L1814="@成本",购销流水!$U458,IF($L1814="@收入",购销流水!$T458,IF($L1814="@存货",购销流水!$S458,IF($L1814="@结算",购销流水!$R458,$L1814)))))</f>
        <v/>
      </c>
      <c r="I1814" s="42" t="n">
        <f aca="false">IF($M1814="借",$O1814,0)</f>
        <v>0</v>
      </c>
      <c r="J1814" s="42" t="n">
        <f aca="false">IF($M1814="贷",$O1814,0)</f>
        <v>0</v>
      </c>
      <c r="K1814" s="48" t="str">
        <f aca="false">IF($H1814="","",购销流水!$E458)</f>
        <v/>
      </c>
      <c r="L1814" s="66" t="str">
        <f aca="false">IF(购销流水!$D458="","",IFERROR(INDEX(记账规则!$A$6:$N$9,MATCH(购销流水!$D458,记账规则!$A$6:$A$9,0),3),""))</f>
        <v/>
      </c>
      <c r="M1814" s="66" t="str">
        <f aca="false">IF($L1814="","",IFERROR(INDEX(记账规则!$A$6:$N$9,MATCH(购销流水!$D458,记账规则!$A$6:$A$9,0),4),""))</f>
        <v/>
      </c>
      <c r="N1814" s="66" t="str">
        <f aca="false">IF($L1814="","",IFERROR(INDEX(记账规则!$A$6:$N$9,MATCH(购销流水!$D458,记账规则!$A$6:$A$9,0),5),""))</f>
        <v/>
      </c>
      <c r="O1814" s="67" t="n">
        <f aca="false">IF($H1814="",0,ROUND(IF($N1814="成本金额",N(购销流水!$W458),IF($N1814="金额",N(购销流水!$Q458),0)),2))</f>
        <v>0</v>
      </c>
      <c r="P1814" s="64" t="str">
        <f aca="false">IF(AND($H1814&lt;&gt;"",ROUND($O1814,2)&lt;&gt;0),"有","")</f>
        <v/>
      </c>
    </row>
    <row r="1815" customFormat="false" ht="15" hidden="true" customHeight="false" outlineLevel="0" collapsed="false">
      <c r="A1815" s="53" t="str">
        <f aca="false">IF($H1815="","",ROW()-5)</f>
        <v/>
      </c>
      <c r="B1815" s="64" t="s">
        <v>36</v>
      </c>
      <c r="C1815" s="53" t="n">
        <v>458</v>
      </c>
      <c r="D1815" s="53" t="n">
        <v>2</v>
      </c>
      <c r="E1815" s="65" t="str">
        <f aca="false">IF($H1815="","",购销流水!$B458)</f>
        <v/>
      </c>
      <c r="F1815" s="55" t="str">
        <f aca="false">IF($H1815="","",购销流水!$C458)</f>
        <v/>
      </c>
      <c r="G1815" s="48" t="str">
        <f aca="false">IF($H1815="","",购销流水!$N458)</f>
        <v/>
      </c>
      <c r="H1815" s="10" t="str">
        <f aca="false">IF($L1815="","",IF($L1815="@成本",购销流水!$U458,IF($L1815="@收入",购销流水!$T458,IF($L1815="@存货",购销流水!$S458,IF($L1815="@结算",购销流水!$R458,$L1815)))))</f>
        <v/>
      </c>
      <c r="I1815" s="42" t="n">
        <f aca="false">IF($M1815="借",$O1815,0)</f>
        <v>0</v>
      </c>
      <c r="J1815" s="42" t="n">
        <f aca="false">IF($M1815="贷",$O1815,0)</f>
        <v>0</v>
      </c>
      <c r="K1815" s="48" t="str">
        <f aca="false">IF($H1815="","",购销流水!$E458)</f>
        <v/>
      </c>
      <c r="L1815" s="66" t="str">
        <f aca="false">IF(购销流水!$D458="","",IFERROR(INDEX(记账规则!$A$6:$N$9,MATCH(购销流水!$D458,记账规则!$A$6:$A$9,0),6),""))</f>
        <v/>
      </c>
      <c r="M1815" s="66" t="str">
        <f aca="false">IF($L1815="","",IFERROR(INDEX(记账规则!$A$6:$N$9,MATCH(购销流水!$D458,记账规则!$A$6:$A$9,0),7),""))</f>
        <v/>
      </c>
      <c r="N1815" s="66" t="str">
        <f aca="false">IF($L1815="","",IFERROR(INDEX(记账规则!$A$6:$N$9,MATCH(购销流水!$D458,记账规则!$A$6:$A$9,0),8),""))</f>
        <v/>
      </c>
      <c r="O1815" s="67" t="n">
        <f aca="false">IF($H1815="",0,ROUND(IF($N1815="成本金额",N(购销流水!$W458),IF($N1815="金额",N(购销流水!$Q458),0)),2))</f>
        <v>0</v>
      </c>
      <c r="P1815" s="64" t="str">
        <f aca="false">IF(AND($H1815&lt;&gt;"",ROUND($O1815,2)&lt;&gt;0),"有","")</f>
        <v/>
      </c>
    </row>
    <row r="1816" customFormat="false" ht="15" hidden="true" customHeight="false" outlineLevel="0" collapsed="false">
      <c r="A1816" s="53" t="str">
        <f aca="false">IF($H1816="","",ROW()-5)</f>
        <v/>
      </c>
      <c r="B1816" s="64" t="s">
        <v>36</v>
      </c>
      <c r="C1816" s="53" t="n">
        <v>458</v>
      </c>
      <c r="D1816" s="53" t="n">
        <v>3</v>
      </c>
      <c r="E1816" s="65" t="str">
        <f aca="false">IF($H1816="","",购销流水!$B458)</f>
        <v/>
      </c>
      <c r="F1816" s="55" t="str">
        <f aca="false">IF($H1816="","",购销流水!$C458)</f>
        <v/>
      </c>
      <c r="G1816" s="48" t="str">
        <f aca="false">IF($H1816="","",购销流水!$N458)</f>
        <v/>
      </c>
      <c r="H1816" s="10" t="str">
        <f aca="false">IF($L1816="","",IF($L1816="@成本",购销流水!$U458,IF($L1816="@收入",购销流水!$T458,IF($L1816="@存货",购销流水!$S458,IF($L1816="@结算",购销流水!$R458,$L1816)))))</f>
        <v/>
      </c>
      <c r="I1816" s="42" t="n">
        <f aca="false">IF($M1816="借",$O1816,0)</f>
        <v>0</v>
      </c>
      <c r="J1816" s="42" t="n">
        <f aca="false">IF($M1816="贷",$O1816,0)</f>
        <v>0</v>
      </c>
      <c r="K1816" s="48" t="str">
        <f aca="false">IF($H1816="","",购销流水!$E458)</f>
        <v/>
      </c>
      <c r="L1816" s="66" t="str">
        <f aca="false">IF(购销流水!$D458="","",IFERROR(INDEX(记账规则!$A$6:$N$9,MATCH(购销流水!$D458,记账规则!$A$6:$A$9,0),9),""))</f>
        <v/>
      </c>
      <c r="M1816" s="66" t="str">
        <f aca="false">IF($L1816="","",IFERROR(INDEX(记账规则!$A$6:$N$9,MATCH(购销流水!$D458,记账规则!$A$6:$A$9,0),10),""))</f>
        <v/>
      </c>
      <c r="N1816" s="66" t="str">
        <f aca="false">IF($L1816="","",IFERROR(INDEX(记账规则!$A$6:$N$9,MATCH(购销流水!$D458,记账规则!$A$6:$A$9,0),11),""))</f>
        <v/>
      </c>
      <c r="O1816" s="67" t="n">
        <f aca="false">IF($H1816="",0,ROUND(IF($N1816="成本金额",N(购销流水!$W458),IF($N1816="金额",N(购销流水!$Q458),0)),2))</f>
        <v>0</v>
      </c>
      <c r="P1816" s="64" t="str">
        <f aca="false">IF(AND($H1816&lt;&gt;"",ROUND($O1816,2)&lt;&gt;0),"有","")</f>
        <v/>
      </c>
    </row>
    <row r="1817" customFormat="false" ht="15" hidden="true" customHeight="false" outlineLevel="0" collapsed="false">
      <c r="A1817" s="53" t="str">
        <f aca="false">IF($H1817="","",ROW()-5)</f>
        <v/>
      </c>
      <c r="B1817" s="64" t="s">
        <v>36</v>
      </c>
      <c r="C1817" s="53" t="n">
        <v>458</v>
      </c>
      <c r="D1817" s="53" t="n">
        <v>4</v>
      </c>
      <c r="E1817" s="65" t="str">
        <f aca="false">IF($H1817="","",购销流水!$B458)</f>
        <v/>
      </c>
      <c r="F1817" s="55" t="str">
        <f aca="false">IF($H1817="","",购销流水!$C458)</f>
        <v/>
      </c>
      <c r="G1817" s="48" t="str">
        <f aca="false">IF($H1817="","",购销流水!$N458)</f>
        <v/>
      </c>
      <c r="H1817" s="10" t="str">
        <f aca="false">IF($L1817="","",IF($L1817="@成本",购销流水!$U458,IF($L1817="@收入",购销流水!$T458,IF($L1817="@存货",购销流水!$S458,IF($L1817="@结算",购销流水!$R458,$L1817)))))</f>
        <v/>
      </c>
      <c r="I1817" s="42" t="n">
        <f aca="false">IF($M1817="借",$O1817,0)</f>
        <v>0</v>
      </c>
      <c r="J1817" s="42" t="n">
        <f aca="false">IF($M1817="贷",$O1817,0)</f>
        <v>0</v>
      </c>
      <c r="K1817" s="48" t="str">
        <f aca="false">IF($H1817="","",购销流水!$E458)</f>
        <v/>
      </c>
      <c r="L1817" s="66" t="str">
        <f aca="false">IF(购销流水!$D458="","",IFERROR(INDEX(记账规则!$A$6:$N$9,MATCH(购销流水!$D458,记账规则!$A$6:$A$9,0),12),""))</f>
        <v/>
      </c>
      <c r="M1817" s="66" t="str">
        <f aca="false">IF($L1817="","",IFERROR(INDEX(记账规则!$A$6:$N$9,MATCH(购销流水!$D458,记账规则!$A$6:$A$9,0),13),""))</f>
        <v/>
      </c>
      <c r="N1817" s="66" t="str">
        <f aca="false">IF($L1817="","",IFERROR(INDEX(记账规则!$A$6:$N$9,MATCH(购销流水!$D458,记账规则!$A$6:$A$9,0),14),""))</f>
        <v/>
      </c>
      <c r="O1817" s="67" t="n">
        <f aca="false">IF($H1817="",0,ROUND(IF($N1817="成本金额",N(购销流水!$W458),IF($N1817="金额",N(购销流水!$Q458),0)),2))</f>
        <v>0</v>
      </c>
      <c r="P1817" s="64" t="str">
        <f aca="false">IF(AND($H1817&lt;&gt;"",ROUND($O1817,2)&lt;&gt;0),"有","")</f>
        <v/>
      </c>
    </row>
    <row r="1818" customFormat="false" ht="15" hidden="true" customHeight="false" outlineLevel="0" collapsed="false">
      <c r="A1818" s="53" t="str">
        <f aca="false">IF($H1818="","",ROW()-5)</f>
        <v/>
      </c>
      <c r="B1818" s="64" t="s">
        <v>36</v>
      </c>
      <c r="C1818" s="53" t="n">
        <v>459</v>
      </c>
      <c r="D1818" s="53" t="n">
        <v>1</v>
      </c>
      <c r="E1818" s="65" t="str">
        <f aca="false">IF($H1818="","",购销流水!$B459)</f>
        <v/>
      </c>
      <c r="F1818" s="55" t="str">
        <f aca="false">IF($H1818="","",购销流水!$C459)</f>
        <v/>
      </c>
      <c r="G1818" s="48" t="str">
        <f aca="false">IF($H1818="","",购销流水!$N459)</f>
        <v/>
      </c>
      <c r="H1818" s="10" t="str">
        <f aca="false">IF($L1818="","",IF($L1818="@成本",购销流水!$U459,IF($L1818="@收入",购销流水!$T459,IF($L1818="@存货",购销流水!$S459,IF($L1818="@结算",购销流水!$R459,$L1818)))))</f>
        <v/>
      </c>
      <c r="I1818" s="42" t="n">
        <f aca="false">IF($M1818="借",$O1818,0)</f>
        <v>0</v>
      </c>
      <c r="J1818" s="42" t="n">
        <f aca="false">IF($M1818="贷",$O1818,0)</f>
        <v>0</v>
      </c>
      <c r="K1818" s="48" t="str">
        <f aca="false">IF($H1818="","",购销流水!$E459)</f>
        <v/>
      </c>
      <c r="L1818" s="66" t="str">
        <f aca="false">IF(购销流水!$D459="","",IFERROR(INDEX(记账规则!$A$6:$N$9,MATCH(购销流水!$D459,记账规则!$A$6:$A$9,0),3),""))</f>
        <v/>
      </c>
      <c r="M1818" s="66" t="str">
        <f aca="false">IF($L1818="","",IFERROR(INDEX(记账规则!$A$6:$N$9,MATCH(购销流水!$D459,记账规则!$A$6:$A$9,0),4),""))</f>
        <v/>
      </c>
      <c r="N1818" s="66" t="str">
        <f aca="false">IF($L1818="","",IFERROR(INDEX(记账规则!$A$6:$N$9,MATCH(购销流水!$D459,记账规则!$A$6:$A$9,0),5),""))</f>
        <v/>
      </c>
      <c r="O1818" s="67" t="n">
        <f aca="false">IF($H1818="",0,ROUND(IF($N1818="成本金额",N(购销流水!$W459),IF($N1818="金额",N(购销流水!$Q459),0)),2))</f>
        <v>0</v>
      </c>
      <c r="P1818" s="64" t="str">
        <f aca="false">IF(AND($H1818&lt;&gt;"",ROUND($O1818,2)&lt;&gt;0),"有","")</f>
        <v/>
      </c>
    </row>
    <row r="1819" customFormat="false" ht="15" hidden="true" customHeight="false" outlineLevel="0" collapsed="false">
      <c r="A1819" s="53" t="str">
        <f aca="false">IF($H1819="","",ROW()-5)</f>
        <v/>
      </c>
      <c r="B1819" s="64" t="s">
        <v>36</v>
      </c>
      <c r="C1819" s="53" t="n">
        <v>459</v>
      </c>
      <c r="D1819" s="53" t="n">
        <v>2</v>
      </c>
      <c r="E1819" s="65" t="str">
        <f aca="false">IF($H1819="","",购销流水!$B459)</f>
        <v/>
      </c>
      <c r="F1819" s="55" t="str">
        <f aca="false">IF($H1819="","",购销流水!$C459)</f>
        <v/>
      </c>
      <c r="G1819" s="48" t="str">
        <f aca="false">IF($H1819="","",购销流水!$N459)</f>
        <v/>
      </c>
      <c r="H1819" s="10" t="str">
        <f aca="false">IF($L1819="","",IF($L1819="@成本",购销流水!$U459,IF($L1819="@收入",购销流水!$T459,IF($L1819="@存货",购销流水!$S459,IF($L1819="@结算",购销流水!$R459,$L1819)))))</f>
        <v/>
      </c>
      <c r="I1819" s="42" t="n">
        <f aca="false">IF($M1819="借",$O1819,0)</f>
        <v>0</v>
      </c>
      <c r="J1819" s="42" t="n">
        <f aca="false">IF($M1819="贷",$O1819,0)</f>
        <v>0</v>
      </c>
      <c r="K1819" s="48" t="str">
        <f aca="false">IF($H1819="","",购销流水!$E459)</f>
        <v/>
      </c>
      <c r="L1819" s="66" t="str">
        <f aca="false">IF(购销流水!$D459="","",IFERROR(INDEX(记账规则!$A$6:$N$9,MATCH(购销流水!$D459,记账规则!$A$6:$A$9,0),6),""))</f>
        <v/>
      </c>
      <c r="M1819" s="66" t="str">
        <f aca="false">IF($L1819="","",IFERROR(INDEX(记账规则!$A$6:$N$9,MATCH(购销流水!$D459,记账规则!$A$6:$A$9,0),7),""))</f>
        <v/>
      </c>
      <c r="N1819" s="66" t="str">
        <f aca="false">IF($L1819="","",IFERROR(INDEX(记账规则!$A$6:$N$9,MATCH(购销流水!$D459,记账规则!$A$6:$A$9,0),8),""))</f>
        <v/>
      </c>
      <c r="O1819" s="67" t="n">
        <f aca="false">IF($H1819="",0,ROUND(IF($N1819="成本金额",N(购销流水!$W459),IF($N1819="金额",N(购销流水!$Q459),0)),2))</f>
        <v>0</v>
      </c>
      <c r="P1819" s="64" t="str">
        <f aca="false">IF(AND($H1819&lt;&gt;"",ROUND($O1819,2)&lt;&gt;0),"有","")</f>
        <v/>
      </c>
    </row>
    <row r="1820" customFormat="false" ht="15" hidden="true" customHeight="false" outlineLevel="0" collapsed="false">
      <c r="A1820" s="53" t="str">
        <f aca="false">IF($H1820="","",ROW()-5)</f>
        <v/>
      </c>
      <c r="B1820" s="64" t="s">
        <v>36</v>
      </c>
      <c r="C1820" s="53" t="n">
        <v>459</v>
      </c>
      <c r="D1820" s="53" t="n">
        <v>3</v>
      </c>
      <c r="E1820" s="65" t="str">
        <f aca="false">IF($H1820="","",购销流水!$B459)</f>
        <v/>
      </c>
      <c r="F1820" s="55" t="str">
        <f aca="false">IF($H1820="","",购销流水!$C459)</f>
        <v/>
      </c>
      <c r="G1820" s="48" t="str">
        <f aca="false">IF($H1820="","",购销流水!$N459)</f>
        <v/>
      </c>
      <c r="H1820" s="10" t="str">
        <f aca="false">IF($L1820="","",IF($L1820="@成本",购销流水!$U459,IF($L1820="@收入",购销流水!$T459,IF($L1820="@存货",购销流水!$S459,IF($L1820="@结算",购销流水!$R459,$L1820)))))</f>
        <v/>
      </c>
      <c r="I1820" s="42" t="n">
        <f aca="false">IF($M1820="借",$O1820,0)</f>
        <v>0</v>
      </c>
      <c r="J1820" s="42" t="n">
        <f aca="false">IF($M1820="贷",$O1820,0)</f>
        <v>0</v>
      </c>
      <c r="K1820" s="48" t="str">
        <f aca="false">IF($H1820="","",购销流水!$E459)</f>
        <v/>
      </c>
      <c r="L1820" s="66" t="str">
        <f aca="false">IF(购销流水!$D459="","",IFERROR(INDEX(记账规则!$A$6:$N$9,MATCH(购销流水!$D459,记账规则!$A$6:$A$9,0),9),""))</f>
        <v/>
      </c>
      <c r="M1820" s="66" t="str">
        <f aca="false">IF($L1820="","",IFERROR(INDEX(记账规则!$A$6:$N$9,MATCH(购销流水!$D459,记账规则!$A$6:$A$9,0),10),""))</f>
        <v/>
      </c>
      <c r="N1820" s="66" t="str">
        <f aca="false">IF($L1820="","",IFERROR(INDEX(记账规则!$A$6:$N$9,MATCH(购销流水!$D459,记账规则!$A$6:$A$9,0),11),""))</f>
        <v/>
      </c>
      <c r="O1820" s="67" t="n">
        <f aca="false">IF($H1820="",0,ROUND(IF($N1820="成本金额",N(购销流水!$W459),IF($N1820="金额",N(购销流水!$Q459),0)),2))</f>
        <v>0</v>
      </c>
      <c r="P1820" s="64" t="str">
        <f aca="false">IF(AND($H1820&lt;&gt;"",ROUND($O1820,2)&lt;&gt;0),"有","")</f>
        <v/>
      </c>
    </row>
    <row r="1821" customFormat="false" ht="15" hidden="true" customHeight="false" outlineLevel="0" collapsed="false">
      <c r="A1821" s="53" t="str">
        <f aca="false">IF($H1821="","",ROW()-5)</f>
        <v/>
      </c>
      <c r="B1821" s="64" t="s">
        <v>36</v>
      </c>
      <c r="C1821" s="53" t="n">
        <v>459</v>
      </c>
      <c r="D1821" s="53" t="n">
        <v>4</v>
      </c>
      <c r="E1821" s="65" t="str">
        <f aca="false">IF($H1821="","",购销流水!$B459)</f>
        <v/>
      </c>
      <c r="F1821" s="55" t="str">
        <f aca="false">IF($H1821="","",购销流水!$C459)</f>
        <v/>
      </c>
      <c r="G1821" s="48" t="str">
        <f aca="false">IF($H1821="","",购销流水!$N459)</f>
        <v/>
      </c>
      <c r="H1821" s="10" t="str">
        <f aca="false">IF($L1821="","",IF($L1821="@成本",购销流水!$U459,IF($L1821="@收入",购销流水!$T459,IF($L1821="@存货",购销流水!$S459,IF($L1821="@结算",购销流水!$R459,$L1821)))))</f>
        <v/>
      </c>
      <c r="I1821" s="42" t="n">
        <f aca="false">IF($M1821="借",$O1821,0)</f>
        <v>0</v>
      </c>
      <c r="J1821" s="42" t="n">
        <f aca="false">IF($M1821="贷",$O1821,0)</f>
        <v>0</v>
      </c>
      <c r="K1821" s="48" t="str">
        <f aca="false">IF($H1821="","",购销流水!$E459)</f>
        <v/>
      </c>
      <c r="L1821" s="66" t="str">
        <f aca="false">IF(购销流水!$D459="","",IFERROR(INDEX(记账规则!$A$6:$N$9,MATCH(购销流水!$D459,记账规则!$A$6:$A$9,0),12),""))</f>
        <v/>
      </c>
      <c r="M1821" s="66" t="str">
        <f aca="false">IF($L1821="","",IFERROR(INDEX(记账规则!$A$6:$N$9,MATCH(购销流水!$D459,记账规则!$A$6:$A$9,0),13),""))</f>
        <v/>
      </c>
      <c r="N1821" s="66" t="str">
        <f aca="false">IF($L1821="","",IFERROR(INDEX(记账规则!$A$6:$N$9,MATCH(购销流水!$D459,记账规则!$A$6:$A$9,0),14),""))</f>
        <v/>
      </c>
      <c r="O1821" s="67" t="n">
        <f aca="false">IF($H1821="",0,ROUND(IF($N1821="成本金额",N(购销流水!$W459),IF($N1821="金额",N(购销流水!$Q459),0)),2))</f>
        <v>0</v>
      </c>
      <c r="P1821" s="64" t="str">
        <f aca="false">IF(AND($H1821&lt;&gt;"",ROUND($O1821,2)&lt;&gt;0),"有","")</f>
        <v/>
      </c>
    </row>
    <row r="1822" customFormat="false" ht="15" hidden="true" customHeight="false" outlineLevel="0" collapsed="false">
      <c r="A1822" s="53" t="str">
        <f aca="false">IF($H1822="","",ROW()-5)</f>
        <v/>
      </c>
      <c r="B1822" s="64" t="s">
        <v>36</v>
      </c>
      <c r="C1822" s="53" t="n">
        <v>460</v>
      </c>
      <c r="D1822" s="53" t="n">
        <v>1</v>
      </c>
      <c r="E1822" s="65" t="str">
        <f aca="false">IF($H1822="","",购销流水!$B460)</f>
        <v/>
      </c>
      <c r="F1822" s="55" t="str">
        <f aca="false">IF($H1822="","",购销流水!$C460)</f>
        <v/>
      </c>
      <c r="G1822" s="48" t="str">
        <f aca="false">IF($H1822="","",购销流水!$N460)</f>
        <v/>
      </c>
      <c r="H1822" s="10" t="str">
        <f aca="false">IF($L1822="","",IF($L1822="@成本",购销流水!$U460,IF($L1822="@收入",购销流水!$T460,IF($L1822="@存货",购销流水!$S460,IF($L1822="@结算",购销流水!$R460,$L1822)))))</f>
        <v/>
      </c>
      <c r="I1822" s="42" t="n">
        <f aca="false">IF($M1822="借",$O1822,0)</f>
        <v>0</v>
      </c>
      <c r="J1822" s="42" t="n">
        <f aca="false">IF($M1822="贷",$O1822,0)</f>
        <v>0</v>
      </c>
      <c r="K1822" s="48" t="str">
        <f aca="false">IF($H1822="","",购销流水!$E460)</f>
        <v/>
      </c>
      <c r="L1822" s="66" t="str">
        <f aca="false">IF(购销流水!$D460="","",IFERROR(INDEX(记账规则!$A$6:$N$9,MATCH(购销流水!$D460,记账规则!$A$6:$A$9,0),3),""))</f>
        <v/>
      </c>
      <c r="M1822" s="66" t="str">
        <f aca="false">IF($L1822="","",IFERROR(INDEX(记账规则!$A$6:$N$9,MATCH(购销流水!$D460,记账规则!$A$6:$A$9,0),4),""))</f>
        <v/>
      </c>
      <c r="N1822" s="66" t="str">
        <f aca="false">IF($L1822="","",IFERROR(INDEX(记账规则!$A$6:$N$9,MATCH(购销流水!$D460,记账规则!$A$6:$A$9,0),5),""))</f>
        <v/>
      </c>
      <c r="O1822" s="67" t="n">
        <f aca="false">IF($H1822="",0,ROUND(IF($N1822="成本金额",N(购销流水!$W460),IF($N1822="金额",N(购销流水!$Q460),0)),2))</f>
        <v>0</v>
      </c>
      <c r="P1822" s="64" t="str">
        <f aca="false">IF(AND($H1822&lt;&gt;"",ROUND($O1822,2)&lt;&gt;0),"有","")</f>
        <v/>
      </c>
    </row>
    <row r="1823" customFormat="false" ht="15" hidden="true" customHeight="false" outlineLevel="0" collapsed="false">
      <c r="A1823" s="53" t="str">
        <f aca="false">IF($H1823="","",ROW()-5)</f>
        <v/>
      </c>
      <c r="B1823" s="64" t="s">
        <v>36</v>
      </c>
      <c r="C1823" s="53" t="n">
        <v>460</v>
      </c>
      <c r="D1823" s="53" t="n">
        <v>2</v>
      </c>
      <c r="E1823" s="65" t="str">
        <f aca="false">IF($H1823="","",购销流水!$B460)</f>
        <v/>
      </c>
      <c r="F1823" s="55" t="str">
        <f aca="false">IF($H1823="","",购销流水!$C460)</f>
        <v/>
      </c>
      <c r="G1823" s="48" t="str">
        <f aca="false">IF($H1823="","",购销流水!$N460)</f>
        <v/>
      </c>
      <c r="H1823" s="10" t="str">
        <f aca="false">IF($L1823="","",IF($L1823="@成本",购销流水!$U460,IF($L1823="@收入",购销流水!$T460,IF($L1823="@存货",购销流水!$S460,IF($L1823="@结算",购销流水!$R460,$L1823)))))</f>
        <v/>
      </c>
      <c r="I1823" s="42" t="n">
        <f aca="false">IF($M1823="借",$O1823,0)</f>
        <v>0</v>
      </c>
      <c r="J1823" s="42" t="n">
        <f aca="false">IF($M1823="贷",$O1823,0)</f>
        <v>0</v>
      </c>
      <c r="K1823" s="48" t="str">
        <f aca="false">IF($H1823="","",购销流水!$E460)</f>
        <v/>
      </c>
      <c r="L1823" s="66" t="str">
        <f aca="false">IF(购销流水!$D460="","",IFERROR(INDEX(记账规则!$A$6:$N$9,MATCH(购销流水!$D460,记账规则!$A$6:$A$9,0),6),""))</f>
        <v/>
      </c>
      <c r="M1823" s="66" t="str">
        <f aca="false">IF($L1823="","",IFERROR(INDEX(记账规则!$A$6:$N$9,MATCH(购销流水!$D460,记账规则!$A$6:$A$9,0),7),""))</f>
        <v/>
      </c>
      <c r="N1823" s="66" t="str">
        <f aca="false">IF($L1823="","",IFERROR(INDEX(记账规则!$A$6:$N$9,MATCH(购销流水!$D460,记账规则!$A$6:$A$9,0),8),""))</f>
        <v/>
      </c>
      <c r="O1823" s="67" t="n">
        <f aca="false">IF($H1823="",0,ROUND(IF($N1823="成本金额",N(购销流水!$W460),IF($N1823="金额",N(购销流水!$Q460),0)),2))</f>
        <v>0</v>
      </c>
      <c r="P1823" s="64" t="str">
        <f aca="false">IF(AND($H1823&lt;&gt;"",ROUND($O1823,2)&lt;&gt;0),"有","")</f>
        <v/>
      </c>
    </row>
    <row r="1824" customFormat="false" ht="15" hidden="true" customHeight="false" outlineLevel="0" collapsed="false">
      <c r="A1824" s="53" t="str">
        <f aca="false">IF($H1824="","",ROW()-5)</f>
        <v/>
      </c>
      <c r="B1824" s="64" t="s">
        <v>36</v>
      </c>
      <c r="C1824" s="53" t="n">
        <v>460</v>
      </c>
      <c r="D1824" s="53" t="n">
        <v>3</v>
      </c>
      <c r="E1824" s="65" t="str">
        <f aca="false">IF($H1824="","",购销流水!$B460)</f>
        <v/>
      </c>
      <c r="F1824" s="55" t="str">
        <f aca="false">IF($H1824="","",购销流水!$C460)</f>
        <v/>
      </c>
      <c r="G1824" s="48" t="str">
        <f aca="false">IF($H1824="","",购销流水!$N460)</f>
        <v/>
      </c>
      <c r="H1824" s="10" t="str">
        <f aca="false">IF($L1824="","",IF($L1824="@成本",购销流水!$U460,IF($L1824="@收入",购销流水!$T460,IF($L1824="@存货",购销流水!$S460,IF($L1824="@结算",购销流水!$R460,$L1824)))))</f>
        <v/>
      </c>
      <c r="I1824" s="42" t="n">
        <f aca="false">IF($M1824="借",$O1824,0)</f>
        <v>0</v>
      </c>
      <c r="J1824" s="42" t="n">
        <f aca="false">IF($M1824="贷",$O1824,0)</f>
        <v>0</v>
      </c>
      <c r="K1824" s="48" t="str">
        <f aca="false">IF($H1824="","",购销流水!$E460)</f>
        <v/>
      </c>
      <c r="L1824" s="66" t="str">
        <f aca="false">IF(购销流水!$D460="","",IFERROR(INDEX(记账规则!$A$6:$N$9,MATCH(购销流水!$D460,记账规则!$A$6:$A$9,0),9),""))</f>
        <v/>
      </c>
      <c r="M1824" s="66" t="str">
        <f aca="false">IF($L1824="","",IFERROR(INDEX(记账规则!$A$6:$N$9,MATCH(购销流水!$D460,记账规则!$A$6:$A$9,0),10),""))</f>
        <v/>
      </c>
      <c r="N1824" s="66" t="str">
        <f aca="false">IF($L1824="","",IFERROR(INDEX(记账规则!$A$6:$N$9,MATCH(购销流水!$D460,记账规则!$A$6:$A$9,0),11),""))</f>
        <v/>
      </c>
      <c r="O1824" s="67" t="n">
        <f aca="false">IF($H1824="",0,ROUND(IF($N1824="成本金额",N(购销流水!$W460),IF($N1824="金额",N(购销流水!$Q460),0)),2))</f>
        <v>0</v>
      </c>
      <c r="P1824" s="64" t="str">
        <f aca="false">IF(AND($H1824&lt;&gt;"",ROUND($O1824,2)&lt;&gt;0),"有","")</f>
        <v/>
      </c>
    </row>
    <row r="1825" customFormat="false" ht="15" hidden="true" customHeight="false" outlineLevel="0" collapsed="false">
      <c r="A1825" s="53" t="str">
        <f aca="false">IF($H1825="","",ROW()-5)</f>
        <v/>
      </c>
      <c r="B1825" s="64" t="s">
        <v>36</v>
      </c>
      <c r="C1825" s="53" t="n">
        <v>460</v>
      </c>
      <c r="D1825" s="53" t="n">
        <v>4</v>
      </c>
      <c r="E1825" s="65" t="str">
        <f aca="false">IF($H1825="","",购销流水!$B460)</f>
        <v/>
      </c>
      <c r="F1825" s="55" t="str">
        <f aca="false">IF($H1825="","",购销流水!$C460)</f>
        <v/>
      </c>
      <c r="G1825" s="48" t="str">
        <f aca="false">IF($H1825="","",购销流水!$N460)</f>
        <v/>
      </c>
      <c r="H1825" s="10" t="str">
        <f aca="false">IF($L1825="","",IF($L1825="@成本",购销流水!$U460,IF($L1825="@收入",购销流水!$T460,IF($L1825="@存货",购销流水!$S460,IF($L1825="@结算",购销流水!$R460,$L1825)))))</f>
        <v/>
      </c>
      <c r="I1825" s="42" t="n">
        <f aca="false">IF($M1825="借",$O1825,0)</f>
        <v>0</v>
      </c>
      <c r="J1825" s="42" t="n">
        <f aca="false">IF($M1825="贷",$O1825,0)</f>
        <v>0</v>
      </c>
      <c r="K1825" s="48" t="str">
        <f aca="false">IF($H1825="","",购销流水!$E460)</f>
        <v/>
      </c>
      <c r="L1825" s="66" t="str">
        <f aca="false">IF(购销流水!$D460="","",IFERROR(INDEX(记账规则!$A$6:$N$9,MATCH(购销流水!$D460,记账规则!$A$6:$A$9,0),12),""))</f>
        <v/>
      </c>
      <c r="M1825" s="66" t="str">
        <f aca="false">IF($L1825="","",IFERROR(INDEX(记账规则!$A$6:$N$9,MATCH(购销流水!$D460,记账规则!$A$6:$A$9,0),13),""))</f>
        <v/>
      </c>
      <c r="N1825" s="66" t="str">
        <f aca="false">IF($L1825="","",IFERROR(INDEX(记账规则!$A$6:$N$9,MATCH(购销流水!$D460,记账规则!$A$6:$A$9,0),14),""))</f>
        <v/>
      </c>
      <c r="O1825" s="67" t="n">
        <f aca="false">IF($H1825="",0,ROUND(IF($N1825="成本金额",N(购销流水!$W460),IF($N1825="金额",N(购销流水!$Q460),0)),2))</f>
        <v>0</v>
      </c>
      <c r="P1825" s="64" t="str">
        <f aca="false">IF(AND($H1825&lt;&gt;"",ROUND($O1825,2)&lt;&gt;0),"有","")</f>
        <v/>
      </c>
    </row>
    <row r="1826" customFormat="false" ht="15" hidden="true" customHeight="false" outlineLevel="0" collapsed="false">
      <c r="A1826" s="53" t="str">
        <f aca="false">IF($H1826="","",ROW()-5)</f>
        <v/>
      </c>
      <c r="B1826" s="64" t="s">
        <v>36</v>
      </c>
      <c r="C1826" s="53" t="n">
        <v>461</v>
      </c>
      <c r="D1826" s="53" t="n">
        <v>1</v>
      </c>
      <c r="E1826" s="65" t="str">
        <f aca="false">IF($H1826="","",购销流水!$B461)</f>
        <v/>
      </c>
      <c r="F1826" s="55" t="str">
        <f aca="false">IF($H1826="","",购销流水!$C461)</f>
        <v/>
      </c>
      <c r="G1826" s="48" t="str">
        <f aca="false">IF($H1826="","",购销流水!$N461)</f>
        <v/>
      </c>
      <c r="H1826" s="10" t="str">
        <f aca="false">IF($L1826="","",IF($L1826="@成本",购销流水!$U461,IF($L1826="@收入",购销流水!$T461,IF($L1826="@存货",购销流水!$S461,IF($L1826="@结算",购销流水!$R461,$L1826)))))</f>
        <v/>
      </c>
      <c r="I1826" s="42" t="n">
        <f aca="false">IF($M1826="借",$O1826,0)</f>
        <v>0</v>
      </c>
      <c r="J1826" s="42" t="n">
        <f aca="false">IF($M1826="贷",$O1826,0)</f>
        <v>0</v>
      </c>
      <c r="K1826" s="48" t="str">
        <f aca="false">IF($H1826="","",购销流水!$E461)</f>
        <v/>
      </c>
      <c r="L1826" s="66" t="str">
        <f aca="false">IF(购销流水!$D461="","",IFERROR(INDEX(记账规则!$A$6:$N$9,MATCH(购销流水!$D461,记账规则!$A$6:$A$9,0),3),""))</f>
        <v/>
      </c>
      <c r="M1826" s="66" t="str">
        <f aca="false">IF($L1826="","",IFERROR(INDEX(记账规则!$A$6:$N$9,MATCH(购销流水!$D461,记账规则!$A$6:$A$9,0),4),""))</f>
        <v/>
      </c>
      <c r="N1826" s="66" t="str">
        <f aca="false">IF($L1826="","",IFERROR(INDEX(记账规则!$A$6:$N$9,MATCH(购销流水!$D461,记账规则!$A$6:$A$9,0),5),""))</f>
        <v/>
      </c>
      <c r="O1826" s="67" t="n">
        <f aca="false">IF($H1826="",0,ROUND(IF($N1826="成本金额",N(购销流水!$W461),IF($N1826="金额",N(购销流水!$Q461),0)),2))</f>
        <v>0</v>
      </c>
      <c r="P1826" s="64" t="str">
        <f aca="false">IF(AND($H1826&lt;&gt;"",ROUND($O1826,2)&lt;&gt;0),"有","")</f>
        <v/>
      </c>
    </row>
    <row r="1827" customFormat="false" ht="15" hidden="true" customHeight="false" outlineLevel="0" collapsed="false">
      <c r="A1827" s="53" t="str">
        <f aca="false">IF($H1827="","",ROW()-5)</f>
        <v/>
      </c>
      <c r="B1827" s="64" t="s">
        <v>36</v>
      </c>
      <c r="C1827" s="53" t="n">
        <v>461</v>
      </c>
      <c r="D1827" s="53" t="n">
        <v>2</v>
      </c>
      <c r="E1827" s="65" t="str">
        <f aca="false">IF($H1827="","",购销流水!$B461)</f>
        <v/>
      </c>
      <c r="F1827" s="55" t="str">
        <f aca="false">IF($H1827="","",购销流水!$C461)</f>
        <v/>
      </c>
      <c r="G1827" s="48" t="str">
        <f aca="false">IF($H1827="","",购销流水!$N461)</f>
        <v/>
      </c>
      <c r="H1827" s="10" t="str">
        <f aca="false">IF($L1827="","",IF($L1827="@成本",购销流水!$U461,IF($L1827="@收入",购销流水!$T461,IF($L1827="@存货",购销流水!$S461,IF($L1827="@结算",购销流水!$R461,$L1827)))))</f>
        <v/>
      </c>
      <c r="I1827" s="42" t="n">
        <f aca="false">IF($M1827="借",$O1827,0)</f>
        <v>0</v>
      </c>
      <c r="J1827" s="42" t="n">
        <f aca="false">IF($M1827="贷",$O1827,0)</f>
        <v>0</v>
      </c>
      <c r="K1827" s="48" t="str">
        <f aca="false">IF($H1827="","",购销流水!$E461)</f>
        <v/>
      </c>
      <c r="L1827" s="66" t="str">
        <f aca="false">IF(购销流水!$D461="","",IFERROR(INDEX(记账规则!$A$6:$N$9,MATCH(购销流水!$D461,记账规则!$A$6:$A$9,0),6),""))</f>
        <v/>
      </c>
      <c r="M1827" s="66" t="str">
        <f aca="false">IF($L1827="","",IFERROR(INDEX(记账规则!$A$6:$N$9,MATCH(购销流水!$D461,记账规则!$A$6:$A$9,0),7),""))</f>
        <v/>
      </c>
      <c r="N1827" s="66" t="str">
        <f aca="false">IF($L1827="","",IFERROR(INDEX(记账规则!$A$6:$N$9,MATCH(购销流水!$D461,记账规则!$A$6:$A$9,0),8),""))</f>
        <v/>
      </c>
      <c r="O1827" s="67" t="n">
        <f aca="false">IF($H1827="",0,ROUND(IF($N1827="成本金额",N(购销流水!$W461),IF($N1827="金额",N(购销流水!$Q461),0)),2))</f>
        <v>0</v>
      </c>
      <c r="P1827" s="64" t="str">
        <f aca="false">IF(AND($H1827&lt;&gt;"",ROUND($O1827,2)&lt;&gt;0),"有","")</f>
        <v/>
      </c>
    </row>
    <row r="1828" customFormat="false" ht="15" hidden="true" customHeight="false" outlineLevel="0" collapsed="false">
      <c r="A1828" s="53" t="str">
        <f aca="false">IF($H1828="","",ROW()-5)</f>
        <v/>
      </c>
      <c r="B1828" s="64" t="s">
        <v>36</v>
      </c>
      <c r="C1828" s="53" t="n">
        <v>461</v>
      </c>
      <c r="D1828" s="53" t="n">
        <v>3</v>
      </c>
      <c r="E1828" s="65" t="str">
        <f aca="false">IF($H1828="","",购销流水!$B461)</f>
        <v/>
      </c>
      <c r="F1828" s="55" t="str">
        <f aca="false">IF($H1828="","",购销流水!$C461)</f>
        <v/>
      </c>
      <c r="G1828" s="48" t="str">
        <f aca="false">IF($H1828="","",购销流水!$N461)</f>
        <v/>
      </c>
      <c r="H1828" s="10" t="str">
        <f aca="false">IF($L1828="","",IF($L1828="@成本",购销流水!$U461,IF($L1828="@收入",购销流水!$T461,IF($L1828="@存货",购销流水!$S461,IF($L1828="@结算",购销流水!$R461,$L1828)))))</f>
        <v/>
      </c>
      <c r="I1828" s="42" t="n">
        <f aca="false">IF($M1828="借",$O1828,0)</f>
        <v>0</v>
      </c>
      <c r="J1828" s="42" t="n">
        <f aca="false">IF($M1828="贷",$O1828,0)</f>
        <v>0</v>
      </c>
      <c r="K1828" s="48" t="str">
        <f aca="false">IF($H1828="","",购销流水!$E461)</f>
        <v/>
      </c>
      <c r="L1828" s="66" t="str">
        <f aca="false">IF(购销流水!$D461="","",IFERROR(INDEX(记账规则!$A$6:$N$9,MATCH(购销流水!$D461,记账规则!$A$6:$A$9,0),9),""))</f>
        <v/>
      </c>
      <c r="M1828" s="66" t="str">
        <f aca="false">IF($L1828="","",IFERROR(INDEX(记账规则!$A$6:$N$9,MATCH(购销流水!$D461,记账规则!$A$6:$A$9,0),10),""))</f>
        <v/>
      </c>
      <c r="N1828" s="66" t="str">
        <f aca="false">IF($L1828="","",IFERROR(INDEX(记账规则!$A$6:$N$9,MATCH(购销流水!$D461,记账规则!$A$6:$A$9,0),11),""))</f>
        <v/>
      </c>
      <c r="O1828" s="67" t="n">
        <f aca="false">IF($H1828="",0,ROUND(IF($N1828="成本金额",N(购销流水!$W461),IF($N1828="金额",N(购销流水!$Q461),0)),2))</f>
        <v>0</v>
      </c>
      <c r="P1828" s="64" t="str">
        <f aca="false">IF(AND($H1828&lt;&gt;"",ROUND($O1828,2)&lt;&gt;0),"有","")</f>
        <v/>
      </c>
    </row>
    <row r="1829" customFormat="false" ht="15" hidden="true" customHeight="false" outlineLevel="0" collapsed="false">
      <c r="A1829" s="53" t="str">
        <f aca="false">IF($H1829="","",ROW()-5)</f>
        <v/>
      </c>
      <c r="B1829" s="64" t="s">
        <v>36</v>
      </c>
      <c r="C1829" s="53" t="n">
        <v>461</v>
      </c>
      <c r="D1829" s="53" t="n">
        <v>4</v>
      </c>
      <c r="E1829" s="65" t="str">
        <f aca="false">IF($H1829="","",购销流水!$B461)</f>
        <v/>
      </c>
      <c r="F1829" s="55" t="str">
        <f aca="false">IF($H1829="","",购销流水!$C461)</f>
        <v/>
      </c>
      <c r="G1829" s="48" t="str">
        <f aca="false">IF($H1829="","",购销流水!$N461)</f>
        <v/>
      </c>
      <c r="H1829" s="10" t="str">
        <f aca="false">IF($L1829="","",IF($L1829="@成本",购销流水!$U461,IF($L1829="@收入",购销流水!$T461,IF($L1829="@存货",购销流水!$S461,IF($L1829="@结算",购销流水!$R461,$L1829)))))</f>
        <v/>
      </c>
      <c r="I1829" s="42" t="n">
        <f aca="false">IF($M1829="借",$O1829,0)</f>
        <v>0</v>
      </c>
      <c r="J1829" s="42" t="n">
        <f aca="false">IF($M1829="贷",$O1829,0)</f>
        <v>0</v>
      </c>
      <c r="K1829" s="48" t="str">
        <f aca="false">IF($H1829="","",购销流水!$E461)</f>
        <v/>
      </c>
      <c r="L1829" s="66" t="str">
        <f aca="false">IF(购销流水!$D461="","",IFERROR(INDEX(记账规则!$A$6:$N$9,MATCH(购销流水!$D461,记账规则!$A$6:$A$9,0),12),""))</f>
        <v/>
      </c>
      <c r="M1829" s="66" t="str">
        <f aca="false">IF($L1829="","",IFERROR(INDEX(记账规则!$A$6:$N$9,MATCH(购销流水!$D461,记账规则!$A$6:$A$9,0),13),""))</f>
        <v/>
      </c>
      <c r="N1829" s="66" t="str">
        <f aca="false">IF($L1829="","",IFERROR(INDEX(记账规则!$A$6:$N$9,MATCH(购销流水!$D461,记账规则!$A$6:$A$9,0),14),""))</f>
        <v/>
      </c>
      <c r="O1829" s="67" t="n">
        <f aca="false">IF($H1829="",0,ROUND(IF($N1829="成本金额",N(购销流水!$W461),IF($N1829="金额",N(购销流水!$Q461),0)),2))</f>
        <v>0</v>
      </c>
      <c r="P1829" s="64" t="str">
        <f aca="false">IF(AND($H1829&lt;&gt;"",ROUND($O1829,2)&lt;&gt;0),"有","")</f>
        <v/>
      </c>
    </row>
    <row r="1830" customFormat="false" ht="15" hidden="true" customHeight="false" outlineLevel="0" collapsed="false">
      <c r="A1830" s="53" t="str">
        <f aca="false">IF($H1830="","",ROW()-5)</f>
        <v/>
      </c>
      <c r="B1830" s="64" t="s">
        <v>36</v>
      </c>
      <c r="C1830" s="53" t="n">
        <v>462</v>
      </c>
      <c r="D1830" s="53" t="n">
        <v>1</v>
      </c>
      <c r="E1830" s="65" t="str">
        <f aca="false">IF($H1830="","",购销流水!$B462)</f>
        <v/>
      </c>
      <c r="F1830" s="55" t="str">
        <f aca="false">IF($H1830="","",购销流水!$C462)</f>
        <v/>
      </c>
      <c r="G1830" s="48" t="str">
        <f aca="false">IF($H1830="","",购销流水!$N462)</f>
        <v/>
      </c>
      <c r="H1830" s="10" t="str">
        <f aca="false">IF($L1830="","",IF($L1830="@成本",购销流水!$U462,IF($L1830="@收入",购销流水!$T462,IF($L1830="@存货",购销流水!$S462,IF($L1830="@结算",购销流水!$R462,$L1830)))))</f>
        <v/>
      </c>
      <c r="I1830" s="42" t="n">
        <f aca="false">IF($M1830="借",$O1830,0)</f>
        <v>0</v>
      </c>
      <c r="J1830" s="42" t="n">
        <f aca="false">IF($M1830="贷",$O1830,0)</f>
        <v>0</v>
      </c>
      <c r="K1830" s="48" t="str">
        <f aca="false">IF($H1830="","",购销流水!$E462)</f>
        <v/>
      </c>
      <c r="L1830" s="66" t="str">
        <f aca="false">IF(购销流水!$D462="","",IFERROR(INDEX(记账规则!$A$6:$N$9,MATCH(购销流水!$D462,记账规则!$A$6:$A$9,0),3),""))</f>
        <v/>
      </c>
      <c r="M1830" s="66" t="str">
        <f aca="false">IF($L1830="","",IFERROR(INDEX(记账规则!$A$6:$N$9,MATCH(购销流水!$D462,记账规则!$A$6:$A$9,0),4),""))</f>
        <v/>
      </c>
      <c r="N1830" s="66" t="str">
        <f aca="false">IF($L1830="","",IFERROR(INDEX(记账规则!$A$6:$N$9,MATCH(购销流水!$D462,记账规则!$A$6:$A$9,0),5),""))</f>
        <v/>
      </c>
      <c r="O1830" s="67" t="n">
        <f aca="false">IF($H1830="",0,ROUND(IF($N1830="成本金额",N(购销流水!$W462),IF($N1830="金额",N(购销流水!$Q462),0)),2))</f>
        <v>0</v>
      </c>
      <c r="P1830" s="64" t="str">
        <f aca="false">IF(AND($H1830&lt;&gt;"",ROUND($O1830,2)&lt;&gt;0),"有","")</f>
        <v/>
      </c>
    </row>
    <row r="1831" customFormat="false" ht="15" hidden="true" customHeight="false" outlineLevel="0" collapsed="false">
      <c r="A1831" s="53" t="str">
        <f aca="false">IF($H1831="","",ROW()-5)</f>
        <v/>
      </c>
      <c r="B1831" s="64" t="s">
        <v>36</v>
      </c>
      <c r="C1831" s="53" t="n">
        <v>462</v>
      </c>
      <c r="D1831" s="53" t="n">
        <v>2</v>
      </c>
      <c r="E1831" s="65" t="str">
        <f aca="false">IF($H1831="","",购销流水!$B462)</f>
        <v/>
      </c>
      <c r="F1831" s="55" t="str">
        <f aca="false">IF($H1831="","",购销流水!$C462)</f>
        <v/>
      </c>
      <c r="G1831" s="48" t="str">
        <f aca="false">IF($H1831="","",购销流水!$N462)</f>
        <v/>
      </c>
      <c r="H1831" s="10" t="str">
        <f aca="false">IF($L1831="","",IF($L1831="@成本",购销流水!$U462,IF($L1831="@收入",购销流水!$T462,IF($L1831="@存货",购销流水!$S462,IF($L1831="@结算",购销流水!$R462,$L1831)))))</f>
        <v/>
      </c>
      <c r="I1831" s="42" t="n">
        <f aca="false">IF($M1831="借",$O1831,0)</f>
        <v>0</v>
      </c>
      <c r="J1831" s="42" t="n">
        <f aca="false">IF($M1831="贷",$O1831,0)</f>
        <v>0</v>
      </c>
      <c r="K1831" s="48" t="str">
        <f aca="false">IF($H1831="","",购销流水!$E462)</f>
        <v/>
      </c>
      <c r="L1831" s="66" t="str">
        <f aca="false">IF(购销流水!$D462="","",IFERROR(INDEX(记账规则!$A$6:$N$9,MATCH(购销流水!$D462,记账规则!$A$6:$A$9,0),6),""))</f>
        <v/>
      </c>
      <c r="M1831" s="66" t="str">
        <f aca="false">IF($L1831="","",IFERROR(INDEX(记账规则!$A$6:$N$9,MATCH(购销流水!$D462,记账规则!$A$6:$A$9,0),7),""))</f>
        <v/>
      </c>
      <c r="N1831" s="66" t="str">
        <f aca="false">IF($L1831="","",IFERROR(INDEX(记账规则!$A$6:$N$9,MATCH(购销流水!$D462,记账规则!$A$6:$A$9,0),8),""))</f>
        <v/>
      </c>
      <c r="O1831" s="67" t="n">
        <f aca="false">IF($H1831="",0,ROUND(IF($N1831="成本金额",N(购销流水!$W462),IF($N1831="金额",N(购销流水!$Q462),0)),2))</f>
        <v>0</v>
      </c>
      <c r="P1831" s="64" t="str">
        <f aca="false">IF(AND($H1831&lt;&gt;"",ROUND($O1831,2)&lt;&gt;0),"有","")</f>
        <v/>
      </c>
    </row>
    <row r="1832" customFormat="false" ht="15" hidden="true" customHeight="false" outlineLevel="0" collapsed="false">
      <c r="A1832" s="53" t="str">
        <f aca="false">IF($H1832="","",ROW()-5)</f>
        <v/>
      </c>
      <c r="B1832" s="64" t="s">
        <v>36</v>
      </c>
      <c r="C1832" s="53" t="n">
        <v>462</v>
      </c>
      <c r="D1832" s="53" t="n">
        <v>3</v>
      </c>
      <c r="E1832" s="65" t="str">
        <f aca="false">IF($H1832="","",购销流水!$B462)</f>
        <v/>
      </c>
      <c r="F1832" s="55" t="str">
        <f aca="false">IF($H1832="","",购销流水!$C462)</f>
        <v/>
      </c>
      <c r="G1832" s="48" t="str">
        <f aca="false">IF($H1832="","",购销流水!$N462)</f>
        <v/>
      </c>
      <c r="H1832" s="10" t="str">
        <f aca="false">IF($L1832="","",IF($L1832="@成本",购销流水!$U462,IF($L1832="@收入",购销流水!$T462,IF($L1832="@存货",购销流水!$S462,IF($L1832="@结算",购销流水!$R462,$L1832)))))</f>
        <v/>
      </c>
      <c r="I1832" s="42" t="n">
        <f aca="false">IF($M1832="借",$O1832,0)</f>
        <v>0</v>
      </c>
      <c r="J1832" s="42" t="n">
        <f aca="false">IF($M1832="贷",$O1832,0)</f>
        <v>0</v>
      </c>
      <c r="K1832" s="48" t="str">
        <f aca="false">IF($H1832="","",购销流水!$E462)</f>
        <v/>
      </c>
      <c r="L1832" s="66" t="str">
        <f aca="false">IF(购销流水!$D462="","",IFERROR(INDEX(记账规则!$A$6:$N$9,MATCH(购销流水!$D462,记账规则!$A$6:$A$9,0),9),""))</f>
        <v/>
      </c>
      <c r="M1832" s="66" t="str">
        <f aca="false">IF($L1832="","",IFERROR(INDEX(记账规则!$A$6:$N$9,MATCH(购销流水!$D462,记账规则!$A$6:$A$9,0),10),""))</f>
        <v/>
      </c>
      <c r="N1832" s="66" t="str">
        <f aca="false">IF($L1832="","",IFERROR(INDEX(记账规则!$A$6:$N$9,MATCH(购销流水!$D462,记账规则!$A$6:$A$9,0),11),""))</f>
        <v/>
      </c>
      <c r="O1832" s="67" t="n">
        <f aca="false">IF($H1832="",0,ROUND(IF($N1832="成本金额",N(购销流水!$W462),IF($N1832="金额",N(购销流水!$Q462),0)),2))</f>
        <v>0</v>
      </c>
      <c r="P1832" s="64" t="str">
        <f aca="false">IF(AND($H1832&lt;&gt;"",ROUND($O1832,2)&lt;&gt;0),"有","")</f>
        <v/>
      </c>
    </row>
    <row r="1833" customFormat="false" ht="15" hidden="true" customHeight="false" outlineLevel="0" collapsed="false">
      <c r="A1833" s="53" t="str">
        <f aca="false">IF($H1833="","",ROW()-5)</f>
        <v/>
      </c>
      <c r="B1833" s="64" t="s">
        <v>36</v>
      </c>
      <c r="C1833" s="53" t="n">
        <v>462</v>
      </c>
      <c r="D1833" s="53" t="n">
        <v>4</v>
      </c>
      <c r="E1833" s="65" t="str">
        <f aca="false">IF($H1833="","",购销流水!$B462)</f>
        <v/>
      </c>
      <c r="F1833" s="55" t="str">
        <f aca="false">IF($H1833="","",购销流水!$C462)</f>
        <v/>
      </c>
      <c r="G1833" s="48" t="str">
        <f aca="false">IF($H1833="","",购销流水!$N462)</f>
        <v/>
      </c>
      <c r="H1833" s="10" t="str">
        <f aca="false">IF($L1833="","",IF($L1833="@成本",购销流水!$U462,IF($L1833="@收入",购销流水!$T462,IF($L1833="@存货",购销流水!$S462,IF($L1833="@结算",购销流水!$R462,$L1833)))))</f>
        <v/>
      </c>
      <c r="I1833" s="42" t="n">
        <f aca="false">IF($M1833="借",$O1833,0)</f>
        <v>0</v>
      </c>
      <c r="J1833" s="42" t="n">
        <f aca="false">IF($M1833="贷",$O1833,0)</f>
        <v>0</v>
      </c>
      <c r="K1833" s="48" t="str">
        <f aca="false">IF($H1833="","",购销流水!$E462)</f>
        <v/>
      </c>
      <c r="L1833" s="66" t="str">
        <f aca="false">IF(购销流水!$D462="","",IFERROR(INDEX(记账规则!$A$6:$N$9,MATCH(购销流水!$D462,记账规则!$A$6:$A$9,0),12),""))</f>
        <v/>
      </c>
      <c r="M1833" s="66" t="str">
        <f aca="false">IF($L1833="","",IFERROR(INDEX(记账规则!$A$6:$N$9,MATCH(购销流水!$D462,记账规则!$A$6:$A$9,0),13),""))</f>
        <v/>
      </c>
      <c r="N1833" s="66" t="str">
        <f aca="false">IF($L1833="","",IFERROR(INDEX(记账规则!$A$6:$N$9,MATCH(购销流水!$D462,记账规则!$A$6:$A$9,0),14),""))</f>
        <v/>
      </c>
      <c r="O1833" s="67" t="n">
        <f aca="false">IF($H1833="",0,ROUND(IF($N1833="成本金额",N(购销流水!$W462),IF($N1833="金额",N(购销流水!$Q462),0)),2))</f>
        <v>0</v>
      </c>
      <c r="P1833" s="64" t="str">
        <f aca="false">IF(AND($H1833&lt;&gt;"",ROUND($O1833,2)&lt;&gt;0),"有","")</f>
        <v/>
      </c>
    </row>
    <row r="1834" customFormat="false" ht="15" hidden="true" customHeight="false" outlineLevel="0" collapsed="false">
      <c r="A1834" s="53" t="str">
        <f aca="false">IF($H1834="","",ROW()-5)</f>
        <v/>
      </c>
      <c r="B1834" s="64" t="s">
        <v>36</v>
      </c>
      <c r="C1834" s="53" t="n">
        <v>463</v>
      </c>
      <c r="D1834" s="53" t="n">
        <v>1</v>
      </c>
      <c r="E1834" s="65" t="str">
        <f aca="false">IF($H1834="","",购销流水!$B463)</f>
        <v/>
      </c>
      <c r="F1834" s="55" t="str">
        <f aca="false">IF($H1834="","",购销流水!$C463)</f>
        <v/>
      </c>
      <c r="G1834" s="48" t="str">
        <f aca="false">IF($H1834="","",购销流水!$N463)</f>
        <v/>
      </c>
      <c r="H1834" s="10" t="str">
        <f aca="false">IF($L1834="","",IF($L1834="@成本",购销流水!$U463,IF($L1834="@收入",购销流水!$T463,IF($L1834="@存货",购销流水!$S463,IF($L1834="@结算",购销流水!$R463,$L1834)))))</f>
        <v/>
      </c>
      <c r="I1834" s="42" t="n">
        <f aca="false">IF($M1834="借",$O1834,0)</f>
        <v>0</v>
      </c>
      <c r="J1834" s="42" t="n">
        <f aca="false">IF($M1834="贷",$O1834,0)</f>
        <v>0</v>
      </c>
      <c r="K1834" s="48" t="str">
        <f aca="false">IF($H1834="","",购销流水!$E463)</f>
        <v/>
      </c>
      <c r="L1834" s="66" t="str">
        <f aca="false">IF(购销流水!$D463="","",IFERROR(INDEX(记账规则!$A$6:$N$9,MATCH(购销流水!$D463,记账规则!$A$6:$A$9,0),3),""))</f>
        <v/>
      </c>
      <c r="M1834" s="66" t="str">
        <f aca="false">IF($L1834="","",IFERROR(INDEX(记账规则!$A$6:$N$9,MATCH(购销流水!$D463,记账规则!$A$6:$A$9,0),4),""))</f>
        <v/>
      </c>
      <c r="N1834" s="66" t="str">
        <f aca="false">IF($L1834="","",IFERROR(INDEX(记账规则!$A$6:$N$9,MATCH(购销流水!$D463,记账规则!$A$6:$A$9,0),5),""))</f>
        <v/>
      </c>
      <c r="O1834" s="67" t="n">
        <f aca="false">IF($H1834="",0,ROUND(IF($N1834="成本金额",N(购销流水!$W463),IF($N1834="金额",N(购销流水!$Q463),0)),2))</f>
        <v>0</v>
      </c>
      <c r="P1834" s="64" t="str">
        <f aca="false">IF(AND($H1834&lt;&gt;"",ROUND($O1834,2)&lt;&gt;0),"有","")</f>
        <v/>
      </c>
    </row>
    <row r="1835" customFormat="false" ht="15" hidden="true" customHeight="false" outlineLevel="0" collapsed="false">
      <c r="A1835" s="53" t="str">
        <f aca="false">IF($H1835="","",ROW()-5)</f>
        <v/>
      </c>
      <c r="B1835" s="64" t="s">
        <v>36</v>
      </c>
      <c r="C1835" s="53" t="n">
        <v>463</v>
      </c>
      <c r="D1835" s="53" t="n">
        <v>2</v>
      </c>
      <c r="E1835" s="65" t="str">
        <f aca="false">IF($H1835="","",购销流水!$B463)</f>
        <v/>
      </c>
      <c r="F1835" s="55" t="str">
        <f aca="false">IF($H1835="","",购销流水!$C463)</f>
        <v/>
      </c>
      <c r="G1835" s="48" t="str">
        <f aca="false">IF($H1835="","",购销流水!$N463)</f>
        <v/>
      </c>
      <c r="H1835" s="10" t="str">
        <f aca="false">IF($L1835="","",IF($L1835="@成本",购销流水!$U463,IF($L1835="@收入",购销流水!$T463,IF($L1835="@存货",购销流水!$S463,IF($L1835="@结算",购销流水!$R463,$L1835)))))</f>
        <v/>
      </c>
      <c r="I1835" s="42" t="n">
        <f aca="false">IF($M1835="借",$O1835,0)</f>
        <v>0</v>
      </c>
      <c r="J1835" s="42" t="n">
        <f aca="false">IF($M1835="贷",$O1835,0)</f>
        <v>0</v>
      </c>
      <c r="K1835" s="48" t="str">
        <f aca="false">IF($H1835="","",购销流水!$E463)</f>
        <v/>
      </c>
      <c r="L1835" s="66" t="str">
        <f aca="false">IF(购销流水!$D463="","",IFERROR(INDEX(记账规则!$A$6:$N$9,MATCH(购销流水!$D463,记账规则!$A$6:$A$9,0),6),""))</f>
        <v/>
      </c>
      <c r="M1835" s="66" t="str">
        <f aca="false">IF($L1835="","",IFERROR(INDEX(记账规则!$A$6:$N$9,MATCH(购销流水!$D463,记账规则!$A$6:$A$9,0),7),""))</f>
        <v/>
      </c>
      <c r="N1835" s="66" t="str">
        <f aca="false">IF($L1835="","",IFERROR(INDEX(记账规则!$A$6:$N$9,MATCH(购销流水!$D463,记账规则!$A$6:$A$9,0),8),""))</f>
        <v/>
      </c>
      <c r="O1835" s="67" t="n">
        <f aca="false">IF($H1835="",0,ROUND(IF($N1835="成本金额",N(购销流水!$W463),IF($N1835="金额",N(购销流水!$Q463),0)),2))</f>
        <v>0</v>
      </c>
      <c r="P1835" s="64" t="str">
        <f aca="false">IF(AND($H1835&lt;&gt;"",ROUND($O1835,2)&lt;&gt;0),"有","")</f>
        <v/>
      </c>
    </row>
    <row r="1836" customFormat="false" ht="15" hidden="true" customHeight="false" outlineLevel="0" collapsed="false">
      <c r="A1836" s="53" t="str">
        <f aca="false">IF($H1836="","",ROW()-5)</f>
        <v/>
      </c>
      <c r="B1836" s="64" t="s">
        <v>36</v>
      </c>
      <c r="C1836" s="53" t="n">
        <v>463</v>
      </c>
      <c r="D1836" s="53" t="n">
        <v>3</v>
      </c>
      <c r="E1836" s="65" t="str">
        <f aca="false">IF($H1836="","",购销流水!$B463)</f>
        <v/>
      </c>
      <c r="F1836" s="55" t="str">
        <f aca="false">IF($H1836="","",购销流水!$C463)</f>
        <v/>
      </c>
      <c r="G1836" s="48" t="str">
        <f aca="false">IF($H1836="","",购销流水!$N463)</f>
        <v/>
      </c>
      <c r="H1836" s="10" t="str">
        <f aca="false">IF($L1836="","",IF($L1836="@成本",购销流水!$U463,IF($L1836="@收入",购销流水!$T463,IF($L1836="@存货",购销流水!$S463,IF($L1836="@结算",购销流水!$R463,$L1836)))))</f>
        <v/>
      </c>
      <c r="I1836" s="42" t="n">
        <f aca="false">IF($M1836="借",$O1836,0)</f>
        <v>0</v>
      </c>
      <c r="J1836" s="42" t="n">
        <f aca="false">IF($M1836="贷",$O1836,0)</f>
        <v>0</v>
      </c>
      <c r="K1836" s="48" t="str">
        <f aca="false">IF($H1836="","",购销流水!$E463)</f>
        <v/>
      </c>
      <c r="L1836" s="66" t="str">
        <f aca="false">IF(购销流水!$D463="","",IFERROR(INDEX(记账规则!$A$6:$N$9,MATCH(购销流水!$D463,记账规则!$A$6:$A$9,0),9),""))</f>
        <v/>
      </c>
      <c r="M1836" s="66" t="str">
        <f aca="false">IF($L1836="","",IFERROR(INDEX(记账规则!$A$6:$N$9,MATCH(购销流水!$D463,记账规则!$A$6:$A$9,0),10),""))</f>
        <v/>
      </c>
      <c r="N1836" s="66" t="str">
        <f aca="false">IF($L1836="","",IFERROR(INDEX(记账规则!$A$6:$N$9,MATCH(购销流水!$D463,记账规则!$A$6:$A$9,0),11),""))</f>
        <v/>
      </c>
      <c r="O1836" s="67" t="n">
        <f aca="false">IF($H1836="",0,ROUND(IF($N1836="成本金额",N(购销流水!$W463),IF($N1836="金额",N(购销流水!$Q463),0)),2))</f>
        <v>0</v>
      </c>
      <c r="P1836" s="64" t="str">
        <f aca="false">IF(AND($H1836&lt;&gt;"",ROUND($O1836,2)&lt;&gt;0),"有","")</f>
        <v/>
      </c>
    </row>
    <row r="1837" customFormat="false" ht="15" hidden="true" customHeight="false" outlineLevel="0" collapsed="false">
      <c r="A1837" s="53" t="str">
        <f aca="false">IF($H1837="","",ROW()-5)</f>
        <v/>
      </c>
      <c r="B1837" s="64" t="s">
        <v>36</v>
      </c>
      <c r="C1837" s="53" t="n">
        <v>463</v>
      </c>
      <c r="D1837" s="53" t="n">
        <v>4</v>
      </c>
      <c r="E1837" s="65" t="str">
        <f aca="false">IF($H1837="","",购销流水!$B463)</f>
        <v/>
      </c>
      <c r="F1837" s="55" t="str">
        <f aca="false">IF($H1837="","",购销流水!$C463)</f>
        <v/>
      </c>
      <c r="G1837" s="48" t="str">
        <f aca="false">IF($H1837="","",购销流水!$N463)</f>
        <v/>
      </c>
      <c r="H1837" s="10" t="str">
        <f aca="false">IF($L1837="","",IF($L1837="@成本",购销流水!$U463,IF($L1837="@收入",购销流水!$T463,IF($L1837="@存货",购销流水!$S463,IF($L1837="@结算",购销流水!$R463,$L1837)))))</f>
        <v/>
      </c>
      <c r="I1837" s="42" t="n">
        <f aca="false">IF($M1837="借",$O1837,0)</f>
        <v>0</v>
      </c>
      <c r="J1837" s="42" t="n">
        <f aca="false">IF($M1837="贷",$O1837,0)</f>
        <v>0</v>
      </c>
      <c r="K1837" s="48" t="str">
        <f aca="false">IF($H1837="","",购销流水!$E463)</f>
        <v/>
      </c>
      <c r="L1837" s="66" t="str">
        <f aca="false">IF(购销流水!$D463="","",IFERROR(INDEX(记账规则!$A$6:$N$9,MATCH(购销流水!$D463,记账规则!$A$6:$A$9,0),12),""))</f>
        <v/>
      </c>
      <c r="M1837" s="66" t="str">
        <f aca="false">IF($L1837="","",IFERROR(INDEX(记账规则!$A$6:$N$9,MATCH(购销流水!$D463,记账规则!$A$6:$A$9,0),13),""))</f>
        <v/>
      </c>
      <c r="N1837" s="66" t="str">
        <f aca="false">IF($L1837="","",IFERROR(INDEX(记账规则!$A$6:$N$9,MATCH(购销流水!$D463,记账规则!$A$6:$A$9,0),14),""))</f>
        <v/>
      </c>
      <c r="O1837" s="67" t="n">
        <f aca="false">IF($H1837="",0,ROUND(IF($N1837="成本金额",N(购销流水!$W463),IF($N1837="金额",N(购销流水!$Q463),0)),2))</f>
        <v>0</v>
      </c>
      <c r="P1837" s="64" t="str">
        <f aca="false">IF(AND($H1837&lt;&gt;"",ROUND($O1837,2)&lt;&gt;0),"有","")</f>
        <v/>
      </c>
    </row>
    <row r="1838" customFormat="false" ht="15" hidden="true" customHeight="false" outlineLevel="0" collapsed="false">
      <c r="A1838" s="53" t="str">
        <f aca="false">IF($H1838="","",ROW()-5)</f>
        <v/>
      </c>
      <c r="B1838" s="64" t="s">
        <v>36</v>
      </c>
      <c r="C1838" s="53" t="n">
        <v>464</v>
      </c>
      <c r="D1838" s="53" t="n">
        <v>1</v>
      </c>
      <c r="E1838" s="65" t="str">
        <f aca="false">IF($H1838="","",购销流水!$B464)</f>
        <v/>
      </c>
      <c r="F1838" s="55" t="str">
        <f aca="false">IF($H1838="","",购销流水!$C464)</f>
        <v/>
      </c>
      <c r="G1838" s="48" t="str">
        <f aca="false">IF($H1838="","",购销流水!$N464)</f>
        <v/>
      </c>
      <c r="H1838" s="10" t="str">
        <f aca="false">IF($L1838="","",IF($L1838="@成本",购销流水!$U464,IF($L1838="@收入",购销流水!$T464,IF($L1838="@存货",购销流水!$S464,IF($L1838="@结算",购销流水!$R464,$L1838)))))</f>
        <v/>
      </c>
      <c r="I1838" s="42" t="n">
        <f aca="false">IF($M1838="借",$O1838,0)</f>
        <v>0</v>
      </c>
      <c r="J1838" s="42" t="n">
        <f aca="false">IF($M1838="贷",$O1838,0)</f>
        <v>0</v>
      </c>
      <c r="K1838" s="48" t="str">
        <f aca="false">IF($H1838="","",购销流水!$E464)</f>
        <v/>
      </c>
      <c r="L1838" s="66" t="str">
        <f aca="false">IF(购销流水!$D464="","",IFERROR(INDEX(记账规则!$A$6:$N$9,MATCH(购销流水!$D464,记账规则!$A$6:$A$9,0),3),""))</f>
        <v/>
      </c>
      <c r="M1838" s="66" t="str">
        <f aca="false">IF($L1838="","",IFERROR(INDEX(记账规则!$A$6:$N$9,MATCH(购销流水!$D464,记账规则!$A$6:$A$9,0),4),""))</f>
        <v/>
      </c>
      <c r="N1838" s="66" t="str">
        <f aca="false">IF($L1838="","",IFERROR(INDEX(记账规则!$A$6:$N$9,MATCH(购销流水!$D464,记账规则!$A$6:$A$9,0),5),""))</f>
        <v/>
      </c>
      <c r="O1838" s="67" t="n">
        <f aca="false">IF($H1838="",0,ROUND(IF($N1838="成本金额",N(购销流水!$W464),IF($N1838="金额",N(购销流水!$Q464),0)),2))</f>
        <v>0</v>
      </c>
      <c r="P1838" s="64" t="str">
        <f aca="false">IF(AND($H1838&lt;&gt;"",ROUND($O1838,2)&lt;&gt;0),"有","")</f>
        <v/>
      </c>
    </row>
    <row r="1839" customFormat="false" ht="15" hidden="true" customHeight="false" outlineLevel="0" collapsed="false">
      <c r="A1839" s="53" t="str">
        <f aca="false">IF($H1839="","",ROW()-5)</f>
        <v/>
      </c>
      <c r="B1839" s="64" t="s">
        <v>36</v>
      </c>
      <c r="C1839" s="53" t="n">
        <v>464</v>
      </c>
      <c r="D1839" s="53" t="n">
        <v>2</v>
      </c>
      <c r="E1839" s="65" t="str">
        <f aca="false">IF($H1839="","",购销流水!$B464)</f>
        <v/>
      </c>
      <c r="F1839" s="55" t="str">
        <f aca="false">IF($H1839="","",购销流水!$C464)</f>
        <v/>
      </c>
      <c r="G1839" s="48" t="str">
        <f aca="false">IF($H1839="","",购销流水!$N464)</f>
        <v/>
      </c>
      <c r="H1839" s="10" t="str">
        <f aca="false">IF($L1839="","",IF($L1839="@成本",购销流水!$U464,IF($L1839="@收入",购销流水!$T464,IF($L1839="@存货",购销流水!$S464,IF($L1839="@结算",购销流水!$R464,$L1839)))))</f>
        <v/>
      </c>
      <c r="I1839" s="42" t="n">
        <f aca="false">IF($M1839="借",$O1839,0)</f>
        <v>0</v>
      </c>
      <c r="J1839" s="42" t="n">
        <f aca="false">IF($M1839="贷",$O1839,0)</f>
        <v>0</v>
      </c>
      <c r="K1839" s="48" t="str">
        <f aca="false">IF($H1839="","",购销流水!$E464)</f>
        <v/>
      </c>
      <c r="L1839" s="66" t="str">
        <f aca="false">IF(购销流水!$D464="","",IFERROR(INDEX(记账规则!$A$6:$N$9,MATCH(购销流水!$D464,记账规则!$A$6:$A$9,0),6),""))</f>
        <v/>
      </c>
      <c r="M1839" s="66" t="str">
        <f aca="false">IF($L1839="","",IFERROR(INDEX(记账规则!$A$6:$N$9,MATCH(购销流水!$D464,记账规则!$A$6:$A$9,0),7),""))</f>
        <v/>
      </c>
      <c r="N1839" s="66" t="str">
        <f aca="false">IF($L1839="","",IFERROR(INDEX(记账规则!$A$6:$N$9,MATCH(购销流水!$D464,记账规则!$A$6:$A$9,0),8),""))</f>
        <v/>
      </c>
      <c r="O1839" s="67" t="n">
        <f aca="false">IF($H1839="",0,ROUND(IF($N1839="成本金额",N(购销流水!$W464),IF($N1839="金额",N(购销流水!$Q464),0)),2))</f>
        <v>0</v>
      </c>
      <c r="P1839" s="64" t="str">
        <f aca="false">IF(AND($H1839&lt;&gt;"",ROUND($O1839,2)&lt;&gt;0),"有","")</f>
        <v/>
      </c>
    </row>
    <row r="1840" customFormat="false" ht="15" hidden="true" customHeight="false" outlineLevel="0" collapsed="false">
      <c r="A1840" s="53" t="str">
        <f aca="false">IF($H1840="","",ROW()-5)</f>
        <v/>
      </c>
      <c r="B1840" s="64" t="s">
        <v>36</v>
      </c>
      <c r="C1840" s="53" t="n">
        <v>464</v>
      </c>
      <c r="D1840" s="53" t="n">
        <v>3</v>
      </c>
      <c r="E1840" s="65" t="str">
        <f aca="false">IF($H1840="","",购销流水!$B464)</f>
        <v/>
      </c>
      <c r="F1840" s="55" t="str">
        <f aca="false">IF($H1840="","",购销流水!$C464)</f>
        <v/>
      </c>
      <c r="G1840" s="48" t="str">
        <f aca="false">IF($H1840="","",购销流水!$N464)</f>
        <v/>
      </c>
      <c r="H1840" s="10" t="str">
        <f aca="false">IF($L1840="","",IF($L1840="@成本",购销流水!$U464,IF($L1840="@收入",购销流水!$T464,IF($L1840="@存货",购销流水!$S464,IF($L1840="@结算",购销流水!$R464,$L1840)))))</f>
        <v/>
      </c>
      <c r="I1840" s="42" t="n">
        <f aca="false">IF($M1840="借",$O1840,0)</f>
        <v>0</v>
      </c>
      <c r="J1840" s="42" t="n">
        <f aca="false">IF($M1840="贷",$O1840,0)</f>
        <v>0</v>
      </c>
      <c r="K1840" s="48" t="str">
        <f aca="false">IF($H1840="","",购销流水!$E464)</f>
        <v/>
      </c>
      <c r="L1840" s="66" t="str">
        <f aca="false">IF(购销流水!$D464="","",IFERROR(INDEX(记账规则!$A$6:$N$9,MATCH(购销流水!$D464,记账规则!$A$6:$A$9,0),9),""))</f>
        <v/>
      </c>
      <c r="M1840" s="66" t="str">
        <f aca="false">IF($L1840="","",IFERROR(INDEX(记账规则!$A$6:$N$9,MATCH(购销流水!$D464,记账规则!$A$6:$A$9,0),10),""))</f>
        <v/>
      </c>
      <c r="N1840" s="66" t="str">
        <f aca="false">IF($L1840="","",IFERROR(INDEX(记账规则!$A$6:$N$9,MATCH(购销流水!$D464,记账规则!$A$6:$A$9,0),11),""))</f>
        <v/>
      </c>
      <c r="O1840" s="67" t="n">
        <f aca="false">IF($H1840="",0,ROUND(IF($N1840="成本金额",N(购销流水!$W464),IF($N1840="金额",N(购销流水!$Q464),0)),2))</f>
        <v>0</v>
      </c>
      <c r="P1840" s="64" t="str">
        <f aca="false">IF(AND($H1840&lt;&gt;"",ROUND($O1840,2)&lt;&gt;0),"有","")</f>
        <v/>
      </c>
    </row>
    <row r="1841" customFormat="false" ht="15" hidden="true" customHeight="false" outlineLevel="0" collapsed="false">
      <c r="A1841" s="53" t="str">
        <f aca="false">IF($H1841="","",ROW()-5)</f>
        <v/>
      </c>
      <c r="B1841" s="64" t="s">
        <v>36</v>
      </c>
      <c r="C1841" s="53" t="n">
        <v>464</v>
      </c>
      <c r="D1841" s="53" t="n">
        <v>4</v>
      </c>
      <c r="E1841" s="65" t="str">
        <f aca="false">IF($H1841="","",购销流水!$B464)</f>
        <v/>
      </c>
      <c r="F1841" s="55" t="str">
        <f aca="false">IF($H1841="","",购销流水!$C464)</f>
        <v/>
      </c>
      <c r="G1841" s="48" t="str">
        <f aca="false">IF($H1841="","",购销流水!$N464)</f>
        <v/>
      </c>
      <c r="H1841" s="10" t="str">
        <f aca="false">IF($L1841="","",IF($L1841="@成本",购销流水!$U464,IF($L1841="@收入",购销流水!$T464,IF($L1841="@存货",购销流水!$S464,IF($L1841="@结算",购销流水!$R464,$L1841)))))</f>
        <v/>
      </c>
      <c r="I1841" s="42" t="n">
        <f aca="false">IF($M1841="借",$O1841,0)</f>
        <v>0</v>
      </c>
      <c r="J1841" s="42" t="n">
        <f aca="false">IF($M1841="贷",$O1841,0)</f>
        <v>0</v>
      </c>
      <c r="K1841" s="48" t="str">
        <f aca="false">IF($H1841="","",购销流水!$E464)</f>
        <v/>
      </c>
      <c r="L1841" s="66" t="str">
        <f aca="false">IF(购销流水!$D464="","",IFERROR(INDEX(记账规则!$A$6:$N$9,MATCH(购销流水!$D464,记账规则!$A$6:$A$9,0),12),""))</f>
        <v/>
      </c>
      <c r="M1841" s="66" t="str">
        <f aca="false">IF($L1841="","",IFERROR(INDEX(记账规则!$A$6:$N$9,MATCH(购销流水!$D464,记账规则!$A$6:$A$9,0),13),""))</f>
        <v/>
      </c>
      <c r="N1841" s="66" t="str">
        <f aca="false">IF($L1841="","",IFERROR(INDEX(记账规则!$A$6:$N$9,MATCH(购销流水!$D464,记账规则!$A$6:$A$9,0),14),""))</f>
        <v/>
      </c>
      <c r="O1841" s="67" t="n">
        <f aca="false">IF($H1841="",0,ROUND(IF($N1841="成本金额",N(购销流水!$W464),IF($N1841="金额",N(购销流水!$Q464),0)),2))</f>
        <v>0</v>
      </c>
      <c r="P1841" s="64" t="str">
        <f aca="false">IF(AND($H1841&lt;&gt;"",ROUND($O1841,2)&lt;&gt;0),"有","")</f>
        <v/>
      </c>
    </row>
    <row r="1842" customFormat="false" ht="15" hidden="true" customHeight="false" outlineLevel="0" collapsed="false">
      <c r="A1842" s="53" t="str">
        <f aca="false">IF($H1842="","",ROW()-5)</f>
        <v/>
      </c>
      <c r="B1842" s="64" t="s">
        <v>36</v>
      </c>
      <c r="C1842" s="53" t="n">
        <v>465</v>
      </c>
      <c r="D1842" s="53" t="n">
        <v>1</v>
      </c>
      <c r="E1842" s="65" t="str">
        <f aca="false">IF($H1842="","",购销流水!$B465)</f>
        <v/>
      </c>
      <c r="F1842" s="55" t="str">
        <f aca="false">IF($H1842="","",购销流水!$C465)</f>
        <v/>
      </c>
      <c r="G1842" s="48" t="str">
        <f aca="false">IF($H1842="","",购销流水!$N465)</f>
        <v/>
      </c>
      <c r="H1842" s="10" t="str">
        <f aca="false">IF($L1842="","",IF($L1842="@成本",购销流水!$U465,IF($L1842="@收入",购销流水!$T465,IF($L1842="@存货",购销流水!$S465,IF($L1842="@结算",购销流水!$R465,$L1842)))))</f>
        <v/>
      </c>
      <c r="I1842" s="42" t="n">
        <f aca="false">IF($M1842="借",$O1842,0)</f>
        <v>0</v>
      </c>
      <c r="J1842" s="42" t="n">
        <f aca="false">IF($M1842="贷",$O1842,0)</f>
        <v>0</v>
      </c>
      <c r="K1842" s="48" t="str">
        <f aca="false">IF($H1842="","",购销流水!$E465)</f>
        <v/>
      </c>
      <c r="L1842" s="66" t="str">
        <f aca="false">IF(购销流水!$D465="","",IFERROR(INDEX(记账规则!$A$6:$N$9,MATCH(购销流水!$D465,记账规则!$A$6:$A$9,0),3),""))</f>
        <v/>
      </c>
      <c r="M1842" s="66" t="str">
        <f aca="false">IF($L1842="","",IFERROR(INDEX(记账规则!$A$6:$N$9,MATCH(购销流水!$D465,记账规则!$A$6:$A$9,0),4),""))</f>
        <v/>
      </c>
      <c r="N1842" s="66" t="str">
        <f aca="false">IF($L1842="","",IFERROR(INDEX(记账规则!$A$6:$N$9,MATCH(购销流水!$D465,记账规则!$A$6:$A$9,0),5),""))</f>
        <v/>
      </c>
      <c r="O1842" s="67" t="n">
        <f aca="false">IF($H1842="",0,ROUND(IF($N1842="成本金额",N(购销流水!$W465),IF($N1842="金额",N(购销流水!$Q465),0)),2))</f>
        <v>0</v>
      </c>
      <c r="P1842" s="64" t="str">
        <f aca="false">IF(AND($H1842&lt;&gt;"",ROUND($O1842,2)&lt;&gt;0),"有","")</f>
        <v/>
      </c>
    </row>
    <row r="1843" customFormat="false" ht="15" hidden="true" customHeight="false" outlineLevel="0" collapsed="false">
      <c r="A1843" s="53" t="str">
        <f aca="false">IF($H1843="","",ROW()-5)</f>
        <v/>
      </c>
      <c r="B1843" s="64" t="s">
        <v>36</v>
      </c>
      <c r="C1843" s="53" t="n">
        <v>465</v>
      </c>
      <c r="D1843" s="53" t="n">
        <v>2</v>
      </c>
      <c r="E1843" s="65" t="str">
        <f aca="false">IF($H1843="","",购销流水!$B465)</f>
        <v/>
      </c>
      <c r="F1843" s="55" t="str">
        <f aca="false">IF($H1843="","",购销流水!$C465)</f>
        <v/>
      </c>
      <c r="G1843" s="48" t="str">
        <f aca="false">IF($H1843="","",购销流水!$N465)</f>
        <v/>
      </c>
      <c r="H1843" s="10" t="str">
        <f aca="false">IF($L1843="","",IF($L1843="@成本",购销流水!$U465,IF($L1843="@收入",购销流水!$T465,IF($L1843="@存货",购销流水!$S465,IF($L1843="@结算",购销流水!$R465,$L1843)))))</f>
        <v/>
      </c>
      <c r="I1843" s="42" t="n">
        <f aca="false">IF($M1843="借",$O1843,0)</f>
        <v>0</v>
      </c>
      <c r="J1843" s="42" t="n">
        <f aca="false">IF($M1843="贷",$O1843,0)</f>
        <v>0</v>
      </c>
      <c r="K1843" s="48" t="str">
        <f aca="false">IF($H1843="","",购销流水!$E465)</f>
        <v/>
      </c>
      <c r="L1843" s="66" t="str">
        <f aca="false">IF(购销流水!$D465="","",IFERROR(INDEX(记账规则!$A$6:$N$9,MATCH(购销流水!$D465,记账规则!$A$6:$A$9,0),6),""))</f>
        <v/>
      </c>
      <c r="M1843" s="66" t="str">
        <f aca="false">IF($L1843="","",IFERROR(INDEX(记账规则!$A$6:$N$9,MATCH(购销流水!$D465,记账规则!$A$6:$A$9,0),7),""))</f>
        <v/>
      </c>
      <c r="N1843" s="66" t="str">
        <f aca="false">IF($L1843="","",IFERROR(INDEX(记账规则!$A$6:$N$9,MATCH(购销流水!$D465,记账规则!$A$6:$A$9,0),8),""))</f>
        <v/>
      </c>
      <c r="O1843" s="67" t="n">
        <f aca="false">IF($H1843="",0,ROUND(IF($N1843="成本金额",N(购销流水!$W465),IF($N1843="金额",N(购销流水!$Q465),0)),2))</f>
        <v>0</v>
      </c>
      <c r="P1843" s="64" t="str">
        <f aca="false">IF(AND($H1843&lt;&gt;"",ROUND($O1843,2)&lt;&gt;0),"有","")</f>
        <v/>
      </c>
    </row>
    <row r="1844" customFormat="false" ht="15" hidden="true" customHeight="false" outlineLevel="0" collapsed="false">
      <c r="A1844" s="53" t="str">
        <f aca="false">IF($H1844="","",ROW()-5)</f>
        <v/>
      </c>
      <c r="B1844" s="64" t="s">
        <v>36</v>
      </c>
      <c r="C1844" s="53" t="n">
        <v>465</v>
      </c>
      <c r="D1844" s="53" t="n">
        <v>3</v>
      </c>
      <c r="E1844" s="65" t="str">
        <f aca="false">IF($H1844="","",购销流水!$B465)</f>
        <v/>
      </c>
      <c r="F1844" s="55" t="str">
        <f aca="false">IF($H1844="","",购销流水!$C465)</f>
        <v/>
      </c>
      <c r="G1844" s="48" t="str">
        <f aca="false">IF($H1844="","",购销流水!$N465)</f>
        <v/>
      </c>
      <c r="H1844" s="10" t="str">
        <f aca="false">IF($L1844="","",IF($L1844="@成本",购销流水!$U465,IF($L1844="@收入",购销流水!$T465,IF($L1844="@存货",购销流水!$S465,IF($L1844="@结算",购销流水!$R465,$L1844)))))</f>
        <v/>
      </c>
      <c r="I1844" s="42" t="n">
        <f aca="false">IF($M1844="借",$O1844,0)</f>
        <v>0</v>
      </c>
      <c r="J1844" s="42" t="n">
        <f aca="false">IF($M1844="贷",$O1844,0)</f>
        <v>0</v>
      </c>
      <c r="K1844" s="48" t="str">
        <f aca="false">IF($H1844="","",购销流水!$E465)</f>
        <v/>
      </c>
      <c r="L1844" s="66" t="str">
        <f aca="false">IF(购销流水!$D465="","",IFERROR(INDEX(记账规则!$A$6:$N$9,MATCH(购销流水!$D465,记账规则!$A$6:$A$9,0),9),""))</f>
        <v/>
      </c>
      <c r="M1844" s="66" t="str">
        <f aca="false">IF($L1844="","",IFERROR(INDEX(记账规则!$A$6:$N$9,MATCH(购销流水!$D465,记账规则!$A$6:$A$9,0),10),""))</f>
        <v/>
      </c>
      <c r="N1844" s="66" t="str">
        <f aca="false">IF($L1844="","",IFERROR(INDEX(记账规则!$A$6:$N$9,MATCH(购销流水!$D465,记账规则!$A$6:$A$9,0),11),""))</f>
        <v/>
      </c>
      <c r="O1844" s="67" t="n">
        <f aca="false">IF($H1844="",0,ROUND(IF($N1844="成本金额",N(购销流水!$W465),IF($N1844="金额",N(购销流水!$Q465),0)),2))</f>
        <v>0</v>
      </c>
      <c r="P1844" s="64" t="str">
        <f aca="false">IF(AND($H1844&lt;&gt;"",ROUND($O1844,2)&lt;&gt;0),"有","")</f>
        <v/>
      </c>
    </row>
    <row r="1845" customFormat="false" ht="15" hidden="true" customHeight="false" outlineLevel="0" collapsed="false">
      <c r="A1845" s="53" t="str">
        <f aca="false">IF($H1845="","",ROW()-5)</f>
        <v/>
      </c>
      <c r="B1845" s="64" t="s">
        <v>36</v>
      </c>
      <c r="C1845" s="53" t="n">
        <v>465</v>
      </c>
      <c r="D1845" s="53" t="n">
        <v>4</v>
      </c>
      <c r="E1845" s="65" t="str">
        <f aca="false">IF($H1845="","",购销流水!$B465)</f>
        <v/>
      </c>
      <c r="F1845" s="55" t="str">
        <f aca="false">IF($H1845="","",购销流水!$C465)</f>
        <v/>
      </c>
      <c r="G1845" s="48" t="str">
        <f aca="false">IF($H1845="","",购销流水!$N465)</f>
        <v/>
      </c>
      <c r="H1845" s="10" t="str">
        <f aca="false">IF($L1845="","",IF($L1845="@成本",购销流水!$U465,IF($L1845="@收入",购销流水!$T465,IF($L1845="@存货",购销流水!$S465,IF($L1845="@结算",购销流水!$R465,$L1845)))))</f>
        <v/>
      </c>
      <c r="I1845" s="42" t="n">
        <f aca="false">IF($M1845="借",$O1845,0)</f>
        <v>0</v>
      </c>
      <c r="J1845" s="42" t="n">
        <f aca="false">IF($M1845="贷",$O1845,0)</f>
        <v>0</v>
      </c>
      <c r="K1845" s="48" t="str">
        <f aca="false">IF($H1845="","",购销流水!$E465)</f>
        <v/>
      </c>
      <c r="L1845" s="66" t="str">
        <f aca="false">IF(购销流水!$D465="","",IFERROR(INDEX(记账规则!$A$6:$N$9,MATCH(购销流水!$D465,记账规则!$A$6:$A$9,0),12),""))</f>
        <v/>
      </c>
      <c r="M1845" s="66" t="str">
        <f aca="false">IF($L1845="","",IFERROR(INDEX(记账规则!$A$6:$N$9,MATCH(购销流水!$D465,记账规则!$A$6:$A$9,0),13),""))</f>
        <v/>
      </c>
      <c r="N1845" s="66" t="str">
        <f aca="false">IF($L1845="","",IFERROR(INDEX(记账规则!$A$6:$N$9,MATCH(购销流水!$D465,记账规则!$A$6:$A$9,0),14),""))</f>
        <v/>
      </c>
      <c r="O1845" s="67" t="n">
        <f aca="false">IF($H1845="",0,ROUND(IF($N1845="成本金额",N(购销流水!$W465),IF($N1845="金额",N(购销流水!$Q465),0)),2))</f>
        <v>0</v>
      </c>
      <c r="P1845" s="64" t="str">
        <f aca="false">IF(AND($H1845&lt;&gt;"",ROUND($O1845,2)&lt;&gt;0),"有","")</f>
        <v/>
      </c>
    </row>
    <row r="1846" customFormat="false" ht="15" hidden="true" customHeight="false" outlineLevel="0" collapsed="false">
      <c r="A1846" s="53" t="str">
        <f aca="false">IF($H1846="","",ROW()-5)</f>
        <v/>
      </c>
      <c r="B1846" s="64" t="s">
        <v>36</v>
      </c>
      <c r="C1846" s="53" t="n">
        <v>466</v>
      </c>
      <c r="D1846" s="53" t="n">
        <v>1</v>
      </c>
      <c r="E1846" s="65" t="str">
        <f aca="false">IF($H1846="","",购销流水!$B466)</f>
        <v/>
      </c>
      <c r="F1846" s="55" t="str">
        <f aca="false">IF($H1846="","",购销流水!$C466)</f>
        <v/>
      </c>
      <c r="G1846" s="48" t="str">
        <f aca="false">IF($H1846="","",购销流水!$N466)</f>
        <v/>
      </c>
      <c r="H1846" s="10" t="str">
        <f aca="false">IF($L1846="","",IF($L1846="@成本",购销流水!$U466,IF($L1846="@收入",购销流水!$T466,IF($L1846="@存货",购销流水!$S466,IF($L1846="@结算",购销流水!$R466,$L1846)))))</f>
        <v/>
      </c>
      <c r="I1846" s="42" t="n">
        <f aca="false">IF($M1846="借",$O1846,0)</f>
        <v>0</v>
      </c>
      <c r="J1846" s="42" t="n">
        <f aca="false">IF($M1846="贷",$O1846,0)</f>
        <v>0</v>
      </c>
      <c r="K1846" s="48" t="str">
        <f aca="false">IF($H1846="","",购销流水!$E466)</f>
        <v/>
      </c>
      <c r="L1846" s="66" t="str">
        <f aca="false">IF(购销流水!$D466="","",IFERROR(INDEX(记账规则!$A$6:$N$9,MATCH(购销流水!$D466,记账规则!$A$6:$A$9,0),3),""))</f>
        <v/>
      </c>
      <c r="M1846" s="66" t="str">
        <f aca="false">IF($L1846="","",IFERROR(INDEX(记账规则!$A$6:$N$9,MATCH(购销流水!$D466,记账规则!$A$6:$A$9,0),4),""))</f>
        <v/>
      </c>
      <c r="N1846" s="66" t="str">
        <f aca="false">IF($L1846="","",IFERROR(INDEX(记账规则!$A$6:$N$9,MATCH(购销流水!$D466,记账规则!$A$6:$A$9,0),5),""))</f>
        <v/>
      </c>
      <c r="O1846" s="67" t="n">
        <f aca="false">IF($H1846="",0,ROUND(IF($N1846="成本金额",N(购销流水!$W466),IF($N1846="金额",N(购销流水!$Q466),0)),2))</f>
        <v>0</v>
      </c>
      <c r="P1846" s="64" t="str">
        <f aca="false">IF(AND($H1846&lt;&gt;"",ROUND($O1846,2)&lt;&gt;0),"有","")</f>
        <v/>
      </c>
    </row>
    <row r="1847" customFormat="false" ht="15" hidden="true" customHeight="false" outlineLevel="0" collapsed="false">
      <c r="A1847" s="53" t="str">
        <f aca="false">IF($H1847="","",ROW()-5)</f>
        <v/>
      </c>
      <c r="B1847" s="64" t="s">
        <v>36</v>
      </c>
      <c r="C1847" s="53" t="n">
        <v>466</v>
      </c>
      <c r="D1847" s="53" t="n">
        <v>2</v>
      </c>
      <c r="E1847" s="65" t="str">
        <f aca="false">IF($H1847="","",购销流水!$B466)</f>
        <v/>
      </c>
      <c r="F1847" s="55" t="str">
        <f aca="false">IF($H1847="","",购销流水!$C466)</f>
        <v/>
      </c>
      <c r="G1847" s="48" t="str">
        <f aca="false">IF($H1847="","",购销流水!$N466)</f>
        <v/>
      </c>
      <c r="H1847" s="10" t="str">
        <f aca="false">IF($L1847="","",IF($L1847="@成本",购销流水!$U466,IF($L1847="@收入",购销流水!$T466,IF($L1847="@存货",购销流水!$S466,IF($L1847="@结算",购销流水!$R466,$L1847)))))</f>
        <v/>
      </c>
      <c r="I1847" s="42" t="n">
        <f aca="false">IF($M1847="借",$O1847,0)</f>
        <v>0</v>
      </c>
      <c r="J1847" s="42" t="n">
        <f aca="false">IF($M1847="贷",$O1847,0)</f>
        <v>0</v>
      </c>
      <c r="K1847" s="48" t="str">
        <f aca="false">IF($H1847="","",购销流水!$E466)</f>
        <v/>
      </c>
      <c r="L1847" s="66" t="str">
        <f aca="false">IF(购销流水!$D466="","",IFERROR(INDEX(记账规则!$A$6:$N$9,MATCH(购销流水!$D466,记账规则!$A$6:$A$9,0),6),""))</f>
        <v/>
      </c>
      <c r="M1847" s="66" t="str">
        <f aca="false">IF($L1847="","",IFERROR(INDEX(记账规则!$A$6:$N$9,MATCH(购销流水!$D466,记账规则!$A$6:$A$9,0),7),""))</f>
        <v/>
      </c>
      <c r="N1847" s="66" t="str">
        <f aca="false">IF($L1847="","",IFERROR(INDEX(记账规则!$A$6:$N$9,MATCH(购销流水!$D466,记账规则!$A$6:$A$9,0),8),""))</f>
        <v/>
      </c>
      <c r="O1847" s="67" t="n">
        <f aca="false">IF($H1847="",0,ROUND(IF($N1847="成本金额",N(购销流水!$W466),IF($N1847="金额",N(购销流水!$Q466),0)),2))</f>
        <v>0</v>
      </c>
      <c r="P1847" s="64" t="str">
        <f aca="false">IF(AND($H1847&lt;&gt;"",ROUND($O1847,2)&lt;&gt;0),"有","")</f>
        <v/>
      </c>
    </row>
    <row r="1848" customFormat="false" ht="15" hidden="true" customHeight="false" outlineLevel="0" collapsed="false">
      <c r="A1848" s="53" t="str">
        <f aca="false">IF($H1848="","",ROW()-5)</f>
        <v/>
      </c>
      <c r="B1848" s="64" t="s">
        <v>36</v>
      </c>
      <c r="C1848" s="53" t="n">
        <v>466</v>
      </c>
      <c r="D1848" s="53" t="n">
        <v>3</v>
      </c>
      <c r="E1848" s="65" t="str">
        <f aca="false">IF($H1848="","",购销流水!$B466)</f>
        <v/>
      </c>
      <c r="F1848" s="55" t="str">
        <f aca="false">IF($H1848="","",购销流水!$C466)</f>
        <v/>
      </c>
      <c r="G1848" s="48" t="str">
        <f aca="false">IF($H1848="","",购销流水!$N466)</f>
        <v/>
      </c>
      <c r="H1848" s="10" t="str">
        <f aca="false">IF($L1848="","",IF($L1848="@成本",购销流水!$U466,IF($L1848="@收入",购销流水!$T466,IF($L1848="@存货",购销流水!$S466,IF($L1848="@结算",购销流水!$R466,$L1848)))))</f>
        <v/>
      </c>
      <c r="I1848" s="42" t="n">
        <f aca="false">IF($M1848="借",$O1848,0)</f>
        <v>0</v>
      </c>
      <c r="J1848" s="42" t="n">
        <f aca="false">IF($M1848="贷",$O1848,0)</f>
        <v>0</v>
      </c>
      <c r="K1848" s="48" t="str">
        <f aca="false">IF($H1848="","",购销流水!$E466)</f>
        <v/>
      </c>
      <c r="L1848" s="66" t="str">
        <f aca="false">IF(购销流水!$D466="","",IFERROR(INDEX(记账规则!$A$6:$N$9,MATCH(购销流水!$D466,记账规则!$A$6:$A$9,0),9),""))</f>
        <v/>
      </c>
      <c r="M1848" s="66" t="str">
        <f aca="false">IF($L1848="","",IFERROR(INDEX(记账规则!$A$6:$N$9,MATCH(购销流水!$D466,记账规则!$A$6:$A$9,0),10),""))</f>
        <v/>
      </c>
      <c r="N1848" s="66" t="str">
        <f aca="false">IF($L1848="","",IFERROR(INDEX(记账规则!$A$6:$N$9,MATCH(购销流水!$D466,记账规则!$A$6:$A$9,0),11),""))</f>
        <v/>
      </c>
      <c r="O1848" s="67" t="n">
        <f aca="false">IF($H1848="",0,ROUND(IF($N1848="成本金额",N(购销流水!$W466),IF($N1848="金额",N(购销流水!$Q466),0)),2))</f>
        <v>0</v>
      </c>
      <c r="P1848" s="64" t="str">
        <f aca="false">IF(AND($H1848&lt;&gt;"",ROUND($O1848,2)&lt;&gt;0),"有","")</f>
        <v/>
      </c>
    </row>
    <row r="1849" customFormat="false" ht="15" hidden="true" customHeight="false" outlineLevel="0" collapsed="false">
      <c r="A1849" s="53" t="str">
        <f aca="false">IF($H1849="","",ROW()-5)</f>
        <v/>
      </c>
      <c r="B1849" s="64" t="s">
        <v>36</v>
      </c>
      <c r="C1849" s="53" t="n">
        <v>466</v>
      </c>
      <c r="D1849" s="53" t="n">
        <v>4</v>
      </c>
      <c r="E1849" s="65" t="str">
        <f aca="false">IF($H1849="","",购销流水!$B466)</f>
        <v/>
      </c>
      <c r="F1849" s="55" t="str">
        <f aca="false">IF($H1849="","",购销流水!$C466)</f>
        <v/>
      </c>
      <c r="G1849" s="48" t="str">
        <f aca="false">IF($H1849="","",购销流水!$N466)</f>
        <v/>
      </c>
      <c r="H1849" s="10" t="str">
        <f aca="false">IF($L1849="","",IF($L1849="@成本",购销流水!$U466,IF($L1849="@收入",购销流水!$T466,IF($L1849="@存货",购销流水!$S466,IF($L1849="@结算",购销流水!$R466,$L1849)))))</f>
        <v/>
      </c>
      <c r="I1849" s="42" t="n">
        <f aca="false">IF($M1849="借",$O1849,0)</f>
        <v>0</v>
      </c>
      <c r="J1849" s="42" t="n">
        <f aca="false">IF($M1849="贷",$O1849,0)</f>
        <v>0</v>
      </c>
      <c r="K1849" s="48" t="str">
        <f aca="false">IF($H1849="","",购销流水!$E466)</f>
        <v/>
      </c>
      <c r="L1849" s="66" t="str">
        <f aca="false">IF(购销流水!$D466="","",IFERROR(INDEX(记账规则!$A$6:$N$9,MATCH(购销流水!$D466,记账规则!$A$6:$A$9,0),12),""))</f>
        <v/>
      </c>
      <c r="M1849" s="66" t="str">
        <f aca="false">IF($L1849="","",IFERROR(INDEX(记账规则!$A$6:$N$9,MATCH(购销流水!$D466,记账规则!$A$6:$A$9,0),13),""))</f>
        <v/>
      </c>
      <c r="N1849" s="66" t="str">
        <f aca="false">IF($L1849="","",IFERROR(INDEX(记账规则!$A$6:$N$9,MATCH(购销流水!$D466,记账规则!$A$6:$A$9,0),14),""))</f>
        <v/>
      </c>
      <c r="O1849" s="67" t="n">
        <f aca="false">IF($H1849="",0,ROUND(IF($N1849="成本金额",N(购销流水!$W466),IF($N1849="金额",N(购销流水!$Q466),0)),2))</f>
        <v>0</v>
      </c>
      <c r="P1849" s="64" t="str">
        <f aca="false">IF(AND($H1849&lt;&gt;"",ROUND($O1849,2)&lt;&gt;0),"有","")</f>
        <v/>
      </c>
    </row>
    <row r="1850" customFormat="false" ht="15" hidden="true" customHeight="false" outlineLevel="0" collapsed="false">
      <c r="A1850" s="53" t="str">
        <f aca="false">IF($H1850="","",ROW()-5)</f>
        <v/>
      </c>
      <c r="B1850" s="64" t="s">
        <v>36</v>
      </c>
      <c r="C1850" s="53" t="n">
        <v>467</v>
      </c>
      <c r="D1850" s="53" t="n">
        <v>1</v>
      </c>
      <c r="E1850" s="65" t="str">
        <f aca="false">IF($H1850="","",购销流水!$B467)</f>
        <v/>
      </c>
      <c r="F1850" s="55" t="str">
        <f aca="false">IF($H1850="","",购销流水!$C467)</f>
        <v/>
      </c>
      <c r="G1850" s="48" t="str">
        <f aca="false">IF($H1850="","",购销流水!$N467)</f>
        <v/>
      </c>
      <c r="H1850" s="10" t="str">
        <f aca="false">IF($L1850="","",IF($L1850="@成本",购销流水!$U467,IF($L1850="@收入",购销流水!$T467,IF($L1850="@存货",购销流水!$S467,IF($L1850="@结算",购销流水!$R467,$L1850)))))</f>
        <v/>
      </c>
      <c r="I1850" s="42" t="n">
        <f aca="false">IF($M1850="借",$O1850,0)</f>
        <v>0</v>
      </c>
      <c r="J1850" s="42" t="n">
        <f aca="false">IF($M1850="贷",$O1850,0)</f>
        <v>0</v>
      </c>
      <c r="K1850" s="48" t="str">
        <f aca="false">IF($H1850="","",购销流水!$E467)</f>
        <v/>
      </c>
      <c r="L1850" s="66" t="str">
        <f aca="false">IF(购销流水!$D467="","",IFERROR(INDEX(记账规则!$A$6:$N$9,MATCH(购销流水!$D467,记账规则!$A$6:$A$9,0),3),""))</f>
        <v/>
      </c>
      <c r="M1850" s="66" t="str">
        <f aca="false">IF($L1850="","",IFERROR(INDEX(记账规则!$A$6:$N$9,MATCH(购销流水!$D467,记账规则!$A$6:$A$9,0),4),""))</f>
        <v/>
      </c>
      <c r="N1850" s="66" t="str">
        <f aca="false">IF($L1850="","",IFERROR(INDEX(记账规则!$A$6:$N$9,MATCH(购销流水!$D467,记账规则!$A$6:$A$9,0),5),""))</f>
        <v/>
      </c>
      <c r="O1850" s="67" t="n">
        <f aca="false">IF($H1850="",0,ROUND(IF($N1850="成本金额",N(购销流水!$W467),IF($N1850="金额",N(购销流水!$Q467),0)),2))</f>
        <v>0</v>
      </c>
      <c r="P1850" s="64" t="str">
        <f aca="false">IF(AND($H1850&lt;&gt;"",ROUND($O1850,2)&lt;&gt;0),"有","")</f>
        <v/>
      </c>
    </row>
    <row r="1851" customFormat="false" ht="15" hidden="true" customHeight="false" outlineLevel="0" collapsed="false">
      <c r="A1851" s="53" t="str">
        <f aca="false">IF($H1851="","",ROW()-5)</f>
        <v/>
      </c>
      <c r="B1851" s="64" t="s">
        <v>36</v>
      </c>
      <c r="C1851" s="53" t="n">
        <v>467</v>
      </c>
      <c r="D1851" s="53" t="n">
        <v>2</v>
      </c>
      <c r="E1851" s="65" t="str">
        <f aca="false">IF($H1851="","",购销流水!$B467)</f>
        <v/>
      </c>
      <c r="F1851" s="55" t="str">
        <f aca="false">IF($H1851="","",购销流水!$C467)</f>
        <v/>
      </c>
      <c r="G1851" s="48" t="str">
        <f aca="false">IF($H1851="","",购销流水!$N467)</f>
        <v/>
      </c>
      <c r="H1851" s="10" t="str">
        <f aca="false">IF($L1851="","",IF($L1851="@成本",购销流水!$U467,IF($L1851="@收入",购销流水!$T467,IF($L1851="@存货",购销流水!$S467,IF($L1851="@结算",购销流水!$R467,$L1851)))))</f>
        <v/>
      </c>
      <c r="I1851" s="42" t="n">
        <f aca="false">IF($M1851="借",$O1851,0)</f>
        <v>0</v>
      </c>
      <c r="J1851" s="42" t="n">
        <f aca="false">IF($M1851="贷",$O1851,0)</f>
        <v>0</v>
      </c>
      <c r="K1851" s="48" t="str">
        <f aca="false">IF($H1851="","",购销流水!$E467)</f>
        <v/>
      </c>
      <c r="L1851" s="66" t="str">
        <f aca="false">IF(购销流水!$D467="","",IFERROR(INDEX(记账规则!$A$6:$N$9,MATCH(购销流水!$D467,记账规则!$A$6:$A$9,0),6),""))</f>
        <v/>
      </c>
      <c r="M1851" s="66" t="str">
        <f aca="false">IF($L1851="","",IFERROR(INDEX(记账规则!$A$6:$N$9,MATCH(购销流水!$D467,记账规则!$A$6:$A$9,0),7),""))</f>
        <v/>
      </c>
      <c r="N1851" s="66" t="str">
        <f aca="false">IF($L1851="","",IFERROR(INDEX(记账规则!$A$6:$N$9,MATCH(购销流水!$D467,记账规则!$A$6:$A$9,0),8),""))</f>
        <v/>
      </c>
      <c r="O1851" s="67" t="n">
        <f aca="false">IF($H1851="",0,ROUND(IF($N1851="成本金额",N(购销流水!$W467),IF($N1851="金额",N(购销流水!$Q467),0)),2))</f>
        <v>0</v>
      </c>
      <c r="P1851" s="64" t="str">
        <f aca="false">IF(AND($H1851&lt;&gt;"",ROUND($O1851,2)&lt;&gt;0),"有","")</f>
        <v/>
      </c>
    </row>
    <row r="1852" customFormat="false" ht="15" hidden="true" customHeight="false" outlineLevel="0" collapsed="false">
      <c r="A1852" s="53" t="str">
        <f aca="false">IF($H1852="","",ROW()-5)</f>
        <v/>
      </c>
      <c r="B1852" s="64" t="s">
        <v>36</v>
      </c>
      <c r="C1852" s="53" t="n">
        <v>467</v>
      </c>
      <c r="D1852" s="53" t="n">
        <v>3</v>
      </c>
      <c r="E1852" s="65" t="str">
        <f aca="false">IF($H1852="","",购销流水!$B467)</f>
        <v/>
      </c>
      <c r="F1852" s="55" t="str">
        <f aca="false">IF($H1852="","",购销流水!$C467)</f>
        <v/>
      </c>
      <c r="G1852" s="48" t="str">
        <f aca="false">IF($H1852="","",购销流水!$N467)</f>
        <v/>
      </c>
      <c r="H1852" s="10" t="str">
        <f aca="false">IF($L1852="","",IF($L1852="@成本",购销流水!$U467,IF($L1852="@收入",购销流水!$T467,IF($L1852="@存货",购销流水!$S467,IF($L1852="@结算",购销流水!$R467,$L1852)))))</f>
        <v/>
      </c>
      <c r="I1852" s="42" t="n">
        <f aca="false">IF($M1852="借",$O1852,0)</f>
        <v>0</v>
      </c>
      <c r="J1852" s="42" t="n">
        <f aca="false">IF($M1852="贷",$O1852,0)</f>
        <v>0</v>
      </c>
      <c r="K1852" s="48" t="str">
        <f aca="false">IF($H1852="","",购销流水!$E467)</f>
        <v/>
      </c>
      <c r="L1852" s="66" t="str">
        <f aca="false">IF(购销流水!$D467="","",IFERROR(INDEX(记账规则!$A$6:$N$9,MATCH(购销流水!$D467,记账规则!$A$6:$A$9,0),9),""))</f>
        <v/>
      </c>
      <c r="M1852" s="66" t="str">
        <f aca="false">IF($L1852="","",IFERROR(INDEX(记账规则!$A$6:$N$9,MATCH(购销流水!$D467,记账规则!$A$6:$A$9,0),10),""))</f>
        <v/>
      </c>
      <c r="N1852" s="66" t="str">
        <f aca="false">IF($L1852="","",IFERROR(INDEX(记账规则!$A$6:$N$9,MATCH(购销流水!$D467,记账规则!$A$6:$A$9,0),11),""))</f>
        <v/>
      </c>
      <c r="O1852" s="67" t="n">
        <f aca="false">IF($H1852="",0,ROUND(IF($N1852="成本金额",N(购销流水!$W467),IF($N1852="金额",N(购销流水!$Q467),0)),2))</f>
        <v>0</v>
      </c>
      <c r="P1852" s="64" t="str">
        <f aca="false">IF(AND($H1852&lt;&gt;"",ROUND($O1852,2)&lt;&gt;0),"有","")</f>
        <v/>
      </c>
    </row>
    <row r="1853" customFormat="false" ht="15" hidden="true" customHeight="false" outlineLevel="0" collapsed="false">
      <c r="A1853" s="53" t="str">
        <f aca="false">IF($H1853="","",ROW()-5)</f>
        <v/>
      </c>
      <c r="B1853" s="64" t="s">
        <v>36</v>
      </c>
      <c r="C1853" s="53" t="n">
        <v>467</v>
      </c>
      <c r="D1853" s="53" t="n">
        <v>4</v>
      </c>
      <c r="E1853" s="65" t="str">
        <f aca="false">IF($H1853="","",购销流水!$B467)</f>
        <v/>
      </c>
      <c r="F1853" s="55" t="str">
        <f aca="false">IF($H1853="","",购销流水!$C467)</f>
        <v/>
      </c>
      <c r="G1853" s="48" t="str">
        <f aca="false">IF($H1853="","",购销流水!$N467)</f>
        <v/>
      </c>
      <c r="H1853" s="10" t="str">
        <f aca="false">IF($L1853="","",IF($L1853="@成本",购销流水!$U467,IF($L1853="@收入",购销流水!$T467,IF($L1853="@存货",购销流水!$S467,IF($L1853="@结算",购销流水!$R467,$L1853)))))</f>
        <v/>
      </c>
      <c r="I1853" s="42" t="n">
        <f aca="false">IF($M1853="借",$O1853,0)</f>
        <v>0</v>
      </c>
      <c r="J1853" s="42" t="n">
        <f aca="false">IF($M1853="贷",$O1853,0)</f>
        <v>0</v>
      </c>
      <c r="K1853" s="48" t="str">
        <f aca="false">IF($H1853="","",购销流水!$E467)</f>
        <v/>
      </c>
      <c r="L1853" s="66" t="str">
        <f aca="false">IF(购销流水!$D467="","",IFERROR(INDEX(记账规则!$A$6:$N$9,MATCH(购销流水!$D467,记账规则!$A$6:$A$9,0),12),""))</f>
        <v/>
      </c>
      <c r="M1853" s="66" t="str">
        <f aca="false">IF($L1853="","",IFERROR(INDEX(记账规则!$A$6:$N$9,MATCH(购销流水!$D467,记账规则!$A$6:$A$9,0),13),""))</f>
        <v/>
      </c>
      <c r="N1853" s="66" t="str">
        <f aca="false">IF($L1853="","",IFERROR(INDEX(记账规则!$A$6:$N$9,MATCH(购销流水!$D467,记账规则!$A$6:$A$9,0),14),""))</f>
        <v/>
      </c>
      <c r="O1853" s="67" t="n">
        <f aca="false">IF($H1853="",0,ROUND(IF($N1853="成本金额",N(购销流水!$W467),IF($N1853="金额",N(购销流水!$Q467),0)),2))</f>
        <v>0</v>
      </c>
      <c r="P1853" s="64" t="str">
        <f aca="false">IF(AND($H1853&lt;&gt;"",ROUND($O1853,2)&lt;&gt;0),"有","")</f>
        <v/>
      </c>
    </row>
    <row r="1854" customFormat="false" ht="15" hidden="true" customHeight="false" outlineLevel="0" collapsed="false">
      <c r="A1854" s="53" t="str">
        <f aca="false">IF($H1854="","",ROW()-5)</f>
        <v/>
      </c>
      <c r="B1854" s="64" t="s">
        <v>36</v>
      </c>
      <c r="C1854" s="53" t="n">
        <v>468</v>
      </c>
      <c r="D1854" s="53" t="n">
        <v>1</v>
      </c>
      <c r="E1854" s="65" t="str">
        <f aca="false">IF($H1854="","",购销流水!$B468)</f>
        <v/>
      </c>
      <c r="F1854" s="55" t="str">
        <f aca="false">IF($H1854="","",购销流水!$C468)</f>
        <v/>
      </c>
      <c r="G1854" s="48" t="str">
        <f aca="false">IF($H1854="","",购销流水!$N468)</f>
        <v/>
      </c>
      <c r="H1854" s="10" t="str">
        <f aca="false">IF($L1854="","",IF($L1854="@成本",购销流水!$U468,IF($L1854="@收入",购销流水!$T468,IF($L1854="@存货",购销流水!$S468,IF($L1854="@结算",购销流水!$R468,$L1854)))))</f>
        <v/>
      </c>
      <c r="I1854" s="42" t="n">
        <f aca="false">IF($M1854="借",$O1854,0)</f>
        <v>0</v>
      </c>
      <c r="J1854" s="42" t="n">
        <f aca="false">IF($M1854="贷",$O1854,0)</f>
        <v>0</v>
      </c>
      <c r="K1854" s="48" t="str">
        <f aca="false">IF($H1854="","",购销流水!$E468)</f>
        <v/>
      </c>
      <c r="L1854" s="66" t="str">
        <f aca="false">IF(购销流水!$D468="","",IFERROR(INDEX(记账规则!$A$6:$N$9,MATCH(购销流水!$D468,记账规则!$A$6:$A$9,0),3),""))</f>
        <v/>
      </c>
      <c r="M1854" s="66" t="str">
        <f aca="false">IF($L1854="","",IFERROR(INDEX(记账规则!$A$6:$N$9,MATCH(购销流水!$D468,记账规则!$A$6:$A$9,0),4),""))</f>
        <v/>
      </c>
      <c r="N1854" s="66" t="str">
        <f aca="false">IF($L1854="","",IFERROR(INDEX(记账规则!$A$6:$N$9,MATCH(购销流水!$D468,记账规则!$A$6:$A$9,0),5),""))</f>
        <v/>
      </c>
      <c r="O1854" s="67" t="n">
        <f aca="false">IF($H1854="",0,ROUND(IF($N1854="成本金额",N(购销流水!$W468),IF($N1854="金额",N(购销流水!$Q468),0)),2))</f>
        <v>0</v>
      </c>
      <c r="P1854" s="64" t="str">
        <f aca="false">IF(AND($H1854&lt;&gt;"",ROUND($O1854,2)&lt;&gt;0),"有","")</f>
        <v/>
      </c>
    </row>
    <row r="1855" customFormat="false" ht="15" hidden="true" customHeight="false" outlineLevel="0" collapsed="false">
      <c r="A1855" s="53" t="str">
        <f aca="false">IF($H1855="","",ROW()-5)</f>
        <v/>
      </c>
      <c r="B1855" s="64" t="s">
        <v>36</v>
      </c>
      <c r="C1855" s="53" t="n">
        <v>468</v>
      </c>
      <c r="D1855" s="53" t="n">
        <v>2</v>
      </c>
      <c r="E1855" s="65" t="str">
        <f aca="false">IF($H1855="","",购销流水!$B468)</f>
        <v/>
      </c>
      <c r="F1855" s="55" t="str">
        <f aca="false">IF($H1855="","",购销流水!$C468)</f>
        <v/>
      </c>
      <c r="G1855" s="48" t="str">
        <f aca="false">IF($H1855="","",购销流水!$N468)</f>
        <v/>
      </c>
      <c r="H1855" s="10" t="str">
        <f aca="false">IF($L1855="","",IF($L1855="@成本",购销流水!$U468,IF($L1855="@收入",购销流水!$T468,IF($L1855="@存货",购销流水!$S468,IF($L1855="@结算",购销流水!$R468,$L1855)))))</f>
        <v/>
      </c>
      <c r="I1855" s="42" t="n">
        <f aca="false">IF($M1855="借",$O1855,0)</f>
        <v>0</v>
      </c>
      <c r="J1855" s="42" t="n">
        <f aca="false">IF($M1855="贷",$O1855,0)</f>
        <v>0</v>
      </c>
      <c r="K1855" s="48" t="str">
        <f aca="false">IF($H1855="","",购销流水!$E468)</f>
        <v/>
      </c>
      <c r="L1855" s="66" t="str">
        <f aca="false">IF(购销流水!$D468="","",IFERROR(INDEX(记账规则!$A$6:$N$9,MATCH(购销流水!$D468,记账规则!$A$6:$A$9,0),6),""))</f>
        <v/>
      </c>
      <c r="M1855" s="66" t="str">
        <f aca="false">IF($L1855="","",IFERROR(INDEX(记账规则!$A$6:$N$9,MATCH(购销流水!$D468,记账规则!$A$6:$A$9,0),7),""))</f>
        <v/>
      </c>
      <c r="N1855" s="66" t="str">
        <f aca="false">IF($L1855="","",IFERROR(INDEX(记账规则!$A$6:$N$9,MATCH(购销流水!$D468,记账规则!$A$6:$A$9,0),8),""))</f>
        <v/>
      </c>
      <c r="O1855" s="67" t="n">
        <f aca="false">IF($H1855="",0,ROUND(IF($N1855="成本金额",N(购销流水!$W468),IF($N1855="金额",N(购销流水!$Q468),0)),2))</f>
        <v>0</v>
      </c>
      <c r="P1855" s="64" t="str">
        <f aca="false">IF(AND($H1855&lt;&gt;"",ROUND($O1855,2)&lt;&gt;0),"有","")</f>
        <v/>
      </c>
    </row>
    <row r="1856" customFormat="false" ht="15" hidden="true" customHeight="false" outlineLevel="0" collapsed="false">
      <c r="A1856" s="53" t="str">
        <f aca="false">IF($H1856="","",ROW()-5)</f>
        <v/>
      </c>
      <c r="B1856" s="64" t="s">
        <v>36</v>
      </c>
      <c r="C1856" s="53" t="n">
        <v>468</v>
      </c>
      <c r="D1856" s="53" t="n">
        <v>3</v>
      </c>
      <c r="E1856" s="65" t="str">
        <f aca="false">IF($H1856="","",购销流水!$B468)</f>
        <v/>
      </c>
      <c r="F1856" s="55" t="str">
        <f aca="false">IF($H1856="","",购销流水!$C468)</f>
        <v/>
      </c>
      <c r="G1856" s="48" t="str">
        <f aca="false">IF($H1856="","",购销流水!$N468)</f>
        <v/>
      </c>
      <c r="H1856" s="10" t="str">
        <f aca="false">IF($L1856="","",IF($L1856="@成本",购销流水!$U468,IF($L1856="@收入",购销流水!$T468,IF($L1856="@存货",购销流水!$S468,IF($L1856="@结算",购销流水!$R468,$L1856)))))</f>
        <v/>
      </c>
      <c r="I1856" s="42" t="n">
        <f aca="false">IF($M1856="借",$O1856,0)</f>
        <v>0</v>
      </c>
      <c r="J1856" s="42" t="n">
        <f aca="false">IF($M1856="贷",$O1856,0)</f>
        <v>0</v>
      </c>
      <c r="K1856" s="48" t="str">
        <f aca="false">IF($H1856="","",购销流水!$E468)</f>
        <v/>
      </c>
      <c r="L1856" s="66" t="str">
        <f aca="false">IF(购销流水!$D468="","",IFERROR(INDEX(记账规则!$A$6:$N$9,MATCH(购销流水!$D468,记账规则!$A$6:$A$9,0),9),""))</f>
        <v/>
      </c>
      <c r="M1856" s="66" t="str">
        <f aca="false">IF($L1856="","",IFERROR(INDEX(记账规则!$A$6:$N$9,MATCH(购销流水!$D468,记账规则!$A$6:$A$9,0),10),""))</f>
        <v/>
      </c>
      <c r="N1856" s="66" t="str">
        <f aca="false">IF($L1856="","",IFERROR(INDEX(记账规则!$A$6:$N$9,MATCH(购销流水!$D468,记账规则!$A$6:$A$9,0),11),""))</f>
        <v/>
      </c>
      <c r="O1856" s="67" t="n">
        <f aca="false">IF($H1856="",0,ROUND(IF($N1856="成本金额",N(购销流水!$W468),IF($N1856="金额",N(购销流水!$Q468),0)),2))</f>
        <v>0</v>
      </c>
      <c r="P1856" s="64" t="str">
        <f aca="false">IF(AND($H1856&lt;&gt;"",ROUND($O1856,2)&lt;&gt;0),"有","")</f>
        <v/>
      </c>
    </row>
    <row r="1857" customFormat="false" ht="15" hidden="true" customHeight="false" outlineLevel="0" collapsed="false">
      <c r="A1857" s="53" t="str">
        <f aca="false">IF($H1857="","",ROW()-5)</f>
        <v/>
      </c>
      <c r="B1857" s="64" t="s">
        <v>36</v>
      </c>
      <c r="C1857" s="53" t="n">
        <v>468</v>
      </c>
      <c r="D1857" s="53" t="n">
        <v>4</v>
      </c>
      <c r="E1857" s="65" t="str">
        <f aca="false">IF($H1857="","",购销流水!$B468)</f>
        <v/>
      </c>
      <c r="F1857" s="55" t="str">
        <f aca="false">IF($H1857="","",购销流水!$C468)</f>
        <v/>
      </c>
      <c r="G1857" s="48" t="str">
        <f aca="false">IF($H1857="","",购销流水!$N468)</f>
        <v/>
      </c>
      <c r="H1857" s="10" t="str">
        <f aca="false">IF($L1857="","",IF($L1857="@成本",购销流水!$U468,IF($L1857="@收入",购销流水!$T468,IF($L1857="@存货",购销流水!$S468,IF($L1857="@结算",购销流水!$R468,$L1857)))))</f>
        <v/>
      </c>
      <c r="I1857" s="42" t="n">
        <f aca="false">IF($M1857="借",$O1857,0)</f>
        <v>0</v>
      </c>
      <c r="J1857" s="42" t="n">
        <f aca="false">IF($M1857="贷",$O1857,0)</f>
        <v>0</v>
      </c>
      <c r="K1857" s="48" t="str">
        <f aca="false">IF($H1857="","",购销流水!$E468)</f>
        <v/>
      </c>
      <c r="L1857" s="66" t="str">
        <f aca="false">IF(购销流水!$D468="","",IFERROR(INDEX(记账规则!$A$6:$N$9,MATCH(购销流水!$D468,记账规则!$A$6:$A$9,0),12),""))</f>
        <v/>
      </c>
      <c r="M1857" s="66" t="str">
        <f aca="false">IF($L1857="","",IFERROR(INDEX(记账规则!$A$6:$N$9,MATCH(购销流水!$D468,记账规则!$A$6:$A$9,0),13),""))</f>
        <v/>
      </c>
      <c r="N1857" s="66" t="str">
        <f aca="false">IF($L1857="","",IFERROR(INDEX(记账规则!$A$6:$N$9,MATCH(购销流水!$D468,记账规则!$A$6:$A$9,0),14),""))</f>
        <v/>
      </c>
      <c r="O1857" s="67" t="n">
        <f aca="false">IF($H1857="",0,ROUND(IF($N1857="成本金额",N(购销流水!$W468),IF($N1857="金额",N(购销流水!$Q468),0)),2))</f>
        <v>0</v>
      </c>
      <c r="P1857" s="64" t="str">
        <f aca="false">IF(AND($H1857&lt;&gt;"",ROUND($O1857,2)&lt;&gt;0),"有","")</f>
        <v/>
      </c>
    </row>
    <row r="1858" customFormat="false" ht="15" hidden="true" customHeight="false" outlineLevel="0" collapsed="false">
      <c r="A1858" s="53" t="str">
        <f aca="false">IF($H1858="","",ROW()-5)</f>
        <v/>
      </c>
      <c r="B1858" s="64" t="s">
        <v>36</v>
      </c>
      <c r="C1858" s="53" t="n">
        <v>469</v>
      </c>
      <c r="D1858" s="53" t="n">
        <v>1</v>
      </c>
      <c r="E1858" s="65" t="str">
        <f aca="false">IF($H1858="","",购销流水!$B469)</f>
        <v/>
      </c>
      <c r="F1858" s="55" t="str">
        <f aca="false">IF($H1858="","",购销流水!$C469)</f>
        <v/>
      </c>
      <c r="G1858" s="48" t="str">
        <f aca="false">IF($H1858="","",购销流水!$N469)</f>
        <v/>
      </c>
      <c r="H1858" s="10" t="str">
        <f aca="false">IF($L1858="","",IF($L1858="@成本",购销流水!$U469,IF($L1858="@收入",购销流水!$T469,IF($L1858="@存货",购销流水!$S469,IF($L1858="@结算",购销流水!$R469,$L1858)))))</f>
        <v/>
      </c>
      <c r="I1858" s="42" t="n">
        <f aca="false">IF($M1858="借",$O1858,0)</f>
        <v>0</v>
      </c>
      <c r="J1858" s="42" t="n">
        <f aca="false">IF($M1858="贷",$O1858,0)</f>
        <v>0</v>
      </c>
      <c r="K1858" s="48" t="str">
        <f aca="false">IF($H1858="","",购销流水!$E469)</f>
        <v/>
      </c>
      <c r="L1858" s="66" t="str">
        <f aca="false">IF(购销流水!$D469="","",IFERROR(INDEX(记账规则!$A$6:$N$9,MATCH(购销流水!$D469,记账规则!$A$6:$A$9,0),3),""))</f>
        <v/>
      </c>
      <c r="M1858" s="66" t="str">
        <f aca="false">IF($L1858="","",IFERROR(INDEX(记账规则!$A$6:$N$9,MATCH(购销流水!$D469,记账规则!$A$6:$A$9,0),4),""))</f>
        <v/>
      </c>
      <c r="N1858" s="66" t="str">
        <f aca="false">IF($L1858="","",IFERROR(INDEX(记账规则!$A$6:$N$9,MATCH(购销流水!$D469,记账规则!$A$6:$A$9,0),5),""))</f>
        <v/>
      </c>
      <c r="O1858" s="67" t="n">
        <f aca="false">IF($H1858="",0,ROUND(IF($N1858="成本金额",N(购销流水!$W469),IF($N1858="金额",N(购销流水!$Q469),0)),2))</f>
        <v>0</v>
      </c>
      <c r="P1858" s="64" t="str">
        <f aca="false">IF(AND($H1858&lt;&gt;"",ROUND($O1858,2)&lt;&gt;0),"有","")</f>
        <v/>
      </c>
    </row>
    <row r="1859" customFormat="false" ht="15" hidden="true" customHeight="false" outlineLevel="0" collapsed="false">
      <c r="A1859" s="53" t="str">
        <f aca="false">IF($H1859="","",ROW()-5)</f>
        <v/>
      </c>
      <c r="B1859" s="64" t="s">
        <v>36</v>
      </c>
      <c r="C1859" s="53" t="n">
        <v>469</v>
      </c>
      <c r="D1859" s="53" t="n">
        <v>2</v>
      </c>
      <c r="E1859" s="65" t="str">
        <f aca="false">IF($H1859="","",购销流水!$B469)</f>
        <v/>
      </c>
      <c r="F1859" s="55" t="str">
        <f aca="false">IF($H1859="","",购销流水!$C469)</f>
        <v/>
      </c>
      <c r="G1859" s="48" t="str">
        <f aca="false">IF($H1859="","",购销流水!$N469)</f>
        <v/>
      </c>
      <c r="H1859" s="10" t="str">
        <f aca="false">IF($L1859="","",IF($L1859="@成本",购销流水!$U469,IF($L1859="@收入",购销流水!$T469,IF($L1859="@存货",购销流水!$S469,IF($L1859="@结算",购销流水!$R469,$L1859)))))</f>
        <v/>
      </c>
      <c r="I1859" s="42" t="n">
        <f aca="false">IF($M1859="借",$O1859,0)</f>
        <v>0</v>
      </c>
      <c r="J1859" s="42" t="n">
        <f aca="false">IF($M1859="贷",$O1859,0)</f>
        <v>0</v>
      </c>
      <c r="K1859" s="48" t="str">
        <f aca="false">IF($H1859="","",购销流水!$E469)</f>
        <v/>
      </c>
      <c r="L1859" s="66" t="str">
        <f aca="false">IF(购销流水!$D469="","",IFERROR(INDEX(记账规则!$A$6:$N$9,MATCH(购销流水!$D469,记账规则!$A$6:$A$9,0),6),""))</f>
        <v/>
      </c>
      <c r="M1859" s="66" t="str">
        <f aca="false">IF($L1859="","",IFERROR(INDEX(记账规则!$A$6:$N$9,MATCH(购销流水!$D469,记账规则!$A$6:$A$9,0),7),""))</f>
        <v/>
      </c>
      <c r="N1859" s="66" t="str">
        <f aca="false">IF($L1859="","",IFERROR(INDEX(记账规则!$A$6:$N$9,MATCH(购销流水!$D469,记账规则!$A$6:$A$9,0),8),""))</f>
        <v/>
      </c>
      <c r="O1859" s="67" t="n">
        <f aca="false">IF($H1859="",0,ROUND(IF($N1859="成本金额",N(购销流水!$W469),IF($N1859="金额",N(购销流水!$Q469),0)),2))</f>
        <v>0</v>
      </c>
      <c r="P1859" s="64" t="str">
        <f aca="false">IF(AND($H1859&lt;&gt;"",ROUND($O1859,2)&lt;&gt;0),"有","")</f>
        <v/>
      </c>
    </row>
    <row r="1860" customFormat="false" ht="15" hidden="true" customHeight="false" outlineLevel="0" collapsed="false">
      <c r="A1860" s="53" t="str">
        <f aca="false">IF($H1860="","",ROW()-5)</f>
        <v/>
      </c>
      <c r="B1860" s="64" t="s">
        <v>36</v>
      </c>
      <c r="C1860" s="53" t="n">
        <v>469</v>
      </c>
      <c r="D1860" s="53" t="n">
        <v>3</v>
      </c>
      <c r="E1860" s="65" t="str">
        <f aca="false">IF($H1860="","",购销流水!$B469)</f>
        <v/>
      </c>
      <c r="F1860" s="55" t="str">
        <f aca="false">IF($H1860="","",购销流水!$C469)</f>
        <v/>
      </c>
      <c r="G1860" s="48" t="str">
        <f aca="false">IF($H1860="","",购销流水!$N469)</f>
        <v/>
      </c>
      <c r="H1860" s="10" t="str">
        <f aca="false">IF($L1860="","",IF($L1860="@成本",购销流水!$U469,IF($L1860="@收入",购销流水!$T469,IF($L1860="@存货",购销流水!$S469,IF($L1860="@结算",购销流水!$R469,$L1860)))))</f>
        <v/>
      </c>
      <c r="I1860" s="42" t="n">
        <f aca="false">IF($M1860="借",$O1860,0)</f>
        <v>0</v>
      </c>
      <c r="J1860" s="42" t="n">
        <f aca="false">IF($M1860="贷",$O1860,0)</f>
        <v>0</v>
      </c>
      <c r="K1860" s="48" t="str">
        <f aca="false">IF($H1860="","",购销流水!$E469)</f>
        <v/>
      </c>
      <c r="L1860" s="66" t="str">
        <f aca="false">IF(购销流水!$D469="","",IFERROR(INDEX(记账规则!$A$6:$N$9,MATCH(购销流水!$D469,记账规则!$A$6:$A$9,0),9),""))</f>
        <v/>
      </c>
      <c r="M1860" s="66" t="str">
        <f aca="false">IF($L1860="","",IFERROR(INDEX(记账规则!$A$6:$N$9,MATCH(购销流水!$D469,记账规则!$A$6:$A$9,0),10),""))</f>
        <v/>
      </c>
      <c r="N1860" s="66" t="str">
        <f aca="false">IF($L1860="","",IFERROR(INDEX(记账规则!$A$6:$N$9,MATCH(购销流水!$D469,记账规则!$A$6:$A$9,0),11),""))</f>
        <v/>
      </c>
      <c r="O1860" s="67" t="n">
        <f aca="false">IF($H1860="",0,ROUND(IF($N1860="成本金额",N(购销流水!$W469),IF($N1860="金额",N(购销流水!$Q469),0)),2))</f>
        <v>0</v>
      </c>
      <c r="P1860" s="64" t="str">
        <f aca="false">IF(AND($H1860&lt;&gt;"",ROUND($O1860,2)&lt;&gt;0),"有","")</f>
        <v/>
      </c>
    </row>
    <row r="1861" customFormat="false" ht="15" hidden="true" customHeight="false" outlineLevel="0" collapsed="false">
      <c r="A1861" s="53" t="str">
        <f aca="false">IF($H1861="","",ROW()-5)</f>
        <v/>
      </c>
      <c r="B1861" s="64" t="s">
        <v>36</v>
      </c>
      <c r="C1861" s="53" t="n">
        <v>469</v>
      </c>
      <c r="D1861" s="53" t="n">
        <v>4</v>
      </c>
      <c r="E1861" s="65" t="str">
        <f aca="false">IF($H1861="","",购销流水!$B469)</f>
        <v/>
      </c>
      <c r="F1861" s="55" t="str">
        <f aca="false">IF($H1861="","",购销流水!$C469)</f>
        <v/>
      </c>
      <c r="G1861" s="48" t="str">
        <f aca="false">IF($H1861="","",购销流水!$N469)</f>
        <v/>
      </c>
      <c r="H1861" s="10" t="str">
        <f aca="false">IF($L1861="","",IF($L1861="@成本",购销流水!$U469,IF($L1861="@收入",购销流水!$T469,IF($L1861="@存货",购销流水!$S469,IF($L1861="@结算",购销流水!$R469,$L1861)))))</f>
        <v/>
      </c>
      <c r="I1861" s="42" t="n">
        <f aca="false">IF($M1861="借",$O1861,0)</f>
        <v>0</v>
      </c>
      <c r="J1861" s="42" t="n">
        <f aca="false">IF($M1861="贷",$O1861,0)</f>
        <v>0</v>
      </c>
      <c r="K1861" s="48" t="str">
        <f aca="false">IF($H1861="","",购销流水!$E469)</f>
        <v/>
      </c>
      <c r="L1861" s="66" t="str">
        <f aca="false">IF(购销流水!$D469="","",IFERROR(INDEX(记账规则!$A$6:$N$9,MATCH(购销流水!$D469,记账规则!$A$6:$A$9,0),12),""))</f>
        <v/>
      </c>
      <c r="M1861" s="66" t="str">
        <f aca="false">IF($L1861="","",IFERROR(INDEX(记账规则!$A$6:$N$9,MATCH(购销流水!$D469,记账规则!$A$6:$A$9,0),13),""))</f>
        <v/>
      </c>
      <c r="N1861" s="66" t="str">
        <f aca="false">IF($L1861="","",IFERROR(INDEX(记账规则!$A$6:$N$9,MATCH(购销流水!$D469,记账规则!$A$6:$A$9,0),14),""))</f>
        <v/>
      </c>
      <c r="O1861" s="67" t="n">
        <f aca="false">IF($H1861="",0,ROUND(IF($N1861="成本金额",N(购销流水!$W469),IF($N1861="金额",N(购销流水!$Q469),0)),2))</f>
        <v>0</v>
      </c>
      <c r="P1861" s="64" t="str">
        <f aca="false">IF(AND($H1861&lt;&gt;"",ROUND($O1861,2)&lt;&gt;0),"有","")</f>
        <v/>
      </c>
    </row>
    <row r="1862" customFormat="false" ht="15" hidden="true" customHeight="false" outlineLevel="0" collapsed="false">
      <c r="A1862" s="53" t="str">
        <f aca="false">IF($H1862="","",ROW()-5)</f>
        <v/>
      </c>
      <c r="B1862" s="64" t="s">
        <v>36</v>
      </c>
      <c r="C1862" s="53" t="n">
        <v>470</v>
      </c>
      <c r="D1862" s="53" t="n">
        <v>1</v>
      </c>
      <c r="E1862" s="65" t="str">
        <f aca="false">IF($H1862="","",购销流水!$B470)</f>
        <v/>
      </c>
      <c r="F1862" s="55" t="str">
        <f aca="false">IF($H1862="","",购销流水!$C470)</f>
        <v/>
      </c>
      <c r="G1862" s="48" t="str">
        <f aca="false">IF($H1862="","",购销流水!$N470)</f>
        <v/>
      </c>
      <c r="H1862" s="10" t="str">
        <f aca="false">IF($L1862="","",IF($L1862="@成本",购销流水!$U470,IF($L1862="@收入",购销流水!$T470,IF($L1862="@存货",购销流水!$S470,IF($L1862="@结算",购销流水!$R470,$L1862)))))</f>
        <v/>
      </c>
      <c r="I1862" s="42" t="n">
        <f aca="false">IF($M1862="借",$O1862,0)</f>
        <v>0</v>
      </c>
      <c r="J1862" s="42" t="n">
        <f aca="false">IF($M1862="贷",$O1862,0)</f>
        <v>0</v>
      </c>
      <c r="K1862" s="48" t="str">
        <f aca="false">IF($H1862="","",购销流水!$E470)</f>
        <v/>
      </c>
      <c r="L1862" s="66" t="str">
        <f aca="false">IF(购销流水!$D470="","",IFERROR(INDEX(记账规则!$A$6:$N$9,MATCH(购销流水!$D470,记账规则!$A$6:$A$9,0),3),""))</f>
        <v/>
      </c>
      <c r="M1862" s="66" t="str">
        <f aca="false">IF($L1862="","",IFERROR(INDEX(记账规则!$A$6:$N$9,MATCH(购销流水!$D470,记账规则!$A$6:$A$9,0),4),""))</f>
        <v/>
      </c>
      <c r="N1862" s="66" t="str">
        <f aca="false">IF($L1862="","",IFERROR(INDEX(记账规则!$A$6:$N$9,MATCH(购销流水!$D470,记账规则!$A$6:$A$9,0),5),""))</f>
        <v/>
      </c>
      <c r="O1862" s="67" t="n">
        <f aca="false">IF($H1862="",0,ROUND(IF($N1862="成本金额",N(购销流水!$W470),IF($N1862="金额",N(购销流水!$Q470),0)),2))</f>
        <v>0</v>
      </c>
      <c r="P1862" s="64" t="str">
        <f aca="false">IF(AND($H1862&lt;&gt;"",ROUND($O1862,2)&lt;&gt;0),"有","")</f>
        <v/>
      </c>
    </row>
    <row r="1863" customFormat="false" ht="15" hidden="true" customHeight="false" outlineLevel="0" collapsed="false">
      <c r="A1863" s="53" t="str">
        <f aca="false">IF($H1863="","",ROW()-5)</f>
        <v/>
      </c>
      <c r="B1863" s="64" t="s">
        <v>36</v>
      </c>
      <c r="C1863" s="53" t="n">
        <v>470</v>
      </c>
      <c r="D1863" s="53" t="n">
        <v>2</v>
      </c>
      <c r="E1863" s="65" t="str">
        <f aca="false">IF($H1863="","",购销流水!$B470)</f>
        <v/>
      </c>
      <c r="F1863" s="55" t="str">
        <f aca="false">IF($H1863="","",购销流水!$C470)</f>
        <v/>
      </c>
      <c r="G1863" s="48" t="str">
        <f aca="false">IF($H1863="","",购销流水!$N470)</f>
        <v/>
      </c>
      <c r="H1863" s="10" t="str">
        <f aca="false">IF($L1863="","",IF($L1863="@成本",购销流水!$U470,IF($L1863="@收入",购销流水!$T470,IF($L1863="@存货",购销流水!$S470,IF($L1863="@结算",购销流水!$R470,$L1863)))))</f>
        <v/>
      </c>
      <c r="I1863" s="42" t="n">
        <f aca="false">IF($M1863="借",$O1863,0)</f>
        <v>0</v>
      </c>
      <c r="J1863" s="42" t="n">
        <f aca="false">IF($M1863="贷",$O1863,0)</f>
        <v>0</v>
      </c>
      <c r="K1863" s="48" t="str">
        <f aca="false">IF($H1863="","",购销流水!$E470)</f>
        <v/>
      </c>
      <c r="L1863" s="66" t="str">
        <f aca="false">IF(购销流水!$D470="","",IFERROR(INDEX(记账规则!$A$6:$N$9,MATCH(购销流水!$D470,记账规则!$A$6:$A$9,0),6),""))</f>
        <v/>
      </c>
      <c r="M1863" s="66" t="str">
        <f aca="false">IF($L1863="","",IFERROR(INDEX(记账规则!$A$6:$N$9,MATCH(购销流水!$D470,记账规则!$A$6:$A$9,0),7),""))</f>
        <v/>
      </c>
      <c r="N1863" s="66" t="str">
        <f aca="false">IF($L1863="","",IFERROR(INDEX(记账规则!$A$6:$N$9,MATCH(购销流水!$D470,记账规则!$A$6:$A$9,0),8),""))</f>
        <v/>
      </c>
      <c r="O1863" s="67" t="n">
        <f aca="false">IF($H1863="",0,ROUND(IF($N1863="成本金额",N(购销流水!$W470),IF($N1863="金额",N(购销流水!$Q470),0)),2))</f>
        <v>0</v>
      </c>
      <c r="P1863" s="64" t="str">
        <f aca="false">IF(AND($H1863&lt;&gt;"",ROUND($O1863,2)&lt;&gt;0),"有","")</f>
        <v/>
      </c>
    </row>
    <row r="1864" customFormat="false" ht="15" hidden="true" customHeight="false" outlineLevel="0" collapsed="false">
      <c r="A1864" s="53" t="str">
        <f aca="false">IF($H1864="","",ROW()-5)</f>
        <v/>
      </c>
      <c r="B1864" s="64" t="s">
        <v>36</v>
      </c>
      <c r="C1864" s="53" t="n">
        <v>470</v>
      </c>
      <c r="D1864" s="53" t="n">
        <v>3</v>
      </c>
      <c r="E1864" s="65" t="str">
        <f aca="false">IF($H1864="","",购销流水!$B470)</f>
        <v/>
      </c>
      <c r="F1864" s="55" t="str">
        <f aca="false">IF($H1864="","",购销流水!$C470)</f>
        <v/>
      </c>
      <c r="G1864" s="48" t="str">
        <f aca="false">IF($H1864="","",购销流水!$N470)</f>
        <v/>
      </c>
      <c r="H1864" s="10" t="str">
        <f aca="false">IF($L1864="","",IF($L1864="@成本",购销流水!$U470,IF($L1864="@收入",购销流水!$T470,IF($L1864="@存货",购销流水!$S470,IF($L1864="@结算",购销流水!$R470,$L1864)))))</f>
        <v/>
      </c>
      <c r="I1864" s="42" t="n">
        <f aca="false">IF($M1864="借",$O1864,0)</f>
        <v>0</v>
      </c>
      <c r="J1864" s="42" t="n">
        <f aca="false">IF($M1864="贷",$O1864,0)</f>
        <v>0</v>
      </c>
      <c r="K1864" s="48" t="str">
        <f aca="false">IF($H1864="","",购销流水!$E470)</f>
        <v/>
      </c>
      <c r="L1864" s="66" t="str">
        <f aca="false">IF(购销流水!$D470="","",IFERROR(INDEX(记账规则!$A$6:$N$9,MATCH(购销流水!$D470,记账规则!$A$6:$A$9,0),9),""))</f>
        <v/>
      </c>
      <c r="M1864" s="66" t="str">
        <f aca="false">IF($L1864="","",IFERROR(INDEX(记账规则!$A$6:$N$9,MATCH(购销流水!$D470,记账规则!$A$6:$A$9,0),10),""))</f>
        <v/>
      </c>
      <c r="N1864" s="66" t="str">
        <f aca="false">IF($L1864="","",IFERROR(INDEX(记账规则!$A$6:$N$9,MATCH(购销流水!$D470,记账规则!$A$6:$A$9,0),11),""))</f>
        <v/>
      </c>
      <c r="O1864" s="67" t="n">
        <f aca="false">IF($H1864="",0,ROUND(IF($N1864="成本金额",N(购销流水!$W470),IF($N1864="金额",N(购销流水!$Q470),0)),2))</f>
        <v>0</v>
      </c>
      <c r="P1864" s="64" t="str">
        <f aca="false">IF(AND($H1864&lt;&gt;"",ROUND($O1864,2)&lt;&gt;0),"有","")</f>
        <v/>
      </c>
    </row>
    <row r="1865" customFormat="false" ht="15" hidden="true" customHeight="false" outlineLevel="0" collapsed="false">
      <c r="A1865" s="53" t="str">
        <f aca="false">IF($H1865="","",ROW()-5)</f>
        <v/>
      </c>
      <c r="B1865" s="64" t="s">
        <v>36</v>
      </c>
      <c r="C1865" s="53" t="n">
        <v>470</v>
      </c>
      <c r="D1865" s="53" t="n">
        <v>4</v>
      </c>
      <c r="E1865" s="65" t="str">
        <f aca="false">IF($H1865="","",购销流水!$B470)</f>
        <v/>
      </c>
      <c r="F1865" s="55" t="str">
        <f aca="false">IF($H1865="","",购销流水!$C470)</f>
        <v/>
      </c>
      <c r="G1865" s="48" t="str">
        <f aca="false">IF($H1865="","",购销流水!$N470)</f>
        <v/>
      </c>
      <c r="H1865" s="10" t="str">
        <f aca="false">IF($L1865="","",IF($L1865="@成本",购销流水!$U470,IF($L1865="@收入",购销流水!$T470,IF($L1865="@存货",购销流水!$S470,IF($L1865="@结算",购销流水!$R470,$L1865)))))</f>
        <v/>
      </c>
      <c r="I1865" s="42" t="n">
        <f aca="false">IF($M1865="借",$O1865,0)</f>
        <v>0</v>
      </c>
      <c r="J1865" s="42" t="n">
        <f aca="false">IF($M1865="贷",$O1865,0)</f>
        <v>0</v>
      </c>
      <c r="K1865" s="48" t="str">
        <f aca="false">IF($H1865="","",购销流水!$E470)</f>
        <v/>
      </c>
      <c r="L1865" s="66" t="str">
        <f aca="false">IF(购销流水!$D470="","",IFERROR(INDEX(记账规则!$A$6:$N$9,MATCH(购销流水!$D470,记账规则!$A$6:$A$9,0),12),""))</f>
        <v/>
      </c>
      <c r="M1865" s="66" t="str">
        <f aca="false">IF($L1865="","",IFERROR(INDEX(记账规则!$A$6:$N$9,MATCH(购销流水!$D470,记账规则!$A$6:$A$9,0),13),""))</f>
        <v/>
      </c>
      <c r="N1865" s="66" t="str">
        <f aca="false">IF($L1865="","",IFERROR(INDEX(记账规则!$A$6:$N$9,MATCH(购销流水!$D470,记账规则!$A$6:$A$9,0),14),""))</f>
        <v/>
      </c>
      <c r="O1865" s="67" t="n">
        <f aca="false">IF($H1865="",0,ROUND(IF($N1865="成本金额",N(购销流水!$W470),IF($N1865="金额",N(购销流水!$Q470),0)),2))</f>
        <v>0</v>
      </c>
      <c r="P1865" s="64" t="str">
        <f aca="false">IF(AND($H1865&lt;&gt;"",ROUND($O1865,2)&lt;&gt;0),"有","")</f>
        <v/>
      </c>
    </row>
    <row r="1866" customFormat="false" ht="15" hidden="true" customHeight="false" outlineLevel="0" collapsed="false">
      <c r="A1866" s="53" t="str">
        <f aca="false">IF($H1866="","",ROW()-5)</f>
        <v/>
      </c>
      <c r="B1866" s="64" t="s">
        <v>36</v>
      </c>
      <c r="C1866" s="53" t="n">
        <v>471</v>
      </c>
      <c r="D1866" s="53" t="n">
        <v>1</v>
      </c>
      <c r="E1866" s="65" t="str">
        <f aca="false">IF($H1866="","",购销流水!$B471)</f>
        <v/>
      </c>
      <c r="F1866" s="55" t="str">
        <f aca="false">IF($H1866="","",购销流水!$C471)</f>
        <v/>
      </c>
      <c r="G1866" s="48" t="str">
        <f aca="false">IF($H1866="","",购销流水!$N471)</f>
        <v/>
      </c>
      <c r="H1866" s="10" t="str">
        <f aca="false">IF($L1866="","",IF($L1866="@成本",购销流水!$U471,IF($L1866="@收入",购销流水!$T471,IF($L1866="@存货",购销流水!$S471,IF($L1866="@结算",购销流水!$R471,$L1866)))))</f>
        <v/>
      </c>
      <c r="I1866" s="42" t="n">
        <f aca="false">IF($M1866="借",$O1866,0)</f>
        <v>0</v>
      </c>
      <c r="J1866" s="42" t="n">
        <f aca="false">IF($M1866="贷",$O1866,0)</f>
        <v>0</v>
      </c>
      <c r="K1866" s="48" t="str">
        <f aca="false">IF($H1866="","",购销流水!$E471)</f>
        <v/>
      </c>
      <c r="L1866" s="66" t="str">
        <f aca="false">IF(购销流水!$D471="","",IFERROR(INDEX(记账规则!$A$6:$N$9,MATCH(购销流水!$D471,记账规则!$A$6:$A$9,0),3),""))</f>
        <v/>
      </c>
      <c r="M1866" s="66" t="str">
        <f aca="false">IF($L1866="","",IFERROR(INDEX(记账规则!$A$6:$N$9,MATCH(购销流水!$D471,记账规则!$A$6:$A$9,0),4),""))</f>
        <v/>
      </c>
      <c r="N1866" s="66" t="str">
        <f aca="false">IF($L1866="","",IFERROR(INDEX(记账规则!$A$6:$N$9,MATCH(购销流水!$D471,记账规则!$A$6:$A$9,0),5),""))</f>
        <v/>
      </c>
      <c r="O1866" s="67" t="n">
        <f aca="false">IF($H1866="",0,ROUND(IF($N1866="成本金额",N(购销流水!$W471),IF($N1866="金额",N(购销流水!$Q471),0)),2))</f>
        <v>0</v>
      </c>
      <c r="P1866" s="64" t="str">
        <f aca="false">IF(AND($H1866&lt;&gt;"",ROUND($O1866,2)&lt;&gt;0),"有","")</f>
        <v/>
      </c>
    </row>
    <row r="1867" customFormat="false" ht="15" hidden="true" customHeight="false" outlineLevel="0" collapsed="false">
      <c r="A1867" s="53" t="str">
        <f aca="false">IF($H1867="","",ROW()-5)</f>
        <v/>
      </c>
      <c r="B1867" s="64" t="s">
        <v>36</v>
      </c>
      <c r="C1867" s="53" t="n">
        <v>471</v>
      </c>
      <c r="D1867" s="53" t="n">
        <v>2</v>
      </c>
      <c r="E1867" s="65" t="str">
        <f aca="false">IF($H1867="","",购销流水!$B471)</f>
        <v/>
      </c>
      <c r="F1867" s="55" t="str">
        <f aca="false">IF($H1867="","",购销流水!$C471)</f>
        <v/>
      </c>
      <c r="G1867" s="48" t="str">
        <f aca="false">IF($H1867="","",购销流水!$N471)</f>
        <v/>
      </c>
      <c r="H1867" s="10" t="str">
        <f aca="false">IF($L1867="","",IF($L1867="@成本",购销流水!$U471,IF($L1867="@收入",购销流水!$T471,IF($L1867="@存货",购销流水!$S471,IF($L1867="@结算",购销流水!$R471,$L1867)))))</f>
        <v/>
      </c>
      <c r="I1867" s="42" t="n">
        <f aca="false">IF($M1867="借",$O1867,0)</f>
        <v>0</v>
      </c>
      <c r="J1867" s="42" t="n">
        <f aca="false">IF($M1867="贷",$O1867,0)</f>
        <v>0</v>
      </c>
      <c r="K1867" s="48" t="str">
        <f aca="false">IF($H1867="","",购销流水!$E471)</f>
        <v/>
      </c>
      <c r="L1867" s="66" t="str">
        <f aca="false">IF(购销流水!$D471="","",IFERROR(INDEX(记账规则!$A$6:$N$9,MATCH(购销流水!$D471,记账规则!$A$6:$A$9,0),6),""))</f>
        <v/>
      </c>
      <c r="M1867" s="66" t="str">
        <f aca="false">IF($L1867="","",IFERROR(INDEX(记账规则!$A$6:$N$9,MATCH(购销流水!$D471,记账规则!$A$6:$A$9,0),7),""))</f>
        <v/>
      </c>
      <c r="N1867" s="66" t="str">
        <f aca="false">IF($L1867="","",IFERROR(INDEX(记账规则!$A$6:$N$9,MATCH(购销流水!$D471,记账规则!$A$6:$A$9,0),8),""))</f>
        <v/>
      </c>
      <c r="O1867" s="67" t="n">
        <f aca="false">IF($H1867="",0,ROUND(IF($N1867="成本金额",N(购销流水!$W471),IF($N1867="金额",N(购销流水!$Q471),0)),2))</f>
        <v>0</v>
      </c>
      <c r="P1867" s="64" t="str">
        <f aca="false">IF(AND($H1867&lt;&gt;"",ROUND($O1867,2)&lt;&gt;0),"有","")</f>
        <v/>
      </c>
    </row>
    <row r="1868" customFormat="false" ht="15" hidden="true" customHeight="false" outlineLevel="0" collapsed="false">
      <c r="A1868" s="53" t="str">
        <f aca="false">IF($H1868="","",ROW()-5)</f>
        <v/>
      </c>
      <c r="B1868" s="64" t="s">
        <v>36</v>
      </c>
      <c r="C1868" s="53" t="n">
        <v>471</v>
      </c>
      <c r="D1868" s="53" t="n">
        <v>3</v>
      </c>
      <c r="E1868" s="65" t="str">
        <f aca="false">IF($H1868="","",购销流水!$B471)</f>
        <v/>
      </c>
      <c r="F1868" s="55" t="str">
        <f aca="false">IF($H1868="","",购销流水!$C471)</f>
        <v/>
      </c>
      <c r="G1868" s="48" t="str">
        <f aca="false">IF($H1868="","",购销流水!$N471)</f>
        <v/>
      </c>
      <c r="H1868" s="10" t="str">
        <f aca="false">IF($L1868="","",IF($L1868="@成本",购销流水!$U471,IF($L1868="@收入",购销流水!$T471,IF($L1868="@存货",购销流水!$S471,IF($L1868="@结算",购销流水!$R471,$L1868)))))</f>
        <v/>
      </c>
      <c r="I1868" s="42" t="n">
        <f aca="false">IF($M1868="借",$O1868,0)</f>
        <v>0</v>
      </c>
      <c r="J1868" s="42" t="n">
        <f aca="false">IF($M1868="贷",$O1868,0)</f>
        <v>0</v>
      </c>
      <c r="K1868" s="48" t="str">
        <f aca="false">IF($H1868="","",购销流水!$E471)</f>
        <v/>
      </c>
      <c r="L1868" s="66" t="str">
        <f aca="false">IF(购销流水!$D471="","",IFERROR(INDEX(记账规则!$A$6:$N$9,MATCH(购销流水!$D471,记账规则!$A$6:$A$9,0),9),""))</f>
        <v/>
      </c>
      <c r="M1868" s="66" t="str">
        <f aca="false">IF($L1868="","",IFERROR(INDEX(记账规则!$A$6:$N$9,MATCH(购销流水!$D471,记账规则!$A$6:$A$9,0),10),""))</f>
        <v/>
      </c>
      <c r="N1868" s="66" t="str">
        <f aca="false">IF($L1868="","",IFERROR(INDEX(记账规则!$A$6:$N$9,MATCH(购销流水!$D471,记账规则!$A$6:$A$9,0),11),""))</f>
        <v/>
      </c>
      <c r="O1868" s="67" t="n">
        <f aca="false">IF($H1868="",0,ROUND(IF($N1868="成本金额",N(购销流水!$W471),IF($N1868="金额",N(购销流水!$Q471),0)),2))</f>
        <v>0</v>
      </c>
      <c r="P1868" s="64" t="str">
        <f aca="false">IF(AND($H1868&lt;&gt;"",ROUND($O1868,2)&lt;&gt;0),"有","")</f>
        <v/>
      </c>
    </row>
    <row r="1869" customFormat="false" ht="15" hidden="true" customHeight="false" outlineLevel="0" collapsed="false">
      <c r="A1869" s="53" t="str">
        <f aca="false">IF($H1869="","",ROW()-5)</f>
        <v/>
      </c>
      <c r="B1869" s="64" t="s">
        <v>36</v>
      </c>
      <c r="C1869" s="53" t="n">
        <v>471</v>
      </c>
      <c r="D1869" s="53" t="n">
        <v>4</v>
      </c>
      <c r="E1869" s="65" t="str">
        <f aca="false">IF($H1869="","",购销流水!$B471)</f>
        <v/>
      </c>
      <c r="F1869" s="55" t="str">
        <f aca="false">IF($H1869="","",购销流水!$C471)</f>
        <v/>
      </c>
      <c r="G1869" s="48" t="str">
        <f aca="false">IF($H1869="","",购销流水!$N471)</f>
        <v/>
      </c>
      <c r="H1869" s="10" t="str">
        <f aca="false">IF($L1869="","",IF($L1869="@成本",购销流水!$U471,IF($L1869="@收入",购销流水!$T471,IF($L1869="@存货",购销流水!$S471,IF($L1869="@结算",购销流水!$R471,$L1869)))))</f>
        <v/>
      </c>
      <c r="I1869" s="42" t="n">
        <f aca="false">IF($M1869="借",$O1869,0)</f>
        <v>0</v>
      </c>
      <c r="J1869" s="42" t="n">
        <f aca="false">IF($M1869="贷",$O1869,0)</f>
        <v>0</v>
      </c>
      <c r="K1869" s="48" t="str">
        <f aca="false">IF($H1869="","",购销流水!$E471)</f>
        <v/>
      </c>
      <c r="L1869" s="66" t="str">
        <f aca="false">IF(购销流水!$D471="","",IFERROR(INDEX(记账规则!$A$6:$N$9,MATCH(购销流水!$D471,记账规则!$A$6:$A$9,0),12),""))</f>
        <v/>
      </c>
      <c r="M1869" s="66" t="str">
        <f aca="false">IF($L1869="","",IFERROR(INDEX(记账规则!$A$6:$N$9,MATCH(购销流水!$D471,记账规则!$A$6:$A$9,0),13),""))</f>
        <v/>
      </c>
      <c r="N1869" s="66" t="str">
        <f aca="false">IF($L1869="","",IFERROR(INDEX(记账规则!$A$6:$N$9,MATCH(购销流水!$D471,记账规则!$A$6:$A$9,0),14),""))</f>
        <v/>
      </c>
      <c r="O1869" s="67" t="n">
        <f aca="false">IF($H1869="",0,ROUND(IF($N1869="成本金额",N(购销流水!$W471),IF($N1869="金额",N(购销流水!$Q471),0)),2))</f>
        <v>0</v>
      </c>
      <c r="P1869" s="64" t="str">
        <f aca="false">IF(AND($H1869&lt;&gt;"",ROUND($O1869,2)&lt;&gt;0),"有","")</f>
        <v/>
      </c>
    </row>
    <row r="1870" customFormat="false" ht="15" hidden="true" customHeight="false" outlineLevel="0" collapsed="false">
      <c r="A1870" s="53" t="str">
        <f aca="false">IF($H1870="","",ROW()-5)</f>
        <v/>
      </c>
      <c r="B1870" s="64" t="s">
        <v>36</v>
      </c>
      <c r="C1870" s="53" t="n">
        <v>472</v>
      </c>
      <c r="D1870" s="53" t="n">
        <v>1</v>
      </c>
      <c r="E1870" s="65" t="str">
        <f aca="false">IF($H1870="","",购销流水!$B472)</f>
        <v/>
      </c>
      <c r="F1870" s="55" t="str">
        <f aca="false">IF($H1870="","",购销流水!$C472)</f>
        <v/>
      </c>
      <c r="G1870" s="48" t="str">
        <f aca="false">IF($H1870="","",购销流水!$N472)</f>
        <v/>
      </c>
      <c r="H1870" s="10" t="str">
        <f aca="false">IF($L1870="","",IF($L1870="@成本",购销流水!$U472,IF($L1870="@收入",购销流水!$T472,IF($L1870="@存货",购销流水!$S472,IF($L1870="@结算",购销流水!$R472,$L1870)))))</f>
        <v/>
      </c>
      <c r="I1870" s="42" t="n">
        <f aca="false">IF($M1870="借",$O1870,0)</f>
        <v>0</v>
      </c>
      <c r="J1870" s="42" t="n">
        <f aca="false">IF($M1870="贷",$O1870,0)</f>
        <v>0</v>
      </c>
      <c r="K1870" s="48" t="str">
        <f aca="false">IF($H1870="","",购销流水!$E472)</f>
        <v/>
      </c>
      <c r="L1870" s="66" t="str">
        <f aca="false">IF(购销流水!$D472="","",IFERROR(INDEX(记账规则!$A$6:$N$9,MATCH(购销流水!$D472,记账规则!$A$6:$A$9,0),3),""))</f>
        <v/>
      </c>
      <c r="M1870" s="66" t="str">
        <f aca="false">IF($L1870="","",IFERROR(INDEX(记账规则!$A$6:$N$9,MATCH(购销流水!$D472,记账规则!$A$6:$A$9,0),4),""))</f>
        <v/>
      </c>
      <c r="N1870" s="66" t="str">
        <f aca="false">IF($L1870="","",IFERROR(INDEX(记账规则!$A$6:$N$9,MATCH(购销流水!$D472,记账规则!$A$6:$A$9,0),5),""))</f>
        <v/>
      </c>
      <c r="O1870" s="67" t="n">
        <f aca="false">IF($H1870="",0,ROUND(IF($N1870="成本金额",N(购销流水!$W472),IF($N1870="金额",N(购销流水!$Q472),0)),2))</f>
        <v>0</v>
      </c>
      <c r="P1870" s="64" t="str">
        <f aca="false">IF(AND($H1870&lt;&gt;"",ROUND($O1870,2)&lt;&gt;0),"有","")</f>
        <v/>
      </c>
    </row>
    <row r="1871" customFormat="false" ht="15" hidden="true" customHeight="false" outlineLevel="0" collapsed="false">
      <c r="A1871" s="53" t="str">
        <f aca="false">IF($H1871="","",ROW()-5)</f>
        <v/>
      </c>
      <c r="B1871" s="64" t="s">
        <v>36</v>
      </c>
      <c r="C1871" s="53" t="n">
        <v>472</v>
      </c>
      <c r="D1871" s="53" t="n">
        <v>2</v>
      </c>
      <c r="E1871" s="65" t="str">
        <f aca="false">IF($H1871="","",购销流水!$B472)</f>
        <v/>
      </c>
      <c r="F1871" s="55" t="str">
        <f aca="false">IF($H1871="","",购销流水!$C472)</f>
        <v/>
      </c>
      <c r="G1871" s="48" t="str">
        <f aca="false">IF($H1871="","",购销流水!$N472)</f>
        <v/>
      </c>
      <c r="H1871" s="10" t="str">
        <f aca="false">IF($L1871="","",IF($L1871="@成本",购销流水!$U472,IF($L1871="@收入",购销流水!$T472,IF($L1871="@存货",购销流水!$S472,IF($L1871="@结算",购销流水!$R472,$L1871)))))</f>
        <v/>
      </c>
      <c r="I1871" s="42" t="n">
        <f aca="false">IF($M1871="借",$O1871,0)</f>
        <v>0</v>
      </c>
      <c r="J1871" s="42" t="n">
        <f aca="false">IF($M1871="贷",$O1871,0)</f>
        <v>0</v>
      </c>
      <c r="K1871" s="48" t="str">
        <f aca="false">IF($H1871="","",购销流水!$E472)</f>
        <v/>
      </c>
      <c r="L1871" s="66" t="str">
        <f aca="false">IF(购销流水!$D472="","",IFERROR(INDEX(记账规则!$A$6:$N$9,MATCH(购销流水!$D472,记账规则!$A$6:$A$9,0),6),""))</f>
        <v/>
      </c>
      <c r="M1871" s="66" t="str">
        <f aca="false">IF($L1871="","",IFERROR(INDEX(记账规则!$A$6:$N$9,MATCH(购销流水!$D472,记账规则!$A$6:$A$9,0),7),""))</f>
        <v/>
      </c>
      <c r="N1871" s="66" t="str">
        <f aca="false">IF($L1871="","",IFERROR(INDEX(记账规则!$A$6:$N$9,MATCH(购销流水!$D472,记账规则!$A$6:$A$9,0),8),""))</f>
        <v/>
      </c>
      <c r="O1871" s="67" t="n">
        <f aca="false">IF($H1871="",0,ROUND(IF($N1871="成本金额",N(购销流水!$W472),IF($N1871="金额",N(购销流水!$Q472),0)),2))</f>
        <v>0</v>
      </c>
      <c r="P1871" s="64" t="str">
        <f aca="false">IF(AND($H1871&lt;&gt;"",ROUND($O1871,2)&lt;&gt;0),"有","")</f>
        <v/>
      </c>
    </row>
    <row r="1872" customFormat="false" ht="15" hidden="true" customHeight="false" outlineLevel="0" collapsed="false">
      <c r="A1872" s="53" t="str">
        <f aca="false">IF($H1872="","",ROW()-5)</f>
        <v/>
      </c>
      <c r="B1872" s="64" t="s">
        <v>36</v>
      </c>
      <c r="C1872" s="53" t="n">
        <v>472</v>
      </c>
      <c r="D1872" s="53" t="n">
        <v>3</v>
      </c>
      <c r="E1872" s="65" t="str">
        <f aca="false">IF($H1872="","",购销流水!$B472)</f>
        <v/>
      </c>
      <c r="F1872" s="55" t="str">
        <f aca="false">IF($H1872="","",购销流水!$C472)</f>
        <v/>
      </c>
      <c r="G1872" s="48" t="str">
        <f aca="false">IF($H1872="","",购销流水!$N472)</f>
        <v/>
      </c>
      <c r="H1872" s="10" t="str">
        <f aca="false">IF($L1872="","",IF($L1872="@成本",购销流水!$U472,IF($L1872="@收入",购销流水!$T472,IF($L1872="@存货",购销流水!$S472,IF($L1872="@结算",购销流水!$R472,$L1872)))))</f>
        <v/>
      </c>
      <c r="I1872" s="42" t="n">
        <f aca="false">IF($M1872="借",$O1872,0)</f>
        <v>0</v>
      </c>
      <c r="J1872" s="42" t="n">
        <f aca="false">IF($M1872="贷",$O1872,0)</f>
        <v>0</v>
      </c>
      <c r="K1872" s="48" t="str">
        <f aca="false">IF($H1872="","",购销流水!$E472)</f>
        <v/>
      </c>
      <c r="L1872" s="66" t="str">
        <f aca="false">IF(购销流水!$D472="","",IFERROR(INDEX(记账规则!$A$6:$N$9,MATCH(购销流水!$D472,记账规则!$A$6:$A$9,0),9),""))</f>
        <v/>
      </c>
      <c r="M1872" s="66" t="str">
        <f aca="false">IF($L1872="","",IFERROR(INDEX(记账规则!$A$6:$N$9,MATCH(购销流水!$D472,记账规则!$A$6:$A$9,0),10),""))</f>
        <v/>
      </c>
      <c r="N1872" s="66" t="str">
        <f aca="false">IF($L1872="","",IFERROR(INDEX(记账规则!$A$6:$N$9,MATCH(购销流水!$D472,记账规则!$A$6:$A$9,0),11),""))</f>
        <v/>
      </c>
      <c r="O1872" s="67" t="n">
        <f aca="false">IF($H1872="",0,ROUND(IF($N1872="成本金额",N(购销流水!$W472),IF($N1872="金额",N(购销流水!$Q472),0)),2))</f>
        <v>0</v>
      </c>
      <c r="P1872" s="64" t="str">
        <f aca="false">IF(AND($H1872&lt;&gt;"",ROUND($O1872,2)&lt;&gt;0),"有","")</f>
        <v/>
      </c>
    </row>
    <row r="1873" customFormat="false" ht="15" hidden="true" customHeight="false" outlineLevel="0" collapsed="false">
      <c r="A1873" s="53" t="str">
        <f aca="false">IF($H1873="","",ROW()-5)</f>
        <v/>
      </c>
      <c r="B1873" s="64" t="s">
        <v>36</v>
      </c>
      <c r="C1873" s="53" t="n">
        <v>472</v>
      </c>
      <c r="D1873" s="53" t="n">
        <v>4</v>
      </c>
      <c r="E1873" s="65" t="str">
        <f aca="false">IF($H1873="","",购销流水!$B472)</f>
        <v/>
      </c>
      <c r="F1873" s="55" t="str">
        <f aca="false">IF($H1873="","",购销流水!$C472)</f>
        <v/>
      </c>
      <c r="G1873" s="48" t="str">
        <f aca="false">IF($H1873="","",购销流水!$N472)</f>
        <v/>
      </c>
      <c r="H1873" s="10" t="str">
        <f aca="false">IF($L1873="","",IF($L1873="@成本",购销流水!$U472,IF($L1873="@收入",购销流水!$T472,IF($L1873="@存货",购销流水!$S472,IF($L1873="@结算",购销流水!$R472,$L1873)))))</f>
        <v/>
      </c>
      <c r="I1873" s="42" t="n">
        <f aca="false">IF($M1873="借",$O1873,0)</f>
        <v>0</v>
      </c>
      <c r="J1873" s="42" t="n">
        <f aca="false">IF($M1873="贷",$O1873,0)</f>
        <v>0</v>
      </c>
      <c r="K1873" s="48" t="str">
        <f aca="false">IF($H1873="","",购销流水!$E472)</f>
        <v/>
      </c>
      <c r="L1873" s="66" t="str">
        <f aca="false">IF(购销流水!$D472="","",IFERROR(INDEX(记账规则!$A$6:$N$9,MATCH(购销流水!$D472,记账规则!$A$6:$A$9,0),12),""))</f>
        <v/>
      </c>
      <c r="M1873" s="66" t="str">
        <f aca="false">IF($L1873="","",IFERROR(INDEX(记账规则!$A$6:$N$9,MATCH(购销流水!$D472,记账规则!$A$6:$A$9,0),13),""))</f>
        <v/>
      </c>
      <c r="N1873" s="66" t="str">
        <f aca="false">IF($L1873="","",IFERROR(INDEX(记账规则!$A$6:$N$9,MATCH(购销流水!$D472,记账规则!$A$6:$A$9,0),14),""))</f>
        <v/>
      </c>
      <c r="O1873" s="67" t="n">
        <f aca="false">IF($H1873="",0,ROUND(IF($N1873="成本金额",N(购销流水!$W472),IF($N1873="金额",N(购销流水!$Q472),0)),2))</f>
        <v>0</v>
      </c>
      <c r="P1873" s="64" t="str">
        <f aca="false">IF(AND($H1873&lt;&gt;"",ROUND($O1873,2)&lt;&gt;0),"有","")</f>
        <v/>
      </c>
    </row>
    <row r="1874" customFormat="false" ht="15" hidden="true" customHeight="false" outlineLevel="0" collapsed="false">
      <c r="A1874" s="53" t="str">
        <f aca="false">IF($H1874="","",ROW()-5)</f>
        <v/>
      </c>
      <c r="B1874" s="64" t="s">
        <v>36</v>
      </c>
      <c r="C1874" s="53" t="n">
        <v>473</v>
      </c>
      <c r="D1874" s="53" t="n">
        <v>1</v>
      </c>
      <c r="E1874" s="65" t="str">
        <f aca="false">IF($H1874="","",购销流水!$B473)</f>
        <v/>
      </c>
      <c r="F1874" s="55" t="str">
        <f aca="false">IF($H1874="","",购销流水!$C473)</f>
        <v/>
      </c>
      <c r="G1874" s="48" t="str">
        <f aca="false">IF($H1874="","",购销流水!$N473)</f>
        <v/>
      </c>
      <c r="H1874" s="10" t="str">
        <f aca="false">IF($L1874="","",IF($L1874="@成本",购销流水!$U473,IF($L1874="@收入",购销流水!$T473,IF($L1874="@存货",购销流水!$S473,IF($L1874="@结算",购销流水!$R473,$L1874)))))</f>
        <v/>
      </c>
      <c r="I1874" s="42" t="n">
        <f aca="false">IF($M1874="借",$O1874,0)</f>
        <v>0</v>
      </c>
      <c r="J1874" s="42" t="n">
        <f aca="false">IF($M1874="贷",$O1874,0)</f>
        <v>0</v>
      </c>
      <c r="K1874" s="48" t="str">
        <f aca="false">IF($H1874="","",购销流水!$E473)</f>
        <v/>
      </c>
      <c r="L1874" s="66" t="str">
        <f aca="false">IF(购销流水!$D473="","",IFERROR(INDEX(记账规则!$A$6:$N$9,MATCH(购销流水!$D473,记账规则!$A$6:$A$9,0),3),""))</f>
        <v/>
      </c>
      <c r="M1874" s="66" t="str">
        <f aca="false">IF($L1874="","",IFERROR(INDEX(记账规则!$A$6:$N$9,MATCH(购销流水!$D473,记账规则!$A$6:$A$9,0),4),""))</f>
        <v/>
      </c>
      <c r="N1874" s="66" t="str">
        <f aca="false">IF($L1874="","",IFERROR(INDEX(记账规则!$A$6:$N$9,MATCH(购销流水!$D473,记账规则!$A$6:$A$9,0),5),""))</f>
        <v/>
      </c>
      <c r="O1874" s="67" t="n">
        <f aca="false">IF($H1874="",0,ROUND(IF($N1874="成本金额",N(购销流水!$W473),IF($N1874="金额",N(购销流水!$Q473),0)),2))</f>
        <v>0</v>
      </c>
      <c r="P1874" s="64" t="str">
        <f aca="false">IF(AND($H1874&lt;&gt;"",ROUND($O1874,2)&lt;&gt;0),"有","")</f>
        <v/>
      </c>
    </row>
    <row r="1875" customFormat="false" ht="15" hidden="true" customHeight="false" outlineLevel="0" collapsed="false">
      <c r="A1875" s="53" t="str">
        <f aca="false">IF($H1875="","",ROW()-5)</f>
        <v/>
      </c>
      <c r="B1875" s="64" t="s">
        <v>36</v>
      </c>
      <c r="C1875" s="53" t="n">
        <v>473</v>
      </c>
      <c r="D1875" s="53" t="n">
        <v>2</v>
      </c>
      <c r="E1875" s="65" t="str">
        <f aca="false">IF($H1875="","",购销流水!$B473)</f>
        <v/>
      </c>
      <c r="F1875" s="55" t="str">
        <f aca="false">IF($H1875="","",购销流水!$C473)</f>
        <v/>
      </c>
      <c r="G1875" s="48" t="str">
        <f aca="false">IF($H1875="","",购销流水!$N473)</f>
        <v/>
      </c>
      <c r="H1875" s="10" t="str">
        <f aca="false">IF($L1875="","",IF($L1875="@成本",购销流水!$U473,IF($L1875="@收入",购销流水!$T473,IF($L1875="@存货",购销流水!$S473,IF($L1875="@结算",购销流水!$R473,$L1875)))))</f>
        <v/>
      </c>
      <c r="I1875" s="42" t="n">
        <f aca="false">IF($M1875="借",$O1875,0)</f>
        <v>0</v>
      </c>
      <c r="J1875" s="42" t="n">
        <f aca="false">IF($M1875="贷",$O1875,0)</f>
        <v>0</v>
      </c>
      <c r="K1875" s="48" t="str">
        <f aca="false">IF($H1875="","",购销流水!$E473)</f>
        <v/>
      </c>
      <c r="L1875" s="66" t="str">
        <f aca="false">IF(购销流水!$D473="","",IFERROR(INDEX(记账规则!$A$6:$N$9,MATCH(购销流水!$D473,记账规则!$A$6:$A$9,0),6),""))</f>
        <v/>
      </c>
      <c r="M1875" s="66" t="str">
        <f aca="false">IF($L1875="","",IFERROR(INDEX(记账规则!$A$6:$N$9,MATCH(购销流水!$D473,记账规则!$A$6:$A$9,0),7),""))</f>
        <v/>
      </c>
      <c r="N1875" s="66" t="str">
        <f aca="false">IF($L1875="","",IFERROR(INDEX(记账规则!$A$6:$N$9,MATCH(购销流水!$D473,记账规则!$A$6:$A$9,0),8),""))</f>
        <v/>
      </c>
      <c r="O1875" s="67" t="n">
        <f aca="false">IF($H1875="",0,ROUND(IF($N1875="成本金额",N(购销流水!$W473),IF($N1875="金额",N(购销流水!$Q473),0)),2))</f>
        <v>0</v>
      </c>
      <c r="P1875" s="64" t="str">
        <f aca="false">IF(AND($H1875&lt;&gt;"",ROUND($O1875,2)&lt;&gt;0),"有","")</f>
        <v/>
      </c>
    </row>
    <row r="1876" customFormat="false" ht="15" hidden="true" customHeight="false" outlineLevel="0" collapsed="false">
      <c r="A1876" s="53" t="str">
        <f aca="false">IF($H1876="","",ROW()-5)</f>
        <v/>
      </c>
      <c r="B1876" s="64" t="s">
        <v>36</v>
      </c>
      <c r="C1876" s="53" t="n">
        <v>473</v>
      </c>
      <c r="D1876" s="53" t="n">
        <v>3</v>
      </c>
      <c r="E1876" s="65" t="str">
        <f aca="false">IF($H1876="","",购销流水!$B473)</f>
        <v/>
      </c>
      <c r="F1876" s="55" t="str">
        <f aca="false">IF($H1876="","",购销流水!$C473)</f>
        <v/>
      </c>
      <c r="G1876" s="48" t="str">
        <f aca="false">IF($H1876="","",购销流水!$N473)</f>
        <v/>
      </c>
      <c r="H1876" s="10" t="str">
        <f aca="false">IF($L1876="","",IF($L1876="@成本",购销流水!$U473,IF($L1876="@收入",购销流水!$T473,IF($L1876="@存货",购销流水!$S473,IF($L1876="@结算",购销流水!$R473,$L1876)))))</f>
        <v/>
      </c>
      <c r="I1876" s="42" t="n">
        <f aca="false">IF($M1876="借",$O1876,0)</f>
        <v>0</v>
      </c>
      <c r="J1876" s="42" t="n">
        <f aca="false">IF($M1876="贷",$O1876,0)</f>
        <v>0</v>
      </c>
      <c r="K1876" s="48" t="str">
        <f aca="false">IF($H1876="","",购销流水!$E473)</f>
        <v/>
      </c>
      <c r="L1876" s="66" t="str">
        <f aca="false">IF(购销流水!$D473="","",IFERROR(INDEX(记账规则!$A$6:$N$9,MATCH(购销流水!$D473,记账规则!$A$6:$A$9,0),9),""))</f>
        <v/>
      </c>
      <c r="M1876" s="66" t="str">
        <f aca="false">IF($L1876="","",IFERROR(INDEX(记账规则!$A$6:$N$9,MATCH(购销流水!$D473,记账规则!$A$6:$A$9,0),10),""))</f>
        <v/>
      </c>
      <c r="N1876" s="66" t="str">
        <f aca="false">IF($L1876="","",IFERROR(INDEX(记账规则!$A$6:$N$9,MATCH(购销流水!$D473,记账规则!$A$6:$A$9,0),11),""))</f>
        <v/>
      </c>
      <c r="O1876" s="67" t="n">
        <f aca="false">IF($H1876="",0,ROUND(IF($N1876="成本金额",N(购销流水!$W473),IF($N1876="金额",N(购销流水!$Q473),0)),2))</f>
        <v>0</v>
      </c>
      <c r="P1876" s="64" t="str">
        <f aca="false">IF(AND($H1876&lt;&gt;"",ROUND($O1876,2)&lt;&gt;0),"有","")</f>
        <v/>
      </c>
    </row>
    <row r="1877" customFormat="false" ht="15" hidden="true" customHeight="false" outlineLevel="0" collapsed="false">
      <c r="A1877" s="53" t="str">
        <f aca="false">IF($H1877="","",ROW()-5)</f>
        <v/>
      </c>
      <c r="B1877" s="64" t="s">
        <v>36</v>
      </c>
      <c r="C1877" s="53" t="n">
        <v>473</v>
      </c>
      <c r="D1877" s="53" t="n">
        <v>4</v>
      </c>
      <c r="E1877" s="65" t="str">
        <f aca="false">IF($H1877="","",购销流水!$B473)</f>
        <v/>
      </c>
      <c r="F1877" s="55" t="str">
        <f aca="false">IF($H1877="","",购销流水!$C473)</f>
        <v/>
      </c>
      <c r="G1877" s="48" t="str">
        <f aca="false">IF($H1877="","",购销流水!$N473)</f>
        <v/>
      </c>
      <c r="H1877" s="10" t="str">
        <f aca="false">IF($L1877="","",IF($L1877="@成本",购销流水!$U473,IF($L1877="@收入",购销流水!$T473,IF($L1877="@存货",购销流水!$S473,IF($L1877="@结算",购销流水!$R473,$L1877)))))</f>
        <v/>
      </c>
      <c r="I1877" s="42" t="n">
        <f aca="false">IF($M1877="借",$O1877,0)</f>
        <v>0</v>
      </c>
      <c r="J1877" s="42" t="n">
        <f aca="false">IF($M1877="贷",$O1877,0)</f>
        <v>0</v>
      </c>
      <c r="K1877" s="48" t="str">
        <f aca="false">IF($H1877="","",购销流水!$E473)</f>
        <v/>
      </c>
      <c r="L1877" s="66" t="str">
        <f aca="false">IF(购销流水!$D473="","",IFERROR(INDEX(记账规则!$A$6:$N$9,MATCH(购销流水!$D473,记账规则!$A$6:$A$9,0),12),""))</f>
        <v/>
      </c>
      <c r="M1877" s="66" t="str">
        <f aca="false">IF($L1877="","",IFERROR(INDEX(记账规则!$A$6:$N$9,MATCH(购销流水!$D473,记账规则!$A$6:$A$9,0),13),""))</f>
        <v/>
      </c>
      <c r="N1877" s="66" t="str">
        <f aca="false">IF($L1877="","",IFERROR(INDEX(记账规则!$A$6:$N$9,MATCH(购销流水!$D473,记账规则!$A$6:$A$9,0),14),""))</f>
        <v/>
      </c>
      <c r="O1877" s="67" t="n">
        <f aca="false">IF($H1877="",0,ROUND(IF($N1877="成本金额",N(购销流水!$W473),IF($N1877="金额",N(购销流水!$Q473),0)),2))</f>
        <v>0</v>
      </c>
      <c r="P1877" s="64" t="str">
        <f aca="false">IF(AND($H1877&lt;&gt;"",ROUND($O1877,2)&lt;&gt;0),"有","")</f>
        <v/>
      </c>
    </row>
    <row r="1878" customFormat="false" ht="15" hidden="true" customHeight="false" outlineLevel="0" collapsed="false">
      <c r="A1878" s="53" t="str">
        <f aca="false">IF($H1878="","",ROW()-5)</f>
        <v/>
      </c>
      <c r="B1878" s="64" t="s">
        <v>36</v>
      </c>
      <c r="C1878" s="53" t="n">
        <v>474</v>
      </c>
      <c r="D1878" s="53" t="n">
        <v>1</v>
      </c>
      <c r="E1878" s="65" t="str">
        <f aca="false">IF($H1878="","",购销流水!$B474)</f>
        <v/>
      </c>
      <c r="F1878" s="55" t="str">
        <f aca="false">IF($H1878="","",购销流水!$C474)</f>
        <v/>
      </c>
      <c r="G1878" s="48" t="str">
        <f aca="false">IF($H1878="","",购销流水!$N474)</f>
        <v/>
      </c>
      <c r="H1878" s="10" t="str">
        <f aca="false">IF($L1878="","",IF($L1878="@成本",购销流水!$U474,IF($L1878="@收入",购销流水!$T474,IF($L1878="@存货",购销流水!$S474,IF($L1878="@结算",购销流水!$R474,$L1878)))))</f>
        <v/>
      </c>
      <c r="I1878" s="42" t="n">
        <f aca="false">IF($M1878="借",$O1878,0)</f>
        <v>0</v>
      </c>
      <c r="J1878" s="42" t="n">
        <f aca="false">IF($M1878="贷",$O1878,0)</f>
        <v>0</v>
      </c>
      <c r="K1878" s="48" t="str">
        <f aca="false">IF($H1878="","",购销流水!$E474)</f>
        <v/>
      </c>
      <c r="L1878" s="66" t="str">
        <f aca="false">IF(购销流水!$D474="","",IFERROR(INDEX(记账规则!$A$6:$N$9,MATCH(购销流水!$D474,记账规则!$A$6:$A$9,0),3),""))</f>
        <v/>
      </c>
      <c r="M1878" s="66" t="str">
        <f aca="false">IF($L1878="","",IFERROR(INDEX(记账规则!$A$6:$N$9,MATCH(购销流水!$D474,记账规则!$A$6:$A$9,0),4),""))</f>
        <v/>
      </c>
      <c r="N1878" s="66" t="str">
        <f aca="false">IF($L1878="","",IFERROR(INDEX(记账规则!$A$6:$N$9,MATCH(购销流水!$D474,记账规则!$A$6:$A$9,0),5),""))</f>
        <v/>
      </c>
      <c r="O1878" s="67" t="n">
        <f aca="false">IF($H1878="",0,ROUND(IF($N1878="成本金额",N(购销流水!$W474),IF($N1878="金额",N(购销流水!$Q474),0)),2))</f>
        <v>0</v>
      </c>
      <c r="P1878" s="64" t="str">
        <f aca="false">IF(AND($H1878&lt;&gt;"",ROUND($O1878,2)&lt;&gt;0),"有","")</f>
        <v/>
      </c>
    </row>
    <row r="1879" customFormat="false" ht="15" hidden="true" customHeight="false" outlineLevel="0" collapsed="false">
      <c r="A1879" s="53" t="str">
        <f aca="false">IF($H1879="","",ROW()-5)</f>
        <v/>
      </c>
      <c r="B1879" s="64" t="s">
        <v>36</v>
      </c>
      <c r="C1879" s="53" t="n">
        <v>474</v>
      </c>
      <c r="D1879" s="53" t="n">
        <v>2</v>
      </c>
      <c r="E1879" s="65" t="str">
        <f aca="false">IF($H1879="","",购销流水!$B474)</f>
        <v/>
      </c>
      <c r="F1879" s="55" t="str">
        <f aca="false">IF($H1879="","",购销流水!$C474)</f>
        <v/>
      </c>
      <c r="G1879" s="48" t="str">
        <f aca="false">IF($H1879="","",购销流水!$N474)</f>
        <v/>
      </c>
      <c r="H1879" s="10" t="str">
        <f aca="false">IF($L1879="","",IF($L1879="@成本",购销流水!$U474,IF($L1879="@收入",购销流水!$T474,IF($L1879="@存货",购销流水!$S474,IF($L1879="@结算",购销流水!$R474,$L1879)))))</f>
        <v/>
      </c>
      <c r="I1879" s="42" t="n">
        <f aca="false">IF($M1879="借",$O1879,0)</f>
        <v>0</v>
      </c>
      <c r="J1879" s="42" t="n">
        <f aca="false">IF($M1879="贷",$O1879,0)</f>
        <v>0</v>
      </c>
      <c r="K1879" s="48" t="str">
        <f aca="false">IF($H1879="","",购销流水!$E474)</f>
        <v/>
      </c>
      <c r="L1879" s="66" t="str">
        <f aca="false">IF(购销流水!$D474="","",IFERROR(INDEX(记账规则!$A$6:$N$9,MATCH(购销流水!$D474,记账规则!$A$6:$A$9,0),6),""))</f>
        <v/>
      </c>
      <c r="M1879" s="66" t="str">
        <f aca="false">IF($L1879="","",IFERROR(INDEX(记账规则!$A$6:$N$9,MATCH(购销流水!$D474,记账规则!$A$6:$A$9,0),7),""))</f>
        <v/>
      </c>
      <c r="N1879" s="66" t="str">
        <f aca="false">IF($L1879="","",IFERROR(INDEX(记账规则!$A$6:$N$9,MATCH(购销流水!$D474,记账规则!$A$6:$A$9,0),8),""))</f>
        <v/>
      </c>
      <c r="O1879" s="67" t="n">
        <f aca="false">IF($H1879="",0,ROUND(IF($N1879="成本金额",N(购销流水!$W474),IF($N1879="金额",N(购销流水!$Q474),0)),2))</f>
        <v>0</v>
      </c>
      <c r="P1879" s="64" t="str">
        <f aca="false">IF(AND($H1879&lt;&gt;"",ROUND($O1879,2)&lt;&gt;0),"有","")</f>
        <v/>
      </c>
    </row>
    <row r="1880" customFormat="false" ht="15" hidden="true" customHeight="false" outlineLevel="0" collapsed="false">
      <c r="A1880" s="53" t="str">
        <f aca="false">IF($H1880="","",ROW()-5)</f>
        <v/>
      </c>
      <c r="B1880" s="64" t="s">
        <v>36</v>
      </c>
      <c r="C1880" s="53" t="n">
        <v>474</v>
      </c>
      <c r="D1880" s="53" t="n">
        <v>3</v>
      </c>
      <c r="E1880" s="65" t="str">
        <f aca="false">IF($H1880="","",购销流水!$B474)</f>
        <v/>
      </c>
      <c r="F1880" s="55" t="str">
        <f aca="false">IF($H1880="","",购销流水!$C474)</f>
        <v/>
      </c>
      <c r="G1880" s="48" t="str">
        <f aca="false">IF($H1880="","",购销流水!$N474)</f>
        <v/>
      </c>
      <c r="H1880" s="10" t="str">
        <f aca="false">IF($L1880="","",IF($L1880="@成本",购销流水!$U474,IF($L1880="@收入",购销流水!$T474,IF($L1880="@存货",购销流水!$S474,IF($L1880="@结算",购销流水!$R474,$L1880)))))</f>
        <v/>
      </c>
      <c r="I1880" s="42" t="n">
        <f aca="false">IF($M1880="借",$O1880,0)</f>
        <v>0</v>
      </c>
      <c r="J1880" s="42" t="n">
        <f aca="false">IF($M1880="贷",$O1880,0)</f>
        <v>0</v>
      </c>
      <c r="K1880" s="48" t="str">
        <f aca="false">IF($H1880="","",购销流水!$E474)</f>
        <v/>
      </c>
      <c r="L1880" s="66" t="str">
        <f aca="false">IF(购销流水!$D474="","",IFERROR(INDEX(记账规则!$A$6:$N$9,MATCH(购销流水!$D474,记账规则!$A$6:$A$9,0),9),""))</f>
        <v/>
      </c>
      <c r="M1880" s="66" t="str">
        <f aca="false">IF($L1880="","",IFERROR(INDEX(记账规则!$A$6:$N$9,MATCH(购销流水!$D474,记账规则!$A$6:$A$9,0),10),""))</f>
        <v/>
      </c>
      <c r="N1880" s="66" t="str">
        <f aca="false">IF($L1880="","",IFERROR(INDEX(记账规则!$A$6:$N$9,MATCH(购销流水!$D474,记账规则!$A$6:$A$9,0),11),""))</f>
        <v/>
      </c>
      <c r="O1880" s="67" t="n">
        <f aca="false">IF($H1880="",0,ROUND(IF($N1880="成本金额",N(购销流水!$W474),IF($N1880="金额",N(购销流水!$Q474),0)),2))</f>
        <v>0</v>
      </c>
      <c r="P1880" s="64" t="str">
        <f aca="false">IF(AND($H1880&lt;&gt;"",ROUND($O1880,2)&lt;&gt;0),"有","")</f>
        <v/>
      </c>
    </row>
    <row r="1881" customFormat="false" ht="15" hidden="true" customHeight="false" outlineLevel="0" collapsed="false">
      <c r="A1881" s="53" t="str">
        <f aca="false">IF($H1881="","",ROW()-5)</f>
        <v/>
      </c>
      <c r="B1881" s="64" t="s">
        <v>36</v>
      </c>
      <c r="C1881" s="53" t="n">
        <v>474</v>
      </c>
      <c r="D1881" s="53" t="n">
        <v>4</v>
      </c>
      <c r="E1881" s="65" t="str">
        <f aca="false">IF($H1881="","",购销流水!$B474)</f>
        <v/>
      </c>
      <c r="F1881" s="55" t="str">
        <f aca="false">IF($H1881="","",购销流水!$C474)</f>
        <v/>
      </c>
      <c r="G1881" s="48" t="str">
        <f aca="false">IF($H1881="","",购销流水!$N474)</f>
        <v/>
      </c>
      <c r="H1881" s="10" t="str">
        <f aca="false">IF($L1881="","",IF($L1881="@成本",购销流水!$U474,IF($L1881="@收入",购销流水!$T474,IF($L1881="@存货",购销流水!$S474,IF($L1881="@结算",购销流水!$R474,$L1881)))))</f>
        <v/>
      </c>
      <c r="I1881" s="42" t="n">
        <f aca="false">IF($M1881="借",$O1881,0)</f>
        <v>0</v>
      </c>
      <c r="J1881" s="42" t="n">
        <f aca="false">IF($M1881="贷",$O1881,0)</f>
        <v>0</v>
      </c>
      <c r="K1881" s="48" t="str">
        <f aca="false">IF($H1881="","",购销流水!$E474)</f>
        <v/>
      </c>
      <c r="L1881" s="66" t="str">
        <f aca="false">IF(购销流水!$D474="","",IFERROR(INDEX(记账规则!$A$6:$N$9,MATCH(购销流水!$D474,记账规则!$A$6:$A$9,0),12),""))</f>
        <v/>
      </c>
      <c r="M1881" s="66" t="str">
        <f aca="false">IF($L1881="","",IFERROR(INDEX(记账规则!$A$6:$N$9,MATCH(购销流水!$D474,记账规则!$A$6:$A$9,0),13),""))</f>
        <v/>
      </c>
      <c r="N1881" s="66" t="str">
        <f aca="false">IF($L1881="","",IFERROR(INDEX(记账规则!$A$6:$N$9,MATCH(购销流水!$D474,记账规则!$A$6:$A$9,0),14),""))</f>
        <v/>
      </c>
      <c r="O1881" s="67" t="n">
        <f aca="false">IF($H1881="",0,ROUND(IF($N1881="成本金额",N(购销流水!$W474),IF($N1881="金额",N(购销流水!$Q474),0)),2))</f>
        <v>0</v>
      </c>
      <c r="P1881" s="64" t="str">
        <f aca="false">IF(AND($H1881&lt;&gt;"",ROUND($O1881,2)&lt;&gt;0),"有","")</f>
        <v/>
      </c>
    </row>
    <row r="1882" customFormat="false" ht="15" hidden="true" customHeight="false" outlineLevel="0" collapsed="false">
      <c r="A1882" s="53" t="str">
        <f aca="false">IF($H1882="","",ROW()-5)</f>
        <v/>
      </c>
      <c r="B1882" s="64" t="s">
        <v>36</v>
      </c>
      <c r="C1882" s="53" t="n">
        <v>475</v>
      </c>
      <c r="D1882" s="53" t="n">
        <v>1</v>
      </c>
      <c r="E1882" s="65" t="str">
        <f aca="false">IF($H1882="","",购销流水!$B475)</f>
        <v/>
      </c>
      <c r="F1882" s="55" t="str">
        <f aca="false">IF($H1882="","",购销流水!$C475)</f>
        <v/>
      </c>
      <c r="G1882" s="48" t="str">
        <f aca="false">IF($H1882="","",购销流水!$N475)</f>
        <v/>
      </c>
      <c r="H1882" s="10" t="str">
        <f aca="false">IF($L1882="","",IF($L1882="@成本",购销流水!$U475,IF($L1882="@收入",购销流水!$T475,IF($L1882="@存货",购销流水!$S475,IF($L1882="@结算",购销流水!$R475,$L1882)))))</f>
        <v/>
      </c>
      <c r="I1882" s="42" t="n">
        <f aca="false">IF($M1882="借",$O1882,0)</f>
        <v>0</v>
      </c>
      <c r="J1882" s="42" t="n">
        <f aca="false">IF($M1882="贷",$O1882,0)</f>
        <v>0</v>
      </c>
      <c r="K1882" s="48" t="str">
        <f aca="false">IF($H1882="","",购销流水!$E475)</f>
        <v/>
      </c>
      <c r="L1882" s="66" t="str">
        <f aca="false">IF(购销流水!$D475="","",IFERROR(INDEX(记账规则!$A$6:$N$9,MATCH(购销流水!$D475,记账规则!$A$6:$A$9,0),3),""))</f>
        <v/>
      </c>
      <c r="M1882" s="66" t="str">
        <f aca="false">IF($L1882="","",IFERROR(INDEX(记账规则!$A$6:$N$9,MATCH(购销流水!$D475,记账规则!$A$6:$A$9,0),4),""))</f>
        <v/>
      </c>
      <c r="N1882" s="66" t="str">
        <f aca="false">IF($L1882="","",IFERROR(INDEX(记账规则!$A$6:$N$9,MATCH(购销流水!$D475,记账规则!$A$6:$A$9,0),5),""))</f>
        <v/>
      </c>
      <c r="O1882" s="67" t="n">
        <f aca="false">IF($H1882="",0,ROUND(IF($N1882="成本金额",N(购销流水!$W475),IF($N1882="金额",N(购销流水!$Q475),0)),2))</f>
        <v>0</v>
      </c>
      <c r="P1882" s="64" t="str">
        <f aca="false">IF(AND($H1882&lt;&gt;"",ROUND($O1882,2)&lt;&gt;0),"有","")</f>
        <v/>
      </c>
    </row>
    <row r="1883" customFormat="false" ht="15" hidden="true" customHeight="false" outlineLevel="0" collapsed="false">
      <c r="A1883" s="53" t="str">
        <f aca="false">IF($H1883="","",ROW()-5)</f>
        <v/>
      </c>
      <c r="B1883" s="64" t="s">
        <v>36</v>
      </c>
      <c r="C1883" s="53" t="n">
        <v>475</v>
      </c>
      <c r="D1883" s="53" t="n">
        <v>2</v>
      </c>
      <c r="E1883" s="65" t="str">
        <f aca="false">IF($H1883="","",购销流水!$B475)</f>
        <v/>
      </c>
      <c r="F1883" s="55" t="str">
        <f aca="false">IF($H1883="","",购销流水!$C475)</f>
        <v/>
      </c>
      <c r="G1883" s="48" t="str">
        <f aca="false">IF($H1883="","",购销流水!$N475)</f>
        <v/>
      </c>
      <c r="H1883" s="10" t="str">
        <f aca="false">IF($L1883="","",IF($L1883="@成本",购销流水!$U475,IF($L1883="@收入",购销流水!$T475,IF($L1883="@存货",购销流水!$S475,IF($L1883="@结算",购销流水!$R475,$L1883)))))</f>
        <v/>
      </c>
      <c r="I1883" s="42" t="n">
        <f aca="false">IF($M1883="借",$O1883,0)</f>
        <v>0</v>
      </c>
      <c r="J1883" s="42" t="n">
        <f aca="false">IF($M1883="贷",$O1883,0)</f>
        <v>0</v>
      </c>
      <c r="K1883" s="48" t="str">
        <f aca="false">IF($H1883="","",购销流水!$E475)</f>
        <v/>
      </c>
      <c r="L1883" s="66" t="str">
        <f aca="false">IF(购销流水!$D475="","",IFERROR(INDEX(记账规则!$A$6:$N$9,MATCH(购销流水!$D475,记账规则!$A$6:$A$9,0),6),""))</f>
        <v/>
      </c>
      <c r="M1883" s="66" t="str">
        <f aca="false">IF($L1883="","",IFERROR(INDEX(记账规则!$A$6:$N$9,MATCH(购销流水!$D475,记账规则!$A$6:$A$9,0),7),""))</f>
        <v/>
      </c>
      <c r="N1883" s="66" t="str">
        <f aca="false">IF($L1883="","",IFERROR(INDEX(记账规则!$A$6:$N$9,MATCH(购销流水!$D475,记账规则!$A$6:$A$9,0),8),""))</f>
        <v/>
      </c>
      <c r="O1883" s="67" t="n">
        <f aca="false">IF($H1883="",0,ROUND(IF($N1883="成本金额",N(购销流水!$W475),IF($N1883="金额",N(购销流水!$Q475),0)),2))</f>
        <v>0</v>
      </c>
      <c r="P1883" s="64" t="str">
        <f aca="false">IF(AND($H1883&lt;&gt;"",ROUND($O1883,2)&lt;&gt;0),"有","")</f>
        <v/>
      </c>
    </row>
    <row r="1884" customFormat="false" ht="15" hidden="true" customHeight="false" outlineLevel="0" collapsed="false">
      <c r="A1884" s="53" t="str">
        <f aca="false">IF($H1884="","",ROW()-5)</f>
        <v/>
      </c>
      <c r="B1884" s="64" t="s">
        <v>36</v>
      </c>
      <c r="C1884" s="53" t="n">
        <v>475</v>
      </c>
      <c r="D1884" s="53" t="n">
        <v>3</v>
      </c>
      <c r="E1884" s="65" t="str">
        <f aca="false">IF($H1884="","",购销流水!$B475)</f>
        <v/>
      </c>
      <c r="F1884" s="55" t="str">
        <f aca="false">IF($H1884="","",购销流水!$C475)</f>
        <v/>
      </c>
      <c r="G1884" s="48" t="str">
        <f aca="false">IF($H1884="","",购销流水!$N475)</f>
        <v/>
      </c>
      <c r="H1884" s="10" t="str">
        <f aca="false">IF($L1884="","",IF($L1884="@成本",购销流水!$U475,IF($L1884="@收入",购销流水!$T475,IF($L1884="@存货",购销流水!$S475,IF($L1884="@结算",购销流水!$R475,$L1884)))))</f>
        <v/>
      </c>
      <c r="I1884" s="42" t="n">
        <f aca="false">IF($M1884="借",$O1884,0)</f>
        <v>0</v>
      </c>
      <c r="J1884" s="42" t="n">
        <f aca="false">IF($M1884="贷",$O1884,0)</f>
        <v>0</v>
      </c>
      <c r="K1884" s="48" t="str">
        <f aca="false">IF($H1884="","",购销流水!$E475)</f>
        <v/>
      </c>
      <c r="L1884" s="66" t="str">
        <f aca="false">IF(购销流水!$D475="","",IFERROR(INDEX(记账规则!$A$6:$N$9,MATCH(购销流水!$D475,记账规则!$A$6:$A$9,0),9),""))</f>
        <v/>
      </c>
      <c r="M1884" s="66" t="str">
        <f aca="false">IF($L1884="","",IFERROR(INDEX(记账规则!$A$6:$N$9,MATCH(购销流水!$D475,记账规则!$A$6:$A$9,0),10),""))</f>
        <v/>
      </c>
      <c r="N1884" s="66" t="str">
        <f aca="false">IF($L1884="","",IFERROR(INDEX(记账规则!$A$6:$N$9,MATCH(购销流水!$D475,记账规则!$A$6:$A$9,0),11),""))</f>
        <v/>
      </c>
      <c r="O1884" s="67" t="n">
        <f aca="false">IF($H1884="",0,ROUND(IF($N1884="成本金额",N(购销流水!$W475),IF($N1884="金额",N(购销流水!$Q475),0)),2))</f>
        <v>0</v>
      </c>
      <c r="P1884" s="64" t="str">
        <f aca="false">IF(AND($H1884&lt;&gt;"",ROUND($O1884,2)&lt;&gt;0),"有","")</f>
        <v/>
      </c>
    </row>
    <row r="1885" customFormat="false" ht="15" hidden="true" customHeight="false" outlineLevel="0" collapsed="false">
      <c r="A1885" s="53" t="str">
        <f aca="false">IF($H1885="","",ROW()-5)</f>
        <v/>
      </c>
      <c r="B1885" s="64" t="s">
        <v>36</v>
      </c>
      <c r="C1885" s="53" t="n">
        <v>475</v>
      </c>
      <c r="D1885" s="53" t="n">
        <v>4</v>
      </c>
      <c r="E1885" s="65" t="str">
        <f aca="false">IF($H1885="","",购销流水!$B475)</f>
        <v/>
      </c>
      <c r="F1885" s="55" t="str">
        <f aca="false">IF($H1885="","",购销流水!$C475)</f>
        <v/>
      </c>
      <c r="G1885" s="48" t="str">
        <f aca="false">IF($H1885="","",购销流水!$N475)</f>
        <v/>
      </c>
      <c r="H1885" s="10" t="str">
        <f aca="false">IF($L1885="","",IF($L1885="@成本",购销流水!$U475,IF($L1885="@收入",购销流水!$T475,IF($L1885="@存货",购销流水!$S475,IF($L1885="@结算",购销流水!$R475,$L1885)))))</f>
        <v/>
      </c>
      <c r="I1885" s="42" t="n">
        <f aca="false">IF($M1885="借",$O1885,0)</f>
        <v>0</v>
      </c>
      <c r="J1885" s="42" t="n">
        <f aca="false">IF($M1885="贷",$O1885,0)</f>
        <v>0</v>
      </c>
      <c r="K1885" s="48" t="str">
        <f aca="false">IF($H1885="","",购销流水!$E475)</f>
        <v/>
      </c>
      <c r="L1885" s="66" t="str">
        <f aca="false">IF(购销流水!$D475="","",IFERROR(INDEX(记账规则!$A$6:$N$9,MATCH(购销流水!$D475,记账规则!$A$6:$A$9,0),12),""))</f>
        <v/>
      </c>
      <c r="M1885" s="66" t="str">
        <f aca="false">IF($L1885="","",IFERROR(INDEX(记账规则!$A$6:$N$9,MATCH(购销流水!$D475,记账规则!$A$6:$A$9,0),13),""))</f>
        <v/>
      </c>
      <c r="N1885" s="66" t="str">
        <f aca="false">IF($L1885="","",IFERROR(INDEX(记账规则!$A$6:$N$9,MATCH(购销流水!$D475,记账规则!$A$6:$A$9,0),14),""))</f>
        <v/>
      </c>
      <c r="O1885" s="67" t="n">
        <f aca="false">IF($H1885="",0,ROUND(IF($N1885="成本金额",N(购销流水!$W475),IF($N1885="金额",N(购销流水!$Q475),0)),2))</f>
        <v>0</v>
      </c>
      <c r="P1885" s="64" t="str">
        <f aca="false">IF(AND($H1885&lt;&gt;"",ROUND($O1885,2)&lt;&gt;0),"有","")</f>
        <v/>
      </c>
    </row>
    <row r="1886" customFormat="false" ht="15" hidden="true" customHeight="false" outlineLevel="0" collapsed="false">
      <c r="A1886" s="53" t="str">
        <f aca="false">IF($H1886="","",ROW()-5)</f>
        <v/>
      </c>
      <c r="B1886" s="64" t="s">
        <v>36</v>
      </c>
      <c r="C1886" s="53" t="n">
        <v>476</v>
      </c>
      <c r="D1886" s="53" t="n">
        <v>1</v>
      </c>
      <c r="E1886" s="65" t="str">
        <f aca="false">IF($H1886="","",购销流水!$B476)</f>
        <v/>
      </c>
      <c r="F1886" s="55" t="str">
        <f aca="false">IF($H1886="","",购销流水!$C476)</f>
        <v/>
      </c>
      <c r="G1886" s="48" t="str">
        <f aca="false">IF($H1886="","",购销流水!$N476)</f>
        <v/>
      </c>
      <c r="H1886" s="10" t="str">
        <f aca="false">IF($L1886="","",IF($L1886="@成本",购销流水!$U476,IF($L1886="@收入",购销流水!$T476,IF($L1886="@存货",购销流水!$S476,IF($L1886="@结算",购销流水!$R476,$L1886)))))</f>
        <v/>
      </c>
      <c r="I1886" s="42" t="n">
        <f aca="false">IF($M1886="借",$O1886,0)</f>
        <v>0</v>
      </c>
      <c r="J1886" s="42" t="n">
        <f aca="false">IF($M1886="贷",$O1886,0)</f>
        <v>0</v>
      </c>
      <c r="K1886" s="48" t="str">
        <f aca="false">IF($H1886="","",购销流水!$E476)</f>
        <v/>
      </c>
      <c r="L1886" s="66" t="str">
        <f aca="false">IF(购销流水!$D476="","",IFERROR(INDEX(记账规则!$A$6:$N$9,MATCH(购销流水!$D476,记账规则!$A$6:$A$9,0),3),""))</f>
        <v/>
      </c>
      <c r="M1886" s="66" t="str">
        <f aca="false">IF($L1886="","",IFERROR(INDEX(记账规则!$A$6:$N$9,MATCH(购销流水!$D476,记账规则!$A$6:$A$9,0),4),""))</f>
        <v/>
      </c>
      <c r="N1886" s="66" t="str">
        <f aca="false">IF($L1886="","",IFERROR(INDEX(记账规则!$A$6:$N$9,MATCH(购销流水!$D476,记账规则!$A$6:$A$9,0),5),""))</f>
        <v/>
      </c>
      <c r="O1886" s="67" t="n">
        <f aca="false">IF($H1886="",0,ROUND(IF($N1886="成本金额",N(购销流水!$W476),IF($N1886="金额",N(购销流水!$Q476),0)),2))</f>
        <v>0</v>
      </c>
      <c r="P1886" s="64" t="str">
        <f aca="false">IF(AND($H1886&lt;&gt;"",ROUND($O1886,2)&lt;&gt;0),"有","")</f>
        <v/>
      </c>
    </row>
    <row r="1887" customFormat="false" ht="15" hidden="true" customHeight="false" outlineLevel="0" collapsed="false">
      <c r="A1887" s="53" t="str">
        <f aca="false">IF($H1887="","",ROW()-5)</f>
        <v/>
      </c>
      <c r="B1887" s="64" t="s">
        <v>36</v>
      </c>
      <c r="C1887" s="53" t="n">
        <v>476</v>
      </c>
      <c r="D1887" s="53" t="n">
        <v>2</v>
      </c>
      <c r="E1887" s="65" t="str">
        <f aca="false">IF($H1887="","",购销流水!$B476)</f>
        <v/>
      </c>
      <c r="F1887" s="55" t="str">
        <f aca="false">IF($H1887="","",购销流水!$C476)</f>
        <v/>
      </c>
      <c r="G1887" s="48" t="str">
        <f aca="false">IF($H1887="","",购销流水!$N476)</f>
        <v/>
      </c>
      <c r="H1887" s="10" t="str">
        <f aca="false">IF($L1887="","",IF($L1887="@成本",购销流水!$U476,IF($L1887="@收入",购销流水!$T476,IF($L1887="@存货",购销流水!$S476,IF($L1887="@结算",购销流水!$R476,$L1887)))))</f>
        <v/>
      </c>
      <c r="I1887" s="42" t="n">
        <f aca="false">IF($M1887="借",$O1887,0)</f>
        <v>0</v>
      </c>
      <c r="J1887" s="42" t="n">
        <f aca="false">IF($M1887="贷",$O1887,0)</f>
        <v>0</v>
      </c>
      <c r="K1887" s="48" t="str">
        <f aca="false">IF($H1887="","",购销流水!$E476)</f>
        <v/>
      </c>
      <c r="L1887" s="66" t="str">
        <f aca="false">IF(购销流水!$D476="","",IFERROR(INDEX(记账规则!$A$6:$N$9,MATCH(购销流水!$D476,记账规则!$A$6:$A$9,0),6),""))</f>
        <v/>
      </c>
      <c r="M1887" s="66" t="str">
        <f aca="false">IF($L1887="","",IFERROR(INDEX(记账规则!$A$6:$N$9,MATCH(购销流水!$D476,记账规则!$A$6:$A$9,0),7),""))</f>
        <v/>
      </c>
      <c r="N1887" s="66" t="str">
        <f aca="false">IF($L1887="","",IFERROR(INDEX(记账规则!$A$6:$N$9,MATCH(购销流水!$D476,记账规则!$A$6:$A$9,0),8),""))</f>
        <v/>
      </c>
      <c r="O1887" s="67" t="n">
        <f aca="false">IF($H1887="",0,ROUND(IF($N1887="成本金额",N(购销流水!$W476),IF($N1887="金额",N(购销流水!$Q476),0)),2))</f>
        <v>0</v>
      </c>
      <c r="P1887" s="64" t="str">
        <f aca="false">IF(AND($H1887&lt;&gt;"",ROUND($O1887,2)&lt;&gt;0),"有","")</f>
        <v/>
      </c>
    </row>
    <row r="1888" customFormat="false" ht="15" hidden="true" customHeight="false" outlineLevel="0" collapsed="false">
      <c r="A1888" s="53" t="str">
        <f aca="false">IF($H1888="","",ROW()-5)</f>
        <v/>
      </c>
      <c r="B1888" s="64" t="s">
        <v>36</v>
      </c>
      <c r="C1888" s="53" t="n">
        <v>476</v>
      </c>
      <c r="D1888" s="53" t="n">
        <v>3</v>
      </c>
      <c r="E1888" s="65" t="str">
        <f aca="false">IF($H1888="","",购销流水!$B476)</f>
        <v/>
      </c>
      <c r="F1888" s="55" t="str">
        <f aca="false">IF($H1888="","",购销流水!$C476)</f>
        <v/>
      </c>
      <c r="G1888" s="48" t="str">
        <f aca="false">IF($H1888="","",购销流水!$N476)</f>
        <v/>
      </c>
      <c r="H1888" s="10" t="str">
        <f aca="false">IF($L1888="","",IF($L1888="@成本",购销流水!$U476,IF($L1888="@收入",购销流水!$T476,IF($L1888="@存货",购销流水!$S476,IF($L1888="@结算",购销流水!$R476,$L1888)))))</f>
        <v/>
      </c>
      <c r="I1888" s="42" t="n">
        <f aca="false">IF($M1888="借",$O1888,0)</f>
        <v>0</v>
      </c>
      <c r="J1888" s="42" t="n">
        <f aca="false">IF($M1888="贷",$O1888,0)</f>
        <v>0</v>
      </c>
      <c r="K1888" s="48" t="str">
        <f aca="false">IF($H1888="","",购销流水!$E476)</f>
        <v/>
      </c>
      <c r="L1888" s="66" t="str">
        <f aca="false">IF(购销流水!$D476="","",IFERROR(INDEX(记账规则!$A$6:$N$9,MATCH(购销流水!$D476,记账规则!$A$6:$A$9,0),9),""))</f>
        <v/>
      </c>
      <c r="M1888" s="66" t="str">
        <f aca="false">IF($L1888="","",IFERROR(INDEX(记账规则!$A$6:$N$9,MATCH(购销流水!$D476,记账规则!$A$6:$A$9,0),10),""))</f>
        <v/>
      </c>
      <c r="N1888" s="66" t="str">
        <f aca="false">IF($L1888="","",IFERROR(INDEX(记账规则!$A$6:$N$9,MATCH(购销流水!$D476,记账规则!$A$6:$A$9,0),11),""))</f>
        <v/>
      </c>
      <c r="O1888" s="67" t="n">
        <f aca="false">IF($H1888="",0,ROUND(IF($N1888="成本金额",N(购销流水!$W476),IF($N1888="金额",N(购销流水!$Q476),0)),2))</f>
        <v>0</v>
      </c>
      <c r="P1888" s="64" t="str">
        <f aca="false">IF(AND($H1888&lt;&gt;"",ROUND($O1888,2)&lt;&gt;0),"有","")</f>
        <v/>
      </c>
    </row>
    <row r="1889" customFormat="false" ht="15" hidden="true" customHeight="false" outlineLevel="0" collapsed="false">
      <c r="A1889" s="53" t="str">
        <f aca="false">IF($H1889="","",ROW()-5)</f>
        <v/>
      </c>
      <c r="B1889" s="64" t="s">
        <v>36</v>
      </c>
      <c r="C1889" s="53" t="n">
        <v>476</v>
      </c>
      <c r="D1889" s="53" t="n">
        <v>4</v>
      </c>
      <c r="E1889" s="65" t="str">
        <f aca="false">IF($H1889="","",购销流水!$B476)</f>
        <v/>
      </c>
      <c r="F1889" s="55" t="str">
        <f aca="false">IF($H1889="","",购销流水!$C476)</f>
        <v/>
      </c>
      <c r="G1889" s="48" t="str">
        <f aca="false">IF($H1889="","",购销流水!$N476)</f>
        <v/>
      </c>
      <c r="H1889" s="10" t="str">
        <f aca="false">IF($L1889="","",IF($L1889="@成本",购销流水!$U476,IF($L1889="@收入",购销流水!$T476,IF($L1889="@存货",购销流水!$S476,IF($L1889="@结算",购销流水!$R476,$L1889)))))</f>
        <v/>
      </c>
      <c r="I1889" s="42" t="n">
        <f aca="false">IF($M1889="借",$O1889,0)</f>
        <v>0</v>
      </c>
      <c r="J1889" s="42" t="n">
        <f aca="false">IF($M1889="贷",$O1889,0)</f>
        <v>0</v>
      </c>
      <c r="K1889" s="48" t="str">
        <f aca="false">IF($H1889="","",购销流水!$E476)</f>
        <v/>
      </c>
      <c r="L1889" s="66" t="str">
        <f aca="false">IF(购销流水!$D476="","",IFERROR(INDEX(记账规则!$A$6:$N$9,MATCH(购销流水!$D476,记账规则!$A$6:$A$9,0),12),""))</f>
        <v/>
      </c>
      <c r="M1889" s="66" t="str">
        <f aca="false">IF($L1889="","",IFERROR(INDEX(记账规则!$A$6:$N$9,MATCH(购销流水!$D476,记账规则!$A$6:$A$9,0),13),""))</f>
        <v/>
      </c>
      <c r="N1889" s="66" t="str">
        <f aca="false">IF($L1889="","",IFERROR(INDEX(记账规则!$A$6:$N$9,MATCH(购销流水!$D476,记账规则!$A$6:$A$9,0),14),""))</f>
        <v/>
      </c>
      <c r="O1889" s="67" t="n">
        <f aca="false">IF($H1889="",0,ROUND(IF($N1889="成本金额",N(购销流水!$W476),IF($N1889="金额",N(购销流水!$Q476),0)),2))</f>
        <v>0</v>
      </c>
      <c r="P1889" s="64" t="str">
        <f aca="false">IF(AND($H1889&lt;&gt;"",ROUND($O1889,2)&lt;&gt;0),"有","")</f>
        <v/>
      </c>
    </row>
    <row r="1890" customFormat="false" ht="15" hidden="true" customHeight="false" outlineLevel="0" collapsed="false">
      <c r="A1890" s="53" t="str">
        <f aca="false">IF($H1890="","",ROW()-5)</f>
        <v/>
      </c>
      <c r="B1890" s="64" t="s">
        <v>36</v>
      </c>
      <c r="C1890" s="53" t="n">
        <v>477</v>
      </c>
      <c r="D1890" s="53" t="n">
        <v>1</v>
      </c>
      <c r="E1890" s="65" t="str">
        <f aca="false">IF($H1890="","",购销流水!$B477)</f>
        <v/>
      </c>
      <c r="F1890" s="55" t="str">
        <f aca="false">IF($H1890="","",购销流水!$C477)</f>
        <v/>
      </c>
      <c r="G1890" s="48" t="str">
        <f aca="false">IF($H1890="","",购销流水!$N477)</f>
        <v/>
      </c>
      <c r="H1890" s="10" t="str">
        <f aca="false">IF($L1890="","",IF($L1890="@成本",购销流水!$U477,IF($L1890="@收入",购销流水!$T477,IF($L1890="@存货",购销流水!$S477,IF($L1890="@结算",购销流水!$R477,$L1890)))))</f>
        <v/>
      </c>
      <c r="I1890" s="42" t="n">
        <f aca="false">IF($M1890="借",$O1890,0)</f>
        <v>0</v>
      </c>
      <c r="J1890" s="42" t="n">
        <f aca="false">IF($M1890="贷",$O1890,0)</f>
        <v>0</v>
      </c>
      <c r="K1890" s="48" t="str">
        <f aca="false">IF($H1890="","",购销流水!$E477)</f>
        <v/>
      </c>
      <c r="L1890" s="66" t="str">
        <f aca="false">IF(购销流水!$D477="","",IFERROR(INDEX(记账规则!$A$6:$N$9,MATCH(购销流水!$D477,记账规则!$A$6:$A$9,0),3),""))</f>
        <v/>
      </c>
      <c r="M1890" s="66" t="str">
        <f aca="false">IF($L1890="","",IFERROR(INDEX(记账规则!$A$6:$N$9,MATCH(购销流水!$D477,记账规则!$A$6:$A$9,0),4),""))</f>
        <v/>
      </c>
      <c r="N1890" s="66" t="str">
        <f aca="false">IF($L1890="","",IFERROR(INDEX(记账规则!$A$6:$N$9,MATCH(购销流水!$D477,记账规则!$A$6:$A$9,0),5),""))</f>
        <v/>
      </c>
      <c r="O1890" s="67" t="n">
        <f aca="false">IF($H1890="",0,ROUND(IF($N1890="成本金额",N(购销流水!$W477),IF($N1890="金额",N(购销流水!$Q477),0)),2))</f>
        <v>0</v>
      </c>
      <c r="P1890" s="64" t="str">
        <f aca="false">IF(AND($H1890&lt;&gt;"",ROUND($O1890,2)&lt;&gt;0),"有","")</f>
        <v/>
      </c>
    </row>
    <row r="1891" customFormat="false" ht="15" hidden="true" customHeight="false" outlineLevel="0" collapsed="false">
      <c r="A1891" s="53" t="str">
        <f aca="false">IF($H1891="","",ROW()-5)</f>
        <v/>
      </c>
      <c r="B1891" s="64" t="s">
        <v>36</v>
      </c>
      <c r="C1891" s="53" t="n">
        <v>477</v>
      </c>
      <c r="D1891" s="53" t="n">
        <v>2</v>
      </c>
      <c r="E1891" s="65" t="str">
        <f aca="false">IF($H1891="","",购销流水!$B477)</f>
        <v/>
      </c>
      <c r="F1891" s="55" t="str">
        <f aca="false">IF($H1891="","",购销流水!$C477)</f>
        <v/>
      </c>
      <c r="G1891" s="48" t="str">
        <f aca="false">IF($H1891="","",购销流水!$N477)</f>
        <v/>
      </c>
      <c r="H1891" s="10" t="str">
        <f aca="false">IF($L1891="","",IF($L1891="@成本",购销流水!$U477,IF($L1891="@收入",购销流水!$T477,IF($L1891="@存货",购销流水!$S477,IF($L1891="@结算",购销流水!$R477,$L1891)))))</f>
        <v/>
      </c>
      <c r="I1891" s="42" t="n">
        <f aca="false">IF($M1891="借",$O1891,0)</f>
        <v>0</v>
      </c>
      <c r="J1891" s="42" t="n">
        <f aca="false">IF($M1891="贷",$O1891,0)</f>
        <v>0</v>
      </c>
      <c r="K1891" s="48" t="str">
        <f aca="false">IF($H1891="","",购销流水!$E477)</f>
        <v/>
      </c>
      <c r="L1891" s="66" t="str">
        <f aca="false">IF(购销流水!$D477="","",IFERROR(INDEX(记账规则!$A$6:$N$9,MATCH(购销流水!$D477,记账规则!$A$6:$A$9,0),6),""))</f>
        <v/>
      </c>
      <c r="M1891" s="66" t="str">
        <f aca="false">IF($L1891="","",IFERROR(INDEX(记账规则!$A$6:$N$9,MATCH(购销流水!$D477,记账规则!$A$6:$A$9,0),7),""))</f>
        <v/>
      </c>
      <c r="N1891" s="66" t="str">
        <f aca="false">IF($L1891="","",IFERROR(INDEX(记账规则!$A$6:$N$9,MATCH(购销流水!$D477,记账规则!$A$6:$A$9,0),8),""))</f>
        <v/>
      </c>
      <c r="O1891" s="67" t="n">
        <f aca="false">IF($H1891="",0,ROUND(IF($N1891="成本金额",N(购销流水!$W477),IF($N1891="金额",N(购销流水!$Q477),0)),2))</f>
        <v>0</v>
      </c>
      <c r="P1891" s="64" t="str">
        <f aca="false">IF(AND($H1891&lt;&gt;"",ROUND($O1891,2)&lt;&gt;0),"有","")</f>
        <v/>
      </c>
    </row>
    <row r="1892" customFormat="false" ht="15" hidden="true" customHeight="false" outlineLevel="0" collapsed="false">
      <c r="A1892" s="53" t="str">
        <f aca="false">IF($H1892="","",ROW()-5)</f>
        <v/>
      </c>
      <c r="B1892" s="64" t="s">
        <v>36</v>
      </c>
      <c r="C1892" s="53" t="n">
        <v>477</v>
      </c>
      <c r="D1892" s="53" t="n">
        <v>3</v>
      </c>
      <c r="E1892" s="65" t="str">
        <f aca="false">IF($H1892="","",购销流水!$B477)</f>
        <v/>
      </c>
      <c r="F1892" s="55" t="str">
        <f aca="false">IF($H1892="","",购销流水!$C477)</f>
        <v/>
      </c>
      <c r="G1892" s="48" t="str">
        <f aca="false">IF($H1892="","",购销流水!$N477)</f>
        <v/>
      </c>
      <c r="H1892" s="10" t="str">
        <f aca="false">IF($L1892="","",IF($L1892="@成本",购销流水!$U477,IF($L1892="@收入",购销流水!$T477,IF($L1892="@存货",购销流水!$S477,IF($L1892="@结算",购销流水!$R477,$L1892)))))</f>
        <v/>
      </c>
      <c r="I1892" s="42" t="n">
        <f aca="false">IF($M1892="借",$O1892,0)</f>
        <v>0</v>
      </c>
      <c r="J1892" s="42" t="n">
        <f aca="false">IF($M1892="贷",$O1892,0)</f>
        <v>0</v>
      </c>
      <c r="K1892" s="48" t="str">
        <f aca="false">IF($H1892="","",购销流水!$E477)</f>
        <v/>
      </c>
      <c r="L1892" s="66" t="str">
        <f aca="false">IF(购销流水!$D477="","",IFERROR(INDEX(记账规则!$A$6:$N$9,MATCH(购销流水!$D477,记账规则!$A$6:$A$9,0),9),""))</f>
        <v/>
      </c>
      <c r="M1892" s="66" t="str">
        <f aca="false">IF($L1892="","",IFERROR(INDEX(记账规则!$A$6:$N$9,MATCH(购销流水!$D477,记账规则!$A$6:$A$9,0),10),""))</f>
        <v/>
      </c>
      <c r="N1892" s="66" t="str">
        <f aca="false">IF($L1892="","",IFERROR(INDEX(记账规则!$A$6:$N$9,MATCH(购销流水!$D477,记账规则!$A$6:$A$9,0),11),""))</f>
        <v/>
      </c>
      <c r="O1892" s="67" t="n">
        <f aca="false">IF($H1892="",0,ROUND(IF($N1892="成本金额",N(购销流水!$W477),IF($N1892="金额",N(购销流水!$Q477),0)),2))</f>
        <v>0</v>
      </c>
      <c r="P1892" s="64" t="str">
        <f aca="false">IF(AND($H1892&lt;&gt;"",ROUND($O1892,2)&lt;&gt;0),"有","")</f>
        <v/>
      </c>
    </row>
    <row r="1893" customFormat="false" ht="15" hidden="true" customHeight="false" outlineLevel="0" collapsed="false">
      <c r="A1893" s="53" t="str">
        <f aca="false">IF($H1893="","",ROW()-5)</f>
        <v/>
      </c>
      <c r="B1893" s="64" t="s">
        <v>36</v>
      </c>
      <c r="C1893" s="53" t="n">
        <v>477</v>
      </c>
      <c r="D1893" s="53" t="n">
        <v>4</v>
      </c>
      <c r="E1893" s="65" t="str">
        <f aca="false">IF($H1893="","",购销流水!$B477)</f>
        <v/>
      </c>
      <c r="F1893" s="55" t="str">
        <f aca="false">IF($H1893="","",购销流水!$C477)</f>
        <v/>
      </c>
      <c r="G1893" s="48" t="str">
        <f aca="false">IF($H1893="","",购销流水!$N477)</f>
        <v/>
      </c>
      <c r="H1893" s="10" t="str">
        <f aca="false">IF($L1893="","",IF($L1893="@成本",购销流水!$U477,IF($L1893="@收入",购销流水!$T477,IF($L1893="@存货",购销流水!$S477,IF($L1893="@结算",购销流水!$R477,$L1893)))))</f>
        <v/>
      </c>
      <c r="I1893" s="42" t="n">
        <f aca="false">IF($M1893="借",$O1893,0)</f>
        <v>0</v>
      </c>
      <c r="J1893" s="42" t="n">
        <f aca="false">IF($M1893="贷",$O1893,0)</f>
        <v>0</v>
      </c>
      <c r="K1893" s="48" t="str">
        <f aca="false">IF($H1893="","",购销流水!$E477)</f>
        <v/>
      </c>
      <c r="L1893" s="66" t="str">
        <f aca="false">IF(购销流水!$D477="","",IFERROR(INDEX(记账规则!$A$6:$N$9,MATCH(购销流水!$D477,记账规则!$A$6:$A$9,0),12),""))</f>
        <v/>
      </c>
      <c r="M1893" s="66" t="str">
        <f aca="false">IF($L1893="","",IFERROR(INDEX(记账规则!$A$6:$N$9,MATCH(购销流水!$D477,记账规则!$A$6:$A$9,0),13),""))</f>
        <v/>
      </c>
      <c r="N1893" s="66" t="str">
        <f aca="false">IF($L1893="","",IFERROR(INDEX(记账规则!$A$6:$N$9,MATCH(购销流水!$D477,记账规则!$A$6:$A$9,0),14),""))</f>
        <v/>
      </c>
      <c r="O1893" s="67" t="n">
        <f aca="false">IF($H1893="",0,ROUND(IF($N1893="成本金额",N(购销流水!$W477),IF($N1893="金额",N(购销流水!$Q477),0)),2))</f>
        <v>0</v>
      </c>
      <c r="P1893" s="64" t="str">
        <f aca="false">IF(AND($H1893&lt;&gt;"",ROUND($O1893,2)&lt;&gt;0),"有","")</f>
        <v/>
      </c>
    </row>
    <row r="1894" customFormat="false" ht="15" hidden="true" customHeight="false" outlineLevel="0" collapsed="false">
      <c r="A1894" s="53" t="str">
        <f aca="false">IF($H1894="","",ROW()-5)</f>
        <v/>
      </c>
      <c r="B1894" s="64" t="s">
        <v>36</v>
      </c>
      <c r="C1894" s="53" t="n">
        <v>478</v>
      </c>
      <c r="D1894" s="53" t="n">
        <v>1</v>
      </c>
      <c r="E1894" s="65" t="str">
        <f aca="false">IF($H1894="","",购销流水!$B478)</f>
        <v/>
      </c>
      <c r="F1894" s="55" t="str">
        <f aca="false">IF($H1894="","",购销流水!$C478)</f>
        <v/>
      </c>
      <c r="G1894" s="48" t="str">
        <f aca="false">IF($H1894="","",购销流水!$N478)</f>
        <v/>
      </c>
      <c r="H1894" s="10" t="str">
        <f aca="false">IF($L1894="","",IF($L1894="@成本",购销流水!$U478,IF($L1894="@收入",购销流水!$T478,IF($L1894="@存货",购销流水!$S478,IF($L1894="@结算",购销流水!$R478,$L1894)))))</f>
        <v/>
      </c>
      <c r="I1894" s="42" t="n">
        <f aca="false">IF($M1894="借",$O1894,0)</f>
        <v>0</v>
      </c>
      <c r="J1894" s="42" t="n">
        <f aca="false">IF($M1894="贷",$O1894,0)</f>
        <v>0</v>
      </c>
      <c r="K1894" s="48" t="str">
        <f aca="false">IF($H1894="","",购销流水!$E478)</f>
        <v/>
      </c>
      <c r="L1894" s="66" t="str">
        <f aca="false">IF(购销流水!$D478="","",IFERROR(INDEX(记账规则!$A$6:$N$9,MATCH(购销流水!$D478,记账规则!$A$6:$A$9,0),3),""))</f>
        <v/>
      </c>
      <c r="M1894" s="66" t="str">
        <f aca="false">IF($L1894="","",IFERROR(INDEX(记账规则!$A$6:$N$9,MATCH(购销流水!$D478,记账规则!$A$6:$A$9,0),4),""))</f>
        <v/>
      </c>
      <c r="N1894" s="66" t="str">
        <f aca="false">IF($L1894="","",IFERROR(INDEX(记账规则!$A$6:$N$9,MATCH(购销流水!$D478,记账规则!$A$6:$A$9,0),5),""))</f>
        <v/>
      </c>
      <c r="O1894" s="67" t="n">
        <f aca="false">IF($H1894="",0,ROUND(IF($N1894="成本金额",N(购销流水!$W478),IF($N1894="金额",N(购销流水!$Q478),0)),2))</f>
        <v>0</v>
      </c>
      <c r="P1894" s="64" t="str">
        <f aca="false">IF(AND($H1894&lt;&gt;"",ROUND($O1894,2)&lt;&gt;0),"有","")</f>
        <v/>
      </c>
    </row>
    <row r="1895" customFormat="false" ht="15" hidden="true" customHeight="false" outlineLevel="0" collapsed="false">
      <c r="A1895" s="53" t="str">
        <f aca="false">IF($H1895="","",ROW()-5)</f>
        <v/>
      </c>
      <c r="B1895" s="64" t="s">
        <v>36</v>
      </c>
      <c r="C1895" s="53" t="n">
        <v>478</v>
      </c>
      <c r="D1895" s="53" t="n">
        <v>2</v>
      </c>
      <c r="E1895" s="65" t="str">
        <f aca="false">IF($H1895="","",购销流水!$B478)</f>
        <v/>
      </c>
      <c r="F1895" s="55" t="str">
        <f aca="false">IF($H1895="","",购销流水!$C478)</f>
        <v/>
      </c>
      <c r="G1895" s="48" t="str">
        <f aca="false">IF($H1895="","",购销流水!$N478)</f>
        <v/>
      </c>
      <c r="H1895" s="10" t="str">
        <f aca="false">IF($L1895="","",IF($L1895="@成本",购销流水!$U478,IF($L1895="@收入",购销流水!$T478,IF($L1895="@存货",购销流水!$S478,IF($L1895="@结算",购销流水!$R478,$L1895)))))</f>
        <v/>
      </c>
      <c r="I1895" s="42" t="n">
        <f aca="false">IF($M1895="借",$O1895,0)</f>
        <v>0</v>
      </c>
      <c r="J1895" s="42" t="n">
        <f aca="false">IF($M1895="贷",$O1895,0)</f>
        <v>0</v>
      </c>
      <c r="K1895" s="48" t="str">
        <f aca="false">IF($H1895="","",购销流水!$E478)</f>
        <v/>
      </c>
      <c r="L1895" s="66" t="str">
        <f aca="false">IF(购销流水!$D478="","",IFERROR(INDEX(记账规则!$A$6:$N$9,MATCH(购销流水!$D478,记账规则!$A$6:$A$9,0),6),""))</f>
        <v/>
      </c>
      <c r="M1895" s="66" t="str">
        <f aca="false">IF($L1895="","",IFERROR(INDEX(记账规则!$A$6:$N$9,MATCH(购销流水!$D478,记账规则!$A$6:$A$9,0),7),""))</f>
        <v/>
      </c>
      <c r="N1895" s="66" t="str">
        <f aca="false">IF($L1895="","",IFERROR(INDEX(记账规则!$A$6:$N$9,MATCH(购销流水!$D478,记账规则!$A$6:$A$9,0),8),""))</f>
        <v/>
      </c>
      <c r="O1895" s="67" t="n">
        <f aca="false">IF($H1895="",0,ROUND(IF($N1895="成本金额",N(购销流水!$W478),IF($N1895="金额",N(购销流水!$Q478),0)),2))</f>
        <v>0</v>
      </c>
      <c r="P1895" s="64" t="str">
        <f aca="false">IF(AND($H1895&lt;&gt;"",ROUND($O1895,2)&lt;&gt;0),"有","")</f>
        <v/>
      </c>
    </row>
    <row r="1896" customFormat="false" ht="15" hidden="true" customHeight="false" outlineLevel="0" collapsed="false">
      <c r="A1896" s="53" t="str">
        <f aca="false">IF($H1896="","",ROW()-5)</f>
        <v/>
      </c>
      <c r="B1896" s="64" t="s">
        <v>36</v>
      </c>
      <c r="C1896" s="53" t="n">
        <v>478</v>
      </c>
      <c r="D1896" s="53" t="n">
        <v>3</v>
      </c>
      <c r="E1896" s="65" t="str">
        <f aca="false">IF($H1896="","",购销流水!$B478)</f>
        <v/>
      </c>
      <c r="F1896" s="55" t="str">
        <f aca="false">IF($H1896="","",购销流水!$C478)</f>
        <v/>
      </c>
      <c r="G1896" s="48" t="str">
        <f aca="false">IF($H1896="","",购销流水!$N478)</f>
        <v/>
      </c>
      <c r="H1896" s="10" t="str">
        <f aca="false">IF($L1896="","",IF($L1896="@成本",购销流水!$U478,IF($L1896="@收入",购销流水!$T478,IF($L1896="@存货",购销流水!$S478,IF($L1896="@结算",购销流水!$R478,$L1896)))))</f>
        <v/>
      </c>
      <c r="I1896" s="42" t="n">
        <f aca="false">IF($M1896="借",$O1896,0)</f>
        <v>0</v>
      </c>
      <c r="J1896" s="42" t="n">
        <f aca="false">IF($M1896="贷",$O1896,0)</f>
        <v>0</v>
      </c>
      <c r="K1896" s="48" t="str">
        <f aca="false">IF($H1896="","",购销流水!$E478)</f>
        <v/>
      </c>
      <c r="L1896" s="66" t="str">
        <f aca="false">IF(购销流水!$D478="","",IFERROR(INDEX(记账规则!$A$6:$N$9,MATCH(购销流水!$D478,记账规则!$A$6:$A$9,0),9),""))</f>
        <v/>
      </c>
      <c r="M1896" s="66" t="str">
        <f aca="false">IF($L1896="","",IFERROR(INDEX(记账规则!$A$6:$N$9,MATCH(购销流水!$D478,记账规则!$A$6:$A$9,0),10),""))</f>
        <v/>
      </c>
      <c r="N1896" s="66" t="str">
        <f aca="false">IF($L1896="","",IFERROR(INDEX(记账规则!$A$6:$N$9,MATCH(购销流水!$D478,记账规则!$A$6:$A$9,0),11),""))</f>
        <v/>
      </c>
      <c r="O1896" s="67" t="n">
        <f aca="false">IF($H1896="",0,ROUND(IF($N1896="成本金额",N(购销流水!$W478),IF($N1896="金额",N(购销流水!$Q478),0)),2))</f>
        <v>0</v>
      </c>
      <c r="P1896" s="64" t="str">
        <f aca="false">IF(AND($H1896&lt;&gt;"",ROUND($O1896,2)&lt;&gt;0),"有","")</f>
        <v/>
      </c>
    </row>
    <row r="1897" customFormat="false" ht="15" hidden="true" customHeight="false" outlineLevel="0" collapsed="false">
      <c r="A1897" s="53" t="str">
        <f aca="false">IF($H1897="","",ROW()-5)</f>
        <v/>
      </c>
      <c r="B1897" s="64" t="s">
        <v>36</v>
      </c>
      <c r="C1897" s="53" t="n">
        <v>478</v>
      </c>
      <c r="D1897" s="53" t="n">
        <v>4</v>
      </c>
      <c r="E1897" s="65" t="str">
        <f aca="false">IF($H1897="","",购销流水!$B478)</f>
        <v/>
      </c>
      <c r="F1897" s="55" t="str">
        <f aca="false">IF($H1897="","",购销流水!$C478)</f>
        <v/>
      </c>
      <c r="G1897" s="48" t="str">
        <f aca="false">IF($H1897="","",购销流水!$N478)</f>
        <v/>
      </c>
      <c r="H1897" s="10" t="str">
        <f aca="false">IF($L1897="","",IF($L1897="@成本",购销流水!$U478,IF($L1897="@收入",购销流水!$T478,IF($L1897="@存货",购销流水!$S478,IF($L1897="@结算",购销流水!$R478,$L1897)))))</f>
        <v/>
      </c>
      <c r="I1897" s="42" t="n">
        <f aca="false">IF($M1897="借",$O1897,0)</f>
        <v>0</v>
      </c>
      <c r="J1897" s="42" t="n">
        <f aca="false">IF($M1897="贷",$O1897,0)</f>
        <v>0</v>
      </c>
      <c r="K1897" s="48" t="str">
        <f aca="false">IF($H1897="","",购销流水!$E478)</f>
        <v/>
      </c>
      <c r="L1897" s="66" t="str">
        <f aca="false">IF(购销流水!$D478="","",IFERROR(INDEX(记账规则!$A$6:$N$9,MATCH(购销流水!$D478,记账规则!$A$6:$A$9,0),12),""))</f>
        <v/>
      </c>
      <c r="M1897" s="66" t="str">
        <f aca="false">IF($L1897="","",IFERROR(INDEX(记账规则!$A$6:$N$9,MATCH(购销流水!$D478,记账规则!$A$6:$A$9,0),13),""))</f>
        <v/>
      </c>
      <c r="N1897" s="66" t="str">
        <f aca="false">IF($L1897="","",IFERROR(INDEX(记账规则!$A$6:$N$9,MATCH(购销流水!$D478,记账规则!$A$6:$A$9,0),14),""))</f>
        <v/>
      </c>
      <c r="O1897" s="67" t="n">
        <f aca="false">IF($H1897="",0,ROUND(IF($N1897="成本金额",N(购销流水!$W478),IF($N1897="金额",N(购销流水!$Q478),0)),2))</f>
        <v>0</v>
      </c>
      <c r="P1897" s="64" t="str">
        <f aca="false">IF(AND($H1897&lt;&gt;"",ROUND($O1897,2)&lt;&gt;0),"有","")</f>
        <v/>
      </c>
    </row>
    <row r="1898" customFormat="false" ht="15" hidden="true" customHeight="false" outlineLevel="0" collapsed="false">
      <c r="A1898" s="53" t="str">
        <f aca="false">IF($H1898="","",ROW()-5)</f>
        <v/>
      </c>
      <c r="B1898" s="64" t="s">
        <v>36</v>
      </c>
      <c r="C1898" s="53" t="n">
        <v>479</v>
      </c>
      <c r="D1898" s="53" t="n">
        <v>1</v>
      </c>
      <c r="E1898" s="65" t="str">
        <f aca="false">IF($H1898="","",购销流水!$B479)</f>
        <v/>
      </c>
      <c r="F1898" s="55" t="str">
        <f aca="false">IF($H1898="","",购销流水!$C479)</f>
        <v/>
      </c>
      <c r="G1898" s="48" t="str">
        <f aca="false">IF($H1898="","",购销流水!$N479)</f>
        <v/>
      </c>
      <c r="H1898" s="10" t="str">
        <f aca="false">IF($L1898="","",IF($L1898="@成本",购销流水!$U479,IF($L1898="@收入",购销流水!$T479,IF($L1898="@存货",购销流水!$S479,IF($L1898="@结算",购销流水!$R479,$L1898)))))</f>
        <v/>
      </c>
      <c r="I1898" s="42" t="n">
        <f aca="false">IF($M1898="借",$O1898,0)</f>
        <v>0</v>
      </c>
      <c r="J1898" s="42" t="n">
        <f aca="false">IF($M1898="贷",$O1898,0)</f>
        <v>0</v>
      </c>
      <c r="K1898" s="48" t="str">
        <f aca="false">IF($H1898="","",购销流水!$E479)</f>
        <v/>
      </c>
      <c r="L1898" s="66" t="str">
        <f aca="false">IF(购销流水!$D479="","",IFERROR(INDEX(记账规则!$A$6:$N$9,MATCH(购销流水!$D479,记账规则!$A$6:$A$9,0),3),""))</f>
        <v/>
      </c>
      <c r="M1898" s="66" t="str">
        <f aca="false">IF($L1898="","",IFERROR(INDEX(记账规则!$A$6:$N$9,MATCH(购销流水!$D479,记账规则!$A$6:$A$9,0),4),""))</f>
        <v/>
      </c>
      <c r="N1898" s="66" t="str">
        <f aca="false">IF($L1898="","",IFERROR(INDEX(记账规则!$A$6:$N$9,MATCH(购销流水!$D479,记账规则!$A$6:$A$9,0),5),""))</f>
        <v/>
      </c>
      <c r="O1898" s="67" t="n">
        <f aca="false">IF($H1898="",0,ROUND(IF($N1898="成本金额",N(购销流水!$W479),IF($N1898="金额",N(购销流水!$Q479),0)),2))</f>
        <v>0</v>
      </c>
      <c r="P1898" s="64" t="str">
        <f aca="false">IF(AND($H1898&lt;&gt;"",ROUND($O1898,2)&lt;&gt;0),"有","")</f>
        <v/>
      </c>
    </row>
    <row r="1899" customFormat="false" ht="15" hidden="true" customHeight="false" outlineLevel="0" collapsed="false">
      <c r="A1899" s="53" t="str">
        <f aca="false">IF($H1899="","",ROW()-5)</f>
        <v/>
      </c>
      <c r="B1899" s="64" t="s">
        <v>36</v>
      </c>
      <c r="C1899" s="53" t="n">
        <v>479</v>
      </c>
      <c r="D1899" s="53" t="n">
        <v>2</v>
      </c>
      <c r="E1899" s="65" t="str">
        <f aca="false">IF($H1899="","",购销流水!$B479)</f>
        <v/>
      </c>
      <c r="F1899" s="55" t="str">
        <f aca="false">IF($H1899="","",购销流水!$C479)</f>
        <v/>
      </c>
      <c r="G1899" s="48" t="str">
        <f aca="false">IF($H1899="","",购销流水!$N479)</f>
        <v/>
      </c>
      <c r="H1899" s="10" t="str">
        <f aca="false">IF($L1899="","",IF($L1899="@成本",购销流水!$U479,IF($L1899="@收入",购销流水!$T479,IF($L1899="@存货",购销流水!$S479,IF($L1899="@结算",购销流水!$R479,$L1899)))))</f>
        <v/>
      </c>
      <c r="I1899" s="42" t="n">
        <f aca="false">IF($M1899="借",$O1899,0)</f>
        <v>0</v>
      </c>
      <c r="J1899" s="42" t="n">
        <f aca="false">IF($M1899="贷",$O1899,0)</f>
        <v>0</v>
      </c>
      <c r="K1899" s="48" t="str">
        <f aca="false">IF($H1899="","",购销流水!$E479)</f>
        <v/>
      </c>
      <c r="L1899" s="66" t="str">
        <f aca="false">IF(购销流水!$D479="","",IFERROR(INDEX(记账规则!$A$6:$N$9,MATCH(购销流水!$D479,记账规则!$A$6:$A$9,0),6),""))</f>
        <v/>
      </c>
      <c r="M1899" s="66" t="str">
        <f aca="false">IF($L1899="","",IFERROR(INDEX(记账规则!$A$6:$N$9,MATCH(购销流水!$D479,记账规则!$A$6:$A$9,0),7),""))</f>
        <v/>
      </c>
      <c r="N1899" s="66" t="str">
        <f aca="false">IF($L1899="","",IFERROR(INDEX(记账规则!$A$6:$N$9,MATCH(购销流水!$D479,记账规则!$A$6:$A$9,0),8),""))</f>
        <v/>
      </c>
      <c r="O1899" s="67" t="n">
        <f aca="false">IF($H1899="",0,ROUND(IF($N1899="成本金额",N(购销流水!$W479),IF($N1899="金额",N(购销流水!$Q479),0)),2))</f>
        <v>0</v>
      </c>
      <c r="P1899" s="64" t="str">
        <f aca="false">IF(AND($H1899&lt;&gt;"",ROUND($O1899,2)&lt;&gt;0),"有","")</f>
        <v/>
      </c>
    </row>
    <row r="1900" customFormat="false" ht="15" hidden="true" customHeight="false" outlineLevel="0" collapsed="false">
      <c r="A1900" s="53" t="str">
        <f aca="false">IF($H1900="","",ROW()-5)</f>
        <v/>
      </c>
      <c r="B1900" s="64" t="s">
        <v>36</v>
      </c>
      <c r="C1900" s="53" t="n">
        <v>479</v>
      </c>
      <c r="D1900" s="53" t="n">
        <v>3</v>
      </c>
      <c r="E1900" s="65" t="str">
        <f aca="false">IF($H1900="","",购销流水!$B479)</f>
        <v/>
      </c>
      <c r="F1900" s="55" t="str">
        <f aca="false">IF($H1900="","",购销流水!$C479)</f>
        <v/>
      </c>
      <c r="G1900" s="48" t="str">
        <f aca="false">IF($H1900="","",购销流水!$N479)</f>
        <v/>
      </c>
      <c r="H1900" s="10" t="str">
        <f aca="false">IF($L1900="","",IF($L1900="@成本",购销流水!$U479,IF($L1900="@收入",购销流水!$T479,IF($L1900="@存货",购销流水!$S479,IF($L1900="@结算",购销流水!$R479,$L1900)))))</f>
        <v/>
      </c>
      <c r="I1900" s="42" t="n">
        <f aca="false">IF($M1900="借",$O1900,0)</f>
        <v>0</v>
      </c>
      <c r="J1900" s="42" t="n">
        <f aca="false">IF($M1900="贷",$O1900,0)</f>
        <v>0</v>
      </c>
      <c r="K1900" s="48" t="str">
        <f aca="false">IF($H1900="","",购销流水!$E479)</f>
        <v/>
      </c>
      <c r="L1900" s="66" t="str">
        <f aca="false">IF(购销流水!$D479="","",IFERROR(INDEX(记账规则!$A$6:$N$9,MATCH(购销流水!$D479,记账规则!$A$6:$A$9,0),9),""))</f>
        <v/>
      </c>
      <c r="M1900" s="66" t="str">
        <f aca="false">IF($L1900="","",IFERROR(INDEX(记账规则!$A$6:$N$9,MATCH(购销流水!$D479,记账规则!$A$6:$A$9,0),10),""))</f>
        <v/>
      </c>
      <c r="N1900" s="66" t="str">
        <f aca="false">IF($L1900="","",IFERROR(INDEX(记账规则!$A$6:$N$9,MATCH(购销流水!$D479,记账规则!$A$6:$A$9,0),11),""))</f>
        <v/>
      </c>
      <c r="O1900" s="67" t="n">
        <f aca="false">IF($H1900="",0,ROUND(IF($N1900="成本金额",N(购销流水!$W479),IF($N1900="金额",N(购销流水!$Q479),0)),2))</f>
        <v>0</v>
      </c>
      <c r="P1900" s="64" t="str">
        <f aca="false">IF(AND($H1900&lt;&gt;"",ROUND($O1900,2)&lt;&gt;0),"有","")</f>
        <v/>
      </c>
    </row>
    <row r="1901" customFormat="false" ht="15" hidden="true" customHeight="false" outlineLevel="0" collapsed="false">
      <c r="A1901" s="53" t="str">
        <f aca="false">IF($H1901="","",ROW()-5)</f>
        <v/>
      </c>
      <c r="B1901" s="64" t="s">
        <v>36</v>
      </c>
      <c r="C1901" s="53" t="n">
        <v>479</v>
      </c>
      <c r="D1901" s="53" t="n">
        <v>4</v>
      </c>
      <c r="E1901" s="65" t="str">
        <f aca="false">IF($H1901="","",购销流水!$B479)</f>
        <v/>
      </c>
      <c r="F1901" s="55" t="str">
        <f aca="false">IF($H1901="","",购销流水!$C479)</f>
        <v/>
      </c>
      <c r="G1901" s="48" t="str">
        <f aca="false">IF($H1901="","",购销流水!$N479)</f>
        <v/>
      </c>
      <c r="H1901" s="10" t="str">
        <f aca="false">IF($L1901="","",IF($L1901="@成本",购销流水!$U479,IF($L1901="@收入",购销流水!$T479,IF($L1901="@存货",购销流水!$S479,IF($L1901="@结算",购销流水!$R479,$L1901)))))</f>
        <v/>
      </c>
      <c r="I1901" s="42" t="n">
        <f aca="false">IF($M1901="借",$O1901,0)</f>
        <v>0</v>
      </c>
      <c r="J1901" s="42" t="n">
        <f aca="false">IF($M1901="贷",$O1901,0)</f>
        <v>0</v>
      </c>
      <c r="K1901" s="48" t="str">
        <f aca="false">IF($H1901="","",购销流水!$E479)</f>
        <v/>
      </c>
      <c r="L1901" s="66" t="str">
        <f aca="false">IF(购销流水!$D479="","",IFERROR(INDEX(记账规则!$A$6:$N$9,MATCH(购销流水!$D479,记账规则!$A$6:$A$9,0),12),""))</f>
        <v/>
      </c>
      <c r="M1901" s="66" t="str">
        <f aca="false">IF($L1901="","",IFERROR(INDEX(记账规则!$A$6:$N$9,MATCH(购销流水!$D479,记账规则!$A$6:$A$9,0),13),""))</f>
        <v/>
      </c>
      <c r="N1901" s="66" t="str">
        <f aca="false">IF($L1901="","",IFERROR(INDEX(记账规则!$A$6:$N$9,MATCH(购销流水!$D479,记账规则!$A$6:$A$9,0),14),""))</f>
        <v/>
      </c>
      <c r="O1901" s="67" t="n">
        <f aca="false">IF($H1901="",0,ROUND(IF($N1901="成本金额",N(购销流水!$W479),IF($N1901="金额",N(购销流水!$Q479),0)),2))</f>
        <v>0</v>
      </c>
      <c r="P1901" s="64" t="str">
        <f aca="false">IF(AND($H1901&lt;&gt;"",ROUND($O1901,2)&lt;&gt;0),"有","")</f>
        <v/>
      </c>
    </row>
    <row r="1902" customFormat="false" ht="15" hidden="true" customHeight="false" outlineLevel="0" collapsed="false">
      <c r="A1902" s="53" t="str">
        <f aca="false">IF($H1902="","",ROW()-5)</f>
        <v/>
      </c>
      <c r="B1902" s="64" t="s">
        <v>36</v>
      </c>
      <c r="C1902" s="53" t="n">
        <v>480</v>
      </c>
      <c r="D1902" s="53" t="n">
        <v>1</v>
      </c>
      <c r="E1902" s="65" t="str">
        <f aca="false">IF($H1902="","",购销流水!$B480)</f>
        <v/>
      </c>
      <c r="F1902" s="55" t="str">
        <f aca="false">IF($H1902="","",购销流水!$C480)</f>
        <v/>
      </c>
      <c r="G1902" s="48" t="str">
        <f aca="false">IF($H1902="","",购销流水!$N480)</f>
        <v/>
      </c>
      <c r="H1902" s="10" t="str">
        <f aca="false">IF($L1902="","",IF($L1902="@成本",购销流水!$U480,IF($L1902="@收入",购销流水!$T480,IF($L1902="@存货",购销流水!$S480,IF($L1902="@结算",购销流水!$R480,$L1902)))))</f>
        <v/>
      </c>
      <c r="I1902" s="42" t="n">
        <f aca="false">IF($M1902="借",$O1902,0)</f>
        <v>0</v>
      </c>
      <c r="J1902" s="42" t="n">
        <f aca="false">IF($M1902="贷",$O1902,0)</f>
        <v>0</v>
      </c>
      <c r="K1902" s="48" t="str">
        <f aca="false">IF($H1902="","",购销流水!$E480)</f>
        <v/>
      </c>
      <c r="L1902" s="66" t="str">
        <f aca="false">IF(购销流水!$D480="","",IFERROR(INDEX(记账规则!$A$6:$N$9,MATCH(购销流水!$D480,记账规则!$A$6:$A$9,0),3),""))</f>
        <v/>
      </c>
      <c r="M1902" s="66" t="str">
        <f aca="false">IF($L1902="","",IFERROR(INDEX(记账规则!$A$6:$N$9,MATCH(购销流水!$D480,记账规则!$A$6:$A$9,0),4),""))</f>
        <v/>
      </c>
      <c r="N1902" s="66" t="str">
        <f aca="false">IF($L1902="","",IFERROR(INDEX(记账规则!$A$6:$N$9,MATCH(购销流水!$D480,记账规则!$A$6:$A$9,0),5),""))</f>
        <v/>
      </c>
      <c r="O1902" s="67" t="n">
        <f aca="false">IF($H1902="",0,ROUND(IF($N1902="成本金额",N(购销流水!$W480),IF($N1902="金额",N(购销流水!$Q480),0)),2))</f>
        <v>0</v>
      </c>
      <c r="P1902" s="64" t="str">
        <f aca="false">IF(AND($H1902&lt;&gt;"",ROUND($O1902,2)&lt;&gt;0),"有","")</f>
        <v/>
      </c>
    </row>
    <row r="1903" customFormat="false" ht="15" hidden="true" customHeight="false" outlineLevel="0" collapsed="false">
      <c r="A1903" s="53" t="str">
        <f aca="false">IF($H1903="","",ROW()-5)</f>
        <v/>
      </c>
      <c r="B1903" s="64" t="s">
        <v>36</v>
      </c>
      <c r="C1903" s="53" t="n">
        <v>480</v>
      </c>
      <c r="D1903" s="53" t="n">
        <v>2</v>
      </c>
      <c r="E1903" s="65" t="str">
        <f aca="false">IF($H1903="","",购销流水!$B480)</f>
        <v/>
      </c>
      <c r="F1903" s="55" t="str">
        <f aca="false">IF($H1903="","",购销流水!$C480)</f>
        <v/>
      </c>
      <c r="G1903" s="48" t="str">
        <f aca="false">IF($H1903="","",购销流水!$N480)</f>
        <v/>
      </c>
      <c r="H1903" s="10" t="str">
        <f aca="false">IF($L1903="","",IF($L1903="@成本",购销流水!$U480,IF($L1903="@收入",购销流水!$T480,IF($L1903="@存货",购销流水!$S480,IF($L1903="@结算",购销流水!$R480,$L1903)))))</f>
        <v/>
      </c>
      <c r="I1903" s="42" t="n">
        <f aca="false">IF($M1903="借",$O1903,0)</f>
        <v>0</v>
      </c>
      <c r="J1903" s="42" t="n">
        <f aca="false">IF($M1903="贷",$O1903,0)</f>
        <v>0</v>
      </c>
      <c r="K1903" s="48" t="str">
        <f aca="false">IF($H1903="","",购销流水!$E480)</f>
        <v/>
      </c>
      <c r="L1903" s="66" t="str">
        <f aca="false">IF(购销流水!$D480="","",IFERROR(INDEX(记账规则!$A$6:$N$9,MATCH(购销流水!$D480,记账规则!$A$6:$A$9,0),6),""))</f>
        <v/>
      </c>
      <c r="M1903" s="66" t="str">
        <f aca="false">IF($L1903="","",IFERROR(INDEX(记账规则!$A$6:$N$9,MATCH(购销流水!$D480,记账规则!$A$6:$A$9,0),7),""))</f>
        <v/>
      </c>
      <c r="N1903" s="66" t="str">
        <f aca="false">IF($L1903="","",IFERROR(INDEX(记账规则!$A$6:$N$9,MATCH(购销流水!$D480,记账规则!$A$6:$A$9,0),8),""))</f>
        <v/>
      </c>
      <c r="O1903" s="67" t="n">
        <f aca="false">IF($H1903="",0,ROUND(IF($N1903="成本金额",N(购销流水!$W480),IF($N1903="金额",N(购销流水!$Q480),0)),2))</f>
        <v>0</v>
      </c>
      <c r="P1903" s="64" t="str">
        <f aca="false">IF(AND($H1903&lt;&gt;"",ROUND($O1903,2)&lt;&gt;0),"有","")</f>
        <v/>
      </c>
    </row>
    <row r="1904" customFormat="false" ht="15" hidden="true" customHeight="false" outlineLevel="0" collapsed="false">
      <c r="A1904" s="53" t="str">
        <f aca="false">IF($H1904="","",ROW()-5)</f>
        <v/>
      </c>
      <c r="B1904" s="64" t="s">
        <v>36</v>
      </c>
      <c r="C1904" s="53" t="n">
        <v>480</v>
      </c>
      <c r="D1904" s="53" t="n">
        <v>3</v>
      </c>
      <c r="E1904" s="65" t="str">
        <f aca="false">IF($H1904="","",购销流水!$B480)</f>
        <v/>
      </c>
      <c r="F1904" s="55" t="str">
        <f aca="false">IF($H1904="","",购销流水!$C480)</f>
        <v/>
      </c>
      <c r="G1904" s="48" t="str">
        <f aca="false">IF($H1904="","",购销流水!$N480)</f>
        <v/>
      </c>
      <c r="H1904" s="10" t="str">
        <f aca="false">IF($L1904="","",IF($L1904="@成本",购销流水!$U480,IF($L1904="@收入",购销流水!$T480,IF($L1904="@存货",购销流水!$S480,IF($L1904="@结算",购销流水!$R480,$L1904)))))</f>
        <v/>
      </c>
      <c r="I1904" s="42" t="n">
        <f aca="false">IF($M1904="借",$O1904,0)</f>
        <v>0</v>
      </c>
      <c r="J1904" s="42" t="n">
        <f aca="false">IF($M1904="贷",$O1904,0)</f>
        <v>0</v>
      </c>
      <c r="K1904" s="48" t="str">
        <f aca="false">IF($H1904="","",购销流水!$E480)</f>
        <v/>
      </c>
      <c r="L1904" s="66" t="str">
        <f aca="false">IF(购销流水!$D480="","",IFERROR(INDEX(记账规则!$A$6:$N$9,MATCH(购销流水!$D480,记账规则!$A$6:$A$9,0),9),""))</f>
        <v/>
      </c>
      <c r="M1904" s="66" t="str">
        <f aca="false">IF($L1904="","",IFERROR(INDEX(记账规则!$A$6:$N$9,MATCH(购销流水!$D480,记账规则!$A$6:$A$9,0),10),""))</f>
        <v/>
      </c>
      <c r="N1904" s="66" t="str">
        <f aca="false">IF($L1904="","",IFERROR(INDEX(记账规则!$A$6:$N$9,MATCH(购销流水!$D480,记账规则!$A$6:$A$9,0),11),""))</f>
        <v/>
      </c>
      <c r="O1904" s="67" t="n">
        <f aca="false">IF($H1904="",0,ROUND(IF($N1904="成本金额",N(购销流水!$W480),IF($N1904="金额",N(购销流水!$Q480),0)),2))</f>
        <v>0</v>
      </c>
      <c r="P1904" s="64" t="str">
        <f aca="false">IF(AND($H1904&lt;&gt;"",ROUND($O1904,2)&lt;&gt;0),"有","")</f>
        <v/>
      </c>
    </row>
    <row r="1905" customFormat="false" ht="15" hidden="true" customHeight="false" outlineLevel="0" collapsed="false">
      <c r="A1905" s="53" t="str">
        <f aca="false">IF($H1905="","",ROW()-5)</f>
        <v/>
      </c>
      <c r="B1905" s="64" t="s">
        <v>36</v>
      </c>
      <c r="C1905" s="53" t="n">
        <v>480</v>
      </c>
      <c r="D1905" s="53" t="n">
        <v>4</v>
      </c>
      <c r="E1905" s="65" t="str">
        <f aca="false">IF($H1905="","",购销流水!$B480)</f>
        <v/>
      </c>
      <c r="F1905" s="55" t="str">
        <f aca="false">IF($H1905="","",购销流水!$C480)</f>
        <v/>
      </c>
      <c r="G1905" s="48" t="str">
        <f aca="false">IF($H1905="","",购销流水!$N480)</f>
        <v/>
      </c>
      <c r="H1905" s="10" t="str">
        <f aca="false">IF($L1905="","",IF($L1905="@成本",购销流水!$U480,IF($L1905="@收入",购销流水!$T480,IF($L1905="@存货",购销流水!$S480,IF($L1905="@结算",购销流水!$R480,$L1905)))))</f>
        <v/>
      </c>
      <c r="I1905" s="42" t="n">
        <f aca="false">IF($M1905="借",$O1905,0)</f>
        <v>0</v>
      </c>
      <c r="J1905" s="42" t="n">
        <f aca="false">IF($M1905="贷",$O1905,0)</f>
        <v>0</v>
      </c>
      <c r="K1905" s="48" t="str">
        <f aca="false">IF($H1905="","",购销流水!$E480)</f>
        <v/>
      </c>
      <c r="L1905" s="66" t="str">
        <f aca="false">IF(购销流水!$D480="","",IFERROR(INDEX(记账规则!$A$6:$N$9,MATCH(购销流水!$D480,记账规则!$A$6:$A$9,0),12),""))</f>
        <v/>
      </c>
      <c r="M1905" s="66" t="str">
        <f aca="false">IF($L1905="","",IFERROR(INDEX(记账规则!$A$6:$N$9,MATCH(购销流水!$D480,记账规则!$A$6:$A$9,0),13),""))</f>
        <v/>
      </c>
      <c r="N1905" s="66" t="str">
        <f aca="false">IF($L1905="","",IFERROR(INDEX(记账规则!$A$6:$N$9,MATCH(购销流水!$D480,记账规则!$A$6:$A$9,0),14),""))</f>
        <v/>
      </c>
      <c r="O1905" s="67" t="n">
        <f aca="false">IF($H1905="",0,ROUND(IF($N1905="成本金额",N(购销流水!$W480),IF($N1905="金额",N(购销流水!$Q480),0)),2))</f>
        <v>0</v>
      </c>
      <c r="P1905" s="64" t="str">
        <f aca="false">IF(AND($H1905&lt;&gt;"",ROUND($O1905,2)&lt;&gt;0),"有","")</f>
        <v/>
      </c>
    </row>
    <row r="1906" customFormat="false" ht="15" hidden="true" customHeight="false" outlineLevel="0" collapsed="false">
      <c r="A1906" s="53" t="str">
        <f aca="false">IF($H1906="","",ROW()-5)</f>
        <v/>
      </c>
      <c r="B1906" s="64" t="s">
        <v>36</v>
      </c>
      <c r="C1906" s="53" t="n">
        <v>481</v>
      </c>
      <c r="D1906" s="53" t="n">
        <v>1</v>
      </c>
      <c r="E1906" s="65" t="str">
        <f aca="false">IF($H1906="","",购销流水!$B481)</f>
        <v/>
      </c>
      <c r="F1906" s="55" t="str">
        <f aca="false">IF($H1906="","",购销流水!$C481)</f>
        <v/>
      </c>
      <c r="G1906" s="48" t="str">
        <f aca="false">IF($H1906="","",购销流水!$N481)</f>
        <v/>
      </c>
      <c r="H1906" s="10" t="str">
        <f aca="false">IF($L1906="","",IF($L1906="@成本",购销流水!$U481,IF($L1906="@收入",购销流水!$T481,IF($L1906="@存货",购销流水!$S481,IF($L1906="@结算",购销流水!$R481,$L1906)))))</f>
        <v/>
      </c>
      <c r="I1906" s="42" t="n">
        <f aca="false">IF($M1906="借",$O1906,0)</f>
        <v>0</v>
      </c>
      <c r="J1906" s="42" t="n">
        <f aca="false">IF($M1906="贷",$O1906,0)</f>
        <v>0</v>
      </c>
      <c r="K1906" s="48" t="str">
        <f aca="false">IF($H1906="","",购销流水!$E481)</f>
        <v/>
      </c>
      <c r="L1906" s="66" t="str">
        <f aca="false">IF(购销流水!$D481="","",IFERROR(INDEX(记账规则!$A$6:$N$9,MATCH(购销流水!$D481,记账规则!$A$6:$A$9,0),3),""))</f>
        <v/>
      </c>
      <c r="M1906" s="66" t="str">
        <f aca="false">IF($L1906="","",IFERROR(INDEX(记账规则!$A$6:$N$9,MATCH(购销流水!$D481,记账规则!$A$6:$A$9,0),4),""))</f>
        <v/>
      </c>
      <c r="N1906" s="66" t="str">
        <f aca="false">IF($L1906="","",IFERROR(INDEX(记账规则!$A$6:$N$9,MATCH(购销流水!$D481,记账规则!$A$6:$A$9,0),5),""))</f>
        <v/>
      </c>
      <c r="O1906" s="67" t="n">
        <f aca="false">IF($H1906="",0,ROUND(IF($N1906="成本金额",N(购销流水!$W481),IF($N1906="金额",N(购销流水!$Q481),0)),2))</f>
        <v>0</v>
      </c>
      <c r="P1906" s="64" t="str">
        <f aca="false">IF(AND($H1906&lt;&gt;"",ROUND($O1906,2)&lt;&gt;0),"有","")</f>
        <v/>
      </c>
    </row>
    <row r="1907" customFormat="false" ht="15" hidden="true" customHeight="false" outlineLevel="0" collapsed="false">
      <c r="A1907" s="53" t="str">
        <f aca="false">IF($H1907="","",ROW()-5)</f>
        <v/>
      </c>
      <c r="B1907" s="64" t="s">
        <v>36</v>
      </c>
      <c r="C1907" s="53" t="n">
        <v>481</v>
      </c>
      <c r="D1907" s="53" t="n">
        <v>2</v>
      </c>
      <c r="E1907" s="65" t="str">
        <f aca="false">IF($H1907="","",购销流水!$B481)</f>
        <v/>
      </c>
      <c r="F1907" s="55" t="str">
        <f aca="false">IF($H1907="","",购销流水!$C481)</f>
        <v/>
      </c>
      <c r="G1907" s="48" t="str">
        <f aca="false">IF($H1907="","",购销流水!$N481)</f>
        <v/>
      </c>
      <c r="H1907" s="10" t="str">
        <f aca="false">IF($L1907="","",IF($L1907="@成本",购销流水!$U481,IF($L1907="@收入",购销流水!$T481,IF($L1907="@存货",购销流水!$S481,IF($L1907="@结算",购销流水!$R481,$L1907)))))</f>
        <v/>
      </c>
      <c r="I1907" s="42" t="n">
        <f aca="false">IF($M1907="借",$O1907,0)</f>
        <v>0</v>
      </c>
      <c r="J1907" s="42" t="n">
        <f aca="false">IF($M1907="贷",$O1907,0)</f>
        <v>0</v>
      </c>
      <c r="K1907" s="48" t="str">
        <f aca="false">IF($H1907="","",购销流水!$E481)</f>
        <v/>
      </c>
      <c r="L1907" s="66" t="str">
        <f aca="false">IF(购销流水!$D481="","",IFERROR(INDEX(记账规则!$A$6:$N$9,MATCH(购销流水!$D481,记账规则!$A$6:$A$9,0),6),""))</f>
        <v/>
      </c>
      <c r="M1907" s="66" t="str">
        <f aca="false">IF($L1907="","",IFERROR(INDEX(记账规则!$A$6:$N$9,MATCH(购销流水!$D481,记账规则!$A$6:$A$9,0),7),""))</f>
        <v/>
      </c>
      <c r="N1907" s="66" t="str">
        <f aca="false">IF($L1907="","",IFERROR(INDEX(记账规则!$A$6:$N$9,MATCH(购销流水!$D481,记账规则!$A$6:$A$9,0),8),""))</f>
        <v/>
      </c>
      <c r="O1907" s="67" t="n">
        <f aca="false">IF($H1907="",0,ROUND(IF($N1907="成本金额",N(购销流水!$W481),IF($N1907="金额",N(购销流水!$Q481),0)),2))</f>
        <v>0</v>
      </c>
      <c r="P1907" s="64" t="str">
        <f aca="false">IF(AND($H1907&lt;&gt;"",ROUND($O1907,2)&lt;&gt;0),"有","")</f>
        <v/>
      </c>
    </row>
    <row r="1908" customFormat="false" ht="15" hidden="true" customHeight="false" outlineLevel="0" collapsed="false">
      <c r="A1908" s="53" t="str">
        <f aca="false">IF($H1908="","",ROW()-5)</f>
        <v/>
      </c>
      <c r="B1908" s="64" t="s">
        <v>36</v>
      </c>
      <c r="C1908" s="53" t="n">
        <v>481</v>
      </c>
      <c r="D1908" s="53" t="n">
        <v>3</v>
      </c>
      <c r="E1908" s="65" t="str">
        <f aca="false">IF($H1908="","",购销流水!$B481)</f>
        <v/>
      </c>
      <c r="F1908" s="55" t="str">
        <f aca="false">IF($H1908="","",购销流水!$C481)</f>
        <v/>
      </c>
      <c r="G1908" s="48" t="str">
        <f aca="false">IF($H1908="","",购销流水!$N481)</f>
        <v/>
      </c>
      <c r="H1908" s="10" t="str">
        <f aca="false">IF($L1908="","",IF($L1908="@成本",购销流水!$U481,IF($L1908="@收入",购销流水!$T481,IF($L1908="@存货",购销流水!$S481,IF($L1908="@结算",购销流水!$R481,$L1908)))))</f>
        <v/>
      </c>
      <c r="I1908" s="42" t="n">
        <f aca="false">IF($M1908="借",$O1908,0)</f>
        <v>0</v>
      </c>
      <c r="J1908" s="42" t="n">
        <f aca="false">IF($M1908="贷",$O1908,0)</f>
        <v>0</v>
      </c>
      <c r="K1908" s="48" t="str">
        <f aca="false">IF($H1908="","",购销流水!$E481)</f>
        <v/>
      </c>
      <c r="L1908" s="66" t="str">
        <f aca="false">IF(购销流水!$D481="","",IFERROR(INDEX(记账规则!$A$6:$N$9,MATCH(购销流水!$D481,记账规则!$A$6:$A$9,0),9),""))</f>
        <v/>
      </c>
      <c r="M1908" s="66" t="str">
        <f aca="false">IF($L1908="","",IFERROR(INDEX(记账规则!$A$6:$N$9,MATCH(购销流水!$D481,记账规则!$A$6:$A$9,0),10),""))</f>
        <v/>
      </c>
      <c r="N1908" s="66" t="str">
        <f aca="false">IF($L1908="","",IFERROR(INDEX(记账规则!$A$6:$N$9,MATCH(购销流水!$D481,记账规则!$A$6:$A$9,0),11),""))</f>
        <v/>
      </c>
      <c r="O1908" s="67" t="n">
        <f aca="false">IF($H1908="",0,ROUND(IF($N1908="成本金额",N(购销流水!$W481),IF($N1908="金额",N(购销流水!$Q481),0)),2))</f>
        <v>0</v>
      </c>
      <c r="P1908" s="64" t="str">
        <f aca="false">IF(AND($H1908&lt;&gt;"",ROUND($O1908,2)&lt;&gt;0),"有","")</f>
        <v/>
      </c>
    </row>
    <row r="1909" customFormat="false" ht="15" hidden="true" customHeight="false" outlineLevel="0" collapsed="false">
      <c r="A1909" s="53" t="str">
        <f aca="false">IF($H1909="","",ROW()-5)</f>
        <v/>
      </c>
      <c r="B1909" s="64" t="s">
        <v>36</v>
      </c>
      <c r="C1909" s="53" t="n">
        <v>481</v>
      </c>
      <c r="D1909" s="53" t="n">
        <v>4</v>
      </c>
      <c r="E1909" s="65" t="str">
        <f aca="false">IF($H1909="","",购销流水!$B481)</f>
        <v/>
      </c>
      <c r="F1909" s="55" t="str">
        <f aca="false">IF($H1909="","",购销流水!$C481)</f>
        <v/>
      </c>
      <c r="G1909" s="48" t="str">
        <f aca="false">IF($H1909="","",购销流水!$N481)</f>
        <v/>
      </c>
      <c r="H1909" s="10" t="str">
        <f aca="false">IF($L1909="","",IF($L1909="@成本",购销流水!$U481,IF($L1909="@收入",购销流水!$T481,IF($L1909="@存货",购销流水!$S481,IF($L1909="@结算",购销流水!$R481,$L1909)))))</f>
        <v/>
      </c>
      <c r="I1909" s="42" t="n">
        <f aca="false">IF($M1909="借",$O1909,0)</f>
        <v>0</v>
      </c>
      <c r="J1909" s="42" t="n">
        <f aca="false">IF($M1909="贷",$O1909,0)</f>
        <v>0</v>
      </c>
      <c r="K1909" s="48" t="str">
        <f aca="false">IF($H1909="","",购销流水!$E481)</f>
        <v/>
      </c>
      <c r="L1909" s="66" t="str">
        <f aca="false">IF(购销流水!$D481="","",IFERROR(INDEX(记账规则!$A$6:$N$9,MATCH(购销流水!$D481,记账规则!$A$6:$A$9,0),12),""))</f>
        <v/>
      </c>
      <c r="M1909" s="66" t="str">
        <f aca="false">IF($L1909="","",IFERROR(INDEX(记账规则!$A$6:$N$9,MATCH(购销流水!$D481,记账规则!$A$6:$A$9,0),13),""))</f>
        <v/>
      </c>
      <c r="N1909" s="66" t="str">
        <f aca="false">IF($L1909="","",IFERROR(INDEX(记账规则!$A$6:$N$9,MATCH(购销流水!$D481,记账规则!$A$6:$A$9,0),14),""))</f>
        <v/>
      </c>
      <c r="O1909" s="67" t="n">
        <f aca="false">IF($H1909="",0,ROUND(IF($N1909="成本金额",N(购销流水!$W481),IF($N1909="金额",N(购销流水!$Q481),0)),2))</f>
        <v>0</v>
      </c>
      <c r="P1909" s="64" t="str">
        <f aca="false">IF(AND($H1909&lt;&gt;"",ROUND($O1909,2)&lt;&gt;0),"有","")</f>
        <v/>
      </c>
    </row>
    <row r="1910" customFormat="false" ht="15" hidden="true" customHeight="false" outlineLevel="0" collapsed="false">
      <c r="A1910" s="53" t="str">
        <f aca="false">IF($H1910="","",ROW()-5)</f>
        <v/>
      </c>
      <c r="B1910" s="64" t="s">
        <v>36</v>
      </c>
      <c r="C1910" s="53" t="n">
        <v>482</v>
      </c>
      <c r="D1910" s="53" t="n">
        <v>1</v>
      </c>
      <c r="E1910" s="65" t="str">
        <f aca="false">IF($H1910="","",购销流水!$B482)</f>
        <v/>
      </c>
      <c r="F1910" s="55" t="str">
        <f aca="false">IF($H1910="","",购销流水!$C482)</f>
        <v/>
      </c>
      <c r="G1910" s="48" t="str">
        <f aca="false">IF($H1910="","",购销流水!$N482)</f>
        <v/>
      </c>
      <c r="H1910" s="10" t="str">
        <f aca="false">IF($L1910="","",IF($L1910="@成本",购销流水!$U482,IF($L1910="@收入",购销流水!$T482,IF($L1910="@存货",购销流水!$S482,IF($L1910="@结算",购销流水!$R482,$L1910)))))</f>
        <v/>
      </c>
      <c r="I1910" s="42" t="n">
        <f aca="false">IF($M1910="借",$O1910,0)</f>
        <v>0</v>
      </c>
      <c r="J1910" s="42" t="n">
        <f aca="false">IF($M1910="贷",$O1910,0)</f>
        <v>0</v>
      </c>
      <c r="K1910" s="48" t="str">
        <f aca="false">IF($H1910="","",购销流水!$E482)</f>
        <v/>
      </c>
      <c r="L1910" s="66" t="str">
        <f aca="false">IF(购销流水!$D482="","",IFERROR(INDEX(记账规则!$A$6:$N$9,MATCH(购销流水!$D482,记账规则!$A$6:$A$9,0),3),""))</f>
        <v/>
      </c>
      <c r="M1910" s="66" t="str">
        <f aca="false">IF($L1910="","",IFERROR(INDEX(记账规则!$A$6:$N$9,MATCH(购销流水!$D482,记账规则!$A$6:$A$9,0),4),""))</f>
        <v/>
      </c>
      <c r="N1910" s="66" t="str">
        <f aca="false">IF($L1910="","",IFERROR(INDEX(记账规则!$A$6:$N$9,MATCH(购销流水!$D482,记账规则!$A$6:$A$9,0),5),""))</f>
        <v/>
      </c>
      <c r="O1910" s="67" t="n">
        <f aca="false">IF($H1910="",0,ROUND(IF($N1910="成本金额",N(购销流水!$W482),IF($N1910="金额",N(购销流水!$Q482),0)),2))</f>
        <v>0</v>
      </c>
      <c r="P1910" s="64" t="str">
        <f aca="false">IF(AND($H1910&lt;&gt;"",ROUND($O1910,2)&lt;&gt;0),"有","")</f>
        <v/>
      </c>
    </row>
    <row r="1911" customFormat="false" ht="15" hidden="true" customHeight="false" outlineLevel="0" collapsed="false">
      <c r="A1911" s="53" t="str">
        <f aca="false">IF($H1911="","",ROW()-5)</f>
        <v/>
      </c>
      <c r="B1911" s="64" t="s">
        <v>36</v>
      </c>
      <c r="C1911" s="53" t="n">
        <v>482</v>
      </c>
      <c r="D1911" s="53" t="n">
        <v>2</v>
      </c>
      <c r="E1911" s="65" t="str">
        <f aca="false">IF($H1911="","",购销流水!$B482)</f>
        <v/>
      </c>
      <c r="F1911" s="55" t="str">
        <f aca="false">IF($H1911="","",购销流水!$C482)</f>
        <v/>
      </c>
      <c r="G1911" s="48" t="str">
        <f aca="false">IF($H1911="","",购销流水!$N482)</f>
        <v/>
      </c>
      <c r="H1911" s="10" t="str">
        <f aca="false">IF($L1911="","",IF($L1911="@成本",购销流水!$U482,IF($L1911="@收入",购销流水!$T482,IF($L1911="@存货",购销流水!$S482,IF($L1911="@结算",购销流水!$R482,$L1911)))))</f>
        <v/>
      </c>
      <c r="I1911" s="42" t="n">
        <f aca="false">IF($M1911="借",$O1911,0)</f>
        <v>0</v>
      </c>
      <c r="J1911" s="42" t="n">
        <f aca="false">IF($M1911="贷",$O1911,0)</f>
        <v>0</v>
      </c>
      <c r="K1911" s="48" t="str">
        <f aca="false">IF($H1911="","",购销流水!$E482)</f>
        <v/>
      </c>
      <c r="L1911" s="66" t="str">
        <f aca="false">IF(购销流水!$D482="","",IFERROR(INDEX(记账规则!$A$6:$N$9,MATCH(购销流水!$D482,记账规则!$A$6:$A$9,0),6),""))</f>
        <v/>
      </c>
      <c r="M1911" s="66" t="str">
        <f aca="false">IF($L1911="","",IFERROR(INDEX(记账规则!$A$6:$N$9,MATCH(购销流水!$D482,记账规则!$A$6:$A$9,0),7),""))</f>
        <v/>
      </c>
      <c r="N1911" s="66" t="str">
        <f aca="false">IF($L1911="","",IFERROR(INDEX(记账规则!$A$6:$N$9,MATCH(购销流水!$D482,记账规则!$A$6:$A$9,0),8),""))</f>
        <v/>
      </c>
      <c r="O1911" s="67" t="n">
        <f aca="false">IF($H1911="",0,ROUND(IF($N1911="成本金额",N(购销流水!$W482),IF($N1911="金额",N(购销流水!$Q482),0)),2))</f>
        <v>0</v>
      </c>
      <c r="P1911" s="64" t="str">
        <f aca="false">IF(AND($H1911&lt;&gt;"",ROUND($O1911,2)&lt;&gt;0),"有","")</f>
        <v/>
      </c>
    </row>
    <row r="1912" customFormat="false" ht="15" hidden="true" customHeight="false" outlineLevel="0" collapsed="false">
      <c r="A1912" s="53" t="str">
        <f aca="false">IF($H1912="","",ROW()-5)</f>
        <v/>
      </c>
      <c r="B1912" s="64" t="s">
        <v>36</v>
      </c>
      <c r="C1912" s="53" t="n">
        <v>482</v>
      </c>
      <c r="D1912" s="53" t="n">
        <v>3</v>
      </c>
      <c r="E1912" s="65" t="str">
        <f aca="false">IF($H1912="","",购销流水!$B482)</f>
        <v/>
      </c>
      <c r="F1912" s="55" t="str">
        <f aca="false">IF($H1912="","",购销流水!$C482)</f>
        <v/>
      </c>
      <c r="G1912" s="48" t="str">
        <f aca="false">IF($H1912="","",购销流水!$N482)</f>
        <v/>
      </c>
      <c r="H1912" s="10" t="str">
        <f aca="false">IF($L1912="","",IF($L1912="@成本",购销流水!$U482,IF($L1912="@收入",购销流水!$T482,IF($L1912="@存货",购销流水!$S482,IF($L1912="@结算",购销流水!$R482,$L1912)))))</f>
        <v/>
      </c>
      <c r="I1912" s="42" t="n">
        <f aca="false">IF($M1912="借",$O1912,0)</f>
        <v>0</v>
      </c>
      <c r="J1912" s="42" t="n">
        <f aca="false">IF($M1912="贷",$O1912,0)</f>
        <v>0</v>
      </c>
      <c r="K1912" s="48" t="str">
        <f aca="false">IF($H1912="","",购销流水!$E482)</f>
        <v/>
      </c>
      <c r="L1912" s="66" t="str">
        <f aca="false">IF(购销流水!$D482="","",IFERROR(INDEX(记账规则!$A$6:$N$9,MATCH(购销流水!$D482,记账规则!$A$6:$A$9,0),9),""))</f>
        <v/>
      </c>
      <c r="M1912" s="66" t="str">
        <f aca="false">IF($L1912="","",IFERROR(INDEX(记账规则!$A$6:$N$9,MATCH(购销流水!$D482,记账规则!$A$6:$A$9,0),10),""))</f>
        <v/>
      </c>
      <c r="N1912" s="66" t="str">
        <f aca="false">IF($L1912="","",IFERROR(INDEX(记账规则!$A$6:$N$9,MATCH(购销流水!$D482,记账规则!$A$6:$A$9,0),11),""))</f>
        <v/>
      </c>
      <c r="O1912" s="67" t="n">
        <f aca="false">IF($H1912="",0,ROUND(IF($N1912="成本金额",N(购销流水!$W482),IF($N1912="金额",N(购销流水!$Q482),0)),2))</f>
        <v>0</v>
      </c>
      <c r="P1912" s="64" t="str">
        <f aca="false">IF(AND($H1912&lt;&gt;"",ROUND($O1912,2)&lt;&gt;0),"有","")</f>
        <v/>
      </c>
    </row>
    <row r="1913" customFormat="false" ht="15" hidden="true" customHeight="false" outlineLevel="0" collapsed="false">
      <c r="A1913" s="53" t="str">
        <f aca="false">IF($H1913="","",ROW()-5)</f>
        <v/>
      </c>
      <c r="B1913" s="64" t="s">
        <v>36</v>
      </c>
      <c r="C1913" s="53" t="n">
        <v>482</v>
      </c>
      <c r="D1913" s="53" t="n">
        <v>4</v>
      </c>
      <c r="E1913" s="65" t="str">
        <f aca="false">IF($H1913="","",购销流水!$B482)</f>
        <v/>
      </c>
      <c r="F1913" s="55" t="str">
        <f aca="false">IF($H1913="","",购销流水!$C482)</f>
        <v/>
      </c>
      <c r="G1913" s="48" t="str">
        <f aca="false">IF($H1913="","",购销流水!$N482)</f>
        <v/>
      </c>
      <c r="H1913" s="10" t="str">
        <f aca="false">IF($L1913="","",IF($L1913="@成本",购销流水!$U482,IF($L1913="@收入",购销流水!$T482,IF($L1913="@存货",购销流水!$S482,IF($L1913="@结算",购销流水!$R482,$L1913)))))</f>
        <v/>
      </c>
      <c r="I1913" s="42" t="n">
        <f aca="false">IF($M1913="借",$O1913,0)</f>
        <v>0</v>
      </c>
      <c r="J1913" s="42" t="n">
        <f aca="false">IF($M1913="贷",$O1913,0)</f>
        <v>0</v>
      </c>
      <c r="K1913" s="48" t="str">
        <f aca="false">IF($H1913="","",购销流水!$E482)</f>
        <v/>
      </c>
      <c r="L1913" s="66" t="str">
        <f aca="false">IF(购销流水!$D482="","",IFERROR(INDEX(记账规则!$A$6:$N$9,MATCH(购销流水!$D482,记账规则!$A$6:$A$9,0),12),""))</f>
        <v/>
      </c>
      <c r="M1913" s="66" t="str">
        <f aca="false">IF($L1913="","",IFERROR(INDEX(记账规则!$A$6:$N$9,MATCH(购销流水!$D482,记账规则!$A$6:$A$9,0),13),""))</f>
        <v/>
      </c>
      <c r="N1913" s="66" t="str">
        <f aca="false">IF($L1913="","",IFERROR(INDEX(记账规则!$A$6:$N$9,MATCH(购销流水!$D482,记账规则!$A$6:$A$9,0),14),""))</f>
        <v/>
      </c>
      <c r="O1913" s="67" t="n">
        <f aca="false">IF($H1913="",0,ROUND(IF($N1913="成本金额",N(购销流水!$W482),IF($N1913="金额",N(购销流水!$Q482),0)),2))</f>
        <v>0</v>
      </c>
      <c r="P1913" s="64" t="str">
        <f aca="false">IF(AND($H1913&lt;&gt;"",ROUND($O1913,2)&lt;&gt;0),"有","")</f>
        <v/>
      </c>
    </row>
    <row r="1914" customFormat="false" ht="15" hidden="true" customHeight="false" outlineLevel="0" collapsed="false">
      <c r="A1914" s="53" t="str">
        <f aca="false">IF($H1914="","",ROW()-5)</f>
        <v/>
      </c>
      <c r="B1914" s="64" t="s">
        <v>36</v>
      </c>
      <c r="C1914" s="53" t="n">
        <v>483</v>
      </c>
      <c r="D1914" s="53" t="n">
        <v>1</v>
      </c>
      <c r="E1914" s="65" t="str">
        <f aca="false">IF($H1914="","",购销流水!$B483)</f>
        <v/>
      </c>
      <c r="F1914" s="55" t="str">
        <f aca="false">IF($H1914="","",购销流水!$C483)</f>
        <v/>
      </c>
      <c r="G1914" s="48" t="str">
        <f aca="false">IF($H1914="","",购销流水!$N483)</f>
        <v/>
      </c>
      <c r="H1914" s="10" t="str">
        <f aca="false">IF($L1914="","",IF($L1914="@成本",购销流水!$U483,IF($L1914="@收入",购销流水!$T483,IF($L1914="@存货",购销流水!$S483,IF($L1914="@结算",购销流水!$R483,$L1914)))))</f>
        <v/>
      </c>
      <c r="I1914" s="42" t="n">
        <f aca="false">IF($M1914="借",$O1914,0)</f>
        <v>0</v>
      </c>
      <c r="J1914" s="42" t="n">
        <f aca="false">IF($M1914="贷",$O1914,0)</f>
        <v>0</v>
      </c>
      <c r="K1914" s="48" t="str">
        <f aca="false">IF($H1914="","",购销流水!$E483)</f>
        <v/>
      </c>
      <c r="L1914" s="66" t="str">
        <f aca="false">IF(购销流水!$D483="","",IFERROR(INDEX(记账规则!$A$6:$N$9,MATCH(购销流水!$D483,记账规则!$A$6:$A$9,0),3),""))</f>
        <v/>
      </c>
      <c r="M1914" s="66" t="str">
        <f aca="false">IF($L1914="","",IFERROR(INDEX(记账规则!$A$6:$N$9,MATCH(购销流水!$D483,记账规则!$A$6:$A$9,0),4),""))</f>
        <v/>
      </c>
      <c r="N1914" s="66" t="str">
        <f aca="false">IF($L1914="","",IFERROR(INDEX(记账规则!$A$6:$N$9,MATCH(购销流水!$D483,记账规则!$A$6:$A$9,0),5),""))</f>
        <v/>
      </c>
      <c r="O1914" s="67" t="n">
        <f aca="false">IF($H1914="",0,ROUND(IF($N1914="成本金额",N(购销流水!$W483),IF($N1914="金额",N(购销流水!$Q483),0)),2))</f>
        <v>0</v>
      </c>
      <c r="P1914" s="64" t="str">
        <f aca="false">IF(AND($H1914&lt;&gt;"",ROUND($O1914,2)&lt;&gt;0),"有","")</f>
        <v/>
      </c>
    </row>
    <row r="1915" customFormat="false" ht="15" hidden="true" customHeight="false" outlineLevel="0" collapsed="false">
      <c r="A1915" s="53" t="str">
        <f aca="false">IF($H1915="","",ROW()-5)</f>
        <v/>
      </c>
      <c r="B1915" s="64" t="s">
        <v>36</v>
      </c>
      <c r="C1915" s="53" t="n">
        <v>483</v>
      </c>
      <c r="D1915" s="53" t="n">
        <v>2</v>
      </c>
      <c r="E1915" s="65" t="str">
        <f aca="false">IF($H1915="","",购销流水!$B483)</f>
        <v/>
      </c>
      <c r="F1915" s="55" t="str">
        <f aca="false">IF($H1915="","",购销流水!$C483)</f>
        <v/>
      </c>
      <c r="G1915" s="48" t="str">
        <f aca="false">IF($H1915="","",购销流水!$N483)</f>
        <v/>
      </c>
      <c r="H1915" s="10" t="str">
        <f aca="false">IF($L1915="","",IF($L1915="@成本",购销流水!$U483,IF($L1915="@收入",购销流水!$T483,IF($L1915="@存货",购销流水!$S483,IF($L1915="@结算",购销流水!$R483,$L1915)))))</f>
        <v/>
      </c>
      <c r="I1915" s="42" t="n">
        <f aca="false">IF($M1915="借",$O1915,0)</f>
        <v>0</v>
      </c>
      <c r="J1915" s="42" t="n">
        <f aca="false">IF($M1915="贷",$O1915,0)</f>
        <v>0</v>
      </c>
      <c r="K1915" s="48" t="str">
        <f aca="false">IF($H1915="","",购销流水!$E483)</f>
        <v/>
      </c>
      <c r="L1915" s="66" t="str">
        <f aca="false">IF(购销流水!$D483="","",IFERROR(INDEX(记账规则!$A$6:$N$9,MATCH(购销流水!$D483,记账规则!$A$6:$A$9,0),6),""))</f>
        <v/>
      </c>
      <c r="M1915" s="66" t="str">
        <f aca="false">IF($L1915="","",IFERROR(INDEX(记账规则!$A$6:$N$9,MATCH(购销流水!$D483,记账规则!$A$6:$A$9,0),7),""))</f>
        <v/>
      </c>
      <c r="N1915" s="66" t="str">
        <f aca="false">IF($L1915="","",IFERROR(INDEX(记账规则!$A$6:$N$9,MATCH(购销流水!$D483,记账规则!$A$6:$A$9,0),8),""))</f>
        <v/>
      </c>
      <c r="O1915" s="67" t="n">
        <f aca="false">IF($H1915="",0,ROUND(IF($N1915="成本金额",N(购销流水!$W483),IF($N1915="金额",N(购销流水!$Q483),0)),2))</f>
        <v>0</v>
      </c>
      <c r="P1915" s="64" t="str">
        <f aca="false">IF(AND($H1915&lt;&gt;"",ROUND($O1915,2)&lt;&gt;0),"有","")</f>
        <v/>
      </c>
    </row>
    <row r="1916" customFormat="false" ht="15" hidden="true" customHeight="false" outlineLevel="0" collapsed="false">
      <c r="A1916" s="53" t="str">
        <f aca="false">IF($H1916="","",ROW()-5)</f>
        <v/>
      </c>
      <c r="B1916" s="64" t="s">
        <v>36</v>
      </c>
      <c r="C1916" s="53" t="n">
        <v>483</v>
      </c>
      <c r="D1916" s="53" t="n">
        <v>3</v>
      </c>
      <c r="E1916" s="65" t="str">
        <f aca="false">IF($H1916="","",购销流水!$B483)</f>
        <v/>
      </c>
      <c r="F1916" s="55" t="str">
        <f aca="false">IF($H1916="","",购销流水!$C483)</f>
        <v/>
      </c>
      <c r="G1916" s="48" t="str">
        <f aca="false">IF($H1916="","",购销流水!$N483)</f>
        <v/>
      </c>
      <c r="H1916" s="10" t="str">
        <f aca="false">IF($L1916="","",IF($L1916="@成本",购销流水!$U483,IF($L1916="@收入",购销流水!$T483,IF($L1916="@存货",购销流水!$S483,IF($L1916="@结算",购销流水!$R483,$L1916)))))</f>
        <v/>
      </c>
      <c r="I1916" s="42" t="n">
        <f aca="false">IF($M1916="借",$O1916,0)</f>
        <v>0</v>
      </c>
      <c r="J1916" s="42" t="n">
        <f aca="false">IF($M1916="贷",$O1916,0)</f>
        <v>0</v>
      </c>
      <c r="K1916" s="48" t="str">
        <f aca="false">IF($H1916="","",购销流水!$E483)</f>
        <v/>
      </c>
      <c r="L1916" s="66" t="str">
        <f aca="false">IF(购销流水!$D483="","",IFERROR(INDEX(记账规则!$A$6:$N$9,MATCH(购销流水!$D483,记账规则!$A$6:$A$9,0),9),""))</f>
        <v/>
      </c>
      <c r="M1916" s="66" t="str">
        <f aca="false">IF($L1916="","",IFERROR(INDEX(记账规则!$A$6:$N$9,MATCH(购销流水!$D483,记账规则!$A$6:$A$9,0),10),""))</f>
        <v/>
      </c>
      <c r="N1916" s="66" t="str">
        <f aca="false">IF($L1916="","",IFERROR(INDEX(记账规则!$A$6:$N$9,MATCH(购销流水!$D483,记账规则!$A$6:$A$9,0),11),""))</f>
        <v/>
      </c>
      <c r="O1916" s="67" t="n">
        <f aca="false">IF($H1916="",0,ROUND(IF($N1916="成本金额",N(购销流水!$W483),IF($N1916="金额",N(购销流水!$Q483),0)),2))</f>
        <v>0</v>
      </c>
      <c r="P1916" s="64" t="str">
        <f aca="false">IF(AND($H1916&lt;&gt;"",ROUND($O1916,2)&lt;&gt;0),"有","")</f>
        <v/>
      </c>
    </row>
    <row r="1917" customFormat="false" ht="15" hidden="true" customHeight="false" outlineLevel="0" collapsed="false">
      <c r="A1917" s="53" t="str">
        <f aca="false">IF($H1917="","",ROW()-5)</f>
        <v/>
      </c>
      <c r="B1917" s="64" t="s">
        <v>36</v>
      </c>
      <c r="C1917" s="53" t="n">
        <v>483</v>
      </c>
      <c r="D1917" s="53" t="n">
        <v>4</v>
      </c>
      <c r="E1917" s="65" t="str">
        <f aca="false">IF($H1917="","",购销流水!$B483)</f>
        <v/>
      </c>
      <c r="F1917" s="55" t="str">
        <f aca="false">IF($H1917="","",购销流水!$C483)</f>
        <v/>
      </c>
      <c r="G1917" s="48" t="str">
        <f aca="false">IF($H1917="","",购销流水!$N483)</f>
        <v/>
      </c>
      <c r="H1917" s="10" t="str">
        <f aca="false">IF($L1917="","",IF($L1917="@成本",购销流水!$U483,IF($L1917="@收入",购销流水!$T483,IF($L1917="@存货",购销流水!$S483,IF($L1917="@结算",购销流水!$R483,$L1917)))))</f>
        <v/>
      </c>
      <c r="I1917" s="42" t="n">
        <f aca="false">IF($M1917="借",$O1917,0)</f>
        <v>0</v>
      </c>
      <c r="J1917" s="42" t="n">
        <f aca="false">IF($M1917="贷",$O1917,0)</f>
        <v>0</v>
      </c>
      <c r="K1917" s="48" t="str">
        <f aca="false">IF($H1917="","",购销流水!$E483)</f>
        <v/>
      </c>
      <c r="L1917" s="66" t="str">
        <f aca="false">IF(购销流水!$D483="","",IFERROR(INDEX(记账规则!$A$6:$N$9,MATCH(购销流水!$D483,记账规则!$A$6:$A$9,0),12),""))</f>
        <v/>
      </c>
      <c r="M1917" s="66" t="str">
        <f aca="false">IF($L1917="","",IFERROR(INDEX(记账规则!$A$6:$N$9,MATCH(购销流水!$D483,记账规则!$A$6:$A$9,0),13),""))</f>
        <v/>
      </c>
      <c r="N1917" s="66" t="str">
        <f aca="false">IF($L1917="","",IFERROR(INDEX(记账规则!$A$6:$N$9,MATCH(购销流水!$D483,记账规则!$A$6:$A$9,0),14),""))</f>
        <v/>
      </c>
      <c r="O1917" s="67" t="n">
        <f aca="false">IF($H1917="",0,ROUND(IF($N1917="成本金额",N(购销流水!$W483),IF($N1917="金额",N(购销流水!$Q483),0)),2))</f>
        <v>0</v>
      </c>
      <c r="P1917" s="64" t="str">
        <f aca="false">IF(AND($H1917&lt;&gt;"",ROUND($O1917,2)&lt;&gt;0),"有","")</f>
        <v/>
      </c>
    </row>
    <row r="1918" customFormat="false" ht="15" hidden="true" customHeight="false" outlineLevel="0" collapsed="false">
      <c r="A1918" s="53" t="str">
        <f aca="false">IF($H1918="","",ROW()-5)</f>
        <v/>
      </c>
      <c r="B1918" s="64" t="s">
        <v>36</v>
      </c>
      <c r="C1918" s="53" t="n">
        <v>484</v>
      </c>
      <c r="D1918" s="53" t="n">
        <v>1</v>
      </c>
      <c r="E1918" s="65" t="str">
        <f aca="false">IF($H1918="","",购销流水!$B484)</f>
        <v/>
      </c>
      <c r="F1918" s="55" t="str">
        <f aca="false">IF($H1918="","",购销流水!$C484)</f>
        <v/>
      </c>
      <c r="G1918" s="48" t="str">
        <f aca="false">IF($H1918="","",购销流水!$N484)</f>
        <v/>
      </c>
      <c r="H1918" s="10" t="str">
        <f aca="false">IF($L1918="","",IF($L1918="@成本",购销流水!$U484,IF($L1918="@收入",购销流水!$T484,IF($L1918="@存货",购销流水!$S484,IF($L1918="@结算",购销流水!$R484,$L1918)))))</f>
        <v/>
      </c>
      <c r="I1918" s="42" t="n">
        <f aca="false">IF($M1918="借",$O1918,0)</f>
        <v>0</v>
      </c>
      <c r="J1918" s="42" t="n">
        <f aca="false">IF($M1918="贷",$O1918,0)</f>
        <v>0</v>
      </c>
      <c r="K1918" s="48" t="str">
        <f aca="false">IF($H1918="","",购销流水!$E484)</f>
        <v/>
      </c>
      <c r="L1918" s="66" t="str">
        <f aca="false">IF(购销流水!$D484="","",IFERROR(INDEX(记账规则!$A$6:$N$9,MATCH(购销流水!$D484,记账规则!$A$6:$A$9,0),3),""))</f>
        <v/>
      </c>
      <c r="M1918" s="66" t="str">
        <f aca="false">IF($L1918="","",IFERROR(INDEX(记账规则!$A$6:$N$9,MATCH(购销流水!$D484,记账规则!$A$6:$A$9,0),4),""))</f>
        <v/>
      </c>
      <c r="N1918" s="66" t="str">
        <f aca="false">IF($L1918="","",IFERROR(INDEX(记账规则!$A$6:$N$9,MATCH(购销流水!$D484,记账规则!$A$6:$A$9,0),5),""))</f>
        <v/>
      </c>
      <c r="O1918" s="67" t="n">
        <f aca="false">IF($H1918="",0,ROUND(IF($N1918="成本金额",N(购销流水!$W484),IF($N1918="金额",N(购销流水!$Q484),0)),2))</f>
        <v>0</v>
      </c>
      <c r="P1918" s="64" t="str">
        <f aca="false">IF(AND($H1918&lt;&gt;"",ROUND($O1918,2)&lt;&gt;0),"有","")</f>
        <v/>
      </c>
    </row>
    <row r="1919" customFormat="false" ht="15" hidden="true" customHeight="false" outlineLevel="0" collapsed="false">
      <c r="A1919" s="53" t="str">
        <f aca="false">IF($H1919="","",ROW()-5)</f>
        <v/>
      </c>
      <c r="B1919" s="64" t="s">
        <v>36</v>
      </c>
      <c r="C1919" s="53" t="n">
        <v>484</v>
      </c>
      <c r="D1919" s="53" t="n">
        <v>2</v>
      </c>
      <c r="E1919" s="65" t="str">
        <f aca="false">IF($H1919="","",购销流水!$B484)</f>
        <v/>
      </c>
      <c r="F1919" s="55" t="str">
        <f aca="false">IF($H1919="","",购销流水!$C484)</f>
        <v/>
      </c>
      <c r="G1919" s="48" t="str">
        <f aca="false">IF($H1919="","",购销流水!$N484)</f>
        <v/>
      </c>
      <c r="H1919" s="10" t="str">
        <f aca="false">IF($L1919="","",IF($L1919="@成本",购销流水!$U484,IF($L1919="@收入",购销流水!$T484,IF($L1919="@存货",购销流水!$S484,IF($L1919="@结算",购销流水!$R484,$L1919)))))</f>
        <v/>
      </c>
      <c r="I1919" s="42" t="n">
        <f aca="false">IF($M1919="借",$O1919,0)</f>
        <v>0</v>
      </c>
      <c r="J1919" s="42" t="n">
        <f aca="false">IF($M1919="贷",$O1919,0)</f>
        <v>0</v>
      </c>
      <c r="K1919" s="48" t="str">
        <f aca="false">IF($H1919="","",购销流水!$E484)</f>
        <v/>
      </c>
      <c r="L1919" s="66" t="str">
        <f aca="false">IF(购销流水!$D484="","",IFERROR(INDEX(记账规则!$A$6:$N$9,MATCH(购销流水!$D484,记账规则!$A$6:$A$9,0),6),""))</f>
        <v/>
      </c>
      <c r="M1919" s="66" t="str">
        <f aca="false">IF($L1919="","",IFERROR(INDEX(记账规则!$A$6:$N$9,MATCH(购销流水!$D484,记账规则!$A$6:$A$9,0),7),""))</f>
        <v/>
      </c>
      <c r="N1919" s="66" t="str">
        <f aca="false">IF($L1919="","",IFERROR(INDEX(记账规则!$A$6:$N$9,MATCH(购销流水!$D484,记账规则!$A$6:$A$9,0),8),""))</f>
        <v/>
      </c>
      <c r="O1919" s="67" t="n">
        <f aca="false">IF($H1919="",0,ROUND(IF($N1919="成本金额",N(购销流水!$W484),IF($N1919="金额",N(购销流水!$Q484),0)),2))</f>
        <v>0</v>
      </c>
      <c r="P1919" s="64" t="str">
        <f aca="false">IF(AND($H1919&lt;&gt;"",ROUND($O1919,2)&lt;&gt;0),"有","")</f>
        <v/>
      </c>
    </row>
    <row r="1920" customFormat="false" ht="15" hidden="true" customHeight="false" outlineLevel="0" collapsed="false">
      <c r="A1920" s="53" t="str">
        <f aca="false">IF($H1920="","",ROW()-5)</f>
        <v/>
      </c>
      <c r="B1920" s="64" t="s">
        <v>36</v>
      </c>
      <c r="C1920" s="53" t="n">
        <v>484</v>
      </c>
      <c r="D1920" s="53" t="n">
        <v>3</v>
      </c>
      <c r="E1920" s="65" t="str">
        <f aca="false">IF($H1920="","",购销流水!$B484)</f>
        <v/>
      </c>
      <c r="F1920" s="55" t="str">
        <f aca="false">IF($H1920="","",购销流水!$C484)</f>
        <v/>
      </c>
      <c r="G1920" s="48" t="str">
        <f aca="false">IF($H1920="","",购销流水!$N484)</f>
        <v/>
      </c>
      <c r="H1920" s="10" t="str">
        <f aca="false">IF($L1920="","",IF($L1920="@成本",购销流水!$U484,IF($L1920="@收入",购销流水!$T484,IF($L1920="@存货",购销流水!$S484,IF($L1920="@结算",购销流水!$R484,$L1920)))))</f>
        <v/>
      </c>
      <c r="I1920" s="42" t="n">
        <f aca="false">IF($M1920="借",$O1920,0)</f>
        <v>0</v>
      </c>
      <c r="J1920" s="42" t="n">
        <f aca="false">IF($M1920="贷",$O1920,0)</f>
        <v>0</v>
      </c>
      <c r="K1920" s="48" t="str">
        <f aca="false">IF($H1920="","",购销流水!$E484)</f>
        <v/>
      </c>
      <c r="L1920" s="66" t="str">
        <f aca="false">IF(购销流水!$D484="","",IFERROR(INDEX(记账规则!$A$6:$N$9,MATCH(购销流水!$D484,记账规则!$A$6:$A$9,0),9),""))</f>
        <v/>
      </c>
      <c r="M1920" s="66" t="str">
        <f aca="false">IF($L1920="","",IFERROR(INDEX(记账规则!$A$6:$N$9,MATCH(购销流水!$D484,记账规则!$A$6:$A$9,0),10),""))</f>
        <v/>
      </c>
      <c r="N1920" s="66" t="str">
        <f aca="false">IF($L1920="","",IFERROR(INDEX(记账规则!$A$6:$N$9,MATCH(购销流水!$D484,记账规则!$A$6:$A$9,0),11),""))</f>
        <v/>
      </c>
      <c r="O1920" s="67" t="n">
        <f aca="false">IF($H1920="",0,ROUND(IF($N1920="成本金额",N(购销流水!$W484),IF($N1920="金额",N(购销流水!$Q484),0)),2))</f>
        <v>0</v>
      </c>
      <c r="P1920" s="64" t="str">
        <f aca="false">IF(AND($H1920&lt;&gt;"",ROUND($O1920,2)&lt;&gt;0),"有","")</f>
        <v/>
      </c>
    </row>
    <row r="1921" customFormat="false" ht="15" hidden="true" customHeight="false" outlineLevel="0" collapsed="false">
      <c r="A1921" s="53" t="str">
        <f aca="false">IF($H1921="","",ROW()-5)</f>
        <v/>
      </c>
      <c r="B1921" s="64" t="s">
        <v>36</v>
      </c>
      <c r="C1921" s="53" t="n">
        <v>484</v>
      </c>
      <c r="D1921" s="53" t="n">
        <v>4</v>
      </c>
      <c r="E1921" s="65" t="str">
        <f aca="false">IF($H1921="","",购销流水!$B484)</f>
        <v/>
      </c>
      <c r="F1921" s="55" t="str">
        <f aca="false">IF($H1921="","",购销流水!$C484)</f>
        <v/>
      </c>
      <c r="G1921" s="48" t="str">
        <f aca="false">IF($H1921="","",购销流水!$N484)</f>
        <v/>
      </c>
      <c r="H1921" s="10" t="str">
        <f aca="false">IF($L1921="","",IF($L1921="@成本",购销流水!$U484,IF($L1921="@收入",购销流水!$T484,IF($L1921="@存货",购销流水!$S484,IF($L1921="@结算",购销流水!$R484,$L1921)))))</f>
        <v/>
      </c>
      <c r="I1921" s="42" t="n">
        <f aca="false">IF($M1921="借",$O1921,0)</f>
        <v>0</v>
      </c>
      <c r="J1921" s="42" t="n">
        <f aca="false">IF($M1921="贷",$O1921,0)</f>
        <v>0</v>
      </c>
      <c r="K1921" s="48" t="str">
        <f aca="false">IF($H1921="","",购销流水!$E484)</f>
        <v/>
      </c>
      <c r="L1921" s="66" t="str">
        <f aca="false">IF(购销流水!$D484="","",IFERROR(INDEX(记账规则!$A$6:$N$9,MATCH(购销流水!$D484,记账规则!$A$6:$A$9,0),12),""))</f>
        <v/>
      </c>
      <c r="M1921" s="66" t="str">
        <f aca="false">IF($L1921="","",IFERROR(INDEX(记账规则!$A$6:$N$9,MATCH(购销流水!$D484,记账规则!$A$6:$A$9,0),13),""))</f>
        <v/>
      </c>
      <c r="N1921" s="66" t="str">
        <f aca="false">IF($L1921="","",IFERROR(INDEX(记账规则!$A$6:$N$9,MATCH(购销流水!$D484,记账规则!$A$6:$A$9,0),14),""))</f>
        <v/>
      </c>
      <c r="O1921" s="67" t="n">
        <f aca="false">IF($H1921="",0,ROUND(IF($N1921="成本金额",N(购销流水!$W484),IF($N1921="金额",N(购销流水!$Q484),0)),2))</f>
        <v>0</v>
      </c>
      <c r="P1921" s="64" t="str">
        <f aca="false">IF(AND($H1921&lt;&gt;"",ROUND($O1921,2)&lt;&gt;0),"有","")</f>
        <v/>
      </c>
    </row>
    <row r="1922" customFormat="false" ht="15" hidden="true" customHeight="false" outlineLevel="0" collapsed="false">
      <c r="A1922" s="53" t="str">
        <f aca="false">IF($H1922="","",ROW()-5)</f>
        <v/>
      </c>
      <c r="B1922" s="64" t="s">
        <v>36</v>
      </c>
      <c r="C1922" s="53" t="n">
        <v>485</v>
      </c>
      <c r="D1922" s="53" t="n">
        <v>1</v>
      </c>
      <c r="E1922" s="65" t="str">
        <f aca="false">IF($H1922="","",购销流水!$B485)</f>
        <v/>
      </c>
      <c r="F1922" s="55" t="str">
        <f aca="false">IF($H1922="","",购销流水!$C485)</f>
        <v/>
      </c>
      <c r="G1922" s="48" t="str">
        <f aca="false">IF($H1922="","",购销流水!$N485)</f>
        <v/>
      </c>
      <c r="H1922" s="10" t="str">
        <f aca="false">IF($L1922="","",IF($L1922="@成本",购销流水!$U485,IF($L1922="@收入",购销流水!$T485,IF($L1922="@存货",购销流水!$S485,IF($L1922="@结算",购销流水!$R485,$L1922)))))</f>
        <v/>
      </c>
      <c r="I1922" s="42" t="n">
        <f aca="false">IF($M1922="借",$O1922,0)</f>
        <v>0</v>
      </c>
      <c r="J1922" s="42" t="n">
        <f aca="false">IF($M1922="贷",$O1922,0)</f>
        <v>0</v>
      </c>
      <c r="K1922" s="48" t="str">
        <f aca="false">IF($H1922="","",购销流水!$E485)</f>
        <v/>
      </c>
      <c r="L1922" s="66" t="str">
        <f aca="false">IF(购销流水!$D485="","",IFERROR(INDEX(记账规则!$A$6:$N$9,MATCH(购销流水!$D485,记账规则!$A$6:$A$9,0),3),""))</f>
        <v/>
      </c>
      <c r="M1922" s="66" t="str">
        <f aca="false">IF($L1922="","",IFERROR(INDEX(记账规则!$A$6:$N$9,MATCH(购销流水!$D485,记账规则!$A$6:$A$9,0),4),""))</f>
        <v/>
      </c>
      <c r="N1922" s="66" t="str">
        <f aca="false">IF($L1922="","",IFERROR(INDEX(记账规则!$A$6:$N$9,MATCH(购销流水!$D485,记账规则!$A$6:$A$9,0),5),""))</f>
        <v/>
      </c>
      <c r="O1922" s="67" t="n">
        <f aca="false">IF($H1922="",0,ROUND(IF($N1922="成本金额",N(购销流水!$W485),IF($N1922="金额",N(购销流水!$Q485),0)),2))</f>
        <v>0</v>
      </c>
      <c r="P1922" s="64" t="str">
        <f aca="false">IF(AND($H1922&lt;&gt;"",ROUND($O1922,2)&lt;&gt;0),"有","")</f>
        <v/>
      </c>
    </row>
    <row r="1923" customFormat="false" ht="15" hidden="true" customHeight="false" outlineLevel="0" collapsed="false">
      <c r="A1923" s="53" t="str">
        <f aca="false">IF($H1923="","",ROW()-5)</f>
        <v/>
      </c>
      <c r="B1923" s="64" t="s">
        <v>36</v>
      </c>
      <c r="C1923" s="53" t="n">
        <v>485</v>
      </c>
      <c r="D1923" s="53" t="n">
        <v>2</v>
      </c>
      <c r="E1923" s="65" t="str">
        <f aca="false">IF($H1923="","",购销流水!$B485)</f>
        <v/>
      </c>
      <c r="F1923" s="55" t="str">
        <f aca="false">IF($H1923="","",购销流水!$C485)</f>
        <v/>
      </c>
      <c r="G1923" s="48" t="str">
        <f aca="false">IF($H1923="","",购销流水!$N485)</f>
        <v/>
      </c>
      <c r="H1923" s="10" t="str">
        <f aca="false">IF($L1923="","",IF($L1923="@成本",购销流水!$U485,IF($L1923="@收入",购销流水!$T485,IF($L1923="@存货",购销流水!$S485,IF($L1923="@结算",购销流水!$R485,$L1923)))))</f>
        <v/>
      </c>
      <c r="I1923" s="42" t="n">
        <f aca="false">IF($M1923="借",$O1923,0)</f>
        <v>0</v>
      </c>
      <c r="J1923" s="42" t="n">
        <f aca="false">IF($M1923="贷",$O1923,0)</f>
        <v>0</v>
      </c>
      <c r="K1923" s="48" t="str">
        <f aca="false">IF($H1923="","",购销流水!$E485)</f>
        <v/>
      </c>
      <c r="L1923" s="66" t="str">
        <f aca="false">IF(购销流水!$D485="","",IFERROR(INDEX(记账规则!$A$6:$N$9,MATCH(购销流水!$D485,记账规则!$A$6:$A$9,0),6),""))</f>
        <v/>
      </c>
      <c r="M1923" s="66" t="str">
        <f aca="false">IF($L1923="","",IFERROR(INDEX(记账规则!$A$6:$N$9,MATCH(购销流水!$D485,记账规则!$A$6:$A$9,0),7),""))</f>
        <v/>
      </c>
      <c r="N1923" s="66" t="str">
        <f aca="false">IF($L1923="","",IFERROR(INDEX(记账规则!$A$6:$N$9,MATCH(购销流水!$D485,记账规则!$A$6:$A$9,0),8),""))</f>
        <v/>
      </c>
      <c r="O1923" s="67" t="n">
        <f aca="false">IF($H1923="",0,ROUND(IF($N1923="成本金额",N(购销流水!$W485),IF($N1923="金额",N(购销流水!$Q485),0)),2))</f>
        <v>0</v>
      </c>
      <c r="P1923" s="64" t="str">
        <f aca="false">IF(AND($H1923&lt;&gt;"",ROUND($O1923,2)&lt;&gt;0),"有","")</f>
        <v/>
      </c>
    </row>
    <row r="1924" customFormat="false" ht="15" hidden="true" customHeight="false" outlineLevel="0" collapsed="false">
      <c r="A1924" s="53" t="str">
        <f aca="false">IF($H1924="","",ROW()-5)</f>
        <v/>
      </c>
      <c r="B1924" s="64" t="s">
        <v>36</v>
      </c>
      <c r="C1924" s="53" t="n">
        <v>485</v>
      </c>
      <c r="D1924" s="53" t="n">
        <v>3</v>
      </c>
      <c r="E1924" s="65" t="str">
        <f aca="false">IF($H1924="","",购销流水!$B485)</f>
        <v/>
      </c>
      <c r="F1924" s="55" t="str">
        <f aca="false">IF($H1924="","",购销流水!$C485)</f>
        <v/>
      </c>
      <c r="G1924" s="48" t="str">
        <f aca="false">IF($H1924="","",购销流水!$N485)</f>
        <v/>
      </c>
      <c r="H1924" s="10" t="str">
        <f aca="false">IF($L1924="","",IF($L1924="@成本",购销流水!$U485,IF($L1924="@收入",购销流水!$T485,IF($L1924="@存货",购销流水!$S485,IF($L1924="@结算",购销流水!$R485,$L1924)))))</f>
        <v/>
      </c>
      <c r="I1924" s="42" t="n">
        <f aca="false">IF($M1924="借",$O1924,0)</f>
        <v>0</v>
      </c>
      <c r="J1924" s="42" t="n">
        <f aca="false">IF($M1924="贷",$O1924,0)</f>
        <v>0</v>
      </c>
      <c r="K1924" s="48" t="str">
        <f aca="false">IF($H1924="","",购销流水!$E485)</f>
        <v/>
      </c>
      <c r="L1924" s="66" t="str">
        <f aca="false">IF(购销流水!$D485="","",IFERROR(INDEX(记账规则!$A$6:$N$9,MATCH(购销流水!$D485,记账规则!$A$6:$A$9,0),9),""))</f>
        <v/>
      </c>
      <c r="M1924" s="66" t="str">
        <f aca="false">IF($L1924="","",IFERROR(INDEX(记账规则!$A$6:$N$9,MATCH(购销流水!$D485,记账规则!$A$6:$A$9,0),10),""))</f>
        <v/>
      </c>
      <c r="N1924" s="66" t="str">
        <f aca="false">IF($L1924="","",IFERROR(INDEX(记账规则!$A$6:$N$9,MATCH(购销流水!$D485,记账规则!$A$6:$A$9,0),11),""))</f>
        <v/>
      </c>
      <c r="O1924" s="67" t="n">
        <f aca="false">IF($H1924="",0,ROUND(IF($N1924="成本金额",N(购销流水!$W485),IF($N1924="金额",N(购销流水!$Q485),0)),2))</f>
        <v>0</v>
      </c>
      <c r="P1924" s="64" t="str">
        <f aca="false">IF(AND($H1924&lt;&gt;"",ROUND($O1924,2)&lt;&gt;0),"有","")</f>
        <v/>
      </c>
    </row>
    <row r="1925" customFormat="false" ht="15" hidden="true" customHeight="false" outlineLevel="0" collapsed="false">
      <c r="A1925" s="53" t="str">
        <f aca="false">IF($H1925="","",ROW()-5)</f>
        <v/>
      </c>
      <c r="B1925" s="64" t="s">
        <v>36</v>
      </c>
      <c r="C1925" s="53" t="n">
        <v>485</v>
      </c>
      <c r="D1925" s="53" t="n">
        <v>4</v>
      </c>
      <c r="E1925" s="65" t="str">
        <f aca="false">IF($H1925="","",购销流水!$B485)</f>
        <v/>
      </c>
      <c r="F1925" s="55" t="str">
        <f aca="false">IF($H1925="","",购销流水!$C485)</f>
        <v/>
      </c>
      <c r="G1925" s="48" t="str">
        <f aca="false">IF($H1925="","",购销流水!$N485)</f>
        <v/>
      </c>
      <c r="H1925" s="10" t="str">
        <f aca="false">IF($L1925="","",IF($L1925="@成本",购销流水!$U485,IF($L1925="@收入",购销流水!$T485,IF($L1925="@存货",购销流水!$S485,IF($L1925="@结算",购销流水!$R485,$L1925)))))</f>
        <v/>
      </c>
      <c r="I1925" s="42" t="n">
        <f aca="false">IF($M1925="借",$O1925,0)</f>
        <v>0</v>
      </c>
      <c r="J1925" s="42" t="n">
        <f aca="false">IF($M1925="贷",$O1925,0)</f>
        <v>0</v>
      </c>
      <c r="K1925" s="48" t="str">
        <f aca="false">IF($H1925="","",购销流水!$E485)</f>
        <v/>
      </c>
      <c r="L1925" s="66" t="str">
        <f aca="false">IF(购销流水!$D485="","",IFERROR(INDEX(记账规则!$A$6:$N$9,MATCH(购销流水!$D485,记账规则!$A$6:$A$9,0),12),""))</f>
        <v/>
      </c>
      <c r="M1925" s="66" t="str">
        <f aca="false">IF($L1925="","",IFERROR(INDEX(记账规则!$A$6:$N$9,MATCH(购销流水!$D485,记账规则!$A$6:$A$9,0),13),""))</f>
        <v/>
      </c>
      <c r="N1925" s="66" t="str">
        <f aca="false">IF($L1925="","",IFERROR(INDEX(记账规则!$A$6:$N$9,MATCH(购销流水!$D485,记账规则!$A$6:$A$9,0),14),""))</f>
        <v/>
      </c>
      <c r="O1925" s="67" t="n">
        <f aca="false">IF($H1925="",0,ROUND(IF($N1925="成本金额",N(购销流水!$W485),IF($N1925="金额",N(购销流水!$Q485),0)),2))</f>
        <v>0</v>
      </c>
      <c r="P1925" s="64" t="str">
        <f aca="false">IF(AND($H1925&lt;&gt;"",ROUND($O1925,2)&lt;&gt;0),"有","")</f>
        <v/>
      </c>
    </row>
    <row r="1926" customFormat="false" ht="15" hidden="true" customHeight="false" outlineLevel="0" collapsed="false">
      <c r="A1926" s="53" t="str">
        <f aca="false">IF($H1926="","",ROW()-5)</f>
        <v/>
      </c>
      <c r="B1926" s="64" t="s">
        <v>36</v>
      </c>
      <c r="C1926" s="53" t="n">
        <v>486</v>
      </c>
      <c r="D1926" s="53" t="n">
        <v>1</v>
      </c>
      <c r="E1926" s="65" t="str">
        <f aca="false">IF($H1926="","",购销流水!$B486)</f>
        <v/>
      </c>
      <c r="F1926" s="55" t="str">
        <f aca="false">IF($H1926="","",购销流水!$C486)</f>
        <v/>
      </c>
      <c r="G1926" s="48" t="str">
        <f aca="false">IF($H1926="","",购销流水!$N486)</f>
        <v/>
      </c>
      <c r="H1926" s="10" t="str">
        <f aca="false">IF($L1926="","",IF($L1926="@成本",购销流水!$U486,IF($L1926="@收入",购销流水!$T486,IF($L1926="@存货",购销流水!$S486,IF($L1926="@结算",购销流水!$R486,$L1926)))))</f>
        <v/>
      </c>
      <c r="I1926" s="42" t="n">
        <f aca="false">IF($M1926="借",$O1926,0)</f>
        <v>0</v>
      </c>
      <c r="J1926" s="42" t="n">
        <f aca="false">IF($M1926="贷",$O1926,0)</f>
        <v>0</v>
      </c>
      <c r="K1926" s="48" t="str">
        <f aca="false">IF($H1926="","",购销流水!$E486)</f>
        <v/>
      </c>
      <c r="L1926" s="66" t="str">
        <f aca="false">IF(购销流水!$D486="","",IFERROR(INDEX(记账规则!$A$6:$N$9,MATCH(购销流水!$D486,记账规则!$A$6:$A$9,0),3),""))</f>
        <v/>
      </c>
      <c r="M1926" s="66" t="str">
        <f aca="false">IF($L1926="","",IFERROR(INDEX(记账规则!$A$6:$N$9,MATCH(购销流水!$D486,记账规则!$A$6:$A$9,0),4),""))</f>
        <v/>
      </c>
      <c r="N1926" s="66" t="str">
        <f aca="false">IF($L1926="","",IFERROR(INDEX(记账规则!$A$6:$N$9,MATCH(购销流水!$D486,记账规则!$A$6:$A$9,0),5),""))</f>
        <v/>
      </c>
      <c r="O1926" s="67" t="n">
        <f aca="false">IF($H1926="",0,ROUND(IF($N1926="成本金额",N(购销流水!$W486),IF($N1926="金额",N(购销流水!$Q486),0)),2))</f>
        <v>0</v>
      </c>
      <c r="P1926" s="64" t="str">
        <f aca="false">IF(AND($H1926&lt;&gt;"",ROUND($O1926,2)&lt;&gt;0),"有","")</f>
        <v/>
      </c>
    </row>
    <row r="1927" customFormat="false" ht="15" hidden="true" customHeight="false" outlineLevel="0" collapsed="false">
      <c r="A1927" s="53" t="str">
        <f aca="false">IF($H1927="","",ROW()-5)</f>
        <v/>
      </c>
      <c r="B1927" s="64" t="s">
        <v>36</v>
      </c>
      <c r="C1927" s="53" t="n">
        <v>486</v>
      </c>
      <c r="D1927" s="53" t="n">
        <v>2</v>
      </c>
      <c r="E1927" s="65" t="str">
        <f aca="false">IF($H1927="","",购销流水!$B486)</f>
        <v/>
      </c>
      <c r="F1927" s="55" t="str">
        <f aca="false">IF($H1927="","",购销流水!$C486)</f>
        <v/>
      </c>
      <c r="G1927" s="48" t="str">
        <f aca="false">IF($H1927="","",购销流水!$N486)</f>
        <v/>
      </c>
      <c r="H1927" s="10" t="str">
        <f aca="false">IF($L1927="","",IF($L1927="@成本",购销流水!$U486,IF($L1927="@收入",购销流水!$T486,IF($L1927="@存货",购销流水!$S486,IF($L1927="@结算",购销流水!$R486,$L1927)))))</f>
        <v/>
      </c>
      <c r="I1927" s="42" t="n">
        <f aca="false">IF($M1927="借",$O1927,0)</f>
        <v>0</v>
      </c>
      <c r="J1927" s="42" t="n">
        <f aca="false">IF($M1927="贷",$O1927,0)</f>
        <v>0</v>
      </c>
      <c r="K1927" s="48" t="str">
        <f aca="false">IF($H1927="","",购销流水!$E486)</f>
        <v/>
      </c>
      <c r="L1927" s="66" t="str">
        <f aca="false">IF(购销流水!$D486="","",IFERROR(INDEX(记账规则!$A$6:$N$9,MATCH(购销流水!$D486,记账规则!$A$6:$A$9,0),6),""))</f>
        <v/>
      </c>
      <c r="M1927" s="66" t="str">
        <f aca="false">IF($L1927="","",IFERROR(INDEX(记账规则!$A$6:$N$9,MATCH(购销流水!$D486,记账规则!$A$6:$A$9,0),7),""))</f>
        <v/>
      </c>
      <c r="N1927" s="66" t="str">
        <f aca="false">IF($L1927="","",IFERROR(INDEX(记账规则!$A$6:$N$9,MATCH(购销流水!$D486,记账规则!$A$6:$A$9,0),8),""))</f>
        <v/>
      </c>
      <c r="O1927" s="67" t="n">
        <f aca="false">IF($H1927="",0,ROUND(IF($N1927="成本金额",N(购销流水!$W486),IF($N1927="金额",N(购销流水!$Q486),0)),2))</f>
        <v>0</v>
      </c>
      <c r="P1927" s="64" t="str">
        <f aca="false">IF(AND($H1927&lt;&gt;"",ROUND($O1927,2)&lt;&gt;0),"有","")</f>
        <v/>
      </c>
    </row>
    <row r="1928" customFormat="false" ht="15" hidden="true" customHeight="false" outlineLevel="0" collapsed="false">
      <c r="A1928" s="53" t="str">
        <f aca="false">IF($H1928="","",ROW()-5)</f>
        <v/>
      </c>
      <c r="B1928" s="64" t="s">
        <v>36</v>
      </c>
      <c r="C1928" s="53" t="n">
        <v>486</v>
      </c>
      <c r="D1928" s="53" t="n">
        <v>3</v>
      </c>
      <c r="E1928" s="65" t="str">
        <f aca="false">IF($H1928="","",购销流水!$B486)</f>
        <v/>
      </c>
      <c r="F1928" s="55" t="str">
        <f aca="false">IF($H1928="","",购销流水!$C486)</f>
        <v/>
      </c>
      <c r="G1928" s="48" t="str">
        <f aca="false">IF($H1928="","",购销流水!$N486)</f>
        <v/>
      </c>
      <c r="H1928" s="10" t="str">
        <f aca="false">IF($L1928="","",IF($L1928="@成本",购销流水!$U486,IF($L1928="@收入",购销流水!$T486,IF($L1928="@存货",购销流水!$S486,IF($L1928="@结算",购销流水!$R486,$L1928)))))</f>
        <v/>
      </c>
      <c r="I1928" s="42" t="n">
        <f aca="false">IF($M1928="借",$O1928,0)</f>
        <v>0</v>
      </c>
      <c r="J1928" s="42" t="n">
        <f aca="false">IF($M1928="贷",$O1928,0)</f>
        <v>0</v>
      </c>
      <c r="K1928" s="48" t="str">
        <f aca="false">IF($H1928="","",购销流水!$E486)</f>
        <v/>
      </c>
      <c r="L1928" s="66" t="str">
        <f aca="false">IF(购销流水!$D486="","",IFERROR(INDEX(记账规则!$A$6:$N$9,MATCH(购销流水!$D486,记账规则!$A$6:$A$9,0),9),""))</f>
        <v/>
      </c>
      <c r="M1928" s="66" t="str">
        <f aca="false">IF($L1928="","",IFERROR(INDEX(记账规则!$A$6:$N$9,MATCH(购销流水!$D486,记账规则!$A$6:$A$9,0),10),""))</f>
        <v/>
      </c>
      <c r="N1928" s="66" t="str">
        <f aca="false">IF($L1928="","",IFERROR(INDEX(记账规则!$A$6:$N$9,MATCH(购销流水!$D486,记账规则!$A$6:$A$9,0),11),""))</f>
        <v/>
      </c>
      <c r="O1928" s="67" t="n">
        <f aca="false">IF($H1928="",0,ROUND(IF($N1928="成本金额",N(购销流水!$W486),IF($N1928="金额",N(购销流水!$Q486),0)),2))</f>
        <v>0</v>
      </c>
      <c r="P1928" s="64" t="str">
        <f aca="false">IF(AND($H1928&lt;&gt;"",ROUND($O1928,2)&lt;&gt;0),"有","")</f>
        <v/>
      </c>
    </row>
    <row r="1929" customFormat="false" ht="15" hidden="true" customHeight="false" outlineLevel="0" collapsed="false">
      <c r="A1929" s="53" t="str">
        <f aca="false">IF($H1929="","",ROW()-5)</f>
        <v/>
      </c>
      <c r="B1929" s="64" t="s">
        <v>36</v>
      </c>
      <c r="C1929" s="53" t="n">
        <v>486</v>
      </c>
      <c r="D1929" s="53" t="n">
        <v>4</v>
      </c>
      <c r="E1929" s="65" t="str">
        <f aca="false">IF($H1929="","",购销流水!$B486)</f>
        <v/>
      </c>
      <c r="F1929" s="55" t="str">
        <f aca="false">IF($H1929="","",购销流水!$C486)</f>
        <v/>
      </c>
      <c r="G1929" s="48" t="str">
        <f aca="false">IF($H1929="","",购销流水!$N486)</f>
        <v/>
      </c>
      <c r="H1929" s="10" t="str">
        <f aca="false">IF($L1929="","",IF($L1929="@成本",购销流水!$U486,IF($L1929="@收入",购销流水!$T486,IF($L1929="@存货",购销流水!$S486,IF($L1929="@结算",购销流水!$R486,$L1929)))))</f>
        <v/>
      </c>
      <c r="I1929" s="42" t="n">
        <f aca="false">IF($M1929="借",$O1929,0)</f>
        <v>0</v>
      </c>
      <c r="J1929" s="42" t="n">
        <f aca="false">IF($M1929="贷",$O1929,0)</f>
        <v>0</v>
      </c>
      <c r="K1929" s="48" t="str">
        <f aca="false">IF($H1929="","",购销流水!$E486)</f>
        <v/>
      </c>
      <c r="L1929" s="66" t="str">
        <f aca="false">IF(购销流水!$D486="","",IFERROR(INDEX(记账规则!$A$6:$N$9,MATCH(购销流水!$D486,记账规则!$A$6:$A$9,0),12),""))</f>
        <v/>
      </c>
      <c r="M1929" s="66" t="str">
        <f aca="false">IF($L1929="","",IFERROR(INDEX(记账规则!$A$6:$N$9,MATCH(购销流水!$D486,记账规则!$A$6:$A$9,0),13),""))</f>
        <v/>
      </c>
      <c r="N1929" s="66" t="str">
        <f aca="false">IF($L1929="","",IFERROR(INDEX(记账规则!$A$6:$N$9,MATCH(购销流水!$D486,记账规则!$A$6:$A$9,0),14),""))</f>
        <v/>
      </c>
      <c r="O1929" s="67" t="n">
        <f aca="false">IF($H1929="",0,ROUND(IF($N1929="成本金额",N(购销流水!$W486),IF($N1929="金额",N(购销流水!$Q486),0)),2))</f>
        <v>0</v>
      </c>
      <c r="P1929" s="64" t="str">
        <f aca="false">IF(AND($H1929&lt;&gt;"",ROUND($O1929,2)&lt;&gt;0),"有","")</f>
        <v/>
      </c>
    </row>
    <row r="1930" customFormat="false" ht="15" hidden="true" customHeight="false" outlineLevel="0" collapsed="false">
      <c r="A1930" s="53" t="str">
        <f aca="false">IF($H1930="","",ROW()-5)</f>
        <v/>
      </c>
      <c r="B1930" s="64" t="s">
        <v>36</v>
      </c>
      <c r="C1930" s="53" t="n">
        <v>487</v>
      </c>
      <c r="D1930" s="53" t="n">
        <v>1</v>
      </c>
      <c r="E1930" s="65" t="str">
        <f aca="false">IF($H1930="","",购销流水!$B487)</f>
        <v/>
      </c>
      <c r="F1930" s="55" t="str">
        <f aca="false">IF($H1930="","",购销流水!$C487)</f>
        <v/>
      </c>
      <c r="G1930" s="48" t="str">
        <f aca="false">IF($H1930="","",购销流水!$N487)</f>
        <v/>
      </c>
      <c r="H1930" s="10" t="str">
        <f aca="false">IF($L1930="","",IF($L1930="@成本",购销流水!$U487,IF($L1930="@收入",购销流水!$T487,IF($L1930="@存货",购销流水!$S487,IF($L1930="@结算",购销流水!$R487,$L1930)))))</f>
        <v/>
      </c>
      <c r="I1930" s="42" t="n">
        <f aca="false">IF($M1930="借",$O1930,0)</f>
        <v>0</v>
      </c>
      <c r="J1930" s="42" t="n">
        <f aca="false">IF($M1930="贷",$O1930,0)</f>
        <v>0</v>
      </c>
      <c r="K1930" s="48" t="str">
        <f aca="false">IF($H1930="","",购销流水!$E487)</f>
        <v/>
      </c>
      <c r="L1930" s="66" t="str">
        <f aca="false">IF(购销流水!$D487="","",IFERROR(INDEX(记账规则!$A$6:$N$9,MATCH(购销流水!$D487,记账规则!$A$6:$A$9,0),3),""))</f>
        <v/>
      </c>
      <c r="M1930" s="66" t="str">
        <f aca="false">IF($L1930="","",IFERROR(INDEX(记账规则!$A$6:$N$9,MATCH(购销流水!$D487,记账规则!$A$6:$A$9,0),4),""))</f>
        <v/>
      </c>
      <c r="N1930" s="66" t="str">
        <f aca="false">IF($L1930="","",IFERROR(INDEX(记账规则!$A$6:$N$9,MATCH(购销流水!$D487,记账规则!$A$6:$A$9,0),5),""))</f>
        <v/>
      </c>
      <c r="O1930" s="67" t="n">
        <f aca="false">IF($H1930="",0,ROUND(IF($N1930="成本金额",N(购销流水!$W487),IF($N1930="金额",N(购销流水!$Q487),0)),2))</f>
        <v>0</v>
      </c>
      <c r="P1930" s="64" t="str">
        <f aca="false">IF(AND($H1930&lt;&gt;"",ROUND($O1930,2)&lt;&gt;0),"有","")</f>
        <v/>
      </c>
    </row>
    <row r="1931" customFormat="false" ht="15" hidden="true" customHeight="false" outlineLevel="0" collapsed="false">
      <c r="A1931" s="53" t="str">
        <f aca="false">IF($H1931="","",ROW()-5)</f>
        <v/>
      </c>
      <c r="B1931" s="64" t="s">
        <v>36</v>
      </c>
      <c r="C1931" s="53" t="n">
        <v>487</v>
      </c>
      <c r="D1931" s="53" t="n">
        <v>2</v>
      </c>
      <c r="E1931" s="65" t="str">
        <f aca="false">IF($H1931="","",购销流水!$B487)</f>
        <v/>
      </c>
      <c r="F1931" s="55" t="str">
        <f aca="false">IF($H1931="","",购销流水!$C487)</f>
        <v/>
      </c>
      <c r="G1931" s="48" t="str">
        <f aca="false">IF($H1931="","",购销流水!$N487)</f>
        <v/>
      </c>
      <c r="H1931" s="10" t="str">
        <f aca="false">IF($L1931="","",IF($L1931="@成本",购销流水!$U487,IF($L1931="@收入",购销流水!$T487,IF($L1931="@存货",购销流水!$S487,IF($L1931="@结算",购销流水!$R487,$L1931)))))</f>
        <v/>
      </c>
      <c r="I1931" s="42" t="n">
        <f aca="false">IF($M1931="借",$O1931,0)</f>
        <v>0</v>
      </c>
      <c r="J1931" s="42" t="n">
        <f aca="false">IF($M1931="贷",$O1931,0)</f>
        <v>0</v>
      </c>
      <c r="K1931" s="48" t="str">
        <f aca="false">IF($H1931="","",购销流水!$E487)</f>
        <v/>
      </c>
      <c r="L1931" s="66" t="str">
        <f aca="false">IF(购销流水!$D487="","",IFERROR(INDEX(记账规则!$A$6:$N$9,MATCH(购销流水!$D487,记账规则!$A$6:$A$9,0),6),""))</f>
        <v/>
      </c>
      <c r="M1931" s="66" t="str">
        <f aca="false">IF($L1931="","",IFERROR(INDEX(记账规则!$A$6:$N$9,MATCH(购销流水!$D487,记账规则!$A$6:$A$9,0),7),""))</f>
        <v/>
      </c>
      <c r="N1931" s="66" t="str">
        <f aca="false">IF($L1931="","",IFERROR(INDEX(记账规则!$A$6:$N$9,MATCH(购销流水!$D487,记账规则!$A$6:$A$9,0),8),""))</f>
        <v/>
      </c>
      <c r="O1931" s="67" t="n">
        <f aca="false">IF($H1931="",0,ROUND(IF($N1931="成本金额",N(购销流水!$W487),IF($N1931="金额",N(购销流水!$Q487),0)),2))</f>
        <v>0</v>
      </c>
      <c r="P1931" s="64" t="str">
        <f aca="false">IF(AND($H1931&lt;&gt;"",ROUND($O1931,2)&lt;&gt;0),"有","")</f>
        <v/>
      </c>
    </row>
    <row r="1932" customFormat="false" ht="15" hidden="true" customHeight="false" outlineLevel="0" collapsed="false">
      <c r="A1932" s="53" t="str">
        <f aca="false">IF($H1932="","",ROW()-5)</f>
        <v/>
      </c>
      <c r="B1932" s="64" t="s">
        <v>36</v>
      </c>
      <c r="C1932" s="53" t="n">
        <v>487</v>
      </c>
      <c r="D1932" s="53" t="n">
        <v>3</v>
      </c>
      <c r="E1932" s="65" t="str">
        <f aca="false">IF($H1932="","",购销流水!$B487)</f>
        <v/>
      </c>
      <c r="F1932" s="55" t="str">
        <f aca="false">IF($H1932="","",购销流水!$C487)</f>
        <v/>
      </c>
      <c r="G1932" s="48" t="str">
        <f aca="false">IF($H1932="","",购销流水!$N487)</f>
        <v/>
      </c>
      <c r="H1932" s="10" t="str">
        <f aca="false">IF($L1932="","",IF($L1932="@成本",购销流水!$U487,IF($L1932="@收入",购销流水!$T487,IF($L1932="@存货",购销流水!$S487,IF($L1932="@结算",购销流水!$R487,$L1932)))))</f>
        <v/>
      </c>
      <c r="I1932" s="42" t="n">
        <f aca="false">IF($M1932="借",$O1932,0)</f>
        <v>0</v>
      </c>
      <c r="J1932" s="42" t="n">
        <f aca="false">IF($M1932="贷",$O1932,0)</f>
        <v>0</v>
      </c>
      <c r="K1932" s="48" t="str">
        <f aca="false">IF($H1932="","",购销流水!$E487)</f>
        <v/>
      </c>
      <c r="L1932" s="66" t="str">
        <f aca="false">IF(购销流水!$D487="","",IFERROR(INDEX(记账规则!$A$6:$N$9,MATCH(购销流水!$D487,记账规则!$A$6:$A$9,0),9),""))</f>
        <v/>
      </c>
      <c r="M1932" s="66" t="str">
        <f aca="false">IF($L1932="","",IFERROR(INDEX(记账规则!$A$6:$N$9,MATCH(购销流水!$D487,记账规则!$A$6:$A$9,0),10),""))</f>
        <v/>
      </c>
      <c r="N1932" s="66" t="str">
        <f aca="false">IF($L1932="","",IFERROR(INDEX(记账规则!$A$6:$N$9,MATCH(购销流水!$D487,记账规则!$A$6:$A$9,0),11),""))</f>
        <v/>
      </c>
      <c r="O1932" s="67" t="n">
        <f aca="false">IF($H1932="",0,ROUND(IF($N1932="成本金额",N(购销流水!$W487),IF($N1932="金额",N(购销流水!$Q487),0)),2))</f>
        <v>0</v>
      </c>
      <c r="P1932" s="64" t="str">
        <f aca="false">IF(AND($H1932&lt;&gt;"",ROUND($O1932,2)&lt;&gt;0),"有","")</f>
        <v/>
      </c>
    </row>
    <row r="1933" customFormat="false" ht="15" hidden="true" customHeight="false" outlineLevel="0" collapsed="false">
      <c r="A1933" s="53" t="str">
        <f aca="false">IF($H1933="","",ROW()-5)</f>
        <v/>
      </c>
      <c r="B1933" s="64" t="s">
        <v>36</v>
      </c>
      <c r="C1933" s="53" t="n">
        <v>487</v>
      </c>
      <c r="D1933" s="53" t="n">
        <v>4</v>
      </c>
      <c r="E1933" s="65" t="str">
        <f aca="false">IF($H1933="","",购销流水!$B487)</f>
        <v/>
      </c>
      <c r="F1933" s="55" t="str">
        <f aca="false">IF($H1933="","",购销流水!$C487)</f>
        <v/>
      </c>
      <c r="G1933" s="48" t="str">
        <f aca="false">IF($H1933="","",购销流水!$N487)</f>
        <v/>
      </c>
      <c r="H1933" s="10" t="str">
        <f aca="false">IF($L1933="","",IF($L1933="@成本",购销流水!$U487,IF($L1933="@收入",购销流水!$T487,IF($L1933="@存货",购销流水!$S487,IF($L1933="@结算",购销流水!$R487,$L1933)))))</f>
        <v/>
      </c>
      <c r="I1933" s="42" t="n">
        <f aca="false">IF($M1933="借",$O1933,0)</f>
        <v>0</v>
      </c>
      <c r="J1933" s="42" t="n">
        <f aca="false">IF($M1933="贷",$O1933,0)</f>
        <v>0</v>
      </c>
      <c r="K1933" s="48" t="str">
        <f aca="false">IF($H1933="","",购销流水!$E487)</f>
        <v/>
      </c>
      <c r="L1933" s="66" t="str">
        <f aca="false">IF(购销流水!$D487="","",IFERROR(INDEX(记账规则!$A$6:$N$9,MATCH(购销流水!$D487,记账规则!$A$6:$A$9,0),12),""))</f>
        <v/>
      </c>
      <c r="M1933" s="66" t="str">
        <f aca="false">IF($L1933="","",IFERROR(INDEX(记账规则!$A$6:$N$9,MATCH(购销流水!$D487,记账规则!$A$6:$A$9,0),13),""))</f>
        <v/>
      </c>
      <c r="N1933" s="66" t="str">
        <f aca="false">IF($L1933="","",IFERROR(INDEX(记账规则!$A$6:$N$9,MATCH(购销流水!$D487,记账规则!$A$6:$A$9,0),14),""))</f>
        <v/>
      </c>
      <c r="O1933" s="67" t="n">
        <f aca="false">IF($H1933="",0,ROUND(IF($N1933="成本金额",N(购销流水!$W487),IF($N1933="金额",N(购销流水!$Q487),0)),2))</f>
        <v>0</v>
      </c>
      <c r="P1933" s="64" t="str">
        <f aca="false">IF(AND($H1933&lt;&gt;"",ROUND($O1933,2)&lt;&gt;0),"有","")</f>
        <v/>
      </c>
    </row>
    <row r="1934" customFormat="false" ht="15" hidden="true" customHeight="false" outlineLevel="0" collapsed="false">
      <c r="A1934" s="53" t="str">
        <f aca="false">IF($H1934="","",ROW()-5)</f>
        <v/>
      </c>
      <c r="B1934" s="64" t="s">
        <v>36</v>
      </c>
      <c r="C1934" s="53" t="n">
        <v>488</v>
      </c>
      <c r="D1934" s="53" t="n">
        <v>1</v>
      </c>
      <c r="E1934" s="65" t="str">
        <f aca="false">IF($H1934="","",购销流水!$B488)</f>
        <v/>
      </c>
      <c r="F1934" s="55" t="str">
        <f aca="false">IF($H1934="","",购销流水!$C488)</f>
        <v/>
      </c>
      <c r="G1934" s="48" t="str">
        <f aca="false">IF($H1934="","",购销流水!$N488)</f>
        <v/>
      </c>
      <c r="H1934" s="10" t="str">
        <f aca="false">IF($L1934="","",IF($L1934="@成本",购销流水!$U488,IF($L1934="@收入",购销流水!$T488,IF($L1934="@存货",购销流水!$S488,IF($L1934="@结算",购销流水!$R488,$L1934)))))</f>
        <v/>
      </c>
      <c r="I1934" s="42" t="n">
        <f aca="false">IF($M1934="借",$O1934,0)</f>
        <v>0</v>
      </c>
      <c r="J1934" s="42" t="n">
        <f aca="false">IF($M1934="贷",$O1934,0)</f>
        <v>0</v>
      </c>
      <c r="K1934" s="48" t="str">
        <f aca="false">IF($H1934="","",购销流水!$E488)</f>
        <v/>
      </c>
      <c r="L1934" s="66" t="str">
        <f aca="false">IF(购销流水!$D488="","",IFERROR(INDEX(记账规则!$A$6:$N$9,MATCH(购销流水!$D488,记账规则!$A$6:$A$9,0),3),""))</f>
        <v/>
      </c>
      <c r="M1934" s="66" t="str">
        <f aca="false">IF($L1934="","",IFERROR(INDEX(记账规则!$A$6:$N$9,MATCH(购销流水!$D488,记账规则!$A$6:$A$9,0),4),""))</f>
        <v/>
      </c>
      <c r="N1934" s="66" t="str">
        <f aca="false">IF($L1934="","",IFERROR(INDEX(记账规则!$A$6:$N$9,MATCH(购销流水!$D488,记账规则!$A$6:$A$9,0),5),""))</f>
        <v/>
      </c>
      <c r="O1934" s="67" t="n">
        <f aca="false">IF($H1934="",0,ROUND(IF($N1934="成本金额",N(购销流水!$W488),IF($N1934="金额",N(购销流水!$Q488),0)),2))</f>
        <v>0</v>
      </c>
      <c r="P1934" s="64" t="str">
        <f aca="false">IF(AND($H1934&lt;&gt;"",ROUND($O1934,2)&lt;&gt;0),"有","")</f>
        <v/>
      </c>
    </row>
    <row r="1935" customFormat="false" ht="15" hidden="true" customHeight="false" outlineLevel="0" collapsed="false">
      <c r="A1935" s="53" t="str">
        <f aca="false">IF($H1935="","",ROW()-5)</f>
        <v/>
      </c>
      <c r="B1935" s="64" t="s">
        <v>36</v>
      </c>
      <c r="C1935" s="53" t="n">
        <v>488</v>
      </c>
      <c r="D1935" s="53" t="n">
        <v>2</v>
      </c>
      <c r="E1935" s="65" t="str">
        <f aca="false">IF($H1935="","",购销流水!$B488)</f>
        <v/>
      </c>
      <c r="F1935" s="55" t="str">
        <f aca="false">IF($H1935="","",购销流水!$C488)</f>
        <v/>
      </c>
      <c r="G1935" s="48" t="str">
        <f aca="false">IF($H1935="","",购销流水!$N488)</f>
        <v/>
      </c>
      <c r="H1935" s="10" t="str">
        <f aca="false">IF($L1935="","",IF($L1935="@成本",购销流水!$U488,IF($L1935="@收入",购销流水!$T488,IF($L1935="@存货",购销流水!$S488,IF($L1935="@结算",购销流水!$R488,$L1935)))))</f>
        <v/>
      </c>
      <c r="I1935" s="42" t="n">
        <f aca="false">IF($M1935="借",$O1935,0)</f>
        <v>0</v>
      </c>
      <c r="J1935" s="42" t="n">
        <f aca="false">IF($M1935="贷",$O1935,0)</f>
        <v>0</v>
      </c>
      <c r="K1935" s="48" t="str">
        <f aca="false">IF($H1935="","",购销流水!$E488)</f>
        <v/>
      </c>
      <c r="L1935" s="66" t="str">
        <f aca="false">IF(购销流水!$D488="","",IFERROR(INDEX(记账规则!$A$6:$N$9,MATCH(购销流水!$D488,记账规则!$A$6:$A$9,0),6),""))</f>
        <v/>
      </c>
      <c r="M1935" s="66" t="str">
        <f aca="false">IF($L1935="","",IFERROR(INDEX(记账规则!$A$6:$N$9,MATCH(购销流水!$D488,记账规则!$A$6:$A$9,0),7),""))</f>
        <v/>
      </c>
      <c r="N1935" s="66" t="str">
        <f aca="false">IF($L1935="","",IFERROR(INDEX(记账规则!$A$6:$N$9,MATCH(购销流水!$D488,记账规则!$A$6:$A$9,0),8),""))</f>
        <v/>
      </c>
      <c r="O1935" s="67" t="n">
        <f aca="false">IF($H1935="",0,ROUND(IF($N1935="成本金额",N(购销流水!$W488),IF($N1935="金额",N(购销流水!$Q488),0)),2))</f>
        <v>0</v>
      </c>
      <c r="P1935" s="64" t="str">
        <f aca="false">IF(AND($H1935&lt;&gt;"",ROUND($O1935,2)&lt;&gt;0),"有","")</f>
        <v/>
      </c>
    </row>
    <row r="1936" customFormat="false" ht="15" hidden="true" customHeight="false" outlineLevel="0" collapsed="false">
      <c r="A1936" s="53" t="str">
        <f aca="false">IF($H1936="","",ROW()-5)</f>
        <v/>
      </c>
      <c r="B1936" s="64" t="s">
        <v>36</v>
      </c>
      <c r="C1936" s="53" t="n">
        <v>488</v>
      </c>
      <c r="D1936" s="53" t="n">
        <v>3</v>
      </c>
      <c r="E1936" s="65" t="str">
        <f aca="false">IF($H1936="","",购销流水!$B488)</f>
        <v/>
      </c>
      <c r="F1936" s="55" t="str">
        <f aca="false">IF($H1936="","",购销流水!$C488)</f>
        <v/>
      </c>
      <c r="G1936" s="48" t="str">
        <f aca="false">IF($H1936="","",购销流水!$N488)</f>
        <v/>
      </c>
      <c r="H1936" s="10" t="str">
        <f aca="false">IF($L1936="","",IF($L1936="@成本",购销流水!$U488,IF($L1936="@收入",购销流水!$T488,IF($L1936="@存货",购销流水!$S488,IF($L1936="@结算",购销流水!$R488,$L1936)))))</f>
        <v/>
      </c>
      <c r="I1936" s="42" t="n">
        <f aca="false">IF($M1936="借",$O1936,0)</f>
        <v>0</v>
      </c>
      <c r="J1936" s="42" t="n">
        <f aca="false">IF($M1936="贷",$O1936,0)</f>
        <v>0</v>
      </c>
      <c r="K1936" s="48" t="str">
        <f aca="false">IF($H1936="","",购销流水!$E488)</f>
        <v/>
      </c>
      <c r="L1936" s="66" t="str">
        <f aca="false">IF(购销流水!$D488="","",IFERROR(INDEX(记账规则!$A$6:$N$9,MATCH(购销流水!$D488,记账规则!$A$6:$A$9,0),9),""))</f>
        <v/>
      </c>
      <c r="M1936" s="66" t="str">
        <f aca="false">IF($L1936="","",IFERROR(INDEX(记账规则!$A$6:$N$9,MATCH(购销流水!$D488,记账规则!$A$6:$A$9,0),10),""))</f>
        <v/>
      </c>
      <c r="N1936" s="66" t="str">
        <f aca="false">IF($L1936="","",IFERROR(INDEX(记账规则!$A$6:$N$9,MATCH(购销流水!$D488,记账规则!$A$6:$A$9,0),11),""))</f>
        <v/>
      </c>
      <c r="O1936" s="67" t="n">
        <f aca="false">IF($H1936="",0,ROUND(IF($N1936="成本金额",N(购销流水!$W488),IF($N1936="金额",N(购销流水!$Q488),0)),2))</f>
        <v>0</v>
      </c>
      <c r="P1936" s="64" t="str">
        <f aca="false">IF(AND($H1936&lt;&gt;"",ROUND($O1936,2)&lt;&gt;0),"有","")</f>
        <v/>
      </c>
    </row>
    <row r="1937" customFormat="false" ht="15" hidden="true" customHeight="false" outlineLevel="0" collapsed="false">
      <c r="A1937" s="53" t="str">
        <f aca="false">IF($H1937="","",ROW()-5)</f>
        <v/>
      </c>
      <c r="B1937" s="64" t="s">
        <v>36</v>
      </c>
      <c r="C1937" s="53" t="n">
        <v>488</v>
      </c>
      <c r="D1937" s="53" t="n">
        <v>4</v>
      </c>
      <c r="E1937" s="65" t="str">
        <f aca="false">IF($H1937="","",购销流水!$B488)</f>
        <v/>
      </c>
      <c r="F1937" s="55" t="str">
        <f aca="false">IF($H1937="","",购销流水!$C488)</f>
        <v/>
      </c>
      <c r="G1937" s="48" t="str">
        <f aca="false">IF($H1937="","",购销流水!$N488)</f>
        <v/>
      </c>
      <c r="H1937" s="10" t="str">
        <f aca="false">IF($L1937="","",IF($L1937="@成本",购销流水!$U488,IF($L1937="@收入",购销流水!$T488,IF($L1937="@存货",购销流水!$S488,IF($L1937="@结算",购销流水!$R488,$L1937)))))</f>
        <v/>
      </c>
      <c r="I1937" s="42" t="n">
        <f aca="false">IF($M1937="借",$O1937,0)</f>
        <v>0</v>
      </c>
      <c r="J1937" s="42" t="n">
        <f aca="false">IF($M1937="贷",$O1937,0)</f>
        <v>0</v>
      </c>
      <c r="K1937" s="48" t="str">
        <f aca="false">IF($H1937="","",购销流水!$E488)</f>
        <v/>
      </c>
      <c r="L1937" s="66" t="str">
        <f aca="false">IF(购销流水!$D488="","",IFERROR(INDEX(记账规则!$A$6:$N$9,MATCH(购销流水!$D488,记账规则!$A$6:$A$9,0),12),""))</f>
        <v/>
      </c>
      <c r="M1937" s="66" t="str">
        <f aca="false">IF($L1937="","",IFERROR(INDEX(记账规则!$A$6:$N$9,MATCH(购销流水!$D488,记账规则!$A$6:$A$9,0),13),""))</f>
        <v/>
      </c>
      <c r="N1937" s="66" t="str">
        <f aca="false">IF($L1937="","",IFERROR(INDEX(记账规则!$A$6:$N$9,MATCH(购销流水!$D488,记账规则!$A$6:$A$9,0),14),""))</f>
        <v/>
      </c>
      <c r="O1937" s="67" t="n">
        <f aca="false">IF($H1937="",0,ROUND(IF($N1937="成本金额",N(购销流水!$W488),IF($N1937="金额",N(购销流水!$Q488),0)),2))</f>
        <v>0</v>
      </c>
      <c r="P1937" s="64" t="str">
        <f aca="false">IF(AND($H1937&lt;&gt;"",ROUND($O1937,2)&lt;&gt;0),"有","")</f>
        <v/>
      </c>
    </row>
    <row r="1938" customFormat="false" ht="15" hidden="true" customHeight="false" outlineLevel="0" collapsed="false">
      <c r="A1938" s="53" t="str">
        <f aca="false">IF($H1938="","",ROW()-5)</f>
        <v/>
      </c>
      <c r="B1938" s="64" t="s">
        <v>36</v>
      </c>
      <c r="C1938" s="53" t="n">
        <v>489</v>
      </c>
      <c r="D1938" s="53" t="n">
        <v>1</v>
      </c>
      <c r="E1938" s="65" t="str">
        <f aca="false">IF($H1938="","",购销流水!$B489)</f>
        <v/>
      </c>
      <c r="F1938" s="55" t="str">
        <f aca="false">IF($H1938="","",购销流水!$C489)</f>
        <v/>
      </c>
      <c r="G1938" s="48" t="str">
        <f aca="false">IF($H1938="","",购销流水!$N489)</f>
        <v/>
      </c>
      <c r="H1938" s="10" t="str">
        <f aca="false">IF($L1938="","",IF($L1938="@成本",购销流水!$U489,IF($L1938="@收入",购销流水!$T489,IF($L1938="@存货",购销流水!$S489,IF($L1938="@结算",购销流水!$R489,$L1938)))))</f>
        <v/>
      </c>
      <c r="I1938" s="42" t="n">
        <f aca="false">IF($M1938="借",$O1938,0)</f>
        <v>0</v>
      </c>
      <c r="J1938" s="42" t="n">
        <f aca="false">IF($M1938="贷",$O1938,0)</f>
        <v>0</v>
      </c>
      <c r="K1938" s="48" t="str">
        <f aca="false">IF($H1938="","",购销流水!$E489)</f>
        <v/>
      </c>
      <c r="L1938" s="66" t="str">
        <f aca="false">IF(购销流水!$D489="","",IFERROR(INDEX(记账规则!$A$6:$N$9,MATCH(购销流水!$D489,记账规则!$A$6:$A$9,0),3),""))</f>
        <v/>
      </c>
      <c r="M1938" s="66" t="str">
        <f aca="false">IF($L1938="","",IFERROR(INDEX(记账规则!$A$6:$N$9,MATCH(购销流水!$D489,记账规则!$A$6:$A$9,0),4),""))</f>
        <v/>
      </c>
      <c r="N1938" s="66" t="str">
        <f aca="false">IF($L1938="","",IFERROR(INDEX(记账规则!$A$6:$N$9,MATCH(购销流水!$D489,记账规则!$A$6:$A$9,0),5),""))</f>
        <v/>
      </c>
      <c r="O1938" s="67" t="n">
        <f aca="false">IF($H1938="",0,ROUND(IF($N1938="成本金额",N(购销流水!$W489),IF($N1938="金额",N(购销流水!$Q489),0)),2))</f>
        <v>0</v>
      </c>
      <c r="P1938" s="64" t="str">
        <f aca="false">IF(AND($H1938&lt;&gt;"",ROUND($O1938,2)&lt;&gt;0),"有","")</f>
        <v/>
      </c>
    </row>
    <row r="1939" customFormat="false" ht="15" hidden="true" customHeight="false" outlineLevel="0" collapsed="false">
      <c r="A1939" s="53" t="str">
        <f aca="false">IF($H1939="","",ROW()-5)</f>
        <v/>
      </c>
      <c r="B1939" s="64" t="s">
        <v>36</v>
      </c>
      <c r="C1939" s="53" t="n">
        <v>489</v>
      </c>
      <c r="D1939" s="53" t="n">
        <v>2</v>
      </c>
      <c r="E1939" s="65" t="str">
        <f aca="false">IF($H1939="","",购销流水!$B489)</f>
        <v/>
      </c>
      <c r="F1939" s="55" t="str">
        <f aca="false">IF($H1939="","",购销流水!$C489)</f>
        <v/>
      </c>
      <c r="G1939" s="48" t="str">
        <f aca="false">IF($H1939="","",购销流水!$N489)</f>
        <v/>
      </c>
      <c r="H1939" s="10" t="str">
        <f aca="false">IF($L1939="","",IF($L1939="@成本",购销流水!$U489,IF($L1939="@收入",购销流水!$T489,IF($L1939="@存货",购销流水!$S489,IF($L1939="@结算",购销流水!$R489,$L1939)))))</f>
        <v/>
      </c>
      <c r="I1939" s="42" t="n">
        <f aca="false">IF($M1939="借",$O1939,0)</f>
        <v>0</v>
      </c>
      <c r="J1939" s="42" t="n">
        <f aca="false">IF($M1939="贷",$O1939,0)</f>
        <v>0</v>
      </c>
      <c r="K1939" s="48" t="str">
        <f aca="false">IF($H1939="","",购销流水!$E489)</f>
        <v/>
      </c>
      <c r="L1939" s="66" t="str">
        <f aca="false">IF(购销流水!$D489="","",IFERROR(INDEX(记账规则!$A$6:$N$9,MATCH(购销流水!$D489,记账规则!$A$6:$A$9,0),6),""))</f>
        <v/>
      </c>
      <c r="M1939" s="66" t="str">
        <f aca="false">IF($L1939="","",IFERROR(INDEX(记账规则!$A$6:$N$9,MATCH(购销流水!$D489,记账规则!$A$6:$A$9,0),7),""))</f>
        <v/>
      </c>
      <c r="N1939" s="66" t="str">
        <f aca="false">IF($L1939="","",IFERROR(INDEX(记账规则!$A$6:$N$9,MATCH(购销流水!$D489,记账规则!$A$6:$A$9,0),8),""))</f>
        <v/>
      </c>
      <c r="O1939" s="67" t="n">
        <f aca="false">IF($H1939="",0,ROUND(IF($N1939="成本金额",N(购销流水!$W489),IF($N1939="金额",N(购销流水!$Q489),0)),2))</f>
        <v>0</v>
      </c>
      <c r="P1939" s="64" t="str">
        <f aca="false">IF(AND($H1939&lt;&gt;"",ROUND($O1939,2)&lt;&gt;0),"有","")</f>
        <v/>
      </c>
    </row>
    <row r="1940" customFormat="false" ht="15" hidden="true" customHeight="false" outlineLevel="0" collapsed="false">
      <c r="A1940" s="53" t="str">
        <f aca="false">IF($H1940="","",ROW()-5)</f>
        <v/>
      </c>
      <c r="B1940" s="64" t="s">
        <v>36</v>
      </c>
      <c r="C1940" s="53" t="n">
        <v>489</v>
      </c>
      <c r="D1940" s="53" t="n">
        <v>3</v>
      </c>
      <c r="E1940" s="65" t="str">
        <f aca="false">IF($H1940="","",购销流水!$B489)</f>
        <v/>
      </c>
      <c r="F1940" s="55" t="str">
        <f aca="false">IF($H1940="","",购销流水!$C489)</f>
        <v/>
      </c>
      <c r="G1940" s="48" t="str">
        <f aca="false">IF($H1940="","",购销流水!$N489)</f>
        <v/>
      </c>
      <c r="H1940" s="10" t="str">
        <f aca="false">IF($L1940="","",IF($L1940="@成本",购销流水!$U489,IF($L1940="@收入",购销流水!$T489,IF($L1940="@存货",购销流水!$S489,IF($L1940="@结算",购销流水!$R489,$L1940)))))</f>
        <v/>
      </c>
      <c r="I1940" s="42" t="n">
        <f aca="false">IF($M1940="借",$O1940,0)</f>
        <v>0</v>
      </c>
      <c r="J1940" s="42" t="n">
        <f aca="false">IF($M1940="贷",$O1940,0)</f>
        <v>0</v>
      </c>
      <c r="K1940" s="48" t="str">
        <f aca="false">IF($H1940="","",购销流水!$E489)</f>
        <v/>
      </c>
      <c r="L1940" s="66" t="str">
        <f aca="false">IF(购销流水!$D489="","",IFERROR(INDEX(记账规则!$A$6:$N$9,MATCH(购销流水!$D489,记账规则!$A$6:$A$9,0),9),""))</f>
        <v/>
      </c>
      <c r="M1940" s="66" t="str">
        <f aca="false">IF($L1940="","",IFERROR(INDEX(记账规则!$A$6:$N$9,MATCH(购销流水!$D489,记账规则!$A$6:$A$9,0),10),""))</f>
        <v/>
      </c>
      <c r="N1940" s="66" t="str">
        <f aca="false">IF($L1940="","",IFERROR(INDEX(记账规则!$A$6:$N$9,MATCH(购销流水!$D489,记账规则!$A$6:$A$9,0),11),""))</f>
        <v/>
      </c>
      <c r="O1940" s="67" t="n">
        <f aca="false">IF($H1940="",0,ROUND(IF($N1940="成本金额",N(购销流水!$W489),IF($N1940="金额",N(购销流水!$Q489),0)),2))</f>
        <v>0</v>
      </c>
      <c r="P1940" s="64" t="str">
        <f aca="false">IF(AND($H1940&lt;&gt;"",ROUND($O1940,2)&lt;&gt;0),"有","")</f>
        <v/>
      </c>
    </row>
    <row r="1941" customFormat="false" ht="15" hidden="true" customHeight="false" outlineLevel="0" collapsed="false">
      <c r="A1941" s="53" t="str">
        <f aca="false">IF($H1941="","",ROW()-5)</f>
        <v/>
      </c>
      <c r="B1941" s="64" t="s">
        <v>36</v>
      </c>
      <c r="C1941" s="53" t="n">
        <v>489</v>
      </c>
      <c r="D1941" s="53" t="n">
        <v>4</v>
      </c>
      <c r="E1941" s="65" t="str">
        <f aca="false">IF($H1941="","",购销流水!$B489)</f>
        <v/>
      </c>
      <c r="F1941" s="55" t="str">
        <f aca="false">IF($H1941="","",购销流水!$C489)</f>
        <v/>
      </c>
      <c r="G1941" s="48" t="str">
        <f aca="false">IF($H1941="","",购销流水!$N489)</f>
        <v/>
      </c>
      <c r="H1941" s="10" t="str">
        <f aca="false">IF($L1941="","",IF($L1941="@成本",购销流水!$U489,IF($L1941="@收入",购销流水!$T489,IF($L1941="@存货",购销流水!$S489,IF($L1941="@结算",购销流水!$R489,$L1941)))))</f>
        <v/>
      </c>
      <c r="I1941" s="42" t="n">
        <f aca="false">IF($M1941="借",$O1941,0)</f>
        <v>0</v>
      </c>
      <c r="J1941" s="42" t="n">
        <f aca="false">IF($M1941="贷",$O1941,0)</f>
        <v>0</v>
      </c>
      <c r="K1941" s="48" t="str">
        <f aca="false">IF($H1941="","",购销流水!$E489)</f>
        <v/>
      </c>
      <c r="L1941" s="66" t="str">
        <f aca="false">IF(购销流水!$D489="","",IFERROR(INDEX(记账规则!$A$6:$N$9,MATCH(购销流水!$D489,记账规则!$A$6:$A$9,0),12),""))</f>
        <v/>
      </c>
      <c r="M1941" s="66" t="str">
        <f aca="false">IF($L1941="","",IFERROR(INDEX(记账规则!$A$6:$N$9,MATCH(购销流水!$D489,记账规则!$A$6:$A$9,0),13),""))</f>
        <v/>
      </c>
      <c r="N1941" s="66" t="str">
        <f aca="false">IF($L1941="","",IFERROR(INDEX(记账规则!$A$6:$N$9,MATCH(购销流水!$D489,记账规则!$A$6:$A$9,0),14),""))</f>
        <v/>
      </c>
      <c r="O1941" s="67" t="n">
        <f aca="false">IF($H1941="",0,ROUND(IF($N1941="成本金额",N(购销流水!$W489),IF($N1941="金额",N(购销流水!$Q489),0)),2))</f>
        <v>0</v>
      </c>
      <c r="P1941" s="64" t="str">
        <f aca="false">IF(AND($H1941&lt;&gt;"",ROUND($O1941,2)&lt;&gt;0),"有","")</f>
        <v/>
      </c>
    </row>
    <row r="1942" customFormat="false" ht="15" hidden="true" customHeight="false" outlineLevel="0" collapsed="false">
      <c r="A1942" s="53" t="str">
        <f aca="false">IF($H1942="","",ROW()-5)</f>
        <v/>
      </c>
      <c r="B1942" s="64" t="s">
        <v>36</v>
      </c>
      <c r="C1942" s="53" t="n">
        <v>490</v>
      </c>
      <c r="D1942" s="53" t="n">
        <v>1</v>
      </c>
      <c r="E1942" s="65" t="str">
        <f aca="false">IF($H1942="","",购销流水!$B490)</f>
        <v/>
      </c>
      <c r="F1942" s="55" t="str">
        <f aca="false">IF($H1942="","",购销流水!$C490)</f>
        <v/>
      </c>
      <c r="G1942" s="48" t="str">
        <f aca="false">IF($H1942="","",购销流水!$N490)</f>
        <v/>
      </c>
      <c r="H1942" s="10" t="str">
        <f aca="false">IF($L1942="","",IF($L1942="@成本",购销流水!$U490,IF($L1942="@收入",购销流水!$T490,IF($L1942="@存货",购销流水!$S490,IF($L1942="@结算",购销流水!$R490,$L1942)))))</f>
        <v/>
      </c>
      <c r="I1942" s="42" t="n">
        <f aca="false">IF($M1942="借",$O1942,0)</f>
        <v>0</v>
      </c>
      <c r="J1942" s="42" t="n">
        <f aca="false">IF($M1942="贷",$O1942,0)</f>
        <v>0</v>
      </c>
      <c r="K1942" s="48" t="str">
        <f aca="false">IF($H1942="","",购销流水!$E490)</f>
        <v/>
      </c>
      <c r="L1942" s="66" t="str">
        <f aca="false">IF(购销流水!$D490="","",IFERROR(INDEX(记账规则!$A$6:$N$9,MATCH(购销流水!$D490,记账规则!$A$6:$A$9,0),3),""))</f>
        <v/>
      </c>
      <c r="M1942" s="66" t="str">
        <f aca="false">IF($L1942="","",IFERROR(INDEX(记账规则!$A$6:$N$9,MATCH(购销流水!$D490,记账规则!$A$6:$A$9,0),4),""))</f>
        <v/>
      </c>
      <c r="N1942" s="66" t="str">
        <f aca="false">IF($L1942="","",IFERROR(INDEX(记账规则!$A$6:$N$9,MATCH(购销流水!$D490,记账规则!$A$6:$A$9,0),5),""))</f>
        <v/>
      </c>
      <c r="O1942" s="67" t="n">
        <f aca="false">IF($H1942="",0,ROUND(IF($N1942="成本金额",N(购销流水!$W490),IF($N1942="金额",N(购销流水!$Q490),0)),2))</f>
        <v>0</v>
      </c>
      <c r="P1942" s="64" t="str">
        <f aca="false">IF(AND($H1942&lt;&gt;"",ROUND($O1942,2)&lt;&gt;0),"有","")</f>
        <v/>
      </c>
    </row>
    <row r="1943" customFormat="false" ht="15" hidden="true" customHeight="false" outlineLevel="0" collapsed="false">
      <c r="A1943" s="53" t="str">
        <f aca="false">IF($H1943="","",ROW()-5)</f>
        <v/>
      </c>
      <c r="B1943" s="64" t="s">
        <v>36</v>
      </c>
      <c r="C1943" s="53" t="n">
        <v>490</v>
      </c>
      <c r="D1943" s="53" t="n">
        <v>2</v>
      </c>
      <c r="E1943" s="65" t="str">
        <f aca="false">IF($H1943="","",购销流水!$B490)</f>
        <v/>
      </c>
      <c r="F1943" s="55" t="str">
        <f aca="false">IF($H1943="","",购销流水!$C490)</f>
        <v/>
      </c>
      <c r="G1943" s="48" t="str">
        <f aca="false">IF($H1943="","",购销流水!$N490)</f>
        <v/>
      </c>
      <c r="H1943" s="10" t="str">
        <f aca="false">IF($L1943="","",IF($L1943="@成本",购销流水!$U490,IF($L1943="@收入",购销流水!$T490,IF($L1943="@存货",购销流水!$S490,IF($L1943="@结算",购销流水!$R490,$L1943)))))</f>
        <v/>
      </c>
      <c r="I1943" s="42" t="n">
        <f aca="false">IF($M1943="借",$O1943,0)</f>
        <v>0</v>
      </c>
      <c r="J1943" s="42" t="n">
        <f aca="false">IF($M1943="贷",$O1943,0)</f>
        <v>0</v>
      </c>
      <c r="K1943" s="48" t="str">
        <f aca="false">IF($H1943="","",购销流水!$E490)</f>
        <v/>
      </c>
      <c r="L1943" s="66" t="str">
        <f aca="false">IF(购销流水!$D490="","",IFERROR(INDEX(记账规则!$A$6:$N$9,MATCH(购销流水!$D490,记账规则!$A$6:$A$9,0),6),""))</f>
        <v/>
      </c>
      <c r="M1943" s="66" t="str">
        <f aca="false">IF($L1943="","",IFERROR(INDEX(记账规则!$A$6:$N$9,MATCH(购销流水!$D490,记账规则!$A$6:$A$9,0),7),""))</f>
        <v/>
      </c>
      <c r="N1943" s="66" t="str">
        <f aca="false">IF($L1943="","",IFERROR(INDEX(记账规则!$A$6:$N$9,MATCH(购销流水!$D490,记账规则!$A$6:$A$9,0),8),""))</f>
        <v/>
      </c>
      <c r="O1943" s="67" t="n">
        <f aca="false">IF($H1943="",0,ROUND(IF($N1943="成本金额",N(购销流水!$W490),IF($N1943="金额",N(购销流水!$Q490),0)),2))</f>
        <v>0</v>
      </c>
      <c r="P1943" s="64" t="str">
        <f aca="false">IF(AND($H1943&lt;&gt;"",ROUND($O1943,2)&lt;&gt;0),"有","")</f>
        <v/>
      </c>
    </row>
    <row r="1944" customFormat="false" ht="15" hidden="true" customHeight="false" outlineLevel="0" collapsed="false">
      <c r="A1944" s="53" t="str">
        <f aca="false">IF($H1944="","",ROW()-5)</f>
        <v/>
      </c>
      <c r="B1944" s="64" t="s">
        <v>36</v>
      </c>
      <c r="C1944" s="53" t="n">
        <v>490</v>
      </c>
      <c r="D1944" s="53" t="n">
        <v>3</v>
      </c>
      <c r="E1944" s="65" t="str">
        <f aca="false">IF($H1944="","",购销流水!$B490)</f>
        <v/>
      </c>
      <c r="F1944" s="55" t="str">
        <f aca="false">IF($H1944="","",购销流水!$C490)</f>
        <v/>
      </c>
      <c r="G1944" s="48" t="str">
        <f aca="false">IF($H1944="","",购销流水!$N490)</f>
        <v/>
      </c>
      <c r="H1944" s="10" t="str">
        <f aca="false">IF($L1944="","",IF($L1944="@成本",购销流水!$U490,IF($L1944="@收入",购销流水!$T490,IF($L1944="@存货",购销流水!$S490,IF($L1944="@结算",购销流水!$R490,$L1944)))))</f>
        <v/>
      </c>
      <c r="I1944" s="42" t="n">
        <f aca="false">IF($M1944="借",$O1944,0)</f>
        <v>0</v>
      </c>
      <c r="J1944" s="42" t="n">
        <f aca="false">IF($M1944="贷",$O1944,0)</f>
        <v>0</v>
      </c>
      <c r="K1944" s="48" t="str">
        <f aca="false">IF($H1944="","",购销流水!$E490)</f>
        <v/>
      </c>
      <c r="L1944" s="66" t="str">
        <f aca="false">IF(购销流水!$D490="","",IFERROR(INDEX(记账规则!$A$6:$N$9,MATCH(购销流水!$D490,记账规则!$A$6:$A$9,0),9),""))</f>
        <v/>
      </c>
      <c r="M1944" s="66" t="str">
        <f aca="false">IF($L1944="","",IFERROR(INDEX(记账规则!$A$6:$N$9,MATCH(购销流水!$D490,记账规则!$A$6:$A$9,0),10),""))</f>
        <v/>
      </c>
      <c r="N1944" s="66" t="str">
        <f aca="false">IF($L1944="","",IFERROR(INDEX(记账规则!$A$6:$N$9,MATCH(购销流水!$D490,记账规则!$A$6:$A$9,0),11),""))</f>
        <v/>
      </c>
      <c r="O1944" s="67" t="n">
        <f aca="false">IF($H1944="",0,ROUND(IF($N1944="成本金额",N(购销流水!$W490),IF($N1944="金额",N(购销流水!$Q490),0)),2))</f>
        <v>0</v>
      </c>
      <c r="P1944" s="64" t="str">
        <f aca="false">IF(AND($H1944&lt;&gt;"",ROUND($O1944,2)&lt;&gt;0),"有","")</f>
        <v/>
      </c>
    </row>
    <row r="1945" customFormat="false" ht="15" hidden="true" customHeight="false" outlineLevel="0" collapsed="false">
      <c r="A1945" s="53" t="str">
        <f aca="false">IF($H1945="","",ROW()-5)</f>
        <v/>
      </c>
      <c r="B1945" s="64" t="s">
        <v>36</v>
      </c>
      <c r="C1945" s="53" t="n">
        <v>490</v>
      </c>
      <c r="D1945" s="53" t="n">
        <v>4</v>
      </c>
      <c r="E1945" s="65" t="str">
        <f aca="false">IF($H1945="","",购销流水!$B490)</f>
        <v/>
      </c>
      <c r="F1945" s="55" t="str">
        <f aca="false">IF($H1945="","",购销流水!$C490)</f>
        <v/>
      </c>
      <c r="G1945" s="48" t="str">
        <f aca="false">IF($H1945="","",购销流水!$N490)</f>
        <v/>
      </c>
      <c r="H1945" s="10" t="str">
        <f aca="false">IF($L1945="","",IF($L1945="@成本",购销流水!$U490,IF($L1945="@收入",购销流水!$T490,IF($L1945="@存货",购销流水!$S490,IF($L1945="@结算",购销流水!$R490,$L1945)))))</f>
        <v/>
      </c>
      <c r="I1945" s="42" t="n">
        <f aca="false">IF($M1945="借",$O1945,0)</f>
        <v>0</v>
      </c>
      <c r="J1945" s="42" t="n">
        <f aca="false">IF($M1945="贷",$O1945,0)</f>
        <v>0</v>
      </c>
      <c r="K1945" s="48" t="str">
        <f aca="false">IF($H1945="","",购销流水!$E490)</f>
        <v/>
      </c>
      <c r="L1945" s="66" t="str">
        <f aca="false">IF(购销流水!$D490="","",IFERROR(INDEX(记账规则!$A$6:$N$9,MATCH(购销流水!$D490,记账规则!$A$6:$A$9,0),12),""))</f>
        <v/>
      </c>
      <c r="M1945" s="66" t="str">
        <f aca="false">IF($L1945="","",IFERROR(INDEX(记账规则!$A$6:$N$9,MATCH(购销流水!$D490,记账规则!$A$6:$A$9,0),13),""))</f>
        <v/>
      </c>
      <c r="N1945" s="66" t="str">
        <f aca="false">IF($L1945="","",IFERROR(INDEX(记账规则!$A$6:$N$9,MATCH(购销流水!$D490,记账规则!$A$6:$A$9,0),14),""))</f>
        <v/>
      </c>
      <c r="O1945" s="67" t="n">
        <f aca="false">IF($H1945="",0,ROUND(IF($N1945="成本金额",N(购销流水!$W490),IF($N1945="金额",N(购销流水!$Q490),0)),2))</f>
        <v>0</v>
      </c>
      <c r="P1945" s="64" t="str">
        <f aca="false">IF(AND($H1945&lt;&gt;"",ROUND($O1945,2)&lt;&gt;0),"有","")</f>
        <v/>
      </c>
    </row>
    <row r="1946" customFormat="false" ht="15" hidden="true" customHeight="false" outlineLevel="0" collapsed="false">
      <c r="A1946" s="53" t="str">
        <f aca="false">IF($H1946="","",ROW()-5)</f>
        <v/>
      </c>
      <c r="B1946" s="64" t="s">
        <v>36</v>
      </c>
      <c r="C1946" s="53" t="n">
        <v>491</v>
      </c>
      <c r="D1946" s="53" t="n">
        <v>1</v>
      </c>
      <c r="E1946" s="65" t="str">
        <f aca="false">IF($H1946="","",购销流水!$B491)</f>
        <v/>
      </c>
      <c r="F1946" s="55" t="str">
        <f aca="false">IF($H1946="","",购销流水!$C491)</f>
        <v/>
      </c>
      <c r="G1946" s="48" t="str">
        <f aca="false">IF($H1946="","",购销流水!$N491)</f>
        <v/>
      </c>
      <c r="H1946" s="10" t="str">
        <f aca="false">IF($L1946="","",IF($L1946="@成本",购销流水!$U491,IF($L1946="@收入",购销流水!$T491,IF($L1946="@存货",购销流水!$S491,IF($L1946="@结算",购销流水!$R491,$L1946)))))</f>
        <v/>
      </c>
      <c r="I1946" s="42" t="n">
        <f aca="false">IF($M1946="借",$O1946,0)</f>
        <v>0</v>
      </c>
      <c r="J1946" s="42" t="n">
        <f aca="false">IF($M1946="贷",$O1946,0)</f>
        <v>0</v>
      </c>
      <c r="K1946" s="48" t="str">
        <f aca="false">IF($H1946="","",购销流水!$E491)</f>
        <v/>
      </c>
      <c r="L1946" s="66" t="str">
        <f aca="false">IF(购销流水!$D491="","",IFERROR(INDEX(记账规则!$A$6:$N$9,MATCH(购销流水!$D491,记账规则!$A$6:$A$9,0),3),""))</f>
        <v/>
      </c>
      <c r="M1946" s="66" t="str">
        <f aca="false">IF($L1946="","",IFERROR(INDEX(记账规则!$A$6:$N$9,MATCH(购销流水!$D491,记账规则!$A$6:$A$9,0),4),""))</f>
        <v/>
      </c>
      <c r="N1946" s="66" t="str">
        <f aca="false">IF($L1946="","",IFERROR(INDEX(记账规则!$A$6:$N$9,MATCH(购销流水!$D491,记账规则!$A$6:$A$9,0),5),""))</f>
        <v/>
      </c>
      <c r="O1946" s="67" t="n">
        <f aca="false">IF($H1946="",0,ROUND(IF($N1946="成本金额",N(购销流水!$W491),IF($N1946="金额",N(购销流水!$Q491),0)),2))</f>
        <v>0</v>
      </c>
      <c r="P1946" s="64" t="str">
        <f aca="false">IF(AND($H1946&lt;&gt;"",ROUND($O1946,2)&lt;&gt;0),"有","")</f>
        <v/>
      </c>
    </row>
    <row r="1947" customFormat="false" ht="15" hidden="true" customHeight="false" outlineLevel="0" collapsed="false">
      <c r="A1947" s="53" t="str">
        <f aca="false">IF($H1947="","",ROW()-5)</f>
        <v/>
      </c>
      <c r="B1947" s="64" t="s">
        <v>36</v>
      </c>
      <c r="C1947" s="53" t="n">
        <v>491</v>
      </c>
      <c r="D1947" s="53" t="n">
        <v>2</v>
      </c>
      <c r="E1947" s="65" t="str">
        <f aca="false">IF($H1947="","",购销流水!$B491)</f>
        <v/>
      </c>
      <c r="F1947" s="55" t="str">
        <f aca="false">IF($H1947="","",购销流水!$C491)</f>
        <v/>
      </c>
      <c r="G1947" s="48" t="str">
        <f aca="false">IF($H1947="","",购销流水!$N491)</f>
        <v/>
      </c>
      <c r="H1947" s="10" t="str">
        <f aca="false">IF($L1947="","",IF($L1947="@成本",购销流水!$U491,IF($L1947="@收入",购销流水!$T491,IF($L1947="@存货",购销流水!$S491,IF($L1947="@结算",购销流水!$R491,$L1947)))))</f>
        <v/>
      </c>
      <c r="I1947" s="42" t="n">
        <f aca="false">IF($M1947="借",$O1947,0)</f>
        <v>0</v>
      </c>
      <c r="J1947" s="42" t="n">
        <f aca="false">IF($M1947="贷",$O1947,0)</f>
        <v>0</v>
      </c>
      <c r="K1947" s="48" t="str">
        <f aca="false">IF($H1947="","",购销流水!$E491)</f>
        <v/>
      </c>
      <c r="L1947" s="66" t="str">
        <f aca="false">IF(购销流水!$D491="","",IFERROR(INDEX(记账规则!$A$6:$N$9,MATCH(购销流水!$D491,记账规则!$A$6:$A$9,0),6),""))</f>
        <v/>
      </c>
      <c r="M1947" s="66" t="str">
        <f aca="false">IF($L1947="","",IFERROR(INDEX(记账规则!$A$6:$N$9,MATCH(购销流水!$D491,记账规则!$A$6:$A$9,0),7),""))</f>
        <v/>
      </c>
      <c r="N1947" s="66" t="str">
        <f aca="false">IF($L1947="","",IFERROR(INDEX(记账规则!$A$6:$N$9,MATCH(购销流水!$D491,记账规则!$A$6:$A$9,0),8),""))</f>
        <v/>
      </c>
      <c r="O1947" s="67" t="n">
        <f aca="false">IF($H1947="",0,ROUND(IF($N1947="成本金额",N(购销流水!$W491),IF($N1947="金额",N(购销流水!$Q491),0)),2))</f>
        <v>0</v>
      </c>
      <c r="P1947" s="64" t="str">
        <f aca="false">IF(AND($H1947&lt;&gt;"",ROUND($O1947,2)&lt;&gt;0),"有","")</f>
        <v/>
      </c>
    </row>
    <row r="1948" customFormat="false" ht="15" hidden="true" customHeight="false" outlineLevel="0" collapsed="false">
      <c r="A1948" s="53" t="str">
        <f aca="false">IF($H1948="","",ROW()-5)</f>
        <v/>
      </c>
      <c r="B1948" s="64" t="s">
        <v>36</v>
      </c>
      <c r="C1948" s="53" t="n">
        <v>491</v>
      </c>
      <c r="D1948" s="53" t="n">
        <v>3</v>
      </c>
      <c r="E1948" s="65" t="str">
        <f aca="false">IF($H1948="","",购销流水!$B491)</f>
        <v/>
      </c>
      <c r="F1948" s="55" t="str">
        <f aca="false">IF($H1948="","",购销流水!$C491)</f>
        <v/>
      </c>
      <c r="G1948" s="48" t="str">
        <f aca="false">IF($H1948="","",购销流水!$N491)</f>
        <v/>
      </c>
      <c r="H1948" s="10" t="str">
        <f aca="false">IF($L1948="","",IF($L1948="@成本",购销流水!$U491,IF($L1948="@收入",购销流水!$T491,IF($L1948="@存货",购销流水!$S491,IF($L1948="@结算",购销流水!$R491,$L1948)))))</f>
        <v/>
      </c>
      <c r="I1948" s="42" t="n">
        <f aca="false">IF($M1948="借",$O1948,0)</f>
        <v>0</v>
      </c>
      <c r="J1948" s="42" t="n">
        <f aca="false">IF($M1948="贷",$O1948,0)</f>
        <v>0</v>
      </c>
      <c r="K1948" s="48" t="str">
        <f aca="false">IF($H1948="","",购销流水!$E491)</f>
        <v/>
      </c>
      <c r="L1948" s="66" t="str">
        <f aca="false">IF(购销流水!$D491="","",IFERROR(INDEX(记账规则!$A$6:$N$9,MATCH(购销流水!$D491,记账规则!$A$6:$A$9,0),9),""))</f>
        <v/>
      </c>
      <c r="M1948" s="66" t="str">
        <f aca="false">IF($L1948="","",IFERROR(INDEX(记账规则!$A$6:$N$9,MATCH(购销流水!$D491,记账规则!$A$6:$A$9,0),10),""))</f>
        <v/>
      </c>
      <c r="N1948" s="66" t="str">
        <f aca="false">IF($L1948="","",IFERROR(INDEX(记账规则!$A$6:$N$9,MATCH(购销流水!$D491,记账规则!$A$6:$A$9,0),11),""))</f>
        <v/>
      </c>
      <c r="O1948" s="67" t="n">
        <f aca="false">IF($H1948="",0,ROUND(IF($N1948="成本金额",N(购销流水!$W491),IF($N1948="金额",N(购销流水!$Q491),0)),2))</f>
        <v>0</v>
      </c>
      <c r="P1948" s="64" t="str">
        <f aca="false">IF(AND($H1948&lt;&gt;"",ROUND($O1948,2)&lt;&gt;0),"有","")</f>
        <v/>
      </c>
    </row>
    <row r="1949" customFormat="false" ht="15" hidden="true" customHeight="false" outlineLevel="0" collapsed="false">
      <c r="A1949" s="53" t="str">
        <f aca="false">IF($H1949="","",ROW()-5)</f>
        <v/>
      </c>
      <c r="B1949" s="64" t="s">
        <v>36</v>
      </c>
      <c r="C1949" s="53" t="n">
        <v>491</v>
      </c>
      <c r="D1949" s="53" t="n">
        <v>4</v>
      </c>
      <c r="E1949" s="65" t="str">
        <f aca="false">IF($H1949="","",购销流水!$B491)</f>
        <v/>
      </c>
      <c r="F1949" s="55" t="str">
        <f aca="false">IF($H1949="","",购销流水!$C491)</f>
        <v/>
      </c>
      <c r="G1949" s="48" t="str">
        <f aca="false">IF($H1949="","",购销流水!$N491)</f>
        <v/>
      </c>
      <c r="H1949" s="10" t="str">
        <f aca="false">IF($L1949="","",IF($L1949="@成本",购销流水!$U491,IF($L1949="@收入",购销流水!$T491,IF($L1949="@存货",购销流水!$S491,IF($L1949="@结算",购销流水!$R491,$L1949)))))</f>
        <v/>
      </c>
      <c r="I1949" s="42" t="n">
        <f aca="false">IF($M1949="借",$O1949,0)</f>
        <v>0</v>
      </c>
      <c r="J1949" s="42" t="n">
        <f aca="false">IF($M1949="贷",$O1949,0)</f>
        <v>0</v>
      </c>
      <c r="K1949" s="48" t="str">
        <f aca="false">IF($H1949="","",购销流水!$E491)</f>
        <v/>
      </c>
      <c r="L1949" s="66" t="str">
        <f aca="false">IF(购销流水!$D491="","",IFERROR(INDEX(记账规则!$A$6:$N$9,MATCH(购销流水!$D491,记账规则!$A$6:$A$9,0),12),""))</f>
        <v/>
      </c>
      <c r="M1949" s="66" t="str">
        <f aca="false">IF($L1949="","",IFERROR(INDEX(记账规则!$A$6:$N$9,MATCH(购销流水!$D491,记账规则!$A$6:$A$9,0),13),""))</f>
        <v/>
      </c>
      <c r="N1949" s="66" t="str">
        <f aca="false">IF($L1949="","",IFERROR(INDEX(记账规则!$A$6:$N$9,MATCH(购销流水!$D491,记账规则!$A$6:$A$9,0),14),""))</f>
        <v/>
      </c>
      <c r="O1949" s="67" t="n">
        <f aca="false">IF($H1949="",0,ROUND(IF($N1949="成本金额",N(购销流水!$W491),IF($N1949="金额",N(购销流水!$Q491),0)),2))</f>
        <v>0</v>
      </c>
      <c r="P1949" s="64" t="str">
        <f aca="false">IF(AND($H1949&lt;&gt;"",ROUND($O1949,2)&lt;&gt;0),"有","")</f>
        <v/>
      </c>
    </row>
    <row r="1950" customFormat="false" ht="15" hidden="true" customHeight="false" outlineLevel="0" collapsed="false">
      <c r="A1950" s="53" t="str">
        <f aca="false">IF($H1950="","",ROW()-5)</f>
        <v/>
      </c>
      <c r="B1950" s="64" t="s">
        <v>36</v>
      </c>
      <c r="C1950" s="53" t="n">
        <v>492</v>
      </c>
      <c r="D1950" s="53" t="n">
        <v>1</v>
      </c>
      <c r="E1950" s="65" t="str">
        <f aca="false">IF($H1950="","",购销流水!$B492)</f>
        <v/>
      </c>
      <c r="F1950" s="55" t="str">
        <f aca="false">IF($H1950="","",购销流水!$C492)</f>
        <v/>
      </c>
      <c r="G1950" s="48" t="str">
        <f aca="false">IF($H1950="","",购销流水!$N492)</f>
        <v/>
      </c>
      <c r="H1950" s="10" t="str">
        <f aca="false">IF($L1950="","",IF($L1950="@成本",购销流水!$U492,IF($L1950="@收入",购销流水!$T492,IF($L1950="@存货",购销流水!$S492,IF($L1950="@结算",购销流水!$R492,$L1950)))))</f>
        <v/>
      </c>
      <c r="I1950" s="42" t="n">
        <f aca="false">IF($M1950="借",$O1950,0)</f>
        <v>0</v>
      </c>
      <c r="J1950" s="42" t="n">
        <f aca="false">IF($M1950="贷",$O1950,0)</f>
        <v>0</v>
      </c>
      <c r="K1950" s="48" t="str">
        <f aca="false">IF($H1950="","",购销流水!$E492)</f>
        <v/>
      </c>
      <c r="L1950" s="66" t="str">
        <f aca="false">IF(购销流水!$D492="","",IFERROR(INDEX(记账规则!$A$6:$N$9,MATCH(购销流水!$D492,记账规则!$A$6:$A$9,0),3),""))</f>
        <v/>
      </c>
      <c r="M1950" s="66" t="str">
        <f aca="false">IF($L1950="","",IFERROR(INDEX(记账规则!$A$6:$N$9,MATCH(购销流水!$D492,记账规则!$A$6:$A$9,0),4),""))</f>
        <v/>
      </c>
      <c r="N1950" s="66" t="str">
        <f aca="false">IF($L1950="","",IFERROR(INDEX(记账规则!$A$6:$N$9,MATCH(购销流水!$D492,记账规则!$A$6:$A$9,0),5),""))</f>
        <v/>
      </c>
      <c r="O1950" s="67" t="n">
        <f aca="false">IF($H1950="",0,ROUND(IF($N1950="成本金额",N(购销流水!$W492),IF($N1950="金额",N(购销流水!$Q492),0)),2))</f>
        <v>0</v>
      </c>
      <c r="P1950" s="64" t="str">
        <f aca="false">IF(AND($H1950&lt;&gt;"",ROUND($O1950,2)&lt;&gt;0),"有","")</f>
        <v/>
      </c>
    </row>
    <row r="1951" customFormat="false" ht="15" hidden="true" customHeight="false" outlineLevel="0" collapsed="false">
      <c r="A1951" s="53" t="str">
        <f aca="false">IF($H1951="","",ROW()-5)</f>
        <v/>
      </c>
      <c r="B1951" s="64" t="s">
        <v>36</v>
      </c>
      <c r="C1951" s="53" t="n">
        <v>492</v>
      </c>
      <c r="D1951" s="53" t="n">
        <v>2</v>
      </c>
      <c r="E1951" s="65" t="str">
        <f aca="false">IF($H1951="","",购销流水!$B492)</f>
        <v/>
      </c>
      <c r="F1951" s="55" t="str">
        <f aca="false">IF($H1951="","",购销流水!$C492)</f>
        <v/>
      </c>
      <c r="G1951" s="48" t="str">
        <f aca="false">IF($H1951="","",购销流水!$N492)</f>
        <v/>
      </c>
      <c r="H1951" s="10" t="str">
        <f aca="false">IF($L1951="","",IF($L1951="@成本",购销流水!$U492,IF($L1951="@收入",购销流水!$T492,IF($L1951="@存货",购销流水!$S492,IF($L1951="@结算",购销流水!$R492,$L1951)))))</f>
        <v/>
      </c>
      <c r="I1951" s="42" t="n">
        <f aca="false">IF($M1951="借",$O1951,0)</f>
        <v>0</v>
      </c>
      <c r="J1951" s="42" t="n">
        <f aca="false">IF($M1951="贷",$O1951,0)</f>
        <v>0</v>
      </c>
      <c r="K1951" s="48" t="str">
        <f aca="false">IF($H1951="","",购销流水!$E492)</f>
        <v/>
      </c>
      <c r="L1951" s="66" t="str">
        <f aca="false">IF(购销流水!$D492="","",IFERROR(INDEX(记账规则!$A$6:$N$9,MATCH(购销流水!$D492,记账规则!$A$6:$A$9,0),6),""))</f>
        <v/>
      </c>
      <c r="M1951" s="66" t="str">
        <f aca="false">IF($L1951="","",IFERROR(INDEX(记账规则!$A$6:$N$9,MATCH(购销流水!$D492,记账规则!$A$6:$A$9,0),7),""))</f>
        <v/>
      </c>
      <c r="N1951" s="66" t="str">
        <f aca="false">IF($L1951="","",IFERROR(INDEX(记账规则!$A$6:$N$9,MATCH(购销流水!$D492,记账规则!$A$6:$A$9,0),8),""))</f>
        <v/>
      </c>
      <c r="O1951" s="67" t="n">
        <f aca="false">IF($H1951="",0,ROUND(IF($N1951="成本金额",N(购销流水!$W492),IF($N1951="金额",N(购销流水!$Q492),0)),2))</f>
        <v>0</v>
      </c>
      <c r="P1951" s="64" t="str">
        <f aca="false">IF(AND($H1951&lt;&gt;"",ROUND($O1951,2)&lt;&gt;0),"有","")</f>
        <v/>
      </c>
    </row>
    <row r="1952" customFormat="false" ht="15" hidden="true" customHeight="false" outlineLevel="0" collapsed="false">
      <c r="A1952" s="53" t="str">
        <f aca="false">IF($H1952="","",ROW()-5)</f>
        <v/>
      </c>
      <c r="B1952" s="64" t="s">
        <v>36</v>
      </c>
      <c r="C1952" s="53" t="n">
        <v>492</v>
      </c>
      <c r="D1952" s="53" t="n">
        <v>3</v>
      </c>
      <c r="E1952" s="65" t="str">
        <f aca="false">IF($H1952="","",购销流水!$B492)</f>
        <v/>
      </c>
      <c r="F1952" s="55" t="str">
        <f aca="false">IF($H1952="","",购销流水!$C492)</f>
        <v/>
      </c>
      <c r="G1952" s="48" t="str">
        <f aca="false">IF($H1952="","",购销流水!$N492)</f>
        <v/>
      </c>
      <c r="H1952" s="10" t="str">
        <f aca="false">IF($L1952="","",IF($L1952="@成本",购销流水!$U492,IF($L1952="@收入",购销流水!$T492,IF($L1952="@存货",购销流水!$S492,IF($L1952="@结算",购销流水!$R492,$L1952)))))</f>
        <v/>
      </c>
      <c r="I1952" s="42" t="n">
        <f aca="false">IF($M1952="借",$O1952,0)</f>
        <v>0</v>
      </c>
      <c r="J1952" s="42" t="n">
        <f aca="false">IF($M1952="贷",$O1952,0)</f>
        <v>0</v>
      </c>
      <c r="K1952" s="48" t="str">
        <f aca="false">IF($H1952="","",购销流水!$E492)</f>
        <v/>
      </c>
      <c r="L1952" s="66" t="str">
        <f aca="false">IF(购销流水!$D492="","",IFERROR(INDEX(记账规则!$A$6:$N$9,MATCH(购销流水!$D492,记账规则!$A$6:$A$9,0),9),""))</f>
        <v/>
      </c>
      <c r="M1952" s="66" t="str">
        <f aca="false">IF($L1952="","",IFERROR(INDEX(记账规则!$A$6:$N$9,MATCH(购销流水!$D492,记账规则!$A$6:$A$9,0),10),""))</f>
        <v/>
      </c>
      <c r="N1952" s="66" t="str">
        <f aca="false">IF($L1952="","",IFERROR(INDEX(记账规则!$A$6:$N$9,MATCH(购销流水!$D492,记账规则!$A$6:$A$9,0),11),""))</f>
        <v/>
      </c>
      <c r="O1952" s="67" t="n">
        <f aca="false">IF($H1952="",0,ROUND(IF($N1952="成本金额",N(购销流水!$W492),IF($N1952="金额",N(购销流水!$Q492),0)),2))</f>
        <v>0</v>
      </c>
      <c r="P1952" s="64" t="str">
        <f aca="false">IF(AND($H1952&lt;&gt;"",ROUND($O1952,2)&lt;&gt;0),"有","")</f>
        <v/>
      </c>
    </row>
    <row r="1953" customFormat="false" ht="15" hidden="true" customHeight="false" outlineLevel="0" collapsed="false">
      <c r="A1953" s="53" t="str">
        <f aca="false">IF($H1953="","",ROW()-5)</f>
        <v/>
      </c>
      <c r="B1953" s="64" t="s">
        <v>36</v>
      </c>
      <c r="C1953" s="53" t="n">
        <v>492</v>
      </c>
      <c r="D1953" s="53" t="n">
        <v>4</v>
      </c>
      <c r="E1953" s="65" t="str">
        <f aca="false">IF($H1953="","",购销流水!$B492)</f>
        <v/>
      </c>
      <c r="F1953" s="55" t="str">
        <f aca="false">IF($H1953="","",购销流水!$C492)</f>
        <v/>
      </c>
      <c r="G1953" s="48" t="str">
        <f aca="false">IF($H1953="","",购销流水!$N492)</f>
        <v/>
      </c>
      <c r="H1953" s="10" t="str">
        <f aca="false">IF($L1953="","",IF($L1953="@成本",购销流水!$U492,IF($L1953="@收入",购销流水!$T492,IF($L1953="@存货",购销流水!$S492,IF($L1953="@结算",购销流水!$R492,$L1953)))))</f>
        <v/>
      </c>
      <c r="I1953" s="42" t="n">
        <f aca="false">IF($M1953="借",$O1953,0)</f>
        <v>0</v>
      </c>
      <c r="J1953" s="42" t="n">
        <f aca="false">IF($M1953="贷",$O1953,0)</f>
        <v>0</v>
      </c>
      <c r="K1953" s="48" t="str">
        <f aca="false">IF($H1953="","",购销流水!$E492)</f>
        <v/>
      </c>
      <c r="L1953" s="66" t="str">
        <f aca="false">IF(购销流水!$D492="","",IFERROR(INDEX(记账规则!$A$6:$N$9,MATCH(购销流水!$D492,记账规则!$A$6:$A$9,0),12),""))</f>
        <v/>
      </c>
      <c r="M1953" s="66" t="str">
        <f aca="false">IF($L1953="","",IFERROR(INDEX(记账规则!$A$6:$N$9,MATCH(购销流水!$D492,记账规则!$A$6:$A$9,0),13),""))</f>
        <v/>
      </c>
      <c r="N1953" s="66" t="str">
        <f aca="false">IF($L1953="","",IFERROR(INDEX(记账规则!$A$6:$N$9,MATCH(购销流水!$D492,记账规则!$A$6:$A$9,0),14),""))</f>
        <v/>
      </c>
      <c r="O1953" s="67" t="n">
        <f aca="false">IF($H1953="",0,ROUND(IF($N1953="成本金额",N(购销流水!$W492),IF($N1953="金额",N(购销流水!$Q492),0)),2))</f>
        <v>0</v>
      </c>
      <c r="P1953" s="64" t="str">
        <f aca="false">IF(AND($H1953&lt;&gt;"",ROUND($O1953,2)&lt;&gt;0),"有","")</f>
        <v/>
      </c>
    </row>
    <row r="1954" customFormat="false" ht="15" hidden="true" customHeight="false" outlineLevel="0" collapsed="false">
      <c r="A1954" s="53" t="str">
        <f aca="false">IF($H1954="","",ROW()-5)</f>
        <v/>
      </c>
      <c r="B1954" s="64" t="s">
        <v>36</v>
      </c>
      <c r="C1954" s="53" t="n">
        <v>493</v>
      </c>
      <c r="D1954" s="53" t="n">
        <v>1</v>
      </c>
      <c r="E1954" s="65" t="str">
        <f aca="false">IF($H1954="","",购销流水!$B493)</f>
        <v/>
      </c>
      <c r="F1954" s="55" t="str">
        <f aca="false">IF($H1954="","",购销流水!$C493)</f>
        <v/>
      </c>
      <c r="G1954" s="48" t="str">
        <f aca="false">IF($H1954="","",购销流水!$N493)</f>
        <v/>
      </c>
      <c r="H1954" s="10" t="str">
        <f aca="false">IF($L1954="","",IF($L1954="@成本",购销流水!$U493,IF($L1954="@收入",购销流水!$T493,IF($L1954="@存货",购销流水!$S493,IF($L1954="@结算",购销流水!$R493,$L1954)))))</f>
        <v/>
      </c>
      <c r="I1954" s="42" t="n">
        <f aca="false">IF($M1954="借",$O1954,0)</f>
        <v>0</v>
      </c>
      <c r="J1954" s="42" t="n">
        <f aca="false">IF($M1954="贷",$O1954,0)</f>
        <v>0</v>
      </c>
      <c r="K1954" s="48" t="str">
        <f aca="false">IF($H1954="","",购销流水!$E493)</f>
        <v/>
      </c>
      <c r="L1954" s="66" t="str">
        <f aca="false">IF(购销流水!$D493="","",IFERROR(INDEX(记账规则!$A$6:$N$9,MATCH(购销流水!$D493,记账规则!$A$6:$A$9,0),3),""))</f>
        <v/>
      </c>
      <c r="M1954" s="66" t="str">
        <f aca="false">IF($L1954="","",IFERROR(INDEX(记账规则!$A$6:$N$9,MATCH(购销流水!$D493,记账规则!$A$6:$A$9,0),4),""))</f>
        <v/>
      </c>
      <c r="N1954" s="66" t="str">
        <f aca="false">IF($L1954="","",IFERROR(INDEX(记账规则!$A$6:$N$9,MATCH(购销流水!$D493,记账规则!$A$6:$A$9,0),5),""))</f>
        <v/>
      </c>
      <c r="O1954" s="67" t="n">
        <f aca="false">IF($H1954="",0,ROUND(IF($N1954="成本金额",N(购销流水!$W493),IF($N1954="金额",N(购销流水!$Q493),0)),2))</f>
        <v>0</v>
      </c>
      <c r="P1954" s="64" t="str">
        <f aca="false">IF(AND($H1954&lt;&gt;"",ROUND($O1954,2)&lt;&gt;0),"有","")</f>
        <v/>
      </c>
    </row>
    <row r="1955" customFormat="false" ht="15" hidden="true" customHeight="false" outlineLevel="0" collapsed="false">
      <c r="A1955" s="53" t="str">
        <f aca="false">IF($H1955="","",ROW()-5)</f>
        <v/>
      </c>
      <c r="B1955" s="64" t="s">
        <v>36</v>
      </c>
      <c r="C1955" s="53" t="n">
        <v>493</v>
      </c>
      <c r="D1955" s="53" t="n">
        <v>2</v>
      </c>
      <c r="E1955" s="65" t="str">
        <f aca="false">IF($H1955="","",购销流水!$B493)</f>
        <v/>
      </c>
      <c r="F1955" s="55" t="str">
        <f aca="false">IF($H1955="","",购销流水!$C493)</f>
        <v/>
      </c>
      <c r="G1955" s="48" t="str">
        <f aca="false">IF($H1955="","",购销流水!$N493)</f>
        <v/>
      </c>
      <c r="H1955" s="10" t="str">
        <f aca="false">IF($L1955="","",IF($L1955="@成本",购销流水!$U493,IF($L1955="@收入",购销流水!$T493,IF($L1955="@存货",购销流水!$S493,IF($L1955="@结算",购销流水!$R493,$L1955)))))</f>
        <v/>
      </c>
      <c r="I1955" s="42" t="n">
        <f aca="false">IF($M1955="借",$O1955,0)</f>
        <v>0</v>
      </c>
      <c r="J1955" s="42" t="n">
        <f aca="false">IF($M1955="贷",$O1955,0)</f>
        <v>0</v>
      </c>
      <c r="K1955" s="48" t="str">
        <f aca="false">IF($H1955="","",购销流水!$E493)</f>
        <v/>
      </c>
      <c r="L1955" s="66" t="str">
        <f aca="false">IF(购销流水!$D493="","",IFERROR(INDEX(记账规则!$A$6:$N$9,MATCH(购销流水!$D493,记账规则!$A$6:$A$9,0),6),""))</f>
        <v/>
      </c>
      <c r="M1955" s="66" t="str">
        <f aca="false">IF($L1955="","",IFERROR(INDEX(记账规则!$A$6:$N$9,MATCH(购销流水!$D493,记账规则!$A$6:$A$9,0),7),""))</f>
        <v/>
      </c>
      <c r="N1955" s="66" t="str">
        <f aca="false">IF($L1955="","",IFERROR(INDEX(记账规则!$A$6:$N$9,MATCH(购销流水!$D493,记账规则!$A$6:$A$9,0),8),""))</f>
        <v/>
      </c>
      <c r="O1955" s="67" t="n">
        <f aca="false">IF($H1955="",0,ROUND(IF($N1955="成本金额",N(购销流水!$W493),IF($N1955="金额",N(购销流水!$Q493),0)),2))</f>
        <v>0</v>
      </c>
      <c r="P1955" s="64" t="str">
        <f aca="false">IF(AND($H1955&lt;&gt;"",ROUND($O1955,2)&lt;&gt;0),"有","")</f>
        <v/>
      </c>
    </row>
    <row r="1956" customFormat="false" ht="15" hidden="true" customHeight="false" outlineLevel="0" collapsed="false">
      <c r="A1956" s="53" t="str">
        <f aca="false">IF($H1956="","",ROW()-5)</f>
        <v/>
      </c>
      <c r="B1956" s="64" t="s">
        <v>36</v>
      </c>
      <c r="C1956" s="53" t="n">
        <v>493</v>
      </c>
      <c r="D1956" s="53" t="n">
        <v>3</v>
      </c>
      <c r="E1956" s="65" t="str">
        <f aca="false">IF($H1956="","",购销流水!$B493)</f>
        <v/>
      </c>
      <c r="F1956" s="55" t="str">
        <f aca="false">IF($H1956="","",购销流水!$C493)</f>
        <v/>
      </c>
      <c r="G1956" s="48" t="str">
        <f aca="false">IF($H1956="","",购销流水!$N493)</f>
        <v/>
      </c>
      <c r="H1956" s="10" t="str">
        <f aca="false">IF($L1956="","",IF($L1956="@成本",购销流水!$U493,IF($L1956="@收入",购销流水!$T493,IF($L1956="@存货",购销流水!$S493,IF($L1956="@结算",购销流水!$R493,$L1956)))))</f>
        <v/>
      </c>
      <c r="I1956" s="42" t="n">
        <f aca="false">IF($M1956="借",$O1956,0)</f>
        <v>0</v>
      </c>
      <c r="J1956" s="42" t="n">
        <f aca="false">IF($M1956="贷",$O1956,0)</f>
        <v>0</v>
      </c>
      <c r="K1956" s="48" t="str">
        <f aca="false">IF($H1956="","",购销流水!$E493)</f>
        <v/>
      </c>
      <c r="L1956" s="66" t="str">
        <f aca="false">IF(购销流水!$D493="","",IFERROR(INDEX(记账规则!$A$6:$N$9,MATCH(购销流水!$D493,记账规则!$A$6:$A$9,0),9),""))</f>
        <v/>
      </c>
      <c r="M1956" s="66" t="str">
        <f aca="false">IF($L1956="","",IFERROR(INDEX(记账规则!$A$6:$N$9,MATCH(购销流水!$D493,记账规则!$A$6:$A$9,0),10),""))</f>
        <v/>
      </c>
      <c r="N1956" s="66" t="str">
        <f aca="false">IF($L1956="","",IFERROR(INDEX(记账规则!$A$6:$N$9,MATCH(购销流水!$D493,记账规则!$A$6:$A$9,0),11),""))</f>
        <v/>
      </c>
      <c r="O1956" s="67" t="n">
        <f aca="false">IF($H1956="",0,ROUND(IF($N1956="成本金额",N(购销流水!$W493),IF($N1956="金额",N(购销流水!$Q493),0)),2))</f>
        <v>0</v>
      </c>
      <c r="P1956" s="64" t="str">
        <f aca="false">IF(AND($H1956&lt;&gt;"",ROUND($O1956,2)&lt;&gt;0),"有","")</f>
        <v/>
      </c>
    </row>
    <row r="1957" customFormat="false" ht="15" hidden="true" customHeight="false" outlineLevel="0" collapsed="false">
      <c r="A1957" s="53" t="str">
        <f aca="false">IF($H1957="","",ROW()-5)</f>
        <v/>
      </c>
      <c r="B1957" s="64" t="s">
        <v>36</v>
      </c>
      <c r="C1957" s="53" t="n">
        <v>493</v>
      </c>
      <c r="D1957" s="53" t="n">
        <v>4</v>
      </c>
      <c r="E1957" s="65" t="str">
        <f aca="false">IF($H1957="","",购销流水!$B493)</f>
        <v/>
      </c>
      <c r="F1957" s="55" t="str">
        <f aca="false">IF($H1957="","",购销流水!$C493)</f>
        <v/>
      </c>
      <c r="G1957" s="48" t="str">
        <f aca="false">IF($H1957="","",购销流水!$N493)</f>
        <v/>
      </c>
      <c r="H1957" s="10" t="str">
        <f aca="false">IF($L1957="","",IF($L1957="@成本",购销流水!$U493,IF($L1957="@收入",购销流水!$T493,IF($L1957="@存货",购销流水!$S493,IF($L1957="@结算",购销流水!$R493,$L1957)))))</f>
        <v/>
      </c>
      <c r="I1957" s="42" t="n">
        <f aca="false">IF($M1957="借",$O1957,0)</f>
        <v>0</v>
      </c>
      <c r="J1957" s="42" t="n">
        <f aca="false">IF($M1957="贷",$O1957,0)</f>
        <v>0</v>
      </c>
      <c r="K1957" s="48" t="str">
        <f aca="false">IF($H1957="","",购销流水!$E493)</f>
        <v/>
      </c>
      <c r="L1957" s="66" t="str">
        <f aca="false">IF(购销流水!$D493="","",IFERROR(INDEX(记账规则!$A$6:$N$9,MATCH(购销流水!$D493,记账规则!$A$6:$A$9,0),12),""))</f>
        <v/>
      </c>
      <c r="M1957" s="66" t="str">
        <f aca="false">IF($L1957="","",IFERROR(INDEX(记账规则!$A$6:$N$9,MATCH(购销流水!$D493,记账规则!$A$6:$A$9,0),13),""))</f>
        <v/>
      </c>
      <c r="N1957" s="66" t="str">
        <f aca="false">IF($L1957="","",IFERROR(INDEX(记账规则!$A$6:$N$9,MATCH(购销流水!$D493,记账规则!$A$6:$A$9,0),14),""))</f>
        <v/>
      </c>
      <c r="O1957" s="67" t="n">
        <f aca="false">IF($H1957="",0,ROUND(IF($N1957="成本金额",N(购销流水!$W493),IF($N1957="金额",N(购销流水!$Q493),0)),2))</f>
        <v>0</v>
      </c>
      <c r="P1957" s="64" t="str">
        <f aca="false">IF(AND($H1957&lt;&gt;"",ROUND($O1957,2)&lt;&gt;0),"有","")</f>
        <v/>
      </c>
    </row>
    <row r="1958" customFormat="false" ht="15" hidden="true" customHeight="false" outlineLevel="0" collapsed="false">
      <c r="A1958" s="53" t="str">
        <f aca="false">IF($H1958="","",ROW()-5)</f>
        <v/>
      </c>
      <c r="B1958" s="64" t="s">
        <v>36</v>
      </c>
      <c r="C1958" s="53" t="n">
        <v>494</v>
      </c>
      <c r="D1958" s="53" t="n">
        <v>1</v>
      </c>
      <c r="E1958" s="65" t="str">
        <f aca="false">IF($H1958="","",购销流水!$B494)</f>
        <v/>
      </c>
      <c r="F1958" s="55" t="str">
        <f aca="false">IF($H1958="","",购销流水!$C494)</f>
        <v/>
      </c>
      <c r="G1958" s="48" t="str">
        <f aca="false">IF($H1958="","",购销流水!$N494)</f>
        <v/>
      </c>
      <c r="H1958" s="10" t="str">
        <f aca="false">IF($L1958="","",IF($L1958="@成本",购销流水!$U494,IF($L1958="@收入",购销流水!$T494,IF($L1958="@存货",购销流水!$S494,IF($L1958="@结算",购销流水!$R494,$L1958)))))</f>
        <v/>
      </c>
      <c r="I1958" s="42" t="n">
        <f aca="false">IF($M1958="借",$O1958,0)</f>
        <v>0</v>
      </c>
      <c r="J1958" s="42" t="n">
        <f aca="false">IF($M1958="贷",$O1958,0)</f>
        <v>0</v>
      </c>
      <c r="K1958" s="48" t="str">
        <f aca="false">IF($H1958="","",购销流水!$E494)</f>
        <v/>
      </c>
      <c r="L1958" s="66" t="str">
        <f aca="false">IF(购销流水!$D494="","",IFERROR(INDEX(记账规则!$A$6:$N$9,MATCH(购销流水!$D494,记账规则!$A$6:$A$9,0),3),""))</f>
        <v/>
      </c>
      <c r="M1958" s="66" t="str">
        <f aca="false">IF($L1958="","",IFERROR(INDEX(记账规则!$A$6:$N$9,MATCH(购销流水!$D494,记账规则!$A$6:$A$9,0),4),""))</f>
        <v/>
      </c>
      <c r="N1958" s="66" t="str">
        <f aca="false">IF($L1958="","",IFERROR(INDEX(记账规则!$A$6:$N$9,MATCH(购销流水!$D494,记账规则!$A$6:$A$9,0),5),""))</f>
        <v/>
      </c>
      <c r="O1958" s="67" t="n">
        <f aca="false">IF($H1958="",0,ROUND(IF($N1958="成本金额",N(购销流水!$W494),IF($N1958="金额",N(购销流水!$Q494),0)),2))</f>
        <v>0</v>
      </c>
      <c r="P1958" s="64" t="str">
        <f aca="false">IF(AND($H1958&lt;&gt;"",ROUND($O1958,2)&lt;&gt;0),"有","")</f>
        <v/>
      </c>
    </row>
    <row r="1959" customFormat="false" ht="15" hidden="true" customHeight="false" outlineLevel="0" collapsed="false">
      <c r="A1959" s="53" t="str">
        <f aca="false">IF($H1959="","",ROW()-5)</f>
        <v/>
      </c>
      <c r="B1959" s="64" t="s">
        <v>36</v>
      </c>
      <c r="C1959" s="53" t="n">
        <v>494</v>
      </c>
      <c r="D1959" s="53" t="n">
        <v>2</v>
      </c>
      <c r="E1959" s="65" t="str">
        <f aca="false">IF($H1959="","",购销流水!$B494)</f>
        <v/>
      </c>
      <c r="F1959" s="55" t="str">
        <f aca="false">IF($H1959="","",购销流水!$C494)</f>
        <v/>
      </c>
      <c r="G1959" s="48" t="str">
        <f aca="false">IF($H1959="","",购销流水!$N494)</f>
        <v/>
      </c>
      <c r="H1959" s="10" t="str">
        <f aca="false">IF($L1959="","",IF($L1959="@成本",购销流水!$U494,IF($L1959="@收入",购销流水!$T494,IF($L1959="@存货",购销流水!$S494,IF($L1959="@结算",购销流水!$R494,$L1959)))))</f>
        <v/>
      </c>
      <c r="I1959" s="42" t="n">
        <f aca="false">IF($M1959="借",$O1959,0)</f>
        <v>0</v>
      </c>
      <c r="J1959" s="42" t="n">
        <f aca="false">IF($M1959="贷",$O1959,0)</f>
        <v>0</v>
      </c>
      <c r="K1959" s="48" t="str">
        <f aca="false">IF($H1959="","",购销流水!$E494)</f>
        <v/>
      </c>
      <c r="L1959" s="66" t="str">
        <f aca="false">IF(购销流水!$D494="","",IFERROR(INDEX(记账规则!$A$6:$N$9,MATCH(购销流水!$D494,记账规则!$A$6:$A$9,0),6),""))</f>
        <v/>
      </c>
      <c r="M1959" s="66" t="str">
        <f aca="false">IF($L1959="","",IFERROR(INDEX(记账规则!$A$6:$N$9,MATCH(购销流水!$D494,记账规则!$A$6:$A$9,0),7),""))</f>
        <v/>
      </c>
      <c r="N1959" s="66" t="str">
        <f aca="false">IF($L1959="","",IFERROR(INDEX(记账规则!$A$6:$N$9,MATCH(购销流水!$D494,记账规则!$A$6:$A$9,0),8),""))</f>
        <v/>
      </c>
      <c r="O1959" s="67" t="n">
        <f aca="false">IF($H1959="",0,ROUND(IF($N1959="成本金额",N(购销流水!$W494),IF($N1959="金额",N(购销流水!$Q494),0)),2))</f>
        <v>0</v>
      </c>
      <c r="P1959" s="64" t="str">
        <f aca="false">IF(AND($H1959&lt;&gt;"",ROUND($O1959,2)&lt;&gt;0),"有","")</f>
        <v/>
      </c>
    </row>
    <row r="1960" customFormat="false" ht="15" hidden="true" customHeight="false" outlineLevel="0" collapsed="false">
      <c r="A1960" s="53" t="str">
        <f aca="false">IF($H1960="","",ROW()-5)</f>
        <v/>
      </c>
      <c r="B1960" s="64" t="s">
        <v>36</v>
      </c>
      <c r="C1960" s="53" t="n">
        <v>494</v>
      </c>
      <c r="D1960" s="53" t="n">
        <v>3</v>
      </c>
      <c r="E1960" s="65" t="str">
        <f aca="false">IF($H1960="","",购销流水!$B494)</f>
        <v/>
      </c>
      <c r="F1960" s="55" t="str">
        <f aca="false">IF($H1960="","",购销流水!$C494)</f>
        <v/>
      </c>
      <c r="G1960" s="48" t="str">
        <f aca="false">IF($H1960="","",购销流水!$N494)</f>
        <v/>
      </c>
      <c r="H1960" s="10" t="str">
        <f aca="false">IF($L1960="","",IF($L1960="@成本",购销流水!$U494,IF($L1960="@收入",购销流水!$T494,IF($L1960="@存货",购销流水!$S494,IF($L1960="@结算",购销流水!$R494,$L1960)))))</f>
        <v/>
      </c>
      <c r="I1960" s="42" t="n">
        <f aca="false">IF($M1960="借",$O1960,0)</f>
        <v>0</v>
      </c>
      <c r="J1960" s="42" t="n">
        <f aca="false">IF($M1960="贷",$O1960,0)</f>
        <v>0</v>
      </c>
      <c r="K1960" s="48" t="str">
        <f aca="false">IF($H1960="","",购销流水!$E494)</f>
        <v/>
      </c>
      <c r="L1960" s="66" t="str">
        <f aca="false">IF(购销流水!$D494="","",IFERROR(INDEX(记账规则!$A$6:$N$9,MATCH(购销流水!$D494,记账规则!$A$6:$A$9,0),9),""))</f>
        <v/>
      </c>
      <c r="M1960" s="66" t="str">
        <f aca="false">IF($L1960="","",IFERROR(INDEX(记账规则!$A$6:$N$9,MATCH(购销流水!$D494,记账规则!$A$6:$A$9,0),10),""))</f>
        <v/>
      </c>
      <c r="N1960" s="66" t="str">
        <f aca="false">IF($L1960="","",IFERROR(INDEX(记账规则!$A$6:$N$9,MATCH(购销流水!$D494,记账规则!$A$6:$A$9,0),11),""))</f>
        <v/>
      </c>
      <c r="O1960" s="67" t="n">
        <f aca="false">IF($H1960="",0,ROUND(IF($N1960="成本金额",N(购销流水!$W494),IF($N1960="金额",N(购销流水!$Q494),0)),2))</f>
        <v>0</v>
      </c>
      <c r="P1960" s="64" t="str">
        <f aca="false">IF(AND($H1960&lt;&gt;"",ROUND($O1960,2)&lt;&gt;0),"有","")</f>
        <v/>
      </c>
    </row>
    <row r="1961" customFormat="false" ht="15" hidden="true" customHeight="false" outlineLevel="0" collapsed="false">
      <c r="A1961" s="53" t="str">
        <f aca="false">IF($H1961="","",ROW()-5)</f>
        <v/>
      </c>
      <c r="B1961" s="64" t="s">
        <v>36</v>
      </c>
      <c r="C1961" s="53" t="n">
        <v>494</v>
      </c>
      <c r="D1961" s="53" t="n">
        <v>4</v>
      </c>
      <c r="E1961" s="65" t="str">
        <f aca="false">IF($H1961="","",购销流水!$B494)</f>
        <v/>
      </c>
      <c r="F1961" s="55" t="str">
        <f aca="false">IF($H1961="","",购销流水!$C494)</f>
        <v/>
      </c>
      <c r="G1961" s="48" t="str">
        <f aca="false">IF($H1961="","",购销流水!$N494)</f>
        <v/>
      </c>
      <c r="H1961" s="10" t="str">
        <f aca="false">IF($L1961="","",IF($L1961="@成本",购销流水!$U494,IF($L1961="@收入",购销流水!$T494,IF($L1961="@存货",购销流水!$S494,IF($L1961="@结算",购销流水!$R494,$L1961)))))</f>
        <v/>
      </c>
      <c r="I1961" s="42" t="n">
        <f aca="false">IF($M1961="借",$O1961,0)</f>
        <v>0</v>
      </c>
      <c r="J1961" s="42" t="n">
        <f aca="false">IF($M1961="贷",$O1961,0)</f>
        <v>0</v>
      </c>
      <c r="K1961" s="48" t="str">
        <f aca="false">IF($H1961="","",购销流水!$E494)</f>
        <v/>
      </c>
      <c r="L1961" s="66" t="str">
        <f aca="false">IF(购销流水!$D494="","",IFERROR(INDEX(记账规则!$A$6:$N$9,MATCH(购销流水!$D494,记账规则!$A$6:$A$9,0),12),""))</f>
        <v/>
      </c>
      <c r="M1961" s="66" t="str">
        <f aca="false">IF($L1961="","",IFERROR(INDEX(记账规则!$A$6:$N$9,MATCH(购销流水!$D494,记账规则!$A$6:$A$9,0),13),""))</f>
        <v/>
      </c>
      <c r="N1961" s="66" t="str">
        <f aca="false">IF($L1961="","",IFERROR(INDEX(记账规则!$A$6:$N$9,MATCH(购销流水!$D494,记账规则!$A$6:$A$9,0),14),""))</f>
        <v/>
      </c>
      <c r="O1961" s="67" t="n">
        <f aca="false">IF($H1961="",0,ROUND(IF($N1961="成本金额",N(购销流水!$W494),IF($N1961="金额",N(购销流水!$Q494),0)),2))</f>
        <v>0</v>
      </c>
      <c r="P1961" s="64" t="str">
        <f aca="false">IF(AND($H1961&lt;&gt;"",ROUND($O1961,2)&lt;&gt;0),"有","")</f>
        <v/>
      </c>
    </row>
    <row r="1962" customFormat="false" ht="15" hidden="true" customHeight="false" outlineLevel="0" collapsed="false">
      <c r="A1962" s="53" t="str">
        <f aca="false">IF($H1962="","",ROW()-5)</f>
        <v/>
      </c>
      <c r="B1962" s="64" t="s">
        <v>36</v>
      </c>
      <c r="C1962" s="53" t="n">
        <v>495</v>
      </c>
      <c r="D1962" s="53" t="n">
        <v>1</v>
      </c>
      <c r="E1962" s="65" t="str">
        <f aca="false">IF($H1962="","",购销流水!$B495)</f>
        <v/>
      </c>
      <c r="F1962" s="55" t="str">
        <f aca="false">IF($H1962="","",购销流水!$C495)</f>
        <v/>
      </c>
      <c r="G1962" s="48" t="str">
        <f aca="false">IF($H1962="","",购销流水!$N495)</f>
        <v/>
      </c>
      <c r="H1962" s="10" t="str">
        <f aca="false">IF($L1962="","",IF($L1962="@成本",购销流水!$U495,IF($L1962="@收入",购销流水!$T495,IF($L1962="@存货",购销流水!$S495,IF($L1962="@结算",购销流水!$R495,$L1962)))))</f>
        <v/>
      </c>
      <c r="I1962" s="42" t="n">
        <f aca="false">IF($M1962="借",$O1962,0)</f>
        <v>0</v>
      </c>
      <c r="J1962" s="42" t="n">
        <f aca="false">IF($M1962="贷",$O1962,0)</f>
        <v>0</v>
      </c>
      <c r="K1962" s="48" t="str">
        <f aca="false">IF($H1962="","",购销流水!$E495)</f>
        <v/>
      </c>
      <c r="L1962" s="66" t="str">
        <f aca="false">IF(购销流水!$D495="","",IFERROR(INDEX(记账规则!$A$6:$N$9,MATCH(购销流水!$D495,记账规则!$A$6:$A$9,0),3),""))</f>
        <v/>
      </c>
      <c r="M1962" s="66" t="str">
        <f aca="false">IF($L1962="","",IFERROR(INDEX(记账规则!$A$6:$N$9,MATCH(购销流水!$D495,记账规则!$A$6:$A$9,0),4),""))</f>
        <v/>
      </c>
      <c r="N1962" s="66" t="str">
        <f aca="false">IF($L1962="","",IFERROR(INDEX(记账规则!$A$6:$N$9,MATCH(购销流水!$D495,记账规则!$A$6:$A$9,0),5),""))</f>
        <v/>
      </c>
      <c r="O1962" s="67" t="n">
        <f aca="false">IF($H1962="",0,ROUND(IF($N1962="成本金额",N(购销流水!$W495),IF($N1962="金额",N(购销流水!$Q495),0)),2))</f>
        <v>0</v>
      </c>
      <c r="P1962" s="64" t="str">
        <f aca="false">IF(AND($H1962&lt;&gt;"",ROUND($O1962,2)&lt;&gt;0),"有","")</f>
        <v/>
      </c>
    </row>
    <row r="1963" customFormat="false" ht="15" hidden="true" customHeight="false" outlineLevel="0" collapsed="false">
      <c r="A1963" s="53" t="str">
        <f aca="false">IF($H1963="","",ROW()-5)</f>
        <v/>
      </c>
      <c r="B1963" s="64" t="s">
        <v>36</v>
      </c>
      <c r="C1963" s="53" t="n">
        <v>495</v>
      </c>
      <c r="D1963" s="53" t="n">
        <v>2</v>
      </c>
      <c r="E1963" s="65" t="str">
        <f aca="false">IF($H1963="","",购销流水!$B495)</f>
        <v/>
      </c>
      <c r="F1963" s="55" t="str">
        <f aca="false">IF($H1963="","",购销流水!$C495)</f>
        <v/>
      </c>
      <c r="G1963" s="48" t="str">
        <f aca="false">IF($H1963="","",购销流水!$N495)</f>
        <v/>
      </c>
      <c r="H1963" s="10" t="str">
        <f aca="false">IF($L1963="","",IF($L1963="@成本",购销流水!$U495,IF($L1963="@收入",购销流水!$T495,IF($L1963="@存货",购销流水!$S495,IF($L1963="@结算",购销流水!$R495,$L1963)))))</f>
        <v/>
      </c>
      <c r="I1963" s="42" t="n">
        <f aca="false">IF($M1963="借",$O1963,0)</f>
        <v>0</v>
      </c>
      <c r="J1963" s="42" t="n">
        <f aca="false">IF($M1963="贷",$O1963,0)</f>
        <v>0</v>
      </c>
      <c r="K1963" s="48" t="str">
        <f aca="false">IF($H1963="","",购销流水!$E495)</f>
        <v/>
      </c>
      <c r="L1963" s="66" t="str">
        <f aca="false">IF(购销流水!$D495="","",IFERROR(INDEX(记账规则!$A$6:$N$9,MATCH(购销流水!$D495,记账规则!$A$6:$A$9,0),6),""))</f>
        <v/>
      </c>
      <c r="M1963" s="66" t="str">
        <f aca="false">IF($L1963="","",IFERROR(INDEX(记账规则!$A$6:$N$9,MATCH(购销流水!$D495,记账规则!$A$6:$A$9,0),7),""))</f>
        <v/>
      </c>
      <c r="N1963" s="66" t="str">
        <f aca="false">IF($L1963="","",IFERROR(INDEX(记账规则!$A$6:$N$9,MATCH(购销流水!$D495,记账规则!$A$6:$A$9,0),8),""))</f>
        <v/>
      </c>
      <c r="O1963" s="67" t="n">
        <f aca="false">IF($H1963="",0,ROUND(IF($N1963="成本金额",N(购销流水!$W495),IF($N1963="金额",N(购销流水!$Q495),0)),2))</f>
        <v>0</v>
      </c>
      <c r="P1963" s="64" t="str">
        <f aca="false">IF(AND($H1963&lt;&gt;"",ROUND($O1963,2)&lt;&gt;0),"有","")</f>
        <v/>
      </c>
    </row>
    <row r="1964" customFormat="false" ht="15" hidden="true" customHeight="false" outlineLevel="0" collapsed="false">
      <c r="A1964" s="53" t="str">
        <f aca="false">IF($H1964="","",ROW()-5)</f>
        <v/>
      </c>
      <c r="B1964" s="64" t="s">
        <v>36</v>
      </c>
      <c r="C1964" s="53" t="n">
        <v>495</v>
      </c>
      <c r="D1964" s="53" t="n">
        <v>3</v>
      </c>
      <c r="E1964" s="65" t="str">
        <f aca="false">IF($H1964="","",购销流水!$B495)</f>
        <v/>
      </c>
      <c r="F1964" s="55" t="str">
        <f aca="false">IF($H1964="","",购销流水!$C495)</f>
        <v/>
      </c>
      <c r="G1964" s="48" t="str">
        <f aca="false">IF($H1964="","",购销流水!$N495)</f>
        <v/>
      </c>
      <c r="H1964" s="10" t="str">
        <f aca="false">IF($L1964="","",IF($L1964="@成本",购销流水!$U495,IF($L1964="@收入",购销流水!$T495,IF($L1964="@存货",购销流水!$S495,IF($L1964="@结算",购销流水!$R495,$L1964)))))</f>
        <v/>
      </c>
      <c r="I1964" s="42" t="n">
        <f aca="false">IF($M1964="借",$O1964,0)</f>
        <v>0</v>
      </c>
      <c r="J1964" s="42" t="n">
        <f aca="false">IF($M1964="贷",$O1964,0)</f>
        <v>0</v>
      </c>
      <c r="K1964" s="48" t="str">
        <f aca="false">IF($H1964="","",购销流水!$E495)</f>
        <v/>
      </c>
      <c r="L1964" s="66" t="str">
        <f aca="false">IF(购销流水!$D495="","",IFERROR(INDEX(记账规则!$A$6:$N$9,MATCH(购销流水!$D495,记账规则!$A$6:$A$9,0),9),""))</f>
        <v/>
      </c>
      <c r="M1964" s="66" t="str">
        <f aca="false">IF($L1964="","",IFERROR(INDEX(记账规则!$A$6:$N$9,MATCH(购销流水!$D495,记账规则!$A$6:$A$9,0),10),""))</f>
        <v/>
      </c>
      <c r="N1964" s="66" t="str">
        <f aca="false">IF($L1964="","",IFERROR(INDEX(记账规则!$A$6:$N$9,MATCH(购销流水!$D495,记账规则!$A$6:$A$9,0),11),""))</f>
        <v/>
      </c>
      <c r="O1964" s="67" t="n">
        <f aca="false">IF($H1964="",0,ROUND(IF($N1964="成本金额",N(购销流水!$W495),IF($N1964="金额",N(购销流水!$Q495),0)),2))</f>
        <v>0</v>
      </c>
      <c r="P1964" s="64" t="str">
        <f aca="false">IF(AND($H1964&lt;&gt;"",ROUND($O1964,2)&lt;&gt;0),"有","")</f>
        <v/>
      </c>
    </row>
    <row r="1965" customFormat="false" ht="15" hidden="true" customHeight="false" outlineLevel="0" collapsed="false">
      <c r="A1965" s="53" t="str">
        <f aca="false">IF($H1965="","",ROW()-5)</f>
        <v/>
      </c>
      <c r="B1965" s="64" t="s">
        <v>36</v>
      </c>
      <c r="C1965" s="53" t="n">
        <v>495</v>
      </c>
      <c r="D1965" s="53" t="n">
        <v>4</v>
      </c>
      <c r="E1965" s="65" t="str">
        <f aca="false">IF($H1965="","",购销流水!$B495)</f>
        <v/>
      </c>
      <c r="F1965" s="55" t="str">
        <f aca="false">IF($H1965="","",购销流水!$C495)</f>
        <v/>
      </c>
      <c r="G1965" s="48" t="str">
        <f aca="false">IF($H1965="","",购销流水!$N495)</f>
        <v/>
      </c>
      <c r="H1965" s="10" t="str">
        <f aca="false">IF($L1965="","",IF($L1965="@成本",购销流水!$U495,IF($L1965="@收入",购销流水!$T495,IF($L1965="@存货",购销流水!$S495,IF($L1965="@结算",购销流水!$R495,$L1965)))))</f>
        <v/>
      </c>
      <c r="I1965" s="42" t="n">
        <f aca="false">IF($M1965="借",$O1965,0)</f>
        <v>0</v>
      </c>
      <c r="J1965" s="42" t="n">
        <f aca="false">IF($M1965="贷",$O1965,0)</f>
        <v>0</v>
      </c>
      <c r="K1965" s="48" t="str">
        <f aca="false">IF($H1965="","",购销流水!$E495)</f>
        <v/>
      </c>
      <c r="L1965" s="66" t="str">
        <f aca="false">IF(购销流水!$D495="","",IFERROR(INDEX(记账规则!$A$6:$N$9,MATCH(购销流水!$D495,记账规则!$A$6:$A$9,0),12),""))</f>
        <v/>
      </c>
      <c r="M1965" s="66" t="str">
        <f aca="false">IF($L1965="","",IFERROR(INDEX(记账规则!$A$6:$N$9,MATCH(购销流水!$D495,记账规则!$A$6:$A$9,0),13),""))</f>
        <v/>
      </c>
      <c r="N1965" s="66" t="str">
        <f aca="false">IF($L1965="","",IFERROR(INDEX(记账规则!$A$6:$N$9,MATCH(购销流水!$D495,记账规则!$A$6:$A$9,0),14),""))</f>
        <v/>
      </c>
      <c r="O1965" s="67" t="n">
        <f aca="false">IF($H1965="",0,ROUND(IF($N1965="成本金额",N(购销流水!$W495),IF($N1965="金额",N(购销流水!$Q495),0)),2))</f>
        <v>0</v>
      </c>
      <c r="P1965" s="64" t="str">
        <f aca="false">IF(AND($H1965&lt;&gt;"",ROUND($O1965,2)&lt;&gt;0),"有","")</f>
        <v/>
      </c>
    </row>
    <row r="1966" customFormat="false" ht="15" hidden="true" customHeight="false" outlineLevel="0" collapsed="false">
      <c r="A1966" s="53" t="str">
        <f aca="false">IF($H1966="","",ROW()-5)</f>
        <v/>
      </c>
      <c r="B1966" s="64" t="s">
        <v>36</v>
      </c>
      <c r="C1966" s="53" t="n">
        <v>496</v>
      </c>
      <c r="D1966" s="53" t="n">
        <v>1</v>
      </c>
      <c r="E1966" s="65" t="str">
        <f aca="false">IF($H1966="","",购销流水!$B496)</f>
        <v/>
      </c>
      <c r="F1966" s="55" t="str">
        <f aca="false">IF($H1966="","",购销流水!$C496)</f>
        <v/>
      </c>
      <c r="G1966" s="48" t="str">
        <f aca="false">IF($H1966="","",购销流水!$N496)</f>
        <v/>
      </c>
      <c r="H1966" s="10" t="str">
        <f aca="false">IF($L1966="","",IF($L1966="@成本",购销流水!$U496,IF($L1966="@收入",购销流水!$T496,IF($L1966="@存货",购销流水!$S496,IF($L1966="@结算",购销流水!$R496,$L1966)))))</f>
        <v/>
      </c>
      <c r="I1966" s="42" t="n">
        <f aca="false">IF($M1966="借",$O1966,0)</f>
        <v>0</v>
      </c>
      <c r="J1966" s="42" t="n">
        <f aca="false">IF($M1966="贷",$O1966,0)</f>
        <v>0</v>
      </c>
      <c r="K1966" s="48" t="str">
        <f aca="false">IF($H1966="","",购销流水!$E496)</f>
        <v/>
      </c>
      <c r="L1966" s="66" t="str">
        <f aca="false">IF(购销流水!$D496="","",IFERROR(INDEX(记账规则!$A$6:$N$9,MATCH(购销流水!$D496,记账规则!$A$6:$A$9,0),3),""))</f>
        <v/>
      </c>
      <c r="M1966" s="66" t="str">
        <f aca="false">IF($L1966="","",IFERROR(INDEX(记账规则!$A$6:$N$9,MATCH(购销流水!$D496,记账规则!$A$6:$A$9,0),4),""))</f>
        <v/>
      </c>
      <c r="N1966" s="66" t="str">
        <f aca="false">IF($L1966="","",IFERROR(INDEX(记账规则!$A$6:$N$9,MATCH(购销流水!$D496,记账规则!$A$6:$A$9,0),5),""))</f>
        <v/>
      </c>
      <c r="O1966" s="67" t="n">
        <f aca="false">IF($H1966="",0,ROUND(IF($N1966="成本金额",N(购销流水!$W496),IF($N1966="金额",N(购销流水!$Q496),0)),2))</f>
        <v>0</v>
      </c>
      <c r="P1966" s="64" t="str">
        <f aca="false">IF(AND($H1966&lt;&gt;"",ROUND($O1966,2)&lt;&gt;0),"有","")</f>
        <v/>
      </c>
    </row>
    <row r="1967" customFormat="false" ht="15" hidden="true" customHeight="false" outlineLevel="0" collapsed="false">
      <c r="A1967" s="53" t="str">
        <f aca="false">IF($H1967="","",ROW()-5)</f>
        <v/>
      </c>
      <c r="B1967" s="64" t="s">
        <v>36</v>
      </c>
      <c r="C1967" s="53" t="n">
        <v>496</v>
      </c>
      <c r="D1967" s="53" t="n">
        <v>2</v>
      </c>
      <c r="E1967" s="65" t="str">
        <f aca="false">IF($H1967="","",购销流水!$B496)</f>
        <v/>
      </c>
      <c r="F1967" s="55" t="str">
        <f aca="false">IF($H1967="","",购销流水!$C496)</f>
        <v/>
      </c>
      <c r="G1967" s="48" t="str">
        <f aca="false">IF($H1967="","",购销流水!$N496)</f>
        <v/>
      </c>
      <c r="H1967" s="10" t="str">
        <f aca="false">IF($L1967="","",IF($L1967="@成本",购销流水!$U496,IF($L1967="@收入",购销流水!$T496,IF($L1967="@存货",购销流水!$S496,IF($L1967="@结算",购销流水!$R496,$L1967)))))</f>
        <v/>
      </c>
      <c r="I1967" s="42" t="n">
        <f aca="false">IF($M1967="借",$O1967,0)</f>
        <v>0</v>
      </c>
      <c r="J1967" s="42" t="n">
        <f aca="false">IF($M1967="贷",$O1967,0)</f>
        <v>0</v>
      </c>
      <c r="K1967" s="48" t="str">
        <f aca="false">IF($H1967="","",购销流水!$E496)</f>
        <v/>
      </c>
      <c r="L1967" s="66" t="str">
        <f aca="false">IF(购销流水!$D496="","",IFERROR(INDEX(记账规则!$A$6:$N$9,MATCH(购销流水!$D496,记账规则!$A$6:$A$9,0),6),""))</f>
        <v/>
      </c>
      <c r="M1967" s="66" t="str">
        <f aca="false">IF($L1967="","",IFERROR(INDEX(记账规则!$A$6:$N$9,MATCH(购销流水!$D496,记账规则!$A$6:$A$9,0),7),""))</f>
        <v/>
      </c>
      <c r="N1967" s="66" t="str">
        <f aca="false">IF($L1967="","",IFERROR(INDEX(记账规则!$A$6:$N$9,MATCH(购销流水!$D496,记账规则!$A$6:$A$9,0),8),""))</f>
        <v/>
      </c>
      <c r="O1967" s="67" t="n">
        <f aca="false">IF($H1967="",0,ROUND(IF($N1967="成本金额",N(购销流水!$W496),IF($N1967="金额",N(购销流水!$Q496),0)),2))</f>
        <v>0</v>
      </c>
      <c r="P1967" s="64" t="str">
        <f aca="false">IF(AND($H1967&lt;&gt;"",ROUND($O1967,2)&lt;&gt;0),"有","")</f>
        <v/>
      </c>
    </row>
    <row r="1968" customFormat="false" ht="15" hidden="true" customHeight="false" outlineLevel="0" collapsed="false">
      <c r="A1968" s="53" t="str">
        <f aca="false">IF($H1968="","",ROW()-5)</f>
        <v/>
      </c>
      <c r="B1968" s="64" t="s">
        <v>36</v>
      </c>
      <c r="C1968" s="53" t="n">
        <v>496</v>
      </c>
      <c r="D1968" s="53" t="n">
        <v>3</v>
      </c>
      <c r="E1968" s="65" t="str">
        <f aca="false">IF($H1968="","",购销流水!$B496)</f>
        <v/>
      </c>
      <c r="F1968" s="55" t="str">
        <f aca="false">IF($H1968="","",购销流水!$C496)</f>
        <v/>
      </c>
      <c r="G1968" s="48" t="str">
        <f aca="false">IF($H1968="","",购销流水!$N496)</f>
        <v/>
      </c>
      <c r="H1968" s="10" t="str">
        <f aca="false">IF($L1968="","",IF($L1968="@成本",购销流水!$U496,IF($L1968="@收入",购销流水!$T496,IF($L1968="@存货",购销流水!$S496,IF($L1968="@结算",购销流水!$R496,$L1968)))))</f>
        <v/>
      </c>
      <c r="I1968" s="42" t="n">
        <f aca="false">IF($M1968="借",$O1968,0)</f>
        <v>0</v>
      </c>
      <c r="J1968" s="42" t="n">
        <f aca="false">IF($M1968="贷",$O1968,0)</f>
        <v>0</v>
      </c>
      <c r="K1968" s="48" t="str">
        <f aca="false">IF($H1968="","",购销流水!$E496)</f>
        <v/>
      </c>
      <c r="L1968" s="66" t="str">
        <f aca="false">IF(购销流水!$D496="","",IFERROR(INDEX(记账规则!$A$6:$N$9,MATCH(购销流水!$D496,记账规则!$A$6:$A$9,0),9),""))</f>
        <v/>
      </c>
      <c r="M1968" s="66" t="str">
        <f aca="false">IF($L1968="","",IFERROR(INDEX(记账规则!$A$6:$N$9,MATCH(购销流水!$D496,记账规则!$A$6:$A$9,0),10),""))</f>
        <v/>
      </c>
      <c r="N1968" s="66" t="str">
        <f aca="false">IF($L1968="","",IFERROR(INDEX(记账规则!$A$6:$N$9,MATCH(购销流水!$D496,记账规则!$A$6:$A$9,0),11),""))</f>
        <v/>
      </c>
      <c r="O1968" s="67" t="n">
        <f aca="false">IF($H1968="",0,ROUND(IF($N1968="成本金额",N(购销流水!$W496),IF($N1968="金额",N(购销流水!$Q496),0)),2))</f>
        <v>0</v>
      </c>
      <c r="P1968" s="64" t="str">
        <f aca="false">IF(AND($H1968&lt;&gt;"",ROUND($O1968,2)&lt;&gt;0),"有","")</f>
        <v/>
      </c>
    </row>
    <row r="1969" customFormat="false" ht="15" hidden="true" customHeight="false" outlineLevel="0" collapsed="false">
      <c r="A1969" s="53" t="str">
        <f aca="false">IF($H1969="","",ROW()-5)</f>
        <v/>
      </c>
      <c r="B1969" s="64" t="s">
        <v>36</v>
      </c>
      <c r="C1969" s="53" t="n">
        <v>496</v>
      </c>
      <c r="D1969" s="53" t="n">
        <v>4</v>
      </c>
      <c r="E1969" s="65" t="str">
        <f aca="false">IF($H1969="","",购销流水!$B496)</f>
        <v/>
      </c>
      <c r="F1969" s="55" t="str">
        <f aca="false">IF($H1969="","",购销流水!$C496)</f>
        <v/>
      </c>
      <c r="G1969" s="48" t="str">
        <f aca="false">IF($H1969="","",购销流水!$N496)</f>
        <v/>
      </c>
      <c r="H1969" s="10" t="str">
        <f aca="false">IF($L1969="","",IF($L1969="@成本",购销流水!$U496,IF($L1969="@收入",购销流水!$T496,IF($L1969="@存货",购销流水!$S496,IF($L1969="@结算",购销流水!$R496,$L1969)))))</f>
        <v/>
      </c>
      <c r="I1969" s="42" t="n">
        <f aca="false">IF($M1969="借",$O1969,0)</f>
        <v>0</v>
      </c>
      <c r="J1969" s="42" t="n">
        <f aca="false">IF($M1969="贷",$O1969,0)</f>
        <v>0</v>
      </c>
      <c r="K1969" s="48" t="str">
        <f aca="false">IF($H1969="","",购销流水!$E496)</f>
        <v/>
      </c>
      <c r="L1969" s="66" t="str">
        <f aca="false">IF(购销流水!$D496="","",IFERROR(INDEX(记账规则!$A$6:$N$9,MATCH(购销流水!$D496,记账规则!$A$6:$A$9,0),12),""))</f>
        <v/>
      </c>
      <c r="M1969" s="66" t="str">
        <f aca="false">IF($L1969="","",IFERROR(INDEX(记账规则!$A$6:$N$9,MATCH(购销流水!$D496,记账规则!$A$6:$A$9,0),13),""))</f>
        <v/>
      </c>
      <c r="N1969" s="66" t="str">
        <f aca="false">IF($L1969="","",IFERROR(INDEX(记账规则!$A$6:$N$9,MATCH(购销流水!$D496,记账规则!$A$6:$A$9,0),14),""))</f>
        <v/>
      </c>
      <c r="O1969" s="67" t="n">
        <f aca="false">IF($H1969="",0,ROUND(IF($N1969="成本金额",N(购销流水!$W496),IF($N1969="金额",N(购销流水!$Q496),0)),2))</f>
        <v>0</v>
      </c>
      <c r="P1969" s="64" t="str">
        <f aca="false">IF(AND($H1969&lt;&gt;"",ROUND($O1969,2)&lt;&gt;0),"有","")</f>
        <v/>
      </c>
    </row>
    <row r="1970" customFormat="false" ht="15" hidden="true" customHeight="false" outlineLevel="0" collapsed="false">
      <c r="A1970" s="53" t="str">
        <f aca="false">IF($H1970="","",ROW()-5)</f>
        <v/>
      </c>
      <c r="B1970" s="64" t="s">
        <v>36</v>
      </c>
      <c r="C1970" s="53" t="n">
        <v>497</v>
      </c>
      <c r="D1970" s="53" t="n">
        <v>1</v>
      </c>
      <c r="E1970" s="65" t="str">
        <f aca="false">IF($H1970="","",购销流水!$B497)</f>
        <v/>
      </c>
      <c r="F1970" s="55" t="str">
        <f aca="false">IF($H1970="","",购销流水!$C497)</f>
        <v/>
      </c>
      <c r="G1970" s="48" t="str">
        <f aca="false">IF($H1970="","",购销流水!$N497)</f>
        <v/>
      </c>
      <c r="H1970" s="10" t="str">
        <f aca="false">IF($L1970="","",IF($L1970="@成本",购销流水!$U497,IF($L1970="@收入",购销流水!$T497,IF($L1970="@存货",购销流水!$S497,IF($L1970="@结算",购销流水!$R497,$L1970)))))</f>
        <v/>
      </c>
      <c r="I1970" s="42" t="n">
        <f aca="false">IF($M1970="借",$O1970,0)</f>
        <v>0</v>
      </c>
      <c r="J1970" s="42" t="n">
        <f aca="false">IF($M1970="贷",$O1970,0)</f>
        <v>0</v>
      </c>
      <c r="K1970" s="48" t="str">
        <f aca="false">IF($H1970="","",购销流水!$E497)</f>
        <v/>
      </c>
      <c r="L1970" s="66" t="str">
        <f aca="false">IF(购销流水!$D497="","",IFERROR(INDEX(记账规则!$A$6:$N$9,MATCH(购销流水!$D497,记账规则!$A$6:$A$9,0),3),""))</f>
        <v/>
      </c>
      <c r="M1970" s="66" t="str">
        <f aca="false">IF($L1970="","",IFERROR(INDEX(记账规则!$A$6:$N$9,MATCH(购销流水!$D497,记账规则!$A$6:$A$9,0),4),""))</f>
        <v/>
      </c>
      <c r="N1970" s="66" t="str">
        <f aca="false">IF($L1970="","",IFERROR(INDEX(记账规则!$A$6:$N$9,MATCH(购销流水!$D497,记账规则!$A$6:$A$9,0),5),""))</f>
        <v/>
      </c>
      <c r="O1970" s="67" t="n">
        <f aca="false">IF($H1970="",0,ROUND(IF($N1970="成本金额",N(购销流水!$W497),IF($N1970="金额",N(购销流水!$Q497),0)),2))</f>
        <v>0</v>
      </c>
      <c r="P1970" s="64" t="str">
        <f aca="false">IF(AND($H1970&lt;&gt;"",ROUND($O1970,2)&lt;&gt;0),"有","")</f>
        <v/>
      </c>
    </row>
    <row r="1971" customFormat="false" ht="15" hidden="true" customHeight="false" outlineLevel="0" collapsed="false">
      <c r="A1971" s="53" t="str">
        <f aca="false">IF($H1971="","",ROW()-5)</f>
        <v/>
      </c>
      <c r="B1971" s="64" t="s">
        <v>36</v>
      </c>
      <c r="C1971" s="53" t="n">
        <v>497</v>
      </c>
      <c r="D1971" s="53" t="n">
        <v>2</v>
      </c>
      <c r="E1971" s="65" t="str">
        <f aca="false">IF($H1971="","",购销流水!$B497)</f>
        <v/>
      </c>
      <c r="F1971" s="55" t="str">
        <f aca="false">IF($H1971="","",购销流水!$C497)</f>
        <v/>
      </c>
      <c r="G1971" s="48" t="str">
        <f aca="false">IF($H1971="","",购销流水!$N497)</f>
        <v/>
      </c>
      <c r="H1971" s="10" t="str">
        <f aca="false">IF($L1971="","",IF($L1971="@成本",购销流水!$U497,IF($L1971="@收入",购销流水!$T497,IF($L1971="@存货",购销流水!$S497,IF($L1971="@结算",购销流水!$R497,$L1971)))))</f>
        <v/>
      </c>
      <c r="I1971" s="42" t="n">
        <f aca="false">IF($M1971="借",$O1971,0)</f>
        <v>0</v>
      </c>
      <c r="J1971" s="42" t="n">
        <f aca="false">IF($M1971="贷",$O1971,0)</f>
        <v>0</v>
      </c>
      <c r="K1971" s="48" t="str">
        <f aca="false">IF($H1971="","",购销流水!$E497)</f>
        <v/>
      </c>
      <c r="L1971" s="66" t="str">
        <f aca="false">IF(购销流水!$D497="","",IFERROR(INDEX(记账规则!$A$6:$N$9,MATCH(购销流水!$D497,记账规则!$A$6:$A$9,0),6),""))</f>
        <v/>
      </c>
      <c r="M1971" s="66" t="str">
        <f aca="false">IF($L1971="","",IFERROR(INDEX(记账规则!$A$6:$N$9,MATCH(购销流水!$D497,记账规则!$A$6:$A$9,0),7),""))</f>
        <v/>
      </c>
      <c r="N1971" s="66" t="str">
        <f aca="false">IF($L1971="","",IFERROR(INDEX(记账规则!$A$6:$N$9,MATCH(购销流水!$D497,记账规则!$A$6:$A$9,0),8),""))</f>
        <v/>
      </c>
      <c r="O1971" s="67" t="n">
        <f aca="false">IF($H1971="",0,ROUND(IF($N1971="成本金额",N(购销流水!$W497),IF($N1971="金额",N(购销流水!$Q497),0)),2))</f>
        <v>0</v>
      </c>
      <c r="P1971" s="64" t="str">
        <f aca="false">IF(AND($H1971&lt;&gt;"",ROUND($O1971,2)&lt;&gt;0),"有","")</f>
        <v/>
      </c>
    </row>
    <row r="1972" customFormat="false" ht="15" hidden="true" customHeight="false" outlineLevel="0" collapsed="false">
      <c r="A1972" s="53" t="str">
        <f aca="false">IF($H1972="","",ROW()-5)</f>
        <v/>
      </c>
      <c r="B1972" s="64" t="s">
        <v>36</v>
      </c>
      <c r="C1972" s="53" t="n">
        <v>497</v>
      </c>
      <c r="D1972" s="53" t="n">
        <v>3</v>
      </c>
      <c r="E1972" s="65" t="str">
        <f aca="false">IF($H1972="","",购销流水!$B497)</f>
        <v/>
      </c>
      <c r="F1972" s="55" t="str">
        <f aca="false">IF($H1972="","",购销流水!$C497)</f>
        <v/>
      </c>
      <c r="G1972" s="48" t="str">
        <f aca="false">IF($H1972="","",购销流水!$N497)</f>
        <v/>
      </c>
      <c r="H1972" s="10" t="str">
        <f aca="false">IF($L1972="","",IF($L1972="@成本",购销流水!$U497,IF($L1972="@收入",购销流水!$T497,IF($L1972="@存货",购销流水!$S497,IF($L1972="@结算",购销流水!$R497,$L1972)))))</f>
        <v/>
      </c>
      <c r="I1972" s="42" t="n">
        <f aca="false">IF($M1972="借",$O1972,0)</f>
        <v>0</v>
      </c>
      <c r="J1972" s="42" t="n">
        <f aca="false">IF($M1972="贷",$O1972,0)</f>
        <v>0</v>
      </c>
      <c r="K1972" s="48" t="str">
        <f aca="false">IF($H1972="","",购销流水!$E497)</f>
        <v/>
      </c>
      <c r="L1972" s="66" t="str">
        <f aca="false">IF(购销流水!$D497="","",IFERROR(INDEX(记账规则!$A$6:$N$9,MATCH(购销流水!$D497,记账规则!$A$6:$A$9,0),9),""))</f>
        <v/>
      </c>
      <c r="M1972" s="66" t="str">
        <f aca="false">IF($L1972="","",IFERROR(INDEX(记账规则!$A$6:$N$9,MATCH(购销流水!$D497,记账规则!$A$6:$A$9,0),10),""))</f>
        <v/>
      </c>
      <c r="N1972" s="66" t="str">
        <f aca="false">IF($L1972="","",IFERROR(INDEX(记账规则!$A$6:$N$9,MATCH(购销流水!$D497,记账规则!$A$6:$A$9,0),11),""))</f>
        <v/>
      </c>
      <c r="O1972" s="67" t="n">
        <f aca="false">IF($H1972="",0,ROUND(IF($N1972="成本金额",N(购销流水!$W497),IF($N1972="金额",N(购销流水!$Q497),0)),2))</f>
        <v>0</v>
      </c>
      <c r="P1972" s="64" t="str">
        <f aca="false">IF(AND($H1972&lt;&gt;"",ROUND($O1972,2)&lt;&gt;0),"有","")</f>
        <v/>
      </c>
    </row>
    <row r="1973" customFormat="false" ht="15" hidden="true" customHeight="false" outlineLevel="0" collapsed="false">
      <c r="A1973" s="53" t="str">
        <f aca="false">IF($H1973="","",ROW()-5)</f>
        <v/>
      </c>
      <c r="B1973" s="64" t="s">
        <v>36</v>
      </c>
      <c r="C1973" s="53" t="n">
        <v>497</v>
      </c>
      <c r="D1973" s="53" t="n">
        <v>4</v>
      </c>
      <c r="E1973" s="65" t="str">
        <f aca="false">IF($H1973="","",购销流水!$B497)</f>
        <v/>
      </c>
      <c r="F1973" s="55" t="str">
        <f aca="false">IF($H1973="","",购销流水!$C497)</f>
        <v/>
      </c>
      <c r="G1973" s="48" t="str">
        <f aca="false">IF($H1973="","",购销流水!$N497)</f>
        <v/>
      </c>
      <c r="H1973" s="10" t="str">
        <f aca="false">IF($L1973="","",IF($L1973="@成本",购销流水!$U497,IF($L1973="@收入",购销流水!$T497,IF($L1973="@存货",购销流水!$S497,IF($L1973="@结算",购销流水!$R497,$L1973)))))</f>
        <v/>
      </c>
      <c r="I1973" s="42" t="n">
        <f aca="false">IF($M1973="借",$O1973,0)</f>
        <v>0</v>
      </c>
      <c r="J1973" s="42" t="n">
        <f aca="false">IF($M1973="贷",$O1973,0)</f>
        <v>0</v>
      </c>
      <c r="K1973" s="48" t="str">
        <f aca="false">IF($H1973="","",购销流水!$E497)</f>
        <v/>
      </c>
      <c r="L1973" s="66" t="str">
        <f aca="false">IF(购销流水!$D497="","",IFERROR(INDEX(记账规则!$A$6:$N$9,MATCH(购销流水!$D497,记账规则!$A$6:$A$9,0),12),""))</f>
        <v/>
      </c>
      <c r="M1973" s="66" t="str">
        <f aca="false">IF($L1973="","",IFERROR(INDEX(记账规则!$A$6:$N$9,MATCH(购销流水!$D497,记账规则!$A$6:$A$9,0),13),""))</f>
        <v/>
      </c>
      <c r="N1973" s="66" t="str">
        <f aca="false">IF($L1973="","",IFERROR(INDEX(记账规则!$A$6:$N$9,MATCH(购销流水!$D497,记账规则!$A$6:$A$9,0),14),""))</f>
        <v/>
      </c>
      <c r="O1973" s="67" t="n">
        <f aca="false">IF($H1973="",0,ROUND(IF($N1973="成本金额",N(购销流水!$W497),IF($N1973="金额",N(购销流水!$Q497),0)),2))</f>
        <v>0</v>
      </c>
      <c r="P1973" s="64" t="str">
        <f aca="false">IF(AND($H1973&lt;&gt;"",ROUND($O1973,2)&lt;&gt;0),"有","")</f>
        <v/>
      </c>
    </row>
    <row r="1974" customFormat="false" ht="15" hidden="true" customHeight="false" outlineLevel="0" collapsed="false">
      <c r="A1974" s="53" t="str">
        <f aca="false">IF($H1974="","",ROW()-5)</f>
        <v/>
      </c>
      <c r="B1974" s="64" t="s">
        <v>36</v>
      </c>
      <c r="C1974" s="53" t="n">
        <v>498</v>
      </c>
      <c r="D1974" s="53" t="n">
        <v>1</v>
      </c>
      <c r="E1974" s="65" t="str">
        <f aca="false">IF($H1974="","",购销流水!$B498)</f>
        <v/>
      </c>
      <c r="F1974" s="55" t="str">
        <f aca="false">IF($H1974="","",购销流水!$C498)</f>
        <v/>
      </c>
      <c r="G1974" s="48" t="str">
        <f aca="false">IF($H1974="","",购销流水!$N498)</f>
        <v/>
      </c>
      <c r="H1974" s="10" t="str">
        <f aca="false">IF($L1974="","",IF($L1974="@成本",购销流水!$U498,IF($L1974="@收入",购销流水!$T498,IF($L1974="@存货",购销流水!$S498,IF($L1974="@结算",购销流水!$R498,$L1974)))))</f>
        <v/>
      </c>
      <c r="I1974" s="42" t="n">
        <f aca="false">IF($M1974="借",$O1974,0)</f>
        <v>0</v>
      </c>
      <c r="J1974" s="42" t="n">
        <f aca="false">IF($M1974="贷",$O1974,0)</f>
        <v>0</v>
      </c>
      <c r="K1974" s="48" t="str">
        <f aca="false">IF($H1974="","",购销流水!$E498)</f>
        <v/>
      </c>
      <c r="L1974" s="66" t="str">
        <f aca="false">IF(购销流水!$D498="","",IFERROR(INDEX(记账规则!$A$6:$N$9,MATCH(购销流水!$D498,记账规则!$A$6:$A$9,0),3),""))</f>
        <v/>
      </c>
      <c r="M1974" s="66" t="str">
        <f aca="false">IF($L1974="","",IFERROR(INDEX(记账规则!$A$6:$N$9,MATCH(购销流水!$D498,记账规则!$A$6:$A$9,0),4),""))</f>
        <v/>
      </c>
      <c r="N1974" s="66" t="str">
        <f aca="false">IF($L1974="","",IFERROR(INDEX(记账规则!$A$6:$N$9,MATCH(购销流水!$D498,记账规则!$A$6:$A$9,0),5),""))</f>
        <v/>
      </c>
      <c r="O1974" s="67" t="n">
        <f aca="false">IF($H1974="",0,ROUND(IF($N1974="成本金额",N(购销流水!$W498),IF($N1974="金额",N(购销流水!$Q498),0)),2))</f>
        <v>0</v>
      </c>
      <c r="P1974" s="64" t="str">
        <f aca="false">IF(AND($H1974&lt;&gt;"",ROUND($O1974,2)&lt;&gt;0),"有","")</f>
        <v/>
      </c>
    </row>
    <row r="1975" customFormat="false" ht="15" hidden="true" customHeight="false" outlineLevel="0" collapsed="false">
      <c r="A1975" s="53" t="str">
        <f aca="false">IF($H1975="","",ROW()-5)</f>
        <v/>
      </c>
      <c r="B1975" s="64" t="s">
        <v>36</v>
      </c>
      <c r="C1975" s="53" t="n">
        <v>498</v>
      </c>
      <c r="D1975" s="53" t="n">
        <v>2</v>
      </c>
      <c r="E1975" s="65" t="str">
        <f aca="false">IF($H1975="","",购销流水!$B498)</f>
        <v/>
      </c>
      <c r="F1975" s="55" t="str">
        <f aca="false">IF($H1975="","",购销流水!$C498)</f>
        <v/>
      </c>
      <c r="G1975" s="48" t="str">
        <f aca="false">IF($H1975="","",购销流水!$N498)</f>
        <v/>
      </c>
      <c r="H1975" s="10" t="str">
        <f aca="false">IF($L1975="","",IF($L1975="@成本",购销流水!$U498,IF($L1975="@收入",购销流水!$T498,IF($L1975="@存货",购销流水!$S498,IF($L1975="@结算",购销流水!$R498,$L1975)))))</f>
        <v/>
      </c>
      <c r="I1975" s="42" t="n">
        <f aca="false">IF($M1975="借",$O1975,0)</f>
        <v>0</v>
      </c>
      <c r="J1975" s="42" t="n">
        <f aca="false">IF($M1975="贷",$O1975,0)</f>
        <v>0</v>
      </c>
      <c r="K1975" s="48" t="str">
        <f aca="false">IF($H1975="","",购销流水!$E498)</f>
        <v/>
      </c>
      <c r="L1975" s="66" t="str">
        <f aca="false">IF(购销流水!$D498="","",IFERROR(INDEX(记账规则!$A$6:$N$9,MATCH(购销流水!$D498,记账规则!$A$6:$A$9,0),6),""))</f>
        <v/>
      </c>
      <c r="M1975" s="66" t="str">
        <f aca="false">IF($L1975="","",IFERROR(INDEX(记账规则!$A$6:$N$9,MATCH(购销流水!$D498,记账规则!$A$6:$A$9,0),7),""))</f>
        <v/>
      </c>
      <c r="N1975" s="66" t="str">
        <f aca="false">IF($L1975="","",IFERROR(INDEX(记账规则!$A$6:$N$9,MATCH(购销流水!$D498,记账规则!$A$6:$A$9,0),8),""))</f>
        <v/>
      </c>
      <c r="O1975" s="67" t="n">
        <f aca="false">IF($H1975="",0,ROUND(IF($N1975="成本金额",N(购销流水!$W498),IF($N1975="金额",N(购销流水!$Q498),0)),2))</f>
        <v>0</v>
      </c>
      <c r="P1975" s="64" t="str">
        <f aca="false">IF(AND($H1975&lt;&gt;"",ROUND($O1975,2)&lt;&gt;0),"有","")</f>
        <v/>
      </c>
    </row>
    <row r="1976" customFormat="false" ht="15" hidden="true" customHeight="false" outlineLevel="0" collapsed="false">
      <c r="A1976" s="53" t="str">
        <f aca="false">IF($H1976="","",ROW()-5)</f>
        <v/>
      </c>
      <c r="B1976" s="64" t="s">
        <v>36</v>
      </c>
      <c r="C1976" s="53" t="n">
        <v>498</v>
      </c>
      <c r="D1976" s="53" t="n">
        <v>3</v>
      </c>
      <c r="E1976" s="65" t="str">
        <f aca="false">IF($H1976="","",购销流水!$B498)</f>
        <v/>
      </c>
      <c r="F1976" s="55" t="str">
        <f aca="false">IF($H1976="","",购销流水!$C498)</f>
        <v/>
      </c>
      <c r="G1976" s="48" t="str">
        <f aca="false">IF($H1976="","",购销流水!$N498)</f>
        <v/>
      </c>
      <c r="H1976" s="10" t="str">
        <f aca="false">IF($L1976="","",IF($L1976="@成本",购销流水!$U498,IF($L1976="@收入",购销流水!$T498,IF($L1976="@存货",购销流水!$S498,IF($L1976="@结算",购销流水!$R498,$L1976)))))</f>
        <v/>
      </c>
      <c r="I1976" s="42" t="n">
        <f aca="false">IF($M1976="借",$O1976,0)</f>
        <v>0</v>
      </c>
      <c r="J1976" s="42" t="n">
        <f aca="false">IF($M1976="贷",$O1976,0)</f>
        <v>0</v>
      </c>
      <c r="K1976" s="48" t="str">
        <f aca="false">IF($H1976="","",购销流水!$E498)</f>
        <v/>
      </c>
      <c r="L1976" s="66" t="str">
        <f aca="false">IF(购销流水!$D498="","",IFERROR(INDEX(记账规则!$A$6:$N$9,MATCH(购销流水!$D498,记账规则!$A$6:$A$9,0),9),""))</f>
        <v/>
      </c>
      <c r="M1976" s="66" t="str">
        <f aca="false">IF($L1976="","",IFERROR(INDEX(记账规则!$A$6:$N$9,MATCH(购销流水!$D498,记账规则!$A$6:$A$9,0),10),""))</f>
        <v/>
      </c>
      <c r="N1976" s="66" t="str">
        <f aca="false">IF($L1976="","",IFERROR(INDEX(记账规则!$A$6:$N$9,MATCH(购销流水!$D498,记账规则!$A$6:$A$9,0),11),""))</f>
        <v/>
      </c>
      <c r="O1976" s="67" t="n">
        <f aca="false">IF($H1976="",0,ROUND(IF($N1976="成本金额",N(购销流水!$W498),IF($N1976="金额",N(购销流水!$Q498),0)),2))</f>
        <v>0</v>
      </c>
      <c r="P1976" s="64" t="str">
        <f aca="false">IF(AND($H1976&lt;&gt;"",ROUND($O1976,2)&lt;&gt;0),"有","")</f>
        <v/>
      </c>
    </row>
    <row r="1977" customFormat="false" ht="15" hidden="true" customHeight="false" outlineLevel="0" collapsed="false">
      <c r="A1977" s="53" t="str">
        <f aca="false">IF($H1977="","",ROW()-5)</f>
        <v/>
      </c>
      <c r="B1977" s="64" t="s">
        <v>36</v>
      </c>
      <c r="C1977" s="53" t="n">
        <v>498</v>
      </c>
      <c r="D1977" s="53" t="n">
        <v>4</v>
      </c>
      <c r="E1977" s="65" t="str">
        <f aca="false">IF($H1977="","",购销流水!$B498)</f>
        <v/>
      </c>
      <c r="F1977" s="55" t="str">
        <f aca="false">IF($H1977="","",购销流水!$C498)</f>
        <v/>
      </c>
      <c r="G1977" s="48" t="str">
        <f aca="false">IF($H1977="","",购销流水!$N498)</f>
        <v/>
      </c>
      <c r="H1977" s="10" t="str">
        <f aca="false">IF($L1977="","",IF($L1977="@成本",购销流水!$U498,IF($L1977="@收入",购销流水!$T498,IF($L1977="@存货",购销流水!$S498,IF($L1977="@结算",购销流水!$R498,$L1977)))))</f>
        <v/>
      </c>
      <c r="I1977" s="42" t="n">
        <f aca="false">IF($M1977="借",$O1977,0)</f>
        <v>0</v>
      </c>
      <c r="J1977" s="42" t="n">
        <f aca="false">IF($M1977="贷",$O1977,0)</f>
        <v>0</v>
      </c>
      <c r="K1977" s="48" t="str">
        <f aca="false">IF($H1977="","",购销流水!$E498)</f>
        <v/>
      </c>
      <c r="L1977" s="66" t="str">
        <f aca="false">IF(购销流水!$D498="","",IFERROR(INDEX(记账规则!$A$6:$N$9,MATCH(购销流水!$D498,记账规则!$A$6:$A$9,0),12),""))</f>
        <v/>
      </c>
      <c r="M1977" s="66" t="str">
        <f aca="false">IF($L1977="","",IFERROR(INDEX(记账规则!$A$6:$N$9,MATCH(购销流水!$D498,记账规则!$A$6:$A$9,0),13),""))</f>
        <v/>
      </c>
      <c r="N1977" s="66" t="str">
        <f aca="false">IF($L1977="","",IFERROR(INDEX(记账规则!$A$6:$N$9,MATCH(购销流水!$D498,记账规则!$A$6:$A$9,0),14),""))</f>
        <v/>
      </c>
      <c r="O1977" s="67" t="n">
        <f aca="false">IF($H1977="",0,ROUND(IF($N1977="成本金额",N(购销流水!$W498),IF($N1977="金额",N(购销流水!$Q498),0)),2))</f>
        <v>0</v>
      </c>
      <c r="P1977" s="64" t="str">
        <f aca="false">IF(AND($H1977&lt;&gt;"",ROUND($O1977,2)&lt;&gt;0),"有","")</f>
        <v/>
      </c>
    </row>
    <row r="1978" customFormat="false" ht="15" hidden="true" customHeight="false" outlineLevel="0" collapsed="false">
      <c r="A1978" s="53" t="str">
        <f aca="false">IF($H1978="","",ROW()-5)</f>
        <v/>
      </c>
      <c r="B1978" s="64" t="s">
        <v>36</v>
      </c>
      <c r="C1978" s="53" t="n">
        <v>499</v>
      </c>
      <c r="D1978" s="53" t="n">
        <v>1</v>
      </c>
      <c r="E1978" s="65" t="str">
        <f aca="false">IF($H1978="","",购销流水!$B499)</f>
        <v/>
      </c>
      <c r="F1978" s="55" t="str">
        <f aca="false">IF($H1978="","",购销流水!$C499)</f>
        <v/>
      </c>
      <c r="G1978" s="48" t="str">
        <f aca="false">IF($H1978="","",购销流水!$N499)</f>
        <v/>
      </c>
      <c r="H1978" s="10" t="str">
        <f aca="false">IF($L1978="","",IF($L1978="@成本",购销流水!$U499,IF($L1978="@收入",购销流水!$T499,IF($L1978="@存货",购销流水!$S499,IF($L1978="@结算",购销流水!$R499,$L1978)))))</f>
        <v/>
      </c>
      <c r="I1978" s="42" t="n">
        <f aca="false">IF($M1978="借",$O1978,0)</f>
        <v>0</v>
      </c>
      <c r="J1978" s="42" t="n">
        <f aca="false">IF($M1978="贷",$O1978,0)</f>
        <v>0</v>
      </c>
      <c r="K1978" s="48" t="str">
        <f aca="false">IF($H1978="","",购销流水!$E499)</f>
        <v/>
      </c>
      <c r="L1978" s="66" t="str">
        <f aca="false">IF(购销流水!$D499="","",IFERROR(INDEX(记账规则!$A$6:$N$9,MATCH(购销流水!$D499,记账规则!$A$6:$A$9,0),3),""))</f>
        <v/>
      </c>
      <c r="M1978" s="66" t="str">
        <f aca="false">IF($L1978="","",IFERROR(INDEX(记账规则!$A$6:$N$9,MATCH(购销流水!$D499,记账规则!$A$6:$A$9,0),4),""))</f>
        <v/>
      </c>
      <c r="N1978" s="66" t="str">
        <f aca="false">IF($L1978="","",IFERROR(INDEX(记账规则!$A$6:$N$9,MATCH(购销流水!$D499,记账规则!$A$6:$A$9,0),5),""))</f>
        <v/>
      </c>
      <c r="O1978" s="67" t="n">
        <f aca="false">IF($H1978="",0,ROUND(IF($N1978="成本金额",N(购销流水!$W499),IF($N1978="金额",N(购销流水!$Q499),0)),2))</f>
        <v>0</v>
      </c>
      <c r="P1978" s="64" t="str">
        <f aca="false">IF(AND($H1978&lt;&gt;"",ROUND($O1978,2)&lt;&gt;0),"有","")</f>
        <v/>
      </c>
    </row>
    <row r="1979" customFormat="false" ht="15" hidden="true" customHeight="false" outlineLevel="0" collapsed="false">
      <c r="A1979" s="53" t="str">
        <f aca="false">IF($H1979="","",ROW()-5)</f>
        <v/>
      </c>
      <c r="B1979" s="64" t="s">
        <v>36</v>
      </c>
      <c r="C1979" s="53" t="n">
        <v>499</v>
      </c>
      <c r="D1979" s="53" t="n">
        <v>2</v>
      </c>
      <c r="E1979" s="65" t="str">
        <f aca="false">IF($H1979="","",购销流水!$B499)</f>
        <v/>
      </c>
      <c r="F1979" s="55" t="str">
        <f aca="false">IF($H1979="","",购销流水!$C499)</f>
        <v/>
      </c>
      <c r="G1979" s="48" t="str">
        <f aca="false">IF($H1979="","",购销流水!$N499)</f>
        <v/>
      </c>
      <c r="H1979" s="10" t="str">
        <f aca="false">IF($L1979="","",IF($L1979="@成本",购销流水!$U499,IF($L1979="@收入",购销流水!$T499,IF($L1979="@存货",购销流水!$S499,IF($L1979="@结算",购销流水!$R499,$L1979)))))</f>
        <v/>
      </c>
      <c r="I1979" s="42" t="n">
        <f aca="false">IF($M1979="借",$O1979,0)</f>
        <v>0</v>
      </c>
      <c r="J1979" s="42" t="n">
        <f aca="false">IF($M1979="贷",$O1979,0)</f>
        <v>0</v>
      </c>
      <c r="K1979" s="48" t="str">
        <f aca="false">IF($H1979="","",购销流水!$E499)</f>
        <v/>
      </c>
      <c r="L1979" s="66" t="str">
        <f aca="false">IF(购销流水!$D499="","",IFERROR(INDEX(记账规则!$A$6:$N$9,MATCH(购销流水!$D499,记账规则!$A$6:$A$9,0),6),""))</f>
        <v/>
      </c>
      <c r="M1979" s="66" t="str">
        <f aca="false">IF($L1979="","",IFERROR(INDEX(记账规则!$A$6:$N$9,MATCH(购销流水!$D499,记账规则!$A$6:$A$9,0),7),""))</f>
        <v/>
      </c>
      <c r="N1979" s="66" t="str">
        <f aca="false">IF($L1979="","",IFERROR(INDEX(记账规则!$A$6:$N$9,MATCH(购销流水!$D499,记账规则!$A$6:$A$9,0),8),""))</f>
        <v/>
      </c>
      <c r="O1979" s="67" t="n">
        <f aca="false">IF($H1979="",0,ROUND(IF($N1979="成本金额",N(购销流水!$W499),IF($N1979="金额",N(购销流水!$Q499),0)),2))</f>
        <v>0</v>
      </c>
      <c r="P1979" s="64" t="str">
        <f aca="false">IF(AND($H1979&lt;&gt;"",ROUND($O1979,2)&lt;&gt;0),"有","")</f>
        <v/>
      </c>
    </row>
    <row r="1980" customFormat="false" ht="15" hidden="true" customHeight="false" outlineLevel="0" collapsed="false">
      <c r="A1980" s="53" t="str">
        <f aca="false">IF($H1980="","",ROW()-5)</f>
        <v/>
      </c>
      <c r="B1980" s="64" t="s">
        <v>36</v>
      </c>
      <c r="C1980" s="53" t="n">
        <v>499</v>
      </c>
      <c r="D1980" s="53" t="n">
        <v>3</v>
      </c>
      <c r="E1980" s="65" t="str">
        <f aca="false">IF($H1980="","",购销流水!$B499)</f>
        <v/>
      </c>
      <c r="F1980" s="55" t="str">
        <f aca="false">IF($H1980="","",购销流水!$C499)</f>
        <v/>
      </c>
      <c r="G1980" s="48" t="str">
        <f aca="false">IF($H1980="","",购销流水!$N499)</f>
        <v/>
      </c>
      <c r="H1980" s="10" t="str">
        <f aca="false">IF($L1980="","",IF($L1980="@成本",购销流水!$U499,IF($L1980="@收入",购销流水!$T499,IF($L1980="@存货",购销流水!$S499,IF($L1980="@结算",购销流水!$R499,$L1980)))))</f>
        <v/>
      </c>
      <c r="I1980" s="42" t="n">
        <f aca="false">IF($M1980="借",$O1980,0)</f>
        <v>0</v>
      </c>
      <c r="J1980" s="42" t="n">
        <f aca="false">IF($M1980="贷",$O1980,0)</f>
        <v>0</v>
      </c>
      <c r="K1980" s="48" t="str">
        <f aca="false">IF($H1980="","",购销流水!$E499)</f>
        <v/>
      </c>
      <c r="L1980" s="66" t="str">
        <f aca="false">IF(购销流水!$D499="","",IFERROR(INDEX(记账规则!$A$6:$N$9,MATCH(购销流水!$D499,记账规则!$A$6:$A$9,0),9),""))</f>
        <v/>
      </c>
      <c r="M1980" s="66" t="str">
        <f aca="false">IF($L1980="","",IFERROR(INDEX(记账规则!$A$6:$N$9,MATCH(购销流水!$D499,记账规则!$A$6:$A$9,0),10),""))</f>
        <v/>
      </c>
      <c r="N1980" s="66" t="str">
        <f aca="false">IF($L1980="","",IFERROR(INDEX(记账规则!$A$6:$N$9,MATCH(购销流水!$D499,记账规则!$A$6:$A$9,0),11),""))</f>
        <v/>
      </c>
      <c r="O1980" s="67" t="n">
        <f aca="false">IF($H1980="",0,ROUND(IF($N1980="成本金额",N(购销流水!$W499),IF($N1980="金额",N(购销流水!$Q499),0)),2))</f>
        <v>0</v>
      </c>
      <c r="P1980" s="64" t="str">
        <f aca="false">IF(AND($H1980&lt;&gt;"",ROUND($O1980,2)&lt;&gt;0),"有","")</f>
        <v/>
      </c>
    </row>
    <row r="1981" customFormat="false" ht="15" hidden="true" customHeight="false" outlineLevel="0" collapsed="false">
      <c r="A1981" s="53" t="str">
        <f aca="false">IF($H1981="","",ROW()-5)</f>
        <v/>
      </c>
      <c r="B1981" s="64" t="s">
        <v>36</v>
      </c>
      <c r="C1981" s="53" t="n">
        <v>499</v>
      </c>
      <c r="D1981" s="53" t="n">
        <v>4</v>
      </c>
      <c r="E1981" s="65" t="str">
        <f aca="false">IF($H1981="","",购销流水!$B499)</f>
        <v/>
      </c>
      <c r="F1981" s="55" t="str">
        <f aca="false">IF($H1981="","",购销流水!$C499)</f>
        <v/>
      </c>
      <c r="G1981" s="48" t="str">
        <f aca="false">IF($H1981="","",购销流水!$N499)</f>
        <v/>
      </c>
      <c r="H1981" s="10" t="str">
        <f aca="false">IF($L1981="","",IF($L1981="@成本",购销流水!$U499,IF($L1981="@收入",购销流水!$T499,IF($L1981="@存货",购销流水!$S499,IF($L1981="@结算",购销流水!$R499,$L1981)))))</f>
        <v/>
      </c>
      <c r="I1981" s="42" t="n">
        <f aca="false">IF($M1981="借",$O1981,0)</f>
        <v>0</v>
      </c>
      <c r="J1981" s="42" t="n">
        <f aca="false">IF($M1981="贷",$O1981,0)</f>
        <v>0</v>
      </c>
      <c r="K1981" s="48" t="str">
        <f aca="false">IF($H1981="","",购销流水!$E499)</f>
        <v/>
      </c>
      <c r="L1981" s="66" t="str">
        <f aca="false">IF(购销流水!$D499="","",IFERROR(INDEX(记账规则!$A$6:$N$9,MATCH(购销流水!$D499,记账规则!$A$6:$A$9,0),12),""))</f>
        <v/>
      </c>
      <c r="M1981" s="66" t="str">
        <f aca="false">IF($L1981="","",IFERROR(INDEX(记账规则!$A$6:$N$9,MATCH(购销流水!$D499,记账规则!$A$6:$A$9,0),13),""))</f>
        <v/>
      </c>
      <c r="N1981" s="66" t="str">
        <f aca="false">IF($L1981="","",IFERROR(INDEX(记账规则!$A$6:$N$9,MATCH(购销流水!$D499,记账规则!$A$6:$A$9,0),14),""))</f>
        <v/>
      </c>
      <c r="O1981" s="67" t="n">
        <f aca="false">IF($H1981="",0,ROUND(IF($N1981="成本金额",N(购销流水!$W499),IF($N1981="金额",N(购销流水!$Q499),0)),2))</f>
        <v>0</v>
      </c>
      <c r="P1981" s="64" t="str">
        <f aca="false">IF(AND($H1981&lt;&gt;"",ROUND($O1981,2)&lt;&gt;0),"有","")</f>
        <v/>
      </c>
    </row>
    <row r="1982" customFormat="false" ht="15" hidden="true" customHeight="false" outlineLevel="0" collapsed="false">
      <c r="A1982" s="53" t="str">
        <f aca="false">IF($H1982="","",ROW()-5)</f>
        <v/>
      </c>
      <c r="B1982" s="64" t="s">
        <v>36</v>
      </c>
      <c r="C1982" s="53" t="n">
        <v>500</v>
      </c>
      <c r="D1982" s="53" t="n">
        <v>1</v>
      </c>
      <c r="E1982" s="65" t="str">
        <f aca="false">IF($H1982="","",购销流水!$B500)</f>
        <v/>
      </c>
      <c r="F1982" s="55" t="str">
        <f aca="false">IF($H1982="","",购销流水!$C500)</f>
        <v/>
      </c>
      <c r="G1982" s="48" t="str">
        <f aca="false">IF($H1982="","",购销流水!$N500)</f>
        <v/>
      </c>
      <c r="H1982" s="10" t="str">
        <f aca="false">IF($L1982="","",IF($L1982="@成本",购销流水!$U500,IF($L1982="@收入",购销流水!$T500,IF($L1982="@存货",购销流水!$S500,IF($L1982="@结算",购销流水!$R500,$L1982)))))</f>
        <v/>
      </c>
      <c r="I1982" s="42" t="n">
        <f aca="false">IF($M1982="借",$O1982,0)</f>
        <v>0</v>
      </c>
      <c r="J1982" s="42" t="n">
        <f aca="false">IF($M1982="贷",$O1982,0)</f>
        <v>0</v>
      </c>
      <c r="K1982" s="48" t="str">
        <f aca="false">IF($H1982="","",购销流水!$E500)</f>
        <v/>
      </c>
      <c r="L1982" s="66" t="str">
        <f aca="false">IF(购销流水!$D500="","",IFERROR(INDEX(记账规则!$A$6:$N$9,MATCH(购销流水!$D500,记账规则!$A$6:$A$9,0),3),""))</f>
        <v/>
      </c>
      <c r="M1982" s="66" t="str">
        <f aca="false">IF($L1982="","",IFERROR(INDEX(记账规则!$A$6:$N$9,MATCH(购销流水!$D500,记账规则!$A$6:$A$9,0),4),""))</f>
        <v/>
      </c>
      <c r="N1982" s="66" t="str">
        <f aca="false">IF($L1982="","",IFERROR(INDEX(记账规则!$A$6:$N$9,MATCH(购销流水!$D500,记账规则!$A$6:$A$9,0),5),""))</f>
        <v/>
      </c>
      <c r="O1982" s="67" t="n">
        <f aca="false">IF($H1982="",0,ROUND(IF($N1982="成本金额",N(购销流水!$W500),IF($N1982="金额",N(购销流水!$Q500),0)),2))</f>
        <v>0</v>
      </c>
      <c r="P1982" s="64" t="str">
        <f aca="false">IF(AND($H1982&lt;&gt;"",ROUND($O1982,2)&lt;&gt;0),"有","")</f>
        <v/>
      </c>
    </row>
    <row r="1983" customFormat="false" ht="15" hidden="true" customHeight="false" outlineLevel="0" collapsed="false">
      <c r="A1983" s="53" t="str">
        <f aca="false">IF($H1983="","",ROW()-5)</f>
        <v/>
      </c>
      <c r="B1983" s="64" t="s">
        <v>36</v>
      </c>
      <c r="C1983" s="53" t="n">
        <v>500</v>
      </c>
      <c r="D1983" s="53" t="n">
        <v>2</v>
      </c>
      <c r="E1983" s="65" t="str">
        <f aca="false">IF($H1983="","",购销流水!$B500)</f>
        <v/>
      </c>
      <c r="F1983" s="55" t="str">
        <f aca="false">IF($H1983="","",购销流水!$C500)</f>
        <v/>
      </c>
      <c r="G1983" s="48" t="str">
        <f aca="false">IF($H1983="","",购销流水!$N500)</f>
        <v/>
      </c>
      <c r="H1983" s="10" t="str">
        <f aca="false">IF($L1983="","",IF($L1983="@成本",购销流水!$U500,IF($L1983="@收入",购销流水!$T500,IF($L1983="@存货",购销流水!$S500,IF($L1983="@结算",购销流水!$R500,$L1983)))))</f>
        <v/>
      </c>
      <c r="I1983" s="42" t="n">
        <f aca="false">IF($M1983="借",$O1983,0)</f>
        <v>0</v>
      </c>
      <c r="J1983" s="42" t="n">
        <f aca="false">IF($M1983="贷",$O1983,0)</f>
        <v>0</v>
      </c>
      <c r="K1983" s="48" t="str">
        <f aca="false">IF($H1983="","",购销流水!$E500)</f>
        <v/>
      </c>
      <c r="L1983" s="66" t="str">
        <f aca="false">IF(购销流水!$D500="","",IFERROR(INDEX(记账规则!$A$6:$N$9,MATCH(购销流水!$D500,记账规则!$A$6:$A$9,0),6),""))</f>
        <v/>
      </c>
      <c r="M1983" s="66" t="str">
        <f aca="false">IF($L1983="","",IFERROR(INDEX(记账规则!$A$6:$N$9,MATCH(购销流水!$D500,记账规则!$A$6:$A$9,0),7),""))</f>
        <v/>
      </c>
      <c r="N1983" s="66" t="str">
        <f aca="false">IF($L1983="","",IFERROR(INDEX(记账规则!$A$6:$N$9,MATCH(购销流水!$D500,记账规则!$A$6:$A$9,0),8),""))</f>
        <v/>
      </c>
      <c r="O1983" s="67" t="n">
        <f aca="false">IF($H1983="",0,ROUND(IF($N1983="成本金额",N(购销流水!$W500),IF($N1983="金额",N(购销流水!$Q500),0)),2))</f>
        <v>0</v>
      </c>
      <c r="P1983" s="64" t="str">
        <f aca="false">IF(AND($H1983&lt;&gt;"",ROUND($O1983,2)&lt;&gt;0),"有","")</f>
        <v/>
      </c>
    </row>
    <row r="1984" customFormat="false" ht="15" hidden="true" customHeight="false" outlineLevel="0" collapsed="false">
      <c r="A1984" s="53" t="str">
        <f aca="false">IF($H1984="","",ROW()-5)</f>
        <v/>
      </c>
      <c r="B1984" s="64" t="s">
        <v>36</v>
      </c>
      <c r="C1984" s="53" t="n">
        <v>500</v>
      </c>
      <c r="D1984" s="53" t="n">
        <v>3</v>
      </c>
      <c r="E1984" s="65" t="str">
        <f aca="false">IF($H1984="","",购销流水!$B500)</f>
        <v/>
      </c>
      <c r="F1984" s="55" t="str">
        <f aca="false">IF($H1984="","",购销流水!$C500)</f>
        <v/>
      </c>
      <c r="G1984" s="48" t="str">
        <f aca="false">IF($H1984="","",购销流水!$N500)</f>
        <v/>
      </c>
      <c r="H1984" s="10" t="str">
        <f aca="false">IF($L1984="","",IF($L1984="@成本",购销流水!$U500,IF($L1984="@收入",购销流水!$T500,IF($L1984="@存货",购销流水!$S500,IF($L1984="@结算",购销流水!$R500,$L1984)))))</f>
        <v/>
      </c>
      <c r="I1984" s="42" t="n">
        <f aca="false">IF($M1984="借",$O1984,0)</f>
        <v>0</v>
      </c>
      <c r="J1984" s="42" t="n">
        <f aca="false">IF($M1984="贷",$O1984,0)</f>
        <v>0</v>
      </c>
      <c r="K1984" s="48" t="str">
        <f aca="false">IF($H1984="","",购销流水!$E500)</f>
        <v/>
      </c>
      <c r="L1984" s="66" t="str">
        <f aca="false">IF(购销流水!$D500="","",IFERROR(INDEX(记账规则!$A$6:$N$9,MATCH(购销流水!$D500,记账规则!$A$6:$A$9,0),9),""))</f>
        <v/>
      </c>
      <c r="M1984" s="66" t="str">
        <f aca="false">IF($L1984="","",IFERROR(INDEX(记账规则!$A$6:$N$9,MATCH(购销流水!$D500,记账规则!$A$6:$A$9,0),10),""))</f>
        <v/>
      </c>
      <c r="N1984" s="66" t="str">
        <f aca="false">IF($L1984="","",IFERROR(INDEX(记账规则!$A$6:$N$9,MATCH(购销流水!$D500,记账规则!$A$6:$A$9,0),11),""))</f>
        <v/>
      </c>
      <c r="O1984" s="67" t="n">
        <f aca="false">IF($H1984="",0,ROUND(IF($N1984="成本金额",N(购销流水!$W500),IF($N1984="金额",N(购销流水!$Q500),0)),2))</f>
        <v>0</v>
      </c>
      <c r="P1984" s="64" t="str">
        <f aca="false">IF(AND($H1984&lt;&gt;"",ROUND($O1984,2)&lt;&gt;0),"有","")</f>
        <v/>
      </c>
    </row>
    <row r="1985" customFormat="false" ht="15" hidden="true" customHeight="false" outlineLevel="0" collapsed="false">
      <c r="A1985" s="53" t="str">
        <f aca="false">IF($H1985="","",ROW()-5)</f>
        <v/>
      </c>
      <c r="B1985" s="64" t="s">
        <v>36</v>
      </c>
      <c r="C1985" s="53" t="n">
        <v>500</v>
      </c>
      <c r="D1985" s="53" t="n">
        <v>4</v>
      </c>
      <c r="E1985" s="65" t="str">
        <f aca="false">IF($H1985="","",购销流水!$B500)</f>
        <v/>
      </c>
      <c r="F1985" s="55" t="str">
        <f aca="false">IF($H1985="","",购销流水!$C500)</f>
        <v/>
      </c>
      <c r="G1985" s="48" t="str">
        <f aca="false">IF($H1985="","",购销流水!$N500)</f>
        <v/>
      </c>
      <c r="H1985" s="10" t="str">
        <f aca="false">IF($L1985="","",IF($L1985="@成本",购销流水!$U500,IF($L1985="@收入",购销流水!$T500,IF($L1985="@存货",购销流水!$S500,IF($L1985="@结算",购销流水!$R500,$L1985)))))</f>
        <v/>
      </c>
      <c r="I1985" s="42" t="n">
        <f aca="false">IF($M1985="借",$O1985,0)</f>
        <v>0</v>
      </c>
      <c r="J1985" s="42" t="n">
        <f aca="false">IF($M1985="贷",$O1985,0)</f>
        <v>0</v>
      </c>
      <c r="K1985" s="48" t="str">
        <f aca="false">IF($H1985="","",购销流水!$E500)</f>
        <v/>
      </c>
      <c r="L1985" s="66" t="str">
        <f aca="false">IF(购销流水!$D500="","",IFERROR(INDEX(记账规则!$A$6:$N$9,MATCH(购销流水!$D500,记账规则!$A$6:$A$9,0),12),""))</f>
        <v/>
      </c>
      <c r="M1985" s="66" t="str">
        <f aca="false">IF($L1985="","",IFERROR(INDEX(记账规则!$A$6:$N$9,MATCH(购销流水!$D500,记账规则!$A$6:$A$9,0),13),""))</f>
        <v/>
      </c>
      <c r="N1985" s="66" t="str">
        <f aca="false">IF($L1985="","",IFERROR(INDEX(记账规则!$A$6:$N$9,MATCH(购销流水!$D500,记账规则!$A$6:$A$9,0),14),""))</f>
        <v/>
      </c>
      <c r="O1985" s="67" t="n">
        <f aca="false">IF($H1985="",0,ROUND(IF($N1985="成本金额",N(购销流水!$W500),IF($N1985="金额",N(购销流水!$Q500),0)),2))</f>
        <v>0</v>
      </c>
      <c r="P1985" s="64" t="str">
        <f aca="false">IF(AND($H1985&lt;&gt;"",ROUND($O1985,2)&lt;&gt;0),"有","")</f>
        <v/>
      </c>
    </row>
    <row r="1986" customFormat="false" ht="15" hidden="true" customHeight="false" outlineLevel="0" collapsed="false">
      <c r="A1986" s="53" t="str">
        <f aca="false">IF($H1986="","",ROW()-5)</f>
        <v/>
      </c>
      <c r="B1986" s="64" t="s">
        <v>36</v>
      </c>
      <c r="C1986" s="53" t="n">
        <v>501</v>
      </c>
      <c r="D1986" s="53" t="n">
        <v>1</v>
      </c>
      <c r="E1986" s="65" t="str">
        <f aca="false">IF($H1986="","",购销流水!$B501)</f>
        <v/>
      </c>
      <c r="F1986" s="55" t="str">
        <f aca="false">IF($H1986="","",购销流水!$C501)</f>
        <v/>
      </c>
      <c r="G1986" s="48" t="str">
        <f aca="false">IF($H1986="","",购销流水!$N501)</f>
        <v/>
      </c>
      <c r="H1986" s="10" t="str">
        <f aca="false">IF($L1986="","",IF($L1986="@成本",购销流水!$U501,IF($L1986="@收入",购销流水!$T501,IF($L1986="@存货",购销流水!$S501,IF($L1986="@结算",购销流水!$R501,$L1986)))))</f>
        <v/>
      </c>
      <c r="I1986" s="42" t="n">
        <f aca="false">IF($M1986="借",$O1986,0)</f>
        <v>0</v>
      </c>
      <c r="J1986" s="42" t="n">
        <f aca="false">IF($M1986="贷",$O1986,0)</f>
        <v>0</v>
      </c>
      <c r="K1986" s="48" t="str">
        <f aca="false">IF($H1986="","",购销流水!$E501)</f>
        <v/>
      </c>
      <c r="L1986" s="66" t="str">
        <f aca="false">IF(购销流水!$D501="","",IFERROR(INDEX(记账规则!$A$6:$N$9,MATCH(购销流水!$D501,记账规则!$A$6:$A$9,0),3),""))</f>
        <v/>
      </c>
      <c r="M1986" s="66" t="str">
        <f aca="false">IF($L1986="","",IFERROR(INDEX(记账规则!$A$6:$N$9,MATCH(购销流水!$D501,记账规则!$A$6:$A$9,0),4),""))</f>
        <v/>
      </c>
      <c r="N1986" s="66" t="str">
        <f aca="false">IF($L1986="","",IFERROR(INDEX(记账规则!$A$6:$N$9,MATCH(购销流水!$D501,记账规则!$A$6:$A$9,0),5),""))</f>
        <v/>
      </c>
      <c r="O1986" s="67" t="n">
        <f aca="false">IF($H1986="",0,ROUND(IF($N1986="成本金额",N(购销流水!$W501),IF($N1986="金额",N(购销流水!$Q501),0)),2))</f>
        <v>0</v>
      </c>
      <c r="P1986" s="64" t="str">
        <f aca="false">IF(AND($H1986&lt;&gt;"",ROUND($O1986,2)&lt;&gt;0),"有","")</f>
        <v/>
      </c>
    </row>
    <row r="1987" customFormat="false" ht="15" hidden="true" customHeight="false" outlineLevel="0" collapsed="false">
      <c r="A1987" s="53" t="str">
        <f aca="false">IF($H1987="","",ROW()-5)</f>
        <v/>
      </c>
      <c r="B1987" s="64" t="s">
        <v>36</v>
      </c>
      <c r="C1987" s="53" t="n">
        <v>501</v>
      </c>
      <c r="D1987" s="53" t="n">
        <v>2</v>
      </c>
      <c r="E1987" s="65" t="str">
        <f aca="false">IF($H1987="","",购销流水!$B501)</f>
        <v/>
      </c>
      <c r="F1987" s="55" t="str">
        <f aca="false">IF($H1987="","",购销流水!$C501)</f>
        <v/>
      </c>
      <c r="G1987" s="48" t="str">
        <f aca="false">IF($H1987="","",购销流水!$N501)</f>
        <v/>
      </c>
      <c r="H1987" s="10" t="str">
        <f aca="false">IF($L1987="","",IF($L1987="@成本",购销流水!$U501,IF($L1987="@收入",购销流水!$T501,IF($L1987="@存货",购销流水!$S501,IF($L1987="@结算",购销流水!$R501,$L1987)))))</f>
        <v/>
      </c>
      <c r="I1987" s="42" t="n">
        <f aca="false">IF($M1987="借",$O1987,0)</f>
        <v>0</v>
      </c>
      <c r="J1987" s="42" t="n">
        <f aca="false">IF($M1987="贷",$O1987,0)</f>
        <v>0</v>
      </c>
      <c r="K1987" s="48" t="str">
        <f aca="false">IF($H1987="","",购销流水!$E501)</f>
        <v/>
      </c>
      <c r="L1987" s="66" t="str">
        <f aca="false">IF(购销流水!$D501="","",IFERROR(INDEX(记账规则!$A$6:$N$9,MATCH(购销流水!$D501,记账规则!$A$6:$A$9,0),6),""))</f>
        <v/>
      </c>
      <c r="M1987" s="66" t="str">
        <f aca="false">IF($L1987="","",IFERROR(INDEX(记账规则!$A$6:$N$9,MATCH(购销流水!$D501,记账规则!$A$6:$A$9,0),7),""))</f>
        <v/>
      </c>
      <c r="N1987" s="66" t="str">
        <f aca="false">IF($L1987="","",IFERROR(INDEX(记账规则!$A$6:$N$9,MATCH(购销流水!$D501,记账规则!$A$6:$A$9,0),8),""))</f>
        <v/>
      </c>
      <c r="O1987" s="67" t="n">
        <f aca="false">IF($H1987="",0,ROUND(IF($N1987="成本金额",N(购销流水!$W501),IF($N1987="金额",N(购销流水!$Q501),0)),2))</f>
        <v>0</v>
      </c>
      <c r="P1987" s="64" t="str">
        <f aca="false">IF(AND($H1987&lt;&gt;"",ROUND($O1987,2)&lt;&gt;0),"有","")</f>
        <v/>
      </c>
    </row>
    <row r="1988" customFormat="false" ht="15" hidden="true" customHeight="false" outlineLevel="0" collapsed="false">
      <c r="A1988" s="53" t="str">
        <f aca="false">IF($H1988="","",ROW()-5)</f>
        <v/>
      </c>
      <c r="B1988" s="64" t="s">
        <v>36</v>
      </c>
      <c r="C1988" s="53" t="n">
        <v>501</v>
      </c>
      <c r="D1988" s="53" t="n">
        <v>3</v>
      </c>
      <c r="E1988" s="65" t="str">
        <f aca="false">IF($H1988="","",购销流水!$B501)</f>
        <v/>
      </c>
      <c r="F1988" s="55" t="str">
        <f aca="false">IF($H1988="","",购销流水!$C501)</f>
        <v/>
      </c>
      <c r="G1988" s="48" t="str">
        <f aca="false">IF($H1988="","",购销流水!$N501)</f>
        <v/>
      </c>
      <c r="H1988" s="10" t="str">
        <f aca="false">IF($L1988="","",IF($L1988="@成本",购销流水!$U501,IF($L1988="@收入",购销流水!$T501,IF($L1988="@存货",购销流水!$S501,IF($L1988="@结算",购销流水!$R501,$L1988)))))</f>
        <v/>
      </c>
      <c r="I1988" s="42" t="n">
        <f aca="false">IF($M1988="借",$O1988,0)</f>
        <v>0</v>
      </c>
      <c r="J1988" s="42" t="n">
        <f aca="false">IF($M1988="贷",$O1988,0)</f>
        <v>0</v>
      </c>
      <c r="K1988" s="48" t="str">
        <f aca="false">IF($H1988="","",购销流水!$E501)</f>
        <v/>
      </c>
      <c r="L1988" s="66" t="str">
        <f aca="false">IF(购销流水!$D501="","",IFERROR(INDEX(记账规则!$A$6:$N$9,MATCH(购销流水!$D501,记账规则!$A$6:$A$9,0),9),""))</f>
        <v/>
      </c>
      <c r="M1988" s="66" t="str">
        <f aca="false">IF($L1988="","",IFERROR(INDEX(记账规则!$A$6:$N$9,MATCH(购销流水!$D501,记账规则!$A$6:$A$9,0),10),""))</f>
        <v/>
      </c>
      <c r="N1988" s="66" t="str">
        <f aca="false">IF($L1988="","",IFERROR(INDEX(记账规则!$A$6:$N$9,MATCH(购销流水!$D501,记账规则!$A$6:$A$9,0),11),""))</f>
        <v/>
      </c>
      <c r="O1988" s="67" t="n">
        <f aca="false">IF($H1988="",0,ROUND(IF($N1988="成本金额",N(购销流水!$W501),IF($N1988="金额",N(购销流水!$Q501),0)),2))</f>
        <v>0</v>
      </c>
      <c r="P1988" s="64" t="str">
        <f aca="false">IF(AND($H1988&lt;&gt;"",ROUND($O1988,2)&lt;&gt;0),"有","")</f>
        <v/>
      </c>
    </row>
    <row r="1989" customFormat="false" ht="15" hidden="true" customHeight="false" outlineLevel="0" collapsed="false">
      <c r="A1989" s="53" t="str">
        <f aca="false">IF($H1989="","",ROW()-5)</f>
        <v/>
      </c>
      <c r="B1989" s="64" t="s">
        <v>36</v>
      </c>
      <c r="C1989" s="53" t="n">
        <v>501</v>
      </c>
      <c r="D1989" s="53" t="n">
        <v>4</v>
      </c>
      <c r="E1989" s="65" t="str">
        <f aca="false">IF($H1989="","",购销流水!$B501)</f>
        <v/>
      </c>
      <c r="F1989" s="55" t="str">
        <f aca="false">IF($H1989="","",购销流水!$C501)</f>
        <v/>
      </c>
      <c r="G1989" s="48" t="str">
        <f aca="false">IF($H1989="","",购销流水!$N501)</f>
        <v/>
      </c>
      <c r="H1989" s="10" t="str">
        <f aca="false">IF($L1989="","",IF($L1989="@成本",购销流水!$U501,IF($L1989="@收入",购销流水!$T501,IF($L1989="@存货",购销流水!$S501,IF($L1989="@结算",购销流水!$R501,$L1989)))))</f>
        <v/>
      </c>
      <c r="I1989" s="42" t="n">
        <f aca="false">IF($M1989="借",$O1989,0)</f>
        <v>0</v>
      </c>
      <c r="J1989" s="42" t="n">
        <f aca="false">IF($M1989="贷",$O1989,0)</f>
        <v>0</v>
      </c>
      <c r="K1989" s="48" t="str">
        <f aca="false">IF($H1989="","",购销流水!$E501)</f>
        <v/>
      </c>
      <c r="L1989" s="66" t="str">
        <f aca="false">IF(购销流水!$D501="","",IFERROR(INDEX(记账规则!$A$6:$N$9,MATCH(购销流水!$D501,记账规则!$A$6:$A$9,0),12),""))</f>
        <v/>
      </c>
      <c r="M1989" s="66" t="str">
        <f aca="false">IF($L1989="","",IFERROR(INDEX(记账规则!$A$6:$N$9,MATCH(购销流水!$D501,记账规则!$A$6:$A$9,0),13),""))</f>
        <v/>
      </c>
      <c r="N1989" s="66" t="str">
        <f aca="false">IF($L1989="","",IFERROR(INDEX(记账规则!$A$6:$N$9,MATCH(购销流水!$D501,记账规则!$A$6:$A$9,0),14),""))</f>
        <v/>
      </c>
      <c r="O1989" s="67" t="n">
        <f aca="false">IF($H1989="",0,ROUND(IF($N1989="成本金额",N(购销流水!$W501),IF($N1989="金额",N(购销流水!$Q501),0)),2))</f>
        <v>0</v>
      </c>
      <c r="P1989" s="64" t="str">
        <f aca="false">IF(AND($H1989&lt;&gt;"",ROUND($O1989,2)&lt;&gt;0),"有","")</f>
        <v/>
      </c>
    </row>
    <row r="1990" customFormat="false" ht="15" hidden="true" customHeight="false" outlineLevel="0" collapsed="false">
      <c r="A1990" s="53" t="str">
        <f aca="false">IF($H1990="","",ROW()-5)</f>
        <v/>
      </c>
      <c r="B1990" s="64" t="s">
        <v>36</v>
      </c>
      <c r="C1990" s="53" t="n">
        <v>502</v>
      </c>
      <c r="D1990" s="53" t="n">
        <v>1</v>
      </c>
      <c r="E1990" s="65" t="str">
        <f aca="false">IF($H1990="","",购销流水!$B502)</f>
        <v/>
      </c>
      <c r="F1990" s="55" t="str">
        <f aca="false">IF($H1990="","",购销流水!$C502)</f>
        <v/>
      </c>
      <c r="G1990" s="48" t="str">
        <f aca="false">IF($H1990="","",购销流水!$N502)</f>
        <v/>
      </c>
      <c r="H1990" s="10" t="str">
        <f aca="false">IF($L1990="","",IF($L1990="@成本",购销流水!$U502,IF($L1990="@收入",购销流水!$T502,IF($L1990="@存货",购销流水!$S502,IF($L1990="@结算",购销流水!$R502,$L1990)))))</f>
        <v/>
      </c>
      <c r="I1990" s="42" t="n">
        <f aca="false">IF($M1990="借",$O1990,0)</f>
        <v>0</v>
      </c>
      <c r="J1990" s="42" t="n">
        <f aca="false">IF($M1990="贷",$O1990,0)</f>
        <v>0</v>
      </c>
      <c r="K1990" s="48" t="str">
        <f aca="false">IF($H1990="","",购销流水!$E502)</f>
        <v/>
      </c>
      <c r="L1990" s="66" t="str">
        <f aca="false">IF(购销流水!$D502="","",IFERROR(INDEX(记账规则!$A$6:$N$9,MATCH(购销流水!$D502,记账规则!$A$6:$A$9,0),3),""))</f>
        <v/>
      </c>
      <c r="M1990" s="66" t="str">
        <f aca="false">IF($L1990="","",IFERROR(INDEX(记账规则!$A$6:$N$9,MATCH(购销流水!$D502,记账规则!$A$6:$A$9,0),4),""))</f>
        <v/>
      </c>
      <c r="N1990" s="66" t="str">
        <f aca="false">IF($L1990="","",IFERROR(INDEX(记账规则!$A$6:$N$9,MATCH(购销流水!$D502,记账规则!$A$6:$A$9,0),5),""))</f>
        <v/>
      </c>
      <c r="O1990" s="67" t="n">
        <f aca="false">IF($H1990="",0,ROUND(IF($N1990="成本金额",N(购销流水!$W502),IF($N1990="金额",N(购销流水!$Q502),0)),2))</f>
        <v>0</v>
      </c>
      <c r="P1990" s="64" t="str">
        <f aca="false">IF(AND($H1990&lt;&gt;"",ROUND($O1990,2)&lt;&gt;0),"有","")</f>
        <v/>
      </c>
    </row>
    <row r="1991" customFormat="false" ht="15" hidden="true" customHeight="false" outlineLevel="0" collapsed="false">
      <c r="A1991" s="53" t="str">
        <f aca="false">IF($H1991="","",ROW()-5)</f>
        <v/>
      </c>
      <c r="B1991" s="64" t="s">
        <v>36</v>
      </c>
      <c r="C1991" s="53" t="n">
        <v>502</v>
      </c>
      <c r="D1991" s="53" t="n">
        <v>2</v>
      </c>
      <c r="E1991" s="65" t="str">
        <f aca="false">IF($H1991="","",购销流水!$B502)</f>
        <v/>
      </c>
      <c r="F1991" s="55" t="str">
        <f aca="false">IF($H1991="","",购销流水!$C502)</f>
        <v/>
      </c>
      <c r="G1991" s="48" t="str">
        <f aca="false">IF($H1991="","",购销流水!$N502)</f>
        <v/>
      </c>
      <c r="H1991" s="10" t="str">
        <f aca="false">IF($L1991="","",IF($L1991="@成本",购销流水!$U502,IF($L1991="@收入",购销流水!$T502,IF($L1991="@存货",购销流水!$S502,IF($L1991="@结算",购销流水!$R502,$L1991)))))</f>
        <v/>
      </c>
      <c r="I1991" s="42" t="n">
        <f aca="false">IF($M1991="借",$O1991,0)</f>
        <v>0</v>
      </c>
      <c r="J1991" s="42" t="n">
        <f aca="false">IF($M1991="贷",$O1991,0)</f>
        <v>0</v>
      </c>
      <c r="K1991" s="48" t="str">
        <f aca="false">IF($H1991="","",购销流水!$E502)</f>
        <v/>
      </c>
      <c r="L1991" s="66" t="str">
        <f aca="false">IF(购销流水!$D502="","",IFERROR(INDEX(记账规则!$A$6:$N$9,MATCH(购销流水!$D502,记账规则!$A$6:$A$9,0),6),""))</f>
        <v/>
      </c>
      <c r="M1991" s="66" t="str">
        <f aca="false">IF($L1991="","",IFERROR(INDEX(记账规则!$A$6:$N$9,MATCH(购销流水!$D502,记账规则!$A$6:$A$9,0),7),""))</f>
        <v/>
      </c>
      <c r="N1991" s="66" t="str">
        <f aca="false">IF($L1991="","",IFERROR(INDEX(记账规则!$A$6:$N$9,MATCH(购销流水!$D502,记账规则!$A$6:$A$9,0),8),""))</f>
        <v/>
      </c>
      <c r="O1991" s="67" t="n">
        <f aca="false">IF($H1991="",0,ROUND(IF($N1991="成本金额",N(购销流水!$W502),IF($N1991="金额",N(购销流水!$Q502),0)),2))</f>
        <v>0</v>
      </c>
      <c r="P1991" s="64" t="str">
        <f aca="false">IF(AND($H1991&lt;&gt;"",ROUND($O1991,2)&lt;&gt;0),"有","")</f>
        <v/>
      </c>
    </row>
    <row r="1992" customFormat="false" ht="15" hidden="true" customHeight="false" outlineLevel="0" collapsed="false">
      <c r="A1992" s="53" t="str">
        <f aca="false">IF($H1992="","",ROW()-5)</f>
        <v/>
      </c>
      <c r="B1992" s="64" t="s">
        <v>36</v>
      </c>
      <c r="C1992" s="53" t="n">
        <v>502</v>
      </c>
      <c r="D1992" s="53" t="n">
        <v>3</v>
      </c>
      <c r="E1992" s="65" t="str">
        <f aca="false">IF($H1992="","",购销流水!$B502)</f>
        <v/>
      </c>
      <c r="F1992" s="55" t="str">
        <f aca="false">IF($H1992="","",购销流水!$C502)</f>
        <v/>
      </c>
      <c r="G1992" s="48" t="str">
        <f aca="false">IF($H1992="","",购销流水!$N502)</f>
        <v/>
      </c>
      <c r="H1992" s="10" t="str">
        <f aca="false">IF($L1992="","",IF($L1992="@成本",购销流水!$U502,IF($L1992="@收入",购销流水!$T502,IF($L1992="@存货",购销流水!$S502,IF($L1992="@结算",购销流水!$R502,$L1992)))))</f>
        <v/>
      </c>
      <c r="I1992" s="42" t="n">
        <f aca="false">IF($M1992="借",$O1992,0)</f>
        <v>0</v>
      </c>
      <c r="J1992" s="42" t="n">
        <f aca="false">IF($M1992="贷",$O1992,0)</f>
        <v>0</v>
      </c>
      <c r="K1992" s="48" t="str">
        <f aca="false">IF($H1992="","",购销流水!$E502)</f>
        <v/>
      </c>
      <c r="L1992" s="66" t="str">
        <f aca="false">IF(购销流水!$D502="","",IFERROR(INDEX(记账规则!$A$6:$N$9,MATCH(购销流水!$D502,记账规则!$A$6:$A$9,0),9),""))</f>
        <v/>
      </c>
      <c r="M1992" s="66" t="str">
        <f aca="false">IF($L1992="","",IFERROR(INDEX(记账规则!$A$6:$N$9,MATCH(购销流水!$D502,记账规则!$A$6:$A$9,0),10),""))</f>
        <v/>
      </c>
      <c r="N1992" s="66" t="str">
        <f aca="false">IF($L1992="","",IFERROR(INDEX(记账规则!$A$6:$N$9,MATCH(购销流水!$D502,记账规则!$A$6:$A$9,0),11),""))</f>
        <v/>
      </c>
      <c r="O1992" s="67" t="n">
        <f aca="false">IF($H1992="",0,ROUND(IF($N1992="成本金额",N(购销流水!$W502),IF($N1992="金额",N(购销流水!$Q502),0)),2))</f>
        <v>0</v>
      </c>
      <c r="P1992" s="64" t="str">
        <f aca="false">IF(AND($H1992&lt;&gt;"",ROUND($O1992,2)&lt;&gt;0),"有","")</f>
        <v/>
      </c>
    </row>
    <row r="1993" customFormat="false" ht="15" hidden="true" customHeight="false" outlineLevel="0" collapsed="false">
      <c r="A1993" s="53" t="str">
        <f aca="false">IF($H1993="","",ROW()-5)</f>
        <v/>
      </c>
      <c r="B1993" s="64" t="s">
        <v>36</v>
      </c>
      <c r="C1993" s="53" t="n">
        <v>502</v>
      </c>
      <c r="D1993" s="53" t="n">
        <v>4</v>
      </c>
      <c r="E1993" s="65" t="str">
        <f aca="false">IF($H1993="","",购销流水!$B502)</f>
        <v/>
      </c>
      <c r="F1993" s="55" t="str">
        <f aca="false">IF($H1993="","",购销流水!$C502)</f>
        <v/>
      </c>
      <c r="G1993" s="48" t="str">
        <f aca="false">IF($H1993="","",购销流水!$N502)</f>
        <v/>
      </c>
      <c r="H1993" s="10" t="str">
        <f aca="false">IF($L1993="","",IF($L1993="@成本",购销流水!$U502,IF($L1993="@收入",购销流水!$T502,IF($L1993="@存货",购销流水!$S502,IF($L1993="@结算",购销流水!$R502,$L1993)))))</f>
        <v/>
      </c>
      <c r="I1993" s="42" t="n">
        <f aca="false">IF($M1993="借",$O1993,0)</f>
        <v>0</v>
      </c>
      <c r="J1993" s="42" t="n">
        <f aca="false">IF($M1993="贷",$O1993,0)</f>
        <v>0</v>
      </c>
      <c r="K1993" s="48" t="str">
        <f aca="false">IF($H1993="","",购销流水!$E502)</f>
        <v/>
      </c>
      <c r="L1993" s="66" t="str">
        <f aca="false">IF(购销流水!$D502="","",IFERROR(INDEX(记账规则!$A$6:$N$9,MATCH(购销流水!$D502,记账规则!$A$6:$A$9,0),12),""))</f>
        <v/>
      </c>
      <c r="M1993" s="66" t="str">
        <f aca="false">IF($L1993="","",IFERROR(INDEX(记账规则!$A$6:$N$9,MATCH(购销流水!$D502,记账规则!$A$6:$A$9,0),13),""))</f>
        <v/>
      </c>
      <c r="N1993" s="66" t="str">
        <f aca="false">IF($L1993="","",IFERROR(INDEX(记账规则!$A$6:$N$9,MATCH(购销流水!$D502,记账规则!$A$6:$A$9,0),14),""))</f>
        <v/>
      </c>
      <c r="O1993" s="67" t="n">
        <f aca="false">IF($H1993="",0,ROUND(IF($N1993="成本金额",N(购销流水!$W502),IF($N1993="金额",N(购销流水!$Q502),0)),2))</f>
        <v>0</v>
      </c>
      <c r="P1993" s="64" t="str">
        <f aca="false">IF(AND($H1993&lt;&gt;"",ROUND($O1993,2)&lt;&gt;0),"有","")</f>
        <v/>
      </c>
    </row>
    <row r="1994" customFormat="false" ht="15" hidden="true" customHeight="false" outlineLevel="0" collapsed="false">
      <c r="A1994" s="53" t="str">
        <f aca="false">IF($H1994="","",ROW()-5)</f>
        <v/>
      </c>
      <c r="B1994" s="64" t="s">
        <v>36</v>
      </c>
      <c r="C1994" s="53" t="n">
        <v>503</v>
      </c>
      <c r="D1994" s="53" t="n">
        <v>1</v>
      </c>
      <c r="E1994" s="65" t="str">
        <f aca="false">IF($H1994="","",购销流水!$B503)</f>
        <v/>
      </c>
      <c r="F1994" s="55" t="str">
        <f aca="false">IF($H1994="","",购销流水!$C503)</f>
        <v/>
      </c>
      <c r="G1994" s="48" t="str">
        <f aca="false">IF($H1994="","",购销流水!$N503)</f>
        <v/>
      </c>
      <c r="H1994" s="10" t="str">
        <f aca="false">IF($L1994="","",IF($L1994="@成本",购销流水!$U503,IF($L1994="@收入",购销流水!$T503,IF($L1994="@存货",购销流水!$S503,IF($L1994="@结算",购销流水!$R503,$L1994)))))</f>
        <v/>
      </c>
      <c r="I1994" s="42" t="n">
        <f aca="false">IF($M1994="借",$O1994,0)</f>
        <v>0</v>
      </c>
      <c r="J1994" s="42" t="n">
        <f aca="false">IF($M1994="贷",$O1994,0)</f>
        <v>0</v>
      </c>
      <c r="K1994" s="48" t="str">
        <f aca="false">IF($H1994="","",购销流水!$E503)</f>
        <v/>
      </c>
      <c r="L1994" s="66" t="str">
        <f aca="false">IF(购销流水!$D503="","",IFERROR(INDEX(记账规则!$A$6:$N$9,MATCH(购销流水!$D503,记账规则!$A$6:$A$9,0),3),""))</f>
        <v/>
      </c>
      <c r="M1994" s="66" t="str">
        <f aca="false">IF($L1994="","",IFERROR(INDEX(记账规则!$A$6:$N$9,MATCH(购销流水!$D503,记账规则!$A$6:$A$9,0),4),""))</f>
        <v/>
      </c>
      <c r="N1994" s="66" t="str">
        <f aca="false">IF($L1994="","",IFERROR(INDEX(记账规则!$A$6:$N$9,MATCH(购销流水!$D503,记账规则!$A$6:$A$9,0),5),""))</f>
        <v/>
      </c>
      <c r="O1994" s="67" t="n">
        <f aca="false">IF($H1994="",0,ROUND(IF($N1994="成本金额",N(购销流水!$W503),IF($N1994="金额",N(购销流水!$Q503),0)),2))</f>
        <v>0</v>
      </c>
      <c r="P1994" s="64" t="str">
        <f aca="false">IF(AND($H1994&lt;&gt;"",ROUND($O1994,2)&lt;&gt;0),"有","")</f>
        <v/>
      </c>
    </row>
    <row r="1995" customFormat="false" ht="15" hidden="true" customHeight="false" outlineLevel="0" collapsed="false">
      <c r="A1995" s="53" t="str">
        <f aca="false">IF($H1995="","",ROW()-5)</f>
        <v/>
      </c>
      <c r="B1995" s="64" t="s">
        <v>36</v>
      </c>
      <c r="C1995" s="53" t="n">
        <v>503</v>
      </c>
      <c r="D1995" s="53" t="n">
        <v>2</v>
      </c>
      <c r="E1995" s="65" t="str">
        <f aca="false">IF($H1995="","",购销流水!$B503)</f>
        <v/>
      </c>
      <c r="F1995" s="55" t="str">
        <f aca="false">IF($H1995="","",购销流水!$C503)</f>
        <v/>
      </c>
      <c r="G1995" s="48" t="str">
        <f aca="false">IF($H1995="","",购销流水!$N503)</f>
        <v/>
      </c>
      <c r="H1995" s="10" t="str">
        <f aca="false">IF($L1995="","",IF($L1995="@成本",购销流水!$U503,IF($L1995="@收入",购销流水!$T503,IF($L1995="@存货",购销流水!$S503,IF($L1995="@结算",购销流水!$R503,$L1995)))))</f>
        <v/>
      </c>
      <c r="I1995" s="42" t="n">
        <f aca="false">IF($M1995="借",$O1995,0)</f>
        <v>0</v>
      </c>
      <c r="J1995" s="42" t="n">
        <f aca="false">IF($M1995="贷",$O1995,0)</f>
        <v>0</v>
      </c>
      <c r="K1995" s="48" t="str">
        <f aca="false">IF($H1995="","",购销流水!$E503)</f>
        <v/>
      </c>
      <c r="L1995" s="66" t="str">
        <f aca="false">IF(购销流水!$D503="","",IFERROR(INDEX(记账规则!$A$6:$N$9,MATCH(购销流水!$D503,记账规则!$A$6:$A$9,0),6),""))</f>
        <v/>
      </c>
      <c r="M1995" s="66" t="str">
        <f aca="false">IF($L1995="","",IFERROR(INDEX(记账规则!$A$6:$N$9,MATCH(购销流水!$D503,记账规则!$A$6:$A$9,0),7),""))</f>
        <v/>
      </c>
      <c r="N1995" s="66" t="str">
        <f aca="false">IF($L1995="","",IFERROR(INDEX(记账规则!$A$6:$N$9,MATCH(购销流水!$D503,记账规则!$A$6:$A$9,0),8),""))</f>
        <v/>
      </c>
      <c r="O1995" s="67" t="n">
        <f aca="false">IF($H1995="",0,ROUND(IF($N1995="成本金额",N(购销流水!$W503),IF($N1995="金额",N(购销流水!$Q503),0)),2))</f>
        <v>0</v>
      </c>
      <c r="P1995" s="64" t="str">
        <f aca="false">IF(AND($H1995&lt;&gt;"",ROUND($O1995,2)&lt;&gt;0),"有","")</f>
        <v/>
      </c>
    </row>
    <row r="1996" customFormat="false" ht="15" hidden="true" customHeight="false" outlineLevel="0" collapsed="false">
      <c r="A1996" s="53" t="str">
        <f aca="false">IF($H1996="","",ROW()-5)</f>
        <v/>
      </c>
      <c r="B1996" s="64" t="s">
        <v>36</v>
      </c>
      <c r="C1996" s="53" t="n">
        <v>503</v>
      </c>
      <c r="D1996" s="53" t="n">
        <v>3</v>
      </c>
      <c r="E1996" s="65" t="str">
        <f aca="false">IF($H1996="","",购销流水!$B503)</f>
        <v/>
      </c>
      <c r="F1996" s="55" t="str">
        <f aca="false">IF($H1996="","",购销流水!$C503)</f>
        <v/>
      </c>
      <c r="G1996" s="48" t="str">
        <f aca="false">IF($H1996="","",购销流水!$N503)</f>
        <v/>
      </c>
      <c r="H1996" s="10" t="str">
        <f aca="false">IF($L1996="","",IF($L1996="@成本",购销流水!$U503,IF($L1996="@收入",购销流水!$T503,IF($L1996="@存货",购销流水!$S503,IF($L1996="@结算",购销流水!$R503,$L1996)))))</f>
        <v/>
      </c>
      <c r="I1996" s="42" t="n">
        <f aca="false">IF($M1996="借",$O1996,0)</f>
        <v>0</v>
      </c>
      <c r="J1996" s="42" t="n">
        <f aca="false">IF($M1996="贷",$O1996,0)</f>
        <v>0</v>
      </c>
      <c r="K1996" s="48" t="str">
        <f aca="false">IF($H1996="","",购销流水!$E503)</f>
        <v/>
      </c>
      <c r="L1996" s="66" t="str">
        <f aca="false">IF(购销流水!$D503="","",IFERROR(INDEX(记账规则!$A$6:$N$9,MATCH(购销流水!$D503,记账规则!$A$6:$A$9,0),9),""))</f>
        <v/>
      </c>
      <c r="M1996" s="66" t="str">
        <f aca="false">IF($L1996="","",IFERROR(INDEX(记账规则!$A$6:$N$9,MATCH(购销流水!$D503,记账规则!$A$6:$A$9,0),10),""))</f>
        <v/>
      </c>
      <c r="N1996" s="66" t="str">
        <f aca="false">IF($L1996="","",IFERROR(INDEX(记账规则!$A$6:$N$9,MATCH(购销流水!$D503,记账规则!$A$6:$A$9,0),11),""))</f>
        <v/>
      </c>
      <c r="O1996" s="67" t="n">
        <f aca="false">IF($H1996="",0,ROUND(IF($N1996="成本金额",N(购销流水!$W503),IF($N1996="金额",N(购销流水!$Q503),0)),2))</f>
        <v>0</v>
      </c>
      <c r="P1996" s="64" t="str">
        <f aca="false">IF(AND($H1996&lt;&gt;"",ROUND($O1996,2)&lt;&gt;0),"有","")</f>
        <v/>
      </c>
    </row>
    <row r="1997" customFormat="false" ht="15" hidden="true" customHeight="false" outlineLevel="0" collapsed="false">
      <c r="A1997" s="53" t="str">
        <f aca="false">IF($H1997="","",ROW()-5)</f>
        <v/>
      </c>
      <c r="B1997" s="64" t="s">
        <v>36</v>
      </c>
      <c r="C1997" s="53" t="n">
        <v>503</v>
      </c>
      <c r="D1997" s="53" t="n">
        <v>4</v>
      </c>
      <c r="E1997" s="65" t="str">
        <f aca="false">IF($H1997="","",购销流水!$B503)</f>
        <v/>
      </c>
      <c r="F1997" s="55" t="str">
        <f aca="false">IF($H1997="","",购销流水!$C503)</f>
        <v/>
      </c>
      <c r="G1997" s="48" t="str">
        <f aca="false">IF($H1997="","",购销流水!$N503)</f>
        <v/>
      </c>
      <c r="H1997" s="10" t="str">
        <f aca="false">IF($L1997="","",IF($L1997="@成本",购销流水!$U503,IF($L1997="@收入",购销流水!$T503,IF($L1997="@存货",购销流水!$S503,IF($L1997="@结算",购销流水!$R503,$L1997)))))</f>
        <v/>
      </c>
      <c r="I1997" s="42" t="n">
        <f aca="false">IF($M1997="借",$O1997,0)</f>
        <v>0</v>
      </c>
      <c r="J1997" s="42" t="n">
        <f aca="false">IF($M1997="贷",$O1997,0)</f>
        <v>0</v>
      </c>
      <c r="K1997" s="48" t="str">
        <f aca="false">IF($H1997="","",购销流水!$E503)</f>
        <v/>
      </c>
      <c r="L1997" s="66" t="str">
        <f aca="false">IF(购销流水!$D503="","",IFERROR(INDEX(记账规则!$A$6:$N$9,MATCH(购销流水!$D503,记账规则!$A$6:$A$9,0),12),""))</f>
        <v/>
      </c>
      <c r="M1997" s="66" t="str">
        <f aca="false">IF($L1997="","",IFERROR(INDEX(记账规则!$A$6:$N$9,MATCH(购销流水!$D503,记账规则!$A$6:$A$9,0),13),""))</f>
        <v/>
      </c>
      <c r="N1997" s="66" t="str">
        <f aca="false">IF($L1997="","",IFERROR(INDEX(记账规则!$A$6:$N$9,MATCH(购销流水!$D503,记账规则!$A$6:$A$9,0),14),""))</f>
        <v/>
      </c>
      <c r="O1997" s="67" t="n">
        <f aca="false">IF($H1997="",0,ROUND(IF($N1997="成本金额",N(购销流水!$W503),IF($N1997="金额",N(购销流水!$Q503),0)),2))</f>
        <v>0</v>
      </c>
      <c r="P1997" s="64" t="str">
        <f aca="false">IF(AND($H1997&lt;&gt;"",ROUND($O1997,2)&lt;&gt;0),"有","")</f>
        <v/>
      </c>
    </row>
    <row r="1998" customFormat="false" ht="15" hidden="true" customHeight="false" outlineLevel="0" collapsed="false">
      <c r="A1998" s="53" t="str">
        <f aca="false">IF($H1998="","",ROW()-5)</f>
        <v/>
      </c>
      <c r="B1998" s="64" t="s">
        <v>36</v>
      </c>
      <c r="C1998" s="53" t="n">
        <v>504</v>
      </c>
      <c r="D1998" s="53" t="n">
        <v>1</v>
      </c>
      <c r="E1998" s="65" t="str">
        <f aca="false">IF($H1998="","",购销流水!$B504)</f>
        <v/>
      </c>
      <c r="F1998" s="55" t="str">
        <f aca="false">IF($H1998="","",购销流水!$C504)</f>
        <v/>
      </c>
      <c r="G1998" s="48" t="str">
        <f aca="false">IF($H1998="","",购销流水!$N504)</f>
        <v/>
      </c>
      <c r="H1998" s="10" t="str">
        <f aca="false">IF($L1998="","",IF($L1998="@成本",购销流水!$U504,IF($L1998="@收入",购销流水!$T504,IF($L1998="@存货",购销流水!$S504,IF($L1998="@结算",购销流水!$R504,$L1998)))))</f>
        <v/>
      </c>
      <c r="I1998" s="42" t="n">
        <f aca="false">IF($M1998="借",$O1998,0)</f>
        <v>0</v>
      </c>
      <c r="J1998" s="42" t="n">
        <f aca="false">IF($M1998="贷",$O1998,0)</f>
        <v>0</v>
      </c>
      <c r="K1998" s="48" t="str">
        <f aca="false">IF($H1998="","",购销流水!$E504)</f>
        <v/>
      </c>
      <c r="L1998" s="66" t="str">
        <f aca="false">IF(购销流水!$D504="","",IFERROR(INDEX(记账规则!$A$6:$N$9,MATCH(购销流水!$D504,记账规则!$A$6:$A$9,0),3),""))</f>
        <v/>
      </c>
      <c r="M1998" s="66" t="str">
        <f aca="false">IF($L1998="","",IFERROR(INDEX(记账规则!$A$6:$N$9,MATCH(购销流水!$D504,记账规则!$A$6:$A$9,0),4),""))</f>
        <v/>
      </c>
      <c r="N1998" s="66" t="str">
        <f aca="false">IF($L1998="","",IFERROR(INDEX(记账规则!$A$6:$N$9,MATCH(购销流水!$D504,记账规则!$A$6:$A$9,0),5),""))</f>
        <v/>
      </c>
      <c r="O1998" s="67" t="n">
        <f aca="false">IF($H1998="",0,ROUND(IF($N1998="成本金额",N(购销流水!$W504),IF($N1998="金额",N(购销流水!$Q504),0)),2))</f>
        <v>0</v>
      </c>
      <c r="P1998" s="64" t="str">
        <f aca="false">IF(AND($H1998&lt;&gt;"",ROUND($O1998,2)&lt;&gt;0),"有","")</f>
        <v/>
      </c>
    </row>
    <row r="1999" customFormat="false" ht="15" hidden="true" customHeight="false" outlineLevel="0" collapsed="false">
      <c r="A1999" s="53" t="str">
        <f aca="false">IF($H1999="","",ROW()-5)</f>
        <v/>
      </c>
      <c r="B1999" s="64" t="s">
        <v>36</v>
      </c>
      <c r="C1999" s="53" t="n">
        <v>504</v>
      </c>
      <c r="D1999" s="53" t="n">
        <v>2</v>
      </c>
      <c r="E1999" s="65" t="str">
        <f aca="false">IF($H1999="","",购销流水!$B504)</f>
        <v/>
      </c>
      <c r="F1999" s="55" t="str">
        <f aca="false">IF($H1999="","",购销流水!$C504)</f>
        <v/>
      </c>
      <c r="G1999" s="48" t="str">
        <f aca="false">IF($H1999="","",购销流水!$N504)</f>
        <v/>
      </c>
      <c r="H1999" s="10" t="str">
        <f aca="false">IF($L1999="","",IF($L1999="@成本",购销流水!$U504,IF($L1999="@收入",购销流水!$T504,IF($L1999="@存货",购销流水!$S504,IF($L1999="@结算",购销流水!$R504,$L1999)))))</f>
        <v/>
      </c>
      <c r="I1999" s="42" t="n">
        <f aca="false">IF($M1999="借",$O1999,0)</f>
        <v>0</v>
      </c>
      <c r="J1999" s="42" t="n">
        <f aca="false">IF($M1999="贷",$O1999,0)</f>
        <v>0</v>
      </c>
      <c r="K1999" s="48" t="str">
        <f aca="false">IF($H1999="","",购销流水!$E504)</f>
        <v/>
      </c>
      <c r="L1999" s="66" t="str">
        <f aca="false">IF(购销流水!$D504="","",IFERROR(INDEX(记账规则!$A$6:$N$9,MATCH(购销流水!$D504,记账规则!$A$6:$A$9,0),6),""))</f>
        <v/>
      </c>
      <c r="M1999" s="66" t="str">
        <f aca="false">IF($L1999="","",IFERROR(INDEX(记账规则!$A$6:$N$9,MATCH(购销流水!$D504,记账规则!$A$6:$A$9,0),7),""))</f>
        <v/>
      </c>
      <c r="N1999" s="66" t="str">
        <f aca="false">IF($L1999="","",IFERROR(INDEX(记账规则!$A$6:$N$9,MATCH(购销流水!$D504,记账规则!$A$6:$A$9,0),8),""))</f>
        <v/>
      </c>
      <c r="O1999" s="67" t="n">
        <f aca="false">IF($H1999="",0,ROUND(IF($N1999="成本金额",N(购销流水!$W504),IF($N1999="金额",N(购销流水!$Q504),0)),2))</f>
        <v>0</v>
      </c>
      <c r="P1999" s="64" t="str">
        <f aca="false">IF(AND($H1999&lt;&gt;"",ROUND($O1999,2)&lt;&gt;0),"有","")</f>
        <v/>
      </c>
    </row>
    <row r="2000" customFormat="false" ht="15" hidden="true" customHeight="false" outlineLevel="0" collapsed="false">
      <c r="A2000" s="53" t="str">
        <f aca="false">IF($H2000="","",ROW()-5)</f>
        <v/>
      </c>
      <c r="B2000" s="64" t="s">
        <v>36</v>
      </c>
      <c r="C2000" s="53" t="n">
        <v>504</v>
      </c>
      <c r="D2000" s="53" t="n">
        <v>3</v>
      </c>
      <c r="E2000" s="65" t="str">
        <f aca="false">IF($H2000="","",购销流水!$B504)</f>
        <v/>
      </c>
      <c r="F2000" s="55" t="str">
        <f aca="false">IF($H2000="","",购销流水!$C504)</f>
        <v/>
      </c>
      <c r="G2000" s="48" t="str">
        <f aca="false">IF($H2000="","",购销流水!$N504)</f>
        <v/>
      </c>
      <c r="H2000" s="10" t="str">
        <f aca="false">IF($L2000="","",IF($L2000="@成本",购销流水!$U504,IF($L2000="@收入",购销流水!$T504,IF($L2000="@存货",购销流水!$S504,IF($L2000="@结算",购销流水!$R504,$L2000)))))</f>
        <v/>
      </c>
      <c r="I2000" s="42" t="n">
        <f aca="false">IF($M2000="借",$O2000,0)</f>
        <v>0</v>
      </c>
      <c r="J2000" s="42" t="n">
        <f aca="false">IF($M2000="贷",$O2000,0)</f>
        <v>0</v>
      </c>
      <c r="K2000" s="48" t="str">
        <f aca="false">IF($H2000="","",购销流水!$E504)</f>
        <v/>
      </c>
      <c r="L2000" s="66" t="str">
        <f aca="false">IF(购销流水!$D504="","",IFERROR(INDEX(记账规则!$A$6:$N$9,MATCH(购销流水!$D504,记账规则!$A$6:$A$9,0),9),""))</f>
        <v/>
      </c>
      <c r="M2000" s="66" t="str">
        <f aca="false">IF($L2000="","",IFERROR(INDEX(记账规则!$A$6:$N$9,MATCH(购销流水!$D504,记账规则!$A$6:$A$9,0),10),""))</f>
        <v/>
      </c>
      <c r="N2000" s="66" t="str">
        <f aca="false">IF($L2000="","",IFERROR(INDEX(记账规则!$A$6:$N$9,MATCH(购销流水!$D504,记账规则!$A$6:$A$9,0),11),""))</f>
        <v/>
      </c>
      <c r="O2000" s="67" t="n">
        <f aca="false">IF($H2000="",0,ROUND(IF($N2000="成本金额",N(购销流水!$W504),IF($N2000="金额",N(购销流水!$Q504),0)),2))</f>
        <v>0</v>
      </c>
      <c r="P2000" s="64" t="str">
        <f aca="false">IF(AND($H2000&lt;&gt;"",ROUND($O2000,2)&lt;&gt;0),"有","")</f>
        <v/>
      </c>
    </row>
    <row r="2001" customFormat="false" ht="15" hidden="true" customHeight="false" outlineLevel="0" collapsed="false">
      <c r="A2001" s="53" t="str">
        <f aca="false">IF($H2001="","",ROW()-5)</f>
        <v/>
      </c>
      <c r="B2001" s="64" t="s">
        <v>36</v>
      </c>
      <c r="C2001" s="53" t="n">
        <v>504</v>
      </c>
      <c r="D2001" s="53" t="n">
        <v>4</v>
      </c>
      <c r="E2001" s="65" t="str">
        <f aca="false">IF($H2001="","",购销流水!$B504)</f>
        <v/>
      </c>
      <c r="F2001" s="55" t="str">
        <f aca="false">IF($H2001="","",购销流水!$C504)</f>
        <v/>
      </c>
      <c r="G2001" s="48" t="str">
        <f aca="false">IF($H2001="","",购销流水!$N504)</f>
        <v/>
      </c>
      <c r="H2001" s="10" t="str">
        <f aca="false">IF($L2001="","",IF($L2001="@成本",购销流水!$U504,IF($L2001="@收入",购销流水!$T504,IF($L2001="@存货",购销流水!$S504,IF($L2001="@结算",购销流水!$R504,$L2001)))))</f>
        <v/>
      </c>
      <c r="I2001" s="42" t="n">
        <f aca="false">IF($M2001="借",$O2001,0)</f>
        <v>0</v>
      </c>
      <c r="J2001" s="42" t="n">
        <f aca="false">IF($M2001="贷",$O2001,0)</f>
        <v>0</v>
      </c>
      <c r="K2001" s="48" t="str">
        <f aca="false">IF($H2001="","",购销流水!$E504)</f>
        <v/>
      </c>
      <c r="L2001" s="66" t="str">
        <f aca="false">IF(购销流水!$D504="","",IFERROR(INDEX(记账规则!$A$6:$N$9,MATCH(购销流水!$D504,记账规则!$A$6:$A$9,0),12),""))</f>
        <v/>
      </c>
      <c r="M2001" s="66" t="str">
        <f aca="false">IF($L2001="","",IFERROR(INDEX(记账规则!$A$6:$N$9,MATCH(购销流水!$D504,记账规则!$A$6:$A$9,0),13),""))</f>
        <v/>
      </c>
      <c r="N2001" s="66" t="str">
        <f aca="false">IF($L2001="","",IFERROR(INDEX(记账规则!$A$6:$N$9,MATCH(购销流水!$D504,记账规则!$A$6:$A$9,0),14),""))</f>
        <v/>
      </c>
      <c r="O2001" s="67" t="n">
        <f aca="false">IF($H2001="",0,ROUND(IF($N2001="成本金额",N(购销流水!$W504),IF($N2001="金额",N(购销流水!$Q504),0)),2))</f>
        <v>0</v>
      </c>
      <c r="P2001" s="64" t="str">
        <f aca="false">IF(AND($H2001&lt;&gt;"",ROUND($O2001,2)&lt;&gt;0),"有","")</f>
        <v/>
      </c>
    </row>
    <row r="2002" customFormat="false" ht="15" hidden="true" customHeight="false" outlineLevel="0" collapsed="false">
      <c r="A2002" s="53" t="str">
        <f aca="false">IF($H2002="","",ROW()-5)</f>
        <v/>
      </c>
      <c r="B2002" s="64" t="s">
        <v>36</v>
      </c>
      <c r="C2002" s="53" t="n">
        <v>505</v>
      </c>
      <c r="D2002" s="53" t="n">
        <v>1</v>
      </c>
      <c r="E2002" s="65" t="str">
        <f aca="false">IF($H2002="","",购销流水!$B505)</f>
        <v/>
      </c>
      <c r="F2002" s="55" t="str">
        <f aca="false">IF($H2002="","",购销流水!$C505)</f>
        <v/>
      </c>
      <c r="G2002" s="48" t="str">
        <f aca="false">IF($H2002="","",购销流水!$N505)</f>
        <v/>
      </c>
      <c r="H2002" s="10" t="str">
        <f aca="false">IF($L2002="","",IF($L2002="@成本",购销流水!$U505,IF($L2002="@收入",购销流水!$T505,IF($L2002="@存货",购销流水!$S505,IF($L2002="@结算",购销流水!$R505,$L2002)))))</f>
        <v/>
      </c>
      <c r="I2002" s="42" t="n">
        <f aca="false">IF($M2002="借",$O2002,0)</f>
        <v>0</v>
      </c>
      <c r="J2002" s="42" t="n">
        <f aca="false">IF($M2002="贷",$O2002,0)</f>
        <v>0</v>
      </c>
      <c r="K2002" s="48" t="str">
        <f aca="false">IF($H2002="","",购销流水!$E505)</f>
        <v/>
      </c>
      <c r="L2002" s="66" t="str">
        <f aca="false">IF(购销流水!$D505="","",IFERROR(INDEX(记账规则!$A$6:$N$9,MATCH(购销流水!$D505,记账规则!$A$6:$A$9,0),3),""))</f>
        <v/>
      </c>
      <c r="M2002" s="66" t="str">
        <f aca="false">IF($L2002="","",IFERROR(INDEX(记账规则!$A$6:$N$9,MATCH(购销流水!$D505,记账规则!$A$6:$A$9,0),4),""))</f>
        <v/>
      </c>
      <c r="N2002" s="66" t="str">
        <f aca="false">IF($L2002="","",IFERROR(INDEX(记账规则!$A$6:$N$9,MATCH(购销流水!$D505,记账规则!$A$6:$A$9,0),5),""))</f>
        <v/>
      </c>
      <c r="O2002" s="67" t="n">
        <f aca="false">IF($H2002="",0,ROUND(IF($N2002="成本金额",N(购销流水!$W505),IF($N2002="金额",N(购销流水!$Q505),0)),2))</f>
        <v>0</v>
      </c>
      <c r="P2002" s="64" t="str">
        <f aca="false">IF(AND($H2002&lt;&gt;"",ROUND($O2002,2)&lt;&gt;0),"有","")</f>
        <v/>
      </c>
    </row>
    <row r="2003" customFormat="false" ht="15" hidden="true" customHeight="false" outlineLevel="0" collapsed="false">
      <c r="A2003" s="53" t="str">
        <f aca="false">IF($H2003="","",ROW()-5)</f>
        <v/>
      </c>
      <c r="B2003" s="64" t="s">
        <v>36</v>
      </c>
      <c r="C2003" s="53" t="n">
        <v>505</v>
      </c>
      <c r="D2003" s="53" t="n">
        <v>2</v>
      </c>
      <c r="E2003" s="65" t="str">
        <f aca="false">IF($H2003="","",购销流水!$B505)</f>
        <v/>
      </c>
      <c r="F2003" s="55" t="str">
        <f aca="false">IF($H2003="","",购销流水!$C505)</f>
        <v/>
      </c>
      <c r="G2003" s="48" t="str">
        <f aca="false">IF($H2003="","",购销流水!$N505)</f>
        <v/>
      </c>
      <c r="H2003" s="10" t="str">
        <f aca="false">IF($L2003="","",IF($L2003="@成本",购销流水!$U505,IF($L2003="@收入",购销流水!$T505,IF($L2003="@存货",购销流水!$S505,IF($L2003="@结算",购销流水!$R505,$L2003)))))</f>
        <v/>
      </c>
      <c r="I2003" s="42" t="n">
        <f aca="false">IF($M2003="借",$O2003,0)</f>
        <v>0</v>
      </c>
      <c r="J2003" s="42" t="n">
        <f aca="false">IF($M2003="贷",$O2003,0)</f>
        <v>0</v>
      </c>
      <c r="K2003" s="48" t="str">
        <f aca="false">IF($H2003="","",购销流水!$E505)</f>
        <v/>
      </c>
      <c r="L2003" s="66" t="str">
        <f aca="false">IF(购销流水!$D505="","",IFERROR(INDEX(记账规则!$A$6:$N$9,MATCH(购销流水!$D505,记账规则!$A$6:$A$9,0),6),""))</f>
        <v/>
      </c>
      <c r="M2003" s="66" t="str">
        <f aca="false">IF($L2003="","",IFERROR(INDEX(记账规则!$A$6:$N$9,MATCH(购销流水!$D505,记账规则!$A$6:$A$9,0),7),""))</f>
        <v/>
      </c>
      <c r="N2003" s="66" t="str">
        <f aca="false">IF($L2003="","",IFERROR(INDEX(记账规则!$A$6:$N$9,MATCH(购销流水!$D505,记账规则!$A$6:$A$9,0),8),""))</f>
        <v/>
      </c>
      <c r="O2003" s="67" t="n">
        <f aca="false">IF($H2003="",0,ROUND(IF($N2003="成本金额",N(购销流水!$W505),IF($N2003="金额",N(购销流水!$Q505),0)),2))</f>
        <v>0</v>
      </c>
      <c r="P2003" s="64" t="str">
        <f aca="false">IF(AND($H2003&lt;&gt;"",ROUND($O2003,2)&lt;&gt;0),"有","")</f>
        <v/>
      </c>
    </row>
    <row r="2004" customFormat="false" ht="15" hidden="true" customHeight="false" outlineLevel="0" collapsed="false">
      <c r="A2004" s="53" t="str">
        <f aca="false">IF($H2004="","",ROW()-5)</f>
        <v/>
      </c>
      <c r="B2004" s="64" t="s">
        <v>36</v>
      </c>
      <c r="C2004" s="53" t="n">
        <v>505</v>
      </c>
      <c r="D2004" s="53" t="n">
        <v>3</v>
      </c>
      <c r="E2004" s="65" t="str">
        <f aca="false">IF($H2004="","",购销流水!$B505)</f>
        <v/>
      </c>
      <c r="F2004" s="55" t="str">
        <f aca="false">IF($H2004="","",购销流水!$C505)</f>
        <v/>
      </c>
      <c r="G2004" s="48" t="str">
        <f aca="false">IF($H2004="","",购销流水!$N505)</f>
        <v/>
      </c>
      <c r="H2004" s="10" t="str">
        <f aca="false">IF($L2004="","",IF($L2004="@成本",购销流水!$U505,IF($L2004="@收入",购销流水!$T505,IF($L2004="@存货",购销流水!$S505,IF($L2004="@结算",购销流水!$R505,$L2004)))))</f>
        <v/>
      </c>
      <c r="I2004" s="42" t="n">
        <f aca="false">IF($M2004="借",$O2004,0)</f>
        <v>0</v>
      </c>
      <c r="J2004" s="42" t="n">
        <f aca="false">IF($M2004="贷",$O2004,0)</f>
        <v>0</v>
      </c>
      <c r="K2004" s="48" t="str">
        <f aca="false">IF($H2004="","",购销流水!$E505)</f>
        <v/>
      </c>
      <c r="L2004" s="66" t="str">
        <f aca="false">IF(购销流水!$D505="","",IFERROR(INDEX(记账规则!$A$6:$N$9,MATCH(购销流水!$D505,记账规则!$A$6:$A$9,0),9),""))</f>
        <v/>
      </c>
      <c r="M2004" s="66" t="str">
        <f aca="false">IF($L2004="","",IFERROR(INDEX(记账规则!$A$6:$N$9,MATCH(购销流水!$D505,记账规则!$A$6:$A$9,0),10),""))</f>
        <v/>
      </c>
      <c r="N2004" s="66" t="str">
        <f aca="false">IF($L2004="","",IFERROR(INDEX(记账规则!$A$6:$N$9,MATCH(购销流水!$D505,记账规则!$A$6:$A$9,0),11),""))</f>
        <v/>
      </c>
      <c r="O2004" s="67" t="n">
        <f aca="false">IF($H2004="",0,ROUND(IF($N2004="成本金额",N(购销流水!$W505),IF($N2004="金额",N(购销流水!$Q505),0)),2))</f>
        <v>0</v>
      </c>
      <c r="P2004" s="64" t="str">
        <f aca="false">IF(AND($H2004&lt;&gt;"",ROUND($O2004,2)&lt;&gt;0),"有","")</f>
        <v/>
      </c>
    </row>
    <row r="2005" customFormat="false" ht="15" hidden="true" customHeight="false" outlineLevel="0" collapsed="false">
      <c r="A2005" s="53" t="str">
        <f aca="false">IF($H2005="","",ROW()-5)</f>
        <v/>
      </c>
      <c r="B2005" s="64" t="s">
        <v>36</v>
      </c>
      <c r="C2005" s="53" t="n">
        <v>505</v>
      </c>
      <c r="D2005" s="53" t="n">
        <v>4</v>
      </c>
      <c r="E2005" s="65" t="str">
        <f aca="false">IF($H2005="","",购销流水!$B505)</f>
        <v/>
      </c>
      <c r="F2005" s="55" t="str">
        <f aca="false">IF($H2005="","",购销流水!$C505)</f>
        <v/>
      </c>
      <c r="G2005" s="48" t="str">
        <f aca="false">IF($H2005="","",购销流水!$N505)</f>
        <v/>
      </c>
      <c r="H2005" s="10" t="str">
        <f aca="false">IF($L2005="","",IF($L2005="@成本",购销流水!$U505,IF($L2005="@收入",购销流水!$T505,IF($L2005="@存货",购销流水!$S505,IF($L2005="@结算",购销流水!$R505,$L2005)))))</f>
        <v/>
      </c>
      <c r="I2005" s="42" t="n">
        <f aca="false">IF($M2005="借",$O2005,0)</f>
        <v>0</v>
      </c>
      <c r="J2005" s="42" t="n">
        <f aca="false">IF($M2005="贷",$O2005,0)</f>
        <v>0</v>
      </c>
      <c r="K2005" s="48" t="str">
        <f aca="false">IF($H2005="","",购销流水!$E505)</f>
        <v/>
      </c>
      <c r="L2005" s="66" t="str">
        <f aca="false">IF(购销流水!$D505="","",IFERROR(INDEX(记账规则!$A$6:$N$9,MATCH(购销流水!$D505,记账规则!$A$6:$A$9,0),12),""))</f>
        <v/>
      </c>
      <c r="M2005" s="66" t="str">
        <f aca="false">IF($L2005="","",IFERROR(INDEX(记账规则!$A$6:$N$9,MATCH(购销流水!$D505,记账规则!$A$6:$A$9,0),13),""))</f>
        <v/>
      </c>
      <c r="N2005" s="66" t="str">
        <f aca="false">IF($L2005="","",IFERROR(INDEX(记账规则!$A$6:$N$9,MATCH(购销流水!$D505,记账规则!$A$6:$A$9,0),14),""))</f>
        <v/>
      </c>
      <c r="O2005" s="67" t="n">
        <f aca="false">IF($H2005="",0,ROUND(IF($N2005="成本金额",N(购销流水!$W505),IF($N2005="金额",N(购销流水!$Q505),0)),2))</f>
        <v>0</v>
      </c>
      <c r="P2005" s="64" t="str">
        <f aca="false">IF(AND($H2005&lt;&gt;"",ROUND($O2005,2)&lt;&gt;0),"有","")</f>
        <v/>
      </c>
    </row>
    <row r="2006" customFormat="false" ht="15" hidden="true" customHeight="false" outlineLevel="0" collapsed="false">
      <c r="A2006" s="53" t="str">
        <f aca="false">IF($H2006="","",ROW()-5)</f>
        <v/>
      </c>
      <c r="B2006" s="64" t="s">
        <v>36</v>
      </c>
      <c r="C2006" s="53" t="n">
        <v>506</v>
      </c>
      <c r="D2006" s="53" t="n">
        <v>1</v>
      </c>
      <c r="E2006" s="65" t="str">
        <f aca="false">IF($H2006="","",购销流水!$B506)</f>
        <v/>
      </c>
      <c r="F2006" s="55" t="str">
        <f aca="false">IF($H2006="","",购销流水!$C506)</f>
        <v/>
      </c>
      <c r="G2006" s="48" t="str">
        <f aca="false">IF($H2006="","",购销流水!$N506)</f>
        <v/>
      </c>
      <c r="H2006" s="10" t="str">
        <f aca="false">IF($L2006="","",IF($L2006="@成本",购销流水!$U506,IF($L2006="@收入",购销流水!$T506,IF($L2006="@存货",购销流水!$S506,IF($L2006="@结算",购销流水!$R506,$L2006)))))</f>
        <v/>
      </c>
      <c r="I2006" s="42" t="n">
        <f aca="false">IF($M2006="借",$O2006,0)</f>
        <v>0</v>
      </c>
      <c r="J2006" s="42" t="n">
        <f aca="false">IF($M2006="贷",$O2006,0)</f>
        <v>0</v>
      </c>
      <c r="K2006" s="48" t="str">
        <f aca="false">IF($H2006="","",购销流水!$E506)</f>
        <v/>
      </c>
      <c r="L2006" s="66" t="str">
        <f aca="false">IF(购销流水!$D506="","",IFERROR(INDEX(记账规则!$A$6:$N$9,MATCH(购销流水!$D506,记账规则!$A$6:$A$9,0),3),""))</f>
        <v/>
      </c>
      <c r="M2006" s="66" t="str">
        <f aca="false">IF($L2006="","",IFERROR(INDEX(记账规则!$A$6:$N$9,MATCH(购销流水!$D506,记账规则!$A$6:$A$9,0),4),""))</f>
        <v/>
      </c>
      <c r="N2006" s="66" t="str">
        <f aca="false">IF($L2006="","",IFERROR(INDEX(记账规则!$A$6:$N$9,MATCH(购销流水!$D506,记账规则!$A$6:$A$9,0),5),""))</f>
        <v/>
      </c>
      <c r="O2006" s="67" t="n">
        <f aca="false">IF($H2006="",0,ROUND(IF($N2006="成本金额",N(购销流水!$W506),IF($N2006="金额",N(购销流水!$Q506),0)),2))</f>
        <v>0</v>
      </c>
      <c r="P2006" s="64" t="str">
        <f aca="false">IF(AND($H2006&lt;&gt;"",ROUND($O2006,2)&lt;&gt;0),"有","")</f>
        <v/>
      </c>
    </row>
    <row r="2007" customFormat="false" ht="15" hidden="true" customHeight="false" outlineLevel="0" collapsed="false">
      <c r="A2007" s="53" t="str">
        <f aca="false">IF($H2007="","",ROW()-5)</f>
        <v/>
      </c>
      <c r="B2007" s="64" t="s">
        <v>36</v>
      </c>
      <c r="C2007" s="53" t="n">
        <v>506</v>
      </c>
      <c r="D2007" s="53" t="n">
        <v>2</v>
      </c>
      <c r="E2007" s="65" t="str">
        <f aca="false">IF($H2007="","",购销流水!$B506)</f>
        <v/>
      </c>
      <c r="F2007" s="55" t="str">
        <f aca="false">IF($H2007="","",购销流水!$C506)</f>
        <v/>
      </c>
      <c r="G2007" s="48" t="str">
        <f aca="false">IF($H2007="","",购销流水!$N506)</f>
        <v/>
      </c>
      <c r="H2007" s="10" t="str">
        <f aca="false">IF($L2007="","",IF($L2007="@成本",购销流水!$U506,IF($L2007="@收入",购销流水!$T506,IF($L2007="@存货",购销流水!$S506,IF($L2007="@结算",购销流水!$R506,$L2007)))))</f>
        <v/>
      </c>
      <c r="I2007" s="42" t="n">
        <f aca="false">IF($M2007="借",$O2007,0)</f>
        <v>0</v>
      </c>
      <c r="J2007" s="42" t="n">
        <f aca="false">IF($M2007="贷",$O2007,0)</f>
        <v>0</v>
      </c>
      <c r="K2007" s="48" t="str">
        <f aca="false">IF($H2007="","",购销流水!$E506)</f>
        <v/>
      </c>
      <c r="L2007" s="66" t="str">
        <f aca="false">IF(购销流水!$D506="","",IFERROR(INDEX(记账规则!$A$6:$N$9,MATCH(购销流水!$D506,记账规则!$A$6:$A$9,0),6),""))</f>
        <v/>
      </c>
      <c r="M2007" s="66" t="str">
        <f aca="false">IF($L2007="","",IFERROR(INDEX(记账规则!$A$6:$N$9,MATCH(购销流水!$D506,记账规则!$A$6:$A$9,0),7),""))</f>
        <v/>
      </c>
      <c r="N2007" s="66" t="str">
        <f aca="false">IF($L2007="","",IFERROR(INDEX(记账规则!$A$6:$N$9,MATCH(购销流水!$D506,记账规则!$A$6:$A$9,0),8),""))</f>
        <v/>
      </c>
      <c r="O2007" s="67" t="n">
        <f aca="false">IF($H2007="",0,ROUND(IF($N2007="成本金额",N(购销流水!$W506),IF($N2007="金额",N(购销流水!$Q506),0)),2))</f>
        <v>0</v>
      </c>
      <c r="P2007" s="64" t="str">
        <f aca="false">IF(AND($H2007&lt;&gt;"",ROUND($O2007,2)&lt;&gt;0),"有","")</f>
        <v/>
      </c>
    </row>
    <row r="2008" customFormat="false" ht="15" hidden="true" customHeight="false" outlineLevel="0" collapsed="false">
      <c r="A2008" s="53" t="str">
        <f aca="false">IF($H2008="","",ROW()-5)</f>
        <v/>
      </c>
      <c r="B2008" s="64" t="s">
        <v>36</v>
      </c>
      <c r="C2008" s="53" t="n">
        <v>506</v>
      </c>
      <c r="D2008" s="53" t="n">
        <v>3</v>
      </c>
      <c r="E2008" s="65" t="str">
        <f aca="false">IF($H2008="","",购销流水!$B506)</f>
        <v/>
      </c>
      <c r="F2008" s="55" t="str">
        <f aca="false">IF($H2008="","",购销流水!$C506)</f>
        <v/>
      </c>
      <c r="G2008" s="48" t="str">
        <f aca="false">IF($H2008="","",购销流水!$N506)</f>
        <v/>
      </c>
      <c r="H2008" s="10" t="str">
        <f aca="false">IF($L2008="","",IF($L2008="@成本",购销流水!$U506,IF($L2008="@收入",购销流水!$T506,IF($L2008="@存货",购销流水!$S506,IF($L2008="@结算",购销流水!$R506,$L2008)))))</f>
        <v/>
      </c>
      <c r="I2008" s="42" t="n">
        <f aca="false">IF($M2008="借",$O2008,0)</f>
        <v>0</v>
      </c>
      <c r="J2008" s="42" t="n">
        <f aca="false">IF($M2008="贷",$O2008,0)</f>
        <v>0</v>
      </c>
      <c r="K2008" s="48" t="str">
        <f aca="false">IF($H2008="","",购销流水!$E506)</f>
        <v/>
      </c>
      <c r="L2008" s="66" t="str">
        <f aca="false">IF(购销流水!$D506="","",IFERROR(INDEX(记账规则!$A$6:$N$9,MATCH(购销流水!$D506,记账规则!$A$6:$A$9,0),9),""))</f>
        <v/>
      </c>
      <c r="M2008" s="66" t="str">
        <f aca="false">IF($L2008="","",IFERROR(INDEX(记账规则!$A$6:$N$9,MATCH(购销流水!$D506,记账规则!$A$6:$A$9,0),10),""))</f>
        <v/>
      </c>
      <c r="N2008" s="66" t="str">
        <f aca="false">IF($L2008="","",IFERROR(INDEX(记账规则!$A$6:$N$9,MATCH(购销流水!$D506,记账规则!$A$6:$A$9,0),11),""))</f>
        <v/>
      </c>
      <c r="O2008" s="67" t="n">
        <f aca="false">IF($H2008="",0,ROUND(IF($N2008="成本金额",N(购销流水!$W506),IF($N2008="金额",N(购销流水!$Q506),0)),2))</f>
        <v>0</v>
      </c>
      <c r="P2008" s="64" t="str">
        <f aca="false">IF(AND($H2008&lt;&gt;"",ROUND($O2008,2)&lt;&gt;0),"有","")</f>
        <v/>
      </c>
    </row>
    <row r="2009" customFormat="false" ht="15" hidden="true" customHeight="false" outlineLevel="0" collapsed="false">
      <c r="A2009" s="53" t="str">
        <f aca="false">IF($H2009="","",ROW()-5)</f>
        <v/>
      </c>
      <c r="B2009" s="64" t="s">
        <v>36</v>
      </c>
      <c r="C2009" s="53" t="n">
        <v>506</v>
      </c>
      <c r="D2009" s="53" t="n">
        <v>4</v>
      </c>
      <c r="E2009" s="65" t="str">
        <f aca="false">IF($H2009="","",购销流水!$B506)</f>
        <v/>
      </c>
      <c r="F2009" s="55" t="str">
        <f aca="false">IF($H2009="","",购销流水!$C506)</f>
        <v/>
      </c>
      <c r="G2009" s="48" t="str">
        <f aca="false">IF($H2009="","",购销流水!$N506)</f>
        <v/>
      </c>
      <c r="H2009" s="10" t="str">
        <f aca="false">IF($L2009="","",IF($L2009="@成本",购销流水!$U506,IF($L2009="@收入",购销流水!$T506,IF($L2009="@存货",购销流水!$S506,IF($L2009="@结算",购销流水!$R506,$L2009)))))</f>
        <v/>
      </c>
      <c r="I2009" s="42" t="n">
        <f aca="false">IF($M2009="借",$O2009,0)</f>
        <v>0</v>
      </c>
      <c r="J2009" s="42" t="n">
        <f aca="false">IF($M2009="贷",$O2009,0)</f>
        <v>0</v>
      </c>
      <c r="K2009" s="48" t="str">
        <f aca="false">IF($H2009="","",购销流水!$E506)</f>
        <v/>
      </c>
      <c r="L2009" s="66" t="str">
        <f aca="false">IF(购销流水!$D506="","",IFERROR(INDEX(记账规则!$A$6:$N$9,MATCH(购销流水!$D506,记账规则!$A$6:$A$9,0),12),""))</f>
        <v/>
      </c>
      <c r="M2009" s="66" t="str">
        <f aca="false">IF($L2009="","",IFERROR(INDEX(记账规则!$A$6:$N$9,MATCH(购销流水!$D506,记账规则!$A$6:$A$9,0),13),""))</f>
        <v/>
      </c>
      <c r="N2009" s="66" t="str">
        <f aca="false">IF($L2009="","",IFERROR(INDEX(记账规则!$A$6:$N$9,MATCH(购销流水!$D506,记账规则!$A$6:$A$9,0),14),""))</f>
        <v/>
      </c>
      <c r="O2009" s="67" t="n">
        <f aca="false">IF($H2009="",0,ROUND(IF($N2009="成本金额",N(购销流水!$W506),IF($N2009="金额",N(购销流水!$Q506),0)),2))</f>
        <v>0</v>
      </c>
      <c r="P2009" s="64" t="str">
        <f aca="false">IF(AND($H2009&lt;&gt;"",ROUND($O2009,2)&lt;&gt;0),"有","")</f>
        <v/>
      </c>
    </row>
    <row r="2010" customFormat="false" ht="15" hidden="true" customHeight="false" outlineLevel="0" collapsed="false">
      <c r="A2010" s="53" t="str">
        <f aca="false">IF($H2010="","",ROW()-5)</f>
        <v/>
      </c>
      <c r="B2010" s="64" t="s">
        <v>36</v>
      </c>
      <c r="C2010" s="53" t="n">
        <v>507</v>
      </c>
      <c r="D2010" s="53" t="n">
        <v>1</v>
      </c>
      <c r="E2010" s="65" t="str">
        <f aca="false">IF($H2010="","",购销流水!$B507)</f>
        <v/>
      </c>
      <c r="F2010" s="55" t="str">
        <f aca="false">IF($H2010="","",购销流水!$C507)</f>
        <v/>
      </c>
      <c r="G2010" s="48" t="str">
        <f aca="false">IF($H2010="","",购销流水!$N507)</f>
        <v/>
      </c>
      <c r="H2010" s="10" t="str">
        <f aca="false">IF($L2010="","",IF($L2010="@成本",购销流水!$U507,IF($L2010="@收入",购销流水!$T507,IF($L2010="@存货",购销流水!$S507,IF($L2010="@结算",购销流水!$R507,$L2010)))))</f>
        <v/>
      </c>
      <c r="I2010" s="42" t="n">
        <f aca="false">IF($M2010="借",$O2010,0)</f>
        <v>0</v>
      </c>
      <c r="J2010" s="42" t="n">
        <f aca="false">IF($M2010="贷",$O2010,0)</f>
        <v>0</v>
      </c>
      <c r="K2010" s="48" t="str">
        <f aca="false">IF($H2010="","",购销流水!$E507)</f>
        <v/>
      </c>
      <c r="L2010" s="66" t="str">
        <f aca="false">IF(购销流水!$D507="","",IFERROR(INDEX(记账规则!$A$6:$N$9,MATCH(购销流水!$D507,记账规则!$A$6:$A$9,0),3),""))</f>
        <v/>
      </c>
      <c r="M2010" s="66" t="str">
        <f aca="false">IF($L2010="","",IFERROR(INDEX(记账规则!$A$6:$N$9,MATCH(购销流水!$D507,记账规则!$A$6:$A$9,0),4),""))</f>
        <v/>
      </c>
      <c r="N2010" s="66" t="str">
        <f aca="false">IF($L2010="","",IFERROR(INDEX(记账规则!$A$6:$N$9,MATCH(购销流水!$D507,记账规则!$A$6:$A$9,0),5),""))</f>
        <v/>
      </c>
      <c r="O2010" s="67" t="n">
        <f aca="false">IF($H2010="",0,ROUND(IF($N2010="成本金额",N(购销流水!$W507),IF($N2010="金额",N(购销流水!$Q507),0)),2))</f>
        <v>0</v>
      </c>
      <c r="P2010" s="64" t="str">
        <f aca="false">IF(AND($H2010&lt;&gt;"",ROUND($O2010,2)&lt;&gt;0),"有","")</f>
        <v/>
      </c>
    </row>
    <row r="2011" customFormat="false" ht="15" hidden="true" customHeight="false" outlineLevel="0" collapsed="false">
      <c r="A2011" s="53" t="str">
        <f aca="false">IF($H2011="","",ROW()-5)</f>
        <v/>
      </c>
      <c r="B2011" s="64" t="s">
        <v>36</v>
      </c>
      <c r="C2011" s="53" t="n">
        <v>507</v>
      </c>
      <c r="D2011" s="53" t="n">
        <v>2</v>
      </c>
      <c r="E2011" s="65" t="str">
        <f aca="false">IF($H2011="","",购销流水!$B507)</f>
        <v/>
      </c>
      <c r="F2011" s="55" t="str">
        <f aca="false">IF($H2011="","",购销流水!$C507)</f>
        <v/>
      </c>
      <c r="G2011" s="48" t="str">
        <f aca="false">IF($H2011="","",购销流水!$N507)</f>
        <v/>
      </c>
      <c r="H2011" s="10" t="str">
        <f aca="false">IF($L2011="","",IF($L2011="@成本",购销流水!$U507,IF($L2011="@收入",购销流水!$T507,IF($L2011="@存货",购销流水!$S507,IF($L2011="@结算",购销流水!$R507,$L2011)))))</f>
        <v/>
      </c>
      <c r="I2011" s="42" t="n">
        <f aca="false">IF($M2011="借",$O2011,0)</f>
        <v>0</v>
      </c>
      <c r="J2011" s="42" t="n">
        <f aca="false">IF($M2011="贷",$O2011,0)</f>
        <v>0</v>
      </c>
      <c r="K2011" s="48" t="str">
        <f aca="false">IF($H2011="","",购销流水!$E507)</f>
        <v/>
      </c>
      <c r="L2011" s="66" t="str">
        <f aca="false">IF(购销流水!$D507="","",IFERROR(INDEX(记账规则!$A$6:$N$9,MATCH(购销流水!$D507,记账规则!$A$6:$A$9,0),6),""))</f>
        <v/>
      </c>
      <c r="M2011" s="66" t="str">
        <f aca="false">IF($L2011="","",IFERROR(INDEX(记账规则!$A$6:$N$9,MATCH(购销流水!$D507,记账规则!$A$6:$A$9,0),7),""))</f>
        <v/>
      </c>
      <c r="N2011" s="66" t="str">
        <f aca="false">IF($L2011="","",IFERROR(INDEX(记账规则!$A$6:$N$9,MATCH(购销流水!$D507,记账规则!$A$6:$A$9,0),8),""))</f>
        <v/>
      </c>
      <c r="O2011" s="67" t="n">
        <f aca="false">IF($H2011="",0,ROUND(IF($N2011="成本金额",N(购销流水!$W507),IF($N2011="金额",N(购销流水!$Q507),0)),2))</f>
        <v>0</v>
      </c>
      <c r="P2011" s="64" t="str">
        <f aca="false">IF(AND($H2011&lt;&gt;"",ROUND($O2011,2)&lt;&gt;0),"有","")</f>
        <v/>
      </c>
    </row>
    <row r="2012" customFormat="false" ht="15" hidden="true" customHeight="false" outlineLevel="0" collapsed="false">
      <c r="A2012" s="53" t="str">
        <f aca="false">IF($H2012="","",ROW()-5)</f>
        <v/>
      </c>
      <c r="B2012" s="64" t="s">
        <v>36</v>
      </c>
      <c r="C2012" s="53" t="n">
        <v>507</v>
      </c>
      <c r="D2012" s="53" t="n">
        <v>3</v>
      </c>
      <c r="E2012" s="65" t="str">
        <f aca="false">IF($H2012="","",购销流水!$B507)</f>
        <v/>
      </c>
      <c r="F2012" s="55" t="str">
        <f aca="false">IF($H2012="","",购销流水!$C507)</f>
        <v/>
      </c>
      <c r="G2012" s="48" t="str">
        <f aca="false">IF($H2012="","",购销流水!$N507)</f>
        <v/>
      </c>
      <c r="H2012" s="10" t="str">
        <f aca="false">IF($L2012="","",IF($L2012="@成本",购销流水!$U507,IF($L2012="@收入",购销流水!$T507,IF($L2012="@存货",购销流水!$S507,IF($L2012="@结算",购销流水!$R507,$L2012)))))</f>
        <v/>
      </c>
      <c r="I2012" s="42" t="n">
        <f aca="false">IF($M2012="借",$O2012,0)</f>
        <v>0</v>
      </c>
      <c r="J2012" s="42" t="n">
        <f aca="false">IF($M2012="贷",$O2012,0)</f>
        <v>0</v>
      </c>
      <c r="K2012" s="48" t="str">
        <f aca="false">IF($H2012="","",购销流水!$E507)</f>
        <v/>
      </c>
      <c r="L2012" s="66" t="str">
        <f aca="false">IF(购销流水!$D507="","",IFERROR(INDEX(记账规则!$A$6:$N$9,MATCH(购销流水!$D507,记账规则!$A$6:$A$9,0),9),""))</f>
        <v/>
      </c>
      <c r="M2012" s="66" t="str">
        <f aca="false">IF($L2012="","",IFERROR(INDEX(记账规则!$A$6:$N$9,MATCH(购销流水!$D507,记账规则!$A$6:$A$9,0),10),""))</f>
        <v/>
      </c>
      <c r="N2012" s="66" t="str">
        <f aca="false">IF($L2012="","",IFERROR(INDEX(记账规则!$A$6:$N$9,MATCH(购销流水!$D507,记账规则!$A$6:$A$9,0),11),""))</f>
        <v/>
      </c>
      <c r="O2012" s="67" t="n">
        <f aca="false">IF($H2012="",0,ROUND(IF($N2012="成本金额",N(购销流水!$W507),IF($N2012="金额",N(购销流水!$Q507),0)),2))</f>
        <v>0</v>
      </c>
      <c r="P2012" s="64" t="str">
        <f aca="false">IF(AND($H2012&lt;&gt;"",ROUND($O2012,2)&lt;&gt;0),"有","")</f>
        <v/>
      </c>
    </row>
    <row r="2013" customFormat="false" ht="15" hidden="true" customHeight="false" outlineLevel="0" collapsed="false">
      <c r="A2013" s="53" t="str">
        <f aca="false">IF($H2013="","",ROW()-5)</f>
        <v/>
      </c>
      <c r="B2013" s="64" t="s">
        <v>36</v>
      </c>
      <c r="C2013" s="53" t="n">
        <v>507</v>
      </c>
      <c r="D2013" s="53" t="n">
        <v>4</v>
      </c>
      <c r="E2013" s="65" t="str">
        <f aca="false">IF($H2013="","",购销流水!$B507)</f>
        <v/>
      </c>
      <c r="F2013" s="55" t="str">
        <f aca="false">IF($H2013="","",购销流水!$C507)</f>
        <v/>
      </c>
      <c r="G2013" s="48" t="str">
        <f aca="false">IF($H2013="","",购销流水!$N507)</f>
        <v/>
      </c>
      <c r="H2013" s="10" t="str">
        <f aca="false">IF($L2013="","",IF($L2013="@成本",购销流水!$U507,IF($L2013="@收入",购销流水!$T507,IF($L2013="@存货",购销流水!$S507,IF($L2013="@结算",购销流水!$R507,$L2013)))))</f>
        <v/>
      </c>
      <c r="I2013" s="42" t="n">
        <f aca="false">IF($M2013="借",$O2013,0)</f>
        <v>0</v>
      </c>
      <c r="J2013" s="42" t="n">
        <f aca="false">IF($M2013="贷",$O2013,0)</f>
        <v>0</v>
      </c>
      <c r="K2013" s="48" t="str">
        <f aca="false">IF($H2013="","",购销流水!$E507)</f>
        <v/>
      </c>
      <c r="L2013" s="66" t="str">
        <f aca="false">IF(购销流水!$D507="","",IFERROR(INDEX(记账规则!$A$6:$N$9,MATCH(购销流水!$D507,记账规则!$A$6:$A$9,0),12),""))</f>
        <v/>
      </c>
      <c r="M2013" s="66" t="str">
        <f aca="false">IF($L2013="","",IFERROR(INDEX(记账规则!$A$6:$N$9,MATCH(购销流水!$D507,记账规则!$A$6:$A$9,0),13),""))</f>
        <v/>
      </c>
      <c r="N2013" s="66" t="str">
        <f aca="false">IF($L2013="","",IFERROR(INDEX(记账规则!$A$6:$N$9,MATCH(购销流水!$D507,记账规则!$A$6:$A$9,0),14),""))</f>
        <v/>
      </c>
      <c r="O2013" s="67" t="n">
        <f aca="false">IF($H2013="",0,ROUND(IF($N2013="成本金额",N(购销流水!$W507),IF($N2013="金额",N(购销流水!$Q507),0)),2))</f>
        <v>0</v>
      </c>
      <c r="P2013" s="64" t="str">
        <f aca="false">IF(AND($H2013&lt;&gt;"",ROUND($O2013,2)&lt;&gt;0),"有","")</f>
        <v/>
      </c>
    </row>
    <row r="2014" customFormat="false" ht="15" hidden="true" customHeight="false" outlineLevel="0" collapsed="false">
      <c r="A2014" s="53" t="str">
        <f aca="false">IF($H2014="","",ROW()-5)</f>
        <v/>
      </c>
      <c r="B2014" s="64" t="s">
        <v>36</v>
      </c>
      <c r="C2014" s="53" t="n">
        <v>508</v>
      </c>
      <c r="D2014" s="53" t="n">
        <v>1</v>
      </c>
      <c r="E2014" s="65" t="str">
        <f aca="false">IF($H2014="","",购销流水!$B508)</f>
        <v/>
      </c>
      <c r="F2014" s="55" t="str">
        <f aca="false">IF($H2014="","",购销流水!$C508)</f>
        <v/>
      </c>
      <c r="G2014" s="48" t="str">
        <f aca="false">IF($H2014="","",购销流水!$N508)</f>
        <v/>
      </c>
      <c r="H2014" s="10" t="str">
        <f aca="false">IF($L2014="","",IF($L2014="@成本",购销流水!$U508,IF($L2014="@收入",购销流水!$T508,IF($L2014="@存货",购销流水!$S508,IF($L2014="@结算",购销流水!$R508,$L2014)))))</f>
        <v/>
      </c>
      <c r="I2014" s="42" t="n">
        <f aca="false">IF($M2014="借",$O2014,0)</f>
        <v>0</v>
      </c>
      <c r="J2014" s="42" t="n">
        <f aca="false">IF($M2014="贷",$O2014,0)</f>
        <v>0</v>
      </c>
      <c r="K2014" s="48" t="str">
        <f aca="false">IF($H2014="","",购销流水!$E508)</f>
        <v/>
      </c>
      <c r="L2014" s="66" t="str">
        <f aca="false">IF(购销流水!$D508="","",IFERROR(INDEX(记账规则!$A$6:$N$9,MATCH(购销流水!$D508,记账规则!$A$6:$A$9,0),3),""))</f>
        <v/>
      </c>
      <c r="M2014" s="66" t="str">
        <f aca="false">IF($L2014="","",IFERROR(INDEX(记账规则!$A$6:$N$9,MATCH(购销流水!$D508,记账规则!$A$6:$A$9,0),4),""))</f>
        <v/>
      </c>
      <c r="N2014" s="66" t="str">
        <f aca="false">IF($L2014="","",IFERROR(INDEX(记账规则!$A$6:$N$9,MATCH(购销流水!$D508,记账规则!$A$6:$A$9,0),5),""))</f>
        <v/>
      </c>
      <c r="O2014" s="67" t="n">
        <f aca="false">IF($H2014="",0,ROUND(IF($N2014="成本金额",N(购销流水!$W508),IF($N2014="金额",N(购销流水!$Q508),0)),2))</f>
        <v>0</v>
      </c>
      <c r="P2014" s="64" t="str">
        <f aca="false">IF(AND($H2014&lt;&gt;"",ROUND($O2014,2)&lt;&gt;0),"有","")</f>
        <v/>
      </c>
    </row>
    <row r="2015" customFormat="false" ht="15" hidden="true" customHeight="false" outlineLevel="0" collapsed="false">
      <c r="A2015" s="53" t="str">
        <f aca="false">IF($H2015="","",ROW()-5)</f>
        <v/>
      </c>
      <c r="B2015" s="64" t="s">
        <v>36</v>
      </c>
      <c r="C2015" s="53" t="n">
        <v>508</v>
      </c>
      <c r="D2015" s="53" t="n">
        <v>2</v>
      </c>
      <c r="E2015" s="65" t="str">
        <f aca="false">IF($H2015="","",购销流水!$B508)</f>
        <v/>
      </c>
      <c r="F2015" s="55" t="str">
        <f aca="false">IF($H2015="","",购销流水!$C508)</f>
        <v/>
      </c>
      <c r="G2015" s="48" t="str">
        <f aca="false">IF($H2015="","",购销流水!$N508)</f>
        <v/>
      </c>
      <c r="H2015" s="10" t="str">
        <f aca="false">IF($L2015="","",IF($L2015="@成本",购销流水!$U508,IF($L2015="@收入",购销流水!$T508,IF($L2015="@存货",购销流水!$S508,IF($L2015="@结算",购销流水!$R508,$L2015)))))</f>
        <v/>
      </c>
      <c r="I2015" s="42" t="n">
        <f aca="false">IF($M2015="借",$O2015,0)</f>
        <v>0</v>
      </c>
      <c r="J2015" s="42" t="n">
        <f aca="false">IF($M2015="贷",$O2015,0)</f>
        <v>0</v>
      </c>
      <c r="K2015" s="48" t="str">
        <f aca="false">IF($H2015="","",购销流水!$E508)</f>
        <v/>
      </c>
      <c r="L2015" s="66" t="str">
        <f aca="false">IF(购销流水!$D508="","",IFERROR(INDEX(记账规则!$A$6:$N$9,MATCH(购销流水!$D508,记账规则!$A$6:$A$9,0),6),""))</f>
        <v/>
      </c>
      <c r="M2015" s="66" t="str">
        <f aca="false">IF($L2015="","",IFERROR(INDEX(记账规则!$A$6:$N$9,MATCH(购销流水!$D508,记账规则!$A$6:$A$9,0),7),""))</f>
        <v/>
      </c>
      <c r="N2015" s="66" t="str">
        <f aca="false">IF($L2015="","",IFERROR(INDEX(记账规则!$A$6:$N$9,MATCH(购销流水!$D508,记账规则!$A$6:$A$9,0),8),""))</f>
        <v/>
      </c>
      <c r="O2015" s="67" t="n">
        <f aca="false">IF($H2015="",0,ROUND(IF($N2015="成本金额",N(购销流水!$W508),IF($N2015="金额",N(购销流水!$Q508),0)),2))</f>
        <v>0</v>
      </c>
      <c r="P2015" s="64" t="str">
        <f aca="false">IF(AND($H2015&lt;&gt;"",ROUND($O2015,2)&lt;&gt;0),"有","")</f>
        <v/>
      </c>
    </row>
    <row r="2016" customFormat="false" ht="15" hidden="true" customHeight="false" outlineLevel="0" collapsed="false">
      <c r="A2016" s="53" t="str">
        <f aca="false">IF($H2016="","",ROW()-5)</f>
        <v/>
      </c>
      <c r="B2016" s="64" t="s">
        <v>36</v>
      </c>
      <c r="C2016" s="53" t="n">
        <v>508</v>
      </c>
      <c r="D2016" s="53" t="n">
        <v>3</v>
      </c>
      <c r="E2016" s="65" t="str">
        <f aca="false">IF($H2016="","",购销流水!$B508)</f>
        <v/>
      </c>
      <c r="F2016" s="55" t="str">
        <f aca="false">IF($H2016="","",购销流水!$C508)</f>
        <v/>
      </c>
      <c r="G2016" s="48" t="str">
        <f aca="false">IF($H2016="","",购销流水!$N508)</f>
        <v/>
      </c>
      <c r="H2016" s="10" t="str">
        <f aca="false">IF($L2016="","",IF($L2016="@成本",购销流水!$U508,IF($L2016="@收入",购销流水!$T508,IF($L2016="@存货",购销流水!$S508,IF($L2016="@结算",购销流水!$R508,$L2016)))))</f>
        <v/>
      </c>
      <c r="I2016" s="42" t="n">
        <f aca="false">IF($M2016="借",$O2016,0)</f>
        <v>0</v>
      </c>
      <c r="J2016" s="42" t="n">
        <f aca="false">IF($M2016="贷",$O2016,0)</f>
        <v>0</v>
      </c>
      <c r="K2016" s="48" t="str">
        <f aca="false">IF($H2016="","",购销流水!$E508)</f>
        <v/>
      </c>
      <c r="L2016" s="66" t="str">
        <f aca="false">IF(购销流水!$D508="","",IFERROR(INDEX(记账规则!$A$6:$N$9,MATCH(购销流水!$D508,记账规则!$A$6:$A$9,0),9),""))</f>
        <v/>
      </c>
      <c r="M2016" s="66" t="str">
        <f aca="false">IF($L2016="","",IFERROR(INDEX(记账规则!$A$6:$N$9,MATCH(购销流水!$D508,记账规则!$A$6:$A$9,0),10),""))</f>
        <v/>
      </c>
      <c r="N2016" s="66" t="str">
        <f aca="false">IF($L2016="","",IFERROR(INDEX(记账规则!$A$6:$N$9,MATCH(购销流水!$D508,记账规则!$A$6:$A$9,0),11),""))</f>
        <v/>
      </c>
      <c r="O2016" s="67" t="n">
        <f aca="false">IF($H2016="",0,ROUND(IF($N2016="成本金额",N(购销流水!$W508),IF($N2016="金额",N(购销流水!$Q508),0)),2))</f>
        <v>0</v>
      </c>
      <c r="P2016" s="64" t="str">
        <f aca="false">IF(AND($H2016&lt;&gt;"",ROUND($O2016,2)&lt;&gt;0),"有","")</f>
        <v/>
      </c>
    </row>
    <row r="2017" customFormat="false" ht="15" hidden="true" customHeight="false" outlineLevel="0" collapsed="false">
      <c r="A2017" s="53" t="str">
        <f aca="false">IF($H2017="","",ROW()-5)</f>
        <v/>
      </c>
      <c r="B2017" s="64" t="s">
        <v>36</v>
      </c>
      <c r="C2017" s="53" t="n">
        <v>508</v>
      </c>
      <c r="D2017" s="53" t="n">
        <v>4</v>
      </c>
      <c r="E2017" s="65" t="str">
        <f aca="false">IF($H2017="","",购销流水!$B508)</f>
        <v/>
      </c>
      <c r="F2017" s="55" t="str">
        <f aca="false">IF($H2017="","",购销流水!$C508)</f>
        <v/>
      </c>
      <c r="G2017" s="48" t="str">
        <f aca="false">IF($H2017="","",购销流水!$N508)</f>
        <v/>
      </c>
      <c r="H2017" s="10" t="str">
        <f aca="false">IF($L2017="","",IF($L2017="@成本",购销流水!$U508,IF($L2017="@收入",购销流水!$T508,IF($L2017="@存货",购销流水!$S508,IF($L2017="@结算",购销流水!$R508,$L2017)))))</f>
        <v/>
      </c>
      <c r="I2017" s="42" t="n">
        <f aca="false">IF($M2017="借",$O2017,0)</f>
        <v>0</v>
      </c>
      <c r="J2017" s="42" t="n">
        <f aca="false">IF($M2017="贷",$O2017,0)</f>
        <v>0</v>
      </c>
      <c r="K2017" s="48" t="str">
        <f aca="false">IF($H2017="","",购销流水!$E508)</f>
        <v/>
      </c>
      <c r="L2017" s="66" t="str">
        <f aca="false">IF(购销流水!$D508="","",IFERROR(INDEX(记账规则!$A$6:$N$9,MATCH(购销流水!$D508,记账规则!$A$6:$A$9,0),12),""))</f>
        <v/>
      </c>
      <c r="M2017" s="66" t="str">
        <f aca="false">IF($L2017="","",IFERROR(INDEX(记账规则!$A$6:$N$9,MATCH(购销流水!$D508,记账规则!$A$6:$A$9,0),13),""))</f>
        <v/>
      </c>
      <c r="N2017" s="66" t="str">
        <f aca="false">IF($L2017="","",IFERROR(INDEX(记账规则!$A$6:$N$9,MATCH(购销流水!$D508,记账规则!$A$6:$A$9,0),14),""))</f>
        <v/>
      </c>
      <c r="O2017" s="67" t="n">
        <f aca="false">IF($H2017="",0,ROUND(IF($N2017="成本金额",N(购销流水!$W508),IF($N2017="金额",N(购销流水!$Q508),0)),2))</f>
        <v>0</v>
      </c>
      <c r="P2017" s="64" t="str">
        <f aca="false">IF(AND($H2017&lt;&gt;"",ROUND($O2017,2)&lt;&gt;0),"有","")</f>
        <v/>
      </c>
    </row>
    <row r="2018" customFormat="false" ht="15" hidden="true" customHeight="false" outlineLevel="0" collapsed="false">
      <c r="A2018" s="53" t="str">
        <f aca="false">IF($H2018="","",ROW()-5)</f>
        <v/>
      </c>
      <c r="B2018" s="64" t="s">
        <v>36</v>
      </c>
      <c r="C2018" s="53" t="n">
        <v>509</v>
      </c>
      <c r="D2018" s="53" t="n">
        <v>1</v>
      </c>
      <c r="E2018" s="65" t="str">
        <f aca="false">IF($H2018="","",购销流水!$B509)</f>
        <v/>
      </c>
      <c r="F2018" s="55" t="str">
        <f aca="false">IF($H2018="","",购销流水!$C509)</f>
        <v/>
      </c>
      <c r="G2018" s="48" t="str">
        <f aca="false">IF($H2018="","",购销流水!$N509)</f>
        <v/>
      </c>
      <c r="H2018" s="10" t="str">
        <f aca="false">IF($L2018="","",IF($L2018="@成本",购销流水!$U509,IF($L2018="@收入",购销流水!$T509,IF($L2018="@存货",购销流水!$S509,IF($L2018="@结算",购销流水!$R509,$L2018)))))</f>
        <v/>
      </c>
      <c r="I2018" s="42" t="n">
        <f aca="false">IF($M2018="借",$O2018,0)</f>
        <v>0</v>
      </c>
      <c r="J2018" s="42" t="n">
        <f aca="false">IF($M2018="贷",$O2018,0)</f>
        <v>0</v>
      </c>
      <c r="K2018" s="48" t="str">
        <f aca="false">IF($H2018="","",购销流水!$E509)</f>
        <v/>
      </c>
      <c r="L2018" s="66" t="str">
        <f aca="false">IF(购销流水!$D509="","",IFERROR(INDEX(记账规则!$A$6:$N$9,MATCH(购销流水!$D509,记账规则!$A$6:$A$9,0),3),""))</f>
        <v/>
      </c>
      <c r="M2018" s="66" t="str">
        <f aca="false">IF($L2018="","",IFERROR(INDEX(记账规则!$A$6:$N$9,MATCH(购销流水!$D509,记账规则!$A$6:$A$9,0),4),""))</f>
        <v/>
      </c>
      <c r="N2018" s="66" t="str">
        <f aca="false">IF($L2018="","",IFERROR(INDEX(记账规则!$A$6:$N$9,MATCH(购销流水!$D509,记账规则!$A$6:$A$9,0),5),""))</f>
        <v/>
      </c>
      <c r="O2018" s="67" t="n">
        <f aca="false">IF($H2018="",0,ROUND(IF($N2018="成本金额",N(购销流水!$W509),IF($N2018="金额",N(购销流水!$Q509),0)),2))</f>
        <v>0</v>
      </c>
      <c r="P2018" s="64" t="str">
        <f aca="false">IF(AND($H2018&lt;&gt;"",ROUND($O2018,2)&lt;&gt;0),"有","")</f>
        <v/>
      </c>
    </row>
    <row r="2019" customFormat="false" ht="15" hidden="true" customHeight="false" outlineLevel="0" collapsed="false">
      <c r="A2019" s="53" t="str">
        <f aca="false">IF($H2019="","",ROW()-5)</f>
        <v/>
      </c>
      <c r="B2019" s="64" t="s">
        <v>36</v>
      </c>
      <c r="C2019" s="53" t="n">
        <v>509</v>
      </c>
      <c r="D2019" s="53" t="n">
        <v>2</v>
      </c>
      <c r="E2019" s="65" t="str">
        <f aca="false">IF($H2019="","",购销流水!$B509)</f>
        <v/>
      </c>
      <c r="F2019" s="55" t="str">
        <f aca="false">IF($H2019="","",购销流水!$C509)</f>
        <v/>
      </c>
      <c r="G2019" s="48" t="str">
        <f aca="false">IF($H2019="","",购销流水!$N509)</f>
        <v/>
      </c>
      <c r="H2019" s="10" t="str">
        <f aca="false">IF($L2019="","",IF($L2019="@成本",购销流水!$U509,IF($L2019="@收入",购销流水!$T509,IF($L2019="@存货",购销流水!$S509,IF($L2019="@结算",购销流水!$R509,$L2019)))))</f>
        <v/>
      </c>
      <c r="I2019" s="42" t="n">
        <f aca="false">IF($M2019="借",$O2019,0)</f>
        <v>0</v>
      </c>
      <c r="J2019" s="42" t="n">
        <f aca="false">IF($M2019="贷",$O2019,0)</f>
        <v>0</v>
      </c>
      <c r="K2019" s="48" t="str">
        <f aca="false">IF($H2019="","",购销流水!$E509)</f>
        <v/>
      </c>
      <c r="L2019" s="66" t="str">
        <f aca="false">IF(购销流水!$D509="","",IFERROR(INDEX(记账规则!$A$6:$N$9,MATCH(购销流水!$D509,记账规则!$A$6:$A$9,0),6),""))</f>
        <v/>
      </c>
      <c r="M2019" s="66" t="str">
        <f aca="false">IF($L2019="","",IFERROR(INDEX(记账规则!$A$6:$N$9,MATCH(购销流水!$D509,记账规则!$A$6:$A$9,0),7),""))</f>
        <v/>
      </c>
      <c r="N2019" s="66" t="str">
        <f aca="false">IF($L2019="","",IFERROR(INDEX(记账规则!$A$6:$N$9,MATCH(购销流水!$D509,记账规则!$A$6:$A$9,0),8),""))</f>
        <v/>
      </c>
      <c r="O2019" s="67" t="n">
        <f aca="false">IF($H2019="",0,ROUND(IF($N2019="成本金额",N(购销流水!$W509),IF($N2019="金额",N(购销流水!$Q509),0)),2))</f>
        <v>0</v>
      </c>
      <c r="P2019" s="64" t="str">
        <f aca="false">IF(AND($H2019&lt;&gt;"",ROUND($O2019,2)&lt;&gt;0),"有","")</f>
        <v/>
      </c>
    </row>
    <row r="2020" customFormat="false" ht="15" hidden="true" customHeight="false" outlineLevel="0" collapsed="false">
      <c r="A2020" s="53" t="str">
        <f aca="false">IF($H2020="","",ROW()-5)</f>
        <v/>
      </c>
      <c r="B2020" s="64" t="s">
        <v>36</v>
      </c>
      <c r="C2020" s="53" t="n">
        <v>509</v>
      </c>
      <c r="D2020" s="53" t="n">
        <v>3</v>
      </c>
      <c r="E2020" s="65" t="str">
        <f aca="false">IF($H2020="","",购销流水!$B509)</f>
        <v/>
      </c>
      <c r="F2020" s="55" t="str">
        <f aca="false">IF($H2020="","",购销流水!$C509)</f>
        <v/>
      </c>
      <c r="G2020" s="48" t="str">
        <f aca="false">IF($H2020="","",购销流水!$N509)</f>
        <v/>
      </c>
      <c r="H2020" s="10" t="str">
        <f aca="false">IF($L2020="","",IF($L2020="@成本",购销流水!$U509,IF($L2020="@收入",购销流水!$T509,IF($L2020="@存货",购销流水!$S509,IF($L2020="@结算",购销流水!$R509,$L2020)))))</f>
        <v/>
      </c>
      <c r="I2020" s="42" t="n">
        <f aca="false">IF($M2020="借",$O2020,0)</f>
        <v>0</v>
      </c>
      <c r="J2020" s="42" t="n">
        <f aca="false">IF($M2020="贷",$O2020,0)</f>
        <v>0</v>
      </c>
      <c r="K2020" s="48" t="str">
        <f aca="false">IF($H2020="","",购销流水!$E509)</f>
        <v/>
      </c>
      <c r="L2020" s="66" t="str">
        <f aca="false">IF(购销流水!$D509="","",IFERROR(INDEX(记账规则!$A$6:$N$9,MATCH(购销流水!$D509,记账规则!$A$6:$A$9,0),9),""))</f>
        <v/>
      </c>
      <c r="M2020" s="66" t="str">
        <f aca="false">IF($L2020="","",IFERROR(INDEX(记账规则!$A$6:$N$9,MATCH(购销流水!$D509,记账规则!$A$6:$A$9,0),10),""))</f>
        <v/>
      </c>
      <c r="N2020" s="66" t="str">
        <f aca="false">IF($L2020="","",IFERROR(INDEX(记账规则!$A$6:$N$9,MATCH(购销流水!$D509,记账规则!$A$6:$A$9,0),11),""))</f>
        <v/>
      </c>
      <c r="O2020" s="67" t="n">
        <f aca="false">IF($H2020="",0,ROUND(IF($N2020="成本金额",N(购销流水!$W509),IF($N2020="金额",N(购销流水!$Q509),0)),2))</f>
        <v>0</v>
      </c>
      <c r="P2020" s="64" t="str">
        <f aca="false">IF(AND($H2020&lt;&gt;"",ROUND($O2020,2)&lt;&gt;0),"有","")</f>
        <v/>
      </c>
    </row>
    <row r="2021" customFormat="false" ht="15" hidden="true" customHeight="false" outlineLevel="0" collapsed="false">
      <c r="A2021" s="53" t="str">
        <f aca="false">IF($H2021="","",ROW()-5)</f>
        <v/>
      </c>
      <c r="B2021" s="64" t="s">
        <v>36</v>
      </c>
      <c r="C2021" s="53" t="n">
        <v>509</v>
      </c>
      <c r="D2021" s="53" t="n">
        <v>4</v>
      </c>
      <c r="E2021" s="65" t="str">
        <f aca="false">IF($H2021="","",购销流水!$B509)</f>
        <v/>
      </c>
      <c r="F2021" s="55" t="str">
        <f aca="false">IF($H2021="","",购销流水!$C509)</f>
        <v/>
      </c>
      <c r="G2021" s="48" t="str">
        <f aca="false">IF($H2021="","",购销流水!$N509)</f>
        <v/>
      </c>
      <c r="H2021" s="10" t="str">
        <f aca="false">IF($L2021="","",IF($L2021="@成本",购销流水!$U509,IF($L2021="@收入",购销流水!$T509,IF($L2021="@存货",购销流水!$S509,IF($L2021="@结算",购销流水!$R509,$L2021)))))</f>
        <v/>
      </c>
      <c r="I2021" s="42" t="n">
        <f aca="false">IF($M2021="借",$O2021,0)</f>
        <v>0</v>
      </c>
      <c r="J2021" s="42" t="n">
        <f aca="false">IF($M2021="贷",$O2021,0)</f>
        <v>0</v>
      </c>
      <c r="K2021" s="48" t="str">
        <f aca="false">IF($H2021="","",购销流水!$E509)</f>
        <v/>
      </c>
      <c r="L2021" s="66" t="str">
        <f aca="false">IF(购销流水!$D509="","",IFERROR(INDEX(记账规则!$A$6:$N$9,MATCH(购销流水!$D509,记账规则!$A$6:$A$9,0),12),""))</f>
        <v/>
      </c>
      <c r="M2021" s="66" t="str">
        <f aca="false">IF($L2021="","",IFERROR(INDEX(记账规则!$A$6:$N$9,MATCH(购销流水!$D509,记账规则!$A$6:$A$9,0),13),""))</f>
        <v/>
      </c>
      <c r="N2021" s="66" t="str">
        <f aca="false">IF($L2021="","",IFERROR(INDEX(记账规则!$A$6:$N$9,MATCH(购销流水!$D509,记账规则!$A$6:$A$9,0),14),""))</f>
        <v/>
      </c>
      <c r="O2021" s="67" t="n">
        <f aca="false">IF($H2021="",0,ROUND(IF($N2021="成本金额",N(购销流水!$W509),IF($N2021="金额",N(购销流水!$Q509),0)),2))</f>
        <v>0</v>
      </c>
      <c r="P2021" s="64" t="str">
        <f aca="false">IF(AND($H2021&lt;&gt;"",ROUND($O2021,2)&lt;&gt;0),"有","")</f>
        <v/>
      </c>
    </row>
    <row r="2022" customFormat="false" ht="15" hidden="true" customHeight="false" outlineLevel="0" collapsed="false">
      <c r="A2022" s="53" t="str">
        <f aca="false">IF($H2022="","",ROW()-5)</f>
        <v/>
      </c>
      <c r="B2022" s="64" t="s">
        <v>36</v>
      </c>
      <c r="C2022" s="53" t="n">
        <v>510</v>
      </c>
      <c r="D2022" s="53" t="n">
        <v>1</v>
      </c>
      <c r="E2022" s="65" t="str">
        <f aca="false">IF($H2022="","",购销流水!$B510)</f>
        <v/>
      </c>
      <c r="F2022" s="55" t="str">
        <f aca="false">IF($H2022="","",购销流水!$C510)</f>
        <v/>
      </c>
      <c r="G2022" s="48" t="str">
        <f aca="false">IF($H2022="","",购销流水!$N510)</f>
        <v/>
      </c>
      <c r="H2022" s="10" t="str">
        <f aca="false">IF($L2022="","",IF($L2022="@成本",购销流水!$U510,IF($L2022="@收入",购销流水!$T510,IF($L2022="@存货",购销流水!$S510,IF($L2022="@结算",购销流水!$R510,$L2022)))))</f>
        <v/>
      </c>
      <c r="I2022" s="42" t="n">
        <f aca="false">IF($M2022="借",$O2022,0)</f>
        <v>0</v>
      </c>
      <c r="J2022" s="42" t="n">
        <f aca="false">IF($M2022="贷",$O2022,0)</f>
        <v>0</v>
      </c>
      <c r="K2022" s="48" t="str">
        <f aca="false">IF($H2022="","",购销流水!$E510)</f>
        <v/>
      </c>
      <c r="L2022" s="66" t="str">
        <f aca="false">IF(购销流水!$D510="","",IFERROR(INDEX(记账规则!$A$6:$N$9,MATCH(购销流水!$D510,记账规则!$A$6:$A$9,0),3),""))</f>
        <v/>
      </c>
      <c r="M2022" s="66" t="str">
        <f aca="false">IF($L2022="","",IFERROR(INDEX(记账规则!$A$6:$N$9,MATCH(购销流水!$D510,记账规则!$A$6:$A$9,0),4),""))</f>
        <v/>
      </c>
      <c r="N2022" s="66" t="str">
        <f aca="false">IF($L2022="","",IFERROR(INDEX(记账规则!$A$6:$N$9,MATCH(购销流水!$D510,记账规则!$A$6:$A$9,0),5),""))</f>
        <v/>
      </c>
      <c r="O2022" s="67" t="n">
        <f aca="false">IF($H2022="",0,ROUND(IF($N2022="成本金额",N(购销流水!$W510),IF($N2022="金额",N(购销流水!$Q510),0)),2))</f>
        <v>0</v>
      </c>
      <c r="P2022" s="64" t="str">
        <f aca="false">IF(AND($H2022&lt;&gt;"",ROUND($O2022,2)&lt;&gt;0),"有","")</f>
        <v/>
      </c>
    </row>
    <row r="2023" customFormat="false" ht="15" hidden="true" customHeight="false" outlineLevel="0" collapsed="false">
      <c r="A2023" s="53" t="str">
        <f aca="false">IF($H2023="","",ROW()-5)</f>
        <v/>
      </c>
      <c r="B2023" s="64" t="s">
        <v>36</v>
      </c>
      <c r="C2023" s="53" t="n">
        <v>510</v>
      </c>
      <c r="D2023" s="53" t="n">
        <v>2</v>
      </c>
      <c r="E2023" s="65" t="str">
        <f aca="false">IF($H2023="","",购销流水!$B510)</f>
        <v/>
      </c>
      <c r="F2023" s="55" t="str">
        <f aca="false">IF($H2023="","",购销流水!$C510)</f>
        <v/>
      </c>
      <c r="G2023" s="48" t="str">
        <f aca="false">IF($H2023="","",购销流水!$N510)</f>
        <v/>
      </c>
      <c r="H2023" s="10" t="str">
        <f aca="false">IF($L2023="","",IF($L2023="@成本",购销流水!$U510,IF($L2023="@收入",购销流水!$T510,IF($L2023="@存货",购销流水!$S510,IF($L2023="@结算",购销流水!$R510,$L2023)))))</f>
        <v/>
      </c>
      <c r="I2023" s="42" t="n">
        <f aca="false">IF($M2023="借",$O2023,0)</f>
        <v>0</v>
      </c>
      <c r="J2023" s="42" t="n">
        <f aca="false">IF($M2023="贷",$O2023,0)</f>
        <v>0</v>
      </c>
      <c r="K2023" s="48" t="str">
        <f aca="false">IF($H2023="","",购销流水!$E510)</f>
        <v/>
      </c>
      <c r="L2023" s="66" t="str">
        <f aca="false">IF(购销流水!$D510="","",IFERROR(INDEX(记账规则!$A$6:$N$9,MATCH(购销流水!$D510,记账规则!$A$6:$A$9,0),6),""))</f>
        <v/>
      </c>
      <c r="M2023" s="66" t="str">
        <f aca="false">IF($L2023="","",IFERROR(INDEX(记账规则!$A$6:$N$9,MATCH(购销流水!$D510,记账规则!$A$6:$A$9,0),7),""))</f>
        <v/>
      </c>
      <c r="N2023" s="66" t="str">
        <f aca="false">IF($L2023="","",IFERROR(INDEX(记账规则!$A$6:$N$9,MATCH(购销流水!$D510,记账规则!$A$6:$A$9,0),8),""))</f>
        <v/>
      </c>
      <c r="O2023" s="67" t="n">
        <f aca="false">IF($H2023="",0,ROUND(IF($N2023="成本金额",N(购销流水!$W510),IF($N2023="金额",N(购销流水!$Q510),0)),2))</f>
        <v>0</v>
      </c>
      <c r="P2023" s="64" t="str">
        <f aca="false">IF(AND($H2023&lt;&gt;"",ROUND($O2023,2)&lt;&gt;0),"有","")</f>
        <v/>
      </c>
    </row>
    <row r="2024" customFormat="false" ht="15" hidden="true" customHeight="false" outlineLevel="0" collapsed="false">
      <c r="A2024" s="53" t="str">
        <f aca="false">IF($H2024="","",ROW()-5)</f>
        <v/>
      </c>
      <c r="B2024" s="64" t="s">
        <v>36</v>
      </c>
      <c r="C2024" s="53" t="n">
        <v>510</v>
      </c>
      <c r="D2024" s="53" t="n">
        <v>3</v>
      </c>
      <c r="E2024" s="65" t="str">
        <f aca="false">IF($H2024="","",购销流水!$B510)</f>
        <v/>
      </c>
      <c r="F2024" s="55" t="str">
        <f aca="false">IF($H2024="","",购销流水!$C510)</f>
        <v/>
      </c>
      <c r="G2024" s="48" t="str">
        <f aca="false">IF($H2024="","",购销流水!$N510)</f>
        <v/>
      </c>
      <c r="H2024" s="10" t="str">
        <f aca="false">IF($L2024="","",IF($L2024="@成本",购销流水!$U510,IF($L2024="@收入",购销流水!$T510,IF($L2024="@存货",购销流水!$S510,IF($L2024="@结算",购销流水!$R510,$L2024)))))</f>
        <v/>
      </c>
      <c r="I2024" s="42" t="n">
        <f aca="false">IF($M2024="借",$O2024,0)</f>
        <v>0</v>
      </c>
      <c r="J2024" s="42" t="n">
        <f aca="false">IF($M2024="贷",$O2024,0)</f>
        <v>0</v>
      </c>
      <c r="K2024" s="48" t="str">
        <f aca="false">IF($H2024="","",购销流水!$E510)</f>
        <v/>
      </c>
      <c r="L2024" s="66" t="str">
        <f aca="false">IF(购销流水!$D510="","",IFERROR(INDEX(记账规则!$A$6:$N$9,MATCH(购销流水!$D510,记账规则!$A$6:$A$9,0),9),""))</f>
        <v/>
      </c>
      <c r="M2024" s="66" t="str">
        <f aca="false">IF($L2024="","",IFERROR(INDEX(记账规则!$A$6:$N$9,MATCH(购销流水!$D510,记账规则!$A$6:$A$9,0),10),""))</f>
        <v/>
      </c>
      <c r="N2024" s="66" t="str">
        <f aca="false">IF($L2024="","",IFERROR(INDEX(记账规则!$A$6:$N$9,MATCH(购销流水!$D510,记账规则!$A$6:$A$9,0),11),""))</f>
        <v/>
      </c>
      <c r="O2024" s="67" t="n">
        <f aca="false">IF($H2024="",0,ROUND(IF($N2024="成本金额",N(购销流水!$W510),IF($N2024="金额",N(购销流水!$Q510),0)),2))</f>
        <v>0</v>
      </c>
      <c r="P2024" s="64" t="str">
        <f aca="false">IF(AND($H2024&lt;&gt;"",ROUND($O2024,2)&lt;&gt;0),"有","")</f>
        <v/>
      </c>
    </row>
    <row r="2025" customFormat="false" ht="15" hidden="true" customHeight="false" outlineLevel="0" collapsed="false">
      <c r="A2025" s="53" t="str">
        <f aca="false">IF($H2025="","",ROW()-5)</f>
        <v/>
      </c>
      <c r="B2025" s="64" t="s">
        <v>36</v>
      </c>
      <c r="C2025" s="53" t="n">
        <v>510</v>
      </c>
      <c r="D2025" s="53" t="n">
        <v>4</v>
      </c>
      <c r="E2025" s="65" t="str">
        <f aca="false">IF($H2025="","",购销流水!$B510)</f>
        <v/>
      </c>
      <c r="F2025" s="55" t="str">
        <f aca="false">IF($H2025="","",购销流水!$C510)</f>
        <v/>
      </c>
      <c r="G2025" s="48" t="str">
        <f aca="false">IF($H2025="","",购销流水!$N510)</f>
        <v/>
      </c>
      <c r="H2025" s="10" t="str">
        <f aca="false">IF($L2025="","",IF($L2025="@成本",购销流水!$U510,IF($L2025="@收入",购销流水!$T510,IF($L2025="@存货",购销流水!$S510,IF($L2025="@结算",购销流水!$R510,$L2025)))))</f>
        <v/>
      </c>
      <c r="I2025" s="42" t="n">
        <f aca="false">IF($M2025="借",$O2025,0)</f>
        <v>0</v>
      </c>
      <c r="J2025" s="42" t="n">
        <f aca="false">IF($M2025="贷",$O2025,0)</f>
        <v>0</v>
      </c>
      <c r="K2025" s="48" t="str">
        <f aca="false">IF($H2025="","",购销流水!$E510)</f>
        <v/>
      </c>
      <c r="L2025" s="66" t="str">
        <f aca="false">IF(购销流水!$D510="","",IFERROR(INDEX(记账规则!$A$6:$N$9,MATCH(购销流水!$D510,记账规则!$A$6:$A$9,0),12),""))</f>
        <v/>
      </c>
      <c r="M2025" s="66" t="str">
        <f aca="false">IF($L2025="","",IFERROR(INDEX(记账规则!$A$6:$N$9,MATCH(购销流水!$D510,记账规则!$A$6:$A$9,0),13),""))</f>
        <v/>
      </c>
      <c r="N2025" s="66" t="str">
        <f aca="false">IF($L2025="","",IFERROR(INDEX(记账规则!$A$6:$N$9,MATCH(购销流水!$D510,记账规则!$A$6:$A$9,0),14),""))</f>
        <v/>
      </c>
      <c r="O2025" s="67" t="n">
        <f aca="false">IF($H2025="",0,ROUND(IF($N2025="成本金额",N(购销流水!$W510),IF($N2025="金额",N(购销流水!$Q510),0)),2))</f>
        <v>0</v>
      </c>
      <c r="P2025" s="64" t="str">
        <f aca="false">IF(AND($H2025&lt;&gt;"",ROUND($O2025,2)&lt;&gt;0),"有","")</f>
        <v/>
      </c>
    </row>
    <row r="2026" customFormat="false" ht="15" hidden="true" customHeight="false" outlineLevel="0" collapsed="false">
      <c r="A2026" s="53" t="str">
        <f aca="false">IF($H2026="","",ROW()-5)</f>
        <v/>
      </c>
      <c r="B2026" s="64" t="s">
        <v>36</v>
      </c>
      <c r="C2026" s="53" t="n">
        <v>511</v>
      </c>
      <c r="D2026" s="53" t="n">
        <v>1</v>
      </c>
      <c r="E2026" s="65" t="str">
        <f aca="false">IF($H2026="","",购销流水!$B511)</f>
        <v/>
      </c>
      <c r="F2026" s="55" t="str">
        <f aca="false">IF($H2026="","",购销流水!$C511)</f>
        <v/>
      </c>
      <c r="G2026" s="48" t="str">
        <f aca="false">IF($H2026="","",购销流水!$N511)</f>
        <v/>
      </c>
      <c r="H2026" s="10" t="str">
        <f aca="false">IF($L2026="","",IF($L2026="@成本",购销流水!$U511,IF($L2026="@收入",购销流水!$T511,IF($L2026="@存货",购销流水!$S511,IF($L2026="@结算",购销流水!$R511,$L2026)))))</f>
        <v/>
      </c>
      <c r="I2026" s="42" t="n">
        <f aca="false">IF($M2026="借",$O2026,0)</f>
        <v>0</v>
      </c>
      <c r="J2026" s="42" t="n">
        <f aca="false">IF($M2026="贷",$O2026,0)</f>
        <v>0</v>
      </c>
      <c r="K2026" s="48" t="str">
        <f aca="false">IF($H2026="","",购销流水!$E511)</f>
        <v/>
      </c>
      <c r="L2026" s="66" t="str">
        <f aca="false">IF(购销流水!$D511="","",IFERROR(INDEX(记账规则!$A$6:$N$9,MATCH(购销流水!$D511,记账规则!$A$6:$A$9,0),3),""))</f>
        <v/>
      </c>
      <c r="M2026" s="66" t="str">
        <f aca="false">IF($L2026="","",IFERROR(INDEX(记账规则!$A$6:$N$9,MATCH(购销流水!$D511,记账规则!$A$6:$A$9,0),4),""))</f>
        <v/>
      </c>
      <c r="N2026" s="66" t="str">
        <f aca="false">IF($L2026="","",IFERROR(INDEX(记账规则!$A$6:$N$9,MATCH(购销流水!$D511,记账规则!$A$6:$A$9,0),5),""))</f>
        <v/>
      </c>
      <c r="O2026" s="67" t="n">
        <f aca="false">IF($H2026="",0,ROUND(IF($N2026="成本金额",N(购销流水!$W511),IF($N2026="金额",N(购销流水!$Q511),0)),2))</f>
        <v>0</v>
      </c>
      <c r="P2026" s="64" t="str">
        <f aca="false">IF(AND($H2026&lt;&gt;"",ROUND($O2026,2)&lt;&gt;0),"有","")</f>
        <v/>
      </c>
    </row>
    <row r="2027" customFormat="false" ht="15" hidden="true" customHeight="false" outlineLevel="0" collapsed="false">
      <c r="A2027" s="53" t="str">
        <f aca="false">IF($H2027="","",ROW()-5)</f>
        <v/>
      </c>
      <c r="B2027" s="64" t="s">
        <v>36</v>
      </c>
      <c r="C2027" s="53" t="n">
        <v>511</v>
      </c>
      <c r="D2027" s="53" t="n">
        <v>2</v>
      </c>
      <c r="E2027" s="65" t="str">
        <f aca="false">IF($H2027="","",购销流水!$B511)</f>
        <v/>
      </c>
      <c r="F2027" s="55" t="str">
        <f aca="false">IF($H2027="","",购销流水!$C511)</f>
        <v/>
      </c>
      <c r="G2027" s="48" t="str">
        <f aca="false">IF($H2027="","",购销流水!$N511)</f>
        <v/>
      </c>
      <c r="H2027" s="10" t="str">
        <f aca="false">IF($L2027="","",IF($L2027="@成本",购销流水!$U511,IF($L2027="@收入",购销流水!$T511,IF($L2027="@存货",购销流水!$S511,IF($L2027="@结算",购销流水!$R511,$L2027)))))</f>
        <v/>
      </c>
      <c r="I2027" s="42" t="n">
        <f aca="false">IF($M2027="借",$O2027,0)</f>
        <v>0</v>
      </c>
      <c r="J2027" s="42" t="n">
        <f aca="false">IF($M2027="贷",$O2027,0)</f>
        <v>0</v>
      </c>
      <c r="K2027" s="48" t="str">
        <f aca="false">IF($H2027="","",购销流水!$E511)</f>
        <v/>
      </c>
      <c r="L2027" s="66" t="str">
        <f aca="false">IF(购销流水!$D511="","",IFERROR(INDEX(记账规则!$A$6:$N$9,MATCH(购销流水!$D511,记账规则!$A$6:$A$9,0),6),""))</f>
        <v/>
      </c>
      <c r="M2027" s="66" t="str">
        <f aca="false">IF($L2027="","",IFERROR(INDEX(记账规则!$A$6:$N$9,MATCH(购销流水!$D511,记账规则!$A$6:$A$9,0),7),""))</f>
        <v/>
      </c>
      <c r="N2027" s="66" t="str">
        <f aca="false">IF($L2027="","",IFERROR(INDEX(记账规则!$A$6:$N$9,MATCH(购销流水!$D511,记账规则!$A$6:$A$9,0),8),""))</f>
        <v/>
      </c>
      <c r="O2027" s="67" t="n">
        <f aca="false">IF($H2027="",0,ROUND(IF($N2027="成本金额",N(购销流水!$W511),IF($N2027="金额",N(购销流水!$Q511),0)),2))</f>
        <v>0</v>
      </c>
      <c r="P2027" s="64" t="str">
        <f aca="false">IF(AND($H2027&lt;&gt;"",ROUND($O2027,2)&lt;&gt;0),"有","")</f>
        <v/>
      </c>
    </row>
    <row r="2028" customFormat="false" ht="15" hidden="true" customHeight="false" outlineLevel="0" collapsed="false">
      <c r="A2028" s="53" t="str">
        <f aca="false">IF($H2028="","",ROW()-5)</f>
        <v/>
      </c>
      <c r="B2028" s="64" t="s">
        <v>36</v>
      </c>
      <c r="C2028" s="53" t="n">
        <v>511</v>
      </c>
      <c r="D2028" s="53" t="n">
        <v>3</v>
      </c>
      <c r="E2028" s="65" t="str">
        <f aca="false">IF($H2028="","",购销流水!$B511)</f>
        <v/>
      </c>
      <c r="F2028" s="55" t="str">
        <f aca="false">IF($H2028="","",购销流水!$C511)</f>
        <v/>
      </c>
      <c r="G2028" s="48" t="str">
        <f aca="false">IF($H2028="","",购销流水!$N511)</f>
        <v/>
      </c>
      <c r="H2028" s="10" t="str">
        <f aca="false">IF($L2028="","",IF($L2028="@成本",购销流水!$U511,IF($L2028="@收入",购销流水!$T511,IF($L2028="@存货",购销流水!$S511,IF($L2028="@结算",购销流水!$R511,$L2028)))))</f>
        <v/>
      </c>
      <c r="I2028" s="42" t="n">
        <f aca="false">IF($M2028="借",$O2028,0)</f>
        <v>0</v>
      </c>
      <c r="J2028" s="42" t="n">
        <f aca="false">IF($M2028="贷",$O2028,0)</f>
        <v>0</v>
      </c>
      <c r="K2028" s="48" t="str">
        <f aca="false">IF($H2028="","",购销流水!$E511)</f>
        <v/>
      </c>
      <c r="L2028" s="66" t="str">
        <f aca="false">IF(购销流水!$D511="","",IFERROR(INDEX(记账规则!$A$6:$N$9,MATCH(购销流水!$D511,记账规则!$A$6:$A$9,0),9),""))</f>
        <v/>
      </c>
      <c r="M2028" s="66" t="str">
        <f aca="false">IF($L2028="","",IFERROR(INDEX(记账规则!$A$6:$N$9,MATCH(购销流水!$D511,记账规则!$A$6:$A$9,0),10),""))</f>
        <v/>
      </c>
      <c r="N2028" s="66" t="str">
        <f aca="false">IF($L2028="","",IFERROR(INDEX(记账规则!$A$6:$N$9,MATCH(购销流水!$D511,记账规则!$A$6:$A$9,0),11),""))</f>
        <v/>
      </c>
      <c r="O2028" s="67" t="n">
        <f aca="false">IF($H2028="",0,ROUND(IF($N2028="成本金额",N(购销流水!$W511),IF($N2028="金额",N(购销流水!$Q511),0)),2))</f>
        <v>0</v>
      </c>
      <c r="P2028" s="64" t="str">
        <f aca="false">IF(AND($H2028&lt;&gt;"",ROUND($O2028,2)&lt;&gt;0),"有","")</f>
        <v/>
      </c>
    </row>
    <row r="2029" customFormat="false" ht="15" hidden="true" customHeight="false" outlineLevel="0" collapsed="false">
      <c r="A2029" s="53" t="str">
        <f aca="false">IF($H2029="","",ROW()-5)</f>
        <v/>
      </c>
      <c r="B2029" s="64" t="s">
        <v>36</v>
      </c>
      <c r="C2029" s="53" t="n">
        <v>511</v>
      </c>
      <c r="D2029" s="53" t="n">
        <v>4</v>
      </c>
      <c r="E2029" s="65" t="str">
        <f aca="false">IF($H2029="","",购销流水!$B511)</f>
        <v/>
      </c>
      <c r="F2029" s="55" t="str">
        <f aca="false">IF($H2029="","",购销流水!$C511)</f>
        <v/>
      </c>
      <c r="G2029" s="48" t="str">
        <f aca="false">IF($H2029="","",购销流水!$N511)</f>
        <v/>
      </c>
      <c r="H2029" s="10" t="str">
        <f aca="false">IF($L2029="","",IF($L2029="@成本",购销流水!$U511,IF($L2029="@收入",购销流水!$T511,IF($L2029="@存货",购销流水!$S511,IF($L2029="@结算",购销流水!$R511,$L2029)))))</f>
        <v/>
      </c>
      <c r="I2029" s="42" t="n">
        <f aca="false">IF($M2029="借",$O2029,0)</f>
        <v>0</v>
      </c>
      <c r="J2029" s="42" t="n">
        <f aca="false">IF($M2029="贷",$O2029,0)</f>
        <v>0</v>
      </c>
      <c r="K2029" s="48" t="str">
        <f aca="false">IF($H2029="","",购销流水!$E511)</f>
        <v/>
      </c>
      <c r="L2029" s="66" t="str">
        <f aca="false">IF(购销流水!$D511="","",IFERROR(INDEX(记账规则!$A$6:$N$9,MATCH(购销流水!$D511,记账规则!$A$6:$A$9,0),12),""))</f>
        <v/>
      </c>
      <c r="M2029" s="66" t="str">
        <f aca="false">IF($L2029="","",IFERROR(INDEX(记账规则!$A$6:$N$9,MATCH(购销流水!$D511,记账规则!$A$6:$A$9,0),13),""))</f>
        <v/>
      </c>
      <c r="N2029" s="66" t="str">
        <f aca="false">IF($L2029="","",IFERROR(INDEX(记账规则!$A$6:$N$9,MATCH(购销流水!$D511,记账规则!$A$6:$A$9,0),14),""))</f>
        <v/>
      </c>
      <c r="O2029" s="67" t="n">
        <f aca="false">IF($H2029="",0,ROUND(IF($N2029="成本金额",N(购销流水!$W511),IF($N2029="金额",N(购销流水!$Q511),0)),2))</f>
        <v>0</v>
      </c>
      <c r="P2029" s="64" t="str">
        <f aca="false">IF(AND($H2029&lt;&gt;"",ROUND($O2029,2)&lt;&gt;0),"有","")</f>
        <v/>
      </c>
    </row>
    <row r="2030" customFormat="false" ht="15" hidden="true" customHeight="false" outlineLevel="0" collapsed="false">
      <c r="A2030" s="53" t="str">
        <f aca="false">IF($H2030="","",ROW()-5)</f>
        <v/>
      </c>
      <c r="B2030" s="64" t="s">
        <v>36</v>
      </c>
      <c r="C2030" s="53" t="n">
        <v>512</v>
      </c>
      <c r="D2030" s="53" t="n">
        <v>1</v>
      </c>
      <c r="E2030" s="65" t="str">
        <f aca="false">IF($H2030="","",购销流水!$B512)</f>
        <v/>
      </c>
      <c r="F2030" s="55" t="str">
        <f aca="false">IF($H2030="","",购销流水!$C512)</f>
        <v/>
      </c>
      <c r="G2030" s="48" t="str">
        <f aca="false">IF($H2030="","",购销流水!$N512)</f>
        <v/>
      </c>
      <c r="H2030" s="10" t="str">
        <f aca="false">IF($L2030="","",IF($L2030="@成本",购销流水!$U512,IF($L2030="@收入",购销流水!$T512,IF($L2030="@存货",购销流水!$S512,IF($L2030="@结算",购销流水!$R512,$L2030)))))</f>
        <v/>
      </c>
      <c r="I2030" s="42" t="n">
        <f aca="false">IF($M2030="借",$O2030,0)</f>
        <v>0</v>
      </c>
      <c r="J2030" s="42" t="n">
        <f aca="false">IF($M2030="贷",$O2030,0)</f>
        <v>0</v>
      </c>
      <c r="K2030" s="48" t="str">
        <f aca="false">IF($H2030="","",购销流水!$E512)</f>
        <v/>
      </c>
      <c r="L2030" s="66" t="str">
        <f aca="false">IF(购销流水!$D512="","",IFERROR(INDEX(记账规则!$A$6:$N$9,MATCH(购销流水!$D512,记账规则!$A$6:$A$9,0),3),""))</f>
        <v/>
      </c>
      <c r="M2030" s="66" t="str">
        <f aca="false">IF($L2030="","",IFERROR(INDEX(记账规则!$A$6:$N$9,MATCH(购销流水!$D512,记账规则!$A$6:$A$9,0),4),""))</f>
        <v/>
      </c>
      <c r="N2030" s="66" t="str">
        <f aca="false">IF($L2030="","",IFERROR(INDEX(记账规则!$A$6:$N$9,MATCH(购销流水!$D512,记账规则!$A$6:$A$9,0),5),""))</f>
        <v/>
      </c>
      <c r="O2030" s="67" t="n">
        <f aca="false">IF($H2030="",0,ROUND(IF($N2030="成本金额",N(购销流水!$W512),IF($N2030="金额",N(购销流水!$Q512),0)),2))</f>
        <v>0</v>
      </c>
      <c r="P2030" s="64" t="str">
        <f aca="false">IF(AND($H2030&lt;&gt;"",ROUND($O2030,2)&lt;&gt;0),"有","")</f>
        <v/>
      </c>
    </row>
    <row r="2031" customFormat="false" ht="15" hidden="true" customHeight="false" outlineLevel="0" collapsed="false">
      <c r="A2031" s="53" t="str">
        <f aca="false">IF($H2031="","",ROW()-5)</f>
        <v/>
      </c>
      <c r="B2031" s="64" t="s">
        <v>36</v>
      </c>
      <c r="C2031" s="53" t="n">
        <v>512</v>
      </c>
      <c r="D2031" s="53" t="n">
        <v>2</v>
      </c>
      <c r="E2031" s="65" t="str">
        <f aca="false">IF($H2031="","",购销流水!$B512)</f>
        <v/>
      </c>
      <c r="F2031" s="55" t="str">
        <f aca="false">IF($H2031="","",购销流水!$C512)</f>
        <v/>
      </c>
      <c r="G2031" s="48" t="str">
        <f aca="false">IF($H2031="","",购销流水!$N512)</f>
        <v/>
      </c>
      <c r="H2031" s="10" t="str">
        <f aca="false">IF($L2031="","",IF($L2031="@成本",购销流水!$U512,IF($L2031="@收入",购销流水!$T512,IF($L2031="@存货",购销流水!$S512,IF($L2031="@结算",购销流水!$R512,$L2031)))))</f>
        <v/>
      </c>
      <c r="I2031" s="42" t="n">
        <f aca="false">IF($M2031="借",$O2031,0)</f>
        <v>0</v>
      </c>
      <c r="J2031" s="42" t="n">
        <f aca="false">IF($M2031="贷",$O2031,0)</f>
        <v>0</v>
      </c>
      <c r="K2031" s="48" t="str">
        <f aca="false">IF($H2031="","",购销流水!$E512)</f>
        <v/>
      </c>
      <c r="L2031" s="66" t="str">
        <f aca="false">IF(购销流水!$D512="","",IFERROR(INDEX(记账规则!$A$6:$N$9,MATCH(购销流水!$D512,记账规则!$A$6:$A$9,0),6),""))</f>
        <v/>
      </c>
      <c r="M2031" s="66" t="str">
        <f aca="false">IF($L2031="","",IFERROR(INDEX(记账规则!$A$6:$N$9,MATCH(购销流水!$D512,记账规则!$A$6:$A$9,0),7),""))</f>
        <v/>
      </c>
      <c r="N2031" s="66" t="str">
        <f aca="false">IF($L2031="","",IFERROR(INDEX(记账规则!$A$6:$N$9,MATCH(购销流水!$D512,记账规则!$A$6:$A$9,0),8),""))</f>
        <v/>
      </c>
      <c r="O2031" s="67" t="n">
        <f aca="false">IF($H2031="",0,ROUND(IF($N2031="成本金额",N(购销流水!$W512),IF($N2031="金额",N(购销流水!$Q512),0)),2))</f>
        <v>0</v>
      </c>
      <c r="P2031" s="64" t="str">
        <f aca="false">IF(AND($H2031&lt;&gt;"",ROUND($O2031,2)&lt;&gt;0),"有","")</f>
        <v/>
      </c>
    </row>
    <row r="2032" customFormat="false" ht="15" hidden="true" customHeight="false" outlineLevel="0" collapsed="false">
      <c r="A2032" s="53" t="str">
        <f aca="false">IF($H2032="","",ROW()-5)</f>
        <v/>
      </c>
      <c r="B2032" s="64" t="s">
        <v>36</v>
      </c>
      <c r="C2032" s="53" t="n">
        <v>512</v>
      </c>
      <c r="D2032" s="53" t="n">
        <v>3</v>
      </c>
      <c r="E2032" s="65" t="str">
        <f aca="false">IF($H2032="","",购销流水!$B512)</f>
        <v/>
      </c>
      <c r="F2032" s="55" t="str">
        <f aca="false">IF($H2032="","",购销流水!$C512)</f>
        <v/>
      </c>
      <c r="G2032" s="48" t="str">
        <f aca="false">IF($H2032="","",购销流水!$N512)</f>
        <v/>
      </c>
      <c r="H2032" s="10" t="str">
        <f aca="false">IF($L2032="","",IF($L2032="@成本",购销流水!$U512,IF($L2032="@收入",购销流水!$T512,IF($L2032="@存货",购销流水!$S512,IF($L2032="@结算",购销流水!$R512,$L2032)))))</f>
        <v/>
      </c>
      <c r="I2032" s="42" t="n">
        <f aca="false">IF($M2032="借",$O2032,0)</f>
        <v>0</v>
      </c>
      <c r="J2032" s="42" t="n">
        <f aca="false">IF($M2032="贷",$O2032,0)</f>
        <v>0</v>
      </c>
      <c r="K2032" s="48" t="str">
        <f aca="false">IF($H2032="","",购销流水!$E512)</f>
        <v/>
      </c>
      <c r="L2032" s="66" t="str">
        <f aca="false">IF(购销流水!$D512="","",IFERROR(INDEX(记账规则!$A$6:$N$9,MATCH(购销流水!$D512,记账规则!$A$6:$A$9,0),9),""))</f>
        <v/>
      </c>
      <c r="M2032" s="66" t="str">
        <f aca="false">IF($L2032="","",IFERROR(INDEX(记账规则!$A$6:$N$9,MATCH(购销流水!$D512,记账规则!$A$6:$A$9,0),10),""))</f>
        <v/>
      </c>
      <c r="N2032" s="66" t="str">
        <f aca="false">IF($L2032="","",IFERROR(INDEX(记账规则!$A$6:$N$9,MATCH(购销流水!$D512,记账规则!$A$6:$A$9,0),11),""))</f>
        <v/>
      </c>
      <c r="O2032" s="67" t="n">
        <f aca="false">IF($H2032="",0,ROUND(IF($N2032="成本金额",N(购销流水!$W512),IF($N2032="金额",N(购销流水!$Q512),0)),2))</f>
        <v>0</v>
      </c>
      <c r="P2032" s="64" t="str">
        <f aca="false">IF(AND($H2032&lt;&gt;"",ROUND($O2032,2)&lt;&gt;0),"有","")</f>
        <v/>
      </c>
    </row>
    <row r="2033" customFormat="false" ht="15" hidden="true" customHeight="false" outlineLevel="0" collapsed="false">
      <c r="A2033" s="53" t="str">
        <f aca="false">IF($H2033="","",ROW()-5)</f>
        <v/>
      </c>
      <c r="B2033" s="64" t="s">
        <v>36</v>
      </c>
      <c r="C2033" s="53" t="n">
        <v>512</v>
      </c>
      <c r="D2033" s="53" t="n">
        <v>4</v>
      </c>
      <c r="E2033" s="65" t="str">
        <f aca="false">IF($H2033="","",购销流水!$B512)</f>
        <v/>
      </c>
      <c r="F2033" s="55" t="str">
        <f aca="false">IF($H2033="","",购销流水!$C512)</f>
        <v/>
      </c>
      <c r="G2033" s="48" t="str">
        <f aca="false">IF($H2033="","",购销流水!$N512)</f>
        <v/>
      </c>
      <c r="H2033" s="10" t="str">
        <f aca="false">IF($L2033="","",IF($L2033="@成本",购销流水!$U512,IF($L2033="@收入",购销流水!$T512,IF($L2033="@存货",购销流水!$S512,IF($L2033="@结算",购销流水!$R512,$L2033)))))</f>
        <v/>
      </c>
      <c r="I2033" s="42" t="n">
        <f aca="false">IF($M2033="借",$O2033,0)</f>
        <v>0</v>
      </c>
      <c r="J2033" s="42" t="n">
        <f aca="false">IF($M2033="贷",$O2033,0)</f>
        <v>0</v>
      </c>
      <c r="K2033" s="48" t="str">
        <f aca="false">IF($H2033="","",购销流水!$E512)</f>
        <v/>
      </c>
      <c r="L2033" s="66" t="str">
        <f aca="false">IF(购销流水!$D512="","",IFERROR(INDEX(记账规则!$A$6:$N$9,MATCH(购销流水!$D512,记账规则!$A$6:$A$9,0),12),""))</f>
        <v/>
      </c>
      <c r="M2033" s="66" t="str">
        <f aca="false">IF($L2033="","",IFERROR(INDEX(记账规则!$A$6:$N$9,MATCH(购销流水!$D512,记账规则!$A$6:$A$9,0),13),""))</f>
        <v/>
      </c>
      <c r="N2033" s="66" t="str">
        <f aca="false">IF($L2033="","",IFERROR(INDEX(记账规则!$A$6:$N$9,MATCH(购销流水!$D512,记账规则!$A$6:$A$9,0),14),""))</f>
        <v/>
      </c>
      <c r="O2033" s="67" t="n">
        <f aca="false">IF($H2033="",0,ROUND(IF($N2033="成本金额",N(购销流水!$W512),IF($N2033="金额",N(购销流水!$Q512),0)),2))</f>
        <v>0</v>
      </c>
      <c r="P2033" s="64" t="str">
        <f aca="false">IF(AND($H2033&lt;&gt;"",ROUND($O2033,2)&lt;&gt;0),"有","")</f>
        <v/>
      </c>
    </row>
    <row r="2034" customFormat="false" ht="15" hidden="true" customHeight="false" outlineLevel="0" collapsed="false">
      <c r="A2034" s="53" t="str">
        <f aca="false">IF($H2034="","",ROW()-5)</f>
        <v/>
      </c>
      <c r="B2034" s="64" t="s">
        <v>36</v>
      </c>
      <c r="C2034" s="53" t="n">
        <v>513</v>
      </c>
      <c r="D2034" s="53" t="n">
        <v>1</v>
      </c>
      <c r="E2034" s="65" t="str">
        <f aca="false">IF($H2034="","",购销流水!$B513)</f>
        <v/>
      </c>
      <c r="F2034" s="55" t="str">
        <f aca="false">IF($H2034="","",购销流水!$C513)</f>
        <v/>
      </c>
      <c r="G2034" s="48" t="str">
        <f aca="false">IF($H2034="","",购销流水!$N513)</f>
        <v/>
      </c>
      <c r="H2034" s="10" t="str">
        <f aca="false">IF($L2034="","",IF($L2034="@成本",购销流水!$U513,IF($L2034="@收入",购销流水!$T513,IF($L2034="@存货",购销流水!$S513,IF($L2034="@结算",购销流水!$R513,$L2034)))))</f>
        <v/>
      </c>
      <c r="I2034" s="42" t="n">
        <f aca="false">IF($M2034="借",$O2034,0)</f>
        <v>0</v>
      </c>
      <c r="J2034" s="42" t="n">
        <f aca="false">IF($M2034="贷",$O2034,0)</f>
        <v>0</v>
      </c>
      <c r="K2034" s="48" t="str">
        <f aca="false">IF($H2034="","",购销流水!$E513)</f>
        <v/>
      </c>
      <c r="L2034" s="66" t="str">
        <f aca="false">IF(购销流水!$D513="","",IFERROR(INDEX(记账规则!$A$6:$N$9,MATCH(购销流水!$D513,记账规则!$A$6:$A$9,0),3),""))</f>
        <v/>
      </c>
      <c r="M2034" s="66" t="str">
        <f aca="false">IF($L2034="","",IFERROR(INDEX(记账规则!$A$6:$N$9,MATCH(购销流水!$D513,记账规则!$A$6:$A$9,0),4),""))</f>
        <v/>
      </c>
      <c r="N2034" s="66" t="str">
        <f aca="false">IF($L2034="","",IFERROR(INDEX(记账规则!$A$6:$N$9,MATCH(购销流水!$D513,记账规则!$A$6:$A$9,0),5),""))</f>
        <v/>
      </c>
      <c r="O2034" s="67" t="n">
        <f aca="false">IF($H2034="",0,ROUND(IF($N2034="成本金额",N(购销流水!$W513),IF($N2034="金额",N(购销流水!$Q513),0)),2))</f>
        <v>0</v>
      </c>
      <c r="P2034" s="64" t="str">
        <f aca="false">IF(AND($H2034&lt;&gt;"",ROUND($O2034,2)&lt;&gt;0),"有","")</f>
        <v/>
      </c>
    </row>
    <row r="2035" customFormat="false" ht="15" hidden="true" customHeight="false" outlineLevel="0" collapsed="false">
      <c r="A2035" s="53" t="str">
        <f aca="false">IF($H2035="","",ROW()-5)</f>
        <v/>
      </c>
      <c r="B2035" s="64" t="s">
        <v>36</v>
      </c>
      <c r="C2035" s="53" t="n">
        <v>513</v>
      </c>
      <c r="D2035" s="53" t="n">
        <v>2</v>
      </c>
      <c r="E2035" s="65" t="str">
        <f aca="false">IF($H2035="","",购销流水!$B513)</f>
        <v/>
      </c>
      <c r="F2035" s="55" t="str">
        <f aca="false">IF($H2035="","",购销流水!$C513)</f>
        <v/>
      </c>
      <c r="G2035" s="48" t="str">
        <f aca="false">IF($H2035="","",购销流水!$N513)</f>
        <v/>
      </c>
      <c r="H2035" s="10" t="str">
        <f aca="false">IF($L2035="","",IF($L2035="@成本",购销流水!$U513,IF($L2035="@收入",购销流水!$T513,IF($L2035="@存货",购销流水!$S513,IF($L2035="@结算",购销流水!$R513,$L2035)))))</f>
        <v/>
      </c>
      <c r="I2035" s="42" t="n">
        <f aca="false">IF($M2035="借",$O2035,0)</f>
        <v>0</v>
      </c>
      <c r="J2035" s="42" t="n">
        <f aca="false">IF($M2035="贷",$O2035,0)</f>
        <v>0</v>
      </c>
      <c r="K2035" s="48" t="str">
        <f aca="false">IF($H2035="","",购销流水!$E513)</f>
        <v/>
      </c>
      <c r="L2035" s="66" t="str">
        <f aca="false">IF(购销流水!$D513="","",IFERROR(INDEX(记账规则!$A$6:$N$9,MATCH(购销流水!$D513,记账规则!$A$6:$A$9,0),6),""))</f>
        <v/>
      </c>
      <c r="M2035" s="66" t="str">
        <f aca="false">IF($L2035="","",IFERROR(INDEX(记账规则!$A$6:$N$9,MATCH(购销流水!$D513,记账规则!$A$6:$A$9,0),7),""))</f>
        <v/>
      </c>
      <c r="N2035" s="66" t="str">
        <f aca="false">IF($L2035="","",IFERROR(INDEX(记账规则!$A$6:$N$9,MATCH(购销流水!$D513,记账规则!$A$6:$A$9,0),8),""))</f>
        <v/>
      </c>
      <c r="O2035" s="67" t="n">
        <f aca="false">IF($H2035="",0,ROUND(IF($N2035="成本金额",N(购销流水!$W513),IF($N2035="金额",N(购销流水!$Q513),0)),2))</f>
        <v>0</v>
      </c>
      <c r="P2035" s="64" t="str">
        <f aca="false">IF(AND($H2035&lt;&gt;"",ROUND($O2035,2)&lt;&gt;0),"有","")</f>
        <v/>
      </c>
    </row>
    <row r="2036" customFormat="false" ht="15" hidden="true" customHeight="false" outlineLevel="0" collapsed="false">
      <c r="A2036" s="53" t="str">
        <f aca="false">IF($H2036="","",ROW()-5)</f>
        <v/>
      </c>
      <c r="B2036" s="64" t="s">
        <v>36</v>
      </c>
      <c r="C2036" s="53" t="n">
        <v>513</v>
      </c>
      <c r="D2036" s="53" t="n">
        <v>3</v>
      </c>
      <c r="E2036" s="65" t="str">
        <f aca="false">IF($H2036="","",购销流水!$B513)</f>
        <v/>
      </c>
      <c r="F2036" s="55" t="str">
        <f aca="false">IF($H2036="","",购销流水!$C513)</f>
        <v/>
      </c>
      <c r="G2036" s="48" t="str">
        <f aca="false">IF($H2036="","",购销流水!$N513)</f>
        <v/>
      </c>
      <c r="H2036" s="10" t="str">
        <f aca="false">IF($L2036="","",IF($L2036="@成本",购销流水!$U513,IF($L2036="@收入",购销流水!$T513,IF($L2036="@存货",购销流水!$S513,IF($L2036="@结算",购销流水!$R513,$L2036)))))</f>
        <v/>
      </c>
      <c r="I2036" s="42" t="n">
        <f aca="false">IF($M2036="借",$O2036,0)</f>
        <v>0</v>
      </c>
      <c r="J2036" s="42" t="n">
        <f aca="false">IF($M2036="贷",$O2036,0)</f>
        <v>0</v>
      </c>
      <c r="K2036" s="48" t="str">
        <f aca="false">IF($H2036="","",购销流水!$E513)</f>
        <v/>
      </c>
      <c r="L2036" s="66" t="str">
        <f aca="false">IF(购销流水!$D513="","",IFERROR(INDEX(记账规则!$A$6:$N$9,MATCH(购销流水!$D513,记账规则!$A$6:$A$9,0),9),""))</f>
        <v/>
      </c>
      <c r="M2036" s="66" t="str">
        <f aca="false">IF($L2036="","",IFERROR(INDEX(记账规则!$A$6:$N$9,MATCH(购销流水!$D513,记账规则!$A$6:$A$9,0),10),""))</f>
        <v/>
      </c>
      <c r="N2036" s="66" t="str">
        <f aca="false">IF($L2036="","",IFERROR(INDEX(记账规则!$A$6:$N$9,MATCH(购销流水!$D513,记账规则!$A$6:$A$9,0),11),""))</f>
        <v/>
      </c>
      <c r="O2036" s="67" t="n">
        <f aca="false">IF($H2036="",0,ROUND(IF($N2036="成本金额",N(购销流水!$W513),IF($N2036="金额",N(购销流水!$Q513),0)),2))</f>
        <v>0</v>
      </c>
      <c r="P2036" s="64" t="str">
        <f aca="false">IF(AND($H2036&lt;&gt;"",ROUND($O2036,2)&lt;&gt;0),"有","")</f>
        <v/>
      </c>
    </row>
    <row r="2037" customFormat="false" ht="15" hidden="true" customHeight="false" outlineLevel="0" collapsed="false">
      <c r="A2037" s="53" t="str">
        <f aca="false">IF($H2037="","",ROW()-5)</f>
        <v/>
      </c>
      <c r="B2037" s="64" t="s">
        <v>36</v>
      </c>
      <c r="C2037" s="53" t="n">
        <v>513</v>
      </c>
      <c r="D2037" s="53" t="n">
        <v>4</v>
      </c>
      <c r="E2037" s="65" t="str">
        <f aca="false">IF($H2037="","",购销流水!$B513)</f>
        <v/>
      </c>
      <c r="F2037" s="55" t="str">
        <f aca="false">IF($H2037="","",购销流水!$C513)</f>
        <v/>
      </c>
      <c r="G2037" s="48" t="str">
        <f aca="false">IF($H2037="","",购销流水!$N513)</f>
        <v/>
      </c>
      <c r="H2037" s="10" t="str">
        <f aca="false">IF($L2037="","",IF($L2037="@成本",购销流水!$U513,IF($L2037="@收入",购销流水!$T513,IF($L2037="@存货",购销流水!$S513,IF($L2037="@结算",购销流水!$R513,$L2037)))))</f>
        <v/>
      </c>
      <c r="I2037" s="42" t="n">
        <f aca="false">IF($M2037="借",$O2037,0)</f>
        <v>0</v>
      </c>
      <c r="J2037" s="42" t="n">
        <f aca="false">IF($M2037="贷",$O2037,0)</f>
        <v>0</v>
      </c>
      <c r="K2037" s="48" t="str">
        <f aca="false">IF($H2037="","",购销流水!$E513)</f>
        <v/>
      </c>
      <c r="L2037" s="66" t="str">
        <f aca="false">IF(购销流水!$D513="","",IFERROR(INDEX(记账规则!$A$6:$N$9,MATCH(购销流水!$D513,记账规则!$A$6:$A$9,0),12),""))</f>
        <v/>
      </c>
      <c r="M2037" s="66" t="str">
        <f aca="false">IF($L2037="","",IFERROR(INDEX(记账规则!$A$6:$N$9,MATCH(购销流水!$D513,记账规则!$A$6:$A$9,0),13),""))</f>
        <v/>
      </c>
      <c r="N2037" s="66" t="str">
        <f aca="false">IF($L2037="","",IFERROR(INDEX(记账规则!$A$6:$N$9,MATCH(购销流水!$D513,记账规则!$A$6:$A$9,0),14),""))</f>
        <v/>
      </c>
      <c r="O2037" s="67" t="n">
        <f aca="false">IF($H2037="",0,ROUND(IF($N2037="成本金额",N(购销流水!$W513),IF($N2037="金额",N(购销流水!$Q513),0)),2))</f>
        <v>0</v>
      </c>
      <c r="P2037" s="64" t="str">
        <f aca="false">IF(AND($H2037&lt;&gt;"",ROUND($O2037,2)&lt;&gt;0),"有","")</f>
        <v/>
      </c>
    </row>
    <row r="2038" customFormat="false" ht="15" hidden="true" customHeight="false" outlineLevel="0" collapsed="false">
      <c r="A2038" s="53" t="str">
        <f aca="false">IF($H2038="","",ROW()-5)</f>
        <v/>
      </c>
      <c r="B2038" s="64" t="s">
        <v>36</v>
      </c>
      <c r="C2038" s="53" t="n">
        <v>514</v>
      </c>
      <c r="D2038" s="53" t="n">
        <v>1</v>
      </c>
      <c r="E2038" s="65" t="str">
        <f aca="false">IF($H2038="","",购销流水!$B514)</f>
        <v/>
      </c>
      <c r="F2038" s="55" t="str">
        <f aca="false">IF($H2038="","",购销流水!$C514)</f>
        <v/>
      </c>
      <c r="G2038" s="48" t="str">
        <f aca="false">IF($H2038="","",购销流水!$N514)</f>
        <v/>
      </c>
      <c r="H2038" s="10" t="str">
        <f aca="false">IF($L2038="","",IF($L2038="@成本",购销流水!$U514,IF($L2038="@收入",购销流水!$T514,IF($L2038="@存货",购销流水!$S514,IF($L2038="@结算",购销流水!$R514,$L2038)))))</f>
        <v/>
      </c>
      <c r="I2038" s="42" t="n">
        <f aca="false">IF($M2038="借",$O2038,0)</f>
        <v>0</v>
      </c>
      <c r="J2038" s="42" t="n">
        <f aca="false">IF($M2038="贷",$O2038,0)</f>
        <v>0</v>
      </c>
      <c r="K2038" s="48" t="str">
        <f aca="false">IF($H2038="","",购销流水!$E514)</f>
        <v/>
      </c>
      <c r="L2038" s="66" t="str">
        <f aca="false">IF(购销流水!$D514="","",IFERROR(INDEX(记账规则!$A$6:$N$9,MATCH(购销流水!$D514,记账规则!$A$6:$A$9,0),3),""))</f>
        <v/>
      </c>
      <c r="M2038" s="66" t="str">
        <f aca="false">IF($L2038="","",IFERROR(INDEX(记账规则!$A$6:$N$9,MATCH(购销流水!$D514,记账规则!$A$6:$A$9,0),4),""))</f>
        <v/>
      </c>
      <c r="N2038" s="66" t="str">
        <f aca="false">IF($L2038="","",IFERROR(INDEX(记账规则!$A$6:$N$9,MATCH(购销流水!$D514,记账规则!$A$6:$A$9,0),5),""))</f>
        <v/>
      </c>
      <c r="O2038" s="67" t="n">
        <f aca="false">IF($H2038="",0,ROUND(IF($N2038="成本金额",N(购销流水!$W514),IF($N2038="金额",N(购销流水!$Q514),0)),2))</f>
        <v>0</v>
      </c>
      <c r="P2038" s="64" t="str">
        <f aca="false">IF(AND($H2038&lt;&gt;"",ROUND($O2038,2)&lt;&gt;0),"有","")</f>
        <v/>
      </c>
    </row>
    <row r="2039" customFormat="false" ht="15" hidden="true" customHeight="false" outlineLevel="0" collapsed="false">
      <c r="A2039" s="53" t="str">
        <f aca="false">IF($H2039="","",ROW()-5)</f>
        <v/>
      </c>
      <c r="B2039" s="64" t="s">
        <v>36</v>
      </c>
      <c r="C2039" s="53" t="n">
        <v>514</v>
      </c>
      <c r="D2039" s="53" t="n">
        <v>2</v>
      </c>
      <c r="E2039" s="65" t="str">
        <f aca="false">IF($H2039="","",购销流水!$B514)</f>
        <v/>
      </c>
      <c r="F2039" s="55" t="str">
        <f aca="false">IF($H2039="","",购销流水!$C514)</f>
        <v/>
      </c>
      <c r="G2039" s="48" t="str">
        <f aca="false">IF($H2039="","",购销流水!$N514)</f>
        <v/>
      </c>
      <c r="H2039" s="10" t="str">
        <f aca="false">IF($L2039="","",IF($L2039="@成本",购销流水!$U514,IF($L2039="@收入",购销流水!$T514,IF($L2039="@存货",购销流水!$S514,IF($L2039="@结算",购销流水!$R514,$L2039)))))</f>
        <v/>
      </c>
      <c r="I2039" s="42" t="n">
        <f aca="false">IF($M2039="借",$O2039,0)</f>
        <v>0</v>
      </c>
      <c r="J2039" s="42" t="n">
        <f aca="false">IF($M2039="贷",$O2039,0)</f>
        <v>0</v>
      </c>
      <c r="K2039" s="48" t="str">
        <f aca="false">IF($H2039="","",购销流水!$E514)</f>
        <v/>
      </c>
      <c r="L2039" s="66" t="str">
        <f aca="false">IF(购销流水!$D514="","",IFERROR(INDEX(记账规则!$A$6:$N$9,MATCH(购销流水!$D514,记账规则!$A$6:$A$9,0),6),""))</f>
        <v/>
      </c>
      <c r="M2039" s="66" t="str">
        <f aca="false">IF($L2039="","",IFERROR(INDEX(记账规则!$A$6:$N$9,MATCH(购销流水!$D514,记账规则!$A$6:$A$9,0),7),""))</f>
        <v/>
      </c>
      <c r="N2039" s="66" t="str">
        <f aca="false">IF($L2039="","",IFERROR(INDEX(记账规则!$A$6:$N$9,MATCH(购销流水!$D514,记账规则!$A$6:$A$9,0),8),""))</f>
        <v/>
      </c>
      <c r="O2039" s="67" t="n">
        <f aca="false">IF($H2039="",0,ROUND(IF($N2039="成本金额",N(购销流水!$W514),IF($N2039="金额",N(购销流水!$Q514),0)),2))</f>
        <v>0</v>
      </c>
      <c r="P2039" s="64" t="str">
        <f aca="false">IF(AND($H2039&lt;&gt;"",ROUND($O2039,2)&lt;&gt;0),"有","")</f>
        <v/>
      </c>
    </row>
    <row r="2040" customFormat="false" ht="15" hidden="true" customHeight="false" outlineLevel="0" collapsed="false">
      <c r="A2040" s="53" t="str">
        <f aca="false">IF($H2040="","",ROW()-5)</f>
        <v/>
      </c>
      <c r="B2040" s="64" t="s">
        <v>36</v>
      </c>
      <c r="C2040" s="53" t="n">
        <v>514</v>
      </c>
      <c r="D2040" s="53" t="n">
        <v>3</v>
      </c>
      <c r="E2040" s="65" t="str">
        <f aca="false">IF($H2040="","",购销流水!$B514)</f>
        <v/>
      </c>
      <c r="F2040" s="55" t="str">
        <f aca="false">IF($H2040="","",购销流水!$C514)</f>
        <v/>
      </c>
      <c r="G2040" s="48" t="str">
        <f aca="false">IF($H2040="","",购销流水!$N514)</f>
        <v/>
      </c>
      <c r="H2040" s="10" t="str">
        <f aca="false">IF($L2040="","",IF($L2040="@成本",购销流水!$U514,IF($L2040="@收入",购销流水!$T514,IF($L2040="@存货",购销流水!$S514,IF($L2040="@结算",购销流水!$R514,$L2040)))))</f>
        <v/>
      </c>
      <c r="I2040" s="42" t="n">
        <f aca="false">IF($M2040="借",$O2040,0)</f>
        <v>0</v>
      </c>
      <c r="J2040" s="42" t="n">
        <f aca="false">IF($M2040="贷",$O2040,0)</f>
        <v>0</v>
      </c>
      <c r="K2040" s="48" t="str">
        <f aca="false">IF($H2040="","",购销流水!$E514)</f>
        <v/>
      </c>
      <c r="L2040" s="66" t="str">
        <f aca="false">IF(购销流水!$D514="","",IFERROR(INDEX(记账规则!$A$6:$N$9,MATCH(购销流水!$D514,记账规则!$A$6:$A$9,0),9),""))</f>
        <v/>
      </c>
      <c r="M2040" s="66" t="str">
        <f aca="false">IF($L2040="","",IFERROR(INDEX(记账规则!$A$6:$N$9,MATCH(购销流水!$D514,记账规则!$A$6:$A$9,0),10),""))</f>
        <v/>
      </c>
      <c r="N2040" s="66" t="str">
        <f aca="false">IF($L2040="","",IFERROR(INDEX(记账规则!$A$6:$N$9,MATCH(购销流水!$D514,记账规则!$A$6:$A$9,0),11),""))</f>
        <v/>
      </c>
      <c r="O2040" s="67" t="n">
        <f aca="false">IF($H2040="",0,ROUND(IF($N2040="成本金额",N(购销流水!$W514),IF($N2040="金额",N(购销流水!$Q514),0)),2))</f>
        <v>0</v>
      </c>
      <c r="P2040" s="64" t="str">
        <f aca="false">IF(AND($H2040&lt;&gt;"",ROUND($O2040,2)&lt;&gt;0),"有","")</f>
        <v/>
      </c>
    </row>
    <row r="2041" customFormat="false" ht="15" hidden="true" customHeight="false" outlineLevel="0" collapsed="false">
      <c r="A2041" s="53" t="str">
        <f aca="false">IF($H2041="","",ROW()-5)</f>
        <v/>
      </c>
      <c r="B2041" s="64" t="s">
        <v>36</v>
      </c>
      <c r="C2041" s="53" t="n">
        <v>514</v>
      </c>
      <c r="D2041" s="53" t="n">
        <v>4</v>
      </c>
      <c r="E2041" s="65" t="str">
        <f aca="false">IF($H2041="","",购销流水!$B514)</f>
        <v/>
      </c>
      <c r="F2041" s="55" t="str">
        <f aca="false">IF($H2041="","",购销流水!$C514)</f>
        <v/>
      </c>
      <c r="G2041" s="48" t="str">
        <f aca="false">IF($H2041="","",购销流水!$N514)</f>
        <v/>
      </c>
      <c r="H2041" s="10" t="str">
        <f aca="false">IF($L2041="","",IF($L2041="@成本",购销流水!$U514,IF($L2041="@收入",购销流水!$T514,IF($L2041="@存货",购销流水!$S514,IF($L2041="@结算",购销流水!$R514,$L2041)))))</f>
        <v/>
      </c>
      <c r="I2041" s="42" t="n">
        <f aca="false">IF($M2041="借",$O2041,0)</f>
        <v>0</v>
      </c>
      <c r="J2041" s="42" t="n">
        <f aca="false">IF($M2041="贷",$O2041,0)</f>
        <v>0</v>
      </c>
      <c r="K2041" s="48" t="str">
        <f aca="false">IF($H2041="","",购销流水!$E514)</f>
        <v/>
      </c>
      <c r="L2041" s="66" t="str">
        <f aca="false">IF(购销流水!$D514="","",IFERROR(INDEX(记账规则!$A$6:$N$9,MATCH(购销流水!$D514,记账规则!$A$6:$A$9,0),12),""))</f>
        <v/>
      </c>
      <c r="M2041" s="66" t="str">
        <f aca="false">IF($L2041="","",IFERROR(INDEX(记账规则!$A$6:$N$9,MATCH(购销流水!$D514,记账规则!$A$6:$A$9,0),13),""))</f>
        <v/>
      </c>
      <c r="N2041" s="66" t="str">
        <f aca="false">IF($L2041="","",IFERROR(INDEX(记账规则!$A$6:$N$9,MATCH(购销流水!$D514,记账规则!$A$6:$A$9,0),14),""))</f>
        <v/>
      </c>
      <c r="O2041" s="67" t="n">
        <f aca="false">IF($H2041="",0,ROUND(IF($N2041="成本金额",N(购销流水!$W514),IF($N2041="金额",N(购销流水!$Q514),0)),2))</f>
        <v>0</v>
      </c>
      <c r="P2041" s="64" t="str">
        <f aca="false">IF(AND($H2041&lt;&gt;"",ROUND($O2041,2)&lt;&gt;0),"有","")</f>
        <v/>
      </c>
    </row>
    <row r="2042" customFormat="false" ht="15" hidden="true" customHeight="false" outlineLevel="0" collapsed="false">
      <c r="A2042" s="53" t="str">
        <f aca="false">IF($H2042="","",ROW()-5)</f>
        <v/>
      </c>
      <c r="B2042" s="64" t="s">
        <v>36</v>
      </c>
      <c r="C2042" s="53" t="n">
        <v>515</v>
      </c>
      <c r="D2042" s="53" t="n">
        <v>1</v>
      </c>
      <c r="E2042" s="65" t="str">
        <f aca="false">IF($H2042="","",购销流水!$B515)</f>
        <v/>
      </c>
      <c r="F2042" s="55" t="str">
        <f aca="false">IF($H2042="","",购销流水!$C515)</f>
        <v/>
      </c>
      <c r="G2042" s="48" t="str">
        <f aca="false">IF($H2042="","",购销流水!$N515)</f>
        <v/>
      </c>
      <c r="H2042" s="10" t="str">
        <f aca="false">IF($L2042="","",IF($L2042="@成本",购销流水!$U515,IF($L2042="@收入",购销流水!$T515,IF($L2042="@存货",购销流水!$S515,IF($L2042="@结算",购销流水!$R515,$L2042)))))</f>
        <v/>
      </c>
      <c r="I2042" s="42" t="n">
        <f aca="false">IF($M2042="借",$O2042,0)</f>
        <v>0</v>
      </c>
      <c r="J2042" s="42" t="n">
        <f aca="false">IF($M2042="贷",$O2042,0)</f>
        <v>0</v>
      </c>
      <c r="K2042" s="48" t="str">
        <f aca="false">IF($H2042="","",购销流水!$E515)</f>
        <v/>
      </c>
      <c r="L2042" s="66" t="str">
        <f aca="false">IF(购销流水!$D515="","",IFERROR(INDEX(记账规则!$A$6:$N$9,MATCH(购销流水!$D515,记账规则!$A$6:$A$9,0),3),""))</f>
        <v/>
      </c>
      <c r="M2042" s="66" t="str">
        <f aca="false">IF($L2042="","",IFERROR(INDEX(记账规则!$A$6:$N$9,MATCH(购销流水!$D515,记账规则!$A$6:$A$9,0),4),""))</f>
        <v/>
      </c>
      <c r="N2042" s="66" t="str">
        <f aca="false">IF($L2042="","",IFERROR(INDEX(记账规则!$A$6:$N$9,MATCH(购销流水!$D515,记账规则!$A$6:$A$9,0),5),""))</f>
        <v/>
      </c>
      <c r="O2042" s="67" t="n">
        <f aca="false">IF($H2042="",0,ROUND(IF($N2042="成本金额",N(购销流水!$W515),IF($N2042="金额",N(购销流水!$Q515),0)),2))</f>
        <v>0</v>
      </c>
      <c r="P2042" s="64" t="str">
        <f aca="false">IF(AND($H2042&lt;&gt;"",ROUND($O2042,2)&lt;&gt;0),"有","")</f>
        <v/>
      </c>
    </row>
    <row r="2043" customFormat="false" ht="15" hidden="true" customHeight="false" outlineLevel="0" collapsed="false">
      <c r="A2043" s="53" t="str">
        <f aca="false">IF($H2043="","",ROW()-5)</f>
        <v/>
      </c>
      <c r="B2043" s="64" t="s">
        <v>36</v>
      </c>
      <c r="C2043" s="53" t="n">
        <v>515</v>
      </c>
      <c r="D2043" s="53" t="n">
        <v>2</v>
      </c>
      <c r="E2043" s="65" t="str">
        <f aca="false">IF($H2043="","",购销流水!$B515)</f>
        <v/>
      </c>
      <c r="F2043" s="55" t="str">
        <f aca="false">IF($H2043="","",购销流水!$C515)</f>
        <v/>
      </c>
      <c r="G2043" s="48" t="str">
        <f aca="false">IF($H2043="","",购销流水!$N515)</f>
        <v/>
      </c>
      <c r="H2043" s="10" t="str">
        <f aca="false">IF($L2043="","",IF($L2043="@成本",购销流水!$U515,IF($L2043="@收入",购销流水!$T515,IF($L2043="@存货",购销流水!$S515,IF($L2043="@结算",购销流水!$R515,$L2043)))))</f>
        <v/>
      </c>
      <c r="I2043" s="42" t="n">
        <f aca="false">IF($M2043="借",$O2043,0)</f>
        <v>0</v>
      </c>
      <c r="J2043" s="42" t="n">
        <f aca="false">IF($M2043="贷",$O2043,0)</f>
        <v>0</v>
      </c>
      <c r="K2043" s="48" t="str">
        <f aca="false">IF($H2043="","",购销流水!$E515)</f>
        <v/>
      </c>
      <c r="L2043" s="66" t="str">
        <f aca="false">IF(购销流水!$D515="","",IFERROR(INDEX(记账规则!$A$6:$N$9,MATCH(购销流水!$D515,记账规则!$A$6:$A$9,0),6),""))</f>
        <v/>
      </c>
      <c r="M2043" s="66" t="str">
        <f aca="false">IF($L2043="","",IFERROR(INDEX(记账规则!$A$6:$N$9,MATCH(购销流水!$D515,记账规则!$A$6:$A$9,0),7),""))</f>
        <v/>
      </c>
      <c r="N2043" s="66" t="str">
        <f aca="false">IF($L2043="","",IFERROR(INDEX(记账规则!$A$6:$N$9,MATCH(购销流水!$D515,记账规则!$A$6:$A$9,0),8),""))</f>
        <v/>
      </c>
      <c r="O2043" s="67" t="n">
        <f aca="false">IF($H2043="",0,ROUND(IF($N2043="成本金额",N(购销流水!$W515),IF($N2043="金额",N(购销流水!$Q515),0)),2))</f>
        <v>0</v>
      </c>
      <c r="P2043" s="64" t="str">
        <f aca="false">IF(AND($H2043&lt;&gt;"",ROUND($O2043,2)&lt;&gt;0),"有","")</f>
        <v/>
      </c>
    </row>
    <row r="2044" customFormat="false" ht="15" hidden="true" customHeight="false" outlineLevel="0" collapsed="false">
      <c r="A2044" s="53" t="str">
        <f aca="false">IF($H2044="","",ROW()-5)</f>
        <v/>
      </c>
      <c r="B2044" s="64" t="s">
        <v>36</v>
      </c>
      <c r="C2044" s="53" t="n">
        <v>515</v>
      </c>
      <c r="D2044" s="53" t="n">
        <v>3</v>
      </c>
      <c r="E2044" s="65" t="str">
        <f aca="false">IF($H2044="","",购销流水!$B515)</f>
        <v/>
      </c>
      <c r="F2044" s="55" t="str">
        <f aca="false">IF($H2044="","",购销流水!$C515)</f>
        <v/>
      </c>
      <c r="G2044" s="48" t="str">
        <f aca="false">IF($H2044="","",购销流水!$N515)</f>
        <v/>
      </c>
      <c r="H2044" s="10" t="str">
        <f aca="false">IF($L2044="","",IF($L2044="@成本",购销流水!$U515,IF($L2044="@收入",购销流水!$T515,IF($L2044="@存货",购销流水!$S515,IF($L2044="@结算",购销流水!$R515,$L2044)))))</f>
        <v/>
      </c>
      <c r="I2044" s="42" t="n">
        <f aca="false">IF($M2044="借",$O2044,0)</f>
        <v>0</v>
      </c>
      <c r="J2044" s="42" t="n">
        <f aca="false">IF($M2044="贷",$O2044,0)</f>
        <v>0</v>
      </c>
      <c r="K2044" s="48" t="str">
        <f aca="false">IF($H2044="","",购销流水!$E515)</f>
        <v/>
      </c>
      <c r="L2044" s="66" t="str">
        <f aca="false">IF(购销流水!$D515="","",IFERROR(INDEX(记账规则!$A$6:$N$9,MATCH(购销流水!$D515,记账规则!$A$6:$A$9,0),9),""))</f>
        <v/>
      </c>
      <c r="M2044" s="66" t="str">
        <f aca="false">IF($L2044="","",IFERROR(INDEX(记账规则!$A$6:$N$9,MATCH(购销流水!$D515,记账规则!$A$6:$A$9,0),10),""))</f>
        <v/>
      </c>
      <c r="N2044" s="66" t="str">
        <f aca="false">IF($L2044="","",IFERROR(INDEX(记账规则!$A$6:$N$9,MATCH(购销流水!$D515,记账规则!$A$6:$A$9,0),11),""))</f>
        <v/>
      </c>
      <c r="O2044" s="67" t="n">
        <f aca="false">IF($H2044="",0,ROUND(IF($N2044="成本金额",N(购销流水!$W515),IF($N2044="金额",N(购销流水!$Q515),0)),2))</f>
        <v>0</v>
      </c>
      <c r="P2044" s="64" t="str">
        <f aca="false">IF(AND($H2044&lt;&gt;"",ROUND($O2044,2)&lt;&gt;0),"有","")</f>
        <v/>
      </c>
    </row>
    <row r="2045" customFormat="false" ht="15" hidden="true" customHeight="false" outlineLevel="0" collapsed="false">
      <c r="A2045" s="53" t="str">
        <f aca="false">IF($H2045="","",ROW()-5)</f>
        <v/>
      </c>
      <c r="B2045" s="64" t="s">
        <v>36</v>
      </c>
      <c r="C2045" s="53" t="n">
        <v>515</v>
      </c>
      <c r="D2045" s="53" t="n">
        <v>4</v>
      </c>
      <c r="E2045" s="65" t="str">
        <f aca="false">IF($H2045="","",购销流水!$B515)</f>
        <v/>
      </c>
      <c r="F2045" s="55" t="str">
        <f aca="false">IF($H2045="","",购销流水!$C515)</f>
        <v/>
      </c>
      <c r="G2045" s="48" t="str">
        <f aca="false">IF($H2045="","",购销流水!$N515)</f>
        <v/>
      </c>
      <c r="H2045" s="10" t="str">
        <f aca="false">IF($L2045="","",IF($L2045="@成本",购销流水!$U515,IF($L2045="@收入",购销流水!$T515,IF($L2045="@存货",购销流水!$S515,IF($L2045="@结算",购销流水!$R515,$L2045)))))</f>
        <v/>
      </c>
      <c r="I2045" s="42" t="n">
        <f aca="false">IF($M2045="借",$O2045,0)</f>
        <v>0</v>
      </c>
      <c r="J2045" s="42" t="n">
        <f aca="false">IF($M2045="贷",$O2045,0)</f>
        <v>0</v>
      </c>
      <c r="K2045" s="48" t="str">
        <f aca="false">IF($H2045="","",购销流水!$E515)</f>
        <v/>
      </c>
      <c r="L2045" s="66" t="str">
        <f aca="false">IF(购销流水!$D515="","",IFERROR(INDEX(记账规则!$A$6:$N$9,MATCH(购销流水!$D515,记账规则!$A$6:$A$9,0),12),""))</f>
        <v/>
      </c>
      <c r="M2045" s="66" t="str">
        <f aca="false">IF($L2045="","",IFERROR(INDEX(记账规则!$A$6:$N$9,MATCH(购销流水!$D515,记账规则!$A$6:$A$9,0),13),""))</f>
        <v/>
      </c>
      <c r="N2045" s="66" t="str">
        <f aca="false">IF($L2045="","",IFERROR(INDEX(记账规则!$A$6:$N$9,MATCH(购销流水!$D515,记账规则!$A$6:$A$9,0),14),""))</f>
        <v/>
      </c>
      <c r="O2045" s="67" t="n">
        <f aca="false">IF($H2045="",0,ROUND(IF($N2045="成本金额",N(购销流水!$W515),IF($N2045="金额",N(购销流水!$Q515),0)),2))</f>
        <v>0</v>
      </c>
      <c r="P2045" s="64" t="str">
        <f aca="false">IF(AND($H2045&lt;&gt;"",ROUND($O2045,2)&lt;&gt;0),"有","")</f>
        <v/>
      </c>
    </row>
    <row r="2046" customFormat="false" ht="15" hidden="true" customHeight="false" outlineLevel="0" collapsed="false">
      <c r="A2046" s="53" t="str">
        <f aca="false">IF($H2046="","",ROW()-5)</f>
        <v/>
      </c>
      <c r="B2046" s="64" t="s">
        <v>36</v>
      </c>
      <c r="C2046" s="53" t="n">
        <v>516</v>
      </c>
      <c r="D2046" s="53" t="n">
        <v>1</v>
      </c>
      <c r="E2046" s="65" t="str">
        <f aca="false">IF($H2046="","",购销流水!$B516)</f>
        <v/>
      </c>
      <c r="F2046" s="55" t="str">
        <f aca="false">IF($H2046="","",购销流水!$C516)</f>
        <v/>
      </c>
      <c r="G2046" s="48" t="str">
        <f aca="false">IF($H2046="","",购销流水!$N516)</f>
        <v/>
      </c>
      <c r="H2046" s="10" t="str">
        <f aca="false">IF($L2046="","",IF($L2046="@成本",购销流水!$U516,IF($L2046="@收入",购销流水!$T516,IF($L2046="@存货",购销流水!$S516,IF($L2046="@结算",购销流水!$R516,$L2046)))))</f>
        <v/>
      </c>
      <c r="I2046" s="42" t="n">
        <f aca="false">IF($M2046="借",$O2046,0)</f>
        <v>0</v>
      </c>
      <c r="J2046" s="42" t="n">
        <f aca="false">IF($M2046="贷",$O2046,0)</f>
        <v>0</v>
      </c>
      <c r="K2046" s="48" t="str">
        <f aca="false">IF($H2046="","",购销流水!$E516)</f>
        <v/>
      </c>
      <c r="L2046" s="66" t="str">
        <f aca="false">IF(购销流水!$D516="","",IFERROR(INDEX(记账规则!$A$6:$N$9,MATCH(购销流水!$D516,记账规则!$A$6:$A$9,0),3),""))</f>
        <v/>
      </c>
      <c r="M2046" s="66" t="str">
        <f aca="false">IF($L2046="","",IFERROR(INDEX(记账规则!$A$6:$N$9,MATCH(购销流水!$D516,记账规则!$A$6:$A$9,0),4),""))</f>
        <v/>
      </c>
      <c r="N2046" s="66" t="str">
        <f aca="false">IF($L2046="","",IFERROR(INDEX(记账规则!$A$6:$N$9,MATCH(购销流水!$D516,记账规则!$A$6:$A$9,0),5),""))</f>
        <v/>
      </c>
      <c r="O2046" s="67" t="n">
        <f aca="false">IF($H2046="",0,ROUND(IF($N2046="成本金额",N(购销流水!$W516),IF($N2046="金额",N(购销流水!$Q516),0)),2))</f>
        <v>0</v>
      </c>
      <c r="P2046" s="64" t="str">
        <f aca="false">IF(AND($H2046&lt;&gt;"",ROUND($O2046,2)&lt;&gt;0),"有","")</f>
        <v/>
      </c>
    </row>
    <row r="2047" customFormat="false" ht="15" hidden="true" customHeight="false" outlineLevel="0" collapsed="false">
      <c r="A2047" s="53" t="str">
        <f aca="false">IF($H2047="","",ROW()-5)</f>
        <v/>
      </c>
      <c r="B2047" s="64" t="s">
        <v>36</v>
      </c>
      <c r="C2047" s="53" t="n">
        <v>516</v>
      </c>
      <c r="D2047" s="53" t="n">
        <v>2</v>
      </c>
      <c r="E2047" s="65" t="str">
        <f aca="false">IF($H2047="","",购销流水!$B516)</f>
        <v/>
      </c>
      <c r="F2047" s="55" t="str">
        <f aca="false">IF($H2047="","",购销流水!$C516)</f>
        <v/>
      </c>
      <c r="G2047" s="48" t="str">
        <f aca="false">IF($H2047="","",购销流水!$N516)</f>
        <v/>
      </c>
      <c r="H2047" s="10" t="str">
        <f aca="false">IF($L2047="","",IF($L2047="@成本",购销流水!$U516,IF($L2047="@收入",购销流水!$T516,IF($L2047="@存货",购销流水!$S516,IF($L2047="@结算",购销流水!$R516,$L2047)))))</f>
        <v/>
      </c>
      <c r="I2047" s="42" t="n">
        <f aca="false">IF($M2047="借",$O2047,0)</f>
        <v>0</v>
      </c>
      <c r="J2047" s="42" t="n">
        <f aca="false">IF($M2047="贷",$O2047,0)</f>
        <v>0</v>
      </c>
      <c r="K2047" s="48" t="str">
        <f aca="false">IF($H2047="","",购销流水!$E516)</f>
        <v/>
      </c>
      <c r="L2047" s="66" t="str">
        <f aca="false">IF(购销流水!$D516="","",IFERROR(INDEX(记账规则!$A$6:$N$9,MATCH(购销流水!$D516,记账规则!$A$6:$A$9,0),6),""))</f>
        <v/>
      </c>
      <c r="M2047" s="66" t="str">
        <f aca="false">IF($L2047="","",IFERROR(INDEX(记账规则!$A$6:$N$9,MATCH(购销流水!$D516,记账规则!$A$6:$A$9,0),7),""))</f>
        <v/>
      </c>
      <c r="N2047" s="66" t="str">
        <f aca="false">IF($L2047="","",IFERROR(INDEX(记账规则!$A$6:$N$9,MATCH(购销流水!$D516,记账规则!$A$6:$A$9,0),8),""))</f>
        <v/>
      </c>
      <c r="O2047" s="67" t="n">
        <f aca="false">IF($H2047="",0,ROUND(IF($N2047="成本金额",N(购销流水!$W516),IF($N2047="金额",N(购销流水!$Q516),0)),2))</f>
        <v>0</v>
      </c>
      <c r="P2047" s="64" t="str">
        <f aca="false">IF(AND($H2047&lt;&gt;"",ROUND($O2047,2)&lt;&gt;0),"有","")</f>
        <v/>
      </c>
    </row>
    <row r="2048" customFormat="false" ht="15" hidden="true" customHeight="false" outlineLevel="0" collapsed="false">
      <c r="A2048" s="53" t="str">
        <f aca="false">IF($H2048="","",ROW()-5)</f>
        <v/>
      </c>
      <c r="B2048" s="64" t="s">
        <v>36</v>
      </c>
      <c r="C2048" s="53" t="n">
        <v>516</v>
      </c>
      <c r="D2048" s="53" t="n">
        <v>3</v>
      </c>
      <c r="E2048" s="65" t="str">
        <f aca="false">IF($H2048="","",购销流水!$B516)</f>
        <v/>
      </c>
      <c r="F2048" s="55" t="str">
        <f aca="false">IF($H2048="","",购销流水!$C516)</f>
        <v/>
      </c>
      <c r="G2048" s="48" t="str">
        <f aca="false">IF($H2048="","",购销流水!$N516)</f>
        <v/>
      </c>
      <c r="H2048" s="10" t="str">
        <f aca="false">IF($L2048="","",IF($L2048="@成本",购销流水!$U516,IF($L2048="@收入",购销流水!$T516,IF($L2048="@存货",购销流水!$S516,IF($L2048="@结算",购销流水!$R516,$L2048)))))</f>
        <v/>
      </c>
      <c r="I2048" s="42" t="n">
        <f aca="false">IF($M2048="借",$O2048,0)</f>
        <v>0</v>
      </c>
      <c r="J2048" s="42" t="n">
        <f aca="false">IF($M2048="贷",$O2048,0)</f>
        <v>0</v>
      </c>
      <c r="K2048" s="48" t="str">
        <f aca="false">IF($H2048="","",购销流水!$E516)</f>
        <v/>
      </c>
      <c r="L2048" s="66" t="str">
        <f aca="false">IF(购销流水!$D516="","",IFERROR(INDEX(记账规则!$A$6:$N$9,MATCH(购销流水!$D516,记账规则!$A$6:$A$9,0),9),""))</f>
        <v/>
      </c>
      <c r="M2048" s="66" t="str">
        <f aca="false">IF($L2048="","",IFERROR(INDEX(记账规则!$A$6:$N$9,MATCH(购销流水!$D516,记账规则!$A$6:$A$9,0),10),""))</f>
        <v/>
      </c>
      <c r="N2048" s="66" t="str">
        <f aca="false">IF($L2048="","",IFERROR(INDEX(记账规则!$A$6:$N$9,MATCH(购销流水!$D516,记账规则!$A$6:$A$9,0),11),""))</f>
        <v/>
      </c>
      <c r="O2048" s="67" t="n">
        <f aca="false">IF($H2048="",0,ROUND(IF($N2048="成本金额",N(购销流水!$W516),IF($N2048="金额",N(购销流水!$Q516),0)),2))</f>
        <v>0</v>
      </c>
      <c r="P2048" s="64" t="str">
        <f aca="false">IF(AND($H2048&lt;&gt;"",ROUND($O2048,2)&lt;&gt;0),"有","")</f>
        <v/>
      </c>
    </row>
    <row r="2049" customFormat="false" ht="15" hidden="true" customHeight="false" outlineLevel="0" collapsed="false">
      <c r="A2049" s="53" t="str">
        <f aca="false">IF($H2049="","",ROW()-5)</f>
        <v/>
      </c>
      <c r="B2049" s="64" t="s">
        <v>36</v>
      </c>
      <c r="C2049" s="53" t="n">
        <v>516</v>
      </c>
      <c r="D2049" s="53" t="n">
        <v>4</v>
      </c>
      <c r="E2049" s="65" t="str">
        <f aca="false">IF($H2049="","",购销流水!$B516)</f>
        <v/>
      </c>
      <c r="F2049" s="55" t="str">
        <f aca="false">IF($H2049="","",购销流水!$C516)</f>
        <v/>
      </c>
      <c r="G2049" s="48" t="str">
        <f aca="false">IF($H2049="","",购销流水!$N516)</f>
        <v/>
      </c>
      <c r="H2049" s="10" t="str">
        <f aca="false">IF($L2049="","",IF($L2049="@成本",购销流水!$U516,IF($L2049="@收入",购销流水!$T516,IF($L2049="@存货",购销流水!$S516,IF($L2049="@结算",购销流水!$R516,$L2049)))))</f>
        <v/>
      </c>
      <c r="I2049" s="42" t="n">
        <f aca="false">IF($M2049="借",$O2049,0)</f>
        <v>0</v>
      </c>
      <c r="J2049" s="42" t="n">
        <f aca="false">IF($M2049="贷",$O2049,0)</f>
        <v>0</v>
      </c>
      <c r="K2049" s="48" t="str">
        <f aca="false">IF($H2049="","",购销流水!$E516)</f>
        <v/>
      </c>
      <c r="L2049" s="66" t="str">
        <f aca="false">IF(购销流水!$D516="","",IFERROR(INDEX(记账规则!$A$6:$N$9,MATCH(购销流水!$D516,记账规则!$A$6:$A$9,0),12),""))</f>
        <v/>
      </c>
      <c r="M2049" s="66" t="str">
        <f aca="false">IF($L2049="","",IFERROR(INDEX(记账规则!$A$6:$N$9,MATCH(购销流水!$D516,记账规则!$A$6:$A$9,0),13),""))</f>
        <v/>
      </c>
      <c r="N2049" s="66" t="str">
        <f aca="false">IF($L2049="","",IFERROR(INDEX(记账规则!$A$6:$N$9,MATCH(购销流水!$D516,记账规则!$A$6:$A$9,0),14),""))</f>
        <v/>
      </c>
      <c r="O2049" s="67" t="n">
        <f aca="false">IF($H2049="",0,ROUND(IF($N2049="成本金额",N(购销流水!$W516),IF($N2049="金额",N(购销流水!$Q516),0)),2))</f>
        <v>0</v>
      </c>
      <c r="P2049" s="64" t="str">
        <f aca="false">IF(AND($H2049&lt;&gt;"",ROUND($O2049,2)&lt;&gt;0),"有","")</f>
        <v/>
      </c>
    </row>
    <row r="2050" customFormat="false" ht="15" hidden="true" customHeight="false" outlineLevel="0" collapsed="false">
      <c r="A2050" s="53" t="str">
        <f aca="false">IF($H2050="","",ROW()-5)</f>
        <v/>
      </c>
      <c r="B2050" s="64" t="s">
        <v>36</v>
      </c>
      <c r="C2050" s="53" t="n">
        <v>517</v>
      </c>
      <c r="D2050" s="53" t="n">
        <v>1</v>
      </c>
      <c r="E2050" s="65" t="str">
        <f aca="false">IF($H2050="","",购销流水!$B517)</f>
        <v/>
      </c>
      <c r="F2050" s="55" t="str">
        <f aca="false">IF($H2050="","",购销流水!$C517)</f>
        <v/>
      </c>
      <c r="G2050" s="48" t="str">
        <f aca="false">IF($H2050="","",购销流水!$N517)</f>
        <v/>
      </c>
      <c r="H2050" s="10" t="str">
        <f aca="false">IF($L2050="","",IF($L2050="@成本",购销流水!$U517,IF($L2050="@收入",购销流水!$T517,IF($L2050="@存货",购销流水!$S517,IF($L2050="@结算",购销流水!$R517,$L2050)))))</f>
        <v/>
      </c>
      <c r="I2050" s="42" t="n">
        <f aca="false">IF($M2050="借",$O2050,0)</f>
        <v>0</v>
      </c>
      <c r="J2050" s="42" t="n">
        <f aca="false">IF($M2050="贷",$O2050,0)</f>
        <v>0</v>
      </c>
      <c r="K2050" s="48" t="str">
        <f aca="false">IF($H2050="","",购销流水!$E517)</f>
        <v/>
      </c>
      <c r="L2050" s="66" t="str">
        <f aca="false">IF(购销流水!$D517="","",IFERROR(INDEX(记账规则!$A$6:$N$9,MATCH(购销流水!$D517,记账规则!$A$6:$A$9,0),3),""))</f>
        <v/>
      </c>
      <c r="M2050" s="66" t="str">
        <f aca="false">IF($L2050="","",IFERROR(INDEX(记账规则!$A$6:$N$9,MATCH(购销流水!$D517,记账规则!$A$6:$A$9,0),4),""))</f>
        <v/>
      </c>
      <c r="N2050" s="66" t="str">
        <f aca="false">IF($L2050="","",IFERROR(INDEX(记账规则!$A$6:$N$9,MATCH(购销流水!$D517,记账规则!$A$6:$A$9,0),5),""))</f>
        <v/>
      </c>
      <c r="O2050" s="67" t="n">
        <f aca="false">IF($H2050="",0,ROUND(IF($N2050="成本金额",N(购销流水!$W517),IF($N2050="金额",N(购销流水!$Q517),0)),2))</f>
        <v>0</v>
      </c>
      <c r="P2050" s="64" t="str">
        <f aca="false">IF(AND($H2050&lt;&gt;"",ROUND($O2050,2)&lt;&gt;0),"有","")</f>
        <v/>
      </c>
    </row>
    <row r="2051" customFormat="false" ht="15" hidden="true" customHeight="false" outlineLevel="0" collapsed="false">
      <c r="A2051" s="53" t="str">
        <f aca="false">IF($H2051="","",ROW()-5)</f>
        <v/>
      </c>
      <c r="B2051" s="64" t="s">
        <v>36</v>
      </c>
      <c r="C2051" s="53" t="n">
        <v>517</v>
      </c>
      <c r="D2051" s="53" t="n">
        <v>2</v>
      </c>
      <c r="E2051" s="65" t="str">
        <f aca="false">IF($H2051="","",购销流水!$B517)</f>
        <v/>
      </c>
      <c r="F2051" s="55" t="str">
        <f aca="false">IF($H2051="","",购销流水!$C517)</f>
        <v/>
      </c>
      <c r="G2051" s="48" t="str">
        <f aca="false">IF($H2051="","",购销流水!$N517)</f>
        <v/>
      </c>
      <c r="H2051" s="10" t="str">
        <f aca="false">IF($L2051="","",IF($L2051="@成本",购销流水!$U517,IF($L2051="@收入",购销流水!$T517,IF($L2051="@存货",购销流水!$S517,IF($L2051="@结算",购销流水!$R517,$L2051)))))</f>
        <v/>
      </c>
      <c r="I2051" s="42" t="n">
        <f aca="false">IF($M2051="借",$O2051,0)</f>
        <v>0</v>
      </c>
      <c r="J2051" s="42" t="n">
        <f aca="false">IF($M2051="贷",$O2051,0)</f>
        <v>0</v>
      </c>
      <c r="K2051" s="48" t="str">
        <f aca="false">IF($H2051="","",购销流水!$E517)</f>
        <v/>
      </c>
      <c r="L2051" s="66" t="str">
        <f aca="false">IF(购销流水!$D517="","",IFERROR(INDEX(记账规则!$A$6:$N$9,MATCH(购销流水!$D517,记账规则!$A$6:$A$9,0),6),""))</f>
        <v/>
      </c>
      <c r="M2051" s="66" t="str">
        <f aca="false">IF($L2051="","",IFERROR(INDEX(记账规则!$A$6:$N$9,MATCH(购销流水!$D517,记账规则!$A$6:$A$9,0),7),""))</f>
        <v/>
      </c>
      <c r="N2051" s="66" t="str">
        <f aca="false">IF($L2051="","",IFERROR(INDEX(记账规则!$A$6:$N$9,MATCH(购销流水!$D517,记账规则!$A$6:$A$9,0),8),""))</f>
        <v/>
      </c>
      <c r="O2051" s="67" t="n">
        <f aca="false">IF($H2051="",0,ROUND(IF($N2051="成本金额",N(购销流水!$W517),IF($N2051="金额",N(购销流水!$Q517),0)),2))</f>
        <v>0</v>
      </c>
      <c r="P2051" s="64" t="str">
        <f aca="false">IF(AND($H2051&lt;&gt;"",ROUND($O2051,2)&lt;&gt;0),"有","")</f>
        <v/>
      </c>
    </row>
    <row r="2052" customFormat="false" ht="15" hidden="true" customHeight="false" outlineLevel="0" collapsed="false">
      <c r="A2052" s="53" t="str">
        <f aca="false">IF($H2052="","",ROW()-5)</f>
        <v/>
      </c>
      <c r="B2052" s="64" t="s">
        <v>36</v>
      </c>
      <c r="C2052" s="53" t="n">
        <v>517</v>
      </c>
      <c r="D2052" s="53" t="n">
        <v>3</v>
      </c>
      <c r="E2052" s="65" t="str">
        <f aca="false">IF($H2052="","",购销流水!$B517)</f>
        <v/>
      </c>
      <c r="F2052" s="55" t="str">
        <f aca="false">IF($H2052="","",购销流水!$C517)</f>
        <v/>
      </c>
      <c r="G2052" s="48" t="str">
        <f aca="false">IF($H2052="","",购销流水!$N517)</f>
        <v/>
      </c>
      <c r="H2052" s="10" t="str">
        <f aca="false">IF($L2052="","",IF($L2052="@成本",购销流水!$U517,IF($L2052="@收入",购销流水!$T517,IF($L2052="@存货",购销流水!$S517,IF($L2052="@结算",购销流水!$R517,$L2052)))))</f>
        <v/>
      </c>
      <c r="I2052" s="42" t="n">
        <f aca="false">IF($M2052="借",$O2052,0)</f>
        <v>0</v>
      </c>
      <c r="J2052" s="42" t="n">
        <f aca="false">IF($M2052="贷",$O2052,0)</f>
        <v>0</v>
      </c>
      <c r="K2052" s="48" t="str">
        <f aca="false">IF($H2052="","",购销流水!$E517)</f>
        <v/>
      </c>
      <c r="L2052" s="66" t="str">
        <f aca="false">IF(购销流水!$D517="","",IFERROR(INDEX(记账规则!$A$6:$N$9,MATCH(购销流水!$D517,记账规则!$A$6:$A$9,0),9),""))</f>
        <v/>
      </c>
      <c r="M2052" s="66" t="str">
        <f aca="false">IF($L2052="","",IFERROR(INDEX(记账规则!$A$6:$N$9,MATCH(购销流水!$D517,记账规则!$A$6:$A$9,0),10),""))</f>
        <v/>
      </c>
      <c r="N2052" s="66" t="str">
        <f aca="false">IF($L2052="","",IFERROR(INDEX(记账规则!$A$6:$N$9,MATCH(购销流水!$D517,记账规则!$A$6:$A$9,0),11),""))</f>
        <v/>
      </c>
      <c r="O2052" s="67" t="n">
        <f aca="false">IF($H2052="",0,ROUND(IF($N2052="成本金额",N(购销流水!$W517),IF($N2052="金额",N(购销流水!$Q517),0)),2))</f>
        <v>0</v>
      </c>
      <c r="P2052" s="64" t="str">
        <f aca="false">IF(AND($H2052&lt;&gt;"",ROUND($O2052,2)&lt;&gt;0),"有","")</f>
        <v/>
      </c>
    </row>
    <row r="2053" customFormat="false" ht="15" hidden="true" customHeight="false" outlineLevel="0" collapsed="false">
      <c r="A2053" s="53" t="str">
        <f aca="false">IF($H2053="","",ROW()-5)</f>
        <v/>
      </c>
      <c r="B2053" s="64" t="s">
        <v>36</v>
      </c>
      <c r="C2053" s="53" t="n">
        <v>517</v>
      </c>
      <c r="D2053" s="53" t="n">
        <v>4</v>
      </c>
      <c r="E2053" s="65" t="str">
        <f aca="false">IF($H2053="","",购销流水!$B517)</f>
        <v/>
      </c>
      <c r="F2053" s="55" t="str">
        <f aca="false">IF($H2053="","",购销流水!$C517)</f>
        <v/>
      </c>
      <c r="G2053" s="48" t="str">
        <f aca="false">IF($H2053="","",购销流水!$N517)</f>
        <v/>
      </c>
      <c r="H2053" s="10" t="str">
        <f aca="false">IF($L2053="","",IF($L2053="@成本",购销流水!$U517,IF($L2053="@收入",购销流水!$T517,IF($L2053="@存货",购销流水!$S517,IF($L2053="@结算",购销流水!$R517,$L2053)))))</f>
        <v/>
      </c>
      <c r="I2053" s="42" t="n">
        <f aca="false">IF($M2053="借",$O2053,0)</f>
        <v>0</v>
      </c>
      <c r="J2053" s="42" t="n">
        <f aca="false">IF($M2053="贷",$O2053,0)</f>
        <v>0</v>
      </c>
      <c r="K2053" s="48" t="str">
        <f aca="false">IF($H2053="","",购销流水!$E517)</f>
        <v/>
      </c>
      <c r="L2053" s="66" t="str">
        <f aca="false">IF(购销流水!$D517="","",IFERROR(INDEX(记账规则!$A$6:$N$9,MATCH(购销流水!$D517,记账规则!$A$6:$A$9,0),12),""))</f>
        <v/>
      </c>
      <c r="M2053" s="66" t="str">
        <f aca="false">IF($L2053="","",IFERROR(INDEX(记账规则!$A$6:$N$9,MATCH(购销流水!$D517,记账规则!$A$6:$A$9,0),13),""))</f>
        <v/>
      </c>
      <c r="N2053" s="66" t="str">
        <f aca="false">IF($L2053="","",IFERROR(INDEX(记账规则!$A$6:$N$9,MATCH(购销流水!$D517,记账规则!$A$6:$A$9,0),14),""))</f>
        <v/>
      </c>
      <c r="O2053" s="67" t="n">
        <f aca="false">IF($H2053="",0,ROUND(IF($N2053="成本金额",N(购销流水!$W517),IF($N2053="金额",N(购销流水!$Q517),0)),2))</f>
        <v>0</v>
      </c>
      <c r="P2053" s="64" t="str">
        <f aca="false">IF(AND($H2053&lt;&gt;"",ROUND($O2053,2)&lt;&gt;0),"有","")</f>
        <v/>
      </c>
    </row>
    <row r="2054" customFormat="false" ht="15" hidden="true" customHeight="false" outlineLevel="0" collapsed="false">
      <c r="A2054" s="53" t="str">
        <f aca="false">IF($H2054="","",ROW()-5)</f>
        <v/>
      </c>
      <c r="B2054" s="64" t="s">
        <v>36</v>
      </c>
      <c r="C2054" s="53" t="n">
        <v>518</v>
      </c>
      <c r="D2054" s="53" t="n">
        <v>1</v>
      </c>
      <c r="E2054" s="65" t="str">
        <f aca="false">IF($H2054="","",购销流水!$B518)</f>
        <v/>
      </c>
      <c r="F2054" s="55" t="str">
        <f aca="false">IF($H2054="","",购销流水!$C518)</f>
        <v/>
      </c>
      <c r="G2054" s="48" t="str">
        <f aca="false">IF($H2054="","",购销流水!$N518)</f>
        <v/>
      </c>
      <c r="H2054" s="10" t="str">
        <f aca="false">IF($L2054="","",IF($L2054="@成本",购销流水!$U518,IF($L2054="@收入",购销流水!$T518,IF($L2054="@存货",购销流水!$S518,IF($L2054="@结算",购销流水!$R518,$L2054)))))</f>
        <v/>
      </c>
      <c r="I2054" s="42" t="n">
        <f aca="false">IF($M2054="借",$O2054,0)</f>
        <v>0</v>
      </c>
      <c r="J2054" s="42" t="n">
        <f aca="false">IF($M2054="贷",$O2054,0)</f>
        <v>0</v>
      </c>
      <c r="K2054" s="48" t="str">
        <f aca="false">IF($H2054="","",购销流水!$E518)</f>
        <v/>
      </c>
      <c r="L2054" s="66" t="str">
        <f aca="false">IF(购销流水!$D518="","",IFERROR(INDEX(记账规则!$A$6:$N$9,MATCH(购销流水!$D518,记账规则!$A$6:$A$9,0),3),""))</f>
        <v/>
      </c>
      <c r="M2054" s="66" t="str">
        <f aca="false">IF($L2054="","",IFERROR(INDEX(记账规则!$A$6:$N$9,MATCH(购销流水!$D518,记账规则!$A$6:$A$9,0),4),""))</f>
        <v/>
      </c>
      <c r="N2054" s="66" t="str">
        <f aca="false">IF($L2054="","",IFERROR(INDEX(记账规则!$A$6:$N$9,MATCH(购销流水!$D518,记账规则!$A$6:$A$9,0),5),""))</f>
        <v/>
      </c>
      <c r="O2054" s="67" t="n">
        <f aca="false">IF($H2054="",0,ROUND(IF($N2054="成本金额",N(购销流水!$W518),IF($N2054="金额",N(购销流水!$Q518),0)),2))</f>
        <v>0</v>
      </c>
      <c r="P2054" s="64" t="str">
        <f aca="false">IF(AND($H2054&lt;&gt;"",ROUND($O2054,2)&lt;&gt;0),"有","")</f>
        <v/>
      </c>
    </row>
    <row r="2055" customFormat="false" ht="15" hidden="true" customHeight="false" outlineLevel="0" collapsed="false">
      <c r="A2055" s="53" t="str">
        <f aca="false">IF($H2055="","",ROW()-5)</f>
        <v/>
      </c>
      <c r="B2055" s="64" t="s">
        <v>36</v>
      </c>
      <c r="C2055" s="53" t="n">
        <v>518</v>
      </c>
      <c r="D2055" s="53" t="n">
        <v>2</v>
      </c>
      <c r="E2055" s="65" t="str">
        <f aca="false">IF($H2055="","",购销流水!$B518)</f>
        <v/>
      </c>
      <c r="F2055" s="55" t="str">
        <f aca="false">IF($H2055="","",购销流水!$C518)</f>
        <v/>
      </c>
      <c r="G2055" s="48" t="str">
        <f aca="false">IF($H2055="","",购销流水!$N518)</f>
        <v/>
      </c>
      <c r="H2055" s="10" t="str">
        <f aca="false">IF($L2055="","",IF($L2055="@成本",购销流水!$U518,IF($L2055="@收入",购销流水!$T518,IF($L2055="@存货",购销流水!$S518,IF($L2055="@结算",购销流水!$R518,$L2055)))))</f>
        <v/>
      </c>
      <c r="I2055" s="42" t="n">
        <f aca="false">IF($M2055="借",$O2055,0)</f>
        <v>0</v>
      </c>
      <c r="J2055" s="42" t="n">
        <f aca="false">IF($M2055="贷",$O2055,0)</f>
        <v>0</v>
      </c>
      <c r="K2055" s="48" t="str">
        <f aca="false">IF($H2055="","",购销流水!$E518)</f>
        <v/>
      </c>
      <c r="L2055" s="66" t="str">
        <f aca="false">IF(购销流水!$D518="","",IFERROR(INDEX(记账规则!$A$6:$N$9,MATCH(购销流水!$D518,记账规则!$A$6:$A$9,0),6),""))</f>
        <v/>
      </c>
      <c r="M2055" s="66" t="str">
        <f aca="false">IF($L2055="","",IFERROR(INDEX(记账规则!$A$6:$N$9,MATCH(购销流水!$D518,记账规则!$A$6:$A$9,0),7),""))</f>
        <v/>
      </c>
      <c r="N2055" s="66" t="str">
        <f aca="false">IF($L2055="","",IFERROR(INDEX(记账规则!$A$6:$N$9,MATCH(购销流水!$D518,记账规则!$A$6:$A$9,0),8),""))</f>
        <v/>
      </c>
      <c r="O2055" s="67" t="n">
        <f aca="false">IF($H2055="",0,ROUND(IF($N2055="成本金额",N(购销流水!$W518),IF($N2055="金额",N(购销流水!$Q518),0)),2))</f>
        <v>0</v>
      </c>
      <c r="P2055" s="64" t="str">
        <f aca="false">IF(AND($H2055&lt;&gt;"",ROUND($O2055,2)&lt;&gt;0),"有","")</f>
        <v/>
      </c>
    </row>
    <row r="2056" customFormat="false" ht="15" hidden="true" customHeight="false" outlineLevel="0" collapsed="false">
      <c r="A2056" s="53" t="str">
        <f aca="false">IF($H2056="","",ROW()-5)</f>
        <v/>
      </c>
      <c r="B2056" s="64" t="s">
        <v>36</v>
      </c>
      <c r="C2056" s="53" t="n">
        <v>518</v>
      </c>
      <c r="D2056" s="53" t="n">
        <v>3</v>
      </c>
      <c r="E2056" s="65" t="str">
        <f aca="false">IF($H2056="","",购销流水!$B518)</f>
        <v/>
      </c>
      <c r="F2056" s="55" t="str">
        <f aca="false">IF($H2056="","",购销流水!$C518)</f>
        <v/>
      </c>
      <c r="G2056" s="48" t="str">
        <f aca="false">IF($H2056="","",购销流水!$N518)</f>
        <v/>
      </c>
      <c r="H2056" s="10" t="str">
        <f aca="false">IF($L2056="","",IF($L2056="@成本",购销流水!$U518,IF($L2056="@收入",购销流水!$T518,IF($L2056="@存货",购销流水!$S518,IF($L2056="@结算",购销流水!$R518,$L2056)))))</f>
        <v/>
      </c>
      <c r="I2056" s="42" t="n">
        <f aca="false">IF($M2056="借",$O2056,0)</f>
        <v>0</v>
      </c>
      <c r="J2056" s="42" t="n">
        <f aca="false">IF($M2056="贷",$O2056,0)</f>
        <v>0</v>
      </c>
      <c r="K2056" s="48" t="str">
        <f aca="false">IF($H2056="","",购销流水!$E518)</f>
        <v/>
      </c>
      <c r="L2056" s="66" t="str">
        <f aca="false">IF(购销流水!$D518="","",IFERROR(INDEX(记账规则!$A$6:$N$9,MATCH(购销流水!$D518,记账规则!$A$6:$A$9,0),9),""))</f>
        <v/>
      </c>
      <c r="M2056" s="66" t="str">
        <f aca="false">IF($L2056="","",IFERROR(INDEX(记账规则!$A$6:$N$9,MATCH(购销流水!$D518,记账规则!$A$6:$A$9,0),10),""))</f>
        <v/>
      </c>
      <c r="N2056" s="66" t="str">
        <f aca="false">IF($L2056="","",IFERROR(INDEX(记账规则!$A$6:$N$9,MATCH(购销流水!$D518,记账规则!$A$6:$A$9,0),11),""))</f>
        <v/>
      </c>
      <c r="O2056" s="67" t="n">
        <f aca="false">IF($H2056="",0,ROUND(IF($N2056="成本金额",N(购销流水!$W518),IF($N2056="金额",N(购销流水!$Q518),0)),2))</f>
        <v>0</v>
      </c>
      <c r="P2056" s="64" t="str">
        <f aca="false">IF(AND($H2056&lt;&gt;"",ROUND($O2056,2)&lt;&gt;0),"有","")</f>
        <v/>
      </c>
    </row>
    <row r="2057" customFormat="false" ht="15" hidden="true" customHeight="false" outlineLevel="0" collapsed="false">
      <c r="A2057" s="53" t="str">
        <f aca="false">IF($H2057="","",ROW()-5)</f>
        <v/>
      </c>
      <c r="B2057" s="64" t="s">
        <v>36</v>
      </c>
      <c r="C2057" s="53" t="n">
        <v>518</v>
      </c>
      <c r="D2057" s="53" t="n">
        <v>4</v>
      </c>
      <c r="E2057" s="65" t="str">
        <f aca="false">IF($H2057="","",购销流水!$B518)</f>
        <v/>
      </c>
      <c r="F2057" s="55" t="str">
        <f aca="false">IF($H2057="","",购销流水!$C518)</f>
        <v/>
      </c>
      <c r="G2057" s="48" t="str">
        <f aca="false">IF($H2057="","",购销流水!$N518)</f>
        <v/>
      </c>
      <c r="H2057" s="10" t="str">
        <f aca="false">IF($L2057="","",IF($L2057="@成本",购销流水!$U518,IF($L2057="@收入",购销流水!$T518,IF($L2057="@存货",购销流水!$S518,IF($L2057="@结算",购销流水!$R518,$L2057)))))</f>
        <v/>
      </c>
      <c r="I2057" s="42" t="n">
        <f aca="false">IF($M2057="借",$O2057,0)</f>
        <v>0</v>
      </c>
      <c r="J2057" s="42" t="n">
        <f aca="false">IF($M2057="贷",$O2057,0)</f>
        <v>0</v>
      </c>
      <c r="K2057" s="48" t="str">
        <f aca="false">IF($H2057="","",购销流水!$E518)</f>
        <v/>
      </c>
      <c r="L2057" s="66" t="str">
        <f aca="false">IF(购销流水!$D518="","",IFERROR(INDEX(记账规则!$A$6:$N$9,MATCH(购销流水!$D518,记账规则!$A$6:$A$9,0),12),""))</f>
        <v/>
      </c>
      <c r="M2057" s="66" t="str">
        <f aca="false">IF($L2057="","",IFERROR(INDEX(记账规则!$A$6:$N$9,MATCH(购销流水!$D518,记账规则!$A$6:$A$9,0),13),""))</f>
        <v/>
      </c>
      <c r="N2057" s="66" t="str">
        <f aca="false">IF($L2057="","",IFERROR(INDEX(记账规则!$A$6:$N$9,MATCH(购销流水!$D518,记账规则!$A$6:$A$9,0),14),""))</f>
        <v/>
      </c>
      <c r="O2057" s="67" t="n">
        <f aca="false">IF($H2057="",0,ROUND(IF($N2057="成本金额",N(购销流水!$W518),IF($N2057="金额",N(购销流水!$Q518),0)),2))</f>
        <v>0</v>
      </c>
      <c r="P2057" s="64" t="str">
        <f aca="false">IF(AND($H2057&lt;&gt;"",ROUND($O2057,2)&lt;&gt;0),"有","")</f>
        <v/>
      </c>
    </row>
    <row r="2058" customFormat="false" ht="15" hidden="true" customHeight="false" outlineLevel="0" collapsed="false">
      <c r="A2058" s="53" t="str">
        <f aca="false">IF($H2058="","",ROW()-5)</f>
        <v/>
      </c>
      <c r="B2058" s="64" t="s">
        <v>36</v>
      </c>
      <c r="C2058" s="53" t="n">
        <v>519</v>
      </c>
      <c r="D2058" s="53" t="n">
        <v>1</v>
      </c>
      <c r="E2058" s="65" t="str">
        <f aca="false">IF($H2058="","",购销流水!$B519)</f>
        <v/>
      </c>
      <c r="F2058" s="55" t="str">
        <f aca="false">IF($H2058="","",购销流水!$C519)</f>
        <v/>
      </c>
      <c r="G2058" s="48" t="str">
        <f aca="false">IF($H2058="","",购销流水!$N519)</f>
        <v/>
      </c>
      <c r="H2058" s="10" t="str">
        <f aca="false">IF($L2058="","",IF($L2058="@成本",购销流水!$U519,IF($L2058="@收入",购销流水!$T519,IF($L2058="@存货",购销流水!$S519,IF($L2058="@结算",购销流水!$R519,$L2058)))))</f>
        <v/>
      </c>
      <c r="I2058" s="42" t="n">
        <f aca="false">IF($M2058="借",$O2058,0)</f>
        <v>0</v>
      </c>
      <c r="J2058" s="42" t="n">
        <f aca="false">IF($M2058="贷",$O2058,0)</f>
        <v>0</v>
      </c>
      <c r="K2058" s="48" t="str">
        <f aca="false">IF($H2058="","",购销流水!$E519)</f>
        <v/>
      </c>
      <c r="L2058" s="66" t="str">
        <f aca="false">IF(购销流水!$D519="","",IFERROR(INDEX(记账规则!$A$6:$N$9,MATCH(购销流水!$D519,记账规则!$A$6:$A$9,0),3),""))</f>
        <v/>
      </c>
      <c r="M2058" s="66" t="str">
        <f aca="false">IF($L2058="","",IFERROR(INDEX(记账规则!$A$6:$N$9,MATCH(购销流水!$D519,记账规则!$A$6:$A$9,0),4),""))</f>
        <v/>
      </c>
      <c r="N2058" s="66" t="str">
        <f aca="false">IF($L2058="","",IFERROR(INDEX(记账规则!$A$6:$N$9,MATCH(购销流水!$D519,记账规则!$A$6:$A$9,0),5),""))</f>
        <v/>
      </c>
      <c r="O2058" s="67" t="n">
        <f aca="false">IF($H2058="",0,ROUND(IF($N2058="成本金额",N(购销流水!$W519),IF($N2058="金额",N(购销流水!$Q519),0)),2))</f>
        <v>0</v>
      </c>
      <c r="P2058" s="64" t="str">
        <f aca="false">IF(AND($H2058&lt;&gt;"",ROUND($O2058,2)&lt;&gt;0),"有","")</f>
        <v/>
      </c>
    </row>
    <row r="2059" customFormat="false" ht="15" hidden="true" customHeight="false" outlineLevel="0" collapsed="false">
      <c r="A2059" s="53" t="str">
        <f aca="false">IF($H2059="","",ROW()-5)</f>
        <v/>
      </c>
      <c r="B2059" s="64" t="s">
        <v>36</v>
      </c>
      <c r="C2059" s="53" t="n">
        <v>519</v>
      </c>
      <c r="D2059" s="53" t="n">
        <v>2</v>
      </c>
      <c r="E2059" s="65" t="str">
        <f aca="false">IF($H2059="","",购销流水!$B519)</f>
        <v/>
      </c>
      <c r="F2059" s="55" t="str">
        <f aca="false">IF($H2059="","",购销流水!$C519)</f>
        <v/>
      </c>
      <c r="G2059" s="48" t="str">
        <f aca="false">IF($H2059="","",购销流水!$N519)</f>
        <v/>
      </c>
      <c r="H2059" s="10" t="str">
        <f aca="false">IF($L2059="","",IF($L2059="@成本",购销流水!$U519,IF($L2059="@收入",购销流水!$T519,IF($L2059="@存货",购销流水!$S519,IF($L2059="@结算",购销流水!$R519,$L2059)))))</f>
        <v/>
      </c>
      <c r="I2059" s="42" t="n">
        <f aca="false">IF($M2059="借",$O2059,0)</f>
        <v>0</v>
      </c>
      <c r="J2059" s="42" t="n">
        <f aca="false">IF($M2059="贷",$O2059,0)</f>
        <v>0</v>
      </c>
      <c r="K2059" s="48" t="str">
        <f aca="false">IF($H2059="","",购销流水!$E519)</f>
        <v/>
      </c>
      <c r="L2059" s="66" t="str">
        <f aca="false">IF(购销流水!$D519="","",IFERROR(INDEX(记账规则!$A$6:$N$9,MATCH(购销流水!$D519,记账规则!$A$6:$A$9,0),6),""))</f>
        <v/>
      </c>
      <c r="M2059" s="66" t="str">
        <f aca="false">IF($L2059="","",IFERROR(INDEX(记账规则!$A$6:$N$9,MATCH(购销流水!$D519,记账规则!$A$6:$A$9,0),7),""))</f>
        <v/>
      </c>
      <c r="N2059" s="66" t="str">
        <f aca="false">IF($L2059="","",IFERROR(INDEX(记账规则!$A$6:$N$9,MATCH(购销流水!$D519,记账规则!$A$6:$A$9,0),8),""))</f>
        <v/>
      </c>
      <c r="O2059" s="67" t="n">
        <f aca="false">IF($H2059="",0,ROUND(IF($N2059="成本金额",N(购销流水!$W519),IF($N2059="金额",N(购销流水!$Q519),0)),2))</f>
        <v>0</v>
      </c>
      <c r="P2059" s="64" t="str">
        <f aca="false">IF(AND($H2059&lt;&gt;"",ROUND($O2059,2)&lt;&gt;0),"有","")</f>
        <v/>
      </c>
    </row>
    <row r="2060" customFormat="false" ht="15" hidden="true" customHeight="false" outlineLevel="0" collapsed="false">
      <c r="A2060" s="53" t="str">
        <f aca="false">IF($H2060="","",ROW()-5)</f>
        <v/>
      </c>
      <c r="B2060" s="64" t="s">
        <v>36</v>
      </c>
      <c r="C2060" s="53" t="n">
        <v>519</v>
      </c>
      <c r="D2060" s="53" t="n">
        <v>3</v>
      </c>
      <c r="E2060" s="65" t="str">
        <f aca="false">IF($H2060="","",购销流水!$B519)</f>
        <v/>
      </c>
      <c r="F2060" s="55" t="str">
        <f aca="false">IF($H2060="","",购销流水!$C519)</f>
        <v/>
      </c>
      <c r="G2060" s="48" t="str">
        <f aca="false">IF($H2060="","",购销流水!$N519)</f>
        <v/>
      </c>
      <c r="H2060" s="10" t="str">
        <f aca="false">IF($L2060="","",IF($L2060="@成本",购销流水!$U519,IF($L2060="@收入",购销流水!$T519,IF($L2060="@存货",购销流水!$S519,IF($L2060="@结算",购销流水!$R519,$L2060)))))</f>
        <v/>
      </c>
      <c r="I2060" s="42" t="n">
        <f aca="false">IF($M2060="借",$O2060,0)</f>
        <v>0</v>
      </c>
      <c r="J2060" s="42" t="n">
        <f aca="false">IF($M2060="贷",$O2060,0)</f>
        <v>0</v>
      </c>
      <c r="K2060" s="48" t="str">
        <f aca="false">IF($H2060="","",购销流水!$E519)</f>
        <v/>
      </c>
      <c r="L2060" s="66" t="str">
        <f aca="false">IF(购销流水!$D519="","",IFERROR(INDEX(记账规则!$A$6:$N$9,MATCH(购销流水!$D519,记账规则!$A$6:$A$9,0),9),""))</f>
        <v/>
      </c>
      <c r="M2060" s="66" t="str">
        <f aca="false">IF($L2060="","",IFERROR(INDEX(记账规则!$A$6:$N$9,MATCH(购销流水!$D519,记账规则!$A$6:$A$9,0),10),""))</f>
        <v/>
      </c>
      <c r="N2060" s="66" t="str">
        <f aca="false">IF($L2060="","",IFERROR(INDEX(记账规则!$A$6:$N$9,MATCH(购销流水!$D519,记账规则!$A$6:$A$9,0),11),""))</f>
        <v/>
      </c>
      <c r="O2060" s="67" t="n">
        <f aca="false">IF($H2060="",0,ROUND(IF($N2060="成本金额",N(购销流水!$W519),IF($N2060="金额",N(购销流水!$Q519),0)),2))</f>
        <v>0</v>
      </c>
      <c r="P2060" s="64" t="str">
        <f aca="false">IF(AND($H2060&lt;&gt;"",ROUND($O2060,2)&lt;&gt;0),"有","")</f>
        <v/>
      </c>
    </row>
    <row r="2061" customFormat="false" ht="15" hidden="true" customHeight="false" outlineLevel="0" collapsed="false">
      <c r="A2061" s="53" t="str">
        <f aca="false">IF($H2061="","",ROW()-5)</f>
        <v/>
      </c>
      <c r="B2061" s="64" t="s">
        <v>36</v>
      </c>
      <c r="C2061" s="53" t="n">
        <v>519</v>
      </c>
      <c r="D2061" s="53" t="n">
        <v>4</v>
      </c>
      <c r="E2061" s="65" t="str">
        <f aca="false">IF($H2061="","",购销流水!$B519)</f>
        <v/>
      </c>
      <c r="F2061" s="55" t="str">
        <f aca="false">IF($H2061="","",购销流水!$C519)</f>
        <v/>
      </c>
      <c r="G2061" s="48" t="str">
        <f aca="false">IF($H2061="","",购销流水!$N519)</f>
        <v/>
      </c>
      <c r="H2061" s="10" t="str">
        <f aca="false">IF($L2061="","",IF($L2061="@成本",购销流水!$U519,IF($L2061="@收入",购销流水!$T519,IF($L2061="@存货",购销流水!$S519,IF($L2061="@结算",购销流水!$R519,$L2061)))))</f>
        <v/>
      </c>
      <c r="I2061" s="42" t="n">
        <f aca="false">IF($M2061="借",$O2061,0)</f>
        <v>0</v>
      </c>
      <c r="J2061" s="42" t="n">
        <f aca="false">IF($M2061="贷",$O2061,0)</f>
        <v>0</v>
      </c>
      <c r="K2061" s="48" t="str">
        <f aca="false">IF($H2061="","",购销流水!$E519)</f>
        <v/>
      </c>
      <c r="L2061" s="66" t="str">
        <f aca="false">IF(购销流水!$D519="","",IFERROR(INDEX(记账规则!$A$6:$N$9,MATCH(购销流水!$D519,记账规则!$A$6:$A$9,0),12),""))</f>
        <v/>
      </c>
      <c r="M2061" s="66" t="str">
        <f aca="false">IF($L2061="","",IFERROR(INDEX(记账规则!$A$6:$N$9,MATCH(购销流水!$D519,记账规则!$A$6:$A$9,0),13),""))</f>
        <v/>
      </c>
      <c r="N2061" s="66" t="str">
        <f aca="false">IF($L2061="","",IFERROR(INDEX(记账规则!$A$6:$N$9,MATCH(购销流水!$D519,记账规则!$A$6:$A$9,0),14),""))</f>
        <v/>
      </c>
      <c r="O2061" s="67" t="n">
        <f aca="false">IF($H2061="",0,ROUND(IF($N2061="成本金额",N(购销流水!$W519),IF($N2061="金额",N(购销流水!$Q519),0)),2))</f>
        <v>0</v>
      </c>
      <c r="P2061" s="64" t="str">
        <f aca="false">IF(AND($H2061&lt;&gt;"",ROUND($O2061,2)&lt;&gt;0),"有","")</f>
        <v/>
      </c>
    </row>
    <row r="2062" customFormat="false" ht="15" hidden="true" customHeight="false" outlineLevel="0" collapsed="false">
      <c r="A2062" s="53" t="str">
        <f aca="false">IF($H2062="","",ROW()-5)</f>
        <v/>
      </c>
      <c r="B2062" s="64" t="s">
        <v>36</v>
      </c>
      <c r="C2062" s="53" t="n">
        <v>520</v>
      </c>
      <c r="D2062" s="53" t="n">
        <v>1</v>
      </c>
      <c r="E2062" s="65" t="str">
        <f aca="false">IF($H2062="","",购销流水!$B520)</f>
        <v/>
      </c>
      <c r="F2062" s="55" t="str">
        <f aca="false">IF($H2062="","",购销流水!$C520)</f>
        <v/>
      </c>
      <c r="G2062" s="48" t="str">
        <f aca="false">IF($H2062="","",购销流水!$N520)</f>
        <v/>
      </c>
      <c r="H2062" s="10" t="str">
        <f aca="false">IF($L2062="","",IF($L2062="@成本",购销流水!$U520,IF($L2062="@收入",购销流水!$T520,IF($L2062="@存货",购销流水!$S520,IF($L2062="@结算",购销流水!$R520,$L2062)))))</f>
        <v/>
      </c>
      <c r="I2062" s="42" t="n">
        <f aca="false">IF($M2062="借",$O2062,0)</f>
        <v>0</v>
      </c>
      <c r="J2062" s="42" t="n">
        <f aca="false">IF($M2062="贷",$O2062,0)</f>
        <v>0</v>
      </c>
      <c r="K2062" s="48" t="str">
        <f aca="false">IF($H2062="","",购销流水!$E520)</f>
        <v/>
      </c>
      <c r="L2062" s="66" t="str">
        <f aca="false">IF(购销流水!$D520="","",IFERROR(INDEX(记账规则!$A$6:$N$9,MATCH(购销流水!$D520,记账规则!$A$6:$A$9,0),3),""))</f>
        <v/>
      </c>
      <c r="M2062" s="66" t="str">
        <f aca="false">IF($L2062="","",IFERROR(INDEX(记账规则!$A$6:$N$9,MATCH(购销流水!$D520,记账规则!$A$6:$A$9,0),4),""))</f>
        <v/>
      </c>
      <c r="N2062" s="66" t="str">
        <f aca="false">IF($L2062="","",IFERROR(INDEX(记账规则!$A$6:$N$9,MATCH(购销流水!$D520,记账规则!$A$6:$A$9,0),5),""))</f>
        <v/>
      </c>
      <c r="O2062" s="67" t="n">
        <f aca="false">IF($H2062="",0,ROUND(IF($N2062="成本金额",N(购销流水!$W520),IF($N2062="金额",N(购销流水!$Q520),0)),2))</f>
        <v>0</v>
      </c>
      <c r="P2062" s="64" t="str">
        <f aca="false">IF(AND($H2062&lt;&gt;"",ROUND($O2062,2)&lt;&gt;0),"有","")</f>
        <v/>
      </c>
    </row>
    <row r="2063" customFormat="false" ht="15" hidden="true" customHeight="false" outlineLevel="0" collapsed="false">
      <c r="A2063" s="53" t="str">
        <f aca="false">IF($H2063="","",ROW()-5)</f>
        <v/>
      </c>
      <c r="B2063" s="64" t="s">
        <v>36</v>
      </c>
      <c r="C2063" s="53" t="n">
        <v>520</v>
      </c>
      <c r="D2063" s="53" t="n">
        <v>2</v>
      </c>
      <c r="E2063" s="65" t="str">
        <f aca="false">IF($H2063="","",购销流水!$B520)</f>
        <v/>
      </c>
      <c r="F2063" s="55" t="str">
        <f aca="false">IF($H2063="","",购销流水!$C520)</f>
        <v/>
      </c>
      <c r="G2063" s="48" t="str">
        <f aca="false">IF($H2063="","",购销流水!$N520)</f>
        <v/>
      </c>
      <c r="H2063" s="10" t="str">
        <f aca="false">IF($L2063="","",IF($L2063="@成本",购销流水!$U520,IF($L2063="@收入",购销流水!$T520,IF($L2063="@存货",购销流水!$S520,IF($L2063="@结算",购销流水!$R520,$L2063)))))</f>
        <v/>
      </c>
      <c r="I2063" s="42" t="n">
        <f aca="false">IF($M2063="借",$O2063,0)</f>
        <v>0</v>
      </c>
      <c r="J2063" s="42" t="n">
        <f aca="false">IF($M2063="贷",$O2063,0)</f>
        <v>0</v>
      </c>
      <c r="K2063" s="48" t="str">
        <f aca="false">IF($H2063="","",购销流水!$E520)</f>
        <v/>
      </c>
      <c r="L2063" s="66" t="str">
        <f aca="false">IF(购销流水!$D520="","",IFERROR(INDEX(记账规则!$A$6:$N$9,MATCH(购销流水!$D520,记账规则!$A$6:$A$9,0),6),""))</f>
        <v/>
      </c>
      <c r="M2063" s="66" t="str">
        <f aca="false">IF($L2063="","",IFERROR(INDEX(记账规则!$A$6:$N$9,MATCH(购销流水!$D520,记账规则!$A$6:$A$9,0),7),""))</f>
        <v/>
      </c>
      <c r="N2063" s="66" t="str">
        <f aca="false">IF($L2063="","",IFERROR(INDEX(记账规则!$A$6:$N$9,MATCH(购销流水!$D520,记账规则!$A$6:$A$9,0),8),""))</f>
        <v/>
      </c>
      <c r="O2063" s="67" t="n">
        <f aca="false">IF($H2063="",0,ROUND(IF($N2063="成本金额",N(购销流水!$W520),IF($N2063="金额",N(购销流水!$Q520),0)),2))</f>
        <v>0</v>
      </c>
      <c r="P2063" s="64" t="str">
        <f aca="false">IF(AND($H2063&lt;&gt;"",ROUND($O2063,2)&lt;&gt;0),"有","")</f>
        <v/>
      </c>
    </row>
    <row r="2064" customFormat="false" ht="15" hidden="true" customHeight="false" outlineLevel="0" collapsed="false">
      <c r="A2064" s="53" t="str">
        <f aca="false">IF($H2064="","",ROW()-5)</f>
        <v/>
      </c>
      <c r="B2064" s="64" t="s">
        <v>36</v>
      </c>
      <c r="C2064" s="53" t="n">
        <v>520</v>
      </c>
      <c r="D2064" s="53" t="n">
        <v>3</v>
      </c>
      <c r="E2064" s="65" t="str">
        <f aca="false">IF($H2064="","",购销流水!$B520)</f>
        <v/>
      </c>
      <c r="F2064" s="55" t="str">
        <f aca="false">IF($H2064="","",购销流水!$C520)</f>
        <v/>
      </c>
      <c r="G2064" s="48" t="str">
        <f aca="false">IF($H2064="","",购销流水!$N520)</f>
        <v/>
      </c>
      <c r="H2064" s="10" t="str">
        <f aca="false">IF($L2064="","",IF($L2064="@成本",购销流水!$U520,IF($L2064="@收入",购销流水!$T520,IF($L2064="@存货",购销流水!$S520,IF($L2064="@结算",购销流水!$R520,$L2064)))))</f>
        <v/>
      </c>
      <c r="I2064" s="42" t="n">
        <f aca="false">IF($M2064="借",$O2064,0)</f>
        <v>0</v>
      </c>
      <c r="J2064" s="42" t="n">
        <f aca="false">IF($M2064="贷",$O2064,0)</f>
        <v>0</v>
      </c>
      <c r="K2064" s="48" t="str">
        <f aca="false">IF($H2064="","",购销流水!$E520)</f>
        <v/>
      </c>
      <c r="L2064" s="66" t="str">
        <f aca="false">IF(购销流水!$D520="","",IFERROR(INDEX(记账规则!$A$6:$N$9,MATCH(购销流水!$D520,记账规则!$A$6:$A$9,0),9),""))</f>
        <v/>
      </c>
      <c r="M2064" s="66" t="str">
        <f aca="false">IF($L2064="","",IFERROR(INDEX(记账规则!$A$6:$N$9,MATCH(购销流水!$D520,记账规则!$A$6:$A$9,0),10),""))</f>
        <v/>
      </c>
      <c r="N2064" s="66" t="str">
        <f aca="false">IF($L2064="","",IFERROR(INDEX(记账规则!$A$6:$N$9,MATCH(购销流水!$D520,记账规则!$A$6:$A$9,0),11),""))</f>
        <v/>
      </c>
      <c r="O2064" s="67" t="n">
        <f aca="false">IF($H2064="",0,ROUND(IF($N2064="成本金额",N(购销流水!$W520),IF($N2064="金额",N(购销流水!$Q520),0)),2))</f>
        <v>0</v>
      </c>
      <c r="P2064" s="64" t="str">
        <f aca="false">IF(AND($H2064&lt;&gt;"",ROUND($O2064,2)&lt;&gt;0),"有","")</f>
        <v/>
      </c>
    </row>
    <row r="2065" customFormat="false" ht="15" hidden="true" customHeight="false" outlineLevel="0" collapsed="false">
      <c r="A2065" s="53" t="str">
        <f aca="false">IF($H2065="","",ROW()-5)</f>
        <v/>
      </c>
      <c r="B2065" s="64" t="s">
        <v>36</v>
      </c>
      <c r="C2065" s="53" t="n">
        <v>520</v>
      </c>
      <c r="D2065" s="53" t="n">
        <v>4</v>
      </c>
      <c r="E2065" s="65" t="str">
        <f aca="false">IF($H2065="","",购销流水!$B520)</f>
        <v/>
      </c>
      <c r="F2065" s="55" t="str">
        <f aca="false">IF($H2065="","",购销流水!$C520)</f>
        <v/>
      </c>
      <c r="G2065" s="48" t="str">
        <f aca="false">IF($H2065="","",购销流水!$N520)</f>
        <v/>
      </c>
      <c r="H2065" s="10" t="str">
        <f aca="false">IF($L2065="","",IF($L2065="@成本",购销流水!$U520,IF($L2065="@收入",购销流水!$T520,IF($L2065="@存货",购销流水!$S520,IF($L2065="@结算",购销流水!$R520,$L2065)))))</f>
        <v/>
      </c>
      <c r="I2065" s="42" t="n">
        <f aca="false">IF($M2065="借",$O2065,0)</f>
        <v>0</v>
      </c>
      <c r="J2065" s="42" t="n">
        <f aca="false">IF($M2065="贷",$O2065,0)</f>
        <v>0</v>
      </c>
      <c r="K2065" s="48" t="str">
        <f aca="false">IF($H2065="","",购销流水!$E520)</f>
        <v/>
      </c>
      <c r="L2065" s="66" t="str">
        <f aca="false">IF(购销流水!$D520="","",IFERROR(INDEX(记账规则!$A$6:$N$9,MATCH(购销流水!$D520,记账规则!$A$6:$A$9,0),12),""))</f>
        <v/>
      </c>
      <c r="M2065" s="66" t="str">
        <f aca="false">IF($L2065="","",IFERROR(INDEX(记账规则!$A$6:$N$9,MATCH(购销流水!$D520,记账规则!$A$6:$A$9,0),13),""))</f>
        <v/>
      </c>
      <c r="N2065" s="66" t="str">
        <f aca="false">IF($L2065="","",IFERROR(INDEX(记账规则!$A$6:$N$9,MATCH(购销流水!$D520,记账规则!$A$6:$A$9,0),14),""))</f>
        <v/>
      </c>
      <c r="O2065" s="67" t="n">
        <f aca="false">IF($H2065="",0,ROUND(IF($N2065="成本金额",N(购销流水!$W520),IF($N2065="金额",N(购销流水!$Q520),0)),2))</f>
        <v>0</v>
      </c>
      <c r="P2065" s="64" t="str">
        <f aca="false">IF(AND($H2065&lt;&gt;"",ROUND($O2065,2)&lt;&gt;0),"有","")</f>
        <v/>
      </c>
    </row>
    <row r="2066" customFormat="false" ht="15" hidden="true" customHeight="false" outlineLevel="0" collapsed="false">
      <c r="A2066" s="53" t="str">
        <f aca="false">IF($H2066="","",ROW()-5)</f>
        <v/>
      </c>
      <c r="B2066" s="64" t="s">
        <v>36</v>
      </c>
      <c r="C2066" s="53" t="n">
        <v>521</v>
      </c>
      <c r="D2066" s="53" t="n">
        <v>1</v>
      </c>
      <c r="E2066" s="65" t="str">
        <f aca="false">IF($H2066="","",购销流水!$B521)</f>
        <v/>
      </c>
      <c r="F2066" s="55" t="str">
        <f aca="false">IF($H2066="","",购销流水!$C521)</f>
        <v/>
      </c>
      <c r="G2066" s="48" t="str">
        <f aca="false">IF($H2066="","",购销流水!$N521)</f>
        <v/>
      </c>
      <c r="H2066" s="10" t="str">
        <f aca="false">IF($L2066="","",IF($L2066="@成本",购销流水!$U521,IF($L2066="@收入",购销流水!$T521,IF($L2066="@存货",购销流水!$S521,IF($L2066="@结算",购销流水!$R521,$L2066)))))</f>
        <v/>
      </c>
      <c r="I2066" s="42" t="n">
        <f aca="false">IF($M2066="借",$O2066,0)</f>
        <v>0</v>
      </c>
      <c r="J2066" s="42" t="n">
        <f aca="false">IF($M2066="贷",$O2066,0)</f>
        <v>0</v>
      </c>
      <c r="K2066" s="48" t="str">
        <f aca="false">IF($H2066="","",购销流水!$E521)</f>
        <v/>
      </c>
      <c r="L2066" s="66" t="str">
        <f aca="false">IF(购销流水!$D521="","",IFERROR(INDEX(记账规则!$A$6:$N$9,MATCH(购销流水!$D521,记账规则!$A$6:$A$9,0),3),""))</f>
        <v/>
      </c>
      <c r="M2066" s="66" t="str">
        <f aca="false">IF($L2066="","",IFERROR(INDEX(记账规则!$A$6:$N$9,MATCH(购销流水!$D521,记账规则!$A$6:$A$9,0),4),""))</f>
        <v/>
      </c>
      <c r="N2066" s="66" t="str">
        <f aca="false">IF($L2066="","",IFERROR(INDEX(记账规则!$A$6:$N$9,MATCH(购销流水!$D521,记账规则!$A$6:$A$9,0),5),""))</f>
        <v/>
      </c>
      <c r="O2066" s="67" t="n">
        <f aca="false">IF($H2066="",0,ROUND(IF($N2066="成本金额",N(购销流水!$W521),IF($N2066="金额",N(购销流水!$Q521),0)),2))</f>
        <v>0</v>
      </c>
      <c r="P2066" s="64" t="str">
        <f aca="false">IF(AND($H2066&lt;&gt;"",ROUND($O2066,2)&lt;&gt;0),"有","")</f>
        <v/>
      </c>
    </row>
    <row r="2067" customFormat="false" ht="15" hidden="true" customHeight="false" outlineLevel="0" collapsed="false">
      <c r="A2067" s="53" t="str">
        <f aca="false">IF($H2067="","",ROW()-5)</f>
        <v/>
      </c>
      <c r="B2067" s="64" t="s">
        <v>36</v>
      </c>
      <c r="C2067" s="53" t="n">
        <v>521</v>
      </c>
      <c r="D2067" s="53" t="n">
        <v>2</v>
      </c>
      <c r="E2067" s="65" t="str">
        <f aca="false">IF($H2067="","",购销流水!$B521)</f>
        <v/>
      </c>
      <c r="F2067" s="55" t="str">
        <f aca="false">IF($H2067="","",购销流水!$C521)</f>
        <v/>
      </c>
      <c r="G2067" s="48" t="str">
        <f aca="false">IF($H2067="","",购销流水!$N521)</f>
        <v/>
      </c>
      <c r="H2067" s="10" t="str">
        <f aca="false">IF($L2067="","",IF($L2067="@成本",购销流水!$U521,IF($L2067="@收入",购销流水!$T521,IF($L2067="@存货",购销流水!$S521,IF($L2067="@结算",购销流水!$R521,$L2067)))))</f>
        <v/>
      </c>
      <c r="I2067" s="42" t="n">
        <f aca="false">IF($M2067="借",$O2067,0)</f>
        <v>0</v>
      </c>
      <c r="J2067" s="42" t="n">
        <f aca="false">IF($M2067="贷",$O2067,0)</f>
        <v>0</v>
      </c>
      <c r="K2067" s="48" t="str">
        <f aca="false">IF($H2067="","",购销流水!$E521)</f>
        <v/>
      </c>
      <c r="L2067" s="66" t="str">
        <f aca="false">IF(购销流水!$D521="","",IFERROR(INDEX(记账规则!$A$6:$N$9,MATCH(购销流水!$D521,记账规则!$A$6:$A$9,0),6),""))</f>
        <v/>
      </c>
      <c r="M2067" s="66" t="str">
        <f aca="false">IF($L2067="","",IFERROR(INDEX(记账规则!$A$6:$N$9,MATCH(购销流水!$D521,记账规则!$A$6:$A$9,0),7),""))</f>
        <v/>
      </c>
      <c r="N2067" s="66" t="str">
        <f aca="false">IF($L2067="","",IFERROR(INDEX(记账规则!$A$6:$N$9,MATCH(购销流水!$D521,记账规则!$A$6:$A$9,0),8),""))</f>
        <v/>
      </c>
      <c r="O2067" s="67" t="n">
        <f aca="false">IF($H2067="",0,ROUND(IF($N2067="成本金额",N(购销流水!$W521),IF($N2067="金额",N(购销流水!$Q521),0)),2))</f>
        <v>0</v>
      </c>
      <c r="P2067" s="64" t="str">
        <f aca="false">IF(AND($H2067&lt;&gt;"",ROUND($O2067,2)&lt;&gt;0),"有","")</f>
        <v/>
      </c>
    </row>
    <row r="2068" customFormat="false" ht="15" hidden="true" customHeight="false" outlineLevel="0" collapsed="false">
      <c r="A2068" s="53" t="str">
        <f aca="false">IF($H2068="","",ROW()-5)</f>
        <v/>
      </c>
      <c r="B2068" s="64" t="s">
        <v>36</v>
      </c>
      <c r="C2068" s="53" t="n">
        <v>521</v>
      </c>
      <c r="D2068" s="53" t="n">
        <v>3</v>
      </c>
      <c r="E2068" s="65" t="str">
        <f aca="false">IF($H2068="","",购销流水!$B521)</f>
        <v/>
      </c>
      <c r="F2068" s="55" t="str">
        <f aca="false">IF($H2068="","",购销流水!$C521)</f>
        <v/>
      </c>
      <c r="G2068" s="48" t="str">
        <f aca="false">IF($H2068="","",购销流水!$N521)</f>
        <v/>
      </c>
      <c r="H2068" s="10" t="str">
        <f aca="false">IF($L2068="","",IF($L2068="@成本",购销流水!$U521,IF($L2068="@收入",购销流水!$T521,IF($L2068="@存货",购销流水!$S521,IF($L2068="@结算",购销流水!$R521,$L2068)))))</f>
        <v/>
      </c>
      <c r="I2068" s="42" t="n">
        <f aca="false">IF($M2068="借",$O2068,0)</f>
        <v>0</v>
      </c>
      <c r="J2068" s="42" t="n">
        <f aca="false">IF($M2068="贷",$O2068,0)</f>
        <v>0</v>
      </c>
      <c r="K2068" s="48" t="str">
        <f aca="false">IF($H2068="","",购销流水!$E521)</f>
        <v/>
      </c>
      <c r="L2068" s="66" t="str">
        <f aca="false">IF(购销流水!$D521="","",IFERROR(INDEX(记账规则!$A$6:$N$9,MATCH(购销流水!$D521,记账规则!$A$6:$A$9,0),9),""))</f>
        <v/>
      </c>
      <c r="M2068" s="66" t="str">
        <f aca="false">IF($L2068="","",IFERROR(INDEX(记账规则!$A$6:$N$9,MATCH(购销流水!$D521,记账规则!$A$6:$A$9,0),10),""))</f>
        <v/>
      </c>
      <c r="N2068" s="66" t="str">
        <f aca="false">IF($L2068="","",IFERROR(INDEX(记账规则!$A$6:$N$9,MATCH(购销流水!$D521,记账规则!$A$6:$A$9,0),11),""))</f>
        <v/>
      </c>
      <c r="O2068" s="67" t="n">
        <f aca="false">IF($H2068="",0,ROUND(IF($N2068="成本金额",N(购销流水!$W521),IF($N2068="金额",N(购销流水!$Q521),0)),2))</f>
        <v>0</v>
      </c>
      <c r="P2068" s="64" t="str">
        <f aca="false">IF(AND($H2068&lt;&gt;"",ROUND($O2068,2)&lt;&gt;0),"有","")</f>
        <v/>
      </c>
    </row>
    <row r="2069" customFormat="false" ht="15" hidden="true" customHeight="false" outlineLevel="0" collapsed="false">
      <c r="A2069" s="53" t="str">
        <f aca="false">IF($H2069="","",ROW()-5)</f>
        <v/>
      </c>
      <c r="B2069" s="64" t="s">
        <v>36</v>
      </c>
      <c r="C2069" s="53" t="n">
        <v>521</v>
      </c>
      <c r="D2069" s="53" t="n">
        <v>4</v>
      </c>
      <c r="E2069" s="65" t="str">
        <f aca="false">IF($H2069="","",购销流水!$B521)</f>
        <v/>
      </c>
      <c r="F2069" s="55" t="str">
        <f aca="false">IF($H2069="","",购销流水!$C521)</f>
        <v/>
      </c>
      <c r="G2069" s="48" t="str">
        <f aca="false">IF($H2069="","",购销流水!$N521)</f>
        <v/>
      </c>
      <c r="H2069" s="10" t="str">
        <f aca="false">IF($L2069="","",IF($L2069="@成本",购销流水!$U521,IF($L2069="@收入",购销流水!$T521,IF($L2069="@存货",购销流水!$S521,IF($L2069="@结算",购销流水!$R521,$L2069)))))</f>
        <v/>
      </c>
      <c r="I2069" s="42" t="n">
        <f aca="false">IF($M2069="借",$O2069,0)</f>
        <v>0</v>
      </c>
      <c r="J2069" s="42" t="n">
        <f aca="false">IF($M2069="贷",$O2069,0)</f>
        <v>0</v>
      </c>
      <c r="K2069" s="48" t="str">
        <f aca="false">IF($H2069="","",购销流水!$E521)</f>
        <v/>
      </c>
      <c r="L2069" s="66" t="str">
        <f aca="false">IF(购销流水!$D521="","",IFERROR(INDEX(记账规则!$A$6:$N$9,MATCH(购销流水!$D521,记账规则!$A$6:$A$9,0),12),""))</f>
        <v/>
      </c>
      <c r="M2069" s="66" t="str">
        <f aca="false">IF($L2069="","",IFERROR(INDEX(记账规则!$A$6:$N$9,MATCH(购销流水!$D521,记账规则!$A$6:$A$9,0),13),""))</f>
        <v/>
      </c>
      <c r="N2069" s="66" t="str">
        <f aca="false">IF($L2069="","",IFERROR(INDEX(记账规则!$A$6:$N$9,MATCH(购销流水!$D521,记账规则!$A$6:$A$9,0),14),""))</f>
        <v/>
      </c>
      <c r="O2069" s="67" t="n">
        <f aca="false">IF($H2069="",0,ROUND(IF($N2069="成本金额",N(购销流水!$W521),IF($N2069="金额",N(购销流水!$Q521),0)),2))</f>
        <v>0</v>
      </c>
      <c r="P2069" s="64" t="str">
        <f aca="false">IF(AND($H2069&lt;&gt;"",ROUND($O2069,2)&lt;&gt;0),"有","")</f>
        <v/>
      </c>
    </row>
    <row r="2070" customFormat="false" ht="15" hidden="true" customHeight="false" outlineLevel="0" collapsed="false">
      <c r="A2070" s="53" t="str">
        <f aca="false">IF($H2070="","",ROW()-5)</f>
        <v/>
      </c>
      <c r="B2070" s="64" t="s">
        <v>36</v>
      </c>
      <c r="C2070" s="53" t="n">
        <v>522</v>
      </c>
      <c r="D2070" s="53" t="n">
        <v>1</v>
      </c>
      <c r="E2070" s="65" t="str">
        <f aca="false">IF($H2070="","",购销流水!$B522)</f>
        <v/>
      </c>
      <c r="F2070" s="55" t="str">
        <f aca="false">IF($H2070="","",购销流水!$C522)</f>
        <v/>
      </c>
      <c r="G2070" s="48" t="str">
        <f aca="false">IF($H2070="","",购销流水!$N522)</f>
        <v/>
      </c>
      <c r="H2070" s="10" t="str">
        <f aca="false">IF($L2070="","",IF($L2070="@成本",购销流水!$U522,IF($L2070="@收入",购销流水!$T522,IF($L2070="@存货",购销流水!$S522,IF($L2070="@结算",购销流水!$R522,$L2070)))))</f>
        <v/>
      </c>
      <c r="I2070" s="42" t="n">
        <f aca="false">IF($M2070="借",$O2070,0)</f>
        <v>0</v>
      </c>
      <c r="J2070" s="42" t="n">
        <f aca="false">IF($M2070="贷",$O2070,0)</f>
        <v>0</v>
      </c>
      <c r="K2070" s="48" t="str">
        <f aca="false">IF($H2070="","",购销流水!$E522)</f>
        <v/>
      </c>
      <c r="L2070" s="66" t="str">
        <f aca="false">IF(购销流水!$D522="","",IFERROR(INDEX(记账规则!$A$6:$N$9,MATCH(购销流水!$D522,记账规则!$A$6:$A$9,0),3),""))</f>
        <v/>
      </c>
      <c r="M2070" s="66" t="str">
        <f aca="false">IF($L2070="","",IFERROR(INDEX(记账规则!$A$6:$N$9,MATCH(购销流水!$D522,记账规则!$A$6:$A$9,0),4),""))</f>
        <v/>
      </c>
      <c r="N2070" s="66" t="str">
        <f aca="false">IF($L2070="","",IFERROR(INDEX(记账规则!$A$6:$N$9,MATCH(购销流水!$D522,记账规则!$A$6:$A$9,0),5),""))</f>
        <v/>
      </c>
      <c r="O2070" s="67" t="n">
        <f aca="false">IF($H2070="",0,ROUND(IF($N2070="成本金额",N(购销流水!$W522),IF($N2070="金额",N(购销流水!$Q522),0)),2))</f>
        <v>0</v>
      </c>
      <c r="P2070" s="64" t="str">
        <f aca="false">IF(AND($H2070&lt;&gt;"",ROUND($O2070,2)&lt;&gt;0),"有","")</f>
        <v/>
      </c>
    </row>
    <row r="2071" customFormat="false" ht="15" hidden="true" customHeight="false" outlineLevel="0" collapsed="false">
      <c r="A2071" s="53" t="str">
        <f aca="false">IF($H2071="","",ROW()-5)</f>
        <v/>
      </c>
      <c r="B2071" s="64" t="s">
        <v>36</v>
      </c>
      <c r="C2071" s="53" t="n">
        <v>522</v>
      </c>
      <c r="D2071" s="53" t="n">
        <v>2</v>
      </c>
      <c r="E2071" s="65" t="str">
        <f aca="false">IF($H2071="","",购销流水!$B522)</f>
        <v/>
      </c>
      <c r="F2071" s="55" t="str">
        <f aca="false">IF($H2071="","",购销流水!$C522)</f>
        <v/>
      </c>
      <c r="G2071" s="48" t="str">
        <f aca="false">IF($H2071="","",购销流水!$N522)</f>
        <v/>
      </c>
      <c r="H2071" s="10" t="str">
        <f aca="false">IF($L2071="","",IF($L2071="@成本",购销流水!$U522,IF($L2071="@收入",购销流水!$T522,IF($L2071="@存货",购销流水!$S522,IF($L2071="@结算",购销流水!$R522,$L2071)))))</f>
        <v/>
      </c>
      <c r="I2071" s="42" t="n">
        <f aca="false">IF($M2071="借",$O2071,0)</f>
        <v>0</v>
      </c>
      <c r="J2071" s="42" t="n">
        <f aca="false">IF($M2071="贷",$O2071,0)</f>
        <v>0</v>
      </c>
      <c r="K2071" s="48" t="str">
        <f aca="false">IF($H2071="","",购销流水!$E522)</f>
        <v/>
      </c>
      <c r="L2071" s="66" t="str">
        <f aca="false">IF(购销流水!$D522="","",IFERROR(INDEX(记账规则!$A$6:$N$9,MATCH(购销流水!$D522,记账规则!$A$6:$A$9,0),6),""))</f>
        <v/>
      </c>
      <c r="M2071" s="66" t="str">
        <f aca="false">IF($L2071="","",IFERROR(INDEX(记账规则!$A$6:$N$9,MATCH(购销流水!$D522,记账规则!$A$6:$A$9,0),7),""))</f>
        <v/>
      </c>
      <c r="N2071" s="66" t="str">
        <f aca="false">IF($L2071="","",IFERROR(INDEX(记账规则!$A$6:$N$9,MATCH(购销流水!$D522,记账规则!$A$6:$A$9,0),8),""))</f>
        <v/>
      </c>
      <c r="O2071" s="67" t="n">
        <f aca="false">IF($H2071="",0,ROUND(IF($N2071="成本金额",N(购销流水!$W522),IF($N2071="金额",N(购销流水!$Q522),0)),2))</f>
        <v>0</v>
      </c>
      <c r="P2071" s="64" t="str">
        <f aca="false">IF(AND($H2071&lt;&gt;"",ROUND($O2071,2)&lt;&gt;0),"有","")</f>
        <v/>
      </c>
    </row>
    <row r="2072" customFormat="false" ht="15" hidden="true" customHeight="false" outlineLevel="0" collapsed="false">
      <c r="A2072" s="53" t="str">
        <f aca="false">IF($H2072="","",ROW()-5)</f>
        <v/>
      </c>
      <c r="B2072" s="64" t="s">
        <v>36</v>
      </c>
      <c r="C2072" s="53" t="n">
        <v>522</v>
      </c>
      <c r="D2072" s="53" t="n">
        <v>3</v>
      </c>
      <c r="E2072" s="65" t="str">
        <f aca="false">IF($H2072="","",购销流水!$B522)</f>
        <v/>
      </c>
      <c r="F2072" s="55" t="str">
        <f aca="false">IF($H2072="","",购销流水!$C522)</f>
        <v/>
      </c>
      <c r="G2072" s="48" t="str">
        <f aca="false">IF($H2072="","",购销流水!$N522)</f>
        <v/>
      </c>
      <c r="H2072" s="10" t="str">
        <f aca="false">IF($L2072="","",IF($L2072="@成本",购销流水!$U522,IF($L2072="@收入",购销流水!$T522,IF($L2072="@存货",购销流水!$S522,IF($L2072="@结算",购销流水!$R522,$L2072)))))</f>
        <v/>
      </c>
      <c r="I2072" s="42" t="n">
        <f aca="false">IF($M2072="借",$O2072,0)</f>
        <v>0</v>
      </c>
      <c r="J2072" s="42" t="n">
        <f aca="false">IF($M2072="贷",$O2072,0)</f>
        <v>0</v>
      </c>
      <c r="K2072" s="48" t="str">
        <f aca="false">IF($H2072="","",购销流水!$E522)</f>
        <v/>
      </c>
      <c r="L2072" s="66" t="str">
        <f aca="false">IF(购销流水!$D522="","",IFERROR(INDEX(记账规则!$A$6:$N$9,MATCH(购销流水!$D522,记账规则!$A$6:$A$9,0),9),""))</f>
        <v/>
      </c>
      <c r="M2072" s="66" t="str">
        <f aca="false">IF($L2072="","",IFERROR(INDEX(记账规则!$A$6:$N$9,MATCH(购销流水!$D522,记账规则!$A$6:$A$9,0),10),""))</f>
        <v/>
      </c>
      <c r="N2072" s="66" t="str">
        <f aca="false">IF($L2072="","",IFERROR(INDEX(记账规则!$A$6:$N$9,MATCH(购销流水!$D522,记账规则!$A$6:$A$9,0),11),""))</f>
        <v/>
      </c>
      <c r="O2072" s="67" t="n">
        <f aca="false">IF($H2072="",0,ROUND(IF($N2072="成本金额",N(购销流水!$W522),IF($N2072="金额",N(购销流水!$Q522),0)),2))</f>
        <v>0</v>
      </c>
      <c r="P2072" s="64" t="str">
        <f aca="false">IF(AND($H2072&lt;&gt;"",ROUND($O2072,2)&lt;&gt;0),"有","")</f>
        <v/>
      </c>
    </row>
    <row r="2073" customFormat="false" ht="15" hidden="true" customHeight="false" outlineLevel="0" collapsed="false">
      <c r="A2073" s="53" t="str">
        <f aca="false">IF($H2073="","",ROW()-5)</f>
        <v/>
      </c>
      <c r="B2073" s="64" t="s">
        <v>36</v>
      </c>
      <c r="C2073" s="53" t="n">
        <v>522</v>
      </c>
      <c r="D2073" s="53" t="n">
        <v>4</v>
      </c>
      <c r="E2073" s="65" t="str">
        <f aca="false">IF($H2073="","",购销流水!$B522)</f>
        <v/>
      </c>
      <c r="F2073" s="55" t="str">
        <f aca="false">IF($H2073="","",购销流水!$C522)</f>
        <v/>
      </c>
      <c r="G2073" s="48" t="str">
        <f aca="false">IF($H2073="","",购销流水!$N522)</f>
        <v/>
      </c>
      <c r="H2073" s="10" t="str">
        <f aca="false">IF($L2073="","",IF($L2073="@成本",购销流水!$U522,IF($L2073="@收入",购销流水!$T522,IF($L2073="@存货",购销流水!$S522,IF($L2073="@结算",购销流水!$R522,$L2073)))))</f>
        <v/>
      </c>
      <c r="I2073" s="42" t="n">
        <f aca="false">IF($M2073="借",$O2073,0)</f>
        <v>0</v>
      </c>
      <c r="J2073" s="42" t="n">
        <f aca="false">IF($M2073="贷",$O2073,0)</f>
        <v>0</v>
      </c>
      <c r="K2073" s="48" t="str">
        <f aca="false">IF($H2073="","",购销流水!$E522)</f>
        <v/>
      </c>
      <c r="L2073" s="66" t="str">
        <f aca="false">IF(购销流水!$D522="","",IFERROR(INDEX(记账规则!$A$6:$N$9,MATCH(购销流水!$D522,记账规则!$A$6:$A$9,0),12),""))</f>
        <v/>
      </c>
      <c r="M2073" s="66" t="str">
        <f aca="false">IF($L2073="","",IFERROR(INDEX(记账规则!$A$6:$N$9,MATCH(购销流水!$D522,记账规则!$A$6:$A$9,0),13),""))</f>
        <v/>
      </c>
      <c r="N2073" s="66" t="str">
        <f aca="false">IF($L2073="","",IFERROR(INDEX(记账规则!$A$6:$N$9,MATCH(购销流水!$D522,记账规则!$A$6:$A$9,0),14),""))</f>
        <v/>
      </c>
      <c r="O2073" s="67" t="n">
        <f aca="false">IF($H2073="",0,ROUND(IF($N2073="成本金额",N(购销流水!$W522),IF($N2073="金额",N(购销流水!$Q522),0)),2))</f>
        <v>0</v>
      </c>
      <c r="P2073" s="64" t="str">
        <f aca="false">IF(AND($H2073&lt;&gt;"",ROUND($O2073,2)&lt;&gt;0),"有","")</f>
        <v/>
      </c>
    </row>
    <row r="2074" customFormat="false" ht="15" hidden="true" customHeight="false" outlineLevel="0" collapsed="false">
      <c r="A2074" s="53" t="str">
        <f aca="false">IF($H2074="","",ROW()-5)</f>
        <v/>
      </c>
      <c r="B2074" s="64" t="s">
        <v>36</v>
      </c>
      <c r="C2074" s="53" t="n">
        <v>523</v>
      </c>
      <c r="D2074" s="53" t="n">
        <v>1</v>
      </c>
      <c r="E2074" s="65" t="str">
        <f aca="false">IF($H2074="","",购销流水!$B523)</f>
        <v/>
      </c>
      <c r="F2074" s="55" t="str">
        <f aca="false">IF($H2074="","",购销流水!$C523)</f>
        <v/>
      </c>
      <c r="G2074" s="48" t="str">
        <f aca="false">IF($H2074="","",购销流水!$N523)</f>
        <v/>
      </c>
      <c r="H2074" s="10" t="str">
        <f aca="false">IF($L2074="","",IF($L2074="@成本",购销流水!$U523,IF($L2074="@收入",购销流水!$T523,IF($L2074="@存货",购销流水!$S523,IF($L2074="@结算",购销流水!$R523,$L2074)))))</f>
        <v/>
      </c>
      <c r="I2074" s="42" t="n">
        <f aca="false">IF($M2074="借",$O2074,0)</f>
        <v>0</v>
      </c>
      <c r="J2074" s="42" t="n">
        <f aca="false">IF($M2074="贷",$O2074,0)</f>
        <v>0</v>
      </c>
      <c r="K2074" s="48" t="str">
        <f aca="false">IF($H2074="","",购销流水!$E523)</f>
        <v/>
      </c>
      <c r="L2074" s="66" t="str">
        <f aca="false">IF(购销流水!$D523="","",IFERROR(INDEX(记账规则!$A$6:$N$9,MATCH(购销流水!$D523,记账规则!$A$6:$A$9,0),3),""))</f>
        <v/>
      </c>
      <c r="M2074" s="66" t="str">
        <f aca="false">IF($L2074="","",IFERROR(INDEX(记账规则!$A$6:$N$9,MATCH(购销流水!$D523,记账规则!$A$6:$A$9,0),4),""))</f>
        <v/>
      </c>
      <c r="N2074" s="66" t="str">
        <f aca="false">IF($L2074="","",IFERROR(INDEX(记账规则!$A$6:$N$9,MATCH(购销流水!$D523,记账规则!$A$6:$A$9,0),5),""))</f>
        <v/>
      </c>
      <c r="O2074" s="67" t="n">
        <f aca="false">IF($H2074="",0,ROUND(IF($N2074="成本金额",N(购销流水!$W523),IF($N2074="金额",N(购销流水!$Q523),0)),2))</f>
        <v>0</v>
      </c>
      <c r="P2074" s="64" t="str">
        <f aca="false">IF(AND($H2074&lt;&gt;"",ROUND($O2074,2)&lt;&gt;0),"有","")</f>
        <v/>
      </c>
    </row>
    <row r="2075" customFormat="false" ht="15" hidden="true" customHeight="false" outlineLevel="0" collapsed="false">
      <c r="A2075" s="53" t="str">
        <f aca="false">IF($H2075="","",ROW()-5)</f>
        <v/>
      </c>
      <c r="B2075" s="64" t="s">
        <v>36</v>
      </c>
      <c r="C2075" s="53" t="n">
        <v>523</v>
      </c>
      <c r="D2075" s="53" t="n">
        <v>2</v>
      </c>
      <c r="E2075" s="65" t="str">
        <f aca="false">IF($H2075="","",购销流水!$B523)</f>
        <v/>
      </c>
      <c r="F2075" s="55" t="str">
        <f aca="false">IF($H2075="","",购销流水!$C523)</f>
        <v/>
      </c>
      <c r="G2075" s="48" t="str">
        <f aca="false">IF($H2075="","",购销流水!$N523)</f>
        <v/>
      </c>
      <c r="H2075" s="10" t="str">
        <f aca="false">IF($L2075="","",IF($L2075="@成本",购销流水!$U523,IF($L2075="@收入",购销流水!$T523,IF($L2075="@存货",购销流水!$S523,IF($L2075="@结算",购销流水!$R523,$L2075)))))</f>
        <v/>
      </c>
      <c r="I2075" s="42" t="n">
        <f aca="false">IF($M2075="借",$O2075,0)</f>
        <v>0</v>
      </c>
      <c r="J2075" s="42" t="n">
        <f aca="false">IF($M2075="贷",$O2075,0)</f>
        <v>0</v>
      </c>
      <c r="K2075" s="48" t="str">
        <f aca="false">IF($H2075="","",购销流水!$E523)</f>
        <v/>
      </c>
      <c r="L2075" s="66" t="str">
        <f aca="false">IF(购销流水!$D523="","",IFERROR(INDEX(记账规则!$A$6:$N$9,MATCH(购销流水!$D523,记账规则!$A$6:$A$9,0),6),""))</f>
        <v/>
      </c>
      <c r="M2075" s="66" t="str">
        <f aca="false">IF($L2075="","",IFERROR(INDEX(记账规则!$A$6:$N$9,MATCH(购销流水!$D523,记账规则!$A$6:$A$9,0),7),""))</f>
        <v/>
      </c>
      <c r="N2075" s="66" t="str">
        <f aca="false">IF($L2075="","",IFERROR(INDEX(记账规则!$A$6:$N$9,MATCH(购销流水!$D523,记账规则!$A$6:$A$9,0),8),""))</f>
        <v/>
      </c>
      <c r="O2075" s="67" t="n">
        <f aca="false">IF($H2075="",0,ROUND(IF($N2075="成本金额",N(购销流水!$W523),IF($N2075="金额",N(购销流水!$Q523),0)),2))</f>
        <v>0</v>
      </c>
      <c r="P2075" s="64" t="str">
        <f aca="false">IF(AND($H2075&lt;&gt;"",ROUND($O2075,2)&lt;&gt;0),"有","")</f>
        <v/>
      </c>
    </row>
    <row r="2076" customFormat="false" ht="15" hidden="true" customHeight="false" outlineLevel="0" collapsed="false">
      <c r="A2076" s="53" t="str">
        <f aca="false">IF($H2076="","",ROW()-5)</f>
        <v/>
      </c>
      <c r="B2076" s="64" t="s">
        <v>36</v>
      </c>
      <c r="C2076" s="53" t="n">
        <v>523</v>
      </c>
      <c r="D2076" s="53" t="n">
        <v>3</v>
      </c>
      <c r="E2076" s="65" t="str">
        <f aca="false">IF($H2076="","",购销流水!$B523)</f>
        <v/>
      </c>
      <c r="F2076" s="55" t="str">
        <f aca="false">IF($H2076="","",购销流水!$C523)</f>
        <v/>
      </c>
      <c r="G2076" s="48" t="str">
        <f aca="false">IF($H2076="","",购销流水!$N523)</f>
        <v/>
      </c>
      <c r="H2076" s="10" t="str">
        <f aca="false">IF($L2076="","",IF($L2076="@成本",购销流水!$U523,IF($L2076="@收入",购销流水!$T523,IF($L2076="@存货",购销流水!$S523,IF($L2076="@结算",购销流水!$R523,$L2076)))))</f>
        <v/>
      </c>
      <c r="I2076" s="42" t="n">
        <f aca="false">IF($M2076="借",$O2076,0)</f>
        <v>0</v>
      </c>
      <c r="J2076" s="42" t="n">
        <f aca="false">IF($M2076="贷",$O2076,0)</f>
        <v>0</v>
      </c>
      <c r="K2076" s="48" t="str">
        <f aca="false">IF($H2076="","",购销流水!$E523)</f>
        <v/>
      </c>
      <c r="L2076" s="66" t="str">
        <f aca="false">IF(购销流水!$D523="","",IFERROR(INDEX(记账规则!$A$6:$N$9,MATCH(购销流水!$D523,记账规则!$A$6:$A$9,0),9),""))</f>
        <v/>
      </c>
      <c r="M2076" s="66" t="str">
        <f aca="false">IF($L2076="","",IFERROR(INDEX(记账规则!$A$6:$N$9,MATCH(购销流水!$D523,记账规则!$A$6:$A$9,0),10),""))</f>
        <v/>
      </c>
      <c r="N2076" s="66" t="str">
        <f aca="false">IF($L2076="","",IFERROR(INDEX(记账规则!$A$6:$N$9,MATCH(购销流水!$D523,记账规则!$A$6:$A$9,0),11),""))</f>
        <v/>
      </c>
      <c r="O2076" s="67" t="n">
        <f aca="false">IF($H2076="",0,ROUND(IF($N2076="成本金额",N(购销流水!$W523),IF($N2076="金额",N(购销流水!$Q523),0)),2))</f>
        <v>0</v>
      </c>
      <c r="P2076" s="64" t="str">
        <f aca="false">IF(AND($H2076&lt;&gt;"",ROUND($O2076,2)&lt;&gt;0),"有","")</f>
        <v/>
      </c>
    </row>
    <row r="2077" customFormat="false" ht="15" hidden="true" customHeight="false" outlineLevel="0" collapsed="false">
      <c r="A2077" s="53" t="str">
        <f aca="false">IF($H2077="","",ROW()-5)</f>
        <v/>
      </c>
      <c r="B2077" s="64" t="s">
        <v>36</v>
      </c>
      <c r="C2077" s="53" t="n">
        <v>523</v>
      </c>
      <c r="D2077" s="53" t="n">
        <v>4</v>
      </c>
      <c r="E2077" s="65" t="str">
        <f aca="false">IF($H2077="","",购销流水!$B523)</f>
        <v/>
      </c>
      <c r="F2077" s="55" t="str">
        <f aca="false">IF($H2077="","",购销流水!$C523)</f>
        <v/>
      </c>
      <c r="G2077" s="48" t="str">
        <f aca="false">IF($H2077="","",购销流水!$N523)</f>
        <v/>
      </c>
      <c r="H2077" s="10" t="str">
        <f aca="false">IF($L2077="","",IF($L2077="@成本",购销流水!$U523,IF($L2077="@收入",购销流水!$T523,IF($L2077="@存货",购销流水!$S523,IF($L2077="@结算",购销流水!$R523,$L2077)))))</f>
        <v/>
      </c>
      <c r="I2077" s="42" t="n">
        <f aca="false">IF($M2077="借",$O2077,0)</f>
        <v>0</v>
      </c>
      <c r="J2077" s="42" t="n">
        <f aca="false">IF($M2077="贷",$O2077,0)</f>
        <v>0</v>
      </c>
      <c r="K2077" s="48" t="str">
        <f aca="false">IF($H2077="","",购销流水!$E523)</f>
        <v/>
      </c>
      <c r="L2077" s="66" t="str">
        <f aca="false">IF(购销流水!$D523="","",IFERROR(INDEX(记账规则!$A$6:$N$9,MATCH(购销流水!$D523,记账规则!$A$6:$A$9,0),12),""))</f>
        <v/>
      </c>
      <c r="M2077" s="66" t="str">
        <f aca="false">IF($L2077="","",IFERROR(INDEX(记账规则!$A$6:$N$9,MATCH(购销流水!$D523,记账规则!$A$6:$A$9,0),13),""))</f>
        <v/>
      </c>
      <c r="N2077" s="66" t="str">
        <f aca="false">IF($L2077="","",IFERROR(INDEX(记账规则!$A$6:$N$9,MATCH(购销流水!$D523,记账规则!$A$6:$A$9,0),14),""))</f>
        <v/>
      </c>
      <c r="O2077" s="67" t="n">
        <f aca="false">IF($H2077="",0,ROUND(IF($N2077="成本金额",N(购销流水!$W523),IF($N2077="金额",N(购销流水!$Q523),0)),2))</f>
        <v>0</v>
      </c>
      <c r="P2077" s="64" t="str">
        <f aca="false">IF(AND($H2077&lt;&gt;"",ROUND($O2077,2)&lt;&gt;0),"有","")</f>
        <v/>
      </c>
    </row>
    <row r="2078" customFormat="false" ht="15" hidden="true" customHeight="false" outlineLevel="0" collapsed="false">
      <c r="A2078" s="53" t="str">
        <f aca="false">IF($H2078="","",ROW()-5)</f>
        <v/>
      </c>
      <c r="B2078" s="64" t="s">
        <v>36</v>
      </c>
      <c r="C2078" s="53" t="n">
        <v>524</v>
      </c>
      <c r="D2078" s="53" t="n">
        <v>1</v>
      </c>
      <c r="E2078" s="65" t="str">
        <f aca="false">IF($H2078="","",购销流水!$B524)</f>
        <v/>
      </c>
      <c r="F2078" s="55" t="str">
        <f aca="false">IF($H2078="","",购销流水!$C524)</f>
        <v/>
      </c>
      <c r="G2078" s="48" t="str">
        <f aca="false">IF($H2078="","",购销流水!$N524)</f>
        <v/>
      </c>
      <c r="H2078" s="10" t="str">
        <f aca="false">IF($L2078="","",IF($L2078="@成本",购销流水!$U524,IF($L2078="@收入",购销流水!$T524,IF($L2078="@存货",购销流水!$S524,IF($L2078="@结算",购销流水!$R524,$L2078)))))</f>
        <v/>
      </c>
      <c r="I2078" s="42" t="n">
        <f aca="false">IF($M2078="借",$O2078,0)</f>
        <v>0</v>
      </c>
      <c r="J2078" s="42" t="n">
        <f aca="false">IF($M2078="贷",$O2078,0)</f>
        <v>0</v>
      </c>
      <c r="K2078" s="48" t="str">
        <f aca="false">IF($H2078="","",购销流水!$E524)</f>
        <v/>
      </c>
      <c r="L2078" s="66" t="str">
        <f aca="false">IF(购销流水!$D524="","",IFERROR(INDEX(记账规则!$A$6:$N$9,MATCH(购销流水!$D524,记账规则!$A$6:$A$9,0),3),""))</f>
        <v/>
      </c>
      <c r="M2078" s="66" t="str">
        <f aca="false">IF($L2078="","",IFERROR(INDEX(记账规则!$A$6:$N$9,MATCH(购销流水!$D524,记账规则!$A$6:$A$9,0),4),""))</f>
        <v/>
      </c>
      <c r="N2078" s="66" t="str">
        <f aca="false">IF($L2078="","",IFERROR(INDEX(记账规则!$A$6:$N$9,MATCH(购销流水!$D524,记账规则!$A$6:$A$9,0),5),""))</f>
        <v/>
      </c>
      <c r="O2078" s="67" t="n">
        <f aca="false">IF($H2078="",0,ROUND(IF($N2078="成本金额",N(购销流水!$W524),IF($N2078="金额",N(购销流水!$Q524),0)),2))</f>
        <v>0</v>
      </c>
      <c r="P2078" s="64" t="str">
        <f aca="false">IF(AND($H2078&lt;&gt;"",ROUND($O2078,2)&lt;&gt;0),"有","")</f>
        <v/>
      </c>
    </row>
    <row r="2079" customFormat="false" ht="15" hidden="true" customHeight="false" outlineLevel="0" collapsed="false">
      <c r="A2079" s="53" t="str">
        <f aca="false">IF($H2079="","",ROW()-5)</f>
        <v/>
      </c>
      <c r="B2079" s="64" t="s">
        <v>36</v>
      </c>
      <c r="C2079" s="53" t="n">
        <v>524</v>
      </c>
      <c r="D2079" s="53" t="n">
        <v>2</v>
      </c>
      <c r="E2079" s="65" t="str">
        <f aca="false">IF($H2079="","",购销流水!$B524)</f>
        <v/>
      </c>
      <c r="F2079" s="55" t="str">
        <f aca="false">IF($H2079="","",购销流水!$C524)</f>
        <v/>
      </c>
      <c r="G2079" s="48" t="str">
        <f aca="false">IF($H2079="","",购销流水!$N524)</f>
        <v/>
      </c>
      <c r="H2079" s="10" t="str">
        <f aca="false">IF($L2079="","",IF($L2079="@成本",购销流水!$U524,IF($L2079="@收入",购销流水!$T524,IF($L2079="@存货",购销流水!$S524,IF($L2079="@结算",购销流水!$R524,$L2079)))))</f>
        <v/>
      </c>
      <c r="I2079" s="42" t="n">
        <f aca="false">IF($M2079="借",$O2079,0)</f>
        <v>0</v>
      </c>
      <c r="J2079" s="42" t="n">
        <f aca="false">IF($M2079="贷",$O2079,0)</f>
        <v>0</v>
      </c>
      <c r="K2079" s="48" t="str">
        <f aca="false">IF($H2079="","",购销流水!$E524)</f>
        <v/>
      </c>
      <c r="L2079" s="66" t="str">
        <f aca="false">IF(购销流水!$D524="","",IFERROR(INDEX(记账规则!$A$6:$N$9,MATCH(购销流水!$D524,记账规则!$A$6:$A$9,0),6),""))</f>
        <v/>
      </c>
      <c r="M2079" s="66" t="str">
        <f aca="false">IF($L2079="","",IFERROR(INDEX(记账规则!$A$6:$N$9,MATCH(购销流水!$D524,记账规则!$A$6:$A$9,0),7),""))</f>
        <v/>
      </c>
      <c r="N2079" s="66" t="str">
        <f aca="false">IF($L2079="","",IFERROR(INDEX(记账规则!$A$6:$N$9,MATCH(购销流水!$D524,记账规则!$A$6:$A$9,0),8),""))</f>
        <v/>
      </c>
      <c r="O2079" s="67" t="n">
        <f aca="false">IF($H2079="",0,ROUND(IF($N2079="成本金额",N(购销流水!$W524),IF($N2079="金额",N(购销流水!$Q524),0)),2))</f>
        <v>0</v>
      </c>
      <c r="P2079" s="64" t="str">
        <f aca="false">IF(AND($H2079&lt;&gt;"",ROUND($O2079,2)&lt;&gt;0),"有","")</f>
        <v/>
      </c>
    </row>
    <row r="2080" customFormat="false" ht="15" hidden="true" customHeight="false" outlineLevel="0" collapsed="false">
      <c r="A2080" s="53" t="str">
        <f aca="false">IF($H2080="","",ROW()-5)</f>
        <v/>
      </c>
      <c r="B2080" s="64" t="s">
        <v>36</v>
      </c>
      <c r="C2080" s="53" t="n">
        <v>524</v>
      </c>
      <c r="D2080" s="53" t="n">
        <v>3</v>
      </c>
      <c r="E2080" s="65" t="str">
        <f aca="false">IF($H2080="","",购销流水!$B524)</f>
        <v/>
      </c>
      <c r="F2080" s="55" t="str">
        <f aca="false">IF($H2080="","",购销流水!$C524)</f>
        <v/>
      </c>
      <c r="G2080" s="48" t="str">
        <f aca="false">IF($H2080="","",购销流水!$N524)</f>
        <v/>
      </c>
      <c r="H2080" s="10" t="str">
        <f aca="false">IF($L2080="","",IF($L2080="@成本",购销流水!$U524,IF($L2080="@收入",购销流水!$T524,IF($L2080="@存货",购销流水!$S524,IF($L2080="@结算",购销流水!$R524,$L2080)))))</f>
        <v/>
      </c>
      <c r="I2080" s="42" t="n">
        <f aca="false">IF($M2080="借",$O2080,0)</f>
        <v>0</v>
      </c>
      <c r="J2080" s="42" t="n">
        <f aca="false">IF($M2080="贷",$O2080,0)</f>
        <v>0</v>
      </c>
      <c r="K2080" s="48" t="str">
        <f aca="false">IF($H2080="","",购销流水!$E524)</f>
        <v/>
      </c>
      <c r="L2080" s="66" t="str">
        <f aca="false">IF(购销流水!$D524="","",IFERROR(INDEX(记账规则!$A$6:$N$9,MATCH(购销流水!$D524,记账规则!$A$6:$A$9,0),9),""))</f>
        <v/>
      </c>
      <c r="M2080" s="66" t="str">
        <f aca="false">IF($L2080="","",IFERROR(INDEX(记账规则!$A$6:$N$9,MATCH(购销流水!$D524,记账规则!$A$6:$A$9,0),10),""))</f>
        <v/>
      </c>
      <c r="N2080" s="66" t="str">
        <f aca="false">IF($L2080="","",IFERROR(INDEX(记账规则!$A$6:$N$9,MATCH(购销流水!$D524,记账规则!$A$6:$A$9,0),11),""))</f>
        <v/>
      </c>
      <c r="O2080" s="67" t="n">
        <f aca="false">IF($H2080="",0,ROUND(IF($N2080="成本金额",N(购销流水!$W524),IF($N2080="金额",N(购销流水!$Q524),0)),2))</f>
        <v>0</v>
      </c>
      <c r="P2080" s="64" t="str">
        <f aca="false">IF(AND($H2080&lt;&gt;"",ROUND($O2080,2)&lt;&gt;0),"有","")</f>
        <v/>
      </c>
    </row>
    <row r="2081" customFormat="false" ht="15" hidden="true" customHeight="false" outlineLevel="0" collapsed="false">
      <c r="A2081" s="53" t="str">
        <f aca="false">IF($H2081="","",ROW()-5)</f>
        <v/>
      </c>
      <c r="B2081" s="64" t="s">
        <v>36</v>
      </c>
      <c r="C2081" s="53" t="n">
        <v>524</v>
      </c>
      <c r="D2081" s="53" t="n">
        <v>4</v>
      </c>
      <c r="E2081" s="65" t="str">
        <f aca="false">IF($H2081="","",购销流水!$B524)</f>
        <v/>
      </c>
      <c r="F2081" s="55" t="str">
        <f aca="false">IF($H2081="","",购销流水!$C524)</f>
        <v/>
      </c>
      <c r="G2081" s="48" t="str">
        <f aca="false">IF($H2081="","",购销流水!$N524)</f>
        <v/>
      </c>
      <c r="H2081" s="10" t="str">
        <f aca="false">IF($L2081="","",IF($L2081="@成本",购销流水!$U524,IF($L2081="@收入",购销流水!$T524,IF($L2081="@存货",购销流水!$S524,IF($L2081="@结算",购销流水!$R524,$L2081)))))</f>
        <v/>
      </c>
      <c r="I2081" s="42" t="n">
        <f aca="false">IF($M2081="借",$O2081,0)</f>
        <v>0</v>
      </c>
      <c r="J2081" s="42" t="n">
        <f aca="false">IF($M2081="贷",$O2081,0)</f>
        <v>0</v>
      </c>
      <c r="K2081" s="48" t="str">
        <f aca="false">IF($H2081="","",购销流水!$E524)</f>
        <v/>
      </c>
      <c r="L2081" s="66" t="str">
        <f aca="false">IF(购销流水!$D524="","",IFERROR(INDEX(记账规则!$A$6:$N$9,MATCH(购销流水!$D524,记账规则!$A$6:$A$9,0),12),""))</f>
        <v/>
      </c>
      <c r="M2081" s="66" t="str">
        <f aca="false">IF($L2081="","",IFERROR(INDEX(记账规则!$A$6:$N$9,MATCH(购销流水!$D524,记账规则!$A$6:$A$9,0),13),""))</f>
        <v/>
      </c>
      <c r="N2081" s="66" t="str">
        <f aca="false">IF($L2081="","",IFERROR(INDEX(记账规则!$A$6:$N$9,MATCH(购销流水!$D524,记账规则!$A$6:$A$9,0),14),""))</f>
        <v/>
      </c>
      <c r="O2081" s="67" t="n">
        <f aca="false">IF($H2081="",0,ROUND(IF($N2081="成本金额",N(购销流水!$W524),IF($N2081="金额",N(购销流水!$Q524),0)),2))</f>
        <v>0</v>
      </c>
      <c r="P2081" s="64" t="str">
        <f aca="false">IF(AND($H2081&lt;&gt;"",ROUND($O2081,2)&lt;&gt;0),"有","")</f>
        <v/>
      </c>
    </row>
    <row r="2082" customFormat="false" ht="15" hidden="true" customHeight="false" outlineLevel="0" collapsed="false">
      <c r="A2082" s="53" t="str">
        <f aca="false">IF($H2082="","",ROW()-5)</f>
        <v/>
      </c>
      <c r="B2082" s="64" t="s">
        <v>36</v>
      </c>
      <c r="C2082" s="53" t="n">
        <v>525</v>
      </c>
      <c r="D2082" s="53" t="n">
        <v>1</v>
      </c>
      <c r="E2082" s="65" t="str">
        <f aca="false">IF($H2082="","",购销流水!$B525)</f>
        <v/>
      </c>
      <c r="F2082" s="55" t="str">
        <f aca="false">IF($H2082="","",购销流水!$C525)</f>
        <v/>
      </c>
      <c r="G2082" s="48" t="str">
        <f aca="false">IF($H2082="","",购销流水!$N525)</f>
        <v/>
      </c>
      <c r="H2082" s="10" t="str">
        <f aca="false">IF($L2082="","",IF($L2082="@成本",购销流水!$U525,IF($L2082="@收入",购销流水!$T525,IF($L2082="@存货",购销流水!$S525,IF($L2082="@结算",购销流水!$R525,$L2082)))))</f>
        <v/>
      </c>
      <c r="I2082" s="42" t="n">
        <f aca="false">IF($M2082="借",$O2082,0)</f>
        <v>0</v>
      </c>
      <c r="J2082" s="42" t="n">
        <f aca="false">IF($M2082="贷",$O2082,0)</f>
        <v>0</v>
      </c>
      <c r="K2082" s="48" t="str">
        <f aca="false">IF($H2082="","",购销流水!$E525)</f>
        <v/>
      </c>
      <c r="L2082" s="66" t="str">
        <f aca="false">IF(购销流水!$D525="","",IFERROR(INDEX(记账规则!$A$6:$N$9,MATCH(购销流水!$D525,记账规则!$A$6:$A$9,0),3),""))</f>
        <v/>
      </c>
      <c r="M2082" s="66" t="str">
        <f aca="false">IF($L2082="","",IFERROR(INDEX(记账规则!$A$6:$N$9,MATCH(购销流水!$D525,记账规则!$A$6:$A$9,0),4),""))</f>
        <v/>
      </c>
      <c r="N2082" s="66" t="str">
        <f aca="false">IF($L2082="","",IFERROR(INDEX(记账规则!$A$6:$N$9,MATCH(购销流水!$D525,记账规则!$A$6:$A$9,0),5),""))</f>
        <v/>
      </c>
      <c r="O2082" s="67" t="n">
        <f aca="false">IF($H2082="",0,ROUND(IF($N2082="成本金额",N(购销流水!$W525),IF($N2082="金额",N(购销流水!$Q525),0)),2))</f>
        <v>0</v>
      </c>
      <c r="P2082" s="64" t="str">
        <f aca="false">IF(AND($H2082&lt;&gt;"",ROUND($O2082,2)&lt;&gt;0),"有","")</f>
        <v/>
      </c>
    </row>
    <row r="2083" customFormat="false" ht="15" hidden="true" customHeight="false" outlineLevel="0" collapsed="false">
      <c r="A2083" s="53" t="str">
        <f aca="false">IF($H2083="","",ROW()-5)</f>
        <v/>
      </c>
      <c r="B2083" s="64" t="s">
        <v>36</v>
      </c>
      <c r="C2083" s="53" t="n">
        <v>525</v>
      </c>
      <c r="D2083" s="53" t="n">
        <v>2</v>
      </c>
      <c r="E2083" s="65" t="str">
        <f aca="false">IF($H2083="","",购销流水!$B525)</f>
        <v/>
      </c>
      <c r="F2083" s="55" t="str">
        <f aca="false">IF($H2083="","",购销流水!$C525)</f>
        <v/>
      </c>
      <c r="G2083" s="48" t="str">
        <f aca="false">IF($H2083="","",购销流水!$N525)</f>
        <v/>
      </c>
      <c r="H2083" s="10" t="str">
        <f aca="false">IF($L2083="","",IF($L2083="@成本",购销流水!$U525,IF($L2083="@收入",购销流水!$T525,IF($L2083="@存货",购销流水!$S525,IF($L2083="@结算",购销流水!$R525,$L2083)))))</f>
        <v/>
      </c>
      <c r="I2083" s="42" t="n">
        <f aca="false">IF($M2083="借",$O2083,0)</f>
        <v>0</v>
      </c>
      <c r="J2083" s="42" t="n">
        <f aca="false">IF($M2083="贷",$O2083,0)</f>
        <v>0</v>
      </c>
      <c r="K2083" s="48" t="str">
        <f aca="false">IF($H2083="","",购销流水!$E525)</f>
        <v/>
      </c>
      <c r="L2083" s="66" t="str">
        <f aca="false">IF(购销流水!$D525="","",IFERROR(INDEX(记账规则!$A$6:$N$9,MATCH(购销流水!$D525,记账规则!$A$6:$A$9,0),6),""))</f>
        <v/>
      </c>
      <c r="M2083" s="66" t="str">
        <f aca="false">IF($L2083="","",IFERROR(INDEX(记账规则!$A$6:$N$9,MATCH(购销流水!$D525,记账规则!$A$6:$A$9,0),7),""))</f>
        <v/>
      </c>
      <c r="N2083" s="66" t="str">
        <f aca="false">IF($L2083="","",IFERROR(INDEX(记账规则!$A$6:$N$9,MATCH(购销流水!$D525,记账规则!$A$6:$A$9,0),8),""))</f>
        <v/>
      </c>
      <c r="O2083" s="67" t="n">
        <f aca="false">IF($H2083="",0,ROUND(IF($N2083="成本金额",N(购销流水!$W525),IF($N2083="金额",N(购销流水!$Q525),0)),2))</f>
        <v>0</v>
      </c>
      <c r="P2083" s="64" t="str">
        <f aca="false">IF(AND($H2083&lt;&gt;"",ROUND($O2083,2)&lt;&gt;0),"有","")</f>
        <v/>
      </c>
    </row>
    <row r="2084" customFormat="false" ht="15" hidden="true" customHeight="false" outlineLevel="0" collapsed="false">
      <c r="A2084" s="53" t="str">
        <f aca="false">IF($H2084="","",ROW()-5)</f>
        <v/>
      </c>
      <c r="B2084" s="64" t="s">
        <v>36</v>
      </c>
      <c r="C2084" s="53" t="n">
        <v>525</v>
      </c>
      <c r="D2084" s="53" t="n">
        <v>3</v>
      </c>
      <c r="E2084" s="65" t="str">
        <f aca="false">IF($H2084="","",购销流水!$B525)</f>
        <v/>
      </c>
      <c r="F2084" s="55" t="str">
        <f aca="false">IF($H2084="","",购销流水!$C525)</f>
        <v/>
      </c>
      <c r="G2084" s="48" t="str">
        <f aca="false">IF($H2084="","",购销流水!$N525)</f>
        <v/>
      </c>
      <c r="H2084" s="10" t="str">
        <f aca="false">IF($L2084="","",IF($L2084="@成本",购销流水!$U525,IF($L2084="@收入",购销流水!$T525,IF($L2084="@存货",购销流水!$S525,IF($L2084="@结算",购销流水!$R525,$L2084)))))</f>
        <v/>
      </c>
      <c r="I2084" s="42" t="n">
        <f aca="false">IF($M2084="借",$O2084,0)</f>
        <v>0</v>
      </c>
      <c r="J2084" s="42" t="n">
        <f aca="false">IF($M2084="贷",$O2084,0)</f>
        <v>0</v>
      </c>
      <c r="K2084" s="48" t="str">
        <f aca="false">IF($H2084="","",购销流水!$E525)</f>
        <v/>
      </c>
      <c r="L2084" s="66" t="str">
        <f aca="false">IF(购销流水!$D525="","",IFERROR(INDEX(记账规则!$A$6:$N$9,MATCH(购销流水!$D525,记账规则!$A$6:$A$9,0),9),""))</f>
        <v/>
      </c>
      <c r="M2084" s="66" t="str">
        <f aca="false">IF($L2084="","",IFERROR(INDEX(记账规则!$A$6:$N$9,MATCH(购销流水!$D525,记账规则!$A$6:$A$9,0),10),""))</f>
        <v/>
      </c>
      <c r="N2084" s="66" t="str">
        <f aca="false">IF($L2084="","",IFERROR(INDEX(记账规则!$A$6:$N$9,MATCH(购销流水!$D525,记账规则!$A$6:$A$9,0),11),""))</f>
        <v/>
      </c>
      <c r="O2084" s="67" t="n">
        <f aca="false">IF($H2084="",0,ROUND(IF($N2084="成本金额",N(购销流水!$W525),IF($N2084="金额",N(购销流水!$Q525),0)),2))</f>
        <v>0</v>
      </c>
      <c r="P2084" s="64" t="str">
        <f aca="false">IF(AND($H2084&lt;&gt;"",ROUND($O2084,2)&lt;&gt;0),"有","")</f>
        <v/>
      </c>
    </row>
    <row r="2085" customFormat="false" ht="15" hidden="true" customHeight="false" outlineLevel="0" collapsed="false">
      <c r="A2085" s="53" t="str">
        <f aca="false">IF($H2085="","",ROW()-5)</f>
        <v/>
      </c>
      <c r="B2085" s="64" t="s">
        <v>36</v>
      </c>
      <c r="C2085" s="53" t="n">
        <v>525</v>
      </c>
      <c r="D2085" s="53" t="n">
        <v>4</v>
      </c>
      <c r="E2085" s="65" t="str">
        <f aca="false">IF($H2085="","",购销流水!$B525)</f>
        <v/>
      </c>
      <c r="F2085" s="55" t="str">
        <f aca="false">IF($H2085="","",购销流水!$C525)</f>
        <v/>
      </c>
      <c r="G2085" s="48" t="str">
        <f aca="false">IF($H2085="","",购销流水!$N525)</f>
        <v/>
      </c>
      <c r="H2085" s="10" t="str">
        <f aca="false">IF($L2085="","",IF($L2085="@成本",购销流水!$U525,IF($L2085="@收入",购销流水!$T525,IF($L2085="@存货",购销流水!$S525,IF($L2085="@结算",购销流水!$R525,$L2085)))))</f>
        <v/>
      </c>
      <c r="I2085" s="42" t="n">
        <f aca="false">IF($M2085="借",$O2085,0)</f>
        <v>0</v>
      </c>
      <c r="J2085" s="42" t="n">
        <f aca="false">IF($M2085="贷",$O2085,0)</f>
        <v>0</v>
      </c>
      <c r="K2085" s="48" t="str">
        <f aca="false">IF($H2085="","",购销流水!$E525)</f>
        <v/>
      </c>
      <c r="L2085" s="66" t="str">
        <f aca="false">IF(购销流水!$D525="","",IFERROR(INDEX(记账规则!$A$6:$N$9,MATCH(购销流水!$D525,记账规则!$A$6:$A$9,0),12),""))</f>
        <v/>
      </c>
      <c r="M2085" s="66" t="str">
        <f aca="false">IF($L2085="","",IFERROR(INDEX(记账规则!$A$6:$N$9,MATCH(购销流水!$D525,记账规则!$A$6:$A$9,0),13),""))</f>
        <v/>
      </c>
      <c r="N2085" s="66" t="str">
        <f aca="false">IF($L2085="","",IFERROR(INDEX(记账规则!$A$6:$N$9,MATCH(购销流水!$D525,记账规则!$A$6:$A$9,0),14),""))</f>
        <v/>
      </c>
      <c r="O2085" s="67" t="n">
        <f aca="false">IF($H2085="",0,ROUND(IF($N2085="成本金额",N(购销流水!$W525),IF($N2085="金额",N(购销流水!$Q525),0)),2))</f>
        <v>0</v>
      </c>
      <c r="P2085" s="64" t="str">
        <f aca="false">IF(AND($H2085&lt;&gt;"",ROUND($O2085,2)&lt;&gt;0),"有","")</f>
        <v/>
      </c>
    </row>
    <row r="2086" customFormat="false" ht="15" hidden="true" customHeight="false" outlineLevel="0" collapsed="false">
      <c r="A2086" s="53" t="str">
        <f aca="false">IF($H2086="","",ROW()-5)</f>
        <v/>
      </c>
      <c r="B2086" s="64" t="s">
        <v>36</v>
      </c>
      <c r="C2086" s="53" t="n">
        <v>526</v>
      </c>
      <c r="D2086" s="53" t="n">
        <v>1</v>
      </c>
      <c r="E2086" s="65" t="str">
        <f aca="false">IF($H2086="","",购销流水!$B526)</f>
        <v/>
      </c>
      <c r="F2086" s="55" t="str">
        <f aca="false">IF($H2086="","",购销流水!$C526)</f>
        <v/>
      </c>
      <c r="G2086" s="48" t="str">
        <f aca="false">IF($H2086="","",购销流水!$N526)</f>
        <v/>
      </c>
      <c r="H2086" s="10" t="str">
        <f aca="false">IF($L2086="","",IF($L2086="@成本",购销流水!$U526,IF($L2086="@收入",购销流水!$T526,IF($L2086="@存货",购销流水!$S526,IF($L2086="@结算",购销流水!$R526,$L2086)))))</f>
        <v/>
      </c>
      <c r="I2086" s="42" t="n">
        <f aca="false">IF($M2086="借",$O2086,0)</f>
        <v>0</v>
      </c>
      <c r="J2086" s="42" t="n">
        <f aca="false">IF($M2086="贷",$O2086,0)</f>
        <v>0</v>
      </c>
      <c r="K2086" s="48" t="str">
        <f aca="false">IF($H2086="","",购销流水!$E526)</f>
        <v/>
      </c>
      <c r="L2086" s="66" t="str">
        <f aca="false">IF(购销流水!$D526="","",IFERROR(INDEX(记账规则!$A$6:$N$9,MATCH(购销流水!$D526,记账规则!$A$6:$A$9,0),3),""))</f>
        <v/>
      </c>
      <c r="M2086" s="66" t="str">
        <f aca="false">IF($L2086="","",IFERROR(INDEX(记账规则!$A$6:$N$9,MATCH(购销流水!$D526,记账规则!$A$6:$A$9,0),4),""))</f>
        <v/>
      </c>
      <c r="N2086" s="66" t="str">
        <f aca="false">IF($L2086="","",IFERROR(INDEX(记账规则!$A$6:$N$9,MATCH(购销流水!$D526,记账规则!$A$6:$A$9,0),5),""))</f>
        <v/>
      </c>
      <c r="O2086" s="67" t="n">
        <f aca="false">IF($H2086="",0,ROUND(IF($N2086="成本金额",N(购销流水!$W526),IF($N2086="金额",N(购销流水!$Q526),0)),2))</f>
        <v>0</v>
      </c>
      <c r="P2086" s="64" t="str">
        <f aca="false">IF(AND($H2086&lt;&gt;"",ROUND($O2086,2)&lt;&gt;0),"有","")</f>
        <v/>
      </c>
    </row>
    <row r="2087" customFormat="false" ht="15" hidden="true" customHeight="false" outlineLevel="0" collapsed="false">
      <c r="A2087" s="53" t="str">
        <f aca="false">IF($H2087="","",ROW()-5)</f>
        <v/>
      </c>
      <c r="B2087" s="64" t="s">
        <v>36</v>
      </c>
      <c r="C2087" s="53" t="n">
        <v>526</v>
      </c>
      <c r="D2087" s="53" t="n">
        <v>2</v>
      </c>
      <c r="E2087" s="65" t="str">
        <f aca="false">IF($H2087="","",购销流水!$B526)</f>
        <v/>
      </c>
      <c r="F2087" s="55" t="str">
        <f aca="false">IF($H2087="","",购销流水!$C526)</f>
        <v/>
      </c>
      <c r="G2087" s="48" t="str">
        <f aca="false">IF($H2087="","",购销流水!$N526)</f>
        <v/>
      </c>
      <c r="H2087" s="10" t="str">
        <f aca="false">IF($L2087="","",IF($L2087="@成本",购销流水!$U526,IF($L2087="@收入",购销流水!$T526,IF($L2087="@存货",购销流水!$S526,IF($L2087="@结算",购销流水!$R526,$L2087)))))</f>
        <v/>
      </c>
      <c r="I2087" s="42" t="n">
        <f aca="false">IF($M2087="借",$O2087,0)</f>
        <v>0</v>
      </c>
      <c r="J2087" s="42" t="n">
        <f aca="false">IF($M2087="贷",$O2087,0)</f>
        <v>0</v>
      </c>
      <c r="K2087" s="48" t="str">
        <f aca="false">IF($H2087="","",购销流水!$E526)</f>
        <v/>
      </c>
      <c r="L2087" s="66" t="str">
        <f aca="false">IF(购销流水!$D526="","",IFERROR(INDEX(记账规则!$A$6:$N$9,MATCH(购销流水!$D526,记账规则!$A$6:$A$9,0),6),""))</f>
        <v/>
      </c>
      <c r="M2087" s="66" t="str">
        <f aca="false">IF($L2087="","",IFERROR(INDEX(记账规则!$A$6:$N$9,MATCH(购销流水!$D526,记账规则!$A$6:$A$9,0),7),""))</f>
        <v/>
      </c>
      <c r="N2087" s="66" t="str">
        <f aca="false">IF($L2087="","",IFERROR(INDEX(记账规则!$A$6:$N$9,MATCH(购销流水!$D526,记账规则!$A$6:$A$9,0),8),""))</f>
        <v/>
      </c>
      <c r="O2087" s="67" t="n">
        <f aca="false">IF($H2087="",0,ROUND(IF($N2087="成本金额",N(购销流水!$W526),IF($N2087="金额",N(购销流水!$Q526),0)),2))</f>
        <v>0</v>
      </c>
      <c r="P2087" s="64" t="str">
        <f aca="false">IF(AND($H2087&lt;&gt;"",ROUND($O2087,2)&lt;&gt;0),"有","")</f>
        <v/>
      </c>
    </row>
    <row r="2088" customFormat="false" ht="15" hidden="true" customHeight="false" outlineLevel="0" collapsed="false">
      <c r="A2088" s="53" t="str">
        <f aca="false">IF($H2088="","",ROW()-5)</f>
        <v/>
      </c>
      <c r="B2088" s="64" t="s">
        <v>36</v>
      </c>
      <c r="C2088" s="53" t="n">
        <v>526</v>
      </c>
      <c r="D2088" s="53" t="n">
        <v>3</v>
      </c>
      <c r="E2088" s="65" t="str">
        <f aca="false">IF($H2088="","",购销流水!$B526)</f>
        <v/>
      </c>
      <c r="F2088" s="55" t="str">
        <f aca="false">IF($H2088="","",购销流水!$C526)</f>
        <v/>
      </c>
      <c r="G2088" s="48" t="str">
        <f aca="false">IF($H2088="","",购销流水!$N526)</f>
        <v/>
      </c>
      <c r="H2088" s="10" t="str">
        <f aca="false">IF($L2088="","",IF($L2088="@成本",购销流水!$U526,IF($L2088="@收入",购销流水!$T526,IF($L2088="@存货",购销流水!$S526,IF($L2088="@结算",购销流水!$R526,$L2088)))))</f>
        <v/>
      </c>
      <c r="I2088" s="42" t="n">
        <f aca="false">IF($M2088="借",$O2088,0)</f>
        <v>0</v>
      </c>
      <c r="J2088" s="42" t="n">
        <f aca="false">IF($M2088="贷",$O2088,0)</f>
        <v>0</v>
      </c>
      <c r="K2088" s="48" t="str">
        <f aca="false">IF($H2088="","",购销流水!$E526)</f>
        <v/>
      </c>
      <c r="L2088" s="66" t="str">
        <f aca="false">IF(购销流水!$D526="","",IFERROR(INDEX(记账规则!$A$6:$N$9,MATCH(购销流水!$D526,记账规则!$A$6:$A$9,0),9),""))</f>
        <v/>
      </c>
      <c r="M2088" s="66" t="str">
        <f aca="false">IF($L2088="","",IFERROR(INDEX(记账规则!$A$6:$N$9,MATCH(购销流水!$D526,记账规则!$A$6:$A$9,0),10),""))</f>
        <v/>
      </c>
      <c r="N2088" s="66" t="str">
        <f aca="false">IF($L2088="","",IFERROR(INDEX(记账规则!$A$6:$N$9,MATCH(购销流水!$D526,记账规则!$A$6:$A$9,0),11),""))</f>
        <v/>
      </c>
      <c r="O2088" s="67" t="n">
        <f aca="false">IF($H2088="",0,ROUND(IF($N2088="成本金额",N(购销流水!$W526),IF($N2088="金额",N(购销流水!$Q526),0)),2))</f>
        <v>0</v>
      </c>
      <c r="P2088" s="64" t="str">
        <f aca="false">IF(AND($H2088&lt;&gt;"",ROUND($O2088,2)&lt;&gt;0),"有","")</f>
        <v/>
      </c>
    </row>
    <row r="2089" customFormat="false" ht="15" hidden="true" customHeight="false" outlineLevel="0" collapsed="false">
      <c r="A2089" s="53" t="str">
        <f aca="false">IF($H2089="","",ROW()-5)</f>
        <v/>
      </c>
      <c r="B2089" s="64" t="s">
        <v>36</v>
      </c>
      <c r="C2089" s="53" t="n">
        <v>526</v>
      </c>
      <c r="D2089" s="53" t="n">
        <v>4</v>
      </c>
      <c r="E2089" s="65" t="str">
        <f aca="false">IF($H2089="","",购销流水!$B526)</f>
        <v/>
      </c>
      <c r="F2089" s="55" t="str">
        <f aca="false">IF($H2089="","",购销流水!$C526)</f>
        <v/>
      </c>
      <c r="G2089" s="48" t="str">
        <f aca="false">IF($H2089="","",购销流水!$N526)</f>
        <v/>
      </c>
      <c r="H2089" s="10" t="str">
        <f aca="false">IF($L2089="","",IF($L2089="@成本",购销流水!$U526,IF($L2089="@收入",购销流水!$T526,IF($L2089="@存货",购销流水!$S526,IF($L2089="@结算",购销流水!$R526,$L2089)))))</f>
        <v/>
      </c>
      <c r="I2089" s="42" t="n">
        <f aca="false">IF($M2089="借",$O2089,0)</f>
        <v>0</v>
      </c>
      <c r="J2089" s="42" t="n">
        <f aca="false">IF($M2089="贷",$O2089,0)</f>
        <v>0</v>
      </c>
      <c r="K2089" s="48" t="str">
        <f aca="false">IF($H2089="","",购销流水!$E526)</f>
        <v/>
      </c>
      <c r="L2089" s="66" t="str">
        <f aca="false">IF(购销流水!$D526="","",IFERROR(INDEX(记账规则!$A$6:$N$9,MATCH(购销流水!$D526,记账规则!$A$6:$A$9,0),12),""))</f>
        <v/>
      </c>
      <c r="M2089" s="66" t="str">
        <f aca="false">IF($L2089="","",IFERROR(INDEX(记账规则!$A$6:$N$9,MATCH(购销流水!$D526,记账规则!$A$6:$A$9,0),13),""))</f>
        <v/>
      </c>
      <c r="N2089" s="66" t="str">
        <f aca="false">IF($L2089="","",IFERROR(INDEX(记账规则!$A$6:$N$9,MATCH(购销流水!$D526,记账规则!$A$6:$A$9,0),14),""))</f>
        <v/>
      </c>
      <c r="O2089" s="67" t="n">
        <f aca="false">IF($H2089="",0,ROUND(IF($N2089="成本金额",N(购销流水!$W526),IF($N2089="金额",N(购销流水!$Q526),0)),2))</f>
        <v>0</v>
      </c>
      <c r="P2089" s="64" t="str">
        <f aca="false">IF(AND($H2089&lt;&gt;"",ROUND($O2089,2)&lt;&gt;0),"有","")</f>
        <v/>
      </c>
    </row>
    <row r="2090" customFormat="false" ht="15" hidden="true" customHeight="false" outlineLevel="0" collapsed="false">
      <c r="A2090" s="53" t="str">
        <f aca="false">IF($H2090="","",ROW()-5)</f>
        <v/>
      </c>
      <c r="B2090" s="64" t="s">
        <v>36</v>
      </c>
      <c r="C2090" s="53" t="n">
        <v>527</v>
      </c>
      <c r="D2090" s="53" t="n">
        <v>1</v>
      </c>
      <c r="E2090" s="65" t="str">
        <f aca="false">IF($H2090="","",购销流水!$B527)</f>
        <v/>
      </c>
      <c r="F2090" s="55" t="str">
        <f aca="false">IF($H2090="","",购销流水!$C527)</f>
        <v/>
      </c>
      <c r="G2090" s="48" t="str">
        <f aca="false">IF($H2090="","",购销流水!$N527)</f>
        <v/>
      </c>
      <c r="H2090" s="10" t="str">
        <f aca="false">IF($L2090="","",IF($L2090="@成本",购销流水!$U527,IF($L2090="@收入",购销流水!$T527,IF($L2090="@存货",购销流水!$S527,IF($L2090="@结算",购销流水!$R527,$L2090)))))</f>
        <v/>
      </c>
      <c r="I2090" s="42" t="n">
        <f aca="false">IF($M2090="借",$O2090,0)</f>
        <v>0</v>
      </c>
      <c r="J2090" s="42" t="n">
        <f aca="false">IF($M2090="贷",$O2090,0)</f>
        <v>0</v>
      </c>
      <c r="K2090" s="48" t="str">
        <f aca="false">IF($H2090="","",购销流水!$E527)</f>
        <v/>
      </c>
      <c r="L2090" s="66" t="str">
        <f aca="false">IF(购销流水!$D527="","",IFERROR(INDEX(记账规则!$A$6:$N$9,MATCH(购销流水!$D527,记账规则!$A$6:$A$9,0),3),""))</f>
        <v/>
      </c>
      <c r="M2090" s="66" t="str">
        <f aca="false">IF($L2090="","",IFERROR(INDEX(记账规则!$A$6:$N$9,MATCH(购销流水!$D527,记账规则!$A$6:$A$9,0),4),""))</f>
        <v/>
      </c>
      <c r="N2090" s="66" t="str">
        <f aca="false">IF($L2090="","",IFERROR(INDEX(记账规则!$A$6:$N$9,MATCH(购销流水!$D527,记账规则!$A$6:$A$9,0),5),""))</f>
        <v/>
      </c>
      <c r="O2090" s="67" t="n">
        <f aca="false">IF($H2090="",0,ROUND(IF($N2090="成本金额",N(购销流水!$W527),IF($N2090="金额",N(购销流水!$Q527),0)),2))</f>
        <v>0</v>
      </c>
      <c r="P2090" s="64" t="str">
        <f aca="false">IF(AND($H2090&lt;&gt;"",ROUND($O2090,2)&lt;&gt;0),"有","")</f>
        <v/>
      </c>
    </row>
    <row r="2091" customFormat="false" ht="15" hidden="true" customHeight="false" outlineLevel="0" collapsed="false">
      <c r="A2091" s="53" t="str">
        <f aca="false">IF($H2091="","",ROW()-5)</f>
        <v/>
      </c>
      <c r="B2091" s="64" t="s">
        <v>36</v>
      </c>
      <c r="C2091" s="53" t="n">
        <v>527</v>
      </c>
      <c r="D2091" s="53" t="n">
        <v>2</v>
      </c>
      <c r="E2091" s="65" t="str">
        <f aca="false">IF($H2091="","",购销流水!$B527)</f>
        <v/>
      </c>
      <c r="F2091" s="55" t="str">
        <f aca="false">IF($H2091="","",购销流水!$C527)</f>
        <v/>
      </c>
      <c r="G2091" s="48" t="str">
        <f aca="false">IF($H2091="","",购销流水!$N527)</f>
        <v/>
      </c>
      <c r="H2091" s="10" t="str">
        <f aca="false">IF($L2091="","",IF($L2091="@成本",购销流水!$U527,IF($L2091="@收入",购销流水!$T527,IF($L2091="@存货",购销流水!$S527,IF($L2091="@结算",购销流水!$R527,$L2091)))))</f>
        <v/>
      </c>
      <c r="I2091" s="42" t="n">
        <f aca="false">IF($M2091="借",$O2091,0)</f>
        <v>0</v>
      </c>
      <c r="J2091" s="42" t="n">
        <f aca="false">IF($M2091="贷",$O2091,0)</f>
        <v>0</v>
      </c>
      <c r="K2091" s="48" t="str">
        <f aca="false">IF($H2091="","",购销流水!$E527)</f>
        <v/>
      </c>
      <c r="L2091" s="66" t="str">
        <f aca="false">IF(购销流水!$D527="","",IFERROR(INDEX(记账规则!$A$6:$N$9,MATCH(购销流水!$D527,记账规则!$A$6:$A$9,0),6),""))</f>
        <v/>
      </c>
      <c r="M2091" s="66" t="str">
        <f aca="false">IF($L2091="","",IFERROR(INDEX(记账规则!$A$6:$N$9,MATCH(购销流水!$D527,记账规则!$A$6:$A$9,0),7),""))</f>
        <v/>
      </c>
      <c r="N2091" s="66" t="str">
        <f aca="false">IF($L2091="","",IFERROR(INDEX(记账规则!$A$6:$N$9,MATCH(购销流水!$D527,记账规则!$A$6:$A$9,0),8),""))</f>
        <v/>
      </c>
      <c r="O2091" s="67" t="n">
        <f aca="false">IF($H2091="",0,ROUND(IF($N2091="成本金额",N(购销流水!$W527),IF($N2091="金额",N(购销流水!$Q527),0)),2))</f>
        <v>0</v>
      </c>
      <c r="P2091" s="64" t="str">
        <f aca="false">IF(AND($H2091&lt;&gt;"",ROUND($O2091,2)&lt;&gt;0),"有","")</f>
        <v/>
      </c>
    </row>
    <row r="2092" customFormat="false" ht="15" hidden="true" customHeight="false" outlineLevel="0" collapsed="false">
      <c r="A2092" s="53" t="str">
        <f aca="false">IF($H2092="","",ROW()-5)</f>
        <v/>
      </c>
      <c r="B2092" s="64" t="s">
        <v>36</v>
      </c>
      <c r="C2092" s="53" t="n">
        <v>527</v>
      </c>
      <c r="D2092" s="53" t="n">
        <v>3</v>
      </c>
      <c r="E2092" s="65" t="str">
        <f aca="false">IF($H2092="","",购销流水!$B527)</f>
        <v/>
      </c>
      <c r="F2092" s="55" t="str">
        <f aca="false">IF($H2092="","",购销流水!$C527)</f>
        <v/>
      </c>
      <c r="G2092" s="48" t="str">
        <f aca="false">IF($H2092="","",购销流水!$N527)</f>
        <v/>
      </c>
      <c r="H2092" s="10" t="str">
        <f aca="false">IF($L2092="","",IF($L2092="@成本",购销流水!$U527,IF($L2092="@收入",购销流水!$T527,IF($L2092="@存货",购销流水!$S527,IF($L2092="@结算",购销流水!$R527,$L2092)))))</f>
        <v/>
      </c>
      <c r="I2092" s="42" t="n">
        <f aca="false">IF($M2092="借",$O2092,0)</f>
        <v>0</v>
      </c>
      <c r="J2092" s="42" t="n">
        <f aca="false">IF($M2092="贷",$O2092,0)</f>
        <v>0</v>
      </c>
      <c r="K2092" s="48" t="str">
        <f aca="false">IF($H2092="","",购销流水!$E527)</f>
        <v/>
      </c>
      <c r="L2092" s="66" t="str">
        <f aca="false">IF(购销流水!$D527="","",IFERROR(INDEX(记账规则!$A$6:$N$9,MATCH(购销流水!$D527,记账规则!$A$6:$A$9,0),9),""))</f>
        <v/>
      </c>
      <c r="M2092" s="66" t="str">
        <f aca="false">IF($L2092="","",IFERROR(INDEX(记账规则!$A$6:$N$9,MATCH(购销流水!$D527,记账规则!$A$6:$A$9,0),10),""))</f>
        <v/>
      </c>
      <c r="N2092" s="66" t="str">
        <f aca="false">IF($L2092="","",IFERROR(INDEX(记账规则!$A$6:$N$9,MATCH(购销流水!$D527,记账规则!$A$6:$A$9,0),11),""))</f>
        <v/>
      </c>
      <c r="O2092" s="67" t="n">
        <f aca="false">IF($H2092="",0,ROUND(IF($N2092="成本金额",N(购销流水!$W527),IF($N2092="金额",N(购销流水!$Q527),0)),2))</f>
        <v>0</v>
      </c>
      <c r="P2092" s="64" t="str">
        <f aca="false">IF(AND($H2092&lt;&gt;"",ROUND($O2092,2)&lt;&gt;0),"有","")</f>
        <v/>
      </c>
    </row>
    <row r="2093" customFormat="false" ht="15" hidden="true" customHeight="false" outlineLevel="0" collapsed="false">
      <c r="A2093" s="53" t="str">
        <f aca="false">IF($H2093="","",ROW()-5)</f>
        <v/>
      </c>
      <c r="B2093" s="64" t="s">
        <v>36</v>
      </c>
      <c r="C2093" s="53" t="n">
        <v>527</v>
      </c>
      <c r="D2093" s="53" t="n">
        <v>4</v>
      </c>
      <c r="E2093" s="65" t="str">
        <f aca="false">IF($H2093="","",购销流水!$B527)</f>
        <v/>
      </c>
      <c r="F2093" s="55" t="str">
        <f aca="false">IF($H2093="","",购销流水!$C527)</f>
        <v/>
      </c>
      <c r="G2093" s="48" t="str">
        <f aca="false">IF($H2093="","",购销流水!$N527)</f>
        <v/>
      </c>
      <c r="H2093" s="10" t="str">
        <f aca="false">IF($L2093="","",IF($L2093="@成本",购销流水!$U527,IF($L2093="@收入",购销流水!$T527,IF($L2093="@存货",购销流水!$S527,IF($L2093="@结算",购销流水!$R527,$L2093)))))</f>
        <v/>
      </c>
      <c r="I2093" s="42" t="n">
        <f aca="false">IF($M2093="借",$O2093,0)</f>
        <v>0</v>
      </c>
      <c r="J2093" s="42" t="n">
        <f aca="false">IF($M2093="贷",$O2093,0)</f>
        <v>0</v>
      </c>
      <c r="K2093" s="48" t="str">
        <f aca="false">IF($H2093="","",购销流水!$E527)</f>
        <v/>
      </c>
      <c r="L2093" s="66" t="str">
        <f aca="false">IF(购销流水!$D527="","",IFERROR(INDEX(记账规则!$A$6:$N$9,MATCH(购销流水!$D527,记账规则!$A$6:$A$9,0),12),""))</f>
        <v/>
      </c>
      <c r="M2093" s="66" t="str">
        <f aca="false">IF($L2093="","",IFERROR(INDEX(记账规则!$A$6:$N$9,MATCH(购销流水!$D527,记账规则!$A$6:$A$9,0),13),""))</f>
        <v/>
      </c>
      <c r="N2093" s="66" t="str">
        <f aca="false">IF($L2093="","",IFERROR(INDEX(记账规则!$A$6:$N$9,MATCH(购销流水!$D527,记账规则!$A$6:$A$9,0),14),""))</f>
        <v/>
      </c>
      <c r="O2093" s="67" t="n">
        <f aca="false">IF($H2093="",0,ROUND(IF($N2093="成本金额",N(购销流水!$W527),IF($N2093="金额",N(购销流水!$Q527),0)),2))</f>
        <v>0</v>
      </c>
      <c r="P2093" s="64" t="str">
        <f aca="false">IF(AND($H2093&lt;&gt;"",ROUND($O2093,2)&lt;&gt;0),"有","")</f>
        <v/>
      </c>
    </row>
    <row r="2094" customFormat="false" ht="15" hidden="true" customHeight="false" outlineLevel="0" collapsed="false">
      <c r="A2094" s="53" t="str">
        <f aca="false">IF($H2094="","",ROW()-5)</f>
        <v/>
      </c>
      <c r="B2094" s="64" t="s">
        <v>36</v>
      </c>
      <c r="C2094" s="53" t="n">
        <v>528</v>
      </c>
      <c r="D2094" s="53" t="n">
        <v>1</v>
      </c>
      <c r="E2094" s="65" t="str">
        <f aca="false">IF($H2094="","",购销流水!$B528)</f>
        <v/>
      </c>
      <c r="F2094" s="55" t="str">
        <f aca="false">IF($H2094="","",购销流水!$C528)</f>
        <v/>
      </c>
      <c r="G2094" s="48" t="str">
        <f aca="false">IF($H2094="","",购销流水!$N528)</f>
        <v/>
      </c>
      <c r="H2094" s="10" t="str">
        <f aca="false">IF($L2094="","",IF($L2094="@成本",购销流水!$U528,IF($L2094="@收入",购销流水!$T528,IF($L2094="@存货",购销流水!$S528,IF($L2094="@结算",购销流水!$R528,$L2094)))))</f>
        <v/>
      </c>
      <c r="I2094" s="42" t="n">
        <f aca="false">IF($M2094="借",$O2094,0)</f>
        <v>0</v>
      </c>
      <c r="J2094" s="42" t="n">
        <f aca="false">IF($M2094="贷",$O2094,0)</f>
        <v>0</v>
      </c>
      <c r="K2094" s="48" t="str">
        <f aca="false">IF($H2094="","",购销流水!$E528)</f>
        <v/>
      </c>
      <c r="L2094" s="66" t="str">
        <f aca="false">IF(购销流水!$D528="","",IFERROR(INDEX(记账规则!$A$6:$N$9,MATCH(购销流水!$D528,记账规则!$A$6:$A$9,0),3),""))</f>
        <v/>
      </c>
      <c r="M2094" s="66" t="str">
        <f aca="false">IF($L2094="","",IFERROR(INDEX(记账规则!$A$6:$N$9,MATCH(购销流水!$D528,记账规则!$A$6:$A$9,0),4),""))</f>
        <v/>
      </c>
      <c r="N2094" s="66" t="str">
        <f aca="false">IF($L2094="","",IFERROR(INDEX(记账规则!$A$6:$N$9,MATCH(购销流水!$D528,记账规则!$A$6:$A$9,0),5),""))</f>
        <v/>
      </c>
      <c r="O2094" s="67" t="n">
        <f aca="false">IF($H2094="",0,ROUND(IF($N2094="成本金额",N(购销流水!$W528),IF($N2094="金额",N(购销流水!$Q528),0)),2))</f>
        <v>0</v>
      </c>
      <c r="P2094" s="64" t="str">
        <f aca="false">IF(AND($H2094&lt;&gt;"",ROUND($O2094,2)&lt;&gt;0),"有","")</f>
        <v/>
      </c>
    </row>
    <row r="2095" customFormat="false" ht="15" hidden="true" customHeight="false" outlineLevel="0" collapsed="false">
      <c r="A2095" s="53" t="str">
        <f aca="false">IF($H2095="","",ROW()-5)</f>
        <v/>
      </c>
      <c r="B2095" s="64" t="s">
        <v>36</v>
      </c>
      <c r="C2095" s="53" t="n">
        <v>528</v>
      </c>
      <c r="D2095" s="53" t="n">
        <v>2</v>
      </c>
      <c r="E2095" s="65" t="str">
        <f aca="false">IF($H2095="","",购销流水!$B528)</f>
        <v/>
      </c>
      <c r="F2095" s="55" t="str">
        <f aca="false">IF($H2095="","",购销流水!$C528)</f>
        <v/>
      </c>
      <c r="G2095" s="48" t="str">
        <f aca="false">IF($H2095="","",购销流水!$N528)</f>
        <v/>
      </c>
      <c r="H2095" s="10" t="str">
        <f aca="false">IF($L2095="","",IF($L2095="@成本",购销流水!$U528,IF($L2095="@收入",购销流水!$T528,IF($L2095="@存货",购销流水!$S528,IF($L2095="@结算",购销流水!$R528,$L2095)))))</f>
        <v/>
      </c>
      <c r="I2095" s="42" t="n">
        <f aca="false">IF($M2095="借",$O2095,0)</f>
        <v>0</v>
      </c>
      <c r="J2095" s="42" t="n">
        <f aca="false">IF($M2095="贷",$O2095,0)</f>
        <v>0</v>
      </c>
      <c r="K2095" s="48" t="str">
        <f aca="false">IF($H2095="","",购销流水!$E528)</f>
        <v/>
      </c>
      <c r="L2095" s="66" t="str">
        <f aca="false">IF(购销流水!$D528="","",IFERROR(INDEX(记账规则!$A$6:$N$9,MATCH(购销流水!$D528,记账规则!$A$6:$A$9,0),6),""))</f>
        <v/>
      </c>
      <c r="M2095" s="66" t="str">
        <f aca="false">IF($L2095="","",IFERROR(INDEX(记账规则!$A$6:$N$9,MATCH(购销流水!$D528,记账规则!$A$6:$A$9,0),7),""))</f>
        <v/>
      </c>
      <c r="N2095" s="66" t="str">
        <f aca="false">IF($L2095="","",IFERROR(INDEX(记账规则!$A$6:$N$9,MATCH(购销流水!$D528,记账规则!$A$6:$A$9,0),8),""))</f>
        <v/>
      </c>
      <c r="O2095" s="67" t="n">
        <f aca="false">IF($H2095="",0,ROUND(IF($N2095="成本金额",N(购销流水!$W528),IF($N2095="金额",N(购销流水!$Q528),0)),2))</f>
        <v>0</v>
      </c>
      <c r="P2095" s="64" t="str">
        <f aca="false">IF(AND($H2095&lt;&gt;"",ROUND($O2095,2)&lt;&gt;0),"有","")</f>
        <v/>
      </c>
    </row>
    <row r="2096" customFormat="false" ht="15" hidden="true" customHeight="false" outlineLevel="0" collapsed="false">
      <c r="A2096" s="53" t="str">
        <f aca="false">IF($H2096="","",ROW()-5)</f>
        <v/>
      </c>
      <c r="B2096" s="64" t="s">
        <v>36</v>
      </c>
      <c r="C2096" s="53" t="n">
        <v>528</v>
      </c>
      <c r="D2096" s="53" t="n">
        <v>3</v>
      </c>
      <c r="E2096" s="65" t="str">
        <f aca="false">IF($H2096="","",购销流水!$B528)</f>
        <v/>
      </c>
      <c r="F2096" s="55" t="str">
        <f aca="false">IF($H2096="","",购销流水!$C528)</f>
        <v/>
      </c>
      <c r="G2096" s="48" t="str">
        <f aca="false">IF($H2096="","",购销流水!$N528)</f>
        <v/>
      </c>
      <c r="H2096" s="10" t="str">
        <f aca="false">IF($L2096="","",IF($L2096="@成本",购销流水!$U528,IF($L2096="@收入",购销流水!$T528,IF($L2096="@存货",购销流水!$S528,IF($L2096="@结算",购销流水!$R528,$L2096)))))</f>
        <v/>
      </c>
      <c r="I2096" s="42" t="n">
        <f aca="false">IF($M2096="借",$O2096,0)</f>
        <v>0</v>
      </c>
      <c r="J2096" s="42" t="n">
        <f aca="false">IF($M2096="贷",$O2096,0)</f>
        <v>0</v>
      </c>
      <c r="K2096" s="48" t="str">
        <f aca="false">IF($H2096="","",购销流水!$E528)</f>
        <v/>
      </c>
      <c r="L2096" s="66" t="str">
        <f aca="false">IF(购销流水!$D528="","",IFERROR(INDEX(记账规则!$A$6:$N$9,MATCH(购销流水!$D528,记账规则!$A$6:$A$9,0),9),""))</f>
        <v/>
      </c>
      <c r="M2096" s="66" t="str">
        <f aca="false">IF($L2096="","",IFERROR(INDEX(记账规则!$A$6:$N$9,MATCH(购销流水!$D528,记账规则!$A$6:$A$9,0),10),""))</f>
        <v/>
      </c>
      <c r="N2096" s="66" t="str">
        <f aca="false">IF($L2096="","",IFERROR(INDEX(记账规则!$A$6:$N$9,MATCH(购销流水!$D528,记账规则!$A$6:$A$9,0),11),""))</f>
        <v/>
      </c>
      <c r="O2096" s="67" t="n">
        <f aca="false">IF($H2096="",0,ROUND(IF($N2096="成本金额",N(购销流水!$W528),IF($N2096="金额",N(购销流水!$Q528),0)),2))</f>
        <v>0</v>
      </c>
      <c r="P2096" s="64" t="str">
        <f aca="false">IF(AND($H2096&lt;&gt;"",ROUND($O2096,2)&lt;&gt;0),"有","")</f>
        <v/>
      </c>
    </row>
    <row r="2097" customFormat="false" ht="15" hidden="true" customHeight="false" outlineLevel="0" collapsed="false">
      <c r="A2097" s="53" t="str">
        <f aca="false">IF($H2097="","",ROW()-5)</f>
        <v/>
      </c>
      <c r="B2097" s="64" t="s">
        <v>36</v>
      </c>
      <c r="C2097" s="53" t="n">
        <v>528</v>
      </c>
      <c r="D2097" s="53" t="n">
        <v>4</v>
      </c>
      <c r="E2097" s="65" t="str">
        <f aca="false">IF($H2097="","",购销流水!$B528)</f>
        <v/>
      </c>
      <c r="F2097" s="55" t="str">
        <f aca="false">IF($H2097="","",购销流水!$C528)</f>
        <v/>
      </c>
      <c r="G2097" s="48" t="str">
        <f aca="false">IF($H2097="","",购销流水!$N528)</f>
        <v/>
      </c>
      <c r="H2097" s="10" t="str">
        <f aca="false">IF($L2097="","",IF($L2097="@成本",购销流水!$U528,IF($L2097="@收入",购销流水!$T528,IF($L2097="@存货",购销流水!$S528,IF($L2097="@结算",购销流水!$R528,$L2097)))))</f>
        <v/>
      </c>
      <c r="I2097" s="42" t="n">
        <f aca="false">IF($M2097="借",$O2097,0)</f>
        <v>0</v>
      </c>
      <c r="J2097" s="42" t="n">
        <f aca="false">IF($M2097="贷",$O2097,0)</f>
        <v>0</v>
      </c>
      <c r="K2097" s="48" t="str">
        <f aca="false">IF($H2097="","",购销流水!$E528)</f>
        <v/>
      </c>
      <c r="L2097" s="66" t="str">
        <f aca="false">IF(购销流水!$D528="","",IFERROR(INDEX(记账规则!$A$6:$N$9,MATCH(购销流水!$D528,记账规则!$A$6:$A$9,0),12),""))</f>
        <v/>
      </c>
      <c r="M2097" s="66" t="str">
        <f aca="false">IF($L2097="","",IFERROR(INDEX(记账规则!$A$6:$N$9,MATCH(购销流水!$D528,记账规则!$A$6:$A$9,0),13),""))</f>
        <v/>
      </c>
      <c r="N2097" s="66" t="str">
        <f aca="false">IF($L2097="","",IFERROR(INDEX(记账规则!$A$6:$N$9,MATCH(购销流水!$D528,记账规则!$A$6:$A$9,0),14),""))</f>
        <v/>
      </c>
      <c r="O2097" s="67" t="n">
        <f aca="false">IF($H2097="",0,ROUND(IF($N2097="成本金额",N(购销流水!$W528),IF($N2097="金额",N(购销流水!$Q528),0)),2))</f>
        <v>0</v>
      </c>
      <c r="P2097" s="64" t="str">
        <f aca="false">IF(AND($H2097&lt;&gt;"",ROUND($O2097,2)&lt;&gt;0),"有","")</f>
        <v/>
      </c>
    </row>
    <row r="2098" customFormat="false" ht="15" hidden="true" customHeight="false" outlineLevel="0" collapsed="false">
      <c r="A2098" s="53" t="str">
        <f aca="false">IF($H2098="","",ROW()-5)</f>
        <v/>
      </c>
      <c r="B2098" s="64" t="s">
        <v>36</v>
      </c>
      <c r="C2098" s="53" t="n">
        <v>529</v>
      </c>
      <c r="D2098" s="53" t="n">
        <v>1</v>
      </c>
      <c r="E2098" s="65" t="str">
        <f aca="false">IF($H2098="","",购销流水!$B529)</f>
        <v/>
      </c>
      <c r="F2098" s="55" t="str">
        <f aca="false">IF($H2098="","",购销流水!$C529)</f>
        <v/>
      </c>
      <c r="G2098" s="48" t="str">
        <f aca="false">IF($H2098="","",购销流水!$N529)</f>
        <v/>
      </c>
      <c r="H2098" s="10" t="str">
        <f aca="false">IF($L2098="","",IF($L2098="@成本",购销流水!$U529,IF($L2098="@收入",购销流水!$T529,IF($L2098="@存货",购销流水!$S529,IF($L2098="@结算",购销流水!$R529,$L2098)))))</f>
        <v/>
      </c>
      <c r="I2098" s="42" t="n">
        <f aca="false">IF($M2098="借",$O2098,0)</f>
        <v>0</v>
      </c>
      <c r="J2098" s="42" t="n">
        <f aca="false">IF($M2098="贷",$O2098,0)</f>
        <v>0</v>
      </c>
      <c r="K2098" s="48" t="str">
        <f aca="false">IF($H2098="","",购销流水!$E529)</f>
        <v/>
      </c>
      <c r="L2098" s="66" t="str">
        <f aca="false">IF(购销流水!$D529="","",IFERROR(INDEX(记账规则!$A$6:$N$9,MATCH(购销流水!$D529,记账规则!$A$6:$A$9,0),3),""))</f>
        <v/>
      </c>
      <c r="M2098" s="66" t="str">
        <f aca="false">IF($L2098="","",IFERROR(INDEX(记账规则!$A$6:$N$9,MATCH(购销流水!$D529,记账规则!$A$6:$A$9,0),4),""))</f>
        <v/>
      </c>
      <c r="N2098" s="66" t="str">
        <f aca="false">IF($L2098="","",IFERROR(INDEX(记账规则!$A$6:$N$9,MATCH(购销流水!$D529,记账规则!$A$6:$A$9,0),5),""))</f>
        <v/>
      </c>
      <c r="O2098" s="67" t="n">
        <f aca="false">IF($H2098="",0,ROUND(IF($N2098="成本金额",N(购销流水!$W529),IF($N2098="金额",N(购销流水!$Q529),0)),2))</f>
        <v>0</v>
      </c>
      <c r="P2098" s="64" t="str">
        <f aca="false">IF(AND($H2098&lt;&gt;"",ROUND($O2098,2)&lt;&gt;0),"有","")</f>
        <v/>
      </c>
    </row>
    <row r="2099" customFormat="false" ht="15" hidden="true" customHeight="false" outlineLevel="0" collapsed="false">
      <c r="A2099" s="53" t="str">
        <f aca="false">IF($H2099="","",ROW()-5)</f>
        <v/>
      </c>
      <c r="B2099" s="64" t="s">
        <v>36</v>
      </c>
      <c r="C2099" s="53" t="n">
        <v>529</v>
      </c>
      <c r="D2099" s="53" t="n">
        <v>2</v>
      </c>
      <c r="E2099" s="65" t="str">
        <f aca="false">IF($H2099="","",购销流水!$B529)</f>
        <v/>
      </c>
      <c r="F2099" s="55" t="str">
        <f aca="false">IF($H2099="","",购销流水!$C529)</f>
        <v/>
      </c>
      <c r="G2099" s="48" t="str">
        <f aca="false">IF($H2099="","",购销流水!$N529)</f>
        <v/>
      </c>
      <c r="H2099" s="10" t="str">
        <f aca="false">IF($L2099="","",IF($L2099="@成本",购销流水!$U529,IF($L2099="@收入",购销流水!$T529,IF($L2099="@存货",购销流水!$S529,IF($L2099="@结算",购销流水!$R529,$L2099)))))</f>
        <v/>
      </c>
      <c r="I2099" s="42" t="n">
        <f aca="false">IF($M2099="借",$O2099,0)</f>
        <v>0</v>
      </c>
      <c r="J2099" s="42" t="n">
        <f aca="false">IF($M2099="贷",$O2099,0)</f>
        <v>0</v>
      </c>
      <c r="K2099" s="48" t="str">
        <f aca="false">IF($H2099="","",购销流水!$E529)</f>
        <v/>
      </c>
      <c r="L2099" s="66" t="str">
        <f aca="false">IF(购销流水!$D529="","",IFERROR(INDEX(记账规则!$A$6:$N$9,MATCH(购销流水!$D529,记账规则!$A$6:$A$9,0),6),""))</f>
        <v/>
      </c>
      <c r="M2099" s="66" t="str">
        <f aca="false">IF($L2099="","",IFERROR(INDEX(记账规则!$A$6:$N$9,MATCH(购销流水!$D529,记账规则!$A$6:$A$9,0),7),""))</f>
        <v/>
      </c>
      <c r="N2099" s="66" t="str">
        <f aca="false">IF($L2099="","",IFERROR(INDEX(记账规则!$A$6:$N$9,MATCH(购销流水!$D529,记账规则!$A$6:$A$9,0),8),""))</f>
        <v/>
      </c>
      <c r="O2099" s="67" t="n">
        <f aca="false">IF($H2099="",0,ROUND(IF($N2099="成本金额",N(购销流水!$W529),IF($N2099="金额",N(购销流水!$Q529),0)),2))</f>
        <v>0</v>
      </c>
      <c r="P2099" s="64" t="str">
        <f aca="false">IF(AND($H2099&lt;&gt;"",ROUND($O2099,2)&lt;&gt;0),"有","")</f>
        <v/>
      </c>
    </row>
    <row r="2100" customFormat="false" ht="15" hidden="true" customHeight="false" outlineLevel="0" collapsed="false">
      <c r="A2100" s="53" t="str">
        <f aca="false">IF($H2100="","",ROW()-5)</f>
        <v/>
      </c>
      <c r="B2100" s="64" t="s">
        <v>36</v>
      </c>
      <c r="C2100" s="53" t="n">
        <v>529</v>
      </c>
      <c r="D2100" s="53" t="n">
        <v>3</v>
      </c>
      <c r="E2100" s="65" t="str">
        <f aca="false">IF($H2100="","",购销流水!$B529)</f>
        <v/>
      </c>
      <c r="F2100" s="55" t="str">
        <f aca="false">IF($H2100="","",购销流水!$C529)</f>
        <v/>
      </c>
      <c r="G2100" s="48" t="str">
        <f aca="false">IF($H2100="","",购销流水!$N529)</f>
        <v/>
      </c>
      <c r="H2100" s="10" t="str">
        <f aca="false">IF($L2100="","",IF($L2100="@成本",购销流水!$U529,IF($L2100="@收入",购销流水!$T529,IF($L2100="@存货",购销流水!$S529,IF($L2100="@结算",购销流水!$R529,$L2100)))))</f>
        <v/>
      </c>
      <c r="I2100" s="42" t="n">
        <f aca="false">IF($M2100="借",$O2100,0)</f>
        <v>0</v>
      </c>
      <c r="J2100" s="42" t="n">
        <f aca="false">IF($M2100="贷",$O2100,0)</f>
        <v>0</v>
      </c>
      <c r="K2100" s="48" t="str">
        <f aca="false">IF($H2100="","",购销流水!$E529)</f>
        <v/>
      </c>
      <c r="L2100" s="66" t="str">
        <f aca="false">IF(购销流水!$D529="","",IFERROR(INDEX(记账规则!$A$6:$N$9,MATCH(购销流水!$D529,记账规则!$A$6:$A$9,0),9),""))</f>
        <v/>
      </c>
      <c r="M2100" s="66" t="str">
        <f aca="false">IF($L2100="","",IFERROR(INDEX(记账规则!$A$6:$N$9,MATCH(购销流水!$D529,记账规则!$A$6:$A$9,0),10),""))</f>
        <v/>
      </c>
      <c r="N2100" s="66" t="str">
        <f aca="false">IF($L2100="","",IFERROR(INDEX(记账规则!$A$6:$N$9,MATCH(购销流水!$D529,记账规则!$A$6:$A$9,0),11),""))</f>
        <v/>
      </c>
      <c r="O2100" s="67" t="n">
        <f aca="false">IF($H2100="",0,ROUND(IF($N2100="成本金额",N(购销流水!$W529),IF($N2100="金额",N(购销流水!$Q529),0)),2))</f>
        <v>0</v>
      </c>
      <c r="P2100" s="64" t="str">
        <f aca="false">IF(AND($H2100&lt;&gt;"",ROUND($O2100,2)&lt;&gt;0),"有","")</f>
        <v/>
      </c>
    </row>
    <row r="2101" customFormat="false" ht="15" hidden="true" customHeight="false" outlineLevel="0" collapsed="false">
      <c r="A2101" s="53" t="str">
        <f aca="false">IF($H2101="","",ROW()-5)</f>
        <v/>
      </c>
      <c r="B2101" s="64" t="s">
        <v>36</v>
      </c>
      <c r="C2101" s="53" t="n">
        <v>529</v>
      </c>
      <c r="D2101" s="53" t="n">
        <v>4</v>
      </c>
      <c r="E2101" s="65" t="str">
        <f aca="false">IF($H2101="","",购销流水!$B529)</f>
        <v/>
      </c>
      <c r="F2101" s="55" t="str">
        <f aca="false">IF($H2101="","",购销流水!$C529)</f>
        <v/>
      </c>
      <c r="G2101" s="48" t="str">
        <f aca="false">IF($H2101="","",购销流水!$N529)</f>
        <v/>
      </c>
      <c r="H2101" s="10" t="str">
        <f aca="false">IF($L2101="","",IF($L2101="@成本",购销流水!$U529,IF($L2101="@收入",购销流水!$T529,IF($L2101="@存货",购销流水!$S529,IF($L2101="@结算",购销流水!$R529,$L2101)))))</f>
        <v/>
      </c>
      <c r="I2101" s="42" t="n">
        <f aca="false">IF($M2101="借",$O2101,0)</f>
        <v>0</v>
      </c>
      <c r="J2101" s="42" t="n">
        <f aca="false">IF($M2101="贷",$O2101,0)</f>
        <v>0</v>
      </c>
      <c r="K2101" s="48" t="str">
        <f aca="false">IF($H2101="","",购销流水!$E529)</f>
        <v/>
      </c>
      <c r="L2101" s="66" t="str">
        <f aca="false">IF(购销流水!$D529="","",IFERROR(INDEX(记账规则!$A$6:$N$9,MATCH(购销流水!$D529,记账规则!$A$6:$A$9,0),12),""))</f>
        <v/>
      </c>
      <c r="M2101" s="66" t="str">
        <f aca="false">IF($L2101="","",IFERROR(INDEX(记账规则!$A$6:$N$9,MATCH(购销流水!$D529,记账规则!$A$6:$A$9,0),13),""))</f>
        <v/>
      </c>
      <c r="N2101" s="66" t="str">
        <f aca="false">IF($L2101="","",IFERROR(INDEX(记账规则!$A$6:$N$9,MATCH(购销流水!$D529,记账规则!$A$6:$A$9,0),14),""))</f>
        <v/>
      </c>
      <c r="O2101" s="67" t="n">
        <f aca="false">IF($H2101="",0,ROUND(IF($N2101="成本金额",N(购销流水!$W529),IF($N2101="金额",N(购销流水!$Q529),0)),2))</f>
        <v>0</v>
      </c>
      <c r="P2101" s="64" t="str">
        <f aca="false">IF(AND($H2101&lt;&gt;"",ROUND($O2101,2)&lt;&gt;0),"有","")</f>
        <v/>
      </c>
    </row>
    <row r="2102" customFormat="false" ht="15" hidden="true" customHeight="false" outlineLevel="0" collapsed="false">
      <c r="A2102" s="53" t="str">
        <f aca="false">IF($H2102="","",ROW()-5)</f>
        <v/>
      </c>
      <c r="B2102" s="64" t="s">
        <v>36</v>
      </c>
      <c r="C2102" s="53" t="n">
        <v>530</v>
      </c>
      <c r="D2102" s="53" t="n">
        <v>1</v>
      </c>
      <c r="E2102" s="65" t="str">
        <f aca="false">IF($H2102="","",购销流水!$B530)</f>
        <v/>
      </c>
      <c r="F2102" s="55" t="str">
        <f aca="false">IF($H2102="","",购销流水!$C530)</f>
        <v/>
      </c>
      <c r="G2102" s="48" t="str">
        <f aca="false">IF($H2102="","",购销流水!$N530)</f>
        <v/>
      </c>
      <c r="H2102" s="10" t="str">
        <f aca="false">IF($L2102="","",IF($L2102="@成本",购销流水!$U530,IF($L2102="@收入",购销流水!$T530,IF($L2102="@存货",购销流水!$S530,IF($L2102="@结算",购销流水!$R530,$L2102)))))</f>
        <v/>
      </c>
      <c r="I2102" s="42" t="n">
        <f aca="false">IF($M2102="借",$O2102,0)</f>
        <v>0</v>
      </c>
      <c r="J2102" s="42" t="n">
        <f aca="false">IF($M2102="贷",$O2102,0)</f>
        <v>0</v>
      </c>
      <c r="K2102" s="48" t="str">
        <f aca="false">IF($H2102="","",购销流水!$E530)</f>
        <v/>
      </c>
      <c r="L2102" s="66" t="str">
        <f aca="false">IF(购销流水!$D530="","",IFERROR(INDEX(记账规则!$A$6:$N$9,MATCH(购销流水!$D530,记账规则!$A$6:$A$9,0),3),""))</f>
        <v/>
      </c>
      <c r="M2102" s="66" t="str">
        <f aca="false">IF($L2102="","",IFERROR(INDEX(记账规则!$A$6:$N$9,MATCH(购销流水!$D530,记账规则!$A$6:$A$9,0),4),""))</f>
        <v/>
      </c>
      <c r="N2102" s="66" t="str">
        <f aca="false">IF($L2102="","",IFERROR(INDEX(记账规则!$A$6:$N$9,MATCH(购销流水!$D530,记账规则!$A$6:$A$9,0),5),""))</f>
        <v/>
      </c>
      <c r="O2102" s="67" t="n">
        <f aca="false">IF($H2102="",0,ROUND(IF($N2102="成本金额",N(购销流水!$W530),IF($N2102="金额",N(购销流水!$Q530),0)),2))</f>
        <v>0</v>
      </c>
      <c r="P2102" s="64" t="str">
        <f aca="false">IF(AND($H2102&lt;&gt;"",ROUND($O2102,2)&lt;&gt;0),"有","")</f>
        <v/>
      </c>
    </row>
    <row r="2103" customFormat="false" ht="15" hidden="true" customHeight="false" outlineLevel="0" collapsed="false">
      <c r="A2103" s="53" t="str">
        <f aca="false">IF($H2103="","",ROW()-5)</f>
        <v/>
      </c>
      <c r="B2103" s="64" t="s">
        <v>36</v>
      </c>
      <c r="C2103" s="53" t="n">
        <v>530</v>
      </c>
      <c r="D2103" s="53" t="n">
        <v>2</v>
      </c>
      <c r="E2103" s="65" t="str">
        <f aca="false">IF($H2103="","",购销流水!$B530)</f>
        <v/>
      </c>
      <c r="F2103" s="55" t="str">
        <f aca="false">IF($H2103="","",购销流水!$C530)</f>
        <v/>
      </c>
      <c r="G2103" s="48" t="str">
        <f aca="false">IF($H2103="","",购销流水!$N530)</f>
        <v/>
      </c>
      <c r="H2103" s="10" t="str">
        <f aca="false">IF($L2103="","",IF($L2103="@成本",购销流水!$U530,IF($L2103="@收入",购销流水!$T530,IF($L2103="@存货",购销流水!$S530,IF($L2103="@结算",购销流水!$R530,$L2103)))))</f>
        <v/>
      </c>
      <c r="I2103" s="42" t="n">
        <f aca="false">IF($M2103="借",$O2103,0)</f>
        <v>0</v>
      </c>
      <c r="J2103" s="42" t="n">
        <f aca="false">IF($M2103="贷",$O2103,0)</f>
        <v>0</v>
      </c>
      <c r="K2103" s="48" t="str">
        <f aca="false">IF($H2103="","",购销流水!$E530)</f>
        <v/>
      </c>
      <c r="L2103" s="66" t="str">
        <f aca="false">IF(购销流水!$D530="","",IFERROR(INDEX(记账规则!$A$6:$N$9,MATCH(购销流水!$D530,记账规则!$A$6:$A$9,0),6),""))</f>
        <v/>
      </c>
      <c r="M2103" s="66" t="str">
        <f aca="false">IF($L2103="","",IFERROR(INDEX(记账规则!$A$6:$N$9,MATCH(购销流水!$D530,记账规则!$A$6:$A$9,0),7),""))</f>
        <v/>
      </c>
      <c r="N2103" s="66" t="str">
        <f aca="false">IF($L2103="","",IFERROR(INDEX(记账规则!$A$6:$N$9,MATCH(购销流水!$D530,记账规则!$A$6:$A$9,0),8),""))</f>
        <v/>
      </c>
      <c r="O2103" s="67" t="n">
        <f aca="false">IF($H2103="",0,ROUND(IF($N2103="成本金额",N(购销流水!$W530),IF($N2103="金额",N(购销流水!$Q530),0)),2))</f>
        <v>0</v>
      </c>
      <c r="P2103" s="64" t="str">
        <f aca="false">IF(AND($H2103&lt;&gt;"",ROUND($O2103,2)&lt;&gt;0),"有","")</f>
        <v/>
      </c>
    </row>
    <row r="2104" customFormat="false" ht="15" hidden="true" customHeight="false" outlineLevel="0" collapsed="false">
      <c r="A2104" s="53" t="str">
        <f aca="false">IF($H2104="","",ROW()-5)</f>
        <v/>
      </c>
      <c r="B2104" s="64" t="s">
        <v>36</v>
      </c>
      <c r="C2104" s="53" t="n">
        <v>530</v>
      </c>
      <c r="D2104" s="53" t="n">
        <v>3</v>
      </c>
      <c r="E2104" s="65" t="str">
        <f aca="false">IF($H2104="","",购销流水!$B530)</f>
        <v/>
      </c>
      <c r="F2104" s="55" t="str">
        <f aca="false">IF($H2104="","",购销流水!$C530)</f>
        <v/>
      </c>
      <c r="G2104" s="48" t="str">
        <f aca="false">IF($H2104="","",购销流水!$N530)</f>
        <v/>
      </c>
      <c r="H2104" s="10" t="str">
        <f aca="false">IF($L2104="","",IF($L2104="@成本",购销流水!$U530,IF($L2104="@收入",购销流水!$T530,IF($L2104="@存货",购销流水!$S530,IF($L2104="@结算",购销流水!$R530,$L2104)))))</f>
        <v/>
      </c>
      <c r="I2104" s="42" t="n">
        <f aca="false">IF($M2104="借",$O2104,0)</f>
        <v>0</v>
      </c>
      <c r="J2104" s="42" t="n">
        <f aca="false">IF($M2104="贷",$O2104,0)</f>
        <v>0</v>
      </c>
      <c r="K2104" s="48" t="str">
        <f aca="false">IF($H2104="","",购销流水!$E530)</f>
        <v/>
      </c>
      <c r="L2104" s="66" t="str">
        <f aca="false">IF(购销流水!$D530="","",IFERROR(INDEX(记账规则!$A$6:$N$9,MATCH(购销流水!$D530,记账规则!$A$6:$A$9,0),9),""))</f>
        <v/>
      </c>
      <c r="M2104" s="66" t="str">
        <f aca="false">IF($L2104="","",IFERROR(INDEX(记账规则!$A$6:$N$9,MATCH(购销流水!$D530,记账规则!$A$6:$A$9,0),10),""))</f>
        <v/>
      </c>
      <c r="N2104" s="66" t="str">
        <f aca="false">IF($L2104="","",IFERROR(INDEX(记账规则!$A$6:$N$9,MATCH(购销流水!$D530,记账规则!$A$6:$A$9,0),11),""))</f>
        <v/>
      </c>
      <c r="O2104" s="67" t="n">
        <f aca="false">IF($H2104="",0,ROUND(IF($N2104="成本金额",N(购销流水!$W530),IF($N2104="金额",N(购销流水!$Q530),0)),2))</f>
        <v>0</v>
      </c>
      <c r="P2104" s="64" t="str">
        <f aca="false">IF(AND($H2104&lt;&gt;"",ROUND($O2104,2)&lt;&gt;0),"有","")</f>
        <v/>
      </c>
    </row>
    <row r="2105" customFormat="false" ht="15" hidden="true" customHeight="false" outlineLevel="0" collapsed="false">
      <c r="A2105" s="53" t="str">
        <f aca="false">IF($H2105="","",ROW()-5)</f>
        <v/>
      </c>
      <c r="B2105" s="64" t="s">
        <v>36</v>
      </c>
      <c r="C2105" s="53" t="n">
        <v>530</v>
      </c>
      <c r="D2105" s="53" t="n">
        <v>4</v>
      </c>
      <c r="E2105" s="65" t="str">
        <f aca="false">IF($H2105="","",购销流水!$B530)</f>
        <v/>
      </c>
      <c r="F2105" s="55" t="str">
        <f aca="false">IF($H2105="","",购销流水!$C530)</f>
        <v/>
      </c>
      <c r="G2105" s="48" t="str">
        <f aca="false">IF($H2105="","",购销流水!$N530)</f>
        <v/>
      </c>
      <c r="H2105" s="10" t="str">
        <f aca="false">IF($L2105="","",IF($L2105="@成本",购销流水!$U530,IF($L2105="@收入",购销流水!$T530,IF($L2105="@存货",购销流水!$S530,IF($L2105="@结算",购销流水!$R530,$L2105)))))</f>
        <v/>
      </c>
      <c r="I2105" s="42" t="n">
        <f aca="false">IF($M2105="借",$O2105,0)</f>
        <v>0</v>
      </c>
      <c r="J2105" s="42" t="n">
        <f aca="false">IF($M2105="贷",$O2105,0)</f>
        <v>0</v>
      </c>
      <c r="K2105" s="48" t="str">
        <f aca="false">IF($H2105="","",购销流水!$E530)</f>
        <v/>
      </c>
      <c r="L2105" s="66" t="str">
        <f aca="false">IF(购销流水!$D530="","",IFERROR(INDEX(记账规则!$A$6:$N$9,MATCH(购销流水!$D530,记账规则!$A$6:$A$9,0),12),""))</f>
        <v/>
      </c>
      <c r="M2105" s="66" t="str">
        <f aca="false">IF($L2105="","",IFERROR(INDEX(记账规则!$A$6:$N$9,MATCH(购销流水!$D530,记账规则!$A$6:$A$9,0),13),""))</f>
        <v/>
      </c>
      <c r="N2105" s="66" t="str">
        <f aca="false">IF($L2105="","",IFERROR(INDEX(记账规则!$A$6:$N$9,MATCH(购销流水!$D530,记账规则!$A$6:$A$9,0),14),""))</f>
        <v/>
      </c>
      <c r="O2105" s="67" t="n">
        <f aca="false">IF($H2105="",0,ROUND(IF($N2105="成本金额",N(购销流水!$W530),IF($N2105="金额",N(购销流水!$Q530),0)),2))</f>
        <v>0</v>
      </c>
      <c r="P2105" s="64" t="str">
        <f aca="false">IF(AND($H2105&lt;&gt;"",ROUND($O2105,2)&lt;&gt;0),"有","")</f>
        <v/>
      </c>
    </row>
    <row r="2106" customFormat="false" ht="15" hidden="true" customHeight="false" outlineLevel="0" collapsed="false">
      <c r="A2106" s="53" t="str">
        <f aca="false">IF($H2106="","",ROW()-5)</f>
        <v/>
      </c>
      <c r="B2106" s="64" t="s">
        <v>36</v>
      </c>
      <c r="C2106" s="53" t="n">
        <v>531</v>
      </c>
      <c r="D2106" s="53" t="n">
        <v>1</v>
      </c>
      <c r="E2106" s="65" t="str">
        <f aca="false">IF($H2106="","",购销流水!$B531)</f>
        <v/>
      </c>
      <c r="F2106" s="55" t="str">
        <f aca="false">IF($H2106="","",购销流水!$C531)</f>
        <v/>
      </c>
      <c r="G2106" s="48" t="str">
        <f aca="false">IF($H2106="","",购销流水!$N531)</f>
        <v/>
      </c>
      <c r="H2106" s="10" t="str">
        <f aca="false">IF($L2106="","",IF($L2106="@成本",购销流水!$U531,IF($L2106="@收入",购销流水!$T531,IF($L2106="@存货",购销流水!$S531,IF($L2106="@结算",购销流水!$R531,$L2106)))))</f>
        <v/>
      </c>
      <c r="I2106" s="42" t="n">
        <f aca="false">IF($M2106="借",$O2106,0)</f>
        <v>0</v>
      </c>
      <c r="J2106" s="42" t="n">
        <f aca="false">IF($M2106="贷",$O2106,0)</f>
        <v>0</v>
      </c>
      <c r="K2106" s="48" t="str">
        <f aca="false">IF($H2106="","",购销流水!$E531)</f>
        <v/>
      </c>
      <c r="L2106" s="66" t="str">
        <f aca="false">IF(购销流水!$D531="","",IFERROR(INDEX(记账规则!$A$6:$N$9,MATCH(购销流水!$D531,记账规则!$A$6:$A$9,0),3),""))</f>
        <v/>
      </c>
      <c r="M2106" s="66" t="str">
        <f aca="false">IF($L2106="","",IFERROR(INDEX(记账规则!$A$6:$N$9,MATCH(购销流水!$D531,记账规则!$A$6:$A$9,0),4),""))</f>
        <v/>
      </c>
      <c r="N2106" s="66" t="str">
        <f aca="false">IF($L2106="","",IFERROR(INDEX(记账规则!$A$6:$N$9,MATCH(购销流水!$D531,记账规则!$A$6:$A$9,0),5),""))</f>
        <v/>
      </c>
      <c r="O2106" s="67" t="n">
        <f aca="false">IF($H2106="",0,ROUND(IF($N2106="成本金额",N(购销流水!$W531),IF($N2106="金额",N(购销流水!$Q531),0)),2))</f>
        <v>0</v>
      </c>
      <c r="P2106" s="64" t="str">
        <f aca="false">IF(AND($H2106&lt;&gt;"",ROUND($O2106,2)&lt;&gt;0),"有","")</f>
        <v/>
      </c>
    </row>
    <row r="2107" customFormat="false" ht="15" hidden="true" customHeight="false" outlineLevel="0" collapsed="false">
      <c r="A2107" s="53" t="str">
        <f aca="false">IF($H2107="","",ROW()-5)</f>
        <v/>
      </c>
      <c r="B2107" s="64" t="s">
        <v>36</v>
      </c>
      <c r="C2107" s="53" t="n">
        <v>531</v>
      </c>
      <c r="D2107" s="53" t="n">
        <v>2</v>
      </c>
      <c r="E2107" s="65" t="str">
        <f aca="false">IF($H2107="","",购销流水!$B531)</f>
        <v/>
      </c>
      <c r="F2107" s="55" t="str">
        <f aca="false">IF($H2107="","",购销流水!$C531)</f>
        <v/>
      </c>
      <c r="G2107" s="48" t="str">
        <f aca="false">IF($H2107="","",购销流水!$N531)</f>
        <v/>
      </c>
      <c r="H2107" s="10" t="str">
        <f aca="false">IF($L2107="","",IF($L2107="@成本",购销流水!$U531,IF($L2107="@收入",购销流水!$T531,IF($L2107="@存货",购销流水!$S531,IF($L2107="@结算",购销流水!$R531,$L2107)))))</f>
        <v/>
      </c>
      <c r="I2107" s="42" t="n">
        <f aca="false">IF($M2107="借",$O2107,0)</f>
        <v>0</v>
      </c>
      <c r="J2107" s="42" t="n">
        <f aca="false">IF($M2107="贷",$O2107,0)</f>
        <v>0</v>
      </c>
      <c r="K2107" s="48" t="str">
        <f aca="false">IF($H2107="","",购销流水!$E531)</f>
        <v/>
      </c>
      <c r="L2107" s="66" t="str">
        <f aca="false">IF(购销流水!$D531="","",IFERROR(INDEX(记账规则!$A$6:$N$9,MATCH(购销流水!$D531,记账规则!$A$6:$A$9,0),6),""))</f>
        <v/>
      </c>
      <c r="M2107" s="66" t="str">
        <f aca="false">IF($L2107="","",IFERROR(INDEX(记账规则!$A$6:$N$9,MATCH(购销流水!$D531,记账规则!$A$6:$A$9,0),7),""))</f>
        <v/>
      </c>
      <c r="N2107" s="66" t="str">
        <f aca="false">IF($L2107="","",IFERROR(INDEX(记账规则!$A$6:$N$9,MATCH(购销流水!$D531,记账规则!$A$6:$A$9,0),8),""))</f>
        <v/>
      </c>
      <c r="O2107" s="67" t="n">
        <f aca="false">IF($H2107="",0,ROUND(IF($N2107="成本金额",N(购销流水!$W531),IF($N2107="金额",N(购销流水!$Q531),0)),2))</f>
        <v>0</v>
      </c>
      <c r="P2107" s="64" t="str">
        <f aca="false">IF(AND($H2107&lt;&gt;"",ROUND($O2107,2)&lt;&gt;0),"有","")</f>
        <v/>
      </c>
    </row>
    <row r="2108" customFormat="false" ht="15" hidden="true" customHeight="false" outlineLevel="0" collapsed="false">
      <c r="A2108" s="53" t="str">
        <f aca="false">IF($H2108="","",ROW()-5)</f>
        <v/>
      </c>
      <c r="B2108" s="64" t="s">
        <v>36</v>
      </c>
      <c r="C2108" s="53" t="n">
        <v>531</v>
      </c>
      <c r="D2108" s="53" t="n">
        <v>3</v>
      </c>
      <c r="E2108" s="65" t="str">
        <f aca="false">IF($H2108="","",购销流水!$B531)</f>
        <v/>
      </c>
      <c r="F2108" s="55" t="str">
        <f aca="false">IF($H2108="","",购销流水!$C531)</f>
        <v/>
      </c>
      <c r="G2108" s="48" t="str">
        <f aca="false">IF($H2108="","",购销流水!$N531)</f>
        <v/>
      </c>
      <c r="H2108" s="10" t="str">
        <f aca="false">IF($L2108="","",IF($L2108="@成本",购销流水!$U531,IF($L2108="@收入",购销流水!$T531,IF($L2108="@存货",购销流水!$S531,IF($L2108="@结算",购销流水!$R531,$L2108)))))</f>
        <v/>
      </c>
      <c r="I2108" s="42" t="n">
        <f aca="false">IF($M2108="借",$O2108,0)</f>
        <v>0</v>
      </c>
      <c r="J2108" s="42" t="n">
        <f aca="false">IF($M2108="贷",$O2108,0)</f>
        <v>0</v>
      </c>
      <c r="K2108" s="48" t="str">
        <f aca="false">IF($H2108="","",购销流水!$E531)</f>
        <v/>
      </c>
      <c r="L2108" s="66" t="str">
        <f aca="false">IF(购销流水!$D531="","",IFERROR(INDEX(记账规则!$A$6:$N$9,MATCH(购销流水!$D531,记账规则!$A$6:$A$9,0),9),""))</f>
        <v/>
      </c>
      <c r="M2108" s="66" t="str">
        <f aca="false">IF($L2108="","",IFERROR(INDEX(记账规则!$A$6:$N$9,MATCH(购销流水!$D531,记账规则!$A$6:$A$9,0),10),""))</f>
        <v/>
      </c>
      <c r="N2108" s="66" t="str">
        <f aca="false">IF($L2108="","",IFERROR(INDEX(记账规则!$A$6:$N$9,MATCH(购销流水!$D531,记账规则!$A$6:$A$9,0),11),""))</f>
        <v/>
      </c>
      <c r="O2108" s="67" t="n">
        <f aca="false">IF($H2108="",0,ROUND(IF($N2108="成本金额",N(购销流水!$W531),IF($N2108="金额",N(购销流水!$Q531),0)),2))</f>
        <v>0</v>
      </c>
      <c r="P2108" s="64" t="str">
        <f aca="false">IF(AND($H2108&lt;&gt;"",ROUND($O2108,2)&lt;&gt;0),"有","")</f>
        <v/>
      </c>
    </row>
    <row r="2109" customFormat="false" ht="15" hidden="true" customHeight="false" outlineLevel="0" collapsed="false">
      <c r="A2109" s="53" t="str">
        <f aca="false">IF($H2109="","",ROW()-5)</f>
        <v/>
      </c>
      <c r="B2109" s="64" t="s">
        <v>36</v>
      </c>
      <c r="C2109" s="53" t="n">
        <v>531</v>
      </c>
      <c r="D2109" s="53" t="n">
        <v>4</v>
      </c>
      <c r="E2109" s="65" t="str">
        <f aca="false">IF($H2109="","",购销流水!$B531)</f>
        <v/>
      </c>
      <c r="F2109" s="55" t="str">
        <f aca="false">IF($H2109="","",购销流水!$C531)</f>
        <v/>
      </c>
      <c r="G2109" s="48" t="str">
        <f aca="false">IF($H2109="","",购销流水!$N531)</f>
        <v/>
      </c>
      <c r="H2109" s="10" t="str">
        <f aca="false">IF($L2109="","",IF($L2109="@成本",购销流水!$U531,IF($L2109="@收入",购销流水!$T531,IF($L2109="@存货",购销流水!$S531,IF($L2109="@结算",购销流水!$R531,$L2109)))))</f>
        <v/>
      </c>
      <c r="I2109" s="42" t="n">
        <f aca="false">IF($M2109="借",$O2109,0)</f>
        <v>0</v>
      </c>
      <c r="J2109" s="42" t="n">
        <f aca="false">IF($M2109="贷",$O2109,0)</f>
        <v>0</v>
      </c>
      <c r="K2109" s="48" t="str">
        <f aca="false">IF($H2109="","",购销流水!$E531)</f>
        <v/>
      </c>
      <c r="L2109" s="66" t="str">
        <f aca="false">IF(购销流水!$D531="","",IFERROR(INDEX(记账规则!$A$6:$N$9,MATCH(购销流水!$D531,记账规则!$A$6:$A$9,0),12),""))</f>
        <v/>
      </c>
      <c r="M2109" s="66" t="str">
        <f aca="false">IF($L2109="","",IFERROR(INDEX(记账规则!$A$6:$N$9,MATCH(购销流水!$D531,记账规则!$A$6:$A$9,0),13),""))</f>
        <v/>
      </c>
      <c r="N2109" s="66" t="str">
        <f aca="false">IF($L2109="","",IFERROR(INDEX(记账规则!$A$6:$N$9,MATCH(购销流水!$D531,记账规则!$A$6:$A$9,0),14),""))</f>
        <v/>
      </c>
      <c r="O2109" s="67" t="n">
        <f aca="false">IF($H2109="",0,ROUND(IF($N2109="成本金额",N(购销流水!$W531),IF($N2109="金额",N(购销流水!$Q531),0)),2))</f>
        <v>0</v>
      </c>
      <c r="P2109" s="64" t="str">
        <f aca="false">IF(AND($H2109&lt;&gt;"",ROUND($O2109,2)&lt;&gt;0),"有","")</f>
        <v/>
      </c>
    </row>
    <row r="2110" customFormat="false" ht="15" hidden="true" customHeight="false" outlineLevel="0" collapsed="false">
      <c r="A2110" s="53" t="str">
        <f aca="false">IF($H2110="","",ROW()-5)</f>
        <v/>
      </c>
      <c r="B2110" s="64" t="s">
        <v>36</v>
      </c>
      <c r="C2110" s="53" t="n">
        <v>532</v>
      </c>
      <c r="D2110" s="53" t="n">
        <v>1</v>
      </c>
      <c r="E2110" s="65" t="str">
        <f aca="false">IF($H2110="","",购销流水!$B532)</f>
        <v/>
      </c>
      <c r="F2110" s="55" t="str">
        <f aca="false">IF($H2110="","",购销流水!$C532)</f>
        <v/>
      </c>
      <c r="G2110" s="48" t="str">
        <f aca="false">IF($H2110="","",购销流水!$N532)</f>
        <v/>
      </c>
      <c r="H2110" s="10" t="str">
        <f aca="false">IF($L2110="","",IF($L2110="@成本",购销流水!$U532,IF($L2110="@收入",购销流水!$T532,IF($L2110="@存货",购销流水!$S532,IF($L2110="@结算",购销流水!$R532,$L2110)))))</f>
        <v/>
      </c>
      <c r="I2110" s="42" t="n">
        <f aca="false">IF($M2110="借",$O2110,0)</f>
        <v>0</v>
      </c>
      <c r="J2110" s="42" t="n">
        <f aca="false">IF($M2110="贷",$O2110,0)</f>
        <v>0</v>
      </c>
      <c r="K2110" s="48" t="str">
        <f aca="false">IF($H2110="","",购销流水!$E532)</f>
        <v/>
      </c>
      <c r="L2110" s="66" t="str">
        <f aca="false">IF(购销流水!$D532="","",IFERROR(INDEX(记账规则!$A$6:$N$9,MATCH(购销流水!$D532,记账规则!$A$6:$A$9,0),3),""))</f>
        <v/>
      </c>
      <c r="M2110" s="66" t="str">
        <f aca="false">IF($L2110="","",IFERROR(INDEX(记账规则!$A$6:$N$9,MATCH(购销流水!$D532,记账规则!$A$6:$A$9,0),4),""))</f>
        <v/>
      </c>
      <c r="N2110" s="66" t="str">
        <f aca="false">IF($L2110="","",IFERROR(INDEX(记账规则!$A$6:$N$9,MATCH(购销流水!$D532,记账规则!$A$6:$A$9,0),5),""))</f>
        <v/>
      </c>
      <c r="O2110" s="67" t="n">
        <f aca="false">IF($H2110="",0,ROUND(IF($N2110="成本金额",N(购销流水!$W532),IF($N2110="金额",N(购销流水!$Q532),0)),2))</f>
        <v>0</v>
      </c>
      <c r="P2110" s="64" t="str">
        <f aca="false">IF(AND($H2110&lt;&gt;"",ROUND($O2110,2)&lt;&gt;0),"有","")</f>
        <v/>
      </c>
    </row>
    <row r="2111" customFormat="false" ht="15" hidden="true" customHeight="false" outlineLevel="0" collapsed="false">
      <c r="A2111" s="53" t="str">
        <f aca="false">IF($H2111="","",ROW()-5)</f>
        <v/>
      </c>
      <c r="B2111" s="64" t="s">
        <v>36</v>
      </c>
      <c r="C2111" s="53" t="n">
        <v>532</v>
      </c>
      <c r="D2111" s="53" t="n">
        <v>2</v>
      </c>
      <c r="E2111" s="65" t="str">
        <f aca="false">IF($H2111="","",购销流水!$B532)</f>
        <v/>
      </c>
      <c r="F2111" s="55" t="str">
        <f aca="false">IF($H2111="","",购销流水!$C532)</f>
        <v/>
      </c>
      <c r="G2111" s="48" t="str">
        <f aca="false">IF($H2111="","",购销流水!$N532)</f>
        <v/>
      </c>
      <c r="H2111" s="10" t="str">
        <f aca="false">IF($L2111="","",IF($L2111="@成本",购销流水!$U532,IF($L2111="@收入",购销流水!$T532,IF($L2111="@存货",购销流水!$S532,IF($L2111="@结算",购销流水!$R532,$L2111)))))</f>
        <v/>
      </c>
      <c r="I2111" s="42" t="n">
        <f aca="false">IF($M2111="借",$O2111,0)</f>
        <v>0</v>
      </c>
      <c r="J2111" s="42" t="n">
        <f aca="false">IF($M2111="贷",$O2111,0)</f>
        <v>0</v>
      </c>
      <c r="K2111" s="48" t="str">
        <f aca="false">IF($H2111="","",购销流水!$E532)</f>
        <v/>
      </c>
      <c r="L2111" s="66" t="str">
        <f aca="false">IF(购销流水!$D532="","",IFERROR(INDEX(记账规则!$A$6:$N$9,MATCH(购销流水!$D532,记账规则!$A$6:$A$9,0),6),""))</f>
        <v/>
      </c>
      <c r="M2111" s="66" t="str">
        <f aca="false">IF($L2111="","",IFERROR(INDEX(记账规则!$A$6:$N$9,MATCH(购销流水!$D532,记账规则!$A$6:$A$9,0),7),""))</f>
        <v/>
      </c>
      <c r="N2111" s="66" t="str">
        <f aca="false">IF($L2111="","",IFERROR(INDEX(记账规则!$A$6:$N$9,MATCH(购销流水!$D532,记账规则!$A$6:$A$9,0),8),""))</f>
        <v/>
      </c>
      <c r="O2111" s="67" t="n">
        <f aca="false">IF($H2111="",0,ROUND(IF($N2111="成本金额",N(购销流水!$W532),IF($N2111="金额",N(购销流水!$Q532),0)),2))</f>
        <v>0</v>
      </c>
      <c r="P2111" s="64" t="str">
        <f aca="false">IF(AND($H2111&lt;&gt;"",ROUND($O2111,2)&lt;&gt;0),"有","")</f>
        <v/>
      </c>
    </row>
    <row r="2112" customFormat="false" ht="15" hidden="true" customHeight="false" outlineLevel="0" collapsed="false">
      <c r="A2112" s="53" t="str">
        <f aca="false">IF($H2112="","",ROW()-5)</f>
        <v/>
      </c>
      <c r="B2112" s="64" t="s">
        <v>36</v>
      </c>
      <c r="C2112" s="53" t="n">
        <v>532</v>
      </c>
      <c r="D2112" s="53" t="n">
        <v>3</v>
      </c>
      <c r="E2112" s="65" t="str">
        <f aca="false">IF($H2112="","",购销流水!$B532)</f>
        <v/>
      </c>
      <c r="F2112" s="55" t="str">
        <f aca="false">IF($H2112="","",购销流水!$C532)</f>
        <v/>
      </c>
      <c r="G2112" s="48" t="str">
        <f aca="false">IF($H2112="","",购销流水!$N532)</f>
        <v/>
      </c>
      <c r="H2112" s="10" t="str">
        <f aca="false">IF($L2112="","",IF($L2112="@成本",购销流水!$U532,IF($L2112="@收入",购销流水!$T532,IF($L2112="@存货",购销流水!$S532,IF($L2112="@结算",购销流水!$R532,$L2112)))))</f>
        <v/>
      </c>
      <c r="I2112" s="42" t="n">
        <f aca="false">IF($M2112="借",$O2112,0)</f>
        <v>0</v>
      </c>
      <c r="J2112" s="42" t="n">
        <f aca="false">IF($M2112="贷",$O2112,0)</f>
        <v>0</v>
      </c>
      <c r="K2112" s="48" t="str">
        <f aca="false">IF($H2112="","",购销流水!$E532)</f>
        <v/>
      </c>
      <c r="L2112" s="66" t="str">
        <f aca="false">IF(购销流水!$D532="","",IFERROR(INDEX(记账规则!$A$6:$N$9,MATCH(购销流水!$D532,记账规则!$A$6:$A$9,0),9),""))</f>
        <v/>
      </c>
      <c r="M2112" s="66" t="str">
        <f aca="false">IF($L2112="","",IFERROR(INDEX(记账规则!$A$6:$N$9,MATCH(购销流水!$D532,记账规则!$A$6:$A$9,0),10),""))</f>
        <v/>
      </c>
      <c r="N2112" s="66" t="str">
        <f aca="false">IF($L2112="","",IFERROR(INDEX(记账规则!$A$6:$N$9,MATCH(购销流水!$D532,记账规则!$A$6:$A$9,0),11),""))</f>
        <v/>
      </c>
      <c r="O2112" s="67" t="n">
        <f aca="false">IF($H2112="",0,ROUND(IF($N2112="成本金额",N(购销流水!$W532),IF($N2112="金额",N(购销流水!$Q532),0)),2))</f>
        <v>0</v>
      </c>
      <c r="P2112" s="64" t="str">
        <f aca="false">IF(AND($H2112&lt;&gt;"",ROUND($O2112,2)&lt;&gt;0),"有","")</f>
        <v/>
      </c>
    </row>
    <row r="2113" customFormat="false" ht="15" hidden="true" customHeight="false" outlineLevel="0" collapsed="false">
      <c r="A2113" s="53" t="str">
        <f aca="false">IF($H2113="","",ROW()-5)</f>
        <v/>
      </c>
      <c r="B2113" s="64" t="s">
        <v>36</v>
      </c>
      <c r="C2113" s="53" t="n">
        <v>532</v>
      </c>
      <c r="D2113" s="53" t="n">
        <v>4</v>
      </c>
      <c r="E2113" s="65" t="str">
        <f aca="false">IF($H2113="","",购销流水!$B532)</f>
        <v/>
      </c>
      <c r="F2113" s="55" t="str">
        <f aca="false">IF($H2113="","",购销流水!$C532)</f>
        <v/>
      </c>
      <c r="G2113" s="48" t="str">
        <f aca="false">IF($H2113="","",购销流水!$N532)</f>
        <v/>
      </c>
      <c r="H2113" s="10" t="str">
        <f aca="false">IF($L2113="","",IF($L2113="@成本",购销流水!$U532,IF($L2113="@收入",购销流水!$T532,IF($L2113="@存货",购销流水!$S532,IF($L2113="@结算",购销流水!$R532,$L2113)))))</f>
        <v/>
      </c>
      <c r="I2113" s="42" t="n">
        <f aca="false">IF($M2113="借",$O2113,0)</f>
        <v>0</v>
      </c>
      <c r="J2113" s="42" t="n">
        <f aca="false">IF($M2113="贷",$O2113,0)</f>
        <v>0</v>
      </c>
      <c r="K2113" s="48" t="str">
        <f aca="false">IF($H2113="","",购销流水!$E532)</f>
        <v/>
      </c>
      <c r="L2113" s="66" t="str">
        <f aca="false">IF(购销流水!$D532="","",IFERROR(INDEX(记账规则!$A$6:$N$9,MATCH(购销流水!$D532,记账规则!$A$6:$A$9,0),12),""))</f>
        <v/>
      </c>
      <c r="M2113" s="66" t="str">
        <f aca="false">IF($L2113="","",IFERROR(INDEX(记账规则!$A$6:$N$9,MATCH(购销流水!$D532,记账规则!$A$6:$A$9,0),13),""))</f>
        <v/>
      </c>
      <c r="N2113" s="66" t="str">
        <f aca="false">IF($L2113="","",IFERROR(INDEX(记账规则!$A$6:$N$9,MATCH(购销流水!$D532,记账规则!$A$6:$A$9,0),14),""))</f>
        <v/>
      </c>
      <c r="O2113" s="67" t="n">
        <f aca="false">IF($H2113="",0,ROUND(IF($N2113="成本金额",N(购销流水!$W532),IF($N2113="金额",N(购销流水!$Q532),0)),2))</f>
        <v>0</v>
      </c>
      <c r="P2113" s="64" t="str">
        <f aca="false">IF(AND($H2113&lt;&gt;"",ROUND($O2113,2)&lt;&gt;0),"有","")</f>
        <v/>
      </c>
    </row>
    <row r="2114" customFormat="false" ht="15" hidden="true" customHeight="false" outlineLevel="0" collapsed="false">
      <c r="A2114" s="53" t="str">
        <f aca="false">IF($H2114="","",ROW()-5)</f>
        <v/>
      </c>
      <c r="B2114" s="64" t="s">
        <v>36</v>
      </c>
      <c r="C2114" s="53" t="n">
        <v>533</v>
      </c>
      <c r="D2114" s="53" t="n">
        <v>1</v>
      </c>
      <c r="E2114" s="65" t="str">
        <f aca="false">IF($H2114="","",购销流水!$B533)</f>
        <v/>
      </c>
      <c r="F2114" s="55" t="str">
        <f aca="false">IF($H2114="","",购销流水!$C533)</f>
        <v/>
      </c>
      <c r="G2114" s="48" t="str">
        <f aca="false">IF($H2114="","",购销流水!$N533)</f>
        <v/>
      </c>
      <c r="H2114" s="10" t="str">
        <f aca="false">IF($L2114="","",IF($L2114="@成本",购销流水!$U533,IF($L2114="@收入",购销流水!$T533,IF($L2114="@存货",购销流水!$S533,IF($L2114="@结算",购销流水!$R533,$L2114)))))</f>
        <v/>
      </c>
      <c r="I2114" s="42" t="n">
        <f aca="false">IF($M2114="借",$O2114,0)</f>
        <v>0</v>
      </c>
      <c r="J2114" s="42" t="n">
        <f aca="false">IF($M2114="贷",$O2114,0)</f>
        <v>0</v>
      </c>
      <c r="K2114" s="48" t="str">
        <f aca="false">IF($H2114="","",购销流水!$E533)</f>
        <v/>
      </c>
      <c r="L2114" s="66" t="str">
        <f aca="false">IF(购销流水!$D533="","",IFERROR(INDEX(记账规则!$A$6:$N$9,MATCH(购销流水!$D533,记账规则!$A$6:$A$9,0),3),""))</f>
        <v/>
      </c>
      <c r="M2114" s="66" t="str">
        <f aca="false">IF($L2114="","",IFERROR(INDEX(记账规则!$A$6:$N$9,MATCH(购销流水!$D533,记账规则!$A$6:$A$9,0),4),""))</f>
        <v/>
      </c>
      <c r="N2114" s="66" t="str">
        <f aca="false">IF($L2114="","",IFERROR(INDEX(记账规则!$A$6:$N$9,MATCH(购销流水!$D533,记账规则!$A$6:$A$9,0),5),""))</f>
        <v/>
      </c>
      <c r="O2114" s="67" t="n">
        <f aca="false">IF($H2114="",0,ROUND(IF($N2114="成本金额",N(购销流水!$W533),IF($N2114="金额",N(购销流水!$Q533),0)),2))</f>
        <v>0</v>
      </c>
      <c r="P2114" s="64" t="str">
        <f aca="false">IF(AND($H2114&lt;&gt;"",ROUND($O2114,2)&lt;&gt;0),"有","")</f>
        <v/>
      </c>
    </row>
    <row r="2115" customFormat="false" ht="15" hidden="true" customHeight="false" outlineLevel="0" collapsed="false">
      <c r="A2115" s="53" t="str">
        <f aca="false">IF($H2115="","",ROW()-5)</f>
        <v/>
      </c>
      <c r="B2115" s="64" t="s">
        <v>36</v>
      </c>
      <c r="C2115" s="53" t="n">
        <v>533</v>
      </c>
      <c r="D2115" s="53" t="n">
        <v>2</v>
      </c>
      <c r="E2115" s="65" t="str">
        <f aca="false">IF($H2115="","",购销流水!$B533)</f>
        <v/>
      </c>
      <c r="F2115" s="55" t="str">
        <f aca="false">IF($H2115="","",购销流水!$C533)</f>
        <v/>
      </c>
      <c r="G2115" s="48" t="str">
        <f aca="false">IF($H2115="","",购销流水!$N533)</f>
        <v/>
      </c>
      <c r="H2115" s="10" t="str">
        <f aca="false">IF($L2115="","",IF($L2115="@成本",购销流水!$U533,IF($L2115="@收入",购销流水!$T533,IF($L2115="@存货",购销流水!$S533,IF($L2115="@结算",购销流水!$R533,$L2115)))))</f>
        <v/>
      </c>
      <c r="I2115" s="42" t="n">
        <f aca="false">IF($M2115="借",$O2115,0)</f>
        <v>0</v>
      </c>
      <c r="J2115" s="42" t="n">
        <f aca="false">IF($M2115="贷",$O2115,0)</f>
        <v>0</v>
      </c>
      <c r="K2115" s="48" t="str">
        <f aca="false">IF($H2115="","",购销流水!$E533)</f>
        <v/>
      </c>
      <c r="L2115" s="66" t="str">
        <f aca="false">IF(购销流水!$D533="","",IFERROR(INDEX(记账规则!$A$6:$N$9,MATCH(购销流水!$D533,记账规则!$A$6:$A$9,0),6),""))</f>
        <v/>
      </c>
      <c r="M2115" s="66" t="str">
        <f aca="false">IF($L2115="","",IFERROR(INDEX(记账规则!$A$6:$N$9,MATCH(购销流水!$D533,记账规则!$A$6:$A$9,0),7),""))</f>
        <v/>
      </c>
      <c r="N2115" s="66" t="str">
        <f aca="false">IF($L2115="","",IFERROR(INDEX(记账规则!$A$6:$N$9,MATCH(购销流水!$D533,记账规则!$A$6:$A$9,0),8),""))</f>
        <v/>
      </c>
      <c r="O2115" s="67" t="n">
        <f aca="false">IF($H2115="",0,ROUND(IF($N2115="成本金额",N(购销流水!$W533),IF($N2115="金额",N(购销流水!$Q533),0)),2))</f>
        <v>0</v>
      </c>
      <c r="P2115" s="64" t="str">
        <f aca="false">IF(AND($H2115&lt;&gt;"",ROUND($O2115,2)&lt;&gt;0),"有","")</f>
        <v/>
      </c>
    </row>
    <row r="2116" customFormat="false" ht="15" hidden="true" customHeight="false" outlineLevel="0" collapsed="false">
      <c r="A2116" s="53" t="str">
        <f aca="false">IF($H2116="","",ROW()-5)</f>
        <v/>
      </c>
      <c r="B2116" s="64" t="s">
        <v>36</v>
      </c>
      <c r="C2116" s="53" t="n">
        <v>533</v>
      </c>
      <c r="D2116" s="53" t="n">
        <v>3</v>
      </c>
      <c r="E2116" s="65" t="str">
        <f aca="false">IF($H2116="","",购销流水!$B533)</f>
        <v/>
      </c>
      <c r="F2116" s="55" t="str">
        <f aca="false">IF($H2116="","",购销流水!$C533)</f>
        <v/>
      </c>
      <c r="G2116" s="48" t="str">
        <f aca="false">IF($H2116="","",购销流水!$N533)</f>
        <v/>
      </c>
      <c r="H2116" s="10" t="str">
        <f aca="false">IF($L2116="","",IF($L2116="@成本",购销流水!$U533,IF($L2116="@收入",购销流水!$T533,IF($L2116="@存货",购销流水!$S533,IF($L2116="@结算",购销流水!$R533,$L2116)))))</f>
        <v/>
      </c>
      <c r="I2116" s="42" t="n">
        <f aca="false">IF($M2116="借",$O2116,0)</f>
        <v>0</v>
      </c>
      <c r="J2116" s="42" t="n">
        <f aca="false">IF($M2116="贷",$O2116,0)</f>
        <v>0</v>
      </c>
      <c r="K2116" s="48" t="str">
        <f aca="false">IF($H2116="","",购销流水!$E533)</f>
        <v/>
      </c>
      <c r="L2116" s="66" t="str">
        <f aca="false">IF(购销流水!$D533="","",IFERROR(INDEX(记账规则!$A$6:$N$9,MATCH(购销流水!$D533,记账规则!$A$6:$A$9,0),9),""))</f>
        <v/>
      </c>
      <c r="M2116" s="66" t="str">
        <f aca="false">IF($L2116="","",IFERROR(INDEX(记账规则!$A$6:$N$9,MATCH(购销流水!$D533,记账规则!$A$6:$A$9,0),10),""))</f>
        <v/>
      </c>
      <c r="N2116" s="66" t="str">
        <f aca="false">IF($L2116="","",IFERROR(INDEX(记账规则!$A$6:$N$9,MATCH(购销流水!$D533,记账规则!$A$6:$A$9,0),11),""))</f>
        <v/>
      </c>
      <c r="O2116" s="67" t="n">
        <f aca="false">IF($H2116="",0,ROUND(IF($N2116="成本金额",N(购销流水!$W533),IF($N2116="金额",N(购销流水!$Q533),0)),2))</f>
        <v>0</v>
      </c>
      <c r="P2116" s="64" t="str">
        <f aca="false">IF(AND($H2116&lt;&gt;"",ROUND($O2116,2)&lt;&gt;0),"有","")</f>
        <v/>
      </c>
    </row>
    <row r="2117" customFormat="false" ht="15" hidden="true" customHeight="false" outlineLevel="0" collapsed="false">
      <c r="A2117" s="53" t="str">
        <f aca="false">IF($H2117="","",ROW()-5)</f>
        <v/>
      </c>
      <c r="B2117" s="64" t="s">
        <v>36</v>
      </c>
      <c r="C2117" s="53" t="n">
        <v>533</v>
      </c>
      <c r="D2117" s="53" t="n">
        <v>4</v>
      </c>
      <c r="E2117" s="65" t="str">
        <f aca="false">IF($H2117="","",购销流水!$B533)</f>
        <v/>
      </c>
      <c r="F2117" s="55" t="str">
        <f aca="false">IF($H2117="","",购销流水!$C533)</f>
        <v/>
      </c>
      <c r="G2117" s="48" t="str">
        <f aca="false">IF($H2117="","",购销流水!$N533)</f>
        <v/>
      </c>
      <c r="H2117" s="10" t="str">
        <f aca="false">IF($L2117="","",IF($L2117="@成本",购销流水!$U533,IF($L2117="@收入",购销流水!$T533,IF($L2117="@存货",购销流水!$S533,IF($L2117="@结算",购销流水!$R533,$L2117)))))</f>
        <v/>
      </c>
      <c r="I2117" s="42" t="n">
        <f aca="false">IF($M2117="借",$O2117,0)</f>
        <v>0</v>
      </c>
      <c r="J2117" s="42" t="n">
        <f aca="false">IF($M2117="贷",$O2117,0)</f>
        <v>0</v>
      </c>
      <c r="K2117" s="48" t="str">
        <f aca="false">IF($H2117="","",购销流水!$E533)</f>
        <v/>
      </c>
      <c r="L2117" s="66" t="str">
        <f aca="false">IF(购销流水!$D533="","",IFERROR(INDEX(记账规则!$A$6:$N$9,MATCH(购销流水!$D533,记账规则!$A$6:$A$9,0),12),""))</f>
        <v/>
      </c>
      <c r="M2117" s="66" t="str">
        <f aca="false">IF($L2117="","",IFERROR(INDEX(记账规则!$A$6:$N$9,MATCH(购销流水!$D533,记账规则!$A$6:$A$9,0),13),""))</f>
        <v/>
      </c>
      <c r="N2117" s="66" t="str">
        <f aca="false">IF($L2117="","",IFERROR(INDEX(记账规则!$A$6:$N$9,MATCH(购销流水!$D533,记账规则!$A$6:$A$9,0),14),""))</f>
        <v/>
      </c>
      <c r="O2117" s="67" t="n">
        <f aca="false">IF($H2117="",0,ROUND(IF($N2117="成本金额",N(购销流水!$W533),IF($N2117="金额",N(购销流水!$Q533),0)),2))</f>
        <v>0</v>
      </c>
      <c r="P2117" s="64" t="str">
        <f aca="false">IF(AND($H2117&lt;&gt;"",ROUND($O2117,2)&lt;&gt;0),"有","")</f>
        <v/>
      </c>
    </row>
    <row r="2118" customFormat="false" ht="15" hidden="true" customHeight="false" outlineLevel="0" collapsed="false">
      <c r="A2118" s="53" t="str">
        <f aca="false">IF($H2118="","",ROW()-5)</f>
        <v/>
      </c>
      <c r="B2118" s="64" t="s">
        <v>36</v>
      </c>
      <c r="C2118" s="53" t="n">
        <v>534</v>
      </c>
      <c r="D2118" s="53" t="n">
        <v>1</v>
      </c>
      <c r="E2118" s="65" t="str">
        <f aca="false">IF($H2118="","",购销流水!$B534)</f>
        <v/>
      </c>
      <c r="F2118" s="55" t="str">
        <f aca="false">IF($H2118="","",购销流水!$C534)</f>
        <v/>
      </c>
      <c r="G2118" s="48" t="str">
        <f aca="false">IF($H2118="","",购销流水!$N534)</f>
        <v/>
      </c>
      <c r="H2118" s="10" t="str">
        <f aca="false">IF($L2118="","",IF($L2118="@成本",购销流水!$U534,IF($L2118="@收入",购销流水!$T534,IF($L2118="@存货",购销流水!$S534,IF($L2118="@结算",购销流水!$R534,$L2118)))))</f>
        <v/>
      </c>
      <c r="I2118" s="42" t="n">
        <f aca="false">IF($M2118="借",$O2118,0)</f>
        <v>0</v>
      </c>
      <c r="J2118" s="42" t="n">
        <f aca="false">IF($M2118="贷",$O2118,0)</f>
        <v>0</v>
      </c>
      <c r="K2118" s="48" t="str">
        <f aca="false">IF($H2118="","",购销流水!$E534)</f>
        <v/>
      </c>
      <c r="L2118" s="66" t="str">
        <f aca="false">IF(购销流水!$D534="","",IFERROR(INDEX(记账规则!$A$6:$N$9,MATCH(购销流水!$D534,记账规则!$A$6:$A$9,0),3),""))</f>
        <v/>
      </c>
      <c r="M2118" s="66" t="str">
        <f aca="false">IF($L2118="","",IFERROR(INDEX(记账规则!$A$6:$N$9,MATCH(购销流水!$D534,记账规则!$A$6:$A$9,0),4),""))</f>
        <v/>
      </c>
      <c r="N2118" s="66" t="str">
        <f aca="false">IF($L2118="","",IFERROR(INDEX(记账规则!$A$6:$N$9,MATCH(购销流水!$D534,记账规则!$A$6:$A$9,0),5),""))</f>
        <v/>
      </c>
      <c r="O2118" s="67" t="n">
        <f aca="false">IF($H2118="",0,ROUND(IF($N2118="成本金额",N(购销流水!$W534),IF($N2118="金额",N(购销流水!$Q534),0)),2))</f>
        <v>0</v>
      </c>
      <c r="P2118" s="64" t="str">
        <f aca="false">IF(AND($H2118&lt;&gt;"",ROUND($O2118,2)&lt;&gt;0),"有","")</f>
        <v/>
      </c>
    </row>
    <row r="2119" customFormat="false" ht="15" hidden="true" customHeight="false" outlineLevel="0" collapsed="false">
      <c r="A2119" s="53" t="str">
        <f aca="false">IF($H2119="","",ROW()-5)</f>
        <v/>
      </c>
      <c r="B2119" s="64" t="s">
        <v>36</v>
      </c>
      <c r="C2119" s="53" t="n">
        <v>534</v>
      </c>
      <c r="D2119" s="53" t="n">
        <v>2</v>
      </c>
      <c r="E2119" s="65" t="str">
        <f aca="false">IF($H2119="","",购销流水!$B534)</f>
        <v/>
      </c>
      <c r="F2119" s="55" t="str">
        <f aca="false">IF($H2119="","",购销流水!$C534)</f>
        <v/>
      </c>
      <c r="G2119" s="48" t="str">
        <f aca="false">IF($H2119="","",购销流水!$N534)</f>
        <v/>
      </c>
      <c r="H2119" s="10" t="str">
        <f aca="false">IF($L2119="","",IF($L2119="@成本",购销流水!$U534,IF($L2119="@收入",购销流水!$T534,IF($L2119="@存货",购销流水!$S534,IF($L2119="@结算",购销流水!$R534,$L2119)))))</f>
        <v/>
      </c>
      <c r="I2119" s="42" t="n">
        <f aca="false">IF($M2119="借",$O2119,0)</f>
        <v>0</v>
      </c>
      <c r="J2119" s="42" t="n">
        <f aca="false">IF($M2119="贷",$O2119,0)</f>
        <v>0</v>
      </c>
      <c r="K2119" s="48" t="str">
        <f aca="false">IF($H2119="","",购销流水!$E534)</f>
        <v/>
      </c>
      <c r="L2119" s="66" t="str">
        <f aca="false">IF(购销流水!$D534="","",IFERROR(INDEX(记账规则!$A$6:$N$9,MATCH(购销流水!$D534,记账规则!$A$6:$A$9,0),6),""))</f>
        <v/>
      </c>
      <c r="M2119" s="66" t="str">
        <f aca="false">IF($L2119="","",IFERROR(INDEX(记账规则!$A$6:$N$9,MATCH(购销流水!$D534,记账规则!$A$6:$A$9,0),7),""))</f>
        <v/>
      </c>
      <c r="N2119" s="66" t="str">
        <f aca="false">IF($L2119="","",IFERROR(INDEX(记账规则!$A$6:$N$9,MATCH(购销流水!$D534,记账规则!$A$6:$A$9,0),8),""))</f>
        <v/>
      </c>
      <c r="O2119" s="67" t="n">
        <f aca="false">IF($H2119="",0,ROUND(IF($N2119="成本金额",N(购销流水!$W534),IF($N2119="金额",N(购销流水!$Q534),0)),2))</f>
        <v>0</v>
      </c>
      <c r="P2119" s="64" t="str">
        <f aca="false">IF(AND($H2119&lt;&gt;"",ROUND($O2119,2)&lt;&gt;0),"有","")</f>
        <v/>
      </c>
    </row>
    <row r="2120" customFormat="false" ht="15" hidden="true" customHeight="false" outlineLevel="0" collapsed="false">
      <c r="A2120" s="53" t="str">
        <f aca="false">IF($H2120="","",ROW()-5)</f>
        <v/>
      </c>
      <c r="B2120" s="64" t="s">
        <v>36</v>
      </c>
      <c r="C2120" s="53" t="n">
        <v>534</v>
      </c>
      <c r="D2120" s="53" t="n">
        <v>3</v>
      </c>
      <c r="E2120" s="65" t="str">
        <f aca="false">IF($H2120="","",购销流水!$B534)</f>
        <v/>
      </c>
      <c r="F2120" s="55" t="str">
        <f aca="false">IF($H2120="","",购销流水!$C534)</f>
        <v/>
      </c>
      <c r="G2120" s="48" t="str">
        <f aca="false">IF($H2120="","",购销流水!$N534)</f>
        <v/>
      </c>
      <c r="H2120" s="10" t="str">
        <f aca="false">IF($L2120="","",IF($L2120="@成本",购销流水!$U534,IF($L2120="@收入",购销流水!$T534,IF($L2120="@存货",购销流水!$S534,IF($L2120="@结算",购销流水!$R534,$L2120)))))</f>
        <v/>
      </c>
      <c r="I2120" s="42" t="n">
        <f aca="false">IF($M2120="借",$O2120,0)</f>
        <v>0</v>
      </c>
      <c r="J2120" s="42" t="n">
        <f aca="false">IF($M2120="贷",$O2120,0)</f>
        <v>0</v>
      </c>
      <c r="K2120" s="48" t="str">
        <f aca="false">IF($H2120="","",购销流水!$E534)</f>
        <v/>
      </c>
      <c r="L2120" s="66" t="str">
        <f aca="false">IF(购销流水!$D534="","",IFERROR(INDEX(记账规则!$A$6:$N$9,MATCH(购销流水!$D534,记账规则!$A$6:$A$9,0),9),""))</f>
        <v/>
      </c>
      <c r="M2120" s="66" t="str">
        <f aca="false">IF($L2120="","",IFERROR(INDEX(记账规则!$A$6:$N$9,MATCH(购销流水!$D534,记账规则!$A$6:$A$9,0),10),""))</f>
        <v/>
      </c>
      <c r="N2120" s="66" t="str">
        <f aca="false">IF($L2120="","",IFERROR(INDEX(记账规则!$A$6:$N$9,MATCH(购销流水!$D534,记账规则!$A$6:$A$9,0),11),""))</f>
        <v/>
      </c>
      <c r="O2120" s="67" t="n">
        <f aca="false">IF($H2120="",0,ROUND(IF($N2120="成本金额",N(购销流水!$W534),IF($N2120="金额",N(购销流水!$Q534),0)),2))</f>
        <v>0</v>
      </c>
      <c r="P2120" s="64" t="str">
        <f aca="false">IF(AND($H2120&lt;&gt;"",ROUND($O2120,2)&lt;&gt;0),"有","")</f>
        <v/>
      </c>
    </row>
    <row r="2121" customFormat="false" ht="15" hidden="true" customHeight="false" outlineLevel="0" collapsed="false">
      <c r="A2121" s="53" t="str">
        <f aca="false">IF($H2121="","",ROW()-5)</f>
        <v/>
      </c>
      <c r="B2121" s="64" t="s">
        <v>36</v>
      </c>
      <c r="C2121" s="53" t="n">
        <v>534</v>
      </c>
      <c r="D2121" s="53" t="n">
        <v>4</v>
      </c>
      <c r="E2121" s="65" t="str">
        <f aca="false">IF($H2121="","",购销流水!$B534)</f>
        <v/>
      </c>
      <c r="F2121" s="55" t="str">
        <f aca="false">IF($H2121="","",购销流水!$C534)</f>
        <v/>
      </c>
      <c r="G2121" s="48" t="str">
        <f aca="false">IF($H2121="","",购销流水!$N534)</f>
        <v/>
      </c>
      <c r="H2121" s="10" t="str">
        <f aca="false">IF($L2121="","",IF($L2121="@成本",购销流水!$U534,IF($L2121="@收入",购销流水!$T534,IF($L2121="@存货",购销流水!$S534,IF($L2121="@结算",购销流水!$R534,$L2121)))))</f>
        <v/>
      </c>
      <c r="I2121" s="42" t="n">
        <f aca="false">IF($M2121="借",$O2121,0)</f>
        <v>0</v>
      </c>
      <c r="J2121" s="42" t="n">
        <f aca="false">IF($M2121="贷",$O2121,0)</f>
        <v>0</v>
      </c>
      <c r="K2121" s="48" t="str">
        <f aca="false">IF($H2121="","",购销流水!$E534)</f>
        <v/>
      </c>
      <c r="L2121" s="66" t="str">
        <f aca="false">IF(购销流水!$D534="","",IFERROR(INDEX(记账规则!$A$6:$N$9,MATCH(购销流水!$D534,记账规则!$A$6:$A$9,0),12),""))</f>
        <v/>
      </c>
      <c r="M2121" s="66" t="str">
        <f aca="false">IF($L2121="","",IFERROR(INDEX(记账规则!$A$6:$N$9,MATCH(购销流水!$D534,记账规则!$A$6:$A$9,0),13),""))</f>
        <v/>
      </c>
      <c r="N2121" s="66" t="str">
        <f aca="false">IF($L2121="","",IFERROR(INDEX(记账规则!$A$6:$N$9,MATCH(购销流水!$D534,记账规则!$A$6:$A$9,0),14),""))</f>
        <v/>
      </c>
      <c r="O2121" s="67" t="n">
        <f aca="false">IF($H2121="",0,ROUND(IF($N2121="成本金额",N(购销流水!$W534),IF($N2121="金额",N(购销流水!$Q534),0)),2))</f>
        <v>0</v>
      </c>
      <c r="P2121" s="64" t="str">
        <f aca="false">IF(AND($H2121&lt;&gt;"",ROUND($O2121,2)&lt;&gt;0),"有","")</f>
        <v/>
      </c>
    </row>
    <row r="2122" customFormat="false" ht="15" hidden="true" customHeight="false" outlineLevel="0" collapsed="false">
      <c r="A2122" s="53" t="str">
        <f aca="false">IF($H2122="","",ROW()-5)</f>
        <v/>
      </c>
      <c r="B2122" s="64" t="s">
        <v>36</v>
      </c>
      <c r="C2122" s="53" t="n">
        <v>535</v>
      </c>
      <c r="D2122" s="53" t="n">
        <v>1</v>
      </c>
      <c r="E2122" s="65" t="str">
        <f aca="false">IF($H2122="","",购销流水!$B535)</f>
        <v/>
      </c>
      <c r="F2122" s="55" t="str">
        <f aca="false">IF($H2122="","",购销流水!$C535)</f>
        <v/>
      </c>
      <c r="G2122" s="48" t="str">
        <f aca="false">IF($H2122="","",购销流水!$N535)</f>
        <v/>
      </c>
      <c r="H2122" s="10" t="str">
        <f aca="false">IF($L2122="","",IF($L2122="@成本",购销流水!$U535,IF($L2122="@收入",购销流水!$T535,IF($L2122="@存货",购销流水!$S535,IF($L2122="@结算",购销流水!$R535,$L2122)))))</f>
        <v/>
      </c>
      <c r="I2122" s="42" t="n">
        <f aca="false">IF($M2122="借",$O2122,0)</f>
        <v>0</v>
      </c>
      <c r="J2122" s="42" t="n">
        <f aca="false">IF($M2122="贷",$O2122,0)</f>
        <v>0</v>
      </c>
      <c r="K2122" s="48" t="str">
        <f aca="false">IF($H2122="","",购销流水!$E535)</f>
        <v/>
      </c>
      <c r="L2122" s="66" t="str">
        <f aca="false">IF(购销流水!$D535="","",IFERROR(INDEX(记账规则!$A$6:$N$9,MATCH(购销流水!$D535,记账规则!$A$6:$A$9,0),3),""))</f>
        <v/>
      </c>
      <c r="M2122" s="66" t="str">
        <f aca="false">IF($L2122="","",IFERROR(INDEX(记账规则!$A$6:$N$9,MATCH(购销流水!$D535,记账规则!$A$6:$A$9,0),4),""))</f>
        <v/>
      </c>
      <c r="N2122" s="66" t="str">
        <f aca="false">IF($L2122="","",IFERROR(INDEX(记账规则!$A$6:$N$9,MATCH(购销流水!$D535,记账规则!$A$6:$A$9,0),5),""))</f>
        <v/>
      </c>
      <c r="O2122" s="67" t="n">
        <f aca="false">IF($H2122="",0,ROUND(IF($N2122="成本金额",N(购销流水!$W535),IF($N2122="金额",N(购销流水!$Q535),0)),2))</f>
        <v>0</v>
      </c>
      <c r="P2122" s="64" t="str">
        <f aca="false">IF(AND($H2122&lt;&gt;"",ROUND($O2122,2)&lt;&gt;0),"有","")</f>
        <v/>
      </c>
    </row>
    <row r="2123" customFormat="false" ht="15" hidden="true" customHeight="false" outlineLevel="0" collapsed="false">
      <c r="A2123" s="53" t="str">
        <f aca="false">IF($H2123="","",ROW()-5)</f>
        <v/>
      </c>
      <c r="B2123" s="64" t="s">
        <v>36</v>
      </c>
      <c r="C2123" s="53" t="n">
        <v>535</v>
      </c>
      <c r="D2123" s="53" t="n">
        <v>2</v>
      </c>
      <c r="E2123" s="65" t="str">
        <f aca="false">IF($H2123="","",购销流水!$B535)</f>
        <v/>
      </c>
      <c r="F2123" s="55" t="str">
        <f aca="false">IF($H2123="","",购销流水!$C535)</f>
        <v/>
      </c>
      <c r="G2123" s="48" t="str">
        <f aca="false">IF($H2123="","",购销流水!$N535)</f>
        <v/>
      </c>
      <c r="H2123" s="10" t="str">
        <f aca="false">IF($L2123="","",IF($L2123="@成本",购销流水!$U535,IF($L2123="@收入",购销流水!$T535,IF($L2123="@存货",购销流水!$S535,IF($L2123="@结算",购销流水!$R535,$L2123)))))</f>
        <v/>
      </c>
      <c r="I2123" s="42" t="n">
        <f aca="false">IF($M2123="借",$O2123,0)</f>
        <v>0</v>
      </c>
      <c r="J2123" s="42" t="n">
        <f aca="false">IF($M2123="贷",$O2123,0)</f>
        <v>0</v>
      </c>
      <c r="K2123" s="48" t="str">
        <f aca="false">IF($H2123="","",购销流水!$E535)</f>
        <v/>
      </c>
      <c r="L2123" s="66" t="str">
        <f aca="false">IF(购销流水!$D535="","",IFERROR(INDEX(记账规则!$A$6:$N$9,MATCH(购销流水!$D535,记账规则!$A$6:$A$9,0),6),""))</f>
        <v/>
      </c>
      <c r="M2123" s="66" t="str">
        <f aca="false">IF($L2123="","",IFERROR(INDEX(记账规则!$A$6:$N$9,MATCH(购销流水!$D535,记账规则!$A$6:$A$9,0),7),""))</f>
        <v/>
      </c>
      <c r="N2123" s="66" t="str">
        <f aca="false">IF($L2123="","",IFERROR(INDEX(记账规则!$A$6:$N$9,MATCH(购销流水!$D535,记账规则!$A$6:$A$9,0),8),""))</f>
        <v/>
      </c>
      <c r="O2123" s="67" t="n">
        <f aca="false">IF($H2123="",0,ROUND(IF($N2123="成本金额",N(购销流水!$W535),IF($N2123="金额",N(购销流水!$Q535),0)),2))</f>
        <v>0</v>
      </c>
      <c r="P2123" s="64" t="str">
        <f aca="false">IF(AND($H2123&lt;&gt;"",ROUND($O2123,2)&lt;&gt;0),"有","")</f>
        <v/>
      </c>
    </row>
    <row r="2124" customFormat="false" ht="15" hidden="true" customHeight="false" outlineLevel="0" collapsed="false">
      <c r="A2124" s="53" t="str">
        <f aca="false">IF($H2124="","",ROW()-5)</f>
        <v/>
      </c>
      <c r="B2124" s="64" t="s">
        <v>36</v>
      </c>
      <c r="C2124" s="53" t="n">
        <v>535</v>
      </c>
      <c r="D2124" s="53" t="n">
        <v>3</v>
      </c>
      <c r="E2124" s="65" t="str">
        <f aca="false">IF($H2124="","",购销流水!$B535)</f>
        <v/>
      </c>
      <c r="F2124" s="55" t="str">
        <f aca="false">IF($H2124="","",购销流水!$C535)</f>
        <v/>
      </c>
      <c r="G2124" s="48" t="str">
        <f aca="false">IF($H2124="","",购销流水!$N535)</f>
        <v/>
      </c>
      <c r="H2124" s="10" t="str">
        <f aca="false">IF($L2124="","",IF($L2124="@成本",购销流水!$U535,IF($L2124="@收入",购销流水!$T535,IF($L2124="@存货",购销流水!$S535,IF($L2124="@结算",购销流水!$R535,$L2124)))))</f>
        <v/>
      </c>
      <c r="I2124" s="42" t="n">
        <f aca="false">IF($M2124="借",$O2124,0)</f>
        <v>0</v>
      </c>
      <c r="J2124" s="42" t="n">
        <f aca="false">IF($M2124="贷",$O2124,0)</f>
        <v>0</v>
      </c>
      <c r="K2124" s="48" t="str">
        <f aca="false">IF($H2124="","",购销流水!$E535)</f>
        <v/>
      </c>
      <c r="L2124" s="66" t="str">
        <f aca="false">IF(购销流水!$D535="","",IFERROR(INDEX(记账规则!$A$6:$N$9,MATCH(购销流水!$D535,记账规则!$A$6:$A$9,0),9),""))</f>
        <v/>
      </c>
      <c r="M2124" s="66" t="str">
        <f aca="false">IF($L2124="","",IFERROR(INDEX(记账规则!$A$6:$N$9,MATCH(购销流水!$D535,记账规则!$A$6:$A$9,0),10),""))</f>
        <v/>
      </c>
      <c r="N2124" s="66" t="str">
        <f aca="false">IF($L2124="","",IFERROR(INDEX(记账规则!$A$6:$N$9,MATCH(购销流水!$D535,记账规则!$A$6:$A$9,0),11),""))</f>
        <v/>
      </c>
      <c r="O2124" s="67" t="n">
        <f aca="false">IF($H2124="",0,ROUND(IF($N2124="成本金额",N(购销流水!$W535),IF($N2124="金额",N(购销流水!$Q535),0)),2))</f>
        <v>0</v>
      </c>
      <c r="P2124" s="64" t="str">
        <f aca="false">IF(AND($H2124&lt;&gt;"",ROUND($O2124,2)&lt;&gt;0),"有","")</f>
        <v/>
      </c>
    </row>
    <row r="2125" customFormat="false" ht="15" hidden="true" customHeight="false" outlineLevel="0" collapsed="false">
      <c r="A2125" s="53" t="str">
        <f aca="false">IF($H2125="","",ROW()-5)</f>
        <v/>
      </c>
      <c r="B2125" s="64" t="s">
        <v>36</v>
      </c>
      <c r="C2125" s="53" t="n">
        <v>535</v>
      </c>
      <c r="D2125" s="53" t="n">
        <v>4</v>
      </c>
      <c r="E2125" s="65" t="str">
        <f aca="false">IF($H2125="","",购销流水!$B535)</f>
        <v/>
      </c>
      <c r="F2125" s="55" t="str">
        <f aca="false">IF($H2125="","",购销流水!$C535)</f>
        <v/>
      </c>
      <c r="G2125" s="48" t="str">
        <f aca="false">IF($H2125="","",购销流水!$N535)</f>
        <v/>
      </c>
      <c r="H2125" s="10" t="str">
        <f aca="false">IF($L2125="","",IF($L2125="@成本",购销流水!$U535,IF($L2125="@收入",购销流水!$T535,IF($L2125="@存货",购销流水!$S535,IF($L2125="@结算",购销流水!$R535,$L2125)))))</f>
        <v/>
      </c>
      <c r="I2125" s="42" t="n">
        <f aca="false">IF($M2125="借",$O2125,0)</f>
        <v>0</v>
      </c>
      <c r="J2125" s="42" t="n">
        <f aca="false">IF($M2125="贷",$O2125,0)</f>
        <v>0</v>
      </c>
      <c r="K2125" s="48" t="str">
        <f aca="false">IF($H2125="","",购销流水!$E535)</f>
        <v/>
      </c>
      <c r="L2125" s="66" t="str">
        <f aca="false">IF(购销流水!$D535="","",IFERROR(INDEX(记账规则!$A$6:$N$9,MATCH(购销流水!$D535,记账规则!$A$6:$A$9,0),12),""))</f>
        <v/>
      </c>
      <c r="M2125" s="66" t="str">
        <f aca="false">IF($L2125="","",IFERROR(INDEX(记账规则!$A$6:$N$9,MATCH(购销流水!$D535,记账规则!$A$6:$A$9,0),13),""))</f>
        <v/>
      </c>
      <c r="N2125" s="66" t="str">
        <f aca="false">IF($L2125="","",IFERROR(INDEX(记账规则!$A$6:$N$9,MATCH(购销流水!$D535,记账规则!$A$6:$A$9,0),14),""))</f>
        <v/>
      </c>
      <c r="O2125" s="67" t="n">
        <f aca="false">IF($H2125="",0,ROUND(IF($N2125="成本金额",N(购销流水!$W535),IF($N2125="金额",N(购销流水!$Q535),0)),2))</f>
        <v>0</v>
      </c>
      <c r="P2125" s="64" t="str">
        <f aca="false">IF(AND($H2125&lt;&gt;"",ROUND($O2125,2)&lt;&gt;0),"有","")</f>
        <v/>
      </c>
    </row>
    <row r="2126" customFormat="false" ht="15" hidden="true" customHeight="false" outlineLevel="0" collapsed="false">
      <c r="A2126" s="53" t="str">
        <f aca="false">IF($H2126="","",ROW()-5)</f>
        <v/>
      </c>
      <c r="B2126" s="64" t="s">
        <v>36</v>
      </c>
      <c r="C2126" s="53" t="n">
        <v>536</v>
      </c>
      <c r="D2126" s="53" t="n">
        <v>1</v>
      </c>
      <c r="E2126" s="65" t="str">
        <f aca="false">IF($H2126="","",购销流水!$B536)</f>
        <v/>
      </c>
      <c r="F2126" s="55" t="str">
        <f aca="false">IF($H2126="","",购销流水!$C536)</f>
        <v/>
      </c>
      <c r="G2126" s="48" t="str">
        <f aca="false">IF($H2126="","",购销流水!$N536)</f>
        <v/>
      </c>
      <c r="H2126" s="10" t="str">
        <f aca="false">IF($L2126="","",IF($L2126="@成本",购销流水!$U536,IF($L2126="@收入",购销流水!$T536,IF($L2126="@存货",购销流水!$S536,IF($L2126="@结算",购销流水!$R536,$L2126)))))</f>
        <v/>
      </c>
      <c r="I2126" s="42" t="n">
        <f aca="false">IF($M2126="借",$O2126,0)</f>
        <v>0</v>
      </c>
      <c r="J2126" s="42" t="n">
        <f aca="false">IF($M2126="贷",$O2126,0)</f>
        <v>0</v>
      </c>
      <c r="K2126" s="48" t="str">
        <f aca="false">IF($H2126="","",购销流水!$E536)</f>
        <v/>
      </c>
      <c r="L2126" s="66" t="str">
        <f aca="false">IF(购销流水!$D536="","",IFERROR(INDEX(记账规则!$A$6:$N$9,MATCH(购销流水!$D536,记账规则!$A$6:$A$9,0),3),""))</f>
        <v/>
      </c>
      <c r="M2126" s="66" t="str">
        <f aca="false">IF($L2126="","",IFERROR(INDEX(记账规则!$A$6:$N$9,MATCH(购销流水!$D536,记账规则!$A$6:$A$9,0),4),""))</f>
        <v/>
      </c>
      <c r="N2126" s="66" t="str">
        <f aca="false">IF($L2126="","",IFERROR(INDEX(记账规则!$A$6:$N$9,MATCH(购销流水!$D536,记账规则!$A$6:$A$9,0),5),""))</f>
        <v/>
      </c>
      <c r="O2126" s="67" t="n">
        <f aca="false">IF($H2126="",0,ROUND(IF($N2126="成本金额",N(购销流水!$W536),IF($N2126="金额",N(购销流水!$Q536),0)),2))</f>
        <v>0</v>
      </c>
      <c r="P2126" s="64" t="str">
        <f aca="false">IF(AND($H2126&lt;&gt;"",ROUND($O2126,2)&lt;&gt;0),"有","")</f>
        <v/>
      </c>
    </row>
    <row r="2127" customFormat="false" ht="15" hidden="true" customHeight="false" outlineLevel="0" collapsed="false">
      <c r="A2127" s="53" t="str">
        <f aca="false">IF($H2127="","",ROW()-5)</f>
        <v/>
      </c>
      <c r="B2127" s="64" t="s">
        <v>36</v>
      </c>
      <c r="C2127" s="53" t="n">
        <v>536</v>
      </c>
      <c r="D2127" s="53" t="n">
        <v>2</v>
      </c>
      <c r="E2127" s="65" t="str">
        <f aca="false">IF($H2127="","",购销流水!$B536)</f>
        <v/>
      </c>
      <c r="F2127" s="55" t="str">
        <f aca="false">IF($H2127="","",购销流水!$C536)</f>
        <v/>
      </c>
      <c r="G2127" s="48" t="str">
        <f aca="false">IF($H2127="","",购销流水!$N536)</f>
        <v/>
      </c>
      <c r="H2127" s="10" t="str">
        <f aca="false">IF($L2127="","",IF($L2127="@成本",购销流水!$U536,IF($L2127="@收入",购销流水!$T536,IF($L2127="@存货",购销流水!$S536,IF($L2127="@结算",购销流水!$R536,$L2127)))))</f>
        <v/>
      </c>
      <c r="I2127" s="42" t="n">
        <f aca="false">IF($M2127="借",$O2127,0)</f>
        <v>0</v>
      </c>
      <c r="J2127" s="42" t="n">
        <f aca="false">IF($M2127="贷",$O2127,0)</f>
        <v>0</v>
      </c>
      <c r="K2127" s="48" t="str">
        <f aca="false">IF($H2127="","",购销流水!$E536)</f>
        <v/>
      </c>
      <c r="L2127" s="66" t="str">
        <f aca="false">IF(购销流水!$D536="","",IFERROR(INDEX(记账规则!$A$6:$N$9,MATCH(购销流水!$D536,记账规则!$A$6:$A$9,0),6),""))</f>
        <v/>
      </c>
      <c r="M2127" s="66" t="str">
        <f aca="false">IF($L2127="","",IFERROR(INDEX(记账规则!$A$6:$N$9,MATCH(购销流水!$D536,记账规则!$A$6:$A$9,0),7),""))</f>
        <v/>
      </c>
      <c r="N2127" s="66" t="str">
        <f aca="false">IF($L2127="","",IFERROR(INDEX(记账规则!$A$6:$N$9,MATCH(购销流水!$D536,记账规则!$A$6:$A$9,0),8),""))</f>
        <v/>
      </c>
      <c r="O2127" s="67" t="n">
        <f aca="false">IF($H2127="",0,ROUND(IF($N2127="成本金额",N(购销流水!$W536),IF($N2127="金额",N(购销流水!$Q536),0)),2))</f>
        <v>0</v>
      </c>
      <c r="P2127" s="64" t="str">
        <f aca="false">IF(AND($H2127&lt;&gt;"",ROUND($O2127,2)&lt;&gt;0),"有","")</f>
        <v/>
      </c>
    </row>
    <row r="2128" customFormat="false" ht="15" hidden="true" customHeight="false" outlineLevel="0" collapsed="false">
      <c r="A2128" s="53" t="str">
        <f aca="false">IF($H2128="","",ROW()-5)</f>
        <v/>
      </c>
      <c r="B2128" s="64" t="s">
        <v>36</v>
      </c>
      <c r="C2128" s="53" t="n">
        <v>536</v>
      </c>
      <c r="D2128" s="53" t="n">
        <v>3</v>
      </c>
      <c r="E2128" s="65" t="str">
        <f aca="false">IF($H2128="","",购销流水!$B536)</f>
        <v/>
      </c>
      <c r="F2128" s="55" t="str">
        <f aca="false">IF($H2128="","",购销流水!$C536)</f>
        <v/>
      </c>
      <c r="G2128" s="48" t="str">
        <f aca="false">IF($H2128="","",购销流水!$N536)</f>
        <v/>
      </c>
      <c r="H2128" s="10" t="str">
        <f aca="false">IF($L2128="","",IF($L2128="@成本",购销流水!$U536,IF($L2128="@收入",购销流水!$T536,IF($L2128="@存货",购销流水!$S536,IF($L2128="@结算",购销流水!$R536,$L2128)))))</f>
        <v/>
      </c>
      <c r="I2128" s="42" t="n">
        <f aca="false">IF($M2128="借",$O2128,0)</f>
        <v>0</v>
      </c>
      <c r="J2128" s="42" t="n">
        <f aca="false">IF($M2128="贷",$O2128,0)</f>
        <v>0</v>
      </c>
      <c r="K2128" s="48" t="str">
        <f aca="false">IF($H2128="","",购销流水!$E536)</f>
        <v/>
      </c>
      <c r="L2128" s="66" t="str">
        <f aca="false">IF(购销流水!$D536="","",IFERROR(INDEX(记账规则!$A$6:$N$9,MATCH(购销流水!$D536,记账规则!$A$6:$A$9,0),9),""))</f>
        <v/>
      </c>
      <c r="M2128" s="66" t="str">
        <f aca="false">IF($L2128="","",IFERROR(INDEX(记账规则!$A$6:$N$9,MATCH(购销流水!$D536,记账规则!$A$6:$A$9,0),10),""))</f>
        <v/>
      </c>
      <c r="N2128" s="66" t="str">
        <f aca="false">IF($L2128="","",IFERROR(INDEX(记账规则!$A$6:$N$9,MATCH(购销流水!$D536,记账规则!$A$6:$A$9,0),11),""))</f>
        <v/>
      </c>
      <c r="O2128" s="67" t="n">
        <f aca="false">IF($H2128="",0,ROUND(IF($N2128="成本金额",N(购销流水!$W536),IF($N2128="金额",N(购销流水!$Q536),0)),2))</f>
        <v>0</v>
      </c>
      <c r="P2128" s="64" t="str">
        <f aca="false">IF(AND($H2128&lt;&gt;"",ROUND($O2128,2)&lt;&gt;0),"有","")</f>
        <v/>
      </c>
    </row>
    <row r="2129" customFormat="false" ht="15" hidden="true" customHeight="false" outlineLevel="0" collapsed="false">
      <c r="A2129" s="53" t="str">
        <f aca="false">IF($H2129="","",ROW()-5)</f>
        <v/>
      </c>
      <c r="B2129" s="64" t="s">
        <v>36</v>
      </c>
      <c r="C2129" s="53" t="n">
        <v>536</v>
      </c>
      <c r="D2129" s="53" t="n">
        <v>4</v>
      </c>
      <c r="E2129" s="65" t="str">
        <f aca="false">IF($H2129="","",购销流水!$B536)</f>
        <v/>
      </c>
      <c r="F2129" s="55" t="str">
        <f aca="false">IF($H2129="","",购销流水!$C536)</f>
        <v/>
      </c>
      <c r="G2129" s="48" t="str">
        <f aca="false">IF($H2129="","",购销流水!$N536)</f>
        <v/>
      </c>
      <c r="H2129" s="10" t="str">
        <f aca="false">IF($L2129="","",IF($L2129="@成本",购销流水!$U536,IF($L2129="@收入",购销流水!$T536,IF($L2129="@存货",购销流水!$S536,IF($L2129="@结算",购销流水!$R536,$L2129)))))</f>
        <v/>
      </c>
      <c r="I2129" s="42" t="n">
        <f aca="false">IF($M2129="借",$O2129,0)</f>
        <v>0</v>
      </c>
      <c r="J2129" s="42" t="n">
        <f aca="false">IF($M2129="贷",$O2129,0)</f>
        <v>0</v>
      </c>
      <c r="K2129" s="48" t="str">
        <f aca="false">IF($H2129="","",购销流水!$E536)</f>
        <v/>
      </c>
      <c r="L2129" s="66" t="str">
        <f aca="false">IF(购销流水!$D536="","",IFERROR(INDEX(记账规则!$A$6:$N$9,MATCH(购销流水!$D536,记账规则!$A$6:$A$9,0),12),""))</f>
        <v/>
      </c>
      <c r="M2129" s="66" t="str">
        <f aca="false">IF($L2129="","",IFERROR(INDEX(记账规则!$A$6:$N$9,MATCH(购销流水!$D536,记账规则!$A$6:$A$9,0),13),""))</f>
        <v/>
      </c>
      <c r="N2129" s="66" t="str">
        <f aca="false">IF($L2129="","",IFERROR(INDEX(记账规则!$A$6:$N$9,MATCH(购销流水!$D536,记账规则!$A$6:$A$9,0),14),""))</f>
        <v/>
      </c>
      <c r="O2129" s="67" t="n">
        <f aca="false">IF($H2129="",0,ROUND(IF($N2129="成本金额",N(购销流水!$W536),IF($N2129="金额",N(购销流水!$Q536),0)),2))</f>
        <v>0</v>
      </c>
      <c r="P2129" s="64" t="str">
        <f aca="false">IF(AND($H2129&lt;&gt;"",ROUND($O2129,2)&lt;&gt;0),"有","")</f>
        <v/>
      </c>
    </row>
    <row r="2130" customFormat="false" ht="15" hidden="true" customHeight="false" outlineLevel="0" collapsed="false">
      <c r="A2130" s="53" t="str">
        <f aca="false">IF($H2130="","",ROW()-5)</f>
        <v/>
      </c>
      <c r="B2130" s="64" t="s">
        <v>36</v>
      </c>
      <c r="C2130" s="53" t="n">
        <v>537</v>
      </c>
      <c r="D2130" s="53" t="n">
        <v>1</v>
      </c>
      <c r="E2130" s="65" t="str">
        <f aca="false">IF($H2130="","",购销流水!$B537)</f>
        <v/>
      </c>
      <c r="F2130" s="55" t="str">
        <f aca="false">IF($H2130="","",购销流水!$C537)</f>
        <v/>
      </c>
      <c r="G2130" s="48" t="str">
        <f aca="false">IF($H2130="","",购销流水!$N537)</f>
        <v/>
      </c>
      <c r="H2130" s="10" t="str">
        <f aca="false">IF($L2130="","",IF($L2130="@成本",购销流水!$U537,IF($L2130="@收入",购销流水!$T537,IF($L2130="@存货",购销流水!$S537,IF($L2130="@结算",购销流水!$R537,$L2130)))))</f>
        <v/>
      </c>
      <c r="I2130" s="42" t="n">
        <f aca="false">IF($M2130="借",$O2130,0)</f>
        <v>0</v>
      </c>
      <c r="J2130" s="42" t="n">
        <f aca="false">IF($M2130="贷",$O2130,0)</f>
        <v>0</v>
      </c>
      <c r="K2130" s="48" t="str">
        <f aca="false">IF($H2130="","",购销流水!$E537)</f>
        <v/>
      </c>
      <c r="L2130" s="66" t="str">
        <f aca="false">IF(购销流水!$D537="","",IFERROR(INDEX(记账规则!$A$6:$N$9,MATCH(购销流水!$D537,记账规则!$A$6:$A$9,0),3),""))</f>
        <v/>
      </c>
      <c r="M2130" s="66" t="str">
        <f aca="false">IF($L2130="","",IFERROR(INDEX(记账规则!$A$6:$N$9,MATCH(购销流水!$D537,记账规则!$A$6:$A$9,0),4),""))</f>
        <v/>
      </c>
      <c r="N2130" s="66" t="str">
        <f aca="false">IF($L2130="","",IFERROR(INDEX(记账规则!$A$6:$N$9,MATCH(购销流水!$D537,记账规则!$A$6:$A$9,0),5),""))</f>
        <v/>
      </c>
      <c r="O2130" s="67" t="n">
        <f aca="false">IF($H2130="",0,ROUND(IF($N2130="成本金额",N(购销流水!$W537),IF($N2130="金额",N(购销流水!$Q537),0)),2))</f>
        <v>0</v>
      </c>
      <c r="P2130" s="64" t="str">
        <f aca="false">IF(AND($H2130&lt;&gt;"",ROUND($O2130,2)&lt;&gt;0),"有","")</f>
        <v/>
      </c>
    </row>
    <row r="2131" customFormat="false" ht="15" hidden="true" customHeight="false" outlineLevel="0" collapsed="false">
      <c r="A2131" s="53" t="str">
        <f aca="false">IF($H2131="","",ROW()-5)</f>
        <v/>
      </c>
      <c r="B2131" s="64" t="s">
        <v>36</v>
      </c>
      <c r="C2131" s="53" t="n">
        <v>537</v>
      </c>
      <c r="D2131" s="53" t="n">
        <v>2</v>
      </c>
      <c r="E2131" s="65" t="str">
        <f aca="false">IF($H2131="","",购销流水!$B537)</f>
        <v/>
      </c>
      <c r="F2131" s="55" t="str">
        <f aca="false">IF($H2131="","",购销流水!$C537)</f>
        <v/>
      </c>
      <c r="G2131" s="48" t="str">
        <f aca="false">IF($H2131="","",购销流水!$N537)</f>
        <v/>
      </c>
      <c r="H2131" s="10" t="str">
        <f aca="false">IF($L2131="","",IF($L2131="@成本",购销流水!$U537,IF($L2131="@收入",购销流水!$T537,IF($L2131="@存货",购销流水!$S537,IF($L2131="@结算",购销流水!$R537,$L2131)))))</f>
        <v/>
      </c>
      <c r="I2131" s="42" t="n">
        <f aca="false">IF($M2131="借",$O2131,0)</f>
        <v>0</v>
      </c>
      <c r="J2131" s="42" t="n">
        <f aca="false">IF($M2131="贷",$O2131,0)</f>
        <v>0</v>
      </c>
      <c r="K2131" s="48" t="str">
        <f aca="false">IF($H2131="","",购销流水!$E537)</f>
        <v/>
      </c>
      <c r="L2131" s="66" t="str">
        <f aca="false">IF(购销流水!$D537="","",IFERROR(INDEX(记账规则!$A$6:$N$9,MATCH(购销流水!$D537,记账规则!$A$6:$A$9,0),6),""))</f>
        <v/>
      </c>
      <c r="M2131" s="66" t="str">
        <f aca="false">IF($L2131="","",IFERROR(INDEX(记账规则!$A$6:$N$9,MATCH(购销流水!$D537,记账规则!$A$6:$A$9,0),7),""))</f>
        <v/>
      </c>
      <c r="N2131" s="66" t="str">
        <f aca="false">IF($L2131="","",IFERROR(INDEX(记账规则!$A$6:$N$9,MATCH(购销流水!$D537,记账规则!$A$6:$A$9,0),8),""))</f>
        <v/>
      </c>
      <c r="O2131" s="67" t="n">
        <f aca="false">IF($H2131="",0,ROUND(IF($N2131="成本金额",N(购销流水!$W537),IF($N2131="金额",N(购销流水!$Q537),0)),2))</f>
        <v>0</v>
      </c>
      <c r="P2131" s="64" t="str">
        <f aca="false">IF(AND($H2131&lt;&gt;"",ROUND($O2131,2)&lt;&gt;0),"有","")</f>
        <v/>
      </c>
    </row>
    <row r="2132" customFormat="false" ht="15" hidden="true" customHeight="false" outlineLevel="0" collapsed="false">
      <c r="A2132" s="53" t="str">
        <f aca="false">IF($H2132="","",ROW()-5)</f>
        <v/>
      </c>
      <c r="B2132" s="64" t="s">
        <v>36</v>
      </c>
      <c r="C2132" s="53" t="n">
        <v>537</v>
      </c>
      <c r="D2132" s="53" t="n">
        <v>3</v>
      </c>
      <c r="E2132" s="65" t="str">
        <f aca="false">IF($H2132="","",购销流水!$B537)</f>
        <v/>
      </c>
      <c r="F2132" s="55" t="str">
        <f aca="false">IF($H2132="","",购销流水!$C537)</f>
        <v/>
      </c>
      <c r="G2132" s="48" t="str">
        <f aca="false">IF($H2132="","",购销流水!$N537)</f>
        <v/>
      </c>
      <c r="H2132" s="10" t="str">
        <f aca="false">IF($L2132="","",IF($L2132="@成本",购销流水!$U537,IF($L2132="@收入",购销流水!$T537,IF($L2132="@存货",购销流水!$S537,IF($L2132="@结算",购销流水!$R537,$L2132)))))</f>
        <v/>
      </c>
      <c r="I2132" s="42" t="n">
        <f aca="false">IF($M2132="借",$O2132,0)</f>
        <v>0</v>
      </c>
      <c r="J2132" s="42" t="n">
        <f aca="false">IF($M2132="贷",$O2132,0)</f>
        <v>0</v>
      </c>
      <c r="K2132" s="48" t="str">
        <f aca="false">IF($H2132="","",购销流水!$E537)</f>
        <v/>
      </c>
      <c r="L2132" s="66" t="str">
        <f aca="false">IF(购销流水!$D537="","",IFERROR(INDEX(记账规则!$A$6:$N$9,MATCH(购销流水!$D537,记账规则!$A$6:$A$9,0),9),""))</f>
        <v/>
      </c>
      <c r="M2132" s="66" t="str">
        <f aca="false">IF($L2132="","",IFERROR(INDEX(记账规则!$A$6:$N$9,MATCH(购销流水!$D537,记账规则!$A$6:$A$9,0),10),""))</f>
        <v/>
      </c>
      <c r="N2132" s="66" t="str">
        <f aca="false">IF($L2132="","",IFERROR(INDEX(记账规则!$A$6:$N$9,MATCH(购销流水!$D537,记账规则!$A$6:$A$9,0),11),""))</f>
        <v/>
      </c>
      <c r="O2132" s="67" t="n">
        <f aca="false">IF($H2132="",0,ROUND(IF($N2132="成本金额",N(购销流水!$W537),IF($N2132="金额",N(购销流水!$Q537),0)),2))</f>
        <v>0</v>
      </c>
      <c r="P2132" s="64" t="str">
        <f aca="false">IF(AND($H2132&lt;&gt;"",ROUND($O2132,2)&lt;&gt;0),"有","")</f>
        <v/>
      </c>
    </row>
    <row r="2133" customFormat="false" ht="15" hidden="true" customHeight="false" outlineLevel="0" collapsed="false">
      <c r="A2133" s="53" t="str">
        <f aca="false">IF($H2133="","",ROW()-5)</f>
        <v/>
      </c>
      <c r="B2133" s="64" t="s">
        <v>36</v>
      </c>
      <c r="C2133" s="53" t="n">
        <v>537</v>
      </c>
      <c r="D2133" s="53" t="n">
        <v>4</v>
      </c>
      <c r="E2133" s="65" t="str">
        <f aca="false">IF($H2133="","",购销流水!$B537)</f>
        <v/>
      </c>
      <c r="F2133" s="55" t="str">
        <f aca="false">IF($H2133="","",购销流水!$C537)</f>
        <v/>
      </c>
      <c r="G2133" s="48" t="str">
        <f aca="false">IF($H2133="","",购销流水!$N537)</f>
        <v/>
      </c>
      <c r="H2133" s="10" t="str">
        <f aca="false">IF($L2133="","",IF($L2133="@成本",购销流水!$U537,IF($L2133="@收入",购销流水!$T537,IF($L2133="@存货",购销流水!$S537,IF($L2133="@结算",购销流水!$R537,$L2133)))))</f>
        <v/>
      </c>
      <c r="I2133" s="42" t="n">
        <f aca="false">IF($M2133="借",$O2133,0)</f>
        <v>0</v>
      </c>
      <c r="J2133" s="42" t="n">
        <f aca="false">IF($M2133="贷",$O2133,0)</f>
        <v>0</v>
      </c>
      <c r="K2133" s="48" t="str">
        <f aca="false">IF($H2133="","",购销流水!$E537)</f>
        <v/>
      </c>
      <c r="L2133" s="66" t="str">
        <f aca="false">IF(购销流水!$D537="","",IFERROR(INDEX(记账规则!$A$6:$N$9,MATCH(购销流水!$D537,记账规则!$A$6:$A$9,0),12),""))</f>
        <v/>
      </c>
      <c r="M2133" s="66" t="str">
        <f aca="false">IF($L2133="","",IFERROR(INDEX(记账规则!$A$6:$N$9,MATCH(购销流水!$D537,记账规则!$A$6:$A$9,0),13),""))</f>
        <v/>
      </c>
      <c r="N2133" s="66" t="str">
        <f aca="false">IF($L2133="","",IFERROR(INDEX(记账规则!$A$6:$N$9,MATCH(购销流水!$D537,记账规则!$A$6:$A$9,0),14),""))</f>
        <v/>
      </c>
      <c r="O2133" s="67" t="n">
        <f aca="false">IF($H2133="",0,ROUND(IF($N2133="成本金额",N(购销流水!$W537),IF($N2133="金额",N(购销流水!$Q537),0)),2))</f>
        <v>0</v>
      </c>
      <c r="P2133" s="64" t="str">
        <f aca="false">IF(AND($H2133&lt;&gt;"",ROUND($O2133,2)&lt;&gt;0),"有","")</f>
        <v/>
      </c>
    </row>
    <row r="2134" customFormat="false" ht="15" hidden="true" customHeight="false" outlineLevel="0" collapsed="false">
      <c r="A2134" s="53" t="str">
        <f aca="false">IF($H2134="","",ROW()-5)</f>
        <v/>
      </c>
      <c r="B2134" s="64" t="s">
        <v>36</v>
      </c>
      <c r="C2134" s="53" t="n">
        <v>538</v>
      </c>
      <c r="D2134" s="53" t="n">
        <v>1</v>
      </c>
      <c r="E2134" s="65" t="str">
        <f aca="false">IF($H2134="","",购销流水!$B538)</f>
        <v/>
      </c>
      <c r="F2134" s="55" t="str">
        <f aca="false">IF($H2134="","",购销流水!$C538)</f>
        <v/>
      </c>
      <c r="G2134" s="48" t="str">
        <f aca="false">IF($H2134="","",购销流水!$N538)</f>
        <v/>
      </c>
      <c r="H2134" s="10" t="str">
        <f aca="false">IF($L2134="","",IF($L2134="@成本",购销流水!$U538,IF($L2134="@收入",购销流水!$T538,IF($L2134="@存货",购销流水!$S538,IF($L2134="@结算",购销流水!$R538,$L2134)))))</f>
        <v/>
      </c>
      <c r="I2134" s="42" t="n">
        <f aca="false">IF($M2134="借",$O2134,0)</f>
        <v>0</v>
      </c>
      <c r="J2134" s="42" t="n">
        <f aca="false">IF($M2134="贷",$O2134,0)</f>
        <v>0</v>
      </c>
      <c r="K2134" s="48" t="str">
        <f aca="false">IF($H2134="","",购销流水!$E538)</f>
        <v/>
      </c>
      <c r="L2134" s="66" t="str">
        <f aca="false">IF(购销流水!$D538="","",IFERROR(INDEX(记账规则!$A$6:$N$9,MATCH(购销流水!$D538,记账规则!$A$6:$A$9,0),3),""))</f>
        <v/>
      </c>
      <c r="M2134" s="66" t="str">
        <f aca="false">IF($L2134="","",IFERROR(INDEX(记账规则!$A$6:$N$9,MATCH(购销流水!$D538,记账规则!$A$6:$A$9,0),4),""))</f>
        <v/>
      </c>
      <c r="N2134" s="66" t="str">
        <f aca="false">IF($L2134="","",IFERROR(INDEX(记账规则!$A$6:$N$9,MATCH(购销流水!$D538,记账规则!$A$6:$A$9,0),5),""))</f>
        <v/>
      </c>
      <c r="O2134" s="67" t="n">
        <f aca="false">IF($H2134="",0,ROUND(IF($N2134="成本金额",N(购销流水!$W538),IF($N2134="金额",N(购销流水!$Q538),0)),2))</f>
        <v>0</v>
      </c>
      <c r="P2134" s="64" t="str">
        <f aca="false">IF(AND($H2134&lt;&gt;"",ROUND($O2134,2)&lt;&gt;0),"有","")</f>
        <v/>
      </c>
    </row>
    <row r="2135" customFormat="false" ht="15" hidden="true" customHeight="false" outlineLevel="0" collapsed="false">
      <c r="A2135" s="53" t="str">
        <f aca="false">IF($H2135="","",ROW()-5)</f>
        <v/>
      </c>
      <c r="B2135" s="64" t="s">
        <v>36</v>
      </c>
      <c r="C2135" s="53" t="n">
        <v>538</v>
      </c>
      <c r="D2135" s="53" t="n">
        <v>2</v>
      </c>
      <c r="E2135" s="65" t="str">
        <f aca="false">IF($H2135="","",购销流水!$B538)</f>
        <v/>
      </c>
      <c r="F2135" s="55" t="str">
        <f aca="false">IF($H2135="","",购销流水!$C538)</f>
        <v/>
      </c>
      <c r="G2135" s="48" t="str">
        <f aca="false">IF($H2135="","",购销流水!$N538)</f>
        <v/>
      </c>
      <c r="H2135" s="10" t="str">
        <f aca="false">IF($L2135="","",IF($L2135="@成本",购销流水!$U538,IF($L2135="@收入",购销流水!$T538,IF($L2135="@存货",购销流水!$S538,IF($L2135="@结算",购销流水!$R538,$L2135)))))</f>
        <v/>
      </c>
      <c r="I2135" s="42" t="n">
        <f aca="false">IF($M2135="借",$O2135,0)</f>
        <v>0</v>
      </c>
      <c r="J2135" s="42" t="n">
        <f aca="false">IF($M2135="贷",$O2135,0)</f>
        <v>0</v>
      </c>
      <c r="K2135" s="48" t="str">
        <f aca="false">IF($H2135="","",购销流水!$E538)</f>
        <v/>
      </c>
      <c r="L2135" s="66" t="str">
        <f aca="false">IF(购销流水!$D538="","",IFERROR(INDEX(记账规则!$A$6:$N$9,MATCH(购销流水!$D538,记账规则!$A$6:$A$9,0),6),""))</f>
        <v/>
      </c>
      <c r="M2135" s="66" t="str">
        <f aca="false">IF($L2135="","",IFERROR(INDEX(记账规则!$A$6:$N$9,MATCH(购销流水!$D538,记账规则!$A$6:$A$9,0),7),""))</f>
        <v/>
      </c>
      <c r="N2135" s="66" t="str">
        <f aca="false">IF($L2135="","",IFERROR(INDEX(记账规则!$A$6:$N$9,MATCH(购销流水!$D538,记账规则!$A$6:$A$9,0),8),""))</f>
        <v/>
      </c>
      <c r="O2135" s="67" t="n">
        <f aca="false">IF($H2135="",0,ROUND(IF($N2135="成本金额",N(购销流水!$W538),IF($N2135="金额",N(购销流水!$Q538),0)),2))</f>
        <v>0</v>
      </c>
      <c r="P2135" s="64" t="str">
        <f aca="false">IF(AND($H2135&lt;&gt;"",ROUND($O2135,2)&lt;&gt;0),"有","")</f>
        <v/>
      </c>
    </row>
    <row r="2136" customFormat="false" ht="15" hidden="true" customHeight="false" outlineLevel="0" collapsed="false">
      <c r="A2136" s="53" t="str">
        <f aca="false">IF($H2136="","",ROW()-5)</f>
        <v/>
      </c>
      <c r="B2136" s="64" t="s">
        <v>36</v>
      </c>
      <c r="C2136" s="53" t="n">
        <v>538</v>
      </c>
      <c r="D2136" s="53" t="n">
        <v>3</v>
      </c>
      <c r="E2136" s="65" t="str">
        <f aca="false">IF($H2136="","",购销流水!$B538)</f>
        <v/>
      </c>
      <c r="F2136" s="55" t="str">
        <f aca="false">IF($H2136="","",购销流水!$C538)</f>
        <v/>
      </c>
      <c r="G2136" s="48" t="str">
        <f aca="false">IF($H2136="","",购销流水!$N538)</f>
        <v/>
      </c>
      <c r="H2136" s="10" t="str">
        <f aca="false">IF($L2136="","",IF($L2136="@成本",购销流水!$U538,IF($L2136="@收入",购销流水!$T538,IF($L2136="@存货",购销流水!$S538,IF($L2136="@结算",购销流水!$R538,$L2136)))))</f>
        <v/>
      </c>
      <c r="I2136" s="42" t="n">
        <f aca="false">IF($M2136="借",$O2136,0)</f>
        <v>0</v>
      </c>
      <c r="J2136" s="42" t="n">
        <f aca="false">IF($M2136="贷",$O2136,0)</f>
        <v>0</v>
      </c>
      <c r="K2136" s="48" t="str">
        <f aca="false">IF($H2136="","",购销流水!$E538)</f>
        <v/>
      </c>
      <c r="L2136" s="66" t="str">
        <f aca="false">IF(购销流水!$D538="","",IFERROR(INDEX(记账规则!$A$6:$N$9,MATCH(购销流水!$D538,记账规则!$A$6:$A$9,0),9),""))</f>
        <v/>
      </c>
      <c r="M2136" s="66" t="str">
        <f aca="false">IF($L2136="","",IFERROR(INDEX(记账规则!$A$6:$N$9,MATCH(购销流水!$D538,记账规则!$A$6:$A$9,0),10),""))</f>
        <v/>
      </c>
      <c r="N2136" s="66" t="str">
        <f aca="false">IF($L2136="","",IFERROR(INDEX(记账规则!$A$6:$N$9,MATCH(购销流水!$D538,记账规则!$A$6:$A$9,0),11),""))</f>
        <v/>
      </c>
      <c r="O2136" s="67" t="n">
        <f aca="false">IF($H2136="",0,ROUND(IF($N2136="成本金额",N(购销流水!$W538),IF($N2136="金额",N(购销流水!$Q538),0)),2))</f>
        <v>0</v>
      </c>
      <c r="P2136" s="64" t="str">
        <f aca="false">IF(AND($H2136&lt;&gt;"",ROUND($O2136,2)&lt;&gt;0),"有","")</f>
        <v/>
      </c>
    </row>
    <row r="2137" customFormat="false" ht="15" hidden="true" customHeight="false" outlineLevel="0" collapsed="false">
      <c r="A2137" s="53" t="str">
        <f aca="false">IF($H2137="","",ROW()-5)</f>
        <v/>
      </c>
      <c r="B2137" s="64" t="s">
        <v>36</v>
      </c>
      <c r="C2137" s="53" t="n">
        <v>538</v>
      </c>
      <c r="D2137" s="53" t="n">
        <v>4</v>
      </c>
      <c r="E2137" s="65" t="str">
        <f aca="false">IF($H2137="","",购销流水!$B538)</f>
        <v/>
      </c>
      <c r="F2137" s="55" t="str">
        <f aca="false">IF($H2137="","",购销流水!$C538)</f>
        <v/>
      </c>
      <c r="G2137" s="48" t="str">
        <f aca="false">IF($H2137="","",购销流水!$N538)</f>
        <v/>
      </c>
      <c r="H2137" s="10" t="str">
        <f aca="false">IF($L2137="","",IF($L2137="@成本",购销流水!$U538,IF($L2137="@收入",购销流水!$T538,IF($L2137="@存货",购销流水!$S538,IF($L2137="@结算",购销流水!$R538,$L2137)))))</f>
        <v/>
      </c>
      <c r="I2137" s="42" t="n">
        <f aca="false">IF($M2137="借",$O2137,0)</f>
        <v>0</v>
      </c>
      <c r="J2137" s="42" t="n">
        <f aca="false">IF($M2137="贷",$O2137,0)</f>
        <v>0</v>
      </c>
      <c r="K2137" s="48" t="str">
        <f aca="false">IF($H2137="","",购销流水!$E538)</f>
        <v/>
      </c>
      <c r="L2137" s="66" t="str">
        <f aca="false">IF(购销流水!$D538="","",IFERROR(INDEX(记账规则!$A$6:$N$9,MATCH(购销流水!$D538,记账规则!$A$6:$A$9,0),12),""))</f>
        <v/>
      </c>
      <c r="M2137" s="66" t="str">
        <f aca="false">IF($L2137="","",IFERROR(INDEX(记账规则!$A$6:$N$9,MATCH(购销流水!$D538,记账规则!$A$6:$A$9,0),13),""))</f>
        <v/>
      </c>
      <c r="N2137" s="66" t="str">
        <f aca="false">IF($L2137="","",IFERROR(INDEX(记账规则!$A$6:$N$9,MATCH(购销流水!$D538,记账规则!$A$6:$A$9,0),14),""))</f>
        <v/>
      </c>
      <c r="O2137" s="67" t="n">
        <f aca="false">IF($H2137="",0,ROUND(IF($N2137="成本金额",N(购销流水!$W538),IF($N2137="金额",N(购销流水!$Q538),0)),2))</f>
        <v>0</v>
      </c>
      <c r="P2137" s="64" t="str">
        <f aca="false">IF(AND($H2137&lt;&gt;"",ROUND($O2137,2)&lt;&gt;0),"有","")</f>
        <v/>
      </c>
    </row>
    <row r="2138" customFormat="false" ht="15" hidden="true" customHeight="false" outlineLevel="0" collapsed="false">
      <c r="A2138" s="53" t="str">
        <f aca="false">IF($H2138="","",ROW()-5)</f>
        <v/>
      </c>
      <c r="B2138" s="64" t="s">
        <v>36</v>
      </c>
      <c r="C2138" s="53" t="n">
        <v>539</v>
      </c>
      <c r="D2138" s="53" t="n">
        <v>1</v>
      </c>
      <c r="E2138" s="65" t="str">
        <f aca="false">IF($H2138="","",购销流水!$B539)</f>
        <v/>
      </c>
      <c r="F2138" s="55" t="str">
        <f aca="false">IF($H2138="","",购销流水!$C539)</f>
        <v/>
      </c>
      <c r="G2138" s="48" t="str">
        <f aca="false">IF($H2138="","",购销流水!$N539)</f>
        <v/>
      </c>
      <c r="H2138" s="10" t="str">
        <f aca="false">IF($L2138="","",IF($L2138="@成本",购销流水!$U539,IF($L2138="@收入",购销流水!$T539,IF($L2138="@存货",购销流水!$S539,IF($L2138="@结算",购销流水!$R539,$L2138)))))</f>
        <v/>
      </c>
      <c r="I2138" s="42" t="n">
        <f aca="false">IF($M2138="借",$O2138,0)</f>
        <v>0</v>
      </c>
      <c r="J2138" s="42" t="n">
        <f aca="false">IF($M2138="贷",$O2138,0)</f>
        <v>0</v>
      </c>
      <c r="K2138" s="48" t="str">
        <f aca="false">IF($H2138="","",购销流水!$E539)</f>
        <v/>
      </c>
      <c r="L2138" s="66" t="str">
        <f aca="false">IF(购销流水!$D539="","",IFERROR(INDEX(记账规则!$A$6:$N$9,MATCH(购销流水!$D539,记账规则!$A$6:$A$9,0),3),""))</f>
        <v/>
      </c>
      <c r="M2138" s="66" t="str">
        <f aca="false">IF($L2138="","",IFERROR(INDEX(记账规则!$A$6:$N$9,MATCH(购销流水!$D539,记账规则!$A$6:$A$9,0),4),""))</f>
        <v/>
      </c>
      <c r="N2138" s="66" t="str">
        <f aca="false">IF($L2138="","",IFERROR(INDEX(记账规则!$A$6:$N$9,MATCH(购销流水!$D539,记账规则!$A$6:$A$9,0),5),""))</f>
        <v/>
      </c>
      <c r="O2138" s="67" t="n">
        <f aca="false">IF($H2138="",0,ROUND(IF($N2138="成本金额",N(购销流水!$W539),IF($N2138="金额",N(购销流水!$Q539),0)),2))</f>
        <v>0</v>
      </c>
      <c r="P2138" s="64" t="str">
        <f aca="false">IF(AND($H2138&lt;&gt;"",ROUND($O2138,2)&lt;&gt;0),"有","")</f>
        <v/>
      </c>
    </row>
    <row r="2139" customFormat="false" ht="15" hidden="true" customHeight="false" outlineLevel="0" collapsed="false">
      <c r="A2139" s="53" t="str">
        <f aca="false">IF($H2139="","",ROW()-5)</f>
        <v/>
      </c>
      <c r="B2139" s="64" t="s">
        <v>36</v>
      </c>
      <c r="C2139" s="53" t="n">
        <v>539</v>
      </c>
      <c r="D2139" s="53" t="n">
        <v>2</v>
      </c>
      <c r="E2139" s="65" t="str">
        <f aca="false">IF($H2139="","",购销流水!$B539)</f>
        <v/>
      </c>
      <c r="F2139" s="55" t="str">
        <f aca="false">IF($H2139="","",购销流水!$C539)</f>
        <v/>
      </c>
      <c r="G2139" s="48" t="str">
        <f aca="false">IF($H2139="","",购销流水!$N539)</f>
        <v/>
      </c>
      <c r="H2139" s="10" t="str">
        <f aca="false">IF($L2139="","",IF($L2139="@成本",购销流水!$U539,IF($L2139="@收入",购销流水!$T539,IF($L2139="@存货",购销流水!$S539,IF($L2139="@结算",购销流水!$R539,$L2139)))))</f>
        <v/>
      </c>
      <c r="I2139" s="42" t="n">
        <f aca="false">IF($M2139="借",$O2139,0)</f>
        <v>0</v>
      </c>
      <c r="J2139" s="42" t="n">
        <f aca="false">IF($M2139="贷",$O2139,0)</f>
        <v>0</v>
      </c>
      <c r="K2139" s="48" t="str">
        <f aca="false">IF($H2139="","",购销流水!$E539)</f>
        <v/>
      </c>
      <c r="L2139" s="66" t="str">
        <f aca="false">IF(购销流水!$D539="","",IFERROR(INDEX(记账规则!$A$6:$N$9,MATCH(购销流水!$D539,记账规则!$A$6:$A$9,0),6),""))</f>
        <v/>
      </c>
      <c r="M2139" s="66" t="str">
        <f aca="false">IF($L2139="","",IFERROR(INDEX(记账规则!$A$6:$N$9,MATCH(购销流水!$D539,记账规则!$A$6:$A$9,0),7),""))</f>
        <v/>
      </c>
      <c r="N2139" s="66" t="str">
        <f aca="false">IF($L2139="","",IFERROR(INDEX(记账规则!$A$6:$N$9,MATCH(购销流水!$D539,记账规则!$A$6:$A$9,0),8),""))</f>
        <v/>
      </c>
      <c r="O2139" s="67" t="n">
        <f aca="false">IF($H2139="",0,ROUND(IF($N2139="成本金额",N(购销流水!$W539),IF($N2139="金额",N(购销流水!$Q539),0)),2))</f>
        <v>0</v>
      </c>
      <c r="P2139" s="64" t="str">
        <f aca="false">IF(AND($H2139&lt;&gt;"",ROUND($O2139,2)&lt;&gt;0),"有","")</f>
        <v/>
      </c>
    </row>
    <row r="2140" customFormat="false" ht="15" hidden="true" customHeight="false" outlineLevel="0" collapsed="false">
      <c r="A2140" s="53" t="str">
        <f aca="false">IF($H2140="","",ROW()-5)</f>
        <v/>
      </c>
      <c r="B2140" s="64" t="s">
        <v>36</v>
      </c>
      <c r="C2140" s="53" t="n">
        <v>539</v>
      </c>
      <c r="D2140" s="53" t="n">
        <v>3</v>
      </c>
      <c r="E2140" s="65" t="str">
        <f aca="false">IF($H2140="","",购销流水!$B539)</f>
        <v/>
      </c>
      <c r="F2140" s="55" t="str">
        <f aca="false">IF($H2140="","",购销流水!$C539)</f>
        <v/>
      </c>
      <c r="G2140" s="48" t="str">
        <f aca="false">IF($H2140="","",购销流水!$N539)</f>
        <v/>
      </c>
      <c r="H2140" s="10" t="str">
        <f aca="false">IF($L2140="","",IF($L2140="@成本",购销流水!$U539,IF($L2140="@收入",购销流水!$T539,IF($L2140="@存货",购销流水!$S539,IF($L2140="@结算",购销流水!$R539,$L2140)))))</f>
        <v/>
      </c>
      <c r="I2140" s="42" t="n">
        <f aca="false">IF($M2140="借",$O2140,0)</f>
        <v>0</v>
      </c>
      <c r="J2140" s="42" t="n">
        <f aca="false">IF($M2140="贷",$O2140,0)</f>
        <v>0</v>
      </c>
      <c r="K2140" s="48" t="str">
        <f aca="false">IF($H2140="","",购销流水!$E539)</f>
        <v/>
      </c>
      <c r="L2140" s="66" t="str">
        <f aca="false">IF(购销流水!$D539="","",IFERROR(INDEX(记账规则!$A$6:$N$9,MATCH(购销流水!$D539,记账规则!$A$6:$A$9,0),9),""))</f>
        <v/>
      </c>
      <c r="M2140" s="66" t="str">
        <f aca="false">IF($L2140="","",IFERROR(INDEX(记账规则!$A$6:$N$9,MATCH(购销流水!$D539,记账规则!$A$6:$A$9,0),10),""))</f>
        <v/>
      </c>
      <c r="N2140" s="66" t="str">
        <f aca="false">IF($L2140="","",IFERROR(INDEX(记账规则!$A$6:$N$9,MATCH(购销流水!$D539,记账规则!$A$6:$A$9,0),11),""))</f>
        <v/>
      </c>
      <c r="O2140" s="67" t="n">
        <f aca="false">IF($H2140="",0,ROUND(IF($N2140="成本金额",N(购销流水!$W539),IF($N2140="金额",N(购销流水!$Q539),0)),2))</f>
        <v>0</v>
      </c>
      <c r="P2140" s="64" t="str">
        <f aca="false">IF(AND($H2140&lt;&gt;"",ROUND($O2140,2)&lt;&gt;0),"有","")</f>
        <v/>
      </c>
    </row>
    <row r="2141" customFormat="false" ht="15" hidden="true" customHeight="false" outlineLevel="0" collapsed="false">
      <c r="A2141" s="53" t="str">
        <f aca="false">IF($H2141="","",ROW()-5)</f>
        <v/>
      </c>
      <c r="B2141" s="64" t="s">
        <v>36</v>
      </c>
      <c r="C2141" s="53" t="n">
        <v>539</v>
      </c>
      <c r="D2141" s="53" t="n">
        <v>4</v>
      </c>
      <c r="E2141" s="65" t="str">
        <f aca="false">IF($H2141="","",购销流水!$B539)</f>
        <v/>
      </c>
      <c r="F2141" s="55" t="str">
        <f aca="false">IF($H2141="","",购销流水!$C539)</f>
        <v/>
      </c>
      <c r="G2141" s="48" t="str">
        <f aca="false">IF($H2141="","",购销流水!$N539)</f>
        <v/>
      </c>
      <c r="H2141" s="10" t="str">
        <f aca="false">IF($L2141="","",IF($L2141="@成本",购销流水!$U539,IF($L2141="@收入",购销流水!$T539,IF($L2141="@存货",购销流水!$S539,IF($L2141="@结算",购销流水!$R539,$L2141)))))</f>
        <v/>
      </c>
      <c r="I2141" s="42" t="n">
        <f aca="false">IF($M2141="借",$O2141,0)</f>
        <v>0</v>
      </c>
      <c r="J2141" s="42" t="n">
        <f aca="false">IF($M2141="贷",$O2141,0)</f>
        <v>0</v>
      </c>
      <c r="K2141" s="48" t="str">
        <f aca="false">IF($H2141="","",购销流水!$E539)</f>
        <v/>
      </c>
      <c r="L2141" s="66" t="str">
        <f aca="false">IF(购销流水!$D539="","",IFERROR(INDEX(记账规则!$A$6:$N$9,MATCH(购销流水!$D539,记账规则!$A$6:$A$9,0),12),""))</f>
        <v/>
      </c>
      <c r="M2141" s="66" t="str">
        <f aca="false">IF($L2141="","",IFERROR(INDEX(记账规则!$A$6:$N$9,MATCH(购销流水!$D539,记账规则!$A$6:$A$9,0),13),""))</f>
        <v/>
      </c>
      <c r="N2141" s="66" t="str">
        <f aca="false">IF($L2141="","",IFERROR(INDEX(记账规则!$A$6:$N$9,MATCH(购销流水!$D539,记账规则!$A$6:$A$9,0),14),""))</f>
        <v/>
      </c>
      <c r="O2141" s="67" t="n">
        <f aca="false">IF($H2141="",0,ROUND(IF($N2141="成本金额",N(购销流水!$W539),IF($N2141="金额",N(购销流水!$Q539),0)),2))</f>
        <v>0</v>
      </c>
      <c r="P2141" s="64" t="str">
        <f aca="false">IF(AND($H2141&lt;&gt;"",ROUND($O2141,2)&lt;&gt;0),"有","")</f>
        <v/>
      </c>
    </row>
    <row r="2142" customFormat="false" ht="15" hidden="true" customHeight="false" outlineLevel="0" collapsed="false">
      <c r="A2142" s="53" t="str">
        <f aca="false">IF($H2142="","",ROW()-5)</f>
        <v/>
      </c>
      <c r="B2142" s="64" t="s">
        <v>36</v>
      </c>
      <c r="C2142" s="53" t="n">
        <v>540</v>
      </c>
      <c r="D2142" s="53" t="n">
        <v>1</v>
      </c>
      <c r="E2142" s="65" t="str">
        <f aca="false">IF($H2142="","",购销流水!$B540)</f>
        <v/>
      </c>
      <c r="F2142" s="55" t="str">
        <f aca="false">IF($H2142="","",购销流水!$C540)</f>
        <v/>
      </c>
      <c r="G2142" s="48" t="str">
        <f aca="false">IF($H2142="","",购销流水!$N540)</f>
        <v/>
      </c>
      <c r="H2142" s="10" t="str">
        <f aca="false">IF($L2142="","",IF($L2142="@成本",购销流水!$U540,IF($L2142="@收入",购销流水!$T540,IF($L2142="@存货",购销流水!$S540,IF($L2142="@结算",购销流水!$R540,$L2142)))))</f>
        <v/>
      </c>
      <c r="I2142" s="42" t="n">
        <f aca="false">IF($M2142="借",$O2142,0)</f>
        <v>0</v>
      </c>
      <c r="J2142" s="42" t="n">
        <f aca="false">IF($M2142="贷",$O2142,0)</f>
        <v>0</v>
      </c>
      <c r="K2142" s="48" t="str">
        <f aca="false">IF($H2142="","",购销流水!$E540)</f>
        <v/>
      </c>
      <c r="L2142" s="66" t="str">
        <f aca="false">IF(购销流水!$D540="","",IFERROR(INDEX(记账规则!$A$6:$N$9,MATCH(购销流水!$D540,记账规则!$A$6:$A$9,0),3),""))</f>
        <v/>
      </c>
      <c r="M2142" s="66" t="str">
        <f aca="false">IF($L2142="","",IFERROR(INDEX(记账规则!$A$6:$N$9,MATCH(购销流水!$D540,记账规则!$A$6:$A$9,0),4),""))</f>
        <v/>
      </c>
      <c r="N2142" s="66" t="str">
        <f aca="false">IF($L2142="","",IFERROR(INDEX(记账规则!$A$6:$N$9,MATCH(购销流水!$D540,记账规则!$A$6:$A$9,0),5),""))</f>
        <v/>
      </c>
      <c r="O2142" s="67" t="n">
        <f aca="false">IF($H2142="",0,ROUND(IF($N2142="成本金额",N(购销流水!$W540),IF($N2142="金额",N(购销流水!$Q540),0)),2))</f>
        <v>0</v>
      </c>
      <c r="P2142" s="64" t="str">
        <f aca="false">IF(AND($H2142&lt;&gt;"",ROUND($O2142,2)&lt;&gt;0),"有","")</f>
        <v/>
      </c>
    </row>
    <row r="2143" customFormat="false" ht="15" hidden="true" customHeight="false" outlineLevel="0" collapsed="false">
      <c r="A2143" s="53" t="str">
        <f aca="false">IF($H2143="","",ROW()-5)</f>
        <v/>
      </c>
      <c r="B2143" s="64" t="s">
        <v>36</v>
      </c>
      <c r="C2143" s="53" t="n">
        <v>540</v>
      </c>
      <c r="D2143" s="53" t="n">
        <v>2</v>
      </c>
      <c r="E2143" s="65" t="str">
        <f aca="false">IF($H2143="","",购销流水!$B540)</f>
        <v/>
      </c>
      <c r="F2143" s="55" t="str">
        <f aca="false">IF($H2143="","",购销流水!$C540)</f>
        <v/>
      </c>
      <c r="G2143" s="48" t="str">
        <f aca="false">IF($H2143="","",购销流水!$N540)</f>
        <v/>
      </c>
      <c r="H2143" s="10" t="str">
        <f aca="false">IF($L2143="","",IF($L2143="@成本",购销流水!$U540,IF($L2143="@收入",购销流水!$T540,IF($L2143="@存货",购销流水!$S540,IF($L2143="@结算",购销流水!$R540,$L2143)))))</f>
        <v/>
      </c>
      <c r="I2143" s="42" t="n">
        <f aca="false">IF($M2143="借",$O2143,0)</f>
        <v>0</v>
      </c>
      <c r="J2143" s="42" t="n">
        <f aca="false">IF($M2143="贷",$O2143,0)</f>
        <v>0</v>
      </c>
      <c r="K2143" s="48" t="str">
        <f aca="false">IF($H2143="","",购销流水!$E540)</f>
        <v/>
      </c>
      <c r="L2143" s="66" t="str">
        <f aca="false">IF(购销流水!$D540="","",IFERROR(INDEX(记账规则!$A$6:$N$9,MATCH(购销流水!$D540,记账规则!$A$6:$A$9,0),6),""))</f>
        <v/>
      </c>
      <c r="M2143" s="66" t="str">
        <f aca="false">IF($L2143="","",IFERROR(INDEX(记账规则!$A$6:$N$9,MATCH(购销流水!$D540,记账规则!$A$6:$A$9,0),7),""))</f>
        <v/>
      </c>
      <c r="N2143" s="66" t="str">
        <f aca="false">IF($L2143="","",IFERROR(INDEX(记账规则!$A$6:$N$9,MATCH(购销流水!$D540,记账规则!$A$6:$A$9,0),8),""))</f>
        <v/>
      </c>
      <c r="O2143" s="67" t="n">
        <f aca="false">IF($H2143="",0,ROUND(IF($N2143="成本金额",N(购销流水!$W540),IF($N2143="金额",N(购销流水!$Q540),0)),2))</f>
        <v>0</v>
      </c>
      <c r="P2143" s="64" t="str">
        <f aca="false">IF(AND($H2143&lt;&gt;"",ROUND($O2143,2)&lt;&gt;0),"有","")</f>
        <v/>
      </c>
    </row>
    <row r="2144" customFormat="false" ht="15" hidden="true" customHeight="false" outlineLevel="0" collapsed="false">
      <c r="A2144" s="53" t="str">
        <f aca="false">IF($H2144="","",ROW()-5)</f>
        <v/>
      </c>
      <c r="B2144" s="64" t="s">
        <v>36</v>
      </c>
      <c r="C2144" s="53" t="n">
        <v>540</v>
      </c>
      <c r="D2144" s="53" t="n">
        <v>3</v>
      </c>
      <c r="E2144" s="65" t="str">
        <f aca="false">IF($H2144="","",购销流水!$B540)</f>
        <v/>
      </c>
      <c r="F2144" s="55" t="str">
        <f aca="false">IF($H2144="","",购销流水!$C540)</f>
        <v/>
      </c>
      <c r="G2144" s="48" t="str">
        <f aca="false">IF($H2144="","",购销流水!$N540)</f>
        <v/>
      </c>
      <c r="H2144" s="10" t="str">
        <f aca="false">IF($L2144="","",IF($L2144="@成本",购销流水!$U540,IF($L2144="@收入",购销流水!$T540,IF($L2144="@存货",购销流水!$S540,IF($L2144="@结算",购销流水!$R540,$L2144)))))</f>
        <v/>
      </c>
      <c r="I2144" s="42" t="n">
        <f aca="false">IF($M2144="借",$O2144,0)</f>
        <v>0</v>
      </c>
      <c r="J2144" s="42" t="n">
        <f aca="false">IF($M2144="贷",$O2144,0)</f>
        <v>0</v>
      </c>
      <c r="K2144" s="48" t="str">
        <f aca="false">IF($H2144="","",购销流水!$E540)</f>
        <v/>
      </c>
      <c r="L2144" s="66" t="str">
        <f aca="false">IF(购销流水!$D540="","",IFERROR(INDEX(记账规则!$A$6:$N$9,MATCH(购销流水!$D540,记账规则!$A$6:$A$9,0),9),""))</f>
        <v/>
      </c>
      <c r="M2144" s="66" t="str">
        <f aca="false">IF($L2144="","",IFERROR(INDEX(记账规则!$A$6:$N$9,MATCH(购销流水!$D540,记账规则!$A$6:$A$9,0),10),""))</f>
        <v/>
      </c>
      <c r="N2144" s="66" t="str">
        <f aca="false">IF($L2144="","",IFERROR(INDEX(记账规则!$A$6:$N$9,MATCH(购销流水!$D540,记账规则!$A$6:$A$9,0),11),""))</f>
        <v/>
      </c>
      <c r="O2144" s="67" t="n">
        <f aca="false">IF($H2144="",0,ROUND(IF($N2144="成本金额",N(购销流水!$W540),IF($N2144="金额",N(购销流水!$Q540),0)),2))</f>
        <v>0</v>
      </c>
      <c r="P2144" s="64" t="str">
        <f aca="false">IF(AND($H2144&lt;&gt;"",ROUND($O2144,2)&lt;&gt;0),"有","")</f>
        <v/>
      </c>
    </row>
    <row r="2145" customFormat="false" ht="15" hidden="true" customHeight="false" outlineLevel="0" collapsed="false">
      <c r="A2145" s="53" t="str">
        <f aca="false">IF($H2145="","",ROW()-5)</f>
        <v/>
      </c>
      <c r="B2145" s="64" t="s">
        <v>36</v>
      </c>
      <c r="C2145" s="53" t="n">
        <v>540</v>
      </c>
      <c r="D2145" s="53" t="n">
        <v>4</v>
      </c>
      <c r="E2145" s="65" t="str">
        <f aca="false">IF($H2145="","",购销流水!$B540)</f>
        <v/>
      </c>
      <c r="F2145" s="55" t="str">
        <f aca="false">IF($H2145="","",购销流水!$C540)</f>
        <v/>
      </c>
      <c r="G2145" s="48" t="str">
        <f aca="false">IF($H2145="","",购销流水!$N540)</f>
        <v/>
      </c>
      <c r="H2145" s="10" t="str">
        <f aca="false">IF($L2145="","",IF($L2145="@成本",购销流水!$U540,IF($L2145="@收入",购销流水!$T540,IF($L2145="@存货",购销流水!$S540,IF($L2145="@结算",购销流水!$R540,$L2145)))))</f>
        <v/>
      </c>
      <c r="I2145" s="42" t="n">
        <f aca="false">IF($M2145="借",$O2145,0)</f>
        <v>0</v>
      </c>
      <c r="J2145" s="42" t="n">
        <f aca="false">IF($M2145="贷",$O2145,0)</f>
        <v>0</v>
      </c>
      <c r="K2145" s="48" t="str">
        <f aca="false">IF($H2145="","",购销流水!$E540)</f>
        <v/>
      </c>
      <c r="L2145" s="66" t="str">
        <f aca="false">IF(购销流水!$D540="","",IFERROR(INDEX(记账规则!$A$6:$N$9,MATCH(购销流水!$D540,记账规则!$A$6:$A$9,0),12),""))</f>
        <v/>
      </c>
      <c r="M2145" s="66" t="str">
        <f aca="false">IF($L2145="","",IFERROR(INDEX(记账规则!$A$6:$N$9,MATCH(购销流水!$D540,记账规则!$A$6:$A$9,0),13),""))</f>
        <v/>
      </c>
      <c r="N2145" s="66" t="str">
        <f aca="false">IF($L2145="","",IFERROR(INDEX(记账规则!$A$6:$N$9,MATCH(购销流水!$D540,记账规则!$A$6:$A$9,0),14),""))</f>
        <v/>
      </c>
      <c r="O2145" s="67" t="n">
        <f aca="false">IF($H2145="",0,ROUND(IF($N2145="成本金额",N(购销流水!$W540),IF($N2145="金额",N(购销流水!$Q540),0)),2))</f>
        <v>0</v>
      </c>
      <c r="P2145" s="64" t="str">
        <f aca="false">IF(AND($H2145&lt;&gt;"",ROUND($O2145,2)&lt;&gt;0),"有","")</f>
        <v/>
      </c>
    </row>
    <row r="2146" customFormat="false" ht="15" hidden="true" customHeight="false" outlineLevel="0" collapsed="false">
      <c r="A2146" s="53" t="str">
        <f aca="false">IF($H2146="","",ROW()-5)</f>
        <v/>
      </c>
      <c r="B2146" s="64" t="s">
        <v>36</v>
      </c>
      <c r="C2146" s="53" t="n">
        <v>541</v>
      </c>
      <c r="D2146" s="53" t="n">
        <v>1</v>
      </c>
      <c r="E2146" s="65" t="str">
        <f aca="false">IF($H2146="","",购销流水!$B541)</f>
        <v/>
      </c>
      <c r="F2146" s="55" t="str">
        <f aca="false">IF($H2146="","",购销流水!$C541)</f>
        <v/>
      </c>
      <c r="G2146" s="48" t="str">
        <f aca="false">IF($H2146="","",购销流水!$N541)</f>
        <v/>
      </c>
      <c r="H2146" s="10" t="str">
        <f aca="false">IF($L2146="","",IF($L2146="@成本",购销流水!$U541,IF($L2146="@收入",购销流水!$T541,IF($L2146="@存货",购销流水!$S541,IF($L2146="@结算",购销流水!$R541,$L2146)))))</f>
        <v/>
      </c>
      <c r="I2146" s="42" t="n">
        <f aca="false">IF($M2146="借",$O2146,0)</f>
        <v>0</v>
      </c>
      <c r="J2146" s="42" t="n">
        <f aca="false">IF($M2146="贷",$O2146,0)</f>
        <v>0</v>
      </c>
      <c r="K2146" s="48" t="str">
        <f aca="false">IF($H2146="","",购销流水!$E541)</f>
        <v/>
      </c>
      <c r="L2146" s="66" t="str">
        <f aca="false">IF(购销流水!$D541="","",IFERROR(INDEX(记账规则!$A$6:$N$9,MATCH(购销流水!$D541,记账规则!$A$6:$A$9,0),3),""))</f>
        <v/>
      </c>
      <c r="M2146" s="66" t="str">
        <f aca="false">IF($L2146="","",IFERROR(INDEX(记账规则!$A$6:$N$9,MATCH(购销流水!$D541,记账规则!$A$6:$A$9,0),4),""))</f>
        <v/>
      </c>
      <c r="N2146" s="66" t="str">
        <f aca="false">IF($L2146="","",IFERROR(INDEX(记账规则!$A$6:$N$9,MATCH(购销流水!$D541,记账规则!$A$6:$A$9,0),5),""))</f>
        <v/>
      </c>
      <c r="O2146" s="67" t="n">
        <f aca="false">IF($H2146="",0,ROUND(IF($N2146="成本金额",N(购销流水!$W541),IF($N2146="金额",N(购销流水!$Q541),0)),2))</f>
        <v>0</v>
      </c>
      <c r="P2146" s="64" t="str">
        <f aca="false">IF(AND($H2146&lt;&gt;"",ROUND($O2146,2)&lt;&gt;0),"有","")</f>
        <v/>
      </c>
    </row>
    <row r="2147" customFormat="false" ht="15" hidden="true" customHeight="false" outlineLevel="0" collapsed="false">
      <c r="A2147" s="53" t="str">
        <f aca="false">IF($H2147="","",ROW()-5)</f>
        <v/>
      </c>
      <c r="B2147" s="64" t="s">
        <v>36</v>
      </c>
      <c r="C2147" s="53" t="n">
        <v>541</v>
      </c>
      <c r="D2147" s="53" t="n">
        <v>2</v>
      </c>
      <c r="E2147" s="65" t="str">
        <f aca="false">IF($H2147="","",购销流水!$B541)</f>
        <v/>
      </c>
      <c r="F2147" s="55" t="str">
        <f aca="false">IF($H2147="","",购销流水!$C541)</f>
        <v/>
      </c>
      <c r="G2147" s="48" t="str">
        <f aca="false">IF($H2147="","",购销流水!$N541)</f>
        <v/>
      </c>
      <c r="H2147" s="10" t="str">
        <f aca="false">IF($L2147="","",IF($L2147="@成本",购销流水!$U541,IF($L2147="@收入",购销流水!$T541,IF($L2147="@存货",购销流水!$S541,IF($L2147="@结算",购销流水!$R541,$L2147)))))</f>
        <v/>
      </c>
      <c r="I2147" s="42" t="n">
        <f aca="false">IF($M2147="借",$O2147,0)</f>
        <v>0</v>
      </c>
      <c r="J2147" s="42" t="n">
        <f aca="false">IF($M2147="贷",$O2147,0)</f>
        <v>0</v>
      </c>
      <c r="K2147" s="48" t="str">
        <f aca="false">IF($H2147="","",购销流水!$E541)</f>
        <v/>
      </c>
      <c r="L2147" s="66" t="str">
        <f aca="false">IF(购销流水!$D541="","",IFERROR(INDEX(记账规则!$A$6:$N$9,MATCH(购销流水!$D541,记账规则!$A$6:$A$9,0),6),""))</f>
        <v/>
      </c>
      <c r="M2147" s="66" t="str">
        <f aca="false">IF($L2147="","",IFERROR(INDEX(记账规则!$A$6:$N$9,MATCH(购销流水!$D541,记账规则!$A$6:$A$9,0),7),""))</f>
        <v/>
      </c>
      <c r="N2147" s="66" t="str">
        <f aca="false">IF($L2147="","",IFERROR(INDEX(记账规则!$A$6:$N$9,MATCH(购销流水!$D541,记账规则!$A$6:$A$9,0),8),""))</f>
        <v/>
      </c>
      <c r="O2147" s="67" t="n">
        <f aca="false">IF($H2147="",0,ROUND(IF($N2147="成本金额",N(购销流水!$W541),IF($N2147="金额",N(购销流水!$Q541),0)),2))</f>
        <v>0</v>
      </c>
      <c r="P2147" s="64" t="str">
        <f aca="false">IF(AND($H2147&lt;&gt;"",ROUND($O2147,2)&lt;&gt;0),"有","")</f>
        <v/>
      </c>
    </row>
    <row r="2148" customFormat="false" ht="15" hidden="true" customHeight="false" outlineLevel="0" collapsed="false">
      <c r="A2148" s="53" t="str">
        <f aca="false">IF($H2148="","",ROW()-5)</f>
        <v/>
      </c>
      <c r="B2148" s="64" t="s">
        <v>36</v>
      </c>
      <c r="C2148" s="53" t="n">
        <v>541</v>
      </c>
      <c r="D2148" s="53" t="n">
        <v>3</v>
      </c>
      <c r="E2148" s="65" t="str">
        <f aca="false">IF($H2148="","",购销流水!$B541)</f>
        <v/>
      </c>
      <c r="F2148" s="55" t="str">
        <f aca="false">IF($H2148="","",购销流水!$C541)</f>
        <v/>
      </c>
      <c r="G2148" s="48" t="str">
        <f aca="false">IF($H2148="","",购销流水!$N541)</f>
        <v/>
      </c>
      <c r="H2148" s="10" t="str">
        <f aca="false">IF($L2148="","",IF($L2148="@成本",购销流水!$U541,IF($L2148="@收入",购销流水!$T541,IF($L2148="@存货",购销流水!$S541,IF($L2148="@结算",购销流水!$R541,$L2148)))))</f>
        <v/>
      </c>
      <c r="I2148" s="42" t="n">
        <f aca="false">IF($M2148="借",$O2148,0)</f>
        <v>0</v>
      </c>
      <c r="J2148" s="42" t="n">
        <f aca="false">IF($M2148="贷",$O2148,0)</f>
        <v>0</v>
      </c>
      <c r="K2148" s="48" t="str">
        <f aca="false">IF($H2148="","",购销流水!$E541)</f>
        <v/>
      </c>
      <c r="L2148" s="66" t="str">
        <f aca="false">IF(购销流水!$D541="","",IFERROR(INDEX(记账规则!$A$6:$N$9,MATCH(购销流水!$D541,记账规则!$A$6:$A$9,0),9),""))</f>
        <v/>
      </c>
      <c r="M2148" s="66" t="str">
        <f aca="false">IF($L2148="","",IFERROR(INDEX(记账规则!$A$6:$N$9,MATCH(购销流水!$D541,记账规则!$A$6:$A$9,0),10),""))</f>
        <v/>
      </c>
      <c r="N2148" s="66" t="str">
        <f aca="false">IF($L2148="","",IFERROR(INDEX(记账规则!$A$6:$N$9,MATCH(购销流水!$D541,记账规则!$A$6:$A$9,0),11),""))</f>
        <v/>
      </c>
      <c r="O2148" s="67" t="n">
        <f aca="false">IF($H2148="",0,ROUND(IF($N2148="成本金额",N(购销流水!$W541),IF($N2148="金额",N(购销流水!$Q541),0)),2))</f>
        <v>0</v>
      </c>
      <c r="P2148" s="64" t="str">
        <f aca="false">IF(AND($H2148&lt;&gt;"",ROUND($O2148,2)&lt;&gt;0),"有","")</f>
        <v/>
      </c>
    </row>
    <row r="2149" customFormat="false" ht="15" hidden="true" customHeight="false" outlineLevel="0" collapsed="false">
      <c r="A2149" s="53" t="str">
        <f aca="false">IF($H2149="","",ROW()-5)</f>
        <v/>
      </c>
      <c r="B2149" s="64" t="s">
        <v>36</v>
      </c>
      <c r="C2149" s="53" t="n">
        <v>541</v>
      </c>
      <c r="D2149" s="53" t="n">
        <v>4</v>
      </c>
      <c r="E2149" s="65" t="str">
        <f aca="false">IF($H2149="","",购销流水!$B541)</f>
        <v/>
      </c>
      <c r="F2149" s="55" t="str">
        <f aca="false">IF($H2149="","",购销流水!$C541)</f>
        <v/>
      </c>
      <c r="G2149" s="48" t="str">
        <f aca="false">IF($H2149="","",购销流水!$N541)</f>
        <v/>
      </c>
      <c r="H2149" s="10" t="str">
        <f aca="false">IF($L2149="","",IF($L2149="@成本",购销流水!$U541,IF($L2149="@收入",购销流水!$T541,IF($L2149="@存货",购销流水!$S541,IF($L2149="@结算",购销流水!$R541,$L2149)))))</f>
        <v/>
      </c>
      <c r="I2149" s="42" t="n">
        <f aca="false">IF($M2149="借",$O2149,0)</f>
        <v>0</v>
      </c>
      <c r="J2149" s="42" t="n">
        <f aca="false">IF($M2149="贷",$O2149,0)</f>
        <v>0</v>
      </c>
      <c r="K2149" s="48" t="str">
        <f aca="false">IF($H2149="","",购销流水!$E541)</f>
        <v/>
      </c>
      <c r="L2149" s="66" t="str">
        <f aca="false">IF(购销流水!$D541="","",IFERROR(INDEX(记账规则!$A$6:$N$9,MATCH(购销流水!$D541,记账规则!$A$6:$A$9,0),12),""))</f>
        <v/>
      </c>
      <c r="M2149" s="66" t="str">
        <f aca="false">IF($L2149="","",IFERROR(INDEX(记账规则!$A$6:$N$9,MATCH(购销流水!$D541,记账规则!$A$6:$A$9,0),13),""))</f>
        <v/>
      </c>
      <c r="N2149" s="66" t="str">
        <f aca="false">IF($L2149="","",IFERROR(INDEX(记账规则!$A$6:$N$9,MATCH(购销流水!$D541,记账规则!$A$6:$A$9,0),14),""))</f>
        <v/>
      </c>
      <c r="O2149" s="67" t="n">
        <f aca="false">IF($H2149="",0,ROUND(IF($N2149="成本金额",N(购销流水!$W541),IF($N2149="金额",N(购销流水!$Q541),0)),2))</f>
        <v>0</v>
      </c>
      <c r="P2149" s="64" t="str">
        <f aca="false">IF(AND($H2149&lt;&gt;"",ROUND($O2149,2)&lt;&gt;0),"有","")</f>
        <v/>
      </c>
    </row>
    <row r="2150" customFormat="false" ht="15" hidden="true" customHeight="false" outlineLevel="0" collapsed="false">
      <c r="A2150" s="53" t="str">
        <f aca="false">IF($H2150="","",ROW()-5)</f>
        <v/>
      </c>
      <c r="B2150" s="64" t="s">
        <v>36</v>
      </c>
      <c r="C2150" s="53" t="n">
        <v>542</v>
      </c>
      <c r="D2150" s="53" t="n">
        <v>1</v>
      </c>
      <c r="E2150" s="65" t="str">
        <f aca="false">IF($H2150="","",购销流水!$B542)</f>
        <v/>
      </c>
      <c r="F2150" s="55" t="str">
        <f aca="false">IF($H2150="","",购销流水!$C542)</f>
        <v/>
      </c>
      <c r="G2150" s="48" t="str">
        <f aca="false">IF($H2150="","",购销流水!$N542)</f>
        <v/>
      </c>
      <c r="H2150" s="10" t="str">
        <f aca="false">IF($L2150="","",IF($L2150="@成本",购销流水!$U542,IF($L2150="@收入",购销流水!$T542,IF($L2150="@存货",购销流水!$S542,IF($L2150="@结算",购销流水!$R542,$L2150)))))</f>
        <v/>
      </c>
      <c r="I2150" s="42" t="n">
        <f aca="false">IF($M2150="借",$O2150,0)</f>
        <v>0</v>
      </c>
      <c r="J2150" s="42" t="n">
        <f aca="false">IF($M2150="贷",$O2150,0)</f>
        <v>0</v>
      </c>
      <c r="K2150" s="48" t="str">
        <f aca="false">IF($H2150="","",购销流水!$E542)</f>
        <v/>
      </c>
      <c r="L2150" s="66" t="str">
        <f aca="false">IF(购销流水!$D542="","",IFERROR(INDEX(记账规则!$A$6:$N$9,MATCH(购销流水!$D542,记账规则!$A$6:$A$9,0),3),""))</f>
        <v/>
      </c>
      <c r="M2150" s="66" t="str">
        <f aca="false">IF($L2150="","",IFERROR(INDEX(记账规则!$A$6:$N$9,MATCH(购销流水!$D542,记账规则!$A$6:$A$9,0),4),""))</f>
        <v/>
      </c>
      <c r="N2150" s="66" t="str">
        <f aca="false">IF($L2150="","",IFERROR(INDEX(记账规则!$A$6:$N$9,MATCH(购销流水!$D542,记账规则!$A$6:$A$9,0),5),""))</f>
        <v/>
      </c>
      <c r="O2150" s="67" t="n">
        <f aca="false">IF($H2150="",0,ROUND(IF($N2150="成本金额",N(购销流水!$W542),IF($N2150="金额",N(购销流水!$Q542),0)),2))</f>
        <v>0</v>
      </c>
      <c r="P2150" s="64" t="str">
        <f aca="false">IF(AND($H2150&lt;&gt;"",ROUND($O2150,2)&lt;&gt;0),"有","")</f>
        <v/>
      </c>
    </row>
    <row r="2151" customFormat="false" ht="15" hidden="true" customHeight="false" outlineLevel="0" collapsed="false">
      <c r="A2151" s="53" t="str">
        <f aca="false">IF($H2151="","",ROW()-5)</f>
        <v/>
      </c>
      <c r="B2151" s="64" t="s">
        <v>36</v>
      </c>
      <c r="C2151" s="53" t="n">
        <v>542</v>
      </c>
      <c r="D2151" s="53" t="n">
        <v>2</v>
      </c>
      <c r="E2151" s="65" t="str">
        <f aca="false">IF($H2151="","",购销流水!$B542)</f>
        <v/>
      </c>
      <c r="F2151" s="55" t="str">
        <f aca="false">IF($H2151="","",购销流水!$C542)</f>
        <v/>
      </c>
      <c r="G2151" s="48" t="str">
        <f aca="false">IF($H2151="","",购销流水!$N542)</f>
        <v/>
      </c>
      <c r="H2151" s="10" t="str">
        <f aca="false">IF($L2151="","",IF($L2151="@成本",购销流水!$U542,IF($L2151="@收入",购销流水!$T542,IF($L2151="@存货",购销流水!$S542,IF($L2151="@结算",购销流水!$R542,$L2151)))))</f>
        <v/>
      </c>
      <c r="I2151" s="42" t="n">
        <f aca="false">IF($M2151="借",$O2151,0)</f>
        <v>0</v>
      </c>
      <c r="J2151" s="42" t="n">
        <f aca="false">IF($M2151="贷",$O2151,0)</f>
        <v>0</v>
      </c>
      <c r="K2151" s="48" t="str">
        <f aca="false">IF($H2151="","",购销流水!$E542)</f>
        <v/>
      </c>
      <c r="L2151" s="66" t="str">
        <f aca="false">IF(购销流水!$D542="","",IFERROR(INDEX(记账规则!$A$6:$N$9,MATCH(购销流水!$D542,记账规则!$A$6:$A$9,0),6),""))</f>
        <v/>
      </c>
      <c r="M2151" s="66" t="str">
        <f aca="false">IF($L2151="","",IFERROR(INDEX(记账规则!$A$6:$N$9,MATCH(购销流水!$D542,记账规则!$A$6:$A$9,0),7),""))</f>
        <v/>
      </c>
      <c r="N2151" s="66" t="str">
        <f aca="false">IF($L2151="","",IFERROR(INDEX(记账规则!$A$6:$N$9,MATCH(购销流水!$D542,记账规则!$A$6:$A$9,0),8),""))</f>
        <v/>
      </c>
      <c r="O2151" s="67" t="n">
        <f aca="false">IF($H2151="",0,ROUND(IF($N2151="成本金额",N(购销流水!$W542),IF($N2151="金额",N(购销流水!$Q542),0)),2))</f>
        <v>0</v>
      </c>
      <c r="P2151" s="64" t="str">
        <f aca="false">IF(AND($H2151&lt;&gt;"",ROUND($O2151,2)&lt;&gt;0),"有","")</f>
        <v/>
      </c>
    </row>
    <row r="2152" customFormat="false" ht="15" hidden="true" customHeight="false" outlineLevel="0" collapsed="false">
      <c r="A2152" s="53" t="str">
        <f aca="false">IF($H2152="","",ROW()-5)</f>
        <v/>
      </c>
      <c r="B2152" s="64" t="s">
        <v>36</v>
      </c>
      <c r="C2152" s="53" t="n">
        <v>542</v>
      </c>
      <c r="D2152" s="53" t="n">
        <v>3</v>
      </c>
      <c r="E2152" s="65" t="str">
        <f aca="false">IF($H2152="","",购销流水!$B542)</f>
        <v/>
      </c>
      <c r="F2152" s="55" t="str">
        <f aca="false">IF($H2152="","",购销流水!$C542)</f>
        <v/>
      </c>
      <c r="G2152" s="48" t="str">
        <f aca="false">IF($H2152="","",购销流水!$N542)</f>
        <v/>
      </c>
      <c r="H2152" s="10" t="str">
        <f aca="false">IF($L2152="","",IF($L2152="@成本",购销流水!$U542,IF($L2152="@收入",购销流水!$T542,IF($L2152="@存货",购销流水!$S542,IF($L2152="@结算",购销流水!$R542,$L2152)))))</f>
        <v/>
      </c>
      <c r="I2152" s="42" t="n">
        <f aca="false">IF($M2152="借",$O2152,0)</f>
        <v>0</v>
      </c>
      <c r="J2152" s="42" t="n">
        <f aca="false">IF($M2152="贷",$O2152,0)</f>
        <v>0</v>
      </c>
      <c r="K2152" s="48" t="str">
        <f aca="false">IF($H2152="","",购销流水!$E542)</f>
        <v/>
      </c>
      <c r="L2152" s="66" t="str">
        <f aca="false">IF(购销流水!$D542="","",IFERROR(INDEX(记账规则!$A$6:$N$9,MATCH(购销流水!$D542,记账规则!$A$6:$A$9,0),9),""))</f>
        <v/>
      </c>
      <c r="M2152" s="66" t="str">
        <f aca="false">IF($L2152="","",IFERROR(INDEX(记账规则!$A$6:$N$9,MATCH(购销流水!$D542,记账规则!$A$6:$A$9,0),10),""))</f>
        <v/>
      </c>
      <c r="N2152" s="66" t="str">
        <f aca="false">IF($L2152="","",IFERROR(INDEX(记账规则!$A$6:$N$9,MATCH(购销流水!$D542,记账规则!$A$6:$A$9,0),11),""))</f>
        <v/>
      </c>
      <c r="O2152" s="67" t="n">
        <f aca="false">IF($H2152="",0,ROUND(IF($N2152="成本金额",N(购销流水!$W542),IF($N2152="金额",N(购销流水!$Q542),0)),2))</f>
        <v>0</v>
      </c>
      <c r="P2152" s="64" t="str">
        <f aca="false">IF(AND($H2152&lt;&gt;"",ROUND($O2152,2)&lt;&gt;0),"有","")</f>
        <v/>
      </c>
    </row>
    <row r="2153" customFormat="false" ht="15" hidden="true" customHeight="false" outlineLevel="0" collapsed="false">
      <c r="A2153" s="53" t="str">
        <f aca="false">IF($H2153="","",ROW()-5)</f>
        <v/>
      </c>
      <c r="B2153" s="64" t="s">
        <v>36</v>
      </c>
      <c r="C2153" s="53" t="n">
        <v>542</v>
      </c>
      <c r="D2153" s="53" t="n">
        <v>4</v>
      </c>
      <c r="E2153" s="65" t="str">
        <f aca="false">IF($H2153="","",购销流水!$B542)</f>
        <v/>
      </c>
      <c r="F2153" s="55" t="str">
        <f aca="false">IF($H2153="","",购销流水!$C542)</f>
        <v/>
      </c>
      <c r="G2153" s="48" t="str">
        <f aca="false">IF($H2153="","",购销流水!$N542)</f>
        <v/>
      </c>
      <c r="H2153" s="10" t="str">
        <f aca="false">IF($L2153="","",IF($L2153="@成本",购销流水!$U542,IF($L2153="@收入",购销流水!$T542,IF($L2153="@存货",购销流水!$S542,IF($L2153="@结算",购销流水!$R542,$L2153)))))</f>
        <v/>
      </c>
      <c r="I2153" s="42" t="n">
        <f aca="false">IF($M2153="借",$O2153,0)</f>
        <v>0</v>
      </c>
      <c r="J2153" s="42" t="n">
        <f aca="false">IF($M2153="贷",$O2153,0)</f>
        <v>0</v>
      </c>
      <c r="K2153" s="48" t="str">
        <f aca="false">IF($H2153="","",购销流水!$E542)</f>
        <v/>
      </c>
      <c r="L2153" s="66" t="str">
        <f aca="false">IF(购销流水!$D542="","",IFERROR(INDEX(记账规则!$A$6:$N$9,MATCH(购销流水!$D542,记账规则!$A$6:$A$9,0),12),""))</f>
        <v/>
      </c>
      <c r="M2153" s="66" t="str">
        <f aca="false">IF($L2153="","",IFERROR(INDEX(记账规则!$A$6:$N$9,MATCH(购销流水!$D542,记账规则!$A$6:$A$9,0),13),""))</f>
        <v/>
      </c>
      <c r="N2153" s="66" t="str">
        <f aca="false">IF($L2153="","",IFERROR(INDEX(记账规则!$A$6:$N$9,MATCH(购销流水!$D542,记账规则!$A$6:$A$9,0),14),""))</f>
        <v/>
      </c>
      <c r="O2153" s="67" t="n">
        <f aca="false">IF($H2153="",0,ROUND(IF($N2153="成本金额",N(购销流水!$W542),IF($N2153="金额",N(购销流水!$Q542),0)),2))</f>
        <v>0</v>
      </c>
      <c r="P2153" s="64" t="str">
        <f aca="false">IF(AND($H2153&lt;&gt;"",ROUND($O2153,2)&lt;&gt;0),"有","")</f>
        <v/>
      </c>
    </row>
    <row r="2154" customFormat="false" ht="15" hidden="true" customHeight="false" outlineLevel="0" collapsed="false">
      <c r="A2154" s="53" t="str">
        <f aca="false">IF($H2154="","",ROW()-5)</f>
        <v/>
      </c>
      <c r="B2154" s="64" t="s">
        <v>36</v>
      </c>
      <c r="C2154" s="53" t="n">
        <v>543</v>
      </c>
      <c r="D2154" s="53" t="n">
        <v>1</v>
      </c>
      <c r="E2154" s="65" t="str">
        <f aca="false">IF($H2154="","",购销流水!$B543)</f>
        <v/>
      </c>
      <c r="F2154" s="55" t="str">
        <f aca="false">IF($H2154="","",购销流水!$C543)</f>
        <v/>
      </c>
      <c r="G2154" s="48" t="str">
        <f aca="false">IF($H2154="","",购销流水!$N543)</f>
        <v/>
      </c>
      <c r="H2154" s="10" t="str">
        <f aca="false">IF($L2154="","",IF($L2154="@成本",购销流水!$U543,IF($L2154="@收入",购销流水!$T543,IF($L2154="@存货",购销流水!$S543,IF($L2154="@结算",购销流水!$R543,$L2154)))))</f>
        <v/>
      </c>
      <c r="I2154" s="42" t="n">
        <f aca="false">IF($M2154="借",$O2154,0)</f>
        <v>0</v>
      </c>
      <c r="J2154" s="42" t="n">
        <f aca="false">IF($M2154="贷",$O2154,0)</f>
        <v>0</v>
      </c>
      <c r="K2154" s="48" t="str">
        <f aca="false">IF($H2154="","",购销流水!$E543)</f>
        <v/>
      </c>
      <c r="L2154" s="66" t="str">
        <f aca="false">IF(购销流水!$D543="","",IFERROR(INDEX(记账规则!$A$6:$N$9,MATCH(购销流水!$D543,记账规则!$A$6:$A$9,0),3),""))</f>
        <v/>
      </c>
      <c r="M2154" s="66" t="str">
        <f aca="false">IF($L2154="","",IFERROR(INDEX(记账规则!$A$6:$N$9,MATCH(购销流水!$D543,记账规则!$A$6:$A$9,0),4),""))</f>
        <v/>
      </c>
      <c r="N2154" s="66" t="str">
        <f aca="false">IF($L2154="","",IFERROR(INDEX(记账规则!$A$6:$N$9,MATCH(购销流水!$D543,记账规则!$A$6:$A$9,0),5),""))</f>
        <v/>
      </c>
      <c r="O2154" s="67" t="n">
        <f aca="false">IF($H2154="",0,ROUND(IF($N2154="成本金额",N(购销流水!$W543),IF($N2154="金额",N(购销流水!$Q543),0)),2))</f>
        <v>0</v>
      </c>
      <c r="P2154" s="64" t="str">
        <f aca="false">IF(AND($H2154&lt;&gt;"",ROUND($O2154,2)&lt;&gt;0),"有","")</f>
        <v/>
      </c>
    </row>
    <row r="2155" customFormat="false" ht="15" hidden="true" customHeight="false" outlineLevel="0" collapsed="false">
      <c r="A2155" s="53" t="str">
        <f aca="false">IF($H2155="","",ROW()-5)</f>
        <v/>
      </c>
      <c r="B2155" s="64" t="s">
        <v>36</v>
      </c>
      <c r="C2155" s="53" t="n">
        <v>543</v>
      </c>
      <c r="D2155" s="53" t="n">
        <v>2</v>
      </c>
      <c r="E2155" s="65" t="str">
        <f aca="false">IF($H2155="","",购销流水!$B543)</f>
        <v/>
      </c>
      <c r="F2155" s="55" t="str">
        <f aca="false">IF($H2155="","",购销流水!$C543)</f>
        <v/>
      </c>
      <c r="G2155" s="48" t="str">
        <f aca="false">IF($H2155="","",购销流水!$N543)</f>
        <v/>
      </c>
      <c r="H2155" s="10" t="str">
        <f aca="false">IF($L2155="","",IF($L2155="@成本",购销流水!$U543,IF($L2155="@收入",购销流水!$T543,IF($L2155="@存货",购销流水!$S543,IF($L2155="@结算",购销流水!$R543,$L2155)))))</f>
        <v/>
      </c>
      <c r="I2155" s="42" t="n">
        <f aca="false">IF($M2155="借",$O2155,0)</f>
        <v>0</v>
      </c>
      <c r="J2155" s="42" t="n">
        <f aca="false">IF($M2155="贷",$O2155,0)</f>
        <v>0</v>
      </c>
      <c r="K2155" s="48" t="str">
        <f aca="false">IF($H2155="","",购销流水!$E543)</f>
        <v/>
      </c>
      <c r="L2155" s="66" t="str">
        <f aca="false">IF(购销流水!$D543="","",IFERROR(INDEX(记账规则!$A$6:$N$9,MATCH(购销流水!$D543,记账规则!$A$6:$A$9,0),6),""))</f>
        <v/>
      </c>
      <c r="M2155" s="66" t="str">
        <f aca="false">IF($L2155="","",IFERROR(INDEX(记账规则!$A$6:$N$9,MATCH(购销流水!$D543,记账规则!$A$6:$A$9,0),7),""))</f>
        <v/>
      </c>
      <c r="N2155" s="66" t="str">
        <f aca="false">IF($L2155="","",IFERROR(INDEX(记账规则!$A$6:$N$9,MATCH(购销流水!$D543,记账规则!$A$6:$A$9,0),8),""))</f>
        <v/>
      </c>
      <c r="O2155" s="67" t="n">
        <f aca="false">IF($H2155="",0,ROUND(IF($N2155="成本金额",N(购销流水!$W543),IF($N2155="金额",N(购销流水!$Q543),0)),2))</f>
        <v>0</v>
      </c>
      <c r="P2155" s="64" t="str">
        <f aca="false">IF(AND($H2155&lt;&gt;"",ROUND($O2155,2)&lt;&gt;0),"有","")</f>
        <v/>
      </c>
    </row>
    <row r="2156" customFormat="false" ht="15" hidden="true" customHeight="false" outlineLevel="0" collapsed="false">
      <c r="A2156" s="53" t="str">
        <f aca="false">IF($H2156="","",ROW()-5)</f>
        <v/>
      </c>
      <c r="B2156" s="64" t="s">
        <v>36</v>
      </c>
      <c r="C2156" s="53" t="n">
        <v>543</v>
      </c>
      <c r="D2156" s="53" t="n">
        <v>3</v>
      </c>
      <c r="E2156" s="65" t="str">
        <f aca="false">IF($H2156="","",购销流水!$B543)</f>
        <v/>
      </c>
      <c r="F2156" s="55" t="str">
        <f aca="false">IF($H2156="","",购销流水!$C543)</f>
        <v/>
      </c>
      <c r="G2156" s="48" t="str">
        <f aca="false">IF($H2156="","",购销流水!$N543)</f>
        <v/>
      </c>
      <c r="H2156" s="10" t="str">
        <f aca="false">IF($L2156="","",IF($L2156="@成本",购销流水!$U543,IF($L2156="@收入",购销流水!$T543,IF($L2156="@存货",购销流水!$S543,IF($L2156="@结算",购销流水!$R543,$L2156)))))</f>
        <v/>
      </c>
      <c r="I2156" s="42" t="n">
        <f aca="false">IF($M2156="借",$O2156,0)</f>
        <v>0</v>
      </c>
      <c r="J2156" s="42" t="n">
        <f aca="false">IF($M2156="贷",$O2156,0)</f>
        <v>0</v>
      </c>
      <c r="K2156" s="48" t="str">
        <f aca="false">IF($H2156="","",购销流水!$E543)</f>
        <v/>
      </c>
      <c r="L2156" s="66" t="str">
        <f aca="false">IF(购销流水!$D543="","",IFERROR(INDEX(记账规则!$A$6:$N$9,MATCH(购销流水!$D543,记账规则!$A$6:$A$9,0),9),""))</f>
        <v/>
      </c>
      <c r="M2156" s="66" t="str">
        <f aca="false">IF($L2156="","",IFERROR(INDEX(记账规则!$A$6:$N$9,MATCH(购销流水!$D543,记账规则!$A$6:$A$9,0),10),""))</f>
        <v/>
      </c>
      <c r="N2156" s="66" t="str">
        <f aca="false">IF($L2156="","",IFERROR(INDEX(记账规则!$A$6:$N$9,MATCH(购销流水!$D543,记账规则!$A$6:$A$9,0),11),""))</f>
        <v/>
      </c>
      <c r="O2156" s="67" t="n">
        <f aca="false">IF($H2156="",0,ROUND(IF($N2156="成本金额",N(购销流水!$W543),IF($N2156="金额",N(购销流水!$Q543),0)),2))</f>
        <v>0</v>
      </c>
      <c r="P2156" s="64" t="str">
        <f aca="false">IF(AND($H2156&lt;&gt;"",ROUND($O2156,2)&lt;&gt;0),"有","")</f>
        <v/>
      </c>
    </row>
    <row r="2157" customFormat="false" ht="15" hidden="true" customHeight="false" outlineLevel="0" collapsed="false">
      <c r="A2157" s="53" t="str">
        <f aca="false">IF($H2157="","",ROW()-5)</f>
        <v/>
      </c>
      <c r="B2157" s="64" t="s">
        <v>36</v>
      </c>
      <c r="C2157" s="53" t="n">
        <v>543</v>
      </c>
      <c r="D2157" s="53" t="n">
        <v>4</v>
      </c>
      <c r="E2157" s="65" t="str">
        <f aca="false">IF($H2157="","",购销流水!$B543)</f>
        <v/>
      </c>
      <c r="F2157" s="55" t="str">
        <f aca="false">IF($H2157="","",购销流水!$C543)</f>
        <v/>
      </c>
      <c r="G2157" s="48" t="str">
        <f aca="false">IF($H2157="","",购销流水!$N543)</f>
        <v/>
      </c>
      <c r="H2157" s="10" t="str">
        <f aca="false">IF($L2157="","",IF($L2157="@成本",购销流水!$U543,IF($L2157="@收入",购销流水!$T543,IF($L2157="@存货",购销流水!$S543,IF($L2157="@结算",购销流水!$R543,$L2157)))))</f>
        <v/>
      </c>
      <c r="I2157" s="42" t="n">
        <f aca="false">IF($M2157="借",$O2157,0)</f>
        <v>0</v>
      </c>
      <c r="J2157" s="42" t="n">
        <f aca="false">IF($M2157="贷",$O2157,0)</f>
        <v>0</v>
      </c>
      <c r="K2157" s="48" t="str">
        <f aca="false">IF($H2157="","",购销流水!$E543)</f>
        <v/>
      </c>
      <c r="L2157" s="66" t="str">
        <f aca="false">IF(购销流水!$D543="","",IFERROR(INDEX(记账规则!$A$6:$N$9,MATCH(购销流水!$D543,记账规则!$A$6:$A$9,0),12),""))</f>
        <v/>
      </c>
      <c r="M2157" s="66" t="str">
        <f aca="false">IF($L2157="","",IFERROR(INDEX(记账规则!$A$6:$N$9,MATCH(购销流水!$D543,记账规则!$A$6:$A$9,0),13),""))</f>
        <v/>
      </c>
      <c r="N2157" s="66" t="str">
        <f aca="false">IF($L2157="","",IFERROR(INDEX(记账规则!$A$6:$N$9,MATCH(购销流水!$D543,记账规则!$A$6:$A$9,0),14),""))</f>
        <v/>
      </c>
      <c r="O2157" s="67" t="n">
        <f aca="false">IF($H2157="",0,ROUND(IF($N2157="成本金额",N(购销流水!$W543),IF($N2157="金额",N(购销流水!$Q543),0)),2))</f>
        <v>0</v>
      </c>
      <c r="P2157" s="64" t="str">
        <f aca="false">IF(AND($H2157&lt;&gt;"",ROUND($O2157,2)&lt;&gt;0),"有","")</f>
        <v/>
      </c>
    </row>
    <row r="2158" customFormat="false" ht="15" hidden="true" customHeight="false" outlineLevel="0" collapsed="false">
      <c r="A2158" s="53" t="str">
        <f aca="false">IF($H2158="","",ROW()-5)</f>
        <v/>
      </c>
      <c r="B2158" s="64" t="s">
        <v>36</v>
      </c>
      <c r="C2158" s="53" t="n">
        <v>544</v>
      </c>
      <c r="D2158" s="53" t="n">
        <v>1</v>
      </c>
      <c r="E2158" s="65" t="str">
        <f aca="false">IF($H2158="","",购销流水!$B544)</f>
        <v/>
      </c>
      <c r="F2158" s="55" t="str">
        <f aca="false">IF($H2158="","",购销流水!$C544)</f>
        <v/>
      </c>
      <c r="G2158" s="48" t="str">
        <f aca="false">IF($H2158="","",购销流水!$N544)</f>
        <v/>
      </c>
      <c r="H2158" s="10" t="str">
        <f aca="false">IF($L2158="","",IF($L2158="@成本",购销流水!$U544,IF($L2158="@收入",购销流水!$T544,IF($L2158="@存货",购销流水!$S544,IF($L2158="@结算",购销流水!$R544,$L2158)))))</f>
        <v/>
      </c>
      <c r="I2158" s="42" t="n">
        <f aca="false">IF($M2158="借",$O2158,0)</f>
        <v>0</v>
      </c>
      <c r="J2158" s="42" t="n">
        <f aca="false">IF($M2158="贷",$O2158,0)</f>
        <v>0</v>
      </c>
      <c r="K2158" s="48" t="str">
        <f aca="false">IF($H2158="","",购销流水!$E544)</f>
        <v/>
      </c>
      <c r="L2158" s="66" t="str">
        <f aca="false">IF(购销流水!$D544="","",IFERROR(INDEX(记账规则!$A$6:$N$9,MATCH(购销流水!$D544,记账规则!$A$6:$A$9,0),3),""))</f>
        <v/>
      </c>
      <c r="M2158" s="66" t="str">
        <f aca="false">IF($L2158="","",IFERROR(INDEX(记账规则!$A$6:$N$9,MATCH(购销流水!$D544,记账规则!$A$6:$A$9,0),4),""))</f>
        <v/>
      </c>
      <c r="N2158" s="66" t="str">
        <f aca="false">IF($L2158="","",IFERROR(INDEX(记账规则!$A$6:$N$9,MATCH(购销流水!$D544,记账规则!$A$6:$A$9,0),5),""))</f>
        <v/>
      </c>
      <c r="O2158" s="67" t="n">
        <f aca="false">IF($H2158="",0,ROUND(IF($N2158="成本金额",N(购销流水!$W544),IF($N2158="金额",N(购销流水!$Q544),0)),2))</f>
        <v>0</v>
      </c>
      <c r="P2158" s="64" t="str">
        <f aca="false">IF(AND($H2158&lt;&gt;"",ROUND($O2158,2)&lt;&gt;0),"有","")</f>
        <v/>
      </c>
    </row>
    <row r="2159" customFormat="false" ht="15" hidden="true" customHeight="false" outlineLevel="0" collapsed="false">
      <c r="A2159" s="53" t="str">
        <f aca="false">IF($H2159="","",ROW()-5)</f>
        <v/>
      </c>
      <c r="B2159" s="64" t="s">
        <v>36</v>
      </c>
      <c r="C2159" s="53" t="n">
        <v>544</v>
      </c>
      <c r="D2159" s="53" t="n">
        <v>2</v>
      </c>
      <c r="E2159" s="65" t="str">
        <f aca="false">IF($H2159="","",购销流水!$B544)</f>
        <v/>
      </c>
      <c r="F2159" s="55" t="str">
        <f aca="false">IF($H2159="","",购销流水!$C544)</f>
        <v/>
      </c>
      <c r="G2159" s="48" t="str">
        <f aca="false">IF($H2159="","",购销流水!$N544)</f>
        <v/>
      </c>
      <c r="H2159" s="10" t="str">
        <f aca="false">IF($L2159="","",IF($L2159="@成本",购销流水!$U544,IF($L2159="@收入",购销流水!$T544,IF($L2159="@存货",购销流水!$S544,IF($L2159="@结算",购销流水!$R544,$L2159)))))</f>
        <v/>
      </c>
      <c r="I2159" s="42" t="n">
        <f aca="false">IF($M2159="借",$O2159,0)</f>
        <v>0</v>
      </c>
      <c r="J2159" s="42" t="n">
        <f aca="false">IF($M2159="贷",$O2159,0)</f>
        <v>0</v>
      </c>
      <c r="K2159" s="48" t="str">
        <f aca="false">IF($H2159="","",购销流水!$E544)</f>
        <v/>
      </c>
      <c r="L2159" s="66" t="str">
        <f aca="false">IF(购销流水!$D544="","",IFERROR(INDEX(记账规则!$A$6:$N$9,MATCH(购销流水!$D544,记账规则!$A$6:$A$9,0),6),""))</f>
        <v/>
      </c>
      <c r="M2159" s="66" t="str">
        <f aca="false">IF($L2159="","",IFERROR(INDEX(记账规则!$A$6:$N$9,MATCH(购销流水!$D544,记账规则!$A$6:$A$9,0),7),""))</f>
        <v/>
      </c>
      <c r="N2159" s="66" t="str">
        <f aca="false">IF($L2159="","",IFERROR(INDEX(记账规则!$A$6:$N$9,MATCH(购销流水!$D544,记账规则!$A$6:$A$9,0),8),""))</f>
        <v/>
      </c>
      <c r="O2159" s="67" t="n">
        <f aca="false">IF($H2159="",0,ROUND(IF($N2159="成本金额",N(购销流水!$W544),IF($N2159="金额",N(购销流水!$Q544),0)),2))</f>
        <v>0</v>
      </c>
      <c r="P2159" s="64" t="str">
        <f aca="false">IF(AND($H2159&lt;&gt;"",ROUND($O2159,2)&lt;&gt;0),"有","")</f>
        <v/>
      </c>
    </row>
    <row r="2160" customFormat="false" ht="15" hidden="true" customHeight="false" outlineLevel="0" collapsed="false">
      <c r="A2160" s="53" t="str">
        <f aca="false">IF($H2160="","",ROW()-5)</f>
        <v/>
      </c>
      <c r="B2160" s="64" t="s">
        <v>36</v>
      </c>
      <c r="C2160" s="53" t="n">
        <v>544</v>
      </c>
      <c r="D2160" s="53" t="n">
        <v>3</v>
      </c>
      <c r="E2160" s="65" t="str">
        <f aca="false">IF($H2160="","",购销流水!$B544)</f>
        <v/>
      </c>
      <c r="F2160" s="55" t="str">
        <f aca="false">IF($H2160="","",购销流水!$C544)</f>
        <v/>
      </c>
      <c r="G2160" s="48" t="str">
        <f aca="false">IF($H2160="","",购销流水!$N544)</f>
        <v/>
      </c>
      <c r="H2160" s="10" t="str">
        <f aca="false">IF($L2160="","",IF($L2160="@成本",购销流水!$U544,IF($L2160="@收入",购销流水!$T544,IF($L2160="@存货",购销流水!$S544,IF($L2160="@结算",购销流水!$R544,$L2160)))))</f>
        <v/>
      </c>
      <c r="I2160" s="42" t="n">
        <f aca="false">IF($M2160="借",$O2160,0)</f>
        <v>0</v>
      </c>
      <c r="J2160" s="42" t="n">
        <f aca="false">IF($M2160="贷",$O2160,0)</f>
        <v>0</v>
      </c>
      <c r="K2160" s="48" t="str">
        <f aca="false">IF($H2160="","",购销流水!$E544)</f>
        <v/>
      </c>
      <c r="L2160" s="66" t="str">
        <f aca="false">IF(购销流水!$D544="","",IFERROR(INDEX(记账规则!$A$6:$N$9,MATCH(购销流水!$D544,记账规则!$A$6:$A$9,0),9),""))</f>
        <v/>
      </c>
      <c r="M2160" s="66" t="str">
        <f aca="false">IF($L2160="","",IFERROR(INDEX(记账规则!$A$6:$N$9,MATCH(购销流水!$D544,记账规则!$A$6:$A$9,0),10),""))</f>
        <v/>
      </c>
      <c r="N2160" s="66" t="str">
        <f aca="false">IF($L2160="","",IFERROR(INDEX(记账规则!$A$6:$N$9,MATCH(购销流水!$D544,记账规则!$A$6:$A$9,0),11),""))</f>
        <v/>
      </c>
      <c r="O2160" s="67" t="n">
        <f aca="false">IF($H2160="",0,ROUND(IF($N2160="成本金额",N(购销流水!$W544),IF($N2160="金额",N(购销流水!$Q544),0)),2))</f>
        <v>0</v>
      </c>
      <c r="P2160" s="64" t="str">
        <f aca="false">IF(AND($H2160&lt;&gt;"",ROUND($O2160,2)&lt;&gt;0),"有","")</f>
        <v/>
      </c>
    </row>
    <row r="2161" customFormat="false" ht="15" hidden="true" customHeight="false" outlineLevel="0" collapsed="false">
      <c r="A2161" s="53" t="str">
        <f aca="false">IF($H2161="","",ROW()-5)</f>
        <v/>
      </c>
      <c r="B2161" s="64" t="s">
        <v>36</v>
      </c>
      <c r="C2161" s="53" t="n">
        <v>544</v>
      </c>
      <c r="D2161" s="53" t="n">
        <v>4</v>
      </c>
      <c r="E2161" s="65" t="str">
        <f aca="false">IF($H2161="","",购销流水!$B544)</f>
        <v/>
      </c>
      <c r="F2161" s="55" t="str">
        <f aca="false">IF($H2161="","",购销流水!$C544)</f>
        <v/>
      </c>
      <c r="G2161" s="48" t="str">
        <f aca="false">IF($H2161="","",购销流水!$N544)</f>
        <v/>
      </c>
      <c r="H2161" s="10" t="str">
        <f aca="false">IF($L2161="","",IF($L2161="@成本",购销流水!$U544,IF($L2161="@收入",购销流水!$T544,IF($L2161="@存货",购销流水!$S544,IF($L2161="@结算",购销流水!$R544,$L2161)))))</f>
        <v/>
      </c>
      <c r="I2161" s="42" t="n">
        <f aca="false">IF($M2161="借",$O2161,0)</f>
        <v>0</v>
      </c>
      <c r="J2161" s="42" t="n">
        <f aca="false">IF($M2161="贷",$O2161,0)</f>
        <v>0</v>
      </c>
      <c r="K2161" s="48" t="str">
        <f aca="false">IF($H2161="","",购销流水!$E544)</f>
        <v/>
      </c>
      <c r="L2161" s="66" t="str">
        <f aca="false">IF(购销流水!$D544="","",IFERROR(INDEX(记账规则!$A$6:$N$9,MATCH(购销流水!$D544,记账规则!$A$6:$A$9,0),12),""))</f>
        <v/>
      </c>
      <c r="M2161" s="66" t="str">
        <f aca="false">IF($L2161="","",IFERROR(INDEX(记账规则!$A$6:$N$9,MATCH(购销流水!$D544,记账规则!$A$6:$A$9,0),13),""))</f>
        <v/>
      </c>
      <c r="N2161" s="66" t="str">
        <f aca="false">IF($L2161="","",IFERROR(INDEX(记账规则!$A$6:$N$9,MATCH(购销流水!$D544,记账规则!$A$6:$A$9,0),14),""))</f>
        <v/>
      </c>
      <c r="O2161" s="67" t="n">
        <f aca="false">IF($H2161="",0,ROUND(IF($N2161="成本金额",N(购销流水!$W544),IF($N2161="金额",N(购销流水!$Q544),0)),2))</f>
        <v>0</v>
      </c>
      <c r="P2161" s="64" t="str">
        <f aca="false">IF(AND($H2161&lt;&gt;"",ROUND($O2161,2)&lt;&gt;0),"有","")</f>
        <v/>
      </c>
    </row>
    <row r="2162" customFormat="false" ht="15" hidden="true" customHeight="false" outlineLevel="0" collapsed="false">
      <c r="A2162" s="53" t="str">
        <f aca="false">IF($H2162="","",ROW()-5)</f>
        <v/>
      </c>
      <c r="B2162" s="64" t="s">
        <v>36</v>
      </c>
      <c r="C2162" s="53" t="n">
        <v>545</v>
      </c>
      <c r="D2162" s="53" t="n">
        <v>1</v>
      </c>
      <c r="E2162" s="65" t="str">
        <f aca="false">IF($H2162="","",购销流水!$B545)</f>
        <v/>
      </c>
      <c r="F2162" s="55" t="str">
        <f aca="false">IF($H2162="","",购销流水!$C545)</f>
        <v/>
      </c>
      <c r="G2162" s="48" t="str">
        <f aca="false">IF($H2162="","",购销流水!$N545)</f>
        <v/>
      </c>
      <c r="H2162" s="10" t="str">
        <f aca="false">IF($L2162="","",IF($L2162="@成本",购销流水!$U545,IF($L2162="@收入",购销流水!$T545,IF($L2162="@存货",购销流水!$S545,IF($L2162="@结算",购销流水!$R545,$L2162)))))</f>
        <v/>
      </c>
      <c r="I2162" s="42" t="n">
        <f aca="false">IF($M2162="借",$O2162,0)</f>
        <v>0</v>
      </c>
      <c r="J2162" s="42" t="n">
        <f aca="false">IF($M2162="贷",$O2162,0)</f>
        <v>0</v>
      </c>
      <c r="K2162" s="48" t="str">
        <f aca="false">IF($H2162="","",购销流水!$E545)</f>
        <v/>
      </c>
      <c r="L2162" s="66" t="str">
        <f aca="false">IF(购销流水!$D545="","",IFERROR(INDEX(记账规则!$A$6:$N$9,MATCH(购销流水!$D545,记账规则!$A$6:$A$9,0),3),""))</f>
        <v/>
      </c>
      <c r="M2162" s="66" t="str">
        <f aca="false">IF($L2162="","",IFERROR(INDEX(记账规则!$A$6:$N$9,MATCH(购销流水!$D545,记账规则!$A$6:$A$9,0),4),""))</f>
        <v/>
      </c>
      <c r="N2162" s="66" t="str">
        <f aca="false">IF($L2162="","",IFERROR(INDEX(记账规则!$A$6:$N$9,MATCH(购销流水!$D545,记账规则!$A$6:$A$9,0),5),""))</f>
        <v/>
      </c>
      <c r="O2162" s="67" t="n">
        <f aca="false">IF($H2162="",0,ROUND(IF($N2162="成本金额",N(购销流水!$W545),IF($N2162="金额",N(购销流水!$Q545),0)),2))</f>
        <v>0</v>
      </c>
      <c r="P2162" s="64" t="str">
        <f aca="false">IF(AND($H2162&lt;&gt;"",ROUND($O2162,2)&lt;&gt;0),"有","")</f>
        <v/>
      </c>
    </row>
    <row r="2163" customFormat="false" ht="15" hidden="true" customHeight="false" outlineLevel="0" collapsed="false">
      <c r="A2163" s="53" t="str">
        <f aca="false">IF($H2163="","",ROW()-5)</f>
        <v/>
      </c>
      <c r="B2163" s="64" t="s">
        <v>36</v>
      </c>
      <c r="C2163" s="53" t="n">
        <v>545</v>
      </c>
      <c r="D2163" s="53" t="n">
        <v>2</v>
      </c>
      <c r="E2163" s="65" t="str">
        <f aca="false">IF($H2163="","",购销流水!$B545)</f>
        <v/>
      </c>
      <c r="F2163" s="55" t="str">
        <f aca="false">IF($H2163="","",购销流水!$C545)</f>
        <v/>
      </c>
      <c r="G2163" s="48" t="str">
        <f aca="false">IF($H2163="","",购销流水!$N545)</f>
        <v/>
      </c>
      <c r="H2163" s="10" t="str">
        <f aca="false">IF($L2163="","",IF($L2163="@成本",购销流水!$U545,IF($L2163="@收入",购销流水!$T545,IF($L2163="@存货",购销流水!$S545,IF($L2163="@结算",购销流水!$R545,$L2163)))))</f>
        <v/>
      </c>
      <c r="I2163" s="42" t="n">
        <f aca="false">IF($M2163="借",$O2163,0)</f>
        <v>0</v>
      </c>
      <c r="J2163" s="42" t="n">
        <f aca="false">IF($M2163="贷",$O2163,0)</f>
        <v>0</v>
      </c>
      <c r="K2163" s="48" t="str">
        <f aca="false">IF($H2163="","",购销流水!$E545)</f>
        <v/>
      </c>
      <c r="L2163" s="66" t="str">
        <f aca="false">IF(购销流水!$D545="","",IFERROR(INDEX(记账规则!$A$6:$N$9,MATCH(购销流水!$D545,记账规则!$A$6:$A$9,0),6),""))</f>
        <v/>
      </c>
      <c r="M2163" s="66" t="str">
        <f aca="false">IF($L2163="","",IFERROR(INDEX(记账规则!$A$6:$N$9,MATCH(购销流水!$D545,记账规则!$A$6:$A$9,0),7),""))</f>
        <v/>
      </c>
      <c r="N2163" s="66" t="str">
        <f aca="false">IF($L2163="","",IFERROR(INDEX(记账规则!$A$6:$N$9,MATCH(购销流水!$D545,记账规则!$A$6:$A$9,0),8),""))</f>
        <v/>
      </c>
      <c r="O2163" s="67" t="n">
        <f aca="false">IF($H2163="",0,ROUND(IF($N2163="成本金额",N(购销流水!$W545),IF($N2163="金额",N(购销流水!$Q545),0)),2))</f>
        <v>0</v>
      </c>
      <c r="P2163" s="64" t="str">
        <f aca="false">IF(AND($H2163&lt;&gt;"",ROUND($O2163,2)&lt;&gt;0),"有","")</f>
        <v/>
      </c>
    </row>
    <row r="2164" customFormat="false" ht="15" hidden="true" customHeight="false" outlineLevel="0" collapsed="false">
      <c r="A2164" s="53" t="str">
        <f aca="false">IF($H2164="","",ROW()-5)</f>
        <v/>
      </c>
      <c r="B2164" s="64" t="s">
        <v>36</v>
      </c>
      <c r="C2164" s="53" t="n">
        <v>545</v>
      </c>
      <c r="D2164" s="53" t="n">
        <v>3</v>
      </c>
      <c r="E2164" s="65" t="str">
        <f aca="false">IF($H2164="","",购销流水!$B545)</f>
        <v/>
      </c>
      <c r="F2164" s="55" t="str">
        <f aca="false">IF($H2164="","",购销流水!$C545)</f>
        <v/>
      </c>
      <c r="G2164" s="48" t="str">
        <f aca="false">IF($H2164="","",购销流水!$N545)</f>
        <v/>
      </c>
      <c r="H2164" s="10" t="str">
        <f aca="false">IF($L2164="","",IF($L2164="@成本",购销流水!$U545,IF($L2164="@收入",购销流水!$T545,IF($L2164="@存货",购销流水!$S545,IF($L2164="@结算",购销流水!$R545,$L2164)))))</f>
        <v/>
      </c>
      <c r="I2164" s="42" t="n">
        <f aca="false">IF($M2164="借",$O2164,0)</f>
        <v>0</v>
      </c>
      <c r="J2164" s="42" t="n">
        <f aca="false">IF($M2164="贷",$O2164,0)</f>
        <v>0</v>
      </c>
      <c r="K2164" s="48" t="str">
        <f aca="false">IF($H2164="","",购销流水!$E545)</f>
        <v/>
      </c>
      <c r="L2164" s="66" t="str">
        <f aca="false">IF(购销流水!$D545="","",IFERROR(INDEX(记账规则!$A$6:$N$9,MATCH(购销流水!$D545,记账规则!$A$6:$A$9,0),9),""))</f>
        <v/>
      </c>
      <c r="M2164" s="66" t="str">
        <f aca="false">IF($L2164="","",IFERROR(INDEX(记账规则!$A$6:$N$9,MATCH(购销流水!$D545,记账规则!$A$6:$A$9,0),10),""))</f>
        <v/>
      </c>
      <c r="N2164" s="66" t="str">
        <f aca="false">IF($L2164="","",IFERROR(INDEX(记账规则!$A$6:$N$9,MATCH(购销流水!$D545,记账规则!$A$6:$A$9,0),11),""))</f>
        <v/>
      </c>
      <c r="O2164" s="67" t="n">
        <f aca="false">IF($H2164="",0,ROUND(IF($N2164="成本金额",N(购销流水!$W545),IF($N2164="金额",N(购销流水!$Q545),0)),2))</f>
        <v>0</v>
      </c>
      <c r="P2164" s="64" t="str">
        <f aca="false">IF(AND($H2164&lt;&gt;"",ROUND($O2164,2)&lt;&gt;0),"有","")</f>
        <v/>
      </c>
    </row>
    <row r="2165" customFormat="false" ht="15" hidden="true" customHeight="false" outlineLevel="0" collapsed="false">
      <c r="A2165" s="53" t="str">
        <f aca="false">IF($H2165="","",ROW()-5)</f>
        <v/>
      </c>
      <c r="B2165" s="64" t="s">
        <v>36</v>
      </c>
      <c r="C2165" s="53" t="n">
        <v>545</v>
      </c>
      <c r="D2165" s="53" t="n">
        <v>4</v>
      </c>
      <c r="E2165" s="65" t="str">
        <f aca="false">IF($H2165="","",购销流水!$B545)</f>
        <v/>
      </c>
      <c r="F2165" s="55" t="str">
        <f aca="false">IF($H2165="","",购销流水!$C545)</f>
        <v/>
      </c>
      <c r="G2165" s="48" t="str">
        <f aca="false">IF($H2165="","",购销流水!$N545)</f>
        <v/>
      </c>
      <c r="H2165" s="10" t="str">
        <f aca="false">IF($L2165="","",IF($L2165="@成本",购销流水!$U545,IF($L2165="@收入",购销流水!$T545,IF($L2165="@存货",购销流水!$S545,IF($L2165="@结算",购销流水!$R545,$L2165)))))</f>
        <v/>
      </c>
      <c r="I2165" s="42" t="n">
        <f aca="false">IF($M2165="借",$O2165,0)</f>
        <v>0</v>
      </c>
      <c r="J2165" s="42" t="n">
        <f aca="false">IF($M2165="贷",$O2165,0)</f>
        <v>0</v>
      </c>
      <c r="K2165" s="48" t="str">
        <f aca="false">IF($H2165="","",购销流水!$E545)</f>
        <v/>
      </c>
      <c r="L2165" s="66" t="str">
        <f aca="false">IF(购销流水!$D545="","",IFERROR(INDEX(记账规则!$A$6:$N$9,MATCH(购销流水!$D545,记账规则!$A$6:$A$9,0),12),""))</f>
        <v/>
      </c>
      <c r="M2165" s="66" t="str">
        <f aca="false">IF($L2165="","",IFERROR(INDEX(记账规则!$A$6:$N$9,MATCH(购销流水!$D545,记账规则!$A$6:$A$9,0),13),""))</f>
        <v/>
      </c>
      <c r="N2165" s="66" t="str">
        <f aca="false">IF($L2165="","",IFERROR(INDEX(记账规则!$A$6:$N$9,MATCH(购销流水!$D545,记账规则!$A$6:$A$9,0),14),""))</f>
        <v/>
      </c>
      <c r="O2165" s="67" t="n">
        <f aca="false">IF($H2165="",0,ROUND(IF($N2165="成本金额",N(购销流水!$W545),IF($N2165="金额",N(购销流水!$Q545),0)),2))</f>
        <v>0</v>
      </c>
      <c r="P2165" s="64" t="str">
        <f aca="false">IF(AND($H2165&lt;&gt;"",ROUND($O2165,2)&lt;&gt;0),"有","")</f>
        <v/>
      </c>
    </row>
    <row r="2166" customFormat="false" ht="15" hidden="true" customHeight="false" outlineLevel="0" collapsed="false">
      <c r="A2166" s="53" t="str">
        <f aca="false">IF($H2166="","",ROW()-5)</f>
        <v/>
      </c>
      <c r="B2166" s="64" t="s">
        <v>36</v>
      </c>
      <c r="C2166" s="53" t="n">
        <v>546</v>
      </c>
      <c r="D2166" s="53" t="n">
        <v>1</v>
      </c>
      <c r="E2166" s="65" t="str">
        <f aca="false">IF($H2166="","",购销流水!$B546)</f>
        <v/>
      </c>
      <c r="F2166" s="55" t="str">
        <f aca="false">IF($H2166="","",购销流水!$C546)</f>
        <v/>
      </c>
      <c r="G2166" s="48" t="str">
        <f aca="false">IF($H2166="","",购销流水!$N546)</f>
        <v/>
      </c>
      <c r="H2166" s="10" t="str">
        <f aca="false">IF($L2166="","",IF($L2166="@成本",购销流水!$U546,IF($L2166="@收入",购销流水!$T546,IF($L2166="@存货",购销流水!$S546,IF($L2166="@结算",购销流水!$R546,$L2166)))))</f>
        <v/>
      </c>
      <c r="I2166" s="42" t="n">
        <f aca="false">IF($M2166="借",$O2166,0)</f>
        <v>0</v>
      </c>
      <c r="J2166" s="42" t="n">
        <f aca="false">IF($M2166="贷",$O2166,0)</f>
        <v>0</v>
      </c>
      <c r="K2166" s="48" t="str">
        <f aca="false">IF($H2166="","",购销流水!$E546)</f>
        <v/>
      </c>
      <c r="L2166" s="66" t="str">
        <f aca="false">IF(购销流水!$D546="","",IFERROR(INDEX(记账规则!$A$6:$N$9,MATCH(购销流水!$D546,记账规则!$A$6:$A$9,0),3),""))</f>
        <v/>
      </c>
      <c r="M2166" s="66" t="str">
        <f aca="false">IF($L2166="","",IFERROR(INDEX(记账规则!$A$6:$N$9,MATCH(购销流水!$D546,记账规则!$A$6:$A$9,0),4),""))</f>
        <v/>
      </c>
      <c r="N2166" s="66" t="str">
        <f aca="false">IF($L2166="","",IFERROR(INDEX(记账规则!$A$6:$N$9,MATCH(购销流水!$D546,记账规则!$A$6:$A$9,0),5),""))</f>
        <v/>
      </c>
      <c r="O2166" s="67" t="n">
        <f aca="false">IF($H2166="",0,ROUND(IF($N2166="成本金额",N(购销流水!$W546),IF($N2166="金额",N(购销流水!$Q546),0)),2))</f>
        <v>0</v>
      </c>
      <c r="P2166" s="64" t="str">
        <f aca="false">IF(AND($H2166&lt;&gt;"",ROUND($O2166,2)&lt;&gt;0),"有","")</f>
        <v/>
      </c>
    </row>
    <row r="2167" customFormat="false" ht="15" hidden="true" customHeight="false" outlineLevel="0" collapsed="false">
      <c r="A2167" s="53" t="str">
        <f aca="false">IF($H2167="","",ROW()-5)</f>
        <v/>
      </c>
      <c r="B2167" s="64" t="s">
        <v>36</v>
      </c>
      <c r="C2167" s="53" t="n">
        <v>546</v>
      </c>
      <c r="D2167" s="53" t="n">
        <v>2</v>
      </c>
      <c r="E2167" s="65" t="str">
        <f aca="false">IF($H2167="","",购销流水!$B546)</f>
        <v/>
      </c>
      <c r="F2167" s="55" t="str">
        <f aca="false">IF($H2167="","",购销流水!$C546)</f>
        <v/>
      </c>
      <c r="G2167" s="48" t="str">
        <f aca="false">IF($H2167="","",购销流水!$N546)</f>
        <v/>
      </c>
      <c r="H2167" s="10" t="str">
        <f aca="false">IF($L2167="","",IF($L2167="@成本",购销流水!$U546,IF($L2167="@收入",购销流水!$T546,IF($L2167="@存货",购销流水!$S546,IF($L2167="@结算",购销流水!$R546,$L2167)))))</f>
        <v/>
      </c>
      <c r="I2167" s="42" t="n">
        <f aca="false">IF($M2167="借",$O2167,0)</f>
        <v>0</v>
      </c>
      <c r="J2167" s="42" t="n">
        <f aca="false">IF($M2167="贷",$O2167,0)</f>
        <v>0</v>
      </c>
      <c r="K2167" s="48" t="str">
        <f aca="false">IF($H2167="","",购销流水!$E546)</f>
        <v/>
      </c>
      <c r="L2167" s="66" t="str">
        <f aca="false">IF(购销流水!$D546="","",IFERROR(INDEX(记账规则!$A$6:$N$9,MATCH(购销流水!$D546,记账规则!$A$6:$A$9,0),6),""))</f>
        <v/>
      </c>
      <c r="M2167" s="66" t="str">
        <f aca="false">IF($L2167="","",IFERROR(INDEX(记账规则!$A$6:$N$9,MATCH(购销流水!$D546,记账规则!$A$6:$A$9,0),7),""))</f>
        <v/>
      </c>
      <c r="N2167" s="66" t="str">
        <f aca="false">IF($L2167="","",IFERROR(INDEX(记账规则!$A$6:$N$9,MATCH(购销流水!$D546,记账规则!$A$6:$A$9,0),8),""))</f>
        <v/>
      </c>
      <c r="O2167" s="67" t="n">
        <f aca="false">IF($H2167="",0,ROUND(IF($N2167="成本金额",N(购销流水!$W546),IF($N2167="金额",N(购销流水!$Q546),0)),2))</f>
        <v>0</v>
      </c>
      <c r="P2167" s="64" t="str">
        <f aca="false">IF(AND($H2167&lt;&gt;"",ROUND($O2167,2)&lt;&gt;0),"有","")</f>
        <v/>
      </c>
    </row>
    <row r="2168" customFormat="false" ht="15" hidden="true" customHeight="false" outlineLevel="0" collapsed="false">
      <c r="A2168" s="53" t="str">
        <f aca="false">IF($H2168="","",ROW()-5)</f>
        <v/>
      </c>
      <c r="B2168" s="64" t="s">
        <v>36</v>
      </c>
      <c r="C2168" s="53" t="n">
        <v>546</v>
      </c>
      <c r="D2168" s="53" t="n">
        <v>3</v>
      </c>
      <c r="E2168" s="65" t="str">
        <f aca="false">IF($H2168="","",购销流水!$B546)</f>
        <v/>
      </c>
      <c r="F2168" s="55" t="str">
        <f aca="false">IF($H2168="","",购销流水!$C546)</f>
        <v/>
      </c>
      <c r="G2168" s="48" t="str">
        <f aca="false">IF($H2168="","",购销流水!$N546)</f>
        <v/>
      </c>
      <c r="H2168" s="10" t="str">
        <f aca="false">IF($L2168="","",IF($L2168="@成本",购销流水!$U546,IF($L2168="@收入",购销流水!$T546,IF($L2168="@存货",购销流水!$S546,IF($L2168="@结算",购销流水!$R546,$L2168)))))</f>
        <v/>
      </c>
      <c r="I2168" s="42" t="n">
        <f aca="false">IF($M2168="借",$O2168,0)</f>
        <v>0</v>
      </c>
      <c r="J2168" s="42" t="n">
        <f aca="false">IF($M2168="贷",$O2168,0)</f>
        <v>0</v>
      </c>
      <c r="K2168" s="48" t="str">
        <f aca="false">IF($H2168="","",购销流水!$E546)</f>
        <v/>
      </c>
      <c r="L2168" s="66" t="str">
        <f aca="false">IF(购销流水!$D546="","",IFERROR(INDEX(记账规则!$A$6:$N$9,MATCH(购销流水!$D546,记账规则!$A$6:$A$9,0),9),""))</f>
        <v/>
      </c>
      <c r="M2168" s="66" t="str">
        <f aca="false">IF($L2168="","",IFERROR(INDEX(记账规则!$A$6:$N$9,MATCH(购销流水!$D546,记账规则!$A$6:$A$9,0),10),""))</f>
        <v/>
      </c>
      <c r="N2168" s="66" t="str">
        <f aca="false">IF($L2168="","",IFERROR(INDEX(记账规则!$A$6:$N$9,MATCH(购销流水!$D546,记账规则!$A$6:$A$9,0),11),""))</f>
        <v/>
      </c>
      <c r="O2168" s="67" t="n">
        <f aca="false">IF($H2168="",0,ROUND(IF($N2168="成本金额",N(购销流水!$W546),IF($N2168="金额",N(购销流水!$Q546),0)),2))</f>
        <v>0</v>
      </c>
      <c r="P2168" s="64" t="str">
        <f aca="false">IF(AND($H2168&lt;&gt;"",ROUND($O2168,2)&lt;&gt;0),"有","")</f>
        <v/>
      </c>
    </row>
    <row r="2169" customFormat="false" ht="15" hidden="true" customHeight="false" outlineLevel="0" collapsed="false">
      <c r="A2169" s="53" t="str">
        <f aca="false">IF($H2169="","",ROW()-5)</f>
        <v/>
      </c>
      <c r="B2169" s="64" t="s">
        <v>36</v>
      </c>
      <c r="C2169" s="53" t="n">
        <v>546</v>
      </c>
      <c r="D2169" s="53" t="n">
        <v>4</v>
      </c>
      <c r="E2169" s="65" t="str">
        <f aca="false">IF($H2169="","",购销流水!$B546)</f>
        <v/>
      </c>
      <c r="F2169" s="55" t="str">
        <f aca="false">IF($H2169="","",购销流水!$C546)</f>
        <v/>
      </c>
      <c r="G2169" s="48" t="str">
        <f aca="false">IF($H2169="","",购销流水!$N546)</f>
        <v/>
      </c>
      <c r="H2169" s="10" t="str">
        <f aca="false">IF($L2169="","",IF($L2169="@成本",购销流水!$U546,IF($L2169="@收入",购销流水!$T546,IF($L2169="@存货",购销流水!$S546,IF($L2169="@结算",购销流水!$R546,$L2169)))))</f>
        <v/>
      </c>
      <c r="I2169" s="42" t="n">
        <f aca="false">IF($M2169="借",$O2169,0)</f>
        <v>0</v>
      </c>
      <c r="J2169" s="42" t="n">
        <f aca="false">IF($M2169="贷",$O2169,0)</f>
        <v>0</v>
      </c>
      <c r="K2169" s="48" t="str">
        <f aca="false">IF($H2169="","",购销流水!$E546)</f>
        <v/>
      </c>
      <c r="L2169" s="66" t="str">
        <f aca="false">IF(购销流水!$D546="","",IFERROR(INDEX(记账规则!$A$6:$N$9,MATCH(购销流水!$D546,记账规则!$A$6:$A$9,0),12),""))</f>
        <v/>
      </c>
      <c r="M2169" s="66" t="str">
        <f aca="false">IF($L2169="","",IFERROR(INDEX(记账规则!$A$6:$N$9,MATCH(购销流水!$D546,记账规则!$A$6:$A$9,0),13),""))</f>
        <v/>
      </c>
      <c r="N2169" s="66" t="str">
        <f aca="false">IF($L2169="","",IFERROR(INDEX(记账规则!$A$6:$N$9,MATCH(购销流水!$D546,记账规则!$A$6:$A$9,0),14),""))</f>
        <v/>
      </c>
      <c r="O2169" s="67" t="n">
        <f aca="false">IF($H2169="",0,ROUND(IF($N2169="成本金额",N(购销流水!$W546),IF($N2169="金额",N(购销流水!$Q546),0)),2))</f>
        <v>0</v>
      </c>
      <c r="P2169" s="64" t="str">
        <f aca="false">IF(AND($H2169&lt;&gt;"",ROUND($O2169,2)&lt;&gt;0),"有","")</f>
        <v/>
      </c>
    </row>
    <row r="2170" customFormat="false" ht="15" hidden="true" customHeight="false" outlineLevel="0" collapsed="false">
      <c r="A2170" s="53" t="str">
        <f aca="false">IF($H2170="","",ROW()-5)</f>
        <v/>
      </c>
      <c r="B2170" s="64" t="s">
        <v>36</v>
      </c>
      <c r="C2170" s="53" t="n">
        <v>547</v>
      </c>
      <c r="D2170" s="53" t="n">
        <v>1</v>
      </c>
      <c r="E2170" s="65" t="str">
        <f aca="false">IF($H2170="","",购销流水!$B547)</f>
        <v/>
      </c>
      <c r="F2170" s="55" t="str">
        <f aca="false">IF($H2170="","",购销流水!$C547)</f>
        <v/>
      </c>
      <c r="G2170" s="48" t="str">
        <f aca="false">IF($H2170="","",购销流水!$N547)</f>
        <v/>
      </c>
      <c r="H2170" s="10" t="str">
        <f aca="false">IF($L2170="","",IF($L2170="@成本",购销流水!$U547,IF($L2170="@收入",购销流水!$T547,IF($L2170="@存货",购销流水!$S547,IF($L2170="@结算",购销流水!$R547,$L2170)))))</f>
        <v/>
      </c>
      <c r="I2170" s="42" t="n">
        <f aca="false">IF($M2170="借",$O2170,0)</f>
        <v>0</v>
      </c>
      <c r="J2170" s="42" t="n">
        <f aca="false">IF($M2170="贷",$O2170,0)</f>
        <v>0</v>
      </c>
      <c r="K2170" s="48" t="str">
        <f aca="false">IF($H2170="","",购销流水!$E547)</f>
        <v/>
      </c>
      <c r="L2170" s="66" t="str">
        <f aca="false">IF(购销流水!$D547="","",IFERROR(INDEX(记账规则!$A$6:$N$9,MATCH(购销流水!$D547,记账规则!$A$6:$A$9,0),3),""))</f>
        <v/>
      </c>
      <c r="M2170" s="66" t="str">
        <f aca="false">IF($L2170="","",IFERROR(INDEX(记账规则!$A$6:$N$9,MATCH(购销流水!$D547,记账规则!$A$6:$A$9,0),4),""))</f>
        <v/>
      </c>
      <c r="N2170" s="66" t="str">
        <f aca="false">IF($L2170="","",IFERROR(INDEX(记账规则!$A$6:$N$9,MATCH(购销流水!$D547,记账规则!$A$6:$A$9,0),5),""))</f>
        <v/>
      </c>
      <c r="O2170" s="67" t="n">
        <f aca="false">IF($H2170="",0,ROUND(IF($N2170="成本金额",N(购销流水!$W547),IF($N2170="金额",N(购销流水!$Q547),0)),2))</f>
        <v>0</v>
      </c>
      <c r="P2170" s="64" t="str">
        <f aca="false">IF(AND($H2170&lt;&gt;"",ROUND($O2170,2)&lt;&gt;0),"有","")</f>
        <v/>
      </c>
    </row>
    <row r="2171" customFormat="false" ht="15" hidden="true" customHeight="false" outlineLevel="0" collapsed="false">
      <c r="A2171" s="53" t="str">
        <f aca="false">IF($H2171="","",ROW()-5)</f>
        <v/>
      </c>
      <c r="B2171" s="64" t="s">
        <v>36</v>
      </c>
      <c r="C2171" s="53" t="n">
        <v>547</v>
      </c>
      <c r="D2171" s="53" t="n">
        <v>2</v>
      </c>
      <c r="E2171" s="65" t="str">
        <f aca="false">IF($H2171="","",购销流水!$B547)</f>
        <v/>
      </c>
      <c r="F2171" s="55" t="str">
        <f aca="false">IF($H2171="","",购销流水!$C547)</f>
        <v/>
      </c>
      <c r="G2171" s="48" t="str">
        <f aca="false">IF($H2171="","",购销流水!$N547)</f>
        <v/>
      </c>
      <c r="H2171" s="10" t="str">
        <f aca="false">IF($L2171="","",IF($L2171="@成本",购销流水!$U547,IF($L2171="@收入",购销流水!$T547,IF($L2171="@存货",购销流水!$S547,IF($L2171="@结算",购销流水!$R547,$L2171)))))</f>
        <v/>
      </c>
      <c r="I2171" s="42" t="n">
        <f aca="false">IF($M2171="借",$O2171,0)</f>
        <v>0</v>
      </c>
      <c r="J2171" s="42" t="n">
        <f aca="false">IF($M2171="贷",$O2171,0)</f>
        <v>0</v>
      </c>
      <c r="K2171" s="48" t="str">
        <f aca="false">IF($H2171="","",购销流水!$E547)</f>
        <v/>
      </c>
      <c r="L2171" s="66" t="str">
        <f aca="false">IF(购销流水!$D547="","",IFERROR(INDEX(记账规则!$A$6:$N$9,MATCH(购销流水!$D547,记账规则!$A$6:$A$9,0),6),""))</f>
        <v/>
      </c>
      <c r="M2171" s="66" t="str">
        <f aca="false">IF($L2171="","",IFERROR(INDEX(记账规则!$A$6:$N$9,MATCH(购销流水!$D547,记账规则!$A$6:$A$9,0),7),""))</f>
        <v/>
      </c>
      <c r="N2171" s="66" t="str">
        <f aca="false">IF($L2171="","",IFERROR(INDEX(记账规则!$A$6:$N$9,MATCH(购销流水!$D547,记账规则!$A$6:$A$9,0),8),""))</f>
        <v/>
      </c>
      <c r="O2171" s="67" t="n">
        <f aca="false">IF($H2171="",0,ROUND(IF($N2171="成本金额",N(购销流水!$W547),IF($N2171="金额",N(购销流水!$Q547),0)),2))</f>
        <v>0</v>
      </c>
      <c r="P2171" s="64" t="str">
        <f aca="false">IF(AND($H2171&lt;&gt;"",ROUND($O2171,2)&lt;&gt;0),"有","")</f>
        <v/>
      </c>
    </row>
    <row r="2172" customFormat="false" ht="15" hidden="true" customHeight="false" outlineLevel="0" collapsed="false">
      <c r="A2172" s="53" t="str">
        <f aca="false">IF($H2172="","",ROW()-5)</f>
        <v/>
      </c>
      <c r="B2172" s="64" t="s">
        <v>36</v>
      </c>
      <c r="C2172" s="53" t="n">
        <v>547</v>
      </c>
      <c r="D2172" s="53" t="n">
        <v>3</v>
      </c>
      <c r="E2172" s="65" t="str">
        <f aca="false">IF($H2172="","",购销流水!$B547)</f>
        <v/>
      </c>
      <c r="F2172" s="55" t="str">
        <f aca="false">IF($H2172="","",购销流水!$C547)</f>
        <v/>
      </c>
      <c r="G2172" s="48" t="str">
        <f aca="false">IF($H2172="","",购销流水!$N547)</f>
        <v/>
      </c>
      <c r="H2172" s="10" t="str">
        <f aca="false">IF($L2172="","",IF($L2172="@成本",购销流水!$U547,IF($L2172="@收入",购销流水!$T547,IF($L2172="@存货",购销流水!$S547,IF($L2172="@结算",购销流水!$R547,$L2172)))))</f>
        <v/>
      </c>
      <c r="I2172" s="42" t="n">
        <f aca="false">IF($M2172="借",$O2172,0)</f>
        <v>0</v>
      </c>
      <c r="J2172" s="42" t="n">
        <f aca="false">IF($M2172="贷",$O2172,0)</f>
        <v>0</v>
      </c>
      <c r="K2172" s="48" t="str">
        <f aca="false">IF($H2172="","",购销流水!$E547)</f>
        <v/>
      </c>
      <c r="L2172" s="66" t="str">
        <f aca="false">IF(购销流水!$D547="","",IFERROR(INDEX(记账规则!$A$6:$N$9,MATCH(购销流水!$D547,记账规则!$A$6:$A$9,0),9),""))</f>
        <v/>
      </c>
      <c r="M2172" s="66" t="str">
        <f aca="false">IF($L2172="","",IFERROR(INDEX(记账规则!$A$6:$N$9,MATCH(购销流水!$D547,记账规则!$A$6:$A$9,0),10),""))</f>
        <v/>
      </c>
      <c r="N2172" s="66" t="str">
        <f aca="false">IF($L2172="","",IFERROR(INDEX(记账规则!$A$6:$N$9,MATCH(购销流水!$D547,记账规则!$A$6:$A$9,0),11),""))</f>
        <v/>
      </c>
      <c r="O2172" s="67" t="n">
        <f aca="false">IF($H2172="",0,ROUND(IF($N2172="成本金额",N(购销流水!$W547),IF($N2172="金额",N(购销流水!$Q547),0)),2))</f>
        <v>0</v>
      </c>
      <c r="P2172" s="64" t="str">
        <f aca="false">IF(AND($H2172&lt;&gt;"",ROUND($O2172,2)&lt;&gt;0),"有","")</f>
        <v/>
      </c>
    </row>
    <row r="2173" customFormat="false" ht="15" hidden="true" customHeight="false" outlineLevel="0" collapsed="false">
      <c r="A2173" s="53" t="str">
        <f aca="false">IF($H2173="","",ROW()-5)</f>
        <v/>
      </c>
      <c r="B2173" s="64" t="s">
        <v>36</v>
      </c>
      <c r="C2173" s="53" t="n">
        <v>547</v>
      </c>
      <c r="D2173" s="53" t="n">
        <v>4</v>
      </c>
      <c r="E2173" s="65" t="str">
        <f aca="false">IF($H2173="","",购销流水!$B547)</f>
        <v/>
      </c>
      <c r="F2173" s="55" t="str">
        <f aca="false">IF($H2173="","",购销流水!$C547)</f>
        <v/>
      </c>
      <c r="G2173" s="48" t="str">
        <f aca="false">IF($H2173="","",购销流水!$N547)</f>
        <v/>
      </c>
      <c r="H2173" s="10" t="str">
        <f aca="false">IF($L2173="","",IF($L2173="@成本",购销流水!$U547,IF($L2173="@收入",购销流水!$T547,IF($L2173="@存货",购销流水!$S547,IF($L2173="@结算",购销流水!$R547,$L2173)))))</f>
        <v/>
      </c>
      <c r="I2173" s="42" t="n">
        <f aca="false">IF($M2173="借",$O2173,0)</f>
        <v>0</v>
      </c>
      <c r="J2173" s="42" t="n">
        <f aca="false">IF($M2173="贷",$O2173,0)</f>
        <v>0</v>
      </c>
      <c r="K2173" s="48" t="str">
        <f aca="false">IF($H2173="","",购销流水!$E547)</f>
        <v/>
      </c>
      <c r="L2173" s="66" t="str">
        <f aca="false">IF(购销流水!$D547="","",IFERROR(INDEX(记账规则!$A$6:$N$9,MATCH(购销流水!$D547,记账规则!$A$6:$A$9,0),12),""))</f>
        <v/>
      </c>
      <c r="M2173" s="66" t="str">
        <f aca="false">IF($L2173="","",IFERROR(INDEX(记账规则!$A$6:$N$9,MATCH(购销流水!$D547,记账规则!$A$6:$A$9,0),13),""))</f>
        <v/>
      </c>
      <c r="N2173" s="66" t="str">
        <f aca="false">IF($L2173="","",IFERROR(INDEX(记账规则!$A$6:$N$9,MATCH(购销流水!$D547,记账规则!$A$6:$A$9,0),14),""))</f>
        <v/>
      </c>
      <c r="O2173" s="67" t="n">
        <f aca="false">IF($H2173="",0,ROUND(IF($N2173="成本金额",N(购销流水!$W547),IF($N2173="金额",N(购销流水!$Q547),0)),2))</f>
        <v>0</v>
      </c>
      <c r="P2173" s="64" t="str">
        <f aca="false">IF(AND($H2173&lt;&gt;"",ROUND($O2173,2)&lt;&gt;0),"有","")</f>
        <v/>
      </c>
    </row>
    <row r="2174" customFormat="false" ht="15" hidden="true" customHeight="false" outlineLevel="0" collapsed="false">
      <c r="A2174" s="53" t="str">
        <f aca="false">IF($H2174="","",ROW()-5)</f>
        <v/>
      </c>
      <c r="B2174" s="64" t="s">
        <v>36</v>
      </c>
      <c r="C2174" s="53" t="n">
        <v>548</v>
      </c>
      <c r="D2174" s="53" t="n">
        <v>1</v>
      </c>
      <c r="E2174" s="65" t="str">
        <f aca="false">IF($H2174="","",购销流水!$B548)</f>
        <v/>
      </c>
      <c r="F2174" s="55" t="str">
        <f aca="false">IF($H2174="","",购销流水!$C548)</f>
        <v/>
      </c>
      <c r="G2174" s="48" t="str">
        <f aca="false">IF($H2174="","",购销流水!$N548)</f>
        <v/>
      </c>
      <c r="H2174" s="10" t="str">
        <f aca="false">IF($L2174="","",IF($L2174="@成本",购销流水!$U548,IF($L2174="@收入",购销流水!$T548,IF($L2174="@存货",购销流水!$S548,IF($L2174="@结算",购销流水!$R548,$L2174)))))</f>
        <v/>
      </c>
      <c r="I2174" s="42" t="n">
        <f aca="false">IF($M2174="借",$O2174,0)</f>
        <v>0</v>
      </c>
      <c r="J2174" s="42" t="n">
        <f aca="false">IF($M2174="贷",$O2174,0)</f>
        <v>0</v>
      </c>
      <c r="K2174" s="48" t="str">
        <f aca="false">IF($H2174="","",购销流水!$E548)</f>
        <v/>
      </c>
      <c r="L2174" s="66" t="str">
        <f aca="false">IF(购销流水!$D548="","",IFERROR(INDEX(记账规则!$A$6:$N$9,MATCH(购销流水!$D548,记账规则!$A$6:$A$9,0),3),""))</f>
        <v/>
      </c>
      <c r="M2174" s="66" t="str">
        <f aca="false">IF($L2174="","",IFERROR(INDEX(记账规则!$A$6:$N$9,MATCH(购销流水!$D548,记账规则!$A$6:$A$9,0),4),""))</f>
        <v/>
      </c>
      <c r="N2174" s="66" t="str">
        <f aca="false">IF($L2174="","",IFERROR(INDEX(记账规则!$A$6:$N$9,MATCH(购销流水!$D548,记账规则!$A$6:$A$9,0),5),""))</f>
        <v/>
      </c>
      <c r="O2174" s="67" t="n">
        <f aca="false">IF($H2174="",0,ROUND(IF($N2174="成本金额",N(购销流水!$W548),IF($N2174="金额",N(购销流水!$Q548),0)),2))</f>
        <v>0</v>
      </c>
      <c r="P2174" s="64" t="str">
        <f aca="false">IF(AND($H2174&lt;&gt;"",ROUND($O2174,2)&lt;&gt;0),"有","")</f>
        <v/>
      </c>
    </row>
    <row r="2175" customFormat="false" ht="15" hidden="true" customHeight="false" outlineLevel="0" collapsed="false">
      <c r="A2175" s="53" t="str">
        <f aca="false">IF($H2175="","",ROW()-5)</f>
        <v/>
      </c>
      <c r="B2175" s="64" t="s">
        <v>36</v>
      </c>
      <c r="C2175" s="53" t="n">
        <v>548</v>
      </c>
      <c r="D2175" s="53" t="n">
        <v>2</v>
      </c>
      <c r="E2175" s="65" t="str">
        <f aca="false">IF($H2175="","",购销流水!$B548)</f>
        <v/>
      </c>
      <c r="F2175" s="55" t="str">
        <f aca="false">IF($H2175="","",购销流水!$C548)</f>
        <v/>
      </c>
      <c r="G2175" s="48" t="str">
        <f aca="false">IF($H2175="","",购销流水!$N548)</f>
        <v/>
      </c>
      <c r="H2175" s="10" t="str">
        <f aca="false">IF($L2175="","",IF($L2175="@成本",购销流水!$U548,IF($L2175="@收入",购销流水!$T548,IF($L2175="@存货",购销流水!$S548,IF($L2175="@结算",购销流水!$R548,$L2175)))))</f>
        <v/>
      </c>
      <c r="I2175" s="42" t="n">
        <f aca="false">IF($M2175="借",$O2175,0)</f>
        <v>0</v>
      </c>
      <c r="J2175" s="42" t="n">
        <f aca="false">IF($M2175="贷",$O2175,0)</f>
        <v>0</v>
      </c>
      <c r="K2175" s="48" t="str">
        <f aca="false">IF($H2175="","",购销流水!$E548)</f>
        <v/>
      </c>
      <c r="L2175" s="66" t="str">
        <f aca="false">IF(购销流水!$D548="","",IFERROR(INDEX(记账规则!$A$6:$N$9,MATCH(购销流水!$D548,记账规则!$A$6:$A$9,0),6),""))</f>
        <v/>
      </c>
      <c r="M2175" s="66" t="str">
        <f aca="false">IF($L2175="","",IFERROR(INDEX(记账规则!$A$6:$N$9,MATCH(购销流水!$D548,记账规则!$A$6:$A$9,0),7),""))</f>
        <v/>
      </c>
      <c r="N2175" s="66" t="str">
        <f aca="false">IF($L2175="","",IFERROR(INDEX(记账规则!$A$6:$N$9,MATCH(购销流水!$D548,记账规则!$A$6:$A$9,0),8),""))</f>
        <v/>
      </c>
      <c r="O2175" s="67" t="n">
        <f aca="false">IF($H2175="",0,ROUND(IF($N2175="成本金额",N(购销流水!$W548),IF($N2175="金额",N(购销流水!$Q548),0)),2))</f>
        <v>0</v>
      </c>
      <c r="P2175" s="64" t="str">
        <f aca="false">IF(AND($H2175&lt;&gt;"",ROUND($O2175,2)&lt;&gt;0),"有","")</f>
        <v/>
      </c>
    </row>
    <row r="2176" customFormat="false" ht="15" hidden="true" customHeight="false" outlineLevel="0" collapsed="false">
      <c r="A2176" s="53" t="str">
        <f aca="false">IF($H2176="","",ROW()-5)</f>
        <v/>
      </c>
      <c r="B2176" s="64" t="s">
        <v>36</v>
      </c>
      <c r="C2176" s="53" t="n">
        <v>548</v>
      </c>
      <c r="D2176" s="53" t="n">
        <v>3</v>
      </c>
      <c r="E2176" s="65" t="str">
        <f aca="false">IF($H2176="","",购销流水!$B548)</f>
        <v/>
      </c>
      <c r="F2176" s="55" t="str">
        <f aca="false">IF($H2176="","",购销流水!$C548)</f>
        <v/>
      </c>
      <c r="G2176" s="48" t="str">
        <f aca="false">IF($H2176="","",购销流水!$N548)</f>
        <v/>
      </c>
      <c r="H2176" s="10" t="str">
        <f aca="false">IF($L2176="","",IF($L2176="@成本",购销流水!$U548,IF($L2176="@收入",购销流水!$T548,IF($L2176="@存货",购销流水!$S548,IF($L2176="@结算",购销流水!$R548,$L2176)))))</f>
        <v/>
      </c>
      <c r="I2176" s="42" t="n">
        <f aca="false">IF($M2176="借",$O2176,0)</f>
        <v>0</v>
      </c>
      <c r="J2176" s="42" t="n">
        <f aca="false">IF($M2176="贷",$O2176,0)</f>
        <v>0</v>
      </c>
      <c r="K2176" s="48" t="str">
        <f aca="false">IF($H2176="","",购销流水!$E548)</f>
        <v/>
      </c>
      <c r="L2176" s="66" t="str">
        <f aca="false">IF(购销流水!$D548="","",IFERROR(INDEX(记账规则!$A$6:$N$9,MATCH(购销流水!$D548,记账规则!$A$6:$A$9,0),9),""))</f>
        <v/>
      </c>
      <c r="M2176" s="66" t="str">
        <f aca="false">IF($L2176="","",IFERROR(INDEX(记账规则!$A$6:$N$9,MATCH(购销流水!$D548,记账规则!$A$6:$A$9,0),10),""))</f>
        <v/>
      </c>
      <c r="N2176" s="66" t="str">
        <f aca="false">IF($L2176="","",IFERROR(INDEX(记账规则!$A$6:$N$9,MATCH(购销流水!$D548,记账规则!$A$6:$A$9,0),11),""))</f>
        <v/>
      </c>
      <c r="O2176" s="67" t="n">
        <f aca="false">IF($H2176="",0,ROUND(IF($N2176="成本金额",N(购销流水!$W548),IF($N2176="金额",N(购销流水!$Q548),0)),2))</f>
        <v>0</v>
      </c>
      <c r="P2176" s="64" t="str">
        <f aca="false">IF(AND($H2176&lt;&gt;"",ROUND($O2176,2)&lt;&gt;0),"有","")</f>
        <v/>
      </c>
    </row>
    <row r="2177" customFormat="false" ht="15" hidden="true" customHeight="false" outlineLevel="0" collapsed="false">
      <c r="A2177" s="53" t="str">
        <f aca="false">IF($H2177="","",ROW()-5)</f>
        <v/>
      </c>
      <c r="B2177" s="64" t="s">
        <v>36</v>
      </c>
      <c r="C2177" s="53" t="n">
        <v>548</v>
      </c>
      <c r="D2177" s="53" t="n">
        <v>4</v>
      </c>
      <c r="E2177" s="65" t="str">
        <f aca="false">IF($H2177="","",购销流水!$B548)</f>
        <v/>
      </c>
      <c r="F2177" s="55" t="str">
        <f aca="false">IF($H2177="","",购销流水!$C548)</f>
        <v/>
      </c>
      <c r="G2177" s="48" t="str">
        <f aca="false">IF($H2177="","",购销流水!$N548)</f>
        <v/>
      </c>
      <c r="H2177" s="10" t="str">
        <f aca="false">IF($L2177="","",IF($L2177="@成本",购销流水!$U548,IF($L2177="@收入",购销流水!$T548,IF($L2177="@存货",购销流水!$S548,IF($L2177="@结算",购销流水!$R548,$L2177)))))</f>
        <v/>
      </c>
      <c r="I2177" s="42" t="n">
        <f aca="false">IF($M2177="借",$O2177,0)</f>
        <v>0</v>
      </c>
      <c r="J2177" s="42" t="n">
        <f aca="false">IF($M2177="贷",$O2177,0)</f>
        <v>0</v>
      </c>
      <c r="K2177" s="48" t="str">
        <f aca="false">IF($H2177="","",购销流水!$E548)</f>
        <v/>
      </c>
      <c r="L2177" s="66" t="str">
        <f aca="false">IF(购销流水!$D548="","",IFERROR(INDEX(记账规则!$A$6:$N$9,MATCH(购销流水!$D548,记账规则!$A$6:$A$9,0),12),""))</f>
        <v/>
      </c>
      <c r="M2177" s="66" t="str">
        <f aca="false">IF($L2177="","",IFERROR(INDEX(记账规则!$A$6:$N$9,MATCH(购销流水!$D548,记账规则!$A$6:$A$9,0),13),""))</f>
        <v/>
      </c>
      <c r="N2177" s="66" t="str">
        <f aca="false">IF($L2177="","",IFERROR(INDEX(记账规则!$A$6:$N$9,MATCH(购销流水!$D548,记账规则!$A$6:$A$9,0),14),""))</f>
        <v/>
      </c>
      <c r="O2177" s="67" t="n">
        <f aca="false">IF($H2177="",0,ROUND(IF($N2177="成本金额",N(购销流水!$W548),IF($N2177="金额",N(购销流水!$Q548),0)),2))</f>
        <v>0</v>
      </c>
      <c r="P2177" s="64" t="str">
        <f aca="false">IF(AND($H2177&lt;&gt;"",ROUND($O2177,2)&lt;&gt;0),"有","")</f>
        <v/>
      </c>
    </row>
    <row r="2178" customFormat="false" ht="15" hidden="true" customHeight="false" outlineLevel="0" collapsed="false">
      <c r="A2178" s="53" t="str">
        <f aca="false">IF($H2178="","",ROW()-5)</f>
        <v/>
      </c>
      <c r="B2178" s="64" t="s">
        <v>36</v>
      </c>
      <c r="C2178" s="53" t="n">
        <v>549</v>
      </c>
      <c r="D2178" s="53" t="n">
        <v>1</v>
      </c>
      <c r="E2178" s="65" t="str">
        <f aca="false">IF($H2178="","",购销流水!$B549)</f>
        <v/>
      </c>
      <c r="F2178" s="55" t="str">
        <f aca="false">IF($H2178="","",购销流水!$C549)</f>
        <v/>
      </c>
      <c r="G2178" s="48" t="str">
        <f aca="false">IF($H2178="","",购销流水!$N549)</f>
        <v/>
      </c>
      <c r="H2178" s="10" t="str">
        <f aca="false">IF($L2178="","",IF($L2178="@成本",购销流水!$U549,IF($L2178="@收入",购销流水!$T549,IF($L2178="@存货",购销流水!$S549,IF($L2178="@结算",购销流水!$R549,$L2178)))))</f>
        <v/>
      </c>
      <c r="I2178" s="42" t="n">
        <f aca="false">IF($M2178="借",$O2178,0)</f>
        <v>0</v>
      </c>
      <c r="J2178" s="42" t="n">
        <f aca="false">IF($M2178="贷",$O2178,0)</f>
        <v>0</v>
      </c>
      <c r="K2178" s="48" t="str">
        <f aca="false">IF($H2178="","",购销流水!$E549)</f>
        <v/>
      </c>
      <c r="L2178" s="66" t="str">
        <f aca="false">IF(购销流水!$D549="","",IFERROR(INDEX(记账规则!$A$6:$N$9,MATCH(购销流水!$D549,记账规则!$A$6:$A$9,0),3),""))</f>
        <v/>
      </c>
      <c r="M2178" s="66" t="str">
        <f aca="false">IF($L2178="","",IFERROR(INDEX(记账规则!$A$6:$N$9,MATCH(购销流水!$D549,记账规则!$A$6:$A$9,0),4),""))</f>
        <v/>
      </c>
      <c r="N2178" s="66" t="str">
        <f aca="false">IF($L2178="","",IFERROR(INDEX(记账规则!$A$6:$N$9,MATCH(购销流水!$D549,记账规则!$A$6:$A$9,0),5),""))</f>
        <v/>
      </c>
      <c r="O2178" s="67" t="n">
        <f aca="false">IF($H2178="",0,ROUND(IF($N2178="成本金额",N(购销流水!$W549),IF($N2178="金额",N(购销流水!$Q549),0)),2))</f>
        <v>0</v>
      </c>
      <c r="P2178" s="64" t="str">
        <f aca="false">IF(AND($H2178&lt;&gt;"",ROUND($O2178,2)&lt;&gt;0),"有","")</f>
        <v/>
      </c>
    </row>
    <row r="2179" customFormat="false" ht="15" hidden="true" customHeight="false" outlineLevel="0" collapsed="false">
      <c r="A2179" s="53" t="str">
        <f aca="false">IF($H2179="","",ROW()-5)</f>
        <v/>
      </c>
      <c r="B2179" s="64" t="s">
        <v>36</v>
      </c>
      <c r="C2179" s="53" t="n">
        <v>549</v>
      </c>
      <c r="D2179" s="53" t="n">
        <v>2</v>
      </c>
      <c r="E2179" s="65" t="str">
        <f aca="false">IF($H2179="","",购销流水!$B549)</f>
        <v/>
      </c>
      <c r="F2179" s="55" t="str">
        <f aca="false">IF($H2179="","",购销流水!$C549)</f>
        <v/>
      </c>
      <c r="G2179" s="48" t="str">
        <f aca="false">IF($H2179="","",购销流水!$N549)</f>
        <v/>
      </c>
      <c r="H2179" s="10" t="str">
        <f aca="false">IF($L2179="","",IF($L2179="@成本",购销流水!$U549,IF($L2179="@收入",购销流水!$T549,IF($L2179="@存货",购销流水!$S549,IF($L2179="@结算",购销流水!$R549,$L2179)))))</f>
        <v/>
      </c>
      <c r="I2179" s="42" t="n">
        <f aca="false">IF($M2179="借",$O2179,0)</f>
        <v>0</v>
      </c>
      <c r="J2179" s="42" t="n">
        <f aca="false">IF($M2179="贷",$O2179,0)</f>
        <v>0</v>
      </c>
      <c r="K2179" s="48" t="str">
        <f aca="false">IF($H2179="","",购销流水!$E549)</f>
        <v/>
      </c>
      <c r="L2179" s="66" t="str">
        <f aca="false">IF(购销流水!$D549="","",IFERROR(INDEX(记账规则!$A$6:$N$9,MATCH(购销流水!$D549,记账规则!$A$6:$A$9,0),6),""))</f>
        <v/>
      </c>
      <c r="M2179" s="66" t="str">
        <f aca="false">IF($L2179="","",IFERROR(INDEX(记账规则!$A$6:$N$9,MATCH(购销流水!$D549,记账规则!$A$6:$A$9,0),7),""))</f>
        <v/>
      </c>
      <c r="N2179" s="66" t="str">
        <f aca="false">IF($L2179="","",IFERROR(INDEX(记账规则!$A$6:$N$9,MATCH(购销流水!$D549,记账规则!$A$6:$A$9,0),8),""))</f>
        <v/>
      </c>
      <c r="O2179" s="67" t="n">
        <f aca="false">IF($H2179="",0,ROUND(IF($N2179="成本金额",N(购销流水!$W549),IF($N2179="金额",N(购销流水!$Q549),0)),2))</f>
        <v>0</v>
      </c>
      <c r="P2179" s="64" t="str">
        <f aca="false">IF(AND($H2179&lt;&gt;"",ROUND($O2179,2)&lt;&gt;0),"有","")</f>
        <v/>
      </c>
    </row>
    <row r="2180" customFormat="false" ht="15" hidden="true" customHeight="false" outlineLevel="0" collapsed="false">
      <c r="A2180" s="53" t="str">
        <f aca="false">IF($H2180="","",ROW()-5)</f>
        <v/>
      </c>
      <c r="B2180" s="64" t="s">
        <v>36</v>
      </c>
      <c r="C2180" s="53" t="n">
        <v>549</v>
      </c>
      <c r="D2180" s="53" t="n">
        <v>3</v>
      </c>
      <c r="E2180" s="65" t="str">
        <f aca="false">IF($H2180="","",购销流水!$B549)</f>
        <v/>
      </c>
      <c r="F2180" s="55" t="str">
        <f aca="false">IF($H2180="","",购销流水!$C549)</f>
        <v/>
      </c>
      <c r="G2180" s="48" t="str">
        <f aca="false">IF($H2180="","",购销流水!$N549)</f>
        <v/>
      </c>
      <c r="H2180" s="10" t="str">
        <f aca="false">IF($L2180="","",IF($L2180="@成本",购销流水!$U549,IF($L2180="@收入",购销流水!$T549,IF($L2180="@存货",购销流水!$S549,IF($L2180="@结算",购销流水!$R549,$L2180)))))</f>
        <v/>
      </c>
      <c r="I2180" s="42" t="n">
        <f aca="false">IF($M2180="借",$O2180,0)</f>
        <v>0</v>
      </c>
      <c r="J2180" s="42" t="n">
        <f aca="false">IF($M2180="贷",$O2180,0)</f>
        <v>0</v>
      </c>
      <c r="K2180" s="48" t="str">
        <f aca="false">IF($H2180="","",购销流水!$E549)</f>
        <v/>
      </c>
      <c r="L2180" s="66" t="str">
        <f aca="false">IF(购销流水!$D549="","",IFERROR(INDEX(记账规则!$A$6:$N$9,MATCH(购销流水!$D549,记账规则!$A$6:$A$9,0),9),""))</f>
        <v/>
      </c>
      <c r="M2180" s="66" t="str">
        <f aca="false">IF($L2180="","",IFERROR(INDEX(记账规则!$A$6:$N$9,MATCH(购销流水!$D549,记账规则!$A$6:$A$9,0),10),""))</f>
        <v/>
      </c>
      <c r="N2180" s="66" t="str">
        <f aca="false">IF($L2180="","",IFERROR(INDEX(记账规则!$A$6:$N$9,MATCH(购销流水!$D549,记账规则!$A$6:$A$9,0),11),""))</f>
        <v/>
      </c>
      <c r="O2180" s="67" t="n">
        <f aca="false">IF($H2180="",0,ROUND(IF($N2180="成本金额",N(购销流水!$W549),IF($N2180="金额",N(购销流水!$Q549),0)),2))</f>
        <v>0</v>
      </c>
      <c r="P2180" s="64" t="str">
        <f aca="false">IF(AND($H2180&lt;&gt;"",ROUND($O2180,2)&lt;&gt;0),"有","")</f>
        <v/>
      </c>
    </row>
    <row r="2181" customFormat="false" ht="15" hidden="true" customHeight="false" outlineLevel="0" collapsed="false">
      <c r="A2181" s="53" t="str">
        <f aca="false">IF($H2181="","",ROW()-5)</f>
        <v/>
      </c>
      <c r="B2181" s="64" t="s">
        <v>36</v>
      </c>
      <c r="C2181" s="53" t="n">
        <v>549</v>
      </c>
      <c r="D2181" s="53" t="n">
        <v>4</v>
      </c>
      <c r="E2181" s="65" t="str">
        <f aca="false">IF($H2181="","",购销流水!$B549)</f>
        <v/>
      </c>
      <c r="F2181" s="55" t="str">
        <f aca="false">IF($H2181="","",购销流水!$C549)</f>
        <v/>
      </c>
      <c r="G2181" s="48" t="str">
        <f aca="false">IF($H2181="","",购销流水!$N549)</f>
        <v/>
      </c>
      <c r="H2181" s="10" t="str">
        <f aca="false">IF($L2181="","",IF($L2181="@成本",购销流水!$U549,IF($L2181="@收入",购销流水!$T549,IF($L2181="@存货",购销流水!$S549,IF($L2181="@结算",购销流水!$R549,$L2181)))))</f>
        <v/>
      </c>
      <c r="I2181" s="42" t="n">
        <f aca="false">IF($M2181="借",$O2181,0)</f>
        <v>0</v>
      </c>
      <c r="J2181" s="42" t="n">
        <f aca="false">IF($M2181="贷",$O2181,0)</f>
        <v>0</v>
      </c>
      <c r="K2181" s="48" t="str">
        <f aca="false">IF($H2181="","",购销流水!$E549)</f>
        <v/>
      </c>
      <c r="L2181" s="66" t="str">
        <f aca="false">IF(购销流水!$D549="","",IFERROR(INDEX(记账规则!$A$6:$N$9,MATCH(购销流水!$D549,记账规则!$A$6:$A$9,0),12),""))</f>
        <v/>
      </c>
      <c r="M2181" s="66" t="str">
        <f aca="false">IF($L2181="","",IFERROR(INDEX(记账规则!$A$6:$N$9,MATCH(购销流水!$D549,记账规则!$A$6:$A$9,0),13),""))</f>
        <v/>
      </c>
      <c r="N2181" s="66" t="str">
        <f aca="false">IF($L2181="","",IFERROR(INDEX(记账规则!$A$6:$N$9,MATCH(购销流水!$D549,记账规则!$A$6:$A$9,0),14),""))</f>
        <v/>
      </c>
      <c r="O2181" s="67" t="n">
        <f aca="false">IF($H2181="",0,ROUND(IF($N2181="成本金额",N(购销流水!$W549),IF($N2181="金额",N(购销流水!$Q549),0)),2))</f>
        <v>0</v>
      </c>
      <c r="P2181" s="64" t="str">
        <f aca="false">IF(AND($H2181&lt;&gt;"",ROUND($O2181,2)&lt;&gt;0),"有","")</f>
        <v/>
      </c>
    </row>
    <row r="2182" customFormat="false" ht="15" hidden="true" customHeight="false" outlineLevel="0" collapsed="false">
      <c r="A2182" s="53" t="str">
        <f aca="false">IF($H2182="","",ROW()-5)</f>
        <v/>
      </c>
      <c r="B2182" s="64" t="s">
        <v>36</v>
      </c>
      <c r="C2182" s="53" t="n">
        <v>550</v>
      </c>
      <c r="D2182" s="53" t="n">
        <v>1</v>
      </c>
      <c r="E2182" s="65" t="str">
        <f aca="false">IF($H2182="","",购销流水!$B550)</f>
        <v/>
      </c>
      <c r="F2182" s="55" t="str">
        <f aca="false">IF($H2182="","",购销流水!$C550)</f>
        <v/>
      </c>
      <c r="G2182" s="48" t="str">
        <f aca="false">IF($H2182="","",购销流水!$N550)</f>
        <v/>
      </c>
      <c r="H2182" s="10" t="str">
        <f aca="false">IF($L2182="","",IF($L2182="@成本",购销流水!$U550,IF($L2182="@收入",购销流水!$T550,IF($L2182="@存货",购销流水!$S550,IF($L2182="@结算",购销流水!$R550,$L2182)))))</f>
        <v/>
      </c>
      <c r="I2182" s="42" t="n">
        <f aca="false">IF($M2182="借",$O2182,0)</f>
        <v>0</v>
      </c>
      <c r="J2182" s="42" t="n">
        <f aca="false">IF($M2182="贷",$O2182,0)</f>
        <v>0</v>
      </c>
      <c r="K2182" s="48" t="str">
        <f aca="false">IF($H2182="","",购销流水!$E550)</f>
        <v/>
      </c>
      <c r="L2182" s="66" t="str">
        <f aca="false">IF(购销流水!$D550="","",IFERROR(INDEX(记账规则!$A$6:$N$9,MATCH(购销流水!$D550,记账规则!$A$6:$A$9,0),3),""))</f>
        <v/>
      </c>
      <c r="M2182" s="66" t="str">
        <f aca="false">IF($L2182="","",IFERROR(INDEX(记账规则!$A$6:$N$9,MATCH(购销流水!$D550,记账规则!$A$6:$A$9,0),4),""))</f>
        <v/>
      </c>
      <c r="N2182" s="66" t="str">
        <f aca="false">IF($L2182="","",IFERROR(INDEX(记账规则!$A$6:$N$9,MATCH(购销流水!$D550,记账规则!$A$6:$A$9,0),5),""))</f>
        <v/>
      </c>
      <c r="O2182" s="67" t="n">
        <f aca="false">IF($H2182="",0,ROUND(IF($N2182="成本金额",N(购销流水!$W550),IF($N2182="金额",N(购销流水!$Q550),0)),2))</f>
        <v>0</v>
      </c>
      <c r="P2182" s="64" t="str">
        <f aca="false">IF(AND($H2182&lt;&gt;"",ROUND($O2182,2)&lt;&gt;0),"有","")</f>
        <v/>
      </c>
    </row>
    <row r="2183" customFormat="false" ht="15" hidden="true" customHeight="false" outlineLevel="0" collapsed="false">
      <c r="A2183" s="53" t="str">
        <f aca="false">IF($H2183="","",ROW()-5)</f>
        <v/>
      </c>
      <c r="B2183" s="64" t="s">
        <v>36</v>
      </c>
      <c r="C2183" s="53" t="n">
        <v>550</v>
      </c>
      <c r="D2183" s="53" t="n">
        <v>2</v>
      </c>
      <c r="E2183" s="65" t="str">
        <f aca="false">IF($H2183="","",购销流水!$B550)</f>
        <v/>
      </c>
      <c r="F2183" s="55" t="str">
        <f aca="false">IF($H2183="","",购销流水!$C550)</f>
        <v/>
      </c>
      <c r="G2183" s="48" t="str">
        <f aca="false">IF($H2183="","",购销流水!$N550)</f>
        <v/>
      </c>
      <c r="H2183" s="10" t="str">
        <f aca="false">IF($L2183="","",IF($L2183="@成本",购销流水!$U550,IF($L2183="@收入",购销流水!$T550,IF($L2183="@存货",购销流水!$S550,IF($L2183="@结算",购销流水!$R550,$L2183)))))</f>
        <v/>
      </c>
      <c r="I2183" s="42" t="n">
        <f aca="false">IF($M2183="借",$O2183,0)</f>
        <v>0</v>
      </c>
      <c r="J2183" s="42" t="n">
        <f aca="false">IF($M2183="贷",$O2183,0)</f>
        <v>0</v>
      </c>
      <c r="K2183" s="48" t="str">
        <f aca="false">IF($H2183="","",购销流水!$E550)</f>
        <v/>
      </c>
      <c r="L2183" s="66" t="str">
        <f aca="false">IF(购销流水!$D550="","",IFERROR(INDEX(记账规则!$A$6:$N$9,MATCH(购销流水!$D550,记账规则!$A$6:$A$9,0),6),""))</f>
        <v/>
      </c>
      <c r="M2183" s="66" t="str">
        <f aca="false">IF($L2183="","",IFERROR(INDEX(记账规则!$A$6:$N$9,MATCH(购销流水!$D550,记账规则!$A$6:$A$9,0),7),""))</f>
        <v/>
      </c>
      <c r="N2183" s="66" t="str">
        <f aca="false">IF($L2183="","",IFERROR(INDEX(记账规则!$A$6:$N$9,MATCH(购销流水!$D550,记账规则!$A$6:$A$9,0),8),""))</f>
        <v/>
      </c>
      <c r="O2183" s="67" t="n">
        <f aca="false">IF($H2183="",0,ROUND(IF($N2183="成本金额",N(购销流水!$W550),IF($N2183="金额",N(购销流水!$Q550),0)),2))</f>
        <v>0</v>
      </c>
      <c r="P2183" s="64" t="str">
        <f aca="false">IF(AND($H2183&lt;&gt;"",ROUND($O2183,2)&lt;&gt;0),"有","")</f>
        <v/>
      </c>
    </row>
    <row r="2184" customFormat="false" ht="15" hidden="true" customHeight="false" outlineLevel="0" collapsed="false">
      <c r="A2184" s="53" t="str">
        <f aca="false">IF($H2184="","",ROW()-5)</f>
        <v/>
      </c>
      <c r="B2184" s="64" t="s">
        <v>36</v>
      </c>
      <c r="C2184" s="53" t="n">
        <v>550</v>
      </c>
      <c r="D2184" s="53" t="n">
        <v>3</v>
      </c>
      <c r="E2184" s="65" t="str">
        <f aca="false">IF($H2184="","",购销流水!$B550)</f>
        <v/>
      </c>
      <c r="F2184" s="55" t="str">
        <f aca="false">IF($H2184="","",购销流水!$C550)</f>
        <v/>
      </c>
      <c r="G2184" s="48" t="str">
        <f aca="false">IF($H2184="","",购销流水!$N550)</f>
        <v/>
      </c>
      <c r="H2184" s="10" t="str">
        <f aca="false">IF($L2184="","",IF($L2184="@成本",购销流水!$U550,IF($L2184="@收入",购销流水!$T550,IF($L2184="@存货",购销流水!$S550,IF($L2184="@结算",购销流水!$R550,$L2184)))))</f>
        <v/>
      </c>
      <c r="I2184" s="42" t="n">
        <f aca="false">IF($M2184="借",$O2184,0)</f>
        <v>0</v>
      </c>
      <c r="J2184" s="42" t="n">
        <f aca="false">IF($M2184="贷",$O2184,0)</f>
        <v>0</v>
      </c>
      <c r="K2184" s="48" t="str">
        <f aca="false">IF($H2184="","",购销流水!$E550)</f>
        <v/>
      </c>
      <c r="L2184" s="66" t="str">
        <f aca="false">IF(购销流水!$D550="","",IFERROR(INDEX(记账规则!$A$6:$N$9,MATCH(购销流水!$D550,记账规则!$A$6:$A$9,0),9),""))</f>
        <v/>
      </c>
      <c r="M2184" s="66" t="str">
        <f aca="false">IF($L2184="","",IFERROR(INDEX(记账规则!$A$6:$N$9,MATCH(购销流水!$D550,记账规则!$A$6:$A$9,0),10),""))</f>
        <v/>
      </c>
      <c r="N2184" s="66" t="str">
        <f aca="false">IF($L2184="","",IFERROR(INDEX(记账规则!$A$6:$N$9,MATCH(购销流水!$D550,记账规则!$A$6:$A$9,0),11),""))</f>
        <v/>
      </c>
      <c r="O2184" s="67" t="n">
        <f aca="false">IF($H2184="",0,ROUND(IF($N2184="成本金额",N(购销流水!$W550),IF($N2184="金额",N(购销流水!$Q550),0)),2))</f>
        <v>0</v>
      </c>
      <c r="P2184" s="64" t="str">
        <f aca="false">IF(AND($H2184&lt;&gt;"",ROUND($O2184,2)&lt;&gt;0),"有","")</f>
        <v/>
      </c>
    </row>
    <row r="2185" customFormat="false" ht="15" hidden="true" customHeight="false" outlineLevel="0" collapsed="false">
      <c r="A2185" s="53" t="str">
        <f aca="false">IF($H2185="","",ROW()-5)</f>
        <v/>
      </c>
      <c r="B2185" s="64" t="s">
        <v>36</v>
      </c>
      <c r="C2185" s="53" t="n">
        <v>550</v>
      </c>
      <c r="D2185" s="53" t="n">
        <v>4</v>
      </c>
      <c r="E2185" s="65" t="str">
        <f aca="false">IF($H2185="","",购销流水!$B550)</f>
        <v/>
      </c>
      <c r="F2185" s="55" t="str">
        <f aca="false">IF($H2185="","",购销流水!$C550)</f>
        <v/>
      </c>
      <c r="G2185" s="48" t="str">
        <f aca="false">IF($H2185="","",购销流水!$N550)</f>
        <v/>
      </c>
      <c r="H2185" s="10" t="str">
        <f aca="false">IF($L2185="","",IF($L2185="@成本",购销流水!$U550,IF($L2185="@收入",购销流水!$T550,IF($L2185="@存货",购销流水!$S550,IF($L2185="@结算",购销流水!$R550,$L2185)))))</f>
        <v/>
      </c>
      <c r="I2185" s="42" t="n">
        <f aca="false">IF($M2185="借",$O2185,0)</f>
        <v>0</v>
      </c>
      <c r="J2185" s="42" t="n">
        <f aca="false">IF($M2185="贷",$O2185,0)</f>
        <v>0</v>
      </c>
      <c r="K2185" s="48" t="str">
        <f aca="false">IF($H2185="","",购销流水!$E550)</f>
        <v/>
      </c>
      <c r="L2185" s="66" t="str">
        <f aca="false">IF(购销流水!$D550="","",IFERROR(INDEX(记账规则!$A$6:$N$9,MATCH(购销流水!$D550,记账规则!$A$6:$A$9,0),12),""))</f>
        <v/>
      </c>
      <c r="M2185" s="66" t="str">
        <f aca="false">IF($L2185="","",IFERROR(INDEX(记账规则!$A$6:$N$9,MATCH(购销流水!$D550,记账规则!$A$6:$A$9,0),13),""))</f>
        <v/>
      </c>
      <c r="N2185" s="66" t="str">
        <f aca="false">IF($L2185="","",IFERROR(INDEX(记账规则!$A$6:$N$9,MATCH(购销流水!$D550,记账规则!$A$6:$A$9,0),14),""))</f>
        <v/>
      </c>
      <c r="O2185" s="67" t="n">
        <f aca="false">IF($H2185="",0,ROUND(IF($N2185="成本金额",N(购销流水!$W550),IF($N2185="金额",N(购销流水!$Q550),0)),2))</f>
        <v>0</v>
      </c>
      <c r="P2185" s="64" t="str">
        <f aca="false">IF(AND($H2185&lt;&gt;"",ROUND($O2185,2)&lt;&gt;0),"有","")</f>
        <v/>
      </c>
    </row>
    <row r="2186" customFormat="false" ht="15" hidden="true" customHeight="false" outlineLevel="0" collapsed="false">
      <c r="A2186" s="53" t="str">
        <f aca="false">IF($H2186="","",ROW()-5)</f>
        <v/>
      </c>
      <c r="B2186" s="64" t="s">
        <v>36</v>
      </c>
      <c r="C2186" s="53" t="n">
        <v>551</v>
      </c>
      <c r="D2186" s="53" t="n">
        <v>1</v>
      </c>
      <c r="E2186" s="65" t="str">
        <f aca="false">IF($H2186="","",购销流水!$B551)</f>
        <v/>
      </c>
      <c r="F2186" s="55" t="str">
        <f aca="false">IF($H2186="","",购销流水!$C551)</f>
        <v/>
      </c>
      <c r="G2186" s="48" t="str">
        <f aca="false">IF($H2186="","",购销流水!$N551)</f>
        <v/>
      </c>
      <c r="H2186" s="10" t="str">
        <f aca="false">IF($L2186="","",IF($L2186="@成本",购销流水!$U551,IF($L2186="@收入",购销流水!$T551,IF($L2186="@存货",购销流水!$S551,IF($L2186="@结算",购销流水!$R551,$L2186)))))</f>
        <v/>
      </c>
      <c r="I2186" s="42" t="n">
        <f aca="false">IF($M2186="借",$O2186,0)</f>
        <v>0</v>
      </c>
      <c r="J2186" s="42" t="n">
        <f aca="false">IF($M2186="贷",$O2186,0)</f>
        <v>0</v>
      </c>
      <c r="K2186" s="48" t="str">
        <f aca="false">IF($H2186="","",购销流水!$E551)</f>
        <v/>
      </c>
      <c r="L2186" s="66" t="str">
        <f aca="false">IF(购销流水!$D551="","",IFERROR(INDEX(记账规则!$A$6:$N$9,MATCH(购销流水!$D551,记账规则!$A$6:$A$9,0),3),""))</f>
        <v/>
      </c>
      <c r="M2186" s="66" t="str">
        <f aca="false">IF($L2186="","",IFERROR(INDEX(记账规则!$A$6:$N$9,MATCH(购销流水!$D551,记账规则!$A$6:$A$9,0),4),""))</f>
        <v/>
      </c>
      <c r="N2186" s="66" t="str">
        <f aca="false">IF($L2186="","",IFERROR(INDEX(记账规则!$A$6:$N$9,MATCH(购销流水!$D551,记账规则!$A$6:$A$9,0),5),""))</f>
        <v/>
      </c>
      <c r="O2186" s="67" t="n">
        <f aca="false">IF($H2186="",0,ROUND(IF($N2186="成本金额",N(购销流水!$W551),IF($N2186="金额",N(购销流水!$Q551),0)),2))</f>
        <v>0</v>
      </c>
      <c r="P2186" s="64" t="str">
        <f aca="false">IF(AND($H2186&lt;&gt;"",ROUND($O2186,2)&lt;&gt;0),"有","")</f>
        <v/>
      </c>
    </row>
    <row r="2187" customFormat="false" ht="15" hidden="true" customHeight="false" outlineLevel="0" collapsed="false">
      <c r="A2187" s="53" t="str">
        <f aca="false">IF($H2187="","",ROW()-5)</f>
        <v/>
      </c>
      <c r="B2187" s="64" t="s">
        <v>36</v>
      </c>
      <c r="C2187" s="53" t="n">
        <v>551</v>
      </c>
      <c r="D2187" s="53" t="n">
        <v>2</v>
      </c>
      <c r="E2187" s="65" t="str">
        <f aca="false">IF($H2187="","",购销流水!$B551)</f>
        <v/>
      </c>
      <c r="F2187" s="55" t="str">
        <f aca="false">IF($H2187="","",购销流水!$C551)</f>
        <v/>
      </c>
      <c r="G2187" s="48" t="str">
        <f aca="false">IF($H2187="","",购销流水!$N551)</f>
        <v/>
      </c>
      <c r="H2187" s="10" t="str">
        <f aca="false">IF($L2187="","",IF($L2187="@成本",购销流水!$U551,IF($L2187="@收入",购销流水!$T551,IF($L2187="@存货",购销流水!$S551,IF($L2187="@结算",购销流水!$R551,$L2187)))))</f>
        <v/>
      </c>
      <c r="I2187" s="42" t="n">
        <f aca="false">IF($M2187="借",$O2187,0)</f>
        <v>0</v>
      </c>
      <c r="J2187" s="42" t="n">
        <f aca="false">IF($M2187="贷",$O2187,0)</f>
        <v>0</v>
      </c>
      <c r="K2187" s="48" t="str">
        <f aca="false">IF($H2187="","",购销流水!$E551)</f>
        <v/>
      </c>
      <c r="L2187" s="66" t="str">
        <f aca="false">IF(购销流水!$D551="","",IFERROR(INDEX(记账规则!$A$6:$N$9,MATCH(购销流水!$D551,记账规则!$A$6:$A$9,0),6),""))</f>
        <v/>
      </c>
      <c r="M2187" s="66" t="str">
        <f aca="false">IF($L2187="","",IFERROR(INDEX(记账规则!$A$6:$N$9,MATCH(购销流水!$D551,记账规则!$A$6:$A$9,0),7),""))</f>
        <v/>
      </c>
      <c r="N2187" s="66" t="str">
        <f aca="false">IF($L2187="","",IFERROR(INDEX(记账规则!$A$6:$N$9,MATCH(购销流水!$D551,记账规则!$A$6:$A$9,0),8),""))</f>
        <v/>
      </c>
      <c r="O2187" s="67" t="n">
        <f aca="false">IF($H2187="",0,ROUND(IF($N2187="成本金额",N(购销流水!$W551),IF($N2187="金额",N(购销流水!$Q551),0)),2))</f>
        <v>0</v>
      </c>
      <c r="P2187" s="64" t="str">
        <f aca="false">IF(AND($H2187&lt;&gt;"",ROUND($O2187,2)&lt;&gt;0),"有","")</f>
        <v/>
      </c>
    </row>
    <row r="2188" customFormat="false" ht="15" hidden="true" customHeight="false" outlineLevel="0" collapsed="false">
      <c r="A2188" s="53" t="str">
        <f aca="false">IF($H2188="","",ROW()-5)</f>
        <v/>
      </c>
      <c r="B2188" s="64" t="s">
        <v>36</v>
      </c>
      <c r="C2188" s="53" t="n">
        <v>551</v>
      </c>
      <c r="D2188" s="53" t="n">
        <v>3</v>
      </c>
      <c r="E2188" s="65" t="str">
        <f aca="false">IF($H2188="","",购销流水!$B551)</f>
        <v/>
      </c>
      <c r="F2188" s="55" t="str">
        <f aca="false">IF($H2188="","",购销流水!$C551)</f>
        <v/>
      </c>
      <c r="G2188" s="48" t="str">
        <f aca="false">IF($H2188="","",购销流水!$N551)</f>
        <v/>
      </c>
      <c r="H2188" s="10" t="str">
        <f aca="false">IF($L2188="","",IF($L2188="@成本",购销流水!$U551,IF($L2188="@收入",购销流水!$T551,IF($L2188="@存货",购销流水!$S551,IF($L2188="@结算",购销流水!$R551,$L2188)))))</f>
        <v/>
      </c>
      <c r="I2188" s="42" t="n">
        <f aca="false">IF($M2188="借",$O2188,0)</f>
        <v>0</v>
      </c>
      <c r="J2188" s="42" t="n">
        <f aca="false">IF($M2188="贷",$O2188,0)</f>
        <v>0</v>
      </c>
      <c r="K2188" s="48" t="str">
        <f aca="false">IF($H2188="","",购销流水!$E551)</f>
        <v/>
      </c>
      <c r="L2188" s="66" t="str">
        <f aca="false">IF(购销流水!$D551="","",IFERROR(INDEX(记账规则!$A$6:$N$9,MATCH(购销流水!$D551,记账规则!$A$6:$A$9,0),9),""))</f>
        <v/>
      </c>
      <c r="M2188" s="66" t="str">
        <f aca="false">IF($L2188="","",IFERROR(INDEX(记账规则!$A$6:$N$9,MATCH(购销流水!$D551,记账规则!$A$6:$A$9,0),10),""))</f>
        <v/>
      </c>
      <c r="N2188" s="66" t="str">
        <f aca="false">IF($L2188="","",IFERROR(INDEX(记账规则!$A$6:$N$9,MATCH(购销流水!$D551,记账规则!$A$6:$A$9,0),11),""))</f>
        <v/>
      </c>
      <c r="O2188" s="67" t="n">
        <f aca="false">IF($H2188="",0,ROUND(IF($N2188="成本金额",N(购销流水!$W551),IF($N2188="金额",N(购销流水!$Q551),0)),2))</f>
        <v>0</v>
      </c>
      <c r="P2188" s="64" t="str">
        <f aca="false">IF(AND($H2188&lt;&gt;"",ROUND($O2188,2)&lt;&gt;0),"有","")</f>
        <v/>
      </c>
    </row>
    <row r="2189" customFormat="false" ht="15" hidden="true" customHeight="false" outlineLevel="0" collapsed="false">
      <c r="A2189" s="53" t="str">
        <f aca="false">IF($H2189="","",ROW()-5)</f>
        <v/>
      </c>
      <c r="B2189" s="64" t="s">
        <v>36</v>
      </c>
      <c r="C2189" s="53" t="n">
        <v>551</v>
      </c>
      <c r="D2189" s="53" t="n">
        <v>4</v>
      </c>
      <c r="E2189" s="65" t="str">
        <f aca="false">IF($H2189="","",购销流水!$B551)</f>
        <v/>
      </c>
      <c r="F2189" s="55" t="str">
        <f aca="false">IF($H2189="","",购销流水!$C551)</f>
        <v/>
      </c>
      <c r="G2189" s="48" t="str">
        <f aca="false">IF($H2189="","",购销流水!$N551)</f>
        <v/>
      </c>
      <c r="H2189" s="10" t="str">
        <f aca="false">IF($L2189="","",IF($L2189="@成本",购销流水!$U551,IF($L2189="@收入",购销流水!$T551,IF($L2189="@存货",购销流水!$S551,IF($L2189="@结算",购销流水!$R551,$L2189)))))</f>
        <v/>
      </c>
      <c r="I2189" s="42" t="n">
        <f aca="false">IF($M2189="借",$O2189,0)</f>
        <v>0</v>
      </c>
      <c r="J2189" s="42" t="n">
        <f aca="false">IF($M2189="贷",$O2189,0)</f>
        <v>0</v>
      </c>
      <c r="K2189" s="48" t="str">
        <f aca="false">IF($H2189="","",购销流水!$E551)</f>
        <v/>
      </c>
      <c r="L2189" s="66" t="str">
        <f aca="false">IF(购销流水!$D551="","",IFERROR(INDEX(记账规则!$A$6:$N$9,MATCH(购销流水!$D551,记账规则!$A$6:$A$9,0),12),""))</f>
        <v/>
      </c>
      <c r="M2189" s="66" t="str">
        <f aca="false">IF($L2189="","",IFERROR(INDEX(记账规则!$A$6:$N$9,MATCH(购销流水!$D551,记账规则!$A$6:$A$9,0),13),""))</f>
        <v/>
      </c>
      <c r="N2189" s="66" t="str">
        <f aca="false">IF($L2189="","",IFERROR(INDEX(记账规则!$A$6:$N$9,MATCH(购销流水!$D551,记账规则!$A$6:$A$9,0),14),""))</f>
        <v/>
      </c>
      <c r="O2189" s="67" t="n">
        <f aca="false">IF($H2189="",0,ROUND(IF($N2189="成本金额",N(购销流水!$W551),IF($N2189="金额",N(购销流水!$Q551),0)),2))</f>
        <v>0</v>
      </c>
      <c r="P2189" s="64" t="str">
        <f aca="false">IF(AND($H2189&lt;&gt;"",ROUND($O2189,2)&lt;&gt;0),"有","")</f>
        <v/>
      </c>
    </row>
    <row r="2190" customFormat="false" ht="15" hidden="true" customHeight="false" outlineLevel="0" collapsed="false">
      <c r="A2190" s="53" t="str">
        <f aca="false">IF($H2190="","",ROW()-5)</f>
        <v/>
      </c>
      <c r="B2190" s="64" t="s">
        <v>36</v>
      </c>
      <c r="C2190" s="53" t="n">
        <v>552</v>
      </c>
      <c r="D2190" s="53" t="n">
        <v>1</v>
      </c>
      <c r="E2190" s="65" t="str">
        <f aca="false">IF($H2190="","",购销流水!$B552)</f>
        <v/>
      </c>
      <c r="F2190" s="55" t="str">
        <f aca="false">IF($H2190="","",购销流水!$C552)</f>
        <v/>
      </c>
      <c r="G2190" s="48" t="str">
        <f aca="false">IF($H2190="","",购销流水!$N552)</f>
        <v/>
      </c>
      <c r="H2190" s="10" t="str">
        <f aca="false">IF($L2190="","",IF($L2190="@成本",购销流水!$U552,IF($L2190="@收入",购销流水!$T552,IF($L2190="@存货",购销流水!$S552,IF($L2190="@结算",购销流水!$R552,$L2190)))))</f>
        <v/>
      </c>
      <c r="I2190" s="42" t="n">
        <f aca="false">IF($M2190="借",$O2190,0)</f>
        <v>0</v>
      </c>
      <c r="J2190" s="42" t="n">
        <f aca="false">IF($M2190="贷",$O2190,0)</f>
        <v>0</v>
      </c>
      <c r="K2190" s="48" t="str">
        <f aca="false">IF($H2190="","",购销流水!$E552)</f>
        <v/>
      </c>
      <c r="L2190" s="66" t="str">
        <f aca="false">IF(购销流水!$D552="","",IFERROR(INDEX(记账规则!$A$6:$N$9,MATCH(购销流水!$D552,记账规则!$A$6:$A$9,0),3),""))</f>
        <v/>
      </c>
      <c r="M2190" s="66" t="str">
        <f aca="false">IF($L2190="","",IFERROR(INDEX(记账规则!$A$6:$N$9,MATCH(购销流水!$D552,记账规则!$A$6:$A$9,0),4),""))</f>
        <v/>
      </c>
      <c r="N2190" s="66" t="str">
        <f aca="false">IF($L2190="","",IFERROR(INDEX(记账规则!$A$6:$N$9,MATCH(购销流水!$D552,记账规则!$A$6:$A$9,0),5),""))</f>
        <v/>
      </c>
      <c r="O2190" s="67" t="n">
        <f aca="false">IF($H2190="",0,ROUND(IF($N2190="成本金额",N(购销流水!$W552),IF($N2190="金额",N(购销流水!$Q552),0)),2))</f>
        <v>0</v>
      </c>
      <c r="P2190" s="64" t="str">
        <f aca="false">IF(AND($H2190&lt;&gt;"",ROUND($O2190,2)&lt;&gt;0),"有","")</f>
        <v/>
      </c>
    </row>
    <row r="2191" customFormat="false" ht="15" hidden="true" customHeight="false" outlineLevel="0" collapsed="false">
      <c r="A2191" s="53" t="str">
        <f aca="false">IF($H2191="","",ROW()-5)</f>
        <v/>
      </c>
      <c r="B2191" s="64" t="s">
        <v>36</v>
      </c>
      <c r="C2191" s="53" t="n">
        <v>552</v>
      </c>
      <c r="D2191" s="53" t="n">
        <v>2</v>
      </c>
      <c r="E2191" s="65" t="str">
        <f aca="false">IF($H2191="","",购销流水!$B552)</f>
        <v/>
      </c>
      <c r="F2191" s="55" t="str">
        <f aca="false">IF($H2191="","",购销流水!$C552)</f>
        <v/>
      </c>
      <c r="G2191" s="48" t="str">
        <f aca="false">IF($H2191="","",购销流水!$N552)</f>
        <v/>
      </c>
      <c r="H2191" s="10" t="str">
        <f aca="false">IF($L2191="","",IF($L2191="@成本",购销流水!$U552,IF($L2191="@收入",购销流水!$T552,IF($L2191="@存货",购销流水!$S552,IF($L2191="@结算",购销流水!$R552,$L2191)))))</f>
        <v/>
      </c>
      <c r="I2191" s="42" t="n">
        <f aca="false">IF($M2191="借",$O2191,0)</f>
        <v>0</v>
      </c>
      <c r="J2191" s="42" t="n">
        <f aca="false">IF($M2191="贷",$O2191,0)</f>
        <v>0</v>
      </c>
      <c r="K2191" s="48" t="str">
        <f aca="false">IF($H2191="","",购销流水!$E552)</f>
        <v/>
      </c>
      <c r="L2191" s="66" t="str">
        <f aca="false">IF(购销流水!$D552="","",IFERROR(INDEX(记账规则!$A$6:$N$9,MATCH(购销流水!$D552,记账规则!$A$6:$A$9,0),6),""))</f>
        <v/>
      </c>
      <c r="M2191" s="66" t="str">
        <f aca="false">IF($L2191="","",IFERROR(INDEX(记账规则!$A$6:$N$9,MATCH(购销流水!$D552,记账规则!$A$6:$A$9,0),7),""))</f>
        <v/>
      </c>
      <c r="N2191" s="66" t="str">
        <f aca="false">IF($L2191="","",IFERROR(INDEX(记账规则!$A$6:$N$9,MATCH(购销流水!$D552,记账规则!$A$6:$A$9,0),8),""))</f>
        <v/>
      </c>
      <c r="O2191" s="67" t="n">
        <f aca="false">IF($H2191="",0,ROUND(IF($N2191="成本金额",N(购销流水!$W552),IF($N2191="金额",N(购销流水!$Q552),0)),2))</f>
        <v>0</v>
      </c>
      <c r="P2191" s="64" t="str">
        <f aca="false">IF(AND($H2191&lt;&gt;"",ROUND($O2191,2)&lt;&gt;0),"有","")</f>
        <v/>
      </c>
    </row>
    <row r="2192" customFormat="false" ht="15" hidden="true" customHeight="false" outlineLevel="0" collapsed="false">
      <c r="A2192" s="53" t="str">
        <f aca="false">IF($H2192="","",ROW()-5)</f>
        <v/>
      </c>
      <c r="B2192" s="64" t="s">
        <v>36</v>
      </c>
      <c r="C2192" s="53" t="n">
        <v>552</v>
      </c>
      <c r="D2192" s="53" t="n">
        <v>3</v>
      </c>
      <c r="E2192" s="65" t="str">
        <f aca="false">IF($H2192="","",购销流水!$B552)</f>
        <v/>
      </c>
      <c r="F2192" s="55" t="str">
        <f aca="false">IF($H2192="","",购销流水!$C552)</f>
        <v/>
      </c>
      <c r="G2192" s="48" t="str">
        <f aca="false">IF($H2192="","",购销流水!$N552)</f>
        <v/>
      </c>
      <c r="H2192" s="10" t="str">
        <f aca="false">IF($L2192="","",IF($L2192="@成本",购销流水!$U552,IF($L2192="@收入",购销流水!$T552,IF($L2192="@存货",购销流水!$S552,IF($L2192="@结算",购销流水!$R552,$L2192)))))</f>
        <v/>
      </c>
      <c r="I2192" s="42" t="n">
        <f aca="false">IF($M2192="借",$O2192,0)</f>
        <v>0</v>
      </c>
      <c r="J2192" s="42" t="n">
        <f aca="false">IF($M2192="贷",$O2192,0)</f>
        <v>0</v>
      </c>
      <c r="K2192" s="48" t="str">
        <f aca="false">IF($H2192="","",购销流水!$E552)</f>
        <v/>
      </c>
      <c r="L2192" s="66" t="str">
        <f aca="false">IF(购销流水!$D552="","",IFERROR(INDEX(记账规则!$A$6:$N$9,MATCH(购销流水!$D552,记账规则!$A$6:$A$9,0),9),""))</f>
        <v/>
      </c>
      <c r="M2192" s="66" t="str">
        <f aca="false">IF($L2192="","",IFERROR(INDEX(记账规则!$A$6:$N$9,MATCH(购销流水!$D552,记账规则!$A$6:$A$9,0),10),""))</f>
        <v/>
      </c>
      <c r="N2192" s="66" t="str">
        <f aca="false">IF($L2192="","",IFERROR(INDEX(记账规则!$A$6:$N$9,MATCH(购销流水!$D552,记账规则!$A$6:$A$9,0),11),""))</f>
        <v/>
      </c>
      <c r="O2192" s="67" t="n">
        <f aca="false">IF($H2192="",0,ROUND(IF($N2192="成本金额",N(购销流水!$W552),IF($N2192="金额",N(购销流水!$Q552),0)),2))</f>
        <v>0</v>
      </c>
      <c r="P2192" s="64" t="str">
        <f aca="false">IF(AND($H2192&lt;&gt;"",ROUND($O2192,2)&lt;&gt;0),"有","")</f>
        <v/>
      </c>
    </row>
    <row r="2193" customFormat="false" ht="15" hidden="true" customHeight="false" outlineLevel="0" collapsed="false">
      <c r="A2193" s="53" t="str">
        <f aca="false">IF($H2193="","",ROW()-5)</f>
        <v/>
      </c>
      <c r="B2193" s="64" t="s">
        <v>36</v>
      </c>
      <c r="C2193" s="53" t="n">
        <v>552</v>
      </c>
      <c r="D2193" s="53" t="n">
        <v>4</v>
      </c>
      <c r="E2193" s="65" t="str">
        <f aca="false">IF($H2193="","",购销流水!$B552)</f>
        <v/>
      </c>
      <c r="F2193" s="55" t="str">
        <f aca="false">IF($H2193="","",购销流水!$C552)</f>
        <v/>
      </c>
      <c r="G2193" s="48" t="str">
        <f aca="false">IF($H2193="","",购销流水!$N552)</f>
        <v/>
      </c>
      <c r="H2193" s="10" t="str">
        <f aca="false">IF($L2193="","",IF($L2193="@成本",购销流水!$U552,IF($L2193="@收入",购销流水!$T552,IF($L2193="@存货",购销流水!$S552,IF($L2193="@结算",购销流水!$R552,$L2193)))))</f>
        <v/>
      </c>
      <c r="I2193" s="42" t="n">
        <f aca="false">IF($M2193="借",$O2193,0)</f>
        <v>0</v>
      </c>
      <c r="J2193" s="42" t="n">
        <f aca="false">IF($M2193="贷",$O2193,0)</f>
        <v>0</v>
      </c>
      <c r="K2193" s="48" t="str">
        <f aca="false">IF($H2193="","",购销流水!$E552)</f>
        <v/>
      </c>
      <c r="L2193" s="66" t="str">
        <f aca="false">IF(购销流水!$D552="","",IFERROR(INDEX(记账规则!$A$6:$N$9,MATCH(购销流水!$D552,记账规则!$A$6:$A$9,0),12),""))</f>
        <v/>
      </c>
      <c r="M2193" s="66" t="str">
        <f aca="false">IF($L2193="","",IFERROR(INDEX(记账规则!$A$6:$N$9,MATCH(购销流水!$D552,记账规则!$A$6:$A$9,0),13),""))</f>
        <v/>
      </c>
      <c r="N2193" s="66" t="str">
        <f aca="false">IF($L2193="","",IFERROR(INDEX(记账规则!$A$6:$N$9,MATCH(购销流水!$D552,记账规则!$A$6:$A$9,0),14),""))</f>
        <v/>
      </c>
      <c r="O2193" s="67" t="n">
        <f aca="false">IF($H2193="",0,ROUND(IF($N2193="成本金额",N(购销流水!$W552),IF($N2193="金额",N(购销流水!$Q552),0)),2))</f>
        <v>0</v>
      </c>
      <c r="P2193" s="64" t="str">
        <f aca="false">IF(AND($H2193&lt;&gt;"",ROUND($O2193,2)&lt;&gt;0),"有","")</f>
        <v/>
      </c>
    </row>
    <row r="2194" customFormat="false" ht="15" hidden="true" customHeight="false" outlineLevel="0" collapsed="false">
      <c r="A2194" s="53" t="str">
        <f aca="false">IF($H2194="","",ROW()-5)</f>
        <v/>
      </c>
      <c r="B2194" s="64" t="s">
        <v>36</v>
      </c>
      <c r="C2194" s="53" t="n">
        <v>553</v>
      </c>
      <c r="D2194" s="53" t="n">
        <v>1</v>
      </c>
      <c r="E2194" s="65" t="str">
        <f aca="false">IF($H2194="","",购销流水!$B553)</f>
        <v/>
      </c>
      <c r="F2194" s="55" t="str">
        <f aca="false">IF($H2194="","",购销流水!$C553)</f>
        <v/>
      </c>
      <c r="G2194" s="48" t="str">
        <f aca="false">IF($H2194="","",购销流水!$N553)</f>
        <v/>
      </c>
      <c r="H2194" s="10" t="str">
        <f aca="false">IF($L2194="","",IF($L2194="@成本",购销流水!$U553,IF($L2194="@收入",购销流水!$T553,IF($L2194="@存货",购销流水!$S553,IF($L2194="@结算",购销流水!$R553,$L2194)))))</f>
        <v/>
      </c>
      <c r="I2194" s="42" t="n">
        <f aca="false">IF($M2194="借",$O2194,0)</f>
        <v>0</v>
      </c>
      <c r="J2194" s="42" t="n">
        <f aca="false">IF($M2194="贷",$O2194,0)</f>
        <v>0</v>
      </c>
      <c r="K2194" s="48" t="str">
        <f aca="false">IF($H2194="","",购销流水!$E553)</f>
        <v/>
      </c>
      <c r="L2194" s="66" t="str">
        <f aca="false">IF(购销流水!$D553="","",IFERROR(INDEX(记账规则!$A$6:$N$9,MATCH(购销流水!$D553,记账规则!$A$6:$A$9,0),3),""))</f>
        <v/>
      </c>
      <c r="M2194" s="66" t="str">
        <f aca="false">IF($L2194="","",IFERROR(INDEX(记账规则!$A$6:$N$9,MATCH(购销流水!$D553,记账规则!$A$6:$A$9,0),4),""))</f>
        <v/>
      </c>
      <c r="N2194" s="66" t="str">
        <f aca="false">IF($L2194="","",IFERROR(INDEX(记账规则!$A$6:$N$9,MATCH(购销流水!$D553,记账规则!$A$6:$A$9,0),5),""))</f>
        <v/>
      </c>
      <c r="O2194" s="67" t="n">
        <f aca="false">IF($H2194="",0,ROUND(IF($N2194="成本金额",N(购销流水!$W553),IF($N2194="金额",N(购销流水!$Q553),0)),2))</f>
        <v>0</v>
      </c>
      <c r="P2194" s="64" t="str">
        <f aca="false">IF(AND($H2194&lt;&gt;"",ROUND($O2194,2)&lt;&gt;0),"有","")</f>
        <v/>
      </c>
    </row>
    <row r="2195" customFormat="false" ht="15" hidden="true" customHeight="false" outlineLevel="0" collapsed="false">
      <c r="A2195" s="53" t="str">
        <f aca="false">IF($H2195="","",ROW()-5)</f>
        <v/>
      </c>
      <c r="B2195" s="64" t="s">
        <v>36</v>
      </c>
      <c r="C2195" s="53" t="n">
        <v>553</v>
      </c>
      <c r="D2195" s="53" t="n">
        <v>2</v>
      </c>
      <c r="E2195" s="65" t="str">
        <f aca="false">IF($H2195="","",购销流水!$B553)</f>
        <v/>
      </c>
      <c r="F2195" s="55" t="str">
        <f aca="false">IF($H2195="","",购销流水!$C553)</f>
        <v/>
      </c>
      <c r="G2195" s="48" t="str">
        <f aca="false">IF($H2195="","",购销流水!$N553)</f>
        <v/>
      </c>
      <c r="H2195" s="10" t="str">
        <f aca="false">IF($L2195="","",IF($L2195="@成本",购销流水!$U553,IF($L2195="@收入",购销流水!$T553,IF($L2195="@存货",购销流水!$S553,IF($L2195="@结算",购销流水!$R553,$L2195)))))</f>
        <v/>
      </c>
      <c r="I2195" s="42" t="n">
        <f aca="false">IF($M2195="借",$O2195,0)</f>
        <v>0</v>
      </c>
      <c r="J2195" s="42" t="n">
        <f aca="false">IF($M2195="贷",$O2195,0)</f>
        <v>0</v>
      </c>
      <c r="K2195" s="48" t="str">
        <f aca="false">IF($H2195="","",购销流水!$E553)</f>
        <v/>
      </c>
      <c r="L2195" s="66" t="str">
        <f aca="false">IF(购销流水!$D553="","",IFERROR(INDEX(记账规则!$A$6:$N$9,MATCH(购销流水!$D553,记账规则!$A$6:$A$9,0),6),""))</f>
        <v/>
      </c>
      <c r="M2195" s="66" t="str">
        <f aca="false">IF($L2195="","",IFERROR(INDEX(记账规则!$A$6:$N$9,MATCH(购销流水!$D553,记账规则!$A$6:$A$9,0),7),""))</f>
        <v/>
      </c>
      <c r="N2195" s="66" t="str">
        <f aca="false">IF($L2195="","",IFERROR(INDEX(记账规则!$A$6:$N$9,MATCH(购销流水!$D553,记账规则!$A$6:$A$9,0),8),""))</f>
        <v/>
      </c>
      <c r="O2195" s="67" t="n">
        <f aca="false">IF($H2195="",0,ROUND(IF($N2195="成本金额",N(购销流水!$W553),IF($N2195="金额",N(购销流水!$Q553),0)),2))</f>
        <v>0</v>
      </c>
      <c r="P2195" s="64" t="str">
        <f aca="false">IF(AND($H2195&lt;&gt;"",ROUND($O2195,2)&lt;&gt;0),"有","")</f>
        <v/>
      </c>
    </row>
    <row r="2196" customFormat="false" ht="15" hidden="true" customHeight="false" outlineLevel="0" collapsed="false">
      <c r="A2196" s="53" t="str">
        <f aca="false">IF($H2196="","",ROW()-5)</f>
        <v/>
      </c>
      <c r="B2196" s="64" t="s">
        <v>36</v>
      </c>
      <c r="C2196" s="53" t="n">
        <v>553</v>
      </c>
      <c r="D2196" s="53" t="n">
        <v>3</v>
      </c>
      <c r="E2196" s="65" t="str">
        <f aca="false">IF($H2196="","",购销流水!$B553)</f>
        <v/>
      </c>
      <c r="F2196" s="55" t="str">
        <f aca="false">IF($H2196="","",购销流水!$C553)</f>
        <v/>
      </c>
      <c r="G2196" s="48" t="str">
        <f aca="false">IF($H2196="","",购销流水!$N553)</f>
        <v/>
      </c>
      <c r="H2196" s="10" t="str">
        <f aca="false">IF($L2196="","",IF($L2196="@成本",购销流水!$U553,IF($L2196="@收入",购销流水!$T553,IF($L2196="@存货",购销流水!$S553,IF($L2196="@结算",购销流水!$R553,$L2196)))))</f>
        <v/>
      </c>
      <c r="I2196" s="42" t="n">
        <f aca="false">IF($M2196="借",$O2196,0)</f>
        <v>0</v>
      </c>
      <c r="J2196" s="42" t="n">
        <f aca="false">IF($M2196="贷",$O2196,0)</f>
        <v>0</v>
      </c>
      <c r="K2196" s="48" t="str">
        <f aca="false">IF($H2196="","",购销流水!$E553)</f>
        <v/>
      </c>
      <c r="L2196" s="66" t="str">
        <f aca="false">IF(购销流水!$D553="","",IFERROR(INDEX(记账规则!$A$6:$N$9,MATCH(购销流水!$D553,记账规则!$A$6:$A$9,0),9),""))</f>
        <v/>
      </c>
      <c r="M2196" s="66" t="str">
        <f aca="false">IF($L2196="","",IFERROR(INDEX(记账规则!$A$6:$N$9,MATCH(购销流水!$D553,记账规则!$A$6:$A$9,0),10),""))</f>
        <v/>
      </c>
      <c r="N2196" s="66" t="str">
        <f aca="false">IF($L2196="","",IFERROR(INDEX(记账规则!$A$6:$N$9,MATCH(购销流水!$D553,记账规则!$A$6:$A$9,0),11),""))</f>
        <v/>
      </c>
      <c r="O2196" s="67" t="n">
        <f aca="false">IF($H2196="",0,ROUND(IF($N2196="成本金额",N(购销流水!$W553),IF($N2196="金额",N(购销流水!$Q553),0)),2))</f>
        <v>0</v>
      </c>
      <c r="P2196" s="64" t="str">
        <f aca="false">IF(AND($H2196&lt;&gt;"",ROUND($O2196,2)&lt;&gt;0),"有","")</f>
        <v/>
      </c>
    </row>
    <row r="2197" customFormat="false" ht="15" hidden="true" customHeight="false" outlineLevel="0" collapsed="false">
      <c r="A2197" s="53" t="str">
        <f aca="false">IF($H2197="","",ROW()-5)</f>
        <v/>
      </c>
      <c r="B2197" s="64" t="s">
        <v>36</v>
      </c>
      <c r="C2197" s="53" t="n">
        <v>553</v>
      </c>
      <c r="D2197" s="53" t="n">
        <v>4</v>
      </c>
      <c r="E2197" s="65" t="str">
        <f aca="false">IF($H2197="","",购销流水!$B553)</f>
        <v/>
      </c>
      <c r="F2197" s="55" t="str">
        <f aca="false">IF($H2197="","",购销流水!$C553)</f>
        <v/>
      </c>
      <c r="G2197" s="48" t="str">
        <f aca="false">IF($H2197="","",购销流水!$N553)</f>
        <v/>
      </c>
      <c r="H2197" s="10" t="str">
        <f aca="false">IF($L2197="","",IF($L2197="@成本",购销流水!$U553,IF($L2197="@收入",购销流水!$T553,IF($L2197="@存货",购销流水!$S553,IF($L2197="@结算",购销流水!$R553,$L2197)))))</f>
        <v/>
      </c>
      <c r="I2197" s="42" t="n">
        <f aca="false">IF($M2197="借",$O2197,0)</f>
        <v>0</v>
      </c>
      <c r="J2197" s="42" t="n">
        <f aca="false">IF($M2197="贷",$O2197,0)</f>
        <v>0</v>
      </c>
      <c r="K2197" s="48" t="str">
        <f aca="false">IF($H2197="","",购销流水!$E553)</f>
        <v/>
      </c>
      <c r="L2197" s="66" t="str">
        <f aca="false">IF(购销流水!$D553="","",IFERROR(INDEX(记账规则!$A$6:$N$9,MATCH(购销流水!$D553,记账规则!$A$6:$A$9,0),12),""))</f>
        <v/>
      </c>
      <c r="M2197" s="66" t="str">
        <f aca="false">IF($L2197="","",IFERROR(INDEX(记账规则!$A$6:$N$9,MATCH(购销流水!$D553,记账规则!$A$6:$A$9,0),13),""))</f>
        <v/>
      </c>
      <c r="N2197" s="66" t="str">
        <f aca="false">IF($L2197="","",IFERROR(INDEX(记账规则!$A$6:$N$9,MATCH(购销流水!$D553,记账规则!$A$6:$A$9,0),14),""))</f>
        <v/>
      </c>
      <c r="O2197" s="67" t="n">
        <f aca="false">IF($H2197="",0,ROUND(IF($N2197="成本金额",N(购销流水!$W553),IF($N2197="金额",N(购销流水!$Q553),0)),2))</f>
        <v>0</v>
      </c>
      <c r="P2197" s="64" t="str">
        <f aca="false">IF(AND($H2197&lt;&gt;"",ROUND($O2197,2)&lt;&gt;0),"有","")</f>
        <v/>
      </c>
    </row>
    <row r="2198" customFormat="false" ht="15" hidden="true" customHeight="false" outlineLevel="0" collapsed="false">
      <c r="A2198" s="53" t="str">
        <f aca="false">IF($H2198="","",ROW()-5)</f>
        <v/>
      </c>
      <c r="B2198" s="64" t="s">
        <v>36</v>
      </c>
      <c r="C2198" s="53" t="n">
        <v>554</v>
      </c>
      <c r="D2198" s="53" t="n">
        <v>1</v>
      </c>
      <c r="E2198" s="65" t="str">
        <f aca="false">IF($H2198="","",购销流水!$B554)</f>
        <v/>
      </c>
      <c r="F2198" s="55" t="str">
        <f aca="false">IF($H2198="","",购销流水!$C554)</f>
        <v/>
      </c>
      <c r="G2198" s="48" t="str">
        <f aca="false">IF($H2198="","",购销流水!$N554)</f>
        <v/>
      </c>
      <c r="H2198" s="10" t="str">
        <f aca="false">IF($L2198="","",IF($L2198="@成本",购销流水!$U554,IF($L2198="@收入",购销流水!$T554,IF($L2198="@存货",购销流水!$S554,IF($L2198="@结算",购销流水!$R554,$L2198)))))</f>
        <v/>
      </c>
      <c r="I2198" s="42" t="n">
        <f aca="false">IF($M2198="借",$O2198,0)</f>
        <v>0</v>
      </c>
      <c r="J2198" s="42" t="n">
        <f aca="false">IF($M2198="贷",$O2198,0)</f>
        <v>0</v>
      </c>
      <c r="K2198" s="48" t="str">
        <f aca="false">IF($H2198="","",购销流水!$E554)</f>
        <v/>
      </c>
      <c r="L2198" s="66" t="str">
        <f aca="false">IF(购销流水!$D554="","",IFERROR(INDEX(记账规则!$A$6:$N$9,MATCH(购销流水!$D554,记账规则!$A$6:$A$9,0),3),""))</f>
        <v/>
      </c>
      <c r="M2198" s="66" t="str">
        <f aca="false">IF($L2198="","",IFERROR(INDEX(记账规则!$A$6:$N$9,MATCH(购销流水!$D554,记账规则!$A$6:$A$9,0),4),""))</f>
        <v/>
      </c>
      <c r="N2198" s="66" t="str">
        <f aca="false">IF($L2198="","",IFERROR(INDEX(记账规则!$A$6:$N$9,MATCH(购销流水!$D554,记账规则!$A$6:$A$9,0),5),""))</f>
        <v/>
      </c>
      <c r="O2198" s="67" t="n">
        <f aca="false">IF($H2198="",0,ROUND(IF($N2198="成本金额",N(购销流水!$W554),IF($N2198="金额",N(购销流水!$Q554),0)),2))</f>
        <v>0</v>
      </c>
      <c r="P2198" s="64" t="str">
        <f aca="false">IF(AND($H2198&lt;&gt;"",ROUND($O2198,2)&lt;&gt;0),"有","")</f>
        <v/>
      </c>
    </row>
    <row r="2199" customFormat="false" ht="15" hidden="true" customHeight="false" outlineLevel="0" collapsed="false">
      <c r="A2199" s="53" t="str">
        <f aca="false">IF($H2199="","",ROW()-5)</f>
        <v/>
      </c>
      <c r="B2199" s="64" t="s">
        <v>36</v>
      </c>
      <c r="C2199" s="53" t="n">
        <v>554</v>
      </c>
      <c r="D2199" s="53" t="n">
        <v>2</v>
      </c>
      <c r="E2199" s="65" t="str">
        <f aca="false">IF($H2199="","",购销流水!$B554)</f>
        <v/>
      </c>
      <c r="F2199" s="55" t="str">
        <f aca="false">IF($H2199="","",购销流水!$C554)</f>
        <v/>
      </c>
      <c r="G2199" s="48" t="str">
        <f aca="false">IF($H2199="","",购销流水!$N554)</f>
        <v/>
      </c>
      <c r="H2199" s="10" t="str">
        <f aca="false">IF($L2199="","",IF($L2199="@成本",购销流水!$U554,IF($L2199="@收入",购销流水!$T554,IF($L2199="@存货",购销流水!$S554,IF($L2199="@结算",购销流水!$R554,$L2199)))))</f>
        <v/>
      </c>
      <c r="I2199" s="42" t="n">
        <f aca="false">IF($M2199="借",$O2199,0)</f>
        <v>0</v>
      </c>
      <c r="J2199" s="42" t="n">
        <f aca="false">IF($M2199="贷",$O2199,0)</f>
        <v>0</v>
      </c>
      <c r="K2199" s="48" t="str">
        <f aca="false">IF($H2199="","",购销流水!$E554)</f>
        <v/>
      </c>
      <c r="L2199" s="66" t="str">
        <f aca="false">IF(购销流水!$D554="","",IFERROR(INDEX(记账规则!$A$6:$N$9,MATCH(购销流水!$D554,记账规则!$A$6:$A$9,0),6),""))</f>
        <v/>
      </c>
      <c r="M2199" s="66" t="str">
        <f aca="false">IF($L2199="","",IFERROR(INDEX(记账规则!$A$6:$N$9,MATCH(购销流水!$D554,记账规则!$A$6:$A$9,0),7),""))</f>
        <v/>
      </c>
      <c r="N2199" s="66" t="str">
        <f aca="false">IF($L2199="","",IFERROR(INDEX(记账规则!$A$6:$N$9,MATCH(购销流水!$D554,记账规则!$A$6:$A$9,0),8),""))</f>
        <v/>
      </c>
      <c r="O2199" s="67" t="n">
        <f aca="false">IF($H2199="",0,ROUND(IF($N2199="成本金额",N(购销流水!$W554),IF($N2199="金额",N(购销流水!$Q554),0)),2))</f>
        <v>0</v>
      </c>
      <c r="P2199" s="64" t="str">
        <f aca="false">IF(AND($H2199&lt;&gt;"",ROUND($O2199,2)&lt;&gt;0),"有","")</f>
        <v/>
      </c>
    </row>
    <row r="2200" customFormat="false" ht="15" hidden="true" customHeight="false" outlineLevel="0" collapsed="false">
      <c r="A2200" s="53" t="str">
        <f aca="false">IF($H2200="","",ROW()-5)</f>
        <v/>
      </c>
      <c r="B2200" s="64" t="s">
        <v>36</v>
      </c>
      <c r="C2200" s="53" t="n">
        <v>554</v>
      </c>
      <c r="D2200" s="53" t="n">
        <v>3</v>
      </c>
      <c r="E2200" s="65" t="str">
        <f aca="false">IF($H2200="","",购销流水!$B554)</f>
        <v/>
      </c>
      <c r="F2200" s="55" t="str">
        <f aca="false">IF($H2200="","",购销流水!$C554)</f>
        <v/>
      </c>
      <c r="G2200" s="48" t="str">
        <f aca="false">IF($H2200="","",购销流水!$N554)</f>
        <v/>
      </c>
      <c r="H2200" s="10" t="str">
        <f aca="false">IF($L2200="","",IF($L2200="@成本",购销流水!$U554,IF($L2200="@收入",购销流水!$T554,IF($L2200="@存货",购销流水!$S554,IF($L2200="@结算",购销流水!$R554,$L2200)))))</f>
        <v/>
      </c>
      <c r="I2200" s="42" t="n">
        <f aca="false">IF($M2200="借",$O2200,0)</f>
        <v>0</v>
      </c>
      <c r="J2200" s="42" t="n">
        <f aca="false">IF($M2200="贷",$O2200,0)</f>
        <v>0</v>
      </c>
      <c r="K2200" s="48" t="str">
        <f aca="false">IF($H2200="","",购销流水!$E554)</f>
        <v/>
      </c>
      <c r="L2200" s="66" t="str">
        <f aca="false">IF(购销流水!$D554="","",IFERROR(INDEX(记账规则!$A$6:$N$9,MATCH(购销流水!$D554,记账规则!$A$6:$A$9,0),9),""))</f>
        <v/>
      </c>
      <c r="M2200" s="66" t="str">
        <f aca="false">IF($L2200="","",IFERROR(INDEX(记账规则!$A$6:$N$9,MATCH(购销流水!$D554,记账规则!$A$6:$A$9,0),10),""))</f>
        <v/>
      </c>
      <c r="N2200" s="66" t="str">
        <f aca="false">IF($L2200="","",IFERROR(INDEX(记账规则!$A$6:$N$9,MATCH(购销流水!$D554,记账规则!$A$6:$A$9,0),11),""))</f>
        <v/>
      </c>
      <c r="O2200" s="67" t="n">
        <f aca="false">IF($H2200="",0,ROUND(IF($N2200="成本金额",N(购销流水!$W554),IF($N2200="金额",N(购销流水!$Q554),0)),2))</f>
        <v>0</v>
      </c>
      <c r="P2200" s="64" t="str">
        <f aca="false">IF(AND($H2200&lt;&gt;"",ROUND($O2200,2)&lt;&gt;0),"有","")</f>
        <v/>
      </c>
    </row>
    <row r="2201" customFormat="false" ht="15" hidden="true" customHeight="false" outlineLevel="0" collapsed="false">
      <c r="A2201" s="53" t="str">
        <f aca="false">IF($H2201="","",ROW()-5)</f>
        <v/>
      </c>
      <c r="B2201" s="64" t="s">
        <v>36</v>
      </c>
      <c r="C2201" s="53" t="n">
        <v>554</v>
      </c>
      <c r="D2201" s="53" t="n">
        <v>4</v>
      </c>
      <c r="E2201" s="65" t="str">
        <f aca="false">IF($H2201="","",购销流水!$B554)</f>
        <v/>
      </c>
      <c r="F2201" s="55" t="str">
        <f aca="false">IF($H2201="","",购销流水!$C554)</f>
        <v/>
      </c>
      <c r="G2201" s="48" t="str">
        <f aca="false">IF($H2201="","",购销流水!$N554)</f>
        <v/>
      </c>
      <c r="H2201" s="10" t="str">
        <f aca="false">IF($L2201="","",IF($L2201="@成本",购销流水!$U554,IF($L2201="@收入",购销流水!$T554,IF($L2201="@存货",购销流水!$S554,IF($L2201="@结算",购销流水!$R554,$L2201)))))</f>
        <v/>
      </c>
      <c r="I2201" s="42" t="n">
        <f aca="false">IF($M2201="借",$O2201,0)</f>
        <v>0</v>
      </c>
      <c r="J2201" s="42" t="n">
        <f aca="false">IF($M2201="贷",$O2201,0)</f>
        <v>0</v>
      </c>
      <c r="K2201" s="48" t="str">
        <f aca="false">IF($H2201="","",购销流水!$E554)</f>
        <v/>
      </c>
      <c r="L2201" s="66" t="str">
        <f aca="false">IF(购销流水!$D554="","",IFERROR(INDEX(记账规则!$A$6:$N$9,MATCH(购销流水!$D554,记账规则!$A$6:$A$9,0),12),""))</f>
        <v/>
      </c>
      <c r="M2201" s="66" t="str">
        <f aca="false">IF($L2201="","",IFERROR(INDEX(记账规则!$A$6:$N$9,MATCH(购销流水!$D554,记账规则!$A$6:$A$9,0),13),""))</f>
        <v/>
      </c>
      <c r="N2201" s="66" t="str">
        <f aca="false">IF($L2201="","",IFERROR(INDEX(记账规则!$A$6:$N$9,MATCH(购销流水!$D554,记账规则!$A$6:$A$9,0),14),""))</f>
        <v/>
      </c>
      <c r="O2201" s="67" t="n">
        <f aca="false">IF($H2201="",0,ROUND(IF($N2201="成本金额",N(购销流水!$W554),IF($N2201="金额",N(购销流水!$Q554),0)),2))</f>
        <v>0</v>
      </c>
      <c r="P2201" s="64" t="str">
        <f aca="false">IF(AND($H2201&lt;&gt;"",ROUND($O2201,2)&lt;&gt;0),"有","")</f>
        <v/>
      </c>
    </row>
    <row r="2202" customFormat="false" ht="15" hidden="true" customHeight="false" outlineLevel="0" collapsed="false">
      <c r="A2202" s="53" t="str">
        <f aca="false">IF($H2202="","",ROW()-5)</f>
        <v/>
      </c>
      <c r="B2202" s="64" t="s">
        <v>36</v>
      </c>
      <c r="C2202" s="53" t="n">
        <v>555</v>
      </c>
      <c r="D2202" s="53" t="n">
        <v>1</v>
      </c>
      <c r="E2202" s="65" t="str">
        <f aca="false">IF($H2202="","",购销流水!$B555)</f>
        <v/>
      </c>
      <c r="F2202" s="55" t="str">
        <f aca="false">IF($H2202="","",购销流水!$C555)</f>
        <v/>
      </c>
      <c r="G2202" s="48" t="str">
        <f aca="false">IF($H2202="","",购销流水!$N555)</f>
        <v/>
      </c>
      <c r="H2202" s="10" t="str">
        <f aca="false">IF($L2202="","",IF($L2202="@成本",购销流水!$U555,IF($L2202="@收入",购销流水!$T555,IF($L2202="@存货",购销流水!$S555,IF($L2202="@结算",购销流水!$R555,$L2202)))))</f>
        <v/>
      </c>
      <c r="I2202" s="42" t="n">
        <f aca="false">IF($M2202="借",$O2202,0)</f>
        <v>0</v>
      </c>
      <c r="J2202" s="42" t="n">
        <f aca="false">IF($M2202="贷",$O2202,0)</f>
        <v>0</v>
      </c>
      <c r="K2202" s="48" t="str">
        <f aca="false">IF($H2202="","",购销流水!$E555)</f>
        <v/>
      </c>
      <c r="L2202" s="66" t="str">
        <f aca="false">IF(购销流水!$D555="","",IFERROR(INDEX(记账规则!$A$6:$N$9,MATCH(购销流水!$D555,记账规则!$A$6:$A$9,0),3),""))</f>
        <v/>
      </c>
      <c r="M2202" s="66" t="str">
        <f aca="false">IF($L2202="","",IFERROR(INDEX(记账规则!$A$6:$N$9,MATCH(购销流水!$D555,记账规则!$A$6:$A$9,0),4),""))</f>
        <v/>
      </c>
      <c r="N2202" s="66" t="str">
        <f aca="false">IF($L2202="","",IFERROR(INDEX(记账规则!$A$6:$N$9,MATCH(购销流水!$D555,记账规则!$A$6:$A$9,0),5),""))</f>
        <v/>
      </c>
      <c r="O2202" s="67" t="n">
        <f aca="false">IF($H2202="",0,ROUND(IF($N2202="成本金额",N(购销流水!$W555),IF($N2202="金额",N(购销流水!$Q555),0)),2))</f>
        <v>0</v>
      </c>
      <c r="P2202" s="64" t="str">
        <f aca="false">IF(AND($H2202&lt;&gt;"",ROUND($O2202,2)&lt;&gt;0),"有","")</f>
        <v/>
      </c>
    </row>
    <row r="2203" customFormat="false" ht="15" hidden="true" customHeight="false" outlineLevel="0" collapsed="false">
      <c r="A2203" s="53" t="str">
        <f aca="false">IF($H2203="","",ROW()-5)</f>
        <v/>
      </c>
      <c r="B2203" s="64" t="s">
        <v>36</v>
      </c>
      <c r="C2203" s="53" t="n">
        <v>555</v>
      </c>
      <c r="D2203" s="53" t="n">
        <v>2</v>
      </c>
      <c r="E2203" s="65" t="str">
        <f aca="false">IF($H2203="","",购销流水!$B555)</f>
        <v/>
      </c>
      <c r="F2203" s="55" t="str">
        <f aca="false">IF($H2203="","",购销流水!$C555)</f>
        <v/>
      </c>
      <c r="G2203" s="48" t="str">
        <f aca="false">IF($H2203="","",购销流水!$N555)</f>
        <v/>
      </c>
      <c r="H2203" s="10" t="str">
        <f aca="false">IF($L2203="","",IF($L2203="@成本",购销流水!$U555,IF($L2203="@收入",购销流水!$T555,IF($L2203="@存货",购销流水!$S555,IF($L2203="@结算",购销流水!$R555,$L2203)))))</f>
        <v/>
      </c>
      <c r="I2203" s="42" t="n">
        <f aca="false">IF($M2203="借",$O2203,0)</f>
        <v>0</v>
      </c>
      <c r="J2203" s="42" t="n">
        <f aca="false">IF($M2203="贷",$O2203,0)</f>
        <v>0</v>
      </c>
      <c r="K2203" s="48" t="str">
        <f aca="false">IF($H2203="","",购销流水!$E555)</f>
        <v/>
      </c>
      <c r="L2203" s="66" t="str">
        <f aca="false">IF(购销流水!$D555="","",IFERROR(INDEX(记账规则!$A$6:$N$9,MATCH(购销流水!$D555,记账规则!$A$6:$A$9,0),6),""))</f>
        <v/>
      </c>
      <c r="M2203" s="66" t="str">
        <f aca="false">IF($L2203="","",IFERROR(INDEX(记账规则!$A$6:$N$9,MATCH(购销流水!$D555,记账规则!$A$6:$A$9,0),7),""))</f>
        <v/>
      </c>
      <c r="N2203" s="66" t="str">
        <f aca="false">IF($L2203="","",IFERROR(INDEX(记账规则!$A$6:$N$9,MATCH(购销流水!$D555,记账规则!$A$6:$A$9,0),8),""))</f>
        <v/>
      </c>
      <c r="O2203" s="67" t="n">
        <f aca="false">IF($H2203="",0,ROUND(IF($N2203="成本金额",N(购销流水!$W555),IF($N2203="金额",N(购销流水!$Q555),0)),2))</f>
        <v>0</v>
      </c>
      <c r="P2203" s="64" t="str">
        <f aca="false">IF(AND($H2203&lt;&gt;"",ROUND($O2203,2)&lt;&gt;0),"有","")</f>
        <v/>
      </c>
    </row>
    <row r="2204" customFormat="false" ht="15" hidden="true" customHeight="false" outlineLevel="0" collapsed="false">
      <c r="A2204" s="53" t="str">
        <f aca="false">IF($H2204="","",ROW()-5)</f>
        <v/>
      </c>
      <c r="B2204" s="64" t="s">
        <v>36</v>
      </c>
      <c r="C2204" s="53" t="n">
        <v>555</v>
      </c>
      <c r="D2204" s="53" t="n">
        <v>3</v>
      </c>
      <c r="E2204" s="65" t="str">
        <f aca="false">IF($H2204="","",购销流水!$B555)</f>
        <v/>
      </c>
      <c r="F2204" s="55" t="str">
        <f aca="false">IF($H2204="","",购销流水!$C555)</f>
        <v/>
      </c>
      <c r="G2204" s="48" t="str">
        <f aca="false">IF($H2204="","",购销流水!$N555)</f>
        <v/>
      </c>
      <c r="H2204" s="10" t="str">
        <f aca="false">IF($L2204="","",IF($L2204="@成本",购销流水!$U555,IF($L2204="@收入",购销流水!$T555,IF($L2204="@存货",购销流水!$S555,IF($L2204="@结算",购销流水!$R555,$L2204)))))</f>
        <v/>
      </c>
      <c r="I2204" s="42" t="n">
        <f aca="false">IF($M2204="借",$O2204,0)</f>
        <v>0</v>
      </c>
      <c r="J2204" s="42" t="n">
        <f aca="false">IF($M2204="贷",$O2204,0)</f>
        <v>0</v>
      </c>
      <c r="K2204" s="48" t="str">
        <f aca="false">IF($H2204="","",购销流水!$E555)</f>
        <v/>
      </c>
      <c r="L2204" s="66" t="str">
        <f aca="false">IF(购销流水!$D555="","",IFERROR(INDEX(记账规则!$A$6:$N$9,MATCH(购销流水!$D555,记账规则!$A$6:$A$9,0),9),""))</f>
        <v/>
      </c>
      <c r="M2204" s="66" t="str">
        <f aca="false">IF($L2204="","",IFERROR(INDEX(记账规则!$A$6:$N$9,MATCH(购销流水!$D555,记账规则!$A$6:$A$9,0),10),""))</f>
        <v/>
      </c>
      <c r="N2204" s="66" t="str">
        <f aca="false">IF($L2204="","",IFERROR(INDEX(记账规则!$A$6:$N$9,MATCH(购销流水!$D555,记账规则!$A$6:$A$9,0),11),""))</f>
        <v/>
      </c>
      <c r="O2204" s="67" t="n">
        <f aca="false">IF($H2204="",0,ROUND(IF($N2204="成本金额",N(购销流水!$W555),IF($N2204="金额",N(购销流水!$Q555),0)),2))</f>
        <v>0</v>
      </c>
      <c r="P2204" s="64" t="str">
        <f aca="false">IF(AND($H2204&lt;&gt;"",ROUND($O2204,2)&lt;&gt;0),"有","")</f>
        <v/>
      </c>
    </row>
    <row r="2205" customFormat="false" ht="15" hidden="true" customHeight="false" outlineLevel="0" collapsed="false">
      <c r="A2205" s="53" t="str">
        <f aca="false">IF($H2205="","",ROW()-5)</f>
        <v/>
      </c>
      <c r="B2205" s="64" t="s">
        <v>36</v>
      </c>
      <c r="C2205" s="53" t="n">
        <v>555</v>
      </c>
      <c r="D2205" s="53" t="n">
        <v>4</v>
      </c>
      <c r="E2205" s="65" t="str">
        <f aca="false">IF($H2205="","",购销流水!$B555)</f>
        <v/>
      </c>
      <c r="F2205" s="55" t="str">
        <f aca="false">IF($H2205="","",购销流水!$C555)</f>
        <v/>
      </c>
      <c r="G2205" s="48" t="str">
        <f aca="false">IF($H2205="","",购销流水!$N555)</f>
        <v/>
      </c>
      <c r="H2205" s="10" t="str">
        <f aca="false">IF($L2205="","",IF($L2205="@成本",购销流水!$U555,IF($L2205="@收入",购销流水!$T555,IF($L2205="@存货",购销流水!$S555,IF($L2205="@结算",购销流水!$R555,$L2205)))))</f>
        <v/>
      </c>
      <c r="I2205" s="42" t="n">
        <f aca="false">IF($M2205="借",$O2205,0)</f>
        <v>0</v>
      </c>
      <c r="J2205" s="42" t="n">
        <f aca="false">IF($M2205="贷",$O2205,0)</f>
        <v>0</v>
      </c>
      <c r="K2205" s="48" t="str">
        <f aca="false">IF($H2205="","",购销流水!$E555)</f>
        <v/>
      </c>
      <c r="L2205" s="66" t="str">
        <f aca="false">IF(购销流水!$D555="","",IFERROR(INDEX(记账规则!$A$6:$N$9,MATCH(购销流水!$D555,记账规则!$A$6:$A$9,0),12),""))</f>
        <v/>
      </c>
      <c r="M2205" s="66" t="str">
        <f aca="false">IF($L2205="","",IFERROR(INDEX(记账规则!$A$6:$N$9,MATCH(购销流水!$D555,记账规则!$A$6:$A$9,0),13),""))</f>
        <v/>
      </c>
      <c r="N2205" s="66" t="str">
        <f aca="false">IF($L2205="","",IFERROR(INDEX(记账规则!$A$6:$N$9,MATCH(购销流水!$D555,记账规则!$A$6:$A$9,0),14),""))</f>
        <v/>
      </c>
      <c r="O2205" s="67" t="n">
        <f aca="false">IF($H2205="",0,ROUND(IF($N2205="成本金额",N(购销流水!$W555),IF($N2205="金额",N(购销流水!$Q555),0)),2))</f>
        <v>0</v>
      </c>
      <c r="P2205" s="64" t="str">
        <f aca="false">IF(AND($H2205&lt;&gt;"",ROUND($O2205,2)&lt;&gt;0),"有","")</f>
        <v/>
      </c>
    </row>
    <row r="2206" customFormat="false" ht="15" hidden="true" customHeight="false" outlineLevel="0" collapsed="false">
      <c r="A2206" s="53" t="str">
        <f aca="false">IF($H2206="","",ROW()-5)</f>
        <v/>
      </c>
      <c r="B2206" s="64" t="s">
        <v>36</v>
      </c>
      <c r="C2206" s="53" t="n">
        <v>556</v>
      </c>
      <c r="D2206" s="53" t="n">
        <v>1</v>
      </c>
      <c r="E2206" s="65" t="str">
        <f aca="false">IF($H2206="","",购销流水!$B556)</f>
        <v/>
      </c>
      <c r="F2206" s="55" t="str">
        <f aca="false">IF($H2206="","",购销流水!$C556)</f>
        <v/>
      </c>
      <c r="G2206" s="48" t="str">
        <f aca="false">IF($H2206="","",购销流水!$N556)</f>
        <v/>
      </c>
      <c r="H2206" s="10" t="str">
        <f aca="false">IF($L2206="","",IF($L2206="@成本",购销流水!$U556,IF($L2206="@收入",购销流水!$T556,IF($L2206="@存货",购销流水!$S556,IF($L2206="@结算",购销流水!$R556,$L2206)))))</f>
        <v/>
      </c>
      <c r="I2206" s="42" t="n">
        <f aca="false">IF($M2206="借",$O2206,0)</f>
        <v>0</v>
      </c>
      <c r="J2206" s="42" t="n">
        <f aca="false">IF($M2206="贷",$O2206,0)</f>
        <v>0</v>
      </c>
      <c r="K2206" s="48" t="str">
        <f aca="false">IF($H2206="","",购销流水!$E556)</f>
        <v/>
      </c>
      <c r="L2206" s="66" t="str">
        <f aca="false">IF(购销流水!$D556="","",IFERROR(INDEX(记账规则!$A$6:$N$9,MATCH(购销流水!$D556,记账规则!$A$6:$A$9,0),3),""))</f>
        <v/>
      </c>
      <c r="M2206" s="66" t="str">
        <f aca="false">IF($L2206="","",IFERROR(INDEX(记账规则!$A$6:$N$9,MATCH(购销流水!$D556,记账规则!$A$6:$A$9,0),4),""))</f>
        <v/>
      </c>
      <c r="N2206" s="66" t="str">
        <f aca="false">IF($L2206="","",IFERROR(INDEX(记账规则!$A$6:$N$9,MATCH(购销流水!$D556,记账规则!$A$6:$A$9,0),5),""))</f>
        <v/>
      </c>
      <c r="O2206" s="67" t="n">
        <f aca="false">IF($H2206="",0,ROUND(IF($N2206="成本金额",N(购销流水!$W556),IF($N2206="金额",N(购销流水!$Q556),0)),2))</f>
        <v>0</v>
      </c>
      <c r="P2206" s="64" t="str">
        <f aca="false">IF(AND($H2206&lt;&gt;"",ROUND($O2206,2)&lt;&gt;0),"有","")</f>
        <v/>
      </c>
    </row>
    <row r="2207" customFormat="false" ht="15" hidden="true" customHeight="false" outlineLevel="0" collapsed="false">
      <c r="A2207" s="53" t="str">
        <f aca="false">IF($H2207="","",ROW()-5)</f>
        <v/>
      </c>
      <c r="B2207" s="64" t="s">
        <v>36</v>
      </c>
      <c r="C2207" s="53" t="n">
        <v>556</v>
      </c>
      <c r="D2207" s="53" t="n">
        <v>2</v>
      </c>
      <c r="E2207" s="65" t="str">
        <f aca="false">IF($H2207="","",购销流水!$B556)</f>
        <v/>
      </c>
      <c r="F2207" s="55" t="str">
        <f aca="false">IF($H2207="","",购销流水!$C556)</f>
        <v/>
      </c>
      <c r="G2207" s="48" t="str">
        <f aca="false">IF($H2207="","",购销流水!$N556)</f>
        <v/>
      </c>
      <c r="H2207" s="10" t="str">
        <f aca="false">IF($L2207="","",IF($L2207="@成本",购销流水!$U556,IF($L2207="@收入",购销流水!$T556,IF($L2207="@存货",购销流水!$S556,IF($L2207="@结算",购销流水!$R556,$L2207)))))</f>
        <v/>
      </c>
      <c r="I2207" s="42" t="n">
        <f aca="false">IF($M2207="借",$O2207,0)</f>
        <v>0</v>
      </c>
      <c r="J2207" s="42" t="n">
        <f aca="false">IF($M2207="贷",$O2207,0)</f>
        <v>0</v>
      </c>
      <c r="K2207" s="48" t="str">
        <f aca="false">IF($H2207="","",购销流水!$E556)</f>
        <v/>
      </c>
      <c r="L2207" s="66" t="str">
        <f aca="false">IF(购销流水!$D556="","",IFERROR(INDEX(记账规则!$A$6:$N$9,MATCH(购销流水!$D556,记账规则!$A$6:$A$9,0),6),""))</f>
        <v/>
      </c>
      <c r="M2207" s="66" t="str">
        <f aca="false">IF($L2207="","",IFERROR(INDEX(记账规则!$A$6:$N$9,MATCH(购销流水!$D556,记账规则!$A$6:$A$9,0),7),""))</f>
        <v/>
      </c>
      <c r="N2207" s="66" t="str">
        <f aca="false">IF($L2207="","",IFERROR(INDEX(记账规则!$A$6:$N$9,MATCH(购销流水!$D556,记账规则!$A$6:$A$9,0),8),""))</f>
        <v/>
      </c>
      <c r="O2207" s="67" t="n">
        <f aca="false">IF($H2207="",0,ROUND(IF($N2207="成本金额",N(购销流水!$W556),IF($N2207="金额",N(购销流水!$Q556),0)),2))</f>
        <v>0</v>
      </c>
      <c r="P2207" s="64" t="str">
        <f aca="false">IF(AND($H2207&lt;&gt;"",ROUND($O2207,2)&lt;&gt;0),"有","")</f>
        <v/>
      </c>
    </row>
    <row r="2208" customFormat="false" ht="15" hidden="true" customHeight="false" outlineLevel="0" collapsed="false">
      <c r="A2208" s="53" t="str">
        <f aca="false">IF($H2208="","",ROW()-5)</f>
        <v/>
      </c>
      <c r="B2208" s="64" t="s">
        <v>36</v>
      </c>
      <c r="C2208" s="53" t="n">
        <v>556</v>
      </c>
      <c r="D2208" s="53" t="n">
        <v>3</v>
      </c>
      <c r="E2208" s="65" t="str">
        <f aca="false">IF($H2208="","",购销流水!$B556)</f>
        <v/>
      </c>
      <c r="F2208" s="55" t="str">
        <f aca="false">IF($H2208="","",购销流水!$C556)</f>
        <v/>
      </c>
      <c r="G2208" s="48" t="str">
        <f aca="false">IF($H2208="","",购销流水!$N556)</f>
        <v/>
      </c>
      <c r="H2208" s="10" t="str">
        <f aca="false">IF($L2208="","",IF($L2208="@成本",购销流水!$U556,IF($L2208="@收入",购销流水!$T556,IF($L2208="@存货",购销流水!$S556,IF($L2208="@结算",购销流水!$R556,$L2208)))))</f>
        <v/>
      </c>
      <c r="I2208" s="42" t="n">
        <f aca="false">IF($M2208="借",$O2208,0)</f>
        <v>0</v>
      </c>
      <c r="J2208" s="42" t="n">
        <f aca="false">IF($M2208="贷",$O2208,0)</f>
        <v>0</v>
      </c>
      <c r="K2208" s="48" t="str">
        <f aca="false">IF($H2208="","",购销流水!$E556)</f>
        <v/>
      </c>
      <c r="L2208" s="66" t="str">
        <f aca="false">IF(购销流水!$D556="","",IFERROR(INDEX(记账规则!$A$6:$N$9,MATCH(购销流水!$D556,记账规则!$A$6:$A$9,0),9),""))</f>
        <v/>
      </c>
      <c r="M2208" s="66" t="str">
        <f aca="false">IF($L2208="","",IFERROR(INDEX(记账规则!$A$6:$N$9,MATCH(购销流水!$D556,记账规则!$A$6:$A$9,0),10),""))</f>
        <v/>
      </c>
      <c r="N2208" s="66" t="str">
        <f aca="false">IF($L2208="","",IFERROR(INDEX(记账规则!$A$6:$N$9,MATCH(购销流水!$D556,记账规则!$A$6:$A$9,0),11),""))</f>
        <v/>
      </c>
      <c r="O2208" s="67" t="n">
        <f aca="false">IF($H2208="",0,ROUND(IF($N2208="成本金额",N(购销流水!$W556),IF($N2208="金额",N(购销流水!$Q556),0)),2))</f>
        <v>0</v>
      </c>
      <c r="P2208" s="64" t="str">
        <f aca="false">IF(AND($H2208&lt;&gt;"",ROUND($O2208,2)&lt;&gt;0),"有","")</f>
        <v/>
      </c>
    </row>
    <row r="2209" customFormat="false" ht="15" hidden="true" customHeight="false" outlineLevel="0" collapsed="false">
      <c r="A2209" s="53" t="str">
        <f aca="false">IF($H2209="","",ROW()-5)</f>
        <v/>
      </c>
      <c r="B2209" s="64" t="s">
        <v>36</v>
      </c>
      <c r="C2209" s="53" t="n">
        <v>556</v>
      </c>
      <c r="D2209" s="53" t="n">
        <v>4</v>
      </c>
      <c r="E2209" s="65" t="str">
        <f aca="false">IF($H2209="","",购销流水!$B556)</f>
        <v/>
      </c>
      <c r="F2209" s="55" t="str">
        <f aca="false">IF($H2209="","",购销流水!$C556)</f>
        <v/>
      </c>
      <c r="G2209" s="48" t="str">
        <f aca="false">IF($H2209="","",购销流水!$N556)</f>
        <v/>
      </c>
      <c r="H2209" s="10" t="str">
        <f aca="false">IF($L2209="","",IF($L2209="@成本",购销流水!$U556,IF($L2209="@收入",购销流水!$T556,IF($L2209="@存货",购销流水!$S556,IF($L2209="@结算",购销流水!$R556,$L2209)))))</f>
        <v/>
      </c>
      <c r="I2209" s="42" t="n">
        <f aca="false">IF($M2209="借",$O2209,0)</f>
        <v>0</v>
      </c>
      <c r="J2209" s="42" t="n">
        <f aca="false">IF($M2209="贷",$O2209,0)</f>
        <v>0</v>
      </c>
      <c r="K2209" s="48" t="str">
        <f aca="false">IF($H2209="","",购销流水!$E556)</f>
        <v/>
      </c>
      <c r="L2209" s="66" t="str">
        <f aca="false">IF(购销流水!$D556="","",IFERROR(INDEX(记账规则!$A$6:$N$9,MATCH(购销流水!$D556,记账规则!$A$6:$A$9,0),12),""))</f>
        <v/>
      </c>
      <c r="M2209" s="66" t="str">
        <f aca="false">IF($L2209="","",IFERROR(INDEX(记账规则!$A$6:$N$9,MATCH(购销流水!$D556,记账规则!$A$6:$A$9,0),13),""))</f>
        <v/>
      </c>
      <c r="N2209" s="66" t="str">
        <f aca="false">IF($L2209="","",IFERROR(INDEX(记账规则!$A$6:$N$9,MATCH(购销流水!$D556,记账规则!$A$6:$A$9,0),14),""))</f>
        <v/>
      </c>
      <c r="O2209" s="67" t="n">
        <f aca="false">IF($H2209="",0,ROUND(IF($N2209="成本金额",N(购销流水!$W556),IF($N2209="金额",N(购销流水!$Q556),0)),2))</f>
        <v>0</v>
      </c>
      <c r="P2209" s="64" t="str">
        <f aca="false">IF(AND($H2209&lt;&gt;"",ROUND($O2209,2)&lt;&gt;0),"有","")</f>
        <v/>
      </c>
    </row>
    <row r="2210" customFormat="false" ht="15" hidden="true" customHeight="false" outlineLevel="0" collapsed="false">
      <c r="A2210" s="53" t="str">
        <f aca="false">IF($H2210="","",ROW()-5)</f>
        <v/>
      </c>
      <c r="B2210" s="64" t="s">
        <v>36</v>
      </c>
      <c r="C2210" s="53" t="n">
        <v>557</v>
      </c>
      <c r="D2210" s="53" t="n">
        <v>1</v>
      </c>
      <c r="E2210" s="65" t="str">
        <f aca="false">IF($H2210="","",购销流水!$B557)</f>
        <v/>
      </c>
      <c r="F2210" s="55" t="str">
        <f aca="false">IF($H2210="","",购销流水!$C557)</f>
        <v/>
      </c>
      <c r="G2210" s="48" t="str">
        <f aca="false">IF($H2210="","",购销流水!$N557)</f>
        <v/>
      </c>
      <c r="H2210" s="10" t="str">
        <f aca="false">IF($L2210="","",IF($L2210="@成本",购销流水!$U557,IF($L2210="@收入",购销流水!$T557,IF($L2210="@存货",购销流水!$S557,IF($L2210="@结算",购销流水!$R557,$L2210)))))</f>
        <v/>
      </c>
      <c r="I2210" s="42" t="n">
        <f aca="false">IF($M2210="借",$O2210,0)</f>
        <v>0</v>
      </c>
      <c r="J2210" s="42" t="n">
        <f aca="false">IF($M2210="贷",$O2210,0)</f>
        <v>0</v>
      </c>
      <c r="K2210" s="48" t="str">
        <f aca="false">IF($H2210="","",购销流水!$E557)</f>
        <v/>
      </c>
      <c r="L2210" s="66" t="str">
        <f aca="false">IF(购销流水!$D557="","",IFERROR(INDEX(记账规则!$A$6:$N$9,MATCH(购销流水!$D557,记账规则!$A$6:$A$9,0),3),""))</f>
        <v/>
      </c>
      <c r="M2210" s="66" t="str">
        <f aca="false">IF($L2210="","",IFERROR(INDEX(记账规则!$A$6:$N$9,MATCH(购销流水!$D557,记账规则!$A$6:$A$9,0),4),""))</f>
        <v/>
      </c>
      <c r="N2210" s="66" t="str">
        <f aca="false">IF($L2210="","",IFERROR(INDEX(记账规则!$A$6:$N$9,MATCH(购销流水!$D557,记账规则!$A$6:$A$9,0),5),""))</f>
        <v/>
      </c>
      <c r="O2210" s="67" t="n">
        <f aca="false">IF($H2210="",0,ROUND(IF($N2210="成本金额",N(购销流水!$W557),IF($N2210="金额",N(购销流水!$Q557),0)),2))</f>
        <v>0</v>
      </c>
      <c r="P2210" s="64" t="str">
        <f aca="false">IF(AND($H2210&lt;&gt;"",ROUND($O2210,2)&lt;&gt;0),"有","")</f>
        <v/>
      </c>
    </row>
    <row r="2211" customFormat="false" ht="15" hidden="true" customHeight="false" outlineLevel="0" collapsed="false">
      <c r="A2211" s="53" t="str">
        <f aca="false">IF($H2211="","",ROW()-5)</f>
        <v/>
      </c>
      <c r="B2211" s="64" t="s">
        <v>36</v>
      </c>
      <c r="C2211" s="53" t="n">
        <v>557</v>
      </c>
      <c r="D2211" s="53" t="n">
        <v>2</v>
      </c>
      <c r="E2211" s="65" t="str">
        <f aca="false">IF($H2211="","",购销流水!$B557)</f>
        <v/>
      </c>
      <c r="F2211" s="55" t="str">
        <f aca="false">IF($H2211="","",购销流水!$C557)</f>
        <v/>
      </c>
      <c r="G2211" s="48" t="str">
        <f aca="false">IF($H2211="","",购销流水!$N557)</f>
        <v/>
      </c>
      <c r="H2211" s="10" t="str">
        <f aca="false">IF($L2211="","",IF($L2211="@成本",购销流水!$U557,IF($L2211="@收入",购销流水!$T557,IF($L2211="@存货",购销流水!$S557,IF($L2211="@结算",购销流水!$R557,$L2211)))))</f>
        <v/>
      </c>
      <c r="I2211" s="42" t="n">
        <f aca="false">IF($M2211="借",$O2211,0)</f>
        <v>0</v>
      </c>
      <c r="J2211" s="42" t="n">
        <f aca="false">IF($M2211="贷",$O2211,0)</f>
        <v>0</v>
      </c>
      <c r="K2211" s="48" t="str">
        <f aca="false">IF($H2211="","",购销流水!$E557)</f>
        <v/>
      </c>
      <c r="L2211" s="66" t="str">
        <f aca="false">IF(购销流水!$D557="","",IFERROR(INDEX(记账规则!$A$6:$N$9,MATCH(购销流水!$D557,记账规则!$A$6:$A$9,0),6),""))</f>
        <v/>
      </c>
      <c r="M2211" s="66" t="str">
        <f aca="false">IF($L2211="","",IFERROR(INDEX(记账规则!$A$6:$N$9,MATCH(购销流水!$D557,记账规则!$A$6:$A$9,0),7),""))</f>
        <v/>
      </c>
      <c r="N2211" s="66" t="str">
        <f aca="false">IF($L2211="","",IFERROR(INDEX(记账规则!$A$6:$N$9,MATCH(购销流水!$D557,记账规则!$A$6:$A$9,0),8),""))</f>
        <v/>
      </c>
      <c r="O2211" s="67" t="n">
        <f aca="false">IF($H2211="",0,ROUND(IF($N2211="成本金额",N(购销流水!$W557),IF($N2211="金额",N(购销流水!$Q557),0)),2))</f>
        <v>0</v>
      </c>
      <c r="P2211" s="64" t="str">
        <f aca="false">IF(AND($H2211&lt;&gt;"",ROUND($O2211,2)&lt;&gt;0),"有","")</f>
        <v/>
      </c>
    </row>
    <row r="2212" customFormat="false" ht="15" hidden="true" customHeight="false" outlineLevel="0" collapsed="false">
      <c r="A2212" s="53" t="str">
        <f aca="false">IF($H2212="","",ROW()-5)</f>
        <v/>
      </c>
      <c r="B2212" s="64" t="s">
        <v>36</v>
      </c>
      <c r="C2212" s="53" t="n">
        <v>557</v>
      </c>
      <c r="D2212" s="53" t="n">
        <v>3</v>
      </c>
      <c r="E2212" s="65" t="str">
        <f aca="false">IF($H2212="","",购销流水!$B557)</f>
        <v/>
      </c>
      <c r="F2212" s="55" t="str">
        <f aca="false">IF($H2212="","",购销流水!$C557)</f>
        <v/>
      </c>
      <c r="G2212" s="48" t="str">
        <f aca="false">IF($H2212="","",购销流水!$N557)</f>
        <v/>
      </c>
      <c r="H2212" s="10" t="str">
        <f aca="false">IF($L2212="","",IF($L2212="@成本",购销流水!$U557,IF($L2212="@收入",购销流水!$T557,IF($L2212="@存货",购销流水!$S557,IF($L2212="@结算",购销流水!$R557,$L2212)))))</f>
        <v/>
      </c>
      <c r="I2212" s="42" t="n">
        <f aca="false">IF($M2212="借",$O2212,0)</f>
        <v>0</v>
      </c>
      <c r="J2212" s="42" t="n">
        <f aca="false">IF($M2212="贷",$O2212,0)</f>
        <v>0</v>
      </c>
      <c r="K2212" s="48" t="str">
        <f aca="false">IF($H2212="","",购销流水!$E557)</f>
        <v/>
      </c>
      <c r="L2212" s="66" t="str">
        <f aca="false">IF(购销流水!$D557="","",IFERROR(INDEX(记账规则!$A$6:$N$9,MATCH(购销流水!$D557,记账规则!$A$6:$A$9,0),9),""))</f>
        <v/>
      </c>
      <c r="M2212" s="66" t="str">
        <f aca="false">IF($L2212="","",IFERROR(INDEX(记账规则!$A$6:$N$9,MATCH(购销流水!$D557,记账规则!$A$6:$A$9,0),10),""))</f>
        <v/>
      </c>
      <c r="N2212" s="66" t="str">
        <f aca="false">IF($L2212="","",IFERROR(INDEX(记账规则!$A$6:$N$9,MATCH(购销流水!$D557,记账规则!$A$6:$A$9,0),11),""))</f>
        <v/>
      </c>
      <c r="O2212" s="67" t="n">
        <f aca="false">IF($H2212="",0,ROUND(IF($N2212="成本金额",N(购销流水!$W557),IF($N2212="金额",N(购销流水!$Q557),0)),2))</f>
        <v>0</v>
      </c>
      <c r="P2212" s="64" t="str">
        <f aca="false">IF(AND($H2212&lt;&gt;"",ROUND($O2212,2)&lt;&gt;0),"有","")</f>
        <v/>
      </c>
    </row>
    <row r="2213" customFormat="false" ht="15" hidden="true" customHeight="false" outlineLevel="0" collapsed="false">
      <c r="A2213" s="53" t="str">
        <f aca="false">IF($H2213="","",ROW()-5)</f>
        <v/>
      </c>
      <c r="B2213" s="64" t="s">
        <v>36</v>
      </c>
      <c r="C2213" s="53" t="n">
        <v>557</v>
      </c>
      <c r="D2213" s="53" t="n">
        <v>4</v>
      </c>
      <c r="E2213" s="65" t="str">
        <f aca="false">IF($H2213="","",购销流水!$B557)</f>
        <v/>
      </c>
      <c r="F2213" s="55" t="str">
        <f aca="false">IF($H2213="","",购销流水!$C557)</f>
        <v/>
      </c>
      <c r="G2213" s="48" t="str">
        <f aca="false">IF($H2213="","",购销流水!$N557)</f>
        <v/>
      </c>
      <c r="H2213" s="10" t="str">
        <f aca="false">IF($L2213="","",IF($L2213="@成本",购销流水!$U557,IF($L2213="@收入",购销流水!$T557,IF($L2213="@存货",购销流水!$S557,IF($L2213="@结算",购销流水!$R557,$L2213)))))</f>
        <v/>
      </c>
      <c r="I2213" s="42" t="n">
        <f aca="false">IF($M2213="借",$O2213,0)</f>
        <v>0</v>
      </c>
      <c r="J2213" s="42" t="n">
        <f aca="false">IF($M2213="贷",$O2213,0)</f>
        <v>0</v>
      </c>
      <c r="K2213" s="48" t="str">
        <f aca="false">IF($H2213="","",购销流水!$E557)</f>
        <v/>
      </c>
      <c r="L2213" s="66" t="str">
        <f aca="false">IF(购销流水!$D557="","",IFERROR(INDEX(记账规则!$A$6:$N$9,MATCH(购销流水!$D557,记账规则!$A$6:$A$9,0),12),""))</f>
        <v/>
      </c>
      <c r="M2213" s="66" t="str">
        <f aca="false">IF($L2213="","",IFERROR(INDEX(记账规则!$A$6:$N$9,MATCH(购销流水!$D557,记账规则!$A$6:$A$9,0),13),""))</f>
        <v/>
      </c>
      <c r="N2213" s="66" t="str">
        <f aca="false">IF($L2213="","",IFERROR(INDEX(记账规则!$A$6:$N$9,MATCH(购销流水!$D557,记账规则!$A$6:$A$9,0),14),""))</f>
        <v/>
      </c>
      <c r="O2213" s="67" t="n">
        <f aca="false">IF($H2213="",0,ROUND(IF($N2213="成本金额",N(购销流水!$W557),IF($N2213="金额",N(购销流水!$Q557),0)),2))</f>
        <v>0</v>
      </c>
      <c r="P2213" s="64" t="str">
        <f aca="false">IF(AND($H2213&lt;&gt;"",ROUND($O2213,2)&lt;&gt;0),"有","")</f>
        <v/>
      </c>
    </row>
    <row r="2214" customFormat="false" ht="15" hidden="true" customHeight="false" outlineLevel="0" collapsed="false">
      <c r="A2214" s="53" t="str">
        <f aca="false">IF($H2214="","",ROW()-5)</f>
        <v/>
      </c>
      <c r="B2214" s="64" t="s">
        <v>36</v>
      </c>
      <c r="C2214" s="53" t="n">
        <v>558</v>
      </c>
      <c r="D2214" s="53" t="n">
        <v>1</v>
      </c>
      <c r="E2214" s="65" t="str">
        <f aca="false">IF($H2214="","",购销流水!$B558)</f>
        <v/>
      </c>
      <c r="F2214" s="55" t="str">
        <f aca="false">IF($H2214="","",购销流水!$C558)</f>
        <v/>
      </c>
      <c r="G2214" s="48" t="str">
        <f aca="false">IF($H2214="","",购销流水!$N558)</f>
        <v/>
      </c>
      <c r="H2214" s="10" t="str">
        <f aca="false">IF($L2214="","",IF($L2214="@成本",购销流水!$U558,IF($L2214="@收入",购销流水!$T558,IF($L2214="@存货",购销流水!$S558,IF($L2214="@结算",购销流水!$R558,$L2214)))))</f>
        <v/>
      </c>
      <c r="I2214" s="42" t="n">
        <f aca="false">IF($M2214="借",$O2214,0)</f>
        <v>0</v>
      </c>
      <c r="J2214" s="42" t="n">
        <f aca="false">IF($M2214="贷",$O2214,0)</f>
        <v>0</v>
      </c>
      <c r="K2214" s="48" t="str">
        <f aca="false">IF($H2214="","",购销流水!$E558)</f>
        <v/>
      </c>
      <c r="L2214" s="66" t="str">
        <f aca="false">IF(购销流水!$D558="","",IFERROR(INDEX(记账规则!$A$6:$N$9,MATCH(购销流水!$D558,记账规则!$A$6:$A$9,0),3),""))</f>
        <v/>
      </c>
      <c r="M2214" s="66" t="str">
        <f aca="false">IF($L2214="","",IFERROR(INDEX(记账规则!$A$6:$N$9,MATCH(购销流水!$D558,记账规则!$A$6:$A$9,0),4),""))</f>
        <v/>
      </c>
      <c r="N2214" s="66" t="str">
        <f aca="false">IF($L2214="","",IFERROR(INDEX(记账规则!$A$6:$N$9,MATCH(购销流水!$D558,记账规则!$A$6:$A$9,0),5),""))</f>
        <v/>
      </c>
      <c r="O2214" s="67" t="n">
        <f aca="false">IF($H2214="",0,ROUND(IF($N2214="成本金额",N(购销流水!$W558),IF($N2214="金额",N(购销流水!$Q558),0)),2))</f>
        <v>0</v>
      </c>
      <c r="P2214" s="64" t="str">
        <f aca="false">IF(AND($H2214&lt;&gt;"",ROUND($O2214,2)&lt;&gt;0),"有","")</f>
        <v/>
      </c>
    </row>
    <row r="2215" customFormat="false" ht="15" hidden="true" customHeight="false" outlineLevel="0" collapsed="false">
      <c r="A2215" s="53" t="str">
        <f aca="false">IF($H2215="","",ROW()-5)</f>
        <v/>
      </c>
      <c r="B2215" s="64" t="s">
        <v>36</v>
      </c>
      <c r="C2215" s="53" t="n">
        <v>558</v>
      </c>
      <c r="D2215" s="53" t="n">
        <v>2</v>
      </c>
      <c r="E2215" s="65" t="str">
        <f aca="false">IF($H2215="","",购销流水!$B558)</f>
        <v/>
      </c>
      <c r="F2215" s="55" t="str">
        <f aca="false">IF($H2215="","",购销流水!$C558)</f>
        <v/>
      </c>
      <c r="G2215" s="48" t="str">
        <f aca="false">IF($H2215="","",购销流水!$N558)</f>
        <v/>
      </c>
      <c r="H2215" s="10" t="str">
        <f aca="false">IF($L2215="","",IF($L2215="@成本",购销流水!$U558,IF($L2215="@收入",购销流水!$T558,IF($L2215="@存货",购销流水!$S558,IF($L2215="@结算",购销流水!$R558,$L2215)))))</f>
        <v/>
      </c>
      <c r="I2215" s="42" t="n">
        <f aca="false">IF($M2215="借",$O2215,0)</f>
        <v>0</v>
      </c>
      <c r="J2215" s="42" t="n">
        <f aca="false">IF($M2215="贷",$O2215,0)</f>
        <v>0</v>
      </c>
      <c r="K2215" s="48" t="str">
        <f aca="false">IF($H2215="","",购销流水!$E558)</f>
        <v/>
      </c>
      <c r="L2215" s="66" t="str">
        <f aca="false">IF(购销流水!$D558="","",IFERROR(INDEX(记账规则!$A$6:$N$9,MATCH(购销流水!$D558,记账规则!$A$6:$A$9,0),6),""))</f>
        <v/>
      </c>
      <c r="M2215" s="66" t="str">
        <f aca="false">IF($L2215="","",IFERROR(INDEX(记账规则!$A$6:$N$9,MATCH(购销流水!$D558,记账规则!$A$6:$A$9,0),7),""))</f>
        <v/>
      </c>
      <c r="N2215" s="66" t="str">
        <f aca="false">IF($L2215="","",IFERROR(INDEX(记账规则!$A$6:$N$9,MATCH(购销流水!$D558,记账规则!$A$6:$A$9,0),8),""))</f>
        <v/>
      </c>
      <c r="O2215" s="67" t="n">
        <f aca="false">IF($H2215="",0,ROUND(IF($N2215="成本金额",N(购销流水!$W558),IF($N2215="金额",N(购销流水!$Q558),0)),2))</f>
        <v>0</v>
      </c>
      <c r="P2215" s="64" t="str">
        <f aca="false">IF(AND($H2215&lt;&gt;"",ROUND($O2215,2)&lt;&gt;0),"有","")</f>
        <v/>
      </c>
    </row>
    <row r="2216" customFormat="false" ht="15" hidden="true" customHeight="false" outlineLevel="0" collapsed="false">
      <c r="A2216" s="53" t="str">
        <f aca="false">IF($H2216="","",ROW()-5)</f>
        <v/>
      </c>
      <c r="B2216" s="64" t="s">
        <v>36</v>
      </c>
      <c r="C2216" s="53" t="n">
        <v>558</v>
      </c>
      <c r="D2216" s="53" t="n">
        <v>3</v>
      </c>
      <c r="E2216" s="65" t="str">
        <f aca="false">IF($H2216="","",购销流水!$B558)</f>
        <v/>
      </c>
      <c r="F2216" s="55" t="str">
        <f aca="false">IF($H2216="","",购销流水!$C558)</f>
        <v/>
      </c>
      <c r="G2216" s="48" t="str">
        <f aca="false">IF($H2216="","",购销流水!$N558)</f>
        <v/>
      </c>
      <c r="H2216" s="10" t="str">
        <f aca="false">IF($L2216="","",IF($L2216="@成本",购销流水!$U558,IF($L2216="@收入",购销流水!$T558,IF($L2216="@存货",购销流水!$S558,IF($L2216="@结算",购销流水!$R558,$L2216)))))</f>
        <v/>
      </c>
      <c r="I2216" s="42" t="n">
        <f aca="false">IF($M2216="借",$O2216,0)</f>
        <v>0</v>
      </c>
      <c r="J2216" s="42" t="n">
        <f aca="false">IF($M2216="贷",$O2216,0)</f>
        <v>0</v>
      </c>
      <c r="K2216" s="48" t="str">
        <f aca="false">IF($H2216="","",购销流水!$E558)</f>
        <v/>
      </c>
      <c r="L2216" s="66" t="str">
        <f aca="false">IF(购销流水!$D558="","",IFERROR(INDEX(记账规则!$A$6:$N$9,MATCH(购销流水!$D558,记账规则!$A$6:$A$9,0),9),""))</f>
        <v/>
      </c>
      <c r="M2216" s="66" t="str">
        <f aca="false">IF($L2216="","",IFERROR(INDEX(记账规则!$A$6:$N$9,MATCH(购销流水!$D558,记账规则!$A$6:$A$9,0),10),""))</f>
        <v/>
      </c>
      <c r="N2216" s="66" t="str">
        <f aca="false">IF($L2216="","",IFERROR(INDEX(记账规则!$A$6:$N$9,MATCH(购销流水!$D558,记账规则!$A$6:$A$9,0),11),""))</f>
        <v/>
      </c>
      <c r="O2216" s="67" t="n">
        <f aca="false">IF($H2216="",0,ROUND(IF($N2216="成本金额",N(购销流水!$W558),IF($N2216="金额",N(购销流水!$Q558),0)),2))</f>
        <v>0</v>
      </c>
      <c r="P2216" s="64" t="str">
        <f aca="false">IF(AND($H2216&lt;&gt;"",ROUND($O2216,2)&lt;&gt;0),"有","")</f>
        <v/>
      </c>
    </row>
    <row r="2217" customFormat="false" ht="15" hidden="true" customHeight="false" outlineLevel="0" collapsed="false">
      <c r="A2217" s="53" t="str">
        <f aca="false">IF($H2217="","",ROW()-5)</f>
        <v/>
      </c>
      <c r="B2217" s="64" t="s">
        <v>36</v>
      </c>
      <c r="C2217" s="53" t="n">
        <v>558</v>
      </c>
      <c r="D2217" s="53" t="n">
        <v>4</v>
      </c>
      <c r="E2217" s="65" t="str">
        <f aca="false">IF($H2217="","",购销流水!$B558)</f>
        <v/>
      </c>
      <c r="F2217" s="55" t="str">
        <f aca="false">IF($H2217="","",购销流水!$C558)</f>
        <v/>
      </c>
      <c r="G2217" s="48" t="str">
        <f aca="false">IF($H2217="","",购销流水!$N558)</f>
        <v/>
      </c>
      <c r="H2217" s="10" t="str">
        <f aca="false">IF($L2217="","",IF($L2217="@成本",购销流水!$U558,IF($L2217="@收入",购销流水!$T558,IF($L2217="@存货",购销流水!$S558,IF($L2217="@结算",购销流水!$R558,$L2217)))))</f>
        <v/>
      </c>
      <c r="I2217" s="42" t="n">
        <f aca="false">IF($M2217="借",$O2217,0)</f>
        <v>0</v>
      </c>
      <c r="J2217" s="42" t="n">
        <f aca="false">IF($M2217="贷",$O2217,0)</f>
        <v>0</v>
      </c>
      <c r="K2217" s="48" t="str">
        <f aca="false">IF($H2217="","",购销流水!$E558)</f>
        <v/>
      </c>
      <c r="L2217" s="66" t="str">
        <f aca="false">IF(购销流水!$D558="","",IFERROR(INDEX(记账规则!$A$6:$N$9,MATCH(购销流水!$D558,记账规则!$A$6:$A$9,0),12),""))</f>
        <v/>
      </c>
      <c r="M2217" s="66" t="str">
        <f aca="false">IF($L2217="","",IFERROR(INDEX(记账规则!$A$6:$N$9,MATCH(购销流水!$D558,记账规则!$A$6:$A$9,0),13),""))</f>
        <v/>
      </c>
      <c r="N2217" s="66" t="str">
        <f aca="false">IF($L2217="","",IFERROR(INDEX(记账规则!$A$6:$N$9,MATCH(购销流水!$D558,记账规则!$A$6:$A$9,0),14),""))</f>
        <v/>
      </c>
      <c r="O2217" s="67" t="n">
        <f aca="false">IF($H2217="",0,ROUND(IF($N2217="成本金额",N(购销流水!$W558),IF($N2217="金额",N(购销流水!$Q558),0)),2))</f>
        <v>0</v>
      </c>
      <c r="P2217" s="64" t="str">
        <f aca="false">IF(AND($H2217&lt;&gt;"",ROUND($O2217,2)&lt;&gt;0),"有","")</f>
        <v/>
      </c>
    </row>
    <row r="2218" customFormat="false" ht="15" hidden="true" customHeight="false" outlineLevel="0" collapsed="false">
      <c r="A2218" s="53" t="str">
        <f aca="false">IF($H2218="","",ROW()-5)</f>
        <v/>
      </c>
      <c r="B2218" s="64" t="s">
        <v>36</v>
      </c>
      <c r="C2218" s="53" t="n">
        <v>559</v>
      </c>
      <c r="D2218" s="53" t="n">
        <v>1</v>
      </c>
      <c r="E2218" s="65" t="str">
        <f aca="false">IF($H2218="","",购销流水!$B559)</f>
        <v/>
      </c>
      <c r="F2218" s="55" t="str">
        <f aca="false">IF($H2218="","",购销流水!$C559)</f>
        <v/>
      </c>
      <c r="G2218" s="48" t="str">
        <f aca="false">IF($H2218="","",购销流水!$N559)</f>
        <v/>
      </c>
      <c r="H2218" s="10" t="str">
        <f aca="false">IF($L2218="","",IF($L2218="@成本",购销流水!$U559,IF($L2218="@收入",购销流水!$T559,IF($L2218="@存货",购销流水!$S559,IF($L2218="@结算",购销流水!$R559,$L2218)))))</f>
        <v/>
      </c>
      <c r="I2218" s="42" t="n">
        <f aca="false">IF($M2218="借",$O2218,0)</f>
        <v>0</v>
      </c>
      <c r="J2218" s="42" t="n">
        <f aca="false">IF($M2218="贷",$O2218,0)</f>
        <v>0</v>
      </c>
      <c r="K2218" s="48" t="str">
        <f aca="false">IF($H2218="","",购销流水!$E559)</f>
        <v/>
      </c>
      <c r="L2218" s="66" t="str">
        <f aca="false">IF(购销流水!$D559="","",IFERROR(INDEX(记账规则!$A$6:$N$9,MATCH(购销流水!$D559,记账规则!$A$6:$A$9,0),3),""))</f>
        <v/>
      </c>
      <c r="M2218" s="66" t="str">
        <f aca="false">IF($L2218="","",IFERROR(INDEX(记账规则!$A$6:$N$9,MATCH(购销流水!$D559,记账规则!$A$6:$A$9,0),4),""))</f>
        <v/>
      </c>
      <c r="N2218" s="66" t="str">
        <f aca="false">IF($L2218="","",IFERROR(INDEX(记账规则!$A$6:$N$9,MATCH(购销流水!$D559,记账规则!$A$6:$A$9,0),5),""))</f>
        <v/>
      </c>
      <c r="O2218" s="67" t="n">
        <f aca="false">IF($H2218="",0,ROUND(IF($N2218="成本金额",N(购销流水!$W559),IF($N2218="金额",N(购销流水!$Q559),0)),2))</f>
        <v>0</v>
      </c>
      <c r="P2218" s="64" t="str">
        <f aca="false">IF(AND($H2218&lt;&gt;"",ROUND($O2218,2)&lt;&gt;0),"有","")</f>
        <v/>
      </c>
    </row>
    <row r="2219" customFormat="false" ht="15" hidden="true" customHeight="false" outlineLevel="0" collapsed="false">
      <c r="A2219" s="53" t="str">
        <f aca="false">IF($H2219="","",ROW()-5)</f>
        <v/>
      </c>
      <c r="B2219" s="64" t="s">
        <v>36</v>
      </c>
      <c r="C2219" s="53" t="n">
        <v>559</v>
      </c>
      <c r="D2219" s="53" t="n">
        <v>2</v>
      </c>
      <c r="E2219" s="65" t="str">
        <f aca="false">IF($H2219="","",购销流水!$B559)</f>
        <v/>
      </c>
      <c r="F2219" s="55" t="str">
        <f aca="false">IF($H2219="","",购销流水!$C559)</f>
        <v/>
      </c>
      <c r="G2219" s="48" t="str">
        <f aca="false">IF($H2219="","",购销流水!$N559)</f>
        <v/>
      </c>
      <c r="H2219" s="10" t="str">
        <f aca="false">IF($L2219="","",IF($L2219="@成本",购销流水!$U559,IF($L2219="@收入",购销流水!$T559,IF($L2219="@存货",购销流水!$S559,IF($L2219="@结算",购销流水!$R559,$L2219)))))</f>
        <v/>
      </c>
      <c r="I2219" s="42" t="n">
        <f aca="false">IF($M2219="借",$O2219,0)</f>
        <v>0</v>
      </c>
      <c r="J2219" s="42" t="n">
        <f aca="false">IF($M2219="贷",$O2219,0)</f>
        <v>0</v>
      </c>
      <c r="K2219" s="48" t="str">
        <f aca="false">IF($H2219="","",购销流水!$E559)</f>
        <v/>
      </c>
      <c r="L2219" s="66" t="str">
        <f aca="false">IF(购销流水!$D559="","",IFERROR(INDEX(记账规则!$A$6:$N$9,MATCH(购销流水!$D559,记账规则!$A$6:$A$9,0),6),""))</f>
        <v/>
      </c>
      <c r="M2219" s="66" t="str">
        <f aca="false">IF($L2219="","",IFERROR(INDEX(记账规则!$A$6:$N$9,MATCH(购销流水!$D559,记账规则!$A$6:$A$9,0),7),""))</f>
        <v/>
      </c>
      <c r="N2219" s="66" t="str">
        <f aca="false">IF($L2219="","",IFERROR(INDEX(记账规则!$A$6:$N$9,MATCH(购销流水!$D559,记账规则!$A$6:$A$9,0),8),""))</f>
        <v/>
      </c>
      <c r="O2219" s="67" t="n">
        <f aca="false">IF($H2219="",0,ROUND(IF($N2219="成本金额",N(购销流水!$W559),IF($N2219="金额",N(购销流水!$Q559),0)),2))</f>
        <v>0</v>
      </c>
      <c r="P2219" s="64" t="str">
        <f aca="false">IF(AND($H2219&lt;&gt;"",ROUND($O2219,2)&lt;&gt;0),"有","")</f>
        <v/>
      </c>
    </row>
    <row r="2220" customFormat="false" ht="15" hidden="true" customHeight="false" outlineLevel="0" collapsed="false">
      <c r="A2220" s="53" t="str">
        <f aca="false">IF($H2220="","",ROW()-5)</f>
        <v/>
      </c>
      <c r="B2220" s="64" t="s">
        <v>36</v>
      </c>
      <c r="C2220" s="53" t="n">
        <v>559</v>
      </c>
      <c r="D2220" s="53" t="n">
        <v>3</v>
      </c>
      <c r="E2220" s="65" t="str">
        <f aca="false">IF($H2220="","",购销流水!$B559)</f>
        <v/>
      </c>
      <c r="F2220" s="55" t="str">
        <f aca="false">IF($H2220="","",购销流水!$C559)</f>
        <v/>
      </c>
      <c r="G2220" s="48" t="str">
        <f aca="false">IF($H2220="","",购销流水!$N559)</f>
        <v/>
      </c>
      <c r="H2220" s="10" t="str">
        <f aca="false">IF($L2220="","",IF($L2220="@成本",购销流水!$U559,IF($L2220="@收入",购销流水!$T559,IF($L2220="@存货",购销流水!$S559,IF($L2220="@结算",购销流水!$R559,$L2220)))))</f>
        <v/>
      </c>
      <c r="I2220" s="42" t="n">
        <f aca="false">IF($M2220="借",$O2220,0)</f>
        <v>0</v>
      </c>
      <c r="J2220" s="42" t="n">
        <f aca="false">IF($M2220="贷",$O2220,0)</f>
        <v>0</v>
      </c>
      <c r="K2220" s="48" t="str">
        <f aca="false">IF($H2220="","",购销流水!$E559)</f>
        <v/>
      </c>
      <c r="L2220" s="66" t="str">
        <f aca="false">IF(购销流水!$D559="","",IFERROR(INDEX(记账规则!$A$6:$N$9,MATCH(购销流水!$D559,记账规则!$A$6:$A$9,0),9),""))</f>
        <v/>
      </c>
      <c r="M2220" s="66" t="str">
        <f aca="false">IF($L2220="","",IFERROR(INDEX(记账规则!$A$6:$N$9,MATCH(购销流水!$D559,记账规则!$A$6:$A$9,0),10),""))</f>
        <v/>
      </c>
      <c r="N2220" s="66" t="str">
        <f aca="false">IF($L2220="","",IFERROR(INDEX(记账规则!$A$6:$N$9,MATCH(购销流水!$D559,记账规则!$A$6:$A$9,0),11),""))</f>
        <v/>
      </c>
      <c r="O2220" s="67" t="n">
        <f aca="false">IF($H2220="",0,ROUND(IF($N2220="成本金额",N(购销流水!$W559),IF($N2220="金额",N(购销流水!$Q559),0)),2))</f>
        <v>0</v>
      </c>
      <c r="P2220" s="64" t="str">
        <f aca="false">IF(AND($H2220&lt;&gt;"",ROUND($O2220,2)&lt;&gt;0),"有","")</f>
        <v/>
      </c>
    </row>
    <row r="2221" customFormat="false" ht="15" hidden="true" customHeight="false" outlineLevel="0" collapsed="false">
      <c r="A2221" s="53" t="str">
        <f aca="false">IF($H2221="","",ROW()-5)</f>
        <v/>
      </c>
      <c r="B2221" s="64" t="s">
        <v>36</v>
      </c>
      <c r="C2221" s="53" t="n">
        <v>559</v>
      </c>
      <c r="D2221" s="53" t="n">
        <v>4</v>
      </c>
      <c r="E2221" s="65" t="str">
        <f aca="false">IF($H2221="","",购销流水!$B559)</f>
        <v/>
      </c>
      <c r="F2221" s="55" t="str">
        <f aca="false">IF($H2221="","",购销流水!$C559)</f>
        <v/>
      </c>
      <c r="G2221" s="48" t="str">
        <f aca="false">IF($H2221="","",购销流水!$N559)</f>
        <v/>
      </c>
      <c r="H2221" s="10" t="str">
        <f aca="false">IF($L2221="","",IF($L2221="@成本",购销流水!$U559,IF($L2221="@收入",购销流水!$T559,IF($L2221="@存货",购销流水!$S559,IF($L2221="@结算",购销流水!$R559,$L2221)))))</f>
        <v/>
      </c>
      <c r="I2221" s="42" t="n">
        <f aca="false">IF($M2221="借",$O2221,0)</f>
        <v>0</v>
      </c>
      <c r="J2221" s="42" t="n">
        <f aca="false">IF($M2221="贷",$O2221,0)</f>
        <v>0</v>
      </c>
      <c r="K2221" s="48" t="str">
        <f aca="false">IF($H2221="","",购销流水!$E559)</f>
        <v/>
      </c>
      <c r="L2221" s="66" t="str">
        <f aca="false">IF(购销流水!$D559="","",IFERROR(INDEX(记账规则!$A$6:$N$9,MATCH(购销流水!$D559,记账规则!$A$6:$A$9,0),12),""))</f>
        <v/>
      </c>
      <c r="M2221" s="66" t="str">
        <f aca="false">IF($L2221="","",IFERROR(INDEX(记账规则!$A$6:$N$9,MATCH(购销流水!$D559,记账规则!$A$6:$A$9,0),13),""))</f>
        <v/>
      </c>
      <c r="N2221" s="66" t="str">
        <f aca="false">IF($L2221="","",IFERROR(INDEX(记账规则!$A$6:$N$9,MATCH(购销流水!$D559,记账规则!$A$6:$A$9,0),14),""))</f>
        <v/>
      </c>
      <c r="O2221" s="67" t="n">
        <f aca="false">IF($H2221="",0,ROUND(IF($N2221="成本金额",N(购销流水!$W559),IF($N2221="金额",N(购销流水!$Q559),0)),2))</f>
        <v>0</v>
      </c>
      <c r="P2221" s="64" t="str">
        <f aca="false">IF(AND($H2221&lt;&gt;"",ROUND($O2221,2)&lt;&gt;0),"有","")</f>
        <v/>
      </c>
    </row>
    <row r="2222" customFormat="false" ht="15" hidden="true" customHeight="false" outlineLevel="0" collapsed="false">
      <c r="A2222" s="53" t="str">
        <f aca="false">IF($H2222="","",ROW()-5)</f>
        <v/>
      </c>
      <c r="B2222" s="64" t="s">
        <v>36</v>
      </c>
      <c r="C2222" s="53" t="n">
        <v>560</v>
      </c>
      <c r="D2222" s="53" t="n">
        <v>1</v>
      </c>
      <c r="E2222" s="65" t="str">
        <f aca="false">IF($H2222="","",购销流水!$B560)</f>
        <v/>
      </c>
      <c r="F2222" s="55" t="str">
        <f aca="false">IF($H2222="","",购销流水!$C560)</f>
        <v/>
      </c>
      <c r="G2222" s="48" t="str">
        <f aca="false">IF($H2222="","",购销流水!$N560)</f>
        <v/>
      </c>
      <c r="H2222" s="10" t="str">
        <f aca="false">IF($L2222="","",IF($L2222="@成本",购销流水!$U560,IF($L2222="@收入",购销流水!$T560,IF($L2222="@存货",购销流水!$S560,IF($L2222="@结算",购销流水!$R560,$L2222)))))</f>
        <v/>
      </c>
      <c r="I2222" s="42" t="n">
        <f aca="false">IF($M2222="借",$O2222,0)</f>
        <v>0</v>
      </c>
      <c r="J2222" s="42" t="n">
        <f aca="false">IF($M2222="贷",$O2222,0)</f>
        <v>0</v>
      </c>
      <c r="K2222" s="48" t="str">
        <f aca="false">IF($H2222="","",购销流水!$E560)</f>
        <v/>
      </c>
      <c r="L2222" s="66" t="str">
        <f aca="false">IF(购销流水!$D560="","",IFERROR(INDEX(记账规则!$A$6:$N$9,MATCH(购销流水!$D560,记账规则!$A$6:$A$9,0),3),""))</f>
        <v/>
      </c>
      <c r="M2222" s="66" t="str">
        <f aca="false">IF($L2222="","",IFERROR(INDEX(记账规则!$A$6:$N$9,MATCH(购销流水!$D560,记账规则!$A$6:$A$9,0),4),""))</f>
        <v/>
      </c>
      <c r="N2222" s="66" t="str">
        <f aca="false">IF($L2222="","",IFERROR(INDEX(记账规则!$A$6:$N$9,MATCH(购销流水!$D560,记账规则!$A$6:$A$9,0),5),""))</f>
        <v/>
      </c>
      <c r="O2222" s="67" t="n">
        <f aca="false">IF($H2222="",0,ROUND(IF($N2222="成本金额",N(购销流水!$W560),IF($N2222="金额",N(购销流水!$Q560),0)),2))</f>
        <v>0</v>
      </c>
      <c r="P2222" s="64" t="str">
        <f aca="false">IF(AND($H2222&lt;&gt;"",ROUND($O2222,2)&lt;&gt;0),"有","")</f>
        <v/>
      </c>
    </row>
    <row r="2223" customFormat="false" ht="15" hidden="true" customHeight="false" outlineLevel="0" collapsed="false">
      <c r="A2223" s="53" t="str">
        <f aca="false">IF($H2223="","",ROW()-5)</f>
        <v/>
      </c>
      <c r="B2223" s="64" t="s">
        <v>36</v>
      </c>
      <c r="C2223" s="53" t="n">
        <v>560</v>
      </c>
      <c r="D2223" s="53" t="n">
        <v>2</v>
      </c>
      <c r="E2223" s="65" t="str">
        <f aca="false">IF($H2223="","",购销流水!$B560)</f>
        <v/>
      </c>
      <c r="F2223" s="55" t="str">
        <f aca="false">IF($H2223="","",购销流水!$C560)</f>
        <v/>
      </c>
      <c r="G2223" s="48" t="str">
        <f aca="false">IF($H2223="","",购销流水!$N560)</f>
        <v/>
      </c>
      <c r="H2223" s="10" t="str">
        <f aca="false">IF($L2223="","",IF($L2223="@成本",购销流水!$U560,IF($L2223="@收入",购销流水!$T560,IF($L2223="@存货",购销流水!$S560,IF($L2223="@结算",购销流水!$R560,$L2223)))))</f>
        <v/>
      </c>
      <c r="I2223" s="42" t="n">
        <f aca="false">IF($M2223="借",$O2223,0)</f>
        <v>0</v>
      </c>
      <c r="J2223" s="42" t="n">
        <f aca="false">IF($M2223="贷",$O2223,0)</f>
        <v>0</v>
      </c>
      <c r="K2223" s="48" t="str">
        <f aca="false">IF($H2223="","",购销流水!$E560)</f>
        <v/>
      </c>
      <c r="L2223" s="66" t="str">
        <f aca="false">IF(购销流水!$D560="","",IFERROR(INDEX(记账规则!$A$6:$N$9,MATCH(购销流水!$D560,记账规则!$A$6:$A$9,0),6),""))</f>
        <v/>
      </c>
      <c r="M2223" s="66" t="str">
        <f aca="false">IF($L2223="","",IFERROR(INDEX(记账规则!$A$6:$N$9,MATCH(购销流水!$D560,记账规则!$A$6:$A$9,0),7),""))</f>
        <v/>
      </c>
      <c r="N2223" s="66" t="str">
        <f aca="false">IF($L2223="","",IFERROR(INDEX(记账规则!$A$6:$N$9,MATCH(购销流水!$D560,记账规则!$A$6:$A$9,0),8),""))</f>
        <v/>
      </c>
      <c r="O2223" s="67" t="n">
        <f aca="false">IF($H2223="",0,ROUND(IF($N2223="成本金额",N(购销流水!$W560),IF($N2223="金额",N(购销流水!$Q560),0)),2))</f>
        <v>0</v>
      </c>
      <c r="P2223" s="64" t="str">
        <f aca="false">IF(AND($H2223&lt;&gt;"",ROUND($O2223,2)&lt;&gt;0),"有","")</f>
        <v/>
      </c>
    </row>
    <row r="2224" customFormat="false" ht="15" hidden="true" customHeight="false" outlineLevel="0" collapsed="false">
      <c r="A2224" s="53" t="str">
        <f aca="false">IF($H2224="","",ROW()-5)</f>
        <v/>
      </c>
      <c r="B2224" s="64" t="s">
        <v>36</v>
      </c>
      <c r="C2224" s="53" t="n">
        <v>560</v>
      </c>
      <c r="D2224" s="53" t="n">
        <v>3</v>
      </c>
      <c r="E2224" s="65" t="str">
        <f aca="false">IF($H2224="","",购销流水!$B560)</f>
        <v/>
      </c>
      <c r="F2224" s="55" t="str">
        <f aca="false">IF($H2224="","",购销流水!$C560)</f>
        <v/>
      </c>
      <c r="G2224" s="48" t="str">
        <f aca="false">IF($H2224="","",购销流水!$N560)</f>
        <v/>
      </c>
      <c r="H2224" s="10" t="str">
        <f aca="false">IF($L2224="","",IF($L2224="@成本",购销流水!$U560,IF($L2224="@收入",购销流水!$T560,IF($L2224="@存货",购销流水!$S560,IF($L2224="@结算",购销流水!$R560,$L2224)))))</f>
        <v/>
      </c>
      <c r="I2224" s="42" t="n">
        <f aca="false">IF($M2224="借",$O2224,0)</f>
        <v>0</v>
      </c>
      <c r="J2224" s="42" t="n">
        <f aca="false">IF($M2224="贷",$O2224,0)</f>
        <v>0</v>
      </c>
      <c r="K2224" s="48" t="str">
        <f aca="false">IF($H2224="","",购销流水!$E560)</f>
        <v/>
      </c>
      <c r="L2224" s="66" t="str">
        <f aca="false">IF(购销流水!$D560="","",IFERROR(INDEX(记账规则!$A$6:$N$9,MATCH(购销流水!$D560,记账规则!$A$6:$A$9,0),9),""))</f>
        <v/>
      </c>
      <c r="M2224" s="66" t="str">
        <f aca="false">IF($L2224="","",IFERROR(INDEX(记账规则!$A$6:$N$9,MATCH(购销流水!$D560,记账规则!$A$6:$A$9,0),10),""))</f>
        <v/>
      </c>
      <c r="N2224" s="66" t="str">
        <f aca="false">IF($L2224="","",IFERROR(INDEX(记账规则!$A$6:$N$9,MATCH(购销流水!$D560,记账规则!$A$6:$A$9,0),11),""))</f>
        <v/>
      </c>
      <c r="O2224" s="67" t="n">
        <f aca="false">IF($H2224="",0,ROUND(IF($N2224="成本金额",N(购销流水!$W560),IF($N2224="金额",N(购销流水!$Q560),0)),2))</f>
        <v>0</v>
      </c>
      <c r="P2224" s="64" t="str">
        <f aca="false">IF(AND($H2224&lt;&gt;"",ROUND($O2224,2)&lt;&gt;0),"有","")</f>
        <v/>
      </c>
    </row>
    <row r="2225" customFormat="false" ht="15" hidden="true" customHeight="false" outlineLevel="0" collapsed="false">
      <c r="A2225" s="53" t="str">
        <f aca="false">IF($H2225="","",ROW()-5)</f>
        <v/>
      </c>
      <c r="B2225" s="64" t="s">
        <v>36</v>
      </c>
      <c r="C2225" s="53" t="n">
        <v>560</v>
      </c>
      <c r="D2225" s="53" t="n">
        <v>4</v>
      </c>
      <c r="E2225" s="65" t="str">
        <f aca="false">IF($H2225="","",购销流水!$B560)</f>
        <v/>
      </c>
      <c r="F2225" s="55" t="str">
        <f aca="false">IF($H2225="","",购销流水!$C560)</f>
        <v/>
      </c>
      <c r="G2225" s="48" t="str">
        <f aca="false">IF($H2225="","",购销流水!$N560)</f>
        <v/>
      </c>
      <c r="H2225" s="10" t="str">
        <f aca="false">IF($L2225="","",IF($L2225="@成本",购销流水!$U560,IF($L2225="@收入",购销流水!$T560,IF($L2225="@存货",购销流水!$S560,IF($L2225="@结算",购销流水!$R560,$L2225)))))</f>
        <v/>
      </c>
      <c r="I2225" s="42" t="n">
        <f aca="false">IF($M2225="借",$O2225,0)</f>
        <v>0</v>
      </c>
      <c r="J2225" s="42" t="n">
        <f aca="false">IF($M2225="贷",$O2225,0)</f>
        <v>0</v>
      </c>
      <c r="K2225" s="48" t="str">
        <f aca="false">IF($H2225="","",购销流水!$E560)</f>
        <v/>
      </c>
      <c r="L2225" s="66" t="str">
        <f aca="false">IF(购销流水!$D560="","",IFERROR(INDEX(记账规则!$A$6:$N$9,MATCH(购销流水!$D560,记账规则!$A$6:$A$9,0),12),""))</f>
        <v/>
      </c>
      <c r="M2225" s="66" t="str">
        <f aca="false">IF($L2225="","",IFERROR(INDEX(记账规则!$A$6:$N$9,MATCH(购销流水!$D560,记账规则!$A$6:$A$9,0),13),""))</f>
        <v/>
      </c>
      <c r="N2225" s="66" t="str">
        <f aca="false">IF($L2225="","",IFERROR(INDEX(记账规则!$A$6:$N$9,MATCH(购销流水!$D560,记账规则!$A$6:$A$9,0),14),""))</f>
        <v/>
      </c>
      <c r="O2225" s="67" t="n">
        <f aca="false">IF($H2225="",0,ROUND(IF($N2225="成本金额",N(购销流水!$W560),IF($N2225="金额",N(购销流水!$Q560),0)),2))</f>
        <v>0</v>
      </c>
      <c r="P2225" s="64" t="str">
        <f aca="false">IF(AND($H2225&lt;&gt;"",ROUND($O2225,2)&lt;&gt;0),"有","")</f>
        <v/>
      </c>
    </row>
    <row r="2226" customFormat="false" ht="15" hidden="true" customHeight="false" outlineLevel="0" collapsed="false">
      <c r="A2226" s="53" t="str">
        <f aca="false">IF($H2226="","",ROW()-5)</f>
        <v/>
      </c>
      <c r="B2226" s="64" t="s">
        <v>36</v>
      </c>
      <c r="C2226" s="53" t="n">
        <v>561</v>
      </c>
      <c r="D2226" s="53" t="n">
        <v>1</v>
      </c>
      <c r="E2226" s="65" t="str">
        <f aca="false">IF($H2226="","",购销流水!$B561)</f>
        <v/>
      </c>
      <c r="F2226" s="55" t="str">
        <f aca="false">IF($H2226="","",购销流水!$C561)</f>
        <v/>
      </c>
      <c r="G2226" s="48" t="str">
        <f aca="false">IF($H2226="","",购销流水!$N561)</f>
        <v/>
      </c>
      <c r="H2226" s="10" t="str">
        <f aca="false">IF($L2226="","",IF($L2226="@成本",购销流水!$U561,IF($L2226="@收入",购销流水!$T561,IF($L2226="@存货",购销流水!$S561,IF($L2226="@结算",购销流水!$R561,$L2226)))))</f>
        <v/>
      </c>
      <c r="I2226" s="42" t="n">
        <f aca="false">IF($M2226="借",$O2226,0)</f>
        <v>0</v>
      </c>
      <c r="J2226" s="42" t="n">
        <f aca="false">IF($M2226="贷",$O2226,0)</f>
        <v>0</v>
      </c>
      <c r="K2226" s="48" t="str">
        <f aca="false">IF($H2226="","",购销流水!$E561)</f>
        <v/>
      </c>
      <c r="L2226" s="66" t="str">
        <f aca="false">IF(购销流水!$D561="","",IFERROR(INDEX(记账规则!$A$6:$N$9,MATCH(购销流水!$D561,记账规则!$A$6:$A$9,0),3),""))</f>
        <v/>
      </c>
      <c r="M2226" s="66" t="str">
        <f aca="false">IF($L2226="","",IFERROR(INDEX(记账规则!$A$6:$N$9,MATCH(购销流水!$D561,记账规则!$A$6:$A$9,0),4),""))</f>
        <v/>
      </c>
      <c r="N2226" s="66" t="str">
        <f aca="false">IF($L2226="","",IFERROR(INDEX(记账规则!$A$6:$N$9,MATCH(购销流水!$D561,记账规则!$A$6:$A$9,0),5),""))</f>
        <v/>
      </c>
      <c r="O2226" s="67" t="n">
        <f aca="false">IF($H2226="",0,ROUND(IF($N2226="成本金额",N(购销流水!$W561),IF($N2226="金额",N(购销流水!$Q561),0)),2))</f>
        <v>0</v>
      </c>
      <c r="P2226" s="64" t="str">
        <f aca="false">IF(AND($H2226&lt;&gt;"",ROUND($O2226,2)&lt;&gt;0),"有","")</f>
        <v/>
      </c>
    </row>
    <row r="2227" customFormat="false" ht="15" hidden="true" customHeight="false" outlineLevel="0" collapsed="false">
      <c r="A2227" s="53" t="str">
        <f aca="false">IF($H2227="","",ROW()-5)</f>
        <v/>
      </c>
      <c r="B2227" s="64" t="s">
        <v>36</v>
      </c>
      <c r="C2227" s="53" t="n">
        <v>561</v>
      </c>
      <c r="D2227" s="53" t="n">
        <v>2</v>
      </c>
      <c r="E2227" s="65" t="str">
        <f aca="false">IF($H2227="","",购销流水!$B561)</f>
        <v/>
      </c>
      <c r="F2227" s="55" t="str">
        <f aca="false">IF($H2227="","",购销流水!$C561)</f>
        <v/>
      </c>
      <c r="G2227" s="48" t="str">
        <f aca="false">IF($H2227="","",购销流水!$N561)</f>
        <v/>
      </c>
      <c r="H2227" s="10" t="str">
        <f aca="false">IF($L2227="","",IF($L2227="@成本",购销流水!$U561,IF($L2227="@收入",购销流水!$T561,IF($L2227="@存货",购销流水!$S561,IF($L2227="@结算",购销流水!$R561,$L2227)))))</f>
        <v/>
      </c>
      <c r="I2227" s="42" t="n">
        <f aca="false">IF($M2227="借",$O2227,0)</f>
        <v>0</v>
      </c>
      <c r="J2227" s="42" t="n">
        <f aca="false">IF($M2227="贷",$O2227,0)</f>
        <v>0</v>
      </c>
      <c r="K2227" s="48" t="str">
        <f aca="false">IF($H2227="","",购销流水!$E561)</f>
        <v/>
      </c>
      <c r="L2227" s="66" t="str">
        <f aca="false">IF(购销流水!$D561="","",IFERROR(INDEX(记账规则!$A$6:$N$9,MATCH(购销流水!$D561,记账规则!$A$6:$A$9,0),6),""))</f>
        <v/>
      </c>
      <c r="M2227" s="66" t="str">
        <f aca="false">IF($L2227="","",IFERROR(INDEX(记账规则!$A$6:$N$9,MATCH(购销流水!$D561,记账规则!$A$6:$A$9,0),7),""))</f>
        <v/>
      </c>
      <c r="N2227" s="66" t="str">
        <f aca="false">IF($L2227="","",IFERROR(INDEX(记账规则!$A$6:$N$9,MATCH(购销流水!$D561,记账规则!$A$6:$A$9,0),8),""))</f>
        <v/>
      </c>
      <c r="O2227" s="67" t="n">
        <f aca="false">IF($H2227="",0,ROUND(IF($N2227="成本金额",N(购销流水!$W561),IF($N2227="金额",N(购销流水!$Q561),0)),2))</f>
        <v>0</v>
      </c>
      <c r="P2227" s="64" t="str">
        <f aca="false">IF(AND($H2227&lt;&gt;"",ROUND($O2227,2)&lt;&gt;0),"有","")</f>
        <v/>
      </c>
    </row>
    <row r="2228" customFormat="false" ht="15" hidden="true" customHeight="false" outlineLevel="0" collapsed="false">
      <c r="A2228" s="53" t="str">
        <f aca="false">IF($H2228="","",ROW()-5)</f>
        <v/>
      </c>
      <c r="B2228" s="64" t="s">
        <v>36</v>
      </c>
      <c r="C2228" s="53" t="n">
        <v>561</v>
      </c>
      <c r="D2228" s="53" t="n">
        <v>3</v>
      </c>
      <c r="E2228" s="65" t="str">
        <f aca="false">IF($H2228="","",购销流水!$B561)</f>
        <v/>
      </c>
      <c r="F2228" s="55" t="str">
        <f aca="false">IF($H2228="","",购销流水!$C561)</f>
        <v/>
      </c>
      <c r="G2228" s="48" t="str">
        <f aca="false">IF($H2228="","",购销流水!$N561)</f>
        <v/>
      </c>
      <c r="H2228" s="10" t="str">
        <f aca="false">IF($L2228="","",IF($L2228="@成本",购销流水!$U561,IF($L2228="@收入",购销流水!$T561,IF($L2228="@存货",购销流水!$S561,IF($L2228="@结算",购销流水!$R561,$L2228)))))</f>
        <v/>
      </c>
      <c r="I2228" s="42" t="n">
        <f aca="false">IF($M2228="借",$O2228,0)</f>
        <v>0</v>
      </c>
      <c r="J2228" s="42" t="n">
        <f aca="false">IF($M2228="贷",$O2228,0)</f>
        <v>0</v>
      </c>
      <c r="K2228" s="48" t="str">
        <f aca="false">IF($H2228="","",购销流水!$E561)</f>
        <v/>
      </c>
      <c r="L2228" s="66" t="str">
        <f aca="false">IF(购销流水!$D561="","",IFERROR(INDEX(记账规则!$A$6:$N$9,MATCH(购销流水!$D561,记账规则!$A$6:$A$9,0),9),""))</f>
        <v/>
      </c>
      <c r="M2228" s="66" t="str">
        <f aca="false">IF($L2228="","",IFERROR(INDEX(记账规则!$A$6:$N$9,MATCH(购销流水!$D561,记账规则!$A$6:$A$9,0),10),""))</f>
        <v/>
      </c>
      <c r="N2228" s="66" t="str">
        <f aca="false">IF($L2228="","",IFERROR(INDEX(记账规则!$A$6:$N$9,MATCH(购销流水!$D561,记账规则!$A$6:$A$9,0),11),""))</f>
        <v/>
      </c>
      <c r="O2228" s="67" t="n">
        <f aca="false">IF($H2228="",0,ROUND(IF($N2228="成本金额",N(购销流水!$W561),IF($N2228="金额",N(购销流水!$Q561),0)),2))</f>
        <v>0</v>
      </c>
      <c r="P2228" s="64" t="str">
        <f aca="false">IF(AND($H2228&lt;&gt;"",ROUND($O2228,2)&lt;&gt;0),"有","")</f>
        <v/>
      </c>
    </row>
    <row r="2229" customFormat="false" ht="15" hidden="true" customHeight="false" outlineLevel="0" collapsed="false">
      <c r="A2229" s="53" t="str">
        <f aca="false">IF($H2229="","",ROW()-5)</f>
        <v/>
      </c>
      <c r="B2229" s="64" t="s">
        <v>36</v>
      </c>
      <c r="C2229" s="53" t="n">
        <v>561</v>
      </c>
      <c r="D2229" s="53" t="n">
        <v>4</v>
      </c>
      <c r="E2229" s="65" t="str">
        <f aca="false">IF($H2229="","",购销流水!$B561)</f>
        <v/>
      </c>
      <c r="F2229" s="55" t="str">
        <f aca="false">IF($H2229="","",购销流水!$C561)</f>
        <v/>
      </c>
      <c r="G2229" s="48" t="str">
        <f aca="false">IF($H2229="","",购销流水!$N561)</f>
        <v/>
      </c>
      <c r="H2229" s="10" t="str">
        <f aca="false">IF($L2229="","",IF($L2229="@成本",购销流水!$U561,IF($L2229="@收入",购销流水!$T561,IF($L2229="@存货",购销流水!$S561,IF($L2229="@结算",购销流水!$R561,$L2229)))))</f>
        <v/>
      </c>
      <c r="I2229" s="42" t="n">
        <f aca="false">IF($M2229="借",$O2229,0)</f>
        <v>0</v>
      </c>
      <c r="J2229" s="42" t="n">
        <f aca="false">IF($M2229="贷",$O2229,0)</f>
        <v>0</v>
      </c>
      <c r="K2229" s="48" t="str">
        <f aca="false">IF($H2229="","",购销流水!$E561)</f>
        <v/>
      </c>
      <c r="L2229" s="66" t="str">
        <f aca="false">IF(购销流水!$D561="","",IFERROR(INDEX(记账规则!$A$6:$N$9,MATCH(购销流水!$D561,记账规则!$A$6:$A$9,0),12),""))</f>
        <v/>
      </c>
      <c r="M2229" s="66" t="str">
        <f aca="false">IF($L2229="","",IFERROR(INDEX(记账规则!$A$6:$N$9,MATCH(购销流水!$D561,记账规则!$A$6:$A$9,0),13),""))</f>
        <v/>
      </c>
      <c r="N2229" s="66" t="str">
        <f aca="false">IF($L2229="","",IFERROR(INDEX(记账规则!$A$6:$N$9,MATCH(购销流水!$D561,记账规则!$A$6:$A$9,0),14),""))</f>
        <v/>
      </c>
      <c r="O2229" s="67" t="n">
        <f aca="false">IF($H2229="",0,ROUND(IF($N2229="成本金额",N(购销流水!$W561),IF($N2229="金额",N(购销流水!$Q561),0)),2))</f>
        <v>0</v>
      </c>
      <c r="P2229" s="64" t="str">
        <f aca="false">IF(AND($H2229&lt;&gt;"",ROUND($O2229,2)&lt;&gt;0),"有","")</f>
        <v/>
      </c>
    </row>
    <row r="2230" customFormat="false" ht="15" hidden="true" customHeight="false" outlineLevel="0" collapsed="false">
      <c r="A2230" s="53" t="str">
        <f aca="false">IF($H2230="","",ROW()-5)</f>
        <v/>
      </c>
      <c r="B2230" s="64" t="s">
        <v>36</v>
      </c>
      <c r="C2230" s="53" t="n">
        <v>562</v>
      </c>
      <c r="D2230" s="53" t="n">
        <v>1</v>
      </c>
      <c r="E2230" s="65" t="str">
        <f aca="false">IF($H2230="","",购销流水!$B562)</f>
        <v/>
      </c>
      <c r="F2230" s="55" t="str">
        <f aca="false">IF($H2230="","",购销流水!$C562)</f>
        <v/>
      </c>
      <c r="G2230" s="48" t="str">
        <f aca="false">IF($H2230="","",购销流水!$N562)</f>
        <v/>
      </c>
      <c r="H2230" s="10" t="str">
        <f aca="false">IF($L2230="","",IF($L2230="@成本",购销流水!$U562,IF($L2230="@收入",购销流水!$T562,IF($L2230="@存货",购销流水!$S562,IF($L2230="@结算",购销流水!$R562,$L2230)))))</f>
        <v/>
      </c>
      <c r="I2230" s="42" t="n">
        <f aca="false">IF($M2230="借",$O2230,0)</f>
        <v>0</v>
      </c>
      <c r="J2230" s="42" t="n">
        <f aca="false">IF($M2230="贷",$O2230,0)</f>
        <v>0</v>
      </c>
      <c r="K2230" s="48" t="str">
        <f aca="false">IF($H2230="","",购销流水!$E562)</f>
        <v/>
      </c>
      <c r="L2230" s="66" t="str">
        <f aca="false">IF(购销流水!$D562="","",IFERROR(INDEX(记账规则!$A$6:$N$9,MATCH(购销流水!$D562,记账规则!$A$6:$A$9,0),3),""))</f>
        <v/>
      </c>
      <c r="M2230" s="66" t="str">
        <f aca="false">IF($L2230="","",IFERROR(INDEX(记账规则!$A$6:$N$9,MATCH(购销流水!$D562,记账规则!$A$6:$A$9,0),4),""))</f>
        <v/>
      </c>
      <c r="N2230" s="66" t="str">
        <f aca="false">IF($L2230="","",IFERROR(INDEX(记账规则!$A$6:$N$9,MATCH(购销流水!$D562,记账规则!$A$6:$A$9,0),5),""))</f>
        <v/>
      </c>
      <c r="O2230" s="67" t="n">
        <f aca="false">IF($H2230="",0,ROUND(IF($N2230="成本金额",N(购销流水!$W562),IF($N2230="金额",N(购销流水!$Q562),0)),2))</f>
        <v>0</v>
      </c>
      <c r="P2230" s="64" t="str">
        <f aca="false">IF(AND($H2230&lt;&gt;"",ROUND($O2230,2)&lt;&gt;0),"有","")</f>
        <v/>
      </c>
    </row>
    <row r="2231" customFormat="false" ht="15" hidden="true" customHeight="false" outlineLevel="0" collapsed="false">
      <c r="A2231" s="53" t="str">
        <f aca="false">IF($H2231="","",ROW()-5)</f>
        <v/>
      </c>
      <c r="B2231" s="64" t="s">
        <v>36</v>
      </c>
      <c r="C2231" s="53" t="n">
        <v>562</v>
      </c>
      <c r="D2231" s="53" t="n">
        <v>2</v>
      </c>
      <c r="E2231" s="65" t="str">
        <f aca="false">IF($H2231="","",购销流水!$B562)</f>
        <v/>
      </c>
      <c r="F2231" s="55" t="str">
        <f aca="false">IF($H2231="","",购销流水!$C562)</f>
        <v/>
      </c>
      <c r="G2231" s="48" t="str">
        <f aca="false">IF($H2231="","",购销流水!$N562)</f>
        <v/>
      </c>
      <c r="H2231" s="10" t="str">
        <f aca="false">IF($L2231="","",IF($L2231="@成本",购销流水!$U562,IF($L2231="@收入",购销流水!$T562,IF($L2231="@存货",购销流水!$S562,IF($L2231="@结算",购销流水!$R562,$L2231)))))</f>
        <v/>
      </c>
      <c r="I2231" s="42" t="n">
        <f aca="false">IF($M2231="借",$O2231,0)</f>
        <v>0</v>
      </c>
      <c r="J2231" s="42" t="n">
        <f aca="false">IF($M2231="贷",$O2231,0)</f>
        <v>0</v>
      </c>
      <c r="K2231" s="48" t="str">
        <f aca="false">IF($H2231="","",购销流水!$E562)</f>
        <v/>
      </c>
      <c r="L2231" s="66" t="str">
        <f aca="false">IF(购销流水!$D562="","",IFERROR(INDEX(记账规则!$A$6:$N$9,MATCH(购销流水!$D562,记账规则!$A$6:$A$9,0),6),""))</f>
        <v/>
      </c>
      <c r="M2231" s="66" t="str">
        <f aca="false">IF($L2231="","",IFERROR(INDEX(记账规则!$A$6:$N$9,MATCH(购销流水!$D562,记账规则!$A$6:$A$9,0),7),""))</f>
        <v/>
      </c>
      <c r="N2231" s="66" t="str">
        <f aca="false">IF($L2231="","",IFERROR(INDEX(记账规则!$A$6:$N$9,MATCH(购销流水!$D562,记账规则!$A$6:$A$9,0),8),""))</f>
        <v/>
      </c>
      <c r="O2231" s="67" t="n">
        <f aca="false">IF($H2231="",0,ROUND(IF($N2231="成本金额",N(购销流水!$W562),IF($N2231="金额",N(购销流水!$Q562),0)),2))</f>
        <v>0</v>
      </c>
      <c r="P2231" s="64" t="str">
        <f aca="false">IF(AND($H2231&lt;&gt;"",ROUND($O2231,2)&lt;&gt;0),"有","")</f>
        <v/>
      </c>
    </row>
    <row r="2232" customFormat="false" ht="15" hidden="true" customHeight="false" outlineLevel="0" collapsed="false">
      <c r="A2232" s="53" t="str">
        <f aca="false">IF($H2232="","",ROW()-5)</f>
        <v/>
      </c>
      <c r="B2232" s="64" t="s">
        <v>36</v>
      </c>
      <c r="C2232" s="53" t="n">
        <v>562</v>
      </c>
      <c r="D2232" s="53" t="n">
        <v>3</v>
      </c>
      <c r="E2232" s="65" t="str">
        <f aca="false">IF($H2232="","",购销流水!$B562)</f>
        <v/>
      </c>
      <c r="F2232" s="55" t="str">
        <f aca="false">IF($H2232="","",购销流水!$C562)</f>
        <v/>
      </c>
      <c r="G2232" s="48" t="str">
        <f aca="false">IF($H2232="","",购销流水!$N562)</f>
        <v/>
      </c>
      <c r="H2232" s="10" t="str">
        <f aca="false">IF($L2232="","",IF($L2232="@成本",购销流水!$U562,IF($L2232="@收入",购销流水!$T562,IF($L2232="@存货",购销流水!$S562,IF($L2232="@结算",购销流水!$R562,$L2232)))))</f>
        <v/>
      </c>
      <c r="I2232" s="42" t="n">
        <f aca="false">IF($M2232="借",$O2232,0)</f>
        <v>0</v>
      </c>
      <c r="J2232" s="42" t="n">
        <f aca="false">IF($M2232="贷",$O2232,0)</f>
        <v>0</v>
      </c>
      <c r="K2232" s="48" t="str">
        <f aca="false">IF($H2232="","",购销流水!$E562)</f>
        <v/>
      </c>
      <c r="L2232" s="66" t="str">
        <f aca="false">IF(购销流水!$D562="","",IFERROR(INDEX(记账规则!$A$6:$N$9,MATCH(购销流水!$D562,记账规则!$A$6:$A$9,0),9),""))</f>
        <v/>
      </c>
      <c r="M2232" s="66" t="str">
        <f aca="false">IF($L2232="","",IFERROR(INDEX(记账规则!$A$6:$N$9,MATCH(购销流水!$D562,记账规则!$A$6:$A$9,0),10),""))</f>
        <v/>
      </c>
      <c r="N2232" s="66" t="str">
        <f aca="false">IF($L2232="","",IFERROR(INDEX(记账规则!$A$6:$N$9,MATCH(购销流水!$D562,记账规则!$A$6:$A$9,0),11),""))</f>
        <v/>
      </c>
      <c r="O2232" s="67" t="n">
        <f aca="false">IF($H2232="",0,ROUND(IF($N2232="成本金额",N(购销流水!$W562),IF($N2232="金额",N(购销流水!$Q562),0)),2))</f>
        <v>0</v>
      </c>
      <c r="P2232" s="64" t="str">
        <f aca="false">IF(AND($H2232&lt;&gt;"",ROUND($O2232,2)&lt;&gt;0),"有","")</f>
        <v/>
      </c>
    </row>
    <row r="2233" customFormat="false" ht="15" hidden="true" customHeight="false" outlineLevel="0" collapsed="false">
      <c r="A2233" s="53" t="str">
        <f aca="false">IF($H2233="","",ROW()-5)</f>
        <v/>
      </c>
      <c r="B2233" s="64" t="s">
        <v>36</v>
      </c>
      <c r="C2233" s="53" t="n">
        <v>562</v>
      </c>
      <c r="D2233" s="53" t="n">
        <v>4</v>
      </c>
      <c r="E2233" s="65" t="str">
        <f aca="false">IF($H2233="","",购销流水!$B562)</f>
        <v/>
      </c>
      <c r="F2233" s="55" t="str">
        <f aca="false">IF($H2233="","",购销流水!$C562)</f>
        <v/>
      </c>
      <c r="G2233" s="48" t="str">
        <f aca="false">IF($H2233="","",购销流水!$N562)</f>
        <v/>
      </c>
      <c r="H2233" s="10" t="str">
        <f aca="false">IF($L2233="","",IF($L2233="@成本",购销流水!$U562,IF($L2233="@收入",购销流水!$T562,IF($L2233="@存货",购销流水!$S562,IF($L2233="@结算",购销流水!$R562,$L2233)))))</f>
        <v/>
      </c>
      <c r="I2233" s="42" t="n">
        <f aca="false">IF($M2233="借",$O2233,0)</f>
        <v>0</v>
      </c>
      <c r="J2233" s="42" t="n">
        <f aca="false">IF($M2233="贷",$O2233,0)</f>
        <v>0</v>
      </c>
      <c r="K2233" s="48" t="str">
        <f aca="false">IF($H2233="","",购销流水!$E562)</f>
        <v/>
      </c>
      <c r="L2233" s="66" t="str">
        <f aca="false">IF(购销流水!$D562="","",IFERROR(INDEX(记账规则!$A$6:$N$9,MATCH(购销流水!$D562,记账规则!$A$6:$A$9,0),12),""))</f>
        <v/>
      </c>
      <c r="M2233" s="66" t="str">
        <f aca="false">IF($L2233="","",IFERROR(INDEX(记账规则!$A$6:$N$9,MATCH(购销流水!$D562,记账规则!$A$6:$A$9,0),13),""))</f>
        <v/>
      </c>
      <c r="N2233" s="66" t="str">
        <f aca="false">IF($L2233="","",IFERROR(INDEX(记账规则!$A$6:$N$9,MATCH(购销流水!$D562,记账规则!$A$6:$A$9,0),14),""))</f>
        <v/>
      </c>
      <c r="O2233" s="67" t="n">
        <f aca="false">IF($H2233="",0,ROUND(IF($N2233="成本金额",N(购销流水!$W562),IF($N2233="金额",N(购销流水!$Q562),0)),2))</f>
        <v>0</v>
      </c>
      <c r="P2233" s="64" t="str">
        <f aca="false">IF(AND($H2233&lt;&gt;"",ROUND($O2233,2)&lt;&gt;0),"有","")</f>
        <v/>
      </c>
    </row>
    <row r="2234" customFormat="false" ht="15" hidden="true" customHeight="false" outlineLevel="0" collapsed="false">
      <c r="A2234" s="53" t="str">
        <f aca="false">IF($H2234="","",ROW()-5)</f>
        <v/>
      </c>
      <c r="B2234" s="64" t="s">
        <v>36</v>
      </c>
      <c r="C2234" s="53" t="n">
        <v>563</v>
      </c>
      <c r="D2234" s="53" t="n">
        <v>1</v>
      </c>
      <c r="E2234" s="65" t="str">
        <f aca="false">IF($H2234="","",购销流水!$B563)</f>
        <v/>
      </c>
      <c r="F2234" s="55" t="str">
        <f aca="false">IF($H2234="","",购销流水!$C563)</f>
        <v/>
      </c>
      <c r="G2234" s="48" t="str">
        <f aca="false">IF($H2234="","",购销流水!$N563)</f>
        <v/>
      </c>
      <c r="H2234" s="10" t="str">
        <f aca="false">IF($L2234="","",IF($L2234="@成本",购销流水!$U563,IF($L2234="@收入",购销流水!$T563,IF($L2234="@存货",购销流水!$S563,IF($L2234="@结算",购销流水!$R563,$L2234)))))</f>
        <v/>
      </c>
      <c r="I2234" s="42" t="n">
        <f aca="false">IF($M2234="借",$O2234,0)</f>
        <v>0</v>
      </c>
      <c r="J2234" s="42" t="n">
        <f aca="false">IF($M2234="贷",$O2234,0)</f>
        <v>0</v>
      </c>
      <c r="K2234" s="48" t="str">
        <f aca="false">IF($H2234="","",购销流水!$E563)</f>
        <v/>
      </c>
      <c r="L2234" s="66" t="str">
        <f aca="false">IF(购销流水!$D563="","",IFERROR(INDEX(记账规则!$A$6:$N$9,MATCH(购销流水!$D563,记账规则!$A$6:$A$9,0),3),""))</f>
        <v/>
      </c>
      <c r="M2234" s="66" t="str">
        <f aca="false">IF($L2234="","",IFERROR(INDEX(记账规则!$A$6:$N$9,MATCH(购销流水!$D563,记账规则!$A$6:$A$9,0),4),""))</f>
        <v/>
      </c>
      <c r="N2234" s="66" t="str">
        <f aca="false">IF($L2234="","",IFERROR(INDEX(记账规则!$A$6:$N$9,MATCH(购销流水!$D563,记账规则!$A$6:$A$9,0),5),""))</f>
        <v/>
      </c>
      <c r="O2234" s="67" t="n">
        <f aca="false">IF($H2234="",0,ROUND(IF($N2234="成本金额",N(购销流水!$W563),IF($N2234="金额",N(购销流水!$Q563),0)),2))</f>
        <v>0</v>
      </c>
      <c r="P2234" s="64" t="str">
        <f aca="false">IF(AND($H2234&lt;&gt;"",ROUND($O2234,2)&lt;&gt;0),"有","")</f>
        <v/>
      </c>
    </row>
    <row r="2235" customFormat="false" ht="15" hidden="true" customHeight="false" outlineLevel="0" collapsed="false">
      <c r="A2235" s="53" t="str">
        <f aca="false">IF($H2235="","",ROW()-5)</f>
        <v/>
      </c>
      <c r="B2235" s="64" t="s">
        <v>36</v>
      </c>
      <c r="C2235" s="53" t="n">
        <v>563</v>
      </c>
      <c r="D2235" s="53" t="n">
        <v>2</v>
      </c>
      <c r="E2235" s="65" t="str">
        <f aca="false">IF($H2235="","",购销流水!$B563)</f>
        <v/>
      </c>
      <c r="F2235" s="55" t="str">
        <f aca="false">IF($H2235="","",购销流水!$C563)</f>
        <v/>
      </c>
      <c r="G2235" s="48" t="str">
        <f aca="false">IF($H2235="","",购销流水!$N563)</f>
        <v/>
      </c>
      <c r="H2235" s="10" t="str">
        <f aca="false">IF($L2235="","",IF($L2235="@成本",购销流水!$U563,IF($L2235="@收入",购销流水!$T563,IF($L2235="@存货",购销流水!$S563,IF($L2235="@结算",购销流水!$R563,$L2235)))))</f>
        <v/>
      </c>
      <c r="I2235" s="42" t="n">
        <f aca="false">IF($M2235="借",$O2235,0)</f>
        <v>0</v>
      </c>
      <c r="J2235" s="42" t="n">
        <f aca="false">IF($M2235="贷",$O2235,0)</f>
        <v>0</v>
      </c>
      <c r="K2235" s="48" t="str">
        <f aca="false">IF($H2235="","",购销流水!$E563)</f>
        <v/>
      </c>
      <c r="L2235" s="66" t="str">
        <f aca="false">IF(购销流水!$D563="","",IFERROR(INDEX(记账规则!$A$6:$N$9,MATCH(购销流水!$D563,记账规则!$A$6:$A$9,0),6),""))</f>
        <v/>
      </c>
      <c r="M2235" s="66" t="str">
        <f aca="false">IF($L2235="","",IFERROR(INDEX(记账规则!$A$6:$N$9,MATCH(购销流水!$D563,记账规则!$A$6:$A$9,0),7),""))</f>
        <v/>
      </c>
      <c r="N2235" s="66" t="str">
        <f aca="false">IF($L2235="","",IFERROR(INDEX(记账规则!$A$6:$N$9,MATCH(购销流水!$D563,记账规则!$A$6:$A$9,0),8),""))</f>
        <v/>
      </c>
      <c r="O2235" s="67" t="n">
        <f aca="false">IF($H2235="",0,ROUND(IF($N2235="成本金额",N(购销流水!$W563),IF($N2235="金额",N(购销流水!$Q563),0)),2))</f>
        <v>0</v>
      </c>
      <c r="P2235" s="64" t="str">
        <f aca="false">IF(AND($H2235&lt;&gt;"",ROUND($O2235,2)&lt;&gt;0),"有","")</f>
        <v/>
      </c>
    </row>
    <row r="2236" customFormat="false" ht="15" hidden="true" customHeight="false" outlineLevel="0" collapsed="false">
      <c r="A2236" s="53" t="str">
        <f aca="false">IF($H2236="","",ROW()-5)</f>
        <v/>
      </c>
      <c r="B2236" s="64" t="s">
        <v>36</v>
      </c>
      <c r="C2236" s="53" t="n">
        <v>563</v>
      </c>
      <c r="D2236" s="53" t="n">
        <v>3</v>
      </c>
      <c r="E2236" s="65" t="str">
        <f aca="false">IF($H2236="","",购销流水!$B563)</f>
        <v/>
      </c>
      <c r="F2236" s="55" t="str">
        <f aca="false">IF($H2236="","",购销流水!$C563)</f>
        <v/>
      </c>
      <c r="G2236" s="48" t="str">
        <f aca="false">IF($H2236="","",购销流水!$N563)</f>
        <v/>
      </c>
      <c r="H2236" s="10" t="str">
        <f aca="false">IF($L2236="","",IF($L2236="@成本",购销流水!$U563,IF($L2236="@收入",购销流水!$T563,IF($L2236="@存货",购销流水!$S563,IF($L2236="@结算",购销流水!$R563,$L2236)))))</f>
        <v/>
      </c>
      <c r="I2236" s="42" t="n">
        <f aca="false">IF($M2236="借",$O2236,0)</f>
        <v>0</v>
      </c>
      <c r="J2236" s="42" t="n">
        <f aca="false">IF($M2236="贷",$O2236,0)</f>
        <v>0</v>
      </c>
      <c r="K2236" s="48" t="str">
        <f aca="false">IF($H2236="","",购销流水!$E563)</f>
        <v/>
      </c>
      <c r="L2236" s="66" t="str">
        <f aca="false">IF(购销流水!$D563="","",IFERROR(INDEX(记账规则!$A$6:$N$9,MATCH(购销流水!$D563,记账规则!$A$6:$A$9,0),9),""))</f>
        <v/>
      </c>
      <c r="M2236" s="66" t="str">
        <f aca="false">IF($L2236="","",IFERROR(INDEX(记账规则!$A$6:$N$9,MATCH(购销流水!$D563,记账规则!$A$6:$A$9,0),10),""))</f>
        <v/>
      </c>
      <c r="N2236" s="66" t="str">
        <f aca="false">IF($L2236="","",IFERROR(INDEX(记账规则!$A$6:$N$9,MATCH(购销流水!$D563,记账规则!$A$6:$A$9,0),11),""))</f>
        <v/>
      </c>
      <c r="O2236" s="67" t="n">
        <f aca="false">IF($H2236="",0,ROUND(IF($N2236="成本金额",N(购销流水!$W563),IF($N2236="金额",N(购销流水!$Q563),0)),2))</f>
        <v>0</v>
      </c>
      <c r="P2236" s="64" t="str">
        <f aca="false">IF(AND($H2236&lt;&gt;"",ROUND($O2236,2)&lt;&gt;0),"有","")</f>
        <v/>
      </c>
    </row>
    <row r="2237" customFormat="false" ht="15" hidden="true" customHeight="false" outlineLevel="0" collapsed="false">
      <c r="A2237" s="53" t="str">
        <f aca="false">IF($H2237="","",ROW()-5)</f>
        <v/>
      </c>
      <c r="B2237" s="64" t="s">
        <v>36</v>
      </c>
      <c r="C2237" s="53" t="n">
        <v>563</v>
      </c>
      <c r="D2237" s="53" t="n">
        <v>4</v>
      </c>
      <c r="E2237" s="65" t="str">
        <f aca="false">IF($H2237="","",购销流水!$B563)</f>
        <v/>
      </c>
      <c r="F2237" s="55" t="str">
        <f aca="false">IF($H2237="","",购销流水!$C563)</f>
        <v/>
      </c>
      <c r="G2237" s="48" t="str">
        <f aca="false">IF($H2237="","",购销流水!$N563)</f>
        <v/>
      </c>
      <c r="H2237" s="10" t="str">
        <f aca="false">IF($L2237="","",IF($L2237="@成本",购销流水!$U563,IF($L2237="@收入",购销流水!$T563,IF($L2237="@存货",购销流水!$S563,IF($L2237="@结算",购销流水!$R563,$L2237)))))</f>
        <v/>
      </c>
      <c r="I2237" s="42" t="n">
        <f aca="false">IF($M2237="借",$O2237,0)</f>
        <v>0</v>
      </c>
      <c r="J2237" s="42" t="n">
        <f aca="false">IF($M2237="贷",$O2237,0)</f>
        <v>0</v>
      </c>
      <c r="K2237" s="48" t="str">
        <f aca="false">IF($H2237="","",购销流水!$E563)</f>
        <v/>
      </c>
      <c r="L2237" s="66" t="str">
        <f aca="false">IF(购销流水!$D563="","",IFERROR(INDEX(记账规则!$A$6:$N$9,MATCH(购销流水!$D563,记账规则!$A$6:$A$9,0),12),""))</f>
        <v/>
      </c>
      <c r="M2237" s="66" t="str">
        <f aca="false">IF($L2237="","",IFERROR(INDEX(记账规则!$A$6:$N$9,MATCH(购销流水!$D563,记账规则!$A$6:$A$9,0),13),""))</f>
        <v/>
      </c>
      <c r="N2237" s="66" t="str">
        <f aca="false">IF($L2237="","",IFERROR(INDEX(记账规则!$A$6:$N$9,MATCH(购销流水!$D563,记账规则!$A$6:$A$9,0),14),""))</f>
        <v/>
      </c>
      <c r="O2237" s="67" t="n">
        <f aca="false">IF($H2237="",0,ROUND(IF($N2237="成本金额",N(购销流水!$W563),IF($N2237="金额",N(购销流水!$Q563),0)),2))</f>
        <v>0</v>
      </c>
      <c r="P2237" s="64" t="str">
        <f aca="false">IF(AND($H2237&lt;&gt;"",ROUND($O2237,2)&lt;&gt;0),"有","")</f>
        <v/>
      </c>
    </row>
    <row r="2238" customFormat="false" ht="15" hidden="true" customHeight="false" outlineLevel="0" collapsed="false">
      <c r="A2238" s="53" t="str">
        <f aca="false">IF($H2238="","",ROW()-5)</f>
        <v/>
      </c>
      <c r="B2238" s="64" t="s">
        <v>36</v>
      </c>
      <c r="C2238" s="53" t="n">
        <v>564</v>
      </c>
      <c r="D2238" s="53" t="n">
        <v>1</v>
      </c>
      <c r="E2238" s="65" t="str">
        <f aca="false">IF($H2238="","",购销流水!$B564)</f>
        <v/>
      </c>
      <c r="F2238" s="55" t="str">
        <f aca="false">IF($H2238="","",购销流水!$C564)</f>
        <v/>
      </c>
      <c r="G2238" s="48" t="str">
        <f aca="false">IF($H2238="","",购销流水!$N564)</f>
        <v/>
      </c>
      <c r="H2238" s="10" t="str">
        <f aca="false">IF($L2238="","",IF($L2238="@成本",购销流水!$U564,IF($L2238="@收入",购销流水!$T564,IF($L2238="@存货",购销流水!$S564,IF($L2238="@结算",购销流水!$R564,$L2238)))))</f>
        <v/>
      </c>
      <c r="I2238" s="42" t="n">
        <f aca="false">IF($M2238="借",$O2238,0)</f>
        <v>0</v>
      </c>
      <c r="J2238" s="42" t="n">
        <f aca="false">IF($M2238="贷",$O2238,0)</f>
        <v>0</v>
      </c>
      <c r="K2238" s="48" t="str">
        <f aca="false">IF($H2238="","",购销流水!$E564)</f>
        <v/>
      </c>
      <c r="L2238" s="66" t="str">
        <f aca="false">IF(购销流水!$D564="","",IFERROR(INDEX(记账规则!$A$6:$N$9,MATCH(购销流水!$D564,记账规则!$A$6:$A$9,0),3),""))</f>
        <v/>
      </c>
      <c r="M2238" s="66" t="str">
        <f aca="false">IF($L2238="","",IFERROR(INDEX(记账规则!$A$6:$N$9,MATCH(购销流水!$D564,记账规则!$A$6:$A$9,0),4),""))</f>
        <v/>
      </c>
      <c r="N2238" s="66" t="str">
        <f aca="false">IF($L2238="","",IFERROR(INDEX(记账规则!$A$6:$N$9,MATCH(购销流水!$D564,记账规则!$A$6:$A$9,0),5),""))</f>
        <v/>
      </c>
      <c r="O2238" s="67" t="n">
        <f aca="false">IF($H2238="",0,ROUND(IF($N2238="成本金额",N(购销流水!$W564),IF($N2238="金额",N(购销流水!$Q564),0)),2))</f>
        <v>0</v>
      </c>
      <c r="P2238" s="64" t="str">
        <f aca="false">IF(AND($H2238&lt;&gt;"",ROUND($O2238,2)&lt;&gt;0),"有","")</f>
        <v/>
      </c>
    </row>
    <row r="2239" customFormat="false" ht="15" hidden="true" customHeight="false" outlineLevel="0" collapsed="false">
      <c r="A2239" s="53" t="str">
        <f aca="false">IF($H2239="","",ROW()-5)</f>
        <v/>
      </c>
      <c r="B2239" s="64" t="s">
        <v>36</v>
      </c>
      <c r="C2239" s="53" t="n">
        <v>564</v>
      </c>
      <c r="D2239" s="53" t="n">
        <v>2</v>
      </c>
      <c r="E2239" s="65" t="str">
        <f aca="false">IF($H2239="","",购销流水!$B564)</f>
        <v/>
      </c>
      <c r="F2239" s="55" t="str">
        <f aca="false">IF($H2239="","",购销流水!$C564)</f>
        <v/>
      </c>
      <c r="G2239" s="48" t="str">
        <f aca="false">IF($H2239="","",购销流水!$N564)</f>
        <v/>
      </c>
      <c r="H2239" s="10" t="str">
        <f aca="false">IF($L2239="","",IF($L2239="@成本",购销流水!$U564,IF($L2239="@收入",购销流水!$T564,IF($L2239="@存货",购销流水!$S564,IF($L2239="@结算",购销流水!$R564,$L2239)))))</f>
        <v/>
      </c>
      <c r="I2239" s="42" t="n">
        <f aca="false">IF($M2239="借",$O2239,0)</f>
        <v>0</v>
      </c>
      <c r="J2239" s="42" t="n">
        <f aca="false">IF($M2239="贷",$O2239,0)</f>
        <v>0</v>
      </c>
      <c r="K2239" s="48" t="str">
        <f aca="false">IF($H2239="","",购销流水!$E564)</f>
        <v/>
      </c>
      <c r="L2239" s="66" t="str">
        <f aca="false">IF(购销流水!$D564="","",IFERROR(INDEX(记账规则!$A$6:$N$9,MATCH(购销流水!$D564,记账规则!$A$6:$A$9,0),6),""))</f>
        <v/>
      </c>
      <c r="M2239" s="66" t="str">
        <f aca="false">IF($L2239="","",IFERROR(INDEX(记账规则!$A$6:$N$9,MATCH(购销流水!$D564,记账规则!$A$6:$A$9,0),7),""))</f>
        <v/>
      </c>
      <c r="N2239" s="66" t="str">
        <f aca="false">IF($L2239="","",IFERROR(INDEX(记账规则!$A$6:$N$9,MATCH(购销流水!$D564,记账规则!$A$6:$A$9,0),8),""))</f>
        <v/>
      </c>
      <c r="O2239" s="67" t="n">
        <f aca="false">IF($H2239="",0,ROUND(IF($N2239="成本金额",N(购销流水!$W564),IF($N2239="金额",N(购销流水!$Q564),0)),2))</f>
        <v>0</v>
      </c>
      <c r="P2239" s="64" t="str">
        <f aca="false">IF(AND($H2239&lt;&gt;"",ROUND($O2239,2)&lt;&gt;0),"有","")</f>
        <v/>
      </c>
    </row>
    <row r="2240" customFormat="false" ht="15" hidden="true" customHeight="false" outlineLevel="0" collapsed="false">
      <c r="A2240" s="53" t="str">
        <f aca="false">IF($H2240="","",ROW()-5)</f>
        <v/>
      </c>
      <c r="B2240" s="64" t="s">
        <v>36</v>
      </c>
      <c r="C2240" s="53" t="n">
        <v>564</v>
      </c>
      <c r="D2240" s="53" t="n">
        <v>3</v>
      </c>
      <c r="E2240" s="65" t="str">
        <f aca="false">IF($H2240="","",购销流水!$B564)</f>
        <v/>
      </c>
      <c r="F2240" s="55" t="str">
        <f aca="false">IF($H2240="","",购销流水!$C564)</f>
        <v/>
      </c>
      <c r="G2240" s="48" t="str">
        <f aca="false">IF($H2240="","",购销流水!$N564)</f>
        <v/>
      </c>
      <c r="H2240" s="10" t="str">
        <f aca="false">IF($L2240="","",IF($L2240="@成本",购销流水!$U564,IF($L2240="@收入",购销流水!$T564,IF($L2240="@存货",购销流水!$S564,IF($L2240="@结算",购销流水!$R564,$L2240)))))</f>
        <v/>
      </c>
      <c r="I2240" s="42" t="n">
        <f aca="false">IF($M2240="借",$O2240,0)</f>
        <v>0</v>
      </c>
      <c r="J2240" s="42" t="n">
        <f aca="false">IF($M2240="贷",$O2240,0)</f>
        <v>0</v>
      </c>
      <c r="K2240" s="48" t="str">
        <f aca="false">IF($H2240="","",购销流水!$E564)</f>
        <v/>
      </c>
      <c r="L2240" s="66" t="str">
        <f aca="false">IF(购销流水!$D564="","",IFERROR(INDEX(记账规则!$A$6:$N$9,MATCH(购销流水!$D564,记账规则!$A$6:$A$9,0),9),""))</f>
        <v/>
      </c>
      <c r="M2240" s="66" t="str">
        <f aca="false">IF($L2240="","",IFERROR(INDEX(记账规则!$A$6:$N$9,MATCH(购销流水!$D564,记账规则!$A$6:$A$9,0),10),""))</f>
        <v/>
      </c>
      <c r="N2240" s="66" t="str">
        <f aca="false">IF($L2240="","",IFERROR(INDEX(记账规则!$A$6:$N$9,MATCH(购销流水!$D564,记账规则!$A$6:$A$9,0),11),""))</f>
        <v/>
      </c>
      <c r="O2240" s="67" t="n">
        <f aca="false">IF($H2240="",0,ROUND(IF($N2240="成本金额",N(购销流水!$W564),IF($N2240="金额",N(购销流水!$Q564),0)),2))</f>
        <v>0</v>
      </c>
      <c r="P2240" s="64" t="str">
        <f aca="false">IF(AND($H2240&lt;&gt;"",ROUND($O2240,2)&lt;&gt;0),"有","")</f>
        <v/>
      </c>
    </row>
    <row r="2241" customFormat="false" ht="15" hidden="true" customHeight="false" outlineLevel="0" collapsed="false">
      <c r="A2241" s="53" t="str">
        <f aca="false">IF($H2241="","",ROW()-5)</f>
        <v/>
      </c>
      <c r="B2241" s="64" t="s">
        <v>36</v>
      </c>
      <c r="C2241" s="53" t="n">
        <v>564</v>
      </c>
      <c r="D2241" s="53" t="n">
        <v>4</v>
      </c>
      <c r="E2241" s="65" t="str">
        <f aca="false">IF($H2241="","",购销流水!$B564)</f>
        <v/>
      </c>
      <c r="F2241" s="55" t="str">
        <f aca="false">IF($H2241="","",购销流水!$C564)</f>
        <v/>
      </c>
      <c r="G2241" s="48" t="str">
        <f aca="false">IF($H2241="","",购销流水!$N564)</f>
        <v/>
      </c>
      <c r="H2241" s="10" t="str">
        <f aca="false">IF($L2241="","",IF($L2241="@成本",购销流水!$U564,IF($L2241="@收入",购销流水!$T564,IF($L2241="@存货",购销流水!$S564,IF($L2241="@结算",购销流水!$R564,$L2241)))))</f>
        <v/>
      </c>
      <c r="I2241" s="42" t="n">
        <f aca="false">IF($M2241="借",$O2241,0)</f>
        <v>0</v>
      </c>
      <c r="J2241" s="42" t="n">
        <f aca="false">IF($M2241="贷",$O2241,0)</f>
        <v>0</v>
      </c>
      <c r="K2241" s="48" t="str">
        <f aca="false">IF($H2241="","",购销流水!$E564)</f>
        <v/>
      </c>
      <c r="L2241" s="66" t="str">
        <f aca="false">IF(购销流水!$D564="","",IFERROR(INDEX(记账规则!$A$6:$N$9,MATCH(购销流水!$D564,记账规则!$A$6:$A$9,0),12),""))</f>
        <v/>
      </c>
      <c r="M2241" s="66" t="str">
        <f aca="false">IF($L2241="","",IFERROR(INDEX(记账规则!$A$6:$N$9,MATCH(购销流水!$D564,记账规则!$A$6:$A$9,0),13),""))</f>
        <v/>
      </c>
      <c r="N2241" s="66" t="str">
        <f aca="false">IF($L2241="","",IFERROR(INDEX(记账规则!$A$6:$N$9,MATCH(购销流水!$D564,记账规则!$A$6:$A$9,0),14),""))</f>
        <v/>
      </c>
      <c r="O2241" s="67" t="n">
        <f aca="false">IF($H2241="",0,ROUND(IF($N2241="成本金额",N(购销流水!$W564),IF($N2241="金额",N(购销流水!$Q564),0)),2))</f>
        <v>0</v>
      </c>
      <c r="P2241" s="64" t="str">
        <f aca="false">IF(AND($H2241&lt;&gt;"",ROUND($O2241,2)&lt;&gt;0),"有","")</f>
        <v/>
      </c>
    </row>
    <row r="2242" customFormat="false" ht="15" hidden="true" customHeight="false" outlineLevel="0" collapsed="false">
      <c r="A2242" s="53" t="str">
        <f aca="false">IF($H2242="","",ROW()-5)</f>
        <v/>
      </c>
      <c r="B2242" s="64" t="s">
        <v>36</v>
      </c>
      <c r="C2242" s="53" t="n">
        <v>565</v>
      </c>
      <c r="D2242" s="53" t="n">
        <v>1</v>
      </c>
      <c r="E2242" s="65" t="str">
        <f aca="false">IF($H2242="","",购销流水!$B565)</f>
        <v/>
      </c>
      <c r="F2242" s="55" t="str">
        <f aca="false">IF($H2242="","",购销流水!$C565)</f>
        <v/>
      </c>
      <c r="G2242" s="48" t="str">
        <f aca="false">IF($H2242="","",购销流水!$N565)</f>
        <v/>
      </c>
      <c r="H2242" s="10" t="str">
        <f aca="false">IF($L2242="","",IF($L2242="@成本",购销流水!$U565,IF($L2242="@收入",购销流水!$T565,IF($L2242="@存货",购销流水!$S565,IF($L2242="@结算",购销流水!$R565,$L2242)))))</f>
        <v/>
      </c>
      <c r="I2242" s="42" t="n">
        <f aca="false">IF($M2242="借",$O2242,0)</f>
        <v>0</v>
      </c>
      <c r="J2242" s="42" t="n">
        <f aca="false">IF($M2242="贷",$O2242,0)</f>
        <v>0</v>
      </c>
      <c r="K2242" s="48" t="str">
        <f aca="false">IF($H2242="","",购销流水!$E565)</f>
        <v/>
      </c>
      <c r="L2242" s="66" t="str">
        <f aca="false">IF(购销流水!$D565="","",IFERROR(INDEX(记账规则!$A$6:$N$9,MATCH(购销流水!$D565,记账规则!$A$6:$A$9,0),3),""))</f>
        <v/>
      </c>
      <c r="M2242" s="66" t="str">
        <f aca="false">IF($L2242="","",IFERROR(INDEX(记账规则!$A$6:$N$9,MATCH(购销流水!$D565,记账规则!$A$6:$A$9,0),4),""))</f>
        <v/>
      </c>
      <c r="N2242" s="66" t="str">
        <f aca="false">IF($L2242="","",IFERROR(INDEX(记账规则!$A$6:$N$9,MATCH(购销流水!$D565,记账规则!$A$6:$A$9,0),5),""))</f>
        <v/>
      </c>
      <c r="O2242" s="67" t="n">
        <f aca="false">IF($H2242="",0,ROUND(IF($N2242="成本金额",N(购销流水!$W565),IF($N2242="金额",N(购销流水!$Q565),0)),2))</f>
        <v>0</v>
      </c>
      <c r="P2242" s="64" t="str">
        <f aca="false">IF(AND($H2242&lt;&gt;"",ROUND($O2242,2)&lt;&gt;0),"有","")</f>
        <v/>
      </c>
    </row>
    <row r="2243" customFormat="false" ht="15" hidden="true" customHeight="false" outlineLevel="0" collapsed="false">
      <c r="A2243" s="53" t="str">
        <f aca="false">IF($H2243="","",ROW()-5)</f>
        <v/>
      </c>
      <c r="B2243" s="64" t="s">
        <v>36</v>
      </c>
      <c r="C2243" s="53" t="n">
        <v>565</v>
      </c>
      <c r="D2243" s="53" t="n">
        <v>2</v>
      </c>
      <c r="E2243" s="65" t="str">
        <f aca="false">IF($H2243="","",购销流水!$B565)</f>
        <v/>
      </c>
      <c r="F2243" s="55" t="str">
        <f aca="false">IF($H2243="","",购销流水!$C565)</f>
        <v/>
      </c>
      <c r="G2243" s="48" t="str">
        <f aca="false">IF($H2243="","",购销流水!$N565)</f>
        <v/>
      </c>
      <c r="H2243" s="10" t="str">
        <f aca="false">IF($L2243="","",IF($L2243="@成本",购销流水!$U565,IF($L2243="@收入",购销流水!$T565,IF($L2243="@存货",购销流水!$S565,IF($L2243="@结算",购销流水!$R565,$L2243)))))</f>
        <v/>
      </c>
      <c r="I2243" s="42" t="n">
        <f aca="false">IF($M2243="借",$O2243,0)</f>
        <v>0</v>
      </c>
      <c r="J2243" s="42" t="n">
        <f aca="false">IF($M2243="贷",$O2243,0)</f>
        <v>0</v>
      </c>
      <c r="K2243" s="48" t="str">
        <f aca="false">IF($H2243="","",购销流水!$E565)</f>
        <v/>
      </c>
      <c r="L2243" s="66" t="str">
        <f aca="false">IF(购销流水!$D565="","",IFERROR(INDEX(记账规则!$A$6:$N$9,MATCH(购销流水!$D565,记账规则!$A$6:$A$9,0),6),""))</f>
        <v/>
      </c>
      <c r="M2243" s="66" t="str">
        <f aca="false">IF($L2243="","",IFERROR(INDEX(记账规则!$A$6:$N$9,MATCH(购销流水!$D565,记账规则!$A$6:$A$9,0),7),""))</f>
        <v/>
      </c>
      <c r="N2243" s="66" t="str">
        <f aca="false">IF($L2243="","",IFERROR(INDEX(记账规则!$A$6:$N$9,MATCH(购销流水!$D565,记账规则!$A$6:$A$9,0),8),""))</f>
        <v/>
      </c>
      <c r="O2243" s="67" t="n">
        <f aca="false">IF($H2243="",0,ROUND(IF($N2243="成本金额",N(购销流水!$W565),IF($N2243="金额",N(购销流水!$Q565),0)),2))</f>
        <v>0</v>
      </c>
      <c r="P2243" s="64" t="str">
        <f aca="false">IF(AND($H2243&lt;&gt;"",ROUND($O2243,2)&lt;&gt;0),"有","")</f>
        <v/>
      </c>
    </row>
    <row r="2244" customFormat="false" ht="15" hidden="true" customHeight="false" outlineLevel="0" collapsed="false">
      <c r="A2244" s="53" t="str">
        <f aca="false">IF($H2244="","",ROW()-5)</f>
        <v/>
      </c>
      <c r="B2244" s="64" t="s">
        <v>36</v>
      </c>
      <c r="C2244" s="53" t="n">
        <v>565</v>
      </c>
      <c r="D2244" s="53" t="n">
        <v>3</v>
      </c>
      <c r="E2244" s="65" t="str">
        <f aca="false">IF($H2244="","",购销流水!$B565)</f>
        <v/>
      </c>
      <c r="F2244" s="55" t="str">
        <f aca="false">IF($H2244="","",购销流水!$C565)</f>
        <v/>
      </c>
      <c r="G2244" s="48" t="str">
        <f aca="false">IF($H2244="","",购销流水!$N565)</f>
        <v/>
      </c>
      <c r="H2244" s="10" t="str">
        <f aca="false">IF($L2244="","",IF($L2244="@成本",购销流水!$U565,IF($L2244="@收入",购销流水!$T565,IF($L2244="@存货",购销流水!$S565,IF($L2244="@结算",购销流水!$R565,$L2244)))))</f>
        <v/>
      </c>
      <c r="I2244" s="42" t="n">
        <f aca="false">IF($M2244="借",$O2244,0)</f>
        <v>0</v>
      </c>
      <c r="J2244" s="42" t="n">
        <f aca="false">IF($M2244="贷",$O2244,0)</f>
        <v>0</v>
      </c>
      <c r="K2244" s="48" t="str">
        <f aca="false">IF($H2244="","",购销流水!$E565)</f>
        <v/>
      </c>
      <c r="L2244" s="66" t="str">
        <f aca="false">IF(购销流水!$D565="","",IFERROR(INDEX(记账规则!$A$6:$N$9,MATCH(购销流水!$D565,记账规则!$A$6:$A$9,0),9),""))</f>
        <v/>
      </c>
      <c r="M2244" s="66" t="str">
        <f aca="false">IF($L2244="","",IFERROR(INDEX(记账规则!$A$6:$N$9,MATCH(购销流水!$D565,记账规则!$A$6:$A$9,0),10),""))</f>
        <v/>
      </c>
      <c r="N2244" s="66" t="str">
        <f aca="false">IF($L2244="","",IFERROR(INDEX(记账规则!$A$6:$N$9,MATCH(购销流水!$D565,记账规则!$A$6:$A$9,0),11),""))</f>
        <v/>
      </c>
      <c r="O2244" s="67" t="n">
        <f aca="false">IF($H2244="",0,ROUND(IF($N2244="成本金额",N(购销流水!$W565),IF($N2244="金额",N(购销流水!$Q565),0)),2))</f>
        <v>0</v>
      </c>
      <c r="P2244" s="64" t="str">
        <f aca="false">IF(AND($H2244&lt;&gt;"",ROUND($O2244,2)&lt;&gt;0),"有","")</f>
        <v/>
      </c>
    </row>
    <row r="2245" customFormat="false" ht="15" hidden="true" customHeight="false" outlineLevel="0" collapsed="false">
      <c r="A2245" s="53" t="str">
        <f aca="false">IF($H2245="","",ROW()-5)</f>
        <v/>
      </c>
      <c r="B2245" s="64" t="s">
        <v>36</v>
      </c>
      <c r="C2245" s="53" t="n">
        <v>565</v>
      </c>
      <c r="D2245" s="53" t="n">
        <v>4</v>
      </c>
      <c r="E2245" s="65" t="str">
        <f aca="false">IF($H2245="","",购销流水!$B565)</f>
        <v/>
      </c>
      <c r="F2245" s="55" t="str">
        <f aca="false">IF($H2245="","",购销流水!$C565)</f>
        <v/>
      </c>
      <c r="G2245" s="48" t="str">
        <f aca="false">IF($H2245="","",购销流水!$N565)</f>
        <v/>
      </c>
      <c r="H2245" s="10" t="str">
        <f aca="false">IF($L2245="","",IF($L2245="@成本",购销流水!$U565,IF($L2245="@收入",购销流水!$T565,IF($L2245="@存货",购销流水!$S565,IF($L2245="@结算",购销流水!$R565,$L2245)))))</f>
        <v/>
      </c>
      <c r="I2245" s="42" t="n">
        <f aca="false">IF($M2245="借",$O2245,0)</f>
        <v>0</v>
      </c>
      <c r="J2245" s="42" t="n">
        <f aca="false">IF($M2245="贷",$O2245,0)</f>
        <v>0</v>
      </c>
      <c r="K2245" s="48" t="str">
        <f aca="false">IF($H2245="","",购销流水!$E565)</f>
        <v/>
      </c>
      <c r="L2245" s="66" t="str">
        <f aca="false">IF(购销流水!$D565="","",IFERROR(INDEX(记账规则!$A$6:$N$9,MATCH(购销流水!$D565,记账规则!$A$6:$A$9,0),12),""))</f>
        <v/>
      </c>
      <c r="M2245" s="66" t="str">
        <f aca="false">IF($L2245="","",IFERROR(INDEX(记账规则!$A$6:$N$9,MATCH(购销流水!$D565,记账规则!$A$6:$A$9,0),13),""))</f>
        <v/>
      </c>
      <c r="N2245" s="66" t="str">
        <f aca="false">IF($L2245="","",IFERROR(INDEX(记账规则!$A$6:$N$9,MATCH(购销流水!$D565,记账规则!$A$6:$A$9,0),14),""))</f>
        <v/>
      </c>
      <c r="O2245" s="67" t="n">
        <f aca="false">IF($H2245="",0,ROUND(IF($N2245="成本金额",N(购销流水!$W565),IF($N2245="金额",N(购销流水!$Q565),0)),2))</f>
        <v>0</v>
      </c>
      <c r="P2245" s="64" t="str">
        <f aca="false">IF(AND($H2245&lt;&gt;"",ROUND($O2245,2)&lt;&gt;0),"有","")</f>
        <v/>
      </c>
    </row>
    <row r="2246" customFormat="false" ht="15" hidden="true" customHeight="false" outlineLevel="0" collapsed="false">
      <c r="A2246" s="53" t="str">
        <f aca="false">IF($H2246="","",ROW()-5)</f>
        <v/>
      </c>
      <c r="B2246" s="64" t="s">
        <v>36</v>
      </c>
      <c r="C2246" s="53" t="n">
        <v>566</v>
      </c>
      <c r="D2246" s="53" t="n">
        <v>1</v>
      </c>
      <c r="E2246" s="65" t="str">
        <f aca="false">IF($H2246="","",购销流水!$B566)</f>
        <v/>
      </c>
      <c r="F2246" s="55" t="str">
        <f aca="false">IF($H2246="","",购销流水!$C566)</f>
        <v/>
      </c>
      <c r="G2246" s="48" t="str">
        <f aca="false">IF($H2246="","",购销流水!$N566)</f>
        <v/>
      </c>
      <c r="H2246" s="10" t="str">
        <f aca="false">IF($L2246="","",IF($L2246="@成本",购销流水!$U566,IF($L2246="@收入",购销流水!$T566,IF($L2246="@存货",购销流水!$S566,IF($L2246="@结算",购销流水!$R566,$L2246)))))</f>
        <v/>
      </c>
      <c r="I2246" s="42" t="n">
        <f aca="false">IF($M2246="借",$O2246,0)</f>
        <v>0</v>
      </c>
      <c r="J2246" s="42" t="n">
        <f aca="false">IF($M2246="贷",$O2246,0)</f>
        <v>0</v>
      </c>
      <c r="K2246" s="48" t="str">
        <f aca="false">IF($H2246="","",购销流水!$E566)</f>
        <v/>
      </c>
      <c r="L2246" s="66" t="str">
        <f aca="false">IF(购销流水!$D566="","",IFERROR(INDEX(记账规则!$A$6:$N$9,MATCH(购销流水!$D566,记账规则!$A$6:$A$9,0),3),""))</f>
        <v/>
      </c>
      <c r="M2246" s="66" t="str">
        <f aca="false">IF($L2246="","",IFERROR(INDEX(记账规则!$A$6:$N$9,MATCH(购销流水!$D566,记账规则!$A$6:$A$9,0),4),""))</f>
        <v/>
      </c>
      <c r="N2246" s="66" t="str">
        <f aca="false">IF($L2246="","",IFERROR(INDEX(记账规则!$A$6:$N$9,MATCH(购销流水!$D566,记账规则!$A$6:$A$9,0),5),""))</f>
        <v/>
      </c>
      <c r="O2246" s="67" t="n">
        <f aca="false">IF($H2246="",0,ROUND(IF($N2246="成本金额",N(购销流水!$W566),IF($N2246="金额",N(购销流水!$Q566),0)),2))</f>
        <v>0</v>
      </c>
      <c r="P2246" s="64" t="str">
        <f aca="false">IF(AND($H2246&lt;&gt;"",ROUND($O2246,2)&lt;&gt;0),"有","")</f>
        <v/>
      </c>
    </row>
    <row r="2247" customFormat="false" ht="15" hidden="true" customHeight="false" outlineLevel="0" collapsed="false">
      <c r="A2247" s="53" t="str">
        <f aca="false">IF($H2247="","",ROW()-5)</f>
        <v/>
      </c>
      <c r="B2247" s="64" t="s">
        <v>36</v>
      </c>
      <c r="C2247" s="53" t="n">
        <v>566</v>
      </c>
      <c r="D2247" s="53" t="n">
        <v>2</v>
      </c>
      <c r="E2247" s="65" t="str">
        <f aca="false">IF($H2247="","",购销流水!$B566)</f>
        <v/>
      </c>
      <c r="F2247" s="55" t="str">
        <f aca="false">IF($H2247="","",购销流水!$C566)</f>
        <v/>
      </c>
      <c r="G2247" s="48" t="str">
        <f aca="false">IF($H2247="","",购销流水!$N566)</f>
        <v/>
      </c>
      <c r="H2247" s="10" t="str">
        <f aca="false">IF($L2247="","",IF($L2247="@成本",购销流水!$U566,IF($L2247="@收入",购销流水!$T566,IF($L2247="@存货",购销流水!$S566,IF($L2247="@结算",购销流水!$R566,$L2247)))))</f>
        <v/>
      </c>
      <c r="I2247" s="42" t="n">
        <f aca="false">IF($M2247="借",$O2247,0)</f>
        <v>0</v>
      </c>
      <c r="J2247" s="42" t="n">
        <f aca="false">IF($M2247="贷",$O2247,0)</f>
        <v>0</v>
      </c>
      <c r="K2247" s="48" t="str">
        <f aca="false">IF($H2247="","",购销流水!$E566)</f>
        <v/>
      </c>
      <c r="L2247" s="66" t="str">
        <f aca="false">IF(购销流水!$D566="","",IFERROR(INDEX(记账规则!$A$6:$N$9,MATCH(购销流水!$D566,记账规则!$A$6:$A$9,0),6),""))</f>
        <v/>
      </c>
      <c r="M2247" s="66" t="str">
        <f aca="false">IF($L2247="","",IFERROR(INDEX(记账规则!$A$6:$N$9,MATCH(购销流水!$D566,记账规则!$A$6:$A$9,0),7),""))</f>
        <v/>
      </c>
      <c r="N2247" s="66" t="str">
        <f aca="false">IF($L2247="","",IFERROR(INDEX(记账规则!$A$6:$N$9,MATCH(购销流水!$D566,记账规则!$A$6:$A$9,0),8),""))</f>
        <v/>
      </c>
      <c r="O2247" s="67" t="n">
        <f aca="false">IF($H2247="",0,ROUND(IF($N2247="成本金额",N(购销流水!$W566),IF($N2247="金额",N(购销流水!$Q566),0)),2))</f>
        <v>0</v>
      </c>
      <c r="P2247" s="64" t="str">
        <f aca="false">IF(AND($H2247&lt;&gt;"",ROUND($O2247,2)&lt;&gt;0),"有","")</f>
        <v/>
      </c>
    </row>
    <row r="2248" customFormat="false" ht="15" hidden="true" customHeight="false" outlineLevel="0" collapsed="false">
      <c r="A2248" s="53" t="str">
        <f aca="false">IF($H2248="","",ROW()-5)</f>
        <v/>
      </c>
      <c r="B2248" s="64" t="s">
        <v>36</v>
      </c>
      <c r="C2248" s="53" t="n">
        <v>566</v>
      </c>
      <c r="D2248" s="53" t="n">
        <v>3</v>
      </c>
      <c r="E2248" s="65" t="str">
        <f aca="false">IF($H2248="","",购销流水!$B566)</f>
        <v/>
      </c>
      <c r="F2248" s="55" t="str">
        <f aca="false">IF($H2248="","",购销流水!$C566)</f>
        <v/>
      </c>
      <c r="G2248" s="48" t="str">
        <f aca="false">IF($H2248="","",购销流水!$N566)</f>
        <v/>
      </c>
      <c r="H2248" s="10" t="str">
        <f aca="false">IF($L2248="","",IF($L2248="@成本",购销流水!$U566,IF($L2248="@收入",购销流水!$T566,IF($L2248="@存货",购销流水!$S566,IF($L2248="@结算",购销流水!$R566,$L2248)))))</f>
        <v/>
      </c>
      <c r="I2248" s="42" t="n">
        <f aca="false">IF($M2248="借",$O2248,0)</f>
        <v>0</v>
      </c>
      <c r="J2248" s="42" t="n">
        <f aca="false">IF($M2248="贷",$O2248,0)</f>
        <v>0</v>
      </c>
      <c r="K2248" s="48" t="str">
        <f aca="false">IF($H2248="","",购销流水!$E566)</f>
        <v/>
      </c>
      <c r="L2248" s="66" t="str">
        <f aca="false">IF(购销流水!$D566="","",IFERROR(INDEX(记账规则!$A$6:$N$9,MATCH(购销流水!$D566,记账规则!$A$6:$A$9,0),9),""))</f>
        <v/>
      </c>
      <c r="M2248" s="66" t="str">
        <f aca="false">IF($L2248="","",IFERROR(INDEX(记账规则!$A$6:$N$9,MATCH(购销流水!$D566,记账规则!$A$6:$A$9,0),10),""))</f>
        <v/>
      </c>
      <c r="N2248" s="66" t="str">
        <f aca="false">IF($L2248="","",IFERROR(INDEX(记账规则!$A$6:$N$9,MATCH(购销流水!$D566,记账规则!$A$6:$A$9,0),11),""))</f>
        <v/>
      </c>
      <c r="O2248" s="67" t="n">
        <f aca="false">IF($H2248="",0,ROUND(IF($N2248="成本金额",N(购销流水!$W566),IF($N2248="金额",N(购销流水!$Q566),0)),2))</f>
        <v>0</v>
      </c>
      <c r="P2248" s="64" t="str">
        <f aca="false">IF(AND($H2248&lt;&gt;"",ROUND($O2248,2)&lt;&gt;0),"有","")</f>
        <v/>
      </c>
    </row>
    <row r="2249" customFormat="false" ht="15" hidden="true" customHeight="false" outlineLevel="0" collapsed="false">
      <c r="A2249" s="53" t="str">
        <f aca="false">IF($H2249="","",ROW()-5)</f>
        <v/>
      </c>
      <c r="B2249" s="64" t="s">
        <v>36</v>
      </c>
      <c r="C2249" s="53" t="n">
        <v>566</v>
      </c>
      <c r="D2249" s="53" t="n">
        <v>4</v>
      </c>
      <c r="E2249" s="65" t="str">
        <f aca="false">IF($H2249="","",购销流水!$B566)</f>
        <v/>
      </c>
      <c r="F2249" s="55" t="str">
        <f aca="false">IF($H2249="","",购销流水!$C566)</f>
        <v/>
      </c>
      <c r="G2249" s="48" t="str">
        <f aca="false">IF($H2249="","",购销流水!$N566)</f>
        <v/>
      </c>
      <c r="H2249" s="10" t="str">
        <f aca="false">IF($L2249="","",IF($L2249="@成本",购销流水!$U566,IF($L2249="@收入",购销流水!$T566,IF($L2249="@存货",购销流水!$S566,IF($L2249="@结算",购销流水!$R566,$L2249)))))</f>
        <v/>
      </c>
      <c r="I2249" s="42" t="n">
        <f aca="false">IF($M2249="借",$O2249,0)</f>
        <v>0</v>
      </c>
      <c r="J2249" s="42" t="n">
        <f aca="false">IF($M2249="贷",$O2249,0)</f>
        <v>0</v>
      </c>
      <c r="K2249" s="48" t="str">
        <f aca="false">IF($H2249="","",购销流水!$E566)</f>
        <v/>
      </c>
      <c r="L2249" s="66" t="str">
        <f aca="false">IF(购销流水!$D566="","",IFERROR(INDEX(记账规则!$A$6:$N$9,MATCH(购销流水!$D566,记账规则!$A$6:$A$9,0),12),""))</f>
        <v/>
      </c>
      <c r="M2249" s="66" t="str">
        <f aca="false">IF($L2249="","",IFERROR(INDEX(记账规则!$A$6:$N$9,MATCH(购销流水!$D566,记账规则!$A$6:$A$9,0),13),""))</f>
        <v/>
      </c>
      <c r="N2249" s="66" t="str">
        <f aca="false">IF($L2249="","",IFERROR(INDEX(记账规则!$A$6:$N$9,MATCH(购销流水!$D566,记账规则!$A$6:$A$9,0),14),""))</f>
        <v/>
      </c>
      <c r="O2249" s="67" t="n">
        <f aca="false">IF($H2249="",0,ROUND(IF($N2249="成本金额",N(购销流水!$W566),IF($N2249="金额",N(购销流水!$Q566),0)),2))</f>
        <v>0</v>
      </c>
      <c r="P2249" s="64" t="str">
        <f aca="false">IF(AND($H2249&lt;&gt;"",ROUND($O2249,2)&lt;&gt;0),"有","")</f>
        <v/>
      </c>
    </row>
    <row r="2250" customFormat="false" ht="15" hidden="true" customHeight="false" outlineLevel="0" collapsed="false">
      <c r="A2250" s="53" t="str">
        <f aca="false">IF($H2250="","",ROW()-5)</f>
        <v/>
      </c>
      <c r="B2250" s="64" t="s">
        <v>36</v>
      </c>
      <c r="C2250" s="53" t="n">
        <v>567</v>
      </c>
      <c r="D2250" s="53" t="n">
        <v>1</v>
      </c>
      <c r="E2250" s="65" t="str">
        <f aca="false">IF($H2250="","",购销流水!$B567)</f>
        <v/>
      </c>
      <c r="F2250" s="55" t="str">
        <f aca="false">IF($H2250="","",购销流水!$C567)</f>
        <v/>
      </c>
      <c r="G2250" s="48" t="str">
        <f aca="false">IF($H2250="","",购销流水!$N567)</f>
        <v/>
      </c>
      <c r="H2250" s="10" t="str">
        <f aca="false">IF($L2250="","",IF($L2250="@成本",购销流水!$U567,IF($L2250="@收入",购销流水!$T567,IF($L2250="@存货",购销流水!$S567,IF($L2250="@结算",购销流水!$R567,$L2250)))))</f>
        <v/>
      </c>
      <c r="I2250" s="42" t="n">
        <f aca="false">IF($M2250="借",$O2250,0)</f>
        <v>0</v>
      </c>
      <c r="J2250" s="42" t="n">
        <f aca="false">IF($M2250="贷",$O2250,0)</f>
        <v>0</v>
      </c>
      <c r="K2250" s="48" t="str">
        <f aca="false">IF($H2250="","",购销流水!$E567)</f>
        <v/>
      </c>
      <c r="L2250" s="66" t="str">
        <f aca="false">IF(购销流水!$D567="","",IFERROR(INDEX(记账规则!$A$6:$N$9,MATCH(购销流水!$D567,记账规则!$A$6:$A$9,0),3),""))</f>
        <v/>
      </c>
      <c r="M2250" s="66" t="str">
        <f aca="false">IF($L2250="","",IFERROR(INDEX(记账规则!$A$6:$N$9,MATCH(购销流水!$D567,记账规则!$A$6:$A$9,0),4),""))</f>
        <v/>
      </c>
      <c r="N2250" s="66" t="str">
        <f aca="false">IF($L2250="","",IFERROR(INDEX(记账规则!$A$6:$N$9,MATCH(购销流水!$D567,记账规则!$A$6:$A$9,0),5),""))</f>
        <v/>
      </c>
      <c r="O2250" s="67" t="n">
        <f aca="false">IF($H2250="",0,ROUND(IF($N2250="成本金额",N(购销流水!$W567),IF($N2250="金额",N(购销流水!$Q567),0)),2))</f>
        <v>0</v>
      </c>
      <c r="P2250" s="64" t="str">
        <f aca="false">IF(AND($H2250&lt;&gt;"",ROUND($O2250,2)&lt;&gt;0),"有","")</f>
        <v/>
      </c>
    </row>
    <row r="2251" customFormat="false" ht="15" hidden="true" customHeight="false" outlineLevel="0" collapsed="false">
      <c r="A2251" s="53" t="str">
        <f aca="false">IF($H2251="","",ROW()-5)</f>
        <v/>
      </c>
      <c r="B2251" s="64" t="s">
        <v>36</v>
      </c>
      <c r="C2251" s="53" t="n">
        <v>567</v>
      </c>
      <c r="D2251" s="53" t="n">
        <v>2</v>
      </c>
      <c r="E2251" s="65" t="str">
        <f aca="false">IF($H2251="","",购销流水!$B567)</f>
        <v/>
      </c>
      <c r="F2251" s="55" t="str">
        <f aca="false">IF($H2251="","",购销流水!$C567)</f>
        <v/>
      </c>
      <c r="G2251" s="48" t="str">
        <f aca="false">IF($H2251="","",购销流水!$N567)</f>
        <v/>
      </c>
      <c r="H2251" s="10" t="str">
        <f aca="false">IF($L2251="","",IF($L2251="@成本",购销流水!$U567,IF($L2251="@收入",购销流水!$T567,IF($L2251="@存货",购销流水!$S567,IF($L2251="@结算",购销流水!$R567,$L2251)))))</f>
        <v/>
      </c>
      <c r="I2251" s="42" t="n">
        <f aca="false">IF($M2251="借",$O2251,0)</f>
        <v>0</v>
      </c>
      <c r="J2251" s="42" t="n">
        <f aca="false">IF($M2251="贷",$O2251,0)</f>
        <v>0</v>
      </c>
      <c r="K2251" s="48" t="str">
        <f aca="false">IF($H2251="","",购销流水!$E567)</f>
        <v/>
      </c>
      <c r="L2251" s="66" t="str">
        <f aca="false">IF(购销流水!$D567="","",IFERROR(INDEX(记账规则!$A$6:$N$9,MATCH(购销流水!$D567,记账规则!$A$6:$A$9,0),6),""))</f>
        <v/>
      </c>
      <c r="M2251" s="66" t="str">
        <f aca="false">IF($L2251="","",IFERROR(INDEX(记账规则!$A$6:$N$9,MATCH(购销流水!$D567,记账规则!$A$6:$A$9,0),7),""))</f>
        <v/>
      </c>
      <c r="N2251" s="66" t="str">
        <f aca="false">IF($L2251="","",IFERROR(INDEX(记账规则!$A$6:$N$9,MATCH(购销流水!$D567,记账规则!$A$6:$A$9,0),8),""))</f>
        <v/>
      </c>
      <c r="O2251" s="67" t="n">
        <f aca="false">IF($H2251="",0,ROUND(IF($N2251="成本金额",N(购销流水!$W567),IF($N2251="金额",N(购销流水!$Q567),0)),2))</f>
        <v>0</v>
      </c>
      <c r="P2251" s="64" t="str">
        <f aca="false">IF(AND($H2251&lt;&gt;"",ROUND($O2251,2)&lt;&gt;0),"有","")</f>
        <v/>
      </c>
    </row>
    <row r="2252" customFormat="false" ht="15" hidden="true" customHeight="false" outlineLevel="0" collapsed="false">
      <c r="A2252" s="53" t="str">
        <f aca="false">IF($H2252="","",ROW()-5)</f>
        <v/>
      </c>
      <c r="B2252" s="64" t="s">
        <v>36</v>
      </c>
      <c r="C2252" s="53" t="n">
        <v>567</v>
      </c>
      <c r="D2252" s="53" t="n">
        <v>3</v>
      </c>
      <c r="E2252" s="65" t="str">
        <f aca="false">IF($H2252="","",购销流水!$B567)</f>
        <v/>
      </c>
      <c r="F2252" s="55" t="str">
        <f aca="false">IF($H2252="","",购销流水!$C567)</f>
        <v/>
      </c>
      <c r="G2252" s="48" t="str">
        <f aca="false">IF($H2252="","",购销流水!$N567)</f>
        <v/>
      </c>
      <c r="H2252" s="10" t="str">
        <f aca="false">IF($L2252="","",IF($L2252="@成本",购销流水!$U567,IF($L2252="@收入",购销流水!$T567,IF($L2252="@存货",购销流水!$S567,IF($L2252="@结算",购销流水!$R567,$L2252)))))</f>
        <v/>
      </c>
      <c r="I2252" s="42" t="n">
        <f aca="false">IF($M2252="借",$O2252,0)</f>
        <v>0</v>
      </c>
      <c r="J2252" s="42" t="n">
        <f aca="false">IF($M2252="贷",$O2252,0)</f>
        <v>0</v>
      </c>
      <c r="K2252" s="48" t="str">
        <f aca="false">IF($H2252="","",购销流水!$E567)</f>
        <v/>
      </c>
      <c r="L2252" s="66" t="str">
        <f aca="false">IF(购销流水!$D567="","",IFERROR(INDEX(记账规则!$A$6:$N$9,MATCH(购销流水!$D567,记账规则!$A$6:$A$9,0),9),""))</f>
        <v/>
      </c>
      <c r="M2252" s="66" t="str">
        <f aca="false">IF($L2252="","",IFERROR(INDEX(记账规则!$A$6:$N$9,MATCH(购销流水!$D567,记账规则!$A$6:$A$9,0),10),""))</f>
        <v/>
      </c>
      <c r="N2252" s="66" t="str">
        <f aca="false">IF($L2252="","",IFERROR(INDEX(记账规则!$A$6:$N$9,MATCH(购销流水!$D567,记账规则!$A$6:$A$9,0),11),""))</f>
        <v/>
      </c>
      <c r="O2252" s="67" t="n">
        <f aca="false">IF($H2252="",0,ROUND(IF($N2252="成本金额",N(购销流水!$W567),IF($N2252="金额",N(购销流水!$Q567),0)),2))</f>
        <v>0</v>
      </c>
      <c r="P2252" s="64" t="str">
        <f aca="false">IF(AND($H2252&lt;&gt;"",ROUND($O2252,2)&lt;&gt;0),"有","")</f>
        <v/>
      </c>
    </row>
    <row r="2253" customFormat="false" ht="15" hidden="true" customHeight="false" outlineLevel="0" collapsed="false">
      <c r="A2253" s="53" t="str">
        <f aca="false">IF($H2253="","",ROW()-5)</f>
        <v/>
      </c>
      <c r="B2253" s="64" t="s">
        <v>36</v>
      </c>
      <c r="C2253" s="53" t="n">
        <v>567</v>
      </c>
      <c r="D2253" s="53" t="n">
        <v>4</v>
      </c>
      <c r="E2253" s="65" t="str">
        <f aca="false">IF($H2253="","",购销流水!$B567)</f>
        <v/>
      </c>
      <c r="F2253" s="55" t="str">
        <f aca="false">IF($H2253="","",购销流水!$C567)</f>
        <v/>
      </c>
      <c r="G2253" s="48" t="str">
        <f aca="false">IF($H2253="","",购销流水!$N567)</f>
        <v/>
      </c>
      <c r="H2253" s="10" t="str">
        <f aca="false">IF($L2253="","",IF($L2253="@成本",购销流水!$U567,IF($L2253="@收入",购销流水!$T567,IF($L2253="@存货",购销流水!$S567,IF($L2253="@结算",购销流水!$R567,$L2253)))))</f>
        <v/>
      </c>
      <c r="I2253" s="42" t="n">
        <f aca="false">IF($M2253="借",$O2253,0)</f>
        <v>0</v>
      </c>
      <c r="J2253" s="42" t="n">
        <f aca="false">IF($M2253="贷",$O2253,0)</f>
        <v>0</v>
      </c>
      <c r="K2253" s="48" t="str">
        <f aca="false">IF($H2253="","",购销流水!$E567)</f>
        <v/>
      </c>
      <c r="L2253" s="66" t="str">
        <f aca="false">IF(购销流水!$D567="","",IFERROR(INDEX(记账规则!$A$6:$N$9,MATCH(购销流水!$D567,记账规则!$A$6:$A$9,0),12),""))</f>
        <v/>
      </c>
      <c r="M2253" s="66" t="str">
        <f aca="false">IF($L2253="","",IFERROR(INDEX(记账规则!$A$6:$N$9,MATCH(购销流水!$D567,记账规则!$A$6:$A$9,0),13),""))</f>
        <v/>
      </c>
      <c r="N2253" s="66" t="str">
        <f aca="false">IF($L2253="","",IFERROR(INDEX(记账规则!$A$6:$N$9,MATCH(购销流水!$D567,记账规则!$A$6:$A$9,0),14),""))</f>
        <v/>
      </c>
      <c r="O2253" s="67" t="n">
        <f aca="false">IF($H2253="",0,ROUND(IF($N2253="成本金额",N(购销流水!$W567),IF($N2253="金额",N(购销流水!$Q567),0)),2))</f>
        <v>0</v>
      </c>
      <c r="P2253" s="64" t="str">
        <f aca="false">IF(AND($H2253&lt;&gt;"",ROUND($O2253,2)&lt;&gt;0),"有","")</f>
        <v/>
      </c>
    </row>
    <row r="2254" customFormat="false" ht="15" hidden="true" customHeight="false" outlineLevel="0" collapsed="false">
      <c r="A2254" s="53" t="str">
        <f aca="false">IF($H2254="","",ROW()-5)</f>
        <v/>
      </c>
      <c r="B2254" s="64" t="s">
        <v>36</v>
      </c>
      <c r="C2254" s="53" t="n">
        <v>568</v>
      </c>
      <c r="D2254" s="53" t="n">
        <v>1</v>
      </c>
      <c r="E2254" s="65" t="str">
        <f aca="false">IF($H2254="","",购销流水!$B568)</f>
        <v/>
      </c>
      <c r="F2254" s="55" t="str">
        <f aca="false">IF($H2254="","",购销流水!$C568)</f>
        <v/>
      </c>
      <c r="G2254" s="48" t="str">
        <f aca="false">IF($H2254="","",购销流水!$N568)</f>
        <v/>
      </c>
      <c r="H2254" s="10" t="str">
        <f aca="false">IF($L2254="","",IF($L2254="@成本",购销流水!$U568,IF($L2254="@收入",购销流水!$T568,IF($L2254="@存货",购销流水!$S568,IF($L2254="@结算",购销流水!$R568,$L2254)))))</f>
        <v/>
      </c>
      <c r="I2254" s="42" t="n">
        <f aca="false">IF($M2254="借",$O2254,0)</f>
        <v>0</v>
      </c>
      <c r="J2254" s="42" t="n">
        <f aca="false">IF($M2254="贷",$O2254,0)</f>
        <v>0</v>
      </c>
      <c r="K2254" s="48" t="str">
        <f aca="false">IF($H2254="","",购销流水!$E568)</f>
        <v/>
      </c>
      <c r="L2254" s="66" t="str">
        <f aca="false">IF(购销流水!$D568="","",IFERROR(INDEX(记账规则!$A$6:$N$9,MATCH(购销流水!$D568,记账规则!$A$6:$A$9,0),3),""))</f>
        <v/>
      </c>
      <c r="M2254" s="66" t="str">
        <f aca="false">IF($L2254="","",IFERROR(INDEX(记账规则!$A$6:$N$9,MATCH(购销流水!$D568,记账规则!$A$6:$A$9,0),4),""))</f>
        <v/>
      </c>
      <c r="N2254" s="66" t="str">
        <f aca="false">IF($L2254="","",IFERROR(INDEX(记账规则!$A$6:$N$9,MATCH(购销流水!$D568,记账规则!$A$6:$A$9,0),5),""))</f>
        <v/>
      </c>
      <c r="O2254" s="67" t="n">
        <f aca="false">IF($H2254="",0,ROUND(IF($N2254="成本金额",N(购销流水!$W568),IF($N2254="金额",N(购销流水!$Q568),0)),2))</f>
        <v>0</v>
      </c>
      <c r="P2254" s="64" t="str">
        <f aca="false">IF(AND($H2254&lt;&gt;"",ROUND($O2254,2)&lt;&gt;0),"有","")</f>
        <v/>
      </c>
    </row>
    <row r="2255" customFormat="false" ht="15" hidden="true" customHeight="false" outlineLevel="0" collapsed="false">
      <c r="A2255" s="53" t="str">
        <f aca="false">IF($H2255="","",ROW()-5)</f>
        <v/>
      </c>
      <c r="B2255" s="64" t="s">
        <v>36</v>
      </c>
      <c r="C2255" s="53" t="n">
        <v>568</v>
      </c>
      <c r="D2255" s="53" t="n">
        <v>2</v>
      </c>
      <c r="E2255" s="65" t="str">
        <f aca="false">IF($H2255="","",购销流水!$B568)</f>
        <v/>
      </c>
      <c r="F2255" s="55" t="str">
        <f aca="false">IF($H2255="","",购销流水!$C568)</f>
        <v/>
      </c>
      <c r="G2255" s="48" t="str">
        <f aca="false">IF($H2255="","",购销流水!$N568)</f>
        <v/>
      </c>
      <c r="H2255" s="10" t="str">
        <f aca="false">IF($L2255="","",IF($L2255="@成本",购销流水!$U568,IF($L2255="@收入",购销流水!$T568,IF($L2255="@存货",购销流水!$S568,IF($L2255="@结算",购销流水!$R568,$L2255)))))</f>
        <v/>
      </c>
      <c r="I2255" s="42" t="n">
        <f aca="false">IF($M2255="借",$O2255,0)</f>
        <v>0</v>
      </c>
      <c r="J2255" s="42" t="n">
        <f aca="false">IF($M2255="贷",$O2255,0)</f>
        <v>0</v>
      </c>
      <c r="K2255" s="48" t="str">
        <f aca="false">IF($H2255="","",购销流水!$E568)</f>
        <v/>
      </c>
      <c r="L2255" s="66" t="str">
        <f aca="false">IF(购销流水!$D568="","",IFERROR(INDEX(记账规则!$A$6:$N$9,MATCH(购销流水!$D568,记账规则!$A$6:$A$9,0),6),""))</f>
        <v/>
      </c>
      <c r="M2255" s="66" t="str">
        <f aca="false">IF($L2255="","",IFERROR(INDEX(记账规则!$A$6:$N$9,MATCH(购销流水!$D568,记账规则!$A$6:$A$9,0),7),""))</f>
        <v/>
      </c>
      <c r="N2255" s="66" t="str">
        <f aca="false">IF($L2255="","",IFERROR(INDEX(记账规则!$A$6:$N$9,MATCH(购销流水!$D568,记账规则!$A$6:$A$9,0),8),""))</f>
        <v/>
      </c>
      <c r="O2255" s="67" t="n">
        <f aca="false">IF($H2255="",0,ROUND(IF($N2255="成本金额",N(购销流水!$W568),IF($N2255="金额",N(购销流水!$Q568),0)),2))</f>
        <v>0</v>
      </c>
      <c r="P2255" s="64" t="str">
        <f aca="false">IF(AND($H2255&lt;&gt;"",ROUND($O2255,2)&lt;&gt;0),"有","")</f>
        <v/>
      </c>
    </row>
    <row r="2256" customFormat="false" ht="15" hidden="true" customHeight="false" outlineLevel="0" collapsed="false">
      <c r="A2256" s="53" t="str">
        <f aca="false">IF($H2256="","",ROW()-5)</f>
        <v/>
      </c>
      <c r="B2256" s="64" t="s">
        <v>36</v>
      </c>
      <c r="C2256" s="53" t="n">
        <v>568</v>
      </c>
      <c r="D2256" s="53" t="n">
        <v>3</v>
      </c>
      <c r="E2256" s="65" t="str">
        <f aca="false">IF($H2256="","",购销流水!$B568)</f>
        <v/>
      </c>
      <c r="F2256" s="55" t="str">
        <f aca="false">IF($H2256="","",购销流水!$C568)</f>
        <v/>
      </c>
      <c r="G2256" s="48" t="str">
        <f aca="false">IF($H2256="","",购销流水!$N568)</f>
        <v/>
      </c>
      <c r="H2256" s="10" t="str">
        <f aca="false">IF($L2256="","",IF($L2256="@成本",购销流水!$U568,IF($L2256="@收入",购销流水!$T568,IF($L2256="@存货",购销流水!$S568,IF($L2256="@结算",购销流水!$R568,$L2256)))))</f>
        <v/>
      </c>
      <c r="I2256" s="42" t="n">
        <f aca="false">IF($M2256="借",$O2256,0)</f>
        <v>0</v>
      </c>
      <c r="J2256" s="42" t="n">
        <f aca="false">IF($M2256="贷",$O2256,0)</f>
        <v>0</v>
      </c>
      <c r="K2256" s="48" t="str">
        <f aca="false">IF($H2256="","",购销流水!$E568)</f>
        <v/>
      </c>
      <c r="L2256" s="66" t="str">
        <f aca="false">IF(购销流水!$D568="","",IFERROR(INDEX(记账规则!$A$6:$N$9,MATCH(购销流水!$D568,记账规则!$A$6:$A$9,0),9),""))</f>
        <v/>
      </c>
      <c r="M2256" s="66" t="str">
        <f aca="false">IF($L2256="","",IFERROR(INDEX(记账规则!$A$6:$N$9,MATCH(购销流水!$D568,记账规则!$A$6:$A$9,0),10),""))</f>
        <v/>
      </c>
      <c r="N2256" s="66" t="str">
        <f aca="false">IF($L2256="","",IFERROR(INDEX(记账规则!$A$6:$N$9,MATCH(购销流水!$D568,记账规则!$A$6:$A$9,0),11),""))</f>
        <v/>
      </c>
      <c r="O2256" s="67" t="n">
        <f aca="false">IF($H2256="",0,ROUND(IF($N2256="成本金额",N(购销流水!$W568),IF($N2256="金额",N(购销流水!$Q568),0)),2))</f>
        <v>0</v>
      </c>
      <c r="P2256" s="64" t="str">
        <f aca="false">IF(AND($H2256&lt;&gt;"",ROUND($O2256,2)&lt;&gt;0),"有","")</f>
        <v/>
      </c>
    </row>
    <row r="2257" customFormat="false" ht="15" hidden="true" customHeight="false" outlineLevel="0" collapsed="false">
      <c r="A2257" s="53" t="str">
        <f aca="false">IF($H2257="","",ROW()-5)</f>
        <v/>
      </c>
      <c r="B2257" s="64" t="s">
        <v>36</v>
      </c>
      <c r="C2257" s="53" t="n">
        <v>568</v>
      </c>
      <c r="D2257" s="53" t="n">
        <v>4</v>
      </c>
      <c r="E2257" s="65" t="str">
        <f aca="false">IF($H2257="","",购销流水!$B568)</f>
        <v/>
      </c>
      <c r="F2257" s="55" t="str">
        <f aca="false">IF($H2257="","",购销流水!$C568)</f>
        <v/>
      </c>
      <c r="G2257" s="48" t="str">
        <f aca="false">IF($H2257="","",购销流水!$N568)</f>
        <v/>
      </c>
      <c r="H2257" s="10" t="str">
        <f aca="false">IF($L2257="","",IF($L2257="@成本",购销流水!$U568,IF($L2257="@收入",购销流水!$T568,IF($L2257="@存货",购销流水!$S568,IF($L2257="@结算",购销流水!$R568,$L2257)))))</f>
        <v/>
      </c>
      <c r="I2257" s="42" t="n">
        <f aca="false">IF($M2257="借",$O2257,0)</f>
        <v>0</v>
      </c>
      <c r="J2257" s="42" t="n">
        <f aca="false">IF($M2257="贷",$O2257,0)</f>
        <v>0</v>
      </c>
      <c r="K2257" s="48" t="str">
        <f aca="false">IF($H2257="","",购销流水!$E568)</f>
        <v/>
      </c>
      <c r="L2257" s="66" t="str">
        <f aca="false">IF(购销流水!$D568="","",IFERROR(INDEX(记账规则!$A$6:$N$9,MATCH(购销流水!$D568,记账规则!$A$6:$A$9,0),12),""))</f>
        <v/>
      </c>
      <c r="M2257" s="66" t="str">
        <f aca="false">IF($L2257="","",IFERROR(INDEX(记账规则!$A$6:$N$9,MATCH(购销流水!$D568,记账规则!$A$6:$A$9,0),13),""))</f>
        <v/>
      </c>
      <c r="N2257" s="66" t="str">
        <f aca="false">IF($L2257="","",IFERROR(INDEX(记账规则!$A$6:$N$9,MATCH(购销流水!$D568,记账规则!$A$6:$A$9,0),14),""))</f>
        <v/>
      </c>
      <c r="O2257" s="67" t="n">
        <f aca="false">IF($H2257="",0,ROUND(IF($N2257="成本金额",N(购销流水!$W568),IF($N2257="金额",N(购销流水!$Q568),0)),2))</f>
        <v>0</v>
      </c>
      <c r="P2257" s="64" t="str">
        <f aca="false">IF(AND($H2257&lt;&gt;"",ROUND($O2257,2)&lt;&gt;0),"有","")</f>
        <v/>
      </c>
    </row>
    <row r="2258" customFormat="false" ht="15" hidden="true" customHeight="false" outlineLevel="0" collapsed="false">
      <c r="A2258" s="53" t="str">
        <f aca="false">IF($H2258="","",ROW()-5)</f>
        <v/>
      </c>
      <c r="B2258" s="64" t="s">
        <v>36</v>
      </c>
      <c r="C2258" s="53" t="n">
        <v>569</v>
      </c>
      <c r="D2258" s="53" t="n">
        <v>1</v>
      </c>
      <c r="E2258" s="65" t="str">
        <f aca="false">IF($H2258="","",购销流水!$B569)</f>
        <v/>
      </c>
      <c r="F2258" s="55" t="str">
        <f aca="false">IF($H2258="","",购销流水!$C569)</f>
        <v/>
      </c>
      <c r="G2258" s="48" t="str">
        <f aca="false">IF($H2258="","",购销流水!$N569)</f>
        <v/>
      </c>
      <c r="H2258" s="10" t="str">
        <f aca="false">IF($L2258="","",IF($L2258="@成本",购销流水!$U569,IF($L2258="@收入",购销流水!$T569,IF($L2258="@存货",购销流水!$S569,IF($L2258="@结算",购销流水!$R569,$L2258)))))</f>
        <v/>
      </c>
      <c r="I2258" s="42" t="n">
        <f aca="false">IF($M2258="借",$O2258,0)</f>
        <v>0</v>
      </c>
      <c r="J2258" s="42" t="n">
        <f aca="false">IF($M2258="贷",$O2258,0)</f>
        <v>0</v>
      </c>
      <c r="K2258" s="48" t="str">
        <f aca="false">IF($H2258="","",购销流水!$E569)</f>
        <v/>
      </c>
      <c r="L2258" s="66" t="str">
        <f aca="false">IF(购销流水!$D569="","",IFERROR(INDEX(记账规则!$A$6:$N$9,MATCH(购销流水!$D569,记账规则!$A$6:$A$9,0),3),""))</f>
        <v/>
      </c>
      <c r="M2258" s="66" t="str">
        <f aca="false">IF($L2258="","",IFERROR(INDEX(记账规则!$A$6:$N$9,MATCH(购销流水!$D569,记账规则!$A$6:$A$9,0),4),""))</f>
        <v/>
      </c>
      <c r="N2258" s="66" t="str">
        <f aca="false">IF($L2258="","",IFERROR(INDEX(记账规则!$A$6:$N$9,MATCH(购销流水!$D569,记账规则!$A$6:$A$9,0),5),""))</f>
        <v/>
      </c>
      <c r="O2258" s="67" t="n">
        <f aca="false">IF($H2258="",0,ROUND(IF($N2258="成本金额",N(购销流水!$W569),IF($N2258="金额",N(购销流水!$Q569),0)),2))</f>
        <v>0</v>
      </c>
      <c r="P2258" s="64" t="str">
        <f aca="false">IF(AND($H2258&lt;&gt;"",ROUND($O2258,2)&lt;&gt;0),"有","")</f>
        <v/>
      </c>
    </row>
    <row r="2259" customFormat="false" ht="15" hidden="true" customHeight="false" outlineLevel="0" collapsed="false">
      <c r="A2259" s="53" t="str">
        <f aca="false">IF($H2259="","",ROW()-5)</f>
        <v/>
      </c>
      <c r="B2259" s="64" t="s">
        <v>36</v>
      </c>
      <c r="C2259" s="53" t="n">
        <v>569</v>
      </c>
      <c r="D2259" s="53" t="n">
        <v>2</v>
      </c>
      <c r="E2259" s="65" t="str">
        <f aca="false">IF($H2259="","",购销流水!$B569)</f>
        <v/>
      </c>
      <c r="F2259" s="55" t="str">
        <f aca="false">IF($H2259="","",购销流水!$C569)</f>
        <v/>
      </c>
      <c r="G2259" s="48" t="str">
        <f aca="false">IF($H2259="","",购销流水!$N569)</f>
        <v/>
      </c>
      <c r="H2259" s="10" t="str">
        <f aca="false">IF($L2259="","",IF($L2259="@成本",购销流水!$U569,IF($L2259="@收入",购销流水!$T569,IF($L2259="@存货",购销流水!$S569,IF($L2259="@结算",购销流水!$R569,$L2259)))))</f>
        <v/>
      </c>
      <c r="I2259" s="42" t="n">
        <f aca="false">IF($M2259="借",$O2259,0)</f>
        <v>0</v>
      </c>
      <c r="J2259" s="42" t="n">
        <f aca="false">IF($M2259="贷",$O2259,0)</f>
        <v>0</v>
      </c>
      <c r="K2259" s="48" t="str">
        <f aca="false">IF($H2259="","",购销流水!$E569)</f>
        <v/>
      </c>
      <c r="L2259" s="66" t="str">
        <f aca="false">IF(购销流水!$D569="","",IFERROR(INDEX(记账规则!$A$6:$N$9,MATCH(购销流水!$D569,记账规则!$A$6:$A$9,0),6),""))</f>
        <v/>
      </c>
      <c r="M2259" s="66" t="str">
        <f aca="false">IF($L2259="","",IFERROR(INDEX(记账规则!$A$6:$N$9,MATCH(购销流水!$D569,记账规则!$A$6:$A$9,0),7),""))</f>
        <v/>
      </c>
      <c r="N2259" s="66" t="str">
        <f aca="false">IF($L2259="","",IFERROR(INDEX(记账规则!$A$6:$N$9,MATCH(购销流水!$D569,记账规则!$A$6:$A$9,0),8),""))</f>
        <v/>
      </c>
      <c r="O2259" s="67" t="n">
        <f aca="false">IF($H2259="",0,ROUND(IF($N2259="成本金额",N(购销流水!$W569),IF($N2259="金额",N(购销流水!$Q569),0)),2))</f>
        <v>0</v>
      </c>
      <c r="P2259" s="64" t="str">
        <f aca="false">IF(AND($H2259&lt;&gt;"",ROUND($O2259,2)&lt;&gt;0),"有","")</f>
        <v/>
      </c>
    </row>
    <row r="2260" customFormat="false" ht="15" hidden="true" customHeight="false" outlineLevel="0" collapsed="false">
      <c r="A2260" s="53" t="str">
        <f aca="false">IF($H2260="","",ROW()-5)</f>
        <v/>
      </c>
      <c r="B2260" s="64" t="s">
        <v>36</v>
      </c>
      <c r="C2260" s="53" t="n">
        <v>569</v>
      </c>
      <c r="D2260" s="53" t="n">
        <v>3</v>
      </c>
      <c r="E2260" s="65" t="str">
        <f aca="false">IF($H2260="","",购销流水!$B569)</f>
        <v/>
      </c>
      <c r="F2260" s="55" t="str">
        <f aca="false">IF($H2260="","",购销流水!$C569)</f>
        <v/>
      </c>
      <c r="G2260" s="48" t="str">
        <f aca="false">IF($H2260="","",购销流水!$N569)</f>
        <v/>
      </c>
      <c r="H2260" s="10" t="str">
        <f aca="false">IF($L2260="","",IF($L2260="@成本",购销流水!$U569,IF($L2260="@收入",购销流水!$T569,IF($L2260="@存货",购销流水!$S569,IF($L2260="@结算",购销流水!$R569,$L2260)))))</f>
        <v/>
      </c>
      <c r="I2260" s="42" t="n">
        <f aca="false">IF($M2260="借",$O2260,0)</f>
        <v>0</v>
      </c>
      <c r="J2260" s="42" t="n">
        <f aca="false">IF($M2260="贷",$O2260,0)</f>
        <v>0</v>
      </c>
      <c r="K2260" s="48" t="str">
        <f aca="false">IF($H2260="","",购销流水!$E569)</f>
        <v/>
      </c>
      <c r="L2260" s="66" t="str">
        <f aca="false">IF(购销流水!$D569="","",IFERROR(INDEX(记账规则!$A$6:$N$9,MATCH(购销流水!$D569,记账规则!$A$6:$A$9,0),9),""))</f>
        <v/>
      </c>
      <c r="M2260" s="66" t="str">
        <f aca="false">IF($L2260="","",IFERROR(INDEX(记账规则!$A$6:$N$9,MATCH(购销流水!$D569,记账规则!$A$6:$A$9,0),10),""))</f>
        <v/>
      </c>
      <c r="N2260" s="66" t="str">
        <f aca="false">IF($L2260="","",IFERROR(INDEX(记账规则!$A$6:$N$9,MATCH(购销流水!$D569,记账规则!$A$6:$A$9,0),11),""))</f>
        <v/>
      </c>
      <c r="O2260" s="67" t="n">
        <f aca="false">IF($H2260="",0,ROUND(IF($N2260="成本金额",N(购销流水!$W569),IF($N2260="金额",N(购销流水!$Q569),0)),2))</f>
        <v>0</v>
      </c>
      <c r="P2260" s="64" t="str">
        <f aca="false">IF(AND($H2260&lt;&gt;"",ROUND($O2260,2)&lt;&gt;0),"有","")</f>
        <v/>
      </c>
    </row>
    <row r="2261" customFormat="false" ht="15" hidden="true" customHeight="false" outlineLevel="0" collapsed="false">
      <c r="A2261" s="53" t="str">
        <f aca="false">IF($H2261="","",ROW()-5)</f>
        <v/>
      </c>
      <c r="B2261" s="64" t="s">
        <v>36</v>
      </c>
      <c r="C2261" s="53" t="n">
        <v>569</v>
      </c>
      <c r="D2261" s="53" t="n">
        <v>4</v>
      </c>
      <c r="E2261" s="65" t="str">
        <f aca="false">IF($H2261="","",购销流水!$B569)</f>
        <v/>
      </c>
      <c r="F2261" s="55" t="str">
        <f aca="false">IF($H2261="","",购销流水!$C569)</f>
        <v/>
      </c>
      <c r="G2261" s="48" t="str">
        <f aca="false">IF($H2261="","",购销流水!$N569)</f>
        <v/>
      </c>
      <c r="H2261" s="10" t="str">
        <f aca="false">IF($L2261="","",IF($L2261="@成本",购销流水!$U569,IF($L2261="@收入",购销流水!$T569,IF($L2261="@存货",购销流水!$S569,IF($L2261="@结算",购销流水!$R569,$L2261)))))</f>
        <v/>
      </c>
      <c r="I2261" s="42" t="n">
        <f aca="false">IF($M2261="借",$O2261,0)</f>
        <v>0</v>
      </c>
      <c r="J2261" s="42" t="n">
        <f aca="false">IF($M2261="贷",$O2261,0)</f>
        <v>0</v>
      </c>
      <c r="K2261" s="48" t="str">
        <f aca="false">IF($H2261="","",购销流水!$E569)</f>
        <v/>
      </c>
      <c r="L2261" s="66" t="str">
        <f aca="false">IF(购销流水!$D569="","",IFERROR(INDEX(记账规则!$A$6:$N$9,MATCH(购销流水!$D569,记账规则!$A$6:$A$9,0),12),""))</f>
        <v/>
      </c>
      <c r="M2261" s="66" t="str">
        <f aca="false">IF($L2261="","",IFERROR(INDEX(记账规则!$A$6:$N$9,MATCH(购销流水!$D569,记账规则!$A$6:$A$9,0),13),""))</f>
        <v/>
      </c>
      <c r="N2261" s="66" t="str">
        <f aca="false">IF($L2261="","",IFERROR(INDEX(记账规则!$A$6:$N$9,MATCH(购销流水!$D569,记账规则!$A$6:$A$9,0),14),""))</f>
        <v/>
      </c>
      <c r="O2261" s="67" t="n">
        <f aca="false">IF($H2261="",0,ROUND(IF($N2261="成本金额",N(购销流水!$W569),IF($N2261="金额",N(购销流水!$Q569),0)),2))</f>
        <v>0</v>
      </c>
      <c r="P2261" s="64" t="str">
        <f aca="false">IF(AND($H2261&lt;&gt;"",ROUND($O2261,2)&lt;&gt;0),"有","")</f>
        <v/>
      </c>
    </row>
    <row r="2262" customFormat="false" ht="15" hidden="true" customHeight="false" outlineLevel="0" collapsed="false">
      <c r="A2262" s="53" t="str">
        <f aca="false">IF($H2262="","",ROW()-5)</f>
        <v/>
      </c>
      <c r="B2262" s="64" t="s">
        <v>36</v>
      </c>
      <c r="C2262" s="53" t="n">
        <v>570</v>
      </c>
      <c r="D2262" s="53" t="n">
        <v>1</v>
      </c>
      <c r="E2262" s="65" t="str">
        <f aca="false">IF($H2262="","",购销流水!$B570)</f>
        <v/>
      </c>
      <c r="F2262" s="55" t="str">
        <f aca="false">IF($H2262="","",购销流水!$C570)</f>
        <v/>
      </c>
      <c r="G2262" s="48" t="str">
        <f aca="false">IF($H2262="","",购销流水!$N570)</f>
        <v/>
      </c>
      <c r="H2262" s="10" t="str">
        <f aca="false">IF($L2262="","",IF($L2262="@成本",购销流水!$U570,IF($L2262="@收入",购销流水!$T570,IF($L2262="@存货",购销流水!$S570,IF($L2262="@结算",购销流水!$R570,$L2262)))))</f>
        <v/>
      </c>
      <c r="I2262" s="42" t="n">
        <f aca="false">IF($M2262="借",$O2262,0)</f>
        <v>0</v>
      </c>
      <c r="J2262" s="42" t="n">
        <f aca="false">IF($M2262="贷",$O2262,0)</f>
        <v>0</v>
      </c>
      <c r="K2262" s="48" t="str">
        <f aca="false">IF($H2262="","",购销流水!$E570)</f>
        <v/>
      </c>
      <c r="L2262" s="66" t="str">
        <f aca="false">IF(购销流水!$D570="","",IFERROR(INDEX(记账规则!$A$6:$N$9,MATCH(购销流水!$D570,记账规则!$A$6:$A$9,0),3),""))</f>
        <v/>
      </c>
      <c r="M2262" s="66" t="str">
        <f aca="false">IF($L2262="","",IFERROR(INDEX(记账规则!$A$6:$N$9,MATCH(购销流水!$D570,记账规则!$A$6:$A$9,0),4),""))</f>
        <v/>
      </c>
      <c r="N2262" s="66" t="str">
        <f aca="false">IF($L2262="","",IFERROR(INDEX(记账规则!$A$6:$N$9,MATCH(购销流水!$D570,记账规则!$A$6:$A$9,0),5),""))</f>
        <v/>
      </c>
      <c r="O2262" s="67" t="n">
        <f aca="false">IF($H2262="",0,ROUND(IF($N2262="成本金额",N(购销流水!$W570),IF($N2262="金额",N(购销流水!$Q570),0)),2))</f>
        <v>0</v>
      </c>
      <c r="P2262" s="64" t="str">
        <f aca="false">IF(AND($H2262&lt;&gt;"",ROUND($O2262,2)&lt;&gt;0),"有","")</f>
        <v/>
      </c>
    </row>
    <row r="2263" customFormat="false" ht="15" hidden="true" customHeight="false" outlineLevel="0" collapsed="false">
      <c r="A2263" s="53" t="str">
        <f aca="false">IF($H2263="","",ROW()-5)</f>
        <v/>
      </c>
      <c r="B2263" s="64" t="s">
        <v>36</v>
      </c>
      <c r="C2263" s="53" t="n">
        <v>570</v>
      </c>
      <c r="D2263" s="53" t="n">
        <v>2</v>
      </c>
      <c r="E2263" s="65" t="str">
        <f aca="false">IF($H2263="","",购销流水!$B570)</f>
        <v/>
      </c>
      <c r="F2263" s="55" t="str">
        <f aca="false">IF($H2263="","",购销流水!$C570)</f>
        <v/>
      </c>
      <c r="G2263" s="48" t="str">
        <f aca="false">IF($H2263="","",购销流水!$N570)</f>
        <v/>
      </c>
      <c r="H2263" s="10" t="str">
        <f aca="false">IF($L2263="","",IF($L2263="@成本",购销流水!$U570,IF($L2263="@收入",购销流水!$T570,IF($L2263="@存货",购销流水!$S570,IF($L2263="@结算",购销流水!$R570,$L2263)))))</f>
        <v/>
      </c>
      <c r="I2263" s="42" t="n">
        <f aca="false">IF($M2263="借",$O2263,0)</f>
        <v>0</v>
      </c>
      <c r="J2263" s="42" t="n">
        <f aca="false">IF($M2263="贷",$O2263,0)</f>
        <v>0</v>
      </c>
      <c r="K2263" s="48" t="str">
        <f aca="false">IF($H2263="","",购销流水!$E570)</f>
        <v/>
      </c>
      <c r="L2263" s="66" t="str">
        <f aca="false">IF(购销流水!$D570="","",IFERROR(INDEX(记账规则!$A$6:$N$9,MATCH(购销流水!$D570,记账规则!$A$6:$A$9,0),6),""))</f>
        <v/>
      </c>
      <c r="M2263" s="66" t="str">
        <f aca="false">IF($L2263="","",IFERROR(INDEX(记账规则!$A$6:$N$9,MATCH(购销流水!$D570,记账规则!$A$6:$A$9,0),7),""))</f>
        <v/>
      </c>
      <c r="N2263" s="66" t="str">
        <f aca="false">IF($L2263="","",IFERROR(INDEX(记账规则!$A$6:$N$9,MATCH(购销流水!$D570,记账规则!$A$6:$A$9,0),8),""))</f>
        <v/>
      </c>
      <c r="O2263" s="67" t="n">
        <f aca="false">IF($H2263="",0,ROUND(IF($N2263="成本金额",N(购销流水!$W570),IF($N2263="金额",N(购销流水!$Q570),0)),2))</f>
        <v>0</v>
      </c>
      <c r="P2263" s="64" t="str">
        <f aca="false">IF(AND($H2263&lt;&gt;"",ROUND($O2263,2)&lt;&gt;0),"有","")</f>
        <v/>
      </c>
    </row>
    <row r="2264" customFormat="false" ht="15" hidden="true" customHeight="false" outlineLevel="0" collapsed="false">
      <c r="A2264" s="53" t="str">
        <f aca="false">IF($H2264="","",ROW()-5)</f>
        <v/>
      </c>
      <c r="B2264" s="64" t="s">
        <v>36</v>
      </c>
      <c r="C2264" s="53" t="n">
        <v>570</v>
      </c>
      <c r="D2264" s="53" t="n">
        <v>3</v>
      </c>
      <c r="E2264" s="65" t="str">
        <f aca="false">IF($H2264="","",购销流水!$B570)</f>
        <v/>
      </c>
      <c r="F2264" s="55" t="str">
        <f aca="false">IF($H2264="","",购销流水!$C570)</f>
        <v/>
      </c>
      <c r="G2264" s="48" t="str">
        <f aca="false">IF($H2264="","",购销流水!$N570)</f>
        <v/>
      </c>
      <c r="H2264" s="10" t="str">
        <f aca="false">IF($L2264="","",IF($L2264="@成本",购销流水!$U570,IF($L2264="@收入",购销流水!$T570,IF($L2264="@存货",购销流水!$S570,IF($L2264="@结算",购销流水!$R570,$L2264)))))</f>
        <v/>
      </c>
      <c r="I2264" s="42" t="n">
        <f aca="false">IF($M2264="借",$O2264,0)</f>
        <v>0</v>
      </c>
      <c r="J2264" s="42" t="n">
        <f aca="false">IF($M2264="贷",$O2264,0)</f>
        <v>0</v>
      </c>
      <c r="K2264" s="48" t="str">
        <f aca="false">IF($H2264="","",购销流水!$E570)</f>
        <v/>
      </c>
      <c r="L2264" s="66" t="str">
        <f aca="false">IF(购销流水!$D570="","",IFERROR(INDEX(记账规则!$A$6:$N$9,MATCH(购销流水!$D570,记账规则!$A$6:$A$9,0),9),""))</f>
        <v/>
      </c>
      <c r="M2264" s="66" t="str">
        <f aca="false">IF($L2264="","",IFERROR(INDEX(记账规则!$A$6:$N$9,MATCH(购销流水!$D570,记账规则!$A$6:$A$9,0),10),""))</f>
        <v/>
      </c>
      <c r="N2264" s="66" t="str">
        <f aca="false">IF($L2264="","",IFERROR(INDEX(记账规则!$A$6:$N$9,MATCH(购销流水!$D570,记账规则!$A$6:$A$9,0),11),""))</f>
        <v/>
      </c>
      <c r="O2264" s="67" t="n">
        <f aca="false">IF($H2264="",0,ROUND(IF($N2264="成本金额",N(购销流水!$W570),IF($N2264="金额",N(购销流水!$Q570),0)),2))</f>
        <v>0</v>
      </c>
      <c r="P2264" s="64" t="str">
        <f aca="false">IF(AND($H2264&lt;&gt;"",ROUND($O2264,2)&lt;&gt;0),"有","")</f>
        <v/>
      </c>
    </row>
    <row r="2265" customFormat="false" ht="15" hidden="true" customHeight="false" outlineLevel="0" collapsed="false">
      <c r="A2265" s="53" t="str">
        <f aca="false">IF($H2265="","",ROW()-5)</f>
        <v/>
      </c>
      <c r="B2265" s="64" t="s">
        <v>36</v>
      </c>
      <c r="C2265" s="53" t="n">
        <v>570</v>
      </c>
      <c r="D2265" s="53" t="n">
        <v>4</v>
      </c>
      <c r="E2265" s="65" t="str">
        <f aca="false">IF($H2265="","",购销流水!$B570)</f>
        <v/>
      </c>
      <c r="F2265" s="55" t="str">
        <f aca="false">IF($H2265="","",购销流水!$C570)</f>
        <v/>
      </c>
      <c r="G2265" s="48" t="str">
        <f aca="false">IF($H2265="","",购销流水!$N570)</f>
        <v/>
      </c>
      <c r="H2265" s="10" t="str">
        <f aca="false">IF($L2265="","",IF($L2265="@成本",购销流水!$U570,IF($L2265="@收入",购销流水!$T570,IF($L2265="@存货",购销流水!$S570,IF($L2265="@结算",购销流水!$R570,$L2265)))))</f>
        <v/>
      </c>
      <c r="I2265" s="42" t="n">
        <f aca="false">IF($M2265="借",$O2265,0)</f>
        <v>0</v>
      </c>
      <c r="J2265" s="42" t="n">
        <f aca="false">IF($M2265="贷",$O2265,0)</f>
        <v>0</v>
      </c>
      <c r="K2265" s="48" t="str">
        <f aca="false">IF($H2265="","",购销流水!$E570)</f>
        <v/>
      </c>
      <c r="L2265" s="66" t="str">
        <f aca="false">IF(购销流水!$D570="","",IFERROR(INDEX(记账规则!$A$6:$N$9,MATCH(购销流水!$D570,记账规则!$A$6:$A$9,0),12),""))</f>
        <v/>
      </c>
      <c r="M2265" s="66" t="str">
        <f aca="false">IF($L2265="","",IFERROR(INDEX(记账规则!$A$6:$N$9,MATCH(购销流水!$D570,记账规则!$A$6:$A$9,0),13),""))</f>
        <v/>
      </c>
      <c r="N2265" s="66" t="str">
        <f aca="false">IF($L2265="","",IFERROR(INDEX(记账规则!$A$6:$N$9,MATCH(购销流水!$D570,记账规则!$A$6:$A$9,0),14),""))</f>
        <v/>
      </c>
      <c r="O2265" s="67" t="n">
        <f aca="false">IF($H2265="",0,ROUND(IF($N2265="成本金额",N(购销流水!$W570),IF($N2265="金额",N(购销流水!$Q570),0)),2))</f>
        <v>0</v>
      </c>
      <c r="P2265" s="64" t="str">
        <f aca="false">IF(AND($H2265&lt;&gt;"",ROUND($O2265,2)&lt;&gt;0),"有","")</f>
        <v/>
      </c>
    </row>
    <row r="2266" customFormat="false" ht="15" hidden="true" customHeight="false" outlineLevel="0" collapsed="false">
      <c r="A2266" s="53" t="str">
        <f aca="false">IF($H2266="","",ROW()-5)</f>
        <v/>
      </c>
      <c r="B2266" s="64" t="s">
        <v>36</v>
      </c>
      <c r="C2266" s="53" t="n">
        <v>571</v>
      </c>
      <c r="D2266" s="53" t="n">
        <v>1</v>
      </c>
      <c r="E2266" s="65" t="str">
        <f aca="false">IF($H2266="","",购销流水!$B571)</f>
        <v/>
      </c>
      <c r="F2266" s="55" t="str">
        <f aca="false">IF($H2266="","",购销流水!$C571)</f>
        <v/>
      </c>
      <c r="G2266" s="48" t="str">
        <f aca="false">IF($H2266="","",购销流水!$N571)</f>
        <v/>
      </c>
      <c r="H2266" s="10" t="str">
        <f aca="false">IF($L2266="","",IF($L2266="@成本",购销流水!$U571,IF($L2266="@收入",购销流水!$T571,IF($L2266="@存货",购销流水!$S571,IF($L2266="@结算",购销流水!$R571,$L2266)))))</f>
        <v/>
      </c>
      <c r="I2266" s="42" t="n">
        <f aca="false">IF($M2266="借",$O2266,0)</f>
        <v>0</v>
      </c>
      <c r="J2266" s="42" t="n">
        <f aca="false">IF($M2266="贷",$O2266,0)</f>
        <v>0</v>
      </c>
      <c r="K2266" s="48" t="str">
        <f aca="false">IF($H2266="","",购销流水!$E571)</f>
        <v/>
      </c>
      <c r="L2266" s="66" t="str">
        <f aca="false">IF(购销流水!$D571="","",IFERROR(INDEX(记账规则!$A$6:$N$9,MATCH(购销流水!$D571,记账规则!$A$6:$A$9,0),3),""))</f>
        <v/>
      </c>
      <c r="M2266" s="66" t="str">
        <f aca="false">IF($L2266="","",IFERROR(INDEX(记账规则!$A$6:$N$9,MATCH(购销流水!$D571,记账规则!$A$6:$A$9,0),4),""))</f>
        <v/>
      </c>
      <c r="N2266" s="66" t="str">
        <f aca="false">IF($L2266="","",IFERROR(INDEX(记账规则!$A$6:$N$9,MATCH(购销流水!$D571,记账规则!$A$6:$A$9,0),5),""))</f>
        <v/>
      </c>
      <c r="O2266" s="67" t="n">
        <f aca="false">IF($H2266="",0,ROUND(IF($N2266="成本金额",N(购销流水!$W571),IF($N2266="金额",N(购销流水!$Q571),0)),2))</f>
        <v>0</v>
      </c>
      <c r="P2266" s="64" t="str">
        <f aca="false">IF(AND($H2266&lt;&gt;"",ROUND($O2266,2)&lt;&gt;0),"有","")</f>
        <v/>
      </c>
    </row>
    <row r="2267" customFormat="false" ht="15" hidden="true" customHeight="false" outlineLevel="0" collapsed="false">
      <c r="A2267" s="53" t="str">
        <f aca="false">IF($H2267="","",ROW()-5)</f>
        <v/>
      </c>
      <c r="B2267" s="64" t="s">
        <v>36</v>
      </c>
      <c r="C2267" s="53" t="n">
        <v>571</v>
      </c>
      <c r="D2267" s="53" t="n">
        <v>2</v>
      </c>
      <c r="E2267" s="65" t="str">
        <f aca="false">IF($H2267="","",购销流水!$B571)</f>
        <v/>
      </c>
      <c r="F2267" s="55" t="str">
        <f aca="false">IF($H2267="","",购销流水!$C571)</f>
        <v/>
      </c>
      <c r="G2267" s="48" t="str">
        <f aca="false">IF($H2267="","",购销流水!$N571)</f>
        <v/>
      </c>
      <c r="H2267" s="10" t="str">
        <f aca="false">IF($L2267="","",IF($L2267="@成本",购销流水!$U571,IF($L2267="@收入",购销流水!$T571,IF($L2267="@存货",购销流水!$S571,IF($L2267="@结算",购销流水!$R571,$L2267)))))</f>
        <v/>
      </c>
      <c r="I2267" s="42" t="n">
        <f aca="false">IF($M2267="借",$O2267,0)</f>
        <v>0</v>
      </c>
      <c r="J2267" s="42" t="n">
        <f aca="false">IF($M2267="贷",$O2267,0)</f>
        <v>0</v>
      </c>
      <c r="K2267" s="48" t="str">
        <f aca="false">IF($H2267="","",购销流水!$E571)</f>
        <v/>
      </c>
      <c r="L2267" s="66" t="str">
        <f aca="false">IF(购销流水!$D571="","",IFERROR(INDEX(记账规则!$A$6:$N$9,MATCH(购销流水!$D571,记账规则!$A$6:$A$9,0),6),""))</f>
        <v/>
      </c>
      <c r="M2267" s="66" t="str">
        <f aca="false">IF($L2267="","",IFERROR(INDEX(记账规则!$A$6:$N$9,MATCH(购销流水!$D571,记账规则!$A$6:$A$9,0),7),""))</f>
        <v/>
      </c>
      <c r="N2267" s="66" t="str">
        <f aca="false">IF($L2267="","",IFERROR(INDEX(记账规则!$A$6:$N$9,MATCH(购销流水!$D571,记账规则!$A$6:$A$9,0),8),""))</f>
        <v/>
      </c>
      <c r="O2267" s="67" t="n">
        <f aca="false">IF($H2267="",0,ROUND(IF($N2267="成本金额",N(购销流水!$W571),IF($N2267="金额",N(购销流水!$Q571),0)),2))</f>
        <v>0</v>
      </c>
      <c r="P2267" s="64" t="str">
        <f aca="false">IF(AND($H2267&lt;&gt;"",ROUND($O2267,2)&lt;&gt;0),"有","")</f>
        <v/>
      </c>
    </row>
    <row r="2268" customFormat="false" ht="15" hidden="true" customHeight="false" outlineLevel="0" collapsed="false">
      <c r="A2268" s="53" t="str">
        <f aca="false">IF($H2268="","",ROW()-5)</f>
        <v/>
      </c>
      <c r="B2268" s="64" t="s">
        <v>36</v>
      </c>
      <c r="C2268" s="53" t="n">
        <v>571</v>
      </c>
      <c r="D2268" s="53" t="n">
        <v>3</v>
      </c>
      <c r="E2268" s="65" t="str">
        <f aca="false">IF($H2268="","",购销流水!$B571)</f>
        <v/>
      </c>
      <c r="F2268" s="55" t="str">
        <f aca="false">IF($H2268="","",购销流水!$C571)</f>
        <v/>
      </c>
      <c r="G2268" s="48" t="str">
        <f aca="false">IF($H2268="","",购销流水!$N571)</f>
        <v/>
      </c>
      <c r="H2268" s="10" t="str">
        <f aca="false">IF($L2268="","",IF($L2268="@成本",购销流水!$U571,IF($L2268="@收入",购销流水!$T571,IF($L2268="@存货",购销流水!$S571,IF($L2268="@结算",购销流水!$R571,$L2268)))))</f>
        <v/>
      </c>
      <c r="I2268" s="42" t="n">
        <f aca="false">IF($M2268="借",$O2268,0)</f>
        <v>0</v>
      </c>
      <c r="J2268" s="42" t="n">
        <f aca="false">IF($M2268="贷",$O2268,0)</f>
        <v>0</v>
      </c>
      <c r="K2268" s="48" t="str">
        <f aca="false">IF($H2268="","",购销流水!$E571)</f>
        <v/>
      </c>
      <c r="L2268" s="66" t="str">
        <f aca="false">IF(购销流水!$D571="","",IFERROR(INDEX(记账规则!$A$6:$N$9,MATCH(购销流水!$D571,记账规则!$A$6:$A$9,0),9),""))</f>
        <v/>
      </c>
      <c r="M2268" s="66" t="str">
        <f aca="false">IF($L2268="","",IFERROR(INDEX(记账规则!$A$6:$N$9,MATCH(购销流水!$D571,记账规则!$A$6:$A$9,0),10),""))</f>
        <v/>
      </c>
      <c r="N2268" s="66" t="str">
        <f aca="false">IF($L2268="","",IFERROR(INDEX(记账规则!$A$6:$N$9,MATCH(购销流水!$D571,记账规则!$A$6:$A$9,0),11),""))</f>
        <v/>
      </c>
      <c r="O2268" s="67" t="n">
        <f aca="false">IF($H2268="",0,ROUND(IF($N2268="成本金额",N(购销流水!$W571),IF($N2268="金额",N(购销流水!$Q571),0)),2))</f>
        <v>0</v>
      </c>
      <c r="P2268" s="64" t="str">
        <f aca="false">IF(AND($H2268&lt;&gt;"",ROUND($O2268,2)&lt;&gt;0),"有","")</f>
        <v/>
      </c>
    </row>
    <row r="2269" customFormat="false" ht="15" hidden="true" customHeight="false" outlineLevel="0" collapsed="false">
      <c r="A2269" s="53" t="str">
        <f aca="false">IF($H2269="","",ROW()-5)</f>
        <v/>
      </c>
      <c r="B2269" s="64" t="s">
        <v>36</v>
      </c>
      <c r="C2269" s="53" t="n">
        <v>571</v>
      </c>
      <c r="D2269" s="53" t="n">
        <v>4</v>
      </c>
      <c r="E2269" s="65" t="str">
        <f aca="false">IF($H2269="","",购销流水!$B571)</f>
        <v/>
      </c>
      <c r="F2269" s="55" t="str">
        <f aca="false">IF($H2269="","",购销流水!$C571)</f>
        <v/>
      </c>
      <c r="G2269" s="48" t="str">
        <f aca="false">IF($H2269="","",购销流水!$N571)</f>
        <v/>
      </c>
      <c r="H2269" s="10" t="str">
        <f aca="false">IF($L2269="","",IF($L2269="@成本",购销流水!$U571,IF($L2269="@收入",购销流水!$T571,IF($L2269="@存货",购销流水!$S571,IF($L2269="@结算",购销流水!$R571,$L2269)))))</f>
        <v/>
      </c>
      <c r="I2269" s="42" t="n">
        <f aca="false">IF($M2269="借",$O2269,0)</f>
        <v>0</v>
      </c>
      <c r="J2269" s="42" t="n">
        <f aca="false">IF($M2269="贷",$O2269,0)</f>
        <v>0</v>
      </c>
      <c r="K2269" s="48" t="str">
        <f aca="false">IF($H2269="","",购销流水!$E571)</f>
        <v/>
      </c>
      <c r="L2269" s="66" t="str">
        <f aca="false">IF(购销流水!$D571="","",IFERROR(INDEX(记账规则!$A$6:$N$9,MATCH(购销流水!$D571,记账规则!$A$6:$A$9,0),12),""))</f>
        <v/>
      </c>
      <c r="M2269" s="66" t="str">
        <f aca="false">IF($L2269="","",IFERROR(INDEX(记账规则!$A$6:$N$9,MATCH(购销流水!$D571,记账规则!$A$6:$A$9,0),13),""))</f>
        <v/>
      </c>
      <c r="N2269" s="66" t="str">
        <f aca="false">IF($L2269="","",IFERROR(INDEX(记账规则!$A$6:$N$9,MATCH(购销流水!$D571,记账规则!$A$6:$A$9,0),14),""))</f>
        <v/>
      </c>
      <c r="O2269" s="67" t="n">
        <f aca="false">IF($H2269="",0,ROUND(IF($N2269="成本金额",N(购销流水!$W571),IF($N2269="金额",N(购销流水!$Q571),0)),2))</f>
        <v>0</v>
      </c>
      <c r="P2269" s="64" t="str">
        <f aca="false">IF(AND($H2269&lt;&gt;"",ROUND($O2269,2)&lt;&gt;0),"有","")</f>
        <v/>
      </c>
    </row>
    <row r="2270" customFormat="false" ht="15" hidden="true" customHeight="false" outlineLevel="0" collapsed="false">
      <c r="A2270" s="53" t="str">
        <f aca="false">IF($H2270="","",ROW()-5)</f>
        <v/>
      </c>
      <c r="B2270" s="64" t="s">
        <v>36</v>
      </c>
      <c r="C2270" s="53" t="n">
        <v>572</v>
      </c>
      <c r="D2270" s="53" t="n">
        <v>1</v>
      </c>
      <c r="E2270" s="65" t="str">
        <f aca="false">IF($H2270="","",购销流水!$B572)</f>
        <v/>
      </c>
      <c r="F2270" s="55" t="str">
        <f aca="false">IF($H2270="","",购销流水!$C572)</f>
        <v/>
      </c>
      <c r="G2270" s="48" t="str">
        <f aca="false">IF($H2270="","",购销流水!$N572)</f>
        <v/>
      </c>
      <c r="H2270" s="10" t="str">
        <f aca="false">IF($L2270="","",IF($L2270="@成本",购销流水!$U572,IF($L2270="@收入",购销流水!$T572,IF($L2270="@存货",购销流水!$S572,IF($L2270="@结算",购销流水!$R572,$L2270)))))</f>
        <v/>
      </c>
      <c r="I2270" s="42" t="n">
        <f aca="false">IF($M2270="借",$O2270,0)</f>
        <v>0</v>
      </c>
      <c r="J2270" s="42" t="n">
        <f aca="false">IF($M2270="贷",$O2270,0)</f>
        <v>0</v>
      </c>
      <c r="K2270" s="48" t="str">
        <f aca="false">IF($H2270="","",购销流水!$E572)</f>
        <v/>
      </c>
      <c r="L2270" s="66" t="str">
        <f aca="false">IF(购销流水!$D572="","",IFERROR(INDEX(记账规则!$A$6:$N$9,MATCH(购销流水!$D572,记账规则!$A$6:$A$9,0),3),""))</f>
        <v/>
      </c>
      <c r="M2270" s="66" t="str">
        <f aca="false">IF($L2270="","",IFERROR(INDEX(记账规则!$A$6:$N$9,MATCH(购销流水!$D572,记账规则!$A$6:$A$9,0),4),""))</f>
        <v/>
      </c>
      <c r="N2270" s="66" t="str">
        <f aca="false">IF($L2270="","",IFERROR(INDEX(记账规则!$A$6:$N$9,MATCH(购销流水!$D572,记账规则!$A$6:$A$9,0),5),""))</f>
        <v/>
      </c>
      <c r="O2270" s="67" t="n">
        <f aca="false">IF($H2270="",0,ROUND(IF($N2270="成本金额",N(购销流水!$W572),IF($N2270="金额",N(购销流水!$Q572),0)),2))</f>
        <v>0</v>
      </c>
      <c r="P2270" s="64" t="str">
        <f aca="false">IF(AND($H2270&lt;&gt;"",ROUND($O2270,2)&lt;&gt;0),"有","")</f>
        <v/>
      </c>
    </row>
    <row r="2271" customFormat="false" ht="15" hidden="true" customHeight="false" outlineLevel="0" collapsed="false">
      <c r="A2271" s="53" t="str">
        <f aca="false">IF($H2271="","",ROW()-5)</f>
        <v/>
      </c>
      <c r="B2271" s="64" t="s">
        <v>36</v>
      </c>
      <c r="C2271" s="53" t="n">
        <v>572</v>
      </c>
      <c r="D2271" s="53" t="n">
        <v>2</v>
      </c>
      <c r="E2271" s="65" t="str">
        <f aca="false">IF($H2271="","",购销流水!$B572)</f>
        <v/>
      </c>
      <c r="F2271" s="55" t="str">
        <f aca="false">IF($H2271="","",购销流水!$C572)</f>
        <v/>
      </c>
      <c r="G2271" s="48" t="str">
        <f aca="false">IF($H2271="","",购销流水!$N572)</f>
        <v/>
      </c>
      <c r="H2271" s="10" t="str">
        <f aca="false">IF($L2271="","",IF($L2271="@成本",购销流水!$U572,IF($L2271="@收入",购销流水!$T572,IF($L2271="@存货",购销流水!$S572,IF($L2271="@结算",购销流水!$R572,$L2271)))))</f>
        <v/>
      </c>
      <c r="I2271" s="42" t="n">
        <f aca="false">IF($M2271="借",$O2271,0)</f>
        <v>0</v>
      </c>
      <c r="J2271" s="42" t="n">
        <f aca="false">IF($M2271="贷",$O2271,0)</f>
        <v>0</v>
      </c>
      <c r="K2271" s="48" t="str">
        <f aca="false">IF($H2271="","",购销流水!$E572)</f>
        <v/>
      </c>
      <c r="L2271" s="66" t="str">
        <f aca="false">IF(购销流水!$D572="","",IFERROR(INDEX(记账规则!$A$6:$N$9,MATCH(购销流水!$D572,记账规则!$A$6:$A$9,0),6),""))</f>
        <v/>
      </c>
      <c r="M2271" s="66" t="str">
        <f aca="false">IF($L2271="","",IFERROR(INDEX(记账规则!$A$6:$N$9,MATCH(购销流水!$D572,记账规则!$A$6:$A$9,0),7),""))</f>
        <v/>
      </c>
      <c r="N2271" s="66" t="str">
        <f aca="false">IF($L2271="","",IFERROR(INDEX(记账规则!$A$6:$N$9,MATCH(购销流水!$D572,记账规则!$A$6:$A$9,0),8),""))</f>
        <v/>
      </c>
      <c r="O2271" s="67" t="n">
        <f aca="false">IF($H2271="",0,ROUND(IF($N2271="成本金额",N(购销流水!$W572),IF($N2271="金额",N(购销流水!$Q572),0)),2))</f>
        <v>0</v>
      </c>
      <c r="P2271" s="64" t="str">
        <f aca="false">IF(AND($H2271&lt;&gt;"",ROUND($O2271,2)&lt;&gt;0),"有","")</f>
        <v/>
      </c>
    </row>
    <row r="2272" customFormat="false" ht="15" hidden="true" customHeight="false" outlineLevel="0" collapsed="false">
      <c r="A2272" s="53" t="str">
        <f aca="false">IF($H2272="","",ROW()-5)</f>
        <v/>
      </c>
      <c r="B2272" s="64" t="s">
        <v>36</v>
      </c>
      <c r="C2272" s="53" t="n">
        <v>572</v>
      </c>
      <c r="D2272" s="53" t="n">
        <v>3</v>
      </c>
      <c r="E2272" s="65" t="str">
        <f aca="false">IF($H2272="","",购销流水!$B572)</f>
        <v/>
      </c>
      <c r="F2272" s="55" t="str">
        <f aca="false">IF($H2272="","",购销流水!$C572)</f>
        <v/>
      </c>
      <c r="G2272" s="48" t="str">
        <f aca="false">IF($H2272="","",购销流水!$N572)</f>
        <v/>
      </c>
      <c r="H2272" s="10" t="str">
        <f aca="false">IF($L2272="","",IF($L2272="@成本",购销流水!$U572,IF($L2272="@收入",购销流水!$T572,IF($L2272="@存货",购销流水!$S572,IF($L2272="@结算",购销流水!$R572,$L2272)))))</f>
        <v/>
      </c>
      <c r="I2272" s="42" t="n">
        <f aca="false">IF($M2272="借",$O2272,0)</f>
        <v>0</v>
      </c>
      <c r="J2272" s="42" t="n">
        <f aca="false">IF($M2272="贷",$O2272,0)</f>
        <v>0</v>
      </c>
      <c r="K2272" s="48" t="str">
        <f aca="false">IF($H2272="","",购销流水!$E572)</f>
        <v/>
      </c>
      <c r="L2272" s="66" t="str">
        <f aca="false">IF(购销流水!$D572="","",IFERROR(INDEX(记账规则!$A$6:$N$9,MATCH(购销流水!$D572,记账规则!$A$6:$A$9,0),9),""))</f>
        <v/>
      </c>
      <c r="M2272" s="66" t="str">
        <f aca="false">IF($L2272="","",IFERROR(INDEX(记账规则!$A$6:$N$9,MATCH(购销流水!$D572,记账规则!$A$6:$A$9,0),10),""))</f>
        <v/>
      </c>
      <c r="N2272" s="66" t="str">
        <f aca="false">IF($L2272="","",IFERROR(INDEX(记账规则!$A$6:$N$9,MATCH(购销流水!$D572,记账规则!$A$6:$A$9,0),11),""))</f>
        <v/>
      </c>
      <c r="O2272" s="67" t="n">
        <f aca="false">IF($H2272="",0,ROUND(IF($N2272="成本金额",N(购销流水!$W572),IF($N2272="金额",N(购销流水!$Q572),0)),2))</f>
        <v>0</v>
      </c>
      <c r="P2272" s="64" t="str">
        <f aca="false">IF(AND($H2272&lt;&gt;"",ROUND($O2272,2)&lt;&gt;0),"有","")</f>
        <v/>
      </c>
    </row>
    <row r="2273" customFormat="false" ht="15" hidden="true" customHeight="false" outlineLevel="0" collapsed="false">
      <c r="A2273" s="53" t="str">
        <f aca="false">IF($H2273="","",ROW()-5)</f>
        <v/>
      </c>
      <c r="B2273" s="64" t="s">
        <v>36</v>
      </c>
      <c r="C2273" s="53" t="n">
        <v>572</v>
      </c>
      <c r="D2273" s="53" t="n">
        <v>4</v>
      </c>
      <c r="E2273" s="65" t="str">
        <f aca="false">IF($H2273="","",购销流水!$B572)</f>
        <v/>
      </c>
      <c r="F2273" s="55" t="str">
        <f aca="false">IF($H2273="","",购销流水!$C572)</f>
        <v/>
      </c>
      <c r="G2273" s="48" t="str">
        <f aca="false">IF($H2273="","",购销流水!$N572)</f>
        <v/>
      </c>
      <c r="H2273" s="10" t="str">
        <f aca="false">IF($L2273="","",IF($L2273="@成本",购销流水!$U572,IF($L2273="@收入",购销流水!$T572,IF($L2273="@存货",购销流水!$S572,IF($L2273="@结算",购销流水!$R572,$L2273)))))</f>
        <v/>
      </c>
      <c r="I2273" s="42" t="n">
        <f aca="false">IF($M2273="借",$O2273,0)</f>
        <v>0</v>
      </c>
      <c r="J2273" s="42" t="n">
        <f aca="false">IF($M2273="贷",$O2273,0)</f>
        <v>0</v>
      </c>
      <c r="K2273" s="48" t="str">
        <f aca="false">IF($H2273="","",购销流水!$E572)</f>
        <v/>
      </c>
      <c r="L2273" s="66" t="str">
        <f aca="false">IF(购销流水!$D572="","",IFERROR(INDEX(记账规则!$A$6:$N$9,MATCH(购销流水!$D572,记账规则!$A$6:$A$9,0),12),""))</f>
        <v/>
      </c>
      <c r="M2273" s="66" t="str">
        <f aca="false">IF($L2273="","",IFERROR(INDEX(记账规则!$A$6:$N$9,MATCH(购销流水!$D572,记账规则!$A$6:$A$9,0),13),""))</f>
        <v/>
      </c>
      <c r="N2273" s="66" t="str">
        <f aca="false">IF($L2273="","",IFERROR(INDEX(记账规则!$A$6:$N$9,MATCH(购销流水!$D572,记账规则!$A$6:$A$9,0),14),""))</f>
        <v/>
      </c>
      <c r="O2273" s="67" t="n">
        <f aca="false">IF($H2273="",0,ROUND(IF($N2273="成本金额",N(购销流水!$W572),IF($N2273="金额",N(购销流水!$Q572),0)),2))</f>
        <v>0</v>
      </c>
      <c r="P2273" s="64" t="str">
        <f aca="false">IF(AND($H2273&lt;&gt;"",ROUND($O2273,2)&lt;&gt;0),"有","")</f>
        <v/>
      </c>
    </row>
    <row r="2274" customFormat="false" ht="15" hidden="true" customHeight="false" outlineLevel="0" collapsed="false">
      <c r="A2274" s="53" t="str">
        <f aca="false">IF($H2274="","",ROW()-5)</f>
        <v/>
      </c>
      <c r="B2274" s="64" t="s">
        <v>36</v>
      </c>
      <c r="C2274" s="53" t="n">
        <v>573</v>
      </c>
      <c r="D2274" s="53" t="n">
        <v>1</v>
      </c>
      <c r="E2274" s="65" t="str">
        <f aca="false">IF($H2274="","",购销流水!$B573)</f>
        <v/>
      </c>
      <c r="F2274" s="55" t="str">
        <f aca="false">IF($H2274="","",购销流水!$C573)</f>
        <v/>
      </c>
      <c r="G2274" s="48" t="str">
        <f aca="false">IF($H2274="","",购销流水!$N573)</f>
        <v/>
      </c>
      <c r="H2274" s="10" t="str">
        <f aca="false">IF($L2274="","",IF($L2274="@成本",购销流水!$U573,IF($L2274="@收入",购销流水!$T573,IF($L2274="@存货",购销流水!$S573,IF($L2274="@结算",购销流水!$R573,$L2274)))))</f>
        <v/>
      </c>
      <c r="I2274" s="42" t="n">
        <f aca="false">IF($M2274="借",$O2274,0)</f>
        <v>0</v>
      </c>
      <c r="J2274" s="42" t="n">
        <f aca="false">IF($M2274="贷",$O2274,0)</f>
        <v>0</v>
      </c>
      <c r="K2274" s="48" t="str">
        <f aca="false">IF($H2274="","",购销流水!$E573)</f>
        <v/>
      </c>
      <c r="L2274" s="66" t="str">
        <f aca="false">IF(购销流水!$D573="","",IFERROR(INDEX(记账规则!$A$6:$N$9,MATCH(购销流水!$D573,记账规则!$A$6:$A$9,0),3),""))</f>
        <v/>
      </c>
      <c r="M2274" s="66" t="str">
        <f aca="false">IF($L2274="","",IFERROR(INDEX(记账规则!$A$6:$N$9,MATCH(购销流水!$D573,记账规则!$A$6:$A$9,0),4),""))</f>
        <v/>
      </c>
      <c r="N2274" s="66" t="str">
        <f aca="false">IF($L2274="","",IFERROR(INDEX(记账规则!$A$6:$N$9,MATCH(购销流水!$D573,记账规则!$A$6:$A$9,0),5),""))</f>
        <v/>
      </c>
      <c r="O2274" s="67" t="n">
        <f aca="false">IF($H2274="",0,ROUND(IF($N2274="成本金额",N(购销流水!$W573),IF($N2274="金额",N(购销流水!$Q573),0)),2))</f>
        <v>0</v>
      </c>
      <c r="P2274" s="64" t="str">
        <f aca="false">IF(AND($H2274&lt;&gt;"",ROUND($O2274,2)&lt;&gt;0),"有","")</f>
        <v/>
      </c>
    </row>
    <row r="2275" customFormat="false" ht="15" hidden="true" customHeight="false" outlineLevel="0" collapsed="false">
      <c r="A2275" s="53" t="str">
        <f aca="false">IF($H2275="","",ROW()-5)</f>
        <v/>
      </c>
      <c r="B2275" s="64" t="s">
        <v>36</v>
      </c>
      <c r="C2275" s="53" t="n">
        <v>573</v>
      </c>
      <c r="D2275" s="53" t="n">
        <v>2</v>
      </c>
      <c r="E2275" s="65" t="str">
        <f aca="false">IF($H2275="","",购销流水!$B573)</f>
        <v/>
      </c>
      <c r="F2275" s="55" t="str">
        <f aca="false">IF($H2275="","",购销流水!$C573)</f>
        <v/>
      </c>
      <c r="G2275" s="48" t="str">
        <f aca="false">IF($H2275="","",购销流水!$N573)</f>
        <v/>
      </c>
      <c r="H2275" s="10" t="str">
        <f aca="false">IF($L2275="","",IF($L2275="@成本",购销流水!$U573,IF($L2275="@收入",购销流水!$T573,IF($L2275="@存货",购销流水!$S573,IF($L2275="@结算",购销流水!$R573,$L2275)))))</f>
        <v/>
      </c>
      <c r="I2275" s="42" t="n">
        <f aca="false">IF($M2275="借",$O2275,0)</f>
        <v>0</v>
      </c>
      <c r="J2275" s="42" t="n">
        <f aca="false">IF($M2275="贷",$O2275,0)</f>
        <v>0</v>
      </c>
      <c r="K2275" s="48" t="str">
        <f aca="false">IF($H2275="","",购销流水!$E573)</f>
        <v/>
      </c>
      <c r="L2275" s="66" t="str">
        <f aca="false">IF(购销流水!$D573="","",IFERROR(INDEX(记账规则!$A$6:$N$9,MATCH(购销流水!$D573,记账规则!$A$6:$A$9,0),6),""))</f>
        <v/>
      </c>
      <c r="M2275" s="66" t="str">
        <f aca="false">IF($L2275="","",IFERROR(INDEX(记账规则!$A$6:$N$9,MATCH(购销流水!$D573,记账规则!$A$6:$A$9,0),7),""))</f>
        <v/>
      </c>
      <c r="N2275" s="66" t="str">
        <f aca="false">IF($L2275="","",IFERROR(INDEX(记账规则!$A$6:$N$9,MATCH(购销流水!$D573,记账规则!$A$6:$A$9,0),8),""))</f>
        <v/>
      </c>
      <c r="O2275" s="67" t="n">
        <f aca="false">IF($H2275="",0,ROUND(IF($N2275="成本金额",N(购销流水!$W573),IF($N2275="金额",N(购销流水!$Q573),0)),2))</f>
        <v>0</v>
      </c>
      <c r="P2275" s="64" t="str">
        <f aca="false">IF(AND($H2275&lt;&gt;"",ROUND($O2275,2)&lt;&gt;0),"有","")</f>
        <v/>
      </c>
    </row>
    <row r="2276" customFormat="false" ht="15" hidden="true" customHeight="false" outlineLevel="0" collapsed="false">
      <c r="A2276" s="53" t="str">
        <f aca="false">IF($H2276="","",ROW()-5)</f>
        <v/>
      </c>
      <c r="B2276" s="64" t="s">
        <v>36</v>
      </c>
      <c r="C2276" s="53" t="n">
        <v>573</v>
      </c>
      <c r="D2276" s="53" t="n">
        <v>3</v>
      </c>
      <c r="E2276" s="65" t="str">
        <f aca="false">IF($H2276="","",购销流水!$B573)</f>
        <v/>
      </c>
      <c r="F2276" s="55" t="str">
        <f aca="false">IF($H2276="","",购销流水!$C573)</f>
        <v/>
      </c>
      <c r="G2276" s="48" t="str">
        <f aca="false">IF($H2276="","",购销流水!$N573)</f>
        <v/>
      </c>
      <c r="H2276" s="10" t="str">
        <f aca="false">IF($L2276="","",IF($L2276="@成本",购销流水!$U573,IF($L2276="@收入",购销流水!$T573,IF($L2276="@存货",购销流水!$S573,IF($L2276="@结算",购销流水!$R573,$L2276)))))</f>
        <v/>
      </c>
      <c r="I2276" s="42" t="n">
        <f aca="false">IF($M2276="借",$O2276,0)</f>
        <v>0</v>
      </c>
      <c r="J2276" s="42" t="n">
        <f aca="false">IF($M2276="贷",$O2276,0)</f>
        <v>0</v>
      </c>
      <c r="K2276" s="48" t="str">
        <f aca="false">IF($H2276="","",购销流水!$E573)</f>
        <v/>
      </c>
      <c r="L2276" s="66" t="str">
        <f aca="false">IF(购销流水!$D573="","",IFERROR(INDEX(记账规则!$A$6:$N$9,MATCH(购销流水!$D573,记账规则!$A$6:$A$9,0),9),""))</f>
        <v/>
      </c>
      <c r="M2276" s="66" t="str">
        <f aca="false">IF($L2276="","",IFERROR(INDEX(记账规则!$A$6:$N$9,MATCH(购销流水!$D573,记账规则!$A$6:$A$9,0),10),""))</f>
        <v/>
      </c>
      <c r="N2276" s="66" t="str">
        <f aca="false">IF($L2276="","",IFERROR(INDEX(记账规则!$A$6:$N$9,MATCH(购销流水!$D573,记账规则!$A$6:$A$9,0),11),""))</f>
        <v/>
      </c>
      <c r="O2276" s="67" t="n">
        <f aca="false">IF($H2276="",0,ROUND(IF($N2276="成本金额",N(购销流水!$W573),IF($N2276="金额",N(购销流水!$Q573),0)),2))</f>
        <v>0</v>
      </c>
      <c r="P2276" s="64" t="str">
        <f aca="false">IF(AND($H2276&lt;&gt;"",ROUND($O2276,2)&lt;&gt;0),"有","")</f>
        <v/>
      </c>
    </row>
    <row r="2277" customFormat="false" ht="15" hidden="true" customHeight="false" outlineLevel="0" collapsed="false">
      <c r="A2277" s="53" t="str">
        <f aca="false">IF($H2277="","",ROW()-5)</f>
        <v/>
      </c>
      <c r="B2277" s="64" t="s">
        <v>36</v>
      </c>
      <c r="C2277" s="53" t="n">
        <v>573</v>
      </c>
      <c r="D2277" s="53" t="n">
        <v>4</v>
      </c>
      <c r="E2277" s="65" t="str">
        <f aca="false">IF($H2277="","",购销流水!$B573)</f>
        <v/>
      </c>
      <c r="F2277" s="55" t="str">
        <f aca="false">IF($H2277="","",购销流水!$C573)</f>
        <v/>
      </c>
      <c r="G2277" s="48" t="str">
        <f aca="false">IF($H2277="","",购销流水!$N573)</f>
        <v/>
      </c>
      <c r="H2277" s="10" t="str">
        <f aca="false">IF($L2277="","",IF($L2277="@成本",购销流水!$U573,IF($L2277="@收入",购销流水!$T573,IF($L2277="@存货",购销流水!$S573,IF($L2277="@结算",购销流水!$R573,$L2277)))))</f>
        <v/>
      </c>
      <c r="I2277" s="42" t="n">
        <f aca="false">IF($M2277="借",$O2277,0)</f>
        <v>0</v>
      </c>
      <c r="J2277" s="42" t="n">
        <f aca="false">IF($M2277="贷",$O2277,0)</f>
        <v>0</v>
      </c>
      <c r="K2277" s="48" t="str">
        <f aca="false">IF($H2277="","",购销流水!$E573)</f>
        <v/>
      </c>
      <c r="L2277" s="66" t="str">
        <f aca="false">IF(购销流水!$D573="","",IFERROR(INDEX(记账规则!$A$6:$N$9,MATCH(购销流水!$D573,记账规则!$A$6:$A$9,0),12),""))</f>
        <v/>
      </c>
      <c r="M2277" s="66" t="str">
        <f aca="false">IF($L2277="","",IFERROR(INDEX(记账规则!$A$6:$N$9,MATCH(购销流水!$D573,记账规则!$A$6:$A$9,0),13),""))</f>
        <v/>
      </c>
      <c r="N2277" s="66" t="str">
        <f aca="false">IF($L2277="","",IFERROR(INDEX(记账规则!$A$6:$N$9,MATCH(购销流水!$D573,记账规则!$A$6:$A$9,0),14),""))</f>
        <v/>
      </c>
      <c r="O2277" s="67" t="n">
        <f aca="false">IF($H2277="",0,ROUND(IF($N2277="成本金额",N(购销流水!$W573),IF($N2277="金额",N(购销流水!$Q573),0)),2))</f>
        <v>0</v>
      </c>
      <c r="P2277" s="64" t="str">
        <f aca="false">IF(AND($H2277&lt;&gt;"",ROUND($O2277,2)&lt;&gt;0),"有","")</f>
        <v/>
      </c>
    </row>
    <row r="2278" customFormat="false" ht="15" hidden="true" customHeight="false" outlineLevel="0" collapsed="false">
      <c r="A2278" s="53" t="str">
        <f aca="false">IF($H2278="","",ROW()-5)</f>
        <v/>
      </c>
      <c r="B2278" s="64" t="s">
        <v>36</v>
      </c>
      <c r="C2278" s="53" t="n">
        <v>574</v>
      </c>
      <c r="D2278" s="53" t="n">
        <v>1</v>
      </c>
      <c r="E2278" s="65" t="str">
        <f aca="false">IF($H2278="","",购销流水!$B574)</f>
        <v/>
      </c>
      <c r="F2278" s="55" t="str">
        <f aca="false">IF($H2278="","",购销流水!$C574)</f>
        <v/>
      </c>
      <c r="G2278" s="48" t="str">
        <f aca="false">IF($H2278="","",购销流水!$N574)</f>
        <v/>
      </c>
      <c r="H2278" s="10" t="str">
        <f aca="false">IF($L2278="","",IF($L2278="@成本",购销流水!$U574,IF($L2278="@收入",购销流水!$T574,IF($L2278="@存货",购销流水!$S574,IF($L2278="@结算",购销流水!$R574,$L2278)))))</f>
        <v/>
      </c>
      <c r="I2278" s="42" t="n">
        <f aca="false">IF($M2278="借",$O2278,0)</f>
        <v>0</v>
      </c>
      <c r="J2278" s="42" t="n">
        <f aca="false">IF($M2278="贷",$O2278,0)</f>
        <v>0</v>
      </c>
      <c r="K2278" s="48" t="str">
        <f aca="false">IF($H2278="","",购销流水!$E574)</f>
        <v/>
      </c>
      <c r="L2278" s="66" t="str">
        <f aca="false">IF(购销流水!$D574="","",IFERROR(INDEX(记账规则!$A$6:$N$9,MATCH(购销流水!$D574,记账规则!$A$6:$A$9,0),3),""))</f>
        <v/>
      </c>
      <c r="M2278" s="66" t="str">
        <f aca="false">IF($L2278="","",IFERROR(INDEX(记账规则!$A$6:$N$9,MATCH(购销流水!$D574,记账规则!$A$6:$A$9,0),4),""))</f>
        <v/>
      </c>
      <c r="N2278" s="66" t="str">
        <f aca="false">IF($L2278="","",IFERROR(INDEX(记账规则!$A$6:$N$9,MATCH(购销流水!$D574,记账规则!$A$6:$A$9,0),5),""))</f>
        <v/>
      </c>
      <c r="O2278" s="67" t="n">
        <f aca="false">IF($H2278="",0,ROUND(IF($N2278="成本金额",N(购销流水!$W574),IF($N2278="金额",N(购销流水!$Q574),0)),2))</f>
        <v>0</v>
      </c>
      <c r="P2278" s="64" t="str">
        <f aca="false">IF(AND($H2278&lt;&gt;"",ROUND($O2278,2)&lt;&gt;0),"有","")</f>
        <v/>
      </c>
    </row>
    <row r="2279" customFormat="false" ht="15" hidden="true" customHeight="false" outlineLevel="0" collapsed="false">
      <c r="A2279" s="53" t="str">
        <f aca="false">IF($H2279="","",ROW()-5)</f>
        <v/>
      </c>
      <c r="B2279" s="64" t="s">
        <v>36</v>
      </c>
      <c r="C2279" s="53" t="n">
        <v>574</v>
      </c>
      <c r="D2279" s="53" t="n">
        <v>2</v>
      </c>
      <c r="E2279" s="65" t="str">
        <f aca="false">IF($H2279="","",购销流水!$B574)</f>
        <v/>
      </c>
      <c r="F2279" s="55" t="str">
        <f aca="false">IF($H2279="","",购销流水!$C574)</f>
        <v/>
      </c>
      <c r="G2279" s="48" t="str">
        <f aca="false">IF($H2279="","",购销流水!$N574)</f>
        <v/>
      </c>
      <c r="H2279" s="10" t="str">
        <f aca="false">IF($L2279="","",IF($L2279="@成本",购销流水!$U574,IF($L2279="@收入",购销流水!$T574,IF($L2279="@存货",购销流水!$S574,IF($L2279="@结算",购销流水!$R574,$L2279)))))</f>
        <v/>
      </c>
      <c r="I2279" s="42" t="n">
        <f aca="false">IF($M2279="借",$O2279,0)</f>
        <v>0</v>
      </c>
      <c r="J2279" s="42" t="n">
        <f aca="false">IF($M2279="贷",$O2279,0)</f>
        <v>0</v>
      </c>
      <c r="K2279" s="48" t="str">
        <f aca="false">IF($H2279="","",购销流水!$E574)</f>
        <v/>
      </c>
      <c r="L2279" s="66" t="str">
        <f aca="false">IF(购销流水!$D574="","",IFERROR(INDEX(记账规则!$A$6:$N$9,MATCH(购销流水!$D574,记账规则!$A$6:$A$9,0),6),""))</f>
        <v/>
      </c>
      <c r="M2279" s="66" t="str">
        <f aca="false">IF($L2279="","",IFERROR(INDEX(记账规则!$A$6:$N$9,MATCH(购销流水!$D574,记账规则!$A$6:$A$9,0),7),""))</f>
        <v/>
      </c>
      <c r="N2279" s="66" t="str">
        <f aca="false">IF($L2279="","",IFERROR(INDEX(记账规则!$A$6:$N$9,MATCH(购销流水!$D574,记账规则!$A$6:$A$9,0),8),""))</f>
        <v/>
      </c>
      <c r="O2279" s="67" t="n">
        <f aca="false">IF($H2279="",0,ROUND(IF($N2279="成本金额",N(购销流水!$W574),IF($N2279="金额",N(购销流水!$Q574),0)),2))</f>
        <v>0</v>
      </c>
      <c r="P2279" s="64" t="str">
        <f aca="false">IF(AND($H2279&lt;&gt;"",ROUND($O2279,2)&lt;&gt;0),"有","")</f>
        <v/>
      </c>
    </row>
    <row r="2280" customFormat="false" ht="15" hidden="true" customHeight="false" outlineLevel="0" collapsed="false">
      <c r="A2280" s="53" t="str">
        <f aca="false">IF($H2280="","",ROW()-5)</f>
        <v/>
      </c>
      <c r="B2280" s="64" t="s">
        <v>36</v>
      </c>
      <c r="C2280" s="53" t="n">
        <v>574</v>
      </c>
      <c r="D2280" s="53" t="n">
        <v>3</v>
      </c>
      <c r="E2280" s="65" t="str">
        <f aca="false">IF($H2280="","",购销流水!$B574)</f>
        <v/>
      </c>
      <c r="F2280" s="55" t="str">
        <f aca="false">IF($H2280="","",购销流水!$C574)</f>
        <v/>
      </c>
      <c r="G2280" s="48" t="str">
        <f aca="false">IF($H2280="","",购销流水!$N574)</f>
        <v/>
      </c>
      <c r="H2280" s="10" t="str">
        <f aca="false">IF($L2280="","",IF($L2280="@成本",购销流水!$U574,IF($L2280="@收入",购销流水!$T574,IF($L2280="@存货",购销流水!$S574,IF($L2280="@结算",购销流水!$R574,$L2280)))))</f>
        <v/>
      </c>
      <c r="I2280" s="42" t="n">
        <f aca="false">IF($M2280="借",$O2280,0)</f>
        <v>0</v>
      </c>
      <c r="J2280" s="42" t="n">
        <f aca="false">IF($M2280="贷",$O2280,0)</f>
        <v>0</v>
      </c>
      <c r="K2280" s="48" t="str">
        <f aca="false">IF($H2280="","",购销流水!$E574)</f>
        <v/>
      </c>
      <c r="L2280" s="66" t="str">
        <f aca="false">IF(购销流水!$D574="","",IFERROR(INDEX(记账规则!$A$6:$N$9,MATCH(购销流水!$D574,记账规则!$A$6:$A$9,0),9),""))</f>
        <v/>
      </c>
      <c r="M2280" s="66" t="str">
        <f aca="false">IF($L2280="","",IFERROR(INDEX(记账规则!$A$6:$N$9,MATCH(购销流水!$D574,记账规则!$A$6:$A$9,0),10),""))</f>
        <v/>
      </c>
      <c r="N2280" s="66" t="str">
        <f aca="false">IF($L2280="","",IFERROR(INDEX(记账规则!$A$6:$N$9,MATCH(购销流水!$D574,记账规则!$A$6:$A$9,0),11),""))</f>
        <v/>
      </c>
      <c r="O2280" s="67" t="n">
        <f aca="false">IF($H2280="",0,ROUND(IF($N2280="成本金额",N(购销流水!$W574),IF($N2280="金额",N(购销流水!$Q574),0)),2))</f>
        <v>0</v>
      </c>
      <c r="P2280" s="64" t="str">
        <f aca="false">IF(AND($H2280&lt;&gt;"",ROUND($O2280,2)&lt;&gt;0),"有","")</f>
        <v/>
      </c>
    </row>
    <row r="2281" customFormat="false" ht="15" hidden="true" customHeight="false" outlineLevel="0" collapsed="false">
      <c r="A2281" s="53" t="str">
        <f aca="false">IF($H2281="","",ROW()-5)</f>
        <v/>
      </c>
      <c r="B2281" s="64" t="s">
        <v>36</v>
      </c>
      <c r="C2281" s="53" t="n">
        <v>574</v>
      </c>
      <c r="D2281" s="53" t="n">
        <v>4</v>
      </c>
      <c r="E2281" s="65" t="str">
        <f aca="false">IF($H2281="","",购销流水!$B574)</f>
        <v/>
      </c>
      <c r="F2281" s="55" t="str">
        <f aca="false">IF($H2281="","",购销流水!$C574)</f>
        <v/>
      </c>
      <c r="G2281" s="48" t="str">
        <f aca="false">IF($H2281="","",购销流水!$N574)</f>
        <v/>
      </c>
      <c r="H2281" s="10" t="str">
        <f aca="false">IF($L2281="","",IF($L2281="@成本",购销流水!$U574,IF($L2281="@收入",购销流水!$T574,IF($L2281="@存货",购销流水!$S574,IF($L2281="@结算",购销流水!$R574,$L2281)))))</f>
        <v/>
      </c>
      <c r="I2281" s="42" t="n">
        <f aca="false">IF($M2281="借",$O2281,0)</f>
        <v>0</v>
      </c>
      <c r="J2281" s="42" t="n">
        <f aca="false">IF($M2281="贷",$O2281,0)</f>
        <v>0</v>
      </c>
      <c r="K2281" s="48" t="str">
        <f aca="false">IF($H2281="","",购销流水!$E574)</f>
        <v/>
      </c>
      <c r="L2281" s="66" t="str">
        <f aca="false">IF(购销流水!$D574="","",IFERROR(INDEX(记账规则!$A$6:$N$9,MATCH(购销流水!$D574,记账规则!$A$6:$A$9,0),12),""))</f>
        <v/>
      </c>
      <c r="M2281" s="66" t="str">
        <f aca="false">IF($L2281="","",IFERROR(INDEX(记账规则!$A$6:$N$9,MATCH(购销流水!$D574,记账规则!$A$6:$A$9,0),13),""))</f>
        <v/>
      </c>
      <c r="N2281" s="66" t="str">
        <f aca="false">IF($L2281="","",IFERROR(INDEX(记账规则!$A$6:$N$9,MATCH(购销流水!$D574,记账规则!$A$6:$A$9,0),14),""))</f>
        <v/>
      </c>
      <c r="O2281" s="67" t="n">
        <f aca="false">IF($H2281="",0,ROUND(IF($N2281="成本金额",N(购销流水!$W574),IF($N2281="金额",N(购销流水!$Q574),0)),2))</f>
        <v>0</v>
      </c>
      <c r="P2281" s="64" t="str">
        <f aca="false">IF(AND($H2281&lt;&gt;"",ROUND($O2281,2)&lt;&gt;0),"有","")</f>
        <v/>
      </c>
    </row>
    <row r="2282" customFormat="false" ht="15" hidden="true" customHeight="false" outlineLevel="0" collapsed="false">
      <c r="A2282" s="53" t="str">
        <f aca="false">IF($H2282="","",ROW()-5)</f>
        <v/>
      </c>
      <c r="B2282" s="64" t="s">
        <v>36</v>
      </c>
      <c r="C2282" s="53" t="n">
        <v>575</v>
      </c>
      <c r="D2282" s="53" t="n">
        <v>1</v>
      </c>
      <c r="E2282" s="65" t="str">
        <f aca="false">IF($H2282="","",购销流水!$B575)</f>
        <v/>
      </c>
      <c r="F2282" s="55" t="str">
        <f aca="false">IF($H2282="","",购销流水!$C575)</f>
        <v/>
      </c>
      <c r="G2282" s="48" t="str">
        <f aca="false">IF($H2282="","",购销流水!$N575)</f>
        <v/>
      </c>
      <c r="H2282" s="10" t="str">
        <f aca="false">IF($L2282="","",IF($L2282="@成本",购销流水!$U575,IF($L2282="@收入",购销流水!$T575,IF($L2282="@存货",购销流水!$S575,IF($L2282="@结算",购销流水!$R575,$L2282)))))</f>
        <v/>
      </c>
      <c r="I2282" s="42" t="n">
        <f aca="false">IF($M2282="借",$O2282,0)</f>
        <v>0</v>
      </c>
      <c r="J2282" s="42" t="n">
        <f aca="false">IF($M2282="贷",$O2282,0)</f>
        <v>0</v>
      </c>
      <c r="K2282" s="48" t="str">
        <f aca="false">IF($H2282="","",购销流水!$E575)</f>
        <v/>
      </c>
      <c r="L2282" s="66" t="str">
        <f aca="false">IF(购销流水!$D575="","",IFERROR(INDEX(记账规则!$A$6:$N$9,MATCH(购销流水!$D575,记账规则!$A$6:$A$9,0),3),""))</f>
        <v/>
      </c>
      <c r="M2282" s="66" t="str">
        <f aca="false">IF($L2282="","",IFERROR(INDEX(记账规则!$A$6:$N$9,MATCH(购销流水!$D575,记账规则!$A$6:$A$9,0),4),""))</f>
        <v/>
      </c>
      <c r="N2282" s="66" t="str">
        <f aca="false">IF($L2282="","",IFERROR(INDEX(记账规则!$A$6:$N$9,MATCH(购销流水!$D575,记账规则!$A$6:$A$9,0),5),""))</f>
        <v/>
      </c>
      <c r="O2282" s="67" t="n">
        <f aca="false">IF($H2282="",0,ROUND(IF($N2282="成本金额",N(购销流水!$W575),IF($N2282="金额",N(购销流水!$Q575),0)),2))</f>
        <v>0</v>
      </c>
      <c r="P2282" s="64" t="str">
        <f aca="false">IF(AND($H2282&lt;&gt;"",ROUND($O2282,2)&lt;&gt;0),"有","")</f>
        <v/>
      </c>
    </row>
    <row r="2283" customFormat="false" ht="15" hidden="true" customHeight="false" outlineLevel="0" collapsed="false">
      <c r="A2283" s="53" t="str">
        <f aca="false">IF($H2283="","",ROW()-5)</f>
        <v/>
      </c>
      <c r="B2283" s="64" t="s">
        <v>36</v>
      </c>
      <c r="C2283" s="53" t="n">
        <v>575</v>
      </c>
      <c r="D2283" s="53" t="n">
        <v>2</v>
      </c>
      <c r="E2283" s="65" t="str">
        <f aca="false">IF($H2283="","",购销流水!$B575)</f>
        <v/>
      </c>
      <c r="F2283" s="55" t="str">
        <f aca="false">IF($H2283="","",购销流水!$C575)</f>
        <v/>
      </c>
      <c r="G2283" s="48" t="str">
        <f aca="false">IF($H2283="","",购销流水!$N575)</f>
        <v/>
      </c>
      <c r="H2283" s="10" t="str">
        <f aca="false">IF($L2283="","",IF($L2283="@成本",购销流水!$U575,IF($L2283="@收入",购销流水!$T575,IF($L2283="@存货",购销流水!$S575,IF($L2283="@结算",购销流水!$R575,$L2283)))))</f>
        <v/>
      </c>
      <c r="I2283" s="42" t="n">
        <f aca="false">IF($M2283="借",$O2283,0)</f>
        <v>0</v>
      </c>
      <c r="J2283" s="42" t="n">
        <f aca="false">IF($M2283="贷",$O2283,0)</f>
        <v>0</v>
      </c>
      <c r="K2283" s="48" t="str">
        <f aca="false">IF($H2283="","",购销流水!$E575)</f>
        <v/>
      </c>
      <c r="L2283" s="66" t="str">
        <f aca="false">IF(购销流水!$D575="","",IFERROR(INDEX(记账规则!$A$6:$N$9,MATCH(购销流水!$D575,记账规则!$A$6:$A$9,0),6),""))</f>
        <v/>
      </c>
      <c r="M2283" s="66" t="str">
        <f aca="false">IF($L2283="","",IFERROR(INDEX(记账规则!$A$6:$N$9,MATCH(购销流水!$D575,记账规则!$A$6:$A$9,0),7),""))</f>
        <v/>
      </c>
      <c r="N2283" s="66" t="str">
        <f aca="false">IF($L2283="","",IFERROR(INDEX(记账规则!$A$6:$N$9,MATCH(购销流水!$D575,记账规则!$A$6:$A$9,0),8),""))</f>
        <v/>
      </c>
      <c r="O2283" s="67" t="n">
        <f aca="false">IF($H2283="",0,ROUND(IF($N2283="成本金额",N(购销流水!$W575),IF($N2283="金额",N(购销流水!$Q575),0)),2))</f>
        <v>0</v>
      </c>
      <c r="P2283" s="64" t="str">
        <f aca="false">IF(AND($H2283&lt;&gt;"",ROUND($O2283,2)&lt;&gt;0),"有","")</f>
        <v/>
      </c>
    </row>
    <row r="2284" customFormat="false" ht="15" hidden="true" customHeight="false" outlineLevel="0" collapsed="false">
      <c r="A2284" s="53" t="str">
        <f aca="false">IF($H2284="","",ROW()-5)</f>
        <v/>
      </c>
      <c r="B2284" s="64" t="s">
        <v>36</v>
      </c>
      <c r="C2284" s="53" t="n">
        <v>575</v>
      </c>
      <c r="D2284" s="53" t="n">
        <v>3</v>
      </c>
      <c r="E2284" s="65" t="str">
        <f aca="false">IF($H2284="","",购销流水!$B575)</f>
        <v/>
      </c>
      <c r="F2284" s="55" t="str">
        <f aca="false">IF($H2284="","",购销流水!$C575)</f>
        <v/>
      </c>
      <c r="G2284" s="48" t="str">
        <f aca="false">IF($H2284="","",购销流水!$N575)</f>
        <v/>
      </c>
      <c r="H2284" s="10" t="str">
        <f aca="false">IF($L2284="","",IF($L2284="@成本",购销流水!$U575,IF($L2284="@收入",购销流水!$T575,IF($L2284="@存货",购销流水!$S575,IF($L2284="@结算",购销流水!$R575,$L2284)))))</f>
        <v/>
      </c>
      <c r="I2284" s="42" t="n">
        <f aca="false">IF($M2284="借",$O2284,0)</f>
        <v>0</v>
      </c>
      <c r="J2284" s="42" t="n">
        <f aca="false">IF($M2284="贷",$O2284,0)</f>
        <v>0</v>
      </c>
      <c r="K2284" s="48" t="str">
        <f aca="false">IF($H2284="","",购销流水!$E575)</f>
        <v/>
      </c>
      <c r="L2284" s="66" t="str">
        <f aca="false">IF(购销流水!$D575="","",IFERROR(INDEX(记账规则!$A$6:$N$9,MATCH(购销流水!$D575,记账规则!$A$6:$A$9,0),9),""))</f>
        <v/>
      </c>
      <c r="M2284" s="66" t="str">
        <f aca="false">IF($L2284="","",IFERROR(INDEX(记账规则!$A$6:$N$9,MATCH(购销流水!$D575,记账规则!$A$6:$A$9,0),10),""))</f>
        <v/>
      </c>
      <c r="N2284" s="66" t="str">
        <f aca="false">IF($L2284="","",IFERROR(INDEX(记账规则!$A$6:$N$9,MATCH(购销流水!$D575,记账规则!$A$6:$A$9,0),11),""))</f>
        <v/>
      </c>
      <c r="O2284" s="67" t="n">
        <f aca="false">IF($H2284="",0,ROUND(IF($N2284="成本金额",N(购销流水!$W575),IF($N2284="金额",N(购销流水!$Q575),0)),2))</f>
        <v>0</v>
      </c>
      <c r="P2284" s="64" t="str">
        <f aca="false">IF(AND($H2284&lt;&gt;"",ROUND($O2284,2)&lt;&gt;0),"有","")</f>
        <v/>
      </c>
    </row>
    <row r="2285" customFormat="false" ht="15" hidden="true" customHeight="false" outlineLevel="0" collapsed="false">
      <c r="A2285" s="53" t="str">
        <f aca="false">IF($H2285="","",ROW()-5)</f>
        <v/>
      </c>
      <c r="B2285" s="64" t="s">
        <v>36</v>
      </c>
      <c r="C2285" s="53" t="n">
        <v>575</v>
      </c>
      <c r="D2285" s="53" t="n">
        <v>4</v>
      </c>
      <c r="E2285" s="65" t="str">
        <f aca="false">IF($H2285="","",购销流水!$B575)</f>
        <v/>
      </c>
      <c r="F2285" s="55" t="str">
        <f aca="false">IF($H2285="","",购销流水!$C575)</f>
        <v/>
      </c>
      <c r="G2285" s="48" t="str">
        <f aca="false">IF($H2285="","",购销流水!$N575)</f>
        <v/>
      </c>
      <c r="H2285" s="10" t="str">
        <f aca="false">IF($L2285="","",IF($L2285="@成本",购销流水!$U575,IF($L2285="@收入",购销流水!$T575,IF($L2285="@存货",购销流水!$S575,IF($L2285="@结算",购销流水!$R575,$L2285)))))</f>
        <v/>
      </c>
      <c r="I2285" s="42" t="n">
        <f aca="false">IF($M2285="借",$O2285,0)</f>
        <v>0</v>
      </c>
      <c r="J2285" s="42" t="n">
        <f aca="false">IF($M2285="贷",$O2285,0)</f>
        <v>0</v>
      </c>
      <c r="K2285" s="48" t="str">
        <f aca="false">IF($H2285="","",购销流水!$E575)</f>
        <v/>
      </c>
      <c r="L2285" s="66" t="str">
        <f aca="false">IF(购销流水!$D575="","",IFERROR(INDEX(记账规则!$A$6:$N$9,MATCH(购销流水!$D575,记账规则!$A$6:$A$9,0),12),""))</f>
        <v/>
      </c>
      <c r="M2285" s="66" t="str">
        <f aca="false">IF($L2285="","",IFERROR(INDEX(记账规则!$A$6:$N$9,MATCH(购销流水!$D575,记账规则!$A$6:$A$9,0),13),""))</f>
        <v/>
      </c>
      <c r="N2285" s="66" t="str">
        <f aca="false">IF($L2285="","",IFERROR(INDEX(记账规则!$A$6:$N$9,MATCH(购销流水!$D575,记账规则!$A$6:$A$9,0),14),""))</f>
        <v/>
      </c>
      <c r="O2285" s="67" t="n">
        <f aca="false">IF($H2285="",0,ROUND(IF($N2285="成本金额",N(购销流水!$W575),IF($N2285="金额",N(购销流水!$Q575),0)),2))</f>
        <v>0</v>
      </c>
      <c r="P2285" s="64" t="str">
        <f aca="false">IF(AND($H2285&lt;&gt;"",ROUND($O2285,2)&lt;&gt;0),"有","")</f>
        <v/>
      </c>
    </row>
    <row r="2286" customFormat="false" ht="15" hidden="true" customHeight="false" outlineLevel="0" collapsed="false">
      <c r="A2286" s="53" t="str">
        <f aca="false">IF($H2286="","",ROW()-5)</f>
        <v/>
      </c>
      <c r="B2286" s="64" t="s">
        <v>36</v>
      </c>
      <c r="C2286" s="53" t="n">
        <v>576</v>
      </c>
      <c r="D2286" s="53" t="n">
        <v>1</v>
      </c>
      <c r="E2286" s="65" t="str">
        <f aca="false">IF($H2286="","",购销流水!$B576)</f>
        <v/>
      </c>
      <c r="F2286" s="55" t="str">
        <f aca="false">IF($H2286="","",购销流水!$C576)</f>
        <v/>
      </c>
      <c r="G2286" s="48" t="str">
        <f aca="false">IF($H2286="","",购销流水!$N576)</f>
        <v/>
      </c>
      <c r="H2286" s="10" t="str">
        <f aca="false">IF($L2286="","",IF($L2286="@成本",购销流水!$U576,IF($L2286="@收入",购销流水!$T576,IF($L2286="@存货",购销流水!$S576,IF($L2286="@结算",购销流水!$R576,$L2286)))))</f>
        <v/>
      </c>
      <c r="I2286" s="42" t="n">
        <f aca="false">IF($M2286="借",$O2286,0)</f>
        <v>0</v>
      </c>
      <c r="J2286" s="42" t="n">
        <f aca="false">IF($M2286="贷",$O2286,0)</f>
        <v>0</v>
      </c>
      <c r="K2286" s="48" t="str">
        <f aca="false">IF($H2286="","",购销流水!$E576)</f>
        <v/>
      </c>
      <c r="L2286" s="66" t="str">
        <f aca="false">IF(购销流水!$D576="","",IFERROR(INDEX(记账规则!$A$6:$N$9,MATCH(购销流水!$D576,记账规则!$A$6:$A$9,0),3),""))</f>
        <v/>
      </c>
      <c r="M2286" s="66" t="str">
        <f aca="false">IF($L2286="","",IFERROR(INDEX(记账规则!$A$6:$N$9,MATCH(购销流水!$D576,记账规则!$A$6:$A$9,0),4),""))</f>
        <v/>
      </c>
      <c r="N2286" s="66" t="str">
        <f aca="false">IF($L2286="","",IFERROR(INDEX(记账规则!$A$6:$N$9,MATCH(购销流水!$D576,记账规则!$A$6:$A$9,0),5),""))</f>
        <v/>
      </c>
      <c r="O2286" s="67" t="n">
        <f aca="false">IF($H2286="",0,ROUND(IF($N2286="成本金额",N(购销流水!$W576),IF($N2286="金额",N(购销流水!$Q576),0)),2))</f>
        <v>0</v>
      </c>
      <c r="P2286" s="64" t="str">
        <f aca="false">IF(AND($H2286&lt;&gt;"",ROUND($O2286,2)&lt;&gt;0),"有","")</f>
        <v/>
      </c>
    </row>
    <row r="2287" customFormat="false" ht="15" hidden="true" customHeight="false" outlineLevel="0" collapsed="false">
      <c r="A2287" s="53" t="str">
        <f aca="false">IF($H2287="","",ROW()-5)</f>
        <v/>
      </c>
      <c r="B2287" s="64" t="s">
        <v>36</v>
      </c>
      <c r="C2287" s="53" t="n">
        <v>576</v>
      </c>
      <c r="D2287" s="53" t="n">
        <v>2</v>
      </c>
      <c r="E2287" s="65" t="str">
        <f aca="false">IF($H2287="","",购销流水!$B576)</f>
        <v/>
      </c>
      <c r="F2287" s="55" t="str">
        <f aca="false">IF($H2287="","",购销流水!$C576)</f>
        <v/>
      </c>
      <c r="G2287" s="48" t="str">
        <f aca="false">IF($H2287="","",购销流水!$N576)</f>
        <v/>
      </c>
      <c r="H2287" s="10" t="str">
        <f aca="false">IF($L2287="","",IF($L2287="@成本",购销流水!$U576,IF($L2287="@收入",购销流水!$T576,IF($L2287="@存货",购销流水!$S576,IF($L2287="@结算",购销流水!$R576,$L2287)))))</f>
        <v/>
      </c>
      <c r="I2287" s="42" t="n">
        <f aca="false">IF($M2287="借",$O2287,0)</f>
        <v>0</v>
      </c>
      <c r="J2287" s="42" t="n">
        <f aca="false">IF($M2287="贷",$O2287,0)</f>
        <v>0</v>
      </c>
      <c r="K2287" s="48" t="str">
        <f aca="false">IF($H2287="","",购销流水!$E576)</f>
        <v/>
      </c>
      <c r="L2287" s="66" t="str">
        <f aca="false">IF(购销流水!$D576="","",IFERROR(INDEX(记账规则!$A$6:$N$9,MATCH(购销流水!$D576,记账规则!$A$6:$A$9,0),6),""))</f>
        <v/>
      </c>
      <c r="M2287" s="66" t="str">
        <f aca="false">IF($L2287="","",IFERROR(INDEX(记账规则!$A$6:$N$9,MATCH(购销流水!$D576,记账规则!$A$6:$A$9,0),7),""))</f>
        <v/>
      </c>
      <c r="N2287" s="66" t="str">
        <f aca="false">IF($L2287="","",IFERROR(INDEX(记账规则!$A$6:$N$9,MATCH(购销流水!$D576,记账规则!$A$6:$A$9,0),8),""))</f>
        <v/>
      </c>
      <c r="O2287" s="67" t="n">
        <f aca="false">IF($H2287="",0,ROUND(IF($N2287="成本金额",N(购销流水!$W576),IF($N2287="金额",N(购销流水!$Q576),0)),2))</f>
        <v>0</v>
      </c>
      <c r="P2287" s="64" t="str">
        <f aca="false">IF(AND($H2287&lt;&gt;"",ROUND($O2287,2)&lt;&gt;0),"有","")</f>
        <v/>
      </c>
    </row>
    <row r="2288" customFormat="false" ht="15" hidden="true" customHeight="false" outlineLevel="0" collapsed="false">
      <c r="A2288" s="53" t="str">
        <f aca="false">IF($H2288="","",ROW()-5)</f>
        <v/>
      </c>
      <c r="B2288" s="64" t="s">
        <v>36</v>
      </c>
      <c r="C2288" s="53" t="n">
        <v>576</v>
      </c>
      <c r="D2288" s="53" t="n">
        <v>3</v>
      </c>
      <c r="E2288" s="65" t="str">
        <f aca="false">IF($H2288="","",购销流水!$B576)</f>
        <v/>
      </c>
      <c r="F2288" s="55" t="str">
        <f aca="false">IF($H2288="","",购销流水!$C576)</f>
        <v/>
      </c>
      <c r="G2288" s="48" t="str">
        <f aca="false">IF($H2288="","",购销流水!$N576)</f>
        <v/>
      </c>
      <c r="H2288" s="10" t="str">
        <f aca="false">IF($L2288="","",IF($L2288="@成本",购销流水!$U576,IF($L2288="@收入",购销流水!$T576,IF($L2288="@存货",购销流水!$S576,IF($L2288="@结算",购销流水!$R576,$L2288)))))</f>
        <v/>
      </c>
      <c r="I2288" s="42" t="n">
        <f aca="false">IF($M2288="借",$O2288,0)</f>
        <v>0</v>
      </c>
      <c r="J2288" s="42" t="n">
        <f aca="false">IF($M2288="贷",$O2288,0)</f>
        <v>0</v>
      </c>
      <c r="K2288" s="48" t="str">
        <f aca="false">IF($H2288="","",购销流水!$E576)</f>
        <v/>
      </c>
      <c r="L2288" s="66" t="str">
        <f aca="false">IF(购销流水!$D576="","",IFERROR(INDEX(记账规则!$A$6:$N$9,MATCH(购销流水!$D576,记账规则!$A$6:$A$9,0),9),""))</f>
        <v/>
      </c>
      <c r="M2288" s="66" t="str">
        <f aca="false">IF($L2288="","",IFERROR(INDEX(记账规则!$A$6:$N$9,MATCH(购销流水!$D576,记账规则!$A$6:$A$9,0),10),""))</f>
        <v/>
      </c>
      <c r="N2288" s="66" t="str">
        <f aca="false">IF($L2288="","",IFERROR(INDEX(记账规则!$A$6:$N$9,MATCH(购销流水!$D576,记账规则!$A$6:$A$9,0),11),""))</f>
        <v/>
      </c>
      <c r="O2288" s="67" t="n">
        <f aca="false">IF($H2288="",0,ROUND(IF($N2288="成本金额",N(购销流水!$W576),IF($N2288="金额",N(购销流水!$Q576),0)),2))</f>
        <v>0</v>
      </c>
      <c r="P2288" s="64" t="str">
        <f aca="false">IF(AND($H2288&lt;&gt;"",ROUND($O2288,2)&lt;&gt;0),"有","")</f>
        <v/>
      </c>
    </row>
    <row r="2289" customFormat="false" ht="15" hidden="true" customHeight="false" outlineLevel="0" collapsed="false">
      <c r="A2289" s="53" t="str">
        <f aca="false">IF($H2289="","",ROW()-5)</f>
        <v/>
      </c>
      <c r="B2289" s="64" t="s">
        <v>36</v>
      </c>
      <c r="C2289" s="53" t="n">
        <v>576</v>
      </c>
      <c r="D2289" s="53" t="n">
        <v>4</v>
      </c>
      <c r="E2289" s="65" t="str">
        <f aca="false">IF($H2289="","",购销流水!$B576)</f>
        <v/>
      </c>
      <c r="F2289" s="55" t="str">
        <f aca="false">IF($H2289="","",购销流水!$C576)</f>
        <v/>
      </c>
      <c r="G2289" s="48" t="str">
        <f aca="false">IF($H2289="","",购销流水!$N576)</f>
        <v/>
      </c>
      <c r="H2289" s="10" t="str">
        <f aca="false">IF($L2289="","",IF($L2289="@成本",购销流水!$U576,IF($L2289="@收入",购销流水!$T576,IF($L2289="@存货",购销流水!$S576,IF($L2289="@结算",购销流水!$R576,$L2289)))))</f>
        <v/>
      </c>
      <c r="I2289" s="42" t="n">
        <f aca="false">IF($M2289="借",$O2289,0)</f>
        <v>0</v>
      </c>
      <c r="J2289" s="42" t="n">
        <f aca="false">IF($M2289="贷",$O2289,0)</f>
        <v>0</v>
      </c>
      <c r="K2289" s="48" t="str">
        <f aca="false">IF($H2289="","",购销流水!$E576)</f>
        <v/>
      </c>
      <c r="L2289" s="66" t="str">
        <f aca="false">IF(购销流水!$D576="","",IFERROR(INDEX(记账规则!$A$6:$N$9,MATCH(购销流水!$D576,记账规则!$A$6:$A$9,0),12),""))</f>
        <v/>
      </c>
      <c r="M2289" s="66" t="str">
        <f aca="false">IF($L2289="","",IFERROR(INDEX(记账规则!$A$6:$N$9,MATCH(购销流水!$D576,记账规则!$A$6:$A$9,0),13),""))</f>
        <v/>
      </c>
      <c r="N2289" s="66" t="str">
        <f aca="false">IF($L2289="","",IFERROR(INDEX(记账规则!$A$6:$N$9,MATCH(购销流水!$D576,记账规则!$A$6:$A$9,0),14),""))</f>
        <v/>
      </c>
      <c r="O2289" s="67" t="n">
        <f aca="false">IF($H2289="",0,ROUND(IF($N2289="成本金额",N(购销流水!$W576),IF($N2289="金额",N(购销流水!$Q576),0)),2))</f>
        <v>0</v>
      </c>
      <c r="P2289" s="64" t="str">
        <f aca="false">IF(AND($H2289&lt;&gt;"",ROUND($O2289,2)&lt;&gt;0),"有","")</f>
        <v/>
      </c>
    </row>
    <row r="2290" customFormat="false" ht="15" hidden="true" customHeight="false" outlineLevel="0" collapsed="false">
      <c r="A2290" s="53" t="str">
        <f aca="false">IF($H2290="","",ROW()-5)</f>
        <v/>
      </c>
      <c r="B2290" s="64" t="s">
        <v>36</v>
      </c>
      <c r="C2290" s="53" t="n">
        <v>577</v>
      </c>
      <c r="D2290" s="53" t="n">
        <v>1</v>
      </c>
      <c r="E2290" s="65" t="str">
        <f aca="false">IF($H2290="","",购销流水!$B577)</f>
        <v/>
      </c>
      <c r="F2290" s="55" t="str">
        <f aca="false">IF($H2290="","",购销流水!$C577)</f>
        <v/>
      </c>
      <c r="G2290" s="48" t="str">
        <f aca="false">IF($H2290="","",购销流水!$N577)</f>
        <v/>
      </c>
      <c r="H2290" s="10" t="str">
        <f aca="false">IF($L2290="","",IF($L2290="@成本",购销流水!$U577,IF($L2290="@收入",购销流水!$T577,IF($L2290="@存货",购销流水!$S577,IF($L2290="@结算",购销流水!$R577,$L2290)))))</f>
        <v/>
      </c>
      <c r="I2290" s="42" t="n">
        <f aca="false">IF($M2290="借",$O2290,0)</f>
        <v>0</v>
      </c>
      <c r="J2290" s="42" t="n">
        <f aca="false">IF($M2290="贷",$O2290,0)</f>
        <v>0</v>
      </c>
      <c r="K2290" s="48" t="str">
        <f aca="false">IF($H2290="","",购销流水!$E577)</f>
        <v/>
      </c>
      <c r="L2290" s="66" t="str">
        <f aca="false">IF(购销流水!$D577="","",IFERROR(INDEX(记账规则!$A$6:$N$9,MATCH(购销流水!$D577,记账规则!$A$6:$A$9,0),3),""))</f>
        <v/>
      </c>
      <c r="M2290" s="66" t="str">
        <f aca="false">IF($L2290="","",IFERROR(INDEX(记账规则!$A$6:$N$9,MATCH(购销流水!$D577,记账规则!$A$6:$A$9,0),4),""))</f>
        <v/>
      </c>
      <c r="N2290" s="66" t="str">
        <f aca="false">IF($L2290="","",IFERROR(INDEX(记账规则!$A$6:$N$9,MATCH(购销流水!$D577,记账规则!$A$6:$A$9,0),5),""))</f>
        <v/>
      </c>
      <c r="O2290" s="67" t="n">
        <f aca="false">IF($H2290="",0,ROUND(IF($N2290="成本金额",N(购销流水!$W577),IF($N2290="金额",N(购销流水!$Q577),0)),2))</f>
        <v>0</v>
      </c>
      <c r="P2290" s="64" t="str">
        <f aca="false">IF(AND($H2290&lt;&gt;"",ROUND($O2290,2)&lt;&gt;0),"有","")</f>
        <v/>
      </c>
    </row>
    <row r="2291" customFormat="false" ht="15" hidden="true" customHeight="false" outlineLevel="0" collapsed="false">
      <c r="A2291" s="53" t="str">
        <f aca="false">IF($H2291="","",ROW()-5)</f>
        <v/>
      </c>
      <c r="B2291" s="64" t="s">
        <v>36</v>
      </c>
      <c r="C2291" s="53" t="n">
        <v>577</v>
      </c>
      <c r="D2291" s="53" t="n">
        <v>2</v>
      </c>
      <c r="E2291" s="65" t="str">
        <f aca="false">IF($H2291="","",购销流水!$B577)</f>
        <v/>
      </c>
      <c r="F2291" s="55" t="str">
        <f aca="false">IF($H2291="","",购销流水!$C577)</f>
        <v/>
      </c>
      <c r="G2291" s="48" t="str">
        <f aca="false">IF($H2291="","",购销流水!$N577)</f>
        <v/>
      </c>
      <c r="H2291" s="10" t="str">
        <f aca="false">IF($L2291="","",IF($L2291="@成本",购销流水!$U577,IF($L2291="@收入",购销流水!$T577,IF($L2291="@存货",购销流水!$S577,IF($L2291="@结算",购销流水!$R577,$L2291)))))</f>
        <v/>
      </c>
      <c r="I2291" s="42" t="n">
        <f aca="false">IF($M2291="借",$O2291,0)</f>
        <v>0</v>
      </c>
      <c r="J2291" s="42" t="n">
        <f aca="false">IF($M2291="贷",$O2291,0)</f>
        <v>0</v>
      </c>
      <c r="K2291" s="48" t="str">
        <f aca="false">IF($H2291="","",购销流水!$E577)</f>
        <v/>
      </c>
      <c r="L2291" s="66" t="str">
        <f aca="false">IF(购销流水!$D577="","",IFERROR(INDEX(记账规则!$A$6:$N$9,MATCH(购销流水!$D577,记账规则!$A$6:$A$9,0),6),""))</f>
        <v/>
      </c>
      <c r="M2291" s="66" t="str">
        <f aca="false">IF($L2291="","",IFERROR(INDEX(记账规则!$A$6:$N$9,MATCH(购销流水!$D577,记账规则!$A$6:$A$9,0),7),""))</f>
        <v/>
      </c>
      <c r="N2291" s="66" t="str">
        <f aca="false">IF($L2291="","",IFERROR(INDEX(记账规则!$A$6:$N$9,MATCH(购销流水!$D577,记账规则!$A$6:$A$9,0),8),""))</f>
        <v/>
      </c>
      <c r="O2291" s="67" t="n">
        <f aca="false">IF($H2291="",0,ROUND(IF($N2291="成本金额",N(购销流水!$W577),IF($N2291="金额",N(购销流水!$Q577),0)),2))</f>
        <v>0</v>
      </c>
      <c r="P2291" s="64" t="str">
        <f aca="false">IF(AND($H2291&lt;&gt;"",ROUND($O2291,2)&lt;&gt;0),"有","")</f>
        <v/>
      </c>
    </row>
    <row r="2292" customFormat="false" ht="15" hidden="true" customHeight="false" outlineLevel="0" collapsed="false">
      <c r="A2292" s="53" t="str">
        <f aca="false">IF($H2292="","",ROW()-5)</f>
        <v/>
      </c>
      <c r="B2292" s="64" t="s">
        <v>36</v>
      </c>
      <c r="C2292" s="53" t="n">
        <v>577</v>
      </c>
      <c r="D2292" s="53" t="n">
        <v>3</v>
      </c>
      <c r="E2292" s="65" t="str">
        <f aca="false">IF($H2292="","",购销流水!$B577)</f>
        <v/>
      </c>
      <c r="F2292" s="55" t="str">
        <f aca="false">IF($H2292="","",购销流水!$C577)</f>
        <v/>
      </c>
      <c r="G2292" s="48" t="str">
        <f aca="false">IF($H2292="","",购销流水!$N577)</f>
        <v/>
      </c>
      <c r="H2292" s="10" t="str">
        <f aca="false">IF($L2292="","",IF($L2292="@成本",购销流水!$U577,IF($L2292="@收入",购销流水!$T577,IF($L2292="@存货",购销流水!$S577,IF($L2292="@结算",购销流水!$R577,$L2292)))))</f>
        <v/>
      </c>
      <c r="I2292" s="42" t="n">
        <f aca="false">IF($M2292="借",$O2292,0)</f>
        <v>0</v>
      </c>
      <c r="J2292" s="42" t="n">
        <f aca="false">IF($M2292="贷",$O2292,0)</f>
        <v>0</v>
      </c>
      <c r="K2292" s="48" t="str">
        <f aca="false">IF($H2292="","",购销流水!$E577)</f>
        <v/>
      </c>
      <c r="L2292" s="66" t="str">
        <f aca="false">IF(购销流水!$D577="","",IFERROR(INDEX(记账规则!$A$6:$N$9,MATCH(购销流水!$D577,记账规则!$A$6:$A$9,0),9),""))</f>
        <v/>
      </c>
      <c r="M2292" s="66" t="str">
        <f aca="false">IF($L2292="","",IFERROR(INDEX(记账规则!$A$6:$N$9,MATCH(购销流水!$D577,记账规则!$A$6:$A$9,0),10),""))</f>
        <v/>
      </c>
      <c r="N2292" s="66" t="str">
        <f aca="false">IF($L2292="","",IFERROR(INDEX(记账规则!$A$6:$N$9,MATCH(购销流水!$D577,记账规则!$A$6:$A$9,0),11),""))</f>
        <v/>
      </c>
      <c r="O2292" s="67" t="n">
        <f aca="false">IF($H2292="",0,ROUND(IF($N2292="成本金额",N(购销流水!$W577),IF($N2292="金额",N(购销流水!$Q577),0)),2))</f>
        <v>0</v>
      </c>
      <c r="P2292" s="64" t="str">
        <f aca="false">IF(AND($H2292&lt;&gt;"",ROUND($O2292,2)&lt;&gt;0),"有","")</f>
        <v/>
      </c>
    </row>
    <row r="2293" customFormat="false" ht="15" hidden="true" customHeight="false" outlineLevel="0" collapsed="false">
      <c r="A2293" s="53" t="str">
        <f aca="false">IF($H2293="","",ROW()-5)</f>
        <v/>
      </c>
      <c r="B2293" s="64" t="s">
        <v>36</v>
      </c>
      <c r="C2293" s="53" t="n">
        <v>577</v>
      </c>
      <c r="D2293" s="53" t="n">
        <v>4</v>
      </c>
      <c r="E2293" s="65" t="str">
        <f aca="false">IF($H2293="","",购销流水!$B577)</f>
        <v/>
      </c>
      <c r="F2293" s="55" t="str">
        <f aca="false">IF($H2293="","",购销流水!$C577)</f>
        <v/>
      </c>
      <c r="G2293" s="48" t="str">
        <f aca="false">IF($H2293="","",购销流水!$N577)</f>
        <v/>
      </c>
      <c r="H2293" s="10" t="str">
        <f aca="false">IF($L2293="","",IF($L2293="@成本",购销流水!$U577,IF($L2293="@收入",购销流水!$T577,IF($L2293="@存货",购销流水!$S577,IF($L2293="@结算",购销流水!$R577,$L2293)))))</f>
        <v/>
      </c>
      <c r="I2293" s="42" t="n">
        <f aca="false">IF($M2293="借",$O2293,0)</f>
        <v>0</v>
      </c>
      <c r="J2293" s="42" t="n">
        <f aca="false">IF($M2293="贷",$O2293,0)</f>
        <v>0</v>
      </c>
      <c r="K2293" s="48" t="str">
        <f aca="false">IF($H2293="","",购销流水!$E577)</f>
        <v/>
      </c>
      <c r="L2293" s="66" t="str">
        <f aca="false">IF(购销流水!$D577="","",IFERROR(INDEX(记账规则!$A$6:$N$9,MATCH(购销流水!$D577,记账规则!$A$6:$A$9,0),12),""))</f>
        <v/>
      </c>
      <c r="M2293" s="66" t="str">
        <f aca="false">IF($L2293="","",IFERROR(INDEX(记账规则!$A$6:$N$9,MATCH(购销流水!$D577,记账规则!$A$6:$A$9,0),13),""))</f>
        <v/>
      </c>
      <c r="N2293" s="66" t="str">
        <f aca="false">IF($L2293="","",IFERROR(INDEX(记账规则!$A$6:$N$9,MATCH(购销流水!$D577,记账规则!$A$6:$A$9,0),14),""))</f>
        <v/>
      </c>
      <c r="O2293" s="67" t="n">
        <f aca="false">IF($H2293="",0,ROUND(IF($N2293="成本金额",N(购销流水!$W577),IF($N2293="金额",N(购销流水!$Q577),0)),2))</f>
        <v>0</v>
      </c>
      <c r="P2293" s="64" t="str">
        <f aca="false">IF(AND($H2293&lt;&gt;"",ROUND($O2293,2)&lt;&gt;0),"有","")</f>
        <v/>
      </c>
    </row>
    <row r="2294" customFormat="false" ht="15" hidden="true" customHeight="false" outlineLevel="0" collapsed="false">
      <c r="A2294" s="53" t="str">
        <f aca="false">IF($H2294="","",ROW()-5)</f>
        <v/>
      </c>
      <c r="B2294" s="64" t="s">
        <v>36</v>
      </c>
      <c r="C2294" s="53" t="n">
        <v>578</v>
      </c>
      <c r="D2294" s="53" t="n">
        <v>1</v>
      </c>
      <c r="E2294" s="65" t="str">
        <f aca="false">IF($H2294="","",购销流水!$B578)</f>
        <v/>
      </c>
      <c r="F2294" s="55" t="str">
        <f aca="false">IF($H2294="","",购销流水!$C578)</f>
        <v/>
      </c>
      <c r="G2294" s="48" t="str">
        <f aca="false">IF($H2294="","",购销流水!$N578)</f>
        <v/>
      </c>
      <c r="H2294" s="10" t="str">
        <f aca="false">IF($L2294="","",IF($L2294="@成本",购销流水!$U578,IF($L2294="@收入",购销流水!$T578,IF($L2294="@存货",购销流水!$S578,IF($L2294="@结算",购销流水!$R578,$L2294)))))</f>
        <v/>
      </c>
      <c r="I2294" s="42" t="n">
        <f aca="false">IF($M2294="借",$O2294,0)</f>
        <v>0</v>
      </c>
      <c r="J2294" s="42" t="n">
        <f aca="false">IF($M2294="贷",$O2294,0)</f>
        <v>0</v>
      </c>
      <c r="K2294" s="48" t="str">
        <f aca="false">IF($H2294="","",购销流水!$E578)</f>
        <v/>
      </c>
      <c r="L2294" s="66" t="str">
        <f aca="false">IF(购销流水!$D578="","",IFERROR(INDEX(记账规则!$A$6:$N$9,MATCH(购销流水!$D578,记账规则!$A$6:$A$9,0),3),""))</f>
        <v/>
      </c>
      <c r="M2294" s="66" t="str">
        <f aca="false">IF($L2294="","",IFERROR(INDEX(记账规则!$A$6:$N$9,MATCH(购销流水!$D578,记账规则!$A$6:$A$9,0),4),""))</f>
        <v/>
      </c>
      <c r="N2294" s="66" t="str">
        <f aca="false">IF($L2294="","",IFERROR(INDEX(记账规则!$A$6:$N$9,MATCH(购销流水!$D578,记账规则!$A$6:$A$9,0),5),""))</f>
        <v/>
      </c>
      <c r="O2294" s="67" t="n">
        <f aca="false">IF($H2294="",0,ROUND(IF($N2294="成本金额",N(购销流水!$W578),IF($N2294="金额",N(购销流水!$Q578),0)),2))</f>
        <v>0</v>
      </c>
      <c r="P2294" s="64" t="str">
        <f aca="false">IF(AND($H2294&lt;&gt;"",ROUND($O2294,2)&lt;&gt;0),"有","")</f>
        <v/>
      </c>
    </row>
    <row r="2295" customFormat="false" ht="15" hidden="true" customHeight="false" outlineLevel="0" collapsed="false">
      <c r="A2295" s="53" t="str">
        <f aca="false">IF($H2295="","",ROW()-5)</f>
        <v/>
      </c>
      <c r="B2295" s="64" t="s">
        <v>36</v>
      </c>
      <c r="C2295" s="53" t="n">
        <v>578</v>
      </c>
      <c r="D2295" s="53" t="n">
        <v>2</v>
      </c>
      <c r="E2295" s="65" t="str">
        <f aca="false">IF($H2295="","",购销流水!$B578)</f>
        <v/>
      </c>
      <c r="F2295" s="55" t="str">
        <f aca="false">IF($H2295="","",购销流水!$C578)</f>
        <v/>
      </c>
      <c r="G2295" s="48" t="str">
        <f aca="false">IF($H2295="","",购销流水!$N578)</f>
        <v/>
      </c>
      <c r="H2295" s="10" t="str">
        <f aca="false">IF($L2295="","",IF($L2295="@成本",购销流水!$U578,IF($L2295="@收入",购销流水!$T578,IF($L2295="@存货",购销流水!$S578,IF($L2295="@结算",购销流水!$R578,$L2295)))))</f>
        <v/>
      </c>
      <c r="I2295" s="42" t="n">
        <f aca="false">IF($M2295="借",$O2295,0)</f>
        <v>0</v>
      </c>
      <c r="J2295" s="42" t="n">
        <f aca="false">IF($M2295="贷",$O2295,0)</f>
        <v>0</v>
      </c>
      <c r="K2295" s="48" t="str">
        <f aca="false">IF($H2295="","",购销流水!$E578)</f>
        <v/>
      </c>
      <c r="L2295" s="66" t="str">
        <f aca="false">IF(购销流水!$D578="","",IFERROR(INDEX(记账规则!$A$6:$N$9,MATCH(购销流水!$D578,记账规则!$A$6:$A$9,0),6),""))</f>
        <v/>
      </c>
      <c r="M2295" s="66" t="str">
        <f aca="false">IF($L2295="","",IFERROR(INDEX(记账规则!$A$6:$N$9,MATCH(购销流水!$D578,记账规则!$A$6:$A$9,0),7),""))</f>
        <v/>
      </c>
      <c r="N2295" s="66" t="str">
        <f aca="false">IF($L2295="","",IFERROR(INDEX(记账规则!$A$6:$N$9,MATCH(购销流水!$D578,记账规则!$A$6:$A$9,0),8),""))</f>
        <v/>
      </c>
      <c r="O2295" s="67" t="n">
        <f aca="false">IF($H2295="",0,ROUND(IF($N2295="成本金额",N(购销流水!$W578),IF($N2295="金额",N(购销流水!$Q578),0)),2))</f>
        <v>0</v>
      </c>
      <c r="P2295" s="64" t="str">
        <f aca="false">IF(AND($H2295&lt;&gt;"",ROUND($O2295,2)&lt;&gt;0),"有","")</f>
        <v/>
      </c>
    </row>
    <row r="2296" customFormat="false" ht="15" hidden="true" customHeight="false" outlineLevel="0" collapsed="false">
      <c r="A2296" s="53" t="str">
        <f aca="false">IF($H2296="","",ROW()-5)</f>
        <v/>
      </c>
      <c r="B2296" s="64" t="s">
        <v>36</v>
      </c>
      <c r="C2296" s="53" t="n">
        <v>578</v>
      </c>
      <c r="D2296" s="53" t="n">
        <v>3</v>
      </c>
      <c r="E2296" s="65" t="str">
        <f aca="false">IF($H2296="","",购销流水!$B578)</f>
        <v/>
      </c>
      <c r="F2296" s="55" t="str">
        <f aca="false">IF($H2296="","",购销流水!$C578)</f>
        <v/>
      </c>
      <c r="G2296" s="48" t="str">
        <f aca="false">IF($H2296="","",购销流水!$N578)</f>
        <v/>
      </c>
      <c r="H2296" s="10" t="str">
        <f aca="false">IF($L2296="","",IF($L2296="@成本",购销流水!$U578,IF($L2296="@收入",购销流水!$T578,IF($L2296="@存货",购销流水!$S578,IF($L2296="@结算",购销流水!$R578,$L2296)))))</f>
        <v/>
      </c>
      <c r="I2296" s="42" t="n">
        <f aca="false">IF($M2296="借",$O2296,0)</f>
        <v>0</v>
      </c>
      <c r="J2296" s="42" t="n">
        <f aca="false">IF($M2296="贷",$O2296,0)</f>
        <v>0</v>
      </c>
      <c r="K2296" s="48" t="str">
        <f aca="false">IF($H2296="","",购销流水!$E578)</f>
        <v/>
      </c>
      <c r="L2296" s="66" t="str">
        <f aca="false">IF(购销流水!$D578="","",IFERROR(INDEX(记账规则!$A$6:$N$9,MATCH(购销流水!$D578,记账规则!$A$6:$A$9,0),9),""))</f>
        <v/>
      </c>
      <c r="M2296" s="66" t="str">
        <f aca="false">IF($L2296="","",IFERROR(INDEX(记账规则!$A$6:$N$9,MATCH(购销流水!$D578,记账规则!$A$6:$A$9,0),10),""))</f>
        <v/>
      </c>
      <c r="N2296" s="66" t="str">
        <f aca="false">IF($L2296="","",IFERROR(INDEX(记账规则!$A$6:$N$9,MATCH(购销流水!$D578,记账规则!$A$6:$A$9,0),11),""))</f>
        <v/>
      </c>
      <c r="O2296" s="67" t="n">
        <f aca="false">IF($H2296="",0,ROUND(IF($N2296="成本金额",N(购销流水!$W578),IF($N2296="金额",N(购销流水!$Q578),0)),2))</f>
        <v>0</v>
      </c>
      <c r="P2296" s="64" t="str">
        <f aca="false">IF(AND($H2296&lt;&gt;"",ROUND($O2296,2)&lt;&gt;0),"有","")</f>
        <v/>
      </c>
    </row>
    <row r="2297" customFormat="false" ht="15" hidden="true" customHeight="false" outlineLevel="0" collapsed="false">
      <c r="A2297" s="53" t="str">
        <f aca="false">IF($H2297="","",ROW()-5)</f>
        <v/>
      </c>
      <c r="B2297" s="64" t="s">
        <v>36</v>
      </c>
      <c r="C2297" s="53" t="n">
        <v>578</v>
      </c>
      <c r="D2297" s="53" t="n">
        <v>4</v>
      </c>
      <c r="E2297" s="65" t="str">
        <f aca="false">IF($H2297="","",购销流水!$B578)</f>
        <v/>
      </c>
      <c r="F2297" s="55" t="str">
        <f aca="false">IF($H2297="","",购销流水!$C578)</f>
        <v/>
      </c>
      <c r="G2297" s="48" t="str">
        <f aca="false">IF($H2297="","",购销流水!$N578)</f>
        <v/>
      </c>
      <c r="H2297" s="10" t="str">
        <f aca="false">IF($L2297="","",IF($L2297="@成本",购销流水!$U578,IF($L2297="@收入",购销流水!$T578,IF($L2297="@存货",购销流水!$S578,IF($L2297="@结算",购销流水!$R578,$L2297)))))</f>
        <v/>
      </c>
      <c r="I2297" s="42" t="n">
        <f aca="false">IF($M2297="借",$O2297,0)</f>
        <v>0</v>
      </c>
      <c r="J2297" s="42" t="n">
        <f aca="false">IF($M2297="贷",$O2297,0)</f>
        <v>0</v>
      </c>
      <c r="K2297" s="48" t="str">
        <f aca="false">IF($H2297="","",购销流水!$E578)</f>
        <v/>
      </c>
      <c r="L2297" s="66" t="str">
        <f aca="false">IF(购销流水!$D578="","",IFERROR(INDEX(记账规则!$A$6:$N$9,MATCH(购销流水!$D578,记账规则!$A$6:$A$9,0),12),""))</f>
        <v/>
      </c>
      <c r="M2297" s="66" t="str">
        <f aca="false">IF($L2297="","",IFERROR(INDEX(记账规则!$A$6:$N$9,MATCH(购销流水!$D578,记账规则!$A$6:$A$9,0),13),""))</f>
        <v/>
      </c>
      <c r="N2297" s="66" t="str">
        <f aca="false">IF($L2297="","",IFERROR(INDEX(记账规则!$A$6:$N$9,MATCH(购销流水!$D578,记账规则!$A$6:$A$9,0),14),""))</f>
        <v/>
      </c>
      <c r="O2297" s="67" t="n">
        <f aca="false">IF($H2297="",0,ROUND(IF($N2297="成本金额",N(购销流水!$W578),IF($N2297="金额",N(购销流水!$Q578),0)),2))</f>
        <v>0</v>
      </c>
      <c r="P2297" s="64" t="str">
        <f aca="false">IF(AND($H2297&lt;&gt;"",ROUND($O2297,2)&lt;&gt;0),"有","")</f>
        <v/>
      </c>
    </row>
    <row r="2298" customFormat="false" ht="15" hidden="true" customHeight="false" outlineLevel="0" collapsed="false">
      <c r="A2298" s="53" t="str">
        <f aca="false">IF($H2298="","",ROW()-5)</f>
        <v/>
      </c>
      <c r="B2298" s="64" t="s">
        <v>36</v>
      </c>
      <c r="C2298" s="53" t="n">
        <v>579</v>
      </c>
      <c r="D2298" s="53" t="n">
        <v>1</v>
      </c>
      <c r="E2298" s="65" t="str">
        <f aca="false">IF($H2298="","",购销流水!$B579)</f>
        <v/>
      </c>
      <c r="F2298" s="55" t="str">
        <f aca="false">IF($H2298="","",购销流水!$C579)</f>
        <v/>
      </c>
      <c r="G2298" s="48" t="str">
        <f aca="false">IF($H2298="","",购销流水!$N579)</f>
        <v/>
      </c>
      <c r="H2298" s="10" t="str">
        <f aca="false">IF($L2298="","",IF($L2298="@成本",购销流水!$U579,IF($L2298="@收入",购销流水!$T579,IF($L2298="@存货",购销流水!$S579,IF($L2298="@结算",购销流水!$R579,$L2298)))))</f>
        <v/>
      </c>
      <c r="I2298" s="42" t="n">
        <f aca="false">IF($M2298="借",$O2298,0)</f>
        <v>0</v>
      </c>
      <c r="J2298" s="42" t="n">
        <f aca="false">IF($M2298="贷",$O2298,0)</f>
        <v>0</v>
      </c>
      <c r="K2298" s="48" t="str">
        <f aca="false">IF($H2298="","",购销流水!$E579)</f>
        <v/>
      </c>
      <c r="L2298" s="66" t="str">
        <f aca="false">IF(购销流水!$D579="","",IFERROR(INDEX(记账规则!$A$6:$N$9,MATCH(购销流水!$D579,记账规则!$A$6:$A$9,0),3),""))</f>
        <v/>
      </c>
      <c r="M2298" s="66" t="str">
        <f aca="false">IF($L2298="","",IFERROR(INDEX(记账规则!$A$6:$N$9,MATCH(购销流水!$D579,记账规则!$A$6:$A$9,0),4),""))</f>
        <v/>
      </c>
      <c r="N2298" s="66" t="str">
        <f aca="false">IF($L2298="","",IFERROR(INDEX(记账规则!$A$6:$N$9,MATCH(购销流水!$D579,记账规则!$A$6:$A$9,0),5),""))</f>
        <v/>
      </c>
      <c r="O2298" s="67" t="n">
        <f aca="false">IF($H2298="",0,ROUND(IF($N2298="成本金额",N(购销流水!$W579),IF($N2298="金额",N(购销流水!$Q579),0)),2))</f>
        <v>0</v>
      </c>
      <c r="P2298" s="64" t="str">
        <f aca="false">IF(AND($H2298&lt;&gt;"",ROUND($O2298,2)&lt;&gt;0),"有","")</f>
        <v/>
      </c>
    </row>
    <row r="2299" customFormat="false" ht="15" hidden="true" customHeight="false" outlineLevel="0" collapsed="false">
      <c r="A2299" s="53" t="str">
        <f aca="false">IF($H2299="","",ROW()-5)</f>
        <v/>
      </c>
      <c r="B2299" s="64" t="s">
        <v>36</v>
      </c>
      <c r="C2299" s="53" t="n">
        <v>579</v>
      </c>
      <c r="D2299" s="53" t="n">
        <v>2</v>
      </c>
      <c r="E2299" s="65" t="str">
        <f aca="false">IF($H2299="","",购销流水!$B579)</f>
        <v/>
      </c>
      <c r="F2299" s="55" t="str">
        <f aca="false">IF($H2299="","",购销流水!$C579)</f>
        <v/>
      </c>
      <c r="G2299" s="48" t="str">
        <f aca="false">IF($H2299="","",购销流水!$N579)</f>
        <v/>
      </c>
      <c r="H2299" s="10" t="str">
        <f aca="false">IF($L2299="","",IF($L2299="@成本",购销流水!$U579,IF($L2299="@收入",购销流水!$T579,IF($L2299="@存货",购销流水!$S579,IF($L2299="@结算",购销流水!$R579,$L2299)))))</f>
        <v/>
      </c>
      <c r="I2299" s="42" t="n">
        <f aca="false">IF($M2299="借",$O2299,0)</f>
        <v>0</v>
      </c>
      <c r="J2299" s="42" t="n">
        <f aca="false">IF($M2299="贷",$O2299,0)</f>
        <v>0</v>
      </c>
      <c r="K2299" s="48" t="str">
        <f aca="false">IF($H2299="","",购销流水!$E579)</f>
        <v/>
      </c>
      <c r="L2299" s="66" t="str">
        <f aca="false">IF(购销流水!$D579="","",IFERROR(INDEX(记账规则!$A$6:$N$9,MATCH(购销流水!$D579,记账规则!$A$6:$A$9,0),6),""))</f>
        <v/>
      </c>
      <c r="M2299" s="66" t="str">
        <f aca="false">IF($L2299="","",IFERROR(INDEX(记账规则!$A$6:$N$9,MATCH(购销流水!$D579,记账规则!$A$6:$A$9,0),7),""))</f>
        <v/>
      </c>
      <c r="N2299" s="66" t="str">
        <f aca="false">IF($L2299="","",IFERROR(INDEX(记账规则!$A$6:$N$9,MATCH(购销流水!$D579,记账规则!$A$6:$A$9,0),8),""))</f>
        <v/>
      </c>
      <c r="O2299" s="67" t="n">
        <f aca="false">IF($H2299="",0,ROUND(IF($N2299="成本金额",N(购销流水!$W579),IF($N2299="金额",N(购销流水!$Q579),0)),2))</f>
        <v>0</v>
      </c>
      <c r="P2299" s="64" t="str">
        <f aca="false">IF(AND($H2299&lt;&gt;"",ROUND($O2299,2)&lt;&gt;0),"有","")</f>
        <v/>
      </c>
    </row>
    <row r="2300" customFormat="false" ht="15" hidden="true" customHeight="false" outlineLevel="0" collapsed="false">
      <c r="A2300" s="53" t="str">
        <f aca="false">IF($H2300="","",ROW()-5)</f>
        <v/>
      </c>
      <c r="B2300" s="64" t="s">
        <v>36</v>
      </c>
      <c r="C2300" s="53" t="n">
        <v>579</v>
      </c>
      <c r="D2300" s="53" t="n">
        <v>3</v>
      </c>
      <c r="E2300" s="65" t="str">
        <f aca="false">IF($H2300="","",购销流水!$B579)</f>
        <v/>
      </c>
      <c r="F2300" s="55" t="str">
        <f aca="false">IF($H2300="","",购销流水!$C579)</f>
        <v/>
      </c>
      <c r="G2300" s="48" t="str">
        <f aca="false">IF($H2300="","",购销流水!$N579)</f>
        <v/>
      </c>
      <c r="H2300" s="10" t="str">
        <f aca="false">IF($L2300="","",IF($L2300="@成本",购销流水!$U579,IF($L2300="@收入",购销流水!$T579,IF($L2300="@存货",购销流水!$S579,IF($L2300="@结算",购销流水!$R579,$L2300)))))</f>
        <v/>
      </c>
      <c r="I2300" s="42" t="n">
        <f aca="false">IF($M2300="借",$O2300,0)</f>
        <v>0</v>
      </c>
      <c r="J2300" s="42" t="n">
        <f aca="false">IF($M2300="贷",$O2300,0)</f>
        <v>0</v>
      </c>
      <c r="K2300" s="48" t="str">
        <f aca="false">IF($H2300="","",购销流水!$E579)</f>
        <v/>
      </c>
      <c r="L2300" s="66" t="str">
        <f aca="false">IF(购销流水!$D579="","",IFERROR(INDEX(记账规则!$A$6:$N$9,MATCH(购销流水!$D579,记账规则!$A$6:$A$9,0),9),""))</f>
        <v/>
      </c>
      <c r="M2300" s="66" t="str">
        <f aca="false">IF($L2300="","",IFERROR(INDEX(记账规则!$A$6:$N$9,MATCH(购销流水!$D579,记账规则!$A$6:$A$9,0),10),""))</f>
        <v/>
      </c>
      <c r="N2300" s="66" t="str">
        <f aca="false">IF($L2300="","",IFERROR(INDEX(记账规则!$A$6:$N$9,MATCH(购销流水!$D579,记账规则!$A$6:$A$9,0),11),""))</f>
        <v/>
      </c>
      <c r="O2300" s="67" t="n">
        <f aca="false">IF($H2300="",0,ROUND(IF($N2300="成本金额",N(购销流水!$W579),IF($N2300="金额",N(购销流水!$Q579),0)),2))</f>
        <v>0</v>
      </c>
      <c r="P2300" s="64" t="str">
        <f aca="false">IF(AND($H2300&lt;&gt;"",ROUND($O2300,2)&lt;&gt;0),"有","")</f>
        <v/>
      </c>
    </row>
    <row r="2301" customFormat="false" ht="15" hidden="true" customHeight="false" outlineLevel="0" collapsed="false">
      <c r="A2301" s="53" t="str">
        <f aca="false">IF($H2301="","",ROW()-5)</f>
        <v/>
      </c>
      <c r="B2301" s="64" t="s">
        <v>36</v>
      </c>
      <c r="C2301" s="53" t="n">
        <v>579</v>
      </c>
      <c r="D2301" s="53" t="n">
        <v>4</v>
      </c>
      <c r="E2301" s="65" t="str">
        <f aca="false">IF($H2301="","",购销流水!$B579)</f>
        <v/>
      </c>
      <c r="F2301" s="55" t="str">
        <f aca="false">IF($H2301="","",购销流水!$C579)</f>
        <v/>
      </c>
      <c r="G2301" s="48" t="str">
        <f aca="false">IF($H2301="","",购销流水!$N579)</f>
        <v/>
      </c>
      <c r="H2301" s="10" t="str">
        <f aca="false">IF($L2301="","",IF($L2301="@成本",购销流水!$U579,IF($L2301="@收入",购销流水!$T579,IF($L2301="@存货",购销流水!$S579,IF($L2301="@结算",购销流水!$R579,$L2301)))))</f>
        <v/>
      </c>
      <c r="I2301" s="42" t="n">
        <f aca="false">IF($M2301="借",$O2301,0)</f>
        <v>0</v>
      </c>
      <c r="J2301" s="42" t="n">
        <f aca="false">IF($M2301="贷",$O2301,0)</f>
        <v>0</v>
      </c>
      <c r="K2301" s="48" t="str">
        <f aca="false">IF($H2301="","",购销流水!$E579)</f>
        <v/>
      </c>
      <c r="L2301" s="66" t="str">
        <f aca="false">IF(购销流水!$D579="","",IFERROR(INDEX(记账规则!$A$6:$N$9,MATCH(购销流水!$D579,记账规则!$A$6:$A$9,0),12),""))</f>
        <v/>
      </c>
      <c r="M2301" s="66" t="str">
        <f aca="false">IF($L2301="","",IFERROR(INDEX(记账规则!$A$6:$N$9,MATCH(购销流水!$D579,记账规则!$A$6:$A$9,0),13),""))</f>
        <v/>
      </c>
      <c r="N2301" s="66" t="str">
        <f aca="false">IF($L2301="","",IFERROR(INDEX(记账规则!$A$6:$N$9,MATCH(购销流水!$D579,记账规则!$A$6:$A$9,0),14),""))</f>
        <v/>
      </c>
      <c r="O2301" s="67" t="n">
        <f aca="false">IF($H2301="",0,ROUND(IF($N2301="成本金额",N(购销流水!$W579),IF($N2301="金额",N(购销流水!$Q579),0)),2))</f>
        <v>0</v>
      </c>
      <c r="P2301" s="64" t="str">
        <f aca="false">IF(AND($H2301&lt;&gt;"",ROUND($O2301,2)&lt;&gt;0),"有","")</f>
        <v/>
      </c>
    </row>
    <row r="2302" customFormat="false" ht="15" hidden="true" customHeight="false" outlineLevel="0" collapsed="false">
      <c r="A2302" s="53" t="str">
        <f aca="false">IF($H2302="","",ROW()-5)</f>
        <v/>
      </c>
      <c r="B2302" s="64" t="s">
        <v>36</v>
      </c>
      <c r="C2302" s="53" t="n">
        <v>580</v>
      </c>
      <c r="D2302" s="53" t="n">
        <v>1</v>
      </c>
      <c r="E2302" s="65" t="str">
        <f aca="false">IF($H2302="","",购销流水!$B580)</f>
        <v/>
      </c>
      <c r="F2302" s="55" t="str">
        <f aca="false">IF($H2302="","",购销流水!$C580)</f>
        <v/>
      </c>
      <c r="G2302" s="48" t="str">
        <f aca="false">IF($H2302="","",购销流水!$N580)</f>
        <v/>
      </c>
      <c r="H2302" s="10" t="str">
        <f aca="false">IF($L2302="","",IF($L2302="@成本",购销流水!$U580,IF($L2302="@收入",购销流水!$T580,IF($L2302="@存货",购销流水!$S580,IF($L2302="@结算",购销流水!$R580,$L2302)))))</f>
        <v/>
      </c>
      <c r="I2302" s="42" t="n">
        <f aca="false">IF($M2302="借",$O2302,0)</f>
        <v>0</v>
      </c>
      <c r="J2302" s="42" t="n">
        <f aca="false">IF($M2302="贷",$O2302,0)</f>
        <v>0</v>
      </c>
      <c r="K2302" s="48" t="str">
        <f aca="false">IF($H2302="","",购销流水!$E580)</f>
        <v/>
      </c>
      <c r="L2302" s="66" t="str">
        <f aca="false">IF(购销流水!$D580="","",IFERROR(INDEX(记账规则!$A$6:$N$9,MATCH(购销流水!$D580,记账规则!$A$6:$A$9,0),3),""))</f>
        <v/>
      </c>
      <c r="M2302" s="66" t="str">
        <f aca="false">IF($L2302="","",IFERROR(INDEX(记账规则!$A$6:$N$9,MATCH(购销流水!$D580,记账规则!$A$6:$A$9,0),4),""))</f>
        <v/>
      </c>
      <c r="N2302" s="66" t="str">
        <f aca="false">IF($L2302="","",IFERROR(INDEX(记账规则!$A$6:$N$9,MATCH(购销流水!$D580,记账规则!$A$6:$A$9,0),5),""))</f>
        <v/>
      </c>
      <c r="O2302" s="67" t="n">
        <f aca="false">IF($H2302="",0,ROUND(IF($N2302="成本金额",N(购销流水!$W580),IF($N2302="金额",N(购销流水!$Q580),0)),2))</f>
        <v>0</v>
      </c>
      <c r="P2302" s="64" t="str">
        <f aca="false">IF(AND($H2302&lt;&gt;"",ROUND($O2302,2)&lt;&gt;0),"有","")</f>
        <v/>
      </c>
    </row>
    <row r="2303" customFormat="false" ht="15" hidden="true" customHeight="false" outlineLevel="0" collapsed="false">
      <c r="A2303" s="53" t="str">
        <f aca="false">IF($H2303="","",ROW()-5)</f>
        <v/>
      </c>
      <c r="B2303" s="64" t="s">
        <v>36</v>
      </c>
      <c r="C2303" s="53" t="n">
        <v>580</v>
      </c>
      <c r="D2303" s="53" t="n">
        <v>2</v>
      </c>
      <c r="E2303" s="65" t="str">
        <f aca="false">IF($H2303="","",购销流水!$B580)</f>
        <v/>
      </c>
      <c r="F2303" s="55" t="str">
        <f aca="false">IF($H2303="","",购销流水!$C580)</f>
        <v/>
      </c>
      <c r="G2303" s="48" t="str">
        <f aca="false">IF($H2303="","",购销流水!$N580)</f>
        <v/>
      </c>
      <c r="H2303" s="10" t="str">
        <f aca="false">IF($L2303="","",IF($L2303="@成本",购销流水!$U580,IF($L2303="@收入",购销流水!$T580,IF($L2303="@存货",购销流水!$S580,IF($L2303="@结算",购销流水!$R580,$L2303)))))</f>
        <v/>
      </c>
      <c r="I2303" s="42" t="n">
        <f aca="false">IF($M2303="借",$O2303,0)</f>
        <v>0</v>
      </c>
      <c r="J2303" s="42" t="n">
        <f aca="false">IF($M2303="贷",$O2303,0)</f>
        <v>0</v>
      </c>
      <c r="K2303" s="48" t="str">
        <f aca="false">IF($H2303="","",购销流水!$E580)</f>
        <v/>
      </c>
      <c r="L2303" s="66" t="str">
        <f aca="false">IF(购销流水!$D580="","",IFERROR(INDEX(记账规则!$A$6:$N$9,MATCH(购销流水!$D580,记账规则!$A$6:$A$9,0),6),""))</f>
        <v/>
      </c>
      <c r="M2303" s="66" t="str">
        <f aca="false">IF($L2303="","",IFERROR(INDEX(记账规则!$A$6:$N$9,MATCH(购销流水!$D580,记账规则!$A$6:$A$9,0),7),""))</f>
        <v/>
      </c>
      <c r="N2303" s="66" t="str">
        <f aca="false">IF($L2303="","",IFERROR(INDEX(记账规则!$A$6:$N$9,MATCH(购销流水!$D580,记账规则!$A$6:$A$9,0),8),""))</f>
        <v/>
      </c>
      <c r="O2303" s="67" t="n">
        <f aca="false">IF($H2303="",0,ROUND(IF($N2303="成本金额",N(购销流水!$W580),IF($N2303="金额",N(购销流水!$Q580),0)),2))</f>
        <v>0</v>
      </c>
      <c r="P2303" s="64" t="str">
        <f aca="false">IF(AND($H2303&lt;&gt;"",ROUND($O2303,2)&lt;&gt;0),"有","")</f>
        <v/>
      </c>
    </row>
    <row r="2304" customFormat="false" ht="15" hidden="true" customHeight="false" outlineLevel="0" collapsed="false">
      <c r="A2304" s="53" t="str">
        <f aca="false">IF($H2304="","",ROW()-5)</f>
        <v/>
      </c>
      <c r="B2304" s="64" t="s">
        <v>36</v>
      </c>
      <c r="C2304" s="53" t="n">
        <v>580</v>
      </c>
      <c r="D2304" s="53" t="n">
        <v>3</v>
      </c>
      <c r="E2304" s="65" t="str">
        <f aca="false">IF($H2304="","",购销流水!$B580)</f>
        <v/>
      </c>
      <c r="F2304" s="55" t="str">
        <f aca="false">IF($H2304="","",购销流水!$C580)</f>
        <v/>
      </c>
      <c r="G2304" s="48" t="str">
        <f aca="false">IF($H2304="","",购销流水!$N580)</f>
        <v/>
      </c>
      <c r="H2304" s="10" t="str">
        <f aca="false">IF($L2304="","",IF($L2304="@成本",购销流水!$U580,IF($L2304="@收入",购销流水!$T580,IF($L2304="@存货",购销流水!$S580,IF($L2304="@结算",购销流水!$R580,$L2304)))))</f>
        <v/>
      </c>
      <c r="I2304" s="42" t="n">
        <f aca="false">IF($M2304="借",$O2304,0)</f>
        <v>0</v>
      </c>
      <c r="J2304" s="42" t="n">
        <f aca="false">IF($M2304="贷",$O2304,0)</f>
        <v>0</v>
      </c>
      <c r="K2304" s="48" t="str">
        <f aca="false">IF($H2304="","",购销流水!$E580)</f>
        <v/>
      </c>
      <c r="L2304" s="66" t="str">
        <f aca="false">IF(购销流水!$D580="","",IFERROR(INDEX(记账规则!$A$6:$N$9,MATCH(购销流水!$D580,记账规则!$A$6:$A$9,0),9),""))</f>
        <v/>
      </c>
      <c r="M2304" s="66" t="str">
        <f aca="false">IF($L2304="","",IFERROR(INDEX(记账规则!$A$6:$N$9,MATCH(购销流水!$D580,记账规则!$A$6:$A$9,0),10),""))</f>
        <v/>
      </c>
      <c r="N2304" s="66" t="str">
        <f aca="false">IF($L2304="","",IFERROR(INDEX(记账规则!$A$6:$N$9,MATCH(购销流水!$D580,记账规则!$A$6:$A$9,0),11),""))</f>
        <v/>
      </c>
      <c r="O2304" s="67" t="n">
        <f aca="false">IF($H2304="",0,ROUND(IF($N2304="成本金额",N(购销流水!$W580),IF($N2304="金额",N(购销流水!$Q580),0)),2))</f>
        <v>0</v>
      </c>
      <c r="P2304" s="64" t="str">
        <f aca="false">IF(AND($H2304&lt;&gt;"",ROUND($O2304,2)&lt;&gt;0),"有","")</f>
        <v/>
      </c>
    </row>
    <row r="2305" customFormat="false" ht="15" hidden="true" customHeight="false" outlineLevel="0" collapsed="false">
      <c r="A2305" s="53" t="str">
        <f aca="false">IF($H2305="","",ROW()-5)</f>
        <v/>
      </c>
      <c r="B2305" s="64" t="s">
        <v>36</v>
      </c>
      <c r="C2305" s="53" t="n">
        <v>580</v>
      </c>
      <c r="D2305" s="53" t="n">
        <v>4</v>
      </c>
      <c r="E2305" s="65" t="str">
        <f aca="false">IF($H2305="","",购销流水!$B580)</f>
        <v/>
      </c>
      <c r="F2305" s="55" t="str">
        <f aca="false">IF($H2305="","",购销流水!$C580)</f>
        <v/>
      </c>
      <c r="G2305" s="48" t="str">
        <f aca="false">IF($H2305="","",购销流水!$N580)</f>
        <v/>
      </c>
      <c r="H2305" s="10" t="str">
        <f aca="false">IF($L2305="","",IF($L2305="@成本",购销流水!$U580,IF($L2305="@收入",购销流水!$T580,IF($L2305="@存货",购销流水!$S580,IF($L2305="@结算",购销流水!$R580,$L2305)))))</f>
        <v/>
      </c>
      <c r="I2305" s="42" t="n">
        <f aca="false">IF($M2305="借",$O2305,0)</f>
        <v>0</v>
      </c>
      <c r="J2305" s="42" t="n">
        <f aca="false">IF($M2305="贷",$O2305,0)</f>
        <v>0</v>
      </c>
      <c r="K2305" s="48" t="str">
        <f aca="false">IF($H2305="","",购销流水!$E580)</f>
        <v/>
      </c>
      <c r="L2305" s="66" t="str">
        <f aca="false">IF(购销流水!$D580="","",IFERROR(INDEX(记账规则!$A$6:$N$9,MATCH(购销流水!$D580,记账规则!$A$6:$A$9,0),12),""))</f>
        <v/>
      </c>
      <c r="M2305" s="66" t="str">
        <f aca="false">IF($L2305="","",IFERROR(INDEX(记账规则!$A$6:$N$9,MATCH(购销流水!$D580,记账规则!$A$6:$A$9,0),13),""))</f>
        <v/>
      </c>
      <c r="N2305" s="66" t="str">
        <f aca="false">IF($L2305="","",IFERROR(INDEX(记账规则!$A$6:$N$9,MATCH(购销流水!$D580,记账规则!$A$6:$A$9,0),14),""))</f>
        <v/>
      </c>
      <c r="O2305" s="67" t="n">
        <f aca="false">IF($H2305="",0,ROUND(IF($N2305="成本金额",N(购销流水!$W580),IF($N2305="金额",N(购销流水!$Q580),0)),2))</f>
        <v>0</v>
      </c>
      <c r="P2305" s="64" t="str">
        <f aca="false">IF(AND($H2305&lt;&gt;"",ROUND($O2305,2)&lt;&gt;0),"有","")</f>
        <v/>
      </c>
    </row>
    <row r="2306" customFormat="false" ht="15" hidden="true" customHeight="false" outlineLevel="0" collapsed="false">
      <c r="A2306" s="53" t="str">
        <f aca="false">IF($H2306="","",ROW()-5)</f>
        <v/>
      </c>
      <c r="B2306" s="64" t="s">
        <v>36</v>
      </c>
      <c r="C2306" s="53" t="n">
        <v>581</v>
      </c>
      <c r="D2306" s="53" t="n">
        <v>1</v>
      </c>
      <c r="E2306" s="65" t="str">
        <f aca="false">IF($H2306="","",购销流水!$B581)</f>
        <v/>
      </c>
      <c r="F2306" s="55" t="str">
        <f aca="false">IF($H2306="","",购销流水!$C581)</f>
        <v/>
      </c>
      <c r="G2306" s="48" t="str">
        <f aca="false">IF($H2306="","",购销流水!$N581)</f>
        <v/>
      </c>
      <c r="H2306" s="10" t="str">
        <f aca="false">IF($L2306="","",IF($L2306="@成本",购销流水!$U581,IF($L2306="@收入",购销流水!$T581,IF($L2306="@存货",购销流水!$S581,IF($L2306="@结算",购销流水!$R581,$L2306)))))</f>
        <v/>
      </c>
      <c r="I2306" s="42" t="n">
        <f aca="false">IF($M2306="借",$O2306,0)</f>
        <v>0</v>
      </c>
      <c r="J2306" s="42" t="n">
        <f aca="false">IF($M2306="贷",$O2306,0)</f>
        <v>0</v>
      </c>
      <c r="K2306" s="48" t="str">
        <f aca="false">IF($H2306="","",购销流水!$E581)</f>
        <v/>
      </c>
      <c r="L2306" s="66" t="str">
        <f aca="false">IF(购销流水!$D581="","",IFERROR(INDEX(记账规则!$A$6:$N$9,MATCH(购销流水!$D581,记账规则!$A$6:$A$9,0),3),""))</f>
        <v/>
      </c>
      <c r="M2306" s="66" t="str">
        <f aca="false">IF($L2306="","",IFERROR(INDEX(记账规则!$A$6:$N$9,MATCH(购销流水!$D581,记账规则!$A$6:$A$9,0),4),""))</f>
        <v/>
      </c>
      <c r="N2306" s="66" t="str">
        <f aca="false">IF($L2306="","",IFERROR(INDEX(记账规则!$A$6:$N$9,MATCH(购销流水!$D581,记账规则!$A$6:$A$9,0),5),""))</f>
        <v/>
      </c>
      <c r="O2306" s="67" t="n">
        <f aca="false">IF($H2306="",0,ROUND(IF($N2306="成本金额",N(购销流水!$W581),IF($N2306="金额",N(购销流水!$Q581),0)),2))</f>
        <v>0</v>
      </c>
      <c r="P2306" s="64" t="str">
        <f aca="false">IF(AND($H2306&lt;&gt;"",ROUND($O2306,2)&lt;&gt;0),"有","")</f>
        <v/>
      </c>
    </row>
    <row r="2307" customFormat="false" ht="15" hidden="true" customHeight="false" outlineLevel="0" collapsed="false">
      <c r="A2307" s="53" t="str">
        <f aca="false">IF($H2307="","",ROW()-5)</f>
        <v/>
      </c>
      <c r="B2307" s="64" t="s">
        <v>36</v>
      </c>
      <c r="C2307" s="53" t="n">
        <v>581</v>
      </c>
      <c r="D2307" s="53" t="n">
        <v>2</v>
      </c>
      <c r="E2307" s="65" t="str">
        <f aca="false">IF($H2307="","",购销流水!$B581)</f>
        <v/>
      </c>
      <c r="F2307" s="55" t="str">
        <f aca="false">IF($H2307="","",购销流水!$C581)</f>
        <v/>
      </c>
      <c r="G2307" s="48" t="str">
        <f aca="false">IF($H2307="","",购销流水!$N581)</f>
        <v/>
      </c>
      <c r="H2307" s="10" t="str">
        <f aca="false">IF($L2307="","",IF($L2307="@成本",购销流水!$U581,IF($L2307="@收入",购销流水!$T581,IF($L2307="@存货",购销流水!$S581,IF($L2307="@结算",购销流水!$R581,$L2307)))))</f>
        <v/>
      </c>
      <c r="I2307" s="42" t="n">
        <f aca="false">IF($M2307="借",$O2307,0)</f>
        <v>0</v>
      </c>
      <c r="J2307" s="42" t="n">
        <f aca="false">IF($M2307="贷",$O2307,0)</f>
        <v>0</v>
      </c>
      <c r="K2307" s="48" t="str">
        <f aca="false">IF($H2307="","",购销流水!$E581)</f>
        <v/>
      </c>
      <c r="L2307" s="66" t="str">
        <f aca="false">IF(购销流水!$D581="","",IFERROR(INDEX(记账规则!$A$6:$N$9,MATCH(购销流水!$D581,记账规则!$A$6:$A$9,0),6),""))</f>
        <v/>
      </c>
      <c r="M2307" s="66" t="str">
        <f aca="false">IF($L2307="","",IFERROR(INDEX(记账规则!$A$6:$N$9,MATCH(购销流水!$D581,记账规则!$A$6:$A$9,0),7),""))</f>
        <v/>
      </c>
      <c r="N2307" s="66" t="str">
        <f aca="false">IF($L2307="","",IFERROR(INDEX(记账规则!$A$6:$N$9,MATCH(购销流水!$D581,记账规则!$A$6:$A$9,0),8),""))</f>
        <v/>
      </c>
      <c r="O2307" s="67" t="n">
        <f aca="false">IF($H2307="",0,ROUND(IF($N2307="成本金额",N(购销流水!$W581),IF($N2307="金额",N(购销流水!$Q581),0)),2))</f>
        <v>0</v>
      </c>
      <c r="P2307" s="64" t="str">
        <f aca="false">IF(AND($H2307&lt;&gt;"",ROUND($O2307,2)&lt;&gt;0),"有","")</f>
        <v/>
      </c>
    </row>
    <row r="2308" customFormat="false" ht="15" hidden="true" customHeight="false" outlineLevel="0" collapsed="false">
      <c r="A2308" s="53" t="str">
        <f aca="false">IF($H2308="","",ROW()-5)</f>
        <v/>
      </c>
      <c r="B2308" s="64" t="s">
        <v>36</v>
      </c>
      <c r="C2308" s="53" t="n">
        <v>581</v>
      </c>
      <c r="D2308" s="53" t="n">
        <v>3</v>
      </c>
      <c r="E2308" s="65" t="str">
        <f aca="false">IF($H2308="","",购销流水!$B581)</f>
        <v/>
      </c>
      <c r="F2308" s="55" t="str">
        <f aca="false">IF($H2308="","",购销流水!$C581)</f>
        <v/>
      </c>
      <c r="G2308" s="48" t="str">
        <f aca="false">IF($H2308="","",购销流水!$N581)</f>
        <v/>
      </c>
      <c r="H2308" s="10" t="str">
        <f aca="false">IF($L2308="","",IF($L2308="@成本",购销流水!$U581,IF($L2308="@收入",购销流水!$T581,IF($L2308="@存货",购销流水!$S581,IF($L2308="@结算",购销流水!$R581,$L2308)))))</f>
        <v/>
      </c>
      <c r="I2308" s="42" t="n">
        <f aca="false">IF($M2308="借",$O2308,0)</f>
        <v>0</v>
      </c>
      <c r="J2308" s="42" t="n">
        <f aca="false">IF($M2308="贷",$O2308,0)</f>
        <v>0</v>
      </c>
      <c r="K2308" s="48" t="str">
        <f aca="false">IF($H2308="","",购销流水!$E581)</f>
        <v/>
      </c>
      <c r="L2308" s="66" t="str">
        <f aca="false">IF(购销流水!$D581="","",IFERROR(INDEX(记账规则!$A$6:$N$9,MATCH(购销流水!$D581,记账规则!$A$6:$A$9,0),9),""))</f>
        <v/>
      </c>
      <c r="M2308" s="66" t="str">
        <f aca="false">IF($L2308="","",IFERROR(INDEX(记账规则!$A$6:$N$9,MATCH(购销流水!$D581,记账规则!$A$6:$A$9,0),10),""))</f>
        <v/>
      </c>
      <c r="N2308" s="66" t="str">
        <f aca="false">IF($L2308="","",IFERROR(INDEX(记账规则!$A$6:$N$9,MATCH(购销流水!$D581,记账规则!$A$6:$A$9,0),11),""))</f>
        <v/>
      </c>
      <c r="O2308" s="67" t="n">
        <f aca="false">IF($H2308="",0,ROUND(IF($N2308="成本金额",N(购销流水!$W581),IF($N2308="金额",N(购销流水!$Q581),0)),2))</f>
        <v>0</v>
      </c>
      <c r="P2308" s="64" t="str">
        <f aca="false">IF(AND($H2308&lt;&gt;"",ROUND($O2308,2)&lt;&gt;0),"有","")</f>
        <v/>
      </c>
    </row>
    <row r="2309" customFormat="false" ht="15" hidden="true" customHeight="false" outlineLevel="0" collapsed="false">
      <c r="A2309" s="53" t="str">
        <f aca="false">IF($H2309="","",ROW()-5)</f>
        <v/>
      </c>
      <c r="B2309" s="64" t="s">
        <v>36</v>
      </c>
      <c r="C2309" s="53" t="n">
        <v>581</v>
      </c>
      <c r="D2309" s="53" t="n">
        <v>4</v>
      </c>
      <c r="E2309" s="65" t="str">
        <f aca="false">IF($H2309="","",购销流水!$B581)</f>
        <v/>
      </c>
      <c r="F2309" s="55" t="str">
        <f aca="false">IF($H2309="","",购销流水!$C581)</f>
        <v/>
      </c>
      <c r="G2309" s="48" t="str">
        <f aca="false">IF($H2309="","",购销流水!$N581)</f>
        <v/>
      </c>
      <c r="H2309" s="10" t="str">
        <f aca="false">IF($L2309="","",IF($L2309="@成本",购销流水!$U581,IF($L2309="@收入",购销流水!$T581,IF($L2309="@存货",购销流水!$S581,IF($L2309="@结算",购销流水!$R581,$L2309)))))</f>
        <v/>
      </c>
      <c r="I2309" s="42" t="n">
        <f aca="false">IF($M2309="借",$O2309,0)</f>
        <v>0</v>
      </c>
      <c r="J2309" s="42" t="n">
        <f aca="false">IF($M2309="贷",$O2309,0)</f>
        <v>0</v>
      </c>
      <c r="K2309" s="48" t="str">
        <f aca="false">IF($H2309="","",购销流水!$E581)</f>
        <v/>
      </c>
      <c r="L2309" s="66" t="str">
        <f aca="false">IF(购销流水!$D581="","",IFERROR(INDEX(记账规则!$A$6:$N$9,MATCH(购销流水!$D581,记账规则!$A$6:$A$9,0),12),""))</f>
        <v/>
      </c>
      <c r="M2309" s="66" t="str">
        <f aca="false">IF($L2309="","",IFERROR(INDEX(记账规则!$A$6:$N$9,MATCH(购销流水!$D581,记账规则!$A$6:$A$9,0),13),""))</f>
        <v/>
      </c>
      <c r="N2309" s="66" t="str">
        <f aca="false">IF($L2309="","",IFERROR(INDEX(记账规则!$A$6:$N$9,MATCH(购销流水!$D581,记账规则!$A$6:$A$9,0),14),""))</f>
        <v/>
      </c>
      <c r="O2309" s="67" t="n">
        <f aca="false">IF($H2309="",0,ROUND(IF($N2309="成本金额",N(购销流水!$W581),IF($N2309="金额",N(购销流水!$Q581),0)),2))</f>
        <v>0</v>
      </c>
      <c r="P2309" s="64" t="str">
        <f aca="false">IF(AND($H2309&lt;&gt;"",ROUND($O2309,2)&lt;&gt;0),"有","")</f>
        <v/>
      </c>
    </row>
    <row r="2310" customFormat="false" ht="15" hidden="true" customHeight="false" outlineLevel="0" collapsed="false">
      <c r="A2310" s="53" t="str">
        <f aca="false">IF($H2310="","",ROW()-5)</f>
        <v/>
      </c>
      <c r="B2310" s="64" t="s">
        <v>36</v>
      </c>
      <c r="C2310" s="53" t="n">
        <v>582</v>
      </c>
      <c r="D2310" s="53" t="n">
        <v>1</v>
      </c>
      <c r="E2310" s="65" t="str">
        <f aca="false">IF($H2310="","",购销流水!$B582)</f>
        <v/>
      </c>
      <c r="F2310" s="55" t="str">
        <f aca="false">IF($H2310="","",购销流水!$C582)</f>
        <v/>
      </c>
      <c r="G2310" s="48" t="str">
        <f aca="false">IF($H2310="","",购销流水!$N582)</f>
        <v/>
      </c>
      <c r="H2310" s="10" t="str">
        <f aca="false">IF($L2310="","",IF($L2310="@成本",购销流水!$U582,IF($L2310="@收入",购销流水!$T582,IF($L2310="@存货",购销流水!$S582,IF($L2310="@结算",购销流水!$R582,$L2310)))))</f>
        <v/>
      </c>
      <c r="I2310" s="42" t="n">
        <f aca="false">IF($M2310="借",$O2310,0)</f>
        <v>0</v>
      </c>
      <c r="J2310" s="42" t="n">
        <f aca="false">IF($M2310="贷",$O2310,0)</f>
        <v>0</v>
      </c>
      <c r="K2310" s="48" t="str">
        <f aca="false">IF($H2310="","",购销流水!$E582)</f>
        <v/>
      </c>
      <c r="L2310" s="66" t="str">
        <f aca="false">IF(购销流水!$D582="","",IFERROR(INDEX(记账规则!$A$6:$N$9,MATCH(购销流水!$D582,记账规则!$A$6:$A$9,0),3),""))</f>
        <v/>
      </c>
      <c r="M2310" s="66" t="str">
        <f aca="false">IF($L2310="","",IFERROR(INDEX(记账规则!$A$6:$N$9,MATCH(购销流水!$D582,记账规则!$A$6:$A$9,0),4),""))</f>
        <v/>
      </c>
      <c r="N2310" s="66" t="str">
        <f aca="false">IF($L2310="","",IFERROR(INDEX(记账规则!$A$6:$N$9,MATCH(购销流水!$D582,记账规则!$A$6:$A$9,0),5),""))</f>
        <v/>
      </c>
      <c r="O2310" s="67" t="n">
        <f aca="false">IF($H2310="",0,ROUND(IF($N2310="成本金额",N(购销流水!$W582),IF($N2310="金额",N(购销流水!$Q582),0)),2))</f>
        <v>0</v>
      </c>
      <c r="P2310" s="64" t="str">
        <f aca="false">IF(AND($H2310&lt;&gt;"",ROUND($O2310,2)&lt;&gt;0),"有","")</f>
        <v/>
      </c>
    </row>
    <row r="2311" customFormat="false" ht="15" hidden="true" customHeight="false" outlineLevel="0" collapsed="false">
      <c r="A2311" s="53" t="str">
        <f aca="false">IF($H2311="","",ROW()-5)</f>
        <v/>
      </c>
      <c r="B2311" s="64" t="s">
        <v>36</v>
      </c>
      <c r="C2311" s="53" t="n">
        <v>582</v>
      </c>
      <c r="D2311" s="53" t="n">
        <v>2</v>
      </c>
      <c r="E2311" s="65" t="str">
        <f aca="false">IF($H2311="","",购销流水!$B582)</f>
        <v/>
      </c>
      <c r="F2311" s="55" t="str">
        <f aca="false">IF($H2311="","",购销流水!$C582)</f>
        <v/>
      </c>
      <c r="G2311" s="48" t="str">
        <f aca="false">IF($H2311="","",购销流水!$N582)</f>
        <v/>
      </c>
      <c r="H2311" s="10" t="str">
        <f aca="false">IF($L2311="","",IF($L2311="@成本",购销流水!$U582,IF($L2311="@收入",购销流水!$T582,IF($L2311="@存货",购销流水!$S582,IF($L2311="@结算",购销流水!$R582,$L2311)))))</f>
        <v/>
      </c>
      <c r="I2311" s="42" t="n">
        <f aca="false">IF($M2311="借",$O2311,0)</f>
        <v>0</v>
      </c>
      <c r="J2311" s="42" t="n">
        <f aca="false">IF($M2311="贷",$O2311,0)</f>
        <v>0</v>
      </c>
      <c r="K2311" s="48" t="str">
        <f aca="false">IF($H2311="","",购销流水!$E582)</f>
        <v/>
      </c>
      <c r="L2311" s="66" t="str">
        <f aca="false">IF(购销流水!$D582="","",IFERROR(INDEX(记账规则!$A$6:$N$9,MATCH(购销流水!$D582,记账规则!$A$6:$A$9,0),6),""))</f>
        <v/>
      </c>
      <c r="M2311" s="66" t="str">
        <f aca="false">IF($L2311="","",IFERROR(INDEX(记账规则!$A$6:$N$9,MATCH(购销流水!$D582,记账规则!$A$6:$A$9,0),7),""))</f>
        <v/>
      </c>
      <c r="N2311" s="66" t="str">
        <f aca="false">IF($L2311="","",IFERROR(INDEX(记账规则!$A$6:$N$9,MATCH(购销流水!$D582,记账规则!$A$6:$A$9,0),8),""))</f>
        <v/>
      </c>
      <c r="O2311" s="67" t="n">
        <f aca="false">IF($H2311="",0,ROUND(IF($N2311="成本金额",N(购销流水!$W582),IF($N2311="金额",N(购销流水!$Q582),0)),2))</f>
        <v>0</v>
      </c>
      <c r="P2311" s="64" t="str">
        <f aca="false">IF(AND($H2311&lt;&gt;"",ROUND($O2311,2)&lt;&gt;0),"有","")</f>
        <v/>
      </c>
    </row>
    <row r="2312" customFormat="false" ht="15" hidden="true" customHeight="false" outlineLevel="0" collapsed="false">
      <c r="A2312" s="53" t="str">
        <f aca="false">IF($H2312="","",ROW()-5)</f>
        <v/>
      </c>
      <c r="B2312" s="64" t="s">
        <v>36</v>
      </c>
      <c r="C2312" s="53" t="n">
        <v>582</v>
      </c>
      <c r="D2312" s="53" t="n">
        <v>3</v>
      </c>
      <c r="E2312" s="65" t="str">
        <f aca="false">IF($H2312="","",购销流水!$B582)</f>
        <v/>
      </c>
      <c r="F2312" s="55" t="str">
        <f aca="false">IF($H2312="","",购销流水!$C582)</f>
        <v/>
      </c>
      <c r="G2312" s="48" t="str">
        <f aca="false">IF($H2312="","",购销流水!$N582)</f>
        <v/>
      </c>
      <c r="H2312" s="10" t="str">
        <f aca="false">IF($L2312="","",IF($L2312="@成本",购销流水!$U582,IF($L2312="@收入",购销流水!$T582,IF($L2312="@存货",购销流水!$S582,IF($L2312="@结算",购销流水!$R582,$L2312)))))</f>
        <v/>
      </c>
      <c r="I2312" s="42" t="n">
        <f aca="false">IF($M2312="借",$O2312,0)</f>
        <v>0</v>
      </c>
      <c r="J2312" s="42" t="n">
        <f aca="false">IF($M2312="贷",$O2312,0)</f>
        <v>0</v>
      </c>
      <c r="K2312" s="48" t="str">
        <f aca="false">IF($H2312="","",购销流水!$E582)</f>
        <v/>
      </c>
      <c r="L2312" s="66" t="str">
        <f aca="false">IF(购销流水!$D582="","",IFERROR(INDEX(记账规则!$A$6:$N$9,MATCH(购销流水!$D582,记账规则!$A$6:$A$9,0),9),""))</f>
        <v/>
      </c>
      <c r="M2312" s="66" t="str">
        <f aca="false">IF($L2312="","",IFERROR(INDEX(记账规则!$A$6:$N$9,MATCH(购销流水!$D582,记账规则!$A$6:$A$9,0),10),""))</f>
        <v/>
      </c>
      <c r="N2312" s="66" t="str">
        <f aca="false">IF($L2312="","",IFERROR(INDEX(记账规则!$A$6:$N$9,MATCH(购销流水!$D582,记账规则!$A$6:$A$9,0),11),""))</f>
        <v/>
      </c>
      <c r="O2312" s="67" t="n">
        <f aca="false">IF($H2312="",0,ROUND(IF($N2312="成本金额",N(购销流水!$W582),IF($N2312="金额",N(购销流水!$Q582),0)),2))</f>
        <v>0</v>
      </c>
      <c r="P2312" s="64" t="str">
        <f aca="false">IF(AND($H2312&lt;&gt;"",ROUND($O2312,2)&lt;&gt;0),"有","")</f>
        <v/>
      </c>
    </row>
    <row r="2313" customFormat="false" ht="15" hidden="true" customHeight="false" outlineLevel="0" collapsed="false">
      <c r="A2313" s="53" t="str">
        <f aca="false">IF($H2313="","",ROW()-5)</f>
        <v/>
      </c>
      <c r="B2313" s="64" t="s">
        <v>36</v>
      </c>
      <c r="C2313" s="53" t="n">
        <v>582</v>
      </c>
      <c r="D2313" s="53" t="n">
        <v>4</v>
      </c>
      <c r="E2313" s="65" t="str">
        <f aca="false">IF($H2313="","",购销流水!$B582)</f>
        <v/>
      </c>
      <c r="F2313" s="55" t="str">
        <f aca="false">IF($H2313="","",购销流水!$C582)</f>
        <v/>
      </c>
      <c r="G2313" s="48" t="str">
        <f aca="false">IF($H2313="","",购销流水!$N582)</f>
        <v/>
      </c>
      <c r="H2313" s="10" t="str">
        <f aca="false">IF($L2313="","",IF($L2313="@成本",购销流水!$U582,IF($L2313="@收入",购销流水!$T582,IF($L2313="@存货",购销流水!$S582,IF($L2313="@结算",购销流水!$R582,$L2313)))))</f>
        <v/>
      </c>
      <c r="I2313" s="42" t="n">
        <f aca="false">IF($M2313="借",$O2313,0)</f>
        <v>0</v>
      </c>
      <c r="J2313" s="42" t="n">
        <f aca="false">IF($M2313="贷",$O2313,0)</f>
        <v>0</v>
      </c>
      <c r="K2313" s="48" t="str">
        <f aca="false">IF($H2313="","",购销流水!$E582)</f>
        <v/>
      </c>
      <c r="L2313" s="66" t="str">
        <f aca="false">IF(购销流水!$D582="","",IFERROR(INDEX(记账规则!$A$6:$N$9,MATCH(购销流水!$D582,记账规则!$A$6:$A$9,0),12),""))</f>
        <v/>
      </c>
      <c r="M2313" s="66" t="str">
        <f aca="false">IF($L2313="","",IFERROR(INDEX(记账规则!$A$6:$N$9,MATCH(购销流水!$D582,记账规则!$A$6:$A$9,0),13),""))</f>
        <v/>
      </c>
      <c r="N2313" s="66" t="str">
        <f aca="false">IF($L2313="","",IFERROR(INDEX(记账规则!$A$6:$N$9,MATCH(购销流水!$D582,记账规则!$A$6:$A$9,0),14),""))</f>
        <v/>
      </c>
      <c r="O2313" s="67" t="n">
        <f aca="false">IF($H2313="",0,ROUND(IF($N2313="成本金额",N(购销流水!$W582),IF($N2313="金额",N(购销流水!$Q582),0)),2))</f>
        <v>0</v>
      </c>
      <c r="P2313" s="64" t="str">
        <f aca="false">IF(AND($H2313&lt;&gt;"",ROUND($O2313,2)&lt;&gt;0),"有","")</f>
        <v/>
      </c>
    </row>
    <row r="2314" customFormat="false" ht="15" hidden="true" customHeight="false" outlineLevel="0" collapsed="false">
      <c r="A2314" s="53" t="str">
        <f aca="false">IF($H2314="","",ROW()-5)</f>
        <v/>
      </c>
      <c r="B2314" s="64" t="s">
        <v>36</v>
      </c>
      <c r="C2314" s="53" t="n">
        <v>583</v>
      </c>
      <c r="D2314" s="53" t="n">
        <v>1</v>
      </c>
      <c r="E2314" s="65" t="str">
        <f aca="false">IF($H2314="","",购销流水!$B583)</f>
        <v/>
      </c>
      <c r="F2314" s="55" t="str">
        <f aca="false">IF($H2314="","",购销流水!$C583)</f>
        <v/>
      </c>
      <c r="G2314" s="48" t="str">
        <f aca="false">IF($H2314="","",购销流水!$N583)</f>
        <v/>
      </c>
      <c r="H2314" s="10" t="str">
        <f aca="false">IF($L2314="","",IF($L2314="@成本",购销流水!$U583,IF($L2314="@收入",购销流水!$T583,IF($L2314="@存货",购销流水!$S583,IF($L2314="@结算",购销流水!$R583,$L2314)))))</f>
        <v/>
      </c>
      <c r="I2314" s="42" t="n">
        <f aca="false">IF($M2314="借",$O2314,0)</f>
        <v>0</v>
      </c>
      <c r="J2314" s="42" t="n">
        <f aca="false">IF($M2314="贷",$O2314,0)</f>
        <v>0</v>
      </c>
      <c r="K2314" s="48" t="str">
        <f aca="false">IF($H2314="","",购销流水!$E583)</f>
        <v/>
      </c>
      <c r="L2314" s="66" t="str">
        <f aca="false">IF(购销流水!$D583="","",IFERROR(INDEX(记账规则!$A$6:$N$9,MATCH(购销流水!$D583,记账规则!$A$6:$A$9,0),3),""))</f>
        <v/>
      </c>
      <c r="M2314" s="66" t="str">
        <f aca="false">IF($L2314="","",IFERROR(INDEX(记账规则!$A$6:$N$9,MATCH(购销流水!$D583,记账规则!$A$6:$A$9,0),4),""))</f>
        <v/>
      </c>
      <c r="N2314" s="66" t="str">
        <f aca="false">IF($L2314="","",IFERROR(INDEX(记账规则!$A$6:$N$9,MATCH(购销流水!$D583,记账规则!$A$6:$A$9,0),5),""))</f>
        <v/>
      </c>
      <c r="O2314" s="67" t="n">
        <f aca="false">IF($H2314="",0,ROUND(IF($N2314="成本金额",N(购销流水!$W583),IF($N2314="金额",N(购销流水!$Q583),0)),2))</f>
        <v>0</v>
      </c>
      <c r="P2314" s="64" t="str">
        <f aca="false">IF(AND($H2314&lt;&gt;"",ROUND($O2314,2)&lt;&gt;0),"有","")</f>
        <v/>
      </c>
    </row>
    <row r="2315" customFormat="false" ht="15" hidden="true" customHeight="false" outlineLevel="0" collapsed="false">
      <c r="A2315" s="53" t="str">
        <f aca="false">IF($H2315="","",ROW()-5)</f>
        <v/>
      </c>
      <c r="B2315" s="64" t="s">
        <v>36</v>
      </c>
      <c r="C2315" s="53" t="n">
        <v>583</v>
      </c>
      <c r="D2315" s="53" t="n">
        <v>2</v>
      </c>
      <c r="E2315" s="65" t="str">
        <f aca="false">IF($H2315="","",购销流水!$B583)</f>
        <v/>
      </c>
      <c r="F2315" s="55" t="str">
        <f aca="false">IF($H2315="","",购销流水!$C583)</f>
        <v/>
      </c>
      <c r="G2315" s="48" t="str">
        <f aca="false">IF($H2315="","",购销流水!$N583)</f>
        <v/>
      </c>
      <c r="H2315" s="10" t="str">
        <f aca="false">IF($L2315="","",IF($L2315="@成本",购销流水!$U583,IF($L2315="@收入",购销流水!$T583,IF($L2315="@存货",购销流水!$S583,IF($L2315="@结算",购销流水!$R583,$L2315)))))</f>
        <v/>
      </c>
      <c r="I2315" s="42" t="n">
        <f aca="false">IF($M2315="借",$O2315,0)</f>
        <v>0</v>
      </c>
      <c r="J2315" s="42" t="n">
        <f aca="false">IF($M2315="贷",$O2315,0)</f>
        <v>0</v>
      </c>
      <c r="K2315" s="48" t="str">
        <f aca="false">IF($H2315="","",购销流水!$E583)</f>
        <v/>
      </c>
      <c r="L2315" s="66" t="str">
        <f aca="false">IF(购销流水!$D583="","",IFERROR(INDEX(记账规则!$A$6:$N$9,MATCH(购销流水!$D583,记账规则!$A$6:$A$9,0),6),""))</f>
        <v/>
      </c>
      <c r="M2315" s="66" t="str">
        <f aca="false">IF($L2315="","",IFERROR(INDEX(记账规则!$A$6:$N$9,MATCH(购销流水!$D583,记账规则!$A$6:$A$9,0),7),""))</f>
        <v/>
      </c>
      <c r="N2315" s="66" t="str">
        <f aca="false">IF($L2315="","",IFERROR(INDEX(记账规则!$A$6:$N$9,MATCH(购销流水!$D583,记账规则!$A$6:$A$9,0),8),""))</f>
        <v/>
      </c>
      <c r="O2315" s="67" t="n">
        <f aca="false">IF($H2315="",0,ROUND(IF($N2315="成本金额",N(购销流水!$W583),IF($N2315="金额",N(购销流水!$Q583),0)),2))</f>
        <v>0</v>
      </c>
      <c r="P2315" s="64" t="str">
        <f aca="false">IF(AND($H2315&lt;&gt;"",ROUND($O2315,2)&lt;&gt;0),"有","")</f>
        <v/>
      </c>
    </row>
    <row r="2316" customFormat="false" ht="15" hidden="true" customHeight="false" outlineLevel="0" collapsed="false">
      <c r="A2316" s="53" t="str">
        <f aca="false">IF($H2316="","",ROW()-5)</f>
        <v/>
      </c>
      <c r="B2316" s="64" t="s">
        <v>36</v>
      </c>
      <c r="C2316" s="53" t="n">
        <v>583</v>
      </c>
      <c r="D2316" s="53" t="n">
        <v>3</v>
      </c>
      <c r="E2316" s="65" t="str">
        <f aca="false">IF($H2316="","",购销流水!$B583)</f>
        <v/>
      </c>
      <c r="F2316" s="55" t="str">
        <f aca="false">IF($H2316="","",购销流水!$C583)</f>
        <v/>
      </c>
      <c r="G2316" s="48" t="str">
        <f aca="false">IF($H2316="","",购销流水!$N583)</f>
        <v/>
      </c>
      <c r="H2316" s="10" t="str">
        <f aca="false">IF($L2316="","",IF($L2316="@成本",购销流水!$U583,IF($L2316="@收入",购销流水!$T583,IF($L2316="@存货",购销流水!$S583,IF($L2316="@结算",购销流水!$R583,$L2316)))))</f>
        <v/>
      </c>
      <c r="I2316" s="42" t="n">
        <f aca="false">IF($M2316="借",$O2316,0)</f>
        <v>0</v>
      </c>
      <c r="J2316" s="42" t="n">
        <f aca="false">IF($M2316="贷",$O2316,0)</f>
        <v>0</v>
      </c>
      <c r="K2316" s="48" t="str">
        <f aca="false">IF($H2316="","",购销流水!$E583)</f>
        <v/>
      </c>
      <c r="L2316" s="66" t="str">
        <f aca="false">IF(购销流水!$D583="","",IFERROR(INDEX(记账规则!$A$6:$N$9,MATCH(购销流水!$D583,记账规则!$A$6:$A$9,0),9),""))</f>
        <v/>
      </c>
      <c r="M2316" s="66" t="str">
        <f aca="false">IF($L2316="","",IFERROR(INDEX(记账规则!$A$6:$N$9,MATCH(购销流水!$D583,记账规则!$A$6:$A$9,0),10),""))</f>
        <v/>
      </c>
      <c r="N2316" s="66" t="str">
        <f aca="false">IF($L2316="","",IFERROR(INDEX(记账规则!$A$6:$N$9,MATCH(购销流水!$D583,记账规则!$A$6:$A$9,0),11),""))</f>
        <v/>
      </c>
      <c r="O2316" s="67" t="n">
        <f aca="false">IF($H2316="",0,ROUND(IF($N2316="成本金额",N(购销流水!$W583),IF($N2316="金额",N(购销流水!$Q583),0)),2))</f>
        <v>0</v>
      </c>
      <c r="P2316" s="64" t="str">
        <f aca="false">IF(AND($H2316&lt;&gt;"",ROUND($O2316,2)&lt;&gt;0),"有","")</f>
        <v/>
      </c>
    </row>
    <row r="2317" customFormat="false" ht="15" hidden="true" customHeight="false" outlineLevel="0" collapsed="false">
      <c r="A2317" s="53" t="str">
        <f aca="false">IF($H2317="","",ROW()-5)</f>
        <v/>
      </c>
      <c r="B2317" s="64" t="s">
        <v>36</v>
      </c>
      <c r="C2317" s="53" t="n">
        <v>583</v>
      </c>
      <c r="D2317" s="53" t="n">
        <v>4</v>
      </c>
      <c r="E2317" s="65" t="str">
        <f aca="false">IF($H2317="","",购销流水!$B583)</f>
        <v/>
      </c>
      <c r="F2317" s="55" t="str">
        <f aca="false">IF($H2317="","",购销流水!$C583)</f>
        <v/>
      </c>
      <c r="G2317" s="48" t="str">
        <f aca="false">IF($H2317="","",购销流水!$N583)</f>
        <v/>
      </c>
      <c r="H2317" s="10" t="str">
        <f aca="false">IF($L2317="","",IF($L2317="@成本",购销流水!$U583,IF($L2317="@收入",购销流水!$T583,IF($L2317="@存货",购销流水!$S583,IF($L2317="@结算",购销流水!$R583,$L2317)))))</f>
        <v/>
      </c>
      <c r="I2317" s="42" t="n">
        <f aca="false">IF($M2317="借",$O2317,0)</f>
        <v>0</v>
      </c>
      <c r="J2317" s="42" t="n">
        <f aca="false">IF($M2317="贷",$O2317,0)</f>
        <v>0</v>
      </c>
      <c r="K2317" s="48" t="str">
        <f aca="false">IF($H2317="","",购销流水!$E583)</f>
        <v/>
      </c>
      <c r="L2317" s="66" t="str">
        <f aca="false">IF(购销流水!$D583="","",IFERROR(INDEX(记账规则!$A$6:$N$9,MATCH(购销流水!$D583,记账规则!$A$6:$A$9,0),12),""))</f>
        <v/>
      </c>
      <c r="M2317" s="66" t="str">
        <f aca="false">IF($L2317="","",IFERROR(INDEX(记账规则!$A$6:$N$9,MATCH(购销流水!$D583,记账规则!$A$6:$A$9,0),13),""))</f>
        <v/>
      </c>
      <c r="N2317" s="66" t="str">
        <f aca="false">IF($L2317="","",IFERROR(INDEX(记账规则!$A$6:$N$9,MATCH(购销流水!$D583,记账规则!$A$6:$A$9,0),14),""))</f>
        <v/>
      </c>
      <c r="O2317" s="67" t="n">
        <f aca="false">IF($H2317="",0,ROUND(IF($N2317="成本金额",N(购销流水!$W583),IF($N2317="金额",N(购销流水!$Q583),0)),2))</f>
        <v>0</v>
      </c>
      <c r="P2317" s="64" t="str">
        <f aca="false">IF(AND($H2317&lt;&gt;"",ROUND($O2317,2)&lt;&gt;0),"有","")</f>
        <v/>
      </c>
    </row>
    <row r="2318" customFormat="false" ht="15" hidden="true" customHeight="false" outlineLevel="0" collapsed="false">
      <c r="A2318" s="53" t="str">
        <f aca="false">IF($H2318="","",ROW()-5)</f>
        <v/>
      </c>
      <c r="B2318" s="64" t="s">
        <v>36</v>
      </c>
      <c r="C2318" s="53" t="n">
        <v>584</v>
      </c>
      <c r="D2318" s="53" t="n">
        <v>1</v>
      </c>
      <c r="E2318" s="65" t="str">
        <f aca="false">IF($H2318="","",购销流水!$B584)</f>
        <v/>
      </c>
      <c r="F2318" s="55" t="str">
        <f aca="false">IF($H2318="","",购销流水!$C584)</f>
        <v/>
      </c>
      <c r="G2318" s="48" t="str">
        <f aca="false">IF($H2318="","",购销流水!$N584)</f>
        <v/>
      </c>
      <c r="H2318" s="10" t="str">
        <f aca="false">IF($L2318="","",IF($L2318="@成本",购销流水!$U584,IF($L2318="@收入",购销流水!$T584,IF($L2318="@存货",购销流水!$S584,IF($L2318="@结算",购销流水!$R584,$L2318)))))</f>
        <v/>
      </c>
      <c r="I2318" s="42" t="n">
        <f aca="false">IF($M2318="借",$O2318,0)</f>
        <v>0</v>
      </c>
      <c r="J2318" s="42" t="n">
        <f aca="false">IF($M2318="贷",$O2318,0)</f>
        <v>0</v>
      </c>
      <c r="K2318" s="48" t="str">
        <f aca="false">IF($H2318="","",购销流水!$E584)</f>
        <v/>
      </c>
      <c r="L2318" s="66" t="str">
        <f aca="false">IF(购销流水!$D584="","",IFERROR(INDEX(记账规则!$A$6:$N$9,MATCH(购销流水!$D584,记账规则!$A$6:$A$9,0),3),""))</f>
        <v/>
      </c>
      <c r="M2318" s="66" t="str">
        <f aca="false">IF($L2318="","",IFERROR(INDEX(记账规则!$A$6:$N$9,MATCH(购销流水!$D584,记账规则!$A$6:$A$9,0),4),""))</f>
        <v/>
      </c>
      <c r="N2318" s="66" t="str">
        <f aca="false">IF($L2318="","",IFERROR(INDEX(记账规则!$A$6:$N$9,MATCH(购销流水!$D584,记账规则!$A$6:$A$9,0),5),""))</f>
        <v/>
      </c>
      <c r="O2318" s="67" t="n">
        <f aca="false">IF($H2318="",0,ROUND(IF($N2318="成本金额",N(购销流水!$W584),IF($N2318="金额",N(购销流水!$Q584),0)),2))</f>
        <v>0</v>
      </c>
      <c r="P2318" s="64" t="str">
        <f aca="false">IF(AND($H2318&lt;&gt;"",ROUND($O2318,2)&lt;&gt;0),"有","")</f>
        <v/>
      </c>
    </row>
    <row r="2319" customFormat="false" ht="15" hidden="true" customHeight="false" outlineLevel="0" collapsed="false">
      <c r="A2319" s="53" t="str">
        <f aca="false">IF($H2319="","",ROW()-5)</f>
        <v/>
      </c>
      <c r="B2319" s="64" t="s">
        <v>36</v>
      </c>
      <c r="C2319" s="53" t="n">
        <v>584</v>
      </c>
      <c r="D2319" s="53" t="n">
        <v>2</v>
      </c>
      <c r="E2319" s="65" t="str">
        <f aca="false">IF($H2319="","",购销流水!$B584)</f>
        <v/>
      </c>
      <c r="F2319" s="55" t="str">
        <f aca="false">IF($H2319="","",购销流水!$C584)</f>
        <v/>
      </c>
      <c r="G2319" s="48" t="str">
        <f aca="false">IF($H2319="","",购销流水!$N584)</f>
        <v/>
      </c>
      <c r="H2319" s="10" t="str">
        <f aca="false">IF($L2319="","",IF($L2319="@成本",购销流水!$U584,IF($L2319="@收入",购销流水!$T584,IF($L2319="@存货",购销流水!$S584,IF($L2319="@结算",购销流水!$R584,$L2319)))))</f>
        <v/>
      </c>
      <c r="I2319" s="42" t="n">
        <f aca="false">IF($M2319="借",$O2319,0)</f>
        <v>0</v>
      </c>
      <c r="J2319" s="42" t="n">
        <f aca="false">IF($M2319="贷",$O2319,0)</f>
        <v>0</v>
      </c>
      <c r="K2319" s="48" t="str">
        <f aca="false">IF($H2319="","",购销流水!$E584)</f>
        <v/>
      </c>
      <c r="L2319" s="66" t="str">
        <f aca="false">IF(购销流水!$D584="","",IFERROR(INDEX(记账规则!$A$6:$N$9,MATCH(购销流水!$D584,记账规则!$A$6:$A$9,0),6),""))</f>
        <v/>
      </c>
      <c r="M2319" s="66" t="str">
        <f aca="false">IF($L2319="","",IFERROR(INDEX(记账规则!$A$6:$N$9,MATCH(购销流水!$D584,记账规则!$A$6:$A$9,0),7),""))</f>
        <v/>
      </c>
      <c r="N2319" s="66" t="str">
        <f aca="false">IF($L2319="","",IFERROR(INDEX(记账规则!$A$6:$N$9,MATCH(购销流水!$D584,记账规则!$A$6:$A$9,0),8),""))</f>
        <v/>
      </c>
      <c r="O2319" s="67" t="n">
        <f aca="false">IF($H2319="",0,ROUND(IF($N2319="成本金额",N(购销流水!$W584),IF($N2319="金额",N(购销流水!$Q584),0)),2))</f>
        <v>0</v>
      </c>
      <c r="P2319" s="64" t="str">
        <f aca="false">IF(AND($H2319&lt;&gt;"",ROUND($O2319,2)&lt;&gt;0),"有","")</f>
        <v/>
      </c>
    </row>
    <row r="2320" customFormat="false" ht="15" hidden="true" customHeight="false" outlineLevel="0" collapsed="false">
      <c r="A2320" s="53" t="str">
        <f aca="false">IF($H2320="","",ROW()-5)</f>
        <v/>
      </c>
      <c r="B2320" s="64" t="s">
        <v>36</v>
      </c>
      <c r="C2320" s="53" t="n">
        <v>584</v>
      </c>
      <c r="D2320" s="53" t="n">
        <v>3</v>
      </c>
      <c r="E2320" s="65" t="str">
        <f aca="false">IF($H2320="","",购销流水!$B584)</f>
        <v/>
      </c>
      <c r="F2320" s="55" t="str">
        <f aca="false">IF($H2320="","",购销流水!$C584)</f>
        <v/>
      </c>
      <c r="G2320" s="48" t="str">
        <f aca="false">IF($H2320="","",购销流水!$N584)</f>
        <v/>
      </c>
      <c r="H2320" s="10" t="str">
        <f aca="false">IF($L2320="","",IF($L2320="@成本",购销流水!$U584,IF($L2320="@收入",购销流水!$T584,IF($L2320="@存货",购销流水!$S584,IF($L2320="@结算",购销流水!$R584,$L2320)))))</f>
        <v/>
      </c>
      <c r="I2320" s="42" t="n">
        <f aca="false">IF($M2320="借",$O2320,0)</f>
        <v>0</v>
      </c>
      <c r="J2320" s="42" t="n">
        <f aca="false">IF($M2320="贷",$O2320,0)</f>
        <v>0</v>
      </c>
      <c r="K2320" s="48" t="str">
        <f aca="false">IF($H2320="","",购销流水!$E584)</f>
        <v/>
      </c>
      <c r="L2320" s="66" t="str">
        <f aca="false">IF(购销流水!$D584="","",IFERROR(INDEX(记账规则!$A$6:$N$9,MATCH(购销流水!$D584,记账规则!$A$6:$A$9,0),9),""))</f>
        <v/>
      </c>
      <c r="M2320" s="66" t="str">
        <f aca="false">IF($L2320="","",IFERROR(INDEX(记账规则!$A$6:$N$9,MATCH(购销流水!$D584,记账规则!$A$6:$A$9,0),10),""))</f>
        <v/>
      </c>
      <c r="N2320" s="66" t="str">
        <f aca="false">IF($L2320="","",IFERROR(INDEX(记账规则!$A$6:$N$9,MATCH(购销流水!$D584,记账规则!$A$6:$A$9,0),11),""))</f>
        <v/>
      </c>
      <c r="O2320" s="67" t="n">
        <f aca="false">IF($H2320="",0,ROUND(IF($N2320="成本金额",N(购销流水!$W584),IF($N2320="金额",N(购销流水!$Q584),0)),2))</f>
        <v>0</v>
      </c>
      <c r="P2320" s="64" t="str">
        <f aca="false">IF(AND($H2320&lt;&gt;"",ROUND($O2320,2)&lt;&gt;0),"有","")</f>
        <v/>
      </c>
    </row>
    <row r="2321" customFormat="false" ht="15" hidden="true" customHeight="false" outlineLevel="0" collapsed="false">
      <c r="A2321" s="53" t="str">
        <f aca="false">IF($H2321="","",ROW()-5)</f>
        <v/>
      </c>
      <c r="B2321" s="64" t="s">
        <v>36</v>
      </c>
      <c r="C2321" s="53" t="n">
        <v>584</v>
      </c>
      <c r="D2321" s="53" t="n">
        <v>4</v>
      </c>
      <c r="E2321" s="65" t="str">
        <f aca="false">IF($H2321="","",购销流水!$B584)</f>
        <v/>
      </c>
      <c r="F2321" s="55" t="str">
        <f aca="false">IF($H2321="","",购销流水!$C584)</f>
        <v/>
      </c>
      <c r="G2321" s="48" t="str">
        <f aca="false">IF($H2321="","",购销流水!$N584)</f>
        <v/>
      </c>
      <c r="H2321" s="10" t="str">
        <f aca="false">IF($L2321="","",IF($L2321="@成本",购销流水!$U584,IF($L2321="@收入",购销流水!$T584,IF($L2321="@存货",购销流水!$S584,IF($L2321="@结算",购销流水!$R584,$L2321)))))</f>
        <v/>
      </c>
      <c r="I2321" s="42" t="n">
        <f aca="false">IF($M2321="借",$O2321,0)</f>
        <v>0</v>
      </c>
      <c r="J2321" s="42" t="n">
        <f aca="false">IF($M2321="贷",$O2321,0)</f>
        <v>0</v>
      </c>
      <c r="K2321" s="48" t="str">
        <f aca="false">IF($H2321="","",购销流水!$E584)</f>
        <v/>
      </c>
      <c r="L2321" s="66" t="str">
        <f aca="false">IF(购销流水!$D584="","",IFERROR(INDEX(记账规则!$A$6:$N$9,MATCH(购销流水!$D584,记账规则!$A$6:$A$9,0),12),""))</f>
        <v/>
      </c>
      <c r="M2321" s="66" t="str">
        <f aca="false">IF($L2321="","",IFERROR(INDEX(记账规则!$A$6:$N$9,MATCH(购销流水!$D584,记账规则!$A$6:$A$9,0),13),""))</f>
        <v/>
      </c>
      <c r="N2321" s="66" t="str">
        <f aca="false">IF($L2321="","",IFERROR(INDEX(记账规则!$A$6:$N$9,MATCH(购销流水!$D584,记账规则!$A$6:$A$9,0),14),""))</f>
        <v/>
      </c>
      <c r="O2321" s="67" t="n">
        <f aca="false">IF($H2321="",0,ROUND(IF($N2321="成本金额",N(购销流水!$W584),IF($N2321="金额",N(购销流水!$Q584),0)),2))</f>
        <v>0</v>
      </c>
      <c r="P2321" s="64" t="str">
        <f aca="false">IF(AND($H2321&lt;&gt;"",ROUND($O2321,2)&lt;&gt;0),"有","")</f>
        <v/>
      </c>
    </row>
    <row r="2322" customFormat="false" ht="15" hidden="true" customHeight="false" outlineLevel="0" collapsed="false">
      <c r="A2322" s="53" t="str">
        <f aca="false">IF($H2322="","",ROW()-5)</f>
        <v/>
      </c>
      <c r="B2322" s="64" t="s">
        <v>36</v>
      </c>
      <c r="C2322" s="53" t="n">
        <v>585</v>
      </c>
      <c r="D2322" s="53" t="n">
        <v>1</v>
      </c>
      <c r="E2322" s="65" t="str">
        <f aca="false">IF($H2322="","",购销流水!$B585)</f>
        <v/>
      </c>
      <c r="F2322" s="55" t="str">
        <f aca="false">IF($H2322="","",购销流水!$C585)</f>
        <v/>
      </c>
      <c r="G2322" s="48" t="str">
        <f aca="false">IF($H2322="","",购销流水!$N585)</f>
        <v/>
      </c>
      <c r="H2322" s="10" t="str">
        <f aca="false">IF($L2322="","",IF($L2322="@成本",购销流水!$U585,IF($L2322="@收入",购销流水!$T585,IF($L2322="@存货",购销流水!$S585,IF($L2322="@结算",购销流水!$R585,$L2322)))))</f>
        <v/>
      </c>
      <c r="I2322" s="42" t="n">
        <f aca="false">IF($M2322="借",$O2322,0)</f>
        <v>0</v>
      </c>
      <c r="J2322" s="42" t="n">
        <f aca="false">IF($M2322="贷",$O2322,0)</f>
        <v>0</v>
      </c>
      <c r="K2322" s="48" t="str">
        <f aca="false">IF($H2322="","",购销流水!$E585)</f>
        <v/>
      </c>
      <c r="L2322" s="66" t="str">
        <f aca="false">IF(购销流水!$D585="","",IFERROR(INDEX(记账规则!$A$6:$N$9,MATCH(购销流水!$D585,记账规则!$A$6:$A$9,0),3),""))</f>
        <v/>
      </c>
      <c r="M2322" s="66" t="str">
        <f aca="false">IF($L2322="","",IFERROR(INDEX(记账规则!$A$6:$N$9,MATCH(购销流水!$D585,记账规则!$A$6:$A$9,0),4),""))</f>
        <v/>
      </c>
      <c r="N2322" s="66" t="str">
        <f aca="false">IF($L2322="","",IFERROR(INDEX(记账规则!$A$6:$N$9,MATCH(购销流水!$D585,记账规则!$A$6:$A$9,0),5),""))</f>
        <v/>
      </c>
      <c r="O2322" s="67" t="n">
        <f aca="false">IF($H2322="",0,ROUND(IF($N2322="成本金额",N(购销流水!$W585),IF($N2322="金额",N(购销流水!$Q585),0)),2))</f>
        <v>0</v>
      </c>
      <c r="P2322" s="64" t="str">
        <f aca="false">IF(AND($H2322&lt;&gt;"",ROUND($O2322,2)&lt;&gt;0),"有","")</f>
        <v/>
      </c>
    </row>
    <row r="2323" customFormat="false" ht="15" hidden="true" customHeight="false" outlineLevel="0" collapsed="false">
      <c r="A2323" s="53" t="str">
        <f aca="false">IF($H2323="","",ROW()-5)</f>
        <v/>
      </c>
      <c r="B2323" s="64" t="s">
        <v>36</v>
      </c>
      <c r="C2323" s="53" t="n">
        <v>585</v>
      </c>
      <c r="D2323" s="53" t="n">
        <v>2</v>
      </c>
      <c r="E2323" s="65" t="str">
        <f aca="false">IF($H2323="","",购销流水!$B585)</f>
        <v/>
      </c>
      <c r="F2323" s="55" t="str">
        <f aca="false">IF($H2323="","",购销流水!$C585)</f>
        <v/>
      </c>
      <c r="G2323" s="48" t="str">
        <f aca="false">IF($H2323="","",购销流水!$N585)</f>
        <v/>
      </c>
      <c r="H2323" s="10" t="str">
        <f aca="false">IF($L2323="","",IF($L2323="@成本",购销流水!$U585,IF($L2323="@收入",购销流水!$T585,IF($L2323="@存货",购销流水!$S585,IF($L2323="@结算",购销流水!$R585,$L2323)))))</f>
        <v/>
      </c>
      <c r="I2323" s="42" t="n">
        <f aca="false">IF($M2323="借",$O2323,0)</f>
        <v>0</v>
      </c>
      <c r="J2323" s="42" t="n">
        <f aca="false">IF($M2323="贷",$O2323,0)</f>
        <v>0</v>
      </c>
      <c r="K2323" s="48" t="str">
        <f aca="false">IF($H2323="","",购销流水!$E585)</f>
        <v/>
      </c>
      <c r="L2323" s="66" t="str">
        <f aca="false">IF(购销流水!$D585="","",IFERROR(INDEX(记账规则!$A$6:$N$9,MATCH(购销流水!$D585,记账规则!$A$6:$A$9,0),6),""))</f>
        <v/>
      </c>
      <c r="M2323" s="66" t="str">
        <f aca="false">IF($L2323="","",IFERROR(INDEX(记账规则!$A$6:$N$9,MATCH(购销流水!$D585,记账规则!$A$6:$A$9,0),7),""))</f>
        <v/>
      </c>
      <c r="N2323" s="66" t="str">
        <f aca="false">IF($L2323="","",IFERROR(INDEX(记账规则!$A$6:$N$9,MATCH(购销流水!$D585,记账规则!$A$6:$A$9,0),8),""))</f>
        <v/>
      </c>
      <c r="O2323" s="67" t="n">
        <f aca="false">IF($H2323="",0,ROUND(IF($N2323="成本金额",N(购销流水!$W585),IF($N2323="金额",N(购销流水!$Q585),0)),2))</f>
        <v>0</v>
      </c>
      <c r="P2323" s="64" t="str">
        <f aca="false">IF(AND($H2323&lt;&gt;"",ROUND($O2323,2)&lt;&gt;0),"有","")</f>
        <v/>
      </c>
    </row>
    <row r="2324" customFormat="false" ht="15" hidden="true" customHeight="false" outlineLevel="0" collapsed="false">
      <c r="A2324" s="53" t="str">
        <f aca="false">IF($H2324="","",ROW()-5)</f>
        <v/>
      </c>
      <c r="B2324" s="64" t="s">
        <v>36</v>
      </c>
      <c r="C2324" s="53" t="n">
        <v>585</v>
      </c>
      <c r="D2324" s="53" t="n">
        <v>3</v>
      </c>
      <c r="E2324" s="65" t="str">
        <f aca="false">IF($H2324="","",购销流水!$B585)</f>
        <v/>
      </c>
      <c r="F2324" s="55" t="str">
        <f aca="false">IF($H2324="","",购销流水!$C585)</f>
        <v/>
      </c>
      <c r="G2324" s="48" t="str">
        <f aca="false">IF($H2324="","",购销流水!$N585)</f>
        <v/>
      </c>
      <c r="H2324" s="10" t="str">
        <f aca="false">IF($L2324="","",IF($L2324="@成本",购销流水!$U585,IF($L2324="@收入",购销流水!$T585,IF($L2324="@存货",购销流水!$S585,IF($L2324="@结算",购销流水!$R585,$L2324)))))</f>
        <v/>
      </c>
      <c r="I2324" s="42" t="n">
        <f aca="false">IF($M2324="借",$O2324,0)</f>
        <v>0</v>
      </c>
      <c r="J2324" s="42" t="n">
        <f aca="false">IF($M2324="贷",$O2324,0)</f>
        <v>0</v>
      </c>
      <c r="K2324" s="48" t="str">
        <f aca="false">IF($H2324="","",购销流水!$E585)</f>
        <v/>
      </c>
      <c r="L2324" s="66" t="str">
        <f aca="false">IF(购销流水!$D585="","",IFERROR(INDEX(记账规则!$A$6:$N$9,MATCH(购销流水!$D585,记账规则!$A$6:$A$9,0),9),""))</f>
        <v/>
      </c>
      <c r="M2324" s="66" t="str">
        <f aca="false">IF($L2324="","",IFERROR(INDEX(记账规则!$A$6:$N$9,MATCH(购销流水!$D585,记账规则!$A$6:$A$9,0),10),""))</f>
        <v/>
      </c>
      <c r="N2324" s="66" t="str">
        <f aca="false">IF($L2324="","",IFERROR(INDEX(记账规则!$A$6:$N$9,MATCH(购销流水!$D585,记账规则!$A$6:$A$9,0),11),""))</f>
        <v/>
      </c>
      <c r="O2324" s="67" t="n">
        <f aca="false">IF($H2324="",0,ROUND(IF($N2324="成本金额",N(购销流水!$W585),IF($N2324="金额",N(购销流水!$Q585),0)),2))</f>
        <v>0</v>
      </c>
      <c r="P2324" s="64" t="str">
        <f aca="false">IF(AND($H2324&lt;&gt;"",ROUND($O2324,2)&lt;&gt;0),"有","")</f>
        <v/>
      </c>
    </row>
    <row r="2325" customFormat="false" ht="15" hidden="true" customHeight="false" outlineLevel="0" collapsed="false">
      <c r="A2325" s="53" t="str">
        <f aca="false">IF($H2325="","",ROW()-5)</f>
        <v/>
      </c>
      <c r="B2325" s="64" t="s">
        <v>36</v>
      </c>
      <c r="C2325" s="53" t="n">
        <v>585</v>
      </c>
      <c r="D2325" s="53" t="n">
        <v>4</v>
      </c>
      <c r="E2325" s="65" t="str">
        <f aca="false">IF($H2325="","",购销流水!$B585)</f>
        <v/>
      </c>
      <c r="F2325" s="55" t="str">
        <f aca="false">IF($H2325="","",购销流水!$C585)</f>
        <v/>
      </c>
      <c r="G2325" s="48" t="str">
        <f aca="false">IF($H2325="","",购销流水!$N585)</f>
        <v/>
      </c>
      <c r="H2325" s="10" t="str">
        <f aca="false">IF($L2325="","",IF($L2325="@成本",购销流水!$U585,IF($L2325="@收入",购销流水!$T585,IF($L2325="@存货",购销流水!$S585,IF($L2325="@结算",购销流水!$R585,$L2325)))))</f>
        <v/>
      </c>
      <c r="I2325" s="42" t="n">
        <f aca="false">IF($M2325="借",$O2325,0)</f>
        <v>0</v>
      </c>
      <c r="J2325" s="42" t="n">
        <f aca="false">IF($M2325="贷",$O2325,0)</f>
        <v>0</v>
      </c>
      <c r="K2325" s="48" t="str">
        <f aca="false">IF($H2325="","",购销流水!$E585)</f>
        <v/>
      </c>
      <c r="L2325" s="66" t="str">
        <f aca="false">IF(购销流水!$D585="","",IFERROR(INDEX(记账规则!$A$6:$N$9,MATCH(购销流水!$D585,记账规则!$A$6:$A$9,0),12),""))</f>
        <v/>
      </c>
      <c r="M2325" s="66" t="str">
        <f aca="false">IF($L2325="","",IFERROR(INDEX(记账规则!$A$6:$N$9,MATCH(购销流水!$D585,记账规则!$A$6:$A$9,0),13),""))</f>
        <v/>
      </c>
      <c r="N2325" s="66" t="str">
        <f aca="false">IF($L2325="","",IFERROR(INDEX(记账规则!$A$6:$N$9,MATCH(购销流水!$D585,记账规则!$A$6:$A$9,0),14),""))</f>
        <v/>
      </c>
      <c r="O2325" s="67" t="n">
        <f aca="false">IF($H2325="",0,ROUND(IF($N2325="成本金额",N(购销流水!$W585),IF($N2325="金额",N(购销流水!$Q585),0)),2))</f>
        <v>0</v>
      </c>
      <c r="P2325" s="64" t="str">
        <f aca="false">IF(AND($H2325&lt;&gt;"",ROUND($O2325,2)&lt;&gt;0),"有","")</f>
        <v/>
      </c>
    </row>
    <row r="2326" customFormat="false" ht="15" hidden="true" customHeight="false" outlineLevel="0" collapsed="false">
      <c r="A2326" s="53" t="str">
        <f aca="false">IF($H2326="","",ROW()-5)</f>
        <v/>
      </c>
      <c r="B2326" s="64" t="s">
        <v>36</v>
      </c>
      <c r="C2326" s="53" t="n">
        <v>586</v>
      </c>
      <c r="D2326" s="53" t="n">
        <v>1</v>
      </c>
      <c r="E2326" s="65" t="str">
        <f aca="false">IF($H2326="","",购销流水!$B586)</f>
        <v/>
      </c>
      <c r="F2326" s="55" t="str">
        <f aca="false">IF($H2326="","",购销流水!$C586)</f>
        <v/>
      </c>
      <c r="G2326" s="48" t="str">
        <f aca="false">IF($H2326="","",购销流水!$N586)</f>
        <v/>
      </c>
      <c r="H2326" s="10" t="str">
        <f aca="false">IF($L2326="","",IF($L2326="@成本",购销流水!$U586,IF($L2326="@收入",购销流水!$T586,IF($L2326="@存货",购销流水!$S586,IF($L2326="@结算",购销流水!$R586,$L2326)))))</f>
        <v/>
      </c>
      <c r="I2326" s="42" t="n">
        <f aca="false">IF($M2326="借",$O2326,0)</f>
        <v>0</v>
      </c>
      <c r="J2326" s="42" t="n">
        <f aca="false">IF($M2326="贷",$O2326,0)</f>
        <v>0</v>
      </c>
      <c r="K2326" s="48" t="str">
        <f aca="false">IF($H2326="","",购销流水!$E586)</f>
        <v/>
      </c>
      <c r="L2326" s="66" t="str">
        <f aca="false">IF(购销流水!$D586="","",IFERROR(INDEX(记账规则!$A$6:$N$9,MATCH(购销流水!$D586,记账规则!$A$6:$A$9,0),3),""))</f>
        <v/>
      </c>
      <c r="M2326" s="66" t="str">
        <f aca="false">IF($L2326="","",IFERROR(INDEX(记账规则!$A$6:$N$9,MATCH(购销流水!$D586,记账规则!$A$6:$A$9,0),4),""))</f>
        <v/>
      </c>
      <c r="N2326" s="66" t="str">
        <f aca="false">IF($L2326="","",IFERROR(INDEX(记账规则!$A$6:$N$9,MATCH(购销流水!$D586,记账规则!$A$6:$A$9,0),5),""))</f>
        <v/>
      </c>
      <c r="O2326" s="67" t="n">
        <f aca="false">IF($H2326="",0,ROUND(IF($N2326="成本金额",N(购销流水!$W586),IF($N2326="金额",N(购销流水!$Q586),0)),2))</f>
        <v>0</v>
      </c>
      <c r="P2326" s="64" t="str">
        <f aca="false">IF(AND($H2326&lt;&gt;"",ROUND($O2326,2)&lt;&gt;0),"有","")</f>
        <v/>
      </c>
    </row>
    <row r="2327" customFormat="false" ht="15" hidden="true" customHeight="false" outlineLevel="0" collapsed="false">
      <c r="A2327" s="53" t="str">
        <f aca="false">IF($H2327="","",ROW()-5)</f>
        <v/>
      </c>
      <c r="B2327" s="64" t="s">
        <v>36</v>
      </c>
      <c r="C2327" s="53" t="n">
        <v>586</v>
      </c>
      <c r="D2327" s="53" t="n">
        <v>2</v>
      </c>
      <c r="E2327" s="65" t="str">
        <f aca="false">IF($H2327="","",购销流水!$B586)</f>
        <v/>
      </c>
      <c r="F2327" s="55" t="str">
        <f aca="false">IF($H2327="","",购销流水!$C586)</f>
        <v/>
      </c>
      <c r="G2327" s="48" t="str">
        <f aca="false">IF($H2327="","",购销流水!$N586)</f>
        <v/>
      </c>
      <c r="H2327" s="10" t="str">
        <f aca="false">IF($L2327="","",IF($L2327="@成本",购销流水!$U586,IF($L2327="@收入",购销流水!$T586,IF($L2327="@存货",购销流水!$S586,IF($L2327="@结算",购销流水!$R586,$L2327)))))</f>
        <v/>
      </c>
      <c r="I2327" s="42" t="n">
        <f aca="false">IF($M2327="借",$O2327,0)</f>
        <v>0</v>
      </c>
      <c r="J2327" s="42" t="n">
        <f aca="false">IF($M2327="贷",$O2327,0)</f>
        <v>0</v>
      </c>
      <c r="K2327" s="48" t="str">
        <f aca="false">IF($H2327="","",购销流水!$E586)</f>
        <v/>
      </c>
      <c r="L2327" s="66" t="str">
        <f aca="false">IF(购销流水!$D586="","",IFERROR(INDEX(记账规则!$A$6:$N$9,MATCH(购销流水!$D586,记账规则!$A$6:$A$9,0),6),""))</f>
        <v/>
      </c>
      <c r="M2327" s="66" t="str">
        <f aca="false">IF($L2327="","",IFERROR(INDEX(记账规则!$A$6:$N$9,MATCH(购销流水!$D586,记账规则!$A$6:$A$9,0),7),""))</f>
        <v/>
      </c>
      <c r="N2327" s="66" t="str">
        <f aca="false">IF($L2327="","",IFERROR(INDEX(记账规则!$A$6:$N$9,MATCH(购销流水!$D586,记账规则!$A$6:$A$9,0),8),""))</f>
        <v/>
      </c>
      <c r="O2327" s="67" t="n">
        <f aca="false">IF($H2327="",0,ROUND(IF($N2327="成本金额",N(购销流水!$W586),IF($N2327="金额",N(购销流水!$Q586),0)),2))</f>
        <v>0</v>
      </c>
      <c r="P2327" s="64" t="str">
        <f aca="false">IF(AND($H2327&lt;&gt;"",ROUND($O2327,2)&lt;&gt;0),"有","")</f>
        <v/>
      </c>
    </row>
    <row r="2328" customFormat="false" ht="15" hidden="true" customHeight="false" outlineLevel="0" collapsed="false">
      <c r="A2328" s="53" t="str">
        <f aca="false">IF($H2328="","",ROW()-5)</f>
        <v/>
      </c>
      <c r="B2328" s="64" t="s">
        <v>36</v>
      </c>
      <c r="C2328" s="53" t="n">
        <v>586</v>
      </c>
      <c r="D2328" s="53" t="n">
        <v>3</v>
      </c>
      <c r="E2328" s="65" t="str">
        <f aca="false">IF($H2328="","",购销流水!$B586)</f>
        <v/>
      </c>
      <c r="F2328" s="55" t="str">
        <f aca="false">IF($H2328="","",购销流水!$C586)</f>
        <v/>
      </c>
      <c r="G2328" s="48" t="str">
        <f aca="false">IF($H2328="","",购销流水!$N586)</f>
        <v/>
      </c>
      <c r="H2328" s="10" t="str">
        <f aca="false">IF($L2328="","",IF($L2328="@成本",购销流水!$U586,IF($L2328="@收入",购销流水!$T586,IF($L2328="@存货",购销流水!$S586,IF($L2328="@结算",购销流水!$R586,$L2328)))))</f>
        <v/>
      </c>
      <c r="I2328" s="42" t="n">
        <f aca="false">IF($M2328="借",$O2328,0)</f>
        <v>0</v>
      </c>
      <c r="J2328" s="42" t="n">
        <f aca="false">IF($M2328="贷",$O2328,0)</f>
        <v>0</v>
      </c>
      <c r="K2328" s="48" t="str">
        <f aca="false">IF($H2328="","",购销流水!$E586)</f>
        <v/>
      </c>
      <c r="L2328" s="66" t="str">
        <f aca="false">IF(购销流水!$D586="","",IFERROR(INDEX(记账规则!$A$6:$N$9,MATCH(购销流水!$D586,记账规则!$A$6:$A$9,0),9),""))</f>
        <v/>
      </c>
      <c r="M2328" s="66" t="str">
        <f aca="false">IF($L2328="","",IFERROR(INDEX(记账规则!$A$6:$N$9,MATCH(购销流水!$D586,记账规则!$A$6:$A$9,0),10),""))</f>
        <v/>
      </c>
      <c r="N2328" s="66" t="str">
        <f aca="false">IF($L2328="","",IFERROR(INDEX(记账规则!$A$6:$N$9,MATCH(购销流水!$D586,记账规则!$A$6:$A$9,0),11),""))</f>
        <v/>
      </c>
      <c r="O2328" s="67" t="n">
        <f aca="false">IF($H2328="",0,ROUND(IF($N2328="成本金额",N(购销流水!$W586),IF($N2328="金额",N(购销流水!$Q586),0)),2))</f>
        <v>0</v>
      </c>
      <c r="P2328" s="64" t="str">
        <f aca="false">IF(AND($H2328&lt;&gt;"",ROUND($O2328,2)&lt;&gt;0),"有","")</f>
        <v/>
      </c>
    </row>
    <row r="2329" customFormat="false" ht="15" hidden="true" customHeight="false" outlineLevel="0" collapsed="false">
      <c r="A2329" s="53" t="str">
        <f aca="false">IF($H2329="","",ROW()-5)</f>
        <v/>
      </c>
      <c r="B2329" s="64" t="s">
        <v>36</v>
      </c>
      <c r="C2329" s="53" t="n">
        <v>586</v>
      </c>
      <c r="D2329" s="53" t="n">
        <v>4</v>
      </c>
      <c r="E2329" s="65" t="str">
        <f aca="false">IF($H2329="","",购销流水!$B586)</f>
        <v/>
      </c>
      <c r="F2329" s="55" t="str">
        <f aca="false">IF($H2329="","",购销流水!$C586)</f>
        <v/>
      </c>
      <c r="G2329" s="48" t="str">
        <f aca="false">IF($H2329="","",购销流水!$N586)</f>
        <v/>
      </c>
      <c r="H2329" s="10" t="str">
        <f aca="false">IF($L2329="","",IF($L2329="@成本",购销流水!$U586,IF($L2329="@收入",购销流水!$T586,IF($L2329="@存货",购销流水!$S586,IF($L2329="@结算",购销流水!$R586,$L2329)))))</f>
        <v/>
      </c>
      <c r="I2329" s="42" t="n">
        <f aca="false">IF($M2329="借",$O2329,0)</f>
        <v>0</v>
      </c>
      <c r="J2329" s="42" t="n">
        <f aca="false">IF($M2329="贷",$O2329,0)</f>
        <v>0</v>
      </c>
      <c r="K2329" s="48" t="str">
        <f aca="false">IF($H2329="","",购销流水!$E586)</f>
        <v/>
      </c>
      <c r="L2329" s="66" t="str">
        <f aca="false">IF(购销流水!$D586="","",IFERROR(INDEX(记账规则!$A$6:$N$9,MATCH(购销流水!$D586,记账规则!$A$6:$A$9,0),12),""))</f>
        <v/>
      </c>
      <c r="M2329" s="66" t="str">
        <f aca="false">IF($L2329="","",IFERROR(INDEX(记账规则!$A$6:$N$9,MATCH(购销流水!$D586,记账规则!$A$6:$A$9,0),13),""))</f>
        <v/>
      </c>
      <c r="N2329" s="66" t="str">
        <f aca="false">IF($L2329="","",IFERROR(INDEX(记账规则!$A$6:$N$9,MATCH(购销流水!$D586,记账规则!$A$6:$A$9,0),14),""))</f>
        <v/>
      </c>
      <c r="O2329" s="67" t="n">
        <f aca="false">IF($H2329="",0,ROUND(IF($N2329="成本金额",N(购销流水!$W586),IF($N2329="金额",N(购销流水!$Q586),0)),2))</f>
        <v>0</v>
      </c>
      <c r="P2329" s="64" t="str">
        <f aca="false">IF(AND($H2329&lt;&gt;"",ROUND($O2329,2)&lt;&gt;0),"有","")</f>
        <v/>
      </c>
    </row>
    <row r="2330" customFormat="false" ht="15" hidden="true" customHeight="false" outlineLevel="0" collapsed="false">
      <c r="A2330" s="53" t="str">
        <f aca="false">IF($H2330="","",ROW()-5)</f>
        <v/>
      </c>
      <c r="B2330" s="64" t="s">
        <v>36</v>
      </c>
      <c r="C2330" s="53" t="n">
        <v>587</v>
      </c>
      <c r="D2330" s="53" t="n">
        <v>1</v>
      </c>
      <c r="E2330" s="65" t="str">
        <f aca="false">IF($H2330="","",购销流水!$B587)</f>
        <v/>
      </c>
      <c r="F2330" s="55" t="str">
        <f aca="false">IF($H2330="","",购销流水!$C587)</f>
        <v/>
      </c>
      <c r="G2330" s="48" t="str">
        <f aca="false">IF($H2330="","",购销流水!$N587)</f>
        <v/>
      </c>
      <c r="H2330" s="10" t="str">
        <f aca="false">IF($L2330="","",IF($L2330="@成本",购销流水!$U587,IF($L2330="@收入",购销流水!$T587,IF($L2330="@存货",购销流水!$S587,IF($L2330="@结算",购销流水!$R587,$L2330)))))</f>
        <v/>
      </c>
      <c r="I2330" s="42" t="n">
        <f aca="false">IF($M2330="借",$O2330,0)</f>
        <v>0</v>
      </c>
      <c r="J2330" s="42" t="n">
        <f aca="false">IF($M2330="贷",$O2330,0)</f>
        <v>0</v>
      </c>
      <c r="K2330" s="48" t="str">
        <f aca="false">IF($H2330="","",购销流水!$E587)</f>
        <v/>
      </c>
      <c r="L2330" s="66" t="str">
        <f aca="false">IF(购销流水!$D587="","",IFERROR(INDEX(记账规则!$A$6:$N$9,MATCH(购销流水!$D587,记账规则!$A$6:$A$9,0),3),""))</f>
        <v/>
      </c>
      <c r="M2330" s="66" t="str">
        <f aca="false">IF($L2330="","",IFERROR(INDEX(记账规则!$A$6:$N$9,MATCH(购销流水!$D587,记账规则!$A$6:$A$9,0),4),""))</f>
        <v/>
      </c>
      <c r="N2330" s="66" t="str">
        <f aca="false">IF($L2330="","",IFERROR(INDEX(记账规则!$A$6:$N$9,MATCH(购销流水!$D587,记账规则!$A$6:$A$9,0),5),""))</f>
        <v/>
      </c>
      <c r="O2330" s="67" t="n">
        <f aca="false">IF($H2330="",0,ROUND(IF($N2330="成本金额",N(购销流水!$W587),IF($N2330="金额",N(购销流水!$Q587),0)),2))</f>
        <v>0</v>
      </c>
      <c r="P2330" s="64" t="str">
        <f aca="false">IF(AND($H2330&lt;&gt;"",ROUND($O2330,2)&lt;&gt;0),"有","")</f>
        <v/>
      </c>
    </row>
    <row r="2331" customFormat="false" ht="15" hidden="true" customHeight="false" outlineLevel="0" collapsed="false">
      <c r="A2331" s="53" t="str">
        <f aca="false">IF($H2331="","",ROW()-5)</f>
        <v/>
      </c>
      <c r="B2331" s="64" t="s">
        <v>36</v>
      </c>
      <c r="C2331" s="53" t="n">
        <v>587</v>
      </c>
      <c r="D2331" s="53" t="n">
        <v>2</v>
      </c>
      <c r="E2331" s="65" t="str">
        <f aca="false">IF($H2331="","",购销流水!$B587)</f>
        <v/>
      </c>
      <c r="F2331" s="55" t="str">
        <f aca="false">IF($H2331="","",购销流水!$C587)</f>
        <v/>
      </c>
      <c r="G2331" s="48" t="str">
        <f aca="false">IF($H2331="","",购销流水!$N587)</f>
        <v/>
      </c>
      <c r="H2331" s="10" t="str">
        <f aca="false">IF($L2331="","",IF($L2331="@成本",购销流水!$U587,IF($L2331="@收入",购销流水!$T587,IF($L2331="@存货",购销流水!$S587,IF($L2331="@结算",购销流水!$R587,$L2331)))))</f>
        <v/>
      </c>
      <c r="I2331" s="42" t="n">
        <f aca="false">IF($M2331="借",$O2331,0)</f>
        <v>0</v>
      </c>
      <c r="J2331" s="42" t="n">
        <f aca="false">IF($M2331="贷",$O2331,0)</f>
        <v>0</v>
      </c>
      <c r="K2331" s="48" t="str">
        <f aca="false">IF($H2331="","",购销流水!$E587)</f>
        <v/>
      </c>
      <c r="L2331" s="66" t="str">
        <f aca="false">IF(购销流水!$D587="","",IFERROR(INDEX(记账规则!$A$6:$N$9,MATCH(购销流水!$D587,记账规则!$A$6:$A$9,0),6),""))</f>
        <v/>
      </c>
      <c r="M2331" s="66" t="str">
        <f aca="false">IF($L2331="","",IFERROR(INDEX(记账规则!$A$6:$N$9,MATCH(购销流水!$D587,记账规则!$A$6:$A$9,0),7),""))</f>
        <v/>
      </c>
      <c r="N2331" s="66" t="str">
        <f aca="false">IF($L2331="","",IFERROR(INDEX(记账规则!$A$6:$N$9,MATCH(购销流水!$D587,记账规则!$A$6:$A$9,0),8),""))</f>
        <v/>
      </c>
      <c r="O2331" s="67" t="n">
        <f aca="false">IF($H2331="",0,ROUND(IF($N2331="成本金额",N(购销流水!$W587),IF($N2331="金额",N(购销流水!$Q587),0)),2))</f>
        <v>0</v>
      </c>
      <c r="P2331" s="64" t="str">
        <f aca="false">IF(AND($H2331&lt;&gt;"",ROUND($O2331,2)&lt;&gt;0),"有","")</f>
        <v/>
      </c>
    </row>
    <row r="2332" customFormat="false" ht="15" hidden="true" customHeight="false" outlineLevel="0" collapsed="false">
      <c r="A2332" s="53" t="str">
        <f aca="false">IF($H2332="","",ROW()-5)</f>
        <v/>
      </c>
      <c r="B2332" s="64" t="s">
        <v>36</v>
      </c>
      <c r="C2332" s="53" t="n">
        <v>587</v>
      </c>
      <c r="D2332" s="53" t="n">
        <v>3</v>
      </c>
      <c r="E2332" s="65" t="str">
        <f aca="false">IF($H2332="","",购销流水!$B587)</f>
        <v/>
      </c>
      <c r="F2332" s="55" t="str">
        <f aca="false">IF($H2332="","",购销流水!$C587)</f>
        <v/>
      </c>
      <c r="G2332" s="48" t="str">
        <f aca="false">IF($H2332="","",购销流水!$N587)</f>
        <v/>
      </c>
      <c r="H2332" s="10" t="str">
        <f aca="false">IF($L2332="","",IF($L2332="@成本",购销流水!$U587,IF($L2332="@收入",购销流水!$T587,IF($L2332="@存货",购销流水!$S587,IF($L2332="@结算",购销流水!$R587,$L2332)))))</f>
        <v/>
      </c>
      <c r="I2332" s="42" t="n">
        <f aca="false">IF($M2332="借",$O2332,0)</f>
        <v>0</v>
      </c>
      <c r="J2332" s="42" t="n">
        <f aca="false">IF($M2332="贷",$O2332,0)</f>
        <v>0</v>
      </c>
      <c r="K2332" s="48" t="str">
        <f aca="false">IF($H2332="","",购销流水!$E587)</f>
        <v/>
      </c>
      <c r="L2332" s="66" t="str">
        <f aca="false">IF(购销流水!$D587="","",IFERROR(INDEX(记账规则!$A$6:$N$9,MATCH(购销流水!$D587,记账规则!$A$6:$A$9,0),9),""))</f>
        <v/>
      </c>
      <c r="M2332" s="66" t="str">
        <f aca="false">IF($L2332="","",IFERROR(INDEX(记账规则!$A$6:$N$9,MATCH(购销流水!$D587,记账规则!$A$6:$A$9,0),10),""))</f>
        <v/>
      </c>
      <c r="N2332" s="66" t="str">
        <f aca="false">IF($L2332="","",IFERROR(INDEX(记账规则!$A$6:$N$9,MATCH(购销流水!$D587,记账规则!$A$6:$A$9,0),11),""))</f>
        <v/>
      </c>
      <c r="O2332" s="67" t="n">
        <f aca="false">IF($H2332="",0,ROUND(IF($N2332="成本金额",N(购销流水!$W587),IF($N2332="金额",N(购销流水!$Q587),0)),2))</f>
        <v>0</v>
      </c>
      <c r="P2332" s="64" t="str">
        <f aca="false">IF(AND($H2332&lt;&gt;"",ROUND($O2332,2)&lt;&gt;0),"有","")</f>
        <v/>
      </c>
    </row>
    <row r="2333" customFormat="false" ht="15" hidden="true" customHeight="false" outlineLevel="0" collapsed="false">
      <c r="A2333" s="53" t="str">
        <f aca="false">IF($H2333="","",ROW()-5)</f>
        <v/>
      </c>
      <c r="B2333" s="64" t="s">
        <v>36</v>
      </c>
      <c r="C2333" s="53" t="n">
        <v>587</v>
      </c>
      <c r="D2333" s="53" t="n">
        <v>4</v>
      </c>
      <c r="E2333" s="65" t="str">
        <f aca="false">IF($H2333="","",购销流水!$B587)</f>
        <v/>
      </c>
      <c r="F2333" s="55" t="str">
        <f aca="false">IF($H2333="","",购销流水!$C587)</f>
        <v/>
      </c>
      <c r="G2333" s="48" t="str">
        <f aca="false">IF($H2333="","",购销流水!$N587)</f>
        <v/>
      </c>
      <c r="H2333" s="10" t="str">
        <f aca="false">IF($L2333="","",IF($L2333="@成本",购销流水!$U587,IF($L2333="@收入",购销流水!$T587,IF($L2333="@存货",购销流水!$S587,IF($L2333="@结算",购销流水!$R587,$L2333)))))</f>
        <v/>
      </c>
      <c r="I2333" s="42" t="n">
        <f aca="false">IF($M2333="借",$O2333,0)</f>
        <v>0</v>
      </c>
      <c r="J2333" s="42" t="n">
        <f aca="false">IF($M2333="贷",$O2333,0)</f>
        <v>0</v>
      </c>
      <c r="K2333" s="48" t="str">
        <f aca="false">IF($H2333="","",购销流水!$E587)</f>
        <v/>
      </c>
      <c r="L2333" s="66" t="str">
        <f aca="false">IF(购销流水!$D587="","",IFERROR(INDEX(记账规则!$A$6:$N$9,MATCH(购销流水!$D587,记账规则!$A$6:$A$9,0),12),""))</f>
        <v/>
      </c>
      <c r="M2333" s="66" t="str">
        <f aca="false">IF($L2333="","",IFERROR(INDEX(记账规则!$A$6:$N$9,MATCH(购销流水!$D587,记账规则!$A$6:$A$9,0),13),""))</f>
        <v/>
      </c>
      <c r="N2333" s="66" t="str">
        <f aca="false">IF($L2333="","",IFERROR(INDEX(记账规则!$A$6:$N$9,MATCH(购销流水!$D587,记账规则!$A$6:$A$9,0),14),""))</f>
        <v/>
      </c>
      <c r="O2333" s="67" t="n">
        <f aca="false">IF($H2333="",0,ROUND(IF($N2333="成本金额",N(购销流水!$W587),IF($N2333="金额",N(购销流水!$Q587),0)),2))</f>
        <v>0</v>
      </c>
      <c r="P2333" s="64" t="str">
        <f aca="false">IF(AND($H2333&lt;&gt;"",ROUND($O2333,2)&lt;&gt;0),"有","")</f>
        <v/>
      </c>
    </row>
    <row r="2334" customFormat="false" ht="15" hidden="true" customHeight="false" outlineLevel="0" collapsed="false">
      <c r="A2334" s="53" t="str">
        <f aca="false">IF($H2334="","",ROW()-5)</f>
        <v/>
      </c>
      <c r="B2334" s="64" t="s">
        <v>36</v>
      </c>
      <c r="C2334" s="53" t="n">
        <v>588</v>
      </c>
      <c r="D2334" s="53" t="n">
        <v>1</v>
      </c>
      <c r="E2334" s="65" t="str">
        <f aca="false">IF($H2334="","",购销流水!$B588)</f>
        <v/>
      </c>
      <c r="F2334" s="55" t="str">
        <f aca="false">IF($H2334="","",购销流水!$C588)</f>
        <v/>
      </c>
      <c r="G2334" s="48" t="str">
        <f aca="false">IF($H2334="","",购销流水!$N588)</f>
        <v/>
      </c>
      <c r="H2334" s="10" t="str">
        <f aca="false">IF($L2334="","",IF($L2334="@成本",购销流水!$U588,IF($L2334="@收入",购销流水!$T588,IF($L2334="@存货",购销流水!$S588,IF($L2334="@结算",购销流水!$R588,$L2334)))))</f>
        <v/>
      </c>
      <c r="I2334" s="42" t="n">
        <f aca="false">IF($M2334="借",$O2334,0)</f>
        <v>0</v>
      </c>
      <c r="J2334" s="42" t="n">
        <f aca="false">IF($M2334="贷",$O2334,0)</f>
        <v>0</v>
      </c>
      <c r="K2334" s="48" t="str">
        <f aca="false">IF($H2334="","",购销流水!$E588)</f>
        <v/>
      </c>
      <c r="L2334" s="66" t="str">
        <f aca="false">IF(购销流水!$D588="","",IFERROR(INDEX(记账规则!$A$6:$N$9,MATCH(购销流水!$D588,记账规则!$A$6:$A$9,0),3),""))</f>
        <v/>
      </c>
      <c r="M2334" s="66" t="str">
        <f aca="false">IF($L2334="","",IFERROR(INDEX(记账规则!$A$6:$N$9,MATCH(购销流水!$D588,记账规则!$A$6:$A$9,0),4),""))</f>
        <v/>
      </c>
      <c r="N2334" s="66" t="str">
        <f aca="false">IF($L2334="","",IFERROR(INDEX(记账规则!$A$6:$N$9,MATCH(购销流水!$D588,记账规则!$A$6:$A$9,0),5),""))</f>
        <v/>
      </c>
      <c r="O2334" s="67" t="n">
        <f aca="false">IF($H2334="",0,ROUND(IF($N2334="成本金额",N(购销流水!$W588),IF($N2334="金额",N(购销流水!$Q588),0)),2))</f>
        <v>0</v>
      </c>
      <c r="P2334" s="64" t="str">
        <f aca="false">IF(AND($H2334&lt;&gt;"",ROUND($O2334,2)&lt;&gt;0),"有","")</f>
        <v/>
      </c>
    </row>
    <row r="2335" customFormat="false" ht="15" hidden="true" customHeight="false" outlineLevel="0" collapsed="false">
      <c r="A2335" s="53" t="str">
        <f aca="false">IF($H2335="","",ROW()-5)</f>
        <v/>
      </c>
      <c r="B2335" s="64" t="s">
        <v>36</v>
      </c>
      <c r="C2335" s="53" t="n">
        <v>588</v>
      </c>
      <c r="D2335" s="53" t="n">
        <v>2</v>
      </c>
      <c r="E2335" s="65" t="str">
        <f aca="false">IF($H2335="","",购销流水!$B588)</f>
        <v/>
      </c>
      <c r="F2335" s="55" t="str">
        <f aca="false">IF($H2335="","",购销流水!$C588)</f>
        <v/>
      </c>
      <c r="G2335" s="48" t="str">
        <f aca="false">IF($H2335="","",购销流水!$N588)</f>
        <v/>
      </c>
      <c r="H2335" s="10" t="str">
        <f aca="false">IF($L2335="","",IF($L2335="@成本",购销流水!$U588,IF($L2335="@收入",购销流水!$T588,IF($L2335="@存货",购销流水!$S588,IF($L2335="@结算",购销流水!$R588,$L2335)))))</f>
        <v/>
      </c>
      <c r="I2335" s="42" t="n">
        <f aca="false">IF($M2335="借",$O2335,0)</f>
        <v>0</v>
      </c>
      <c r="J2335" s="42" t="n">
        <f aca="false">IF($M2335="贷",$O2335,0)</f>
        <v>0</v>
      </c>
      <c r="K2335" s="48" t="str">
        <f aca="false">IF($H2335="","",购销流水!$E588)</f>
        <v/>
      </c>
      <c r="L2335" s="66" t="str">
        <f aca="false">IF(购销流水!$D588="","",IFERROR(INDEX(记账规则!$A$6:$N$9,MATCH(购销流水!$D588,记账规则!$A$6:$A$9,0),6),""))</f>
        <v/>
      </c>
      <c r="M2335" s="66" t="str">
        <f aca="false">IF($L2335="","",IFERROR(INDEX(记账规则!$A$6:$N$9,MATCH(购销流水!$D588,记账规则!$A$6:$A$9,0),7),""))</f>
        <v/>
      </c>
      <c r="N2335" s="66" t="str">
        <f aca="false">IF($L2335="","",IFERROR(INDEX(记账规则!$A$6:$N$9,MATCH(购销流水!$D588,记账规则!$A$6:$A$9,0),8),""))</f>
        <v/>
      </c>
      <c r="O2335" s="67" t="n">
        <f aca="false">IF($H2335="",0,ROUND(IF($N2335="成本金额",N(购销流水!$W588),IF($N2335="金额",N(购销流水!$Q588),0)),2))</f>
        <v>0</v>
      </c>
      <c r="P2335" s="64" t="str">
        <f aca="false">IF(AND($H2335&lt;&gt;"",ROUND($O2335,2)&lt;&gt;0),"有","")</f>
        <v/>
      </c>
    </row>
    <row r="2336" customFormat="false" ht="15" hidden="true" customHeight="false" outlineLevel="0" collapsed="false">
      <c r="A2336" s="53" t="str">
        <f aca="false">IF($H2336="","",ROW()-5)</f>
        <v/>
      </c>
      <c r="B2336" s="64" t="s">
        <v>36</v>
      </c>
      <c r="C2336" s="53" t="n">
        <v>588</v>
      </c>
      <c r="D2336" s="53" t="n">
        <v>3</v>
      </c>
      <c r="E2336" s="65" t="str">
        <f aca="false">IF($H2336="","",购销流水!$B588)</f>
        <v/>
      </c>
      <c r="F2336" s="55" t="str">
        <f aca="false">IF($H2336="","",购销流水!$C588)</f>
        <v/>
      </c>
      <c r="G2336" s="48" t="str">
        <f aca="false">IF($H2336="","",购销流水!$N588)</f>
        <v/>
      </c>
      <c r="H2336" s="10" t="str">
        <f aca="false">IF($L2336="","",IF($L2336="@成本",购销流水!$U588,IF($L2336="@收入",购销流水!$T588,IF($L2336="@存货",购销流水!$S588,IF($L2336="@结算",购销流水!$R588,$L2336)))))</f>
        <v/>
      </c>
      <c r="I2336" s="42" t="n">
        <f aca="false">IF($M2336="借",$O2336,0)</f>
        <v>0</v>
      </c>
      <c r="J2336" s="42" t="n">
        <f aca="false">IF($M2336="贷",$O2336,0)</f>
        <v>0</v>
      </c>
      <c r="K2336" s="48" t="str">
        <f aca="false">IF($H2336="","",购销流水!$E588)</f>
        <v/>
      </c>
      <c r="L2336" s="66" t="str">
        <f aca="false">IF(购销流水!$D588="","",IFERROR(INDEX(记账规则!$A$6:$N$9,MATCH(购销流水!$D588,记账规则!$A$6:$A$9,0),9),""))</f>
        <v/>
      </c>
      <c r="M2336" s="66" t="str">
        <f aca="false">IF($L2336="","",IFERROR(INDEX(记账规则!$A$6:$N$9,MATCH(购销流水!$D588,记账规则!$A$6:$A$9,0),10),""))</f>
        <v/>
      </c>
      <c r="N2336" s="66" t="str">
        <f aca="false">IF($L2336="","",IFERROR(INDEX(记账规则!$A$6:$N$9,MATCH(购销流水!$D588,记账规则!$A$6:$A$9,0),11),""))</f>
        <v/>
      </c>
      <c r="O2336" s="67" t="n">
        <f aca="false">IF($H2336="",0,ROUND(IF($N2336="成本金额",N(购销流水!$W588),IF($N2336="金额",N(购销流水!$Q588),0)),2))</f>
        <v>0</v>
      </c>
      <c r="P2336" s="64" t="str">
        <f aca="false">IF(AND($H2336&lt;&gt;"",ROUND($O2336,2)&lt;&gt;0),"有","")</f>
        <v/>
      </c>
    </row>
    <row r="2337" customFormat="false" ht="15" hidden="true" customHeight="false" outlineLevel="0" collapsed="false">
      <c r="A2337" s="53" t="str">
        <f aca="false">IF($H2337="","",ROW()-5)</f>
        <v/>
      </c>
      <c r="B2337" s="64" t="s">
        <v>36</v>
      </c>
      <c r="C2337" s="53" t="n">
        <v>588</v>
      </c>
      <c r="D2337" s="53" t="n">
        <v>4</v>
      </c>
      <c r="E2337" s="65" t="str">
        <f aca="false">IF($H2337="","",购销流水!$B588)</f>
        <v/>
      </c>
      <c r="F2337" s="55" t="str">
        <f aca="false">IF($H2337="","",购销流水!$C588)</f>
        <v/>
      </c>
      <c r="G2337" s="48" t="str">
        <f aca="false">IF($H2337="","",购销流水!$N588)</f>
        <v/>
      </c>
      <c r="H2337" s="10" t="str">
        <f aca="false">IF($L2337="","",IF($L2337="@成本",购销流水!$U588,IF($L2337="@收入",购销流水!$T588,IF($L2337="@存货",购销流水!$S588,IF($L2337="@结算",购销流水!$R588,$L2337)))))</f>
        <v/>
      </c>
      <c r="I2337" s="42" t="n">
        <f aca="false">IF($M2337="借",$O2337,0)</f>
        <v>0</v>
      </c>
      <c r="J2337" s="42" t="n">
        <f aca="false">IF($M2337="贷",$O2337,0)</f>
        <v>0</v>
      </c>
      <c r="K2337" s="48" t="str">
        <f aca="false">IF($H2337="","",购销流水!$E588)</f>
        <v/>
      </c>
      <c r="L2337" s="66" t="str">
        <f aca="false">IF(购销流水!$D588="","",IFERROR(INDEX(记账规则!$A$6:$N$9,MATCH(购销流水!$D588,记账规则!$A$6:$A$9,0),12),""))</f>
        <v/>
      </c>
      <c r="M2337" s="66" t="str">
        <f aca="false">IF($L2337="","",IFERROR(INDEX(记账规则!$A$6:$N$9,MATCH(购销流水!$D588,记账规则!$A$6:$A$9,0),13),""))</f>
        <v/>
      </c>
      <c r="N2337" s="66" t="str">
        <f aca="false">IF($L2337="","",IFERROR(INDEX(记账规则!$A$6:$N$9,MATCH(购销流水!$D588,记账规则!$A$6:$A$9,0),14),""))</f>
        <v/>
      </c>
      <c r="O2337" s="67" t="n">
        <f aca="false">IF($H2337="",0,ROUND(IF($N2337="成本金额",N(购销流水!$W588),IF($N2337="金额",N(购销流水!$Q588),0)),2))</f>
        <v>0</v>
      </c>
      <c r="P2337" s="64" t="str">
        <f aca="false">IF(AND($H2337&lt;&gt;"",ROUND($O2337,2)&lt;&gt;0),"有","")</f>
        <v/>
      </c>
    </row>
    <row r="2338" customFormat="false" ht="15" hidden="true" customHeight="false" outlineLevel="0" collapsed="false">
      <c r="A2338" s="53" t="str">
        <f aca="false">IF($H2338="","",ROW()-5)</f>
        <v/>
      </c>
      <c r="B2338" s="64" t="s">
        <v>36</v>
      </c>
      <c r="C2338" s="53" t="n">
        <v>589</v>
      </c>
      <c r="D2338" s="53" t="n">
        <v>1</v>
      </c>
      <c r="E2338" s="65" t="str">
        <f aca="false">IF($H2338="","",购销流水!$B589)</f>
        <v/>
      </c>
      <c r="F2338" s="55" t="str">
        <f aca="false">IF($H2338="","",购销流水!$C589)</f>
        <v/>
      </c>
      <c r="G2338" s="48" t="str">
        <f aca="false">IF($H2338="","",购销流水!$N589)</f>
        <v/>
      </c>
      <c r="H2338" s="10" t="str">
        <f aca="false">IF($L2338="","",IF($L2338="@成本",购销流水!$U589,IF($L2338="@收入",购销流水!$T589,IF($L2338="@存货",购销流水!$S589,IF($L2338="@结算",购销流水!$R589,$L2338)))))</f>
        <v/>
      </c>
      <c r="I2338" s="42" t="n">
        <f aca="false">IF($M2338="借",$O2338,0)</f>
        <v>0</v>
      </c>
      <c r="J2338" s="42" t="n">
        <f aca="false">IF($M2338="贷",$O2338,0)</f>
        <v>0</v>
      </c>
      <c r="K2338" s="48" t="str">
        <f aca="false">IF($H2338="","",购销流水!$E589)</f>
        <v/>
      </c>
      <c r="L2338" s="66" t="str">
        <f aca="false">IF(购销流水!$D589="","",IFERROR(INDEX(记账规则!$A$6:$N$9,MATCH(购销流水!$D589,记账规则!$A$6:$A$9,0),3),""))</f>
        <v/>
      </c>
      <c r="M2338" s="66" t="str">
        <f aca="false">IF($L2338="","",IFERROR(INDEX(记账规则!$A$6:$N$9,MATCH(购销流水!$D589,记账规则!$A$6:$A$9,0),4),""))</f>
        <v/>
      </c>
      <c r="N2338" s="66" t="str">
        <f aca="false">IF($L2338="","",IFERROR(INDEX(记账规则!$A$6:$N$9,MATCH(购销流水!$D589,记账规则!$A$6:$A$9,0),5),""))</f>
        <v/>
      </c>
      <c r="O2338" s="67" t="n">
        <f aca="false">IF($H2338="",0,ROUND(IF($N2338="成本金额",N(购销流水!$W589),IF($N2338="金额",N(购销流水!$Q589),0)),2))</f>
        <v>0</v>
      </c>
      <c r="P2338" s="64" t="str">
        <f aca="false">IF(AND($H2338&lt;&gt;"",ROUND($O2338,2)&lt;&gt;0),"有","")</f>
        <v/>
      </c>
    </row>
    <row r="2339" customFormat="false" ht="15" hidden="true" customHeight="false" outlineLevel="0" collapsed="false">
      <c r="A2339" s="53" t="str">
        <f aca="false">IF($H2339="","",ROW()-5)</f>
        <v/>
      </c>
      <c r="B2339" s="64" t="s">
        <v>36</v>
      </c>
      <c r="C2339" s="53" t="n">
        <v>589</v>
      </c>
      <c r="D2339" s="53" t="n">
        <v>2</v>
      </c>
      <c r="E2339" s="65" t="str">
        <f aca="false">IF($H2339="","",购销流水!$B589)</f>
        <v/>
      </c>
      <c r="F2339" s="55" t="str">
        <f aca="false">IF($H2339="","",购销流水!$C589)</f>
        <v/>
      </c>
      <c r="G2339" s="48" t="str">
        <f aca="false">IF($H2339="","",购销流水!$N589)</f>
        <v/>
      </c>
      <c r="H2339" s="10" t="str">
        <f aca="false">IF($L2339="","",IF($L2339="@成本",购销流水!$U589,IF($L2339="@收入",购销流水!$T589,IF($L2339="@存货",购销流水!$S589,IF($L2339="@结算",购销流水!$R589,$L2339)))))</f>
        <v/>
      </c>
      <c r="I2339" s="42" t="n">
        <f aca="false">IF($M2339="借",$O2339,0)</f>
        <v>0</v>
      </c>
      <c r="J2339" s="42" t="n">
        <f aca="false">IF($M2339="贷",$O2339,0)</f>
        <v>0</v>
      </c>
      <c r="K2339" s="48" t="str">
        <f aca="false">IF($H2339="","",购销流水!$E589)</f>
        <v/>
      </c>
      <c r="L2339" s="66" t="str">
        <f aca="false">IF(购销流水!$D589="","",IFERROR(INDEX(记账规则!$A$6:$N$9,MATCH(购销流水!$D589,记账规则!$A$6:$A$9,0),6),""))</f>
        <v/>
      </c>
      <c r="M2339" s="66" t="str">
        <f aca="false">IF($L2339="","",IFERROR(INDEX(记账规则!$A$6:$N$9,MATCH(购销流水!$D589,记账规则!$A$6:$A$9,0),7),""))</f>
        <v/>
      </c>
      <c r="N2339" s="66" t="str">
        <f aca="false">IF($L2339="","",IFERROR(INDEX(记账规则!$A$6:$N$9,MATCH(购销流水!$D589,记账规则!$A$6:$A$9,0),8),""))</f>
        <v/>
      </c>
      <c r="O2339" s="67" t="n">
        <f aca="false">IF($H2339="",0,ROUND(IF($N2339="成本金额",N(购销流水!$W589),IF($N2339="金额",N(购销流水!$Q589),0)),2))</f>
        <v>0</v>
      </c>
      <c r="P2339" s="64" t="str">
        <f aca="false">IF(AND($H2339&lt;&gt;"",ROUND($O2339,2)&lt;&gt;0),"有","")</f>
        <v/>
      </c>
    </row>
    <row r="2340" customFormat="false" ht="15" hidden="true" customHeight="false" outlineLevel="0" collapsed="false">
      <c r="A2340" s="53" t="str">
        <f aca="false">IF($H2340="","",ROW()-5)</f>
        <v/>
      </c>
      <c r="B2340" s="64" t="s">
        <v>36</v>
      </c>
      <c r="C2340" s="53" t="n">
        <v>589</v>
      </c>
      <c r="D2340" s="53" t="n">
        <v>3</v>
      </c>
      <c r="E2340" s="65" t="str">
        <f aca="false">IF($H2340="","",购销流水!$B589)</f>
        <v/>
      </c>
      <c r="F2340" s="55" t="str">
        <f aca="false">IF($H2340="","",购销流水!$C589)</f>
        <v/>
      </c>
      <c r="G2340" s="48" t="str">
        <f aca="false">IF($H2340="","",购销流水!$N589)</f>
        <v/>
      </c>
      <c r="H2340" s="10" t="str">
        <f aca="false">IF($L2340="","",IF($L2340="@成本",购销流水!$U589,IF($L2340="@收入",购销流水!$T589,IF($L2340="@存货",购销流水!$S589,IF($L2340="@结算",购销流水!$R589,$L2340)))))</f>
        <v/>
      </c>
      <c r="I2340" s="42" t="n">
        <f aca="false">IF($M2340="借",$O2340,0)</f>
        <v>0</v>
      </c>
      <c r="J2340" s="42" t="n">
        <f aca="false">IF($M2340="贷",$O2340,0)</f>
        <v>0</v>
      </c>
      <c r="K2340" s="48" t="str">
        <f aca="false">IF($H2340="","",购销流水!$E589)</f>
        <v/>
      </c>
      <c r="L2340" s="66" t="str">
        <f aca="false">IF(购销流水!$D589="","",IFERROR(INDEX(记账规则!$A$6:$N$9,MATCH(购销流水!$D589,记账规则!$A$6:$A$9,0),9),""))</f>
        <v/>
      </c>
      <c r="M2340" s="66" t="str">
        <f aca="false">IF($L2340="","",IFERROR(INDEX(记账规则!$A$6:$N$9,MATCH(购销流水!$D589,记账规则!$A$6:$A$9,0),10),""))</f>
        <v/>
      </c>
      <c r="N2340" s="66" t="str">
        <f aca="false">IF($L2340="","",IFERROR(INDEX(记账规则!$A$6:$N$9,MATCH(购销流水!$D589,记账规则!$A$6:$A$9,0),11),""))</f>
        <v/>
      </c>
      <c r="O2340" s="67" t="n">
        <f aca="false">IF($H2340="",0,ROUND(IF($N2340="成本金额",N(购销流水!$W589),IF($N2340="金额",N(购销流水!$Q589),0)),2))</f>
        <v>0</v>
      </c>
      <c r="P2340" s="64" t="str">
        <f aca="false">IF(AND($H2340&lt;&gt;"",ROUND($O2340,2)&lt;&gt;0),"有","")</f>
        <v/>
      </c>
    </row>
    <row r="2341" customFormat="false" ht="15" hidden="true" customHeight="false" outlineLevel="0" collapsed="false">
      <c r="A2341" s="53" t="str">
        <f aca="false">IF($H2341="","",ROW()-5)</f>
        <v/>
      </c>
      <c r="B2341" s="64" t="s">
        <v>36</v>
      </c>
      <c r="C2341" s="53" t="n">
        <v>589</v>
      </c>
      <c r="D2341" s="53" t="n">
        <v>4</v>
      </c>
      <c r="E2341" s="65" t="str">
        <f aca="false">IF($H2341="","",购销流水!$B589)</f>
        <v/>
      </c>
      <c r="F2341" s="55" t="str">
        <f aca="false">IF($H2341="","",购销流水!$C589)</f>
        <v/>
      </c>
      <c r="G2341" s="48" t="str">
        <f aca="false">IF($H2341="","",购销流水!$N589)</f>
        <v/>
      </c>
      <c r="H2341" s="10" t="str">
        <f aca="false">IF($L2341="","",IF($L2341="@成本",购销流水!$U589,IF($L2341="@收入",购销流水!$T589,IF($L2341="@存货",购销流水!$S589,IF($L2341="@结算",购销流水!$R589,$L2341)))))</f>
        <v/>
      </c>
      <c r="I2341" s="42" t="n">
        <f aca="false">IF($M2341="借",$O2341,0)</f>
        <v>0</v>
      </c>
      <c r="J2341" s="42" t="n">
        <f aca="false">IF($M2341="贷",$O2341,0)</f>
        <v>0</v>
      </c>
      <c r="K2341" s="48" t="str">
        <f aca="false">IF($H2341="","",购销流水!$E589)</f>
        <v/>
      </c>
      <c r="L2341" s="66" t="str">
        <f aca="false">IF(购销流水!$D589="","",IFERROR(INDEX(记账规则!$A$6:$N$9,MATCH(购销流水!$D589,记账规则!$A$6:$A$9,0),12),""))</f>
        <v/>
      </c>
      <c r="M2341" s="66" t="str">
        <f aca="false">IF($L2341="","",IFERROR(INDEX(记账规则!$A$6:$N$9,MATCH(购销流水!$D589,记账规则!$A$6:$A$9,0),13),""))</f>
        <v/>
      </c>
      <c r="N2341" s="66" t="str">
        <f aca="false">IF($L2341="","",IFERROR(INDEX(记账规则!$A$6:$N$9,MATCH(购销流水!$D589,记账规则!$A$6:$A$9,0),14),""))</f>
        <v/>
      </c>
      <c r="O2341" s="67" t="n">
        <f aca="false">IF($H2341="",0,ROUND(IF($N2341="成本金额",N(购销流水!$W589),IF($N2341="金额",N(购销流水!$Q589),0)),2))</f>
        <v>0</v>
      </c>
      <c r="P2341" s="64" t="str">
        <f aca="false">IF(AND($H2341&lt;&gt;"",ROUND($O2341,2)&lt;&gt;0),"有","")</f>
        <v/>
      </c>
    </row>
    <row r="2342" customFormat="false" ht="15" hidden="true" customHeight="false" outlineLevel="0" collapsed="false">
      <c r="A2342" s="53" t="str">
        <f aca="false">IF($H2342="","",ROW()-5)</f>
        <v/>
      </c>
      <c r="B2342" s="64" t="s">
        <v>36</v>
      </c>
      <c r="C2342" s="53" t="n">
        <v>590</v>
      </c>
      <c r="D2342" s="53" t="n">
        <v>1</v>
      </c>
      <c r="E2342" s="65" t="str">
        <f aca="false">IF($H2342="","",购销流水!$B590)</f>
        <v/>
      </c>
      <c r="F2342" s="55" t="str">
        <f aca="false">IF($H2342="","",购销流水!$C590)</f>
        <v/>
      </c>
      <c r="G2342" s="48" t="str">
        <f aca="false">IF($H2342="","",购销流水!$N590)</f>
        <v/>
      </c>
      <c r="H2342" s="10" t="str">
        <f aca="false">IF($L2342="","",IF($L2342="@成本",购销流水!$U590,IF($L2342="@收入",购销流水!$T590,IF($L2342="@存货",购销流水!$S590,IF($L2342="@结算",购销流水!$R590,$L2342)))))</f>
        <v/>
      </c>
      <c r="I2342" s="42" t="n">
        <f aca="false">IF($M2342="借",$O2342,0)</f>
        <v>0</v>
      </c>
      <c r="J2342" s="42" t="n">
        <f aca="false">IF($M2342="贷",$O2342,0)</f>
        <v>0</v>
      </c>
      <c r="K2342" s="48" t="str">
        <f aca="false">IF($H2342="","",购销流水!$E590)</f>
        <v/>
      </c>
      <c r="L2342" s="66" t="str">
        <f aca="false">IF(购销流水!$D590="","",IFERROR(INDEX(记账规则!$A$6:$N$9,MATCH(购销流水!$D590,记账规则!$A$6:$A$9,0),3),""))</f>
        <v/>
      </c>
      <c r="M2342" s="66" t="str">
        <f aca="false">IF($L2342="","",IFERROR(INDEX(记账规则!$A$6:$N$9,MATCH(购销流水!$D590,记账规则!$A$6:$A$9,0),4),""))</f>
        <v/>
      </c>
      <c r="N2342" s="66" t="str">
        <f aca="false">IF($L2342="","",IFERROR(INDEX(记账规则!$A$6:$N$9,MATCH(购销流水!$D590,记账规则!$A$6:$A$9,0),5),""))</f>
        <v/>
      </c>
      <c r="O2342" s="67" t="n">
        <f aca="false">IF($H2342="",0,ROUND(IF($N2342="成本金额",N(购销流水!$W590),IF($N2342="金额",N(购销流水!$Q590),0)),2))</f>
        <v>0</v>
      </c>
      <c r="P2342" s="64" t="str">
        <f aca="false">IF(AND($H2342&lt;&gt;"",ROUND($O2342,2)&lt;&gt;0),"有","")</f>
        <v/>
      </c>
    </row>
    <row r="2343" customFormat="false" ht="15" hidden="true" customHeight="false" outlineLevel="0" collapsed="false">
      <c r="A2343" s="53" t="str">
        <f aca="false">IF($H2343="","",ROW()-5)</f>
        <v/>
      </c>
      <c r="B2343" s="64" t="s">
        <v>36</v>
      </c>
      <c r="C2343" s="53" t="n">
        <v>590</v>
      </c>
      <c r="D2343" s="53" t="n">
        <v>2</v>
      </c>
      <c r="E2343" s="65" t="str">
        <f aca="false">IF($H2343="","",购销流水!$B590)</f>
        <v/>
      </c>
      <c r="F2343" s="55" t="str">
        <f aca="false">IF($H2343="","",购销流水!$C590)</f>
        <v/>
      </c>
      <c r="G2343" s="48" t="str">
        <f aca="false">IF($H2343="","",购销流水!$N590)</f>
        <v/>
      </c>
      <c r="H2343" s="10" t="str">
        <f aca="false">IF($L2343="","",IF($L2343="@成本",购销流水!$U590,IF($L2343="@收入",购销流水!$T590,IF($L2343="@存货",购销流水!$S590,IF($L2343="@结算",购销流水!$R590,$L2343)))))</f>
        <v/>
      </c>
      <c r="I2343" s="42" t="n">
        <f aca="false">IF($M2343="借",$O2343,0)</f>
        <v>0</v>
      </c>
      <c r="J2343" s="42" t="n">
        <f aca="false">IF($M2343="贷",$O2343,0)</f>
        <v>0</v>
      </c>
      <c r="K2343" s="48" t="str">
        <f aca="false">IF($H2343="","",购销流水!$E590)</f>
        <v/>
      </c>
      <c r="L2343" s="66" t="str">
        <f aca="false">IF(购销流水!$D590="","",IFERROR(INDEX(记账规则!$A$6:$N$9,MATCH(购销流水!$D590,记账规则!$A$6:$A$9,0),6),""))</f>
        <v/>
      </c>
      <c r="M2343" s="66" t="str">
        <f aca="false">IF($L2343="","",IFERROR(INDEX(记账规则!$A$6:$N$9,MATCH(购销流水!$D590,记账规则!$A$6:$A$9,0),7),""))</f>
        <v/>
      </c>
      <c r="N2343" s="66" t="str">
        <f aca="false">IF($L2343="","",IFERROR(INDEX(记账规则!$A$6:$N$9,MATCH(购销流水!$D590,记账规则!$A$6:$A$9,0),8),""))</f>
        <v/>
      </c>
      <c r="O2343" s="67" t="n">
        <f aca="false">IF($H2343="",0,ROUND(IF($N2343="成本金额",N(购销流水!$W590),IF($N2343="金额",N(购销流水!$Q590),0)),2))</f>
        <v>0</v>
      </c>
      <c r="P2343" s="64" t="str">
        <f aca="false">IF(AND($H2343&lt;&gt;"",ROUND($O2343,2)&lt;&gt;0),"有","")</f>
        <v/>
      </c>
    </row>
    <row r="2344" customFormat="false" ht="15" hidden="true" customHeight="false" outlineLevel="0" collapsed="false">
      <c r="A2344" s="53" t="str">
        <f aca="false">IF($H2344="","",ROW()-5)</f>
        <v/>
      </c>
      <c r="B2344" s="64" t="s">
        <v>36</v>
      </c>
      <c r="C2344" s="53" t="n">
        <v>590</v>
      </c>
      <c r="D2344" s="53" t="n">
        <v>3</v>
      </c>
      <c r="E2344" s="65" t="str">
        <f aca="false">IF($H2344="","",购销流水!$B590)</f>
        <v/>
      </c>
      <c r="F2344" s="55" t="str">
        <f aca="false">IF($H2344="","",购销流水!$C590)</f>
        <v/>
      </c>
      <c r="G2344" s="48" t="str">
        <f aca="false">IF($H2344="","",购销流水!$N590)</f>
        <v/>
      </c>
      <c r="H2344" s="10" t="str">
        <f aca="false">IF($L2344="","",IF($L2344="@成本",购销流水!$U590,IF($L2344="@收入",购销流水!$T590,IF($L2344="@存货",购销流水!$S590,IF($L2344="@结算",购销流水!$R590,$L2344)))))</f>
        <v/>
      </c>
      <c r="I2344" s="42" t="n">
        <f aca="false">IF($M2344="借",$O2344,0)</f>
        <v>0</v>
      </c>
      <c r="J2344" s="42" t="n">
        <f aca="false">IF($M2344="贷",$O2344,0)</f>
        <v>0</v>
      </c>
      <c r="K2344" s="48" t="str">
        <f aca="false">IF($H2344="","",购销流水!$E590)</f>
        <v/>
      </c>
      <c r="L2344" s="66" t="str">
        <f aca="false">IF(购销流水!$D590="","",IFERROR(INDEX(记账规则!$A$6:$N$9,MATCH(购销流水!$D590,记账规则!$A$6:$A$9,0),9),""))</f>
        <v/>
      </c>
      <c r="M2344" s="66" t="str">
        <f aca="false">IF($L2344="","",IFERROR(INDEX(记账规则!$A$6:$N$9,MATCH(购销流水!$D590,记账规则!$A$6:$A$9,0),10),""))</f>
        <v/>
      </c>
      <c r="N2344" s="66" t="str">
        <f aca="false">IF($L2344="","",IFERROR(INDEX(记账规则!$A$6:$N$9,MATCH(购销流水!$D590,记账规则!$A$6:$A$9,0),11),""))</f>
        <v/>
      </c>
      <c r="O2344" s="67" t="n">
        <f aca="false">IF($H2344="",0,ROUND(IF($N2344="成本金额",N(购销流水!$W590),IF($N2344="金额",N(购销流水!$Q590),0)),2))</f>
        <v>0</v>
      </c>
      <c r="P2344" s="64" t="str">
        <f aca="false">IF(AND($H2344&lt;&gt;"",ROUND($O2344,2)&lt;&gt;0),"有","")</f>
        <v/>
      </c>
    </row>
    <row r="2345" customFormat="false" ht="15" hidden="true" customHeight="false" outlineLevel="0" collapsed="false">
      <c r="A2345" s="53" t="str">
        <f aca="false">IF($H2345="","",ROW()-5)</f>
        <v/>
      </c>
      <c r="B2345" s="64" t="s">
        <v>36</v>
      </c>
      <c r="C2345" s="53" t="n">
        <v>590</v>
      </c>
      <c r="D2345" s="53" t="n">
        <v>4</v>
      </c>
      <c r="E2345" s="65" t="str">
        <f aca="false">IF($H2345="","",购销流水!$B590)</f>
        <v/>
      </c>
      <c r="F2345" s="55" t="str">
        <f aca="false">IF($H2345="","",购销流水!$C590)</f>
        <v/>
      </c>
      <c r="G2345" s="48" t="str">
        <f aca="false">IF($H2345="","",购销流水!$N590)</f>
        <v/>
      </c>
      <c r="H2345" s="10" t="str">
        <f aca="false">IF($L2345="","",IF($L2345="@成本",购销流水!$U590,IF($L2345="@收入",购销流水!$T590,IF($L2345="@存货",购销流水!$S590,IF($L2345="@结算",购销流水!$R590,$L2345)))))</f>
        <v/>
      </c>
      <c r="I2345" s="42" t="n">
        <f aca="false">IF($M2345="借",$O2345,0)</f>
        <v>0</v>
      </c>
      <c r="J2345" s="42" t="n">
        <f aca="false">IF($M2345="贷",$O2345,0)</f>
        <v>0</v>
      </c>
      <c r="K2345" s="48" t="str">
        <f aca="false">IF($H2345="","",购销流水!$E590)</f>
        <v/>
      </c>
      <c r="L2345" s="66" t="str">
        <f aca="false">IF(购销流水!$D590="","",IFERROR(INDEX(记账规则!$A$6:$N$9,MATCH(购销流水!$D590,记账规则!$A$6:$A$9,0),12),""))</f>
        <v/>
      </c>
      <c r="M2345" s="66" t="str">
        <f aca="false">IF($L2345="","",IFERROR(INDEX(记账规则!$A$6:$N$9,MATCH(购销流水!$D590,记账规则!$A$6:$A$9,0),13),""))</f>
        <v/>
      </c>
      <c r="N2345" s="66" t="str">
        <f aca="false">IF($L2345="","",IFERROR(INDEX(记账规则!$A$6:$N$9,MATCH(购销流水!$D590,记账规则!$A$6:$A$9,0),14),""))</f>
        <v/>
      </c>
      <c r="O2345" s="67" t="n">
        <f aca="false">IF($H2345="",0,ROUND(IF($N2345="成本金额",N(购销流水!$W590),IF($N2345="金额",N(购销流水!$Q590),0)),2))</f>
        <v>0</v>
      </c>
      <c r="P2345" s="64" t="str">
        <f aca="false">IF(AND($H2345&lt;&gt;"",ROUND($O2345,2)&lt;&gt;0),"有","")</f>
        <v/>
      </c>
    </row>
    <row r="2346" customFormat="false" ht="15" hidden="true" customHeight="false" outlineLevel="0" collapsed="false">
      <c r="A2346" s="53" t="str">
        <f aca="false">IF($H2346="","",ROW()-5)</f>
        <v/>
      </c>
      <c r="B2346" s="64" t="s">
        <v>36</v>
      </c>
      <c r="C2346" s="53" t="n">
        <v>591</v>
      </c>
      <c r="D2346" s="53" t="n">
        <v>1</v>
      </c>
      <c r="E2346" s="65" t="str">
        <f aca="false">IF($H2346="","",购销流水!$B591)</f>
        <v/>
      </c>
      <c r="F2346" s="55" t="str">
        <f aca="false">IF($H2346="","",购销流水!$C591)</f>
        <v/>
      </c>
      <c r="G2346" s="48" t="str">
        <f aca="false">IF($H2346="","",购销流水!$N591)</f>
        <v/>
      </c>
      <c r="H2346" s="10" t="str">
        <f aca="false">IF($L2346="","",IF($L2346="@成本",购销流水!$U591,IF($L2346="@收入",购销流水!$T591,IF($L2346="@存货",购销流水!$S591,IF($L2346="@结算",购销流水!$R591,$L2346)))))</f>
        <v/>
      </c>
      <c r="I2346" s="42" t="n">
        <f aca="false">IF($M2346="借",$O2346,0)</f>
        <v>0</v>
      </c>
      <c r="J2346" s="42" t="n">
        <f aca="false">IF($M2346="贷",$O2346,0)</f>
        <v>0</v>
      </c>
      <c r="K2346" s="48" t="str">
        <f aca="false">IF($H2346="","",购销流水!$E591)</f>
        <v/>
      </c>
      <c r="L2346" s="66" t="str">
        <f aca="false">IF(购销流水!$D591="","",IFERROR(INDEX(记账规则!$A$6:$N$9,MATCH(购销流水!$D591,记账规则!$A$6:$A$9,0),3),""))</f>
        <v/>
      </c>
      <c r="M2346" s="66" t="str">
        <f aca="false">IF($L2346="","",IFERROR(INDEX(记账规则!$A$6:$N$9,MATCH(购销流水!$D591,记账规则!$A$6:$A$9,0),4),""))</f>
        <v/>
      </c>
      <c r="N2346" s="66" t="str">
        <f aca="false">IF($L2346="","",IFERROR(INDEX(记账规则!$A$6:$N$9,MATCH(购销流水!$D591,记账规则!$A$6:$A$9,0),5),""))</f>
        <v/>
      </c>
      <c r="O2346" s="67" t="n">
        <f aca="false">IF($H2346="",0,ROUND(IF($N2346="成本金额",N(购销流水!$W591),IF($N2346="金额",N(购销流水!$Q591),0)),2))</f>
        <v>0</v>
      </c>
      <c r="P2346" s="64" t="str">
        <f aca="false">IF(AND($H2346&lt;&gt;"",ROUND($O2346,2)&lt;&gt;0),"有","")</f>
        <v/>
      </c>
    </row>
    <row r="2347" customFormat="false" ht="15" hidden="true" customHeight="false" outlineLevel="0" collapsed="false">
      <c r="A2347" s="53" t="str">
        <f aca="false">IF($H2347="","",ROW()-5)</f>
        <v/>
      </c>
      <c r="B2347" s="64" t="s">
        <v>36</v>
      </c>
      <c r="C2347" s="53" t="n">
        <v>591</v>
      </c>
      <c r="D2347" s="53" t="n">
        <v>2</v>
      </c>
      <c r="E2347" s="65" t="str">
        <f aca="false">IF($H2347="","",购销流水!$B591)</f>
        <v/>
      </c>
      <c r="F2347" s="55" t="str">
        <f aca="false">IF($H2347="","",购销流水!$C591)</f>
        <v/>
      </c>
      <c r="G2347" s="48" t="str">
        <f aca="false">IF($H2347="","",购销流水!$N591)</f>
        <v/>
      </c>
      <c r="H2347" s="10" t="str">
        <f aca="false">IF($L2347="","",IF($L2347="@成本",购销流水!$U591,IF($L2347="@收入",购销流水!$T591,IF($L2347="@存货",购销流水!$S591,IF($L2347="@结算",购销流水!$R591,$L2347)))))</f>
        <v/>
      </c>
      <c r="I2347" s="42" t="n">
        <f aca="false">IF($M2347="借",$O2347,0)</f>
        <v>0</v>
      </c>
      <c r="J2347" s="42" t="n">
        <f aca="false">IF($M2347="贷",$O2347,0)</f>
        <v>0</v>
      </c>
      <c r="K2347" s="48" t="str">
        <f aca="false">IF($H2347="","",购销流水!$E591)</f>
        <v/>
      </c>
      <c r="L2347" s="66" t="str">
        <f aca="false">IF(购销流水!$D591="","",IFERROR(INDEX(记账规则!$A$6:$N$9,MATCH(购销流水!$D591,记账规则!$A$6:$A$9,0),6),""))</f>
        <v/>
      </c>
      <c r="M2347" s="66" t="str">
        <f aca="false">IF($L2347="","",IFERROR(INDEX(记账规则!$A$6:$N$9,MATCH(购销流水!$D591,记账规则!$A$6:$A$9,0),7),""))</f>
        <v/>
      </c>
      <c r="N2347" s="66" t="str">
        <f aca="false">IF($L2347="","",IFERROR(INDEX(记账规则!$A$6:$N$9,MATCH(购销流水!$D591,记账规则!$A$6:$A$9,0),8),""))</f>
        <v/>
      </c>
      <c r="O2347" s="67" t="n">
        <f aca="false">IF($H2347="",0,ROUND(IF($N2347="成本金额",N(购销流水!$W591),IF($N2347="金额",N(购销流水!$Q591),0)),2))</f>
        <v>0</v>
      </c>
      <c r="P2347" s="64" t="str">
        <f aca="false">IF(AND($H2347&lt;&gt;"",ROUND($O2347,2)&lt;&gt;0),"有","")</f>
        <v/>
      </c>
    </row>
    <row r="2348" customFormat="false" ht="15" hidden="true" customHeight="false" outlineLevel="0" collapsed="false">
      <c r="A2348" s="53" t="str">
        <f aca="false">IF($H2348="","",ROW()-5)</f>
        <v/>
      </c>
      <c r="B2348" s="64" t="s">
        <v>36</v>
      </c>
      <c r="C2348" s="53" t="n">
        <v>591</v>
      </c>
      <c r="D2348" s="53" t="n">
        <v>3</v>
      </c>
      <c r="E2348" s="65" t="str">
        <f aca="false">IF($H2348="","",购销流水!$B591)</f>
        <v/>
      </c>
      <c r="F2348" s="55" t="str">
        <f aca="false">IF($H2348="","",购销流水!$C591)</f>
        <v/>
      </c>
      <c r="G2348" s="48" t="str">
        <f aca="false">IF($H2348="","",购销流水!$N591)</f>
        <v/>
      </c>
      <c r="H2348" s="10" t="str">
        <f aca="false">IF($L2348="","",IF($L2348="@成本",购销流水!$U591,IF($L2348="@收入",购销流水!$T591,IF($L2348="@存货",购销流水!$S591,IF($L2348="@结算",购销流水!$R591,$L2348)))))</f>
        <v/>
      </c>
      <c r="I2348" s="42" t="n">
        <f aca="false">IF($M2348="借",$O2348,0)</f>
        <v>0</v>
      </c>
      <c r="J2348" s="42" t="n">
        <f aca="false">IF($M2348="贷",$O2348,0)</f>
        <v>0</v>
      </c>
      <c r="K2348" s="48" t="str">
        <f aca="false">IF($H2348="","",购销流水!$E591)</f>
        <v/>
      </c>
      <c r="L2348" s="66" t="str">
        <f aca="false">IF(购销流水!$D591="","",IFERROR(INDEX(记账规则!$A$6:$N$9,MATCH(购销流水!$D591,记账规则!$A$6:$A$9,0),9),""))</f>
        <v/>
      </c>
      <c r="M2348" s="66" t="str">
        <f aca="false">IF($L2348="","",IFERROR(INDEX(记账规则!$A$6:$N$9,MATCH(购销流水!$D591,记账规则!$A$6:$A$9,0),10),""))</f>
        <v/>
      </c>
      <c r="N2348" s="66" t="str">
        <f aca="false">IF($L2348="","",IFERROR(INDEX(记账规则!$A$6:$N$9,MATCH(购销流水!$D591,记账规则!$A$6:$A$9,0),11),""))</f>
        <v/>
      </c>
      <c r="O2348" s="67" t="n">
        <f aca="false">IF($H2348="",0,ROUND(IF($N2348="成本金额",N(购销流水!$W591),IF($N2348="金额",N(购销流水!$Q591),0)),2))</f>
        <v>0</v>
      </c>
      <c r="P2348" s="64" t="str">
        <f aca="false">IF(AND($H2348&lt;&gt;"",ROUND($O2348,2)&lt;&gt;0),"有","")</f>
        <v/>
      </c>
    </row>
    <row r="2349" customFormat="false" ht="15" hidden="true" customHeight="false" outlineLevel="0" collapsed="false">
      <c r="A2349" s="53" t="str">
        <f aca="false">IF($H2349="","",ROW()-5)</f>
        <v/>
      </c>
      <c r="B2349" s="64" t="s">
        <v>36</v>
      </c>
      <c r="C2349" s="53" t="n">
        <v>591</v>
      </c>
      <c r="D2349" s="53" t="n">
        <v>4</v>
      </c>
      <c r="E2349" s="65" t="str">
        <f aca="false">IF($H2349="","",购销流水!$B591)</f>
        <v/>
      </c>
      <c r="F2349" s="55" t="str">
        <f aca="false">IF($H2349="","",购销流水!$C591)</f>
        <v/>
      </c>
      <c r="G2349" s="48" t="str">
        <f aca="false">IF($H2349="","",购销流水!$N591)</f>
        <v/>
      </c>
      <c r="H2349" s="10" t="str">
        <f aca="false">IF($L2349="","",IF($L2349="@成本",购销流水!$U591,IF($L2349="@收入",购销流水!$T591,IF($L2349="@存货",购销流水!$S591,IF($L2349="@结算",购销流水!$R591,$L2349)))))</f>
        <v/>
      </c>
      <c r="I2349" s="42" t="n">
        <f aca="false">IF($M2349="借",$O2349,0)</f>
        <v>0</v>
      </c>
      <c r="J2349" s="42" t="n">
        <f aca="false">IF($M2349="贷",$O2349,0)</f>
        <v>0</v>
      </c>
      <c r="K2349" s="48" t="str">
        <f aca="false">IF($H2349="","",购销流水!$E591)</f>
        <v/>
      </c>
      <c r="L2349" s="66" t="str">
        <f aca="false">IF(购销流水!$D591="","",IFERROR(INDEX(记账规则!$A$6:$N$9,MATCH(购销流水!$D591,记账规则!$A$6:$A$9,0),12),""))</f>
        <v/>
      </c>
      <c r="M2349" s="66" t="str">
        <f aca="false">IF($L2349="","",IFERROR(INDEX(记账规则!$A$6:$N$9,MATCH(购销流水!$D591,记账规则!$A$6:$A$9,0),13),""))</f>
        <v/>
      </c>
      <c r="N2349" s="66" t="str">
        <f aca="false">IF($L2349="","",IFERROR(INDEX(记账规则!$A$6:$N$9,MATCH(购销流水!$D591,记账规则!$A$6:$A$9,0),14),""))</f>
        <v/>
      </c>
      <c r="O2349" s="67" t="n">
        <f aca="false">IF($H2349="",0,ROUND(IF($N2349="成本金额",N(购销流水!$W591),IF($N2349="金额",N(购销流水!$Q591),0)),2))</f>
        <v>0</v>
      </c>
      <c r="P2349" s="64" t="str">
        <f aca="false">IF(AND($H2349&lt;&gt;"",ROUND($O2349,2)&lt;&gt;0),"有","")</f>
        <v/>
      </c>
    </row>
    <row r="2350" customFormat="false" ht="15" hidden="true" customHeight="false" outlineLevel="0" collapsed="false">
      <c r="A2350" s="53" t="str">
        <f aca="false">IF($H2350="","",ROW()-5)</f>
        <v/>
      </c>
      <c r="B2350" s="64" t="s">
        <v>36</v>
      </c>
      <c r="C2350" s="53" t="n">
        <v>592</v>
      </c>
      <c r="D2350" s="53" t="n">
        <v>1</v>
      </c>
      <c r="E2350" s="65" t="str">
        <f aca="false">IF($H2350="","",购销流水!$B592)</f>
        <v/>
      </c>
      <c r="F2350" s="55" t="str">
        <f aca="false">IF($H2350="","",购销流水!$C592)</f>
        <v/>
      </c>
      <c r="G2350" s="48" t="str">
        <f aca="false">IF($H2350="","",购销流水!$N592)</f>
        <v/>
      </c>
      <c r="H2350" s="10" t="str">
        <f aca="false">IF($L2350="","",IF($L2350="@成本",购销流水!$U592,IF($L2350="@收入",购销流水!$T592,IF($L2350="@存货",购销流水!$S592,IF($L2350="@结算",购销流水!$R592,$L2350)))))</f>
        <v/>
      </c>
      <c r="I2350" s="42" t="n">
        <f aca="false">IF($M2350="借",$O2350,0)</f>
        <v>0</v>
      </c>
      <c r="J2350" s="42" t="n">
        <f aca="false">IF($M2350="贷",$O2350,0)</f>
        <v>0</v>
      </c>
      <c r="K2350" s="48" t="str">
        <f aca="false">IF($H2350="","",购销流水!$E592)</f>
        <v/>
      </c>
      <c r="L2350" s="66" t="str">
        <f aca="false">IF(购销流水!$D592="","",IFERROR(INDEX(记账规则!$A$6:$N$9,MATCH(购销流水!$D592,记账规则!$A$6:$A$9,0),3),""))</f>
        <v/>
      </c>
      <c r="M2350" s="66" t="str">
        <f aca="false">IF($L2350="","",IFERROR(INDEX(记账规则!$A$6:$N$9,MATCH(购销流水!$D592,记账规则!$A$6:$A$9,0),4),""))</f>
        <v/>
      </c>
      <c r="N2350" s="66" t="str">
        <f aca="false">IF($L2350="","",IFERROR(INDEX(记账规则!$A$6:$N$9,MATCH(购销流水!$D592,记账规则!$A$6:$A$9,0),5),""))</f>
        <v/>
      </c>
      <c r="O2350" s="67" t="n">
        <f aca="false">IF($H2350="",0,ROUND(IF($N2350="成本金额",N(购销流水!$W592),IF($N2350="金额",N(购销流水!$Q592),0)),2))</f>
        <v>0</v>
      </c>
      <c r="P2350" s="64" t="str">
        <f aca="false">IF(AND($H2350&lt;&gt;"",ROUND($O2350,2)&lt;&gt;0),"有","")</f>
        <v/>
      </c>
    </row>
    <row r="2351" customFormat="false" ht="15" hidden="true" customHeight="false" outlineLevel="0" collapsed="false">
      <c r="A2351" s="53" t="str">
        <f aca="false">IF($H2351="","",ROW()-5)</f>
        <v/>
      </c>
      <c r="B2351" s="64" t="s">
        <v>36</v>
      </c>
      <c r="C2351" s="53" t="n">
        <v>592</v>
      </c>
      <c r="D2351" s="53" t="n">
        <v>2</v>
      </c>
      <c r="E2351" s="65" t="str">
        <f aca="false">IF($H2351="","",购销流水!$B592)</f>
        <v/>
      </c>
      <c r="F2351" s="55" t="str">
        <f aca="false">IF($H2351="","",购销流水!$C592)</f>
        <v/>
      </c>
      <c r="G2351" s="48" t="str">
        <f aca="false">IF($H2351="","",购销流水!$N592)</f>
        <v/>
      </c>
      <c r="H2351" s="10" t="str">
        <f aca="false">IF($L2351="","",IF($L2351="@成本",购销流水!$U592,IF($L2351="@收入",购销流水!$T592,IF($L2351="@存货",购销流水!$S592,IF($L2351="@结算",购销流水!$R592,$L2351)))))</f>
        <v/>
      </c>
      <c r="I2351" s="42" t="n">
        <f aca="false">IF($M2351="借",$O2351,0)</f>
        <v>0</v>
      </c>
      <c r="J2351" s="42" t="n">
        <f aca="false">IF($M2351="贷",$O2351,0)</f>
        <v>0</v>
      </c>
      <c r="K2351" s="48" t="str">
        <f aca="false">IF($H2351="","",购销流水!$E592)</f>
        <v/>
      </c>
      <c r="L2351" s="66" t="str">
        <f aca="false">IF(购销流水!$D592="","",IFERROR(INDEX(记账规则!$A$6:$N$9,MATCH(购销流水!$D592,记账规则!$A$6:$A$9,0),6),""))</f>
        <v/>
      </c>
      <c r="M2351" s="66" t="str">
        <f aca="false">IF($L2351="","",IFERROR(INDEX(记账规则!$A$6:$N$9,MATCH(购销流水!$D592,记账规则!$A$6:$A$9,0),7),""))</f>
        <v/>
      </c>
      <c r="N2351" s="66" t="str">
        <f aca="false">IF($L2351="","",IFERROR(INDEX(记账规则!$A$6:$N$9,MATCH(购销流水!$D592,记账规则!$A$6:$A$9,0),8),""))</f>
        <v/>
      </c>
      <c r="O2351" s="67" t="n">
        <f aca="false">IF($H2351="",0,ROUND(IF($N2351="成本金额",N(购销流水!$W592),IF($N2351="金额",N(购销流水!$Q592),0)),2))</f>
        <v>0</v>
      </c>
      <c r="P2351" s="64" t="str">
        <f aca="false">IF(AND($H2351&lt;&gt;"",ROUND($O2351,2)&lt;&gt;0),"有","")</f>
        <v/>
      </c>
    </row>
    <row r="2352" customFormat="false" ht="15" hidden="true" customHeight="false" outlineLevel="0" collapsed="false">
      <c r="A2352" s="53" t="str">
        <f aca="false">IF($H2352="","",ROW()-5)</f>
        <v/>
      </c>
      <c r="B2352" s="64" t="s">
        <v>36</v>
      </c>
      <c r="C2352" s="53" t="n">
        <v>592</v>
      </c>
      <c r="D2352" s="53" t="n">
        <v>3</v>
      </c>
      <c r="E2352" s="65" t="str">
        <f aca="false">IF($H2352="","",购销流水!$B592)</f>
        <v/>
      </c>
      <c r="F2352" s="55" t="str">
        <f aca="false">IF($H2352="","",购销流水!$C592)</f>
        <v/>
      </c>
      <c r="G2352" s="48" t="str">
        <f aca="false">IF($H2352="","",购销流水!$N592)</f>
        <v/>
      </c>
      <c r="H2352" s="10" t="str">
        <f aca="false">IF($L2352="","",IF($L2352="@成本",购销流水!$U592,IF($L2352="@收入",购销流水!$T592,IF($L2352="@存货",购销流水!$S592,IF($L2352="@结算",购销流水!$R592,$L2352)))))</f>
        <v/>
      </c>
      <c r="I2352" s="42" t="n">
        <f aca="false">IF($M2352="借",$O2352,0)</f>
        <v>0</v>
      </c>
      <c r="J2352" s="42" t="n">
        <f aca="false">IF($M2352="贷",$O2352,0)</f>
        <v>0</v>
      </c>
      <c r="K2352" s="48" t="str">
        <f aca="false">IF($H2352="","",购销流水!$E592)</f>
        <v/>
      </c>
      <c r="L2352" s="66" t="str">
        <f aca="false">IF(购销流水!$D592="","",IFERROR(INDEX(记账规则!$A$6:$N$9,MATCH(购销流水!$D592,记账规则!$A$6:$A$9,0),9),""))</f>
        <v/>
      </c>
      <c r="M2352" s="66" t="str">
        <f aca="false">IF($L2352="","",IFERROR(INDEX(记账规则!$A$6:$N$9,MATCH(购销流水!$D592,记账规则!$A$6:$A$9,0),10),""))</f>
        <v/>
      </c>
      <c r="N2352" s="66" t="str">
        <f aca="false">IF($L2352="","",IFERROR(INDEX(记账规则!$A$6:$N$9,MATCH(购销流水!$D592,记账规则!$A$6:$A$9,0),11),""))</f>
        <v/>
      </c>
      <c r="O2352" s="67" t="n">
        <f aca="false">IF($H2352="",0,ROUND(IF($N2352="成本金额",N(购销流水!$W592),IF($N2352="金额",N(购销流水!$Q592),0)),2))</f>
        <v>0</v>
      </c>
      <c r="P2352" s="64" t="str">
        <f aca="false">IF(AND($H2352&lt;&gt;"",ROUND($O2352,2)&lt;&gt;0),"有","")</f>
        <v/>
      </c>
    </row>
    <row r="2353" customFormat="false" ht="15" hidden="true" customHeight="false" outlineLevel="0" collapsed="false">
      <c r="A2353" s="53" t="str">
        <f aca="false">IF($H2353="","",ROW()-5)</f>
        <v/>
      </c>
      <c r="B2353" s="64" t="s">
        <v>36</v>
      </c>
      <c r="C2353" s="53" t="n">
        <v>592</v>
      </c>
      <c r="D2353" s="53" t="n">
        <v>4</v>
      </c>
      <c r="E2353" s="65" t="str">
        <f aca="false">IF($H2353="","",购销流水!$B592)</f>
        <v/>
      </c>
      <c r="F2353" s="55" t="str">
        <f aca="false">IF($H2353="","",购销流水!$C592)</f>
        <v/>
      </c>
      <c r="G2353" s="48" t="str">
        <f aca="false">IF($H2353="","",购销流水!$N592)</f>
        <v/>
      </c>
      <c r="H2353" s="10" t="str">
        <f aca="false">IF($L2353="","",IF($L2353="@成本",购销流水!$U592,IF($L2353="@收入",购销流水!$T592,IF($L2353="@存货",购销流水!$S592,IF($L2353="@结算",购销流水!$R592,$L2353)))))</f>
        <v/>
      </c>
      <c r="I2353" s="42" t="n">
        <f aca="false">IF($M2353="借",$O2353,0)</f>
        <v>0</v>
      </c>
      <c r="J2353" s="42" t="n">
        <f aca="false">IF($M2353="贷",$O2353,0)</f>
        <v>0</v>
      </c>
      <c r="K2353" s="48" t="str">
        <f aca="false">IF($H2353="","",购销流水!$E592)</f>
        <v/>
      </c>
      <c r="L2353" s="66" t="str">
        <f aca="false">IF(购销流水!$D592="","",IFERROR(INDEX(记账规则!$A$6:$N$9,MATCH(购销流水!$D592,记账规则!$A$6:$A$9,0),12),""))</f>
        <v/>
      </c>
      <c r="M2353" s="66" t="str">
        <f aca="false">IF($L2353="","",IFERROR(INDEX(记账规则!$A$6:$N$9,MATCH(购销流水!$D592,记账规则!$A$6:$A$9,0),13),""))</f>
        <v/>
      </c>
      <c r="N2353" s="66" t="str">
        <f aca="false">IF($L2353="","",IFERROR(INDEX(记账规则!$A$6:$N$9,MATCH(购销流水!$D592,记账规则!$A$6:$A$9,0),14),""))</f>
        <v/>
      </c>
      <c r="O2353" s="67" t="n">
        <f aca="false">IF($H2353="",0,ROUND(IF($N2353="成本金额",N(购销流水!$W592),IF($N2353="金额",N(购销流水!$Q592),0)),2))</f>
        <v>0</v>
      </c>
      <c r="P2353" s="64" t="str">
        <f aca="false">IF(AND($H2353&lt;&gt;"",ROUND($O2353,2)&lt;&gt;0),"有","")</f>
        <v/>
      </c>
    </row>
    <row r="2354" customFormat="false" ht="15" hidden="true" customHeight="false" outlineLevel="0" collapsed="false">
      <c r="A2354" s="53" t="str">
        <f aca="false">IF($H2354="","",ROW()-5)</f>
        <v/>
      </c>
      <c r="B2354" s="64" t="s">
        <v>36</v>
      </c>
      <c r="C2354" s="53" t="n">
        <v>593</v>
      </c>
      <c r="D2354" s="53" t="n">
        <v>1</v>
      </c>
      <c r="E2354" s="65" t="str">
        <f aca="false">IF($H2354="","",购销流水!$B593)</f>
        <v/>
      </c>
      <c r="F2354" s="55" t="str">
        <f aca="false">IF($H2354="","",购销流水!$C593)</f>
        <v/>
      </c>
      <c r="G2354" s="48" t="str">
        <f aca="false">IF($H2354="","",购销流水!$N593)</f>
        <v/>
      </c>
      <c r="H2354" s="10" t="str">
        <f aca="false">IF($L2354="","",IF($L2354="@成本",购销流水!$U593,IF($L2354="@收入",购销流水!$T593,IF($L2354="@存货",购销流水!$S593,IF($L2354="@结算",购销流水!$R593,$L2354)))))</f>
        <v/>
      </c>
      <c r="I2354" s="42" t="n">
        <f aca="false">IF($M2354="借",$O2354,0)</f>
        <v>0</v>
      </c>
      <c r="J2354" s="42" t="n">
        <f aca="false">IF($M2354="贷",$O2354,0)</f>
        <v>0</v>
      </c>
      <c r="K2354" s="48" t="str">
        <f aca="false">IF($H2354="","",购销流水!$E593)</f>
        <v/>
      </c>
      <c r="L2354" s="66" t="str">
        <f aca="false">IF(购销流水!$D593="","",IFERROR(INDEX(记账规则!$A$6:$N$9,MATCH(购销流水!$D593,记账规则!$A$6:$A$9,0),3),""))</f>
        <v/>
      </c>
      <c r="M2354" s="66" t="str">
        <f aca="false">IF($L2354="","",IFERROR(INDEX(记账规则!$A$6:$N$9,MATCH(购销流水!$D593,记账规则!$A$6:$A$9,0),4),""))</f>
        <v/>
      </c>
      <c r="N2354" s="66" t="str">
        <f aca="false">IF($L2354="","",IFERROR(INDEX(记账规则!$A$6:$N$9,MATCH(购销流水!$D593,记账规则!$A$6:$A$9,0),5),""))</f>
        <v/>
      </c>
      <c r="O2354" s="67" t="n">
        <f aca="false">IF($H2354="",0,ROUND(IF($N2354="成本金额",N(购销流水!$W593),IF($N2354="金额",N(购销流水!$Q593),0)),2))</f>
        <v>0</v>
      </c>
      <c r="P2354" s="64" t="str">
        <f aca="false">IF(AND($H2354&lt;&gt;"",ROUND($O2354,2)&lt;&gt;0),"有","")</f>
        <v/>
      </c>
    </row>
    <row r="2355" customFormat="false" ht="15" hidden="true" customHeight="false" outlineLevel="0" collapsed="false">
      <c r="A2355" s="53" t="str">
        <f aca="false">IF($H2355="","",ROW()-5)</f>
        <v/>
      </c>
      <c r="B2355" s="64" t="s">
        <v>36</v>
      </c>
      <c r="C2355" s="53" t="n">
        <v>593</v>
      </c>
      <c r="D2355" s="53" t="n">
        <v>2</v>
      </c>
      <c r="E2355" s="65" t="str">
        <f aca="false">IF($H2355="","",购销流水!$B593)</f>
        <v/>
      </c>
      <c r="F2355" s="55" t="str">
        <f aca="false">IF($H2355="","",购销流水!$C593)</f>
        <v/>
      </c>
      <c r="G2355" s="48" t="str">
        <f aca="false">IF($H2355="","",购销流水!$N593)</f>
        <v/>
      </c>
      <c r="H2355" s="10" t="str">
        <f aca="false">IF($L2355="","",IF($L2355="@成本",购销流水!$U593,IF($L2355="@收入",购销流水!$T593,IF($L2355="@存货",购销流水!$S593,IF($L2355="@结算",购销流水!$R593,$L2355)))))</f>
        <v/>
      </c>
      <c r="I2355" s="42" t="n">
        <f aca="false">IF($M2355="借",$O2355,0)</f>
        <v>0</v>
      </c>
      <c r="J2355" s="42" t="n">
        <f aca="false">IF($M2355="贷",$O2355,0)</f>
        <v>0</v>
      </c>
      <c r="K2355" s="48" t="str">
        <f aca="false">IF($H2355="","",购销流水!$E593)</f>
        <v/>
      </c>
      <c r="L2355" s="66" t="str">
        <f aca="false">IF(购销流水!$D593="","",IFERROR(INDEX(记账规则!$A$6:$N$9,MATCH(购销流水!$D593,记账规则!$A$6:$A$9,0),6),""))</f>
        <v/>
      </c>
      <c r="M2355" s="66" t="str">
        <f aca="false">IF($L2355="","",IFERROR(INDEX(记账规则!$A$6:$N$9,MATCH(购销流水!$D593,记账规则!$A$6:$A$9,0),7),""))</f>
        <v/>
      </c>
      <c r="N2355" s="66" t="str">
        <f aca="false">IF($L2355="","",IFERROR(INDEX(记账规则!$A$6:$N$9,MATCH(购销流水!$D593,记账规则!$A$6:$A$9,0),8),""))</f>
        <v/>
      </c>
      <c r="O2355" s="67" t="n">
        <f aca="false">IF($H2355="",0,ROUND(IF($N2355="成本金额",N(购销流水!$W593),IF($N2355="金额",N(购销流水!$Q593),0)),2))</f>
        <v>0</v>
      </c>
      <c r="P2355" s="64" t="str">
        <f aca="false">IF(AND($H2355&lt;&gt;"",ROUND($O2355,2)&lt;&gt;0),"有","")</f>
        <v/>
      </c>
    </row>
    <row r="2356" customFormat="false" ht="15" hidden="true" customHeight="false" outlineLevel="0" collapsed="false">
      <c r="A2356" s="53" t="str">
        <f aca="false">IF($H2356="","",ROW()-5)</f>
        <v/>
      </c>
      <c r="B2356" s="64" t="s">
        <v>36</v>
      </c>
      <c r="C2356" s="53" t="n">
        <v>593</v>
      </c>
      <c r="D2356" s="53" t="n">
        <v>3</v>
      </c>
      <c r="E2356" s="65" t="str">
        <f aca="false">IF($H2356="","",购销流水!$B593)</f>
        <v/>
      </c>
      <c r="F2356" s="55" t="str">
        <f aca="false">IF($H2356="","",购销流水!$C593)</f>
        <v/>
      </c>
      <c r="G2356" s="48" t="str">
        <f aca="false">IF($H2356="","",购销流水!$N593)</f>
        <v/>
      </c>
      <c r="H2356" s="10" t="str">
        <f aca="false">IF($L2356="","",IF($L2356="@成本",购销流水!$U593,IF($L2356="@收入",购销流水!$T593,IF($L2356="@存货",购销流水!$S593,IF($L2356="@结算",购销流水!$R593,$L2356)))))</f>
        <v/>
      </c>
      <c r="I2356" s="42" t="n">
        <f aca="false">IF($M2356="借",$O2356,0)</f>
        <v>0</v>
      </c>
      <c r="J2356" s="42" t="n">
        <f aca="false">IF($M2356="贷",$O2356,0)</f>
        <v>0</v>
      </c>
      <c r="K2356" s="48" t="str">
        <f aca="false">IF($H2356="","",购销流水!$E593)</f>
        <v/>
      </c>
      <c r="L2356" s="66" t="str">
        <f aca="false">IF(购销流水!$D593="","",IFERROR(INDEX(记账规则!$A$6:$N$9,MATCH(购销流水!$D593,记账规则!$A$6:$A$9,0),9),""))</f>
        <v/>
      </c>
      <c r="M2356" s="66" t="str">
        <f aca="false">IF($L2356="","",IFERROR(INDEX(记账规则!$A$6:$N$9,MATCH(购销流水!$D593,记账规则!$A$6:$A$9,0),10),""))</f>
        <v/>
      </c>
      <c r="N2356" s="66" t="str">
        <f aca="false">IF($L2356="","",IFERROR(INDEX(记账规则!$A$6:$N$9,MATCH(购销流水!$D593,记账规则!$A$6:$A$9,0),11),""))</f>
        <v/>
      </c>
      <c r="O2356" s="67" t="n">
        <f aca="false">IF($H2356="",0,ROUND(IF($N2356="成本金额",N(购销流水!$W593),IF($N2356="金额",N(购销流水!$Q593),0)),2))</f>
        <v>0</v>
      </c>
      <c r="P2356" s="64" t="str">
        <f aca="false">IF(AND($H2356&lt;&gt;"",ROUND($O2356,2)&lt;&gt;0),"有","")</f>
        <v/>
      </c>
    </row>
    <row r="2357" customFormat="false" ht="15" hidden="true" customHeight="false" outlineLevel="0" collapsed="false">
      <c r="A2357" s="53" t="str">
        <f aca="false">IF($H2357="","",ROW()-5)</f>
        <v/>
      </c>
      <c r="B2357" s="64" t="s">
        <v>36</v>
      </c>
      <c r="C2357" s="53" t="n">
        <v>593</v>
      </c>
      <c r="D2357" s="53" t="n">
        <v>4</v>
      </c>
      <c r="E2357" s="65" t="str">
        <f aca="false">IF($H2357="","",购销流水!$B593)</f>
        <v/>
      </c>
      <c r="F2357" s="55" t="str">
        <f aca="false">IF($H2357="","",购销流水!$C593)</f>
        <v/>
      </c>
      <c r="G2357" s="48" t="str">
        <f aca="false">IF($H2357="","",购销流水!$N593)</f>
        <v/>
      </c>
      <c r="H2357" s="10" t="str">
        <f aca="false">IF($L2357="","",IF($L2357="@成本",购销流水!$U593,IF($L2357="@收入",购销流水!$T593,IF($L2357="@存货",购销流水!$S593,IF($L2357="@结算",购销流水!$R593,$L2357)))))</f>
        <v/>
      </c>
      <c r="I2357" s="42" t="n">
        <f aca="false">IF($M2357="借",$O2357,0)</f>
        <v>0</v>
      </c>
      <c r="J2357" s="42" t="n">
        <f aca="false">IF($M2357="贷",$O2357,0)</f>
        <v>0</v>
      </c>
      <c r="K2357" s="48" t="str">
        <f aca="false">IF($H2357="","",购销流水!$E593)</f>
        <v/>
      </c>
      <c r="L2357" s="66" t="str">
        <f aca="false">IF(购销流水!$D593="","",IFERROR(INDEX(记账规则!$A$6:$N$9,MATCH(购销流水!$D593,记账规则!$A$6:$A$9,0),12),""))</f>
        <v/>
      </c>
      <c r="M2357" s="66" t="str">
        <f aca="false">IF($L2357="","",IFERROR(INDEX(记账规则!$A$6:$N$9,MATCH(购销流水!$D593,记账规则!$A$6:$A$9,0),13),""))</f>
        <v/>
      </c>
      <c r="N2357" s="66" t="str">
        <f aca="false">IF($L2357="","",IFERROR(INDEX(记账规则!$A$6:$N$9,MATCH(购销流水!$D593,记账规则!$A$6:$A$9,0),14),""))</f>
        <v/>
      </c>
      <c r="O2357" s="67" t="n">
        <f aca="false">IF($H2357="",0,ROUND(IF($N2357="成本金额",N(购销流水!$W593),IF($N2357="金额",N(购销流水!$Q593),0)),2))</f>
        <v>0</v>
      </c>
      <c r="P2357" s="64" t="str">
        <f aca="false">IF(AND($H2357&lt;&gt;"",ROUND($O2357,2)&lt;&gt;0),"有","")</f>
        <v/>
      </c>
    </row>
    <row r="2358" customFormat="false" ht="15" hidden="true" customHeight="false" outlineLevel="0" collapsed="false">
      <c r="A2358" s="53" t="str">
        <f aca="false">IF($H2358="","",ROW()-5)</f>
        <v/>
      </c>
      <c r="B2358" s="64" t="s">
        <v>36</v>
      </c>
      <c r="C2358" s="53" t="n">
        <v>594</v>
      </c>
      <c r="D2358" s="53" t="n">
        <v>1</v>
      </c>
      <c r="E2358" s="65" t="str">
        <f aca="false">IF($H2358="","",购销流水!$B594)</f>
        <v/>
      </c>
      <c r="F2358" s="55" t="str">
        <f aca="false">IF($H2358="","",购销流水!$C594)</f>
        <v/>
      </c>
      <c r="G2358" s="48" t="str">
        <f aca="false">IF($H2358="","",购销流水!$N594)</f>
        <v/>
      </c>
      <c r="H2358" s="10" t="str">
        <f aca="false">IF($L2358="","",IF($L2358="@成本",购销流水!$U594,IF($L2358="@收入",购销流水!$T594,IF($L2358="@存货",购销流水!$S594,IF($L2358="@结算",购销流水!$R594,$L2358)))))</f>
        <v/>
      </c>
      <c r="I2358" s="42" t="n">
        <f aca="false">IF($M2358="借",$O2358,0)</f>
        <v>0</v>
      </c>
      <c r="J2358" s="42" t="n">
        <f aca="false">IF($M2358="贷",$O2358,0)</f>
        <v>0</v>
      </c>
      <c r="K2358" s="48" t="str">
        <f aca="false">IF($H2358="","",购销流水!$E594)</f>
        <v/>
      </c>
      <c r="L2358" s="66" t="str">
        <f aca="false">IF(购销流水!$D594="","",IFERROR(INDEX(记账规则!$A$6:$N$9,MATCH(购销流水!$D594,记账规则!$A$6:$A$9,0),3),""))</f>
        <v/>
      </c>
      <c r="M2358" s="66" t="str">
        <f aca="false">IF($L2358="","",IFERROR(INDEX(记账规则!$A$6:$N$9,MATCH(购销流水!$D594,记账规则!$A$6:$A$9,0),4),""))</f>
        <v/>
      </c>
      <c r="N2358" s="66" t="str">
        <f aca="false">IF($L2358="","",IFERROR(INDEX(记账规则!$A$6:$N$9,MATCH(购销流水!$D594,记账规则!$A$6:$A$9,0),5),""))</f>
        <v/>
      </c>
      <c r="O2358" s="67" t="n">
        <f aca="false">IF($H2358="",0,ROUND(IF($N2358="成本金额",N(购销流水!$W594),IF($N2358="金额",N(购销流水!$Q594),0)),2))</f>
        <v>0</v>
      </c>
      <c r="P2358" s="64" t="str">
        <f aca="false">IF(AND($H2358&lt;&gt;"",ROUND($O2358,2)&lt;&gt;0),"有","")</f>
        <v/>
      </c>
    </row>
    <row r="2359" customFormat="false" ht="15" hidden="true" customHeight="false" outlineLevel="0" collapsed="false">
      <c r="A2359" s="53" t="str">
        <f aca="false">IF($H2359="","",ROW()-5)</f>
        <v/>
      </c>
      <c r="B2359" s="64" t="s">
        <v>36</v>
      </c>
      <c r="C2359" s="53" t="n">
        <v>594</v>
      </c>
      <c r="D2359" s="53" t="n">
        <v>2</v>
      </c>
      <c r="E2359" s="65" t="str">
        <f aca="false">IF($H2359="","",购销流水!$B594)</f>
        <v/>
      </c>
      <c r="F2359" s="55" t="str">
        <f aca="false">IF($H2359="","",购销流水!$C594)</f>
        <v/>
      </c>
      <c r="G2359" s="48" t="str">
        <f aca="false">IF($H2359="","",购销流水!$N594)</f>
        <v/>
      </c>
      <c r="H2359" s="10" t="str">
        <f aca="false">IF($L2359="","",IF($L2359="@成本",购销流水!$U594,IF($L2359="@收入",购销流水!$T594,IF($L2359="@存货",购销流水!$S594,IF($L2359="@结算",购销流水!$R594,$L2359)))))</f>
        <v/>
      </c>
      <c r="I2359" s="42" t="n">
        <f aca="false">IF($M2359="借",$O2359,0)</f>
        <v>0</v>
      </c>
      <c r="J2359" s="42" t="n">
        <f aca="false">IF($M2359="贷",$O2359,0)</f>
        <v>0</v>
      </c>
      <c r="K2359" s="48" t="str">
        <f aca="false">IF($H2359="","",购销流水!$E594)</f>
        <v/>
      </c>
      <c r="L2359" s="66" t="str">
        <f aca="false">IF(购销流水!$D594="","",IFERROR(INDEX(记账规则!$A$6:$N$9,MATCH(购销流水!$D594,记账规则!$A$6:$A$9,0),6),""))</f>
        <v/>
      </c>
      <c r="M2359" s="66" t="str">
        <f aca="false">IF($L2359="","",IFERROR(INDEX(记账规则!$A$6:$N$9,MATCH(购销流水!$D594,记账规则!$A$6:$A$9,0),7),""))</f>
        <v/>
      </c>
      <c r="N2359" s="66" t="str">
        <f aca="false">IF($L2359="","",IFERROR(INDEX(记账规则!$A$6:$N$9,MATCH(购销流水!$D594,记账规则!$A$6:$A$9,0),8),""))</f>
        <v/>
      </c>
      <c r="O2359" s="67" t="n">
        <f aca="false">IF($H2359="",0,ROUND(IF($N2359="成本金额",N(购销流水!$W594),IF($N2359="金额",N(购销流水!$Q594),0)),2))</f>
        <v>0</v>
      </c>
      <c r="P2359" s="64" t="str">
        <f aca="false">IF(AND($H2359&lt;&gt;"",ROUND($O2359,2)&lt;&gt;0),"有","")</f>
        <v/>
      </c>
    </row>
    <row r="2360" customFormat="false" ht="15" hidden="true" customHeight="false" outlineLevel="0" collapsed="false">
      <c r="A2360" s="53" t="str">
        <f aca="false">IF($H2360="","",ROW()-5)</f>
        <v/>
      </c>
      <c r="B2360" s="64" t="s">
        <v>36</v>
      </c>
      <c r="C2360" s="53" t="n">
        <v>594</v>
      </c>
      <c r="D2360" s="53" t="n">
        <v>3</v>
      </c>
      <c r="E2360" s="65" t="str">
        <f aca="false">IF($H2360="","",购销流水!$B594)</f>
        <v/>
      </c>
      <c r="F2360" s="55" t="str">
        <f aca="false">IF($H2360="","",购销流水!$C594)</f>
        <v/>
      </c>
      <c r="G2360" s="48" t="str">
        <f aca="false">IF($H2360="","",购销流水!$N594)</f>
        <v/>
      </c>
      <c r="H2360" s="10" t="str">
        <f aca="false">IF($L2360="","",IF($L2360="@成本",购销流水!$U594,IF($L2360="@收入",购销流水!$T594,IF($L2360="@存货",购销流水!$S594,IF($L2360="@结算",购销流水!$R594,$L2360)))))</f>
        <v/>
      </c>
      <c r="I2360" s="42" t="n">
        <f aca="false">IF($M2360="借",$O2360,0)</f>
        <v>0</v>
      </c>
      <c r="J2360" s="42" t="n">
        <f aca="false">IF($M2360="贷",$O2360,0)</f>
        <v>0</v>
      </c>
      <c r="K2360" s="48" t="str">
        <f aca="false">IF($H2360="","",购销流水!$E594)</f>
        <v/>
      </c>
      <c r="L2360" s="66" t="str">
        <f aca="false">IF(购销流水!$D594="","",IFERROR(INDEX(记账规则!$A$6:$N$9,MATCH(购销流水!$D594,记账规则!$A$6:$A$9,0),9),""))</f>
        <v/>
      </c>
      <c r="M2360" s="66" t="str">
        <f aca="false">IF($L2360="","",IFERROR(INDEX(记账规则!$A$6:$N$9,MATCH(购销流水!$D594,记账规则!$A$6:$A$9,0),10),""))</f>
        <v/>
      </c>
      <c r="N2360" s="66" t="str">
        <f aca="false">IF($L2360="","",IFERROR(INDEX(记账规则!$A$6:$N$9,MATCH(购销流水!$D594,记账规则!$A$6:$A$9,0),11),""))</f>
        <v/>
      </c>
      <c r="O2360" s="67" t="n">
        <f aca="false">IF($H2360="",0,ROUND(IF($N2360="成本金额",N(购销流水!$W594),IF($N2360="金额",N(购销流水!$Q594),0)),2))</f>
        <v>0</v>
      </c>
      <c r="P2360" s="64" t="str">
        <f aca="false">IF(AND($H2360&lt;&gt;"",ROUND($O2360,2)&lt;&gt;0),"有","")</f>
        <v/>
      </c>
    </row>
    <row r="2361" customFormat="false" ht="15" hidden="true" customHeight="false" outlineLevel="0" collapsed="false">
      <c r="A2361" s="53" t="str">
        <f aca="false">IF($H2361="","",ROW()-5)</f>
        <v/>
      </c>
      <c r="B2361" s="64" t="s">
        <v>36</v>
      </c>
      <c r="C2361" s="53" t="n">
        <v>594</v>
      </c>
      <c r="D2361" s="53" t="n">
        <v>4</v>
      </c>
      <c r="E2361" s="65" t="str">
        <f aca="false">IF($H2361="","",购销流水!$B594)</f>
        <v/>
      </c>
      <c r="F2361" s="55" t="str">
        <f aca="false">IF($H2361="","",购销流水!$C594)</f>
        <v/>
      </c>
      <c r="G2361" s="48" t="str">
        <f aca="false">IF($H2361="","",购销流水!$N594)</f>
        <v/>
      </c>
      <c r="H2361" s="10" t="str">
        <f aca="false">IF($L2361="","",IF($L2361="@成本",购销流水!$U594,IF($L2361="@收入",购销流水!$T594,IF($L2361="@存货",购销流水!$S594,IF($L2361="@结算",购销流水!$R594,$L2361)))))</f>
        <v/>
      </c>
      <c r="I2361" s="42" t="n">
        <f aca="false">IF($M2361="借",$O2361,0)</f>
        <v>0</v>
      </c>
      <c r="J2361" s="42" t="n">
        <f aca="false">IF($M2361="贷",$O2361,0)</f>
        <v>0</v>
      </c>
      <c r="K2361" s="48" t="str">
        <f aca="false">IF($H2361="","",购销流水!$E594)</f>
        <v/>
      </c>
      <c r="L2361" s="66" t="str">
        <f aca="false">IF(购销流水!$D594="","",IFERROR(INDEX(记账规则!$A$6:$N$9,MATCH(购销流水!$D594,记账规则!$A$6:$A$9,0),12),""))</f>
        <v/>
      </c>
      <c r="M2361" s="66" t="str">
        <f aca="false">IF($L2361="","",IFERROR(INDEX(记账规则!$A$6:$N$9,MATCH(购销流水!$D594,记账规则!$A$6:$A$9,0),13),""))</f>
        <v/>
      </c>
      <c r="N2361" s="66" t="str">
        <f aca="false">IF($L2361="","",IFERROR(INDEX(记账规则!$A$6:$N$9,MATCH(购销流水!$D594,记账规则!$A$6:$A$9,0),14),""))</f>
        <v/>
      </c>
      <c r="O2361" s="67" t="n">
        <f aca="false">IF($H2361="",0,ROUND(IF($N2361="成本金额",N(购销流水!$W594),IF($N2361="金额",N(购销流水!$Q594),0)),2))</f>
        <v>0</v>
      </c>
      <c r="P2361" s="64" t="str">
        <f aca="false">IF(AND($H2361&lt;&gt;"",ROUND($O2361,2)&lt;&gt;0),"有","")</f>
        <v/>
      </c>
    </row>
    <row r="2362" customFormat="false" ht="15" hidden="true" customHeight="false" outlineLevel="0" collapsed="false">
      <c r="A2362" s="53" t="str">
        <f aca="false">IF($H2362="","",ROW()-5)</f>
        <v/>
      </c>
      <c r="B2362" s="64" t="s">
        <v>36</v>
      </c>
      <c r="C2362" s="53" t="n">
        <v>595</v>
      </c>
      <c r="D2362" s="53" t="n">
        <v>1</v>
      </c>
      <c r="E2362" s="65" t="str">
        <f aca="false">IF($H2362="","",购销流水!$B595)</f>
        <v/>
      </c>
      <c r="F2362" s="55" t="str">
        <f aca="false">IF($H2362="","",购销流水!$C595)</f>
        <v/>
      </c>
      <c r="G2362" s="48" t="str">
        <f aca="false">IF($H2362="","",购销流水!$N595)</f>
        <v/>
      </c>
      <c r="H2362" s="10" t="str">
        <f aca="false">IF($L2362="","",IF($L2362="@成本",购销流水!$U595,IF($L2362="@收入",购销流水!$T595,IF($L2362="@存货",购销流水!$S595,IF($L2362="@结算",购销流水!$R595,$L2362)))))</f>
        <v/>
      </c>
      <c r="I2362" s="42" t="n">
        <f aca="false">IF($M2362="借",$O2362,0)</f>
        <v>0</v>
      </c>
      <c r="J2362" s="42" t="n">
        <f aca="false">IF($M2362="贷",$O2362,0)</f>
        <v>0</v>
      </c>
      <c r="K2362" s="48" t="str">
        <f aca="false">IF($H2362="","",购销流水!$E595)</f>
        <v/>
      </c>
      <c r="L2362" s="66" t="str">
        <f aca="false">IF(购销流水!$D595="","",IFERROR(INDEX(记账规则!$A$6:$N$9,MATCH(购销流水!$D595,记账规则!$A$6:$A$9,0),3),""))</f>
        <v/>
      </c>
      <c r="M2362" s="66" t="str">
        <f aca="false">IF($L2362="","",IFERROR(INDEX(记账规则!$A$6:$N$9,MATCH(购销流水!$D595,记账规则!$A$6:$A$9,0),4),""))</f>
        <v/>
      </c>
      <c r="N2362" s="66" t="str">
        <f aca="false">IF($L2362="","",IFERROR(INDEX(记账规则!$A$6:$N$9,MATCH(购销流水!$D595,记账规则!$A$6:$A$9,0),5),""))</f>
        <v/>
      </c>
      <c r="O2362" s="67" t="n">
        <f aca="false">IF($H2362="",0,ROUND(IF($N2362="成本金额",N(购销流水!$W595),IF($N2362="金额",N(购销流水!$Q595),0)),2))</f>
        <v>0</v>
      </c>
      <c r="P2362" s="64" t="str">
        <f aca="false">IF(AND($H2362&lt;&gt;"",ROUND($O2362,2)&lt;&gt;0),"有","")</f>
        <v/>
      </c>
    </row>
    <row r="2363" customFormat="false" ht="15" hidden="true" customHeight="false" outlineLevel="0" collapsed="false">
      <c r="A2363" s="53" t="str">
        <f aca="false">IF($H2363="","",ROW()-5)</f>
        <v/>
      </c>
      <c r="B2363" s="64" t="s">
        <v>36</v>
      </c>
      <c r="C2363" s="53" t="n">
        <v>595</v>
      </c>
      <c r="D2363" s="53" t="n">
        <v>2</v>
      </c>
      <c r="E2363" s="65" t="str">
        <f aca="false">IF($H2363="","",购销流水!$B595)</f>
        <v/>
      </c>
      <c r="F2363" s="55" t="str">
        <f aca="false">IF($H2363="","",购销流水!$C595)</f>
        <v/>
      </c>
      <c r="G2363" s="48" t="str">
        <f aca="false">IF($H2363="","",购销流水!$N595)</f>
        <v/>
      </c>
      <c r="H2363" s="10" t="str">
        <f aca="false">IF($L2363="","",IF($L2363="@成本",购销流水!$U595,IF($L2363="@收入",购销流水!$T595,IF($L2363="@存货",购销流水!$S595,IF($L2363="@结算",购销流水!$R595,$L2363)))))</f>
        <v/>
      </c>
      <c r="I2363" s="42" t="n">
        <f aca="false">IF($M2363="借",$O2363,0)</f>
        <v>0</v>
      </c>
      <c r="J2363" s="42" t="n">
        <f aca="false">IF($M2363="贷",$O2363,0)</f>
        <v>0</v>
      </c>
      <c r="K2363" s="48" t="str">
        <f aca="false">IF($H2363="","",购销流水!$E595)</f>
        <v/>
      </c>
      <c r="L2363" s="66" t="str">
        <f aca="false">IF(购销流水!$D595="","",IFERROR(INDEX(记账规则!$A$6:$N$9,MATCH(购销流水!$D595,记账规则!$A$6:$A$9,0),6),""))</f>
        <v/>
      </c>
      <c r="M2363" s="66" t="str">
        <f aca="false">IF($L2363="","",IFERROR(INDEX(记账规则!$A$6:$N$9,MATCH(购销流水!$D595,记账规则!$A$6:$A$9,0),7),""))</f>
        <v/>
      </c>
      <c r="N2363" s="66" t="str">
        <f aca="false">IF($L2363="","",IFERROR(INDEX(记账规则!$A$6:$N$9,MATCH(购销流水!$D595,记账规则!$A$6:$A$9,0),8),""))</f>
        <v/>
      </c>
      <c r="O2363" s="67" t="n">
        <f aca="false">IF($H2363="",0,ROUND(IF($N2363="成本金额",N(购销流水!$W595),IF($N2363="金额",N(购销流水!$Q595),0)),2))</f>
        <v>0</v>
      </c>
      <c r="P2363" s="64" t="str">
        <f aca="false">IF(AND($H2363&lt;&gt;"",ROUND($O2363,2)&lt;&gt;0),"有","")</f>
        <v/>
      </c>
    </row>
    <row r="2364" customFormat="false" ht="15" hidden="true" customHeight="false" outlineLevel="0" collapsed="false">
      <c r="A2364" s="53" t="str">
        <f aca="false">IF($H2364="","",ROW()-5)</f>
        <v/>
      </c>
      <c r="B2364" s="64" t="s">
        <v>36</v>
      </c>
      <c r="C2364" s="53" t="n">
        <v>595</v>
      </c>
      <c r="D2364" s="53" t="n">
        <v>3</v>
      </c>
      <c r="E2364" s="65" t="str">
        <f aca="false">IF($H2364="","",购销流水!$B595)</f>
        <v/>
      </c>
      <c r="F2364" s="55" t="str">
        <f aca="false">IF($H2364="","",购销流水!$C595)</f>
        <v/>
      </c>
      <c r="G2364" s="48" t="str">
        <f aca="false">IF($H2364="","",购销流水!$N595)</f>
        <v/>
      </c>
      <c r="H2364" s="10" t="str">
        <f aca="false">IF($L2364="","",IF($L2364="@成本",购销流水!$U595,IF($L2364="@收入",购销流水!$T595,IF($L2364="@存货",购销流水!$S595,IF($L2364="@结算",购销流水!$R595,$L2364)))))</f>
        <v/>
      </c>
      <c r="I2364" s="42" t="n">
        <f aca="false">IF($M2364="借",$O2364,0)</f>
        <v>0</v>
      </c>
      <c r="J2364" s="42" t="n">
        <f aca="false">IF($M2364="贷",$O2364,0)</f>
        <v>0</v>
      </c>
      <c r="K2364" s="48" t="str">
        <f aca="false">IF($H2364="","",购销流水!$E595)</f>
        <v/>
      </c>
      <c r="L2364" s="66" t="str">
        <f aca="false">IF(购销流水!$D595="","",IFERROR(INDEX(记账规则!$A$6:$N$9,MATCH(购销流水!$D595,记账规则!$A$6:$A$9,0),9),""))</f>
        <v/>
      </c>
      <c r="M2364" s="66" t="str">
        <f aca="false">IF($L2364="","",IFERROR(INDEX(记账规则!$A$6:$N$9,MATCH(购销流水!$D595,记账规则!$A$6:$A$9,0),10),""))</f>
        <v/>
      </c>
      <c r="N2364" s="66" t="str">
        <f aca="false">IF($L2364="","",IFERROR(INDEX(记账规则!$A$6:$N$9,MATCH(购销流水!$D595,记账规则!$A$6:$A$9,0),11),""))</f>
        <v/>
      </c>
      <c r="O2364" s="67" t="n">
        <f aca="false">IF($H2364="",0,ROUND(IF($N2364="成本金额",N(购销流水!$W595),IF($N2364="金额",N(购销流水!$Q595),0)),2))</f>
        <v>0</v>
      </c>
      <c r="P2364" s="64" t="str">
        <f aca="false">IF(AND($H2364&lt;&gt;"",ROUND($O2364,2)&lt;&gt;0),"有","")</f>
        <v/>
      </c>
    </row>
    <row r="2365" customFormat="false" ht="15" hidden="true" customHeight="false" outlineLevel="0" collapsed="false">
      <c r="A2365" s="53" t="str">
        <f aca="false">IF($H2365="","",ROW()-5)</f>
        <v/>
      </c>
      <c r="B2365" s="64" t="s">
        <v>36</v>
      </c>
      <c r="C2365" s="53" t="n">
        <v>595</v>
      </c>
      <c r="D2365" s="53" t="n">
        <v>4</v>
      </c>
      <c r="E2365" s="65" t="str">
        <f aca="false">IF($H2365="","",购销流水!$B595)</f>
        <v/>
      </c>
      <c r="F2365" s="55" t="str">
        <f aca="false">IF($H2365="","",购销流水!$C595)</f>
        <v/>
      </c>
      <c r="G2365" s="48" t="str">
        <f aca="false">IF($H2365="","",购销流水!$N595)</f>
        <v/>
      </c>
      <c r="H2365" s="10" t="str">
        <f aca="false">IF($L2365="","",IF($L2365="@成本",购销流水!$U595,IF($L2365="@收入",购销流水!$T595,IF($L2365="@存货",购销流水!$S595,IF($L2365="@结算",购销流水!$R595,$L2365)))))</f>
        <v/>
      </c>
      <c r="I2365" s="42" t="n">
        <f aca="false">IF($M2365="借",$O2365,0)</f>
        <v>0</v>
      </c>
      <c r="J2365" s="42" t="n">
        <f aca="false">IF($M2365="贷",$O2365,0)</f>
        <v>0</v>
      </c>
      <c r="K2365" s="48" t="str">
        <f aca="false">IF($H2365="","",购销流水!$E595)</f>
        <v/>
      </c>
      <c r="L2365" s="66" t="str">
        <f aca="false">IF(购销流水!$D595="","",IFERROR(INDEX(记账规则!$A$6:$N$9,MATCH(购销流水!$D595,记账规则!$A$6:$A$9,0),12),""))</f>
        <v/>
      </c>
      <c r="M2365" s="66" t="str">
        <f aca="false">IF($L2365="","",IFERROR(INDEX(记账规则!$A$6:$N$9,MATCH(购销流水!$D595,记账规则!$A$6:$A$9,0),13),""))</f>
        <v/>
      </c>
      <c r="N2365" s="66" t="str">
        <f aca="false">IF($L2365="","",IFERROR(INDEX(记账规则!$A$6:$N$9,MATCH(购销流水!$D595,记账规则!$A$6:$A$9,0),14),""))</f>
        <v/>
      </c>
      <c r="O2365" s="67" t="n">
        <f aca="false">IF($H2365="",0,ROUND(IF($N2365="成本金额",N(购销流水!$W595),IF($N2365="金额",N(购销流水!$Q595),0)),2))</f>
        <v>0</v>
      </c>
      <c r="P2365" s="64" t="str">
        <f aca="false">IF(AND($H2365&lt;&gt;"",ROUND($O2365,2)&lt;&gt;0),"有","")</f>
        <v/>
      </c>
    </row>
    <row r="2366" customFormat="false" ht="15" hidden="true" customHeight="false" outlineLevel="0" collapsed="false">
      <c r="A2366" s="53" t="str">
        <f aca="false">IF($H2366="","",ROW()-5)</f>
        <v/>
      </c>
      <c r="B2366" s="64" t="s">
        <v>36</v>
      </c>
      <c r="C2366" s="53" t="n">
        <v>596</v>
      </c>
      <c r="D2366" s="53" t="n">
        <v>1</v>
      </c>
      <c r="E2366" s="65" t="str">
        <f aca="false">IF($H2366="","",购销流水!$B596)</f>
        <v/>
      </c>
      <c r="F2366" s="55" t="str">
        <f aca="false">IF($H2366="","",购销流水!$C596)</f>
        <v/>
      </c>
      <c r="G2366" s="48" t="str">
        <f aca="false">IF($H2366="","",购销流水!$N596)</f>
        <v/>
      </c>
      <c r="H2366" s="10" t="str">
        <f aca="false">IF($L2366="","",IF($L2366="@成本",购销流水!$U596,IF($L2366="@收入",购销流水!$T596,IF($L2366="@存货",购销流水!$S596,IF($L2366="@结算",购销流水!$R596,$L2366)))))</f>
        <v/>
      </c>
      <c r="I2366" s="42" t="n">
        <f aca="false">IF($M2366="借",$O2366,0)</f>
        <v>0</v>
      </c>
      <c r="J2366" s="42" t="n">
        <f aca="false">IF($M2366="贷",$O2366,0)</f>
        <v>0</v>
      </c>
      <c r="K2366" s="48" t="str">
        <f aca="false">IF($H2366="","",购销流水!$E596)</f>
        <v/>
      </c>
      <c r="L2366" s="66" t="str">
        <f aca="false">IF(购销流水!$D596="","",IFERROR(INDEX(记账规则!$A$6:$N$9,MATCH(购销流水!$D596,记账规则!$A$6:$A$9,0),3),""))</f>
        <v/>
      </c>
      <c r="M2366" s="66" t="str">
        <f aca="false">IF($L2366="","",IFERROR(INDEX(记账规则!$A$6:$N$9,MATCH(购销流水!$D596,记账规则!$A$6:$A$9,0),4),""))</f>
        <v/>
      </c>
      <c r="N2366" s="66" t="str">
        <f aca="false">IF($L2366="","",IFERROR(INDEX(记账规则!$A$6:$N$9,MATCH(购销流水!$D596,记账规则!$A$6:$A$9,0),5),""))</f>
        <v/>
      </c>
      <c r="O2366" s="67" t="n">
        <f aca="false">IF($H2366="",0,ROUND(IF($N2366="成本金额",N(购销流水!$W596),IF($N2366="金额",N(购销流水!$Q596),0)),2))</f>
        <v>0</v>
      </c>
      <c r="P2366" s="64" t="str">
        <f aca="false">IF(AND($H2366&lt;&gt;"",ROUND($O2366,2)&lt;&gt;0),"有","")</f>
        <v/>
      </c>
    </row>
    <row r="2367" customFormat="false" ht="15" hidden="true" customHeight="false" outlineLevel="0" collapsed="false">
      <c r="A2367" s="53" t="str">
        <f aca="false">IF($H2367="","",ROW()-5)</f>
        <v/>
      </c>
      <c r="B2367" s="64" t="s">
        <v>36</v>
      </c>
      <c r="C2367" s="53" t="n">
        <v>596</v>
      </c>
      <c r="D2367" s="53" t="n">
        <v>2</v>
      </c>
      <c r="E2367" s="65" t="str">
        <f aca="false">IF($H2367="","",购销流水!$B596)</f>
        <v/>
      </c>
      <c r="F2367" s="55" t="str">
        <f aca="false">IF($H2367="","",购销流水!$C596)</f>
        <v/>
      </c>
      <c r="G2367" s="48" t="str">
        <f aca="false">IF($H2367="","",购销流水!$N596)</f>
        <v/>
      </c>
      <c r="H2367" s="10" t="str">
        <f aca="false">IF($L2367="","",IF($L2367="@成本",购销流水!$U596,IF($L2367="@收入",购销流水!$T596,IF($L2367="@存货",购销流水!$S596,IF($L2367="@结算",购销流水!$R596,$L2367)))))</f>
        <v/>
      </c>
      <c r="I2367" s="42" t="n">
        <f aca="false">IF($M2367="借",$O2367,0)</f>
        <v>0</v>
      </c>
      <c r="J2367" s="42" t="n">
        <f aca="false">IF($M2367="贷",$O2367,0)</f>
        <v>0</v>
      </c>
      <c r="K2367" s="48" t="str">
        <f aca="false">IF($H2367="","",购销流水!$E596)</f>
        <v/>
      </c>
      <c r="L2367" s="66" t="str">
        <f aca="false">IF(购销流水!$D596="","",IFERROR(INDEX(记账规则!$A$6:$N$9,MATCH(购销流水!$D596,记账规则!$A$6:$A$9,0),6),""))</f>
        <v/>
      </c>
      <c r="M2367" s="66" t="str">
        <f aca="false">IF($L2367="","",IFERROR(INDEX(记账规则!$A$6:$N$9,MATCH(购销流水!$D596,记账规则!$A$6:$A$9,0),7),""))</f>
        <v/>
      </c>
      <c r="N2367" s="66" t="str">
        <f aca="false">IF($L2367="","",IFERROR(INDEX(记账规则!$A$6:$N$9,MATCH(购销流水!$D596,记账规则!$A$6:$A$9,0),8),""))</f>
        <v/>
      </c>
      <c r="O2367" s="67" t="n">
        <f aca="false">IF($H2367="",0,ROUND(IF($N2367="成本金额",N(购销流水!$W596),IF($N2367="金额",N(购销流水!$Q596),0)),2))</f>
        <v>0</v>
      </c>
      <c r="P2367" s="64" t="str">
        <f aca="false">IF(AND($H2367&lt;&gt;"",ROUND($O2367,2)&lt;&gt;0),"有","")</f>
        <v/>
      </c>
    </row>
    <row r="2368" customFormat="false" ht="15" hidden="true" customHeight="false" outlineLevel="0" collapsed="false">
      <c r="A2368" s="53" t="str">
        <f aca="false">IF($H2368="","",ROW()-5)</f>
        <v/>
      </c>
      <c r="B2368" s="64" t="s">
        <v>36</v>
      </c>
      <c r="C2368" s="53" t="n">
        <v>596</v>
      </c>
      <c r="D2368" s="53" t="n">
        <v>3</v>
      </c>
      <c r="E2368" s="65" t="str">
        <f aca="false">IF($H2368="","",购销流水!$B596)</f>
        <v/>
      </c>
      <c r="F2368" s="55" t="str">
        <f aca="false">IF($H2368="","",购销流水!$C596)</f>
        <v/>
      </c>
      <c r="G2368" s="48" t="str">
        <f aca="false">IF($H2368="","",购销流水!$N596)</f>
        <v/>
      </c>
      <c r="H2368" s="10" t="str">
        <f aca="false">IF($L2368="","",IF($L2368="@成本",购销流水!$U596,IF($L2368="@收入",购销流水!$T596,IF($L2368="@存货",购销流水!$S596,IF($L2368="@结算",购销流水!$R596,$L2368)))))</f>
        <v/>
      </c>
      <c r="I2368" s="42" t="n">
        <f aca="false">IF($M2368="借",$O2368,0)</f>
        <v>0</v>
      </c>
      <c r="J2368" s="42" t="n">
        <f aca="false">IF($M2368="贷",$O2368,0)</f>
        <v>0</v>
      </c>
      <c r="K2368" s="48" t="str">
        <f aca="false">IF($H2368="","",购销流水!$E596)</f>
        <v/>
      </c>
      <c r="L2368" s="66" t="str">
        <f aca="false">IF(购销流水!$D596="","",IFERROR(INDEX(记账规则!$A$6:$N$9,MATCH(购销流水!$D596,记账规则!$A$6:$A$9,0),9),""))</f>
        <v/>
      </c>
      <c r="M2368" s="66" t="str">
        <f aca="false">IF($L2368="","",IFERROR(INDEX(记账规则!$A$6:$N$9,MATCH(购销流水!$D596,记账规则!$A$6:$A$9,0),10),""))</f>
        <v/>
      </c>
      <c r="N2368" s="66" t="str">
        <f aca="false">IF($L2368="","",IFERROR(INDEX(记账规则!$A$6:$N$9,MATCH(购销流水!$D596,记账规则!$A$6:$A$9,0),11),""))</f>
        <v/>
      </c>
      <c r="O2368" s="67" t="n">
        <f aca="false">IF($H2368="",0,ROUND(IF($N2368="成本金额",N(购销流水!$W596),IF($N2368="金额",N(购销流水!$Q596),0)),2))</f>
        <v>0</v>
      </c>
      <c r="P2368" s="64" t="str">
        <f aca="false">IF(AND($H2368&lt;&gt;"",ROUND($O2368,2)&lt;&gt;0),"有","")</f>
        <v/>
      </c>
    </row>
    <row r="2369" customFormat="false" ht="15" hidden="true" customHeight="false" outlineLevel="0" collapsed="false">
      <c r="A2369" s="53" t="str">
        <f aca="false">IF($H2369="","",ROW()-5)</f>
        <v/>
      </c>
      <c r="B2369" s="64" t="s">
        <v>36</v>
      </c>
      <c r="C2369" s="53" t="n">
        <v>596</v>
      </c>
      <c r="D2369" s="53" t="n">
        <v>4</v>
      </c>
      <c r="E2369" s="65" t="str">
        <f aca="false">IF($H2369="","",购销流水!$B596)</f>
        <v/>
      </c>
      <c r="F2369" s="55" t="str">
        <f aca="false">IF($H2369="","",购销流水!$C596)</f>
        <v/>
      </c>
      <c r="G2369" s="48" t="str">
        <f aca="false">IF($H2369="","",购销流水!$N596)</f>
        <v/>
      </c>
      <c r="H2369" s="10" t="str">
        <f aca="false">IF($L2369="","",IF($L2369="@成本",购销流水!$U596,IF($L2369="@收入",购销流水!$T596,IF($L2369="@存货",购销流水!$S596,IF($L2369="@结算",购销流水!$R596,$L2369)))))</f>
        <v/>
      </c>
      <c r="I2369" s="42" t="n">
        <f aca="false">IF($M2369="借",$O2369,0)</f>
        <v>0</v>
      </c>
      <c r="J2369" s="42" t="n">
        <f aca="false">IF($M2369="贷",$O2369,0)</f>
        <v>0</v>
      </c>
      <c r="K2369" s="48" t="str">
        <f aca="false">IF($H2369="","",购销流水!$E596)</f>
        <v/>
      </c>
      <c r="L2369" s="66" t="str">
        <f aca="false">IF(购销流水!$D596="","",IFERROR(INDEX(记账规则!$A$6:$N$9,MATCH(购销流水!$D596,记账规则!$A$6:$A$9,0),12),""))</f>
        <v/>
      </c>
      <c r="M2369" s="66" t="str">
        <f aca="false">IF($L2369="","",IFERROR(INDEX(记账规则!$A$6:$N$9,MATCH(购销流水!$D596,记账规则!$A$6:$A$9,0),13),""))</f>
        <v/>
      </c>
      <c r="N2369" s="66" t="str">
        <f aca="false">IF($L2369="","",IFERROR(INDEX(记账规则!$A$6:$N$9,MATCH(购销流水!$D596,记账规则!$A$6:$A$9,0),14),""))</f>
        <v/>
      </c>
      <c r="O2369" s="67" t="n">
        <f aca="false">IF($H2369="",0,ROUND(IF($N2369="成本金额",N(购销流水!$W596),IF($N2369="金额",N(购销流水!$Q596),0)),2))</f>
        <v>0</v>
      </c>
      <c r="P2369" s="64" t="str">
        <f aca="false">IF(AND($H2369&lt;&gt;"",ROUND($O2369,2)&lt;&gt;0),"有","")</f>
        <v/>
      </c>
    </row>
    <row r="2370" customFormat="false" ht="15" hidden="true" customHeight="false" outlineLevel="0" collapsed="false">
      <c r="A2370" s="53" t="str">
        <f aca="false">IF($H2370="","",ROW()-5)</f>
        <v/>
      </c>
      <c r="B2370" s="64" t="s">
        <v>36</v>
      </c>
      <c r="C2370" s="53" t="n">
        <v>597</v>
      </c>
      <c r="D2370" s="53" t="n">
        <v>1</v>
      </c>
      <c r="E2370" s="65" t="str">
        <f aca="false">IF($H2370="","",购销流水!$B597)</f>
        <v/>
      </c>
      <c r="F2370" s="55" t="str">
        <f aca="false">IF($H2370="","",购销流水!$C597)</f>
        <v/>
      </c>
      <c r="G2370" s="48" t="str">
        <f aca="false">IF($H2370="","",购销流水!$N597)</f>
        <v/>
      </c>
      <c r="H2370" s="10" t="str">
        <f aca="false">IF($L2370="","",IF($L2370="@成本",购销流水!$U597,IF($L2370="@收入",购销流水!$T597,IF($L2370="@存货",购销流水!$S597,IF($L2370="@结算",购销流水!$R597,$L2370)))))</f>
        <v/>
      </c>
      <c r="I2370" s="42" t="n">
        <f aca="false">IF($M2370="借",$O2370,0)</f>
        <v>0</v>
      </c>
      <c r="J2370" s="42" t="n">
        <f aca="false">IF($M2370="贷",$O2370,0)</f>
        <v>0</v>
      </c>
      <c r="K2370" s="48" t="str">
        <f aca="false">IF($H2370="","",购销流水!$E597)</f>
        <v/>
      </c>
      <c r="L2370" s="66" t="str">
        <f aca="false">IF(购销流水!$D597="","",IFERROR(INDEX(记账规则!$A$6:$N$9,MATCH(购销流水!$D597,记账规则!$A$6:$A$9,0),3),""))</f>
        <v/>
      </c>
      <c r="M2370" s="66" t="str">
        <f aca="false">IF($L2370="","",IFERROR(INDEX(记账规则!$A$6:$N$9,MATCH(购销流水!$D597,记账规则!$A$6:$A$9,0),4),""))</f>
        <v/>
      </c>
      <c r="N2370" s="66" t="str">
        <f aca="false">IF($L2370="","",IFERROR(INDEX(记账规则!$A$6:$N$9,MATCH(购销流水!$D597,记账规则!$A$6:$A$9,0),5),""))</f>
        <v/>
      </c>
      <c r="O2370" s="67" t="n">
        <f aca="false">IF($H2370="",0,ROUND(IF($N2370="成本金额",N(购销流水!$W597),IF($N2370="金额",N(购销流水!$Q597),0)),2))</f>
        <v>0</v>
      </c>
      <c r="P2370" s="64" t="str">
        <f aca="false">IF(AND($H2370&lt;&gt;"",ROUND($O2370,2)&lt;&gt;0),"有","")</f>
        <v/>
      </c>
    </row>
    <row r="2371" customFormat="false" ht="15" hidden="true" customHeight="false" outlineLevel="0" collapsed="false">
      <c r="A2371" s="53" t="str">
        <f aca="false">IF($H2371="","",ROW()-5)</f>
        <v/>
      </c>
      <c r="B2371" s="64" t="s">
        <v>36</v>
      </c>
      <c r="C2371" s="53" t="n">
        <v>597</v>
      </c>
      <c r="D2371" s="53" t="n">
        <v>2</v>
      </c>
      <c r="E2371" s="65" t="str">
        <f aca="false">IF($H2371="","",购销流水!$B597)</f>
        <v/>
      </c>
      <c r="F2371" s="55" t="str">
        <f aca="false">IF($H2371="","",购销流水!$C597)</f>
        <v/>
      </c>
      <c r="G2371" s="48" t="str">
        <f aca="false">IF($H2371="","",购销流水!$N597)</f>
        <v/>
      </c>
      <c r="H2371" s="10" t="str">
        <f aca="false">IF($L2371="","",IF($L2371="@成本",购销流水!$U597,IF($L2371="@收入",购销流水!$T597,IF($L2371="@存货",购销流水!$S597,IF($L2371="@结算",购销流水!$R597,$L2371)))))</f>
        <v/>
      </c>
      <c r="I2371" s="42" t="n">
        <f aca="false">IF($M2371="借",$O2371,0)</f>
        <v>0</v>
      </c>
      <c r="J2371" s="42" t="n">
        <f aca="false">IF($M2371="贷",$O2371,0)</f>
        <v>0</v>
      </c>
      <c r="K2371" s="48" t="str">
        <f aca="false">IF($H2371="","",购销流水!$E597)</f>
        <v/>
      </c>
      <c r="L2371" s="66" t="str">
        <f aca="false">IF(购销流水!$D597="","",IFERROR(INDEX(记账规则!$A$6:$N$9,MATCH(购销流水!$D597,记账规则!$A$6:$A$9,0),6),""))</f>
        <v/>
      </c>
      <c r="M2371" s="66" t="str">
        <f aca="false">IF($L2371="","",IFERROR(INDEX(记账规则!$A$6:$N$9,MATCH(购销流水!$D597,记账规则!$A$6:$A$9,0),7),""))</f>
        <v/>
      </c>
      <c r="N2371" s="66" t="str">
        <f aca="false">IF($L2371="","",IFERROR(INDEX(记账规则!$A$6:$N$9,MATCH(购销流水!$D597,记账规则!$A$6:$A$9,0),8),""))</f>
        <v/>
      </c>
      <c r="O2371" s="67" t="n">
        <f aca="false">IF($H2371="",0,ROUND(IF($N2371="成本金额",N(购销流水!$W597),IF($N2371="金额",N(购销流水!$Q597),0)),2))</f>
        <v>0</v>
      </c>
      <c r="P2371" s="64" t="str">
        <f aca="false">IF(AND($H2371&lt;&gt;"",ROUND($O2371,2)&lt;&gt;0),"有","")</f>
        <v/>
      </c>
    </row>
    <row r="2372" customFormat="false" ht="15" hidden="true" customHeight="false" outlineLevel="0" collapsed="false">
      <c r="A2372" s="53" t="str">
        <f aca="false">IF($H2372="","",ROW()-5)</f>
        <v/>
      </c>
      <c r="B2372" s="64" t="s">
        <v>36</v>
      </c>
      <c r="C2372" s="53" t="n">
        <v>597</v>
      </c>
      <c r="D2372" s="53" t="n">
        <v>3</v>
      </c>
      <c r="E2372" s="65" t="str">
        <f aca="false">IF($H2372="","",购销流水!$B597)</f>
        <v/>
      </c>
      <c r="F2372" s="55" t="str">
        <f aca="false">IF($H2372="","",购销流水!$C597)</f>
        <v/>
      </c>
      <c r="G2372" s="48" t="str">
        <f aca="false">IF($H2372="","",购销流水!$N597)</f>
        <v/>
      </c>
      <c r="H2372" s="10" t="str">
        <f aca="false">IF($L2372="","",IF($L2372="@成本",购销流水!$U597,IF($L2372="@收入",购销流水!$T597,IF($L2372="@存货",购销流水!$S597,IF($L2372="@结算",购销流水!$R597,$L2372)))))</f>
        <v/>
      </c>
      <c r="I2372" s="42" t="n">
        <f aca="false">IF($M2372="借",$O2372,0)</f>
        <v>0</v>
      </c>
      <c r="J2372" s="42" t="n">
        <f aca="false">IF($M2372="贷",$O2372,0)</f>
        <v>0</v>
      </c>
      <c r="K2372" s="48" t="str">
        <f aca="false">IF($H2372="","",购销流水!$E597)</f>
        <v/>
      </c>
      <c r="L2372" s="66" t="str">
        <f aca="false">IF(购销流水!$D597="","",IFERROR(INDEX(记账规则!$A$6:$N$9,MATCH(购销流水!$D597,记账规则!$A$6:$A$9,0),9),""))</f>
        <v/>
      </c>
      <c r="M2372" s="66" t="str">
        <f aca="false">IF($L2372="","",IFERROR(INDEX(记账规则!$A$6:$N$9,MATCH(购销流水!$D597,记账规则!$A$6:$A$9,0),10),""))</f>
        <v/>
      </c>
      <c r="N2372" s="66" t="str">
        <f aca="false">IF($L2372="","",IFERROR(INDEX(记账规则!$A$6:$N$9,MATCH(购销流水!$D597,记账规则!$A$6:$A$9,0),11),""))</f>
        <v/>
      </c>
      <c r="O2372" s="67" t="n">
        <f aca="false">IF($H2372="",0,ROUND(IF($N2372="成本金额",N(购销流水!$W597),IF($N2372="金额",N(购销流水!$Q597),0)),2))</f>
        <v>0</v>
      </c>
      <c r="P2372" s="64" t="str">
        <f aca="false">IF(AND($H2372&lt;&gt;"",ROUND($O2372,2)&lt;&gt;0),"有","")</f>
        <v/>
      </c>
    </row>
    <row r="2373" customFormat="false" ht="15" hidden="true" customHeight="false" outlineLevel="0" collapsed="false">
      <c r="A2373" s="53" t="str">
        <f aca="false">IF($H2373="","",ROW()-5)</f>
        <v/>
      </c>
      <c r="B2373" s="64" t="s">
        <v>36</v>
      </c>
      <c r="C2373" s="53" t="n">
        <v>597</v>
      </c>
      <c r="D2373" s="53" t="n">
        <v>4</v>
      </c>
      <c r="E2373" s="65" t="str">
        <f aca="false">IF($H2373="","",购销流水!$B597)</f>
        <v/>
      </c>
      <c r="F2373" s="55" t="str">
        <f aca="false">IF($H2373="","",购销流水!$C597)</f>
        <v/>
      </c>
      <c r="G2373" s="48" t="str">
        <f aca="false">IF($H2373="","",购销流水!$N597)</f>
        <v/>
      </c>
      <c r="H2373" s="10" t="str">
        <f aca="false">IF($L2373="","",IF($L2373="@成本",购销流水!$U597,IF($L2373="@收入",购销流水!$T597,IF($L2373="@存货",购销流水!$S597,IF($L2373="@结算",购销流水!$R597,$L2373)))))</f>
        <v/>
      </c>
      <c r="I2373" s="42" t="n">
        <f aca="false">IF($M2373="借",$O2373,0)</f>
        <v>0</v>
      </c>
      <c r="J2373" s="42" t="n">
        <f aca="false">IF($M2373="贷",$O2373,0)</f>
        <v>0</v>
      </c>
      <c r="K2373" s="48" t="str">
        <f aca="false">IF($H2373="","",购销流水!$E597)</f>
        <v/>
      </c>
      <c r="L2373" s="66" t="str">
        <f aca="false">IF(购销流水!$D597="","",IFERROR(INDEX(记账规则!$A$6:$N$9,MATCH(购销流水!$D597,记账规则!$A$6:$A$9,0),12),""))</f>
        <v/>
      </c>
      <c r="M2373" s="66" t="str">
        <f aca="false">IF($L2373="","",IFERROR(INDEX(记账规则!$A$6:$N$9,MATCH(购销流水!$D597,记账规则!$A$6:$A$9,0),13),""))</f>
        <v/>
      </c>
      <c r="N2373" s="66" t="str">
        <f aca="false">IF($L2373="","",IFERROR(INDEX(记账规则!$A$6:$N$9,MATCH(购销流水!$D597,记账规则!$A$6:$A$9,0),14),""))</f>
        <v/>
      </c>
      <c r="O2373" s="67" t="n">
        <f aca="false">IF($H2373="",0,ROUND(IF($N2373="成本金额",N(购销流水!$W597),IF($N2373="金额",N(购销流水!$Q597),0)),2))</f>
        <v>0</v>
      </c>
      <c r="P2373" s="64" t="str">
        <f aca="false">IF(AND($H2373&lt;&gt;"",ROUND($O2373,2)&lt;&gt;0),"有","")</f>
        <v/>
      </c>
    </row>
    <row r="2374" customFormat="false" ht="15" hidden="true" customHeight="false" outlineLevel="0" collapsed="false">
      <c r="A2374" s="53" t="str">
        <f aca="false">IF($H2374="","",ROW()-5)</f>
        <v/>
      </c>
      <c r="B2374" s="64" t="s">
        <v>36</v>
      </c>
      <c r="C2374" s="53" t="n">
        <v>598</v>
      </c>
      <c r="D2374" s="53" t="n">
        <v>1</v>
      </c>
      <c r="E2374" s="65" t="str">
        <f aca="false">IF($H2374="","",购销流水!$B598)</f>
        <v/>
      </c>
      <c r="F2374" s="55" t="str">
        <f aca="false">IF($H2374="","",购销流水!$C598)</f>
        <v/>
      </c>
      <c r="G2374" s="48" t="str">
        <f aca="false">IF($H2374="","",购销流水!$N598)</f>
        <v/>
      </c>
      <c r="H2374" s="10" t="str">
        <f aca="false">IF($L2374="","",IF($L2374="@成本",购销流水!$U598,IF($L2374="@收入",购销流水!$T598,IF($L2374="@存货",购销流水!$S598,IF($L2374="@结算",购销流水!$R598,$L2374)))))</f>
        <v/>
      </c>
      <c r="I2374" s="42" t="n">
        <f aca="false">IF($M2374="借",$O2374,0)</f>
        <v>0</v>
      </c>
      <c r="J2374" s="42" t="n">
        <f aca="false">IF($M2374="贷",$O2374,0)</f>
        <v>0</v>
      </c>
      <c r="K2374" s="48" t="str">
        <f aca="false">IF($H2374="","",购销流水!$E598)</f>
        <v/>
      </c>
      <c r="L2374" s="66" t="str">
        <f aca="false">IF(购销流水!$D598="","",IFERROR(INDEX(记账规则!$A$6:$N$9,MATCH(购销流水!$D598,记账规则!$A$6:$A$9,0),3),""))</f>
        <v/>
      </c>
      <c r="M2374" s="66" t="str">
        <f aca="false">IF($L2374="","",IFERROR(INDEX(记账规则!$A$6:$N$9,MATCH(购销流水!$D598,记账规则!$A$6:$A$9,0),4),""))</f>
        <v/>
      </c>
      <c r="N2374" s="66" t="str">
        <f aca="false">IF($L2374="","",IFERROR(INDEX(记账规则!$A$6:$N$9,MATCH(购销流水!$D598,记账规则!$A$6:$A$9,0),5),""))</f>
        <v/>
      </c>
      <c r="O2374" s="67" t="n">
        <f aca="false">IF($H2374="",0,ROUND(IF($N2374="成本金额",N(购销流水!$W598),IF($N2374="金额",N(购销流水!$Q598),0)),2))</f>
        <v>0</v>
      </c>
      <c r="P2374" s="64" t="str">
        <f aca="false">IF(AND($H2374&lt;&gt;"",ROUND($O2374,2)&lt;&gt;0),"有","")</f>
        <v/>
      </c>
    </row>
    <row r="2375" customFormat="false" ht="15" hidden="true" customHeight="false" outlineLevel="0" collapsed="false">
      <c r="A2375" s="53" t="str">
        <f aca="false">IF($H2375="","",ROW()-5)</f>
        <v/>
      </c>
      <c r="B2375" s="64" t="s">
        <v>36</v>
      </c>
      <c r="C2375" s="53" t="n">
        <v>598</v>
      </c>
      <c r="D2375" s="53" t="n">
        <v>2</v>
      </c>
      <c r="E2375" s="65" t="str">
        <f aca="false">IF($H2375="","",购销流水!$B598)</f>
        <v/>
      </c>
      <c r="F2375" s="55" t="str">
        <f aca="false">IF($H2375="","",购销流水!$C598)</f>
        <v/>
      </c>
      <c r="G2375" s="48" t="str">
        <f aca="false">IF($H2375="","",购销流水!$N598)</f>
        <v/>
      </c>
      <c r="H2375" s="10" t="str">
        <f aca="false">IF($L2375="","",IF($L2375="@成本",购销流水!$U598,IF($L2375="@收入",购销流水!$T598,IF($L2375="@存货",购销流水!$S598,IF($L2375="@结算",购销流水!$R598,$L2375)))))</f>
        <v/>
      </c>
      <c r="I2375" s="42" t="n">
        <f aca="false">IF($M2375="借",$O2375,0)</f>
        <v>0</v>
      </c>
      <c r="J2375" s="42" t="n">
        <f aca="false">IF($M2375="贷",$O2375,0)</f>
        <v>0</v>
      </c>
      <c r="K2375" s="48" t="str">
        <f aca="false">IF($H2375="","",购销流水!$E598)</f>
        <v/>
      </c>
      <c r="L2375" s="66" t="str">
        <f aca="false">IF(购销流水!$D598="","",IFERROR(INDEX(记账规则!$A$6:$N$9,MATCH(购销流水!$D598,记账规则!$A$6:$A$9,0),6),""))</f>
        <v/>
      </c>
      <c r="M2375" s="66" t="str">
        <f aca="false">IF($L2375="","",IFERROR(INDEX(记账规则!$A$6:$N$9,MATCH(购销流水!$D598,记账规则!$A$6:$A$9,0),7),""))</f>
        <v/>
      </c>
      <c r="N2375" s="66" t="str">
        <f aca="false">IF($L2375="","",IFERROR(INDEX(记账规则!$A$6:$N$9,MATCH(购销流水!$D598,记账规则!$A$6:$A$9,0),8),""))</f>
        <v/>
      </c>
      <c r="O2375" s="67" t="n">
        <f aca="false">IF($H2375="",0,ROUND(IF($N2375="成本金额",N(购销流水!$W598),IF($N2375="金额",N(购销流水!$Q598),0)),2))</f>
        <v>0</v>
      </c>
      <c r="P2375" s="64" t="str">
        <f aca="false">IF(AND($H2375&lt;&gt;"",ROUND($O2375,2)&lt;&gt;0),"有","")</f>
        <v/>
      </c>
    </row>
    <row r="2376" customFormat="false" ht="15" hidden="true" customHeight="false" outlineLevel="0" collapsed="false">
      <c r="A2376" s="53" t="str">
        <f aca="false">IF($H2376="","",ROW()-5)</f>
        <v/>
      </c>
      <c r="B2376" s="64" t="s">
        <v>36</v>
      </c>
      <c r="C2376" s="53" t="n">
        <v>598</v>
      </c>
      <c r="D2376" s="53" t="n">
        <v>3</v>
      </c>
      <c r="E2376" s="65" t="str">
        <f aca="false">IF($H2376="","",购销流水!$B598)</f>
        <v/>
      </c>
      <c r="F2376" s="55" t="str">
        <f aca="false">IF($H2376="","",购销流水!$C598)</f>
        <v/>
      </c>
      <c r="G2376" s="48" t="str">
        <f aca="false">IF($H2376="","",购销流水!$N598)</f>
        <v/>
      </c>
      <c r="H2376" s="10" t="str">
        <f aca="false">IF($L2376="","",IF($L2376="@成本",购销流水!$U598,IF($L2376="@收入",购销流水!$T598,IF($L2376="@存货",购销流水!$S598,IF($L2376="@结算",购销流水!$R598,$L2376)))))</f>
        <v/>
      </c>
      <c r="I2376" s="42" t="n">
        <f aca="false">IF($M2376="借",$O2376,0)</f>
        <v>0</v>
      </c>
      <c r="J2376" s="42" t="n">
        <f aca="false">IF($M2376="贷",$O2376,0)</f>
        <v>0</v>
      </c>
      <c r="K2376" s="48" t="str">
        <f aca="false">IF($H2376="","",购销流水!$E598)</f>
        <v/>
      </c>
      <c r="L2376" s="66" t="str">
        <f aca="false">IF(购销流水!$D598="","",IFERROR(INDEX(记账规则!$A$6:$N$9,MATCH(购销流水!$D598,记账规则!$A$6:$A$9,0),9),""))</f>
        <v/>
      </c>
      <c r="M2376" s="66" t="str">
        <f aca="false">IF($L2376="","",IFERROR(INDEX(记账规则!$A$6:$N$9,MATCH(购销流水!$D598,记账规则!$A$6:$A$9,0),10),""))</f>
        <v/>
      </c>
      <c r="N2376" s="66" t="str">
        <f aca="false">IF($L2376="","",IFERROR(INDEX(记账规则!$A$6:$N$9,MATCH(购销流水!$D598,记账规则!$A$6:$A$9,0),11),""))</f>
        <v/>
      </c>
      <c r="O2376" s="67" t="n">
        <f aca="false">IF($H2376="",0,ROUND(IF($N2376="成本金额",N(购销流水!$W598),IF($N2376="金额",N(购销流水!$Q598),0)),2))</f>
        <v>0</v>
      </c>
      <c r="P2376" s="64" t="str">
        <f aca="false">IF(AND($H2376&lt;&gt;"",ROUND($O2376,2)&lt;&gt;0),"有","")</f>
        <v/>
      </c>
    </row>
    <row r="2377" customFormat="false" ht="15" hidden="true" customHeight="false" outlineLevel="0" collapsed="false">
      <c r="A2377" s="53" t="str">
        <f aca="false">IF($H2377="","",ROW()-5)</f>
        <v/>
      </c>
      <c r="B2377" s="64" t="s">
        <v>36</v>
      </c>
      <c r="C2377" s="53" t="n">
        <v>598</v>
      </c>
      <c r="D2377" s="53" t="n">
        <v>4</v>
      </c>
      <c r="E2377" s="65" t="str">
        <f aca="false">IF($H2377="","",购销流水!$B598)</f>
        <v/>
      </c>
      <c r="F2377" s="55" t="str">
        <f aca="false">IF($H2377="","",购销流水!$C598)</f>
        <v/>
      </c>
      <c r="G2377" s="48" t="str">
        <f aca="false">IF($H2377="","",购销流水!$N598)</f>
        <v/>
      </c>
      <c r="H2377" s="10" t="str">
        <f aca="false">IF($L2377="","",IF($L2377="@成本",购销流水!$U598,IF($L2377="@收入",购销流水!$T598,IF($L2377="@存货",购销流水!$S598,IF($L2377="@结算",购销流水!$R598,$L2377)))))</f>
        <v/>
      </c>
      <c r="I2377" s="42" t="n">
        <f aca="false">IF($M2377="借",$O2377,0)</f>
        <v>0</v>
      </c>
      <c r="J2377" s="42" t="n">
        <f aca="false">IF($M2377="贷",$O2377,0)</f>
        <v>0</v>
      </c>
      <c r="K2377" s="48" t="str">
        <f aca="false">IF($H2377="","",购销流水!$E598)</f>
        <v/>
      </c>
      <c r="L2377" s="66" t="str">
        <f aca="false">IF(购销流水!$D598="","",IFERROR(INDEX(记账规则!$A$6:$N$9,MATCH(购销流水!$D598,记账规则!$A$6:$A$9,0),12),""))</f>
        <v/>
      </c>
      <c r="M2377" s="66" t="str">
        <f aca="false">IF($L2377="","",IFERROR(INDEX(记账规则!$A$6:$N$9,MATCH(购销流水!$D598,记账规则!$A$6:$A$9,0),13),""))</f>
        <v/>
      </c>
      <c r="N2377" s="66" t="str">
        <f aca="false">IF($L2377="","",IFERROR(INDEX(记账规则!$A$6:$N$9,MATCH(购销流水!$D598,记账规则!$A$6:$A$9,0),14),""))</f>
        <v/>
      </c>
      <c r="O2377" s="67" t="n">
        <f aca="false">IF($H2377="",0,ROUND(IF($N2377="成本金额",N(购销流水!$W598),IF($N2377="金额",N(购销流水!$Q598),0)),2))</f>
        <v>0</v>
      </c>
      <c r="P2377" s="64" t="str">
        <f aca="false">IF(AND($H2377&lt;&gt;"",ROUND($O2377,2)&lt;&gt;0),"有","")</f>
        <v/>
      </c>
    </row>
    <row r="2378" customFormat="false" ht="15" hidden="true" customHeight="false" outlineLevel="0" collapsed="false">
      <c r="A2378" s="53" t="str">
        <f aca="false">IF($H2378="","",ROW()-5)</f>
        <v/>
      </c>
      <c r="B2378" s="64" t="s">
        <v>36</v>
      </c>
      <c r="C2378" s="53" t="n">
        <v>599</v>
      </c>
      <c r="D2378" s="53" t="n">
        <v>1</v>
      </c>
      <c r="E2378" s="65" t="str">
        <f aca="false">IF($H2378="","",购销流水!$B599)</f>
        <v/>
      </c>
      <c r="F2378" s="55" t="str">
        <f aca="false">IF($H2378="","",购销流水!$C599)</f>
        <v/>
      </c>
      <c r="G2378" s="48" t="str">
        <f aca="false">IF($H2378="","",购销流水!$N599)</f>
        <v/>
      </c>
      <c r="H2378" s="10" t="str">
        <f aca="false">IF($L2378="","",IF($L2378="@成本",购销流水!$U599,IF($L2378="@收入",购销流水!$T599,IF($L2378="@存货",购销流水!$S599,IF($L2378="@结算",购销流水!$R599,$L2378)))))</f>
        <v/>
      </c>
      <c r="I2378" s="42" t="n">
        <f aca="false">IF($M2378="借",$O2378,0)</f>
        <v>0</v>
      </c>
      <c r="J2378" s="42" t="n">
        <f aca="false">IF($M2378="贷",$O2378,0)</f>
        <v>0</v>
      </c>
      <c r="K2378" s="48" t="str">
        <f aca="false">IF($H2378="","",购销流水!$E599)</f>
        <v/>
      </c>
      <c r="L2378" s="66" t="str">
        <f aca="false">IF(购销流水!$D599="","",IFERROR(INDEX(记账规则!$A$6:$N$9,MATCH(购销流水!$D599,记账规则!$A$6:$A$9,0),3),""))</f>
        <v/>
      </c>
      <c r="M2378" s="66" t="str">
        <f aca="false">IF($L2378="","",IFERROR(INDEX(记账规则!$A$6:$N$9,MATCH(购销流水!$D599,记账规则!$A$6:$A$9,0),4),""))</f>
        <v/>
      </c>
      <c r="N2378" s="66" t="str">
        <f aca="false">IF($L2378="","",IFERROR(INDEX(记账规则!$A$6:$N$9,MATCH(购销流水!$D599,记账规则!$A$6:$A$9,0),5),""))</f>
        <v/>
      </c>
      <c r="O2378" s="67" t="n">
        <f aca="false">IF($H2378="",0,ROUND(IF($N2378="成本金额",N(购销流水!$W599),IF($N2378="金额",N(购销流水!$Q599),0)),2))</f>
        <v>0</v>
      </c>
      <c r="P2378" s="64" t="str">
        <f aca="false">IF(AND($H2378&lt;&gt;"",ROUND($O2378,2)&lt;&gt;0),"有","")</f>
        <v/>
      </c>
    </row>
    <row r="2379" customFormat="false" ht="15" hidden="true" customHeight="false" outlineLevel="0" collapsed="false">
      <c r="A2379" s="53" t="str">
        <f aca="false">IF($H2379="","",ROW()-5)</f>
        <v/>
      </c>
      <c r="B2379" s="64" t="s">
        <v>36</v>
      </c>
      <c r="C2379" s="53" t="n">
        <v>599</v>
      </c>
      <c r="D2379" s="53" t="n">
        <v>2</v>
      </c>
      <c r="E2379" s="65" t="str">
        <f aca="false">IF($H2379="","",购销流水!$B599)</f>
        <v/>
      </c>
      <c r="F2379" s="55" t="str">
        <f aca="false">IF($H2379="","",购销流水!$C599)</f>
        <v/>
      </c>
      <c r="G2379" s="48" t="str">
        <f aca="false">IF($H2379="","",购销流水!$N599)</f>
        <v/>
      </c>
      <c r="H2379" s="10" t="str">
        <f aca="false">IF($L2379="","",IF($L2379="@成本",购销流水!$U599,IF($L2379="@收入",购销流水!$T599,IF($L2379="@存货",购销流水!$S599,IF($L2379="@结算",购销流水!$R599,$L2379)))))</f>
        <v/>
      </c>
      <c r="I2379" s="42" t="n">
        <f aca="false">IF($M2379="借",$O2379,0)</f>
        <v>0</v>
      </c>
      <c r="J2379" s="42" t="n">
        <f aca="false">IF($M2379="贷",$O2379,0)</f>
        <v>0</v>
      </c>
      <c r="K2379" s="48" t="str">
        <f aca="false">IF($H2379="","",购销流水!$E599)</f>
        <v/>
      </c>
      <c r="L2379" s="66" t="str">
        <f aca="false">IF(购销流水!$D599="","",IFERROR(INDEX(记账规则!$A$6:$N$9,MATCH(购销流水!$D599,记账规则!$A$6:$A$9,0),6),""))</f>
        <v/>
      </c>
      <c r="M2379" s="66" t="str">
        <f aca="false">IF($L2379="","",IFERROR(INDEX(记账规则!$A$6:$N$9,MATCH(购销流水!$D599,记账规则!$A$6:$A$9,0),7),""))</f>
        <v/>
      </c>
      <c r="N2379" s="66" t="str">
        <f aca="false">IF($L2379="","",IFERROR(INDEX(记账规则!$A$6:$N$9,MATCH(购销流水!$D599,记账规则!$A$6:$A$9,0),8),""))</f>
        <v/>
      </c>
      <c r="O2379" s="67" t="n">
        <f aca="false">IF($H2379="",0,ROUND(IF($N2379="成本金额",N(购销流水!$W599),IF($N2379="金额",N(购销流水!$Q599),0)),2))</f>
        <v>0</v>
      </c>
      <c r="P2379" s="64" t="str">
        <f aca="false">IF(AND($H2379&lt;&gt;"",ROUND($O2379,2)&lt;&gt;0),"有","")</f>
        <v/>
      </c>
    </row>
    <row r="2380" customFormat="false" ht="15" hidden="true" customHeight="false" outlineLevel="0" collapsed="false">
      <c r="A2380" s="53" t="str">
        <f aca="false">IF($H2380="","",ROW()-5)</f>
        <v/>
      </c>
      <c r="B2380" s="64" t="s">
        <v>36</v>
      </c>
      <c r="C2380" s="53" t="n">
        <v>599</v>
      </c>
      <c r="D2380" s="53" t="n">
        <v>3</v>
      </c>
      <c r="E2380" s="65" t="str">
        <f aca="false">IF($H2380="","",购销流水!$B599)</f>
        <v/>
      </c>
      <c r="F2380" s="55" t="str">
        <f aca="false">IF($H2380="","",购销流水!$C599)</f>
        <v/>
      </c>
      <c r="G2380" s="48" t="str">
        <f aca="false">IF($H2380="","",购销流水!$N599)</f>
        <v/>
      </c>
      <c r="H2380" s="10" t="str">
        <f aca="false">IF($L2380="","",IF($L2380="@成本",购销流水!$U599,IF($L2380="@收入",购销流水!$T599,IF($L2380="@存货",购销流水!$S599,IF($L2380="@结算",购销流水!$R599,$L2380)))))</f>
        <v/>
      </c>
      <c r="I2380" s="42" t="n">
        <f aca="false">IF($M2380="借",$O2380,0)</f>
        <v>0</v>
      </c>
      <c r="J2380" s="42" t="n">
        <f aca="false">IF($M2380="贷",$O2380,0)</f>
        <v>0</v>
      </c>
      <c r="K2380" s="48" t="str">
        <f aca="false">IF($H2380="","",购销流水!$E599)</f>
        <v/>
      </c>
      <c r="L2380" s="66" t="str">
        <f aca="false">IF(购销流水!$D599="","",IFERROR(INDEX(记账规则!$A$6:$N$9,MATCH(购销流水!$D599,记账规则!$A$6:$A$9,0),9),""))</f>
        <v/>
      </c>
      <c r="M2380" s="66" t="str">
        <f aca="false">IF($L2380="","",IFERROR(INDEX(记账规则!$A$6:$N$9,MATCH(购销流水!$D599,记账规则!$A$6:$A$9,0),10),""))</f>
        <v/>
      </c>
      <c r="N2380" s="66" t="str">
        <f aca="false">IF($L2380="","",IFERROR(INDEX(记账规则!$A$6:$N$9,MATCH(购销流水!$D599,记账规则!$A$6:$A$9,0),11),""))</f>
        <v/>
      </c>
      <c r="O2380" s="67" t="n">
        <f aca="false">IF($H2380="",0,ROUND(IF($N2380="成本金额",N(购销流水!$W599),IF($N2380="金额",N(购销流水!$Q599),0)),2))</f>
        <v>0</v>
      </c>
      <c r="P2380" s="64" t="str">
        <f aca="false">IF(AND($H2380&lt;&gt;"",ROUND($O2380,2)&lt;&gt;0),"有","")</f>
        <v/>
      </c>
    </row>
    <row r="2381" customFormat="false" ht="15" hidden="true" customHeight="false" outlineLevel="0" collapsed="false">
      <c r="A2381" s="53" t="str">
        <f aca="false">IF($H2381="","",ROW()-5)</f>
        <v/>
      </c>
      <c r="B2381" s="64" t="s">
        <v>36</v>
      </c>
      <c r="C2381" s="53" t="n">
        <v>599</v>
      </c>
      <c r="D2381" s="53" t="n">
        <v>4</v>
      </c>
      <c r="E2381" s="65" t="str">
        <f aca="false">IF($H2381="","",购销流水!$B599)</f>
        <v/>
      </c>
      <c r="F2381" s="55" t="str">
        <f aca="false">IF($H2381="","",购销流水!$C599)</f>
        <v/>
      </c>
      <c r="G2381" s="48" t="str">
        <f aca="false">IF($H2381="","",购销流水!$N599)</f>
        <v/>
      </c>
      <c r="H2381" s="10" t="str">
        <f aca="false">IF($L2381="","",IF($L2381="@成本",购销流水!$U599,IF($L2381="@收入",购销流水!$T599,IF($L2381="@存货",购销流水!$S599,IF($L2381="@结算",购销流水!$R599,$L2381)))))</f>
        <v/>
      </c>
      <c r="I2381" s="42" t="n">
        <f aca="false">IF($M2381="借",$O2381,0)</f>
        <v>0</v>
      </c>
      <c r="J2381" s="42" t="n">
        <f aca="false">IF($M2381="贷",$O2381,0)</f>
        <v>0</v>
      </c>
      <c r="K2381" s="48" t="str">
        <f aca="false">IF($H2381="","",购销流水!$E599)</f>
        <v/>
      </c>
      <c r="L2381" s="66" t="str">
        <f aca="false">IF(购销流水!$D599="","",IFERROR(INDEX(记账规则!$A$6:$N$9,MATCH(购销流水!$D599,记账规则!$A$6:$A$9,0),12),""))</f>
        <v/>
      </c>
      <c r="M2381" s="66" t="str">
        <f aca="false">IF($L2381="","",IFERROR(INDEX(记账规则!$A$6:$N$9,MATCH(购销流水!$D599,记账规则!$A$6:$A$9,0),13),""))</f>
        <v/>
      </c>
      <c r="N2381" s="66" t="str">
        <f aca="false">IF($L2381="","",IFERROR(INDEX(记账规则!$A$6:$N$9,MATCH(购销流水!$D599,记账规则!$A$6:$A$9,0),14),""))</f>
        <v/>
      </c>
      <c r="O2381" s="67" t="n">
        <f aca="false">IF($H2381="",0,ROUND(IF($N2381="成本金额",N(购销流水!$W599),IF($N2381="金额",N(购销流水!$Q599),0)),2))</f>
        <v>0</v>
      </c>
      <c r="P2381" s="64" t="str">
        <f aca="false">IF(AND($H2381&lt;&gt;"",ROUND($O2381,2)&lt;&gt;0),"有","")</f>
        <v/>
      </c>
    </row>
    <row r="2382" customFormat="false" ht="15" hidden="true" customHeight="false" outlineLevel="0" collapsed="false">
      <c r="A2382" s="53" t="str">
        <f aca="false">IF($H2382="","",ROW()-5)</f>
        <v/>
      </c>
      <c r="B2382" s="64" t="s">
        <v>36</v>
      </c>
      <c r="C2382" s="53" t="n">
        <v>600</v>
      </c>
      <c r="D2382" s="53" t="n">
        <v>1</v>
      </c>
      <c r="E2382" s="65" t="str">
        <f aca="false">IF($H2382="","",购销流水!$B600)</f>
        <v/>
      </c>
      <c r="F2382" s="55" t="str">
        <f aca="false">IF($H2382="","",购销流水!$C600)</f>
        <v/>
      </c>
      <c r="G2382" s="48" t="str">
        <f aca="false">IF($H2382="","",购销流水!$N600)</f>
        <v/>
      </c>
      <c r="H2382" s="10" t="str">
        <f aca="false">IF($L2382="","",IF($L2382="@成本",购销流水!$U600,IF($L2382="@收入",购销流水!$T600,IF($L2382="@存货",购销流水!$S600,IF($L2382="@结算",购销流水!$R600,$L2382)))))</f>
        <v/>
      </c>
      <c r="I2382" s="42" t="n">
        <f aca="false">IF($M2382="借",$O2382,0)</f>
        <v>0</v>
      </c>
      <c r="J2382" s="42" t="n">
        <f aca="false">IF($M2382="贷",$O2382,0)</f>
        <v>0</v>
      </c>
      <c r="K2382" s="48" t="str">
        <f aca="false">IF($H2382="","",购销流水!$E600)</f>
        <v/>
      </c>
      <c r="L2382" s="66" t="str">
        <f aca="false">IF(购销流水!$D600="","",IFERROR(INDEX(记账规则!$A$6:$N$9,MATCH(购销流水!$D600,记账规则!$A$6:$A$9,0),3),""))</f>
        <v/>
      </c>
      <c r="M2382" s="66" t="str">
        <f aca="false">IF($L2382="","",IFERROR(INDEX(记账规则!$A$6:$N$9,MATCH(购销流水!$D600,记账规则!$A$6:$A$9,0),4),""))</f>
        <v/>
      </c>
      <c r="N2382" s="66" t="str">
        <f aca="false">IF($L2382="","",IFERROR(INDEX(记账规则!$A$6:$N$9,MATCH(购销流水!$D600,记账规则!$A$6:$A$9,0),5),""))</f>
        <v/>
      </c>
      <c r="O2382" s="67" t="n">
        <f aca="false">IF($H2382="",0,ROUND(IF($N2382="成本金额",N(购销流水!$W600),IF($N2382="金额",N(购销流水!$Q600),0)),2))</f>
        <v>0</v>
      </c>
      <c r="P2382" s="64" t="str">
        <f aca="false">IF(AND($H2382&lt;&gt;"",ROUND($O2382,2)&lt;&gt;0),"有","")</f>
        <v/>
      </c>
    </row>
    <row r="2383" customFormat="false" ht="15" hidden="true" customHeight="false" outlineLevel="0" collapsed="false">
      <c r="A2383" s="53" t="str">
        <f aca="false">IF($H2383="","",ROW()-5)</f>
        <v/>
      </c>
      <c r="B2383" s="64" t="s">
        <v>36</v>
      </c>
      <c r="C2383" s="53" t="n">
        <v>600</v>
      </c>
      <c r="D2383" s="53" t="n">
        <v>2</v>
      </c>
      <c r="E2383" s="65" t="str">
        <f aca="false">IF($H2383="","",购销流水!$B600)</f>
        <v/>
      </c>
      <c r="F2383" s="55" t="str">
        <f aca="false">IF($H2383="","",购销流水!$C600)</f>
        <v/>
      </c>
      <c r="G2383" s="48" t="str">
        <f aca="false">IF($H2383="","",购销流水!$N600)</f>
        <v/>
      </c>
      <c r="H2383" s="10" t="str">
        <f aca="false">IF($L2383="","",IF($L2383="@成本",购销流水!$U600,IF($L2383="@收入",购销流水!$T600,IF($L2383="@存货",购销流水!$S600,IF($L2383="@结算",购销流水!$R600,$L2383)))))</f>
        <v/>
      </c>
      <c r="I2383" s="42" t="n">
        <f aca="false">IF($M2383="借",$O2383,0)</f>
        <v>0</v>
      </c>
      <c r="J2383" s="42" t="n">
        <f aca="false">IF($M2383="贷",$O2383,0)</f>
        <v>0</v>
      </c>
      <c r="K2383" s="48" t="str">
        <f aca="false">IF($H2383="","",购销流水!$E600)</f>
        <v/>
      </c>
      <c r="L2383" s="66" t="str">
        <f aca="false">IF(购销流水!$D600="","",IFERROR(INDEX(记账规则!$A$6:$N$9,MATCH(购销流水!$D600,记账规则!$A$6:$A$9,0),6),""))</f>
        <v/>
      </c>
      <c r="M2383" s="66" t="str">
        <f aca="false">IF($L2383="","",IFERROR(INDEX(记账规则!$A$6:$N$9,MATCH(购销流水!$D600,记账规则!$A$6:$A$9,0),7),""))</f>
        <v/>
      </c>
      <c r="N2383" s="66" t="str">
        <f aca="false">IF($L2383="","",IFERROR(INDEX(记账规则!$A$6:$N$9,MATCH(购销流水!$D600,记账规则!$A$6:$A$9,0),8),""))</f>
        <v/>
      </c>
      <c r="O2383" s="67" t="n">
        <f aca="false">IF($H2383="",0,ROUND(IF($N2383="成本金额",N(购销流水!$W600),IF($N2383="金额",N(购销流水!$Q600),0)),2))</f>
        <v>0</v>
      </c>
      <c r="P2383" s="64" t="str">
        <f aca="false">IF(AND($H2383&lt;&gt;"",ROUND($O2383,2)&lt;&gt;0),"有","")</f>
        <v/>
      </c>
    </row>
    <row r="2384" customFormat="false" ht="15" hidden="true" customHeight="false" outlineLevel="0" collapsed="false">
      <c r="A2384" s="53" t="str">
        <f aca="false">IF($H2384="","",ROW()-5)</f>
        <v/>
      </c>
      <c r="B2384" s="64" t="s">
        <v>36</v>
      </c>
      <c r="C2384" s="53" t="n">
        <v>600</v>
      </c>
      <c r="D2384" s="53" t="n">
        <v>3</v>
      </c>
      <c r="E2384" s="65" t="str">
        <f aca="false">IF($H2384="","",购销流水!$B600)</f>
        <v/>
      </c>
      <c r="F2384" s="55" t="str">
        <f aca="false">IF($H2384="","",购销流水!$C600)</f>
        <v/>
      </c>
      <c r="G2384" s="48" t="str">
        <f aca="false">IF($H2384="","",购销流水!$N600)</f>
        <v/>
      </c>
      <c r="H2384" s="10" t="str">
        <f aca="false">IF($L2384="","",IF($L2384="@成本",购销流水!$U600,IF($L2384="@收入",购销流水!$T600,IF($L2384="@存货",购销流水!$S600,IF($L2384="@结算",购销流水!$R600,$L2384)))))</f>
        <v/>
      </c>
      <c r="I2384" s="42" t="n">
        <f aca="false">IF($M2384="借",$O2384,0)</f>
        <v>0</v>
      </c>
      <c r="J2384" s="42" t="n">
        <f aca="false">IF($M2384="贷",$O2384,0)</f>
        <v>0</v>
      </c>
      <c r="K2384" s="48" t="str">
        <f aca="false">IF($H2384="","",购销流水!$E600)</f>
        <v/>
      </c>
      <c r="L2384" s="66" t="str">
        <f aca="false">IF(购销流水!$D600="","",IFERROR(INDEX(记账规则!$A$6:$N$9,MATCH(购销流水!$D600,记账规则!$A$6:$A$9,0),9),""))</f>
        <v/>
      </c>
      <c r="M2384" s="66" t="str">
        <f aca="false">IF($L2384="","",IFERROR(INDEX(记账规则!$A$6:$N$9,MATCH(购销流水!$D600,记账规则!$A$6:$A$9,0),10),""))</f>
        <v/>
      </c>
      <c r="N2384" s="66" t="str">
        <f aca="false">IF($L2384="","",IFERROR(INDEX(记账规则!$A$6:$N$9,MATCH(购销流水!$D600,记账规则!$A$6:$A$9,0),11),""))</f>
        <v/>
      </c>
      <c r="O2384" s="67" t="n">
        <f aca="false">IF($H2384="",0,ROUND(IF($N2384="成本金额",N(购销流水!$W600),IF($N2384="金额",N(购销流水!$Q600),0)),2))</f>
        <v>0</v>
      </c>
      <c r="P2384" s="64" t="str">
        <f aca="false">IF(AND($H2384&lt;&gt;"",ROUND($O2384,2)&lt;&gt;0),"有","")</f>
        <v/>
      </c>
    </row>
    <row r="2385" customFormat="false" ht="15" hidden="true" customHeight="false" outlineLevel="0" collapsed="false">
      <c r="A2385" s="53" t="str">
        <f aca="false">IF($H2385="","",ROW()-5)</f>
        <v/>
      </c>
      <c r="B2385" s="64" t="s">
        <v>36</v>
      </c>
      <c r="C2385" s="53" t="n">
        <v>600</v>
      </c>
      <c r="D2385" s="53" t="n">
        <v>4</v>
      </c>
      <c r="E2385" s="65" t="str">
        <f aca="false">IF($H2385="","",购销流水!$B600)</f>
        <v/>
      </c>
      <c r="F2385" s="55" t="str">
        <f aca="false">IF($H2385="","",购销流水!$C600)</f>
        <v/>
      </c>
      <c r="G2385" s="48" t="str">
        <f aca="false">IF($H2385="","",购销流水!$N600)</f>
        <v/>
      </c>
      <c r="H2385" s="10" t="str">
        <f aca="false">IF($L2385="","",IF($L2385="@成本",购销流水!$U600,IF($L2385="@收入",购销流水!$T600,IF($L2385="@存货",购销流水!$S600,IF($L2385="@结算",购销流水!$R600,$L2385)))))</f>
        <v/>
      </c>
      <c r="I2385" s="42" t="n">
        <f aca="false">IF($M2385="借",$O2385,0)</f>
        <v>0</v>
      </c>
      <c r="J2385" s="42" t="n">
        <f aca="false">IF($M2385="贷",$O2385,0)</f>
        <v>0</v>
      </c>
      <c r="K2385" s="48" t="str">
        <f aca="false">IF($H2385="","",购销流水!$E600)</f>
        <v/>
      </c>
      <c r="L2385" s="66" t="str">
        <f aca="false">IF(购销流水!$D600="","",IFERROR(INDEX(记账规则!$A$6:$N$9,MATCH(购销流水!$D600,记账规则!$A$6:$A$9,0),12),""))</f>
        <v/>
      </c>
      <c r="M2385" s="66" t="str">
        <f aca="false">IF($L2385="","",IFERROR(INDEX(记账规则!$A$6:$N$9,MATCH(购销流水!$D600,记账规则!$A$6:$A$9,0),13),""))</f>
        <v/>
      </c>
      <c r="N2385" s="66" t="str">
        <f aca="false">IF($L2385="","",IFERROR(INDEX(记账规则!$A$6:$N$9,MATCH(购销流水!$D600,记账规则!$A$6:$A$9,0),14),""))</f>
        <v/>
      </c>
      <c r="O2385" s="67" t="n">
        <f aca="false">IF($H2385="",0,ROUND(IF($N2385="成本金额",N(购销流水!$W600),IF($N2385="金额",N(购销流水!$Q600),0)),2))</f>
        <v>0</v>
      </c>
      <c r="P2385" s="64" t="str">
        <f aca="false">IF(AND($H2385&lt;&gt;"",ROUND($O2385,2)&lt;&gt;0),"有","")</f>
        <v/>
      </c>
    </row>
    <row r="2386" customFormat="false" ht="15" hidden="true" customHeight="false" outlineLevel="0" collapsed="false">
      <c r="A2386" s="53" t="str">
        <f aca="false">IF($H2386="","",ROW()-5)</f>
        <v/>
      </c>
      <c r="B2386" s="64" t="s">
        <v>36</v>
      </c>
      <c r="C2386" s="53" t="n">
        <v>601</v>
      </c>
      <c r="D2386" s="53" t="n">
        <v>1</v>
      </c>
      <c r="E2386" s="65" t="str">
        <f aca="false">IF($H2386="","",购销流水!$B601)</f>
        <v/>
      </c>
      <c r="F2386" s="55" t="str">
        <f aca="false">IF($H2386="","",购销流水!$C601)</f>
        <v/>
      </c>
      <c r="G2386" s="48" t="str">
        <f aca="false">IF($H2386="","",购销流水!$N601)</f>
        <v/>
      </c>
      <c r="H2386" s="10" t="str">
        <f aca="false">IF($L2386="","",IF($L2386="@成本",购销流水!$U601,IF($L2386="@收入",购销流水!$T601,IF($L2386="@存货",购销流水!$S601,IF($L2386="@结算",购销流水!$R601,$L2386)))))</f>
        <v/>
      </c>
      <c r="I2386" s="42" t="n">
        <f aca="false">IF($M2386="借",$O2386,0)</f>
        <v>0</v>
      </c>
      <c r="J2386" s="42" t="n">
        <f aca="false">IF($M2386="贷",$O2386,0)</f>
        <v>0</v>
      </c>
      <c r="K2386" s="48" t="str">
        <f aca="false">IF($H2386="","",购销流水!$E601)</f>
        <v/>
      </c>
      <c r="L2386" s="66" t="str">
        <f aca="false">IF(购销流水!$D601="","",IFERROR(INDEX(记账规则!$A$6:$N$9,MATCH(购销流水!$D601,记账规则!$A$6:$A$9,0),3),""))</f>
        <v/>
      </c>
      <c r="M2386" s="66" t="str">
        <f aca="false">IF($L2386="","",IFERROR(INDEX(记账规则!$A$6:$N$9,MATCH(购销流水!$D601,记账规则!$A$6:$A$9,0),4),""))</f>
        <v/>
      </c>
      <c r="N2386" s="66" t="str">
        <f aca="false">IF($L2386="","",IFERROR(INDEX(记账规则!$A$6:$N$9,MATCH(购销流水!$D601,记账规则!$A$6:$A$9,0),5),""))</f>
        <v/>
      </c>
      <c r="O2386" s="67" t="n">
        <f aca="false">IF($H2386="",0,ROUND(IF($N2386="成本金额",N(购销流水!$W601),IF($N2386="金额",N(购销流水!$Q601),0)),2))</f>
        <v>0</v>
      </c>
      <c r="P2386" s="64" t="str">
        <f aca="false">IF(AND($H2386&lt;&gt;"",ROUND($O2386,2)&lt;&gt;0),"有","")</f>
        <v/>
      </c>
    </row>
    <row r="2387" customFormat="false" ht="15" hidden="true" customHeight="false" outlineLevel="0" collapsed="false">
      <c r="A2387" s="53" t="str">
        <f aca="false">IF($H2387="","",ROW()-5)</f>
        <v/>
      </c>
      <c r="B2387" s="64" t="s">
        <v>36</v>
      </c>
      <c r="C2387" s="53" t="n">
        <v>601</v>
      </c>
      <c r="D2387" s="53" t="n">
        <v>2</v>
      </c>
      <c r="E2387" s="65" t="str">
        <f aca="false">IF($H2387="","",购销流水!$B601)</f>
        <v/>
      </c>
      <c r="F2387" s="55" t="str">
        <f aca="false">IF($H2387="","",购销流水!$C601)</f>
        <v/>
      </c>
      <c r="G2387" s="48" t="str">
        <f aca="false">IF($H2387="","",购销流水!$N601)</f>
        <v/>
      </c>
      <c r="H2387" s="10" t="str">
        <f aca="false">IF($L2387="","",IF($L2387="@成本",购销流水!$U601,IF($L2387="@收入",购销流水!$T601,IF($L2387="@存货",购销流水!$S601,IF($L2387="@结算",购销流水!$R601,$L2387)))))</f>
        <v/>
      </c>
      <c r="I2387" s="42" t="n">
        <f aca="false">IF($M2387="借",$O2387,0)</f>
        <v>0</v>
      </c>
      <c r="J2387" s="42" t="n">
        <f aca="false">IF($M2387="贷",$O2387,0)</f>
        <v>0</v>
      </c>
      <c r="K2387" s="48" t="str">
        <f aca="false">IF($H2387="","",购销流水!$E601)</f>
        <v/>
      </c>
      <c r="L2387" s="66" t="str">
        <f aca="false">IF(购销流水!$D601="","",IFERROR(INDEX(记账规则!$A$6:$N$9,MATCH(购销流水!$D601,记账规则!$A$6:$A$9,0),6),""))</f>
        <v/>
      </c>
      <c r="M2387" s="66" t="str">
        <f aca="false">IF($L2387="","",IFERROR(INDEX(记账规则!$A$6:$N$9,MATCH(购销流水!$D601,记账规则!$A$6:$A$9,0),7),""))</f>
        <v/>
      </c>
      <c r="N2387" s="66" t="str">
        <f aca="false">IF($L2387="","",IFERROR(INDEX(记账规则!$A$6:$N$9,MATCH(购销流水!$D601,记账规则!$A$6:$A$9,0),8),""))</f>
        <v/>
      </c>
      <c r="O2387" s="67" t="n">
        <f aca="false">IF($H2387="",0,ROUND(IF($N2387="成本金额",N(购销流水!$W601),IF($N2387="金额",N(购销流水!$Q601),0)),2))</f>
        <v>0</v>
      </c>
      <c r="P2387" s="64" t="str">
        <f aca="false">IF(AND($H2387&lt;&gt;"",ROUND($O2387,2)&lt;&gt;0),"有","")</f>
        <v/>
      </c>
    </row>
    <row r="2388" customFormat="false" ht="15" hidden="true" customHeight="false" outlineLevel="0" collapsed="false">
      <c r="A2388" s="53" t="str">
        <f aca="false">IF($H2388="","",ROW()-5)</f>
        <v/>
      </c>
      <c r="B2388" s="64" t="s">
        <v>36</v>
      </c>
      <c r="C2388" s="53" t="n">
        <v>601</v>
      </c>
      <c r="D2388" s="53" t="n">
        <v>3</v>
      </c>
      <c r="E2388" s="65" t="str">
        <f aca="false">IF($H2388="","",购销流水!$B601)</f>
        <v/>
      </c>
      <c r="F2388" s="55" t="str">
        <f aca="false">IF($H2388="","",购销流水!$C601)</f>
        <v/>
      </c>
      <c r="G2388" s="48" t="str">
        <f aca="false">IF($H2388="","",购销流水!$N601)</f>
        <v/>
      </c>
      <c r="H2388" s="10" t="str">
        <f aca="false">IF($L2388="","",IF($L2388="@成本",购销流水!$U601,IF($L2388="@收入",购销流水!$T601,IF($L2388="@存货",购销流水!$S601,IF($L2388="@结算",购销流水!$R601,$L2388)))))</f>
        <v/>
      </c>
      <c r="I2388" s="42" t="n">
        <f aca="false">IF($M2388="借",$O2388,0)</f>
        <v>0</v>
      </c>
      <c r="J2388" s="42" t="n">
        <f aca="false">IF($M2388="贷",$O2388,0)</f>
        <v>0</v>
      </c>
      <c r="K2388" s="48" t="str">
        <f aca="false">IF($H2388="","",购销流水!$E601)</f>
        <v/>
      </c>
      <c r="L2388" s="66" t="str">
        <f aca="false">IF(购销流水!$D601="","",IFERROR(INDEX(记账规则!$A$6:$N$9,MATCH(购销流水!$D601,记账规则!$A$6:$A$9,0),9),""))</f>
        <v/>
      </c>
      <c r="M2388" s="66" t="str">
        <f aca="false">IF($L2388="","",IFERROR(INDEX(记账规则!$A$6:$N$9,MATCH(购销流水!$D601,记账规则!$A$6:$A$9,0),10),""))</f>
        <v/>
      </c>
      <c r="N2388" s="66" t="str">
        <f aca="false">IF($L2388="","",IFERROR(INDEX(记账规则!$A$6:$N$9,MATCH(购销流水!$D601,记账规则!$A$6:$A$9,0),11),""))</f>
        <v/>
      </c>
      <c r="O2388" s="67" t="n">
        <f aca="false">IF($H2388="",0,ROUND(IF($N2388="成本金额",N(购销流水!$W601),IF($N2388="金额",N(购销流水!$Q601),0)),2))</f>
        <v>0</v>
      </c>
      <c r="P2388" s="64" t="str">
        <f aca="false">IF(AND($H2388&lt;&gt;"",ROUND($O2388,2)&lt;&gt;0),"有","")</f>
        <v/>
      </c>
    </row>
    <row r="2389" customFormat="false" ht="15" hidden="true" customHeight="false" outlineLevel="0" collapsed="false">
      <c r="A2389" s="53" t="str">
        <f aca="false">IF($H2389="","",ROW()-5)</f>
        <v/>
      </c>
      <c r="B2389" s="64" t="s">
        <v>36</v>
      </c>
      <c r="C2389" s="53" t="n">
        <v>601</v>
      </c>
      <c r="D2389" s="53" t="n">
        <v>4</v>
      </c>
      <c r="E2389" s="65" t="str">
        <f aca="false">IF($H2389="","",购销流水!$B601)</f>
        <v/>
      </c>
      <c r="F2389" s="55" t="str">
        <f aca="false">IF($H2389="","",购销流水!$C601)</f>
        <v/>
      </c>
      <c r="G2389" s="48" t="str">
        <f aca="false">IF($H2389="","",购销流水!$N601)</f>
        <v/>
      </c>
      <c r="H2389" s="10" t="str">
        <f aca="false">IF($L2389="","",IF($L2389="@成本",购销流水!$U601,IF($L2389="@收入",购销流水!$T601,IF($L2389="@存货",购销流水!$S601,IF($L2389="@结算",购销流水!$R601,$L2389)))))</f>
        <v/>
      </c>
      <c r="I2389" s="42" t="n">
        <f aca="false">IF($M2389="借",$O2389,0)</f>
        <v>0</v>
      </c>
      <c r="J2389" s="42" t="n">
        <f aca="false">IF($M2389="贷",$O2389,0)</f>
        <v>0</v>
      </c>
      <c r="K2389" s="48" t="str">
        <f aca="false">IF($H2389="","",购销流水!$E601)</f>
        <v/>
      </c>
      <c r="L2389" s="66" t="str">
        <f aca="false">IF(购销流水!$D601="","",IFERROR(INDEX(记账规则!$A$6:$N$9,MATCH(购销流水!$D601,记账规则!$A$6:$A$9,0),12),""))</f>
        <v/>
      </c>
      <c r="M2389" s="66" t="str">
        <f aca="false">IF($L2389="","",IFERROR(INDEX(记账规则!$A$6:$N$9,MATCH(购销流水!$D601,记账规则!$A$6:$A$9,0),13),""))</f>
        <v/>
      </c>
      <c r="N2389" s="66" t="str">
        <f aca="false">IF($L2389="","",IFERROR(INDEX(记账规则!$A$6:$N$9,MATCH(购销流水!$D601,记账规则!$A$6:$A$9,0),14),""))</f>
        <v/>
      </c>
      <c r="O2389" s="67" t="n">
        <f aca="false">IF($H2389="",0,ROUND(IF($N2389="成本金额",N(购销流水!$W601),IF($N2389="金额",N(购销流水!$Q601),0)),2))</f>
        <v>0</v>
      </c>
      <c r="P2389" s="64" t="str">
        <f aca="false">IF(AND($H2389&lt;&gt;"",ROUND($O2389,2)&lt;&gt;0),"有","")</f>
        <v/>
      </c>
    </row>
    <row r="2390" customFormat="false" ht="15" hidden="true" customHeight="false" outlineLevel="0" collapsed="false">
      <c r="A2390" s="53" t="str">
        <f aca="false">IF($H2390="","",ROW()-5)</f>
        <v/>
      </c>
      <c r="B2390" s="64" t="s">
        <v>36</v>
      </c>
      <c r="C2390" s="53" t="n">
        <v>602</v>
      </c>
      <c r="D2390" s="53" t="n">
        <v>1</v>
      </c>
      <c r="E2390" s="65" t="str">
        <f aca="false">IF($H2390="","",购销流水!$B602)</f>
        <v/>
      </c>
      <c r="F2390" s="55" t="str">
        <f aca="false">IF($H2390="","",购销流水!$C602)</f>
        <v/>
      </c>
      <c r="G2390" s="48" t="str">
        <f aca="false">IF($H2390="","",购销流水!$N602)</f>
        <v/>
      </c>
      <c r="H2390" s="10" t="str">
        <f aca="false">IF($L2390="","",IF($L2390="@成本",购销流水!$U602,IF($L2390="@收入",购销流水!$T602,IF($L2390="@存货",购销流水!$S602,IF($L2390="@结算",购销流水!$R602,$L2390)))))</f>
        <v/>
      </c>
      <c r="I2390" s="42" t="n">
        <f aca="false">IF($M2390="借",$O2390,0)</f>
        <v>0</v>
      </c>
      <c r="J2390" s="42" t="n">
        <f aca="false">IF($M2390="贷",$O2390,0)</f>
        <v>0</v>
      </c>
      <c r="K2390" s="48" t="str">
        <f aca="false">IF($H2390="","",购销流水!$E602)</f>
        <v/>
      </c>
      <c r="L2390" s="66" t="str">
        <f aca="false">IF(购销流水!$D602="","",IFERROR(INDEX(记账规则!$A$6:$N$9,MATCH(购销流水!$D602,记账规则!$A$6:$A$9,0),3),""))</f>
        <v/>
      </c>
      <c r="M2390" s="66" t="str">
        <f aca="false">IF($L2390="","",IFERROR(INDEX(记账规则!$A$6:$N$9,MATCH(购销流水!$D602,记账规则!$A$6:$A$9,0),4),""))</f>
        <v/>
      </c>
      <c r="N2390" s="66" t="str">
        <f aca="false">IF($L2390="","",IFERROR(INDEX(记账规则!$A$6:$N$9,MATCH(购销流水!$D602,记账规则!$A$6:$A$9,0),5),""))</f>
        <v/>
      </c>
      <c r="O2390" s="67" t="n">
        <f aca="false">IF($H2390="",0,ROUND(IF($N2390="成本金额",N(购销流水!$W602),IF($N2390="金额",N(购销流水!$Q602),0)),2))</f>
        <v>0</v>
      </c>
      <c r="P2390" s="64" t="str">
        <f aca="false">IF(AND($H2390&lt;&gt;"",ROUND($O2390,2)&lt;&gt;0),"有","")</f>
        <v/>
      </c>
    </row>
    <row r="2391" customFormat="false" ht="15" hidden="true" customHeight="false" outlineLevel="0" collapsed="false">
      <c r="A2391" s="53" t="str">
        <f aca="false">IF($H2391="","",ROW()-5)</f>
        <v/>
      </c>
      <c r="B2391" s="64" t="s">
        <v>36</v>
      </c>
      <c r="C2391" s="53" t="n">
        <v>602</v>
      </c>
      <c r="D2391" s="53" t="n">
        <v>2</v>
      </c>
      <c r="E2391" s="65" t="str">
        <f aca="false">IF($H2391="","",购销流水!$B602)</f>
        <v/>
      </c>
      <c r="F2391" s="55" t="str">
        <f aca="false">IF($H2391="","",购销流水!$C602)</f>
        <v/>
      </c>
      <c r="G2391" s="48" t="str">
        <f aca="false">IF($H2391="","",购销流水!$N602)</f>
        <v/>
      </c>
      <c r="H2391" s="10" t="str">
        <f aca="false">IF($L2391="","",IF($L2391="@成本",购销流水!$U602,IF($L2391="@收入",购销流水!$T602,IF($L2391="@存货",购销流水!$S602,IF($L2391="@结算",购销流水!$R602,$L2391)))))</f>
        <v/>
      </c>
      <c r="I2391" s="42" t="n">
        <f aca="false">IF($M2391="借",$O2391,0)</f>
        <v>0</v>
      </c>
      <c r="J2391" s="42" t="n">
        <f aca="false">IF($M2391="贷",$O2391,0)</f>
        <v>0</v>
      </c>
      <c r="K2391" s="48" t="str">
        <f aca="false">IF($H2391="","",购销流水!$E602)</f>
        <v/>
      </c>
      <c r="L2391" s="66" t="str">
        <f aca="false">IF(购销流水!$D602="","",IFERROR(INDEX(记账规则!$A$6:$N$9,MATCH(购销流水!$D602,记账规则!$A$6:$A$9,0),6),""))</f>
        <v/>
      </c>
      <c r="M2391" s="66" t="str">
        <f aca="false">IF($L2391="","",IFERROR(INDEX(记账规则!$A$6:$N$9,MATCH(购销流水!$D602,记账规则!$A$6:$A$9,0),7),""))</f>
        <v/>
      </c>
      <c r="N2391" s="66" t="str">
        <f aca="false">IF($L2391="","",IFERROR(INDEX(记账规则!$A$6:$N$9,MATCH(购销流水!$D602,记账规则!$A$6:$A$9,0),8),""))</f>
        <v/>
      </c>
      <c r="O2391" s="67" t="n">
        <f aca="false">IF($H2391="",0,ROUND(IF($N2391="成本金额",N(购销流水!$W602),IF($N2391="金额",N(购销流水!$Q602),0)),2))</f>
        <v>0</v>
      </c>
      <c r="P2391" s="64" t="str">
        <f aca="false">IF(AND($H2391&lt;&gt;"",ROUND($O2391,2)&lt;&gt;0),"有","")</f>
        <v/>
      </c>
    </row>
    <row r="2392" customFormat="false" ht="15" hidden="true" customHeight="false" outlineLevel="0" collapsed="false">
      <c r="A2392" s="53" t="str">
        <f aca="false">IF($H2392="","",ROW()-5)</f>
        <v/>
      </c>
      <c r="B2392" s="64" t="s">
        <v>36</v>
      </c>
      <c r="C2392" s="53" t="n">
        <v>602</v>
      </c>
      <c r="D2392" s="53" t="n">
        <v>3</v>
      </c>
      <c r="E2392" s="65" t="str">
        <f aca="false">IF($H2392="","",购销流水!$B602)</f>
        <v/>
      </c>
      <c r="F2392" s="55" t="str">
        <f aca="false">IF($H2392="","",购销流水!$C602)</f>
        <v/>
      </c>
      <c r="G2392" s="48" t="str">
        <f aca="false">IF($H2392="","",购销流水!$N602)</f>
        <v/>
      </c>
      <c r="H2392" s="10" t="str">
        <f aca="false">IF($L2392="","",IF($L2392="@成本",购销流水!$U602,IF($L2392="@收入",购销流水!$T602,IF($L2392="@存货",购销流水!$S602,IF($L2392="@结算",购销流水!$R602,$L2392)))))</f>
        <v/>
      </c>
      <c r="I2392" s="42" t="n">
        <f aca="false">IF($M2392="借",$O2392,0)</f>
        <v>0</v>
      </c>
      <c r="J2392" s="42" t="n">
        <f aca="false">IF($M2392="贷",$O2392,0)</f>
        <v>0</v>
      </c>
      <c r="K2392" s="48" t="str">
        <f aca="false">IF($H2392="","",购销流水!$E602)</f>
        <v/>
      </c>
      <c r="L2392" s="66" t="str">
        <f aca="false">IF(购销流水!$D602="","",IFERROR(INDEX(记账规则!$A$6:$N$9,MATCH(购销流水!$D602,记账规则!$A$6:$A$9,0),9),""))</f>
        <v/>
      </c>
      <c r="M2392" s="66" t="str">
        <f aca="false">IF($L2392="","",IFERROR(INDEX(记账规则!$A$6:$N$9,MATCH(购销流水!$D602,记账规则!$A$6:$A$9,0),10),""))</f>
        <v/>
      </c>
      <c r="N2392" s="66" t="str">
        <f aca="false">IF($L2392="","",IFERROR(INDEX(记账规则!$A$6:$N$9,MATCH(购销流水!$D602,记账规则!$A$6:$A$9,0),11),""))</f>
        <v/>
      </c>
      <c r="O2392" s="67" t="n">
        <f aca="false">IF($H2392="",0,ROUND(IF($N2392="成本金额",N(购销流水!$W602),IF($N2392="金额",N(购销流水!$Q602),0)),2))</f>
        <v>0</v>
      </c>
      <c r="P2392" s="64" t="str">
        <f aca="false">IF(AND($H2392&lt;&gt;"",ROUND($O2392,2)&lt;&gt;0),"有","")</f>
        <v/>
      </c>
    </row>
    <row r="2393" customFormat="false" ht="15" hidden="true" customHeight="false" outlineLevel="0" collapsed="false">
      <c r="A2393" s="53" t="str">
        <f aca="false">IF($H2393="","",ROW()-5)</f>
        <v/>
      </c>
      <c r="B2393" s="64" t="s">
        <v>36</v>
      </c>
      <c r="C2393" s="53" t="n">
        <v>602</v>
      </c>
      <c r="D2393" s="53" t="n">
        <v>4</v>
      </c>
      <c r="E2393" s="65" t="str">
        <f aca="false">IF($H2393="","",购销流水!$B602)</f>
        <v/>
      </c>
      <c r="F2393" s="55" t="str">
        <f aca="false">IF($H2393="","",购销流水!$C602)</f>
        <v/>
      </c>
      <c r="G2393" s="48" t="str">
        <f aca="false">IF($H2393="","",购销流水!$N602)</f>
        <v/>
      </c>
      <c r="H2393" s="10" t="str">
        <f aca="false">IF($L2393="","",IF($L2393="@成本",购销流水!$U602,IF($L2393="@收入",购销流水!$T602,IF($L2393="@存货",购销流水!$S602,IF($L2393="@结算",购销流水!$R602,$L2393)))))</f>
        <v/>
      </c>
      <c r="I2393" s="42" t="n">
        <f aca="false">IF($M2393="借",$O2393,0)</f>
        <v>0</v>
      </c>
      <c r="J2393" s="42" t="n">
        <f aca="false">IF($M2393="贷",$O2393,0)</f>
        <v>0</v>
      </c>
      <c r="K2393" s="48" t="str">
        <f aca="false">IF($H2393="","",购销流水!$E602)</f>
        <v/>
      </c>
      <c r="L2393" s="66" t="str">
        <f aca="false">IF(购销流水!$D602="","",IFERROR(INDEX(记账规则!$A$6:$N$9,MATCH(购销流水!$D602,记账规则!$A$6:$A$9,0),12),""))</f>
        <v/>
      </c>
      <c r="M2393" s="66" t="str">
        <f aca="false">IF($L2393="","",IFERROR(INDEX(记账规则!$A$6:$N$9,MATCH(购销流水!$D602,记账规则!$A$6:$A$9,0),13),""))</f>
        <v/>
      </c>
      <c r="N2393" s="66" t="str">
        <f aca="false">IF($L2393="","",IFERROR(INDEX(记账规则!$A$6:$N$9,MATCH(购销流水!$D602,记账规则!$A$6:$A$9,0),14),""))</f>
        <v/>
      </c>
      <c r="O2393" s="67" t="n">
        <f aca="false">IF($H2393="",0,ROUND(IF($N2393="成本金额",N(购销流水!$W602),IF($N2393="金额",N(购销流水!$Q602),0)),2))</f>
        <v>0</v>
      </c>
      <c r="P2393" s="64" t="str">
        <f aca="false">IF(AND($H2393&lt;&gt;"",ROUND($O2393,2)&lt;&gt;0),"有","")</f>
        <v/>
      </c>
    </row>
    <row r="2394" customFormat="false" ht="15" hidden="true" customHeight="false" outlineLevel="0" collapsed="false">
      <c r="A2394" s="53" t="str">
        <f aca="false">IF($H2394="","",ROW()-5)</f>
        <v/>
      </c>
      <c r="B2394" s="64" t="s">
        <v>36</v>
      </c>
      <c r="C2394" s="53" t="n">
        <v>603</v>
      </c>
      <c r="D2394" s="53" t="n">
        <v>1</v>
      </c>
      <c r="E2394" s="65" t="str">
        <f aca="false">IF($H2394="","",购销流水!$B603)</f>
        <v/>
      </c>
      <c r="F2394" s="55" t="str">
        <f aca="false">IF($H2394="","",购销流水!$C603)</f>
        <v/>
      </c>
      <c r="G2394" s="48" t="str">
        <f aca="false">IF($H2394="","",购销流水!$N603)</f>
        <v/>
      </c>
      <c r="H2394" s="10" t="str">
        <f aca="false">IF($L2394="","",IF($L2394="@成本",购销流水!$U603,IF($L2394="@收入",购销流水!$T603,IF($L2394="@存货",购销流水!$S603,IF($L2394="@结算",购销流水!$R603,$L2394)))))</f>
        <v/>
      </c>
      <c r="I2394" s="42" t="n">
        <f aca="false">IF($M2394="借",$O2394,0)</f>
        <v>0</v>
      </c>
      <c r="J2394" s="42" t="n">
        <f aca="false">IF($M2394="贷",$O2394,0)</f>
        <v>0</v>
      </c>
      <c r="K2394" s="48" t="str">
        <f aca="false">IF($H2394="","",购销流水!$E603)</f>
        <v/>
      </c>
      <c r="L2394" s="66" t="str">
        <f aca="false">IF(购销流水!$D603="","",IFERROR(INDEX(记账规则!$A$6:$N$9,MATCH(购销流水!$D603,记账规则!$A$6:$A$9,0),3),""))</f>
        <v/>
      </c>
      <c r="M2394" s="66" t="str">
        <f aca="false">IF($L2394="","",IFERROR(INDEX(记账规则!$A$6:$N$9,MATCH(购销流水!$D603,记账规则!$A$6:$A$9,0),4),""))</f>
        <v/>
      </c>
      <c r="N2394" s="66" t="str">
        <f aca="false">IF($L2394="","",IFERROR(INDEX(记账规则!$A$6:$N$9,MATCH(购销流水!$D603,记账规则!$A$6:$A$9,0),5),""))</f>
        <v/>
      </c>
      <c r="O2394" s="67" t="n">
        <f aca="false">IF($H2394="",0,ROUND(IF($N2394="成本金额",N(购销流水!$W603),IF($N2394="金额",N(购销流水!$Q603),0)),2))</f>
        <v>0</v>
      </c>
      <c r="P2394" s="64" t="str">
        <f aca="false">IF(AND($H2394&lt;&gt;"",ROUND($O2394,2)&lt;&gt;0),"有","")</f>
        <v/>
      </c>
    </row>
    <row r="2395" customFormat="false" ht="15" hidden="true" customHeight="false" outlineLevel="0" collapsed="false">
      <c r="A2395" s="53" t="str">
        <f aca="false">IF($H2395="","",ROW()-5)</f>
        <v/>
      </c>
      <c r="B2395" s="64" t="s">
        <v>36</v>
      </c>
      <c r="C2395" s="53" t="n">
        <v>603</v>
      </c>
      <c r="D2395" s="53" t="n">
        <v>2</v>
      </c>
      <c r="E2395" s="65" t="str">
        <f aca="false">IF($H2395="","",购销流水!$B603)</f>
        <v/>
      </c>
      <c r="F2395" s="55" t="str">
        <f aca="false">IF($H2395="","",购销流水!$C603)</f>
        <v/>
      </c>
      <c r="G2395" s="48" t="str">
        <f aca="false">IF($H2395="","",购销流水!$N603)</f>
        <v/>
      </c>
      <c r="H2395" s="10" t="str">
        <f aca="false">IF($L2395="","",IF($L2395="@成本",购销流水!$U603,IF($L2395="@收入",购销流水!$T603,IF($L2395="@存货",购销流水!$S603,IF($L2395="@结算",购销流水!$R603,$L2395)))))</f>
        <v/>
      </c>
      <c r="I2395" s="42" t="n">
        <f aca="false">IF($M2395="借",$O2395,0)</f>
        <v>0</v>
      </c>
      <c r="J2395" s="42" t="n">
        <f aca="false">IF($M2395="贷",$O2395,0)</f>
        <v>0</v>
      </c>
      <c r="K2395" s="48" t="str">
        <f aca="false">IF($H2395="","",购销流水!$E603)</f>
        <v/>
      </c>
      <c r="L2395" s="66" t="str">
        <f aca="false">IF(购销流水!$D603="","",IFERROR(INDEX(记账规则!$A$6:$N$9,MATCH(购销流水!$D603,记账规则!$A$6:$A$9,0),6),""))</f>
        <v/>
      </c>
      <c r="M2395" s="66" t="str">
        <f aca="false">IF($L2395="","",IFERROR(INDEX(记账规则!$A$6:$N$9,MATCH(购销流水!$D603,记账规则!$A$6:$A$9,0),7),""))</f>
        <v/>
      </c>
      <c r="N2395" s="66" t="str">
        <f aca="false">IF($L2395="","",IFERROR(INDEX(记账规则!$A$6:$N$9,MATCH(购销流水!$D603,记账规则!$A$6:$A$9,0),8),""))</f>
        <v/>
      </c>
      <c r="O2395" s="67" t="n">
        <f aca="false">IF($H2395="",0,ROUND(IF($N2395="成本金额",N(购销流水!$W603),IF($N2395="金额",N(购销流水!$Q603),0)),2))</f>
        <v>0</v>
      </c>
      <c r="P2395" s="64" t="str">
        <f aca="false">IF(AND($H2395&lt;&gt;"",ROUND($O2395,2)&lt;&gt;0),"有","")</f>
        <v/>
      </c>
    </row>
    <row r="2396" customFormat="false" ht="15" hidden="true" customHeight="false" outlineLevel="0" collapsed="false">
      <c r="A2396" s="53" t="str">
        <f aca="false">IF($H2396="","",ROW()-5)</f>
        <v/>
      </c>
      <c r="B2396" s="64" t="s">
        <v>36</v>
      </c>
      <c r="C2396" s="53" t="n">
        <v>603</v>
      </c>
      <c r="D2396" s="53" t="n">
        <v>3</v>
      </c>
      <c r="E2396" s="65" t="str">
        <f aca="false">IF($H2396="","",购销流水!$B603)</f>
        <v/>
      </c>
      <c r="F2396" s="55" t="str">
        <f aca="false">IF($H2396="","",购销流水!$C603)</f>
        <v/>
      </c>
      <c r="G2396" s="48" t="str">
        <f aca="false">IF($H2396="","",购销流水!$N603)</f>
        <v/>
      </c>
      <c r="H2396" s="10" t="str">
        <f aca="false">IF($L2396="","",IF($L2396="@成本",购销流水!$U603,IF($L2396="@收入",购销流水!$T603,IF($L2396="@存货",购销流水!$S603,IF($L2396="@结算",购销流水!$R603,$L2396)))))</f>
        <v/>
      </c>
      <c r="I2396" s="42" t="n">
        <f aca="false">IF($M2396="借",$O2396,0)</f>
        <v>0</v>
      </c>
      <c r="J2396" s="42" t="n">
        <f aca="false">IF($M2396="贷",$O2396,0)</f>
        <v>0</v>
      </c>
      <c r="K2396" s="48" t="str">
        <f aca="false">IF($H2396="","",购销流水!$E603)</f>
        <v/>
      </c>
      <c r="L2396" s="66" t="str">
        <f aca="false">IF(购销流水!$D603="","",IFERROR(INDEX(记账规则!$A$6:$N$9,MATCH(购销流水!$D603,记账规则!$A$6:$A$9,0),9),""))</f>
        <v/>
      </c>
      <c r="M2396" s="66" t="str">
        <f aca="false">IF($L2396="","",IFERROR(INDEX(记账规则!$A$6:$N$9,MATCH(购销流水!$D603,记账规则!$A$6:$A$9,0),10),""))</f>
        <v/>
      </c>
      <c r="N2396" s="66" t="str">
        <f aca="false">IF($L2396="","",IFERROR(INDEX(记账规则!$A$6:$N$9,MATCH(购销流水!$D603,记账规则!$A$6:$A$9,0),11),""))</f>
        <v/>
      </c>
      <c r="O2396" s="67" t="n">
        <f aca="false">IF($H2396="",0,ROUND(IF($N2396="成本金额",N(购销流水!$W603),IF($N2396="金额",N(购销流水!$Q603),0)),2))</f>
        <v>0</v>
      </c>
      <c r="P2396" s="64" t="str">
        <f aca="false">IF(AND($H2396&lt;&gt;"",ROUND($O2396,2)&lt;&gt;0),"有","")</f>
        <v/>
      </c>
    </row>
    <row r="2397" customFormat="false" ht="15" hidden="true" customHeight="false" outlineLevel="0" collapsed="false">
      <c r="A2397" s="53" t="str">
        <f aca="false">IF($H2397="","",ROW()-5)</f>
        <v/>
      </c>
      <c r="B2397" s="64" t="s">
        <v>36</v>
      </c>
      <c r="C2397" s="53" t="n">
        <v>603</v>
      </c>
      <c r="D2397" s="53" t="n">
        <v>4</v>
      </c>
      <c r="E2397" s="65" t="str">
        <f aca="false">IF($H2397="","",购销流水!$B603)</f>
        <v/>
      </c>
      <c r="F2397" s="55" t="str">
        <f aca="false">IF($H2397="","",购销流水!$C603)</f>
        <v/>
      </c>
      <c r="G2397" s="48" t="str">
        <f aca="false">IF($H2397="","",购销流水!$N603)</f>
        <v/>
      </c>
      <c r="H2397" s="10" t="str">
        <f aca="false">IF($L2397="","",IF($L2397="@成本",购销流水!$U603,IF($L2397="@收入",购销流水!$T603,IF($L2397="@存货",购销流水!$S603,IF($L2397="@结算",购销流水!$R603,$L2397)))))</f>
        <v/>
      </c>
      <c r="I2397" s="42" t="n">
        <f aca="false">IF($M2397="借",$O2397,0)</f>
        <v>0</v>
      </c>
      <c r="J2397" s="42" t="n">
        <f aca="false">IF($M2397="贷",$O2397,0)</f>
        <v>0</v>
      </c>
      <c r="K2397" s="48" t="str">
        <f aca="false">IF($H2397="","",购销流水!$E603)</f>
        <v/>
      </c>
      <c r="L2397" s="66" t="str">
        <f aca="false">IF(购销流水!$D603="","",IFERROR(INDEX(记账规则!$A$6:$N$9,MATCH(购销流水!$D603,记账规则!$A$6:$A$9,0),12),""))</f>
        <v/>
      </c>
      <c r="M2397" s="66" t="str">
        <f aca="false">IF($L2397="","",IFERROR(INDEX(记账规则!$A$6:$N$9,MATCH(购销流水!$D603,记账规则!$A$6:$A$9,0),13),""))</f>
        <v/>
      </c>
      <c r="N2397" s="66" t="str">
        <f aca="false">IF($L2397="","",IFERROR(INDEX(记账规则!$A$6:$N$9,MATCH(购销流水!$D603,记账规则!$A$6:$A$9,0),14),""))</f>
        <v/>
      </c>
      <c r="O2397" s="67" t="n">
        <f aca="false">IF($H2397="",0,ROUND(IF($N2397="成本金额",N(购销流水!$W603),IF($N2397="金额",N(购销流水!$Q603),0)),2))</f>
        <v>0</v>
      </c>
      <c r="P2397" s="64" t="str">
        <f aca="false">IF(AND($H2397&lt;&gt;"",ROUND($O2397,2)&lt;&gt;0),"有","")</f>
        <v/>
      </c>
    </row>
    <row r="2398" customFormat="false" ht="15" hidden="true" customHeight="false" outlineLevel="0" collapsed="false">
      <c r="A2398" s="53" t="str">
        <f aca="false">IF($H2398="","",ROW()-5)</f>
        <v/>
      </c>
      <c r="B2398" s="64" t="s">
        <v>36</v>
      </c>
      <c r="C2398" s="53" t="n">
        <v>604</v>
      </c>
      <c r="D2398" s="53" t="n">
        <v>1</v>
      </c>
      <c r="E2398" s="65" t="str">
        <f aca="false">IF($H2398="","",购销流水!$B604)</f>
        <v/>
      </c>
      <c r="F2398" s="55" t="str">
        <f aca="false">IF($H2398="","",购销流水!$C604)</f>
        <v/>
      </c>
      <c r="G2398" s="48" t="str">
        <f aca="false">IF($H2398="","",购销流水!$N604)</f>
        <v/>
      </c>
      <c r="H2398" s="10" t="str">
        <f aca="false">IF($L2398="","",IF($L2398="@成本",购销流水!$U604,IF($L2398="@收入",购销流水!$T604,IF($L2398="@存货",购销流水!$S604,IF($L2398="@结算",购销流水!$R604,$L2398)))))</f>
        <v/>
      </c>
      <c r="I2398" s="42" t="n">
        <f aca="false">IF($M2398="借",$O2398,0)</f>
        <v>0</v>
      </c>
      <c r="J2398" s="42" t="n">
        <f aca="false">IF($M2398="贷",$O2398,0)</f>
        <v>0</v>
      </c>
      <c r="K2398" s="48" t="str">
        <f aca="false">IF($H2398="","",购销流水!$E604)</f>
        <v/>
      </c>
      <c r="L2398" s="66" t="str">
        <f aca="false">IF(购销流水!$D604="","",IFERROR(INDEX(记账规则!$A$6:$N$9,MATCH(购销流水!$D604,记账规则!$A$6:$A$9,0),3),""))</f>
        <v/>
      </c>
      <c r="M2398" s="66" t="str">
        <f aca="false">IF($L2398="","",IFERROR(INDEX(记账规则!$A$6:$N$9,MATCH(购销流水!$D604,记账规则!$A$6:$A$9,0),4),""))</f>
        <v/>
      </c>
      <c r="N2398" s="66" t="str">
        <f aca="false">IF($L2398="","",IFERROR(INDEX(记账规则!$A$6:$N$9,MATCH(购销流水!$D604,记账规则!$A$6:$A$9,0),5),""))</f>
        <v/>
      </c>
      <c r="O2398" s="67" t="n">
        <f aca="false">IF($H2398="",0,ROUND(IF($N2398="成本金额",N(购销流水!$W604),IF($N2398="金额",N(购销流水!$Q604),0)),2))</f>
        <v>0</v>
      </c>
      <c r="P2398" s="64" t="str">
        <f aca="false">IF(AND($H2398&lt;&gt;"",ROUND($O2398,2)&lt;&gt;0),"有","")</f>
        <v/>
      </c>
    </row>
    <row r="2399" customFormat="false" ht="15" hidden="true" customHeight="false" outlineLevel="0" collapsed="false">
      <c r="A2399" s="53" t="str">
        <f aca="false">IF($H2399="","",ROW()-5)</f>
        <v/>
      </c>
      <c r="B2399" s="64" t="s">
        <v>36</v>
      </c>
      <c r="C2399" s="53" t="n">
        <v>604</v>
      </c>
      <c r="D2399" s="53" t="n">
        <v>2</v>
      </c>
      <c r="E2399" s="65" t="str">
        <f aca="false">IF($H2399="","",购销流水!$B604)</f>
        <v/>
      </c>
      <c r="F2399" s="55" t="str">
        <f aca="false">IF($H2399="","",购销流水!$C604)</f>
        <v/>
      </c>
      <c r="G2399" s="48" t="str">
        <f aca="false">IF($H2399="","",购销流水!$N604)</f>
        <v/>
      </c>
      <c r="H2399" s="10" t="str">
        <f aca="false">IF($L2399="","",IF($L2399="@成本",购销流水!$U604,IF($L2399="@收入",购销流水!$T604,IF($L2399="@存货",购销流水!$S604,IF($L2399="@结算",购销流水!$R604,$L2399)))))</f>
        <v/>
      </c>
      <c r="I2399" s="42" t="n">
        <f aca="false">IF($M2399="借",$O2399,0)</f>
        <v>0</v>
      </c>
      <c r="J2399" s="42" t="n">
        <f aca="false">IF($M2399="贷",$O2399,0)</f>
        <v>0</v>
      </c>
      <c r="K2399" s="48" t="str">
        <f aca="false">IF($H2399="","",购销流水!$E604)</f>
        <v/>
      </c>
      <c r="L2399" s="66" t="str">
        <f aca="false">IF(购销流水!$D604="","",IFERROR(INDEX(记账规则!$A$6:$N$9,MATCH(购销流水!$D604,记账规则!$A$6:$A$9,0),6),""))</f>
        <v/>
      </c>
      <c r="M2399" s="66" t="str">
        <f aca="false">IF($L2399="","",IFERROR(INDEX(记账规则!$A$6:$N$9,MATCH(购销流水!$D604,记账规则!$A$6:$A$9,0),7),""))</f>
        <v/>
      </c>
      <c r="N2399" s="66" t="str">
        <f aca="false">IF($L2399="","",IFERROR(INDEX(记账规则!$A$6:$N$9,MATCH(购销流水!$D604,记账规则!$A$6:$A$9,0),8),""))</f>
        <v/>
      </c>
      <c r="O2399" s="67" t="n">
        <f aca="false">IF($H2399="",0,ROUND(IF($N2399="成本金额",N(购销流水!$W604),IF($N2399="金额",N(购销流水!$Q604),0)),2))</f>
        <v>0</v>
      </c>
      <c r="P2399" s="64" t="str">
        <f aca="false">IF(AND($H2399&lt;&gt;"",ROUND($O2399,2)&lt;&gt;0),"有","")</f>
        <v/>
      </c>
    </row>
    <row r="2400" customFormat="false" ht="15" hidden="true" customHeight="false" outlineLevel="0" collapsed="false">
      <c r="A2400" s="53" t="str">
        <f aca="false">IF($H2400="","",ROW()-5)</f>
        <v/>
      </c>
      <c r="B2400" s="64" t="s">
        <v>36</v>
      </c>
      <c r="C2400" s="53" t="n">
        <v>604</v>
      </c>
      <c r="D2400" s="53" t="n">
        <v>3</v>
      </c>
      <c r="E2400" s="65" t="str">
        <f aca="false">IF($H2400="","",购销流水!$B604)</f>
        <v/>
      </c>
      <c r="F2400" s="55" t="str">
        <f aca="false">IF($H2400="","",购销流水!$C604)</f>
        <v/>
      </c>
      <c r="G2400" s="48" t="str">
        <f aca="false">IF($H2400="","",购销流水!$N604)</f>
        <v/>
      </c>
      <c r="H2400" s="10" t="str">
        <f aca="false">IF($L2400="","",IF($L2400="@成本",购销流水!$U604,IF($L2400="@收入",购销流水!$T604,IF($L2400="@存货",购销流水!$S604,IF($L2400="@结算",购销流水!$R604,$L2400)))))</f>
        <v/>
      </c>
      <c r="I2400" s="42" t="n">
        <f aca="false">IF($M2400="借",$O2400,0)</f>
        <v>0</v>
      </c>
      <c r="J2400" s="42" t="n">
        <f aca="false">IF($M2400="贷",$O2400,0)</f>
        <v>0</v>
      </c>
      <c r="K2400" s="48" t="str">
        <f aca="false">IF($H2400="","",购销流水!$E604)</f>
        <v/>
      </c>
      <c r="L2400" s="66" t="str">
        <f aca="false">IF(购销流水!$D604="","",IFERROR(INDEX(记账规则!$A$6:$N$9,MATCH(购销流水!$D604,记账规则!$A$6:$A$9,0),9),""))</f>
        <v/>
      </c>
      <c r="M2400" s="66" t="str">
        <f aca="false">IF($L2400="","",IFERROR(INDEX(记账规则!$A$6:$N$9,MATCH(购销流水!$D604,记账规则!$A$6:$A$9,0),10),""))</f>
        <v/>
      </c>
      <c r="N2400" s="66" t="str">
        <f aca="false">IF($L2400="","",IFERROR(INDEX(记账规则!$A$6:$N$9,MATCH(购销流水!$D604,记账规则!$A$6:$A$9,0),11),""))</f>
        <v/>
      </c>
      <c r="O2400" s="67" t="n">
        <f aca="false">IF($H2400="",0,ROUND(IF($N2400="成本金额",N(购销流水!$W604),IF($N2400="金额",N(购销流水!$Q604),0)),2))</f>
        <v>0</v>
      </c>
      <c r="P2400" s="64" t="str">
        <f aca="false">IF(AND($H2400&lt;&gt;"",ROUND($O2400,2)&lt;&gt;0),"有","")</f>
        <v/>
      </c>
    </row>
    <row r="2401" customFormat="false" ht="15" hidden="true" customHeight="false" outlineLevel="0" collapsed="false">
      <c r="A2401" s="53" t="str">
        <f aca="false">IF($H2401="","",ROW()-5)</f>
        <v/>
      </c>
      <c r="B2401" s="64" t="s">
        <v>36</v>
      </c>
      <c r="C2401" s="53" t="n">
        <v>604</v>
      </c>
      <c r="D2401" s="53" t="n">
        <v>4</v>
      </c>
      <c r="E2401" s="65" t="str">
        <f aca="false">IF($H2401="","",购销流水!$B604)</f>
        <v/>
      </c>
      <c r="F2401" s="55" t="str">
        <f aca="false">IF($H2401="","",购销流水!$C604)</f>
        <v/>
      </c>
      <c r="G2401" s="48" t="str">
        <f aca="false">IF($H2401="","",购销流水!$N604)</f>
        <v/>
      </c>
      <c r="H2401" s="10" t="str">
        <f aca="false">IF($L2401="","",IF($L2401="@成本",购销流水!$U604,IF($L2401="@收入",购销流水!$T604,IF($L2401="@存货",购销流水!$S604,IF($L2401="@结算",购销流水!$R604,$L2401)))))</f>
        <v/>
      </c>
      <c r="I2401" s="42" t="n">
        <f aca="false">IF($M2401="借",$O2401,0)</f>
        <v>0</v>
      </c>
      <c r="J2401" s="42" t="n">
        <f aca="false">IF($M2401="贷",$O2401,0)</f>
        <v>0</v>
      </c>
      <c r="K2401" s="48" t="str">
        <f aca="false">IF($H2401="","",购销流水!$E604)</f>
        <v/>
      </c>
      <c r="L2401" s="66" t="str">
        <f aca="false">IF(购销流水!$D604="","",IFERROR(INDEX(记账规则!$A$6:$N$9,MATCH(购销流水!$D604,记账规则!$A$6:$A$9,0),12),""))</f>
        <v/>
      </c>
      <c r="M2401" s="66" t="str">
        <f aca="false">IF($L2401="","",IFERROR(INDEX(记账规则!$A$6:$N$9,MATCH(购销流水!$D604,记账规则!$A$6:$A$9,0),13),""))</f>
        <v/>
      </c>
      <c r="N2401" s="66" t="str">
        <f aca="false">IF($L2401="","",IFERROR(INDEX(记账规则!$A$6:$N$9,MATCH(购销流水!$D604,记账规则!$A$6:$A$9,0),14),""))</f>
        <v/>
      </c>
      <c r="O2401" s="67" t="n">
        <f aca="false">IF($H2401="",0,ROUND(IF($N2401="成本金额",N(购销流水!$W604),IF($N2401="金额",N(购销流水!$Q604),0)),2))</f>
        <v>0</v>
      </c>
      <c r="P2401" s="64" t="str">
        <f aca="false">IF(AND($H2401&lt;&gt;"",ROUND($O2401,2)&lt;&gt;0),"有","")</f>
        <v/>
      </c>
    </row>
    <row r="2402" customFormat="false" ht="15" hidden="true" customHeight="false" outlineLevel="0" collapsed="false">
      <c r="A2402" s="53" t="str">
        <f aca="false">IF($H2402="","",ROW()-5)</f>
        <v/>
      </c>
      <c r="B2402" s="64" t="s">
        <v>36</v>
      </c>
      <c r="C2402" s="53" t="n">
        <v>605</v>
      </c>
      <c r="D2402" s="53" t="n">
        <v>1</v>
      </c>
      <c r="E2402" s="65" t="str">
        <f aca="false">IF($H2402="","",购销流水!$B605)</f>
        <v/>
      </c>
      <c r="F2402" s="55" t="str">
        <f aca="false">IF($H2402="","",购销流水!$C605)</f>
        <v/>
      </c>
      <c r="G2402" s="48" t="str">
        <f aca="false">IF($H2402="","",购销流水!$N605)</f>
        <v/>
      </c>
      <c r="H2402" s="10" t="str">
        <f aca="false">IF($L2402="","",IF($L2402="@成本",购销流水!$U605,IF($L2402="@收入",购销流水!$T605,IF($L2402="@存货",购销流水!$S605,IF($L2402="@结算",购销流水!$R605,$L2402)))))</f>
        <v/>
      </c>
      <c r="I2402" s="42" t="n">
        <f aca="false">IF($M2402="借",$O2402,0)</f>
        <v>0</v>
      </c>
      <c r="J2402" s="42" t="n">
        <f aca="false">IF($M2402="贷",$O2402,0)</f>
        <v>0</v>
      </c>
      <c r="K2402" s="48" t="str">
        <f aca="false">IF($H2402="","",购销流水!$E605)</f>
        <v/>
      </c>
      <c r="L2402" s="66" t="str">
        <f aca="false">IF(购销流水!$D605="","",IFERROR(INDEX(记账规则!$A$6:$N$9,MATCH(购销流水!$D605,记账规则!$A$6:$A$9,0),3),""))</f>
        <v/>
      </c>
      <c r="M2402" s="66" t="str">
        <f aca="false">IF($L2402="","",IFERROR(INDEX(记账规则!$A$6:$N$9,MATCH(购销流水!$D605,记账规则!$A$6:$A$9,0),4),""))</f>
        <v/>
      </c>
      <c r="N2402" s="66" t="str">
        <f aca="false">IF($L2402="","",IFERROR(INDEX(记账规则!$A$6:$N$9,MATCH(购销流水!$D605,记账规则!$A$6:$A$9,0),5),""))</f>
        <v/>
      </c>
      <c r="O2402" s="67" t="n">
        <f aca="false">IF($H2402="",0,ROUND(IF($N2402="成本金额",N(购销流水!$W605),IF($N2402="金额",N(购销流水!$Q605),0)),2))</f>
        <v>0</v>
      </c>
      <c r="P2402" s="64" t="str">
        <f aca="false">IF(AND($H2402&lt;&gt;"",ROUND($O2402,2)&lt;&gt;0),"有","")</f>
        <v/>
      </c>
    </row>
    <row r="2403" customFormat="false" ht="15" hidden="true" customHeight="false" outlineLevel="0" collapsed="false">
      <c r="A2403" s="53" t="str">
        <f aca="false">IF($H2403="","",ROW()-5)</f>
        <v/>
      </c>
      <c r="B2403" s="64" t="s">
        <v>36</v>
      </c>
      <c r="C2403" s="53" t="n">
        <v>605</v>
      </c>
      <c r="D2403" s="53" t="n">
        <v>2</v>
      </c>
      <c r="E2403" s="65" t="str">
        <f aca="false">IF($H2403="","",购销流水!$B605)</f>
        <v/>
      </c>
      <c r="F2403" s="55" t="str">
        <f aca="false">IF($H2403="","",购销流水!$C605)</f>
        <v/>
      </c>
      <c r="G2403" s="48" t="str">
        <f aca="false">IF($H2403="","",购销流水!$N605)</f>
        <v/>
      </c>
      <c r="H2403" s="10" t="str">
        <f aca="false">IF($L2403="","",IF($L2403="@成本",购销流水!$U605,IF($L2403="@收入",购销流水!$T605,IF($L2403="@存货",购销流水!$S605,IF($L2403="@结算",购销流水!$R605,$L2403)))))</f>
        <v/>
      </c>
      <c r="I2403" s="42" t="n">
        <f aca="false">IF($M2403="借",$O2403,0)</f>
        <v>0</v>
      </c>
      <c r="J2403" s="42" t="n">
        <f aca="false">IF($M2403="贷",$O2403,0)</f>
        <v>0</v>
      </c>
      <c r="K2403" s="48" t="str">
        <f aca="false">IF($H2403="","",购销流水!$E605)</f>
        <v/>
      </c>
      <c r="L2403" s="66" t="str">
        <f aca="false">IF(购销流水!$D605="","",IFERROR(INDEX(记账规则!$A$6:$N$9,MATCH(购销流水!$D605,记账规则!$A$6:$A$9,0),6),""))</f>
        <v/>
      </c>
      <c r="M2403" s="66" t="str">
        <f aca="false">IF($L2403="","",IFERROR(INDEX(记账规则!$A$6:$N$9,MATCH(购销流水!$D605,记账规则!$A$6:$A$9,0),7),""))</f>
        <v/>
      </c>
      <c r="N2403" s="66" t="str">
        <f aca="false">IF($L2403="","",IFERROR(INDEX(记账规则!$A$6:$N$9,MATCH(购销流水!$D605,记账规则!$A$6:$A$9,0),8),""))</f>
        <v/>
      </c>
      <c r="O2403" s="67" t="n">
        <f aca="false">IF($H2403="",0,ROUND(IF($N2403="成本金额",N(购销流水!$W605),IF($N2403="金额",N(购销流水!$Q605),0)),2))</f>
        <v>0</v>
      </c>
      <c r="P2403" s="64" t="str">
        <f aca="false">IF(AND($H2403&lt;&gt;"",ROUND($O2403,2)&lt;&gt;0),"有","")</f>
        <v/>
      </c>
    </row>
    <row r="2404" customFormat="false" ht="15" hidden="true" customHeight="false" outlineLevel="0" collapsed="false">
      <c r="A2404" s="53" t="str">
        <f aca="false">IF($H2404="","",ROW()-5)</f>
        <v/>
      </c>
      <c r="B2404" s="64" t="s">
        <v>36</v>
      </c>
      <c r="C2404" s="53" t="n">
        <v>605</v>
      </c>
      <c r="D2404" s="53" t="n">
        <v>3</v>
      </c>
      <c r="E2404" s="65" t="str">
        <f aca="false">IF($H2404="","",购销流水!$B605)</f>
        <v/>
      </c>
      <c r="F2404" s="55" t="str">
        <f aca="false">IF($H2404="","",购销流水!$C605)</f>
        <v/>
      </c>
      <c r="G2404" s="48" t="str">
        <f aca="false">IF($H2404="","",购销流水!$N605)</f>
        <v/>
      </c>
      <c r="H2404" s="10" t="str">
        <f aca="false">IF($L2404="","",IF($L2404="@成本",购销流水!$U605,IF($L2404="@收入",购销流水!$T605,IF($L2404="@存货",购销流水!$S605,IF($L2404="@结算",购销流水!$R605,$L2404)))))</f>
        <v/>
      </c>
      <c r="I2404" s="42" t="n">
        <f aca="false">IF($M2404="借",$O2404,0)</f>
        <v>0</v>
      </c>
      <c r="J2404" s="42" t="n">
        <f aca="false">IF($M2404="贷",$O2404,0)</f>
        <v>0</v>
      </c>
      <c r="K2404" s="48" t="str">
        <f aca="false">IF($H2404="","",购销流水!$E605)</f>
        <v/>
      </c>
      <c r="L2404" s="66" t="str">
        <f aca="false">IF(购销流水!$D605="","",IFERROR(INDEX(记账规则!$A$6:$N$9,MATCH(购销流水!$D605,记账规则!$A$6:$A$9,0),9),""))</f>
        <v/>
      </c>
      <c r="M2404" s="66" t="str">
        <f aca="false">IF($L2404="","",IFERROR(INDEX(记账规则!$A$6:$N$9,MATCH(购销流水!$D605,记账规则!$A$6:$A$9,0),10),""))</f>
        <v/>
      </c>
      <c r="N2404" s="66" t="str">
        <f aca="false">IF($L2404="","",IFERROR(INDEX(记账规则!$A$6:$N$9,MATCH(购销流水!$D605,记账规则!$A$6:$A$9,0),11),""))</f>
        <v/>
      </c>
      <c r="O2404" s="67" t="n">
        <f aca="false">IF($H2404="",0,ROUND(IF($N2404="成本金额",N(购销流水!$W605),IF($N2404="金额",N(购销流水!$Q605),0)),2))</f>
        <v>0</v>
      </c>
      <c r="P2404" s="64" t="str">
        <f aca="false">IF(AND($H2404&lt;&gt;"",ROUND($O2404,2)&lt;&gt;0),"有","")</f>
        <v/>
      </c>
    </row>
    <row r="2405" customFormat="false" ht="15" hidden="true" customHeight="false" outlineLevel="0" collapsed="false">
      <c r="A2405" s="53" t="str">
        <f aca="false">IF($H2405="","",ROW()-5)</f>
        <v/>
      </c>
      <c r="B2405" s="64" t="s">
        <v>36</v>
      </c>
      <c r="C2405" s="53" t="n">
        <v>605</v>
      </c>
      <c r="D2405" s="53" t="n">
        <v>4</v>
      </c>
      <c r="E2405" s="65" t="str">
        <f aca="false">IF($H2405="","",购销流水!$B605)</f>
        <v/>
      </c>
      <c r="F2405" s="55" t="str">
        <f aca="false">IF($H2405="","",购销流水!$C605)</f>
        <v/>
      </c>
      <c r="G2405" s="48" t="str">
        <f aca="false">IF($H2405="","",购销流水!$N605)</f>
        <v/>
      </c>
      <c r="H2405" s="10" t="str">
        <f aca="false">IF($L2405="","",IF($L2405="@成本",购销流水!$U605,IF($L2405="@收入",购销流水!$T605,IF($L2405="@存货",购销流水!$S605,IF($L2405="@结算",购销流水!$R605,$L2405)))))</f>
        <v/>
      </c>
      <c r="I2405" s="42" t="n">
        <f aca="false">IF($M2405="借",$O2405,0)</f>
        <v>0</v>
      </c>
      <c r="J2405" s="42" t="n">
        <f aca="false">IF($M2405="贷",$O2405,0)</f>
        <v>0</v>
      </c>
      <c r="K2405" s="48" t="str">
        <f aca="false">IF($H2405="","",购销流水!$E605)</f>
        <v/>
      </c>
      <c r="L2405" s="66" t="str">
        <f aca="false">IF(购销流水!$D605="","",IFERROR(INDEX(记账规则!$A$6:$N$9,MATCH(购销流水!$D605,记账规则!$A$6:$A$9,0),12),""))</f>
        <v/>
      </c>
      <c r="M2405" s="66" t="str">
        <f aca="false">IF($L2405="","",IFERROR(INDEX(记账规则!$A$6:$N$9,MATCH(购销流水!$D605,记账规则!$A$6:$A$9,0),13),""))</f>
        <v/>
      </c>
      <c r="N2405" s="66" t="str">
        <f aca="false">IF($L2405="","",IFERROR(INDEX(记账规则!$A$6:$N$9,MATCH(购销流水!$D605,记账规则!$A$6:$A$9,0),14),""))</f>
        <v/>
      </c>
      <c r="O2405" s="67" t="n">
        <f aca="false">IF($H2405="",0,ROUND(IF($N2405="成本金额",N(购销流水!$W605),IF($N2405="金额",N(购销流水!$Q605),0)),2))</f>
        <v>0</v>
      </c>
      <c r="P2405" s="64" t="str">
        <f aca="false">IF(AND($H2405&lt;&gt;"",ROUND($O2405,2)&lt;&gt;0),"有","")</f>
        <v/>
      </c>
    </row>
    <row r="2406" customFormat="false" ht="15" hidden="true" customHeight="false" outlineLevel="0" collapsed="false">
      <c r="A2406" s="53" t="str">
        <f aca="false">IF($H2406="","",ROW()-5)</f>
        <v/>
      </c>
      <c r="B2406" s="64" t="s">
        <v>36</v>
      </c>
      <c r="C2406" s="53" t="n">
        <v>606</v>
      </c>
      <c r="D2406" s="53" t="n">
        <v>1</v>
      </c>
      <c r="E2406" s="65" t="str">
        <f aca="false">IF($H2406="","",购销流水!$B606)</f>
        <v/>
      </c>
      <c r="F2406" s="55" t="str">
        <f aca="false">IF($H2406="","",购销流水!$C606)</f>
        <v/>
      </c>
      <c r="G2406" s="48" t="str">
        <f aca="false">IF($H2406="","",购销流水!$N606)</f>
        <v/>
      </c>
      <c r="H2406" s="10" t="str">
        <f aca="false">IF($L2406="","",IF($L2406="@成本",购销流水!$U606,IF($L2406="@收入",购销流水!$T606,IF($L2406="@存货",购销流水!$S606,IF($L2406="@结算",购销流水!$R606,$L2406)))))</f>
        <v/>
      </c>
      <c r="I2406" s="42" t="n">
        <f aca="false">IF($M2406="借",$O2406,0)</f>
        <v>0</v>
      </c>
      <c r="J2406" s="42" t="n">
        <f aca="false">IF($M2406="贷",$O2406,0)</f>
        <v>0</v>
      </c>
      <c r="K2406" s="48" t="str">
        <f aca="false">IF($H2406="","",购销流水!$E606)</f>
        <v/>
      </c>
      <c r="L2406" s="66" t="str">
        <f aca="false">IF(购销流水!$D606="","",IFERROR(INDEX(记账规则!$A$6:$N$9,MATCH(购销流水!$D606,记账规则!$A$6:$A$9,0),3),""))</f>
        <v/>
      </c>
      <c r="M2406" s="66" t="str">
        <f aca="false">IF($L2406="","",IFERROR(INDEX(记账规则!$A$6:$N$9,MATCH(购销流水!$D606,记账规则!$A$6:$A$9,0),4),""))</f>
        <v/>
      </c>
      <c r="N2406" s="66" t="str">
        <f aca="false">IF($L2406="","",IFERROR(INDEX(记账规则!$A$6:$N$9,MATCH(购销流水!$D606,记账规则!$A$6:$A$9,0),5),""))</f>
        <v/>
      </c>
      <c r="O2406" s="67" t="n">
        <f aca="false">IF($H2406="",0,ROUND(IF($N2406="成本金额",N(购销流水!$W606),IF($N2406="金额",N(购销流水!$Q606),0)),2))</f>
        <v>0</v>
      </c>
      <c r="P2406" s="64" t="str">
        <f aca="false">IF(AND($H2406&lt;&gt;"",ROUND($O2406,2)&lt;&gt;0),"有","")</f>
        <v/>
      </c>
    </row>
    <row r="2407" customFormat="false" ht="15" hidden="true" customHeight="false" outlineLevel="0" collapsed="false">
      <c r="A2407" s="53" t="str">
        <f aca="false">IF($H2407="","",ROW()-5)</f>
        <v/>
      </c>
      <c r="B2407" s="64" t="s">
        <v>36</v>
      </c>
      <c r="C2407" s="53" t="n">
        <v>606</v>
      </c>
      <c r="D2407" s="53" t="n">
        <v>2</v>
      </c>
      <c r="E2407" s="65" t="str">
        <f aca="false">IF($H2407="","",购销流水!$B606)</f>
        <v/>
      </c>
      <c r="F2407" s="55" t="str">
        <f aca="false">IF($H2407="","",购销流水!$C606)</f>
        <v/>
      </c>
      <c r="G2407" s="48" t="str">
        <f aca="false">IF($H2407="","",购销流水!$N606)</f>
        <v/>
      </c>
      <c r="H2407" s="10" t="str">
        <f aca="false">IF($L2407="","",IF($L2407="@成本",购销流水!$U606,IF($L2407="@收入",购销流水!$T606,IF($L2407="@存货",购销流水!$S606,IF($L2407="@结算",购销流水!$R606,$L2407)))))</f>
        <v/>
      </c>
      <c r="I2407" s="42" t="n">
        <f aca="false">IF($M2407="借",$O2407,0)</f>
        <v>0</v>
      </c>
      <c r="J2407" s="42" t="n">
        <f aca="false">IF($M2407="贷",$O2407,0)</f>
        <v>0</v>
      </c>
      <c r="K2407" s="48" t="str">
        <f aca="false">IF($H2407="","",购销流水!$E606)</f>
        <v/>
      </c>
      <c r="L2407" s="66" t="str">
        <f aca="false">IF(购销流水!$D606="","",IFERROR(INDEX(记账规则!$A$6:$N$9,MATCH(购销流水!$D606,记账规则!$A$6:$A$9,0),6),""))</f>
        <v/>
      </c>
      <c r="M2407" s="66" t="str">
        <f aca="false">IF($L2407="","",IFERROR(INDEX(记账规则!$A$6:$N$9,MATCH(购销流水!$D606,记账规则!$A$6:$A$9,0),7),""))</f>
        <v/>
      </c>
      <c r="N2407" s="66" t="str">
        <f aca="false">IF($L2407="","",IFERROR(INDEX(记账规则!$A$6:$N$9,MATCH(购销流水!$D606,记账规则!$A$6:$A$9,0),8),""))</f>
        <v/>
      </c>
      <c r="O2407" s="67" t="n">
        <f aca="false">IF($H2407="",0,ROUND(IF($N2407="成本金额",N(购销流水!$W606),IF($N2407="金额",N(购销流水!$Q606),0)),2))</f>
        <v>0</v>
      </c>
      <c r="P2407" s="64" t="str">
        <f aca="false">IF(AND($H2407&lt;&gt;"",ROUND($O2407,2)&lt;&gt;0),"有","")</f>
        <v/>
      </c>
    </row>
    <row r="2408" customFormat="false" ht="15" hidden="true" customHeight="false" outlineLevel="0" collapsed="false">
      <c r="A2408" s="53" t="str">
        <f aca="false">IF($H2408="","",ROW()-5)</f>
        <v/>
      </c>
      <c r="B2408" s="64" t="s">
        <v>36</v>
      </c>
      <c r="C2408" s="53" t="n">
        <v>606</v>
      </c>
      <c r="D2408" s="53" t="n">
        <v>3</v>
      </c>
      <c r="E2408" s="65" t="str">
        <f aca="false">IF($H2408="","",购销流水!$B606)</f>
        <v/>
      </c>
      <c r="F2408" s="55" t="str">
        <f aca="false">IF($H2408="","",购销流水!$C606)</f>
        <v/>
      </c>
      <c r="G2408" s="48" t="str">
        <f aca="false">IF($H2408="","",购销流水!$N606)</f>
        <v/>
      </c>
      <c r="H2408" s="10" t="str">
        <f aca="false">IF($L2408="","",IF($L2408="@成本",购销流水!$U606,IF($L2408="@收入",购销流水!$T606,IF($L2408="@存货",购销流水!$S606,IF($L2408="@结算",购销流水!$R606,$L2408)))))</f>
        <v/>
      </c>
      <c r="I2408" s="42" t="n">
        <f aca="false">IF($M2408="借",$O2408,0)</f>
        <v>0</v>
      </c>
      <c r="J2408" s="42" t="n">
        <f aca="false">IF($M2408="贷",$O2408,0)</f>
        <v>0</v>
      </c>
      <c r="K2408" s="48" t="str">
        <f aca="false">IF($H2408="","",购销流水!$E606)</f>
        <v/>
      </c>
      <c r="L2408" s="66" t="str">
        <f aca="false">IF(购销流水!$D606="","",IFERROR(INDEX(记账规则!$A$6:$N$9,MATCH(购销流水!$D606,记账规则!$A$6:$A$9,0),9),""))</f>
        <v/>
      </c>
      <c r="M2408" s="66" t="str">
        <f aca="false">IF($L2408="","",IFERROR(INDEX(记账规则!$A$6:$N$9,MATCH(购销流水!$D606,记账规则!$A$6:$A$9,0),10),""))</f>
        <v/>
      </c>
      <c r="N2408" s="66" t="str">
        <f aca="false">IF($L2408="","",IFERROR(INDEX(记账规则!$A$6:$N$9,MATCH(购销流水!$D606,记账规则!$A$6:$A$9,0),11),""))</f>
        <v/>
      </c>
      <c r="O2408" s="67" t="n">
        <f aca="false">IF($H2408="",0,ROUND(IF($N2408="成本金额",N(购销流水!$W606),IF($N2408="金额",N(购销流水!$Q606),0)),2))</f>
        <v>0</v>
      </c>
      <c r="P2408" s="64" t="str">
        <f aca="false">IF(AND($H2408&lt;&gt;"",ROUND($O2408,2)&lt;&gt;0),"有","")</f>
        <v/>
      </c>
    </row>
    <row r="2409" customFormat="false" ht="15" hidden="true" customHeight="false" outlineLevel="0" collapsed="false">
      <c r="A2409" s="53" t="str">
        <f aca="false">IF($H2409="","",ROW()-5)</f>
        <v/>
      </c>
      <c r="B2409" s="64" t="s">
        <v>36</v>
      </c>
      <c r="C2409" s="53" t="n">
        <v>606</v>
      </c>
      <c r="D2409" s="53" t="n">
        <v>4</v>
      </c>
      <c r="E2409" s="65" t="str">
        <f aca="false">IF($H2409="","",购销流水!$B606)</f>
        <v/>
      </c>
      <c r="F2409" s="55" t="str">
        <f aca="false">IF($H2409="","",购销流水!$C606)</f>
        <v/>
      </c>
      <c r="G2409" s="48" t="str">
        <f aca="false">IF($H2409="","",购销流水!$N606)</f>
        <v/>
      </c>
      <c r="H2409" s="10" t="str">
        <f aca="false">IF($L2409="","",IF($L2409="@成本",购销流水!$U606,IF($L2409="@收入",购销流水!$T606,IF($L2409="@存货",购销流水!$S606,IF($L2409="@结算",购销流水!$R606,$L2409)))))</f>
        <v/>
      </c>
      <c r="I2409" s="42" t="n">
        <f aca="false">IF($M2409="借",$O2409,0)</f>
        <v>0</v>
      </c>
      <c r="J2409" s="42" t="n">
        <f aca="false">IF($M2409="贷",$O2409,0)</f>
        <v>0</v>
      </c>
      <c r="K2409" s="48" t="str">
        <f aca="false">IF($H2409="","",购销流水!$E606)</f>
        <v/>
      </c>
      <c r="L2409" s="66" t="str">
        <f aca="false">IF(购销流水!$D606="","",IFERROR(INDEX(记账规则!$A$6:$N$9,MATCH(购销流水!$D606,记账规则!$A$6:$A$9,0),12),""))</f>
        <v/>
      </c>
      <c r="M2409" s="66" t="str">
        <f aca="false">IF($L2409="","",IFERROR(INDEX(记账规则!$A$6:$N$9,MATCH(购销流水!$D606,记账规则!$A$6:$A$9,0),13),""))</f>
        <v/>
      </c>
      <c r="N2409" s="66" t="str">
        <f aca="false">IF($L2409="","",IFERROR(INDEX(记账规则!$A$6:$N$9,MATCH(购销流水!$D606,记账规则!$A$6:$A$9,0),14),""))</f>
        <v/>
      </c>
      <c r="O2409" s="67" t="n">
        <f aca="false">IF($H2409="",0,ROUND(IF($N2409="成本金额",N(购销流水!$W606),IF($N2409="金额",N(购销流水!$Q606),0)),2))</f>
        <v>0</v>
      </c>
      <c r="P2409" s="64" t="str">
        <f aca="false">IF(AND($H2409&lt;&gt;"",ROUND($O2409,2)&lt;&gt;0),"有","")</f>
        <v/>
      </c>
    </row>
    <row r="2410" customFormat="false" ht="15" hidden="true" customHeight="false" outlineLevel="0" collapsed="false">
      <c r="A2410" s="53" t="str">
        <f aca="false">IF($H2410="","",ROW()-5)</f>
        <v/>
      </c>
      <c r="B2410" s="64" t="s">
        <v>36</v>
      </c>
      <c r="C2410" s="53" t="n">
        <v>607</v>
      </c>
      <c r="D2410" s="53" t="n">
        <v>1</v>
      </c>
      <c r="E2410" s="65" t="str">
        <f aca="false">IF($H2410="","",购销流水!$B607)</f>
        <v/>
      </c>
      <c r="F2410" s="55" t="str">
        <f aca="false">IF($H2410="","",购销流水!$C607)</f>
        <v/>
      </c>
      <c r="G2410" s="48" t="str">
        <f aca="false">IF($H2410="","",购销流水!$N607)</f>
        <v/>
      </c>
      <c r="H2410" s="10" t="str">
        <f aca="false">IF($L2410="","",IF($L2410="@成本",购销流水!$U607,IF($L2410="@收入",购销流水!$T607,IF($L2410="@存货",购销流水!$S607,IF($L2410="@结算",购销流水!$R607,$L2410)))))</f>
        <v/>
      </c>
      <c r="I2410" s="42" t="n">
        <f aca="false">IF($M2410="借",$O2410,0)</f>
        <v>0</v>
      </c>
      <c r="J2410" s="42" t="n">
        <f aca="false">IF($M2410="贷",$O2410,0)</f>
        <v>0</v>
      </c>
      <c r="K2410" s="48" t="str">
        <f aca="false">IF($H2410="","",购销流水!$E607)</f>
        <v/>
      </c>
      <c r="L2410" s="66" t="str">
        <f aca="false">IF(购销流水!$D607="","",IFERROR(INDEX(记账规则!$A$6:$N$9,MATCH(购销流水!$D607,记账规则!$A$6:$A$9,0),3),""))</f>
        <v/>
      </c>
      <c r="M2410" s="66" t="str">
        <f aca="false">IF($L2410="","",IFERROR(INDEX(记账规则!$A$6:$N$9,MATCH(购销流水!$D607,记账规则!$A$6:$A$9,0),4),""))</f>
        <v/>
      </c>
      <c r="N2410" s="66" t="str">
        <f aca="false">IF($L2410="","",IFERROR(INDEX(记账规则!$A$6:$N$9,MATCH(购销流水!$D607,记账规则!$A$6:$A$9,0),5),""))</f>
        <v/>
      </c>
      <c r="O2410" s="67" t="n">
        <f aca="false">IF($H2410="",0,ROUND(IF($N2410="成本金额",N(购销流水!$W607),IF($N2410="金额",N(购销流水!$Q607),0)),2))</f>
        <v>0</v>
      </c>
      <c r="P2410" s="64" t="str">
        <f aca="false">IF(AND($H2410&lt;&gt;"",ROUND($O2410,2)&lt;&gt;0),"有","")</f>
        <v/>
      </c>
    </row>
    <row r="2411" customFormat="false" ht="15" hidden="true" customHeight="false" outlineLevel="0" collapsed="false">
      <c r="A2411" s="53" t="str">
        <f aca="false">IF($H2411="","",ROW()-5)</f>
        <v/>
      </c>
      <c r="B2411" s="64" t="s">
        <v>36</v>
      </c>
      <c r="C2411" s="53" t="n">
        <v>607</v>
      </c>
      <c r="D2411" s="53" t="n">
        <v>2</v>
      </c>
      <c r="E2411" s="65" t="str">
        <f aca="false">IF($H2411="","",购销流水!$B607)</f>
        <v/>
      </c>
      <c r="F2411" s="55" t="str">
        <f aca="false">IF($H2411="","",购销流水!$C607)</f>
        <v/>
      </c>
      <c r="G2411" s="48" t="str">
        <f aca="false">IF($H2411="","",购销流水!$N607)</f>
        <v/>
      </c>
      <c r="H2411" s="10" t="str">
        <f aca="false">IF($L2411="","",IF($L2411="@成本",购销流水!$U607,IF($L2411="@收入",购销流水!$T607,IF($L2411="@存货",购销流水!$S607,IF($L2411="@结算",购销流水!$R607,$L2411)))))</f>
        <v/>
      </c>
      <c r="I2411" s="42" t="n">
        <f aca="false">IF($M2411="借",$O2411,0)</f>
        <v>0</v>
      </c>
      <c r="J2411" s="42" t="n">
        <f aca="false">IF($M2411="贷",$O2411,0)</f>
        <v>0</v>
      </c>
      <c r="K2411" s="48" t="str">
        <f aca="false">IF($H2411="","",购销流水!$E607)</f>
        <v/>
      </c>
      <c r="L2411" s="66" t="str">
        <f aca="false">IF(购销流水!$D607="","",IFERROR(INDEX(记账规则!$A$6:$N$9,MATCH(购销流水!$D607,记账规则!$A$6:$A$9,0),6),""))</f>
        <v/>
      </c>
      <c r="M2411" s="66" t="str">
        <f aca="false">IF($L2411="","",IFERROR(INDEX(记账规则!$A$6:$N$9,MATCH(购销流水!$D607,记账规则!$A$6:$A$9,0),7),""))</f>
        <v/>
      </c>
      <c r="N2411" s="66" t="str">
        <f aca="false">IF($L2411="","",IFERROR(INDEX(记账规则!$A$6:$N$9,MATCH(购销流水!$D607,记账规则!$A$6:$A$9,0),8),""))</f>
        <v/>
      </c>
      <c r="O2411" s="67" t="n">
        <f aca="false">IF($H2411="",0,ROUND(IF($N2411="成本金额",N(购销流水!$W607),IF($N2411="金额",N(购销流水!$Q607),0)),2))</f>
        <v>0</v>
      </c>
      <c r="P2411" s="64" t="str">
        <f aca="false">IF(AND($H2411&lt;&gt;"",ROUND($O2411,2)&lt;&gt;0),"有","")</f>
        <v/>
      </c>
    </row>
    <row r="2412" customFormat="false" ht="15" hidden="true" customHeight="false" outlineLevel="0" collapsed="false">
      <c r="A2412" s="53" t="str">
        <f aca="false">IF($H2412="","",ROW()-5)</f>
        <v/>
      </c>
      <c r="B2412" s="64" t="s">
        <v>36</v>
      </c>
      <c r="C2412" s="53" t="n">
        <v>607</v>
      </c>
      <c r="D2412" s="53" t="n">
        <v>3</v>
      </c>
      <c r="E2412" s="65" t="str">
        <f aca="false">IF($H2412="","",购销流水!$B607)</f>
        <v/>
      </c>
      <c r="F2412" s="55" t="str">
        <f aca="false">IF($H2412="","",购销流水!$C607)</f>
        <v/>
      </c>
      <c r="G2412" s="48" t="str">
        <f aca="false">IF($H2412="","",购销流水!$N607)</f>
        <v/>
      </c>
      <c r="H2412" s="10" t="str">
        <f aca="false">IF($L2412="","",IF($L2412="@成本",购销流水!$U607,IF($L2412="@收入",购销流水!$T607,IF($L2412="@存货",购销流水!$S607,IF($L2412="@结算",购销流水!$R607,$L2412)))))</f>
        <v/>
      </c>
      <c r="I2412" s="42" t="n">
        <f aca="false">IF($M2412="借",$O2412,0)</f>
        <v>0</v>
      </c>
      <c r="J2412" s="42" t="n">
        <f aca="false">IF($M2412="贷",$O2412,0)</f>
        <v>0</v>
      </c>
      <c r="K2412" s="48" t="str">
        <f aca="false">IF($H2412="","",购销流水!$E607)</f>
        <v/>
      </c>
      <c r="L2412" s="66" t="str">
        <f aca="false">IF(购销流水!$D607="","",IFERROR(INDEX(记账规则!$A$6:$N$9,MATCH(购销流水!$D607,记账规则!$A$6:$A$9,0),9),""))</f>
        <v/>
      </c>
      <c r="M2412" s="66" t="str">
        <f aca="false">IF($L2412="","",IFERROR(INDEX(记账规则!$A$6:$N$9,MATCH(购销流水!$D607,记账规则!$A$6:$A$9,0),10),""))</f>
        <v/>
      </c>
      <c r="N2412" s="66" t="str">
        <f aca="false">IF($L2412="","",IFERROR(INDEX(记账规则!$A$6:$N$9,MATCH(购销流水!$D607,记账规则!$A$6:$A$9,0),11),""))</f>
        <v/>
      </c>
      <c r="O2412" s="67" t="n">
        <f aca="false">IF($H2412="",0,ROUND(IF($N2412="成本金额",N(购销流水!$W607),IF($N2412="金额",N(购销流水!$Q607),0)),2))</f>
        <v>0</v>
      </c>
      <c r="P2412" s="64" t="str">
        <f aca="false">IF(AND($H2412&lt;&gt;"",ROUND($O2412,2)&lt;&gt;0),"有","")</f>
        <v/>
      </c>
    </row>
    <row r="2413" customFormat="false" ht="15" hidden="true" customHeight="false" outlineLevel="0" collapsed="false">
      <c r="A2413" s="53" t="str">
        <f aca="false">IF($H2413="","",ROW()-5)</f>
        <v/>
      </c>
      <c r="B2413" s="64" t="s">
        <v>36</v>
      </c>
      <c r="C2413" s="53" t="n">
        <v>607</v>
      </c>
      <c r="D2413" s="53" t="n">
        <v>4</v>
      </c>
      <c r="E2413" s="65" t="str">
        <f aca="false">IF($H2413="","",购销流水!$B607)</f>
        <v/>
      </c>
      <c r="F2413" s="55" t="str">
        <f aca="false">IF($H2413="","",购销流水!$C607)</f>
        <v/>
      </c>
      <c r="G2413" s="48" t="str">
        <f aca="false">IF($H2413="","",购销流水!$N607)</f>
        <v/>
      </c>
      <c r="H2413" s="10" t="str">
        <f aca="false">IF($L2413="","",IF($L2413="@成本",购销流水!$U607,IF($L2413="@收入",购销流水!$T607,IF($L2413="@存货",购销流水!$S607,IF($L2413="@结算",购销流水!$R607,$L2413)))))</f>
        <v/>
      </c>
      <c r="I2413" s="42" t="n">
        <f aca="false">IF($M2413="借",$O2413,0)</f>
        <v>0</v>
      </c>
      <c r="J2413" s="42" t="n">
        <f aca="false">IF($M2413="贷",$O2413,0)</f>
        <v>0</v>
      </c>
      <c r="K2413" s="48" t="str">
        <f aca="false">IF($H2413="","",购销流水!$E607)</f>
        <v/>
      </c>
      <c r="L2413" s="66" t="str">
        <f aca="false">IF(购销流水!$D607="","",IFERROR(INDEX(记账规则!$A$6:$N$9,MATCH(购销流水!$D607,记账规则!$A$6:$A$9,0),12),""))</f>
        <v/>
      </c>
      <c r="M2413" s="66" t="str">
        <f aca="false">IF($L2413="","",IFERROR(INDEX(记账规则!$A$6:$N$9,MATCH(购销流水!$D607,记账规则!$A$6:$A$9,0),13),""))</f>
        <v/>
      </c>
      <c r="N2413" s="66" t="str">
        <f aca="false">IF($L2413="","",IFERROR(INDEX(记账规则!$A$6:$N$9,MATCH(购销流水!$D607,记账规则!$A$6:$A$9,0),14),""))</f>
        <v/>
      </c>
      <c r="O2413" s="67" t="n">
        <f aca="false">IF($H2413="",0,ROUND(IF($N2413="成本金额",N(购销流水!$W607),IF($N2413="金额",N(购销流水!$Q607),0)),2))</f>
        <v>0</v>
      </c>
      <c r="P2413" s="64" t="str">
        <f aca="false">IF(AND($H2413&lt;&gt;"",ROUND($O2413,2)&lt;&gt;0),"有","")</f>
        <v/>
      </c>
    </row>
    <row r="2414" customFormat="false" ht="15" hidden="true" customHeight="false" outlineLevel="0" collapsed="false">
      <c r="A2414" s="53" t="str">
        <f aca="false">IF($H2414="","",ROW()-5)</f>
        <v/>
      </c>
      <c r="B2414" s="64" t="s">
        <v>36</v>
      </c>
      <c r="C2414" s="53" t="n">
        <v>608</v>
      </c>
      <c r="D2414" s="53" t="n">
        <v>1</v>
      </c>
      <c r="E2414" s="65" t="str">
        <f aca="false">IF($H2414="","",购销流水!$B608)</f>
        <v/>
      </c>
      <c r="F2414" s="55" t="str">
        <f aca="false">IF($H2414="","",购销流水!$C608)</f>
        <v/>
      </c>
      <c r="G2414" s="48" t="str">
        <f aca="false">IF($H2414="","",购销流水!$N608)</f>
        <v/>
      </c>
      <c r="H2414" s="10" t="str">
        <f aca="false">IF($L2414="","",IF($L2414="@成本",购销流水!$U608,IF($L2414="@收入",购销流水!$T608,IF($L2414="@存货",购销流水!$S608,IF($L2414="@结算",购销流水!$R608,$L2414)))))</f>
        <v/>
      </c>
      <c r="I2414" s="42" t="n">
        <f aca="false">IF($M2414="借",$O2414,0)</f>
        <v>0</v>
      </c>
      <c r="J2414" s="42" t="n">
        <f aca="false">IF($M2414="贷",$O2414,0)</f>
        <v>0</v>
      </c>
      <c r="K2414" s="48" t="str">
        <f aca="false">IF($H2414="","",购销流水!$E608)</f>
        <v/>
      </c>
      <c r="L2414" s="66" t="str">
        <f aca="false">IF(购销流水!$D608="","",IFERROR(INDEX(记账规则!$A$6:$N$9,MATCH(购销流水!$D608,记账规则!$A$6:$A$9,0),3),""))</f>
        <v/>
      </c>
      <c r="M2414" s="66" t="str">
        <f aca="false">IF($L2414="","",IFERROR(INDEX(记账规则!$A$6:$N$9,MATCH(购销流水!$D608,记账规则!$A$6:$A$9,0),4),""))</f>
        <v/>
      </c>
      <c r="N2414" s="66" t="str">
        <f aca="false">IF($L2414="","",IFERROR(INDEX(记账规则!$A$6:$N$9,MATCH(购销流水!$D608,记账规则!$A$6:$A$9,0),5),""))</f>
        <v/>
      </c>
      <c r="O2414" s="67" t="n">
        <f aca="false">IF($H2414="",0,ROUND(IF($N2414="成本金额",N(购销流水!$W608),IF($N2414="金额",N(购销流水!$Q608),0)),2))</f>
        <v>0</v>
      </c>
      <c r="P2414" s="64" t="str">
        <f aca="false">IF(AND($H2414&lt;&gt;"",ROUND($O2414,2)&lt;&gt;0),"有","")</f>
        <v/>
      </c>
    </row>
    <row r="2415" customFormat="false" ht="15" hidden="true" customHeight="false" outlineLevel="0" collapsed="false">
      <c r="A2415" s="53" t="str">
        <f aca="false">IF($H2415="","",ROW()-5)</f>
        <v/>
      </c>
      <c r="B2415" s="64" t="s">
        <v>36</v>
      </c>
      <c r="C2415" s="53" t="n">
        <v>608</v>
      </c>
      <c r="D2415" s="53" t="n">
        <v>2</v>
      </c>
      <c r="E2415" s="65" t="str">
        <f aca="false">IF($H2415="","",购销流水!$B608)</f>
        <v/>
      </c>
      <c r="F2415" s="55" t="str">
        <f aca="false">IF($H2415="","",购销流水!$C608)</f>
        <v/>
      </c>
      <c r="G2415" s="48" t="str">
        <f aca="false">IF($H2415="","",购销流水!$N608)</f>
        <v/>
      </c>
      <c r="H2415" s="10" t="str">
        <f aca="false">IF($L2415="","",IF($L2415="@成本",购销流水!$U608,IF($L2415="@收入",购销流水!$T608,IF($L2415="@存货",购销流水!$S608,IF($L2415="@结算",购销流水!$R608,$L2415)))))</f>
        <v/>
      </c>
      <c r="I2415" s="42" t="n">
        <f aca="false">IF($M2415="借",$O2415,0)</f>
        <v>0</v>
      </c>
      <c r="J2415" s="42" t="n">
        <f aca="false">IF($M2415="贷",$O2415,0)</f>
        <v>0</v>
      </c>
      <c r="K2415" s="48" t="str">
        <f aca="false">IF($H2415="","",购销流水!$E608)</f>
        <v/>
      </c>
      <c r="L2415" s="66" t="str">
        <f aca="false">IF(购销流水!$D608="","",IFERROR(INDEX(记账规则!$A$6:$N$9,MATCH(购销流水!$D608,记账规则!$A$6:$A$9,0),6),""))</f>
        <v/>
      </c>
      <c r="M2415" s="66" t="str">
        <f aca="false">IF($L2415="","",IFERROR(INDEX(记账规则!$A$6:$N$9,MATCH(购销流水!$D608,记账规则!$A$6:$A$9,0),7),""))</f>
        <v/>
      </c>
      <c r="N2415" s="66" t="str">
        <f aca="false">IF($L2415="","",IFERROR(INDEX(记账规则!$A$6:$N$9,MATCH(购销流水!$D608,记账规则!$A$6:$A$9,0),8),""))</f>
        <v/>
      </c>
      <c r="O2415" s="67" t="n">
        <f aca="false">IF($H2415="",0,ROUND(IF($N2415="成本金额",N(购销流水!$W608),IF($N2415="金额",N(购销流水!$Q608),0)),2))</f>
        <v>0</v>
      </c>
      <c r="P2415" s="64" t="str">
        <f aca="false">IF(AND($H2415&lt;&gt;"",ROUND($O2415,2)&lt;&gt;0),"有","")</f>
        <v/>
      </c>
    </row>
    <row r="2416" customFormat="false" ht="15" hidden="true" customHeight="false" outlineLevel="0" collapsed="false">
      <c r="A2416" s="53" t="str">
        <f aca="false">IF($H2416="","",ROW()-5)</f>
        <v/>
      </c>
      <c r="B2416" s="64" t="s">
        <v>36</v>
      </c>
      <c r="C2416" s="53" t="n">
        <v>608</v>
      </c>
      <c r="D2416" s="53" t="n">
        <v>3</v>
      </c>
      <c r="E2416" s="65" t="str">
        <f aca="false">IF($H2416="","",购销流水!$B608)</f>
        <v/>
      </c>
      <c r="F2416" s="55" t="str">
        <f aca="false">IF($H2416="","",购销流水!$C608)</f>
        <v/>
      </c>
      <c r="G2416" s="48" t="str">
        <f aca="false">IF($H2416="","",购销流水!$N608)</f>
        <v/>
      </c>
      <c r="H2416" s="10" t="str">
        <f aca="false">IF($L2416="","",IF($L2416="@成本",购销流水!$U608,IF($L2416="@收入",购销流水!$T608,IF($L2416="@存货",购销流水!$S608,IF($L2416="@结算",购销流水!$R608,$L2416)))))</f>
        <v/>
      </c>
      <c r="I2416" s="42" t="n">
        <f aca="false">IF($M2416="借",$O2416,0)</f>
        <v>0</v>
      </c>
      <c r="J2416" s="42" t="n">
        <f aca="false">IF($M2416="贷",$O2416,0)</f>
        <v>0</v>
      </c>
      <c r="K2416" s="48" t="str">
        <f aca="false">IF($H2416="","",购销流水!$E608)</f>
        <v/>
      </c>
      <c r="L2416" s="66" t="str">
        <f aca="false">IF(购销流水!$D608="","",IFERROR(INDEX(记账规则!$A$6:$N$9,MATCH(购销流水!$D608,记账规则!$A$6:$A$9,0),9),""))</f>
        <v/>
      </c>
      <c r="M2416" s="66" t="str">
        <f aca="false">IF($L2416="","",IFERROR(INDEX(记账规则!$A$6:$N$9,MATCH(购销流水!$D608,记账规则!$A$6:$A$9,0),10),""))</f>
        <v/>
      </c>
      <c r="N2416" s="66" t="str">
        <f aca="false">IF($L2416="","",IFERROR(INDEX(记账规则!$A$6:$N$9,MATCH(购销流水!$D608,记账规则!$A$6:$A$9,0),11),""))</f>
        <v/>
      </c>
      <c r="O2416" s="67" t="n">
        <f aca="false">IF($H2416="",0,ROUND(IF($N2416="成本金额",N(购销流水!$W608),IF($N2416="金额",N(购销流水!$Q608),0)),2))</f>
        <v>0</v>
      </c>
      <c r="P2416" s="64" t="str">
        <f aca="false">IF(AND($H2416&lt;&gt;"",ROUND($O2416,2)&lt;&gt;0),"有","")</f>
        <v/>
      </c>
    </row>
    <row r="2417" customFormat="false" ht="15" hidden="true" customHeight="false" outlineLevel="0" collapsed="false">
      <c r="A2417" s="53" t="str">
        <f aca="false">IF($H2417="","",ROW()-5)</f>
        <v/>
      </c>
      <c r="B2417" s="64" t="s">
        <v>36</v>
      </c>
      <c r="C2417" s="53" t="n">
        <v>608</v>
      </c>
      <c r="D2417" s="53" t="n">
        <v>4</v>
      </c>
      <c r="E2417" s="65" t="str">
        <f aca="false">IF($H2417="","",购销流水!$B608)</f>
        <v/>
      </c>
      <c r="F2417" s="55" t="str">
        <f aca="false">IF($H2417="","",购销流水!$C608)</f>
        <v/>
      </c>
      <c r="G2417" s="48" t="str">
        <f aca="false">IF($H2417="","",购销流水!$N608)</f>
        <v/>
      </c>
      <c r="H2417" s="10" t="str">
        <f aca="false">IF($L2417="","",IF($L2417="@成本",购销流水!$U608,IF($L2417="@收入",购销流水!$T608,IF($L2417="@存货",购销流水!$S608,IF($L2417="@结算",购销流水!$R608,$L2417)))))</f>
        <v/>
      </c>
      <c r="I2417" s="42" t="n">
        <f aca="false">IF($M2417="借",$O2417,0)</f>
        <v>0</v>
      </c>
      <c r="J2417" s="42" t="n">
        <f aca="false">IF($M2417="贷",$O2417,0)</f>
        <v>0</v>
      </c>
      <c r="K2417" s="48" t="str">
        <f aca="false">IF($H2417="","",购销流水!$E608)</f>
        <v/>
      </c>
      <c r="L2417" s="66" t="str">
        <f aca="false">IF(购销流水!$D608="","",IFERROR(INDEX(记账规则!$A$6:$N$9,MATCH(购销流水!$D608,记账规则!$A$6:$A$9,0),12),""))</f>
        <v/>
      </c>
      <c r="M2417" s="66" t="str">
        <f aca="false">IF($L2417="","",IFERROR(INDEX(记账规则!$A$6:$N$9,MATCH(购销流水!$D608,记账规则!$A$6:$A$9,0),13),""))</f>
        <v/>
      </c>
      <c r="N2417" s="66" t="str">
        <f aca="false">IF($L2417="","",IFERROR(INDEX(记账规则!$A$6:$N$9,MATCH(购销流水!$D608,记账规则!$A$6:$A$9,0),14),""))</f>
        <v/>
      </c>
      <c r="O2417" s="67" t="n">
        <f aca="false">IF($H2417="",0,ROUND(IF($N2417="成本金额",N(购销流水!$W608),IF($N2417="金额",N(购销流水!$Q608),0)),2))</f>
        <v>0</v>
      </c>
      <c r="P2417" s="64" t="str">
        <f aca="false">IF(AND($H2417&lt;&gt;"",ROUND($O2417,2)&lt;&gt;0),"有","")</f>
        <v/>
      </c>
    </row>
    <row r="2418" customFormat="false" ht="15" hidden="true" customHeight="false" outlineLevel="0" collapsed="false">
      <c r="A2418" s="53" t="str">
        <f aca="false">IF($H2418="","",ROW()-5)</f>
        <v/>
      </c>
      <c r="B2418" s="64" t="s">
        <v>36</v>
      </c>
      <c r="C2418" s="53" t="n">
        <v>609</v>
      </c>
      <c r="D2418" s="53" t="n">
        <v>1</v>
      </c>
      <c r="E2418" s="65" t="str">
        <f aca="false">IF($H2418="","",购销流水!$B609)</f>
        <v/>
      </c>
      <c r="F2418" s="55" t="str">
        <f aca="false">IF($H2418="","",购销流水!$C609)</f>
        <v/>
      </c>
      <c r="G2418" s="48" t="str">
        <f aca="false">IF($H2418="","",购销流水!$N609)</f>
        <v/>
      </c>
      <c r="H2418" s="10" t="str">
        <f aca="false">IF($L2418="","",IF($L2418="@成本",购销流水!$U609,IF($L2418="@收入",购销流水!$T609,IF($L2418="@存货",购销流水!$S609,IF($L2418="@结算",购销流水!$R609,$L2418)))))</f>
        <v/>
      </c>
      <c r="I2418" s="42" t="n">
        <f aca="false">IF($M2418="借",$O2418,0)</f>
        <v>0</v>
      </c>
      <c r="J2418" s="42" t="n">
        <f aca="false">IF($M2418="贷",$O2418,0)</f>
        <v>0</v>
      </c>
      <c r="K2418" s="48" t="str">
        <f aca="false">IF($H2418="","",购销流水!$E609)</f>
        <v/>
      </c>
      <c r="L2418" s="66" t="str">
        <f aca="false">IF(购销流水!$D609="","",IFERROR(INDEX(记账规则!$A$6:$N$9,MATCH(购销流水!$D609,记账规则!$A$6:$A$9,0),3),""))</f>
        <v/>
      </c>
      <c r="M2418" s="66" t="str">
        <f aca="false">IF($L2418="","",IFERROR(INDEX(记账规则!$A$6:$N$9,MATCH(购销流水!$D609,记账规则!$A$6:$A$9,0),4),""))</f>
        <v/>
      </c>
      <c r="N2418" s="66" t="str">
        <f aca="false">IF($L2418="","",IFERROR(INDEX(记账规则!$A$6:$N$9,MATCH(购销流水!$D609,记账规则!$A$6:$A$9,0),5),""))</f>
        <v/>
      </c>
      <c r="O2418" s="67" t="n">
        <f aca="false">IF($H2418="",0,ROUND(IF($N2418="成本金额",N(购销流水!$W609),IF($N2418="金额",N(购销流水!$Q609),0)),2))</f>
        <v>0</v>
      </c>
      <c r="P2418" s="64" t="str">
        <f aca="false">IF(AND($H2418&lt;&gt;"",ROUND($O2418,2)&lt;&gt;0),"有","")</f>
        <v/>
      </c>
    </row>
    <row r="2419" customFormat="false" ht="15" hidden="true" customHeight="false" outlineLevel="0" collapsed="false">
      <c r="A2419" s="53" t="str">
        <f aca="false">IF($H2419="","",ROW()-5)</f>
        <v/>
      </c>
      <c r="B2419" s="64" t="s">
        <v>36</v>
      </c>
      <c r="C2419" s="53" t="n">
        <v>609</v>
      </c>
      <c r="D2419" s="53" t="n">
        <v>2</v>
      </c>
      <c r="E2419" s="65" t="str">
        <f aca="false">IF($H2419="","",购销流水!$B609)</f>
        <v/>
      </c>
      <c r="F2419" s="55" t="str">
        <f aca="false">IF($H2419="","",购销流水!$C609)</f>
        <v/>
      </c>
      <c r="G2419" s="48" t="str">
        <f aca="false">IF($H2419="","",购销流水!$N609)</f>
        <v/>
      </c>
      <c r="H2419" s="10" t="str">
        <f aca="false">IF($L2419="","",IF($L2419="@成本",购销流水!$U609,IF($L2419="@收入",购销流水!$T609,IF($L2419="@存货",购销流水!$S609,IF($L2419="@结算",购销流水!$R609,$L2419)))))</f>
        <v/>
      </c>
      <c r="I2419" s="42" t="n">
        <f aca="false">IF($M2419="借",$O2419,0)</f>
        <v>0</v>
      </c>
      <c r="J2419" s="42" t="n">
        <f aca="false">IF($M2419="贷",$O2419,0)</f>
        <v>0</v>
      </c>
      <c r="K2419" s="48" t="str">
        <f aca="false">IF($H2419="","",购销流水!$E609)</f>
        <v/>
      </c>
      <c r="L2419" s="66" t="str">
        <f aca="false">IF(购销流水!$D609="","",IFERROR(INDEX(记账规则!$A$6:$N$9,MATCH(购销流水!$D609,记账规则!$A$6:$A$9,0),6),""))</f>
        <v/>
      </c>
      <c r="M2419" s="66" t="str">
        <f aca="false">IF($L2419="","",IFERROR(INDEX(记账规则!$A$6:$N$9,MATCH(购销流水!$D609,记账规则!$A$6:$A$9,0),7),""))</f>
        <v/>
      </c>
      <c r="N2419" s="66" t="str">
        <f aca="false">IF($L2419="","",IFERROR(INDEX(记账规则!$A$6:$N$9,MATCH(购销流水!$D609,记账规则!$A$6:$A$9,0),8),""))</f>
        <v/>
      </c>
      <c r="O2419" s="67" t="n">
        <f aca="false">IF($H2419="",0,ROUND(IF($N2419="成本金额",N(购销流水!$W609),IF($N2419="金额",N(购销流水!$Q609),0)),2))</f>
        <v>0</v>
      </c>
      <c r="P2419" s="64" t="str">
        <f aca="false">IF(AND($H2419&lt;&gt;"",ROUND($O2419,2)&lt;&gt;0),"有","")</f>
        <v/>
      </c>
    </row>
    <row r="2420" customFormat="false" ht="15" hidden="true" customHeight="false" outlineLevel="0" collapsed="false">
      <c r="A2420" s="53" t="str">
        <f aca="false">IF($H2420="","",ROW()-5)</f>
        <v/>
      </c>
      <c r="B2420" s="64" t="s">
        <v>36</v>
      </c>
      <c r="C2420" s="53" t="n">
        <v>609</v>
      </c>
      <c r="D2420" s="53" t="n">
        <v>3</v>
      </c>
      <c r="E2420" s="65" t="str">
        <f aca="false">IF($H2420="","",购销流水!$B609)</f>
        <v/>
      </c>
      <c r="F2420" s="55" t="str">
        <f aca="false">IF($H2420="","",购销流水!$C609)</f>
        <v/>
      </c>
      <c r="G2420" s="48" t="str">
        <f aca="false">IF($H2420="","",购销流水!$N609)</f>
        <v/>
      </c>
      <c r="H2420" s="10" t="str">
        <f aca="false">IF($L2420="","",IF($L2420="@成本",购销流水!$U609,IF($L2420="@收入",购销流水!$T609,IF($L2420="@存货",购销流水!$S609,IF($L2420="@结算",购销流水!$R609,$L2420)))))</f>
        <v/>
      </c>
      <c r="I2420" s="42" t="n">
        <f aca="false">IF($M2420="借",$O2420,0)</f>
        <v>0</v>
      </c>
      <c r="J2420" s="42" t="n">
        <f aca="false">IF($M2420="贷",$O2420,0)</f>
        <v>0</v>
      </c>
      <c r="K2420" s="48" t="str">
        <f aca="false">IF($H2420="","",购销流水!$E609)</f>
        <v/>
      </c>
      <c r="L2420" s="66" t="str">
        <f aca="false">IF(购销流水!$D609="","",IFERROR(INDEX(记账规则!$A$6:$N$9,MATCH(购销流水!$D609,记账规则!$A$6:$A$9,0),9),""))</f>
        <v/>
      </c>
      <c r="M2420" s="66" t="str">
        <f aca="false">IF($L2420="","",IFERROR(INDEX(记账规则!$A$6:$N$9,MATCH(购销流水!$D609,记账规则!$A$6:$A$9,0),10),""))</f>
        <v/>
      </c>
      <c r="N2420" s="66" t="str">
        <f aca="false">IF($L2420="","",IFERROR(INDEX(记账规则!$A$6:$N$9,MATCH(购销流水!$D609,记账规则!$A$6:$A$9,0),11),""))</f>
        <v/>
      </c>
      <c r="O2420" s="67" t="n">
        <f aca="false">IF($H2420="",0,ROUND(IF($N2420="成本金额",N(购销流水!$W609),IF($N2420="金额",N(购销流水!$Q609),0)),2))</f>
        <v>0</v>
      </c>
      <c r="P2420" s="64" t="str">
        <f aca="false">IF(AND($H2420&lt;&gt;"",ROUND($O2420,2)&lt;&gt;0),"有","")</f>
        <v/>
      </c>
    </row>
    <row r="2421" customFormat="false" ht="15" hidden="true" customHeight="false" outlineLevel="0" collapsed="false">
      <c r="A2421" s="53" t="str">
        <f aca="false">IF($H2421="","",ROW()-5)</f>
        <v/>
      </c>
      <c r="B2421" s="64" t="s">
        <v>36</v>
      </c>
      <c r="C2421" s="53" t="n">
        <v>609</v>
      </c>
      <c r="D2421" s="53" t="n">
        <v>4</v>
      </c>
      <c r="E2421" s="65" t="str">
        <f aca="false">IF($H2421="","",购销流水!$B609)</f>
        <v/>
      </c>
      <c r="F2421" s="55" t="str">
        <f aca="false">IF($H2421="","",购销流水!$C609)</f>
        <v/>
      </c>
      <c r="G2421" s="48" t="str">
        <f aca="false">IF($H2421="","",购销流水!$N609)</f>
        <v/>
      </c>
      <c r="H2421" s="10" t="str">
        <f aca="false">IF($L2421="","",IF($L2421="@成本",购销流水!$U609,IF($L2421="@收入",购销流水!$T609,IF($L2421="@存货",购销流水!$S609,IF($L2421="@结算",购销流水!$R609,$L2421)))))</f>
        <v/>
      </c>
      <c r="I2421" s="42" t="n">
        <f aca="false">IF($M2421="借",$O2421,0)</f>
        <v>0</v>
      </c>
      <c r="J2421" s="42" t="n">
        <f aca="false">IF($M2421="贷",$O2421,0)</f>
        <v>0</v>
      </c>
      <c r="K2421" s="48" t="str">
        <f aca="false">IF($H2421="","",购销流水!$E609)</f>
        <v/>
      </c>
      <c r="L2421" s="66" t="str">
        <f aca="false">IF(购销流水!$D609="","",IFERROR(INDEX(记账规则!$A$6:$N$9,MATCH(购销流水!$D609,记账规则!$A$6:$A$9,0),12),""))</f>
        <v/>
      </c>
      <c r="M2421" s="66" t="str">
        <f aca="false">IF($L2421="","",IFERROR(INDEX(记账规则!$A$6:$N$9,MATCH(购销流水!$D609,记账规则!$A$6:$A$9,0),13),""))</f>
        <v/>
      </c>
      <c r="N2421" s="66" t="str">
        <f aca="false">IF($L2421="","",IFERROR(INDEX(记账规则!$A$6:$N$9,MATCH(购销流水!$D609,记账规则!$A$6:$A$9,0),14),""))</f>
        <v/>
      </c>
      <c r="O2421" s="67" t="n">
        <f aca="false">IF($H2421="",0,ROUND(IF($N2421="成本金额",N(购销流水!$W609),IF($N2421="金额",N(购销流水!$Q609),0)),2))</f>
        <v>0</v>
      </c>
      <c r="P2421" s="64" t="str">
        <f aca="false">IF(AND($H2421&lt;&gt;"",ROUND($O2421,2)&lt;&gt;0),"有","")</f>
        <v/>
      </c>
    </row>
    <row r="2422" customFormat="false" ht="15" hidden="true" customHeight="false" outlineLevel="0" collapsed="false">
      <c r="A2422" s="53" t="str">
        <f aca="false">IF($H2422="","",ROW()-5)</f>
        <v/>
      </c>
      <c r="B2422" s="64" t="s">
        <v>36</v>
      </c>
      <c r="C2422" s="53" t="n">
        <v>610</v>
      </c>
      <c r="D2422" s="53" t="n">
        <v>1</v>
      </c>
      <c r="E2422" s="65" t="str">
        <f aca="false">IF($H2422="","",购销流水!$B610)</f>
        <v/>
      </c>
      <c r="F2422" s="55" t="str">
        <f aca="false">IF($H2422="","",购销流水!$C610)</f>
        <v/>
      </c>
      <c r="G2422" s="48" t="str">
        <f aca="false">IF($H2422="","",购销流水!$N610)</f>
        <v/>
      </c>
      <c r="H2422" s="10" t="str">
        <f aca="false">IF($L2422="","",IF($L2422="@成本",购销流水!$U610,IF($L2422="@收入",购销流水!$T610,IF($L2422="@存货",购销流水!$S610,IF($L2422="@结算",购销流水!$R610,$L2422)))))</f>
        <v/>
      </c>
      <c r="I2422" s="42" t="n">
        <f aca="false">IF($M2422="借",$O2422,0)</f>
        <v>0</v>
      </c>
      <c r="J2422" s="42" t="n">
        <f aca="false">IF($M2422="贷",$O2422,0)</f>
        <v>0</v>
      </c>
      <c r="K2422" s="48" t="str">
        <f aca="false">IF($H2422="","",购销流水!$E610)</f>
        <v/>
      </c>
      <c r="L2422" s="66" t="str">
        <f aca="false">IF(购销流水!$D610="","",IFERROR(INDEX(记账规则!$A$6:$N$9,MATCH(购销流水!$D610,记账规则!$A$6:$A$9,0),3),""))</f>
        <v/>
      </c>
      <c r="M2422" s="66" t="str">
        <f aca="false">IF($L2422="","",IFERROR(INDEX(记账规则!$A$6:$N$9,MATCH(购销流水!$D610,记账规则!$A$6:$A$9,0),4),""))</f>
        <v/>
      </c>
      <c r="N2422" s="66" t="str">
        <f aca="false">IF($L2422="","",IFERROR(INDEX(记账规则!$A$6:$N$9,MATCH(购销流水!$D610,记账规则!$A$6:$A$9,0),5),""))</f>
        <v/>
      </c>
      <c r="O2422" s="67" t="n">
        <f aca="false">IF($H2422="",0,ROUND(IF($N2422="成本金额",N(购销流水!$W610),IF($N2422="金额",N(购销流水!$Q610),0)),2))</f>
        <v>0</v>
      </c>
      <c r="P2422" s="64" t="str">
        <f aca="false">IF(AND($H2422&lt;&gt;"",ROUND($O2422,2)&lt;&gt;0),"有","")</f>
        <v/>
      </c>
    </row>
    <row r="2423" customFormat="false" ht="15" hidden="true" customHeight="false" outlineLevel="0" collapsed="false">
      <c r="A2423" s="53" t="str">
        <f aca="false">IF($H2423="","",ROW()-5)</f>
        <v/>
      </c>
      <c r="B2423" s="64" t="s">
        <v>36</v>
      </c>
      <c r="C2423" s="53" t="n">
        <v>610</v>
      </c>
      <c r="D2423" s="53" t="n">
        <v>2</v>
      </c>
      <c r="E2423" s="65" t="str">
        <f aca="false">IF($H2423="","",购销流水!$B610)</f>
        <v/>
      </c>
      <c r="F2423" s="55" t="str">
        <f aca="false">IF($H2423="","",购销流水!$C610)</f>
        <v/>
      </c>
      <c r="G2423" s="48" t="str">
        <f aca="false">IF($H2423="","",购销流水!$N610)</f>
        <v/>
      </c>
      <c r="H2423" s="10" t="str">
        <f aca="false">IF($L2423="","",IF($L2423="@成本",购销流水!$U610,IF($L2423="@收入",购销流水!$T610,IF($L2423="@存货",购销流水!$S610,IF($L2423="@结算",购销流水!$R610,$L2423)))))</f>
        <v/>
      </c>
      <c r="I2423" s="42" t="n">
        <f aca="false">IF($M2423="借",$O2423,0)</f>
        <v>0</v>
      </c>
      <c r="J2423" s="42" t="n">
        <f aca="false">IF($M2423="贷",$O2423,0)</f>
        <v>0</v>
      </c>
      <c r="K2423" s="48" t="str">
        <f aca="false">IF($H2423="","",购销流水!$E610)</f>
        <v/>
      </c>
      <c r="L2423" s="66" t="str">
        <f aca="false">IF(购销流水!$D610="","",IFERROR(INDEX(记账规则!$A$6:$N$9,MATCH(购销流水!$D610,记账规则!$A$6:$A$9,0),6),""))</f>
        <v/>
      </c>
      <c r="M2423" s="66" t="str">
        <f aca="false">IF($L2423="","",IFERROR(INDEX(记账规则!$A$6:$N$9,MATCH(购销流水!$D610,记账规则!$A$6:$A$9,0),7),""))</f>
        <v/>
      </c>
      <c r="N2423" s="66" t="str">
        <f aca="false">IF($L2423="","",IFERROR(INDEX(记账规则!$A$6:$N$9,MATCH(购销流水!$D610,记账规则!$A$6:$A$9,0),8),""))</f>
        <v/>
      </c>
      <c r="O2423" s="67" t="n">
        <f aca="false">IF($H2423="",0,ROUND(IF($N2423="成本金额",N(购销流水!$W610),IF($N2423="金额",N(购销流水!$Q610),0)),2))</f>
        <v>0</v>
      </c>
      <c r="P2423" s="64" t="str">
        <f aca="false">IF(AND($H2423&lt;&gt;"",ROUND($O2423,2)&lt;&gt;0),"有","")</f>
        <v/>
      </c>
    </row>
    <row r="2424" customFormat="false" ht="15" hidden="true" customHeight="false" outlineLevel="0" collapsed="false">
      <c r="A2424" s="53" t="str">
        <f aca="false">IF($H2424="","",ROW()-5)</f>
        <v/>
      </c>
      <c r="B2424" s="64" t="s">
        <v>36</v>
      </c>
      <c r="C2424" s="53" t="n">
        <v>610</v>
      </c>
      <c r="D2424" s="53" t="n">
        <v>3</v>
      </c>
      <c r="E2424" s="65" t="str">
        <f aca="false">IF($H2424="","",购销流水!$B610)</f>
        <v/>
      </c>
      <c r="F2424" s="55" t="str">
        <f aca="false">IF($H2424="","",购销流水!$C610)</f>
        <v/>
      </c>
      <c r="G2424" s="48" t="str">
        <f aca="false">IF($H2424="","",购销流水!$N610)</f>
        <v/>
      </c>
      <c r="H2424" s="10" t="str">
        <f aca="false">IF($L2424="","",IF($L2424="@成本",购销流水!$U610,IF($L2424="@收入",购销流水!$T610,IF($L2424="@存货",购销流水!$S610,IF($L2424="@结算",购销流水!$R610,$L2424)))))</f>
        <v/>
      </c>
      <c r="I2424" s="42" t="n">
        <f aca="false">IF($M2424="借",$O2424,0)</f>
        <v>0</v>
      </c>
      <c r="J2424" s="42" t="n">
        <f aca="false">IF($M2424="贷",$O2424,0)</f>
        <v>0</v>
      </c>
      <c r="K2424" s="48" t="str">
        <f aca="false">IF($H2424="","",购销流水!$E610)</f>
        <v/>
      </c>
      <c r="L2424" s="66" t="str">
        <f aca="false">IF(购销流水!$D610="","",IFERROR(INDEX(记账规则!$A$6:$N$9,MATCH(购销流水!$D610,记账规则!$A$6:$A$9,0),9),""))</f>
        <v/>
      </c>
      <c r="M2424" s="66" t="str">
        <f aca="false">IF($L2424="","",IFERROR(INDEX(记账规则!$A$6:$N$9,MATCH(购销流水!$D610,记账规则!$A$6:$A$9,0),10),""))</f>
        <v/>
      </c>
      <c r="N2424" s="66" t="str">
        <f aca="false">IF($L2424="","",IFERROR(INDEX(记账规则!$A$6:$N$9,MATCH(购销流水!$D610,记账规则!$A$6:$A$9,0),11),""))</f>
        <v/>
      </c>
      <c r="O2424" s="67" t="n">
        <f aca="false">IF($H2424="",0,ROUND(IF($N2424="成本金额",N(购销流水!$W610),IF($N2424="金额",N(购销流水!$Q610),0)),2))</f>
        <v>0</v>
      </c>
      <c r="P2424" s="64" t="str">
        <f aca="false">IF(AND($H2424&lt;&gt;"",ROUND($O2424,2)&lt;&gt;0),"有","")</f>
        <v/>
      </c>
    </row>
    <row r="2425" customFormat="false" ht="15" hidden="true" customHeight="false" outlineLevel="0" collapsed="false">
      <c r="A2425" s="53" t="str">
        <f aca="false">IF($H2425="","",ROW()-5)</f>
        <v/>
      </c>
      <c r="B2425" s="64" t="s">
        <v>36</v>
      </c>
      <c r="C2425" s="53" t="n">
        <v>610</v>
      </c>
      <c r="D2425" s="53" t="n">
        <v>4</v>
      </c>
      <c r="E2425" s="65" t="str">
        <f aca="false">IF($H2425="","",购销流水!$B610)</f>
        <v/>
      </c>
      <c r="F2425" s="55" t="str">
        <f aca="false">IF($H2425="","",购销流水!$C610)</f>
        <v/>
      </c>
      <c r="G2425" s="48" t="str">
        <f aca="false">IF($H2425="","",购销流水!$N610)</f>
        <v/>
      </c>
      <c r="H2425" s="10" t="str">
        <f aca="false">IF($L2425="","",IF($L2425="@成本",购销流水!$U610,IF($L2425="@收入",购销流水!$T610,IF($L2425="@存货",购销流水!$S610,IF($L2425="@结算",购销流水!$R610,$L2425)))))</f>
        <v/>
      </c>
      <c r="I2425" s="42" t="n">
        <f aca="false">IF($M2425="借",$O2425,0)</f>
        <v>0</v>
      </c>
      <c r="J2425" s="42" t="n">
        <f aca="false">IF($M2425="贷",$O2425,0)</f>
        <v>0</v>
      </c>
      <c r="K2425" s="48" t="str">
        <f aca="false">IF($H2425="","",购销流水!$E610)</f>
        <v/>
      </c>
      <c r="L2425" s="66" t="str">
        <f aca="false">IF(购销流水!$D610="","",IFERROR(INDEX(记账规则!$A$6:$N$9,MATCH(购销流水!$D610,记账规则!$A$6:$A$9,0),12),""))</f>
        <v/>
      </c>
      <c r="M2425" s="66" t="str">
        <f aca="false">IF($L2425="","",IFERROR(INDEX(记账规则!$A$6:$N$9,MATCH(购销流水!$D610,记账规则!$A$6:$A$9,0),13),""))</f>
        <v/>
      </c>
      <c r="N2425" s="66" t="str">
        <f aca="false">IF($L2425="","",IFERROR(INDEX(记账规则!$A$6:$N$9,MATCH(购销流水!$D610,记账规则!$A$6:$A$9,0),14),""))</f>
        <v/>
      </c>
      <c r="O2425" s="67" t="n">
        <f aca="false">IF($H2425="",0,ROUND(IF($N2425="成本金额",N(购销流水!$W610),IF($N2425="金额",N(购销流水!$Q610),0)),2))</f>
        <v>0</v>
      </c>
      <c r="P2425" s="64" t="str">
        <f aca="false">IF(AND($H2425&lt;&gt;"",ROUND($O2425,2)&lt;&gt;0),"有","")</f>
        <v/>
      </c>
    </row>
    <row r="2426" customFormat="false" ht="15" hidden="true" customHeight="false" outlineLevel="0" collapsed="false">
      <c r="A2426" s="53" t="str">
        <f aca="false">IF($H2426="","",ROW()-5)</f>
        <v/>
      </c>
      <c r="B2426" s="64" t="s">
        <v>36</v>
      </c>
      <c r="C2426" s="53" t="n">
        <v>611</v>
      </c>
      <c r="D2426" s="53" t="n">
        <v>1</v>
      </c>
      <c r="E2426" s="65" t="str">
        <f aca="false">IF($H2426="","",购销流水!$B611)</f>
        <v/>
      </c>
      <c r="F2426" s="55" t="str">
        <f aca="false">IF($H2426="","",购销流水!$C611)</f>
        <v/>
      </c>
      <c r="G2426" s="48" t="str">
        <f aca="false">IF($H2426="","",购销流水!$N611)</f>
        <v/>
      </c>
      <c r="H2426" s="10" t="str">
        <f aca="false">IF($L2426="","",IF($L2426="@成本",购销流水!$U611,IF($L2426="@收入",购销流水!$T611,IF($L2426="@存货",购销流水!$S611,IF($L2426="@结算",购销流水!$R611,$L2426)))))</f>
        <v/>
      </c>
      <c r="I2426" s="42" t="n">
        <f aca="false">IF($M2426="借",$O2426,0)</f>
        <v>0</v>
      </c>
      <c r="J2426" s="42" t="n">
        <f aca="false">IF($M2426="贷",$O2426,0)</f>
        <v>0</v>
      </c>
      <c r="K2426" s="48" t="str">
        <f aca="false">IF($H2426="","",购销流水!$E611)</f>
        <v/>
      </c>
      <c r="L2426" s="66" t="str">
        <f aca="false">IF(购销流水!$D611="","",IFERROR(INDEX(记账规则!$A$6:$N$9,MATCH(购销流水!$D611,记账规则!$A$6:$A$9,0),3),""))</f>
        <v/>
      </c>
      <c r="M2426" s="66" t="str">
        <f aca="false">IF($L2426="","",IFERROR(INDEX(记账规则!$A$6:$N$9,MATCH(购销流水!$D611,记账规则!$A$6:$A$9,0),4),""))</f>
        <v/>
      </c>
      <c r="N2426" s="66" t="str">
        <f aca="false">IF($L2426="","",IFERROR(INDEX(记账规则!$A$6:$N$9,MATCH(购销流水!$D611,记账规则!$A$6:$A$9,0),5),""))</f>
        <v/>
      </c>
      <c r="O2426" s="67" t="n">
        <f aca="false">IF($H2426="",0,ROUND(IF($N2426="成本金额",N(购销流水!$W611),IF($N2426="金额",N(购销流水!$Q611),0)),2))</f>
        <v>0</v>
      </c>
      <c r="P2426" s="64" t="str">
        <f aca="false">IF(AND($H2426&lt;&gt;"",ROUND($O2426,2)&lt;&gt;0),"有","")</f>
        <v/>
      </c>
    </row>
    <row r="2427" customFormat="false" ht="15" hidden="true" customHeight="false" outlineLevel="0" collapsed="false">
      <c r="A2427" s="53" t="str">
        <f aca="false">IF($H2427="","",ROW()-5)</f>
        <v/>
      </c>
      <c r="B2427" s="64" t="s">
        <v>36</v>
      </c>
      <c r="C2427" s="53" t="n">
        <v>611</v>
      </c>
      <c r="D2427" s="53" t="n">
        <v>2</v>
      </c>
      <c r="E2427" s="65" t="str">
        <f aca="false">IF($H2427="","",购销流水!$B611)</f>
        <v/>
      </c>
      <c r="F2427" s="55" t="str">
        <f aca="false">IF($H2427="","",购销流水!$C611)</f>
        <v/>
      </c>
      <c r="G2427" s="48" t="str">
        <f aca="false">IF($H2427="","",购销流水!$N611)</f>
        <v/>
      </c>
      <c r="H2427" s="10" t="str">
        <f aca="false">IF($L2427="","",IF($L2427="@成本",购销流水!$U611,IF($L2427="@收入",购销流水!$T611,IF($L2427="@存货",购销流水!$S611,IF($L2427="@结算",购销流水!$R611,$L2427)))))</f>
        <v/>
      </c>
      <c r="I2427" s="42" t="n">
        <f aca="false">IF($M2427="借",$O2427,0)</f>
        <v>0</v>
      </c>
      <c r="J2427" s="42" t="n">
        <f aca="false">IF($M2427="贷",$O2427,0)</f>
        <v>0</v>
      </c>
      <c r="K2427" s="48" t="str">
        <f aca="false">IF($H2427="","",购销流水!$E611)</f>
        <v/>
      </c>
      <c r="L2427" s="66" t="str">
        <f aca="false">IF(购销流水!$D611="","",IFERROR(INDEX(记账规则!$A$6:$N$9,MATCH(购销流水!$D611,记账规则!$A$6:$A$9,0),6),""))</f>
        <v/>
      </c>
      <c r="M2427" s="66" t="str">
        <f aca="false">IF($L2427="","",IFERROR(INDEX(记账规则!$A$6:$N$9,MATCH(购销流水!$D611,记账规则!$A$6:$A$9,0),7),""))</f>
        <v/>
      </c>
      <c r="N2427" s="66" t="str">
        <f aca="false">IF($L2427="","",IFERROR(INDEX(记账规则!$A$6:$N$9,MATCH(购销流水!$D611,记账规则!$A$6:$A$9,0),8),""))</f>
        <v/>
      </c>
      <c r="O2427" s="67" t="n">
        <f aca="false">IF($H2427="",0,ROUND(IF($N2427="成本金额",N(购销流水!$W611),IF($N2427="金额",N(购销流水!$Q611),0)),2))</f>
        <v>0</v>
      </c>
      <c r="P2427" s="64" t="str">
        <f aca="false">IF(AND($H2427&lt;&gt;"",ROUND($O2427,2)&lt;&gt;0),"有","")</f>
        <v/>
      </c>
    </row>
    <row r="2428" customFormat="false" ht="15" hidden="true" customHeight="false" outlineLevel="0" collapsed="false">
      <c r="A2428" s="53" t="str">
        <f aca="false">IF($H2428="","",ROW()-5)</f>
        <v/>
      </c>
      <c r="B2428" s="64" t="s">
        <v>36</v>
      </c>
      <c r="C2428" s="53" t="n">
        <v>611</v>
      </c>
      <c r="D2428" s="53" t="n">
        <v>3</v>
      </c>
      <c r="E2428" s="65" t="str">
        <f aca="false">IF($H2428="","",购销流水!$B611)</f>
        <v/>
      </c>
      <c r="F2428" s="55" t="str">
        <f aca="false">IF($H2428="","",购销流水!$C611)</f>
        <v/>
      </c>
      <c r="G2428" s="48" t="str">
        <f aca="false">IF($H2428="","",购销流水!$N611)</f>
        <v/>
      </c>
      <c r="H2428" s="10" t="str">
        <f aca="false">IF($L2428="","",IF($L2428="@成本",购销流水!$U611,IF($L2428="@收入",购销流水!$T611,IF($L2428="@存货",购销流水!$S611,IF($L2428="@结算",购销流水!$R611,$L2428)))))</f>
        <v/>
      </c>
      <c r="I2428" s="42" t="n">
        <f aca="false">IF($M2428="借",$O2428,0)</f>
        <v>0</v>
      </c>
      <c r="J2428" s="42" t="n">
        <f aca="false">IF($M2428="贷",$O2428,0)</f>
        <v>0</v>
      </c>
      <c r="K2428" s="48" t="str">
        <f aca="false">IF($H2428="","",购销流水!$E611)</f>
        <v/>
      </c>
      <c r="L2428" s="66" t="str">
        <f aca="false">IF(购销流水!$D611="","",IFERROR(INDEX(记账规则!$A$6:$N$9,MATCH(购销流水!$D611,记账规则!$A$6:$A$9,0),9),""))</f>
        <v/>
      </c>
      <c r="M2428" s="66" t="str">
        <f aca="false">IF($L2428="","",IFERROR(INDEX(记账规则!$A$6:$N$9,MATCH(购销流水!$D611,记账规则!$A$6:$A$9,0),10),""))</f>
        <v/>
      </c>
      <c r="N2428" s="66" t="str">
        <f aca="false">IF($L2428="","",IFERROR(INDEX(记账规则!$A$6:$N$9,MATCH(购销流水!$D611,记账规则!$A$6:$A$9,0),11),""))</f>
        <v/>
      </c>
      <c r="O2428" s="67" t="n">
        <f aca="false">IF($H2428="",0,ROUND(IF($N2428="成本金额",N(购销流水!$W611),IF($N2428="金额",N(购销流水!$Q611),0)),2))</f>
        <v>0</v>
      </c>
      <c r="P2428" s="64" t="str">
        <f aca="false">IF(AND($H2428&lt;&gt;"",ROUND($O2428,2)&lt;&gt;0),"有","")</f>
        <v/>
      </c>
    </row>
    <row r="2429" customFormat="false" ht="15" hidden="true" customHeight="false" outlineLevel="0" collapsed="false">
      <c r="A2429" s="53" t="str">
        <f aca="false">IF($H2429="","",ROW()-5)</f>
        <v/>
      </c>
      <c r="B2429" s="64" t="s">
        <v>36</v>
      </c>
      <c r="C2429" s="53" t="n">
        <v>611</v>
      </c>
      <c r="D2429" s="53" t="n">
        <v>4</v>
      </c>
      <c r="E2429" s="65" t="str">
        <f aca="false">IF($H2429="","",购销流水!$B611)</f>
        <v/>
      </c>
      <c r="F2429" s="55" t="str">
        <f aca="false">IF($H2429="","",购销流水!$C611)</f>
        <v/>
      </c>
      <c r="G2429" s="48" t="str">
        <f aca="false">IF($H2429="","",购销流水!$N611)</f>
        <v/>
      </c>
      <c r="H2429" s="10" t="str">
        <f aca="false">IF($L2429="","",IF($L2429="@成本",购销流水!$U611,IF($L2429="@收入",购销流水!$T611,IF($L2429="@存货",购销流水!$S611,IF($L2429="@结算",购销流水!$R611,$L2429)))))</f>
        <v/>
      </c>
      <c r="I2429" s="42" t="n">
        <f aca="false">IF($M2429="借",$O2429,0)</f>
        <v>0</v>
      </c>
      <c r="J2429" s="42" t="n">
        <f aca="false">IF($M2429="贷",$O2429,0)</f>
        <v>0</v>
      </c>
      <c r="K2429" s="48" t="str">
        <f aca="false">IF($H2429="","",购销流水!$E611)</f>
        <v/>
      </c>
      <c r="L2429" s="66" t="str">
        <f aca="false">IF(购销流水!$D611="","",IFERROR(INDEX(记账规则!$A$6:$N$9,MATCH(购销流水!$D611,记账规则!$A$6:$A$9,0),12),""))</f>
        <v/>
      </c>
      <c r="M2429" s="66" t="str">
        <f aca="false">IF($L2429="","",IFERROR(INDEX(记账规则!$A$6:$N$9,MATCH(购销流水!$D611,记账规则!$A$6:$A$9,0),13),""))</f>
        <v/>
      </c>
      <c r="N2429" s="66" t="str">
        <f aca="false">IF($L2429="","",IFERROR(INDEX(记账规则!$A$6:$N$9,MATCH(购销流水!$D611,记账规则!$A$6:$A$9,0),14),""))</f>
        <v/>
      </c>
      <c r="O2429" s="67" t="n">
        <f aca="false">IF($H2429="",0,ROUND(IF($N2429="成本金额",N(购销流水!$W611),IF($N2429="金额",N(购销流水!$Q611),0)),2))</f>
        <v>0</v>
      </c>
      <c r="P2429" s="64" t="str">
        <f aca="false">IF(AND($H2429&lt;&gt;"",ROUND($O2429,2)&lt;&gt;0),"有","")</f>
        <v/>
      </c>
    </row>
    <row r="2430" customFormat="false" ht="15" hidden="true" customHeight="false" outlineLevel="0" collapsed="false">
      <c r="A2430" s="53" t="str">
        <f aca="false">IF($H2430="","",ROW()-5)</f>
        <v/>
      </c>
      <c r="B2430" s="64" t="s">
        <v>36</v>
      </c>
      <c r="C2430" s="53" t="n">
        <v>612</v>
      </c>
      <c r="D2430" s="53" t="n">
        <v>1</v>
      </c>
      <c r="E2430" s="65" t="str">
        <f aca="false">IF($H2430="","",购销流水!$B612)</f>
        <v/>
      </c>
      <c r="F2430" s="55" t="str">
        <f aca="false">IF($H2430="","",购销流水!$C612)</f>
        <v/>
      </c>
      <c r="G2430" s="48" t="str">
        <f aca="false">IF($H2430="","",购销流水!$N612)</f>
        <v/>
      </c>
      <c r="H2430" s="10" t="str">
        <f aca="false">IF($L2430="","",IF($L2430="@成本",购销流水!$U612,IF($L2430="@收入",购销流水!$T612,IF($L2430="@存货",购销流水!$S612,IF($L2430="@结算",购销流水!$R612,$L2430)))))</f>
        <v/>
      </c>
      <c r="I2430" s="42" t="n">
        <f aca="false">IF($M2430="借",$O2430,0)</f>
        <v>0</v>
      </c>
      <c r="J2430" s="42" t="n">
        <f aca="false">IF($M2430="贷",$O2430,0)</f>
        <v>0</v>
      </c>
      <c r="K2430" s="48" t="str">
        <f aca="false">IF($H2430="","",购销流水!$E612)</f>
        <v/>
      </c>
      <c r="L2430" s="66" t="str">
        <f aca="false">IF(购销流水!$D612="","",IFERROR(INDEX(记账规则!$A$6:$N$9,MATCH(购销流水!$D612,记账规则!$A$6:$A$9,0),3),""))</f>
        <v/>
      </c>
      <c r="M2430" s="66" t="str">
        <f aca="false">IF($L2430="","",IFERROR(INDEX(记账规则!$A$6:$N$9,MATCH(购销流水!$D612,记账规则!$A$6:$A$9,0),4),""))</f>
        <v/>
      </c>
      <c r="N2430" s="66" t="str">
        <f aca="false">IF($L2430="","",IFERROR(INDEX(记账规则!$A$6:$N$9,MATCH(购销流水!$D612,记账规则!$A$6:$A$9,0),5),""))</f>
        <v/>
      </c>
      <c r="O2430" s="67" t="n">
        <f aca="false">IF($H2430="",0,ROUND(IF($N2430="成本金额",N(购销流水!$W612),IF($N2430="金额",N(购销流水!$Q612),0)),2))</f>
        <v>0</v>
      </c>
      <c r="P2430" s="64" t="str">
        <f aca="false">IF(AND($H2430&lt;&gt;"",ROUND($O2430,2)&lt;&gt;0),"有","")</f>
        <v/>
      </c>
    </row>
    <row r="2431" customFormat="false" ht="15" hidden="true" customHeight="false" outlineLevel="0" collapsed="false">
      <c r="A2431" s="53" t="str">
        <f aca="false">IF($H2431="","",ROW()-5)</f>
        <v/>
      </c>
      <c r="B2431" s="64" t="s">
        <v>36</v>
      </c>
      <c r="C2431" s="53" t="n">
        <v>612</v>
      </c>
      <c r="D2431" s="53" t="n">
        <v>2</v>
      </c>
      <c r="E2431" s="65" t="str">
        <f aca="false">IF($H2431="","",购销流水!$B612)</f>
        <v/>
      </c>
      <c r="F2431" s="55" t="str">
        <f aca="false">IF($H2431="","",购销流水!$C612)</f>
        <v/>
      </c>
      <c r="G2431" s="48" t="str">
        <f aca="false">IF($H2431="","",购销流水!$N612)</f>
        <v/>
      </c>
      <c r="H2431" s="10" t="str">
        <f aca="false">IF($L2431="","",IF($L2431="@成本",购销流水!$U612,IF($L2431="@收入",购销流水!$T612,IF($L2431="@存货",购销流水!$S612,IF($L2431="@结算",购销流水!$R612,$L2431)))))</f>
        <v/>
      </c>
      <c r="I2431" s="42" t="n">
        <f aca="false">IF($M2431="借",$O2431,0)</f>
        <v>0</v>
      </c>
      <c r="J2431" s="42" t="n">
        <f aca="false">IF($M2431="贷",$O2431,0)</f>
        <v>0</v>
      </c>
      <c r="K2431" s="48" t="str">
        <f aca="false">IF($H2431="","",购销流水!$E612)</f>
        <v/>
      </c>
      <c r="L2431" s="66" t="str">
        <f aca="false">IF(购销流水!$D612="","",IFERROR(INDEX(记账规则!$A$6:$N$9,MATCH(购销流水!$D612,记账规则!$A$6:$A$9,0),6),""))</f>
        <v/>
      </c>
      <c r="M2431" s="66" t="str">
        <f aca="false">IF($L2431="","",IFERROR(INDEX(记账规则!$A$6:$N$9,MATCH(购销流水!$D612,记账规则!$A$6:$A$9,0),7),""))</f>
        <v/>
      </c>
      <c r="N2431" s="66" t="str">
        <f aca="false">IF($L2431="","",IFERROR(INDEX(记账规则!$A$6:$N$9,MATCH(购销流水!$D612,记账规则!$A$6:$A$9,0),8),""))</f>
        <v/>
      </c>
      <c r="O2431" s="67" t="n">
        <f aca="false">IF($H2431="",0,ROUND(IF($N2431="成本金额",N(购销流水!$W612),IF($N2431="金额",N(购销流水!$Q612),0)),2))</f>
        <v>0</v>
      </c>
      <c r="P2431" s="64" t="str">
        <f aca="false">IF(AND($H2431&lt;&gt;"",ROUND($O2431,2)&lt;&gt;0),"有","")</f>
        <v/>
      </c>
    </row>
    <row r="2432" customFormat="false" ht="15" hidden="true" customHeight="false" outlineLevel="0" collapsed="false">
      <c r="A2432" s="53" t="str">
        <f aca="false">IF($H2432="","",ROW()-5)</f>
        <v/>
      </c>
      <c r="B2432" s="64" t="s">
        <v>36</v>
      </c>
      <c r="C2432" s="53" t="n">
        <v>612</v>
      </c>
      <c r="D2432" s="53" t="n">
        <v>3</v>
      </c>
      <c r="E2432" s="65" t="str">
        <f aca="false">IF($H2432="","",购销流水!$B612)</f>
        <v/>
      </c>
      <c r="F2432" s="55" t="str">
        <f aca="false">IF($H2432="","",购销流水!$C612)</f>
        <v/>
      </c>
      <c r="G2432" s="48" t="str">
        <f aca="false">IF($H2432="","",购销流水!$N612)</f>
        <v/>
      </c>
      <c r="H2432" s="10" t="str">
        <f aca="false">IF($L2432="","",IF($L2432="@成本",购销流水!$U612,IF($L2432="@收入",购销流水!$T612,IF($L2432="@存货",购销流水!$S612,IF($L2432="@结算",购销流水!$R612,$L2432)))))</f>
        <v/>
      </c>
      <c r="I2432" s="42" t="n">
        <f aca="false">IF($M2432="借",$O2432,0)</f>
        <v>0</v>
      </c>
      <c r="J2432" s="42" t="n">
        <f aca="false">IF($M2432="贷",$O2432,0)</f>
        <v>0</v>
      </c>
      <c r="K2432" s="48" t="str">
        <f aca="false">IF($H2432="","",购销流水!$E612)</f>
        <v/>
      </c>
      <c r="L2432" s="66" t="str">
        <f aca="false">IF(购销流水!$D612="","",IFERROR(INDEX(记账规则!$A$6:$N$9,MATCH(购销流水!$D612,记账规则!$A$6:$A$9,0),9),""))</f>
        <v/>
      </c>
      <c r="M2432" s="66" t="str">
        <f aca="false">IF($L2432="","",IFERROR(INDEX(记账规则!$A$6:$N$9,MATCH(购销流水!$D612,记账规则!$A$6:$A$9,0),10),""))</f>
        <v/>
      </c>
      <c r="N2432" s="66" t="str">
        <f aca="false">IF($L2432="","",IFERROR(INDEX(记账规则!$A$6:$N$9,MATCH(购销流水!$D612,记账规则!$A$6:$A$9,0),11),""))</f>
        <v/>
      </c>
      <c r="O2432" s="67" t="n">
        <f aca="false">IF($H2432="",0,ROUND(IF($N2432="成本金额",N(购销流水!$W612),IF($N2432="金额",N(购销流水!$Q612),0)),2))</f>
        <v>0</v>
      </c>
      <c r="P2432" s="64" t="str">
        <f aca="false">IF(AND($H2432&lt;&gt;"",ROUND($O2432,2)&lt;&gt;0),"有","")</f>
        <v/>
      </c>
    </row>
    <row r="2433" customFormat="false" ht="15" hidden="true" customHeight="false" outlineLevel="0" collapsed="false">
      <c r="A2433" s="53" t="str">
        <f aca="false">IF($H2433="","",ROW()-5)</f>
        <v/>
      </c>
      <c r="B2433" s="64" t="s">
        <v>36</v>
      </c>
      <c r="C2433" s="53" t="n">
        <v>612</v>
      </c>
      <c r="D2433" s="53" t="n">
        <v>4</v>
      </c>
      <c r="E2433" s="65" t="str">
        <f aca="false">IF($H2433="","",购销流水!$B612)</f>
        <v/>
      </c>
      <c r="F2433" s="55" t="str">
        <f aca="false">IF($H2433="","",购销流水!$C612)</f>
        <v/>
      </c>
      <c r="G2433" s="48" t="str">
        <f aca="false">IF($H2433="","",购销流水!$N612)</f>
        <v/>
      </c>
      <c r="H2433" s="10" t="str">
        <f aca="false">IF($L2433="","",IF($L2433="@成本",购销流水!$U612,IF($L2433="@收入",购销流水!$T612,IF($L2433="@存货",购销流水!$S612,IF($L2433="@结算",购销流水!$R612,$L2433)))))</f>
        <v/>
      </c>
      <c r="I2433" s="42" t="n">
        <f aca="false">IF($M2433="借",$O2433,0)</f>
        <v>0</v>
      </c>
      <c r="J2433" s="42" t="n">
        <f aca="false">IF($M2433="贷",$O2433,0)</f>
        <v>0</v>
      </c>
      <c r="K2433" s="48" t="str">
        <f aca="false">IF($H2433="","",购销流水!$E612)</f>
        <v/>
      </c>
      <c r="L2433" s="66" t="str">
        <f aca="false">IF(购销流水!$D612="","",IFERROR(INDEX(记账规则!$A$6:$N$9,MATCH(购销流水!$D612,记账规则!$A$6:$A$9,0),12),""))</f>
        <v/>
      </c>
      <c r="M2433" s="66" t="str">
        <f aca="false">IF($L2433="","",IFERROR(INDEX(记账规则!$A$6:$N$9,MATCH(购销流水!$D612,记账规则!$A$6:$A$9,0),13),""))</f>
        <v/>
      </c>
      <c r="N2433" s="66" t="str">
        <f aca="false">IF($L2433="","",IFERROR(INDEX(记账规则!$A$6:$N$9,MATCH(购销流水!$D612,记账规则!$A$6:$A$9,0),14),""))</f>
        <v/>
      </c>
      <c r="O2433" s="67" t="n">
        <f aca="false">IF($H2433="",0,ROUND(IF($N2433="成本金额",N(购销流水!$W612),IF($N2433="金额",N(购销流水!$Q612),0)),2))</f>
        <v>0</v>
      </c>
      <c r="P2433" s="64" t="str">
        <f aca="false">IF(AND($H2433&lt;&gt;"",ROUND($O2433,2)&lt;&gt;0),"有","")</f>
        <v/>
      </c>
    </row>
    <row r="2434" customFormat="false" ht="15" hidden="true" customHeight="false" outlineLevel="0" collapsed="false">
      <c r="A2434" s="53" t="str">
        <f aca="false">IF($H2434="","",ROW()-5)</f>
        <v/>
      </c>
      <c r="B2434" s="64" t="s">
        <v>36</v>
      </c>
      <c r="C2434" s="53" t="n">
        <v>613</v>
      </c>
      <c r="D2434" s="53" t="n">
        <v>1</v>
      </c>
      <c r="E2434" s="65" t="str">
        <f aca="false">IF($H2434="","",购销流水!$B613)</f>
        <v/>
      </c>
      <c r="F2434" s="55" t="str">
        <f aca="false">IF($H2434="","",购销流水!$C613)</f>
        <v/>
      </c>
      <c r="G2434" s="48" t="str">
        <f aca="false">IF($H2434="","",购销流水!$N613)</f>
        <v/>
      </c>
      <c r="H2434" s="10" t="str">
        <f aca="false">IF($L2434="","",IF($L2434="@成本",购销流水!$U613,IF($L2434="@收入",购销流水!$T613,IF($L2434="@存货",购销流水!$S613,IF($L2434="@结算",购销流水!$R613,$L2434)))))</f>
        <v/>
      </c>
      <c r="I2434" s="42" t="n">
        <f aca="false">IF($M2434="借",$O2434,0)</f>
        <v>0</v>
      </c>
      <c r="J2434" s="42" t="n">
        <f aca="false">IF($M2434="贷",$O2434,0)</f>
        <v>0</v>
      </c>
      <c r="K2434" s="48" t="str">
        <f aca="false">IF($H2434="","",购销流水!$E613)</f>
        <v/>
      </c>
      <c r="L2434" s="66" t="str">
        <f aca="false">IF(购销流水!$D613="","",IFERROR(INDEX(记账规则!$A$6:$N$9,MATCH(购销流水!$D613,记账规则!$A$6:$A$9,0),3),""))</f>
        <v/>
      </c>
      <c r="M2434" s="66" t="str">
        <f aca="false">IF($L2434="","",IFERROR(INDEX(记账规则!$A$6:$N$9,MATCH(购销流水!$D613,记账规则!$A$6:$A$9,0),4),""))</f>
        <v/>
      </c>
      <c r="N2434" s="66" t="str">
        <f aca="false">IF($L2434="","",IFERROR(INDEX(记账规则!$A$6:$N$9,MATCH(购销流水!$D613,记账规则!$A$6:$A$9,0),5),""))</f>
        <v/>
      </c>
      <c r="O2434" s="67" t="n">
        <f aca="false">IF($H2434="",0,ROUND(IF($N2434="成本金额",N(购销流水!$W613),IF($N2434="金额",N(购销流水!$Q613),0)),2))</f>
        <v>0</v>
      </c>
      <c r="P2434" s="64" t="str">
        <f aca="false">IF(AND($H2434&lt;&gt;"",ROUND($O2434,2)&lt;&gt;0),"有","")</f>
        <v/>
      </c>
    </row>
    <row r="2435" customFormat="false" ht="15" hidden="true" customHeight="false" outlineLevel="0" collapsed="false">
      <c r="A2435" s="53" t="str">
        <f aca="false">IF($H2435="","",ROW()-5)</f>
        <v/>
      </c>
      <c r="B2435" s="64" t="s">
        <v>36</v>
      </c>
      <c r="C2435" s="53" t="n">
        <v>613</v>
      </c>
      <c r="D2435" s="53" t="n">
        <v>2</v>
      </c>
      <c r="E2435" s="65" t="str">
        <f aca="false">IF($H2435="","",购销流水!$B613)</f>
        <v/>
      </c>
      <c r="F2435" s="55" t="str">
        <f aca="false">IF($H2435="","",购销流水!$C613)</f>
        <v/>
      </c>
      <c r="G2435" s="48" t="str">
        <f aca="false">IF($H2435="","",购销流水!$N613)</f>
        <v/>
      </c>
      <c r="H2435" s="10" t="str">
        <f aca="false">IF($L2435="","",IF($L2435="@成本",购销流水!$U613,IF($L2435="@收入",购销流水!$T613,IF($L2435="@存货",购销流水!$S613,IF($L2435="@结算",购销流水!$R613,$L2435)))))</f>
        <v/>
      </c>
      <c r="I2435" s="42" t="n">
        <f aca="false">IF($M2435="借",$O2435,0)</f>
        <v>0</v>
      </c>
      <c r="J2435" s="42" t="n">
        <f aca="false">IF($M2435="贷",$O2435,0)</f>
        <v>0</v>
      </c>
      <c r="K2435" s="48" t="str">
        <f aca="false">IF($H2435="","",购销流水!$E613)</f>
        <v/>
      </c>
      <c r="L2435" s="66" t="str">
        <f aca="false">IF(购销流水!$D613="","",IFERROR(INDEX(记账规则!$A$6:$N$9,MATCH(购销流水!$D613,记账规则!$A$6:$A$9,0),6),""))</f>
        <v/>
      </c>
      <c r="M2435" s="66" t="str">
        <f aca="false">IF($L2435="","",IFERROR(INDEX(记账规则!$A$6:$N$9,MATCH(购销流水!$D613,记账规则!$A$6:$A$9,0),7),""))</f>
        <v/>
      </c>
      <c r="N2435" s="66" t="str">
        <f aca="false">IF($L2435="","",IFERROR(INDEX(记账规则!$A$6:$N$9,MATCH(购销流水!$D613,记账规则!$A$6:$A$9,0),8),""))</f>
        <v/>
      </c>
      <c r="O2435" s="67" t="n">
        <f aca="false">IF($H2435="",0,ROUND(IF($N2435="成本金额",N(购销流水!$W613),IF($N2435="金额",N(购销流水!$Q613),0)),2))</f>
        <v>0</v>
      </c>
      <c r="P2435" s="64" t="str">
        <f aca="false">IF(AND($H2435&lt;&gt;"",ROUND($O2435,2)&lt;&gt;0),"有","")</f>
        <v/>
      </c>
    </row>
    <row r="2436" customFormat="false" ht="15" hidden="true" customHeight="false" outlineLevel="0" collapsed="false">
      <c r="A2436" s="53" t="str">
        <f aca="false">IF($H2436="","",ROW()-5)</f>
        <v/>
      </c>
      <c r="B2436" s="64" t="s">
        <v>36</v>
      </c>
      <c r="C2436" s="53" t="n">
        <v>613</v>
      </c>
      <c r="D2436" s="53" t="n">
        <v>3</v>
      </c>
      <c r="E2436" s="65" t="str">
        <f aca="false">IF($H2436="","",购销流水!$B613)</f>
        <v/>
      </c>
      <c r="F2436" s="55" t="str">
        <f aca="false">IF($H2436="","",购销流水!$C613)</f>
        <v/>
      </c>
      <c r="G2436" s="48" t="str">
        <f aca="false">IF($H2436="","",购销流水!$N613)</f>
        <v/>
      </c>
      <c r="H2436" s="10" t="str">
        <f aca="false">IF($L2436="","",IF($L2436="@成本",购销流水!$U613,IF($L2436="@收入",购销流水!$T613,IF($L2436="@存货",购销流水!$S613,IF($L2436="@结算",购销流水!$R613,$L2436)))))</f>
        <v/>
      </c>
      <c r="I2436" s="42" t="n">
        <f aca="false">IF($M2436="借",$O2436,0)</f>
        <v>0</v>
      </c>
      <c r="J2436" s="42" t="n">
        <f aca="false">IF($M2436="贷",$O2436,0)</f>
        <v>0</v>
      </c>
      <c r="K2436" s="48" t="str">
        <f aca="false">IF($H2436="","",购销流水!$E613)</f>
        <v/>
      </c>
      <c r="L2436" s="66" t="str">
        <f aca="false">IF(购销流水!$D613="","",IFERROR(INDEX(记账规则!$A$6:$N$9,MATCH(购销流水!$D613,记账规则!$A$6:$A$9,0),9),""))</f>
        <v/>
      </c>
      <c r="M2436" s="66" t="str">
        <f aca="false">IF($L2436="","",IFERROR(INDEX(记账规则!$A$6:$N$9,MATCH(购销流水!$D613,记账规则!$A$6:$A$9,0),10),""))</f>
        <v/>
      </c>
      <c r="N2436" s="66" t="str">
        <f aca="false">IF($L2436="","",IFERROR(INDEX(记账规则!$A$6:$N$9,MATCH(购销流水!$D613,记账规则!$A$6:$A$9,0),11),""))</f>
        <v/>
      </c>
      <c r="O2436" s="67" t="n">
        <f aca="false">IF($H2436="",0,ROUND(IF($N2436="成本金额",N(购销流水!$W613),IF($N2436="金额",N(购销流水!$Q613),0)),2))</f>
        <v>0</v>
      </c>
      <c r="P2436" s="64" t="str">
        <f aca="false">IF(AND($H2436&lt;&gt;"",ROUND($O2436,2)&lt;&gt;0),"有","")</f>
        <v/>
      </c>
    </row>
    <row r="2437" customFormat="false" ht="15" hidden="true" customHeight="false" outlineLevel="0" collapsed="false">
      <c r="A2437" s="53" t="str">
        <f aca="false">IF($H2437="","",ROW()-5)</f>
        <v/>
      </c>
      <c r="B2437" s="64" t="s">
        <v>36</v>
      </c>
      <c r="C2437" s="53" t="n">
        <v>613</v>
      </c>
      <c r="D2437" s="53" t="n">
        <v>4</v>
      </c>
      <c r="E2437" s="65" t="str">
        <f aca="false">IF($H2437="","",购销流水!$B613)</f>
        <v/>
      </c>
      <c r="F2437" s="55" t="str">
        <f aca="false">IF($H2437="","",购销流水!$C613)</f>
        <v/>
      </c>
      <c r="G2437" s="48" t="str">
        <f aca="false">IF($H2437="","",购销流水!$N613)</f>
        <v/>
      </c>
      <c r="H2437" s="10" t="str">
        <f aca="false">IF($L2437="","",IF($L2437="@成本",购销流水!$U613,IF($L2437="@收入",购销流水!$T613,IF($L2437="@存货",购销流水!$S613,IF($L2437="@结算",购销流水!$R613,$L2437)))))</f>
        <v/>
      </c>
      <c r="I2437" s="42" t="n">
        <f aca="false">IF($M2437="借",$O2437,0)</f>
        <v>0</v>
      </c>
      <c r="J2437" s="42" t="n">
        <f aca="false">IF($M2437="贷",$O2437,0)</f>
        <v>0</v>
      </c>
      <c r="K2437" s="48" t="str">
        <f aca="false">IF($H2437="","",购销流水!$E613)</f>
        <v/>
      </c>
      <c r="L2437" s="66" t="str">
        <f aca="false">IF(购销流水!$D613="","",IFERROR(INDEX(记账规则!$A$6:$N$9,MATCH(购销流水!$D613,记账规则!$A$6:$A$9,0),12),""))</f>
        <v/>
      </c>
      <c r="M2437" s="66" t="str">
        <f aca="false">IF($L2437="","",IFERROR(INDEX(记账规则!$A$6:$N$9,MATCH(购销流水!$D613,记账规则!$A$6:$A$9,0),13),""))</f>
        <v/>
      </c>
      <c r="N2437" s="66" t="str">
        <f aca="false">IF($L2437="","",IFERROR(INDEX(记账规则!$A$6:$N$9,MATCH(购销流水!$D613,记账规则!$A$6:$A$9,0),14),""))</f>
        <v/>
      </c>
      <c r="O2437" s="67" t="n">
        <f aca="false">IF($H2437="",0,ROUND(IF($N2437="成本金额",N(购销流水!$W613),IF($N2437="金额",N(购销流水!$Q613),0)),2))</f>
        <v>0</v>
      </c>
      <c r="P2437" s="64" t="str">
        <f aca="false">IF(AND($H2437&lt;&gt;"",ROUND($O2437,2)&lt;&gt;0),"有","")</f>
        <v/>
      </c>
    </row>
    <row r="2438" customFormat="false" ht="15" hidden="true" customHeight="false" outlineLevel="0" collapsed="false">
      <c r="A2438" s="53" t="str">
        <f aca="false">IF($H2438="","",ROW()-5)</f>
        <v/>
      </c>
      <c r="B2438" s="64" t="s">
        <v>36</v>
      </c>
      <c r="C2438" s="53" t="n">
        <v>614</v>
      </c>
      <c r="D2438" s="53" t="n">
        <v>1</v>
      </c>
      <c r="E2438" s="65" t="str">
        <f aca="false">IF($H2438="","",购销流水!$B614)</f>
        <v/>
      </c>
      <c r="F2438" s="55" t="str">
        <f aca="false">IF($H2438="","",购销流水!$C614)</f>
        <v/>
      </c>
      <c r="G2438" s="48" t="str">
        <f aca="false">IF($H2438="","",购销流水!$N614)</f>
        <v/>
      </c>
      <c r="H2438" s="10" t="str">
        <f aca="false">IF($L2438="","",IF($L2438="@成本",购销流水!$U614,IF($L2438="@收入",购销流水!$T614,IF($L2438="@存货",购销流水!$S614,IF($L2438="@结算",购销流水!$R614,$L2438)))))</f>
        <v/>
      </c>
      <c r="I2438" s="42" t="n">
        <f aca="false">IF($M2438="借",$O2438,0)</f>
        <v>0</v>
      </c>
      <c r="J2438" s="42" t="n">
        <f aca="false">IF($M2438="贷",$O2438,0)</f>
        <v>0</v>
      </c>
      <c r="K2438" s="48" t="str">
        <f aca="false">IF($H2438="","",购销流水!$E614)</f>
        <v/>
      </c>
      <c r="L2438" s="66" t="str">
        <f aca="false">IF(购销流水!$D614="","",IFERROR(INDEX(记账规则!$A$6:$N$9,MATCH(购销流水!$D614,记账规则!$A$6:$A$9,0),3),""))</f>
        <v/>
      </c>
      <c r="M2438" s="66" t="str">
        <f aca="false">IF($L2438="","",IFERROR(INDEX(记账规则!$A$6:$N$9,MATCH(购销流水!$D614,记账规则!$A$6:$A$9,0),4),""))</f>
        <v/>
      </c>
      <c r="N2438" s="66" t="str">
        <f aca="false">IF($L2438="","",IFERROR(INDEX(记账规则!$A$6:$N$9,MATCH(购销流水!$D614,记账规则!$A$6:$A$9,0),5),""))</f>
        <v/>
      </c>
      <c r="O2438" s="67" t="n">
        <f aca="false">IF($H2438="",0,ROUND(IF($N2438="成本金额",N(购销流水!$W614),IF($N2438="金额",N(购销流水!$Q614),0)),2))</f>
        <v>0</v>
      </c>
      <c r="P2438" s="64" t="str">
        <f aca="false">IF(AND($H2438&lt;&gt;"",ROUND($O2438,2)&lt;&gt;0),"有","")</f>
        <v/>
      </c>
    </row>
    <row r="2439" customFormat="false" ht="15" hidden="true" customHeight="false" outlineLevel="0" collapsed="false">
      <c r="A2439" s="53" t="str">
        <f aca="false">IF($H2439="","",ROW()-5)</f>
        <v/>
      </c>
      <c r="B2439" s="64" t="s">
        <v>36</v>
      </c>
      <c r="C2439" s="53" t="n">
        <v>614</v>
      </c>
      <c r="D2439" s="53" t="n">
        <v>2</v>
      </c>
      <c r="E2439" s="65" t="str">
        <f aca="false">IF($H2439="","",购销流水!$B614)</f>
        <v/>
      </c>
      <c r="F2439" s="55" t="str">
        <f aca="false">IF($H2439="","",购销流水!$C614)</f>
        <v/>
      </c>
      <c r="G2439" s="48" t="str">
        <f aca="false">IF($H2439="","",购销流水!$N614)</f>
        <v/>
      </c>
      <c r="H2439" s="10" t="str">
        <f aca="false">IF($L2439="","",IF($L2439="@成本",购销流水!$U614,IF($L2439="@收入",购销流水!$T614,IF($L2439="@存货",购销流水!$S614,IF($L2439="@结算",购销流水!$R614,$L2439)))))</f>
        <v/>
      </c>
      <c r="I2439" s="42" t="n">
        <f aca="false">IF($M2439="借",$O2439,0)</f>
        <v>0</v>
      </c>
      <c r="J2439" s="42" t="n">
        <f aca="false">IF($M2439="贷",$O2439,0)</f>
        <v>0</v>
      </c>
      <c r="K2439" s="48" t="str">
        <f aca="false">IF($H2439="","",购销流水!$E614)</f>
        <v/>
      </c>
      <c r="L2439" s="66" t="str">
        <f aca="false">IF(购销流水!$D614="","",IFERROR(INDEX(记账规则!$A$6:$N$9,MATCH(购销流水!$D614,记账规则!$A$6:$A$9,0),6),""))</f>
        <v/>
      </c>
      <c r="M2439" s="66" t="str">
        <f aca="false">IF($L2439="","",IFERROR(INDEX(记账规则!$A$6:$N$9,MATCH(购销流水!$D614,记账规则!$A$6:$A$9,0),7),""))</f>
        <v/>
      </c>
      <c r="N2439" s="66" t="str">
        <f aca="false">IF($L2439="","",IFERROR(INDEX(记账规则!$A$6:$N$9,MATCH(购销流水!$D614,记账规则!$A$6:$A$9,0),8),""))</f>
        <v/>
      </c>
      <c r="O2439" s="67" t="n">
        <f aca="false">IF($H2439="",0,ROUND(IF($N2439="成本金额",N(购销流水!$W614),IF($N2439="金额",N(购销流水!$Q614),0)),2))</f>
        <v>0</v>
      </c>
      <c r="P2439" s="64" t="str">
        <f aca="false">IF(AND($H2439&lt;&gt;"",ROUND($O2439,2)&lt;&gt;0),"有","")</f>
        <v/>
      </c>
    </row>
    <row r="2440" customFormat="false" ht="15" hidden="true" customHeight="false" outlineLevel="0" collapsed="false">
      <c r="A2440" s="53" t="str">
        <f aca="false">IF($H2440="","",ROW()-5)</f>
        <v/>
      </c>
      <c r="B2440" s="64" t="s">
        <v>36</v>
      </c>
      <c r="C2440" s="53" t="n">
        <v>614</v>
      </c>
      <c r="D2440" s="53" t="n">
        <v>3</v>
      </c>
      <c r="E2440" s="65" t="str">
        <f aca="false">IF($H2440="","",购销流水!$B614)</f>
        <v/>
      </c>
      <c r="F2440" s="55" t="str">
        <f aca="false">IF($H2440="","",购销流水!$C614)</f>
        <v/>
      </c>
      <c r="G2440" s="48" t="str">
        <f aca="false">IF($H2440="","",购销流水!$N614)</f>
        <v/>
      </c>
      <c r="H2440" s="10" t="str">
        <f aca="false">IF($L2440="","",IF($L2440="@成本",购销流水!$U614,IF($L2440="@收入",购销流水!$T614,IF($L2440="@存货",购销流水!$S614,IF($L2440="@结算",购销流水!$R614,$L2440)))))</f>
        <v/>
      </c>
      <c r="I2440" s="42" t="n">
        <f aca="false">IF($M2440="借",$O2440,0)</f>
        <v>0</v>
      </c>
      <c r="J2440" s="42" t="n">
        <f aca="false">IF($M2440="贷",$O2440,0)</f>
        <v>0</v>
      </c>
      <c r="K2440" s="48" t="str">
        <f aca="false">IF($H2440="","",购销流水!$E614)</f>
        <v/>
      </c>
      <c r="L2440" s="66" t="str">
        <f aca="false">IF(购销流水!$D614="","",IFERROR(INDEX(记账规则!$A$6:$N$9,MATCH(购销流水!$D614,记账规则!$A$6:$A$9,0),9),""))</f>
        <v/>
      </c>
      <c r="M2440" s="66" t="str">
        <f aca="false">IF($L2440="","",IFERROR(INDEX(记账规则!$A$6:$N$9,MATCH(购销流水!$D614,记账规则!$A$6:$A$9,0),10),""))</f>
        <v/>
      </c>
      <c r="N2440" s="66" t="str">
        <f aca="false">IF($L2440="","",IFERROR(INDEX(记账规则!$A$6:$N$9,MATCH(购销流水!$D614,记账规则!$A$6:$A$9,0),11),""))</f>
        <v/>
      </c>
      <c r="O2440" s="67" t="n">
        <f aca="false">IF($H2440="",0,ROUND(IF($N2440="成本金额",N(购销流水!$W614),IF($N2440="金额",N(购销流水!$Q614),0)),2))</f>
        <v>0</v>
      </c>
      <c r="P2440" s="64" t="str">
        <f aca="false">IF(AND($H2440&lt;&gt;"",ROUND($O2440,2)&lt;&gt;0),"有","")</f>
        <v/>
      </c>
    </row>
    <row r="2441" customFormat="false" ht="15" hidden="true" customHeight="false" outlineLevel="0" collapsed="false">
      <c r="A2441" s="53" t="str">
        <f aca="false">IF($H2441="","",ROW()-5)</f>
        <v/>
      </c>
      <c r="B2441" s="64" t="s">
        <v>36</v>
      </c>
      <c r="C2441" s="53" t="n">
        <v>614</v>
      </c>
      <c r="D2441" s="53" t="n">
        <v>4</v>
      </c>
      <c r="E2441" s="65" t="str">
        <f aca="false">IF($H2441="","",购销流水!$B614)</f>
        <v/>
      </c>
      <c r="F2441" s="55" t="str">
        <f aca="false">IF($H2441="","",购销流水!$C614)</f>
        <v/>
      </c>
      <c r="G2441" s="48" t="str">
        <f aca="false">IF($H2441="","",购销流水!$N614)</f>
        <v/>
      </c>
      <c r="H2441" s="10" t="str">
        <f aca="false">IF($L2441="","",IF($L2441="@成本",购销流水!$U614,IF($L2441="@收入",购销流水!$T614,IF($L2441="@存货",购销流水!$S614,IF($L2441="@结算",购销流水!$R614,$L2441)))))</f>
        <v/>
      </c>
      <c r="I2441" s="42" t="n">
        <f aca="false">IF($M2441="借",$O2441,0)</f>
        <v>0</v>
      </c>
      <c r="J2441" s="42" t="n">
        <f aca="false">IF($M2441="贷",$O2441,0)</f>
        <v>0</v>
      </c>
      <c r="K2441" s="48" t="str">
        <f aca="false">IF($H2441="","",购销流水!$E614)</f>
        <v/>
      </c>
      <c r="L2441" s="66" t="str">
        <f aca="false">IF(购销流水!$D614="","",IFERROR(INDEX(记账规则!$A$6:$N$9,MATCH(购销流水!$D614,记账规则!$A$6:$A$9,0),12),""))</f>
        <v/>
      </c>
      <c r="M2441" s="66" t="str">
        <f aca="false">IF($L2441="","",IFERROR(INDEX(记账规则!$A$6:$N$9,MATCH(购销流水!$D614,记账规则!$A$6:$A$9,0),13),""))</f>
        <v/>
      </c>
      <c r="N2441" s="66" t="str">
        <f aca="false">IF($L2441="","",IFERROR(INDEX(记账规则!$A$6:$N$9,MATCH(购销流水!$D614,记账规则!$A$6:$A$9,0),14),""))</f>
        <v/>
      </c>
      <c r="O2441" s="67" t="n">
        <f aca="false">IF($H2441="",0,ROUND(IF($N2441="成本金额",N(购销流水!$W614),IF($N2441="金额",N(购销流水!$Q614),0)),2))</f>
        <v>0</v>
      </c>
      <c r="P2441" s="64" t="str">
        <f aca="false">IF(AND($H2441&lt;&gt;"",ROUND($O2441,2)&lt;&gt;0),"有","")</f>
        <v/>
      </c>
    </row>
    <row r="2442" customFormat="false" ht="15" hidden="true" customHeight="false" outlineLevel="0" collapsed="false">
      <c r="A2442" s="53" t="str">
        <f aca="false">IF($H2442="","",ROW()-5)</f>
        <v/>
      </c>
      <c r="B2442" s="64" t="s">
        <v>36</v>
      </c>
      <c r="C2442" s="53" t="n">
        <v>615</v>
      </c>
      <c r="D2442" s="53" t="n">
        <v>1</v>
      </c>
      <c r="E2442" s="65" t="str">
        <f aca="false">IF($H2442="","",购销流水!$B615)</f>
        <v/>
      </c>
      <c r="F2442" s="55" t="str">
        <f aca="false">IF($H2442="","",购销流水!$C615)</f>
        <v/>
      </c>
      <c r="G2442" s="48" t="str">
        <f aca="false">IF($H2442="","",购销流水!$N615)</f>
        <v/>
      </c>
      <c r="H2442" s="10" t="str">
        <f aca="false">IF($L2442="","",IF($L2442="@成本",购销流水!$U615,IF($L2442="@收入",购销流水!$T615,IF($L2442="@存货",购销流水!$S615,IF($L2442="@结算",购销流水!$R615,$L2442)))))</f>
        <v/>
      </c>
      <c r="I2442" s="42" t="n">
        <f aca="false">IF($M2442="借",$O2442,0)</f>
        <v>0</v>
      </c>
      <c r="J2442" s="42" t="n">
        <f aca="false">IF($M2442="贷",$O2442,0)</f>
        <v>0</v>
      </c>
      <c r="K2442" s="48" t="str">
        <f aca="false">IF($H2442="","",购销流水!$E615)</f>
        <v/>
      </c>
      <c r="L2442" s="66" t="str">
        <f aca="false">IF(购销流水!$D615="","",IFERROR(INDEX(记账规则!$A$6:$N$9,MATCH(购销流水!$D615,记账规则!$A$6:$A$9,0),3),""))</f>
        <v/>
      </c>
      <c r="M2442" s="66" t="str">
        <f aca="false">IF($L2442="","",IFERROR(INDEX(记账规则!$A$6:$N$9,MATCH(购销流水!$D615,记账规则!$A$6:$A$9,0),4),""))</f>
        <v/>
      </c>
      <c r="N2442" s="66" t="str">
        <f aca="false">IF($L2442="","",IFERROR(INDEX(记账规则!$A$6:$N$9,MATCH(购销流水!$D615,记账规则!$A$6:$A$9,0),5),""))</f>
        <v/>
      </c>
      <c r="O2442" s="67" t="n">
        <f aca="false">IF($H2442="",0,ROUND(IF($N2442="成本金额",N(购销流水!$W615),IF($N2442="金额",N(购销流水!$Q615),0)),2))</f>
        <v>0</v>
      </c>
      <c r="P2442" s="64" t="str">
        <f aca="false">IF(AND($H2442&lt;&gt;"",ROUND($O2442,2)&lt;&gt;0),"有","")</f>
        <v/>
      </c>
    </row>
    <row r="2443" customFormat="false" ht="15" hidden="true" customHeight="false" outlineLevel="0" collapsed="false">
      <c r="A2443" s="53" t="str">
        <f aca="false">IF($H2443="","",ROW()-5)</f>
        <v/>
      </c>
      <c r="B2443" s="64" t="s">
        <v>36</v>
      </c>
      <c r="C2443" s="53" t="n">
        <v>615</v>
      </c>
      <c r="D2443" s="53" t="n">
        <v>2</v>
      </c>
      <c r="E2443" s="65" t="str">
        <f aca="false">IF($H2443="","",购销流水!$B615)</f>
        <v/>
      </c>
      <c r="F2443" s="55" t="str">
        <f aca="false">IF($H2443="","",购销流水!$C615)</f>
        <v/>
      </c>
      <c r="G2443" s="48" t="str">
        <f aca="false">IF($H2443="","",购销流水!$N615)</f>
        <v/>
      </c>
      <c r="H2443" s="10" t="str">
        <f aca="false">IF($L2443="","",IF($L2443="@成本",购销流水!$U615,IF($L2443="@收入",购销流水!$T615,IF($L2443="@存货",购销流水!$S615,IF($L2443="@结算",购销流水!$R615,$L2443)))))</f>
        <v/>
      </c>
      <c r="I2443" s="42" t="n">
        <f aca="false">IF($M2443="借",$O2443,0)</f>
        <v>0</v>
      </c>
      <c r="J2443" s="42" t="n">
        <f aca="false">IF($M2443="贷",$O2443,0)</f>
        <v>0</v>
      </c>
      <c r="K2443" s="48" t="str">
        <f aca="false">IF($H2443="","",购销流水!$E615)</f>
        <v/>
      </c>
      <c r="L2443" s="66" t="str">
        <f aca="false">IF(购销流水!$D615="","",IFERROR(INDEX(记账规则!$A$6:$N$9,MATCH(购销流水!$D615,记账规则!$A$6:$A$9,0),6),""))</f>
        <v/>
      </c>
      <c r="M2443" s="66" t="str">
        <f aca="false">IF($L2443="","",IFERROR(INDEX(记账规则!$A$6:$N$9,MATCH(购销流水!$D615,记账规则!$A$6:$A$9,0),7),""))</f>
        <v/>
      </c>
      <c r="N2443" s="66" t="str">
        <f aca="false">IF($L2443="","",IFERROR(INDEX(记账规则!$A$6:$N$9,MATCH(购销流水!$D615,记账规则!$A$6:$A$9,0),8),""))</f>
        <v/>
      </c>
      <c r="O2443" s="67" t="n">
        <f aca="false">IF($H2443="",0,ROUND(IF($N2443="成本金额",N(购销流水!$W615),IF($N2443="金额",N(购销流水!$Q615),0)),2))</f>
        <v>0</v>
      </c>
      <c r="P2443" s="64" t="str">
        <f aca="false">IF(AND($H2443&lt;&gt;"",ROUND($O2443,2)&lt;&gt;0),"有","")</f>
        <v/>
      </c>
    </row>
    <row r="2444" customFormat="false" ht="15" hidden="true" customHeight="false" outlineLevel="0" collapsed="false">
      <c r="A2444" s="53" t="str">
        <f aca="false">IF($H2444="","",ROW()-5)</f>
        <v/>
      </c>
      <c r="B2444" s="64" t="s">
        <v>36</v>
      </c>
      <c r="C2444" s="53" t="n">
        <v>615</v>
      </c>
      <c r="D2444" s="53" t="n">
        <v>3</v>
      </c>
      <c r="E2444" s="65" t="str">
        <f aca="false">IF($H2444="","",购销流水!$B615)</f>
        <v/>
      </c>
      <c r="F2444" s="55" t="str">
        <f aca="false">IF($H2444="","",购销流水!$C615)</f>
        <v/>
      </c>
      <c r="G2444" s="48" t="str">
        <f aca="false">IF($H2444="","",购销流水!$N615)</f>
        <v/>
      </c>
      <c r="H2444" s="10" t="str">
        <f aca="false">IF($L2444="","",IF($L2444="@成本",购销流水!$U615,IF($L2444="@收入",购销流水!$T615,IF($L2444="@存货",购销流水!$S615,IF($L2444="@结算",购销流水!$R615,$L2444)))))</f>
        <v/>
      </c>
      <c r="I2444" s="42" t="n">
        <f aca="false">IF($M2444="借",$O2444,0)</f>
        <v>0</v>
      </c>
      <c r="J2444" s="42" t="n">
        <f aca="false">IF($M2444="贷",$O2444,0)</f>
        <v>0</v>
      </c>
      <c r="K2444" s="48" t="str">
        <f aca="false">IF($H2444="","",购销流水!$E615)</f>
        <v/>
      </c>
      <c r="L2444" s="66" t="str">
        <f aca="false">IF(购销流水!$D615="","",IFERROR(INDEX(记账规则!$A$6:$N$9,MATCH(购销流水!$D615,记账规则!$A$6:$A$9,0),9),""))</f>
        <v/>
      </c>
      <c r="M2444" s="66" t="str">
        <f aca="false">IF($L2444="","",IFERROR(INDEX(记账规则!$A$6:$N$9,MATCH(购销流水!$D615,记账规则!$A$6:$A$9,0),10),""))</f>
        <v/>
      </c>
      <c r="N2444" s="66" t="str">
        <f aca="false">IF($L2444="","",IFERROR(INDEX(记账规则!$A$6:$N$9,MATCH(购销流水!$D615,记账规则!$A$6:$A$9,0),11),""))</f>
        <v/>
      </c>
      <c r="O2444" s="67" t="n">
        <f aca="false">IF($H2444="",0,ROUND(IF($N2444="成本金额",N(购销流水!$W615),IF($N2444="金额",N(购销流水!$Q615),0)),2))</f>
        <v>0</v>
      </c>
      <c r="P2444" s="64" t="str">
        <f aca="false">IF(AND($H2444&lt;&gt;"",ROUND($O2444,2)&lt;&gt;0),"有","")</f>
        <v/>
      </c>
    </row>
    <row r="2445" customFormat="false" ht="15" hidden="true" customHeight="false" outlineLevel="0" collapsed="false">
      <c r="A2445" s="53" t="str">
        <f aca="false">IF($H2445="","",ROW()-5)</f>
        <v/>
      </c>
      <c r="B2445" s="64" t="s">
        <v>36</v>
      </c>
      <c r="C2445" s="53" t="n">
        <v>615</v>
      </c>
      <c r="D2445" s="53" t="n">
        <v>4</v>
      </c>
      <c r="E2445" s="65" t="str">
        <f aca="false">IF($H2445="","",购销流水!$B615)</f>
        <v/>
      </c>
      <c r="F2445" s="55" t="str">
        <f aca="false">IF($H2445="","",购销流水!$C615)</f>
        <v/>
      </c>
      <c r="G2445" s="48" t="str">
        <f aca="false">IF($H2445="","",购销流水!$N615)</f>
        <v/>
      </c>
      <c r="H2445" s="10" t="str">
        <f aca="false">IF($L2445="","",IF($L2445="@成本",购销流水!$U615,IF($L2445="@收入",购销流水!$T615,IF($L2445="@存货",购销流水!$S615,IF($L2445="@结算",购销流水!$R615,$L2445)))))</f>
        <v/>
      </c>
      <c r="I2445" s="42" t="n">
        <f aca="false">IF($M2445="借",$O2445,0)</f>
        <v>0</v>
      </c>
      <c r="J2445" s="42" t="n">
        <f aca="false">IF($M2445="贷",$O2445,0)</f>
        <v>0</v>
      </c>
      <c r="K2445" s="48" t="str">
        <f aca="false">IF($H2445="","",购销流水!$E615)</f>
        <v/>
      </c>
      <c r="L2445" s="66" t="str">
        <f aca="false">IF(购销流水!$D615="","",IFERROR(INDEX(记账规则!$A$6:$N$9,MATCH(购销流水!$D615,记账规则!$A$6:$A$9,0),12),""))</f>
        <v/>
      </c>
      <c r="M2445" s="66" t="str">
        <f aca="false">IF($L2445="","",IFERROR(INDEX(记账规则!$A$6:$N$9,MATCH(购销流水!$D615,记账规则!$A$6:$A$9,0),13),""))</f>
        <v/>
      </c>
      <c r="N2445" s="66" t="str">
        <f aca="false">IF($L2445="","",IFERROR(INDEX(记账规则!$A$6:$N$9,MATCH(购销流水!$D615,记账规则!$A$6:$A$9,0),14),""))</f>
        <v/>
      </c>
      <c r="O2445" s="67" t="n">
        <f aca="false">IF($H2445="",0,ROUND(IF($N2445="成本金额",N(购销流水!$W615),IF($N2445="金额",N(购销流水!$Q615),0)),2))</f>
        <v>0</v>
      </c>
      <c r="P2445" s="64" t="str">
        <f aca="false">IF(AND($H2445&lt;&gt;"",ROUND($O2445,2)&lt;&gt;0),"有","")</f>
        <v/>
      </c>
    </row>
    <row r="2446" customFormat="false" ht="15" hidden="true" customHeight="false" outlineLevel="0" collapsed="false">
      <c r="A2446" s="53" t="str">
        <f aca="false">IF($H2446="","",ROW()-5)</f>
        <v/>
      </c>
      <c r="B2446" s="64" t="s">
        <v>36</v>
      </c>
      <c r="C2446" s="53" t="n">
        <v>616</v>
      </c>
      <c r="D2446" s="53" t="n">
        <v>1</v>
      </c>
      <c r="E2446" s="65" t="str">
        <f aca="false">IF($H2446="","",购销流水!$B616)</f>
        <v/>
      </c>
      <c r="F2446" s="55" t="str">
        <f aca="false">IF($H2446="","",购销流水!$C616)</f>
        <v/>
      </c>
      <c r="G2446" s="48" t="str">
        <f aca="false">IF($H2446="","",购销流水!$N616)</f>
        <v/>
      </c>
      <c r="H2446" s="10" t="str">
        <f aca="false">IF($L2446="","",IF($L2446="@成本",购销流水!$U616,IF($L2446="@收入",购销流水!$T616,IF($L2446="@存货",购销流水!$S616,IF($L2446="@结算",购销流水!$R616,$L2446)))))</f>
        <v/>
      </c>
      <c r="I2446" s="42" t="n">
        <f aca="false">IF($M2446="借",$O2446,0)</f>
        <v>0</v>
      </c>
      <c r="J2446" s="42" t="n">
        <f aca="false">IF($M2446="贷",$O2446,0)</f>
        <v>0</v>
      </c>
      <c r="K2446" s="48" t="str">
        <f aca="false">IF($H2446="","",购销流水!$E616)</f>
        <v/>
      </c>
      <c r="L2446" s="66" t="str">
        <f aca="false">IF(购销流水!$D616="","",IFERROR(INDEX(记账规则!$A$6:$N$9,MATCH(购销流水!$D616,记账规则!$A$6:$A$9,0),3),""))</f>
        <v/>
      </c>
      <c r="M2446" s="66" t="str">
        <f aca="false">IF($L2446="","",IFERROR(INDEX(记账规则!$A$6:$N$9,MATCH(购销流水!$D616,记账规则!$A$6:$A$9,0),4),""))</f>
        <v/>
      </c>
      <c r="N2446" s="66" t="str">
        <f aca="false">IF($L2446="","",IFERROR(INDEX(记账规则!$A$6:$N$9,MATCH(购销流水!$D616,记账规则!$A$6:$A$9,0),5),""))</f>
        <v/>
      </c>
      <c r="O2446" s="67" t="n">
        <f aca="false">IF($H2446="",0,ROUND(IF($N2446="成本金额",N(购销流水!$W616),IF($N2446="金额",N(购销流水!$Q616),0)),2))</f>
        <v>0</v>
      </c>
      <c r="P2446" s="64" t="str">
        <f aca="false">IF(AND($H2446&lt;&gt;"",ROUND($O2446,2)&lt;&gt;0),"有","")</f>
        <v/>
      </c>
    </row>
    <row r="2447" customFormat="false" ht="15" hidden="true" customHeight="false" outlineLevel="0" collapsed="false">
      <c r="A2447" s="53" t="str">
        <f aca="false">IF($H2447="","",ROW()-5)</f>
        <v/>
      </c>
      <c r="B2447" s="64" t="s">
        <v>36</v>
      </c>
      <c r="C2447" s="53" t="n">
        <v>616</v>
      </c>
      <c r="D2447" s="53" t="n">
        <v>2</v>
      </c>
      <c r="E2447" s="65" t="str">
        <f aca="false">IF($H2447="","",购销流水!$B616)</f>
        <v/>
      </c>
      <c r="F2447" s="55" t="str">
        <f aca="false">IF($H2447="","",购销流水!$C616)</f>
        <v/>
      </c>
      <c r="G2447" s="48" t="str">
        <f aca="false">IF($H2447="","",购销流水!$N616)</f>
        <v/>
      </c>
      <c r="H2447" s="10" t="str">
        <f aca="false">IF($L2447="","",IF($L2447="@成本",购销流水!$U616,IF($L2447="@收入",购销流水!$T616,IF($L2447="@存货",购销流水!$S616,IF($L2447="@结算",购销流水!$R616,$L2447)))))</f>
        <v/>
      </c>
      <c r="I2447" s="42" t="n">
        <f aca="false">IF($M2447="借",$O2447,0)</f>
        <v>0</v>
      </c>
      <c r="J2447" s="42" t="n">
        <f aca="false">IF($M2447="贷",$O2447,0)</f>
        <v>0</v>
      </c>
      <c r="K2447" s="48" t="str">
        <f aca="false">IF($H2447="","",购销流水!$E616)</f>
        <v/>
      </c>
      <c r="L2447" s="66" t="str">
        <f aca="false">IF(购销流水!$D616="","",IFERROR(INDEX(记账规则!$A$6:$N$9,MATCH(购销流水!$D616,记账规则!$A$6:$A$9,0),6),""))</f>
        <v/>
      </c>
      <c r="M2447" s="66" t="str">
        <f aca="false">IF($L2447="","",IFERROR(INDEX(记账规则!$A$6:$N$9,MATCH(购销流水!$D616,记账规则!$A$6:$A$9,0),7),""))</f>
        <v/>
      </c>
      <c r="N2447" s="66" t="str">
        <f aca="false">IF($L2447="","",IFERROR(INDEX(记账规则!$A$6:$N$9,MATCH(购销流水!$D616,记账规则!$A$6:$A$9,0),8),""))</f>
        <v/>
      </c>
      <c r="O2447" s="67" t="n">
        <f aca="false">IF($H2447="",0,ROUND(IF($N2447="成本金额",N(购销流水!$W616),IF($N2447="金额",N(购销流水!$Q616),0)),2))</f>
        <v>0</v>
      </c>
      <c r="P2447" s="64" t="str">
        <f aca="false">IF(AND($H2447&lt;&gt;"",ROUND($O2447,2)&lt;&gt;0),"有","")</f>
        <v/>
      </c>
    </row>
    <row r="2448" customFormat="false" ht="15" hidden="true" customHeight="false" outlineLevel="0" collapsed="false">
      <c r="A2448" s="53" t="str">
        <f aca="false">IF($H2448="","",ROW()-5)</f>
        <v/>
      </c>
      <c r="B2448" s="64" t="s">
        <v>36</v>
      </c>
      <c r="C2448" s="53" t="n">
        <v>616</v>
      </c>
      <c r="D2448" s="53" t="n">
        <v>3</v>
      </c>
      <c r="E2448" s="65" t="str">
        <f aca="false">IF($H2448="","",购销流水!$B616)</f>
        <v/>
      </c>
      <c r="F2448" s="55" t="str">
        <f aca="false">IF($H2448="","",购销流水!$C616)</f>
        <v/>
      </c>
      <c r="G2448" s="48" t="str">
        <f aca="false">IF($H2448="","",购销流水!$N616)</f>
        <v/>
      </c>
      <c r="H2448" s="10" t="str">
        <f aca="false">IF($L2448="","",IF($L2448="@成本",购销流水!$U616,IF($L2448="@收入",购销流水!$T616,IF($L2448="@存货",购销流水!$S616,IF($L2448="@结算",购销流水!$R616,$L2448)))))</f>
        <v/>
      </c>
      <c r="I2448" s="42" t="n">
        <f aca="false">IF($M2448="借",$O2448,0)</f>
        <v>0</v>
      </c>
      <c r="J2448" s="42" t="n">
        <f aca="false">IF($M2448="贷",$O2448,0)</f>
        <v>0</v>
      </c>
      <c r="K2448" s="48" t="str">
        <f aca="false">IF($H2448="","",购销流水!$E616)</f>
        <v/>
      </c>
      <c r="L2448" s="66" t="str">
        <f aca="false">IF(购销流水!$D616="","",IFERROR(INDEX(记账规则!$A$6:$N$9,MATCH(购销流水!$D616,记账规则!$A$6:$A$9,0),9),""))</f>
        <v/>
      </c>
      <c r="M2448" s="66" t="str">
        <f aca="false">IF($L2448="","",IFERROR(INDEX(记账规则!$A$6:$N$9,MATCH(购销流水!$D616,记账规则!$A$6:$A$9,0),10),""))</f>
        <v/>
      </c>
      <c r="N2448" s="66" t="str">
        <f aca="false">IF($L2448="","",IFERROR(INDEX(记账规则!$A$6:$N$9,MATCH(购销流水!$D616,记账规则!$A$6:$A$9,0),11),""))</f>
        <v/>
      </c>
      <c r="O2448" s="67" t="n">
        <f aca="false">IF($H2448="",0,ROUND(IF($N2448="成本金额",N(购销流水!$W616),IF($N2448="金额",N(购销流水!$Q616),0)),2))</f>
        <v>0</v>
      </c>
      <c r="P2448" s="64" t="str">
        <f aca="false">IF(AND($H2448&lt;&gt;"",ROUND($O2448,2)&lt;&gt;0),"有","")</f>
        <v/>
      </c>
    </row>
    <row r="2449" customFormat="false" ht="15" hidden="true" customHeight="false" outlineLevel="0" collapsed="false">
      <c r="A2449" s="53" t="str">
        <f aca="false">IF($H2449="","",ROW()-5)</f>
        <v/>
      </c>
      <c r="B2449" s="64" t="s">
        <v>36</v>
      </c>
      <c r="C2449" s="53" t="n">
        <v>616</v>
      </c>
      <c r="D2449" s="53" t="n">
        <v>4</v>
      </c>
      <c r="E2449" s="65" t="str">
        <f aca="false">IF($H2449="","",购销流水!$B616)</f>
        <v/>
      </c>
      <c r="F2449" s="55" t="str">
        <f aca="false">IF($H2449="","",购销流水!$C616)</f>
        <v/>
      </c>
      <c r="G2449" s="48" t="str">
        <f aca="false">IF($H2449="","",购销流水!$N616)</f>
        <v/>
      </c>
      <c r="H2449" s="10" t="str">
        <f aca="false">IF($L2449="","",IF($L2449="@成本",购销流水!$U616,IF($L2449="@收入",购销流水!$T616,IF($L2449="@存货",购销流水!$S616,IF($L2449="@结算",购销流水!$R616,$L2449)))))</f>
        <v/>
      </c>
      <c r="I2449" s="42" t="n">
        <f aca="false">IF($M2449="借",$O2449,0)</f>
        <v>0</v>
      </c>
      <c r="J2449" s="42" t="n">
        <f aca="false">IF($M2449="贷",$O2449,0)</f>
        <v>0</v>
      </c>
      <c r="K2449" s="48" t="str">
        <f aca="false">IF($H2449="","",购销流水!$E616)</f>
        <v/>
      </c>
      <c r="L2449" s="66" t="str">
        <f aca="false">IF(购销流水!$D616="","",IFERROR(INDEX(记账规则!$A$6:$N$9,MATCH(购销流水!$D616,记账规则!$A$6:$A$9,0),12),""))</f>
        <v/>
      </c>
      <c r="M2449" s="66" t="str">
        <f aca="false">IF($L2449="","",IFERROR(INDEX(记账规则!$A$6:$N$9,MATCH(购销流水!$D616,记账规则!$A$6:$A$9,0),13),""))</f>
        <v/>
      </c>
      <c r="N2449" s="66" t="str">
        <f aca="false">IF($L2449="","",IFERROR(INDEX(记账规则!$A$6:$N$9,MATCH(购销流水!$D616,记账规则!$A$6:$A$9,0),14),""))</f>
        <v/>
      </c>
      <c r="O2449" s="67" t="n">
        <f aca="false">IF($H2449="",0,ROUND(IF($N2449="成本金额",N(购销流水!$W616),IF($N2449="金额",N(购销流水!$Q616),0)),2))</f>
        <v>0</v>
      </c>
      <c r="P2449" s="64" t="str">
        <f aca="false">IF(AND($H2449&lt;&gt;"",ROUND($O2449,2)&lt;&gt;0),"有","")</f>
        <v/>
      </c>
    </row>
    <row r="2450" customFormat="false" ht="15" hidden="true" customHeight="false" outlineLevel="0" collapsed="false">
      <c r="A2450" s="53" t="str">
        <f aca="false">IF($H2450="","",ROW()-5)</f>
        <v/>
      </c>
      <c r="B2450" s="64" t="s">
        <v>36</v>
      </c>
      <c r="C2450" s="53" t="n">
        <v>617</v>
      </c>
      <c r="D2450" s="53" t="n">
        <v>1</v>
      </c>
      <c r="E2450" s="65" t="str">
        <f aca="false">IF($H2450="","",购销流水!$B617)</f>
        <v/>
      </c>
      <c r="F2450" s="55" t="str">
        <f aca="false">IF($H2450="","",购销流水!$C617)</f>
        <v/>
      </c>
      <c r="G2450" s="48" t="str">
        <f aca="false">IF($H2450="","",购销流水!$N617)</f>
        <v/>
      </c>
      <c r="H2450" s="10" t="str">
        <f aca="false">IF($L2450="","",IF($L2450="@成本",购销流水!$U617,IF($L2450="@收入",购销流水!$T617,IF($L2450="@存货",购销流水!$S617,IF($L2450="@结算",购销流水!$R617,$L2450)))))</f>
        <v/>
      </c>
      <c r="I2450" s="42" t="n">
        <f aca="false">IF($M2450="借",$O2450,0)</f>
        <v>0</v>
      </c>
      <c r="J2450" s="42" t="n">
        <f aca="false">IF($M2450="贷",$O2450,0)</f>
        <v>0</v>
      </c>
      <c r="K2450" s="48" t="str">
        <f aca="false">IF($H2450="","",购销流水!$E617)</f>
        <v/>
      </c>
      <c r="L2450" s="66" t="str">
        <f aca="false">IF(购销流水!$D617="","",IFERROR(INDEX(记账规则!$A$6:$N$9,MATCH(购销流水!$D617,记账规则!$A$6:$A$9,0),3),""))</f>
        <v/>
      </c>
      <c r="M2450" s="66" t="str">
        <f aca="false">IF($L2450="","",IFERROR(INDEX(记账规则!$A$6:$N$9,MATCH(购销流水!$D617,记账规则!$A$6:$A$9,0),4),""))</f>
        <v/>
      </c>
      <c r="N2450" s="66" t="str">
        <f aca="false">IF($L2450="","",IFERROR(INDEX(记账规则!$A$6:$N$9,MATCH(购销流水!$D617,记账规则!$A$6:$A$9,0),5),""))</f>
        <v/>
      </c>
      <c r="O2450" s="67" t="n">
        <f aca="false">IF($H2450="",0,ROUND(IF($N2450="成本金额",N(购销流水!$W617),IF($N2450="金额",N(购销流水!$Q617),0)),2))</f>
        <v>0</v>
      </c>
      <c r="P2450" s="64" t="str">
        <f aca="false">IF(AND($H2450&lt;&gt;"",ROUND($O2450,2)&lt;&gt;0),"有","")</f>
        <v/>
      </c>
    </row>
    <row r="2451" customFormat="false" ht="15" hidden="true" customHeight="false" outlineLevel="0" collapsed="false">
      <c r="A2451" s="53" t="str">
        <f aca="false">IF($H2451="","",ROW()-5)</f>
        <v/>
      </c>
      <c r="B2451" s="64" t="s">
        <v>36</v>
      </c>
      <c r="C2451" s="53" t="n">
        <v>617</v>
      </c>
      <c r="D2451" s="53" t="n">
        <v>2</v>
      </c>
      <c r="E2451" s="65" t="str">
        <f aca="false">IF($H2451="","",购销流水!$B617)</f>
        <v/>
      </c>
      <c r="F2451" s="55" t="str">
        <f aca="false">IF($H2451="","",购销流水!$C617)</f>
        <v/>
      </c>
      <c r="G2451" s="48" t="str">
        <f aca="false">IF($H2451="","",购销流水!$N617)</f>
        <v/>
      </c>
      <c r="H2451" s="10" t="str">
        <f aca="false">IF($L2451="","",IF($L2451="@成本",购销流水!$U617,IF($L2451="@收入",购销流水!$T617,IF($L2451="@存货",购销流水!$S617,IF($L2451="@结算",购销流水!$R617,$L2451)))))</f>
        <v/>
      </c>
      <c r="I2451" s="42" t="n">
        <f aca="false">IF($M2451="借",$O2451,0)</f>
        <v>0</v>
      </c>
      <c r="J2451" s="42" t="n">
        <f aca="false">IF($M2451="贷",$O2451,0)</f>
        <v>0</v>
      </c>
      <c r="K2451" s="48" t="str">
        <f aca="false">IF($H2451="","",购销流水!$E617)</f>
        <v/>
      </c>
      <c r="L2451" s="66" t="str">
        <f aca="false">IF(购销流水!$D617="","",IFERROR(INDEX(记账规则!$A$6:$N$9,MATCH(购销流水!$D617,记账规则!$A$6:$A$9,0),6),""))</f>
        <v/>
      </c>
      <c r="M2451" s="66" t="str">
        <f aca="false">IF($L2451="","",IFERROR(INDEX(记账规则!$A$6:$N$9,MATCH(购销流水!$D617,记账规则!$A$6:$A$9,0),7),""))</f>
        <v/>
      </c>
      <c r="N2451" s="66" t="str">
        <f aca="false">IF($L2451="","",IFERROR(INDEX(记账规则!$A$6:$N$9,MATCH(购销流水!$D617,记账规则!$A$6:$A$9,0),8),""))</f>
        <v/>
      </c>
      <c r="O2451" s="67" t="n">
        <f aca="false">IF($H2451="",0,ROUND(IF($N2451="成本金额",N(购销流水!$W617),IF($N2451="金额",N(购销流水!$Q617),0)),2))</f>
        <v>0</v>
      </c>
      <c r="P2451" s="64" t="str">
        <f aca="false">IF(AND($H2451&lt;&gt;"",ROUND($O2451,2)&lt;&gt;0),"有","")</f>
        <v/>
      </c>
    </row>
    <row r="2452" customFormat="false" ht="15" hidden="true" customHeight="false" outlineLevel="0" collapsed="false">
      <c r="A2452" s="53" t="str">
        <f aca="false">IF($H2452="","",ROW()-5)</f>
        <v/>
      </c>
      <c r="B2452" s="64" t="s">
        <v>36</v>
      </c>
      <c r="C2452" s="53" t="n">
        <v>617</v>
      </c>
      <c r="D2452" s="53" t="n">
        <v>3</v>
      </c>
      <c r="E2452" s="65" t="str">
        <f aca="false">IF($H2452="","",购销流水!$B617)</f>
        <v/>
      </c>
      <c r="F2452" s="55" t="str">
        <f aca="false">IF($H2452="","",购销流水!$C617)</f>
        <v/>
      </c>
      <c r="G2452" s="48" t="str">
        <f aca="false">IF($H2452="","",购销流水!$N617)</f>
        <v/>
      </c>
      <c r="H2452" s="10" t="str">
        <f aca="false">IF($L2452="","",IF($L2452="@成本",购销流水!$U617,IF($L2452="@收入",购销流水!$T617,IF($L2452="@存货",购销流水!$S617,IF($L2452="@结算",购销流水!$R617,$L2452)))))</f>
        <v/>
      </c>
      <c r="I2452" s="42" t="n">
        <f aca="false">IF($M2452="借",$O2452,0)</f>
        <v>0</v>
      </c>
      <c r="J2452" s="42" t="n">
        <f aca="false">IF($M2452="贷",$O2452,0)</f>
        <v>0</v>
      </c>
      <c r="K2452" s="48" t="str">
        <f aca="false">IF($H2452="","",购销流水!$E617)</f>
        <v/>
      </c>
      <c r="L2452" s="66" t="str">
        <f aca="false">IF(购销流水!$D617="","",IFERROR(INDEX(记账规则!$A$6:$N$9,MATCH(购销流水!$D617,记账规则!$A$6:$A$9,0),9),""))</f>
        <v/>
      </c>
      <c r="M2452" s="66" t="str">
        <f aca="false">IF($L2452="","",IFERROR(INDEX(记账规则!$A$6:$N$9,MATCH(购销流水!$D617,记账规则!$A$6:$A$9,0),10),""))</f>
        <v/>
      </c>
      <c r="N2452" s="66" t="str">
        <f aca="false">IF($L2452="","",IFERROR(INDEX(记账规则!$A$6:$N$9,MATCH(购销流水!$D617,记账规则!$A$6:$A$9,0),11),""))</f>
        <v/>
      </c>
      <c r="O2452" s="67" t="n">
        <f aca="false">IF($H2452="",0,ROUND(IF($N2452="成本金额",N(购销流水!$W617),IF($N2452="金额",N(购销流水!$Q617),0)),2))</f>
        <v>0</v>
      </c>
      <c r="P2452" s="64" t="str">
        <f aca="false">IF(AND($H2452&lt;&gt;"",ROUND($O2452,2)&lt;&gt;0),"有","")</f>
        <v/>
      </c>
    </row>
    <row r="2453" customFormat="false" ht="15" hidden="true" customHeight="false" outlineLevel="0" collapsed="false">
      <c r="A2453" s="53" t="str">
        <f aca="false">IF($H2453="","",ROW()-5)</f>
        <v/>
      </c>
      <c r="B2453" s="64" t="s">
        <v>36</v>
      </c>
      <c r="C2453" s="53" t="n">
        <v>617</v>
      </c>
      <c r="D2453" s="53" t="n">
        <v>4</v>
      </c>
      <c r="E2453" s="65" t="str">
        <f aca="false">IF($H2453="","",购销流水!$B617)</f>
        <v/>
      </c>
      <c r="F2453" s="55" t="str">
        <f aca="false">IF($H2453="","",购销流水!$C617)</f>
        <v/>
      </c>
      <c r="G2453" s="48" t="str">
        <f aca="false">IF($H2453="","",购销流水!$N617)</f>
        <v/>
      </c>
      <c r="H2453" s="10" t="str">
        <f aca="false">IF($L2453="","",IF($L2453="@成本",购销流水!$U617,IF($L2453="@收入",购销流水!$T617,IF($L2453="@存货",购销流水!$S617,IF($L2453="@结算",购销流水!$R617,$L2453)))))</f>
        <v/>
      </c>
      <c r="I2453" s="42" t="n">
        <f aca="false">IF($M2453="借",$O2453,0)</f>
        <v>0</v>
      </c>
      <c r="J2453" s="42" t="n">
        <f aca="false">IF($M2453="贷",$O2453,0)</f>
        <v>0</v>
      </c>
      <c r="K2453" s="48" t="str">
        <f aca="false">IF($H2453="","",购销流水!$E617)</f>
        <v/>
      </c>
      <c r="L2453" s="66" t="str">
        <f aca="false">IF(购销流水!$D617="","",IFERROR(INDEX(记账规则!$A$6:$N$9,MATCH(购销流水!$D617,记账规则!$A$6:$A$9,0),12),""))</f>
        <v/>
      </c>
      <c r="M2453" s="66" t="str">
        <f aca="false">IF($L2453="","",IFERROR(INDEX(记账规则!$A$6:$N$9,MATCH(购销流水!$D617,记账规则!$A$6:$A$9,0),13),""))</f>
        <v/>
      </c>
      <c r="N2453" s="66" t="str">
        <f aca="false">IF($L2453="","",IFERROR(INDEX(记账规则!$A$6:$N$9,MATCH(购销流水!$D617,记账规则!$A$6:$A$9,0),14),""))</f>
        <v/>
      </c>
      <c r="O2453" s="67" t="n">
        <f aca="false">IF($H2453="",0,ROUND(IF($N2453="成本金额",N(购销流水!$W617),IF($N2453="金额",N(购销流水!$Q617),0)),2))</f>
        <v>0</v>
      </c>
      <c r="P2453" s="64" t="str">
        <f aca="false">IF(AND($H2453&lt;&gt;"",ROUND($O2453,2)&lt;&gt;0),"有","")</f>
        <v/>
      </c>
    </row>
    <row r="2454" customFormat="false" ht="15" hidden="true" customHeight="false" outlineLevel="0" collapsed="false">
      <c r="A2454" s="53" t="str">
        <f aca="false">IF($H2454="","",ROW()-5)</f>
        <v/>
      </c>
      <c r="B2454" s="64" t="s">
        <v>36</v>
      </c>
      <c r="C2454" s="53" t="n">
        <v>618</v>
      </c>
      <c r="D2454" s="53" t="n">
        <v>1</v>
      </c>
      <c r="E2454" s="65" t="str">
        <f aca="false">IF($H2454="","",购销流水!$B618)</f>
        <v/>
      </c>
      <c r="F2454" s="55" t="str">
        <f aca="false">IF($H2454="","",购销流水!$C618)</f>
        <v/>
      </c>
      <c r="G2454" s="48" t="str">
        <f aca="false">IF($H2454="","",购销流水!$N618)</f>
        <v/>
      </c>
      <c r="H2454" s="10" t="str">
        <f aca="false">IF($L2454="","",IF($L2454="@成本",购销流水!$U618,IF($L2454="@收入",购销流水!$T618,IF($L2454="@存货",购销流水!$S618,IF($L2454="@结算",购销流水!$R618,$L2454)))))</f>
        <v/>
      </c>
      <c r="I2454" s="42" t="n">
        <f aca="false">IF($M2454="借",$O2454,0)</f>
        <v>0</v>
      </c>
      <c r="J2454" s="42" t="n">
        <f aca="false">IF($M2454="贷",$O2454,0)</f>
        <v>0</v>
      </c>
      <c r="K2454" s="48" t="str">
        <f aca="false">IF($H2454="","",购销流水!$E618)</f>
        <v/>
      </c>
      <c r="L2454" s="66" t="str">
        <f aca="false">IF(购销流水!$D618="","",IFERROR(INDEX(记账规则!$A$6:$N$9,MATCH(购销流水!$D618,记账规则!$A$6:$A$9,0),3),""))</f>
        <v/>
      </c>
      <c r="M2454" s="66" t="str">
        <f aca="false">IF($L2454="","",IFERROR(INDEX(记账规则!$A$6:$N$9,MATCH(购销流水!$D618,记账规则!$A$6:$A$9,0),4),""))</f>
        <v/>
      </c>
      <c r="N2454" s="66" t="str">
        <f aca="false">IF($L2454="","",IFERROR(INDEX(记账规则!$A$6:$N$9,MATCH(购销流水!$D618,记账规则!$A$6:$A$9,0),5),""))</f>
        <v/>
      </c>
      <c r="O2454" s="67" t="n">
        <f aca="false">IF($H2454="",0,ROUND(IF($N2454="成本金额",N(购销流水!$W618),IF($N2454="金额",N(购销流水!$Q618),0)),2))</f>
        <v>0</v>
      </c>
      <c r="P2454" s="64" t="str">
        <f aca="false">IF(AND($H2454&lt;&gt;"",ROUND($O2454,2)&lt;&gt;0),"有","")</f>
        <v/>
      </c>
    </row>
    <row r="2455" customFormat="false" ht="15" hidden="true" customHeight="false" outlineLevel="0" collapsed="false">
      <c r="A2455" s="53" t="str">
        <f aca="false">IF($H2455="","",ROW()-5)</f>
        <v/>
      </c>
      <c r="B2455" s="64" t="s">
        <v>36</v>
      </c>
      <c r="C2455" s="53" t="n">
        <v>618</v>
      </c>
      <c r="D2455" s="53" t="n">
        <v>2</v>
      </c>
      <c r="E2455" s="65" t="str">
        <f aca="false">IF($H2455="","",购销流水!$B618)</f>
        <v/>
      </c>
      <c r="F2455" s="55" t="str">
        <f aca="false">IF($H2455="","",购销流水!$C618)</f>
        <v/>
      </c>
      <c r="G2455" s="48" t="str">
        <f aca="false">IF($H2455="","",购销流水!$N618)</f>
        <v/>
      </c>
      <c r="H2455" s="10" t="str">
        <f aca="false">IF($L2455="","",IF($L2455="@成本",购销流水!$U618,IF($L2455="@收入",购销流水!$T618,IF($L2455="@存货",购销流水!$S618,IF($L2455="@结算",购销流水!$R618,$L2455)))))</f>
        <v/>
      </c>
      <c r="I2455" s="42" t="n">
        <f aca="false">IF($M2455="借",$O2455,0)</f>
        <v>0</v>
      </c>
      <c r="J2455" s="42" t="n">
        <f aca="false">IF($M2455="贷",$O2455,0)</f>
        <v>0</v>
      </c>
      <c r="K2455" s="48" t="str">
        <f aca="false">IF($H2455="","",购销流水!$E618)</f>
        <v/>
      </c>
      <c r="L2455" s="66" t="str">
        <f aca="false">IF(购销流水!$D618="","",IFERROR(INDEX(记账规则!$A$6:$N$9,MATCH(购销流水!$D618,记账规则!$A$6:$A$9,0),6),""))</f>
        <v/>
      </c>
      <c r="M2455" s="66" t="str">
        <f aca="false">IF($L2455="","",IFERROR(INDEX(记账规则!$A$6:$N$9,MATCH(购销流水!$D618,记账规则!$A$6:$A$9,0),7),""))</f>
        <v/>
      </c>
      <c r="N2455" s="66" t="str">
        <f aca="false">IF($L2455="","",IFERROR(INDEX(记账规则!$A$6:$N$9,MATCH(购销流水!$D618,记账规则!$A$6:$A$9,0),8),""))</f>
        <v/>
      </c>
      <c r="O2455" s="67" t="n">
        <f aca="false">IF($H2455="",0,ROUND(IF($N2455="成本金额",N(购销流水!$W618),IF($N2455="金额",N(购销流水!$Q618),0)),2))</f>
        <v>0</v>
      </c>
      <c r="P2455" s="64" t="str">
        <f aca="false">IF(AND($H2455&lt;&gt;"",ROUND($O2455,2)&lt;&gt;0),"有","")</f>
        <v/>
      </c>
    </row>
    <row r="2456" customFormat="false" ht="15" hidden="true" customHeight="false" outlineLevel="0" collapsed="false">
      <c r="A2456" s="53" t="str">
        <f aca="false">IF($H2456="","",ROW()-5)</f>
        <v/>
      </c>
      <c r="B2456" s="64" t="s">
        <v>36</v>
      </c>
      <c r="C2456" s="53" t="n">
        <v>618</v>
      </c>
      <c r="D2456" s="53" t="n">
        <v>3</v>
      </c>
      <c r="E2456" s="65" t="str">
        <f aca="false">IF($H2456="","",购销流水!$B618)</f>
        <v/>
      </c>
      <c r="F2456" s="55" t="str">
        <f aca="false">IF($H2456="","",购销流水!$C618)</f>
        <v/>
      </c>
      <c r="G2456" s="48" t="str">
        <f aca="false">IF($H2456="","",购销流水!$N618)</f>
        <v/>
      </c>
      <c r="H2456" s="10" t="str">
        <f aca="false">IF($L2456="","",IF($L2456="@成本",购销流水!$U618,IF($L2456="@收入",购销流水!$T618,IF($L2456="@存货",购销流水!$S618,IF($L2456="@结算",购销流水!$R618,$L2456)))))</f>
        <v/>
      </c>
      <c r="I2456" s="42" t="n">
        <f aca="false">IF($M2456="借",$O2456,0)</f>
        <v>0</v>
      </c>
      <c r="J2456" s="42" t="n">
        <f aca="false">IF($M2456="贷",$O2456,0)</f>
        <v>0</v>
      </c>
      <c r="K2456" s="48" t="str">
        <f aca="false">IF($H2456="","",购销流水!$E618)</f>
        <v/>
      </c>
      <c r="L2456" s="66" t="str">
        <f aca="false">IF(购销流水!$D618="","",IFERROR(INDEX(记账规则!$A$6:$N$9,MATCH(购销流水!$D618,记账规则!$A$6:$A$9,0),9),""))</f>
        <v/>
      </c>
      <c r="M2456" s="66" t="str">
        <f aca="false">IF($L2456="","",IFERROR(INDEX(记账规则!$A$6:$N$9,MATCH(购销流水!$D618,记账规则!$A$6:$A$9,0),10),""))</f>
        <v/>
      </c>
      <c r="N2456" s="66" t="str">
        <f aca="false">IF($L2456="","",IFERROR(INDEX(记账规则!$A$6:$N$9,MATCH(购销流水!$D618,记账规则!$A$6:$A$9,0),11),""))</f>
        <v/>
      </c>
      <c r="O2456" s="67" t="n">
        <f aca="false">IF($H2456="",0,ROUND(IF($N2456="成本金额",N(购销流水!$W618),IF($N2456="金额",N(购销流水!$Q618),0)),2))</f>
        <v>0</v>
      </c>
      <c r="P2456" s="64" t="str">
        <f aca="false">IF(AND($H2456&lt;&gt;"",ROUND($O2456,2)&lt;&gt;0),"有","")</f>
        <v/>
      </c>
    </row>
    <row r="2457" customFormat="false" ht="15" hidden="true" customHeight="false" outlineLevel="0" collapsed="false">
      <c r="A2457" s="53" t="str">
        <f aca="false">IF($H2457="","",ROW()-5)</f>
        <v/>
      </c>
      <c r="B2457" s="64" t="s">
        <v>36</v>
      </c>
      <c r="C2457" s="53" t="n">
        <v>618</v>
      </c>
      <c r="D2457" s="53" t="n">
        <v>4</v>
      </c>
      <c r="E2457" s="65" t="str">
        <f aca="false">IF($H2457="","",购销流水!$B618)</f>
        <v/>
      </c>
      <c r="F2457" s="55" t="str">
        <f aca="false">IF($H2457="","",购销流水!$C618)</f>
        <v/>
      </c>
      <c r="G2457" s="48" t="str">
        <f aca="false">IF($H2457="","",购销流水!$N618)</f>
        <v/>
      </c>
      <c r="H2457" s="10" t="str">
        <f aca="false">IF($L2457="","",IF($L2457="@成本",购销流水!$U618,IF($L2457="@收入",购销流水!$T618,IF($L2457="@存货",购销流水!$S618,IF($L2457="@结算",购销流水!$R618,$L2457)))))</f>
        <v/>
      </c>
      <c r="I2457" s="42" t="n">
        <f aca="false">IF($M2457="借",$O2457,0)</f>
        <v>0</v>
      </c>
      <c r="J2457" s="42" t="n">
        <f aca="false">IF($M2457="贷",$O2457,0)</f>
        <v>0</v>
      </c>
      <c r="K2457" s="48" t="str">
        <f aca="false">IF($H2457="","",购销流水!$E618)</f>
        <v/>
      </c>
      <c r="L2457" s="66" t="str">
        <f aca="false">IF(购销流水!$D618="","",IFERROR(INDEX(记账规则!$A$6:$N$9,MATCH(购销流水!$D618,记账规则!$A$6:$A$9,0),12),""))</f>
        <v/>
      </c>
      <c r="M2457" s="66" t="str">
        <f aca="false">IF($L2457="","",IFERROR(INDEX(记账规则!$A$6:$N$9,MATCH(购销流水!$D618,记账规则!$A$6:$A$9,0),13),""))</f>
        <v/>
      </c>
      <c r="N2457" s="66" t="str">
        <f aca="false">IF($L2457="","",IFERROR(INDEX(记账规则!$A$6:$N$9,MATCH(购销流水!$D618,记账规则!$A$6:$A$9,0),14),""))</f>
        <v/>
      </c>
      <c r="O2457" s="67" t="n">
        <f aca="false">IF($H2457="",0,ROUND(IF($N2457="成本金额",N(购销流水!$W618),IF($N2457="金额",N(购销流水!$Q618),0)),2))</f>
        <v>0</v>
      </c>
      <c r="P2457" s="64" t="str">
        <f aca="false">IF(AND($H2457&lt;&gt;"",ROUND($O2457,2)&lt;&gt;0),"有","")</f>
        <v/>
      </c>
    </row>
    <row r="2458" customFormat="false" ht="15" hidden="true" customHeight="false" outlineLevel="0" collapsed="false">
      <c r="A2458" s="53" t="str">
        <f aca="false">IF($H2458="","",ROW()-5)</f>
        <v/>
      </c>
      <c r="B2458" s="64" t="s">
        <v>36</v>
      </c>
      <c r="C2458" s="53" t="n">
        <v>619</v>
      </c>
      <c r="D2458" s="53" t="n">
        <v>1</v>
      </c>
      <c r="E2458" s="65" t="str">
        <f aca="false">IF($H2458="","",购销流水!$B619)</f>
        <v/>
      </c>
      <c r="F2458" s="55" t="str">
        <f aca="false">IF($H2458="","",购销流水!$C619)</f>
        <v/>
      </c>
      <c r="G2458" s="48" t="str">
        <f aca="false">IF($H2458="","",购销流水!$N619)</f>
        <v/>
      </c>
      <c r="H2458" s="10" t="str">
        <f aca="false">IF($L2458="","",IF($L2458="@成本",购销流水!$U619,IF($L2458="@收入",购销流水!$T619,IF($L2458="@存货",购销流水!$S619,IF($L2458="@结算",购销流水!$R619,$L2458)))))</f>
        <v/>
      </c>
      <c r="I2458" s="42" t="n">
        <f aca="false">IF($M2458="借",$O2458,0)</f>
        <v>0</v>
      </c>
      <c r="J2458" s="42" t="n">
        <f aca="false">IF($M2458="贷",$O2458,0)</f>
        <v>0</v>
      </c>
      <c r="K2458" s="48" t="str">
        <f aca="false">IF($H2458="","",购销流水!$E619)</f>
        <v/>
      </c>
      <c r="L2458" s="66" t="str">
        <f aca="false">IF(购销流水!$D619="","",IFERROR(INDEX(记账规则!$A$6:$N$9,MATCH(购销流水!$D619,记账规则!$A$6:$A$9,0),3),""))</f>
        <v/>
      </c>
      <c r="M2458" s="66" t="str">
        <f aca="false">IF($L2458="","",IFERROR(INDEX(记账规则!$A$6:$N$9,MATCH(购销流水!$D619,记账规则!$A$6:$A$9,0),4),""))</f>
        <v/>
      </c>
      <c r="N2458" s="66" t="str">
        <f aca="false">IF($L2458="","",IFERROR(INDEX(记账规则!$A$6:$N$9,MATCH(购销流水!$D619,记账规则!$A$6:$A$9,0),5),""))</f>
        <v/>
      </c>
      <c r="O2458" s="67" t="n">
        <f aca="false">IF($H2458="",0,ROUND(IF($N2458="成本金额",N(购销流水!$W619),IF($N2458="金额",N(购销流水!$Q619),0)),2))</f>
        <v>0</v>
      </c>
      <c r="P2458" s="64" t="str">
        <f aca="false">IF(AND($H2458&lt;&gt;"",ROUND($O2458,2)&lt;&gt;0),"有","")</f>
        <v/>
      </c>
    </row>
    <row r="2459" customFormat="false" ht="15" hidden="true" customHeight="false" outlineLevel="0" collapsed="false">
      <c r="A2459" s="53" t="str">
        <f aca="false">IF($H2459="","",ROW()-5)</f>
        <v/>
      </c>
      <c r="B2459" s="64" t="s">
        <v>36</v>
      </c>
      <c r="C2459" s="53" t="n">
        <v>619</v>
      </c>
      <c r="D2459" s="53" t="n">
        <v>2</v>
      </c>
      <c r="E2459" s="65" t="str">
        <f aca="false">IF($H2459="","",购销流水!$B619)</f>
        <v/>
      </c>
      <c r="F2459" s="55" t="str">
        <f aca="false">IF($H2459="","",购销流水!$C619)</f>
        <v/>
      </c>
      <c r="G2459" s="48" t="str">
        <f aca="false">IF($H2459="","",购销流水!$N619)</f>
        <v/>
      </c>
      <c r="H2459" s="10" t="str">
        <f aca="false">IF($L2459="","",IF($L2459="@成本",购销流水!$U619,IF($L2459="@收入",购销流水!$T619,IF($L2459="@存货",购销流水!$S619,IF($L2459="@结算",购销流水!$R619,$L2459)))))</f>
        <v/>
      </c>
      <c r="I2459" s="42" t="n">
        <f aca="false">IF($M2459="借",$O2459,0)</f>
        <v>0</v>
      </c>
      <c r="J2459" s="42" t="n">
        <f aca="false">IF($M2459="贷",$O2459,0)</f>
        <v>0</v>
      </c>
      <c r="K2459" s="48" t="str">
        <f aca="false">IF($H2459="","",购销流水!$E619)</f>
        <v/>
      </c>
      <c r="L2459" s="66" t="str">
        <f aca="false">IF(购销流水!$D619="","",IFERROR(INDEX(记账规则!$A$6:$N$9,MATCH(购销流水!$D619,记账规则!$A$6:$A$9,0),6),""))</f>
        <v/>
      </c>
      <c r="M2459" s="66" t="str">
        <f aca="false">IF($L2459="","",IFERROR(INDEX(记账规则!$A$6:$N$9,MATCH(购销流水!$D619,记账规则!$A$6:$A$9,0),7),""))</f>
        <v/>
      </c>
      <c r="N2459" s="66" t="str">
        <f aca="false">IF($L2459="","",IFERROR(INDEX(记账规则!$A$6:$N$9,MATCH(购销流水!$D619,记账规则!$A$6:$A$9,0),8),""))</f>
        <v/>
      </c>
      <c r="O2459" s="67" t="n">
        <f aca="false">IF($H2459="",0,ROUND(IF($N2459="成本金额",N(购销流水!$W619),IF($N2459="金额",N(购销流水!$Q619),0)),2))</f>
        <v>0</v>
      </c>
      <c r="P2459" s="64" t="str">
        <f aca="false">IF(AND($H2459&lt;&gt;"",ROUND($O2459,2)&lt;&gt;0),"有","")</f>
        <v/>
      </c>
    </row>
    <row r="2460" customFormat="false" ht="15" hidden="true" customHeight="false" outlineLevel="0" collapsed="false">
      <c r="A2460" s="53" t="str">
        <f aca="false">IF($H2460="","",ROW()-5)</f>
        <v/>
      </c>
      <c r="B2460" s="64" t="s">
        <v>36</v>
      </c>
      <c r="C2460" s="53" t="n">
        <v>619</v>
      </c>
      <c r="D2460" s="53" t="n">
        <v>3</v>
      </c>
      <c r="E2460" s="65" t="str">
        <f aca="false">IF($H2460="","",购销流水!$B619)</f>
        <v/>
      </c>
      <c r="F2460" s="55" t="str">
        <f aca="false">IF($H2460="","",购销流水!$C619)</f>
        <v/>
      </c>
      <c r="G2460" s="48" t="str">
        <f aca="false">IF($H2460="","",购销流水!$N619)</f>
        <v/>
      </c>
      <c r="H2460" s="10" t="str">
        <f aca="false">IF($L2460="","",IF($L2460="@成本",购销流水!$U619,IF($L2460="@收入",购销流水!$T619,IF($L2460="@存货",购销流水!$S619,IF($L2460="@结算",购销流水!$R619,$L2460)))))</f>
        <v/>
      </c>
      <c r="I2460" s="42" t="n">
        <f aca="false">IF($M2460="借",$O2460,0)</f>
        <v>0</v>
      </c>
      <c r="J2460" s="42" t="n">
        <f aca="false">IF($M2460="贷",$O2460,0)</f>
        <v>0</v>
      </c>
      <c r="K2460" s="48" t="str">
        <f aca="false">IF($H2460="","",购销流水!$E619)</f>
        <v/>
      </c>
      <c r="L2460" s="66" t="str">
        <f aca="false">IF(购销流水!$D619="","",IFERROR(INDEX(记账规则!$A$6:$N$9,MATCH(购销流水!$D619,记账规则!$A$6:$A$9,0),9),""))</f>
        <v/>
      </c>
      <c r="M2460" s="66" t="str">
        <f aca="false">IF($L2460="","",IFERROR(INDEX(记账规则!$A$6:$N$9,MATCH(购销流水!$D619,记账规则!$A$6:$A$9,0),10),""))</f>
        <v/>
      </c>
      <c r="N2460" s="66" t="str">
        <f aca="false">IF($L2460="","",IFERROR(INDEX(记账规则!$A$6:$N$9,MATCH(购销流水!$D619,记账规则!$A$6:$A$9,0),11),""))</f>
        <v/>
      </c>
      <c r="O2460" s="67" t="n">
        <f aca="false">IF($H2460="",0,ROUND(IF($N2460="成本金额",N(购销流水!$W619),IF($N2460="金额",N(购销流水!$Q619),0)),2))</f>
        <v>0</v>
      </c>
      <c r="P2460" s="64" t="str">
        <f aca="false">IF(AND($H2460&lt;&gt;"",ROUND($O2460,2)&lt;&gt;0),"有","")</f>
        <v/>
      </c>
    </row>
    <row r="2461" customFormat="false" ht="15" hidden="true" customHeight="false" outlineLevel="0" collapsed="false">
      <c r="A2461" s="53" t="str">
        <f aca="false">IF($H2461="","",ROW()-5)</f>
        <v/>
      </c>
      <c r="B2461" s="64" t="s">
        <v>36</v>
      </c>
      <c r="C2461" s="53" t="n">
        <v>619</v>
      </c>
      <c r="D2461" s="53" t="n">
        <v>4</v>
      </c>
      <c r="E2461" s="65" t="str">
        <f aca="false">IF($H2461="","",购销流水!$B619)</f>
        <v/>
      </c>
      <c r="F2461" s="55" t="str">
        <f aca="false">IF($H2461="","",购销流水!$C619)</f>
        <v/>
      </c>
      <c r="G2461" s="48" t="str">
        <f aca="false">IF($H2461="","",购销流水!$N619)</f>
        <v/>
      </c>
      <c r="H2461" s="10" t="str">
        <f aca="false">IF($L2461="","",IF($L2461="@成本",购销流水!$U619,IF($L2461="@收入",购销流水!$T619,IF($L2461="@存货",购销流水!$S619,IF($L2461="@结算",购销流水!$R619,$L2461)))))</f>
        <v/>
      </c>
      <c r="I2461" s="42" t="n">
        <f aca="false">IF($M2461="借",$O2461,0)</f>
        <v>0</v>
      </c>
      <c r="J2461" s="42" t="n">
        <f aca="false">IF($M2461="贷",$O2461,0)</f>
        <v>0</v>
      </c>
      <c r="K2461" s="48" t="str">
        <f aca="false">IF($H2461="","",购销流水!$E619)</f>
        <v/>
      </c>
      <c r="L2461" s="66" t="str">
        <f aca="false">IF(购销流水!$D619="","",IFERROR(INDEX(记账规则!$A$6:$N$9,MATCH(购销流水!$D619,记账规则!$A$6:$A$9,0),12),""))</f>
        <v/>
      </c>
      <c r="M2461" s="66" t="str">
        <f aca="false">IF($L2461="","",IFERROR(INDEX(记账规则!$A$6:$N$9,MATCH(购销流水!$D619,记账规则!$A$6:$A$9,0),13),""))</f>
        <v/>
      </c>
      <c r="N2461" s="66" t="str">
        <f aca="false">IF($L2461="","",IFERROR(INDEX(记账规则!$A$6:$N$9,MATCH(购销流水!$D619,记账规则!$A$6:$A$9,0),14),""))</f>
        <v/>
      </c>
      <c r="O2461" s="67" t="n">
        <f aca="false">IF($H2461="",0,ROUND(IF($N2461="成本金额",N(购销流水!$W619),IF($N2461="金额",N(购销流水!$Q619),0)),2))</f>
        <v>0</v>
      </c>
      <c r="P2461" s="64" t="str">
        <f aca="false">IF(AND($H2461&lt;&gt;"",ROUND($O2461,2)&lt;&gt;0),"有","")</f>
        <v/>
      </c>
    </row>
    <row r="2462" customFormat="false" ht="15" hidden="true" customHeight="false" outlineLevel="0" collapsed="false">
      <c r="A2462" s="53" t="str">
        <f aca="false">IF($H2462="","",ROW()-5)</f>
        <v/>
      </c>
      <c r="B2462" s="64" t="s">
        <v>36</v>
      </c>
      <c r="C2462" s="53" t="n">
        <v>620</v>
      </c>
      <c r="D2462" s="53" t="n">
        <v>1</v>
      </c>
      <c r="E2462" s="65" t="str">
        <f aca="false">IF($H2462="","",购销流水!$B620)</f>
        <v/>
      </c>
      <c r="F2462" s="55" t="str">
        <f aca="false">IF($H2462="","",购销流水!$C620)</f>
        <v/>
      </c>
      <c r="G2462" s="48" t="str">
        <f aca="false">IF($H2462="","",购销流水!$N620)</f>
        <v/>
      </c>
      <c r="H2462" s="10" t="str">
        <f aca="false">IF($L2462="","",IF($L2462="@成本",购销流水!$U620,IF($L2462="@收入",购销流水!$T620,IF($L2462="@存货",购销流水!$S620,IF($L2462="@结算",购销流水!$R620,$L2462)))))</f>
        <v/>
      </c>
      <c r="I2462" s="42" t="n">
        <f aca="false">IF($M2462="借",$O2462,0)</f>
        <v>0</v>
      </c>
      <c r="J2462" s="42" t="n">
        <f aca="false">IF($M2462="贷",$O2462,0)</f>
        <v>0</v>
      </c>
      <c r="K2462" s="48" t="str">
        <f aca="false">IF($H2462="","",购销流水!$E620)</f>
        <v/>
      </c>
      <c r="L2462" s="66" t="str">
        <f aca="false">IF(购销流水!$D620="","",IFERROR(INDEX(记账规则!$A$6:$N$9,MATCH(购销流水!$D620,记账规则!$A$6:$A$9,0),3),""))</f>
        <v/>
      </c>
      <c r="M2462" s="66" t="str">
        <f aca="false">IF($L2462="","",IFERROR(INDEX(记账规则!$A$6:$N$9,MATCH(购销流水!$D620,记账规则!$A$6:$A$9,0),4),""))</f>
        <v/>
      </c>
      <c r="N2462" s="66" t="str">
        <f aca="false">IF($L2462="","",IFERROR(INDEX(记账规则!$A$6:$N$9,MATCH(购销流水!$D620,记账规则!$A$6:$A$9,0),5),""))</f>
        <v/>
      </c>
      <c r="O2462" s="67" t="n">
        <f aca="false">IF($H2462="",0,ROUND(IF($N2462="成本金额",N(购销流水!$W620),IF($N2462="金额",N(购销流水!$Q620),0)),2))</f>
        <v>0</v>
      </c>
      <c r="P2462" s="64" t="str">
        <f aca="false">IF(AND($H2462&lt;&gt;"",ROUND($O2462,2)&lt;&gt;0),"有","")</f>
        <v/>
      </c>
    </row>
    <row r="2463" customFormat="false" ht="15" hidden="true" customHeight="false" outlineLevel="0" collapsed="false">
      <c r="A2463" s="53" t="str">
        <f aca="false">IF($H2463="","",ROW()-5)</f>
        <v/>
      </c>
      <c r="B2463" s="64" t="s">
        <v>36</v>
      </c>
      <c r="C2463" s="53" t="n">
        <v>620</v>
      </c>
      <c r="D2463" s="53" t="n">
        <v>2</v>
      </c>
      <c r="E2463" s="65" t="str">
        <f aca="false">IF($H2463="","",购销流水!$B620)</f>
        <v/>
      </c>
      <c r="F2463" s="55" t="str">
        <f aca="false">IF($H2463="","",购销流水!$C620)</f>
        <v/>
      </c>
      <c r="G2463" s="48" t="str">
        <f aca="false">IF($H2463="","",购销流水!$N620)</f>
        <v/>
      </c>
      <c r="H2463" s="10" t="str">
        <f aca="false">IF($L2463="","",IF($L2463="@成本",购销流水!$U620,IF($L2463="@收入",购销流水!$T620,IF($L2463="@存货",购销流水!$S620,IF($L2463="@结算",购销流水!$R620,$L2463)))))</f>
        <v/>
      </c>
      <c r="I2463" s="42" t="n">
        <f aca="false">IF($M2463="借",$O2463,0)</f>
        <v>0</v>
      </c>
      <c r="J2463" s="42" t="n">
        <f aca="false">IF($M2463="贷",$O2463,0)</f>
        <v>0</v>
      </c>
      <c r="K2463" s="48" t="str">
        <f aca="false">IF($H2463="","",购销流水!$E620)</f>
        <v/>
      </c>
      <c r="L2463" s="66" t="str">
        <f aca="false">IF(购销流水!$D620="","",IFERROR(INDEX(记账规则!$A$6:$N$9,MATCH(购销流水!$D620,记账规则!$A$6:$A$9,0),6),""))</f>
        <v/>
      </c>
      <c r="M2463" s="66" t="str">
        <f aca="false">IF($L2463="","",IFERROR(INDEX(记账规则!$A$6:$N$9,MATCH(购销流水!$D620,记账规则!$A$6:$A$9,0),7),""))</f>
        <v/>
      </c>
      <c r="N2463" s="66" t="str">
        <f aca="false">IF($L2463="","",IFERROR(INDEX(记账规则!$A$6:$N$9,MATCH(购销流水!$D620,记账规则!$A$6:$A$9,0),8),""))</f>
        <v/>
      </c>
      <c r="O2463" s="67" t="n">
        <f aca="false">IF($H2463="",0,ROUND(IF($N2463="成本金额",N(购销流水!$W620),IF($N2463="金额",N(购销流水!$Q620),0)),2))</f>
        <v>0</v>
      </c>
      <c r="P2463" s="64" t="str">
        <f aca="false">IF(AND($H2463&lt;&gt;"",ROUND($O2463,2)&lt;&gt;0),"有","")</f>
        <v/>
      </c>
    </row>
    <row r="2464" customFormat="false" ht="15" hidden="true" customHeight="false" outlineLevel="0" collapsed="false">
      <c r="A2464" s="53" t="str">
        <f aca="false">IF($H2464="","",ROW()-5)</f>
        <v/>
      </c>
      <c r="B2464" s="64" t="s">
        <v>36</v>
      </c>
      <c r="C2464" s="53" t="n">
        <v>620</v>
      </c>
      <c r="D2464" s="53" t="n">
        <v>3</v>
      </c>
      <c r="E2464" s="65" t="str">
        <f aca="false">IF($H2464="","",购销流水!$B620)</f>
        <v/>
      </c>
      <c r="F2464" s="55" t="str">
        <f aca="false">IF($H2464="","",购销流水!$C620)</f>
        <v/>
      </c>
      <c r="G2464" s="48" t="str">
        <f aca="false">IF($H2464="","",购销流水!$N620)</f>
        <v/>
      </c>
      <c r="H2464" s="10" t="str">
        <f aca="false">IF($L2464="","",IF($L2464="@成本",购销流水!$U620,IF($L2464="@收入",购销流水!$T620,IF($L2464="@存货",购销流水!$S620,IF($L2464="@结算",购销流水!$R620,$L2464)))))</f>
        <v/>
      </c>
      <c r="I2464" s="42" t="n">
        <f aca="false">IF($M2464="借",$O2464,0)</f>
        <v>0</v>
      </c>
      <c r="J2464" s="42" t="n">
        <f aca="false">IF($M2464="贷",$O2464,0)</f>
        <v>0</v>
      </c>
      <c r="K2464" s="48" t="str">
        <f aca="false">IF($H2464="","",购销流水!$E620)</f>
        <v/>
      </c>
      <c r="L2464" s="66" t="str">
        <f aca="false">IF(购销流水!$D620="","",IFERROR(INDEX(记账规则!$A$6:$N$9,MATCH(购销流水!$D620,记账规则!$A$6:$A$9,0),9),""))</f>
        <v/>
      </c>
      <c r="M2464" s="66" t="str">
        <f aca="false">IF($L2464="","",IFERROR(INDEX(记账规则!$A$6:$N$9,MATCH(购销流水!$D620,记账规则!$A$6:$A$9,0),10),""))</f>
        <v/>
      </c>
      <c r="N2464" s="66" t="str">
        <f aca="false">IF($L2464="","",IFERROR(INDEX(记账规则!$A$6:$N$9,MATCH(购销流水!$D620,记账规则!$A$6:$A$9,0),11),""))</f>
        <v/>
      </c>
      <c r="O2464" s="67" t="n">
        <f aca="false">IF($H2464="",0,ROUND(IF($N2464="成本金额",N(购销流水!$W620),IF($N2464="金额",N(购销流水!$Q620),0)),2))</f>
        <v>0</v>
      </c>
      <c r="P2464" s="64" t="str">
        <f aca="false">IF(AND($H2464&lt;&gt;"",ROUND($O2464,2)&lt;&gt;0),"有","")</f>
        <v/>
      </c>
    </row>
    <row r="2465" customFormat="false" ht="15" hidden="true" customHeight="false" outlineLevel="0" collapsed="false">
      <c r="A2465" s="53" t="str">
        <f aca="false">IF($H2465="","",ROW()-5)</f>
        <v/>
      </c>
      <c r="B2465" s="64" t="s">
        <v>36</v>
      </c>
      <c r="C2465" s="53" t="n">
        <v>620</v>
      </c>
      <c r="D2465" s="53" t="n">
        <v>4</v>
      </c>
      <c r="E2465" s="65" t="str">
        <f aca="false">IF($H2465="","",购销流水!$B620)</f>
        <v/>
      </c>
      <c r="F2465" s="55" t="str">
        <f aca="false">IF($H2465="","",购销流水!$C620)</f>
        <v/>
      </c>
      <c r="G2465" s="48" t="str">
        <f aca="false">IF($H2465="","",购销流水!$N620)</f>
        <v/>
      </c>
      <c r="H2465" s="10" t="str">
        <f aca="false">IF($L2465="","",IF($L2465="@成本",购销流水!$U620,IF($L2465="@收入",购销流水!$T620,IF($L2465="@存货",购销流水!$S620,IF($L2465="@结算",购销流水!$R620,$L2465)))))</f>
        <v/>
      </c>
      <c r="I2465" s="42" t="n">
        <f aca="false">IF($M2465="借",$O2465,0)</f>
        <v>0</v>
      </c>
      <c r="J2465" s="42" t="n">
        <f aca="false">IF($M2465="贷",$O2465,0)</f>
        <v>0</v>
      </c>
      <c r="K2465" s="48" t="str">
        <f aca="false">IF($H2465="","",购销流水!$E620)</f>
        <v/>
      </c>
      <c r="L2465" s="66" t="str">
        <f aca="false">IF(购销流水!$D620="","",IFERROR(INDEX(记账规则!$A$6:$N$9,MATCH(购销流水!$D620,记账规则!$A$6:$A$9,0),12),""))</f>
        <v/>
      </c>
      <c r="M2465" s="66" t="str">
        <f aca="false">IF($L2465="","",IFERROR(INDEX(记账规则!$A$6:$N$9,MATCH(购销流水!$D620,记账规则!$A$6:$A$9,0),13),""))</f>
        <v/>
      </c>
      <c r="N2465" s="66" t="str">
        <f aca="false">IF($L2465="","",IFERROR(INDEX(记账规则!$A$6:$N$9,MATCH(购销流水!$D620,记账规则!$A$6:$A$9,0),14),""))</f>
        <v/>
      </c>
      <c r="O2465" s="67" t="n">
        <f aca="false">IF($H2465="",0,ROUND(IF($N2465="成本金额",N(购销流水!$W620),IF($N2465="金额",N(购销流水!$Q620),0)),2))</f>
        <v>0</v>
      </c>
      <c r="P2465" s="64" t="str">
        <f aca="false">IF(AND($H2465&lt;&gt;"",ROUND($O2465,2)&lt;&gt;0),"有","")</f>
        <v/>
      </c>
    </row>
    <row r="2466" customFormat="false" ht="15" hidden="true" customHeight="false" outlineLevel="0" collapsed="false">
      <c r="A2466" s="53" t="str">
        <f aca="false">IF($H2466="","",ROW()-5)</f>
        <v/>
      </c>
      <c r="B2466" s="64" t="s">
        <v>36</v>
      </c>
      <c r="C2466" s="53" t="n">
        <v>621</v>
      </c>
      <c r="D2466" s="53" t="n">
        <v>1</v>
      </c>
      <c r="E2466" s="65" t="str">
        <f aca="false">IF($H2466="","",购销流水!$B621)</f>
        <v/>
      </c>
      <c r="F2466" s="55" t="str">
        <f aca="false">IF($H2466="","",购销流水!$C621)</f>
        <v/>
      </c>
      <c r="G2466" s="48" t="str">
        <f aca="false">IF($H2466="","",购销流水!$N621)</f>
        <v/>
      </c>
      <c r="H2466" s="10" t="str">
        <f aca="false">IF($L2466="","",IF($L2466="@成本",购销流水!$U621,IF($L2466="@收入",购销流水!$T621,IF($L2466="@存货",购销流水!$S621,IF($L2466="@结算",购销流水!$R621,$L2466)))))</f>
        <v/>
      </c>
      <c r="I2466" s="42" t="n">
        <f aca="false">IF($M2466="借",$O2466,0)</f>
        <v>0</v>
      </c>
      <c r="J2466" s="42" t="n">
        <f aca="false">IF($M2466="贷",$O2466,0)</f>
        <v>0</v>
      </c>
      <c r="K2466" s="48" t="str">
        <f aca="false">IF($H2466="","",购销流水!$E621)</f>
        <v/>
      </c>
      <c r="L2466" s="66" t="str">
        <f aca="false">IF(购销流水!$D621="","",IFERROR(INDEX(记账规则!$A$6:$N$9,MATCH(购销流水!$D621,记账规则!$A$6:$A$9,0),3),""))</f>
        <v/>
      </c>
      <c r="M2466" s="66" t="str">
        <f aca="false">IF($L2466="","",IFERROR(INDEX(记账规则!$A$6:$N$9,MATCH(购销流水!$D621,记账规则!$A$6:$A$9,0),4),""))</f>
        <v/>
      </c>
      <c r="N2466" s="66" t="str">
        <f aca="false">IF($L2466="","",IFERROR(INDEX(记账规则!$A$6:$N$9,MATCH(购销流水!$D621,记账规则!$A$6:$A$9,0),5),""))</f>
        <v/>
      </c>
      <c r="O2466" s="67" t="n">
        <f aca="false">IF($H2466="",0,ROUND(IF($N2466="成本金额",N(购销流水!$W621),IF($N2466="金额",N(购销流水!$Q621),0)),2))</f>
        <v>0</v>
      </c>
      <c r="P2466" s="64" t="str">
        <f aca="false">IF(AND($H2466&lt;&gt;"",ROUND($O2466,2)&lt;&gt;0),"有","")</f>
        <v/>
      </c>
    </row>
    <row r="2467" customFormat="false" ht="15" hidden="true" customHeight="false" outlineLevel="0" collapsed="false">
      <c r="A2467" s="53" t="str">
        <f aca="false">IF($H2467="","",ROW()-5)</f>
        <v/>
      </c>
      <c r="B2467" s="64" t="s">
        <v>36</v>
      </c>
      <c r="C2467" s="53" t="n">
        <v>621</v>
      </c>
      <c r="D2467" s="53" t="n">
        <v>2</v>
      </c>
      <c r="E2467" s="65" t="str">
        <f aca="false">IF($H2467="","",购销流水!$B621)</f>
        <v/>
      </c>
      <c r="F2467" s="55" t="str">
        <f aca="false">IF($H2467="","",购销流水!$C621)</f>
        <v/>
      </c>
      <c r="G2467" s="48" t="str">
        <f aca="false">IF($H2467="","",购销流水!$N621)</f>
        <v/>
      </c>
      <c r="H2467" s="10" t="str">
        <f aca="false">IF($L2467="","",IF($L2467="@成本",购销流水!$U621,IF($L2467="@收入",购销流水!$T621,IF($L2467="@存货",购销流水!$S621,IF($L2467="@结算",购销流水!$R621,$L2467)))))</f>
        <v/>
      </c>
      <c r="I2467" s="42" t="n">
        <f aca="false">IF($M2467="借",$O2467,0)</f>
        <v>0</v>
      </c>
      <c r="J2467" s="42" t="n">
        <f aca="false">IF($M2467="贷",$O2467,0)</f>
        <v>0</v>
      </c>
      <c r="K2467" s="48" t="str">
        <f aca="false">IF($H2467="","",购销流水!$E621)</f>
        <v/>
      </c>
      <c r="L2467" s="66" t="str">
        <f aca="false">IF(购销流水!$D621="","",IFERROR(INDEX(记账规则!$A$6:$N$9,MATCH(购销流水!$D621,记账规则!$A$6:$A$9,0),6),""))</f>
        <v/>
      </c>
      <c r="M2467" s="66" t="str">
        <f aca="false">IF($L2467="","",IFERROR(INDEX(记账规则!$A$6:$N$9,MATCH(购销流水!$D621,记账规则!$A$6:$A$9,0),7),""))</f>
        <v/>
      </c>
      <c r="N2467" s="66" t="str">
        <f aca="false">IF($L2467="","",IFERROR(INDEX(记账规则!$A$6:$N$9,MATCH(购销流水!$D621,记账规则!$A$6:$A$9,0),8),""))</f>
        <v/>
      </c>
      <c r="O2467" s="67" t="n">
        <f aca="false">IF($H2467="",0,ROUND(IF($N2467="成本金额",N(购销流水!$W621),IF($N2467="金额",N(购销流水!$Q621),0)),2))</f>
        <v>0</v>
      </c>
      <c r="P2467" s="64" t="str">
        <f aca="false">IF(AND($H2467&lt;&gt;"",ROUND($O2467,2)&lt;&gt;0),"有","")</f>
        <v/>
      </c>
    </row>
    <row r="2468" customFormat="false" ht="15" hidden="true" customHeight="false" outlineLevel="0" collapsed="false">
      <c r="A2468" s="53" t="str">
        <f aca="false">IF($H2468="","",ROW()-5)</f>
        <v/>
      </c>
      <c r="B2468" s="64" t="s">
        <v>36</v>
      </c>
      <c r="C2468" s="53" t="n">
        <v>621</v>
      </c>
      <c r="D2468" s="53" t="n">
        <v>3</v>
      </c>
      <c r="E2468" s="65" t="str">
        <f aca="false">IF($H2468="","",购销流水!$B621)</f>
        <v/>
      </c>
      <c r="F2468" s="55" t="str">
        <f aca="false">IF($H2468="","",购销流水!$C621)</f>
        <v/>
      </c>
      <c r="G2468" s="48" t="str">
        <f aca="false">IF($H2468="","",购销流水!$N621)</f>
        <v/>
      </c>
      <c r="H2468" s="10" t="str">
        <f aca="false">IF($L2468="","",IF($L2468="@成本",购销流水!$U621,IF($L2468="@收入",购销流水!$T621,IF($L2468="@存货",购销流水!$S621,IF($L2468="@结算",购销流水!$R621,$L2468)))))</f>
        <v/>
      </c>
      <c r="I2468" s="42" t="n">
        <f aca="false">IF($M2468="借",$O2468,0)</f>
        <v>0</v>
      </c>
      <c r="J2468" s="42" t="n">
        <f aca="false">IF($M2468="贷",$O2468,0)</f>
        <v>0</v>
      </c>
      <c r="K2468" s="48" t="str">
        <f aca="false">IF($H2468="","",购销流水!$E621)</f>
        <v/>
      </c>
      <c r="L2468" s="66" t="str">
        <f aca="false">IF(购销流水!$D621="","",IFERROR(INDEX(记账规则!$A$6:$N$9,MATCH(购销流水!$D621,记账规则!$A$6:$A$9,0),9),""))</f>
        <v/>
      </c>
      <c r="M2468" s="66" t="str">
        <f aca="false">IF($L2468="","",IFERROR(INDEX(记账规则!$A$6:$N$9,MATCH(购销流水!$D621,记账规则!$A$6:$A$9,0),10),""))</f>
        <v/>
      </c>
      <c r="N2468" s="66" t="str">
        <f aca="false">IF($L2468="","",IFERROR(INDEX(记账规则!$A$6:$N$9,MATCH(购销流水!$D621,记账规则!$A$6:$A$9,0),11),""))</f>
        <v/>
      </c>
      <c r="O2468" s="67" t="n">
        <f aca="false">IF($H2468="",0,ROUND(IF($N2468="成本金额",N(购销流水!$W621),IF($N2468="金额",N(购销流水!$Q621),0)),2))</f>
        <v>0</v>
      </c>
      <c r="P2468" s="64" t="str">
        <f aca="false">IF(AND($H2468&lt;&gt;"",ROUND($O2468,2)&lt;&gt;0),"有","")</f>
        <v/>
      </c>
    </row>
    <row r="2469" customFormat="false" ht="15" hidden="true" customHeight="false" outlineLevel="0" collapsed="false">
      <c r="A2469" s="53" t="str">
        <f aca="false">IF($H2469="","",ROW()-5)</f>
        <v/>
      </c>
      <c r="B2469" s="64" t="s">
        <v>36</v>
      </c>
      <c r="C2469" s="53" t="n">
        <v>621</v>
      </c>
      <c r="D2469" s="53" t="n">
        <v>4</v>
      </c>
      <c r="E2469" s="65" t="str">
        <f aca="false">IF($H2469="","",购销流水!$B621)</f>
        <v/>
      </c>
      <c r="F2469" s="55" t="str">
        <f aca="false">IF($H2469="","",购销流水!$C621)</f>
        <v/>
      </c>
      <c r="G2469" s="48" t="str">
        <f aca="false">IF($H2469="","",购销流水!$N621)</f>
        <v/>
      </c>
      <c r="H2469" s="10" t="str">
        <f aca="false">IF($L2469="","",IF($L2469="@成本",购销流水!$U621,IF($L2469="@收入",购销流水!$T621,IF($L2469="@存货",购销流水!$S621,IF($L2469="@结算",购销流水!$R621,$L2469)))))</f>
        <v/>
      </c>
      <c r="I2469" s="42" t="n">
        <f aca="false">IF($M2469="借",$O2469,0)</f>
        <v>0</v>
      </c>
      <c r="J2469" s="42" t="n">
        <f aca="false">IF($M2469="贷",$O2469,0)</f>
        <v>0</v>
      </c>
      <c r="K2469" s="48" t="str">
        <f aca="false">IF($H2469="","",购销流水!$E621)</f>
        <v/>
      </c>
      <c r="L2469" s="66" t="str">
        <f aca="false">IF(购销流水!$D621="","",IFERROR(INDEX(记账规则!$A$6:$N$9,MATCH(购销流水!$D621,记账规则!$A$6:$A$9,0),12),""))</f>
        <v/>
      </c>
      <c r="M2469" s="66" t="str">
        <f aca="false">IF($L2469="","",IFERROR(INDEX(记账规则!$A$6:$N$9,MATCH(购销流水!$D621,记账规则!$A$6:$A$9,0),13),""))</f>
        <v/>
      </c>
      <c r="N2469" s="66" t="str">
        <f aca="false">IF($L2469="","",IFERROR(INDEX(记账规则!$A$6:$N$9,MATCH(购销流水!$D621,记账规则!$A$6:$A$9,0),14),""))</f>
        <v/>
      </c>
      <c r="O2469" s="67" t="n">
        <f aca="false">IF($H2469="",0,ROUND(IF($N2469="成本金额",N(购销流水!$W621),IF($N2469="金额",N(购销流水!$Q621),0)),2))</f>
        <v>0</v>
      </c>
      <c r="P2469" s="64" t="str">
        <f aca="false">IF(AND($H2469&lt;&gt;"",ROUND($O2469,2)&lt;&gt;0),"有","")</f>
        <v/>
      </c>
    </row>
    <row r="2470" customFormat="false" ht="15" hidden="true" customHeight="false" outlineLevel="0" collapsed="false">
      <c r="A2470" s="53" t="str">
        <f aca="false">IF($H2470="","",ROW()-5)</f>
        <v/>
      </c>
      <c r="B2470" s="64" t="s">
        <v>36</v>
      </c>
      <c r="C2470" s="53" t="n">
        <v>622</v>
      </c>
      <c r="D2470" s="53" t="n">
        <v>1</v>
      </c>
      <c r="E2470" s="65" t="str">
        <f aca="false">IF($H2470="","",购销流水!$B622)</f>
        <v/>
      </c>
      <c r="F2470" s="55" t="str">
        <f aca="false">IF($H2470="","",购销流水!$C622)</f>
        <v/>
      </c>
      <c r="G2470" s="48" t="str">
        <f aca="false">IF($H2470="","",购销流水!$N622)</f>
        <v/>
      </c>
      <c r="H2470" s="10" t="str">
        <f aca="false">IF($L2470="","",IF($L2470="@成本",购销流水!$U622,IF($L2470="@收入",购销流水!$T622,IF($L2470="@存货",购销流水!$S622,IF($L2470="@结算",购销流水!$R622,$L2470)))))</f>
        <v/>
      </c>
      <c r="I2470" s="42" t="n">
        <f aca="false">IF($M2470="借",$O2470,0)</f>
        <v>0</v>
      </c>
      <c r="J2470" s="42" t="n">
        <f aca="false">IF($M2470="贷",$O2470,0)</f>
        <v>0</v>
      </c>
      <c r="K2470" s="48" t="str">
        <f aca="false">IF($H2470="","",购销流水!$E622)</f>
        <v/>
      </c>
      <c r="L2470" s="66" t="str">
        <f aca="false">IF(购销流水!$D622="","",IFERROR(INDEX(记账规则!$A$6:$N$9,MATCH(购销流水!$D622,记账规则!$A$6:$A$9,0),3),""))</f>
        <v/>
      </c>
      <c r="M2470" s="66" t="str">
        <f aca="false">IF($L2470="","",IFERROR(INDEX(记账规则!$A$6:$N$9,MATCH(购销流水!$D622,记账规则!$A$6:$A$9,0),4),""))</f>
        <v/>
      </c>
      <c r="N2470" s="66" t="str">
        <f aca="false">IF($L2470="","",IFERROR(INDEX(记账规则!$A$6:$N$9,MATCH(购销流水!$D622,记账规则!$A$6:$A$9,0),5),""))</f>
        <v/>
      </c>
      <c r="O2470" s="67" t="n">
        <f aca="false">IF($H2470="",0,ROUND(IF($N2470="成本金额",N(购销流水!$W622),IF($N2470="金额",N(购销流水!$Q622),0)),2))</f>
        <v>0</v>
      </c>
      <c r="P2470" s="64" t="str">
        <f aca="false">IF(AND($H2470&lt;&gt;"",ROUND($O2470,2)&lt;&gt;0),"有","")</f>
        <v/>
      </c>
    </row>
    <row r="2471" customFormat="false" ht="15" hidden="true" customHeight="false" outlineLevel="0" collapsed="false">
      <c r="A2471" s="53" t="str">
        <f aca="false">IF($H2471="","",ROW()-5)</f>
        <v/>
      </c>
      <c r="B2471" s="64" t="s">
        <v>36</v>
      </c>
      <c r="C2471" s="53" t="n">
        <v>622</v>
      </c>
      <c r="D2471" s="53" t="n">
        <v>2</v>
      </c>
      <c r="E2471" s="65" t="str">
        <f aca="false">IF($H2471="","",购销流水!$B622)</f>
        <v/>
      </c>
      <c r="F2471" s="55" t="str">
        <f aca="false">IF($H2471="","",购销流水!$C622)</f>
        <v/>
      </c>
      <c r="G2471" s="48" t="str">
        <f aca="false">IF($H2471="","",购销流水!$N622)</f>
        <v/>
      </c>
      <c r="H2471" s="10" t="str">
        <f aca="false">IF($L2471="","",IF($L2471="@成本",购销流水!$U622,IF($L2471="@收入",购销流水!$T622,IF($L2471="@存货",购销流水!$S622,IF($L2471="@结算",购销流水!$R622,$L2471)))))</f>
        <v/>
      </c>
      <c r="I2471" s="42" t="n">
        <f aca="false">IF($M2471="借",$O2471,0)</f>
        <v>0</v>
      </c>
      <c r="J2471" s="42" t="n">
        <f aca="false">IF($M2471="贷",$O2471,0)</f>
        <v>0</v>
      </c>
      <c r="K2471" s="48" t="str">
        <f aca="false">IF($H2471="","",购销流水!$E622)</f>
        <v/>
      </c>
      <c r="L2471" s="66" t="str">
        <f aca="false">IF(购销流水!$D622="","",IFERROR(INDEX(记账规则!$A$6:$N$9,MATCH(购销流水!$D622,记账规则!$A$6:$A$9,0),6),""))</f>
        <v/>
      </c>
      <c r="M2471" s="66" t="str">
        <f aca="false">IF($L2471="","",IFERROR(INDEX(记账规则!$A$6:$N$9,MATCH(购销流水!$D622,记账规则!$A$6:$A$9,0),7),""))</f>
        <v/>
      </c>
      <c r="N2471" s="66" t="str">
        <f aca="false">IF($L2471="","",IFERROR(INDEX(记账规则!$A$6:$N$9,MATCH(购销流水!$D622,记账规则!$A$6:$A$9,0),8),""))</f>
        <v/>
      </c>
      <c r="O2471" s="67" t="n">
        <f aca="false">IF($H2471="",0,ROUND(IF($N2471="成本金额",N(购销流水!$W622),IF($N2471="金额",N(购销流水!$Q622),0)),2))</f>
        <v>0</v>
      </c>
      <c r="P2471" s="64" t="str">
        <f aca="false">IF(AND($H2471&lt;&gt;"",ROUND($O2471,2)&lt;&gt;0),"有","")</f>
        <v/>
      </c>
    </row>
    <row r="2472" customFormat="false" ht="15" hidden="true" customHeight="false" outlineLevel="0" collapsed="false">
      <c r="A2472" s="53" t="str">
        <f aca="false">IF($H2472="","",ROW()-5)</f>
        <v/>
      </c>
      <c r="B2472" s="64" t="s">
        <v>36</v>
      </c>
      <c r="C2472" s="53" t="n">
        <v>622</v>
      </c>
      <c r="D2472" s="53" t="n">
        <v>3</v>
      </c>
      <c r="E2472" s="65" t="str">
        <f aca="false">IF($H2472="","",购销流水!$B622)</f>
        <v/>
      </c>
      <c r="F2472" s="55" t="str">
        <f aca="false">IF($H2472="","",购销流水!$C622)</f>
        <v/>
      </c>
      <c r="G2472" s="48" t="str">
        <f aca="false">IF($H2472="","",购销流水!$N622)</f>
        <v/>
      </c>
      <c r="H2472" s="10" t="str">
        <f aca="false">IF($L2472="","",IF($L2472="@成本",购销流水!$U622,IF($L2472="@收入",购销流水!$T622,IF($L2472="@存货",购销流水!$S622,IF($L2472="@结算",购销流水!$R622,$L2472)))))</f>
        <v/>
      </c>
      <c r="I2472" s="42" t="n">
        <f aca="false">IF($M2472="借",$O2472,0)</f>
        <v>0</v>
      </c>
      <c r="J2472" s="42" t="n">
        <f aca="false">IF($M2472="贷",$O2472,0)</f>
        <v>0</v>
      </c>
      <c r="K2472" s="48" t="str">
        <f aca="false">IF($H2472="","",购销流水!$E622)</f>
        <v/>
      </c>
      <c r="L2472" s="66" t="str">
        <f aca="false">IF(购销流水!$D622="","",IFERROR(INDEX(记账规则!$A$6:$N$9,MATCH(购销流水!$D622,记账规则!$A$6:$A$9,0),9),""))</f>
        <v/>
      </c>
      <c r="M2472" s="66" t="str">
        <f aca="false">IF($L2472="","",IFERROR(INDEX(记账规则!$A$6:$N$9,MATCH(购销流水!$D622,记账规则!$A$6:$A$9,0),10),""))</f>
        <v/>
      </c>
      <c r="N2472" s="66" t="str">
        <f aca="false">IF($L2472="","",IFERROR(INDEX(记账规则!$A$6:$N$9,MATCH(购销流水!$D622,记账规则!$A$6:$A$9,0),11),""))</f>
        <v/>
      </c>
      <c r="O2472" s="67" t="n">
        <f aca="false">IF($H2472="",0,ROUND(IF($N2472="成本金额",N(购销流水!$W622),IF($N2472="金额",N(购销流水!$Q622),0)),2))</f>
        <v>0</v>
      </c>
      <c r="P2472" s="64" t="str">
        <f aca="false">IF(AND($H2472&lt;&gt;"",ROUND($O2472,2)&lt;&gt;0),"有","")</f>
        <v/>
      </c>
    </row>
    <row r="2473" customFormat="false" ht="15" hidden="true" customHeight="false" outlineLevel="0" collapsed="false">
      <c r="A2473" s="53" t="str">
        <f aca="false">IF($H2473="","",ROW()-5)</f>
        <v/>
      </c>
      <c r="B2473" s="64" t="s">
        <v>36</v>
      </c>
      <c r="C2473" s="53" t="n">
        <v>622</v>
      </c>
      <c r="D2473" s="53" t="n">
        <v>4</v>
      </c>
      <c r="E2473" s="65" t="str">
        <f aca="false">IF($H2473="","",购销流水!$B622)</f>
        <v/>
      </c>
      <c r="F2473" s="55" t="str">
        <f aca="false">IF($H2473="","",购销流水!$C622)</f>
        <v/>
      </c>
      <c r="G2473" s="48" t="str">
        <f aca="false">IF($H2473="","",购销流水!$N622)</f>
        <v/>
      </c>
      <c r="H2473" s="10" t="str">
        <f aca="false">IF($L2473="","",IF($L2473="@成本",购销流水!$U622,IF($L2473="@收入",购销流水!$T622,IF($L2473="@存货",购销流水!$S622,IF($L2473="@结算",购销流水!$R622,$L2473)))))</f>
        <v/>
      </c>
      <c r="I2473" s="42" t="n">
        <f aca="false">IF($M2473="借",$O2473,0)</f>
        <v>0</v>
      </c>
      <c r="J2473" s="42" t="n">
        <f aca="false">IF($M2473="贷",$O2473,0)</f>
        <v>0</v>
      </c>
      <c r="K2473" s="48" t="str">
        <f aca="false">IF($H2473="","",购销流水!$E622)</f>
        <v/>
      </c>
      <c r="L2473" s="66" t="str">
        <f aca="false">IF(购销流水!$D622="","",IFERROR(INDEX(记账规则!$A$6:$N$9,MATCH(购销流水!$D622,记账规则!$A$6:$A$9,0),12),""))</f>
        <v/>
      </c>
      <c r="M2473" s="66" t="str">
        <f aca="false">IF($L2473="","",IFERROR(INDEX(记账规则!$A$6:$N$9,MATCH(购销流水!$D622,记账规则!$A$6:$A$9,0),13),""))</f>
        <v/>
      </c>
      <c r="N2473" s="66" t="str">
        <f aca="false">IF($L2473="","",IFERROR(INDEX(记账规则!$A$6:$N$9,MATCH(购销流水!$D622,记账规则!$A$6:$A$9,0),14),""))</f>
        <v/>
      </c>
      <c r="O2473" s="67" t="n">
        <f aca="false">IF($H2473="",0,ROUND(IF($N2473="成本金额",N(购销流水!$W622),IF($N2473="金额",N(购销流水!$Q622),0)),2))</f>
        <v>0</v>
      </c>
      <c r="P2473" s="64" t="str">
        <f aca="false">IF(AND($H2473&lt;&gt;"",ROUND($O2473,2)&lt;&gt;0),"有","")</f>
        <v/>
      </c>
    </row>
    <row r="2474" customFormat="false" ht="15" hidden="true" customHeight="false" outlineLevel="0" collapsed="false">
      <c r="A2474" s="53" t="str">
        <f aca="false">IF($H2474="","",ROW()-5)</f>
        <v/>
      </c>
      <c r="B2474" s="64" t="s">
        <v>36</v>
      </c>
      <c r="C2474" s="53" t="n">
        <v>623</v>
      </c>
      <c r="D2474" s="53" t="n">
        <v>1</v>
      </c>
      <c r="E2474" s="65" t="str">
        <f aca="false">IF($H2474="","",购销流水!$B623)</f>
        <v/>
      </c>
      <c r="F2474" s="55" t="str">
        <f aca="false">IF($H2474="","",购销流水!$C623)</f>
        <v/>
      </c>
      <c r="G2474" s="48" t="str">
        <f aca="false">IF($H2474="","",购销流水!$N623)</f>
        <v/>
      </c>
      <c r="H2474" s="10" t="str">
        <f aca="false">IF($L2474="","",IF($L2474="@成本",购销流水!$U623,IF($L2474="@收入",购销流水!$T623,IF($L2474="@存货",购销流水!$S623,IF($L2474="@结算",购销流水!$R623,$L2474)))))</f>
        <v/>
      </c>
      <c r="I2474" s="42" t="n">
        <f aca="false">IF($M2474="借",$O2474,0)</f>
        <v>0</v>
      </c>
      <c r="J2474" s="42" t="n">
        <f aca="false">IF($M2474="贷",$O2474,0)</f>
        <v>0</v>
      </c>
      <c r="K2474" s="48" t="str">
        <f aca="false">IF($H2474="","",购销流水!$E623)</f>
        <v/>
      </c>
      <c r="L2474" s="66" t="str">
        <f aca="false">IF(购销流水!$D623="","",IFERROR(INDEX(记账规则!$A$6:$N$9,MATCH(购销流水!$D623,记账规则!$A$6:$A$9,0),3),""))</f>
        <v/>
      </c>
      <c r="M2474" s="66" t="str">
        <f aca="false">IF($L2474="","",IFERROR(INDEX(记账规则!$A$6:$N$9,MATCH(购销流水!$D623,记账规则!$A$6:$A$9,0),4),""))</f>
        <v/>
      </c>
      <c r="N2474" s="66" t="str">
        <f aca="false">IF($L2474="","",IFERROR(INDEX(记账规则!$A$6:$N$9,MATCH(购销流水!$D623,记账规则!$A$6:$A$9,0),5),""))</f>
        <v/>
      </c>
      <c r="O2474" s="67" t="n">
        <f aca="false">IF($H2474="",0,ROUND(IF($N2474="成本金额",N(购销流水!$W623),IF($N2474="金额",N(购销流水!$Q623),0)),2))</f>
        <v>0</v>
      </c>
      <c r="P2474" s="64" t="str">
        <f aca="false">IF(AND($H2474&lt;&gt;"",ROUND($O2474,2)&lt;&gt;0),"有","")</f>
        <v/>
      </c>
    </row>
    <row r="2475" customFormat="false" ht="15" hidden="true" customHeight="false" outlineLevel="0" collapsed="false">
      <c r="A2475" s="53" t="str">
        <f aca="false">IF($H2475="","",ROW()-5)</f>
        <v/>
      </c>
      <c r="B2475" s="64" t="s">
        <v>36</v>
      </c>
      <c r="C2475" s="53" t="n">
        <v>623</v>
      </c>
      <c r="D2475" s="53" t="n">
        <v>2</v>
      </c>
      <c r="E2475" s="65" t="str">
        <f aca="false">IF($H2475="","",购销流水!$B623)</f>
        <v/>
      </c>
      <c r="F2475" s="55" t="str">
        <f aca="false">IF($H2475="","",购销流水!$C623)</f>
        <v/>
      </c>
      <c r="G2475" s="48" t="str">
        <f aca="false">IF($H2475="","",购销流水!$N623)</f>
        <v/>
      </c>
      <c r="H2475" s="10" t="str">
        <f aca="false">IF($L2475="","",IF($L2475="@成本",购销流水!$U623,IF($L2475="@收入",购销流水!$T623,IF($L2475="@存货",购销流水!$S623,IF($L2475="@结算",购销流水!$R623,$L2475)))))</f>
        <v/>
      </c>
      <c r="I2475" s="42" t="n">
        <f aca="false">IF($M2475="借",$O2475,0)</f>
        <v>0</v>
      </c>
      <c r="J2475" s="42" t="n">
        <f aca="false">IF($M2475="贷",$O2475,0)</f>
        <v>0</v>
      </c>
      <c r="K2475" s="48" t="str">
        <f aca="false">IF($H2475="","",购销流水!$E623)</f>
        <v/>
      </c>
      <c r="L2475" s="66" t="str">
        <f aca="false">IF(购销流水!$D623="","",IFERROR(INDEX(记账规则!$A$6:$N$9,MATCH(购销流水!$D623,记账规则!$A$6:$A$9,0),6),""))</f>
        <v/>
      </c>
      <c r="M2475" s="66" t="str">
        <f aca="false">IF($L2475="","",IFERROR(INDEX(记账规则!$A$6:$N$9,MATCH(购销流水!$D623,记账规则!$A$6:$A$9,0),7),""))</f>
        <v/>
      </c>
      <c r="N2475" s="66" t="str">
        <f aca="false">IF($L2475="","",IFERROR(INDEX(记账规则!$A$6:$N$9,MATCH(购销流水!$D623,记账规则!$A$6:$A$9,0),8),""))</f>
        <v/>
      </c>
      <c r="O2475" s="67" t="n">
        <f aca="false">IF($H2475="",0,ROUND(IF($N2475="成本金额",N(购销流水!$W623),IF($N2475="金额",N(购销流水!$Q623),0)),2))</f>
        <v>0</v>
      </c>
      <c r="P2475" s="64" t="str">
        <f aca="false">IF(AND($H2475&lt;&gt;"",ROUND($O2475,2)&lt;&gt;0),"有","")</f>
        <v/>
      </c>
    </row>
    <row r="2476" customFormat="false" ht="15" hidden="true" customHeight="false" outlineLevel="0" collapsed="false">
      <c r="A2476" s="53" t="str">
        <f aca="false">IF($H2476="","",ROW()-5)</f>
        <v/>
      </c>
      <c r="B2476" s="64" t="s">
        <v>36</v>
      </c>
      <c r="C2476" s="53" t="n">
        <v>623</v>
      </c>
      <c r="D2476" s="53" t="n">
        <v>3</v>
      </c>
      <c r="E2476" s="65" t="str">
        <f aca="false">IF($H2476="","",购销流水!$B623)</f>
        <v/>
      </c>
      <c r="F2476" s="55" t="str">
        <f aca="false">IF($H2476="","",购销流水!$C623)</f>
        <v/>
      </c>
      <c r="G2476" s="48" t="str">
        <f aca="false">IF($H2476="","",购销流水!$N623)</f>
        <v/>
      </c>
      <c r="H2476" s="10" t="str">
        <f aca="false">IF($L2476="","",IF($L2476="@成本",购销流水!$U623,IF($L2476="@收入",购销流水!$T623,IF($L2476="@存货",购销流水!$S623,IF($L2476="@结算",购销流水!$R623,$L2476)))))</f>
        <v/>
      </c>
      <c r="I2476" s="42" t="n">
        <f aca="false">IF($M2476="借",$O2476,0)</f>
        <v>0</v>
      </c>
      <c r="J2476" s="42" t="n">
        <f aca="false">IF($M2476="贷",$O2476,0)</f>
        <v>0</v>
      </c>
      <c r="K2476" s="48" t="str">
        <f aca="false">IF($H2476="","",购销流水!$E623)</f>
        <v/>
      </c>
      <c r="L2476" s="66" t="str">
        <f aca="false">IF(购销流水!$D623="","",IFERROR(INDEX(记账规则!$A$6:$N$9,MATCH(购销流水!$D623,记账规则!$A$6:$A$9,0),9),""))</f>
        <v/>
      </c>
      <c r="M2476" s="66" t="str">
        <f aca="false">IF($L2476="","",IFERROR(INDEX(记账规则!$A$6:$N$9,MATCH(购销流水!$D623,记账规则!$A$6:$A$9,0),10),""))</f>
        <v/>
      </c>
      <c r="N2476" s="66" t="str">
        <f aca="false">IF($L2476="","",IFERROR(INDEX(记账规则!$A$6:$N$9,MATCH(购销流水!$D623,记账规则!$A$6:$A$9,0),11),""))</f>
        <v/>
      </c>
      <c r="O2476" s="67" t="n">
        <f aca="false">IF($H2476="",0,ROUND(IF($N2476="成本金额",N(购销流水!$W623),IF($N2476="金额",N(购销流水!$Q623),0)),2))</f>
        <v>0</v>
      </c>
      <c r="P2476" s="64" t="str">
        <f aca="false">IF(AND($H2476&lt;&gt;"",ROUND($O2476,2)&lt;&gt;0),"有","")</f>
        <v/>
      </c>
    </row>
    <row r="2477" customFormat="false" ht="15" hidden="true" customHeight="false" outlineLevel="0" collapsed="false">
      <c r="A2477" s="53" t="str">
        <f aca="false">IF($H2477="","",ROW()-5)</f>
        <v/>
      </c>
      <c r="B2477" s="64" t="s">
        <v>36</v>
      </c>
      <c r="C2477" s="53" t="n">
        <v>623</v>
      </c>
      <c r="D2477" s="53" t="n">
        <v>4</v>
      </c>
      <c r="E2477" s="65" t="str">
        <f aca="false">IF($H2477="","",购销流水!$B623)</f>
        <v/>
      </c>
      <c r="F2477" s="55" t="str">
        <f aca="false">IF($H2477="","",购销流水!$C623)</f>
        <v/>
      </c>
      <c r="G2477" s="48" t="str">
        <f aca="false">IF($H2477="","",购销流水!$N623)</f>
        <v/>
      </c>
      <c r="H2477" s="10" t="str">
        <f aca="false">IF($L2477="","",IF($L2477="@成本",购销流水!$U623,IF($L2477="@收入",购销流水!$T623,IF($L2477="@存货",购销流水!$S623,IF($L2477="@结算",购销流水!$R623,$L2477)))))</f>
        <v/>
      </c>
      <c r="I2477" s="42" t="n">
        <f aca="false">IF($M2477="借",$O2477,0)</f>
        <v>0</v>
      </c>
      <c r="J2477" s="42" t="n">
        <f aca="false">IF($M2477="贷",$O2477,0)</f>
        <v>0</v>
      </c>
      <c r="K2477" s="48" t="str">
        <f aca="false">IF($H2477="","",购销流水!$E623)</f>
        <v/>
      </c>
      <c r="L2477" s="66" t="str">
        <f aca="false">IF(购销流水!$D623="","",IFERROR(INDEX(记账规则!$A$6:$N$9,MATCH(购销流水!$D623,记账规则!$A$6:$A$9,0),12),""))</f>
        <v/>
      </c>
      <c r="M2477" s="66" t="str">
        <f aca="false">IF($L2477="","",IFERROR(INDEX(记账规则!$A$6:$N$9,MATCH(购销流水!$D623,记账规则!$A$6:$A$9,0),13),""))</f>
        <v/>
      </c>
      <c r="N2477" s="66" t="str">
        <f aca="false">IF($L2477="","",IFERROR(INDEX(记账规则!$A$6:$N$9,MATCH(购销流水!$D623,记账规则!$A$6:$A$9,0),14),""))</f>
        <v/>
      </c>
      <c r="O2477" s="67" t="n">
        <f aca="false">IF($H2477="",0,ROUND(IF($N2477="成本金额",N(购销流水!$W623),IF($N2477="金额",N(购销流水!$Q623),0)),2))</f>
        <v>0</v>
      </c>
      <c r="P2477" s="64" t="str">
        <f aca="false">IF(AND($H2477&lt;&gt;"",ROUND($O2477,2)&lt;&gt;0),"有","")</f>
        <v/>
      </c>
    </row>
    <row r="2478" customFormat="false" ht="15" hidden="true" customHeight="false" outlineLevel="0" collapsed="false">
      <c r="A2478" s="53" t="str">
        <f aca="false">IF($H2478="","",ROW()-5)</f>
        <v/>
      </c>
      <c r="B2478" s="64" t="s">
        <v>36</v>
      </c>
      <c r="C2478" s="53" t="n">
        <v>624</v>
      </c>
      <c r="D2478" s="53" t="n">
        <v>1</v>
      </c>
      <c r="E2478" s="65" t="str">
        <f aca="false">IF($H2478="","",购销流水!$B624)</f>
        <v/>
      </c>
      <c r="F2478" s="55" t="str">
        <f aca="false">IF($H2478="","",购销流水!$C624)</f>
        <v/>
      </c>
      <c r="G2478" s="48" t="str">
        <f aca="false">IF($H2478="","",购销流水!$N624)</f>
        <v/>
      </c>
      <c r="H2478" s="10" t="str">
        <f aca="false">IF($L2478="","",IF($L2478="@成本",购销流水!$U624,IF($L2478="@收入",购销流水!$T624,IF($L2478="@存货",购销流水!$S624,IF($L2478="@结算",购销流水!$R624,$L2478)))))</f>
        <v/>
      </c>
      <c r="I2478" s="42" t="n">
        <f aca="false">IF($M2478="借",$O2478,0)</f>
        <v>0</v>
      </c>
      <c r="J2478" s="42" t="n">
        <f aca="false">IF($M2478="贷",$O2478,0)</f>
        <v>0</v>
      </c>
      <c r="K2478" s="48" t="str">
        <f aca="false">IF($H2478="","",购销流水!$E624)</f>
        <v/>
      </c>
      <c r="L2478" s="66" t="str">
        <f aca="false">IF(购销流水!$D624="","",IFERROR(INDEX(记账规则!$A$6:$N$9,MATCH(购销流水!$D624,记账规则!$A$6:$A$9,0),3),""))</f>
        <v/>
      </c>
      <c r="M2478" s="66" t="str">
        <f aca="false">IF($L2478="","",IFERROR(INDEX(记账规则!$A$6:$N$9,MATCH(购销流水!$D624,记账规则!$A$6:$A$9,0),4),""))</f>
        <v/>
      </c>
      <c r="N2478" s="66" t="str">
        <f aca="false">IF($L2478="","",IFERROR(INDEX(记账规则!$A$6:$N$9,MATCH(购销流水!$D624,记账规则!$A$6:$A$9,0),5),""))</f>
        <v/>
      </c>
      <c r="O2478" s="67" t="n">
        <f aca="false">IF($H2478="",0,ROUND(IF($N2478="成本金额",N(购销流水!$W624),IF($N2478="金额",N(购销流水!$Q624),0)),2))</f>
        <v>0</v>
      </c>
      <c r="P2478" s="64" t="str">
        <f aca="false">IF(AND($H2478&lt;&gt;"",ROUND($O2478,2)&lt;&gt;0),"有","")</f>
        <v/>
      </c>
    </row>
    <row r="2479" customFormat="false" ht="15" hidden="true" customHeight="false" outlineLevel="0" collapsed="false">
      <c r="A2479" s="53" t="str">
        <f aca="false">IF($H2479="","",ROW()-5)</f>
        <v/>
      </c>
      <c r="B2479" s="64" t="s">
        <v>36</v>
      </c>
      <c r="C2479" s="53" t="n">
        <v>624</v>
      </c>
      <c r="D2479" s="53" t="n">
        <v>2</v>
      </c>
      <c r="E2479" s="65" t="str">
        <f aca="false">IF($H2479="","",购销流水!$B624)</f>
        <v/>
      </c>
      <c r="F2479" s="55" t="str">
        <f aca="false">IF($H2479="","",购销流水!$C624)</f>
        <v/>
      </c>
      <c r="G2479" s="48" t="str">
        <f aca="false">IF($H2479="","",购销流水!$N624)</f>
        <v/>
      </c>
      <c r="H2479" s="10" t="str">
        <f aca="false">IF($L2479="","",IF($L2479="@成本",购销流水!$U624,IF($L2479="@收入",购销流水!$T624,IF($L2479="@存货",购销流水!$S624,IF($L2479="@结算",购销流水!$R624,$L2479)))))</f>
        <v/>
      </c>
      <c r="I2479" s="42" t="n">
        <f aca="false">IF($M2479="借",$O2479,0)</f>
        <v>0</v>
      </c>
      <c r="J2479" s="42" t="n">
        <f aca="false">IF($M2479="贷",$O2479,0)</f>
        <v>0</v>
      </c>
      <c r="K2479" s="48" t="str">
        <f aca="false">IF($H2479="","",购销流水!$E624)</f>
        <v/>
      </c>
      <c r="L2479" s="66" t="str">
        <f aca="false">IF(购销流水!$D624="","",IFERROR(INDEX(记账规则!$A$6:$N$9,MATCH(购销流水!$D624,记账规则!$A$6:$A$9,0),6),""))</f>
        <v/>
      </c>
      <c r="M2479" s="66" t="str">
        <f aca="false">IF($L2479="","",IFERROR(INDEX(记账规则!$A$6:$N$9,MATCH(购销流水!$D624,记账规则!$A$6:$A$9,0),7),""))</f>
        <v/>
      </c>
      <c r="N2479" s="66" t="str">
        <f aca="false">IF($L2479="","",IFERROR(INDEX(记账规则!$A$6:$N$9,MATCH(购销流水!$D624,记账规则!$A$6:$A$9,0),8),""))</f>
        <v/>
      </c>
      <c r="O2479" s="67" t="n">
        <f aca="false">IF($H2479="",0,ROUND(IF($N2479="成本金额",N(购销流水!$W624),IF($N2479="金额",N(购销流水!$Q624),0)),2))</f>
        <v>0</v>
      </c>
      <c r="P2479" s="64" t="str">
        <f aca="false">IF(AND($H2479&lt;&gt;"",ROUND($O2479,2)&lt;&gt;0),"有","")</f>
        <v/>
      </c>
    </row>
    <row r="2480" customFormat="false" ht="15" hidden="true" customHeight="false" outlineLevel="0" collapsed="false">
      <c r="A2480" s="53" t="str">
        <f aca="false">IF($H2480="","",ROW()-5)</f>
        <v/>
      </c>
      <c r="B2480" s="64" t="s">
        <v>36</v>
      </c>
      <c r="C2480" s="53" t="n">
        <v>624</v>
      </c>
      <c r="D2480" s="53" t="n">
        <v>3</v>
      </c>
      <c r="E2480" s="65" t="str">
        <f aca="false">IF($H2480="","",购销流水!$B624)</f>
        <v/>
      </c>
      <c r="F2480" s="55" t="str">
        <f aca="false">IF($H2480="","",购销流水!$C624)</f>
        <v/>
      </c>
      <c r="G2480" s="48" t="str">
        <f aca="false">IF($H2480="","",购销流水!$N624)</f>
        <v/>
      </c>
      <c r="H2480" s="10" t="str">
        <f aca="false">IF($L2480="","",IF($L2480="@成本",购销流水!$U624,IF($L2480="@收入",购销流水!$T624,IF($L2480="@存货",购销流水!$S624,IF($L2480="@结算",购销流水!$R624,$L2480)))))</f>
        <v/>
      </c>
      <c r="I2480" s="42" t="n">
        <f aca="false">IF($M2480="借",$O2480,0)</f>
        <v>0</v>
      </c>
      <c r="J2480" s="42" t="n">
        <f aca="false">IF($M2480="贷",$O2480,0)</f>
        <v>0</v>
      </c>
      <c r="K2480" s="48" t="str">
        <f aca="false">IF($H2480="","",购销流水!$E624)</f>
        <v/>
      </c>
      <c r="L2480" s="66" t="str">
        <f aca="false">IF(购销流水!$D624="","",IFERROR(INDEX(记账规则!$A$6:$N$9,MATCH(购销流水!$D624,记账规则!$A$6:$A$9,0),9),""))</f>
        <v/>
      </c>
      <c r="M2480" s="66" t="str">
        <f aca="false">IF($L2480="","",IFERROR(INDEX(记账规则!$A$6:$N$9,MATCH(购销流水!$D624,记账规则!$A$6:$A$9,0),10),""))</f>
        <v/>
      </c>
      <c r="N2480" s="66" t="str">
        <f aca="false">IF($L2480="","",IFERROR(INDEX(记账规则!$A$6:$N$9,MATCH(购销流水!$D624,记账规则!$A$6:$A$9,0),11),""))</f>
        <v/>
      </c>
      <c r="O2480" s="67" t="n">
        <f aca="false">IF($H2480="",0,ROUND(IF($N2480="成本金额",N(购销流水!$W624),IF($N2480="金额",N(购销流水!$Q624),0)),2))</f>
        <v>0</v>
      </c>
      <c r="P2480" s="64" t="str">
        <f aca="false">IF(AND($H2480&lt;&gt;"",ROUND($O2480,2)&lt;&gt;0),"有","")</f>
        <v/>
      </c>
    </row>
    <row r="2481" customFormat="false" ht="15" hidden="true" customHeight="false" outlineLevel="0" collapsed="false">
      <c r="A2481" s="53" t="str">
        <f aca="false">IF($H2481="","",ROW()-5)</f>
        <v/>
      </c>
      <c r="B2481" s="64" t="s">
        <v>36</v>
      </c>
      <c r="C2481" s="53" t="n">
        <v>624</v>
      </c>
      <c r="D2481" s="53" t="n">
        <v>4</v>
      </c>
      <c r="E2481" s="65" t="str">
        <f aca="false">IF($H2481="","",购销流水!$B624)</f>
        <v/>
      </c>
      <c r="F2481" s="55" t="str">
        <f aca="false">IF($H2481="","",购销流水!$C624)</f>
        <v/>
      </c>
      <c r="G2481" s="48" t="str">
        <f aca="false">IF($H2481="","",购销流水!$N624)</f>
        <v/>
      </c>
      <c r="H2481" s="10" t="str">
        <f aca="false">IF($L2481="","",IF($L2481="@成本",购销流水!$U624,IF($L2481="@收入",购销流水!$T624,IF($L2481="@存货",购销流水!$S624,IF($L2481="@结算",购销流水!$R624,$L2481)))))</f>
        <v/>
      </c>
      <c r="I2481" s="42" t="n">
        <f aca="false">IF($M2481="借",$O2481,0)</f>
        <v>0</v>
      </c>
      <c r="J2481" s="42" t="n">
        <f aca="false">IF($M2481="贷",$O2481,0)</f>
        <v>0</v>
      </c>
      <c r="K2481" s="48" t="str">
        <f aca="false">IF($H2481="","",购销流水!$E624)</f>
        <v/>
      </c>
      <c r="L2481" s="66" t="str">
        <f aca="false">IF(购销流水!$D624="","",IFERROR(INDEX(记账规则!$A$6:$N$9,MATCH(购销流水!$D624,记账规则!$A$6:$A$9,0),12),""))</f>
        <v/>
      </c>
      <c r="M2481" s="66" t="str">
        <f aca="false">IF($L2481="","",IFERROR(INDEX(记账规则!$A$6:$N$9,MATCH(购销流水!$D624,记账规则!$A$6:$A$9,0),13),""))</f>
        <v/>
      </c>
      <c r="N2481" s="66" t="str">
        <f aca="false">IF($L2481="","",IFERROR(INDEX(记账规则!$A$6:$N$9,MATCH(购销流水!$D624,记账规则!$A$6:$A$9,0),14),""))</f>
        <v/>
      </c>
      <c r="O2481" s="67" t="n">
        <f aca="false">IF($H2481="",0,ROUND(IF($N2481="成本金额",N(购销流水!$W624),IF($N2481="金额",N(购销流水!$Q624),0)),2))</f>
        <v>0</v>
      </c>
      <c r="P2481" s="64" t="str">
        <f aca="false">IF(AND($H2481&lt;&gt;"",ROUND($O2481,2)&lt;&gt;0),"有","")</f>
        <v/>
      </c>
    </row>
    <row r="2482" customFormat="false" ht="15" hidden="true" customHeight="false" outlineLevel="0" collapsed="false">
      <c r="A2482" s="53" t="str">
        <f aca="false">IF($H2482="","",ROW()-5)</f>
        <v/>
      </c>
      <c r="B2482" s="64" t="s">
        <v>36</v>
      </c>
      <c r="C2482" s="53" t="n">
        <v>625</v>
      </c>
      <c r="D2482" s="53" t="n">
        <v>1</v>
      </c>
      <c r="E2482" s="65" t="str">
        <f aca="false">IF($H2482="","",购销流水!$B625)</f>
        <v/>
      </c>
      <c r="F2482" s="55" t="str">
        <f aca="false">IF($H2482="","",购销流水!$C625)</f>
        <v/>
      </c>
      <c r="G2482" s="48" t="str">
        <f aca="false">IF($H2482="","",购销流水!$N625)</f>
        <v/>
      </c>
      <c r="H2482" s="10" t="str">
        <f aca="false">IF($L2482="","",IF($L2482="@成本",购销流水!$U625,IF($L2482="@收入",购销流水!$T625,IF($L2482="@存货",购销流水!$S625,IF($L2482="@结算",购销流水!$R625,$L2482)))))</f>
        <v/>
      </c>
      <c r="I2482" s="42" t="n">
        <f aca="false">IF($M2482="借",$O2482,0)</f>
        <v>0</v>
      </c>
      <c r="J2482" s="42" t="n">
        <f aca="false">IF($M2482="贷",$O2482,0)</f>
        <v>0</v>
      </c>
      <c r="K2482" s="48" t="str">
        <f aca="false">IF($H2482="","",购销流水!$E625)</f>
        <v/>
      </c>
      <c r="L2482" s="66" t="str">
        <f aca="false">IF(购销流水!$D625="","",IFERROR(INDEX(记账规则!$A$6:$N$9,MATCH(购销流水!$D625,记账规则!$A$6:$A$9,0),3),""))</f>
        <v/>
      </c>
      <c r="M2482" s="66" t="str">
        <f aca="false">IF($L2482="","",IFERROR(INDEX(记账规则!$A$6:$N$9,MATCH(购销流水!$D625,记账规则!$A$6:$A$9,0),4),""))</f>
        <v/>
      </c>
      <c r="N2482" s="66" t="str">
        <f aca="false">IF($L2482="","",IFERROR(INDEX(记账规则!$A$6:$N$9,MATCH(购销流水!$D625,记账规则!$A$6:$A$9,0),5),""))</f>
        <v/>
      </c>
      <c r="O2482" s="67" t="n">
        <f aca="false">IF($H2482="",0,ROUND(IF($N2482="成本金额",N(购销流水!$W625),IF($N2482="金额",N(购销流水!$Q625),0)),2))</f>
        <v>0</v>
      </c>
      <c r="P2482" s="64" t="str">
        <f aca="false">IF(AND($H2482&lt;&gt;"",ROUND($O2482,2)&lt;&gt;0),"有","")</f>
        <v/>
      </c>
    </row>
    <row r="2483" customFormat="false" ht="15" hidden="true" customHeight="false" outlineLevel="0" collapsed="false">
      <c r="A2483" s="53" t="str">
        <f aca="false">IF($H2483="","",ROW()-5)</f>
        <v/>
      </c>
      <c r="B2483" s="64" t="s">
        <v>36</v>
      </c>
      <c r="C2483" s="53" t="n">
        <v>625</v>
      </c>
      <c r="D2483" s="53" t="n">
        <v>2</v>
      </c>
      <c r="E2483" s="65" t="str">
        <f aca="false">IF($H2483="","",购销流水!$B625)</f>
        <v/>
      </c>
      <c r="F2483" s="55" t="str">
        <f aca="false">IF($H2483="","",购销流水!$C625)</f>
        <v/>
      </c>
      <c r="G2483" s="48" t="str">
        <f aca="false">IF($H2483="","",购销流水!$N625)</f>
        <v/>
      </c>
      <c r="H2483" s="10" t="str">
        <f aca="false">IF($L2483="","",IF($L2483="@成本",购销流水!$U625,IF($L2483="@收入",购销流水!$T625,IF($L2483="@存货",购销流水!$S625,IF($L2483="@结算",购销流水!$R625,$L2483)))))</f>
        <v/>
      </c>
      <c r="I2483" s="42" t="n">
        <f aca="false">IF($M2483="借",$O2483,0)</f>
        <v>0</v>
      </c>
      <c r="J2483" s="42" t="n">
        <f aca="false">IF($M2483="贷",$O2483,0)</f>
        <v>0</v>
      </c>
      <c r="K2483" s="48" t="str">
        <f aca="false">IF($H2483="","",购销流水!$E625)</f>
        <v/>
      </c>
      <c r="L2483" s="66" t="str">
        <f aca="false">IF(购销流水!$D625="","",IFERROR(INDEX(记账规则!$A$6:$N$9,MATCH(购销流水!$D625,记账规则!$A$6:$A$9,0),6),""))</f>
        <v/>
      </c>
      <c r="M2483" s="66" t="str">
        <f aca="false">IF($L2483="","",IFERROR(INDEX(记账规则!$A$6:$N$9,MATCH(购销流水!$D625,记账规则!$A$6:$A$9,0),7),""))</f>
        <v/>
      </c>
      <c r="N2483" s="66" t="str">
        <f aca="false">IF($L2483="","",IFERROR(INDEX(记账规则!$A$6:$N$9,MATCH(购销流水!$D625,记账规则!$A$6:$A$9,0),8),""))</f>
        <v/>
      </c>
      <c r="O2483" s="67" t="n">
        <f aca="false">IF($H2483="",0,ROUND(IF($N2483="成本金额",N(购销流水!$W625),IF($N2483="金额",N(购销流水!$Q625),0)),2))</f>
        <v>0</v>
      </c>
      <c r="P2483" s="64" t="str">
        <f aca="false">IF(AND($H2483&lt;&gt;"",ROUND($O2483,2)&lt;&gt;0),"有","")</f>
        <v/>
      </c>
    </row>
    <row r="2484" customFormat="false" ht="15" hidden="true" customHeight="false" outlineLevel="0" collapsed="false">
      <c r="A2484" s="53" t="str">
        <f aca="false">IF($H2484="","",ROW()-5)</f>
        <v/>
      </c>
      <c r="B2484" s="64" t="s">
        <v>36</v>
      </c>
      <c r="C2484" s="53" t="n">
        <v>625</v>
      </c>
      <c r="D2484" s="53" t="n">
        <v>3</v>
      </c>
      <c r="E2484" s="65" t="str">
        <f aca="false">IF($H2484="","",购销流水!$B625)</f>
        <v/>
      </c>
      <c r="F2484" s="55" t="str">
        <f aca="false">IF($H2484="","",购销流水!$C625)</f>
        <v/>
      </c>
      <c r="G2484" s="48" t="str">
        <f aca="false">IF($H2484="","",购销流水!$N625)</f>
        <v/>
      </c>
      <c r="H2484" s="10" t="str">
        <f aca="false">IF($L2484="","",IF($L2484="@成本",购销流水!$U625,IF($L2484="@收入",购销流水!$T625,IF($L2484="@存货",购销流水!$S625,IF($L2484="@结算",购销流水!$R625,$L2484)))))</f>
        <v/>
      </c>
      <c r="I2484" s="42" t="n">
        <f aca="false">IF($M2484="借",$O2484,0)</f>
        <v>0</v>
      </c>
      <c r="J2484" s="42" t="n">
        <f aca="false">IF($M2484="贷",$O2484,0)</f>
        <v>0</v>
      </c>
      <c r="K2484" s="48" t="str">
        <f aca="false">IF($H2484="","",购销流水!$E625)</f>
        <v/>
      </c>
      <c r="L2484" s="66" t="str">
        <f aca="false">IF(购销流水!$D625="","",IFERROR(INDEX(记账规则!$A$6:$N$9,MATCH(购销流水!$D625,记账规则!$A$6:$A$9,0),9),""))</f>
        <v/>
      </c>
      <c r="M2484" s="66" t="str">
        <f aca="false">IF($L2484="","",IFERROR(INDEX(记账规则!$A$6:$N$9,MATCH(购销流水!$D625,记账规则!$A$6:$A$9,0),10),""))</f>
        <v/>
      </c>
      <c r="N2484" s="66" t="str">
        <f aca="false">IF($L2484="","",IFERROR(INDEX(记账规则!$A$6:$N$9,MATCH(购销流水!$D625,记账规则!$A$6:$A$9,0),11),""))</f>
        <v/>
      </c>
      <c r="O2484" s="67" t="n">
        <f aca="false">IF($H2484="",0,ROUND(IF($N2484="成本金额",N(购销流水!$W625),IF($N2484="金额",N(购销流水!$Q625),0)),2))</f>
        <v>0</v>
      </c>
      <c r="P2484" s="64" t="str">
        <f aca="false">IF(AND($H2484&lt;&gt;"",ROUND($O2484,2)&lt;&gt;0),"有","")</f>
        <v/>
      </c>
    </row>
    <row r="2485" customFormat="false" ht="15" hidden="true" customHeight="false" outlineLevel="0" collapsed="false">
      <c r="A2485" s="53" t="str">
        <f aca="false">IF($H2485="","",ROW()-5)</f>
        <v/>
      </c>
      <c r="B2485" s="64" t="s">
        <v>36</v>
      </c>
      <c r="C2485" s="53" t="n">
        <v>625</v>
      </c>
      <c r="D2485" s="53" t="n">
        <v>4</v>
      </c>
      <c r="E2485" s="65" t="str">
        <f aca="false">IF($H2485="","",购销流水!$B625)</f>
        <v/>
      </c>
      <c r="F2485" s="55" t="str">
        <f aca="false">IF($H2485="","",购销流水!$C625)</f>
        <v/>
      </c>
      <c r="G2485" s="48" t="str">
        <f aca="false">IF($H2485="","",购销流水!$N625)</f>
        <v/>
      </c>
      <c r="H2485" s="10" t="str">
        <f aca="false">IF($L2485="","",IF($L2485="@成本",购销流水!$U625,IF($L2485="@收入",购销流水!$T625,IF($L2485="@存货",购销流水!$S625,IF($L2485="@结算",购销流水!$R625,$L2485)))))</f>
        <v/>
      </c>
      <c r="I2485" s="42" t="n">
        <f aca="false">IF($M2485="借",$O2485,0)</f>
        <v>0</v>
      </c>
      <c r="J2485" s="42" t="n">
        <f aca="false">IF($M2485="贷",$O2485,0)</f>
        <v>0</v>
      </c>
      <c r="K2485" s="48" t="str">
        <f aca="false">IF($H2485="","",购销流水!$E625)</f>
        <v/>
      </c>
      <c r="L2485" s="66" t="str">
        <f aca="false">IF(购销流水!$D625="","",IFERROR(INDEX(记账规则!$A$6:$N$9,MATCH(购销流水!$D625,记账规则!$A$6:$A$9,0),12),""))</f>
        <v/>
      </c>
      <c r="M2485" s="66" t="str">
        <f aca="false">IF($L2485="","",IFERROR(INDEX(记账规则!$A$6:$N$9,MATCH(购销流水!$D625,记账规则!$A$6:$A$9,0),13),""))</f>
        <v/>
      </c>
      <c r="N2485" s="66" t="str">
        <f aca="false">IF($L2485="","",IFERROR(INDEX(记账规则!$A$6:$N$9,MATCH(购销流水!$D625,记账规则!$A$6:$A$9,0),14),""))</f>
        <v/>
      </c>
      <c r="O2485" s="67" t="n">
        <f aca="false">IF($H2485="",0,ROUND(IF($N2485="成本金额",N(购销流水!$W625),IF($N2485="金额",N(购销流水!$Q625),0)),2))</f>
        <v>0</v>
      </c>
      <c r="P2485" s="64" t="str">
        <f aca="false">IF(AND($H2485&lt;&gt;"",ROUND($O2485,2)&lt;&gt;0),"有","")</f>
        <v/>
      </c>
    </row>
    <row r="2486" customFormat="false" ht="15" hidden="true" customHeight="false" outlineLevel="0" collapsed="false">
      <c r="A2486" s="53" t="str">
        <f aca="false">IF($H2486="","",ROW()-5)</f>
        <v/>
      </c>
      <c r="B2486" s="64" t="s">
        <v>36</v>
      </c>
      <c r="C2486" s="53" t="n">
        <v>626</v>
      </c>
      <c r="D2486" s="53" t="n">
        <v>1</v>
      </c>
      <c r="E2486" s="65" t="str">
        <f aca="false">IF($H2486="","",购销流水!$B626)</f>
        <v/>
      </c>
      <c r="F2486" s="55" t="str">
        <f aca="false">IF($H2486="","",购销流水!$C626)</f>
        <v/>
      </c>
      <c r="G2486" s="48" t="str">
        <f aca="false">IF($H2486="","",购销流水!$N626)</f>
        <v/>
      </c>
      <c r="H2486" s="10" t="str">
        <f aca="false">IF($L2486="","",IF($L2486="@成本",购销流水!$U626,IF($L2486="@收入",购销流水!$T626,IF($L2486="@存货",购销流水!$S626,IF($L2486="@结算",购销流水!$R626,$L2486)))))</f>
        <v/>
      </c>
      <c r="I2486" s="42" t="n">
        <f aca="false">IF($M2486="借",$O2486,0)</f>
        <v>0</v>
      </c>
      <c r="J2486" s="42" t="n">
        <f aca="false">IF($M2486="贷",$O2486,0)</f>
        <v>0</v>
      </c>
      <c r="K2486" s="48" t="str">
        <f aca="false">IF($H2486="","",购销流水!$E626)</f>
        <v/>
      </c>
      <c r="L2486" s="66" t="str">
        <f aca="false">IF(购销流水!$D626="","",IFERROR(INDEX(记账规则!$A$6:$N$9,MATCH(购销流水!$D626,记账规则!$A$6:$A$9,0),3),""))</f>
        <v/>
      </c>
      <c r="M2486" s="66" t="str">
        <f aca="false">IF($L2486="","",IFERROR(INDEX(记账规则!$A$6:$N$9,MATCH(购销流水!$D626,记账规则!$A$6:$A$9,0),4),""))</f>
        <v/>
      </c>
      <c r="N2486" s="66" t="str">
        <f aca="false">IF($L2486="","",IFERROR(INDEX(记账规则!$A$6:$N$9,MATCH(购销流水!$D626,记账规则!$A$6:$A$9,0),5),""))</f>
        <v/>
      </c>
      <c r="O2486" s="67" t="n">
        <f aca="false">IF($H2486="",0,ROUND(IF($N2486="成本金额",N(购销流水!$W626),IF($N2486="金额",N(购销流水!$Q626),0)),2))</f>
        <v>0</v>
      </c>
      <c r="P2486" s="64" t="str">
        <f aca="false">IF(AND($H2486&lt;&gt;"",ROUND($O2486,2)&lt;&gt;0),"有","")</f>
        <v/>
      </c>
    </row>
    <row r="2487" customFormat="false" ht="15" hidden="true" customHeight="false" outlineLevel="0" collapsed="false">
      <c r="A2487" s="53" t="str">
        <f aca="false">IF($H2487="","",ROW()-5)</f>
        <v/>
      </c>
      <c r="B2487" s="64" t="s">
        <v>36</v>
      </c>
      <c r="C2487" s="53" t="n">
        <v>626</v>
      </c>
      <c r="D2487" s="53" t="n">
        <v>2</v>
      </c>
      <c r="E2487" s="65" t="str">
        <f aca="false">IF($H2487="","",购销流水!$B626)</f>
        <v/>
      </c>
      <c r="F2487" s="55" t="str">
        <f aca="false">IF($H2487="","",购销流水!$C626)</f>
        <v/>
      </c>
      <c r="G2487" s="48" t="str">
        <f aca="false">IF($H2487="","",购销流水!$N626)</f>
        <v/>
      </c>
      <c r="H2487" s="10" t="str">
        <f aca="false">IF($L2487="","",IF($L2487="@成本",购销流水!$U626,IF($L2487="@收入",购销流水!$T626,IF($L2487="@存货",购销流水!$S626,IF($L2487="@结算",购销流水!$R626,$L2487)))))</f>
        <v/>
      </c>
      <c r="I2487" s="42" t="n">
        <f aca="false">IF($M2487="借",$O2487,0)</f>
        <v>0</v>
      </c>
      <c r="J2487" s="42" t="n">
        <f aca="false">IF($M2487="贷",$O2487,0)</f>
        <v>0</v>
      </c>
      <c r="K2487" s="48" t="str">
        <f aca="false">IF($H2487="","",购销流水!$E626)</f>
        <v/>
      </c>
      <c r="L2487" s="66" t="str">
        <f aca="false">IF(购销流水!$D626="","",IFERROR(INDEX(记账规则!$A$6:$N$9,MATCH(购销流水!$D626,记账规则!$A$6:$A$9,0),6),""))</f>
        <v/>
      </c>
      <c r="M2487" s="66" t="str">
        <f aca="false">IF($L2487="","",IFERROR(INDEX(记账规则!$A$6:$N$9,MATCH(购销流水!$D626,记账规则!$A$6:$A$9,0),7),""))</f>
        <v/>
      </c>
      <c r="N2487" s="66" t="str">
        <f aca="false">IF($L2487="","",IFERROR(INDEX(记账规则!$A$6:$N$9,MATCH(购销流水!$D626,记账规则!$A$6:$A$9,0),8),""))</f>
        <v/>
      </c>
      <c r="O2487" s="67" t="n">
        <f aca="false">IF($H2487="",0,ROUND(IF($N2487="成本金额",N(购销流水!$W626),IF($N2487="金额",N(购销流水!$Q626),0)),2))</f>
        <v>0</v>
      </c>
      <c r="P2487" s="64" t="str">
        <f aca="false">IF(AND($H2487&lt;&gt;"",ROUND($O2487,2)&lt;&gt;0),"有","")</f>
        <v/>
      </c>
    </row>
    <row r="2488" customFormat="false" ht="15" hidden="true" customHeight="false" outlineLevel="0" collapsed="false">
      <c r="A2488" s="53" t="str">
        <f aca="false">IF($H2488="","",ROW()-5)</f>
        <v/>
      </c>
      <c r="B2488" s="64" t="s">
        <v>36</v>
      </c>
      <c r="C2488" s="53" t="n">
        <v>626</v>
      </c>
      <c r="D2488" s="53" t="n">
        <v>3</v>
      </c>
      <c r="E2488" s="65" t="str">
        <f aca="false">IF($H2488="","",购销流水!$B626)</f>
        <v/>
      </c>
      <c r="F2488" s="55" t="str">
        <f aca="false">IF($H2488="","",购销流水!$C626)</f>
        <v/>
      </c>
      <c r="G2488" s="48" t="str">
        <f aca="false">IF($H2488="","",购销流水!$N626)</f>
        <v/>
      </c>
      <c r="H2488" s="10" t="str">
        <f aca="false">IF($L2488="","",IF($L2488="@成本",购销流水!$U626,IF($L2488="@收入",购销流水!$T626,IF($L2488="@存货",购销流水!$S626,IF($L2488="@结算",购销流水!$R626,$L2488)))))</f>
        <v/>
      </c>
      <c r="I2488" s="42" t="n">
        <f aca="false">IF($M2488="借",$O2488,0)</f>
        <v>0</v>
      </c>
      <c r="J2488" s="42" t="n">
        <f aca="false">IF($M2488="贷",$O2488,0)</f>
        <v>0</v>
      </c>
      <c r="K2488" s="48" t="str">
        <f aca="false">IF($H2488="","",购销流水!$E626)</f>
        <v/>
      </c>
      <c r="L2488" s="66" t="str">
        <f aca="false">IF(购销流水!$D626="","",IFERROR(INDEX(记账规则!$A$6:$N$9,MATCH(购销流水!$D626,记账规则!$A$6:$A$9,0),9),""))</f>
        <v/>
      </c>
      <c r="M2488" s="66" t="str">
        <f aca="false">IF($L2488="","",IFERROR(INDEX(记账规则!$A$6:$N$9,MATCH(购销流水!$D626,记账规则!$A$6:$A$9,0),10),""))</f>
        <v/>
      </c>
      <c r="N2488" s="66" t="str">
        <f aca="false">IF($L2488="","",IFERROR(INDEX(记账规则!$A$6:$N$9,MATCH(购销流水!$D626,记账规则!$A$6:$A$9,0),11),""))</f>
        <v/>
      </c>
      <c r="O2488" s="67" t="n">
        <f aca="false">IF($H2488="",0,ROUND(IF($N2488="成本金额",N(购销流水!$W626),IF($N2488="金额",N(购销流水!$Q626),0)),2))</f>
        <v>0</v>
      </c>
      <c r="P2488" s="64" t="str">
        <f aca="false">IF(AND($H2488&lt;&gt;"",ROUND($O2488,2)&lt;&gt;0),"有","")</f>
        <v/>
      </c>
    </row>
    <row r="2489" customFormat="false" ht="15" hidden="true" customHeight="false" outlineLevel="0" collapsed="false">
      <c r="A2489" s="53" t="str">
        <f aca="false">IF($H2489="","",ROW()-5)</f>
        <v/>
      </c>
      <c r="B2489" s="64" t="s">
        <v>36</v>
      </c>
      <c r="C2489" s="53" t="n">
        <v>626</v>
      </c>
      <c r="D2489" s="53" t="n">
        <v>4</v>
      </c>
      <c r="E2489" s="65" t="str">
        <f aca="false">IF($H2489="","",购销流水!$B626)</f>
        <v/>
      </c>
      <c r="F2489" s="55" t="str">
        <f aca="false">IF($H2489="","",购销流水!$C626)</f>
        <v/>
      </c>
      <c r="G2489" s="48" t="str">
        <f aca="false">IF($H2489="","",购销流水!$N626)</f>
        <v/>
      </c>
      <c r="H2489" s="10" t="str">
        <f aca="false">IF($L2489="","",IF($L2489="@成本",购销流水!$U626,IF($L2489="@收入",购销流水!$T626,IF($L2489="@存货",购销流水!$S626,IF($L2489="@结算",购销流水!$R626,$L2489)))))</f>
        <v/>
      </c>
      <c r="I2489" s="42" t="n">
        <f aca="false">IF($M2489="借",$O2489,0)</f>
        <v>0</v>
      </c>
      <c r="J2489" s="42" t="n">
        <f aca="false">IF($M2489="贷",$O2489,0)</f>
        <v>0</v>
      </c>
      <c r="K2489" s="48" t="str">
        <f aca="false">IF($H2489="","",购销流水!$E626)</f>
        <v/>
      </c>
      <c r="L2489" s="66" t="str">
        <f aca="false">IF(购销流水!$D626="","",IFERROR(INDEX(记账规则!$A$6:$N$9,MATCH(购销流水!$D626,记账规则!$A$6:$A$9,0),12),""))</f>
        <v/>
      </c>
      <c r="M2489" s="66" t="str">
        <f aca="false">IF($L2489="","",IFERROR(INDEX(记账规则!$A$6:$N$9,MATCH(购销流水!$D626,记账规则!$A$6:$A$9,0),13),""))</f>
        <v/>
      </c>
      <c r="N2489" s="66" t="str">
        <f aca="false">IF($L2489="","",IFERROR(INDEX(记账规则!$A$6:$N$9,MATCH(购销流水!$D626,记账规则!$A$6:$A$9,0),14),""))</f>
        <v/>
      </c>
      <c r="O2489" s="67" t="n">
        <f aca="false">IF($H2489="",0,ROUND(IF($N2489="成本金额",N(购销流水!$W626),IF($N2489="金额",N(购销流水!$Q626),0)),2))</f>
        <v>0</v>
      </c>
      <c r="P2489" s="64" t="str">
        <f aca="false">IF(AND($H2489&lt;&gt;"",ROUND($O2489,2)&lt;&gt;0),"有","")</f>
        <v/>
      </c>
    </row>
    <row r="2490" customFormat="false" ht="15" hidden="true" customHeight="false" outlineLevel="0" collapsed="false">
      <c r="A2490" s="53" t="str">
        <f aca="false">IF($H2490="","",ROW()-5)</f>
        <v/>
      </c>
      <c r="B2490" s="64" t="s">
        <v>36</v>
      </c>
      <c r="C2490" s="53" t="n">
        <v>627</v>
      </c>
      <c r="D2490" s="53" t="n">
        <v>1</v>
      </c>
      <c r="E2490" s="65" t="str">
        <f aca="false">IF($H2490="","",购销流水!$B627)</f>
        <v/>
      </c>
      <c r="F2490" s="55" t="str">
        <f aca="false">IF($H2490="","",购销流水!$C627)</f>
        <v/>
      </c>
      <c r="G2490" s="48" t="str">
        <f aca="false">IF($H2490="","",购销流水!$N627)</f>
        <v/>
      </c>
      <c r="H2490" s="10" t="str">
        <f aca="false">IF($L2490="","",IF($L2490="@成本",购销流水!$U627,IF($L2490="@收入",购销流水!$T627,IF($L2490="@存货",购销流水!$S627,IF($L2490="@结算",购销流水!$R627,$L2490)))))</f>
        <v/>
      </c>
      <c r="I2490" s="42" t="n">
        <f aca="false">IF($M2490="借",$O2490,0)</f>
        <v>0</v>
      </c>
      <c r="J2490" s="42" t="n">
        <f aca="false">IF($M2490="贷",$O2490,0)</f>
        <v>0</v>
      </c>
      <c r="K2490" s="48" t="str">
        <f aca="false">IF($H2490="","",购销流水!$E627)</f>
        <v/>
      </c>
      <c r="L2490" s="66" t="str">
        <f aca="false">IF(购销流水!$D627="","",IFERROR(INDEX(记账规则!$A$6:$N$9,MATCH(购销流水!$D627,记账规则!$A$6:$A$9,0),3),""))</f>
        <v/>
      </c>
      <c r="M2490" s="66" t="str">
        <f aca="false">IF($L2490="","",IFERROR(INDEX(记账规则!$A$6:$N$9,MATCH(购销流水!$D627,记账规则!$A$6:$A$9,0),4),""))</f>
        <v/>
      </c>
      <c r="N2490" s="66" t="str">
        <f aca="false">IF($L2490="","",IFERROR(INDEX(记账规则!$A$6:$N$9,MATCH(购销流水!$D627,记账规则!$A$6:$A$9,0),5),""))</f>
        <v/>
      </c>
      <c r="O2490" s="67" t="n">
        <f aca="false">IF($H2490="",0,ROUND(IF($N2490="成本金额",N(购销流水!$W627),IF($N2490="金额",N(购销流水!$Q627),0)),2))</f>
        <v>0</v>
      </c>
      <c r="P2490" s="64" t="str">
        <f aca="false">IF(AND($H2490&lt;&gt;"",ROUND($O2490,2)&lt;&gt;0),"有","")</f>
        <v/>
      </c>
    </row>
    <row r="2491" customFormat="false" ht="15" hidden="true" customHeight="false" outlineLevel="0" collapsed="false">
      <c r="A2491" s="53" t="str">
        <f aca="false">IF($H2491="","",ROW()-5)</f>
        <v/>
      </c>
      <c r="B2491" s="64" t="s">
        <v>36</v>
      </c>
      <c r="C2491" s="53" t="n">
        <v>627</v>
      </c>
      <c r="D2491" s="53" t="n">
        <v>2</v>
      </c>
      <c r="E2491" s="65" t="str">
        <f aca="false">IF($H2491="","",购销流水!$B627)</f>
        <v/>
      </c>
      <c r="F2491" s="55" t="str">
        <f aca="false">IF($H2491="","",购销流水!$C627)</f>
        <v/>
      </c>
      <c r="G2491" s="48" t="str">
        <f aca="false">IF($H2491="","",购销流水!$N627)</f>
        <v/>
      </c>
      <c r="H2491" s="10" t="str">
        <f aca="false">IF($L2491="","",IF($L2491="@成本",购销流水!$U627,IF($L2491="@收入",购销流水!$T627,IF($L2491="@存货",购销流水!$S627,IF($L2491="@结算",购销流水!$R627,$L2491)))))</f>
        <v/>
      </c>
      <c r="I2491" s="42" t="n">
        <f aca="false">IF($M2491="借",$O2491,0)</f>
        <v>0</v>
      </c>
      <c r="J2491" s="42" t="n">
        <f aca="false">IF($M2491="贷",$O2491,0)</f>
        <v>0</v>
      </c>
      <c r="K2491" s="48" t="str">
        <f aca="false">IF($H2491="","",购销流水!$E627)</f>
        <v/>
      </c>
      <c r="L2491" s="66" t="str">
        <f aca="false">IF(购销流水!$D627="","",IFERROR(INDEX(记账规则!$A$6:$N$9,MATCH(购销流水!$D627,记账规则!$A$6:$A$9,0),6),""))</f>
        <v/>
      </c>
      <c r="M2491" s="66" t="str">
        <f aca="false">IF($L2491="","",IFERROR(INDEX(记账规则!$A$6:$N$9,MATCH(购销流水!$D627,记账规则!$A$6:$A$9,0),7),""))</f>
        <v/>
      </c>
      <c r="N2491" s="66" t="str">
        <f aca="false">IF($L2491="","",IFERROR(INDEX(记账规则!$A$6:$N$9,MATCH(购销流水!$D627,记账规则!$A$6:$A$9,0),8),""))</f>
        <v/>
      </c>
      <c r="O2491" s="67" t="n">
        <f aca="false">IF($H2491="",0,ROUND(IF($N2491="成本金额",N(购销流水!$W627),IF($N2491="金额",N(购销流水!$Q627),0)),2))</f>
        <v>0</v>
      </c>
      <c r="P2491" s="64" t="str">
        <f aca="false">IF(AND($H2491&lt;&gt;"",ROUND($O2491,2)&lt;&gt;0),"有","")</f>
        <v/>
      </c>
    </row>
    <row r="2492" customFormat="false" ht="15" hidden="true" customHeight="false" outlineLevel="0" collapsed="false">
      <c r="A2492" s="53" t="str">
        <f aca="false">IF($H2492="","",ROW()-5)</f>
        <v/>
      </c>
      <c r="B2492" s="64" t="s">
        <v>36</v>
      </c>
      <c r="C2492" s="53" t="n">
        <v>627</v>
      </c>
      <c r="D2492" s="53" t="n">
        <v>3</v>
      </c>
      <c r="E2492" s="65" t="str">
        <f aca="false">IF($H2492="","",购销流水!$B627)</f>
        <v/>
      </c>
      <c r="F2492" s="55" t="str">
        <f aca="false">IF($H2492="","",购销流水!$C627)</f>
        <v/>
      </c>
      <c r="G2492" s="48" t="str">
        <f aca="false">IF($H2492="","",购销流水!$N627)</f>
        <v/>
      </c>
      <c r="H2492" s="10" t="str">
        <f aca="false">IF($L2492="","",IF($L2492="@成本",购销流水!$U627,IF($L2492="@收入",购销流水!$T627,IF($L2492="@存货",购销流水!$S627,IF($L2492="@结算",购销流水!$R627,$L2492)))))</f>
        <v/>
      </c>
      <c r="I2492" s="42" t="n">
        <f aca="false">IF($M2492="借",$O2492,0)</f>
        <v>0</v>
      </c>
      <c r="J2492" s="42" t="n">
        <f aca="false">IF($M2492="贷",$O2492,0)</f>
        <v>0</v>
      </c>
      <c r="K2492" s="48" t="str">
        <f aca="false">IF($H2492="","",购销流水!$E627)</f>
        <v/>
      </c>
      <c r="L2492" s="66" t="str">
        <f aca="false">IF(购销流水!$D627="","",IFERROR(INDEX(记账规则!$A$6:$N$9,MATCH(购销流水!$D627,记账规则!$A$6:$A$9,0),9),""))</f>
        <v/>
      </c>
      <c r="M2492" s="66" t="str">
        <f aca="false">IF($L2492="","",IFERROR(INDEX(记账规则!$A$6:$N$9,MATCH(购销流水!$D627,记账规则!$A$6:$A$9,0),10),""))</f>
        <v/>
      </c>
      <c r="N2492" s="66" t="str">
        <f aca="false">IF($L2492="","",IFERROR(INDEX(记账规则!$A$6:$N$9,MATCH(购销流水!$D627,记账规则!$A$6:$A$9,0),11),""))</f>
        <v/>
      </c>
      <c r="O2492" s="67" t="n">
        <f aca="false">IF($H2492="",0,ROUND(IF($N2492="成本金额",N(购销流水!$W627),IF($N2492="金额",N(购销流水!$Q627),0)),2))</f>
        <v>0</v>
      </c>
      <c r="P2492" s="64" t="str">
        <f aca="false">IF(AND($H2492&lt;&gt;"",ROUND($O2492,2)&lt;&gt;0),"有","")</f>
        <v/>
      </c>
    </row>
    <row r="2493" customFormat="false" ht="15" hidden="true" customHeight="false" outlineLevel="0" collapsed="false">
      <c r="A2493" s="53" t="str">
        <f aca="false">IF($H2493="","",ROW()-5)</f>
        <v/>
      </c>
      <c r="B2493" s="64" t="s">
        <v>36</v>
      </c>
      <c r="C2493" s="53" t="n">
        <v>627</v>
      </c>
      <c r="D2493" s="53" t="n">
        <v>4</v>
      </c>
      <c r="E2493" s="65" t="str">
        <f aca="false">IF($H2493="","",购销流水!$B627)</f>
        <v/>
      </c>
      <c r="F2493" s="55" t="str">
        <f aca="false">IF($H2493="","",购销流水!$C627)</f>
        <v/>
      </c>
      <c r="G2493" s="48" t="str">
        <f aca="false">IF($H2493="","",购销流水!$N627)</f>
        <v/>
      </c>
      <c r="H2493" s="10" t="str">
        <f aca="false">IF($L2493="","",IF($L2493="@成本",购销流水!$U627,IF($L2493="@收入",购销流水!$T627,IF($L2493="@存货",购销流水!$S627,IF($L2493="@结算",购销流水!$R627,$L2493)))))</f>
        <v/>
      </c>
      <c r="I2493" s="42" t="n">
        <f aca="false">IF($M2493="借",$O2493,0)</f>
        <v>0</v>
      </c>
      <c r="J2493" s="42" t="n">
        <f aca="false">IF($M2493="贷",$O2493,0)</f>
        <v>0</v>
      </c>
      <c r="K2493" s="48" t="str">
        <f aca="false">IF($H2493="","",购销流水!$E627)</f>
        <v/>
      </c>
      <c r="L2493" s="66" t="str">
        <f aca="false">IF(购销流水!$D627="","",IFERROR(INDEX(记账规则!$A$6:$N$9,MATCH(购销流水!$D627,记账规则!$A$6:$A$9,0),12),""))</f>
        <v/>
      </c>
      <c r="M2493" s="66" t="str">
        <f aca="false">IF($L2493="","",IFERROR(INDEX(记账规则!$A$6:$N$9,MATCH(购销流水!$D627,记账规则!$A$6:$A$9,0),13),""))</f>
        <v/>
      </c>
      <c r="N2493" s="66" t="str">
        <f aca="false">IF($L2493="","",IFERROR(INDEX(记账规则!$A$6:$N$9,MATCH(购销流水!$D627,记账规则!$A$6:$A$9,0),14),""))</f>
        <v/>
      </c>
      <c r="O2493" s="67" t="n">
        <f aca="false">IF($H2493="",0,ROUND(IF($N2493="成本金额",N(购销流水!$W627),IF($N2493="金额",N(购销流水!$Q627),0)),2))</f>
        <v>0</v>
      </c>
      <c r="P2493" s="64" t="str">
        <f aca="false">IF(AND($H2493&lt;&gt;"",ROUND($O2493,2)&lt;&gt;0),"有","")</f>
        <v/>
      </c>
    </row>
    <row r="2494" customFormat="false" ht="15" hidden="true" customHeight="false" outlineLevel="0" collapsed="false">
      <c r="A2494" s="53" t="str">
        <f aca="false">IF($H2494="","",ROW()-5)</f>
        <v/>
      </c>
      <c r="B2494" s="64" t="s">
        <v>36</v>
      </c>
      <c r="C2494" s="53" t="n">
        <v>628</v>
      </c>
      <c r="D2494" s="53" t="n">
        <v>1</v>
      </c>
      <c r="E2494" s="65" t="str">
        <f aca="false">IF($H2494="","",购销流水!$B628)</f>
        <v/>
      </c>
      <c r="F2494" s="55" t="str">
        <f aca="false">IF($H2494="","",购销流水!$C628)</f>
        <v/>
      </c>
      <c r="G2494" s="48" t="str">
        <f aca="false">IF($H2494="","",购销流水!$N628)</f>
        <v/>
      </c>
      <c r="H2494" s="10" t="str">
        <f aca="false">IF($L2494="","",IF($L2494="@成本",购销流水!$U628,IF($L2494="@收入",购销流水!$T628,IF($L2494="@存货",购销流水!$S628,IF($L2494="@结算",购销流水!$R628,$L2494)))))</f>
        <v/>
      </c>
      <c r="I2494" s="42" t="n">
        <f aca="false">IF($M2494="借",$O2494,0)</f>
        <v>0</v>
      </c>
      <c r="J2494" s="42" t="n">
        <f aca="false">IF($M2494="贷",$O2494,0)</f>
        <v>0</v>
      </c>
      <c r="K2494" s="48" t="str">
        <f aca="false">IF($H2494="","",购销流水!$E628)</f>
        <v/>
      </c>
      <c r="L2494" s="66" t="str">
        <f aca="false">IF(购销流水!$D628="","",IFERROR(INDEX(记账规则!$A$6:$N$9,MATCH(购销流水!$D628,记账规则!$A$6:$A$9,0),3),""))</f>
        <v/>
      </c>
      <c r="M2494" s="66" t="str">
        <f aca="false">IF($L2494="","",IFERROR(INDEX(记账规则!$A$6:$N$9,MATCH(购销流水!$D628,记账规则!$A$6:$A$9,0),4),""))</f>
        <v/>
      </c>
      <c r="N2494" s="66" t="str">
        <f aca="false">IF($L2494="","",IFERROR(INDEX(记账规则!$A$6:$N$9,MATCH(购销流水!$D628,记账规则!$A$6:$A$9,0),5),""))</f>
        <v/>
      </c>
      <c r="O2494" s="67" t="n">
        <f aca="false">IF($H2494="",0,ROUND(IF($N2494="成本金额",N(购销流水!$W628),IF($N2494="金额",N(购销流水!$Q628),0)),2))</f>
        <v>0</v>
      </c>
      <c r="P2494" s="64" t="str">
        <f aca="false">IF(AND($H2494&lt;&gt;"",ROUND($O2494,2)&lt;&gt;0),"有","")</f>
        <v/>
      </c>
    </row>
    <row r="2495" customFormat="false" ht="15" hidden="true" customHeight="false" outlineLevel="0" collapsed="false">
      <c r="A2495" s="53" t="str">
        <f aca="false">IF($H2495="","",ROW()-5)</f>
        <v/>
      </c>
      <c r="B2495" s="64" t="s">
        <v>36</v>
      </c>
      <c r="C2495" s="53" t="n">
        <v>628</v>
      </c>
      <c r="D2495" s="53" t="n">
        <v>2</v>
      </c>
      <c r="E2495" s="65" t="str">
        <f aca="false">IF($H2495="","",购销流水!$B628)</f>
        <v/>
      </c>
      <c r="F2495" s="55" t="str">
        <f aca="false">IF($H2495="","",购销流水!$C628)</f>
        <v/>
      </c>
      <c r="G2495" s="48" t="str">
        <f aca="false">IF($H2495="","",购销流水!$N628)</f>
        <v/>
      </c>
      <c r="H2495" s="10" t="str">
        <f aca="false">IF($L2495="","",IF($L2495="@成本",购销流水!$U628,IF($L2495="@收入",购销流水!$T628,IF($L2495="@存货",购销流水!$S628,IF($L2495="@结算",购销流水!$R628,$L2495)))))</f>
        <v/>
      </c>
      <c r="I2495" s="42" t="n">
        <f aca="false">IF($M2495="借",$O2495,0)</f>
        <v>0</v>
      </c>
      <c r="J2495" s="42" t="n">
        <f aca="false">IF($M2495="贷",$O2495,0)</f>
        <v>0</v>
      </c>
      <c r="K2495" s="48" t="str">
        <f aca="false">IF($H2495="","",购销流水!$E628)</f>
        <v/>
      </c>
      <c r="L2495" s="66" t="str">
        <f aca="false">IF(购销流水!$D628="","",IFERROR(INDEX(记账规则!$A$6:$N$9,MATCH(购销流水!$D628,记账规则!$A$6:$A$9,0),6),""))</f>
        <v/>
      </c>
      <c r="M2495" s="66" t="str">
        <f aca="false">IF($L2495="","",IFERROR(INDEX(记账规则!$A$6:$N$9,MATCH(购销流水!$D628,记账规则!$A$6:$A$9,0),7),""))</f>
        <v/>
      </c>
      <c r="N2495" s="66" t="str">
        <f aca="false">IF($L2495="","",IFERROR(INDEX(记账规则!$A$6:$N$9,MATCH(购销流水!$D628,记账规则!$A$6:$A$9,0),8),""))</f>
        <v/>
      </c>
      <c r="O2495" s="67" t="n">
        <f aca="false">IF($H2495="",0,ROUND(IF($N2495="成本金额",N(购销流水!$W628),IF($N2495="金额",N(购销流水!$Q628),0)),2))</f>
        <v>0</v>
      </c>
      <c r="P2495" s="64" t="str">
        <f aca="false">IF(AND($H2495&lt;&gt;"",ROUND($O2495,2)&lt;&gt;0),"有","")</f>
        <v/>
      </c>
    </row>
    <row r="2496" customFormat="false" ht="15" hidden="true" customHeight="false" outlineLevel="0" collapsed="false">
      <c r="A2496" s="53" t="str">
        <f aca="false">IF($H2496="","",ROW()-5)</f>
        <v/>
      </c>
      <c r="B2496" s="64" t="s">
        <v>36</v>
      </c>
      <c r="C2496" s="53" t="n">
        <v>628</v>
      </c>
      <c r="D2496" s="53" t="n">
        <v>3</v>
      </c>
      <c r="E2496" s="65" t="str">
        <f aca="false">IF($H2496="","",购销流水!$B628)</f>
        <v/>
      </c>
      <c r="F2496" s="55" t="str">
        <f aca="false">IF($H2496="","",购销流水!$C628)</f>
        <v/>
      </c>
      <c r="G2496" s="48" t="str">
        <f aca="false">IF($H2496="","",购销流水!$N628)</f>
        <v/>
      </c>
      <c r="H2496" s="10" t="str">
        <f aca="false">IF($L2496="","",IF($L2496="@成本",购销流水!$U628,IF($L2496="@收入",购销流水!$T628,IF($L2496="@存货",购销流水!$S628,IF($L2496="@结算",购销流水!$R628,$L2496)))))</f>
        <v/>
      </c>
      <c r="I2496" s="42" t="n">
        <f aca="false">IF($M2496="借",$O2496,0)</f>
        <v>0</v>
      </c>
      <c r="J2496" s="42" t="n">
        <f aca="false">IF($M2496="贷",$O2496,0)</f>
        <v>0</v>
      </c>
      <c r="K2496" s="48" t="str">
        <f aca="false">IF($H2496="","",购销流水!$E628)</f>
        <v/>
      </c>
      <c r="L2496" s="66" t="str">
        <f aca="false">IF(购销流水!$D628="","",IFERROR(INDEX(记账规则!$A$6:$N$9,MATCH(购销流水!$D628,记账规则!$A$6:$A$9,0),9),""))</f>
        <v/>
      </c>
      <c r="M2496" s="66" t="str">
        <f aca="false">IF($L2496="","",IFERROR(INDEX(记账规则!$A$6:$N$9,MATCH(购销流水!$D628,记账规则!$A$6:$A$9,0),10),""))</f>
        <v/>
      </c>
      <c r="N2496" s="66" t="str">
        <f aca="false">IF($L2496="","",IFERROR(INDEX(记账规则!$A$6:$N$9,MATCH(购销流水!$D628,记账规则!$A$6:$A$9,0),11),""))</f>
        <v/>
      </c>
      <c r="O2496" s="67" t="n">
        <f aca="false">IF($H2496="",0,ROUND(IF($N2496="成本金额",N(购销流水!$W628),IF($N2496="金额",N(购销流水!$Q628),0)),2))</f>
        <v>0</v>
      </c>
      <c r="P2496" s="64" t="str">
        <f aca="false">IF(AND($H2496&lt;&gt;"",ROUND($O2496,2)&lt;&gt;0),"有","")</f>
        <v/>
      </c>
    </row>
    <row r="2497" customFormat="false" ht="15" hidden="true" customHeight="false" outlineLevel="0" collapsed="false">
      <c r="A2497" s="53" t="str">
        <f aca="false">IF($H2497="","",ROW()-5)</f>
        <v/>
      </c>
      <c r="B2497" s="64" t="s">
        <v>36</v>
      </c>
      <c r="C2497" s="53" t="n">
        <v>628</v>
      </c>
      <c r="D2497" s="53" t="n">
        <v>4</v>
      </c>
      <c r="E2497" s="65" t="str">
        <f aca="false">IF($H2497="","",购销流水!$B628)</f>
        <v/>
      </c>
      <c r="F2497" s="55" t="str">
        <f aca="false">IF($H2497="","",购销流水!$C628)</f>
        <v/>
      </c>
      <c r="G2497" s="48" t="str">
        <f aca="false">IF($H2497="","",购销流水!$N628)</f>
        <v/>
      </c>
      <c r="H2497" s="10" t="str">
        <f aca="false">IF($L2497="","",IF($L2497="@成本",购销流水!$U628,IF($L2497="@收入",购销流水!$T628,IF($L2497="@存货",购销流水!$S628,IF($L2497="@结算",购销流水!$R628,$L2497)))))</f>
        <v/>
      </c>
      <c r="I2497" s="42" t="n">
        <f aca="false">IF($M2497="借",$O2497,0)</f>
        <v>0</v>
      </c>
      <c r="J2497" s="42" t="n">
        <f aca="false">IF($M2497="贷",$O2497,0)</f>
        <v>0</v>
      </c>
      <c r="K2497" s="48" t="str">
        <f aca="false">IF($H2497="","",购销流水!$E628)</f>
        <v/>
      </c>
      <c r="L2497" s="66" t="str">
        <f aca="false">IF(购销流水!$D628="","",IFERROR(INDEX(记账规则!$A$6:$N$9,MATCH(购销流水!$D628,记账规则!$A$6:$A$9,0),12),""))</f>
        <v/>
      </c>
      <c r="M2497" s="66" t="str">
        <f aca="false">IF($L2497="","",IFERROR(INDEX(记账规则!$A$6:$N$9,MATCH(购销流水!$D628,记账规则!$A$6:$A$9,0),13),""))</f>
        <v/>
      </c>
      <c r="N2497" s="66" t="str">
        <f aca="false">IF($L2497="","",IFERROR(INDEX(记账规则!$A$6:$N$9,MATCH(购销流水!$D628,记账规则!$A$6:$A$9,0),14),""))</f>
        <v/>
      </c>
      <c r="O2497" s="67" t="n">
        <f aca="false">IF($H2497="",0,ROUND(IF($N2497="成本金额",N(购销流水!$W628),IF($N2497="金额",N(购销流水!$Q628),0)),2))</f>
        <v>0</v>
      </c>
      <c r="P2497" s="64" t="str">
        <f aca="false">IF(AND($H2497&lt;&gt;"",ROUND($O2497,2)&lt;&gt;0),"有","")</f>
        <v/>
      </c>
    </row>
    <row r="2498" customFormat="false" ht="15" hidden="true" customHeight="false" outlineLevel="0" collapsed="false">
      <c r="A2498" s="53" t="str">
        <f aca="false">IF($H2498="","",ROW()-5)</f>
        <v/>
      </c>
      <c r="B2498" s="64" t="s">
        <v>36</v>
      </c>
      <c r="C2498" s="53" t="n">
        <v>629</v>
      </c>
      <c r="D2498" s="53" t="n">
        <v>1</v>
      </c>
      <c r="E2498" s="65" t="str">
        <f aca="false">IF($H2498="","",购销流水!$B629)</f>
        <v/>
      </c>
      <c r="F2498" s="55" t="str">
        <f aca="false">IF($H2498="","",购销流水!$C629)</f>
        <v/>
      </c>
      <c r="G2498" s="48" t="str">
        <f aca="false">IF($H2498="","",购销流水!$N629)</f>
        <v/>
      </c>
      <c r="H2498" s="10" t="str">
        <f aca="false">IF($L2498="","",IF($L2498="@成本",购销流水!$U629,IF($L2498="@收入",购销流水!$T629,IF($L2498="@存货",购销流水!$S629,IF($L2498="@结算",购销流水!$R629,$L2498)))))</f>
        <v/>
      </c>
      <c r="I2498" s="42" t="n">
        <f aca="false">IF($M2498="借",$O2498,0)</f>
        <v>0</v>
      </c>
      <c r="J2498" s="42" t="n">
        <f aca="false">IF($M2498="贷",$O2498,0)</f>
        <v>0</v>
      </c>
      <c r="K2498" s="48" t="str">
        <f aca="false">IF($H2498="","",购销流水!$E629)</f>
        <v/>
      </c>
      <c r="L2498" s="66" t="str">
        <f aca="false">IF(购销流水!$D629="","",IFERROR(INDEX(记账规则!$A$6:$N$9,MATCH(购销流水!$D629,记账规则!$A$6:$A$9,0),3),""))</f>
        <v/>
      </c>
      <c r="M2498" s="66" t="str">
        <f aca="false">IF($L2498="","",IFERROR(INDEX(记账规则!$A$6:$N$9,MATCH(购销流水!$D629,记账规则!$A$6:$A$9,0),4),""))</f>
        <v/>
      </c>
      <c r="N2498" s="66" t="str">
        <f aca="false">IF($L2498="","",IFERROR(INDEX(记账规则!$A$6:$N$9,MATCH(购销流水!$D629,记账规则!$A$6:$A$9,0),5),""))</f>
        <v/>
      </c>
      <c r="O2498" s="67" t="n">
        <f aca="false">IF($H2498="",0,ROUND(IF($N2498="成本金额",N(购销流水!$W629),IF($N2498="金额",N(购销流水!$Q629),0)),2))</f>
        <v>0</v>
      </c>
      <c r="P2498" s="64" t="str">
        <f aca="false">IF(AND($H2498&lt;&gt;"",ROUND($O2498,2)&lt;&gt;0),"有","")</f>
        <v/>
      </c>
    </row>
    <row r="2499" customFormat="false" ht="15" hidden="true" customHeight="false" outlineLevel="0" collapsed="false">
      <c r="A2499" s="53" t="str">
        <f aca="false">IF($H2499="","",ROW()-5)</f>
        <v/>
      </c>
      <c r="B2499" s="64" t="s">
        <v>36</v>
      </c>
      <c r="C2499" s="53" t="n">
        <v>629</v>
      </c>
      <c r="D2499" s="53" t="n">
        <v>2</v>
      </c>
      <c r="E2499" s="65" t="str">
        <f aca="false">IF($H2499="","",购销流水!$B629)</f>
        <v/>
      </c>
      <c r="F2499" s="55" t="str">
        <f aca="false">IF($H2499="","",购销流水!$C629)</f>
        <v/>
      </c>
      <c r="G2499" s="48" t="str">
        <f aca="false">IF($H2499="","",购销流水!$N629)</f>
        <v/>
      </c>
      <c r="H2499" s="10" t="str">
        <f aca="false">IF($L2499="","",IF($L2499="@成本",购销流水!$U629,IF($L2499="@收入",购销流水!$T629,IF($L2499="@存货",购销流水!$S629,IF($L2499="@结算",购销流水!$R629,$L2499)))))</f>
        <v/>
      </c>
      <c r="I2499" s="42" t="n">
        <f aca="false">IF($M2499="借",$O2499,0)</f>
        <v>0</v>
      </c>
      <c r="J2499" s="42" t="n">
        <f aca="false">IF($M2499="贷",$O2499,0)</f>
        <v>0</v>
      </c>
      <c r="K2499" s="48" t="str">
        <f aca="false">IF($H2499="","",购销流水!$E629)</f>
        <v/>
      </c>
      <c r="L2499" s="66" t="str">
        <f aca="false">IF(购销流水!$D629="","",IFERROR(INDEX(记账规则!$A$6:$N$9,MATCH(购销流水!$D629,记账规则!$A$6:$A$9,0),6),""))</f>
        <v/>
      </c>
      <c r="M2499" s="66" t="str">
        <f aca="false">IF($L2499="","",IFERROR(INDEX(记账规则!$A$6:$N$9,MATCH(购销流水!$D629,记账规则!$A$6:$A$9,0),7),""))</f>
        <v/>
      </c>
      <c r="N2499" s="66" t="str">
        <f aca="false">IF($L2499="","",IFERROR(INDEX(记账规则!$A$6:$N$9,MATCH(购销流水!$D629,记账规则!$A$6:$A$9,0),8),""))</f>
        <v/>
      </c>
      <c r="O2499" s="67" t="n">
        <f aca="false">IF($H2499="",0,ROUND(IF($N2499="成本金额",N(购销流水!$W629),IF($N2499="金额",N(购销流水!$Q629),0)),2))</f>
        <v>0</v>
      </c>
      <c r="P2499" s="64" t="str">
        <f aca="false">IF(AND($H2499&lt;&gt;"",ROUND($O2499,2)&lt;&gt;0),"有","")</f>
        <v/>
      </c>
    </row>
    <row r="2500" customFormat="false" ht="15" hidden="true" customHeight="false" outlineLevel="0" collapsed="false">
      <c r="A2500" s="53" t="str">
        <f aca="false">IF($H2500="","",ROW()-5)</f>
        <v/>
      </c>
      <c r="B2500" s="64" t="s">
        <v>36</v>
      </c>
      <c r="C2500" s="53" t="n">
        <v>629</v>
      </c>
      <c r="D2500" s="53" t="n">
        <v>3</v>
      </c>
      <c r="E2500" s="65" t="str">
        <f aca="false">IF($H2500="","",购销流水!$B629)</f>
        <v/>
      </c>
      <c r="F2500" s="55" t="str">
        <f aca="false">IF($H2500="","",购销流水!$C629)</f>
        <v/>
      </c>
      <c r="G2500" s="48" t="str">
        <f aca="false">IF($H2500="","",购销流水!$N629)</f>
        <v/>
      </c>
      <c r="H2500" s="10" t="str">
        <f aca="false">IF($L2500="","",IF($L2500="@成本",购销流水!$U629,IF($L2500="@收入",购销流水!$T629,IF($L2500="@存货",购销流水!$S629,IF($L2500="@结算",购销流水!$R629,$L2500)))))</f>
        <v/>
      </c>
      <c r="I2500" s="42" t="n">
        <f aca="false">IF($M2500="借",$O2500,0)</f>
        <v>0</v>
      </c>
      <c r="J2500" s="42" t="n">
        <f aca="false">IF($M2500="贷",$O2500,0)</f>
        <v>0</v>
      </c>
      <c r="K2500" s="48" t="str">
        <f aca="false">IF($H2500="","",购销流水!$E629)</f>
        <v/>
      </c>
      <c r="L2500" s="66" t="str">
        <f aca="false">IF(购销流水!$D629="","",IFERROR(INDEX(记账规则!$A$6:$N$9,MATCH(购销流水!$D629,记账规则!$A$6:$A$9,0),9),""))</f>
        <v/>
      </c>
      <c r="M2500" s="66" t="str">
        <f aca="false">IF($L2500="","",IFERROR(INDEX(记账规则!$A$6:$N$9,MATCH(购销流水!$D629,记账规则!$A$6:$A$9,0),10),""))</f>
        <v/>
      </c>
      <c r="N2500" s="66" t="str">
        <f aca="false">IF($L2500="","",IFERROR(INDEX(记账规则!$A$6:$N$9,MATCH(购销流水!$D629,记账规则!$A$6:$A$9,0),11),""))</f>
        <v/>
      </c>
      <c r="O2500" s="67" t="n">
        <f aca="false">IF($H2500="",0,ROUND(IF($N2500="成本金额",N(购销流水!$W629),IF($N2500="金额",N(购销流水!$Q629),0)),2))</f>
        <v>0</v>
      </c>
      <c r="P2500" s="64" t="str">
        <f aca="false">IF(AND($H2500&lt;&gt;"",ROUND($O2500,2)&lt;&gt;0),"有","")</f>
        <v/>
      </c>
    </row>
    <row r="2501" customFormat="false" ht="15" hidden="true" customHeight="false" outlineLevel="0" collapsed="false">
      <c r="A2501" s="53" t="str">
        <f aca="false">IF($H2501="","",ROW()-5)</f>
        <v/>
      </c>
      <c r="B2501" s="64" t="s">
        <v>36</v>
      </c>
      <c r="C2501" s="53" t="n">
        <v>629</v>
      </c>
      <c r="D2501" s="53" t="n">
        <v>4</v>
      </c>
      <c r="E2501" s="65" t="str">
        <f aca="false">IF($H2501="","",购销流水!$B629)</f>
        <v/>
      </c>
      <c r="F2501" s="55" t="str">
        <f aca="false">IF($H2501="","",购销流水!$C629)</f>
        <v/>
      </c>
      <c r="G2501" s="48" t="str">
        <f aca="false">IF($H2501="","",购销流水!$N629)</f>
        <v/>
      </c>
      <c r="H2501" s="10" t="str">
        <f aca="false">IF($L2501="","",IF($L2501="@成本",购销流水!$U629,IF($L2501="@收入",购销流水!$T629,IF($L2501="@存货",购销流水!$S629,IF($L2501="@结算",购销流水!$R629,$L2501)))))</f>
        <v/>
      </c>
      <c r="I2501" s="42" t="n">
        <f aca="false">IF($M2501="借",$O2501,0)</f>
        <v>0</v>
      </c>
      <c r="J2501" s="42" t="n">
        <f aca="false">IF($M2501="贷",$O2501,0)</f>
        <v>0</v>
      </c>
      <c r="K2501" s="48" t="str">
        <f aca="false">IF($H2501="","",购销流水!$E629)</f>
        <v/>
      </c>
      <c r="L2501" s="66" t="str">
        <f aca="false">IF(购销流水!$D629="","",IFERROR(INDEX(记账规则!$A$6:$N$9,MATCH(购销流水!$D629,记账规则!$A$6:$A$9,0),12),""))</f>
        <v/>
      </c>
      <c r="M2501" s="66" t="str">
        <f aca="false">IF($L2501="","",IFERROR(INDEX(记账规则!$A$6:$N$9,MATCH(购销流水!$D629,记账规则!$A$6:$A$9,0),13),""))</f>
        <v/>
      </c>
      <c r="N2501" s="66" t="str">
        <f aca="false">IF($L2501="","",IFERROR(INDEX(记账规则!$A$6:$N$9,MATCH(购销流水!$D629,记账规则!$A$6:$A$9,0),14),""))</f>
        <v/>
      </c>
      <c r="O2501" s="67" t="n">
        <f aca="false">IF($H2501="",0,ROUND(IF($N2501="成本金额",N(购销流水!$W629),IF($N2501="金额",N(购销流水!$Q629),0)),2))</f>
        <v>0</v>
      </c>
      <c r="P2501" s="64" t="str">
        <f aca="false">IF(AND($H2501&lt;&gt;"",ROUND($O2501,2)&lt;&gt;0),"有","")</f>
        <v/>
      </c>
    </row>
    <row r="2502" customFormat="false" ht="15" hidden="true" customHeight="false" outlineLevel="0" collapsed="false">
      <c r="A2502" s="53" t="str">
        <f aca="false">IF($H2502="","",ROW()-5)</f>
        <v/>
      </c>
      <c r="B2502" s="64" t="s">
        <v>36</v>
      </c>
      <c r="C2502" s="53" t="n">
        <v>630</v>
      </c>
      <c r="D2502" s="53" t="n">
        <v>1</v>
      </c>
      <c r="E2502" s="65" t="str">
        <f aca="false">IF($H2502="","",购销流水!$B630)</f>
        <v/>
      </c>
      <c r="F2502" s="55" t="str">
        <f aca="false">IF($H2502="","",购销流水!$C630)</f>
        <v/>
      </c>
      <c r="G2502" s="48" t="str">
        <f aca="false">IF($H2502="","",购销流水!$N630)</f>
        <v/>
      </c>
      <c r="H2502" s="10" t="str">
        <f aca="false">IF($L2502="","",IF($L2502="@成本",购销流水!$U630,IF($L2502="@收入",购销流水!$T630,IF($L2502="@存货",购销流水!$S630,IF($L2502="@结算",购销流水!$R630,$L2502)))))</f>
        <v/>
      </c>
      <c r="I2502" s="42" t="n">
        <f aca="false">IF($M2502="借",$O2502,0)</f>
        <v>0</v>
      </c>
      <c r="J2502" s="42" t="n">
        <f aca="false">IF($M2502="贷",$O2502,0)</f>
        <v>0</v>
      </c>
      <c r="K2502" s="48" t="str">
        <f aca="false">IF($H2502="","",购销流水!$E630)</f>
        <v/>
      </c>
      <c r="L2502" s="66" t="str">
        <f aca="false">IF(购销流水!$D630="","",IFERROR(INDEX(记账规则!$A$6:$N$9,MATCH(购销流水!$D630,记账规则!$A$6:$A$9,0),3),""))</f>
        <v/>
      </c>
      <c r="M2502" s="66" t="str">
        <f aca="false">IF($L2502="","",IFERROR(INDEX(记账规则!$A$6:$N$9,MATCH(购销流水!$D630,记账规则!$A$6:$A$9,0),4),""))</f>
        <v/>
      </c>
      <c r="N2502" s="66" t="str">
        <f aca="false">IF($L2502="","",IFERROR(INDEX(记账规则!$A$6:$N$9,MATCH(购销流水!$D630,记账规则!$A$6:$A$9,0),5),""))</f>
        <v/>
      </c>
      <c r="O2502" s="67" t="n">
        <f aca="false">IF($H2502="",0,ROUND(IF($N2502="成本金额",N(购销流水!$W630),IF($N2502="金额",N(购销流水!$Q630),0)),2))</f>
        <v>0</v>
      </c>
      <c r="P2502" s="64" t="str">
        <f aca="false">IF(AND($H2502&lt;&gt;"",ROUND($O2502,2)&lt;&gt;0),"有","")</f>
        <v/>
      </c>
    </row>
    <row r="2503" customFormat="false" ht="15" hidden="true" customHeight="false" outlineLevel="0" collapsed="false">
      <c r="A2503" s="53" t="str">
        <f aca="false">IF($H2503="","",ROW()-5)</f>
        <v/>
      </c>
      <c r="B2503" s="64" t="s">
        <v>36</v>
      </c>
      <c r="C2503" s="53" t="n">
        <v>630</v>
      </c>
      <c r="D2503" s="53" t="n">
        <v>2</v>
      </c>
      <c r="E2503" s="65" t="str">
        <f aca="false">IF($H2503="","",购销流水!$B630)</f>
        <v/>
      </c>
      <c r="F2503" s="55" t="str">
        <f aca="false">IF($H2503="","",购销流水!$C630)</f>
        <v/>
      </c>
      <c r="G2503" s="48" t="str">
        <f aca="false">IF($H2503="","",购销流水!$N630)</f>
        <v/>
      </c>
      <c r="H2503" s="10" t="str">
        <f aca="false">IF($L2503="","",IF($L2503="@成本",购销流水!$U630,IF($L2503="@收入",购销流水!$T630,IF($L2503="@存货",购销流水!$S630,IF($L2503="@结算",购销流水!$R630,$L2503)))))</f>
        <v/>
      </c>
      <c r="I2503" s="42" t="n">
        <f aca="false">IF($M2503="借",$O2503,0)</f>
        <v>0</v>
      </c>
      <c r="J2503" s="42" t="n">
        <f aca="false">IF($M2503="贷",$O2503,0)</f>
        <v>0</v>
      </c>
      <c r="K2503" s="48" t="str">
        <f aca="false">IF($H2503="","",购销流水!$E630)</f>
        <v/>
      </c>
      <c r="L2503" s="66" t="str">
        <f aca="false">IF(购销流水!$D630="","",IFERROR(INDEX(记账规则!$A$6:$N$9,MATCH(购销流水!$D630,记账规则!$A$6:$A$9,0),6),""))</f>
        <v/>
      </c>
      <c r="M2503" s="66" t="str">
        <f aca="false">IF($L2503="","",IFERROR(INDEX(记账规则!$A$6:$N$9,MATCH(购销流水!$D630,记账规则!$A$6:$A$9,0),7),""))</f>
        <v/>
      </c>
      <c r="N2503" s="66" t="str">
        <f aca="false">IF($L2503="","",IFERROR(INDEX(记账规则!$A$6:$N$9,MATCH(购销流水!$D630,记账规则!$A$6:$A$9,0),8),""))</f>
        <v/>
      </c>
      <c r="O2503" s="67" t="n">
        <f aca="false">IF($H2503="",0,ROUND(IF($N2503="成本金额",N(购销流水!$W630),IF($N2503="金额",N(购销流水!$Q630),0)),2))</f>
        <v>0</v>
      </c>
      <c r="P2503" s="64" t="str">
        <f aca="false">IF(AND($H2503&lt;&gt;"",ROUND($O2503,2)&lt;&gt;0),"有","")</f>
        <v/>
      </c>
    </row>
    <row r="2504" customFormat="false" ht="15" hidden="true" customHeight="false" outlineLevel="0" collapsed="false">
      <c r="A2504" s="53" t="str">
        <f aca="false">IF($H2504="","",ROW()-5)</f>
        <v/>
      </c>
      <c r="B2504" s="64" t="s">
        <v>36</v>
      </c>
      <c r="C2504" s="53" t="n">
        <v>630</v>
      </c>
      <c r="D2504" s="53" t="n">
        <v>3</v>
      </c>
      <c r="E2504" s="65" t="str">
        <f aca="false">IF($H2504="","",购销流水!$B630)</f>
        <v/>
      </c>
      <c r="F2504" s="55" t="str">
        <f aca="false">IF($H2504="","",购销流水!$C630)</f>
        <v/>
      </c>
      <c r="G2504" s="48" t="str">
        <f aca="false">IF($H2504="","",购销流水!$N630)</f>
        <v/>
      </c>
      <c r="H2504" s="10" t="str">
        <f aca="false">IF($L2504="","",IF($L2504="@成本",购销流水!$U630,IF($L2504="@收入",购销流水!$T630,IF($L2504="@存货",购销流水!$S630,IF($L2504="@结算",购销流水!$R630,$L2504)))))</f>
        <v/>
      </c>
      <c r="I2504" s="42" t="n">
        <f aca="false">IF($M2504="借",$O2504,0)</f>
        <v>0</v>
      </c>
      <c r="J2504" s="42" t="n">
        <f aca="false">IF($M2504="贷",$O2504,0)</f>
        <v>0</v>
      </c>
      <c r="K2504" s="48" t="str">
        <f aca="false">IF($H2504="","",购销流水!$E630)</f>
        <v/>
      </c>
      <c r="L2504" s="66" t="str">
        <f aca="false">IF(购销流水!$D630="","",IFERROR(INDEX(记账规则!$A$6:$N$9,MATCH(购销流水!$D630,记账规则!$A$6:$A$9,0),9),""))</f>
        <v/>
      </c>
      <c r="M2504" s="66" t="str">
        <f aca="false">IF($L2504="","",IFERROR(INDEX(记账规则!$A$6:$N$9,MATCH(购销流水!$D630,记账规则!$A$6:$A$9,0),10),""))</f>
        <v/>
      </c>
      <c r="N2504" s="66" t="str">
        <f aca="false">IF($L2504="","",IFERROR(INDEX(记账规则!$A$6:$N$9,MATCH(购销流水!$D630,记账规则!$A$6:$A$9,0),11),""))</f>
        <v/>
      </c>
      <c r="O2504" s="67" t="n">
        <f aca="false">IF($H2504="",0,ROUND(IF($N2504="成本金额",N(购销流水!$W630),IF($N2504="金额",N(购销流水!$Q630),0)),2))</f>
        <v>0</v>
      </c>
      <c r="P2504" s="64" t="str">
        <f aca="false">IF(AND($H2504&lt;&gt;"",ROUND($O2504,2)&lt;&gt;0),"有","")</f>
        <v/>
      </c>
    </row>
    <row r="2505" customFormat="false" ht="15" hidden="true" customHeight="false" outlineLevel="0" collapsed="false">
      <c r="A2505" s="53" t="str">
        <f aca="false">IF($H2505="","",ROW()-5)</f>
        <v/>
      </c>
      <c r="B2505" s="64" t="s">
        <v>36</v>
      </c>
      <c r="C2505" s="53" t="n">
        <v>630</v>
      </c>
      <c r="D2505" s="53" t="n">
        <v>4</v>
      </c>
      <c r="E2505" s="65" t="str">
        <f aca="false">IF($H2505="","",购销流水!$B630)</f>
        <v/>
      </c>
      <c r="F2505" s="55" t="str">
        <f aca="false">IF($H2505="","",购销流水!$C630)</f>
        <v/>
      </c>
      <c r="G2505" s="48" t="str">
        <f aca="false">IF($H2505="","",购销流水!$N630)</f>
        <v/>
      </c>
      <c r="H2505" s="10" t="str">
        <f aca="false">IF($L2505="","",IF($L2505="@成本",购销流水!$U630,IF($L2505="@收入",购销流水!$T630,IF($L2505="@存货",购销流水!$S630,IF($L2505="@结算",购销流水!$R630,$L2505)))))</f>
        <v/>
      </c>
      <c r="I2505" s="42" t="n">
        <f aca="false">IF($M2505="借",$O2505,0)</f>
        <v>0</v>
      </c>
      <c r="J2505" s="42" t="n">
        <f aca="false">IF($M2505="贷",$O2505,0)</f>
        <v>0</v>
      </c>
      <c r="K2505" s="48" t="str">
        <f aca="false">IF($H2505="","",购销流水!$E630)</f>
        <v/>
      </c>
      <c r="L2505" s="66" t="str">
        <f aca="false">IF(购销流水!$D630="","",IFERROR(INDEX(记账规则!$A$6:$N$9,MATCH(购销流水!$D630,记账规则!$A$6:$A$9,0),12),""))</f>
        <v/>
      </c>
      <c r="M2505" s="66" t="str">
        <f aca="false">IF($L2505="","",IFERROR(INDEX(记账规则!$A$6:$N$9,MATCH(购销流水!$D630,记账规则!$A$6:$A$9,0),13),""))</f>
        <v/>
      </c>
      <c r="N2505" s="66" t="str">
        <f aca="false">IF($L2505="","",IFERROR(INDEX(记账规则!$A$6:$N$9,MATCH(购销流水!$D630,记账规则!$A$6:$A$9,0),14),""))</f>
        <v/>
      </c>
      <c r="O2505" s="67" t="n">
        <f aca="false">IF($H2505="",0,ROUND(IF($N2505="成本金额",N(购销流水!$W630),IF($N2505="金额",N(购销流水!$Q630),0)),2))</f>
        <v>0</v>
      </c>
      <c r="P2505" s="64" t="str">
        <f aca="false">IF(AND($H2505&lt;&gt;"",ROUND($O2505,2)&lt;&gt;0),"有","")</f>
        <v/>
      </c>
    </row>
    <row r="2506" customFormat="false" ht="15" hidden="true" customHeight="false" outlineLevel="0" collapsed="false">
      <c r="A2506" s="53" t="str">
        <f aca="false">IF($H2506="","",ROW()-5)</f>
        <v/>
      </c>
      <c r="B2506" s="64" t="s">
        <v>36</v>
      </c>
      <c r="C2506" s="53" t="n">
        <v>631</v>
      </c>
      <c r="D2506" s="53" t="n">
        <v>1</v>
      </c>
      <c r="E2506" s="65" t="str">
        <f aca="false">IF($H2506="","",购销流水!$B631)</f>
        <v/>
      </c>
      <c r="F2506" s="55" t="str">
        <f aca="false">IF($H2506="","",购销流水!$C631)</f>
        <v/>
      </c>
      <c r="G2506" s="48" t="str">
        <f aca="false">IF($H2506="","",购销流水!$N631)</f>
        <v/>
      </c>
      <c r="H2506" s="10" t="str">
        <f aca="false">IF($L2506="","",IF($L2506="@成本",购销流水!$U631,IF($L2506="@收入",购销流水!$T631,IF($L2506="@存货",购销流水!$S631,IF($L2506="@结算",购销流水!$R631,$L2506)))))</f>
        <v/>
      </c>
      <c r="I2506" s="42" t="n">
        <f aca="false">IF($M2506="借",$O2506,0)</f>
        <v>0</v>
      </c>
      <c r="J2506" s="42" t="n">
        <f aca="false">IF($M2506="贷",$O2506,0)</f>
        <v>0</v>
      </c>
      <c r="K2506" s="48" t="str">
        <f aca="false">IF($H2506="","",购销流水!$E631)</f>
        <v/>
      </c>
      <c r="L2506" s="66" t="str">
        <f aca="false">IF(购销流水!$D631="","",IFERROR(INDEX(记账规则!$A$6:$N$9,MATCH(购销流水!$D631,记账规则!$A$6:$A$9,0),3),""))</f>
        <v/>
      </c>
      <c r="M2506" s="66" t="str">
        <f aca="false">IF($L2506="","",IFERROR(INDEX(记账规则!$A$6:$N$9,MATCH(购销流水!$D631,记账规则!$A$6:$A$9,0),4),""))</f>
        <v/>
      </c>
      <c r="N2506" s="66" t="str">
        <f aca="false">IF($L2506="","",IFERROR(INDEX(记账规则!$A$6:$N$9,MATCH(购销流水!$D631,记账规则!$A$6:$A$9,0),5),""))</f>
        <v/>
      </c>
      <c r="O2506" s="67" t="n">
        <f aca="false">IF($H2506="",0,ROUND(IF($N2506="成本金额",N(购销流水!$W631),IF($N2506="金额",N(购销流水!$Q631),0)),2))</f>
        <v>0</v>
      </c>
      <c r="P2506" s="64" t="str">
        <f aca="false">IF(AND($H2506&lt;&gt;"",ROUND($O2506,2)&lt;&gt;0),"有","")</f>
        <v/>
      </c>
    </row>
    <row r="2507" customFormat="false" ht="15" hidden="true" customHeight="false" outlineLevel="0" collapsed="false">
      <c r="A2507" s="53" t="str">
        <f aca="false">IF($H2507="","",ROW()-5)</f>
        <v/>
      </c>
      <c r="B2507" s="64" t="s">
        <v>36</v>
      </c>
      <c r="C2507" s="53" t="n">
        <v>631</v>
      </c>
      <c r="D2507" s="53" t="n">
        <v>2</v>
      </c>
      <c r="E2507" s="65" t="str">
        <f aca="false">IF($H2507="","",购销流水!$B631)</f>
        <v/>
      </c>
      <c r="F2507" s="55" t="str">
        <f aca="false">IF($H2507="","",购销流水!$C631)</f>
        <v/>
      </c>
      <c r="G2507" s="48" t="str">
        <f aca="false">IF($H2507="","",购销流水!$N631)</f>
        <v/>
      </c>
      <c r="H2507" s="10" t="str">
        <f aca="false">IF($L2507="","",IF($L2507="@成本",购销流水!$U631,IF($L2507="@收入",购销流水!$T631,IF($L2507="@存货",购销流水!$S631,IF($L2507="@结算",购销流水!$R631,$L2507)))))</f>
        <v/>
      </c>
      <c r="I2507" s="42" t="n">
        <f aca="false">IF($M2507="借",$O2507,0)</f>
        <v>0</v>
      </c>
      <c r="J2507" s="42" t="n">
        <f aca="false">IF($M2507="贷",$O2507,0)</f>
        <v>0</v>
      </c>
      <c r="K2507" s="48" t="str">
        <f aca="false">IF($H2507="","",购销流水!$E631)</f>
        <v/>
      </c>
      <c r="L2507" s="66" t="str">
        <f aca="false">IF(购销流水!$D631="","",IFERROR(INDEX(记账规则!$A$6:$N$9,MATCH(购销流水!$D631,记账规则!$A$6:$A$9,0),6),""))</f>
        <v/>
      </c>
      <c r="M2507" s="66" t="str">
        <f aca="false">IF($L2507="","",IFERROR(INDEX(记账规则!$A$6:$N$9,MATCH(购销流水!$D631,记账规则!$A$6:$A$9,0),7),""))</f>
        <v/>
      </c>
      <c r="N2507" s="66" t="str">
        <f aca="false">IF($L2507="","",IFERROR(INDEX(记账规则!$A$6:$N$9,MATCH(购销流水!$D631,记账规则!$A$6:$A$9,0),8),""))</f>
        <v/>
      </c>
      <c r="O2507" s="67" t="n">
        <f aca="false">IF($H2507="",0,ROUND(IF($N2507="成本金额",N(购销流水!$W631),IF($N2507="金额",N(购销流水!$Q631),0)),2))</f>
        <v>0</v>
      </c>
      <c r="P2507" s="64" t="str">
        <f aca="false">IF(AND($H2507&lt;&gt;"",ROUND($O2507,2)&lt;&gt;0),"有","")</f>
        <v/>
      </c>
    </row>
    <row r="2508" customFormat="false" ht="15" hidden="true" customHeight="false" outlineLevel="0" collapsed="false">
      <c r="A2508" s="53" t="str">
        <f aca="false">IF($H2508="","",ROW()-5)</f>
        <v/>
      </c>
      <c r="B2508" s="64" t="s">
        <v>36</v>
      </c>
      <c r="C2508" s="53" t="n">
        <v>631</v>
      </c>
      <c r="D2508" s="53" t="n">
        <v>3</v>
      </c>
      <c r="E2508" s="65" t="str">
        <f aca="false">IF($H2508="","",购销流水!$B631)</f>
        <v/>
      </c>
      <c r="F2508" s="55" t="str">
        <f aca="false">IF($H2508="","",购销流水!$C631)</f>
        <v/>
      </c>
      <c r="G2508" s="48" t="str">
        <f aca="false">IF($H2508="","",购销流水!$N631)</f>
        <v/>
      </c>
      <c r="H2508" s="10" t="str">
        <f aca="false">IF($L2508="","",IF($L2508="@成本",购销流水!$U631,IF($L2508="@收入",购销流水!$T631,IF($L2508="@存货",购销流水!$S631,IF($L2508="@结算",购销流水!$R631,$L2508)))))</f>
        <v/>
      </c>
      <c r="I2508" s="42" t="n">
        <f aca="false">IF($M2508="借",$O2508,0)</f>
        <v>0</v>
      </c>
      <c r="J2508" s="42" t="n">
        <f aca="false">IF($M2508="贷",$O2508,0)</f>
        <v>0</v>
      </c>
      <c r="K2508" s="48" t="str">
        <f aca="false">IF($H2508="","",购销流水!$E631)</f>
        <v/>
      </c>
      <c r="L2508" s="66" t="str">
        <f aca="false">IF(购销流水!$D631="","",IFERROR(INDEX(记账规则!$A$6:$N$9,MATCH(购销流水!$D631,记账规则!$A$6:$A$9,0),9),""))</f>
        <v/>
      </c>
      <c r="M2508" s="66" t="str">
        <f aca="false">IF($L2508="","",IFERROR(INDEX(记账规则!$A$6:$N$9,MATCH(购销流水!$D631,记账规则!$A$6:$A$9,0),10),""))</f>
        <v/>
      </c>
      <c r="N2508" s="66" t="str">
        <f aca="false">IF($L2508="","",IFERROR(INDEX(记账规则!$A$6:$N$9,MATCH(购销流水!$D631,记账规则!$A$6:$A$9,0),11),""))</f>
        <v/>
      </c>
      <c r="O2508" s="67" t="n">
        <f aca="false">IF($H2508="",0,ROUND(IF($N2508="成本金额",N(购销流水!$W631),IF($N2508="金额",N(购销流水!$Q631),0)),2))</f>
        <v>0</v>
      </c>
      <c r="P2508" s="64" t="str">
        <f aca="false">IF(AND($H2508&lt;&gt;"",ROUND($O2508,2)&lt;&gt;0),"有","")</f>
        <v/>
      </c>
    </row>
    <row r="2509" customFormat="false" ht="15" hidden="true" customHeight="false" outlineLevel="0" collapsed="false">
      <c r="A2509" s="53" t="str">
        <f aca="false">IF($H2509="","",ROW()-5)</f>
        <v/>
      </c>
      <c r="B2509" s="64" t="s">
        <v>36</v>
      </c>
      <c r="C2509" s="53" t="n">
        <v>631</v>
      </c>
      <c r="D2509" s="53" t="n">
        <v>4</v>
      </c>
      <c r="E2509" s="65" t="str">
        <f aca="false">IF($H2509="","",购销流水!$B631)</f>
        <v/>
      </c>
      <c r="F2509" s="55" t="str">
        <f aca="false">IF($H2509="","",购销流水!$C631)</f>
        <v/>
      </c>
      <c r="G2509" s="48" t="str">
        <f aca="false">IF($H2509="","",购销流水!$N631)</f>
        <v/>
      </c>
      <c r="H2509" s="10" t="str">
        <f aca="false">IF($L2509="","",IF($L2509="@成本",购销流水!$U631,IF($L2509="@收入",购销流水!$T631,IF($L2509="@存货",购销流水!$S631,IF($L2509="@结算",购销流水!$R631,$L2509)))))</f>
        <v/>
      </c>
      <c r="I2509" s="42" t="n">
        <f aca="false">IF($M2509="借",$O2509,0)</f>
        <v>0</v>
      </c>
      <c r="J2509" s="42" t="n">
        <f aca="false">IF($M2509="贷",$O2509,0)</f>
        <v>0</v>
      </c>
      <c r="K2509" s="48" t="str">
        <f aca="false">IF($H2509="","",购销流水!$E631)</f>
        <v/>
      </c>
      <c r="L2509" s="66" t="str">
        <f aca="false">IF(购销流水!$D631="","",IFERROR(INDEX(记账规则!$A$6:$N$9,MATCH(购销流水!$D631,记账规则!$A$6:$A$9,0),12),""))</f>
        <v/>
      </c>
      <c r="M2509" s="66" t="str">
        <f aca="false">IF($L2509="","",IFERROR(INDEX(记账规则!$A$6:$N$9,MATCH(购销流水!$D631,记账规则!$A$6:$A$9,0),13),""))</f>
        <v/>
      </c>
      <c r="N2509" s="66" t="str">
        <f aca="false">IF($L2509="","",IFERROR(INDEX(记账规则!$A$6:$N$9,MATCH(购销流水!$D631,记账规则!$A$6:$A$9,0),14),""))</f>
        <v/>
      </c>
      <c r="O2509" s="67" t="n">
        <f aca="false">IF($H2509="",0,ROUND(IF($N2509="成本金额",N(购销流水!$W631),IF($N2509="金额",N(购销流水!$Q631),0)),2))</f>
        <v>0</v>
      </c>
      <c r="P2509" s="64" t="str">
        <f aca="false">IF(AND($H2509&lt;&gt;"",ROUND($O2509,2)&lt;&gt;0),"有","")</f>
        <v/>
      </c>
    </row>
    <row r="2510" customFormat="false" ht="15" hidden="true" customHeight="false" outlineLevel="0" collapsed="false">
      <c r="A2510" s="53" t="str">
        <f aca="false">IF($H2510="","",ROW()-5)</f>
        <v/>
      </c>
      <c r="B2510" s="64" t="s">
        <v>36</v>
      </c>
      <c r="C2510" s="53" t="n">
        <v>632</v>
      </c>
      <c r="D2510" s="53" t="n">
        <v>1</v>
      </c>
      <c r="E2510" s="65" t="str">
        <f aca="false">IF($H2510="","",购销流水!$B632)</f>
        <v/>
      </c>
      <c r="F2510" s="55" t="str">
        <f aca="false">IF($H2510="","",购销流水!$C632)</f>
        <v/>
      </c>
      <c r="G2510" s="48" t="str">
        <f aca="false">IF($H2510="","",购销流水!$N632)</f>
        <v/>
      </c>
      <c r="H2510" s="10" t="str">
        <f aca="false">IF($L2510="","",IF($L2510="@成本",购销流水!$U632,IF($L2510="@收入",购销流水!$T632,IF($L2510="@存货",购销流水!$S632,IF($L2510="@结算",购销流水!$R632,$L2510)))))</f>
        <v/>
      </c>
      <c r="I2510" s="42" t="n">
        <f aca="false">IF($M2510="借",$O2510,0)</f>
        <v>0</v>
      </c>
      <c r="J2510" s="42" t="n">
        <f aca="false">IF($M2510="贷",$O2510,0)</f>
        <v>0</v>
      </c>
      <c r="K2510" s="48" t="str">
        <f aca="false">IF($H2510="","",购销流水!$E632)</f>
        <v/>
      </c>
      <c r="L2510" s="66" t="str">
        <f aca="false">IF(购销流水!$D632="","",IFERROR(INDEX(记账规则!$A$6:$N$9,MATCH(购销流水!$D632,记账规则!$A$6:$A$9,0),3),""))</f>
        <v/>
      </c>
      <c r="M2510" s="66" t="str">
        <f aca="false">IF($L2510="","",IFERROR(INDEX(记账规则!$A$6:$N$9,MATCH(购销流水!$D632,记账规则!$A$6:$A$9,0),4),""))</f>
        <v/>
      </c>
      <c r="N2510" s="66" t="str">
        <f aca="false">IF($L2510="","",IFERROR(INDEX(记账规则!$A$6:$N$9,MATCH(购销流水!$D632,记账规则!$A$6:$A$9,0),5),""))</f>
        <v/>
      </c>
      <c r="O2510" s="67" t="n">
        <f aca="false">IF($H2510="",0,ROUND(IF($N2510="成本金额",N(购销流水!$W632),IF($N2510="金额",N(购销流水!$Q632),0)),2))</f>
        <v>0</v>
      </c>
      <c r="P2510" s="64" t="str">
        <f aca="false">IF(AND($H2510&lt;&gt;"",ROUND($O2510,2)&lt;&gt;0),"有","")</f>
        <v/>
      </c>
    </row>
    <row r="2511" customFormat="false" ht="15" hidden="true" customHeight="false" outlineLevel="0" collapsed="false">
      <c r="A2511" s="53" t="str">
        <f aca="false">IF($H2511="","",ROW()-5)</f>
        <v/>
      </c>
      <c r="B2511" s="64" t="s">
        <v>36</v>
      </c>
      <c r="C2511" s="53" t="n">
        <v>632</v>
      </c>
      <c r="D2511" s="53" t="n">
        <v>2</v>
      </c>
      <c r="E2511" s="65" t="str">
        <f aca="false">IF($H2511="","",购销流水!$B632)</f>
        <v/>
      </c>
      <c r="F2511" s="55" t="str">
        <f aca="false">IF($H2511="","",购销流水!$C632)</f>
        <v/>
      </c>
      <c r="G2511" s="48" t="str">
        <f aca="false">IF($H2511="","",购销流水!$N632)</f>
        <v/>
      </c>
      <c r="H2511" s="10" t="str">
        <f aca="false">IF($L2511="","",IF($L2511="@成本",购销流水!$U632,IF($L2511="@收入",购销流水!$T632,IF($L2511="@存货",购销流水!$S632,IF($L2511="@结算",购销流水!$R632,$L2511)))))</f>
        <v/>
      </c>
      <c r="I2511" s="42" t="n">
        <f aca="false">IF($M2511="借",$O2511,0)</f>
        <v>0</v>
      </c>
      <c r="J2511" s="42" t="n">
        <f aca="false">IF($M2511="贷",$O2511,0)</f>
        <v>0</v>
      </c>
      <c r="K2511" s="48" t="str">
        <f aca="false">IF($H2511="","",购销流水!$E632)</f>
        <v/>
      </c>
      <c r="L2511" s="66" t="str">
        <f aca="false">IF(购销流水!$D632="","",IFERROR(INDEX(记账规则!$A$6:$N$9,MATCH(购销流水!$D632,记账规则!$A$6:$A$9,0),6),""))</f>
        <v/>
      </c>
      <c r="M2511" s="66" t="str">
        <f aca="false">IF($L2511="","",IFERROR(INDEX(记账规则!$A$6:$N$9,MATCH(购销流水!$D632,记账规则!$A$6:$A$9,0),7),""))</f>
        <v/>
      </c>
      <c r="N2511" s="66" t="str">
        <f aca="false">IF($L2511="","",IFERROR(INDEX(记账规则!$A$6:$N$9,MATCH(购销流水!$D632,记账规则!$A$6:$A$9,0),8),""))</f>
        <v/>
      </c>
      <c r="O2511" s="67" t="n">
        <f aca="false">IF($H2511="",0,ROUND(IF($N2511="成本金额",N(购销流水!$W632),IF($N2511="金额",N(购销流水!$Q632),0)),2))</f>
        <v>0</v>
      </c>
      <c r="P2511" s="64" t="str">
        <f aca="false">IF(AND($H2511&lt;&gt;"",ROUND($O2511,2)&lt;&gt;0),"有","")</f>
        <v/>
      </c>
    </row>
    <row r="2512" customFormat="false" ht="15" hidden="true" customHeight="false" outlineLevel="0" collapsed="false">
      <c r="A2512" s="53" t="str">
        <f aca="false">IF($H2512="","",ROW()-5)</f>
        <v/>
      </c>
      <c r="B2512" s="64" t="s">
        <v>36</v>
      </c>
      <c r="C2512" s="53" t="n">
        <v>632</v>
      </c>
      <c r="D2512" s="53" t="n">
        <v>3</v>
      </c>
      <c r="E2512" s="65" t="str">
        <f aca="false">IF($H2512="","",购销流水!$B632)</f>
        <v/>
      </c>
      <c r="F2512" s="55" t="str">
        <f aca="false">IF($H2512="","",购销流水!$C632)</f>
        <v/>
      </c>
      <c r="G2512" s="48" t="str">
        <f aca="false">IF($H2512="","",购销流水!$N632)</f>
        <v/>
      </c>
      <c r="H2512" s="10" t="str">
        <f aca="false">IF($L2512="","",IF($L2512="@成本",购销流水!$U632,IF($L2512="@收入",购销流水!$T632,IF($L2512="@存货",购销流水!$S632,IF($L2512="@结算",购销流水!$R632,$L2512)))))</f>
        <v/>
      </c>
      <c r="I2512" s="42" t="n">
        <f aca="false">IF($M2512="借",$O2512,0)</f>
        <v>0</v>
      </c>
      <c r="J2512" s="42" t="n">
        <f aca="false">IF($M2512="贷",$O2512,0)</f>
        <v>0</v>
      </c>
      <c r="K2512" s="48" t="str">
        <f aca="false">IF($H2512="","",购销流水!$E632)</f>
        <v/>
      </c>
      <c r="L2512" s="66" t="str">
        <f aca="false">IF(购销流水!$D632="","",IFERROR(INDEX(记账规则!$A$6:$N$9,MATCH(购销流水!$D632,记账规则!$A$6:$A$9,0),9),""))</f>
        <v/>
      </c>
      <c r="M2512" s="66" t="str">
        <f aca="false">IF($L2512="","",IFERROR(INDEX(记账规则!$A$6:$N$9,MATCH(购销流水!$D632,记账规则!$A$6:$A$9,0),10),""))</f>
        <v/>
      </c>
      <c r="N2512" s="66" t="str">
        <f aca="false">IF($L2512="","",IFERROR(INDEX(记账规则!$A$6:$N$9,MATCH(购销流水!$D632,记账规则!$A$6:$A$9,0),11),""))</f>
        <v/>
      </c>
      <c r="O2512" s="67" t="n">
        <f aca="false">IF($H2512="",0,ROUND(IF($N2512="成本金额",N(购销流水!$W632),IF($N2512="金额",N(购销流水!$Q632),0)),2))</f>
        <v>0</v>
      </c>
      <c r="P2512" s="64" t="str">
        <f aca="false">IF(AND($H2512&lt;&gt;"",ROUND($O2512,2)&lt;&gt;0),"有","")</f>
        <v/>
      </c>
    </row>
    <row r="2513" customFormat="false" ht="15" hidden="true" customHeight="false" outlineLevel="0" collapsed="false">
      <c r="A2513" s="53" t="str">
        <f aca="false">IF($H2513="","",ROW()-5)</f>
        <v/>
      </c>
      <c r="B2513" s="64" t="s">
        <v>36</v>
      </c>
      <c r="C2513" s="53" t="n">
        <v>632</v>
      </c>
      <c r="D2513" s="53" t="n">
        <v>4</v>
      </c>
      <c r="E2513" s="65" t="str">
        <f aca="false">IF($H2513="","",购销流水!$B632)</f>
        <v/>
      </c>
      <c r="F2513" s="55" t="str">
        <f aca="false">IF($H2513="","",购销流水!$C632)</f>
        <v/>
      </c>
      <c r="G2513" s="48" t="str">
        <f aca="false">IF($H2513="","",购销流水!$N632)</f>
        <v/>
      </c>
      <c r="H2513" s="10" t="str">
        <f aca="false">IF($L2513="","",IF($L2513="@成本",购销流水!$U632,IF($L2513="@收入",购销流水!$T632,IF($L2513="@存货",购销流水!$S632,IF($L2513="@结算",购销流水!$R632,$L2513)))))</f>
        <v/>
      </c>
      <c r="I2513" s="42" t="n">
        <f aca="false">IF($M2513="借",$O2513,0)</f>
        <v>0</v>
      </c>
      <c r="J2513" s="42" t="n">
        <f aca="false">IF($M2513="贷",$O2513,0)</f>
        <v>0</v>
      </c>
      <c r="K2513" s="48" t="str">
        <f aca="false">IF($H2513="","",购销流水!$E632)</f>
        <v/>
      </c>
      <c r="L2513" s="66" t="str">
        <f aca="false">IF(购销流水!$D632="","",IFERROR(INDEX(记账规则!$A$6:$N$9,MATCH(购销流水!$D632,记账规则!$A$6:$A$9,0),12),""))</f>
        <v/>
      </c>
      <c r="M2513" s="66" t="str">
        <f aca="false">IF($L2513="","",IFERROR(INDEX(记账规则!$A$6:$N$9,MATCH(购销流水!$D632,记账规则!$A$6:$A$9,0),13),""))</f>
        <v/>
      </c>
      <c r="N2513" s="66" t="str">
        <f aca="false">IF($L2513="","",IFERROR(INDEX(记账规则!$A$6:$N$9,MATCH(购销流水!$D632,记账规则!$A$6:$A$9,0),14),""))</f>
        <v/>
      </c>
      <c r="O2513" s="67" t="n">
        <f aca="false">IF($H2513="",0,ROUND(IF($N2513="成本金额",N(购销流水!$W632),IF($N2513="金额",N(购销流水!$Q632),0)),2))</f>
        <v>0</v>
      </c>
      <c r="P2513" s="64" t="str">
        <f aca="false">IF(AND($H2513&lt;&gt;"",ROUND($O2513,2)&lt;&gt;0),"有","")</f>
        <v/>
      </c>
    </row>
    <row r="2514" customFormat="false" ht="15" hidden="true" customHeight="false" outlineLevel="0" collapsed="false">
      <c r="A2514" s="53" t="str">
        <f aca="false">IF($H2514="","",ROW()-5)</f>
        <v/>
      </c>
      <c r="B2514" s="64" t="s">
        <v>36</v>
      </c>
      <c r="C2514" s="53" t="n">
        <v>633</v>
      </c>
      <c r="D2514" s="53" t="n">
        <v>1</v>
      </c>
      <c r="E2514" s="65" t="str">
        <f aca="false">IF($H2514="","",购销流水!$B633)</f>
        <v/>
      </c>
      <c r="F2514" s="55" t="str">
        <f aca="false">IF($H2514="","",购销流水!$C633)</f>
        <v/>
      </c>
      <c r="G2514" s="48" t="str">
        <f aca="false">IF($H2514="","",购销流水!$N633)</f>
        <v/>
      </c>
      <c r="H2514" s="10" t="str">
        <f aca="false">IF($L2514="","",IF($L2514="@成本",购销流水!$U633,IF($L2514="@收入",购销流水!$T633,IF($L2514="@存货",购销流水!$S633,IF($L2514="@结算",购销流水!$R633,$L2514)))))</f>
        <v/>
      </c>
      <c r="I2514" s="42" t="n">
        <f aca="false">IF($M2514="借",$O2514,0)</f>
        <v>0</v>
      </c>
      <c r="J2514" s="42" t="n">
        <f aca="false">IF($M2514="贷",$O2514,0)</f>
        <v>0</v>
      </c>
      <c r="K2514" s="48" t="str">
        <f aca="false">IF($H2514="","",购销流水!$E633)</f>
        <v/>
      </c>
      <c r="L2514" s="66" t="str">
        <f aca="false">IF(购销流水!$D633="","",IFERROR(INDEX(记账规则!$A$6:$N$9,MATCH(购销流水!$D633,记账规则!$A$6:$A$9,0),3),""))</f>
        <v/>
      </c>
      <c r="M2514" s="66" t="str">
        <f aca="false">IF($L2514="","",IFERROR(INDEX(记账规则!$A$6:$N$9,MATCH(购销流水!$D633,记账规则!$A$6:$A$9,0),4),""))</f>
        <v/>
      </c>
      <c r="N2514" s="66" t="str">
        <f aca="false">IF($L2514="","",IFERROR(INDEX(记账规则!$A$6:$N$9,MATCH(购销流水!$D633,记账规则!$A$6:$A$9,0),5),""))</f>
        <v/>
      </c>
      <c r="O2514" s="67" t="n">
        <f aca="false">IF($H2514="",0,ROUND(IF($N2514="成本金额",N(购销流水!$W633),IF($N2514="金额",N(购销流水!$Q633),0)),2))</f>
        <v>0</v>
      </c>
      <c r="P2514" s="64" t="str">
        <f aca="false">IF(AND($H2514&lt;&gt;"",ROUND($O2514,2)&lt;&gt;0),"有","")</f>
        <v/>
      </c>
    </row>
    <row r="2515" customFormat="false" ht="15" hidden="true" customHeight="false" outlineLevel="0" collapsed="false">
      <c r="A2515" s="53" t="str">
        <f aca="false">IF($H2515="","",ROW()-5)</f>
        <v/>
      </c>
      <c r="B2515" s="64" t="s">
        <v>36</v>
      </c>
      <c r="C2515" s="53" t="n">
        <v>633</v>
      </c>
      <c r="D2515" s="53" t="n">
        <v>2</v>
      </c>
      <c r="E2515" s="65" t="str">
        <f aca="false">IF($H2515="","",购销流水!$B633)</f>
        <v/>
      </c>
      <c r="F2515" s="55" t="str">
        <f aca="false">IF($H2515="","",购销流水!$C633)</f>
        <v/>
      </c>
      <c r="G2515" s="48" t="str">
        <f aca="false">IF($H2515="","",购销流水!$N633)</f>
        <v/>
      </c>
      <c r="H2515" s="10" t="str">
        <f aca="false">IF($L2515="","",IF($L2515="@成本",购销流水!$U633,IF($L2515="@收入",购销流水!$T633,IF($L2515="@存货",购销流水!$S633,IF($L2515="@结算",购销流水!$R633,$L2515)))))</f>
        <v/>
      </c>
      <c r="I2515" s="42" t="n">
        <f aca="false">IF($M2515="借",$O2515,0)</f>
        <v>0</v>
      </c>
      <c r="J2515" s="42" t="n">
        <f aca="false">IF($M2515="贷",$O2515,0)</f>
        <v>0</v>
      </c>
      <c r="K2515" s="48" t="str">
        <f aca="false">IF($H2515="","",购销流水!$E633)</f>
        <v/>
      </c>
      <c r="L2515" s="66" t="str">
        <f aca="false">IF(购销流水!$D633="","",IFERROR(INDEX(记账规则!$A$6:$N$9,MATCH(购销流水!$D633,记账规则!$A$6:$A$9,0),6),""))</f>
        <v/>
      </c>
      <c r="M2515" s="66" t="str">
        <f aca="false">IF($L2515="","",IFERROR(INDEX(记账规则!$A$6:$N$9,MATCH(购销流水!$D633,记账规则!$A$6:$A$9,0),7),""))</f>
        <v/>
      </c>
      <c r="N2515" s="66" t="str">
        <f aca="false">IF($L2515="","",IFERROR(INDEX(记账规则!$A$6:$N$9,MATCH(购销流水!$D633,记账规则!$A$6:$A$9,0),8),""))</f>
        <v/>
      </c>
      <c r="O2515" s="67" t="n">
        <f aca="false">IF($H2515="",0,ROUND(IF($N2515="成本金额",N(购销流水!$W633),IF($N2515="金额",N(购销流水!$Q633),0)),2))</f>
        <v>0</v>
      </c>
      <c r="P2515" s="64" t="str">
        <f aca="false">IF(AND($H2515&lt;&gt;"",ROUND($O2515,2)&lt;&gt;0),"有","")</f>
        <v/>
      </c>
    </row>
    <row r="2516" customFormat="false" ht="15" hidden="true" customHeight="false" outlineLevel="0" collapsed="false">
      <c r="A2516" s="53" t="str">
        <f aca="false">IF($H2516="","",ROW()-5)</f>
        <v/>
      </c>
      <c r="B2516" s="64" t="s">
        <v>36</v>
      </c>
      <c r="C2516" s="53" t="n">
        <v>633</v>
      </c>
      <c r="D2516" s="53" t="n">
        <v>3</v>
      </c>
      <c r="E2516" s="65" t="str">
        <f aca="false">IF($H2516="","",购销流水!$B633)</f>
        <v/>
      </c>
      <c r="F2516" s="55" t="str">
        <f aca="false">IF($H2516="","",购销流水!$C633)</f>
        <v/>
      </c>
      <c r="G2516" s="48" t="str">
        <f aca="false">IF($H2516="","",购销流水!$N633)</f>
        <v/>
      </c>
      <c r="H2516" s="10" t="str">
        <f aca="false">IF($L2516="","",IF($L2516="@成本",购销流水!$U633,IF($L2516="@收入",购销流水!$T633,IF($L2516="@存货",购销流水!$S633,IF($L2516="@结算",购销流水!$R633,$L2516)))))</f>
        <v/>
      </c>
      <c r="I2516" s="42" t="n">
        <f aca="false">IF($M2516="借",$O2516,0)</f>
        <v>0</v>
      </c>
      <c r="J2516" s="42" t="n">
        <f aca="false">IF($M2516="贷",$O2516,0)</f>
        <v>0</v>
      </c>
      <c r="K2516" s="48" t="str">
        <f aca="false">IF($H2516="","",购销流水!$E633)</f>
        <v/>
      </c>
      <c r="L2516" s="66" t="str">
        <f aca="false">IF(购销流水!$D633="","",IFERROR(INDEX(记账规则!$A$6:$N$9,MATCH(购销流水!$D633,记账规则!$A$6:$A$9,0),9),""))</f>
        <v/>
      </c>
      <c r="M2516" s="66" t="str">
        <f aca="false">IF($L2516="","",IFERROR(INDEX(记账规则!$A$6:$N$9,MATCH(购销流水!$D633,记账规则!$A$6:$A$9,0),10),""))</f>
        <v/>
      </c>
      <c r="N2516" s="66" t="str">
        <f aca="false">IF($L2516="","",IFERROR(INDEX(记账规则!$A$6:$N$9,MATCH(购销流水!$D633,记账规则!$A$6:$A$9,0),11),""))</f>
        <v/>
      </c>
      <c r="O2516" s="67" t="n">
        <f aca="false">IF($H2516="",0,ROUND(IF($N2516="成本金额",N(购销流水!$W633),IF($N2516="金额",N(购销流水!$Q633),0)),2))</f>
        <v>0</v>
      </c>
      <c r="P2516" s="64" t="str">
        <f aca="false">IF(AND($H2516&lt;&gt;"",ROUND($O2516,2)&lt;&gt;0),"有","")</f>
        <v/>
      </c>
    </row>
    <row r="2517" customFormat="false" ht="15" hidden="true" customHeight="false" outlineLevel="0" collapsed="false">
      <c r="A2517" s="53" t="str">
        <f aca="false">IF($H2517="","",ROW()-5)</f>
        <v/>
      </c>
      <c r="B2517" s="64" t="s">
        <v>36</v>
      </c>
      <c r="C2517" s="53" t="n">
        <v>633</v>
      </c>
      <c r="D2517" s="53" t="n">
        <v>4</v>
      </c>
      <c r="E2517" s="65" t="str">
        <f aca="false">IF($H2517="","",购销流水!$B633)</f>
        <v/>
      </c>
      <c r="F2517" s="55" t="str">
        <f aca="false">IF($H2517="","",购销流水!$C633)</f>
        <v/>
      </c>
      <c r="G2517" s="48" t="str">
        <f aca="false">IF($H2517="","",购销流水!$N633)</f>
        <v/>
      </c>
      <c r="H2517" s="10" t="str">
        <f aca="false">IF($L2517="","",IF($L2517="@成本",购销流水!$U633,IF($L2517="@收入",购销流水!$T633,IF($L2517="@存货",购销流水!$S633,IF($L2517="@结算",购销流水!$R633,$L2517)))))</f>
        <v/>
      </c>
      <c r="I2517" s="42" t="n">
        <f aca="false">IF($M2517="借",$O2517,0)</f>
        <v>0</v>
      </c>
      <c r="J2517" s="42" t="n">
        <f aca="false">IF($M2517="贷",$O2517,0)</f>
        <v>0</v>
      </c>
      <c r="K2517" s="48" t="str">
        <f aca="false">IF($H2517="","",购销流水!$E633)</f>
        <v/>
      </c>
      <c r="L2517" s="66" t="str">
        <f aca="false">IF(购销流水!$D633="","",IFERROR(INDEX(记账规则!$A$6:$N$9,MATCH(购销流水!$D633,记账规则!$A$6:$A$9,0),12),""))</f>
        <v/>
      </c>
      <c r="M2517" s="66" t="str">
        <f aca="false">IF($L2517="","",IFERROR(INDEX(记账规则!$A$6:$N$9,MATCH(购销流水!$D633,记账规则!$A$6:$A$9,0),13),""))</f>
        <v/>
      </c>
      <c r="N2517" s="66" t="str">
        <f aca="false">IF($L2517="","",IFERROR(INDEX(记账规则!$A$6:$N$9,MATCH(购销流水!$D633,记账规则!$A$6:$A$9,0),14),""))</f>
        <v/>
      </c>
      <c r="O2517" s="67" t="n">
        <f aca="false">IF($H2517="",0,ROUND(IF($N2517="成本金额",N(购销流水!$W633),IF($N2517="金额",N(购销流水!$Q633),0)),2))</f>
        <v>0</v>
      </c>
      <c r="P2517" s="64" t="str">
        <f aca="false">IF(AND($H2517&lt;&gt;"",ROUND($O2517,2)&lt;&gt;0),"有","")</f>
        <v/>
      </c>
    </row>
    <row r="2518" customFormat="false" ht="15" hidden="true" customHeight="false" outlineLevel="0" collapsed="false">
      <c r="A2518" s="53" t="str">
        <f aca="false">IF($H2518="","",ROW()-5)</f>
        <v/>
      </c>
      <c r="B2518" s="64" t="s">
        <v>36</v>
      </c>
      <c r="C2518" s="53" t="n">
        <v>634</v>
      </c>
      <c r="D2518" s="53" t="n">
        <v>1</v>
      </c>
      <c r="E2518" s="65" t="str">
        <f aca="false">IF($H2518="","",购销流水!$B634)</f>
        <v/>
      </c>
      <c r="F2518" s="55" t="str">
        <f aca="false">IF($H2518="","",购销流水!$C634)</f>
        <v/>
      </c>
      <c r="G2518" s="48" t="str">
        <f aca="false">IF($H2518="","",购销流水!$N634)</f>
        <v/>
      </c>
      <c r="H2518" s="10" t="str">
        <f aca="false">IF($L2518="","",IF($L2518="@成本",购销流水!$U634,IF($L2518="@收入",购销流水!$T634,IF($L2518="@存货",购销流水!$S634,IF($L2518="@结算",购销流水!$R634,$L2518)))))</f>
        <v/>
      </c>
      <c r="I2518" s="42" t="n">
        <f aca="false">IF($M2518="借",$O2518,0)</f>
        <v>0</v>
      </c>
      <c r="J2518" s="42" t="n">
        <f aca="false">IF($M2518="贷",$O2518,0)</f>
        <v>0</v>
      </c>
      <c r="K2518" s="48" t="str">
        <f aca="false">IF($H2518="","",购销流水!$E634)</f>
        <v/>
      </c>
      <c r="L2518" s="66" t="str">
        <f aca="false">IF(购销流水!$D634="","",IFERROR(INDEX(记账规则!$A$6:$N$9,MATCH(购销流水!$D634,记账规则!$A$6:$A$9,0),3),""))</f>
        <v/>
      </c>
      <c r="M2518" s="66" t="str">
        <f aca="false">IF($L2518="","",IFERROR(INDEX(记账规则!$A$6:$N$9,MATCH(购销流水!$D634,记账规则!$A$6:$A$9,0),4),""))</f>
        <v/>
      </c>
      <c r="N2518" s="66" t="str">
        <f aca="false">IF($L2518="","",IFERROR(INDEX(记账规则!$A$6:$N$9,MATCH(购销流水!$D634,记账规则!$A$6:$A$9,0),5),""))</f>
        <v/>
      </c>
      <c r="O2518" s="67" t="n">
        <f aca="false">IF($H2518="",0,ROUND(IF($N2518="成本金额",N(购销流水!$W634),IF($N2518="金额",N(购销流水!$Q634),0)),2))</f>
        <v>0</v>
      </c>
      <c r="P2518" s="64" t="str">
        <f aca="false">IF(AND($H2518&lt;&gt;"",ROUND($O2518,2)&lt;&gt;0),"有","")</f>
        <v/>
      </c>
    </row>
    <row r="2519" customFormat="false" ht="15" hidden="true" customHeight="false" outlineLevel="0" collapsed="false">
      <c r="A2519" s="53" t="str">
        <f aca="false">IF($H2519="","",ROW()-5)</f>
        <v/>
      </c>
      <c r="B2519" s="64" t="s">
        <v>36</v>
      </c>
      <c r="C2519" s="53" t="n">
        <v>634</v>
      </c>
      <c r="D2519" s="53" t="n">
        <v>2</v>
      </c>
      <c r="E2519" s="65" t="str">
        <f aca="false">IF($H2519="","",购销流水!$B634)</f>
        <v/>
      </c>
      <c r="F2519" s="55" t="str">
        <f aca="false">IF($H2519="","",购销流水!$C634)</f>
        <v/>
      </c>
      <c r="G2519" s="48" t="str">
        <f aca="false">IF($H2519="","",购销流水!$N634)</f>
        <v/>
      </c>
      <c r="H2519" s="10" t="str">
        <f aca="false">IF($L2519="","",IF($L2519="@成本",购销流水!$U634,IF($L2519="@收入",购销流水!$T634,IF($L2519="@存货",购销流水!$S634,IF($L2519="@结算",购销流水!$R634,$L2519)))))</f>
        <v/>
      </c>
      <c r="I2519" s="42" t="n">
        <f aca="false">IF($M2519="借",$O2519,0)</f>
        <v>0</v>
      </c>
      <c r="J2519" s="42" t="n">
        <f aca="false">IF($M2519="贷",$O2519,0)</f>
        <v>0</v>
      </c>
      <c r="K2519" s="48" t="str">
        <f aca="false">IF($H2519="","",购销流水!$E634)</f>
        <v/>
      </c>
      <c r="L2519" s="66" t="str">
        <f aca="false">IF(购销流水!$D634="","",IFERROR(INDEX(记账规则!$A$6:$N$9,MATCH(购销流水!$D634,记账规则!$A$6:$A$9,0),6),""))</f>
        <v/>
      </c>
      <c r="M2519" s="66" t="str">
        <f aca="false">IF($L2519="","",IFERROR(INDEX(记账规则!$A$6:$N$9,MATCH(购销流水!$D634,记账规则!$A$6:$A$9,0),7),""))</f>
        <v/>
      </c>
      <c r="N2519" s="66" t="str">
        <f aca="false">IF($L2519="","",IFERROR(INDEX(记账规则!$A$6:$N$9,MATCH(购销流水!$D634,记账规则!$A$6:$A$9,0),8),""))</f>
        <v/>
      </c>
      <c r="O2519" s="67" t="n">
        <f aca="false">IF($H2519="",0,ROUND(IF($N2519="成本金额",N(购销流水!$W634),IF($N2519="金额",N(购销流水!$Q634),0)),2))</f>
        <v>0</v>
      </c>
      <c r="P2519" s="64" t="str">
        <f aca="false">IF(AND($H2519&lt;&gt;"",ROUND($O2519,2)&lt;&gt;0),"有","")</f>
        <v/>
      </c>
    </row>
    <row r="2520" customFormat="false" ht="15" hidden="true" customHeight="false" outlineLevel="0" collapsed="false">
      <c r="A2520" s="53" t="str">
        <f aca="false">IF($H2520="","",ROW()-5)</f>
        <v/>
      </c>
      <c r="B2520" s="64" t="s">
        <v>36</v>
      </c>
      <c r="C2520" s="53" t="n">
        <v>634</v>
      </c>
      <c r="D2520" s="53" t="n">
        <v>3</v>
      </c>
      <c r="E2520" s="65" t="str">
        <f aca="false">IF($H2520="","",购销流水!$B634)</f>
        <v/>
      </c>
      <c r="F2520" s="55" t="str">
        <f aca="false">IF($H2520="","",购销流水!$C634)</f>
        <v/>
      </c>
      <c r="G2520" s="48" t="str">
        <f aca="false">IF($H2520="","",购销流水!$N634)</f>
        <v/>
      </c>
      <c r="H2520" s="10" t="str">
        <f aca="false">IF($L2520="","",IF($L2520="@成本",购销流水!$U634,IF($L2520="@收入",购销流水!$T634,IF($L2520="@存货",购销流水!$S634,IF($L2520="@结算",购销流水!$R634,$L2520)))))</f>
        <v/>
      </c>
      <c r="I2520" s="42" t="n">
        <f aca="false">IF($M2520="借",$O2520,0)</f>
        <v>0</v>
      </c>
      <c r="J2520" s="42" t="n">
        <f aca="false">IF($M2520="贷",$O2520,0)</f>
        <v>0</v>
      </c>
      <c r="K2520" s="48" t="str">
        <f aca="false">IF($H2520="","",购销流水!$E634)</f>
        <v/>
      </c>
      <c r="L2520" s="66" t="str">
        <f aca="false">IF(购销流水!$D634="","",IFERROR(INDEX(记账规则!$A$6:$N$9,MATCH(购销流水!$D634,记账规则!$A$6:$A$9,0),9),""))</f>
        <v/>
      </c>
      <c r="M2520" s="66" t="str">
        <f aca="false">IF($L2520="","",IFERROR(INDEX(记账规则!$A$6:$N$9,MATCH(购销流水!$D634,记账规则!$A$6:$A$9,0),10),""))</f>
        <v/>
      </c>
      <c r="N2520" s="66" t="str">
        <f aca="false">IF($L2520="","",IFERROR(INDEX(记账规则!$A$6:$N$9,MATCH(购销流水!$D634,记账规则!$A$6:$A$9,0),11),""))</f>
        <v/>
      </c>
      <c r="O2520" s="67" t="n">
        <f aca="false">IF($H2520="",0,ROUND(IF($N2520="成本金额",N(购销流水!$W634),IF($N2520="金额",N(购销流水!$Q634),0)),2))</f>
        <v>0</v>
      </c>
      <c r="P2520" s="64" t="str">
        <f aca="false">IF(AND($H2520&lt;&gt;"",ROUND($O2520,2)&lt;&gt;0),"有","")</f>
        <v/>
      </c>
    </row>
    <row r="2521" customFormat="false" ht="15" hidden="true" customHeight="false" outlineLevel="0" collapsed="false">
      <c r="A2521" s="53" t="str">
        <f aca="false">IF($H2521="","",ROW()-5)</f>
        <v/>
      </c>
      <c r="B2521" s="64" t="s">
        <v>36</v>
      </c>
      <c r="C2521" s="53" t="n">
        <v>634</v>
      </c>
      <c r="D2521" s="53" t="n">
        <v>4</v>
      </c>
      <c r="E2521" s="65" t="str">
        <f aca="false">IF($H2521="","",购销流水!$B634)</f>
        <v/>
      </c>
      <c r="F2521" s="55" t="str">
        <f aca="false">IF($H2521="","",购销流水!$C634)</f>
        <v/>
      </c>
      <c r="G2521" s="48" t="str">
        <f aca="false">IF($H2521="","",购销流水!$N634)</f>
        <v/>
      </c>
      <c r="H2521" s="10" t="str">
        <f aca="false">IF($L2521="","",IF($L2521="@成本",购销流水!$U634,IF($L2521="@收入",购销流水!$T634,IF($L2521="@存货",购销流水!$S634,IF($L2521="@结算",购销流水!$R634,$L2521)))))</f>
        <v/>
      </c>
      <c r="I2521" s="42" t="n">
        <f aca="false">IF($M2521="借",$O2521,0)</f>
        <v>0</v>
      </c>
      <c r="J2521" s="42" t="n">
        <f aca="false">IF($M2521="贷",$O2521,0)</f>
        <v>0</v>
      </c>
      <c r="K2521" s="48" t="str">
        <f aca="false">IF($H2521="","",购销流水!$E634)</f>
        <v/>
      </c>
      <c r="L2521" s="66" t="str">
        <f aca="false">IF(购销流水!$D634="","",IFERROR(INDEX(记账规则!$A$6:$N$9,MATCH(购销流水!$D634,记账规则!$A$6:$A$9,0),12),""))</f>
        <v/>
      </c>
      <c r="M2521" s="66" t="str">
        <f aca="false">IF($L2521="","",IFERROR(INDEX(记账规则!$A$6:$N$9,MATCH(购销流水!$D634,记账规则!$A$6:$A$9,0),13),""))</f>
        <v/>
      </c>
      <c r="N2521" s="66" t="str">
        <f aca="false">IF($L2521="","",IFERROR(INDEX(记账规则!$A$6:$N$9,MATCH(购销流水!$D634,记账规则!$A$6:$A$9,0),14),""))</f>
        <v/>
      </c>
      <c r="O2521" s="67" t="n">
        <f aca="false">IF($H2521="",0,ROUND(IF($N2521="成本金额",N(购销流水!$W634),IF($N2521="金额",N(购销流水!$Q634),0)),2))</f>
        <v>0</v>
      </c>
      <c r="P2521" s="64" t="str">
        <f aca="false">IF(AND($H2521&lt;&gt;"",ROUND($O2521,2)&lt;&gt;0),"有","")</f>
        <v/>
      </c>
    </row>
    <row r="2522" customFormat="false" ht="15" hidden="true" customHeight="false" outlineLevel="0" collapsed="false">
      <c r="A2522" s="53" t="str">
        <f aca="false">IF($H2522="","",ROW()-5)</f>
        <v/>
      </c>
      <c r="B2522" s="64" t="s">
        <v>36</v>
      </c>
      <c r="C2522" s="53" t="n">
        <v>635</v>
      </c>
      <c r="D2522" s="53" t="n">
        <v>1</v>
      </c>
      <c r="E2522" s="65" t="str">
        <f aca="false">IF($H2522="","",购销流水!$B635)</f>
        <v/>
      </c>
      <c r="F2522" s="55" t="str">
        <f aca="false">IF($H2522="","",购销流水!$C635)</f>
        <v/>
      </c>
      <c r="G2522" s="48" t="str">
        <f aca="false">IF($H2522="","",购销流水!$N635)</f>
        <v/>
      </c>
      <c r="H2522" s="10" t="str">
        <f aca="false">IF($L2522="","",IF($L2522="@成本",购销流水!$U635,IF($L2522="@收入",购销流水!$T635,IF($L2522="@存货",购销流水!$S635,IF($L2522="@结算",购销流水!$R635,$L2522)))))</f>
        <v/>
      </c>
      <c r="I2522" s="42" t="n">
        <f aca="false">IF($M2522="借",$O2522,0)</f>
        <v>0</v>
      </c>
      <c r="J2522" s="42" t="n">
        <f aca="false">IF($M2522="贷",$O2522,0)</f>
        <v>0</v>
      </c>
      <c r="K2522" s="48" t="str">
        <f aca="false">IF($H2522="","",购销流水!$E635)</f>
        <v/>
      </c>
      <c r="L2522" s="66" t="str">
        <f aca="false">IF(购销流水!$D635="","",IFERROR(INDEX(记账规则!$A$6:$N$9,MATCH(购销流水!$D635,记账规则!$A$6:$A$9,0),3),""))</f>
        <v/>
      </c>
      <c r="M2522" s="66" t="str">
        <f aca="false">IF($L2522="","",IFERROR(INDEX(记账规则!$A$6:$N$9,MATCH(购销流水!$D635,记账规则!$A$6:$A$9,0),4),""))</f>
        <v/>
      </c>
      <c r="N2522" s="66" t="str">
        <f aca="false">IF($L2522="","",IFERROR(INDEX(记账规则!$A$6:$N$9,MATCH(购销流水!$D635,记账规则!$A$6:$A$9,0),5),""))</f>
        <v/>
      </c>
      <c r="O2522" s="67" t="n">
        <f aca="false">IF($H2522="",0,ROUND(IF($N2522="成本金额",N(购销流水!$W635),IF($N2522="金额",N(购销流水!$Q635),0)),2))</f>
        <v>0</v>
      </c>
      <c r="P2522" s="64" t="str">
        <f aca="false">IF(AND($H2522&lt;&gt;"",ROUND($O2522,2)&lt;&gt;0),"有","")</f>
        <v/>
      </c>
    </row>
    <row r="2523" customFormat="false" ht="15" hidden="true" customHeight="false" outlineLevel="0" collapsed="false">
      <c r="A2523" s="53" t="str">
        <f aca="false">IF($H2523="","",ROW()-5)</f>
        <v/>
      </c>
      <c r="B2523" s="64" t="s">
        <v>36</v>
      </c>
      <c r="C2523" s="53" t="n">
        <v>635</v>
      </c>
      <c r="D2523" s="53" t="n">
        <v>2</v>
      </c>
      <c r="E2523" s="65" t="str">
        <f aca="false">IF($H2523="","",购销流水!$B635)</f>
        <v/>
      </c>
      <c r="F2523" s="55" t="str">
        <f aca="false">IF($H2523="","",购销流水!$C635)</f>
        <v/>
      </c>
      <c r="G2523" s="48" t="str">
        <f aca="false">IF($H2523="","",购销流水!$N635)</f>
        <v/>
      </c>
      <c r="H2523" s="10" t="str">
        <f aca="false">IF($L2523="","",IF($L2523="@成本",购销流水!$U635,IF($L2523="@收入",购销流水!$T635,IF($L2523="@存货",购销流水!$S635,IF($L2523="@结算",购销流水!$R635,$L2523)))))</f>
        <v/>
      </c>
      <c r="I2523" s="42" t="n">
        <f aca="false">IF($M2523="借",$O2523,0)</f>
        <v>0</v>
      </c>
      <c r="J2523" s="42" t="n">
        <f aca="false">IF($M2523="贷",$O2523,0)</f>
        <v>0</v>
      </c>
      <c r="K2523" s="48" t="str">
        <f aca="false">IF($H2523="","",购销流水!$E635)</f>
        <v/>
      </c>
      <c r="L2523" s="66" t="str">
        <f aca="false">IF(购销流水!$D635="","",IFERROR(INDEX(记账规则!$A$6:$N$9,MATCH(购销流水!$D635,记账规则!$A$6:$A$9,0),6),""))</f>
        <v/>
      </c>
      <c r="M2523" s="66" t="str">
        <f aca="false">IF($L2523="","",IFERROR(INDEX(记账规则!$A$6:$N$9,MATCH(购销流水!$D635,记账规则!$A$6:$A$9,0),7),""))</f>
        <v/>
      </c>
      <c r="N2523" s="66" t="str">
        <f aca="false">IF($L2523="","",IFERROR(INDEX(记账规则!$A$6:$N$9,MATCH(购销流水!$D635,记账规则!$A$6:$A$9,0),8),""))</f>
        <v/>
      </c>
      <c r="O2523" s="67" t="n">
        <f aca="false">IF($H2523="",0,ROUND(IF($N2523="成本金额",N(购销流水!$W635),IF($N2523="金额",N(购销流水!$Q635),0)),2))</f>
        <v>0</v>
      </c>
      <c r="P2523" s="64" t="str">
        <f aca="false">IF(AND($H2523&lt;&gt;"",ROUND($O2523,2)&lt;&gt;0),"有","")</f>
        <v/>
      </c>
    </row>
    <row r="2524" customFormat="false" ht="15" hidden="true" customHeight="false" outlineLevel="0" collapsed="false">
      <c r="A2524" s="53" t="str">
        <f aca="false">IF($H2524="","",ROW()-5)</f>
        <v/>
      </c>
      <c r="B2524" s="64" t="s">
        <v>36</v>
      </c>
      <c r="C2524" s="53" t="n">
        <v>635</v>
      </c>
      <c r="D2524" s="53" t="n">
        <v>3</v>
      </c>
      <c r="E2524" s="65" t="str">
        <f aca="false">IF($H2524="","",购销流水!$B635)</f>
        <v/>
      </c>
      <c r="F2524" s="55" t="str">
        <f aca="false">IF($H2524="","",购销流水!$C635)</f>
        <v/>
      </c>
      <c r="G2524" s="48" t="str">
        <f aca="false">IF($H2524="","",购销流水!$N635)</f>
        <v/>
      </c>
      <c r="H2524" s="10" t="str">
        <f aca="false">IF($L2524="","",IF($L2524="@成本",购销流水!$U635,IF($L2524="@收入",购销流水!$T635,IF($L2524="@存货",购销流水!$S635,IF($L2524="@结算",购销流水!$R635,$L2524)))))</f>
        <v/>
      </c>
      <c r="I2524" s="42" t="n">
        <f aca="false">IF($M2524="借",$O2524,0)</f>
        <v>0</v>
      </c>
      <c r="J2524" s="42" t="n">
        <f aca="false">IF($M2524="贷",$O2524,0)</f>
        <v>0</v>
      </c>
      <c r="K2524" s="48" t="str">
        <f aca="false">IF($H2524="","",购销流水!$E635)</f>
        <v/>
      </c>
      <c r="L2524" s="66" t="str">
        <f aca="false">IF(购销流水!$D635="","",IFERROR(INDEX(记账规则!$A$6:$N$9,MATCH(购销流水!$D635,记账规则!$A$6:$A$9,0),9),""))</f>
        <v/>
      </c>
      <c r="M2524" s="66" t="str">
        <f aca="false">IF($L2524="","",IFERROR(INDEX(记账规则!$A$6:$N$9,MATCH(购销流水!$D635,记账规则!$A$6:$A$9,0),10),""))</f>
        <v/>
      </c>
      <c r="N2524" s="66" t="str">
        <f aca="false">IF($L2524="","",IFERROR(INDEX(记账规则!$A$6:$N$9,MATCH(购销流水!$D635,记账规则!$A$6:$A$9,0),11),""))</f>
        <v/>
      </c>
      <c r="O2524" s="67" t="n">
        <f aca="false">IF($H2524="",0,ROUND(IF($N2524="成本金额",N(购销流水!$W635),IF($N2524="金额",N(购销流水!$Q635),0)),2))</f>
        <v>0</v>
      </c>
      <c r="P2524" s="64" t="str">
        <f aca="false">IF(AND($H2524&lt;&gt;"",ROUND($O2524,2)&lt;&gt;0),"有","")</f>
        <v/>
      </c>
    </row>
    <row r="2525" customFormat="false" ht="15" hidden="true" customHeight="false" outlineLevel="0" collapsed="false">
      <c r="A2525" s="53" t="str">
        <f aca="false">IF($H2525="","",ROW()-5)</f>
        <v/>
      </c>
      <c r="B2525" s="64" t="s">
        <v>36</v>
      </c>
      <c r="C2525" s="53" t="n">
        <v>635</v>
      </c>
      <c r="D2525" s="53" t="n">
        <v>4</v>
      </c>
      <c r="E2525" s="65" t="str">
        <f aca="false">IF($H2525="","",购销流水!$B635)</f>
        <v/>
      </c>
      <c r="F2525" s="55" t="str">
        <f aca="false">IF($H2525="","",购销流水!$C635)</f>
        <v/>
      </c>
      <c r="G2525" s="48" t="str">
        <f aca="false">IF($H2525="","",购销流水!$N635)</f>
        <v/>
      </c>
      <c r="H2525" s="10" t="str">
        <f aca="false">IF($L2525="","",IF($L2525="@成本",购销流水!$U635,IF($L2525="@收入",购销流水!$T635,IF($L2525="@存货",购销流水!$S635,IF($L2525="@结算",购销流水!$R635,$L2525)))))</f>
        <v/>
      </c>
      <c r="I2525" s="42" t="n">
        <f aca="false">IF($M2525="借",$O2525,0)</f>
        <v>0</v>
      </c>
      <c r="J2525" s="42" t="n">
        <f aca="false">IF($M2525="贷",$O2525,0)</f>
        <v>0</v>
      </c>
      <c r="K2525" s="48" t="str">
        <f aca="false">IF($H2525="","",购销流水!$E635)</f>
        <v/>
      </c>
      <c r="L2525" s="66" t="str">
        <f aca="false">IF(购销流水!$D635="","",IFERROR(INDEX(记账规则!$A$6:$N$9,MATCH(购销流水!$D635,记账规则!$A$6:$A$9,0),12),""))</f>
        <v/>
      </c>
      <c r="M2525" s="66" t="str">
        <f aca="false">IF($L2525="","",IFERROR(INDEX(记账规则!$A$6:$N$9,MATCH(购销流水!$D635,记账规则!$A$6:$A$9,0),13),""))</f>
        <v/>
      </c>
      <c r="N2525" s="66" t="str">
        <f aca="false">IF($L2525="","",IFERROR(INDEX(记账规则!$A$6:$N$9,MATCH(购销流水!$D635,记账规则!$A$6:$A$9,0),14),""))</f>
        <v/>
      </c>
      <c r="O2525" s="67" t="n">
        <f aca="false">IF($H2525="",0,ROUND(IF($N2525="成本金额",N(购销流水!$W635),IF($N2525="金额",N(购销流水!$Q635),0)),2))</f>
        <v>0</v>
      </c>
      <c r="P2525" s="64" t="str">
        <f aca="false">IF(AND($H2525&lt;&gt;"",ROUND($O2525,2)&lt;&gt;0),"有","")</f>
        <v/>
      </c>
    </row>
    <row r="2526" customFormat="false" ht="15" hidden="true" customHeight="false" outlineLevel="0" collapsed="false">
      <c r="A2526" s="53" t="str">
        <f aca="false">IF($H2526="","",ROW()-5)</f>
        <v/>
      </c>
      <c r="B2526" s="64" t="s">
        <v>36</v>
      </c>
      <c r="C2526" s="53" t="n">
        <v>636</v>
      </c>
      <c r="D2526" s="53" t="n">
        <v>1</v>
      </c>
      <c r="E2526" s="65" t="str">
        <f aca="false">IF($H2526="","",购销流水!$B636)</f>
        <v/>
      </c>
      <c r="F2526" s="55" t="str">
        <f aca="false">IF($H2526="","",购销流水!$C636)</f>
        <v/>
      </c>
      <c r="G2526" s="48" t="str">
        <f aca="false">IF($H2526="","",购销流水!$N636)</f>
        <v/>
      </c>
      <c r="H2526" s="10" t="str">
        <f aca="false">IF($L2526="","",IF($L2526="@成本",购销流水!$U636,IF($L2526="@收入",购销流水!$T636,IF($L2526="@存货",购销流水!$S636,IF($L2526="@结算",购销流水!$R636,$L2526)))))</f>
        <v/>
      </c>
      <c r="I2526" s="42" t="n">
        <f aca="false">IF($M2526="借",$O2526,0)</f>
        <v>0</v>
      </c>
      <c r="J2526" s="42" t="n">
        <f aca="false">IF($M2526="贷",$O2526,0)</f>
        <v>0</v>
      </c>
      <c r="K2526" s="48" t="str">
        <f aca="false">IF($H2526="","",购销流水!$E636)</f>
        <v/>
      </c>
      <c r="L2526" s="66" t="str">
        <f aca="false">IF(购销流水!$D636="","",IFERROR(INDEX(记账规则!$A$6:$N$9,MATCH(购销流水!$D636,记账规则!$A$6:$A$9,0),3),""))</f>
        <v/>
      </c>
      <c r="M2526" s="66" t="str">
        <f aca="false">IF($L2526="","",IFERROR(INDEX(记账规则!$A$6:$N$9,MATCH(购销流水!$D636,记账规则!$A$6:$A$9,0),4),""))</f>
        <v/>
      </c>
      <c r="N2526" s="66" t="str">
        <f aca="false">IF($L2526="","",IFERROR(INDEX(记账规则!$A$6:$N$9,MATCH(购销流水!$D636,记账规则!$A$6:$A$9,0),5),""))</f>
        <v/>
      </c>
      <c r="O2526" s="67" t="n">
        <f aca="false">IF($H2526="",0,ROUND(IF($N2526="成本金额",N(购销流水!$W636),IF($N2526="金额",N(购销流水!$Q636),0)),2))</f>
        <v>0</v>
      </c>
      <c r="P2526" s="64" t="str">
        <f aca="false">IF(AND($H2526&lt;&gt;"",ROUND($O2526,2)&lt;&gt;0),"有","")</f>
        <v/>
      </c>
    </row>
    <row r="2527" customFormat="false" ht="15" hidden="true" customHeight="false" outlineLevel="0" collapsed="false">
      <c r="A2527" s="53" t="str">
        <f aca="false">IF($H2527="","",ROW()-5)</f>
        <v/>
      </c>
      <c r="B2527" s="64" t="s">
        <v>36</v>
      </c>
      <c r="C2527" s="53" t="n">
        <v>636</v>
      </c>
      <c r="D2527" s="53" t="n">
        <v>2</v>
      </c>
      <c r="E2527" s="65" t="str">
        <f aca="false">IF($H2527="","",购销流水!$B636)</f>
        <v/>
      </c>
      <c r="F2527" s="55" t="str">
        <f aca="false">IF($H2527="","",购销流水!$C636)</f>
        <v/>
      </c>
      <c r="G2527" s="48" t="str">
        <f aca="false">IF($H2527="","",购销流水!$N636)</f>
        <v/>
      </c>
      <c r="H2527" s="10" t="str">
        <f aca="false">IF($L2527="","",IF($L2527="@成本",购销流水!$U636,IF($L2527="@收入",购销流水!$T636,IF($L2527="@存货",购销流水!$S636,IF($L2527="@结算",购销流水!$R636,$L2527)))))</f>
        <v/>
      </c>
      <c r="I2527" s="42" t="n">
        <f aca="false">IF($M2527="借",$O2527,0)</f>
        <v>0</v>
      </c>
      <c r="J2527" s="42" t="n">
        <f aca="false">IF($M2527="贷",$O2527,0)</f>
        <v>0</v>
      </c>
      <c r="K2527" s="48" t="str">
        <f aca="false">IF($H2527="","",购销流水!$E636)</f>
        <v/>
      </c>
      <c r="L2527" s="66" t="str">
        <f aca="false">IF(购销流水!$D636="","",IFERROR(INDEX(记账规则!$A$6:$N$9,MATCH(购销流水!$D636,记账规则!$A$6:$A$9,0),6),""))</f>
        <v/>
      </c>
      <c r="M2527" s="66" t="str">
        <f aca="false">IF($L2527="","",IFERROR(INDEX(记账规则!$A$6:$N$9,MATCH(购销流水!$D636,记账规则!$A$6:$A$9,0),7),""))</f>
        <v/>
      </c>
      <c r="N2527" s="66" t="str">
        <f aca="false">IF($L2527="","",IFERROR(INDEX(记账规则!$A$6:$N$9,MATCH(购销流水!$D636,记账规则!$A$6:$A$9,0),8),""))</f>
        <v/>
      </c>
      <c r="O2527" s="67" t="n">
        <f aca="false">IF($H2527="",0,ROUND(IF($N2527="成本金额",N(购销流水!$W636),IF($N2527="金额",N(购销流水!$Q636),0)),2))</f>
        <v>0</v>
      </c>
      <c r="P2527" s="64" t="str">
        <f aca="false">IF(AND($H2527&lt;&gt;"",ROUND($O2527,2)&lt;&gt;0),"有","")</f>
        <v/>
      </c>
    </row>
    <row r="2528" customFormat="false" ht="15" hidden="true" customHeight="false" outlineLevel="0" collapsed="false">
      <c r="A2528" s="53" t="str">
        <f aca="false">IF($H2528="","",ROW()-5)</f>
        <v/>
      </c>
      <c r="B2528" s="64" t="s">
        <v>36</v>
      </c>
      <c r="C2528" s="53" t="n">
        <v>636</v>
      </c>
      <c r="D2528" s="53" t="n">
        <v>3</v>
      </c>
      <c r="E2528" s="65" t="str">
        <f aca="false">IF($H2528="","",购销流水!$B636)</f>
        <v/>
      </c>
      <c r="F2528" s="55" t="str">
        <f aca="false">IF($H2528="","",购销流水!$C636)</f>
        <v/>
      </c>
      <c r="G2528" s="48" t="str">
        <f aca="false">IF($H2528="","",购销流水!$N636)</f>
        <v/>
      </c>
      <c r="H2528" s="10" t="str">
        <f aca="false">IF($L2528="","",IF($L2528="@成本",购销流水!$U636,IF($L2528="@收入",购销流水!$T636,IF($L2528="@存货",购销流水!$S636,IF($L2528="@结算",购销流水!$R636,$L2528)))))</f>
        <v/>
      </c>
      <c r="I2528" s="42" t="n">
        <f aca="false">IF($M2528="借",$O2528,0)</f>
        <v>0</v>
      </c>
      <c r="J2528" s="42" t="n">
        <f aca="false">IF($M2528="贷",$O2528,0)</f>
        <v>0</v>
      </c>
      <c r="K2528" s="48" t="str">
        <f aca="false">IF($H2528="","",购销流水!$E636)</f>
        <v/>
      </c>
      <c r="L2528" s="66" t="str">
        <f aca="false">IF(购销流水!$D636="","",IFERROR(INDEX(记账规则!$A$6:$N$9,MATCH(购销流水!$D636,记账规则!$A$6:$A$9,0),9),""))</f>
        <v/>
      </c>
      <c r="M2528" s="66" t="str">
        <f aca="false">IF($L2528="","",IFERROR(INDEX(记账规则!$A$6:$N$9,MATCH(购销流水!$D636,记账规则!$A$6:$A$9,0),10),""))</f>
        <v/>
      </c>
      <c r="N2528" s="66" t="str">
        <f aca="false">IF($L2528="","",IFERROR(INDEX(记账规则!$A$6:$N$9,MATCH(购销流水!$D636,记账规则!$A$6:$A$9,0),11),""))</f>
        <v/>
      </c>
      <c r="O2528" s="67" t="n">
        <f aca="false">IF($H2528="",0,ROUND(IF($N2528="成本金额",N(购销流水!$W636),IF($N2528="金额",N(购销流水!$Q636),0)),2))</f>
        <v>0</v>
      </c>
      <c r="P2528" s="64" t="str">
        <f aca="false">IF(AND($H2528&lt;&gt;"",ROUND($O2528,2)&lt;&gt;0),"有","")</f>
        <v/>
      </c>
    </row>
    <row r="2529" customFormat="false" ht="15" hidden="true" customHeight="false" outlineLevel="0" collapsed="false">
      <c r="A2529" s="53" t="str">
        <f aca="false">IF($H2529="","",ROW()-5)</f>
        <v/>
      </c>
      <c r="B2529" s="64" t="s">
        <v>36</v>
      </c>
      <c r="C2529" s="53" t="n">
        <v>636</v>
      </c>
      <c r="D2529" s="53" t="n">
        <v>4</v>
      </c>
      <c r="E2529" s="65" t="str">
        <f aca="false">IF($H2529="","",购销流水!$B636)</f>
        <v/>
      </c>
      <c r="F2529" s="55" t="str">
        <f aca="false">IF($H2529="","",购销流水!$C636)</f>
        <v/>
      </c>
      <c r="G2529" s="48" t="str">
        <f aca="false">IF($H2529="","",购销流水!$N636)</f>
        <v/>
      </c>
      <c r="H2529" s="10" t="str">
        <f aca="false">IF($L2529="","",IF($L2529="@成本",购销流水!$U636,IF($L2529="@收入",购销流水!$T636,IF($L2529="@存货",购销流水!$S636,IF($L2529="@结算",购销流水!$R636,$L2529)))))</f>
        <v/>
      </c>
      <c r="I2529" s="42" t="n">
        <f aca="false">IF($M2529="借",$O2529,0)</f>
        <v>0</v>
      </c>
      <c r="J2529" s="42" t="n">
        <f aca="false">IF($M2529="贷",$O2529,0)</f>
        <v>0</v>
      </c>
      <c r="K2529" s="48" t="str">
        <f aca="false">IF($H2529="","",购销流水!$E636)</f>
        <v/>
      </c>
      <c r="L2529" s="66" t="str">
        <f aca="false">IF(购销流水!$D636="","",IFERROR(INDEX(记账规则!$A$6:$N$9,MATCH(购销流水!$D636,记账规则!$A$6:$A$9,0),12),""))</f>
        <v/>
      </c>
      <c r="M2529" s="66" t="str">
        <f aca="false">IF($L2529="","",IFERROR(INDEX(记账规则!$A$6:$N$9,MATCH(购销流水!$D636,记账规则!$A$6:$A$9,0),13),""))</f>
        <v/>
      </c>
      <c r="N2529" s="66" t="str">
        <f aca="false">IF($L2529="","",IFERROR(INDEX(记账规则!$A$6:$N$9,MATCH(购销流水!$D636,记账规则!$A$6:$A$9,0),14),""))</f>
        <v/>
      </c>
      <c r="O2529" s="67" t="n">
        <f aca="false">IF($H2529="",0,ROUND(IF($N2529="成本金额",N(购销流水!$W636),IF($N2529="金额",N(购销流水!$Q636),0)),2))</f>
        <v>0</v>
      </c>
      <c r="P2529" s="64" t="str">
        <f aca="false">IF(AND($H2529&lt;&gt;"",ROUND($O2529,2)&lt;&gt;0),"有","")</f>
        <v/>
      </c>
    </row>
    <row r="2530" customFormat="false" ht="15" hidden="true" customHeight="false" outlineLevel="0" collapsed="false">
      <c r="A2530" s="53" t="str">
        <f aca="false">IF($H2530="","",ROW()-5)</f>
        <v/>
      </c>
      <c r="B2530" s="64" t="s">
        <v>36</v>
      </c>
      <c r="C2530" s="53" t="n">
        <v>637</v>
      </c>
      <c r="D2530" s="53" t="n">
        <v>1</v>
      </c>
      <c r="E2530" s="65" t="str">
        <f aca="false">IF($H2530="","",购销流水!$B637)</f>
        <v/>
      </c>
      <c r="F2530" s="55" t="str">
        <f aca="false">IF($H2530="","",购销流水!$C637)</f>
        <v/>
      </c>
      <c r="G2530" s="48" t="str">
        <f aca="false">IF($H2530="","",购销流水!$N637)</f>
        <v/>
      </c>
      <c r="H2530" s="10" t="str">
        <f aca="false">IF($L2530="","",IF($L2530="@成本",购销流水!$U637,IF($L2530="@收入",购销流水!$T637,IF($L2530="@存货",购销流水!$S637,IF($L2530="@结算",购销流水!$R637,$L2530)))))</f>
        <v/>
      </c>
      <c r="I2530" s="42" t="n">
        <f aca="false">IF($M2530="借",$O2530,0)</f>
        <v>0</v>
      </c>
      <c r="J2530" s="42" t="n">
        <f aca="false">IF($M2530="贷",$O2530,0)</f>
        <v>0</v>
      </c>
      <c r="K2530" s="48" t="str">
        <f aca="false">IF($H2530="","",购销流水!$E637)</f>
        <v/>
      </c>
      <c r="L2530" s="66" t="str">
        <f aca="false">IF(购销流水!$D637="","",IFERROR(INDEX(记账规则!$A$6:$N$9,MATCH(购销流水!$D637,记账规则!$A$6:$A$9,0),3),""))</f>
        <v/>
      </c>
      <c r="M2530" s="66" t="str">
        <f aca="false">IF($L2530="","",IFERROR(INDEX(记账规则!$A$6:$N$9,MATCH(购销流水!$D637,记账规则!$A$6:$A$9,0),4),""))</f>
        <v/>
      </c>
      <c r="N2530" s="66" t="str">
        <f aca="false">IF($L2530="","",IFERROR(INDEX(记账规则!$A$6:$N$9,MATCH(购销流水!$D637,记账规则!$A$6:$A$9,0),5),""))</f>
        <v/>
      </c>
      <c r="O2530" s="67" t="n">
        <f aca="false">IF($H2530="",0,ROUND(IF($N2530="成本金额",N(购销流水!$W637),IF($N2530="金额",N(购销流水!$Q637),0)),2))</f>
        <v>0</v>
      </c>
      <c r="P2530" s="64" t="str">
        <f aca="false">IF(AND($H2530&lt;&gt;"",ROUND($O2530,2)&lt;&gt;0),"有","")</f>
        <v/>
      </c>
    </row>
    <row r="2531" customFormat="false" ht="15" hidden="true" customHeight="false" outlineLevel="0" collapsed="false">
      <c r="A2531" s="53" t="str">
        <f aca="false">IF($H2531="","",ROW()-5)</f>
        <v/>
      </c>
      <c r="B2531" s="64" t="s">
        <v>36</v>
      </c>
      <c r="C2531" s="53" t="n">
        <v>637</v>
      </c>
      <c r="D2531" s="53" t="n">
        <v>2</v>
      </c>
      <c r="E2531" s="65" t="str">
        <f aca="false">IF($H2531="","",购销流水!$B637)</f>
        <v/>
      </c>
      <c r="F2531" s="55" t="str">
        <f aca="false">IF($H2531="","",购销流水!$C637)</f>
        <v/>
      </c>
      <c r="G2531" s="48" t="str">
        <f aca="false">IF($H2531="","",购销流水!$N637)</f>
        <v/>
      </c>
      <c r="H2531" s="10" t="str">
        <f aca="false">IF($L2531="","",IF($L2531="@成本",购销流水!$U637,IF($L2531="@收入",购销流水!$T637,IF($L2531="@存货",购销流水!$S637,IF($L2531="@结算",购销流水!$R637,$L2531)))))</f>
        <v/>
      </c>
      <c r="I2531" s="42" t="n">
        <f aca="false">IF($M2531="借",$O2531,0)</f>
        <v>0</v>
      </c>
      <c r="J2531" s="42" t="n">
        <f aca="false">IF($M2531="贷",$O2531,0)</f>
        <v>0</v>
      </c>
      <c r="K2531" s="48" t="str">
        <f aca="false">IF($H2531="","",购销流水!$E637)</f>
        <v/>
      </c>
      <c r="L2531" s="66" t="str">
        <f aca="false">IF(购销流水!$D637="","",IFERROR(INDEX(记账规则!$A$6:$N$9,MATCH(购销流水!$D637,记账规则!$A$6:$A$9,0),6),""))</f>
        <v/>
      </c>
      <c r="M2531" s="66" t="str">
        <f aca="false">IF($L2531="","",IFERROR(INDEX(记账规则!$A$6:$N$9,MATCH(购销流水!$D637,记账规则!$A$6:$A$9,0),7),""))</f>
        <v/>
      </c>
      <c r="N2531" s="66" t="str">
        <f aca="false">IF($L2531="","",IFERROR(INDEX(记账规则!$A$6:$N$9,MATCH(购销流水!$D637,记账规则!$A$6:$A$9,0),8),""))</f>
        <v/>
      </c>
      <c r="O2531" s="67" t="n">
        <f aca="false">IF($H2531="",0,ROUND(IF($N2531="成本金额",N(购销流水!$W637),IF($N2531="金额",N(购销流水!$Q637),0)),2))</f>
        <v>0</v>
      </c>
      <c r="P2531" s="64" t="str">
        <f aca="false">IF(AND($H2531&lt;&gt;"",ROUND($O2531,2)&lt;&gt;0),"有","")</f>
        <v/>
      </c>
    </row>
    <row r="2532" customFormat="false" ht="15" hidden="true" customHeight="false" outlineLevel="0" collapsed="false">
      <c r="A2532" s="53" t="str">
        <f aca="false">IF($H2532="","",ROW()-5)</f>
        <v/>
      </c>
      <c r="B2532" s="64" t="s">
        <v>36</v>
      </c>
      <c r="C2532" s="53" t="n">
        <v>637</v>
      </c>
      <c r="D2532" s="53" t="n">
        <v>3</v>
      </c>
      <c r="E2532" s="65" t="str">
        <f aca="false">IF($H2532="","",购销流水!$B637)</f>
        <v/>
      </c>
      <c r="F2532" s="55" t="str">
        <f aca="false">IF($H2532="","",购销流水!$C637)</f>
        <v/>
      </c>
      <c r="G2532" s="48" t="str">
        <f aca="false">IF($H2532="","",购销流水!$N637)</f>
        <v/>
      </c>
      <c r="H2532" s="10" t="str">
        <f aca="false">IF($L2532="","",IF($L2532="@成本",购销流水!$U637,IF($L2532="@收入",购销流水!$T637,IF($L2532="@存货",购销流水!$S637,IF($L2532="@结算",购销流水!$R637,$L2532)))))</f>
        <v/>
      </c>
      <c r="I2532" s="42" t="n">
        <f aca="false">IF($M2532="借",$O2532,0)</f>
        <v>0</v>
      </c>
      <c r="J2532" s="42" t="n">
        <f aca="false">IF($M2532="贷",$O2532,0)</f>
        <v>0</v>
      </c>
      <c r="K2532" s="48" t="str">
        <f aca="false">IF($H2532="","",购销流水!$E637)</f>
        <v/>
      </c>
      <c r="L2532" s="66" t="str">
        <f aca="false">IF(购销流水!$D637="","",IFERROR(INDEX(记账规则!$A$6:$N$9,MATCH(购销流水!$D637,记账规则!$A$6:$A$9,0),9),""))</f>
        <v/>
      </c>
      <c r="M2532" s="66" t="str">
        <f aca="false">IF($L2532="","",IFERROR(INDEX(记账规则!$A$6:$N$9,MATCH(购销流水!$D637,记账规则!$A$6:$A$9,0),10),""))</f>
        <v/>
      </c>
      <c r="N2532" s="66" t="str">
        <f aca="false">IF($L2532="","",IFERROR(INDEX(记账规则!$A$6:$N$9,MATCH(购销流水!$D637,记账规则!$A$6:$A$9,0),11),""))</f>
        <v/>
      </c>
      <c r="O2532" s="67" t="n">
        <f aca="false">IF($H2532="",0,ROUND(IF($N2532="成本金额",N(购销流水!$W637),IF($N2532="金额",N(购销流水!$Q637),0)),2))</f>
        <v>0</v>
      </c>
      <c r="P2532" s="64" t="str">
        <f aca="false">IF(AND($H2532&lt;&gt;"",ROUND($O2532,2)&lt;&gt;0),"有","")</f>
        <v/>
      </c>
    </row>
    <row r="2533" customFormat="false" ht="15" hidden="true" customHeight="false" outlineLevel="0" collapsed="false">
      <c r="A2533" s="53" t="str">
        <f aca="false">IF($H2533="","",ROW()-5)</f>
        <v/>
      </c>
      <c r="B2533" s="64" t="s">
        <v>36</v>
      </c>
      <c r="C2533" s="53" t="n">
        <v>637</v>
      </c>
      <c r="D2533" s="53" t="n">
        <v>4</v>
      </c>
      <c r="E2533" s="65" t="str">
        <f aca="false">IF($H2533="","",购销流水!$B637)</f>
        <v/>
      </c>
      <c r="F2533" s="55" t="str">
        <f aca="false">IF($H2533="","",购销流水!$C637)</f>
        <v/>
      </c>
      <c r="G2533" s="48" t="str">
        <f aca="false">IF($H2533="","",购销流水!$N637)</f>
        <v/>
      </c>
      <c r="H2533" s="10" t="str">
        <f aca="false">IF($L2533="","",IF($L2533="@成本",购销流水!$U637,IF($L2533="@收入",购销流水!$T637,IF($L2533="@存货",购销流水!$S637,IF($L2533="@结算",购销流水!$R637,$L2533)))))</f>
        <v/>
      </c>
      <c r="I2533" s="42" t="n">
        <f aca="false">IF($M2533="借",$O2533,0)</f>
        <v>0</v>
      </c>
      <c r="J2533" s="42" t="n">
        <f aca="false">IF($M2533="贷",$O2533,0)</f>
        <v>0</v>
      </c>
      <c r="K2533" s="48" t="str">
        <f aca="false">IF($H2533="","",购销流水!$E637)</f>
        <v/>
      </c>
      <c r="L2533" s="66" t="str">
        <f aca="false">IF(购销流水!$D637="","",IFERROR(INDEX(记账规则!$A$6:$N$9,MATCH(购销流水!$D637,记账规则!$A$6:$A$9,0),12),""))</f>
        <v/>
      </c>
      <c r="M2533" s="66" t="str">
        <f aca="false">IF($L2533="","",IFERROR(INDEX(记账规则!$A$6:$N$9,MATCH(购销流水!$D637,记账规则!$A$6:$A$9,0),13),""))</f>
        <v/>
      </c>
      <c r="N2533" s="66" t="str">
        <f aca="false">IF($L2533="","",IFERROR(INDEX(记账规则!$A$6:$N$9,MATCH(购销流水!$D637,记账规则!$A$6:$A$9,0),14),""))</f>
        <v/>
      </c>
      <c r="O2533" s="67" t="n">
        <f aca="false">IF($H2533="",0,ROUND(IF($N2533="成本金额",N(购销流水!$W637),IF($N2533="金额",N(购销流水!$Q637),0)),2))</f>
        <v>0</v>
      </c>
      <c r="P2533" s="64" t="str">
        <f aca="false">IF(AND($H2533&lt;&gt;"",ROUND($O2533,2)&lt;&gt;0),"有","")</f>
        <v/>
      </c>
    </row>
    <row r="2534" customFormat="false" ht="15" hidden="true" customHeight="false" outlineLevel="0" collapsed="false">
      <c r="A2534" s="53" t="str">
        <f aca="false">IF($H2534="","",ROW()-5)</f>
        <v/>
      </c>
      <c r="B2534" s="64" t="s">
        <v>36</v>
      </c>
      <c r="C2534" s="53" t="n">
        <v>638</v>
      </c>
      <c r="D2534" s="53" t="n">
        <v>1</v>
      </c>
      <c r="E2534" s="65" t="str">
        <f aca="false">IF($H2534="","",购销流水!$B638)</f>
        <v/>
      </c>
      <c r="F2534" s="55" t="str">
        <f aca="false">IF($H2534="","",购销流水!$C638)</f>
        <v/>
      </c>
      <c r="G2534" s="48" t="str">
        <f aca="false">IF($H2534="","",购销流水!$N638)</f>
        <v/>
      </c>
      <c r="H2534" s="10" t="str">
        <f aca="false">IF($L2534="","",IF($L2534="@成本",购销流水!$U638,IF($L2534="@收入",购销流水!$T638,IF($L2534="@存货",购销流水!$S638,IF($L2534="@结算",购销流水!$R638,$L2534)))))</f>
        <v/>
      </c>
      <c r="I2534" s="42" t="n">
        <f aca="false">IF($M2534="借",$O2534,0)</f>
        <v>0</v>
      </c>
      <c r="J2534" s="42" t="n">
        <f aca="false">IF($M2534="贷",$O2534,0)</f>
        <v>0</v>
      </c>
      <c r="K2534" s="48" t="str">
        <f aca="false">IF($H2534="","",购销流水!$E638)</f>
        <v/>
      </c>
      <c r="L2534" s="66" t="str">
        <f aca="false">IF(购销流水!$D638="","",IFERROR(INDEX(记账规则!$A$6:$N$9,MATCH(购销流水!$D638,记账规则!$A$6:$A$9,0),3),""))</f>
        <v/>
      </c>
      <c r="M2534" s="66" t="str">
        <f aca="false">IF($L2534="","",IFERROR(INDEX(记账规则!$A$6:$N$9,MATCH(购销流水!$D638,记账规则!$A$6:$A$9,0),4),""))</f>
        <v/>
      </c>
      <c r="N2534" s="66" t="str">
        <f aca="false">IF($L2534="","",IFERROR(INDEX(记账规则!$A$6:$N$9,MATCH(购销流水!$D638,记账规则!$A$6:$A$9,0),5),""))</f>
        <v/>
      </c>
      <c r="O2534" s="67" t="n">
        <f aca="false">IF($H2534="",0,ROUND(IF($N2534="成本金额",N(购销流水!$W638),IF($N2534="金额",N(购销流水!$Q638),0)),2))</f>
        <v>0</v>
      </c>
      <c r="P2534" s="64" t="str">
        <f aca="false">IF(AND($H2534&lt;&gt;"",ROUND($O2534,2)&lt;&gt;0),"有","")</f>
        <v/>
      </c>
    </row>
    <row r="2535" customFormat="false" ht="15" hidden="true" customHeight="false" outlineLevel="0" collapsed="false">
      <c r="A2535" s="53" t="str">
        <f aca="false">IF($H2535="","",ROW()-5)</f>
        <v/>
      </c>
      <c r="B2535" s="64" t="s">
        <v>36</v>
      </c>
      <c r="C2535" s="53" t="n">
        <v>638</v>
      </c>
      <c r="D2535" s="53" t="n">
        <v>2</v>
      </c>
      <c r="E2535" s="65" t="str">
        <f aca="false">IF($H2535="","",购销流水!$B638)</f>
        <v/>
      </c>
      <c r="F2535" s="55" t="str">
        <f aca="false">IF($H2535="","",购销流水!$C638)</f>
        <v/>
      </c>
      <c r="G2535" s="48" t="str">
        <f aca="false">IF($H2535="","",购销流水!$N638)</f>
        <v/>
      </c>
      <c r="H2535" s="10" t="str">
        <f aca="false">IF($L2535="","",IF($L2535="@成本",购销流水!$U638,IF($L2535="@收入",购销流水!$T638,IF($L2535="@存货",购销流水!$S638,IF($L2535="@结算",购销流水!$R638,$L2535)))))</f>
        <v/>
      </c>
      <c r="I2535" s="42" t="n">
        <f aca="false">IF($M2535="借",$O2535,0)</f>
        <v>0</v>
      </c>
      <c r="J2535" s="42" t="n">
        <f aca="false">IF($M2535="贷",$O2535,0)</f>
        <v>0</v>
      </c>
      <c r="K2535" s="48" t="str">
        <f aca="false">IF($H2535="","",购销流水!$E638)</f>
        <v/>
      </c>
      <c r="L2535" s="66" t="str">
        <f aca="false">IF(购销流水!$D638="","",IFERROR(INDEX(记账规则!$A$6:$N$9,MATCH(购销流水!$D638,记账规则!$A$6:$A$9,0),6),""))</f>
        <v/>
      </c>
      <c r="M2535" s="66" t="str">
        <f aca="false">IF($L2535="","",IFERROR(INDEX(记账规则!$A$6:$N$9,MATCH(购销流水!$D638,记账规则!$A$6:$A$9,0),7),""))</f>
        <v/>
      </c>
      <c r="N2535" s="66" t="str">
        <f aca="false">IF($L2535="","",IFERROR(INDEX(记账规则!$A$6:$N$9,MATCH(购销流水!$D638,记账规则!$A$6:$A$9,0),8),""))</f>
        <v/>
      </c>
      <c r="O2535" s="67" t="n">
        <f aca="false">IF($H2535="",0,ROUND(IF($N2535="成本金额",N(购销流水!$W638),IF($N2535="金额",N(购销流水!$Q638),0)),2))</f>
        <v>0</v>
      </c>
      <c r="P2535" s="64" t="str">
        <f aca="false">IF(AND($H2535&lt;&gt;"",ROUND($O2535,2)&lt;&gt;0),"有","")</f>
        <v/>
      </c>
    </row>
    <row r="2536" customFormat="false" ht="15" hidden="true" customHeight="false" outlineLevel="0" collapsed="false">
      <c r="A2536" s="53" t="str">
        <f aca="false">IF($H2536="","",ROW()-5)</f>
        <v/>
      </c>
      <c r="B2536" s="64" t="s">
        <v>36</v>
      </c>
      <c r="C2536" s="53" t="n">
        <v>638</v>
      </c>
      <c r="D2536" s="53" t="n">
        <v>3</v>
      </c>
      <c r="E2536" s="65" t="str">
        <f aca="false">IF($H2536="","",购销流水!$B638)</f>
        <v/>
      </c>
      <c r="F2536" s="55" t="str">
        <f aca="false">IF($H2536="","",购销流水!$C638)</f>
        <v/>
      </c>
      <c r="G2536" s="48" t="str">
        <f aca="false">IF($H2536="","",购销流水!$N638)</f>
        <v/>
      </c>
      <c r="H2536" s="10" t="str">
        <f aca="false">IF($L2536="","",IF($L2536="@成本",购销流水!$U638,IF($L2536="@收入",购销流水!$T638,IF($L2536="@存货",购销流水!$S638,IF($L2536="@结算",购销流水!$R638,$L2536)))))</f>
        <v/>
      </c>
      <c r="I2536" s="42" t="n">
        <f aca="false">IF($M2536="借",$O2536,0)</f>
        <v>0</v>
      </c>
      <c r="J2536" s="42" t="n">
        <f aca="false">IF($M2536="贷",$O2536,0)</f>
        <v>0</v>
      </c>
      <c r="K2536" s="48" t="str">
        <f aca="false">IF($H2536="","",购销流水!$E638)</f>
        <v/>
      </c>
      <c r="L2536" s="66" t="str">
        <f aca="false">IF(购销流水!$D638="","",IFERROR(INDEX(记账规则!$A$6:$N$9,MATCH(购销流水!$D638,记账规则!$A$6:$A$9,0),9),""))</f>
        <v/>
      </c>
      <c r="M2536" s="66" t="str">
        <f aca="false">IF($L2536="","",IFERROR(INDEX(记账规则!$A$6:$N$9,MATCH(购销流水!$D638,记账规则!$A$6:$A$9,0),10),""))</f>
        <v/>
      </c>
      <c r="N2536" s="66" t="str">
        <f aca="false">IF($L2536="","",IFERROR(INDEX(记账规则!$A$6:$N$9,MATCH(购销流水!$D638,记账规则!$A$6:$A$9,0),11),""))</f>
        <v/>
      </c>
      <c r="O2536" s="67" t="n">
        <f aca="false">IF($H2536="",0,ROUND(IF($N2536="成本金额",N(购销流水!$W638),IF($N2536="金额",N(购销流水!$Q638),0)),2))</f>
        <v>0</v>
      </c>
      <c r="P2536" s="64" t="str">
        <f aca="false">IF(AND($H2536&lt;&gt;"",ROUND($O2536,2)&lt;&gt;0),"有","")</f>
        <v/>
      </c>
    </row>
    <row r="2537" customFormat="false" ht="15" hidden="true" customHeight="false" outlineLevel="0" collapsed="false">
      <c r="A2537" s="53" t="str">
        <f aca="false">IF($H2537="","",ROW()-5)</f>
        <v/>
      </c>
      <c r="B2537" s="64" t="s">
        <v>36</v>
      </c>
      <c r="C2537" s="53" t="n">
        <v>638</v>
      </c>
      <c r="D2537" s="53" t="n">
        <v>4</v>
      </c>
      <c r="E2537" s="65" t="str">
        <f aca="false">IF($H2537="","",购销流水!$B638)</f>
        <v/>
      </c>
      <c r="F2537" s="55" t="str">
        <f aca="false">IF($H2537="","",购销流水!$C638)</f>
        <v/>
      </c>
      <c r="G2537" s="48" t="str">
        <f aca="false">IF($H2537="","",购销流水!$N638)</f>
        <v/>
      </c>
      <c r="H2537" s="10" t="str">
        <f aca="false">IF($L2537="","",IF($L2537="@成本",购销流水!$U638,IF($L2537="@收入",购销流水!$T638,IF($L2537="@存货",购销流水!$S638,IF($L2537="@结算",购销流水!$R638,$L2537)))))</f>
        <v/>
      </c>
      <c r="I2537" s="42" t="n">
        <f aca="false">IF($M2537="借",$O2537,0)</f>
        <v>0</v>
      </c>
      <c r="J2537" s="42" t="n">
        <f aca="false">IF($M2537="贷",$O2537,0)</f>
        <v>0</v>
      </c>
      <c r="K2537" s="48" t="str">
        <f aca="false">IF($H2537="","",购销流水!$E638)</f>
        <v/>
      </c>
      <c r="L2537" s="66" t="str">
        <f aca="false">IF(购销流水!$D638="","",IFERROR(INDEX(记账规则!$A$6:$N$9,MATCH(购销流水!$D638,记账规则!$A$6:$A$9,0),12),""))</f>
        <v/>
      </c>
      <c r="M2537" s="66" t="str">
        <f aca="false">IF($L2537="","",IFERROR(INDEX(记账规则!$A$6:$N$9,MATCH(购销流水!$D638,记账规则!$A$6:$A$9,0),13),""))</f>
        <v/>
      </c>
      <c r="N2537" s="66" t="str">
        <f aca="false">IF($L2537="","",IFERROR(INDEX(记账规则!$A$6:$N$9,MATCH(购销流水!$D638,记账规则!$A$6:$A$9,0),14),""))</f>
        <v/>
      </c>
      <c r="O2537" s="67" t="n">
        <f aca="false">IF($H2537="",0,ROUND(IF($N2537="成本金额",N(购销流水!$W638),IF($N2537="金额",N(购销流水!$Q638),0)),2))</f>
        <v>0</v>
      </c>
      <c r="P2537" s="64" t="str">
        <f aca="false">IF(AND($H2537&lt;&gt;"",ROUND($O2537,2)&lt;&gt;0),"有","")</f>
        <v/>
      </c>
    </row>
    <row r="2538" customFormat="false" ht="15" hidden="true" customHeight="false" outlineLevel="0" collapsed="false">
      <c r="A2538" s="53" t="str">
        <f aca="false">IF($H2538="","",ROW()-5)</f>
        <v/>
      </c>
      <c r="B2538" s="64" t="s">
        <v>36</v>
      </c>
      <c r="C2538" s="53" t="n">
        <v>639</v>
      </c>
      <c r="D2538" s="53" t="n">
        <v>1</v>
      </c>
      <c r="E2538" s="65" t="str">
        <f aca="false">IF($H2538="","",购销流水!$B639)</f>
        <v/>
      </c>
      <c r="F2538" s="55" t="str">
        <f aca="false">IF($H2538="","",购销流水!$C639)</f>
        <v/>
      </c>
      <c r="G2538" s="48" t="str">
        <f aca="false">IF($H2538="","",购销流水!$N639)</f>
        <v/>
      </c>
      <c r="H2538" s="10" t="str">
        <f aca="false">IF($L2538="","",IF($L2538="@成本",购销流水!$U639,IF($L2538="@收入",购销流水!$T639,IF($L2538="@存货",购销流水!$S639,IF($L2538="@结算",购销流水!$R639,$L2538)))))</f>
        <v/>
      </c>
      <c r="I2538" s="42" t="n">
        <f aca="false">IF($M2538="借",$O2538,0)</f>
        <v>0</v>
      </c>
      <c r="J2538" s="42" t="n">
        <f aca="false">IF($M2538="贷",$O2538,0)</f>
        <v>0</v>
      </c>
      <c r="K2538" s="48" t="str">
        <f aca="false">IF($H2538="","",购销流水!$E639)</f>
        <v/>
      </c>
      <c r="L2538" s="66" t="str">
        <f aca="false">IF(购销流水!$D639="","",IFERROR(INDEX(记账规则!$A$6:$N$9,MATCH(购销流水!$D639,记账规则!$A$6:$A$9,0),3),""))</f>
        <v/>
      </c>
      <c r="M2538" s="66" t="str">
        <f aca="false">IF($L2538="","",IFERROR(INDEX(记账规则!$A$6:$N$9,MATCH(购销流水!$D639,记账规则!$A$6:$A$9,0),4),""))</f>
        <v/>
      </c>
      <c r="N2538" s="66" t="str">
        <f aca="false">IF($L2538="","",IFERROR(INDEX(记账规则!$A$6:$N$9,MATCH(购销流水!$D639,记账规则!$A$6:$A$9,0),5),""))</f>
        <v/>
      </c>
      <c r="O2538" s="67" t="n">
        <f aca="false">IF($H2538="",0,ROUND(IF($N2538="成本金额",N(购销流水!$W639),IF($N2538="金额",N(购销流水!$Q639),0)),2))</f>
        <v>0</v>
      </c>
      <c r="P2538" s="64" t="str">
        <f aca="false">IF(AND($H2538&lt;&gt;"",ROUND($O2538,2)&lt;&gt;0),"有","")</f>
        <v/>
      </c>
    </row>
    <row r="2539" customFormat="false" ht="15" hidden="true" customHeight="false" outlineLevel="0" collapsed="false">
      <c r="A2539" s="53" t="str">
        <f aca="false">IF($H2539="","",ROW()-5)</f>
        <v/>
      </c>
      <c r="B2539" s="64" t="s">
        <v>36</v>
      </c>
      <c r="C2539" s="53" t="n">
        <v>639</v>
      </c>
      <c r="D2539" s="53" t="n">
        <v>2</v>
      </c>
      <c r="E2539" s="65" t="str">
        <f aca="false">IF($H2539="","",购销流水!$B639)</f>
        <v/>
      </c>
      <c r="F2539" s="55" t="str">
        <f aca="false">IF($H2539="","",购销流水!$C639)</f>
        <v/>
      </c>
      <c r="G2539" s="48" t="str">
        <f aca="false">IF($H2539="","",购销流水!$N639)</f>
        <v/>
      </c>
      <c r="H2539" s="10" t="str">
        <f aca="false">IF($L2539="","",IF($L2539="@成本",购销流水!$U639,IF($L2539="@收入",购销流水!$T639,IF($L2539="@存货",购销流水!$S639,IF($L2539="@结算",购销流水!$R639,$L2539)))))</f>
        <v/>
      </c>
      <c r="I2539" s="42" t="n">
        <f aca="false">IF($M2539="借",$O2539,0)</f>
        <v>0</v>
      </c>
      <c r="J2539" s="42" t="n">
        <f aca="false">IF($M2539="贷",$O2539,0)</f>
        <v>0</v>
      </c>
      <c r="K2539" s="48" t="str">
        <f aca="false">IF($H2539="","",购销流水!$E639)</f>
        <v/>
      </c>
      <c r="L2539" s="66" t="str">
        <f aca="false">IF(购销流水!$D639="","",IFERROR(INDEX(记账规则!$A$6:$N$9,MATCH(购销流水!$D639,记账规则!$A$6:$A$9,0),6),""))</f>
        <v/>
      </c>
      <c r="M2539" s="66" t="str">
        <f aca="false">IF($L2539="","",IFERROR(INDEX(记账规则!$A$6:$N$9,MATCH(购销流水!$D639,记账规则!$A$6:$A$9,0),7),""))</f>
        <v/>
      </c>
      <c r="N2539" s="66" t="str">
        <f aca="false">IF($L2539="","",IFERROR(INDEX(记账规则!$A$6:$N$9,MATCH(购销流水!$D639,记账规则!$A$6:$A$9,0),8),""))</f>
        <v/>
      </c>
      <c r="O2539" s="67" t="n">
        <f aca="false">IF($H2539="",0,ROUND(IF($N2539="成本金额",N(购销流水!$W639),IF($N2539="金额",N(购销流水!$Q639),0)),2))</f>
        <v>0</v>
      </c>
      <c r="P2539" s="64" t="str">
        <f aca="false">IF(AND($H2539&lt;&gt;"",ROUND($O2539,2)&lt;&gt;0),"有","")</f>
        <v/>
      </c>
    </row>
    <row r="2540" customFormat="false" ht="15" hidden="true" customHeight="false" outlineLevel="0" collapsed="false">
      <c r="A2540" s="53" t="str">
        <f aca="false">IF($H2540="","",ROW()-5)</f>
        <v/>
      </c>
      <c r="B2540" s="64" t="s">
        <v>36</v>
      </c>
      <c r="C2540" s="53" t="n">
        <v>639</v>
      </c>
      <c r="D2540" s="53" t="n">
        <v>3</v>
      </c>
      <c r="E2540" s="65" t="str">
        <f aca="false">IF($H2540="","",购销流水!$B639)</f>
        <v/>
      </c>
      <c r="F2540" s="55" t="str">
        <f aca="false">IF($H2540="","",购销流水!$C639)</f>
        <v/>
      </c>
      <c r="G2540" s="48" t="str">
        <f aca="false">IF($H2540="","",购销流水!$N639)</f>
        <v/>
      </c>
      <c r="H2540" s="10" t="str">
        <f aca="false">IF($L2540="","",IF($L2540="@成本",购销流水!$U639,IF($L2540="@收入",购销流水!$T639,IF($L2540="@存货",购销流水!$S639,IF($L2540="@结算",购销流水!$R639,$L2540)))))</f>
        <v/>
      </c>
      <c r="I2540" s="42" t="n">
        <f aca="false">IF($M2540="借",$O2540,0)</f>
        <v>0</v>
      </c>
      <c r="J2540" s="42" t="n">
        <f aca="false">IF($M2540="贷",$O2540,0)</f>
        <v>0</v>
      </c>
      <c r="K2540" s="48" t="str">
        <f aca="false">IF($H2540="","",购销流水!$E639)</f>
        <v/>
      </c>
      <c r="L2540" s="66" t="str">
        <f aca="false">IF(购销流水!$D639="","",IFERROR(INDEX(记账规则!$A$6:$N$9,MATCH(购销流水!$D639,记账规则!$A$6:$A$9,0),9),""))</f>
        <v/>
      </c>
      <c r="M2540" s="66" t="str">
        <f aca="false">IF($L2540="","",IFERROR(INDEX(记账规则!$A$6:$N$9,MATCH(购销流水!$D639,记账规则!$A$6:$A$9,0),10),""))</f>
        <v/>
      </c>
      <c r="N2540" s="66" t="str">
        <f aca="false">IF($L2540="","",IFERROR(INDEX(记账规则!$A$6:$N$9,MATCH(购销流水!$D639,记账规则!$A$6:$A$9,0),11),""))</f>
        <v/>
      </c>
      <c r="O2540" s="67" t="n">
        <f aca="false">IF($H2540="",0,ROUND(IF($N2540="成本金额",N(购销流水!$W639),IF($N2540="金额",N(购销流水!$Q639),0)),2))</f>
        <v>0</v>
      </c>
      <c r="P2540" s="64" t="str">
        <f aca="false">IF(AND($H2540&lt;&gt;"",ROUND($O2540,2)&lt;&gt;0),"有","")</f>
        <v/>
      </c>
    </row>
    <row r="2541" customFormat="false" ht="15" hidden="true" customHeight="false" outlineLevel="0" collapsed="false">
      <c r="A2541" s="53" t="str">
        <f aca="false">IF($H2541="","",ROW()-5)</f>
        <v/>
      </c>
      <c r="B2541" s="64" t="s">
        <v>36</v>
      </c>
      <c r="C2541" s="53" t="n">
        <v>639</v>
      </c>
      <c r="D2541" s="53" t="n">
        <v>4</v>
      </c>
      <c r="E2541" s="65" t="str">
        <f aca="false">IF($H2541="","",购销流水!$B639)</f>
        <v/>
      </c>
      <c r="F2541" s="55" t="str">
        <f aca="false">IF($H2541="","",购销流水!$C639)</f>
        <v/>
      </c>
      <c r="G2541" s="48" t="str">
        <f aca="false">IF($H2541="","",购销流水!$N639)</f>
        <v/>
      </c>
      <c r="H2541" s="10" t="str">
        <f aca="false">IF($L2541="","",IF($L2541="@成本",购销流水!$U639,IF($L2541="@收入",购销流水!$T639,IF($L2541="@存货",购销流水!$S639,IF($L2541="@结算",购销流水!$R639,$L2541)))))</f>
        <v/>
      </c>
      <c r="I2541" s="42" t="n">
        <f aca="false">IF($M2541="借",$O2541,0)</f>
        <v>0</v>
      </c>
      <c r="J2541" s="42" t="n">
        <f aca="false">IF($M2541="贷",$O2541,0)</f>
        <v>0</v>
      </c>
      <c r="K2541" s="48" t="str">
        <f aca="false">IF($H2541="","",购销流水!$E639)</f>
        <v/>
      </c>
      <c r="L2541" s="66" t="str">
        <f aca="false">IF(购销流水!$D639="","",IFERROR(INDEX(记账规则!$A$6:$N$9,MATCH(购销流水!$D639,记账规则!$A$6:$A$9,0),12),""))</f>
        <v/>
      </c>
      <c r="M2541" s="66" t="str">
        <f aca="false">IF($L2541="","",IFERROR(INDEX(记账规则!$A$6:$N$9,MATCH(购销流水!$D639,记账规则!$A$6:$A$9,0),13),""))</f>
        <v/>
      </c>
      <c r="N2541" s="66" t="str">
        <f aca="false">IF($L2541="","",IFERROR(INDEX(记账规则!$A$6:$N$9,MATCH(购销流水!$D639,记账规则!$A$6:$A$9,0),14),""))</f>
        <v/>
      </c>
      <c r="O2541" s="67" t="n">
        <f aca="false">IF($H2541="",0,ROUND(IF($N2541="成本金额",N(购销流水!$W639),IF($N2541="金额",N(购销流水!$Q639),0)),2))</f>
        <v>0</v>
      </c>
      <c r="P2541" s="64" t="str">
        <f aca="false">IF(AND($H2541&lt;&gt;"",ROUND($O2541,2)&lt;&gt;0),"有","")</f>
        <v/>
      </c>
    </row>
    <row r="2542" customFormat="false" ht="15" hidden="true" customHeight="false" outlineLevel="0" collapsed="false">
      <c r="A2542" s="53" t="str">
        <f aca="false">IF($H2542="","",ROW()-5)</f>
        <v/>
      </c>
      <c r="B2542" s="64" t="s">
        <v>36</v>
      </c>
      <c r="C2542" s="53" t="n">
        <v>640</v>
      </c>
      <c r="D2542" s="53" t="n">
        <v>1</v>
      </c>
      <c r="E2542" s="65" t="str">
        <f aca="false">IF($H2542="","",购销流水!$B640)</f>
        <v/>
      </c>
      <c r="F2542" s="55" t="str">
        <f aca="false">IF($H2542="","",购销流水!$C640)</f>
        <v/>
      </c>
      <c r="G2542" s="48" t="str">
        <f aca="false">IF($H2542="","",购销流水!$N640)</f>
        <v/>
      </c>
      <c r="H2542" s="10" t="str">
        <f aca="false">IF($L2542="","",IF($L2542="@成本",购销流水!$U640,IF($L2542="@收入",购销流水!$T640,IF($L2542="@存货",购销流水!$S640,IF($L2542="@结算",购销流水!$R640,$L2542)))))</f>
        <v/>
      </c>
      <c r="I2542" s="42" t="n">
        <f aca="false">IF($M2542="借",$O2542,0)</f>
        <v>0</v>
      </c>
      <c r="J2542" s="42" t="n">
        <f aca="false">IF($M2542="贷",$O2542,0)</f>
        <v>0</v>
      </c>
      <c r="K2542" s="48" t="str">
        <f aca="false">IF($H2542="","",购销流水!$E640)</f>
        <v/>
      </c>
      <c r="L2542" s="66" t="str">
        <f aca="false">IF(购销流水!$D640="","",IFERROR(INDEX(记账规则!$A$6:$N$9,MATCH(购销流水!$D640,记账规则!$A$6:$A$9,0),3),""))</f>
        <v/>
      </c>
      <c r="M2542" s="66" t="str">
        <f aca="false">IF($L2542="","",IFERROR(INDEX(记账规则!$A$6:$N$9,MATCH(购销流水!$D640,记账规则!$A$6:$A$9,0),4),""))</f>
        <v/>
      </c>
      <c r="N2542" s="66" t="str">
        <f aca="false">IF($L2542="","",IFERROR(INDEX(记账规则!$A$6:$N$9,MATCH(购销流水!$D640,记账规则!$A$6:$A$9,0),5),""))</f>
        <v/>
      </c>
      <c r="O2542" s="67" t="n">
        <f aca="false">IF($H2542="",0,ROUND(IF($N2542="成本金额",N(购销流水!$W640),IF($N2542="金额",N(购销流水!$Q640),0)),2))</f>
        <v>0</v>
      </c>
      <c r="P2542" s="64" t="str">
        <f aca="false">IF(AND($H2542&lt;&gt;"",ROUND($O2542,2)&lt;&gt;0),"有","")</f>
        <v/>
      </c>
    </row>
    <row r="2543" customFormat="false" ht="15" hidden="true" customHeight="false" outlineLevel="0" collapsed="false">
      <c r="A2543" s="53" t="str">
        <f aca="false">IF($H2543="","",ROW()-5)</f>
        <v/>
      </c>
      <c r="B2543" s="64" t="s">
        <v>36</v>
      </c>
      <c r="C2543" s="53" t="n">
        <v>640</v>
      </c>
      <c r="D2543" s="53" t="n">
        <v>2</v>
      </c>
      <c r="E2543" s="65" t="str">
        <f aca="false">IF($H2543="","",购销流水!$B640)</f>
        <v/>
      </c>
      <c r="F2543" s="55" t="str">
        <f aca="false">IF($H2543="","",购销流水!$C640)</f>
        <v/>
      </c>
      <c r="G2543" s="48" t="str">
        <f aca="false">IF($H2543="","",购销流水!$N640)</f>
        <v/>
      </c>
      <c r="H2543" s="10" t="str">
        <f aca="false">IF($L2543="","",IF($L2543="@成本",购销流水!$U640,IF($L2543="@收入",购销流水!$T640,IF($L2543="@存货",购销流水!$S640,IF($L2543="@结算",购销流水!$R640,$L2543)))))</f>
        <v/>
      </c>
      <c r="I2543" s="42" t="n">
        <f aca="false">IF($M2543="借",$O2543,0)</f>
        <v>0</v>
      </c>
      <c r="J2543" s="42" t="n">
        <f aca="false">IF($M2543="贷",$O2543,0)</f>
        <v>0</v>
      </c>
      <c r="K2543" s="48" t="str">
        <f aca="false">IF($H2543="","",购销流水!$E640)</f>
        <v/>
      </c>
      <c r="L2543" s="66" t="str">
        <f aca="false">IF(购销流水!$D640="","",IFERROR(INDEX(记账规则!$A$6:$N$9,MATCH(购销流水!$D640,记账规则!$A$6:$A$9,0),6),""))</f>
        <v/>
      </c>
      <c r="M2543" s="66" t="str">
        <f aca="false">IF($L2543="","",IFERROR(INDEX(记账规则!$A$6:$N$9,MATCH(购销流水!$D640,记账规则!$A$6:$A$9,0),7),""))</f>
        <v/>
      </c>
      <c r="N2543" s="66" t="str">
        <f aca="false">IF($L2543="","",IFERROR(INDEX(记账规则!$A$6:$N$9,MATCH(购销流水!$D640,记账规则!$A$6:$A$9,0),8),""))</f>
        <v/>
      </c>
      <c r="O2543" s="67" t="n">
        <f aca="false">IF($H2543="",0,ROUND(IF($N2543="成本金额",N(购销流水!$W640),IF($N2543="金额",N(购销流水!$Q640),0)),2))</f>
        <v>0</v>
      </c>
      <c r="P2543" s="64" t="str">
        <f aca="false">IF(AND($H2543&lt;&gt;"",ROUND($O2543,2)&lt;&gt;0),"有","")</f>
        <v/>
      </c>
    </row>
    <row r="2544" customFormat="false" ht="15" hidden="true" customHeight="false" outlineLevel="0" collapsed="false">
      <c r="A2544" s="53" t="str">
        <f aca="false">IF($H2544="","",ROW()-5)</f>
        <v/>
      </c>
      <c r="B2544" s="64" t="s">
        <v>36</v>
      </c>
      <c r="C2544" s="53" t="n">
        <v>640</v>
      </c>
      <c r="D2544" s="53" t="n">
        <v>3</v>
      </c>
      <c r="E2544" s="65" t="str">
        <f aca="false">IF($H2544="","",购销流水!$B640)</f>
        <v/>
      </c>
      <c r="F2544" s="55" t="str">
        <f aca="false">IF($H2544="","",购销流水!$C640)</f>
        <v/>
      </c>
      <c r="G2544" s="48" t="str">
        <f aca="false">IF($H2544="","",购销流水!$N640)</f>
        <v/>
      </c>
      <c r="H2544" s="10" t="str">
        <f aca="false">IF($L2544="","",IF($L2544="@成本",购销流水!$U640,IF($L2544="@收入",购销流水!$T640,IF($L2544="@存货",购销流水!$S640,IF($L2544="@结算",购销流水!$R640,$L2544)))))</f>
        <v/>
      </c>
      <c r="I2544" s="42" t="n">
        <f aca="false">IF($M2544="借",$O2544,0)</f>
        <v>0</v>
      </c>
      <c r="J2544" s="42" t="n">
        <f aca="false">IF($M2544="贷",$O2544,0)</f>
        <v>0</v>
      </c>
      <c r="K2544" s="48" t="str">
        <f aca="false">IF($H2544="","",购销流水!$E640)</f>
        <v/>
      </c>
      <c r="L2544" s="66" t="str">
        <f aca="false">IF(购销流水!$D640="","",IFERROR(INDEX(记账规则!$A$6:$N$9,MATCH(购销流水!$D640,记账规则!$A$6:$A$9,0),9),""))</f>
        <v/>
      </c>
      <c r="M2544" s="66" t="str">
        <f aca="false">IF($L2544="","",IFERROR(INDEX(记账规则!$A$6:$N$9,MATCH(购销流水!$D640,记账规则!$A$6:$A$9,0),10),""))</f>
        <v/>
      </c>
      <c r="N2544" s="66" t="str">
        <f aca="false">IF($L2544="","",IFERROR(INDEX(记账规则!$A$6:$N$9,MATCH(购销流水!$D640,记账规则!$A$6:$A$9,0),11),""))</f>
        <v/>
      </c>
      <c r="O2544" s="67" t="n">
        <f aca="false">IF($H2544="",0,ROUND(IF($N2544="成本金额",N(购销流水!$W640),IF($N2544="金额",N(购销流水!$Q640),0)),2))</f>
        <v>0</v>
      </c>
      <c r="P2544" s="64" t="str">
        <f aca="false">IF(AND($H2544&lt;&gt;"",ROUND($O2544,2)&lt;&gt;0),"有","")</f>
        <v/>
      </c>
    </row>
    <row r="2545" customFormat="false" ht="15" hidden="true" customHeight="false" outlineLevel="0" collapsed="false">
      <c r="A2545" s="53" t="str">
        <f aca="false">IF($H2545="","",ROW()-5)</f>
        <v/>
      </c>
      <c r="B2545" s="64" t="s">
        <v>36</v>
      </c>
      <c r="C2545" s="53" t="n">
        <v>640</v>
      </c>
      <c r="D2545" s="53" t="n">
        <v>4</v>
      </c>
      <c r="E2545" s="65" t="str">
        <f aca="false">IF($H2545="","",购销流水!$B640)</f>
        <v/>
      </c>
      <c r="F2545" s="55" t="str">
        <f aca="false">IF($H2545="","",购销流水!$C640)</f>
        <v/>
      </c>
      <c r="G2545" s="48" t="str">
        <f aca="false">IF($H2545="","",购销流水!$N640)</f>
        <v/>
      </c>
      <c r="H2545" s="10" t="str">
        <f aca="false">IF($L2545="","",IF($L2545="@成本",购销流水!$U640,IF($L2545="@收入",购销流水!$T640,IF($L2545="@存货",购销流水!$S640,IF($L2545="@结算",购销流水!$R640,$L2545)))))</f>
        <v/>
      </c>
      <c r="I2545" s="42" t="n">
        <f aca="false">IF($M2545="借",$O2545,0)</f>
        <v>0</v>
      </c>
      <c r="J2545" s="42" t="n">
        <f aca="false">IF($M2545="贷",$O2545,0)</f>
        <v>0</v>
      </c>
      <c r="K2545" s="48" t="str">
        <f aca="false">IF($H2545="","",购销流水!$E640)</f>
        <v/>
      </c>
      <c r="L2545" s="66" t="str">
        <f aca="false">IF(购销流水!$D640="","",IFERROR(INDEX(记账规则!$A$6:$N$9,MATCH(购销流水!$D640,记账规则!$A$6:$A$9,0),12),""))</f>
        <v/>
      </c>
      <c r="M2545" s="66" t="str">
        <f aca="false">IF($L2545="","",IFERROR(INDEX(记账规则!$A$6:$N$9,MATCH(购销流水!$D640,记账规则!$A$6:$A$9,0),13),""))</f>
        <v/>
      </c>
      <c r="N2545" s="66" t="str">
        <f aca="false">IF($L2545="","",IFERROR(INDEX(记账规则!$A$6:$N$9,MATCH(购销流水!$D640,记账规则!$A$6:$A$9,0),14),""))</f>
        <v/>
      </c>
      <c r="O2545" s="67" t="n">
        <f aca="false">IF($H2545="",0,ROUND(IF($N2545="成本金额",N(购销流水!$W640),IF($N2545="金额",N(购销流水!$Q640),0)),2))</f>
        <v>0</v>
      </c>
      <c r="P2545" s="64" t="str">
        <f aca="false">IF(AND($H2545&lt;&gt;"",ROUND($O2545,2)&lt;&gt;0),"有","")</f>
        <v/>
      </c>
    </row>
    <row r="2546" customFormat="false" ht="15" hidden="true" customHeight="false" outlineLevel="0" collapsed="false">
      <c r="A2546" s="53" t="str">
        <f aca="false">IF($H2546="","",ROW()-5)</f>
        <v/>
      </c>
      <c r="B2546" s="64" t="s">
        <v>36</v>
      </c>
      <c r="C2546" s="53" t="n">
        <v>641</v>
      </c>
      <c r="D2546" s="53" t="n">
        <v>1</v>
      </c>
      <c r="E2546" s="65" t="str">
        <f aca="false">IF($H2546="","",购销流水!$B641)</f>
        <v/>
      </c>
      <c r="F2546" s="55" t="str">
        <f aca="false">IF($H2546="","",购销流水!$C641)</f>
        <v/>
      </c>
      <c r="G2546" s="48" t="str">
        <f aca="false">IF($H2546="","",购销流水!$N641)</f>
        <v/>
      </c>
      <c r="H2546" s="10" t="str">
        <f aca="false">IF($L2546="","",IF($L2546="@成本",购销流水!$U641,IF($L2546="@收入",购销流水!$T641,IF($L2546="@存货",购销流水!$S641,IF($L2546="@结算",购销流水!$R641,$L2546)))))</f>
        <v/>
      </c>
      <c r="I2546" s="42" t="n">
        <f aca="false">IF($M2546="借",$O2546,0)</f>
        <v>0</v>
      </c>
      <c r="J2546" s="42" t="n">
        <f aca="false">IF($M2546="贷",$O2546,0)</f>
        <v>0</v>
      </c>
      <c r="K2546" s="48" t="str">
        <f aca="false">IF($H2546="","",购销流水!$E641)</f>
        <v/>
      </c>
      <c r="L2546" s="66" t="str">
        <f aca="false">IF(购销流水!$D641="","",IFERROR(INDEX(记账规则!$A$6:$N$9,MATCH(购销流水!$D641,记账规则!$A$6:$A$9,0),3),""))</f>
        <v/>
      </c>
      <c r="M2546" s="66" t="str">
        <f aca="false">IF($L2546="","",IFERROR(INDEX(记账规则!$A$6:$N$9,MATCH(购销流水!$D641,记账规则!$A$6:$A$9,0),4),""))</f>
        <v/>
      </c>
      <c r="N2546" s="66" t="str">
        <f aca="false">IF($L2546="","",IFERROR(INDEX(记账规则!$A$6:$N$9,MATCH(购销流水!$D641,记账规则!$A$6:$A$9,0),5),""))</f>
        <v/>
      </c>
      <c r="O2546" s="67" t="n">
        <f aca="false">IF($H2546="",0,ROUND(IF($N2546="成本金额",N(购销流水!$W641),IF($N2546="金额",N(购销流水!$Q641),0)),2))</f>
        <v>0</v>
      </c>
      <c r="P2546" s="64" t="str">
        <f aca="false">IF(AND($H2546&lt;&gt;"",ROUND($O2546,2)&lt;&gt;0),"有","")</f>
        <v/>
      </c>
    </row>
    <row r="2547" customFormat="false" ht="15" hidden="true" customHeight="false" outlineLevel="0" collapsed="false">
      <c r="A2547" s="53" t="str">
        <f aca="false">IF($H2547="","",ROW()-5)</f>
        <v/>
      </c>
      <c r="B2547" s="64" t="s">
        <v>36</v>
      </c>
      <c r="C2547" s="53" t="n">
        <v>641</v>
      </c>
      <c r="D2547" s="53" t="n">
        <v>2</v>
      </c>
      <c r="E2547" s="65" t="str">
        <f aca="false">IF($H2547="","",购销流水!$B641)</f>
        <v/>
      </c>
      <c r="F2547" s="55" t="str">
        <f aca="false">IF($H2547="","",购销流水!$C641)</f>
        <v/>
      </c>
      <c r="G2547" s="48" t="str">
        <f aca="false">IF($H2547="","",购销流水!$N641)</f>
        <v/>
      </c>
      <c r="H2547" s="10" t="str">
        <f aca="false">IF($L2547="","",IF($L2547="@成本",购销流水!$U641,IF($L2547="@收入",购销流水!$T641,IF($L2547="@存货",购销流水!$S641,IF($L2547="@结算",购销流水!$R641,$L2547)))))</f>
        <v/>
      </c>
      <c r="I2547" s="42" t="n">
        <f aca="false">IF($M2547="借",$O2547,0)</f>
        <v>0</v>
      </c>
      <c r="J2547" s="42" t="n">
        <f aca="false">IF($M2547="贷",$O2547,0)</f>
        <v>0</v>
      </c>
      <c r="K2547" s="48" t="str">
        <f aca="false">IF($H2547="","",购销流水!$E641)</f>
        <v/>
      </c>
      <c r="L2547" s="66" t="str">
        <f aca="false">IF(购销流水!$D641="","",IFERROR(INDEX(记账规则!$A$6:$N$9,MATCH(购销流水!$D641,记账规则!$A$6:$A$9,0),6),""))</f>
        <v/>
      </c>
      <c r="M2547" s="66" t="str">
        <f aca="false">IF($L2547="","",IFERROR(INDEX(记账规则!$A$6:$N$9,MATCH(购销流水!$D641,记账规则!$A$6:$A$9,0),7),""))</f>
        <v/>
      </c>
      <c r="N2547" s="66" t="str">
        <f aca="false">IF($L2547="","",IFERROR(INDEX(记账规则!$A$6:$N$9,MATCH(购销流水!$D641,记账规则!$A$6:$A$9,0),8),""))</f>
        <v/>
      </c>
      <c r="O2547" s="67" t="n">
        <f aca="false">IF($H2547="",0,ROUND(IF($N2547="成本金额",N(购销流水!$W641),IF($N2547="金额",N(购销流水!$Q641),0)),2))</f>
        <v>0</v>
      </c>
      <c r="P2547" s="64" t="str">
        <f aca="false">IF(AND($H2547&lt;&gt;"",ROUND($O2547,2)&lt;&gt;0),"有","")</f>
        <v/>
      </c>
    </row>
    <row r="2548" customFormat="false" ht="15" hidden="true" customHeight="false" outlineLevel="0" collapsed="false">
      <c r="A2548" s="53" t="str">
        <f aca="false">IF($H2548="","",ROW()-5)</f>
        <v/>
      </c>
      <c r="B2548" s="64" t="s">
        <v>36</v>
      </c>
      <c r="C2548" s="53" t="n">
        <v>641</v>
      </c>
      <c r="D2548" s="53" t="n">
        <v>3</v>
      </c>
      <c r="E2548" s="65" t="str">
        <f aca="false">IF($H2548="","",购销流水!$B641)</f>
        <v/>
      </c>
      <c r="F2548" s="55" t="str">
        <f aca="false">IF($H2548="","",购销流水!$C641)</f>
        <v/>
      </c>
      <c r="G2548" s="48" t="str">
        <f aca="false">IF($H2548="","",购销流水!$N641)</f>
        <v/>
      </c>
      <c r="H2548" s="10" t="str">
        <f aca="false">IF($L2548="","",IF($L2548="@成本",购销流水!$U641,IF($L2548="@收入",购销流水!$T641,IF($L2548="@存货",购销流水!$S641,IF($L2548="@结算",购销流水!$R641,$L2548)))))</f>
        <v/>
      </c>
      <c r="I2548" s="42" t="n">
        <f aca="false">IF($M2548="借",$O2548,0)</f>
        <v>0</v>
      </c>
      <c r="J2548" s="42" t="n">
        <f aca="false">IF($M2548="贷",$O2548,0)</f>
        <v>0</v>
      </c>
      <c r="K2548" s="48" t="str">
        <f aca="false">IF($H2548="","",购销流水!$E641)</f>
        <v/>
      </c>
      <c r="L2548" s="66" t="str">
        <f aca="false">IF(购销流水!$D641="","",IFERROR(INDEX(记账规则!$A$6:$N$9,MATCH(购销流水!$D641,记账规则!$A$6:$A$9,0),9),""))</f>
        <v/>
      </c>
      <c r="M2548" s="66" t="str">
        <f aca="false">IF($L2548="","",IFERROR(INDEX(记账规则!$A$6:$N$9,MATCH(购销流水!$D641,记账规则!$A$6:$A$9,0),10),""))</f>
        <v/>
      </c>
      <c r="N2548" s="66" t="str">
        <f aca="false">IF($L2548="","",IFERROR(INDEX(记账规则!$A$6:$N$9,MATCH(购销流水!$D641,记账规则!$A$6:$A$9,0),11),""))</f>
        <v/>
      </c>
      <c r="O2548" s="67" t="n">
        <f aca="false">IF($H2548="",0,ROUND(IF($N2548="成本金额",N(购销流水!$W641),IF($N2548="金额",N(购销流水!$Q641),0)),2))</f>
        <v>0</v>
      </c>
      <c r="P2548" s="64" t="str">
        <f aca="false">IF(AND($H2548&lt;&gt;"",ROUND($O2548,2)&lt;&gt;0),"有","")</f>
        <v/>
      </c>
    </row>
    <row r="2549" customFormat="false" ht="15" hidden="true" customHeight="false" outlineLevel="0" collapsed="false">
      <c r="A2549" s="53" t="str">
        <f aca="false">IF($H2549="","",ROW()-5)</f>
        <v/>
      </c>
      <c r="B2549" s="64" t="s">
        <v>36</v>
      </c>
      <c r="C2549" s="53" t="n">
        <v>641</v>
      </c>
      <c r="D2549" s="53" t="n">
        <v>4</v>
      </c>
      <c r="E2549" s="65" t="str">
        <f aca="false">IF($H2549="","",购销流水!$B641)</f>
        <v/>
      </c>
      <c r="F2549" s="55" t="str">
        <f aca="false">IF($H2549="","",购销流水!$C641)</f>
        <v/>
      </c>
      <c r="G2549" s="48" t="str">
        <f aca="false">IF($H2549="","",购销流水!$N641)</f>
        <v/>
      </c>
      <c r="H2549" s="10" t="str">
        <f aca="false">IF($L2549="","",IF($L2549="@成本",购销流水!$U641,IF($L2549="@收入",购销流水!$T641,IF($L2549="@存货",购销流水!$S641,IF($L2549="@结算",购销流水!$R641,$L2549)))))</f>
        <v/>
      </c>
      <c r="I2549" s="42" t="n">
        <f aca="false">IF($M2549="借",$O2549,0)</f>
        <v>0</v>
      </c>
      <c r="J2549" s="42" t="n">
        <f aca="false">IF($M2549="贷",$O2549,0)</f>
        <v>0</v>
      </c>
      <c r="K2549" s="48" t="str">
        <f aca="false">IF($H2549="","",购销流水!$E641)</f>
        <v/>
      </c>
      <c r="L2549" s="66" t="str">
        <f aca="false">IF(购销流水!$D641="","",IFERROR(INDEX(记账规则!$A$6:$N$9,MATCH(购销流水!$D641,记账规则!$A$6:$A$9,0),12),""))</f>
        <v/>
      </c>
      <c r="M2549" s="66" t="str">
        <f aca="false">IF($L2549="","",IFERROR(INDEX(记账规则!$A$6:$N$9,MATCH(购销流水!$D641,记账规则!$A$6:$A$9,0),13),""))</f>
        <v/>
      </c>
      <c r="N2549" s="66" t="str">
        <f aca="false">IF($L2549="","",IFERROR(INDEX(记账规则!$A$6:$N$9,MATCH(购销流水!$D641,记账规则!$A$6:$A$9,0),14),""))</f>
        <v/>
      </c>
      <c r="O2549" s="67" t="n">
        <f aca="false">IF($H2549="",0,ROUND(IF($N2549="成本金额",N(购销流水!$W641),IF($N2549="金额",N(购销流水!$Q641),0)),2))</f>
        <v>0</v>
      </c>
      <c r="P2549" s="64" t="str">
        <f aca="false">IF(AND($H2549&lt;&gt;"",ROUND($O2549,2)&lt;&gt;0),"有","")</f>
        <v/>
      </c>
    </row>
    <row r="2550" customFormat="false" ht="15" hidden="true" customHeight="false" outlineLevel="0" collapsed="false">
      <c r="A2550" s="53" t="str">
        <f aca="false">IF($H2550="","",ROW()-5)</f>
        <v/>
      </c>
      <c r="B2550" s="64" t="s">
        <v>36</v>
      </c>
      <c r="C2550" s="53" t="n">
        <v>642</v>
      </c>
      <c r="D2550" s="53" t="n">
        <v>1</v>
      </c>
      <c r="E2550" s="65" t="str">
        <f aca="false">IF($H2550="","",购销流水!$B642)</f>
        <v/>
      </c>
      <c r="F2550" s="55" t="str">
        <f aca="false">IF($H2550="","",购销流水!$C642)</f>
        <v/>
      </c>
      <c r="G2550" s="48" t="str">
        <f aca="false">IF($H2550="","",购销流水!$N642)</f>
        <v/>
      </c>
      <c r="H2550" s="10" t="str">
        <f aca="false">IF($L2550="","",IF($L2550="@成本",购销流水!$U642,IF($L2550="@收入",购销流水!$T642,IF($L2550="@存货",购销流水!$S642,IF($L2550="@结算",购销流水!$R642,$L2550)))))</f>
        <v/>
      </c>
      <c r="I2550" s="42" t="n">
        <f aca="false">IF($M2550="借",$O2550,0)</f>
        <v>0</v>
      </c>
      <c r="J2550" s="42" t="n">
        <f aca="false">IF($M2550="贷",$O2550,0)</f>
        <v>0</v>
      </c>
      <c r="K2550" s="48" t="str">
        <f aca="false">IF($H2550="","",购销流水!$E642)</f>
        <v/>
      </c>
      <c r="L2550" s="66" t="str">
        <f aca="false">IF(购销流水!$D642="","",IFERROR(INDEX(记账规则!$A$6:$N$9,MATCH(购销流水!$D642,记账规则!$A$6:$A$9,0),3),""))</f>
        <v/>
      </c>
      <c r="M2550" s="66" t="str">
        <f aca="false">IF($L2550="","",IFERROR(INDEX(记账规则!$A$6:$N$9,MATCH(购销流水!$D642,记账规则!$A$6:$A$9,0),4),""))</f>
        <v/>
      </c>
      <c r="N2550" s="66" t="str">
        <f aca="false">IF($L2550="","",IFERROR(INDEX(记账规则!$A$6:$N$9,MATCH(购销流水!$D642,记账规则!$A$6:$A$9,0),5),""))</f>
        <v/>
      </c>
      <c r="O2550" s="67" t="n">
        <f aca="false">IF($H2550="",0,ROUND(IF($N2550="成本金额",N(购销流水!$W642),IF($N2550="金额",N(购销流水!$Q642),0)),2))</f>
        <v>0</v>
      </c>
      <c r="P2550" s="64" t="str">
        <f aca="false">IF(AND($H2550&lt;&gt;"",ROUND($O2550,2)&lt;&gt;0),"有","")</f>
        <v/>
      </c>
    </row>
    <row r="2551" customFormat="false" ht="15" hidden="true" customHeight="false" outlineLevel="0" collapsed="false">
      <c r="A2551" s="53" t="str">
        <f aca="false">IF($H2551="","",ROW()-5)</f>
        <v/>
      </c>
      <c r="B2551" s="64" t="s">
        <v>36</v>
      </c>
      <c r="C2551" s="53" t="n">
        <v>642</v>
      </c>
      <c r="D2551" s="53" t="n">
        <v>2</v>
      </c>
      <c r="E2551" s="65" t="str">
        <f aca="false">IF($H2551="","",购销流水!$B642)</f>
        <v/>
      </c>
      <c r="F2551" s="55" t="str">
        <f aca="false">IF($H2551="","",购销流水!$C642)</f>
        <v/>
      </c>
      <c r="G2551" s="48" t="str">
        <f aca="false">IF($H2551="","",购销流水!$N642)</f>
        <v/>
      </c>
      <c r="H2551" s="10" t="str">
        <f aca="false">IF($L2551="","",IF($L2551="@成本",购销流水!$U642,IF($L2551="@收入",购销流水!$T642,IF($L2551="@存货",购销流水!$S642,IF($L2551="@结算",购销流水!$R642,$L2551)))))</f>
        <v/>
      </c>
      <c r="I2551" s="42" t="n">
        <f aca="false">IF($M2551="借",$O2551,0)</f>
        <v>0</v>
      </c>
      <c r="J2551" s="42" t="n">
        <f aca="false">IF($M2551="贷",$O2551,0)</f>
        <v>0</v>
      </c>
      <c r="K2551" s="48" t="str">
        <f aca="false">IF($H2551="","",购销流水!$E642)</f>
        <v/>
      </c>
      <c r="L2551" s="66" t="str">
        <f aca="false">IF(购销流水!$D642="","",IFERROR(INDEX(记账规则!$A$6:$N$9,MATCH(购销流水!$D642,记账规则!$A$6:$A$9,0),6),""))</f>
        <v/>
      </c>
      <c r="M2551" s="66" t="str">
        <f aca="false">IF($L2551="","",IFERROR(INDEX(记账规则!$A$6:$N$9,MATCH(购销流水!$D642,记账规则!$A$6:$A$9,0),7),""))</f>
        <v/>
      </c>
      <c r="N2551" s="66" t="str">
        <f aca="false">IF($L2551="","",IFERROR(INDEX(记账规则!$A$6:$N$9,MATCH(购销流水!$D642,记账规则!$A$6:$A$9,0),8),""))</f>
        <v/>
      </c>
      <c r="O2551" s="67" t="n">
        <f aca="false">IF($H2551="",0,ROUND(IF($N2551="成本金额",N(购销流水!$W642),IF($N2551="金额",N(购销流水!$Q642),0)),2))</f>
        <v>0</v>
      </c>
      <c r="P2551" s="64" t="str">
        <f aca="false">IF(AND($H2551&lt;&gt;"",ROUND($O2551,2)&lt;&gt;0),"有","")</f>
        <v/>
      </c>
    </row>
    <row r="2552" customFormat="false" ht="15" hidden="true" customHeight="false" outlineLevel="0" collapsed="false">
      <c r="A2552" s="53" t="str">
        <f aca="false">IF($H2552="","",ROW()-5)</f>
        <v/>
      </c>
      <c r="B2552" s="64" t="s">
        <v>36</v>
      </c>
      <c r="C2552" s="53" t="n">
        <v>642</v>
      </c>
      <c r="D2552" s="53" t="n">
        <v>3</v>
      </c>
      <c r="E2552" s="65" t="str">
        <f aca="false">IF($H2552="","",购销流水!$B642)</f>
        <v/>
      </c>
      <c r="F2552" s="55" t="str">
        <f aca="false">IF($H2552="","",购销流水!$C642)</f>
        <v/>
      </c>
      <c r="G2552" s="48" t="str">
        <f aca="false">IF($H2552="","",购销流水!$N642)</f>
        <v/>
      </c>
      <c r="H2552" s="10" t="str">
        <f aca="false">IF($L2552="","",IF($L2552="@成本",购销流水!$U642,IF($L2552="@收入",购销流水!$T642,IF($L2552="@存货",购销流水!$S642,IF($L2552="@结算",购销流水!$R642,$L2552)))))</f>
        <v/>
      </c>
      <c r="I2552" s="42" t="n">
        <f aca="false">IF($M2552="借",$O2552,0)</f>
        <v>0</v>
      </c>
      <c r="J2552" s="42" t="n">
        <f aca="false">IF($M2552="贷",$O2552,0)</f>
        <v>0</v>
      </c>
      <c r="K2552" s="48" t="str">
        <f aca="false">IF($H2552="","",购销流水!$E642)</f>
        <v/>
      </c>
      <c r="L2552" s="66" t="str">
        <f aca="false">IF(购销流水!$D642="","",IFERROR(INDEX(记账规则!$A$6:$N$9,MATCH(购销流水!$D642,记账规则!$A$6:$A$9,0),9),""))</f>
        <v/>
      </c>
      <c r="M2552" s="66" t="str">
        <f aca="false">IF($L2552="","",IFERROR(INDEX(记账规则!$A$6:$N$9,MATCH(购销流水!$D642,记账规则!$A$6:$A$9,0),10),""))</f>
        <v/>
      </c>
      <c r="N2552" s="66" t="str">
        <f aca="false">IF($L2552="","",IFERROR(INDEX(记账规则!$A$6:$N$9,MATCH(购销流水!$D642,记账规则!$A$6:$A$9,0),11),""))</f>
        <v/>
      </c>
      <c r="O2552" s="67" t="n">
        <f aca="false">IF($H2552="",0,ROUND(IF($N2552="成本金额",N(购销流水!$W642),IF($N2552="金额",N(购销流水!$Q642),0)),2))</f>
        <v>0</v>
      </c>
      <c r="P2552" s="64" t="str">
        <f aca="false">IF(AND($H2552&lt;&gt;"",ROUND($O2552,2)&lt;&gt;0),"有","")</f>
        <v/>
      </c>
    </row>
    <row r="2553" customFormat="false" ht="15" hidden="true" customHeight="false" outlineLevel="0" collapsed="false">
      <c r="A2553" s="53" t="str">
        <f aca="false">IF($H2553="","",ROW()-5)</f>
        <v/>
      </c>
      <c r="B2553" s="64" t="s">
        <v>36</v>
      </c>
      <c r="C2553" s="53" t="n">
        <v>642</v>
      </c>
      <c r="D2553" s="53" t="n">
        <v>4</v>
      </c>
      <c r="E2553" s="65" t="str">
        <f aca="false">IF($H2553="","",购销流水!$B642)</f>
        <v/>
      </c>
      <c r="F2553" s="55" t="str">
        <f aca="false">IF($H2553="","",购销流水!$C642)</f>
        <v/>
      </c>
      <c r="G2553" s="48" t="str">
        <f aca="false">IF($H2553="","",购销流水!$N642)</f>
        <v/>
      </c>
      <c r="H2553" s="10" t="str">
        <f aca="false">IF($L2553="","",IF($L2553="@成本",购销流水!$U642,IF($L2553="@收入",购销流水!$T642,IF($L2553="@存货",购销流水!$S642,IF($L2553="@结算",购销流水!$R642,$L2553)))))</f>
        <v/>
      </c>
      <c r="I2553" s="42" t="n">
        <f aca="false">IF($M2553="借",$O2553,0)</f>
        <v>0</v>
      </c>
      <c r="J2553" s="42" t="n">
        <f aca="false">IF($M2553="贷",$O2553,0)</f>
        <v>0</v>
      </c>
      <c r="K2553" s="48" t="str">
        <f aca="false">IF($H2553="","",购销流水!$E642)</f>
        <v/>
      </c>
      <c r="L2553" s="66" t="str">
        <f aca="false">IF(购销流水!$D642="","",IFERROR(INDEX(记账规则!$A$6:$N$9,MATCH(购销流水!$D642,记账规则!$A$6:$A$9,0),12),""))</f>
        <v/>
      </c>
      <c r="M2553" s="66" t="str">
        <f aca="false">IF($L2553="","",IFERROR(INDEX(记账规则!$A$6:$N$9,MATCH(购销流水!$D642,记账规则!$A$6:$A$9,0),13),""))</f>
        <v/>
      </c>
      <c r="N2553" s="66" t="str">
        <f aca="false">IF($L2553="","",IFERROR(INDEX(记账规则!$A$6:$N$9,MATCH(购销流水!$D642,记账规则!$A$6:$A$9,0),14),""))</f>
        <v/>
      </c>
      <c r="O2553" s="67" t="n">
        <f aca="false">IF($H2553="",0,ROUND(IF($N2553="成本金额",N(购销流水!$W642),IF($N2553="金额",N(购销流水!$Q642),0)),2))</f>
        <v>0</v>
      </c>
      <c r="P2553" s="64" t="str">
        <f aca="false">IF(AND($H2553&lt;&gt;"",ROUND($O2553,2)&lt;&gt;0),"有","")</f>
        <v/>
      </c>
    </row>
    <row r="2554" customFormat="false" ht="15" hidden="true" customHeight="false" outlineLevel="0" collapsed="false">
      <c r="A2554" s="53" t="str">
        <f aca="false">IF($H2554="","",ROW()-5)</f>
        <v/>
      </c>
      <c r="B2554" s="64" t="s">
        <v>36</v>
      </c>
      <c r="C2554" s="53" t="n">
        <v>643</v>
      </c>
      <c r="D2554" s="53" t="n">
        <v>1</v>
      </c>
      <c r="E2554" s="65" t="str">
        <f aca="false">IF($H2554="","",购销流水!$B643)</f>
        <v/>
      </c>
      <c r="F2554" s="55" t="str">
        <f aca="false">IF($H2554="","",购销流水!$C643)</f>
        <v/>
      </c>
      <c r="G2554" s="48" t="str">
        <f aca="false">IF($H2554="","",购销流水!$N643)</f>
        <v/>
      </c>
      <c r="H2554" s="10" t="str">
        <f aca="false">IF($L2554="","",IF($L2554="@成本",购销流水!$U643,IF($L2554="@收入",购销流水!$T643,IF($L2554="@存货",购销流水!$S643,IF($L2554="@结算",购销流水!$R643,$L2554)))))</f>
        <v/>
      </c>
      <c r="I2554" s="42" t="n">
        <f aca="false">IF($M2554="借",$O2554,0)</f>
        <v>0</v>
      </c>
      <c r="J2554" s="42" t="n">
        <f aca="false">IF($M2554="贷",$O2554,0)</f>
        <v>0</v>
      </c>
      <c r="K2554" s="48" t="str">
        <f aca="false">IF($H2554="","",购销流水!$E643)</f>
        <v/>
      </c>
      <c r="L2554" s="66" t="str">
        <f aca="false">IF(购销流水!$D643="","",IFERROR(INDEX(记账规则!$A$6:$N$9,MATCH(购销流水!$D643,记账规则!$A$6:$A$9,0),3),""))</f>
        <v/>
      </c>
      <c r="M2554" s="66" t="str">
        <f aca="false">IF($L2554="","",IFERROR(INDEX(记账规则!$A$6:$N$9,MATCH(购销流水!$D643,记账规则!$A$6:$A$9,0),4),""))</f>
        <v/>
      </c>
      <c r="N2554" s="66" t="str">
        <f aca="false">IF($L2554="","",IFERROR(INDEX(记账规则!$A$6:$N$9,MATCH(购销流水!$D643,记账规则!$A$6:$A$9,0),5),""))</f>
        <v/>
      </c>
      <c r="O2554" s="67" t="n">
        <f aca="false">IF($H2554="",0,ROUND(IF($N2554="成本金额",N(购销流水!$W643),IF($N2554="金额",N(购销流水!$Q643),0)),2))</f>
        <v>0</v>
      </c>
      <c r="P2554" s="64" t="str">
        <f aca="false">IF(AND($H2554&lt;&gt;"",ROUND($O2554,2)&lt;&gt;0),"有","")</f>
        <v/>
      </c>
    </row>
    <row r="2555" customFormat="false" ht="15" hidden="true" customHeight="false" outlineLevel="0" collapsed="false">
      <c r="A2555" s="53" t="str">
        <f aca="false">IF($H2555="","",ROW()-5)</f>
        <v/>
      </c>
      <c r="B2555" s="64" t="s">
        <v>36</v>
      </c>
      <c r="C2555" s="53" t="n">
        <v>643</v>
      </c>
      <c r="D2555" s="53" t="n">
        <v>2</v>
      </c>
      <c r="E2555" s="65" t="str">
        <f aca="false">IF($H2555="","",购销流水!$B643)</f>
        <v/>
      </c>
      <c r="F2555" s="55" t="str">
        <f aca="false">IF($H2555="","",购销流水!$C643)</f>
        <v/>
      </c>
      <c r="G2555" s="48" t="str">
        <f aca="false">IF($H2555="","",购销流水!$N643)</f>
        <v/>
      </c>
      <c r="H2555" s="10" t="str">
        <f aca="false">IF($L2555="","",IF($L2555="@成本",购销流水!$U643,IF($L2555="@收入",购销流水!$T643,IF($L2555="@存货",购销流水!$S643,IF($L2555="@结算",购销流水!$R643,$L2555)))))</f>
        <v/>
      </c>
      <c r="I2555" s="42" t="n">
        <f aca="false">IF($M2555="借",$O2555,0)</f>
        <v>0</v>
      </c>
      <c r="J2555" s="42" t="n">
        <f aca="false">IF($M2555="贷",$O2555,0)</f>
        <v>0</v>
      </c>
      <c r="K2555" s="48" t="str">
        <f aca="false">IF($H2555="","",购销流水!$E643)</f>
        <v/>
      </c>
      <c r="L2555" s="66" t="str">
        <f aca="false">IF(购销流水!$D643="","",IFERROR(INDEX(记账规则!$A$6:$N$9,MATCH(购销流水!$D643,记账规则!$A$6:$A$9,0),6),""))</f>
        <v/>
      </c>
      <c r="M2555" s="66" t="str">
        <f aca="false">IF($L2555="","",IFERROR(INDEX(记账规则!$A$6:$N$9,MATCH(购销流水!$D643,记账规则!$A$6:$A$9,0),7),""))</f>
        <v/>
      </c>
      <c r="N2555" s="66" t="str">
        <f aca="false">IF($L2555="","",IFERROR(INDEX(记账规则!$A$6:$N$9,MATCH(购销流水!$D643,记账规则!$A$6:$A$9,0),8),""))</f>
        <v/>
      </c>
      <c r="O2555" s="67" t="n">
        <f aca="false">IF($H2555="",0,ROUND(IF($N2555="成本金额",N(购销流水!$W643),IF($N2555="金额",N(购销流水!$Q643),0)),2))</f>
        <v>0</v>
      </c>
      <c r="P2555" s="64" t="str">
        <f aca="false">IF(AND($H2555&lt;&gt;"",ROUND($O2555,2)&lt;&gt;0),"有","")</f>
        <v/>
      </c>
    </row>
    <row r="2556" customFormat="false" ht="15" hidden="true" customHeight="false" outlineLevel="0" collapsed="false">
      <c r="A2556" s="53" t="str">
        <f aca="false">IF($H2556="","",ROW()-5)</f>
        <v/>
      </c>
      <c r="B2556" s="64" t="s">
        <v>36</v>
      </c>
      <c r="C2556" s="53" t="n">
        <v>643</v>
      </c>
      <c r="D2556" s="53" t="n">
        <v>3</v>
      </c>
      <c r="E2556" s="65" t="str">
        <f aca="false">IF($H2556="","",购销流水!$B643)</f>
        <v/>
      </c>
      <c r="F2556" s="55" t="str">
        <f aca="false">IF($H2556="","",购销流水!$C643)</f>
        <v/>
      </c>
      <c r="G2556" s="48" t="str">
        <f aca="false">IF($H2556="","",购销流水!$N643)</f>
        <v/>
      </c>
      <c r="H2556" s="10" t="str">
        <f aca="false">IF($L2556="","",IF($L2556="@成本",购销流水!$U643,IF($L2556="@收入",购销流水!$T643,IF($L2556="@存货",购销流水!$S643,IF($L2556="@结算",购销流水!$R643,$L2556)))))</f>
        <v/>
      </c>
      <c r="I2556" s="42" t="n">
        <f aca="false">IF($M2556="借",$O2556,0)</f>
        <v>0</v>
      </c>
      <c r="J2556" s="42" t="n">
        <f aca="false">IF($M2556="贷",$O2556,0)</f>
        <v>0</v>
      </c>
      <c r="K2556" s="48" t="str">
        <f aca="false">IF($H2556="","",购销流水!$E643)</f>
        <v/>
      </c>
      <c r="L2556" s="66" t="str">
        <f aca="false">IF(购销流水!$D643="","",IFERROR(INDEX(记账规则!$A$6:$N$9,MATCH(购销流水!$D643,记账规则!$A$6:$A$9,0),9),""))</f>
        <v/>
      </c>
      <c r="M2556" s="66" t="str">
        <f aca="false">IF($L2556="","",IFERROR(INDEX(记账规则!$A$6:$N$9,MATCH(购销流水!$D643,记账规则!$A$6:$A$9,0),10),""))</f>
        <v/>
      </c>
      <c r="N2556" s="66" t="str">
        <f aca="false">IF($L2556="","",IFERROR(INDEX(记账规则!$A$6:$N$9,MATCH(购销流水!$D643,记账规则!$A$6:$A$9,0),11),""))</f>
        <v/>
      </c>
      <c r="O2556" s="67" t="n">
        <f aca="false">IF($H2556="",0,ROUND(IF($N2556="成本金额",N(购销流水!$W643),IF($N2556="金额",N(购销流水!$Q643),0)),2))</f>
        <v>0</v>
      </c>
      <c r="P2556" s="64" t="str">
        <f aca="false">IF(AND($H2556&lt;&gt;"",ROUND($O2556,2)&lt;&gt;0),"有","")</f>
        <v/>
      </c>
    </row>
    <row r="2557" customFormat="false" ht="15" hidden="true" customHeight="false" outlineLevel="0" collapsed="false">
      <c r="A2557" s="53" t="str">
        <f aca="false">IF($H2557="","",ROW()-5)</f>
        <v/>
      </c>
      <c r="B2557" s="64" t="s">
        <v>36</v>
      </c>
      <c r="C2557" s="53" t="n">
        <v>643</v>
      </c>
      <c r="D2557" s="53" t="n">
        <v>4</v>
      </c>
      <c r="E2557" s="65" t="str">
        <f aca="false">IF($H2557="","",购销流水!$B643)</f>
        <v/>
      </c>
      <c r="F2557" s="55" t="str">
        <f aca="false">IF($H2557="","",购销流水!$C643)</f>
        <v/>
      </c>
      <c r="G2557" s="48" t="str">
        <f aca="false">IF($H2557="","",购销流水!$N643)</f>
        <v/>
      </c>
      <c r="H2557" s="10" t="str">
        <f aca="false">IF($L2557="","",IF($L2557="@成本",购销流水!$U643,IF($L2557="@收入",购销流水!$T643,IF($L2557="@存货",购销流水!$S643,IF($L2557="@结算",购销流水!$R643,$L2557)))))</f>
        <v/>
      </c>
      <c r="I2557" s="42" t="n">
        <f aca="false">IF($M2557="借",$O2557,0)</f>
        <v>0</v>
      </c>
      <c r="J2557" s="42" t="n">
        <f aca="false">IF($M2557="贷",$O2557,0)</f>
        <v>0</v>
      </c>
      <c r="K2557" s="48" t="str">
        <f aca="false">IF($H2557="","",购销流水!$E643)</f>
        <v/>
      </c>
      <c r="L2557" s="66" t="str">
        <f aca="false">IF(购销流水!$D643="","",IFERROR(INDEX(记账规则!$A$6:$N$9,MATCH(购销流水!$D643,记账规则!$A$6:$A$9,0),12),""))</f>
        <v/>
      </c>
      <c r="M2557" s="66" t="str">
        <f aca="false">IF($L2557="","",IFERROR(INDEX(记账规则!$A$6:$N$9,MATCH(购销流水!$D643,记账规则!$A$6:$A$9,0),13),""))</f>
        <v/>
      </c>
      <c r="N2557" s="66" t="str">
        <f aca="false">IF($L2557="","",IFERROR(INDEX(记账规则!$A$6:$N$9,MATCH(购销流水!$D643,记账规则!$A$6:$A$9,0),14),""))</f>
        <v/>
      </c>
      <c r="O2557" s="67" t="n">
        <f aca="false">IF($H2557="",0,ROUND(IF($N2557="成本金额",N(购销流水!$W643),IF($N2557="金额",N(购销流水!$Q643),0)),2))</f>
        <v>0</v>
      </c>
      <c r="P2557" s="64" t="str">
        <f aca="false">IF(AND($H2557&lt;&gt;"",ROUND($O2557,2)&lt;&gt;0),"有","")</f>
        <v/>
      </c>
    </row>
    <row r="2558" customFormat="false" ht="15" hidden="true" customHeight="false" outlineLevel="0" collapsed="false">
      <c r="A2558" s="53" t="str">
        <f aca="false">IF($H2558="","",ROW()-5)</f>
        <v/>
      </c>
      <c r="B2558" s="64" t="s">
        <v>36</v>
      </c>
      <c r="C2558" s="53" t="n">
        <v>644</v>
      </c>
      <c r="D2558" s="53" t="n">
        <v>1</v>
      </c>
      <c r="E2558" s="65" t="str">
        <f aca="false">IF($H2558="","",购销流水!$B644)</f>
        <v/>
      </c>
      <c r="F2558" s="55" t="str">
        <f aca="false">IF($H2558="","",购销流水!$C644)</f>
        <v/>
      </c>
      <c r="G2558" s="48" t="str">
        <f aca="false">IF($H2558="","",购销流水!$N644)</f>
        <v/>
      </c>
      <c r="H2558" s="10" t="str">
        <f aca="false">IF($L2558="","",IF($L2558="@成本",购销流水!$U644,IF($L2558="@收入",购销流水!$T644,IF($L2558="@存货",购销流水!$S644,IF($L2558="@结算",购销流水!$R644,$L2558)))))</f>
        <v/>
      </c>
      <c r="I2558" s="42" t="n">
        <f aca="false">IF($M2558="借",$O2558,0)</f>
        <v>0</v>
      </c>
      <c r="J2558" s="42" t="n">
        <f aca="false">IF($M2558="贷",$O2558,0)</f>
        <v>0</v>
      </c>
      <c r="K2558" s="48" t="str">
        <f aca="false">IF($H2558="","",购销流水!$E644)</f>
        <v/>
      </c>
      <c r="L2558" s="66" t="str">
        <f aca="false">IF(购销流水!$D644="","",IFERROR(INDEX(记账规则!$A$6:$N$9,MATCH(购销流水!$D644,记账规则!$A$6:$A$9,0),3),""))</f>
        <v/>
      </c>
      <c r="M2558" s="66" t="str">
        <f aca="false">IF($L2558="","",IFERROR(INDEX(记账规则!$A$6:$N$9,MATCH(购销流水!$D644,记账规则!$A$6:$A$9,0),4),""))</f>
        <v/>
      </c>
      <c r="N2558" s="66" t="str">
        <f aca="false">IF($L2558="","",IFERROR(INDEX(记账规则!$A$6:$N$9,MATCH(购销流水!$D644,记账规则!$A$6:$A$9,0),5),""))</f>
        <v/>
      </c>
      <c r="O2558" s="67" t="n">
        <f aca="false">IF($H2558="",0,ROUND(IF($N2558="成本金额",N(购销流水!$W644),IF($N2558="金额",N(购销流水!$Q644),0)),2))</f>
        <v>0</v>
      </c>
      <c r="P2558" s="64" t="str">
        <f aca="false">IF(AND($H2558&lt;&gt;"",ROUND($O2558,2)&lt;&gt;0),"有","")</f>
        <v/>
      </c>
    </row>
    <row r="2559" customFormat="false" ht="15" hidden="true" customHeight="false" outlineLevel="0" collapsed="false">
      <c r="A2559" s="53" t="str">
        <f aca="false">IF($H2559="","",ROW()-5)</f>
        <v/>
      </c>
      <c r="B2559" s="64" t="s">
        <v>36</v>
      </c>
      <c r="C2559" s="53" t="n">
        <v>644</v>
      </c>
      <c r="D2559" s="53" t="n">
        <v>2</v>
      </c>
      <c r="E2559" s="65" t="str">
        <f aca="false">IF($H2559="","",购销流水!$B644)</f>
        <v/>
      </c>
      <c r="F2559" s="55" t="str">
        <f aca="false">IF($H2559="","",购销流水!$C644)</f>
        <v/>
      </c>
      <c r="G2559" s="48" t="str">
        <f aca="false">IF($H2559="","",购销流水!$N644)</f>
        <v/>
      </c>
      <c r="H2559" s="10" t="str">
        <f aca="false">IF($L2559="","",IF($L2559="@成本",购销流水!$U644,IF($L2559="@收入",购销流水!$T644,IF($L2559="@存货",购销流水!$S644,IF($L2559="@结算",购销流水!$R644,$L2559)))))</f>
        <v/>
      </c>
      <c r="I2559" s="42" t="n">
        <f aca="false">IF($M2559="借",$O2559,0)</f>
        <v>0</v>
      </c>
      <c r="J2559" s="42" t="n">
        <f aca="false">IF($M2559="贷",$O2559,0)</f>
        <v>0</v>
      </c>
      <c r="K2559" s="48" t="str">
        <f aca="false">IF($H2559="","",购销流水!$E644)</f>
        <v/>
      </c>
      <c r="L2559" s="66" t="str">
        <f aca="false">IF(购销流水!$D644="","",IFERROR(INDEX(记账规则!$A$6:$N$9,MATCH(购销流水!$D644,记账规则!$A$6:$A$9,0),6),""))</f>
        <v/>
      </c>
      <c r="M2559" s="66" t="str">
        <f aca="false">IF($L2559="","",IFERROR(INDEX(记账规则!$A$6:$N$9,MATCH(购销流水!$D644,记账规则!$A$6:$A$9,0),7),""))</f>
        <v/>
      </c>
      <c r="N2559" s="66" t="str">
        <f aca="false">IF($L2559="","",IFERROR(INDEX(记账规则!$A$6:$N$9,MATCH(购销流水!$D644,记账规则!$A$6:$A$9,0),8),""))</f>
        <v/>
      </c>
      <c r="O2559" s="67" t="n">
        <f aca="false">IF($H2559="",0,ROUND(IF($N2559="成本金额",N(购销流水!$W644),IF($N2559="金额",N(购销流水!$Q644),0)),2))</f>
        <v>0</v>
      </c>
      <c r="P2559" s="64" t="str">
        <f aca="false">IF(AND($H2559&lt;&gt;"",ROUND($O2559,2)&lt;&gt;0),"有","")</f>
        <v/>
      </c>
    </row>
    <row r="2560" customFormat="false" ht="15" hidden="true" customHeight="false" outlineLevel="0" collapsed="false">
      <c r="A2560" s="53" t="str">
        <f aca="false">IF($H2560="","",ROW()-5)</f>
        <v/>
      </c>
      <c r="B2560" s="64" t="s">
        <v>36</v>
      </c>
      <c r="C2560" s="53" t="n">
        <v>644</v>
      </c>
      <c r="D2560" s="53" t="n">
        <v>3</v>
      </c>
      <c r="E2560" s="65" t="str">
        <f aca="false">IF($H2560="","",购销流水!$B644)</f>
        <v/>
      </c>
      <c r="F2560" s="55" t="str">
        <f aca="false">IF($H2560="","",购销流水!$C644)</f>
        <v/>
      </c>
      <c r="G2560" s="48" t="str">
        <f aca="false">IF($H2560="","",购销流水!$N644)</f>
        <v/>
      </c>
      <c r="H2560" s="10" t="str">
        <f aca="false">IF($L2560="","",IF($L2560="@成本",购销流水!$U644,IF($L2560="@收入",购销流水!$T644,IF($L2560="@存货",购销流水!$S644,IF($L2560="@结算",购销流水!$R644,$L2560)))))</f>
        <v/>
      </c>
      <c r="I2560" s="42" t="n">
        <f aca="false">IF($M2560="借",$O2560,0)</f>
        <v>0</v>
      </c>
      <c r="J2560" s="42" t="n">
        <f aca="false">IF($M2560="贷",$O2560,0)</f>
        <v>0</v>
      </c>
      <c r="K2560" s="48" t="str">
        <f aca="false">IF($H2560="","",购销流水!$E644)</f>
        <v/>
      </c>
      <c r="L2560" s="66" t="str">
        <f aca="false">IF(购销流水!$D644="","",IFERROR(INDEX(记账规则!$A$6:$N$9,MATCH(购销流水!$D644,记账规则!$A$6:$A$9,0),9),""))</f>
        <v/>
      </c>
      <c r="M2560" s="66" t="str">
        <f aca="false">IF($L2560="","",IFERROR(INDEX(记账规则!$A$6:$N$9,MATCH(购销流水!$D644,记账规则!$A$6:$A$9,0),10),""))</f>
        <v/>
      </c>
      <c r="N2560" s="66" t="str">
        <f aca="false">IF($L2560="","",IFERROR(INDEX(记账规则!$A$6:$N$9,MATCH(购销流水!$D644,记账规则!$A$6:$A$9,0),11),""))</f>
        <v/>
      </c>
      <c r="O2560" s="67" t="n">
        <f aca="false">IF($H2560="",0,ROUND(IF($N2560="成本金额",N(购销流水!$W644),IF($N2560="金额",N(购销流水!$Q644),0)),2))</f>
        <v>0</v>
      </c>
      <c r="P2560" s="64" t="str">
        <f aca="false">IF(AND($H2560&lt;&gt;"",ROUND($O2560,2)&lt;&gt;0),"有","")</f>
        <v/>
      </c>
    </row>
    <row r="2561" customFormat="false" ht="15" hidden="true" customHeight="false" outlineLevel="0" collapsed="false">
      <c r="A2561" s="53" t="str">
        <f aca="false">IF($H2561="","",ROW()-5)</f>
        <v/>
      </c>
      <c r="B2561" s="64" t="s">
        <v>36</v>
      </c>
      <c r="C2561" s="53" t="n">
        <v>644</v>
      </c>
      <c r="D2561" s="53" t="n">
        <v>4</v>
      </c>
      <c r="E2561" s="65" t="str">
        <f aca="false">IF($H2561="","",购销流水!$B644)</f>
        <v/>
      </c>
      <c r="F2561" s="55" t="str">
        <f aca="false">IF($H2561="","",购销流水!$C644)</f>
        <v/>
      </c>
      <c r="G2561" s="48" t="str">
        <f aca="false">IF($H2561="","",购销流水!$N644)</f>
        <v/>
      </c>
      <c r="H2561" s="10" t="str">
        <f aca="false">IF($L2561="","",IF($L2561="@成本",购销流水!$U644,IF($L2561="@收入",购销流水!$T644,IF($L2561="@存货",购销流水!$S644,IF($L2561="@结算",购销流水!$R644,$L2561)))))</f>
        <v/>
      </c>
      <c r="I2561" s="42" t="n">
        <f aca="false">IF($M2561="借",$O2561,0)</f>
        <v>0</v>
      </c>
      <c r="J2561" s="42" t="n">
        <f aca="false">IF($M2561="贷",$O2561,0)</f>
        <v>0</v>
      </c>
      <c r="K2561" s="48" t="str">
        <f aca="false">IF($H2561="","",购销流水!$E644)</f>
        <v/>
      </c>
      <c r="L2561" s="66" t="str">
        <f aca="false">IF(购销流水!$D644="","",IFERROR(INDEX(记账规则!$A$6:$N$9,MATCH(购销流水!$D644,记账规则!$A$6:$A$9,0),12),""))</f>
        <v/>
      </c>
      <c r="M2561" s="66" t="str">
        <f aca="false">IF($L2561="","",IFERROR(INDEX(记账规则!$A$6:$N$9,MATCH(购销流水!$D644,记账规则!$A$6:$A$9,0),13),""))</f>
        <v/>
      </c>
      <c r="N2561" s="66" t="str">
        <f aca="false">IF($L2561="","",IFERROR(INDEX(记账规则!$A$6:$N$9,MATCH(购销流水!$D644,记账规则!$A$6:$A$9,0),14),""))</f>
        <v/>
      </c>
      <c r="O2561" s="67" t="n">
        <f aca="false">IF($H2561="",0,ROUND(IF($N2561="成本金额",N(购销流水!$W644),IF($N2561="金额",N(购销流水!$Q644),0)),2))</f>
        <v>0</v>
      </c>
      <c r="P2561" s="64" t="str">
        <f aca="false">IF(AND($H2561&lt;&gt;"",ROUND($O2561,2)&lt;&gt;0),"有","")</f>
        <v/>
      </c>
    </row>
    <row r="2562" customFormat="false" ht="15" hidden="true" customHeight="false" outlineLevel="0" collapsed="false">
      <c r="A2562" s="53" t="str">
        <f aca="false">IF($H2562="","",ROW()-5)</f>
        <v/>
      </c>
      <c r="B2562" s="64" t="s">
        <v>36</v>
      </c>
      <c r="C2562" s="53" t="n">
        <v>645</v>
      </c>
      <c r="D2562" s="53" t="n">
        <v>1</v>
      </c>
      <c r="E2562" s="65" t="str">
        <f aca="false">IF($H2562="","",购销流水!$B645)</f>
        <v/>
      </c>
      <c r="F2562" s="55" t="str">
        <f aca="false">IF($H2562="","",购销流水!$C645)</f>
        <v/>
      </c>
      <c r="G2562" s="48" t="str">
        <f aca="false">IF($H2562="","",购销流水!$N645)</f>
        <v/>
      </c>
      <c r="H2562" s="10" t="str">
        <f aca="false">IF($L2562="","",IF($L2562="@成本",购销流水!$U645,IF($L2562="@收入",购销流水!$T645,IF($L2562="@存货",购销流水!$S645,IF($L2562="@结算",购销流水!$R645,$L2562)))))</f>
        <v/>
      </c>
      <c r="I2562" s="42" t="n">
        <f aca="false">IF($M2562="借",$O2562,0)</f>
        <v>0</v>
      </c>
      <c r="J2562" s="42" t="n">
        <f aca="false">IF($M2562="贷",$O2562,0)</f>
        <v>0</v>
      </c>
      <c r="K2562" s="48" t="str">
        <f aca="false">IF($H2562="","",购销流水!$E645)</f>
        <v/>
      </c>
      <c r="L2562" s="66" t="str">
        <f aca="false">IF(购销流水!$D645="","",IFERROR(INDEX(记账规则!$A$6:$N$9,MATCH(购销流水!$D645,记账规则!$A$6:$A$9,0),3),""))</f>
        <v/>
      </c>
      <c r="M2562" s="66" t="str">
        <f aca="false">IF($L2562="","",IFERROR(INDEX(记账规则!$A$6:$N$9,MATCH(购销流水!$D645,记账规则!$A$6:$A$9,0),4),""))</f>
        <v/>
      </c>
      <c r="N2562" s="66" t="str">
        <f aca="false">IF($L2562="","",IFERROR(INDEX(记账规则!$A$6:$N$9,MATCH(购销流水!$D645,记账规则!$A$6:$A$9,0),5),""))</f>
        <v/>
      </c>
      <c r="O2562" s="67" t="n">
        <f aca="false">IF($H2562="",0,ROUND(IF($N2562="成本金额",N(购销流水!$W645),IF($N2562="金额",N(购销流水!$Q645),0)),2))</f>
        <v>0</v>
      </c>
      <c r="P2562" s="64" t="str">
        <f aca="false">IF(AND($H2562&lt;&gt;"",ROUND($O2562,2)&lt;&gt;0),"有","")</f>
        <v/>
      </c>
    </row>
    <row r="2563" customFormat="false" ht="15" hidden="true" customHeight="false" outlineLevel="0" collapsed="false">
      <c r="A2563" s="53" t="str">
        <f aca="false">IF($H2563="","",ROW()-5)</f>
        <v/>
      </c>
      <c r="B2563" s="64" t="s">
        <v>36</v>
      </c>
      <c r="C2563" s="53" t="n">
        <v>645</v>
      </c>
      <c r="D2563" s="53" t="n">
        <v>2</v>
      </c>
      <c r="E2563" s="65" t="str">
        <f aca="false">IF($H2563="","",购销流水!$B645)</f>
        <v/>
      </c>
      <c r="F2563" s="55" t="str">
        <f aca="false">IF($H2563="","",购销流水!$C645)</f>
        <v/>
      </c>
      <c r="G2563" s="48" t="str">
        <f aca="false">IF($H2563="","",购销流水!$N645)</f>
        <v/>
      </c>
      <c r="H2563" s="10" t="str">
        <f aca="false">IF($L2563="","",IF($L2563="@成本",购销流水!$U645,IF($L2563="@收入",购销流水!$T645,IF($L2563="@存货",购销流水!$S645,IF($L2563="@结算",购销流水!$R645,$L2563)))))</f>
        <v/>
      </c>
      <c r="I2563" s="42" t="n">
        <f aca="false">IF($M2563="借",$O2563,0)</f>
        <v>0</v>
      </c>
      <c r="J2563" s="42" t="n">
        <f aca="false">IF($M2563="贷",$O2563,0)</f>
        <v>0</v>
      </c>
      <c r="K2563" s="48" t="str">
        <f aca="false">IF($H2563="","",购销流水!$E645)</f>
        <v/>
      </c>
      <c r="L2563" s="66" t="str">
        <f aca="false">IF(购销流水!$D645="","",IFERROR(INDEX(记账规则!$A$6:$N$9,MATCH(购销流水!$D645,记账规则!$A$6:$A$9,0),6),""))</f>
        <v/>
      </c>
      <c r="M2563" s="66" t="str">
        <f aca="false">IF($L2563="","",IFERROR(INDEX(记账规则!$A$6:$N$9,MATCH(购销流水!$D645,记账规则!$A$6:$A$9,0),7),""))</f>
        <v/>
      </c>
      <c r="N2563" s="66" t="str">
        <f aca="false">IF($L2563="","",IFERROR(INDEX(记账规则!$A$6:$N$9,MATCH(购销流水!$D645,记账规则!$A$6:$A$9,0),8),""))</f>
        <v/>
      </c>
      <c r="O2563" s="67" t="n">
        <f aca="false">IF($H2563="",0,ROUND(IF($N2563="成本金额",N(购销流水!$W645),IF($N2563="金额",N(购销流水!$Q645),0)),2))</f>
        <v>0</v>
      </c>
      <c r="P2563" s="64" t="str">
        <f aca="false">IF(AND($H2563&lt;&gt;"",ROUND($O2563,2)&lt;&gt;0),"有","")</f>
        <v/>
      </c>
    </row>
    <row r="2564" customFormat="false" ht="15" hidden="true" customHeight="false" outlineLevel="0" collapsed="false">
      <c r="A2564" s="53" t="str">
        <f aca="false">IF($H2564="","",ROW()-5)</f>
        <v/>
      </c>
      <c r="B2564" s="64" t="s">
        <v>36</v>
      </c>
      <c r="C2564" s="53" t="n">
        <v>645</v>
      </c>
      <c r="D2564" s="53" t="n">
        <v>3</v>
      </c>
      <c r="E2564" s="65" t="str">
        <f aca="false">IF($H2564="","",购销流水!$B645)</f>
        <v/>
      </c>
      <c r="F2564" s="55" t="str">
        <f aca="false">IF($H2564="","",购销流水!$C645)</f>
        <v/>
      </c>
      <c r="G2564" s="48" t="str">
        <f aca="false">IF($H2564="","",购销流水!$N645)</f>
        <v/>
      </c>
      <c r="H2564" s="10" t="str">
        <f aca="false">IF($L2564="","",IF($L2564="@成本",购销流水!$U645,IF($L2564="@收入",购销流水!$T645,IF($L2564="@存货",购销流水!$S645,IF($L2564="@结算",购销流水!$R645,$L2564)))))</f>
        <v/>
      </c>
      <c r="I2564" s="42" t="n">
        <f aca="false">IF($M2564="借",$O2564,0)</f>
        <v>0</v>
      </c>
      <c r="J2564" s="42" t="n">
        <f aca="false">IF($M2564="贷",$O2564,0)</f>
        <v>0</v>
      </c>
      <c r="K2564" s="48" t="str">
        <f aca="false">IF($H2564="","",购销流水!$E645)</f>
        <v/>
      </c>
      <c r="L2564" s="66" t="str">
        <f aca="false">IF(购销流水!$D645="","",IFERROR(INDEX(记账规则!$A$6:$N$9,MATCH(购销流水!$D645,记账规则!$A$6:$A$9,0),9),""))</f>
        <v/>
      </c>
      <c r="M2564" s="66" t="str">
        <f aca="false">IF($L2564="","",IFERROR(INDEX(记账规则!$A$6:$N$9,MATCH(购销流水!$D645,记账规则!$A$6:$A$9,0),10),""))</f>
        <v/>
      </c>
      <c r="N2564" s="66" t="str">
        <f aca="false">IF($L2564="","",IFERROR(INDEX(记账规则!$A$6:$N$9,MATCH(购销流水!$D645,记账规则!$A$6:$A$9,0),11),""))</f>
        <v/>
      </c>
      <c r="O2564" s="67" t="n">
        <f aca="false">IF($H2564="",0,ROUND(IF($N2564="成本金额",N(购销流水!$W645),IF($N2564="金额",N(购销流水!$Q645),0)),2))</f>
        <v>0</v>
      </c>
      <c r="P2564" s="64" t="str">
        <f aca="false">IF(AND($H2564&lt;&gt;"",ROUND($O2564,2)&lt;&gt;0),"有","")</f>
        <v/>
      </c>
    </row>
    <row r="2565" customFormat="false" ht="15" hidden="true" customHeight="false" outlineLevel="0" collapsed="false">
      <c r="A2565" s="53" t="str">
        <f aca="false">IF($H2565="","",ROW()-5)</f>
        <v/>
      </c>
      <c r="B2565" s="64" t="s">
        <v>36</v>
      </c>
      <c r="C2565" s="53" t="n">
        <v>645</v>
      </c>
      <c r="D2565" s="53" t="n">
        <v>4</v>
      </c>
      <c r="E2565" s="65" t="str">
        <f aca="false">IF($H2565="","",购销流水!$B645)</f>
        <v/>
      </c>
      <c r="F2565" s="55" t="str">
        <f aca="false">IF($H2565="","",购销流水!$C645)</f>
        <v/>
      </c>
      <c r="G2565" s="48" t="str">
        <f aca="false">IF($H2565="","",购销流水!$N645)</f>
        <v/>
      </c>
      <c r="H2565" s="10" t="str">
        <f aca="false">IF($L2565="","",IF($L2565="@成本",购销流水!$U645,IF($L2565="@收入",购销流水!$T645,IF($L2565="@存货",购销流水!$S645,IF($L2565="@结算",购销流水!$R645,$L2565)))))</f>
        <v/>
      </c>
      <c r="I2565" s="42" t="n">
        <f aca="false">IF($M2565="借",$O2565,0)</f>
        <v>0</v>
      </c>
      <c r="J2565" s="42" t="n">
        <f aca="false">IF($M2565="贷",$O2565,0)</f>
        <v>0</v>
      </c>
      <c r="K2565" s="48" t="str">
        <f aca="false">IF($H2565="","",购销流水!$E645)</f>
        <v/>
      </c>
      <c r="L2565" s="66" t="str">
        <f aca="false">IF(购销流水!$D645="","",IFERROR(INDEX(记账规则!$A$6:$N$9,MATCH(购销流水!$D645,记账规则!$A$6:$A$9,0),12),""))</f>
        <v/>
      </c>
      <c r="M2565" s="66" t="str">
        <f aca="false">IF($L2565="","",IFERROR(INDEX(记账规则!$A$6:$N$9,MATCH(购销流水!$D645,记账规则!$A$6:$A$9,0),13),""))</f>
        <v/>
      </c>
      <c r="N2565" s="66" t="str">
        <f aca="false">IF($L2565="","",IFERROR(INDEX(记账规则!$A$6:$N$9,MATCH(购销流水!$D645,记账规则!$A$6:$A$9,0),14),""))</f>
        <v/>
      </c>
      <c r="O2565" s="67" t="n">
        <f aca="false">IF($H2565="",0,ROUND(IF($N2565="成本金额",N(购销流水!$W645),IF($N2565="金额",N(购销流水!$Q645),0)),2))</f>
        <v>0</v>
      </c>
      <c r="P2565" s="64" t="str">
        <f aca="false">IF(AND($H2565&lt;&gt;"",ROUND($O2565,2)&lt;&gt;0),"有","")</f>
        <v/>
      </c>
    </row>
    <row r="2566" customFormat="false" ht="15" hidden="true" customHeight="false" outlineLevel="0" collapsed="false">
      <c r="A2566" s="53" t="str">
        <f aca="false">IF($H2566="","",ROW()-5)</f>
        <v/>
      </c>
      <c r="B2566" s="64" t="s">
        <v>36</v>
      </c>
      <c r="C2566" s="53" t="n">
        <v>646</v>
      </c>
      <c r="D2566" s="53" t="n">
        <v>1</v>
      </c>
      <c r="E2566" s="65" t="str">
        <f aca="false">IF($H2566="","",购销流水!$B646)</f>
        <v/>
      </c>
      <c r="F2566" s="55" t="str">
        <f aca="false">IF($H2566="","",购销流水!$C646)</f>
        <v/>
      </c>
      <c r="G2566" s="48" t="str">
        <f aca="false">IF($H2566="","",购销流水!$N646)</f>
        <v/>
      </c>
      <c r="H2566" s="10" t="str">
        <f aca="false">IF($L2566="","",IF($L2566="@成本",购销流水!$U646,IF($L2566="@收入",购销流水!$T646,IF($L2566="@存货",购销流水!$S646,IF($L2566="@结算",购销流水!$R646,$L2566)))))</f>
        <v/>
      </c>
      <c r="I2566" s="42" t="n">
        <f aca="false">IF($M2566="借",$O2566,0)</f>
        <v>0</v>
      </c>
      <c r="J2566" s="42" t="n">
        <f aca="false">IF($M2566="贷",$O2566,0)</f>
        <v>0</v>
      </c>
      <c r="K2566" s="48" t="str">
        <f aca="false">IF($H2566="","",购销流水!$E646)</f>
        <v/>
      </c>
      <c r="L2566" s="66" t="str">
        <f aca="false">IF(购销流水!$D646="","",IFERROR(INDEX(记账规则!$A$6:$N$9,MATCH(购销流水!$D646,记账规则!$A$6:$A$9,0),3),""))</f>
        <v/>
      </c>
      <c r="M2566" s="66" t="str">
        <f aca="false">IF($L2566="","",IFERROR(INDEX(记账规则!$A$6:$N$9,MATCH(购销流水!$D646,记账规则!$A$6:$A$9,0),4),""))</f>
        <v/>
      </c>
      <c r="N2566" s="66" t="str">
        <f aca="false">IF($L2566="","",IFERROR(INDEX(记账规则!$A$6:$N$9,MATCH(购销流水!$D646,记账规则!$A$6:$A$9,0),5),""))</f>
        <v/>
      </c>
      <c r="O2566" s="67" t="n">
        <f aca="false">IF($H2566="",0,ROUND(IF($N2566="成本金额",N(购销流水!$W646),IF($N2566="金额",N(购销流水!$Q646),0)),2))</f>
        <v>0</v>
      </c>
      <c r="P2566" s="64" t="str">
        <f aca="false">IF(AND($H2566&lt;&gt;"",ROUND($O2566,2)&lt;&gt;0),"有","")</f>
        <v/>
      </c>
    </row>
    <row r="2567" customFormat="false" ht="15" hidden="true" customHeight="false" outlineLevel="0" collapsed="false">
      <c r="A2567" s="53" t="str">
        <f aca="false">IF($H2567="","",ROW()-5)</f>
        <v/>
      </c>
      <c r="B2567" s="64" t="s">
        <v>36</v>
      </c>
      <c r="C2567" s="53" t="n">
        <v>646</v>
      </c>
      <c r="D2567" s="53" t="n">
        <v>2</v>
      </c>
      <c r="E2567" s="65" t="str">
        <f aca="false">IF($H2567="","",购销流水!$B646)</f>
        <v/>
      </c>
      <c r="F2567" s="55" t="str">
        <f aca="false">IF($H2567="","",购销流水!$C646)</f>
        <v/>
      </c>
      <c r="G2567" s="48" t="str">
        <f aca="false">IF($H2567="","",购销流水!$N646)</f>
        <v/>
      </c>
      <c r="H2567" s="10" t="str">
        <f aca="false">IF($L2567="","",IF($L2567="@成本",购销流水!$U646,IF($L2567="@收入",购销流水!$T646,IF($L2567="@存货",购销流水!$S646,IF($L2567="@结算",购销流水!$R646,$L2567)))))</f>
        <v/>
      </c>
      <c r="I2567" s="42" t="n">
        <f aca="false">IF($M2567="借",$O2567,0)</f>
        <v>0</v>
      </c>
      <c r="J2567" s="42" t="n">
        <f aca="false">IF($M2567="贷",$O2567,0)</f>
        <v>0</v>
      </c>
      <c r="K2567" s="48" t="str">
        <f aca="false">IF($H2567="","",购销流水!$E646)</f>
        <v/>
      </c>
      <c r="L2567" s="66" t="str">
        <f aca="false">IF(购销流水!$D646="","",IFERROR(INDEX(记账规则!$A$6:$N$9,MATCH(购销流水!$D646,记账规则!$A$6:$A$9,0),6),""))</f>
        <v/>
      </c>
      <c r="M2567" s="66" t="str">
        <f aca="false">IF($L2567="","",IFERROR(INDEX(记账规则!$A$6:$N$9,MATCH(购销流水!$D646,记账规则!$A$6:$A$9,0),7),""))</f>
        <v/>
      </c>
      <c r="N2567" s="66" t="str">
        <f aca="false">IF($L2567="","",IFERROR(INDEX(记账规则!$A$6:$N$9,MATCH(购销流水!$D646,记账规则!$A$6:$A$9,0),8),""))</f>
        <v/>
      </c>
      <c r="O2567" s="67" t="n">
        <f aca="false">IF($H2567="",0,ROUND(IF($N2567="成本金额",N(购销流水!$W646),IF($N2567="金额",N(购销流水!$Q646),0)),2))</f>
        <v>0</v>
      </c>
      <c r="P2567" s="64" t="str">
        <f aca="false">IF(AND($H2567&lt;&gt;"",ROUND($O2567,2)&lt;&gt;0),"有","")</f>
        <v/>
      </c>
    </row>
    <row r="2568" customFormat="false" ht="15" hidden="true" customHeight="false" outlineLevel="0" collapsed="false">
      <c r="A2568" s="53" t="str">
        <f aca="false">IF($H2568="","",ROW()-5)</f>
        <v/>
      </c>
      <c r="B2568" s="64" t="s">
        <v>36</v>
      </c>
      <c r="C2568" s="53" t="n">
        <v>646</v>
      </c>
      <c r="D2568" s="53" t="n">
        <v>3</v>
      </c>
      <c r="E2568" s="65" t="str">
        <f aca="false">IF($H2568="","",购销流水!$B646)</f>
        <v/>
      </c>
      <c r="F2568" s="55" t="str">
        <f aca="false">IF($H2568="","",购销流水!$C646)</f>
        <v/>
      </c>
      <c r="G2568" s="48" t="str">
        <f aca="false">IF($H2568="","",购销流水!$N646)</f>
        <v/>
      </c>
      <c r="H2568" s="10" t="str">
        <f aca="false">IF($L2568="","",IF($L2568="@成本",购销流水!$U646,IF($L2568="@收入",购销流水!$T646,IF($L2568="@存货",购销流水!$S646,IF($L2568="@结算",购销流水!$R646,$L2568)))))</f>
        <v/>
      </c>
      <c r="I2568" s="42" t="n">
        <f aca="false">IF($M2568="借",$O2568,0)</f>
        <v>0</v>
      </c>
      <c r="J2568" s="42" t="n">
        <f aca="false">IF($M2568="贷",$O2568,0)</f>
        <v>0</v>
      </c>
      <c r="K2568" s="48" t="str">
        <f aca="false">IF($H2568="","",购销流水!$E646)</f>
        <v/>
      </c>
      <c r="L2568" s="66" t="str">
        <f aca="false">IF(购销流水!$D646="","",IFERROR(INDEX(记账规则!$A$6:$N$9,MATCH(购销流水!$D646,记账规则!$A$6:$A$9,0),9),""))</f>
        <v/>
      </c>
      <c r="M2568" s="66" t="str">
        <f aca="false">IF($L2568="","",IFERROR(INDEX(记账规则!$A$6:$N$9,MATCH(购销流水!$D646,记账规则!$A$6:$A$9,0),10),""))</f>
        <v/>
      </c>
      <c r="N2568" s="66" t="str">
        <f aca="false">IF($L2568="","",IFERROR(INDEX(记账规则!$A$6:$N$9,MATCH(购销流水!$D646,记账规则!$A$6:$A$9,0),11),""))</f>
        <v/>
      </c>
      <c r="O2568" s="67" t="n">
        <f aca="false">IF($H2568="",0,ROUND(IF($N2568="成本金额",N(购销流水!$W646),IF($N2568="金额",N(购销流水!$Q646),0)),2))</f>
        <v>0</v>
      </c>
      <c r="P2568" s="64" t="str">
        <f aca="false">IF(AND($H2568&lt;&gt;"",ROUND($O2568,2)&lt;&gt;0),"有","")</f>
        <v/>
      </c>
    </row>
    <row r="2569" customFormat="false" ht="15" hidden="true" customHeight="false" outlineLevel="0" collapsed="false">
      <c r="A2569" s="53" t="str">
        <f aca="false">IF($H2569="","",ROW()-5)</f>
        <v/>
      </c>
      <c r="B2569" s="64" t="s">
        <v>36</v>
      </c>
      <c r="C2569" s="53" t="n">
        <v>646</v>
      </c>
      <c r="D2569" s="53" t="n">
        <v>4</v>
      </c>
      <c r="E2569" s="65" t="str">
        <f aca="false">IF($H2569="","",购销流水!$B646)</f>
        <v/>
      </c>
      <c r="F2569" s="55" t="str">
        <f aca="false">IF($H2569="","",购销流水!$C646)</f>
        <v/>
      </c>
      <c r="G2569" s="48" t="str">
        <f aca="false">IF($H2569="","",购销流水!$N646)</f>
        <v/>
      </c>
      <c r="H2569" s="10" t="str">
        <f aca="false">IF($L2569="","",IF($L2569="@成本",购销流水!$U646,IF($L2569="@收入",购销流水!$T646,IF($L2569="@存货",购销流水!$S646,IF($L2569="@结算",购销流水!$R646,$L2569)))))</f>
        <v/>
      </c>
      <c r="I2569" s="42" t="n">
        <f aca="false">IF($M2569="借",$O2569,0)</f>
        <v>0</v>
      </c>
      <c r="J2569" s="42" t="n">
        <f aca="false">IF($M2569="贷",$O2569,0)</f>
        <v>0</v>
      </c>
      <c r="K2569" s="48" t="str">
        <f aca="false">IF($H2569="","",购销流水!$E646)</f>
        <v/>
      </c>
      <c r="L2569" s="66" t="str">
        <f aca="false">IF(购销流水!$D646="","",IFERROR(INDEX(记账规则!$A$6:$N$9,MATCH(购销流水!$D646,记账规则!$A$6:$A$9,0),12),""))</f>
        <v/>
      </c>
      <c r="M2569" s="66" t="str">
        <f aca="false">IF($L2569="","",IFERROR(INDEX(记账规则!$A$6:$N$9,MATCH(购销流水!$D646,记账规则!$A$6:$A$9,0),13),""))</f>
        <v/>
      </c>
      <c r="N2569" s="66" t="str">
        <f aca="false">IF($L2569="","",IFERROR(INDEX(记账规则!$A$6:$N$9,MATCH(购销流水!$D646,记账规则!$A$6:$A$9,0),14),""))</f>
        <v/>
      </c>
      <c r="O2569" s="67" t="n">
        <f aca="false">IF($H2569="",0,ROUND(IF($N2569="成本金额",N(购销流水!$W646),IF($N2569="金额",N(购销流水!$Q646),0)),2))</f>
        <v>0</v>
      </c>
      <c r="P2569" s="64" t="str">
        <f aca="false">IF(AND($H2569&lt;&gt;"",ROUND($O2569,2)&lt;&gt;0),"有","")</f>
        <v/>
      </c>
    </row>
    <row r="2570" customFormat="false" ht="15" hidden="true" customHeight="false" outlineLevel="0" collapsed="false">
      <c r="A2570" s="53" t="str">
        <f aca="false">IF($H2570="","",ROW()-5)</f>
        <v/>
      </c>
      <c r="B2570" s="64" t="s">
        <v>36</v>
      </c>
      <c r="C2570" s="53" t="n">
        <v>647</v>
      </c>
      <c r="D2570" s="53" t="n">
        <v>1</v>
      </c>
      <c r="E2570" s="65" t="str">
        <f aca="false">IF($H2570="","",购销流水!$B647)</f>
        <v/>
      </c>
      <c r="F2570" s="55" t="str">
        <f aca="false">IF($H2570="","",购销流水!$C647)</f>
        <v/>
      </c>
      <c r="G2570" s="48" t="str">
        <f aca="false">IF($H2570="","",购销流水!$N647)</f>
        <v/>
      </c>
      <c r="H2570" s="10" t="str">
        <f aca="false">IF($L2570="","",IF($L2570="@成本",购销流水!$U647,IF($L2570="@收入",购销流水!$T647,IF($L2570="@存货",购销流水!$S647,IF($L2570="@结算",购销流水!$R647,$L2570)))))</f>
        <v/>
      </c>
      <c r="I2570" s="42" t="n">
        <f aca="false">IF($M2570="借",$O2570,0)</f>
        <v>0</v>
      </c>
      <c r="J2570" s="42" t="n">
        <f aca="false">IF($M2570="贷",$O2570,0)</f>
        <v>0</v>
      </c>
      <c r="K2570" s="48" t="str">
        <f aca="false">IF($H2570="","",购销流水!$E647)</f>
        <v/>
      </c>
      <c r="L2570" s="66" t="str">
        <f aca="false">IF(购销流水!$D647="","",IFERROR(INDEX(记账规则!$A$6:$N$9,MATCH(购销流水!$D647,记账规则!$A$6:$A$9,0),3),""))</f>
        <v/>
      </c>
      <c r="M2570" s="66" t="str">
        <f aca="false">IF($L2570="","",IFERROR(INDEX(记账规则!$A$6:$N$9,MATCH(购销流水!$D647,记账规则!$A$6:$A$9,0),4),""))</f>
        <v/>
      </c>
      <c r="N2570" s="66" t="str">
        <f aca="false">IF($L2570="","",IFERROR(INDEX(记账规则!$A$6:$N$9,MATCH(购销流水!$D647,记账规则!$A$6:$A$9,0),5),""))</f>
        <v/>
      </c>
      <c r="O2570" s="67" t="n">
        <f aca="false">IF($H2570="",0,ROUND(IF($N2570="成本金额",N(购销流水!$W647),IF($N2570="金额",N(购销流水!$Q647),0)),2))</f>
        <v>0</v>
      </c>
      <c r="P2570" s="64" t="str">
        <f aca="false">IF(AND($H2570&lt;&gt;"",ROUND($O2570,2)&lt;&gt;0),"有","")</f>
        <v/>
      </c>
    </row>
    <row r="2571" customFormat="false" ht="15" hidden="true" customHeight="false" outlineLevel="0" collapsed="false">
      <c r="A2571" s="53" t="str">
        <f aca="false">IF($H2571="","",ROW()-5)</f>
        <v/>
      </c>
      <c r="B2571" s="64" t="s">
        <v>36</v>
      </c>
      <c r="C2571" s="53" t="n">
        <v>647</v>
      </c>
      <c r="D2571" s="53" t="n">
        <v>2</v>
      </c>
      <c r="E2571" s="65" t="str">
        <f aca="false">IF($H2571="","",购销流水!$B647)</f>
        <v/>
      </c>
      <c r="F2571" s="55" t="str">
        <f aca="false">IF($H2571="","",购销流水!$C647)</f>
        <v/>
      </c>
      <c r="G2571" s="48" t="str">
        <f aca="false">IF($H2571="","",购销流水!$N647)</f>
        <v/>
      </c>
      <c r="H2571" s="10" t="str">
        <f aca="false">IF($L2571="","",IF($L2571="@成本",购销流水!$U647,IF($L2571="@收入",购销流水!$T647,IF($L2571="@存货",购销流水!$S647,IF($L2571="@结算",购销流水!$R647,$L2571)))))</f>
        <v/>
      </c>
      <c r="I2571" s="42" t="n">
        <f aca="false">IF($M2571="借",$O2571,0)</f>
        <v>0</v>
      </c>
      <c r="J2571" s="42" t="n">
        <f aca="false">IF($M2571="贷",$O2571,0)</f>
        <v>0</v>
      </c>
      <c r="K2571" s="48" t="str">
        <f aca="false">IF($H2571="","",购销流水!$E647)</f>
        <v/>
      </c>
      <c r="L2571" s="66" t="str">
        <f aca="false">IF(购销流水!$D647="","",IFERROR(INDEX(记账规则!$A$6:$N$9,MATCH(购销流水!$D647,记账规则!$A$6:$A$9,0),6),""))</f>
        <v/>
      </c>
      <c r="M2571" s="66" t="str">
        <f aca="false">IF($L2571="","",IFERROR(INDEX(记账规则!$A$6:$N$9,MATCH(购销流水!$D647,记账规则!$A$6:$A$9,0),7),""))</f>
        <v/>
      </c>
      <c r="N2571" s="66" t="str">
        <f aca="false">IF($L2571="","",IFERROR(INDEX(记账规则!$A$6:$N$9,MATCH(购销流水!$D647,记账规则!$A$6:$A$9,0),8),""))</f>
        <v/>
      </c>
      <c r="O2571" s="67" t="n">
        <f aca="false">IF($H2571="",0,ROUND(IF($N2571="成本金额",N(购销流水!$W647),IF($N2571="金额",N(购销流水!$Q647),0)),2))</f>
        <v>0</v>
      </c>
      <c r="P2571" s="64" t="str">
        <f aca="false">IF(AND($H2571&lt;&gt;"",ROUND($O2571,2)&lt;&gt;0),"有","")</f>
        <v/>
      </c>
    </row>
    <row r="2572" customFormat="false" ht="15" hidden="true" customHeight="false" outlineLevel="0" collapsed="false">
      <c r="A2572" s="53" t="str">
        <f aca="false">IF($H2572="","",ROW()-5)</f>
        <v/>
      </c>
      <c r="B2572" s="64" t="s">
        <v>36</v>
      </c>
      <c r="C2572" s="53" t="n">
        <v>647</v>
      </c>
      <c r="D2572" s="53" t="n">
        <v>3</v>
      </c>
      <c r="E2572" s="65" t="str">
        <f aca="false">IF($H2572="","",购销流水!$B647)</f>
        <v/>
      </c>
      <c r="F2572" s="55" t="str">
        <f aca="false">IF($H2572="","",购销流水!$C647)</f>
        <v/>
      </c>
      <c r="G2572" s="48" t="str">
        <f aca="false">IF($H2572="","",购销流水!$N647)</f>
        <v/>
      </c>
      <c r="H2572" s="10" t="str">
        <f aca="false">IF($L2572="","",IF($L2572="@成本",购销流水!$U647,IF($L2572="@收入",购销流水!$T647,IF($L2572="@存货",购销流水!$S647,IF($L2572="@结算",购销流水!$R647,$L2572)))))</f>
        <v/>
      </c>
      <c r="I2572" s="42" t="n">
        <f aca="false">IF($M2572="借",$O2572,0)</f>
        <v>0</v>
      </c>
      <c r="J2572" s="42" t="n">
        <f aca="false">IF($M2572="贷",$O2572,0)</f>
        <v>0</v>
      </c>
      <c r="K2572" s="48" t="str">
        <f aca="false">IF($H2572="","",购销流水!$E647)</f>
        <v/>
      </c>
      <c r="L2572" s="66" t="str">
        <f aca="false">IF(购销流水!$D647="","",IFERROR(INDEX(记账规则!$A$6:$N$9,MATCH(购销流水!$D647,记账规则!$A$6:$A$9,0),9),""))</f>
        <v/>
      </c>
      <c r="M2572" s="66" t="str">
        <f aca="false">IF($L2572="","",IFERROR(INDEX(记账规则!$A$6:$N$9,MATCH(购销流水!$D647,记账规则!$A$6:$A$9,0),10),""))</f>
        <v/>
      </c>
      <c r="N2572" s="66" t="str">
        <f aca="false">IF($L2572="","",IFERROR(INDEX(记账规则!$A$6:$N$9,MATCH(购销流水!$D647,记账规则!$A$6:$A$9,0),11),""))</f>
        <v/>
      </c>
      <c r="O2572" s="67" t="n">
        <f aca="false">IF($H2572="",0,ROUND(IF($N2572="成本金额",N(购销流水!$W647),IF($N2572="金额",N(购销流水!$Q647),0)),2))</f>
        <v>0</v>
      </c>
      <c r="P2572" s="64" t="str">
        <f aca="false">IF(AND($H2572&lt;&gt;"",ROUND($O2572,2)&lt;&gt;0),"有","")</f>
        <v/>
      </c>
    </row>
    <row r="2573" customFormat="false" ht="15" hidden="true" customHeight="false" outlineLevel="0" collapsed="false">
      <c r="A2573" s="53" t="str">
        <f aca="false">IF($H2573="","",ROW()-5)</f>
        <v/>
      </c>
      <c r="B2573" s="64" t="s">
        <v>36</v>
      </c>
      <c r="C2573" s="53" t="n">
        <v>647</v>
      </c>
      <c r="D2573" s="53" t="n">
        <v>4</v>
      </c>
      <c r="E2573" s="65" t="str">
        <f aca="false">IF($H2573="","",购销流水!$B647)</f>
        <v/>
      </c>
      <c r="F2573" s="55" t="str">
        <f aca="false">IF($H2573="","",购销流水!$C647)</f>
        <v/>
      </c>
      <c r="G2573" s="48" t="str">
        <f aca="false">IF($H2573="","",购销流水!$N647)</f>
        <v/>
      </c>
      <c r="H2573" s="10" t="str">
        <f aca="false">IF($L2573="","",IF($L2573="@成本",购销流水!$U647,IF($L2573="@收入",购销流水!$T647,IF($L2573="@存货",购销流水!$S647,IF($L2573="@结算",购销流水!$R647,$L2573)))))</f>
        <v/>
      </c>
      <c r="I2573" s="42" t="n">
        <f aca="false">IF($M2573="借",$O2573,0)</f>
        <v>0</v>
      </c>
      <c r="J2573" s="42" t="n">
        <f aca="false">IF($M2573="贷",$O2573,0)</f>
        <v>0</v>
      </c>
      <c r="K2573" s="48" t="str">
        <f aca="false">IF($H2573="","",购销流水!$E647)</f>
        <v/>
      </c>
      <c r="L2573" s="66" t="str">
        <f aca="false">IF(购销流水!$D647="","",IFERROR(INDEX(记账规则!$A$6:$N$9,MATCH(购销流水!$D647,记账规则!$A$6:$A$9,0),12),""))</f>
        <v/>
      </c>
      <c r="M2573" s="66" t="str">
        <f aca="false">IF($L2573="","",IFERROR(INDEX(记账规则!$A$6:$N$9,MATCH(购销流水!$D647,记账规则!$A$6:$A$9,0),13),""))</f>
        <v/>
      </c>
      <c r="N2573" s="66" t="str">
        <f aca="false">IF($L2573="","",IFERROR(INDEX(记账规则!$A$6:$N$9,MATCH(购销流水!$D647,记账规则!$A$6:$A$9,0),14),""))</f>
        <v/>
      </c>
      <c r="O2573" s="67" t="n">
        <f aca="false">IF($H2573="",0,ROUND(IF($N2573="成本金额",N(购销流水!$W647),IF($N2573="金额",N(购销流水!$Q647),0)),2))</f>
        <v>0</v>
      </c>
      <c r="P2573" s="64" t="str">
        <f aca="false">IF(AND($H2573&lt;&gt;"",ROUND($O2573,2)&lt;&gt;0),"有","")</f>
        <v/>
      </c>
    </row>
    <row r="2574" customFormat="false" ht="15" hidden="true" customHeight="false" outlineLevel="0" collapsed="false">
      <c r="A2574" s="53" t="str">
        <f aca="false">IF($H2574="","",ROW()-5)</f>
        <v/>
      </c>
      <c r="B2574" s="64" t="s">
        <v>36</v>
      </c>
      <c r="C2574" s="53" t="n">
        <v>648</v>
      </c>
      <c r="D2574" s="53" t="n">
        <v>1</v>
      </c>
      <c r="E2574" s="65" t="str">
        <f aca="false">IF($H2574="","",购销流水!$B648)</f>
        <v/>
      </c>
      <c r="F2574" s="55" t="str">
        <f aca="false">IF($H2574="","",购销流水!$C648)</f>
        <v/>
      </c>
      <c r="G2574" s="48" t="str">
        <f aca="false">IF($H2574="","",购销流水!$N648)</f>
        <v/>
      </c>
      <c r="H2574" s="10" t="str">
        <f aca="false">IF($L2574="","",IF($L2574="@成本",购销流水!$U648,IF($L2574="@收入",购销流水!$T648,IF($L2574="@存货",购销流水!$S648,IF($L2574="@结算",购销流水!$R648,$L2574)))))</f>
        <v/>
      </c>
      <c r="I2574" s="42" t="n">
        <f aca="false">IF($M2574="借",$O2574,0)</f>
        <v>0</v>
      </c>
      <c r="J2574" s="42" t="n">
        <f aca="false">IF($M2574="贷",$O2574,0)</f>
        <v>0</v>
      </c>
      <c r="K2574" s="48" t="str">
        <f aca="false">IF($H2574="","",购销流水!$E648)</f>
        <v/>
      </c>
      <c r="L2574" s="66" t="str">
        <f aca="false">IF(购销流水!$D648="","",IFERROR(INDEX(记账规则!$A$6:$N$9,MATCH(购销流水!$D648,记账规则!$A$6:$A$9,0),3),""))</f>
        <v/>
      </c>
      <c r="M2574" s="66" t="str">
        <f aca="false">IF($L2574="","",IFERROR(INDEX(记账规则!$A$6:$N$9,MATCH(购销流水!$D648,记账规则!$A$6:$A$9,0),4),""))</f>
        <v/>
      </c>
      <c r="N2574" s="66" t="str">
        <f aca="false">IF($L2574="","",IFERROR(INDEX(记账规则!$A$6:$N$9,MATCH(购销流水!$D648,记账规则!$A$6:$A$9,0),5),""))</f>
        <v/>
      </c>
      <c r="O2574" s="67" t="n">
        <f aca="false">IF($H2574="",0,ROUND(IF($N2574="成本金额",N(购销流水!$W648),IF($N2574="金额",N(购销流水!$Q648),0)),2))</f>
        <v>0</v>
      </c>
      <c r="P2574" s="64" t="str">
        <f aca="false">IF(AND($H2574&lt;&gt;"",ROUND($O2574,2)&lt;&gt;0),"有","")</f>
        <v/>
      </c>
    </row>
    <row r="2575" customFormat="false" ht="15" hidden="true" customHeight="false" outlineLevel="0" collapsed="false">
      <c r="A2575" s="53" t="str">
        <f aca="false">IF($H2575="","",ROW()-5)</f>
        <v/>
      </c>
      <c r="B2575" s="64" t="s">
        <v>36</v>
      </c>
      <c r="C2575" s="53" t="n">
        <v>648</v>
      </c>
      <c r="D2575" s="53" t="n">
        <v>2</v>
      </c>
      <c r="E2575" s="65" t="str">
        <f aca="false">IF($H2575="","",购销流水!$B648)</f>
        <v/>
      </c>
      <c r="F2575" s="55" t="str">
        <f aca="false">IF($H2575="","",购销流水!$C648)</f>
        <v/>
      </c>
      <c r="G2575" s="48" t="str">
        <f aca="false">IF($H2575="","",购销流水!$N648)</f>
        <v/>
      </c>
      <c r="H2575" s="10" t="str">
        <f aca="false">IF($L2575="","",IF($L2575="@成本",购销流水!$U648,IF($L2575="@收入",购销流水!$T648,IF($L2575="@存货",购销流水!$S648,IF($L2575="@结算",购销流水!$R648,$L2575)))))</f>
        <v/>
      </c>
      <c r="I2575" s="42" t="n">
        <f aca="false">IF($M2575="借",$O2575,0)</f>
        <v>0</v>
      </c>
      <c r="J2575" s="42" t="n">
        <f aca="false">IF($M2575="贷",$O2575,0)</f>
        <v>0</v>
      </c>
      <c r="K2575" s="48" t="str">
        <f aca="false">IF($H2575="","",购销流水!$E648)</f>
        <v/>
      </c>
      <c r="L2575" s="66" t="str">
        <f aca="false">IF(购销流水!$D648="","",IFERROR(INDEX(记账规则!$A$6:$N$9,MATCH(购销流水!$D648,记账规则!$A$6:$A$9,0),6),""))</f>
        <v/>
      </c>
      <c r="M2575" s="66" t="str">
        <f aca="false">IF($L2575="","",IFERROR(INDEX(记账规则!$A$6:$N$9,MATCH(购销流水!$D648,记账规则!$A$6:$A$9,0),7),""))</f>
        <v/>
      </c>
      <c r="N2575" s="66" t="str">
        <f aca="false">IF($L2575="","",IFERROR(INDEX(记账规则!$A$6:$N$9,MATCH(购销流水!$D648,记账规则!$A$6:$A$9,0),8),""))</f>
        <v/>
      </c>
      <c r="O2575" s="67" t="n">
        <f aca="false">IF($H2575="",0,ROUND(IF($N2575="成本金额",N(购销流水!$W648),IF($N2575="金额",N(购销流水!$Q648),0)),2))</f>
        <v>0</v>
      </c>
      <c r="P2575" s="64" t="str">
        <f aca="false">IF(AND($H2575&lt;&gt;"",ROUND($O2575,2)&lt;&gt;0),"有","")</f>
        <v/>
      </c>
    </row>
    <row r="2576" customFormat="false" ht="15" hidden="true" customHeight="false" outlineLevel="0" collapsed="false">
      <c r="A2576" s="53" t="str">
        <f aca="false">IF($H2576="","",ROW()-5)</f>
        <v/>
      </c>
      <c r="B2576" s="64" t="s">
        <v>36</v>
      </c>
      <c r="C2576" s="53" t="n">
        <v>648</v>
      </c>
      <c r="D2576" s="53" t="n">
        <v>3</v>
      </c>
      <c r="E2576" s="65" t="str">
        <f aca="false">IF($H2576="","",购销流水!$B648)</f>
        <v/>
      </c>
      <c r="F2576" s="55" t="str">
        <f aca="false">IF($H2576="","",购销流水!$C648)</f>
        <v/>
      </c>
      <c r="G2576" s="48" t="str">
        <f aca="false">IF($H2576="","",购销流水!$N648)</f>
        <v/>
      </c>
      <c r="H2576" s="10" t="str">
        <f aca="false">IF($L2576="","",IF($L2576="@成本",购销流水!$U648,IF($L2576="@收入",购销流水!$T648,IF($L2576="@存货",购销流水!$S648,IF($L2576="@结算",购销流水!$R648,$L2576)))))</f>
        <v/>
      </c>
      <c r="I2576" s="42" t="n">
        <f aca="false">IF($M2576="借",$O2576,0)</f>
        <v>0</v>
      </c>
      <c r="J2576" s="42" t="n">
        <f aca="false">IF($M2576="贷",$O2576,0)</f>
        <v>0</v>
      </c>
      <c r="K2576" s="48" t="str">
        <f aca="false">IF($H2576="","",购销流水!$E648)</f>
        <v/>
      </c>
      <c r="L2576" s="66" t="str">
        <f aca="false">IF(购销流水!$D648="","",IFERROR(INDEX(记账规则!$A$6:$N$9,MATCH(购销流水!$D648,记账规则!$A$6:$A$9,0),9),""))</f>
        <v/>
      </c>
      <c r="M2576" s="66" t="str">
        <f aca="false">IF($L2576="","",IFERROR(INDEX(记账规则!$A$6:$N$9,MATCH(购销流水!$D648,记账规则!$A$6:$A$9,0),10),""))</f>
        <v/>
      </c>
      <c r="N2576" s="66" t="str">
        <f aca="false">IF($L2576="","",IFERROR(INDEX(记账规则!$A$6:$N$9,MATCH(购销流水!$D648,记账规则!$A$6:$A$9,0),11),""))</f>
        <v/>
      </c>
      <c r="O2576" s="67" t="n">
        <f aca="false">IF($H2576="",0,ROUND(IF($N2576="成本金额",N(购销流水!$W648),IF($N2576="金额",N(购销流水!$Q648),0)),2))</f>
        <v>0</v>
      </c>
      <c r="P2576" s="64" t="str">
        <f aca="false">IF(AND($H2576&lt;&gt;"",ROUND($O2576,2)&lt;&gt;0),"有","")</f>
        <v/>
      </c>
    </row>
    <row r="2577" customFormat="false" ht="15" hidden="true" customHeight="false" outlineLevel="0" collapsed="false">
      <c r="A2577" s="53" t="str">
        <f aca="false">IF($H2577="","",ROW()-5)</f>
        <v/>
      </c>
      <c r="B2577" s="64" t="s">
        <v>36</v>
      </c>
      <c r="C2577" s="53" t="n">
        <v>648</v>
      </c>
      <c r="D2577" s="53" t="n">
        <v>4</v>
      </c>
      <c r="E2577" s="65" t="str">
        <f aca="false">IF($H2577="","",购销流水!$B648)</f>
        <v/>
      </c>
      <c r="F2577" s="55" t="str">
        <f aca="false">IF($H2577="","",购销流水!$C648)</f>
        <v/>
      </c>
      <c r="G2577" s="48" t="str">
        <f aca="false">IF($H2577="","",购销流水!$N648)</f>
        <v/>
      </c>
      <c r="H2577" s="10" t="str">
        <f aca="false">IF($L2577="","",IF($L2577="@成本",购销流水!$U648,IF($L2577="@收入",购销流水!$T648,IF($L2577="@存货",购销流水!$S648,IF($L2577="@结算",购销流水!$R648,$L2577)))))</f>
        <v/>
      </c>
      <c r="I2577" s="42" t="n">
        <f aca="false">IF($M2577="借",$O2577,0)</f>
        <v>0</v>
      </c>
      <c r="J2577" s="42" t="n">
        <f aca="false">IF($M2577="贷",$O2577,0)</f>
        <v>0</v>
      </c>
      <c r="K2577" s="48" t="str">
        <f aca="false">IF($H2577="","",购销流水!$E648)</f>
        <v/>
      </c>
      <c r="L2577" s="66" t="str">
        <f aca="false">IF(购销流水!$D648="","",IFERROR(INDEX(记账规则!$A$6:$N$9,MATCH(购销流水!$D648,记账规则!$A$6:$A$9,0),12),""))</f>
        <v/>
      </c>
      <c r="M2577" s="66" t="str">
        <f aca="false">IF($L2577="","",IFERROR(INDEX(记账规则!$A$6:$N$9,MATCH(购销流水!$D648,记账规则!$A$6:$A$9,0),13),""))</f>
        <v/>
      </c>
      <c r="N2577" s="66" t="str">
        <f aca="false">IF($L2577="","",IFERROR(INDEX(记账规则!$A$6:$N$9,MATCH(购销流水!$D648,记账规则!$A$6:$A$9,0),14),""))</f>
        <v/>
      </c>
      <c r="O2577" s="67" t="n">
        <f aca="false">IF($H2577="",0,ROUND(IF($N2577="成本金额",N(购销流水!$W648),IF($N2577="金额",N(购销流水!$Q648),0)),2))</f>
        <v>0</v>
      </c>
      <c r="P2577" s="64" t="str">
        <f aca="false">IF(AND($H2577&lt;&gt;"",ROUND($O2577,2)&lt;&gt;0),"有","")</f>
        <v/>
      </c>
    </row>
    <row r="2578" customFormat="false" ht="15" hidden="true" customHeight="false" outlineLevel="0" collapsed="false">
      <c r="A2578" s="53" t="str">
        <f aca="false">IF($H2578="","",ROW()-5)</f>
        <v/>
      </c>
      <c r="B2578" s="64" t="s">
        <v>36</v>
      </c>
      <c r="C2578" s="53" t="n">
        <v>649</v>
      </c>
      <c r="D2578" s="53" t="n">
        <v>1</v>
      </c>
      <c r="E2578" s="65" t="str">
        <f aca="false">IF($H2578="","",购销流水!$B649)</f>
        <v/>
      </c>
      <c r="F2578" s="55" t="str">
        <f aca="false">IF($H2578="","",购销流水!$C649)</f>
        <v/>
      </c>
      <c r="G2578" s="48" t="str">
        <f aca="false">IF($H2578="","",购销流水!$N649)</f>
        <v/>
      </c>
      <c r="H2578" s="10" t="str">
        <f aca="false">IF($L2578="","",IF($L2578="@成本",购销流水!$U649,IF($L2578="@收入",购销流水!$T649,IF($L2578="@存货",购销流水!$S649,IF($L2578="@结算",购销流水!$R649,$L2578)))))</f>
        <v/>
      </c>
      <c r="I2578" s="42" t="n">
        <f aca="false">IF($M2578="借",$O2578,0)</f>
        <v>0</v>
      </c>
      <c r="J2578" s="42" t="n">
        <f aca="false">IF($M2578="贷",$O2578,0)</f>
        <v>0</v>
      </c>
      <c r="K2578" s="48" t="str">
        <f aca="false">IF($H2578="","",购销流水!$E649)</f>
        <v/>
      </c>
      <c r="L2578" s="66" t="str">
        <f aca="false">IF(购销流水!$D649="","",IFERROR(INDEX(记账规则!$A$6:$N$9,MATCH(购销流水!$D649,记账规则!$A$6:$A$9,0),3),""))</f>
        <v/>
      </c>
      <c r="M2578" s="66" t="str">
        <f aca="false">IF($L2578="","",IFERROR(INDEX(记账规则!$A$6:$N$9,MATCH(购销流水!$D649,记账规则!$A$6:$A$9,0),4),""))</f>
        <v/>
      </c>
      <c r="N2578" s="66" t="str">
        <f aca="false">IF($L2578="","",IFERROR(INDEX(记账规则!$A$6:$N$9,MATCH(购销流水!$D649,记账规则!$A$6:$A$9,0),5),""))</f>
        <v/>
      </c>
      <c r="O2578" s="67" t="n">
        <f aca="false">IF($H2578="",0,ROUND(IF($N2578="成本金额",N(购销流水!$W649),IF($N2578="金额",N(购销流水!$Q649),0)),2))</f>
        <v>0</v>
      </c>
      <c r="P2578" s="64" t="str">
        <f aca="false">IF(AND($H2578&lt;&gt;"",ROUND($O2578,2)&lt;&gt;0),"有","")</f>
        <v/>
      </c>
    </row>
    <row r="2579" customFormat="false" ht="15" hidden="true" customHeight="false" outlineLevel="0" collapsed="false">
      <c r="A2579" s="53" t="str">
        <f aca="false">IF($H2579="","",ROW()-5)</f>
        <v/>
      </c>
      <c r="B2579" s="64" t="s">
        <v>36</v>
      </c>
      <c r="C2579" s="53" t="n">
        <v>649</v>
      </c>
      <c r="D2579" s="53" t="n">
        <v>2</v>
      </c>
      <c r="E2579" s="65" t="str">
        <f aca="false">IF($H2579="","",购销流水!$B649)</f>
        <v/>
      </c>
      <c r="F2579" s="55" t="str">
        <f aca="false">IF($H2579="","",购销流水!$C649)</f>
        <v/>
      </c>
      <c r="G2579" s="48" t="str">
        <f aca="false">IF($H2579="","",购销流水!$N649)</f>
        <v/>
      </c>
      <c r="H2579" s="10" t="str">
        <f aca="false">IF($L2579="","",IF($L2579="@成本",购销流水!$U649,IF($L2579="@收入",购销流水!$T649,IF($L2579="@存货",购销流水!$S649,IF($L2579="@结算",购销流水!$R649,$L2579)))))</f>
        <v/>
      </c>
      <c r="I2579" s="42" t="n">
        <f aca="false">IF($M2579="借",$O2579,0)</f>
        <v>0</v>
      </c>
      <c r="J2579" s="42" t="n">
        <f aca="false">IF($M2579="贷",$O2579,0)</f>
        <v>0</v>
      </c>
      <c r="K2579" s="48" t="str">
        <f aca="false">IF($H2579="","",购销流水!$E649)</f>
        <v/>
      </c>
      <c r="L2579" s="66" t="str">
        <f aca="false">IF(购销流水!$D649="","",IFERROR(INDEX(记账规则!$A$6:$N$9,MATCH(购销流水!$D649,记账规则!$A$6:$A$9,0),6),""))</f>
        <v/>
      </c>
      <c r="M2579" s="66" t="str">
        <f aca="false">IF($L2579="","",IFERROR(INDEX(记账规则!$A$6:$N$9,MATCH(购销流水!$D649,记账规则!$A$6:$A$9,0),7),""))</f>
        <v/>
      </c>
      <c r="N2579" s="66" t="str">
        <f aca="false">IF($L2579="","",IFERROR(INDEX(记账规则!$A$6:$N$9,MATCH(购销流水!$D649,记账规则!$A$6:$A$9,0),8),""))</f>
        <v/>
      </c>
      <c r="O2579" s="67" t="n">
        <f aca="false">IF($H2579="",0,ROUND(IF($N2579="成本金额",N(购销流水!$W649),IF($N2579="金额",N(购销流水!$Q649),0)),2))</f>
        <v>0</v>
      </c>
      <c r="P2579" s="64" t="str">
        <f aca="false">IF(AND($H2579&lt;&gt;"",ROUND($O2579,2)&lt;&gt;0),"有","")</f>
        <v/>
      </c>
    </row>
    <row r="2580" customFormat="false" ht="15" hidden="true" customHeight="false" outlineLevel="0" collapsed="false">
      <c r="A2580" s="53" t="str">
        <f aca="false">IF($H2580="","",ROW()-5)</f>
        <v/>
      </c>
      <c r="B2580" s="64" t="s">
        <v>36</v>
      </c>
      <c r="C2580" s="53" t="n">
        <v>649</v>
      </c>
      <c r="D2580" s="53" t="n">
        <v>3</v>
      </c>
      <c r="E2580" s="65" t="str">
        <f aca="false">IF($H2580="","",购销流水!$B649)</f>
        <v/>
      </c>
      <c r="F2580" s="55" t="str">
        <f aca="false">IF($H2580="","",购销流水!$C649)</f>
        <v/>
      </c>
      <c r="G2580" s="48" t="str">
        <f aca="false">IF($H2580="","",购销流水!$N649)</f>
        <v/>
      </c>
      <c r="H2580" s="10" t="str">
        <f aca="false">IF($L2580="","",IF($L2580="@成本",购销流水!$U649,IF($L2580="@收入",购销流水!$T649,IF($L2580="@存货",购销流水!$S649,IF($L2580="@结算",购销流水!$R649,$L2580)))))</f>
        <v/>
      </c>
      <c r="I2580" s="42" t="n">
        <f aca="false">IF($M2580="借",$O2580,0)</f>
        <v>0</v>
      </c>
      <c r="J2580" s="42" t="n">
        <f aca="false">IF($M2580="贷",$O2580,0)</f>
        <v>0</v>
      </c>
      <c r="K2580" s="48" t="str">
        <f aca="false">IF($H2580="","",购销流水!$E649)</f>
        <v/>
      </c>
      <c r="L2580" s="66" t="str">
        <f aca="false">IF(购销流水!$D649="","",IFERROR(INDEX(记账规则!$A$6:$N$9,MATCH(购销流水!$D649,记账规则!$A$6:$A$9,0),9),""))</f>
        <v/>
      </c>
      <c r="M2580" s="66" t="str">
        <f aca="false">IF($L2580="","",IFERROR(INDEX(记账规则!$A$6:$N$9,MATCH(购销流水!$D649,记账规则!$A$6:$A$9,0),10),""))</f>
        <v/>
      </c>
      <c r="N2580" s="66" t="str">
        <f aca="false">IF($L2580="","",IFERROR(INDEX(记账规则!$A$6:$N$9,MATCH(购销流水!$D649,记账规则!$A$6:$A$9,0),11),""))</f>
        <v/>
      </c>
      <c r="O2580" s="67" t="n">
        <f aca="false">IF($H2580="",0,ROUND(IF($N2580="成本金额",N(购销流水!$W649),IF($N2580="金额",N(购销流水!$Q649),0)),2))</f>
        <v>0</v>
      </c>
      <c r="P2580" s="64" t="str">
        <f aca="false">IF(AND($H2580&lt;&gt;"",ROUND($O2580,2)&lt;&gt;0),"有","")</f>
        <v/>
      </c>
    </row>
    <row r="2581" customFormat="false" ht="15" hidden="true" customHeight="false" outlineLevel="0" collapsed="false">
      <c r="A2581" s="53" t="str">
        <f aca="false">IF($H2581="","",ROW()-5)</f>
        <v/>
      </c>
      <c r="B2581" s="64" t="s">
        <v>36</v>
      </c>
      <c r="C2581" s="53" t="n">
        <v>649</v>
      </c>
      <c r="D2581" s="53" t="n">
        <v>4</v>
      </c>
      <c r="E2581" s="65" t="str">
        <f aca="false">IF($H2581="","",购销流水!$B649)</f>
        <v/>
      </c>
      <c r="F2581" s="55" t="str">
        <f aca="false">IF($H2581="","",购销流水!$C649)</f>
        <v/>
      </c>
      <c r="G2581" s="48" t="str">
        <f aca="false">IF($H2581="","",购销流水!$N649)</f>
        <v/>
      </c>
      <c r="H2581" s="10" t="str">
        <f aca="false">IF($L2581="","",IF($L2581="@成本",购销流水!$U649,IF($L2581="@收入",购销流水!$T649,IF($L2581="@存货",购销流水!$S649,IF($L2581="@结算",购销流水!$R649,$L2581)))))</f>
        <v/>
      </c>
      <c r="I2581" s="42" t="n">
        <f aca="false">IF($M2581="借",$O2581,0)</f>
        <v>0</v>
      </c>
      <c r="J2581" s="42" t="n">
        <f aca="false">IF($M2581="贷",$O2581,0)</f>
        <v>0</v>
      </c>
      <c r="K2581" s="48" t="str">
        <f aca="false">IF($H2581="","",购销流水!$E649)</f>
        <v/>
      </c>
      <c r="L2581" s="66" t="str">
        <f aca="false">IF(购销流水!$D649="","",IFERROR(INDEX(记账规则!$A$6:$N$9,MATCH(购销流水!$D649,记账规则!$A$6:$A$9,0),12),""))</f>
        <v/>
      </c>
      <c r="M2581" s="66" t="str">
        <f aca="false">IF($L2581="","",IFERROR(INDEX(记账规则!$A$6:$N$9,MATCH(购销流水!$D649,记账规则!$A$6:$A$9,0),13),""))</f>
        <v/>
      </c>
      <c r="N2581" s="66" t="str">
        <f aca="false">IF($L2581="","",IFERROR(INDEX(记账规则!$A$6:$N$9,MATCH(购销流水!$D649,记账规则!$A$6:$A$9,0),14),""))</f>
        <v/>
      </c>
      <c r="O2581" s="67" t="n">
        <f aca="false">IF($H2581="",0,ROUND(IF($N2581="成本金额",N(购销流水!$W649),IF($N2581="金额",N(购销流水!$Q649),0)),2))</f>
        <v>0</v>
      </c>
      <c r="P2581" s="64" t="str">
        <f aca="false">IF(AND($H2581&lt;&gt;"",ROUND($O2581,2)&lt;&gt;0),"有","")</f>
        <v/>
      </c>
    </row>
    <row r="2582" customFormat="false" ht="15" hidden="true" customHeight="false" outlineLevel="0" collapsed="false">
      <c r="A2582" s="53" t="str">
        <f aca="false">IF($H2582="","",ROW()-5)</f>
        <v/>
      </c>
      <c r="B2582" s="64" t="s">
        <v>36</v>
      </c>
      <c r="C2582" s="53" t="n">
        <v>650</v>
      </c>
      <c r="D2582" s="53" t="n">
        <v>1</v>
      </c>
      <c r="E2582" s="65" t="str">
        <f aca="false">IF($H2582="","",购销流水!$B650)</f>
        <v/>
      </c>
      <c r="F2582" s="55" t="str">
        <f aca="false">IF($H2582="","",购销流水!$C650)</f>
        <v/>
      </c>
      <c r="G2582" s="48" t="str">
        <f aca="false">IF($H2582="","",购销流水!$N650)</f>
        <v/>
      </c>
      <c r="H2582" s="10" t="str">
        <f aca="false">IF($L2582="","",IF($L2582="@成本",购销流水!$U650,IF($L2582="@收入",购销流水!$T650,IF($L2582="@存货",购销流水!$S650,IF($L2582="@结算",购销流水!$R650,$L2582)))))</f>
        <v/>
      </c>
      <c r="I2582" s="42" t="n">
        <f aca="false">IF($M2582="借",$O2582,0)</f>
        <v>0</v>
      </c>
      <c r="J2582" s="42" t="n">
        <f aca="false">IF($M2582="贷",$O2582,0)</f>
        <v>0</v>
      </c>
      <c r="K2582" s="48" t="str">
        <f aca="false">IF($H2582="","",购销流水!$E650)</f>
        <v/>
      </c>
      <c r="L2582" s="66" t="str">
        <f aca="false">IF(购销流水!$D650="","",IFERROR(INDEX(记账规则!$A$6:$N$9,MATCH(购销流水!$D650,记账规则!$A$6:$A$9,0),3),""))</f>
        <v/>
      </c>
      <c r="M2582" s="66" t="str">
        <f aca="false">IF($L2582="","",IFERROR(INDEX(记账规则!$A$6:$N$9,MATCH(购销流水!$D650,记账规则!$A$6:$A$9,0),4),""))</f>
        <v/>
      </c>
      <c r="N2582" s="66" t="str">
        <f aca="false">IF($L2582="","",IFERROR(INDEX(记账规则!$A$6:$N$9,MATCH(购销流水!$D650,记账规则!$A$6:$A$9,0),5),""))</f>
        <v/>
      </c>
      <c r="O2582" s="67" t="n">
        <f aca="false">IF($H2582="",0,ROUND(IF($N2582="成本金额",N(购销流水!$W650),IF($N2582="金额",N(购销流水!$Q650),0)),2))</f>
        <v>0</v>
      </c>
      <c r="P2582" s="64" t="str">
        <f aca="false">IF(AND($H2582&lt;&gt;"",ROUND($O2582,2)&lt;&gt;0),"有","")</f>
        <v/>
      </c>
    </row>
    <row r="2583" customFormat="false" ht="15" hidden="true" customHeight="false" outlineLevel="0" collapsed="false">
      <c r="A2583" s="53" t="str">
        <f aca="false">IF($H2583="","",ROW()-5)</f>
        <v/>
      </c>
      <c r="B2583" s="64" t="s">
        <v>36</v>
      </c>
      <c r="C2583" s="53" t="n">
        <v>650</v>
      </c>
      <c r="D2583" s="53" t="n">
        <v>2</v>
      </c>
      <c r="E2583" s="65" t="str">
        <f aca="false">IF($H2583="","",购销流水!$B650)</f>
        <v/>
      </c>
      <c r="F2583" s="55" t="str">
        <f aca="false">IF($H2583="","",购销流水!$C650)</f>
        <v/>
      </c>
      <c r="G2583" s="48" t="str">
        <f aca="false">IF($H2583="","",购销流水!$N650)</f>
        <v/>
      </c>
      <c r="H2583" s="10" t="str">
        <f aca="false">IF($L2583="","",IF($L2583="@成本",购销流水!$U650,IF($L2583="@收入",购销流水!$T650,IF($L2583="@存货",购销流水!$S650,IF($L2583="@结算",购销流水!$R650,$L2583)))))</f>
        <v/>
      </c>
      <c r="I2583" s="42" t="n">
        <f aca="false">IF($M2583="借",$O2583,0)</f>
        <v>0</v>
      </c>
      <c r="J2583" s="42" t="n">
        <f aca="false">IF($M2583="贷",$O2583,0)</f>
        <v>0</v>
      </c>
      <c r="K2583" s="48" t="str">
        <f aca="false">IF($H2583="","",购销流水!$E650)</f>
        <v/>
      </c>
      <c r="L2583" s="66" t="str">
        <f aca="false">IF(购销流水!$D650="","",IFERROR(INDEX(记账规则!$A$6:$N$9,MATCH(购销流水!$D650,记账规则!$A$6:$A$9,0),6),""))</f>
        <v/>
      </c>
      <c r="M2583" s="66" t="str">
        <f aca="false">IF($L2583="","",IFERROR(INDEX(记账规则!$A$6:$N$9,MATCH(购销流水!$D650,记账规则!$A$6:$A$9,0),7),""))</f>
        <v/>
      </c>
      <c r="N2583" s="66" t="str">
        <f aca="false">IF($L2583="","",IFERROR(INDEX(记账规则!$A$6:$N$9,MATCH(购销流水!$D650,记账规则!$A$6:$A$9,0),8),""))</f>
        <v/>
      </c>
      <c r="O2583" s="67" t="n">
        <f aca="false">IF($H2583="",0,ROUND(IF($N2583="成本金额",N(购销流水!$W650),IF($N2583="金额",N(购销流水!$Q650),0)),2))</f>
        <v>0</v>
      </c>
      <c r="P2583" s="64" t="str">
        <f aca="false">IF(AND($H2583&lt;&gt;"",ROUND($O2583,2)&lt;&gt;0),"有","")</f>
        <v/>
      </c>
    </row>
    <row r="2584" customFormat="false" ht="15" hidden="true" customHeight="false" outlineLevel="0" collapsed="false">
      <c r="A2584" s="53" t="str">
        <f aca="false">IF($H2584="","",ROW()-5)</f>
        <v/>
      </c>
      <c r="B2584" s="64" t="s">
        <v>36</v>
      </c>
      <c r="C2584" s="53" t="n">
        <v>650</v>
      </c>
      <c r="D2584" s="53" t="n">
        <v>3</v>
      </c>
      <c r="E2584" s="65" t="str">
        <f aca="false">IF($H2584="","",购销流水!$B650)</f>
        <v/>
      </c>
      <c r="F2584" s="55" t="str">
        <f aca="false">IF($H2584="","",购销流水!$C650)</f>
        <v/>
      </c>
      <c r="G2584" s="48" t="str">
        <f aca="false">IF($H2584="","",购销流水!$N650)</f>
        <v/>
      </c>
      <c r="H2584" s="10" t="str">
        <f aca="false">IF($L2584="","",IF($L2584="@成本",购销流水!$U650,IF($L2584="@收入",购销流水!$T650,IF($L2584="@存货",购销流水!$S650,IF($L2584="@结算",购销流水!$R650,$L2584)))))</f>
        <v/>
      </c>
      <c r="I2584" s="42" t="n">
        <f aca="false">IF($M2584="借",$O2584,0)</f>
        <v>0</v>
      </c>
      <c r="J2584" s="42" t="n">
        <f aca="false">IF($M2584="贷",$O2584,0)</f>
        <v>0</v>
      </c>
      <c r="K2584" s="48" t="str">
        <f aca="false">IF($H2584="","",购销流水!$E650)</f>
        <v/>
      </c>
      <c r="L2584" s="66" t="str">
        <f aca="false">IF(购销流水!$D650="","",IFERROR(INDEX(记账规则!$A$6:$N$9,MATCH(购销流水!$D650,记账规则!$A$6:$A$9,0),9),""))</f>
        <v/>
      </c>
      <c r="M2584" s="66" t="str">
        <f aca="false">IF($L2584="","",IFERROR(INDEX(记账规则!$A$6:$N$9,MATCH(购销流水!$D650,记账规则!$A$6:$A$9,0),10),""))</f>
        <v/>
      </c>
      <c r="N2584" s="66" t="str">
        <f aca="false">IF($L2584="","",IFERROR(INDEX(记账规则!$A$6:$N$9,MATCH(购销流水!$D650,记账规则!$A$6:$A$9,0),11),""))</f>
        <v/>
      </c>
      <c r="O2584" s="67" t="n">
        <f aca="false">IF($H2584="",0,ROUND(IF($N2584="成本金额",N(购销流水!$W650),IF($N2584="金额",N(购销流水!$Q650),0)),2))</f>
        <v>0</v>
      </c>
      <c r="P2584" s="64" t="str">
        <f aca="false">IF(AND($H2584&lt;&gt;"",ROUND($O2584,2)&lt;&gt;0),"有","")</f>
        <v/>
      </c>
    </row>
    <row r="2585" customFormat="false" ht="15" hidden="true" customHeight="false" outlineLevel="0" collapsed="false">
      <c r="A2585" s="53" t="str">
        <f aca="false">IF($H2585="","",ROW()-5)</f>
        <v/>
      </c>
      <c r="B2585" s="64" t="s">
        <v>36</v>
      </c>
      <c r="C2585" s="53" t="n">
        <v>650</v>
      </c>
      <c r="D2585" s="53" t="n">
        <v>4</v>
      </c>
      <c r="E2585" s="65" t="str">
        <f aca="false">IF($H2585="","",购销流水!$B650)</f>
        <v/>
      </c>
      <c r="F2585" s="55" t="str">
        <f aca="false">IF($H2585="","",购销流水!$C650)</f>
        <v/>
      </c>
      <c r="G2585" s="48" t="str">
        <f aca="false">IF($H2585="","",购销流水!$N650)</f>
        <v/>
      </c>
      <c r="H2585" s="10" t="str">
        <f aca="false">IF($L2585="","",IF($L2585="@成本",购销流水!$U650,IF($L2585="@收入",购销流水!$T650,IF($L2585="@存货",购销流水!$S650,IF($L2585="@结算",购销流水!$R650,$L2585)))))</f>
        <v/>
      </c>
      <c r="I2585" s="42" t="n">
        <f aca="false">IF($M2585="借",$O2585,0)</f>
        <v>0</v>
      </c>
      <c r="J2585" s="42" t="n">
        <f aca="false">IF($M2585="贷",$O2585,0)</f>
        <v>0</v>
      </c>
      <c r="K2585" s="48" t="str">
        <f aca="false">IF($H2585="","",购销流水!$E650)</f>
        <v/>
      </c>
      <c r="L2585" s="66" t="str">
        <f aca="false">IF(购销流水!$D650="","",IFERROR(INDEX(记账规则!$A$6:$N$9,MATCH(购销流水!$D650,记账规则!$A$6:$A$9,0),12),""))</f>
        <v/>
      </c>
      <c r="M2585" s="66" t="str">
        <f aca="false">IF($L2585="","",IFERROR(INDEX(记账规则!$A$6:$N$9,MATCH(购销流水!$D650,记账规则!$A$6:$A$9,0),13),""))</f>
        <v/>
      </c>
      <c r="N2585" s="66" t="str">
        <f aca="false">IF($L2585="","",IFERROR(INDEX(记账规则!$A$6:$N$9,MATCH(购销流水!$D650,记账规则!$A$6:$A$9,0),14),""))</f>
        <v/>
      </c>
      <c r="O2585" s="67" t="n">
        <f aca="false">IF($H2585="",0,ROUND(IF($N2585="成本金额",N(购销流水!$W650),IF($N2585="金额",N(购销流水!$Q650),0)),2))</f>
        <v>0</v>
      </c>
      <c r="P2585" s="64" t="str">
        <f aca="false">IF(AND($H2585&lt;&gt;"",ROUND($O2585,2)&lt;&gt;0),"有","")</f>
        <v/>
      </c>
    </row>
    <row r="2586" customFormat="false" ht="15" hidden="true" customHeight="false" outlineLevel="0" collapsed="false">
      <c r="A2586" s="53" t="str">
        <f aca="false">IF($H2586="","",ROW()-5)</f>
        <v/>
      </c>
      <c r="B2586" s="64" t="s">
        <v>36</v>
      </c>
      <c r="C2586" s="53" t="n">
        <v>651</v>
      </c>
      <c r="D2586" s="53" t="n">
        <v>1</v>
      </c>
      <c r="E2586" s="65" t="str">
        <f aca="false">IF($H2586="","",购销流水!$B651)</f>
        <v/>
      </c>
      <c r="F2586" s="55" t="str">
        <f aca="false">IF($H2586="","",购销流水!$C651)</f>
        <v/>
      </c>
      <c r="G2586" s="48" t="str">
        <f aca="false">IF($H2586="","",购销流水!$N651)</f>
        <v/>
      </c>
      <c r="H2586" s="10" t="str">
        <f aca="false">IF($L2586="","",IF($L2586="@成本",购销流水!$U651,IF($L2586="@收入",购销流水!$T651,IF($L2586="@存货",购销流水!$S651,IF($L2586="@结算",购销流水!$R651,$L2586)))))</f>
        <v/>
      </c>
      <c r="I2586" s="42" t="n">
        <f aca="false">IF($M2586="借",$O2586,0)</f>
        <v>0</v>
      </c>
      <c r="J2586" s="42" t="n">
        <f aca="false">IF($M2586="贷",$O2586,0)</f>
        <v>0</v>
      </c>
      <c r="K2586" s="48" t="str">
        <f aca="false">IF($H2586="","",购销流水!$E651)</f>
        <v/>
      </c>
      <c r="L2586" s="66" t="str">
        <f aca="false">IF(购销流水!$D651="","",IFERROR(INDEX(记账规则!$A$6:$N$9,MATCH(购销流水!$D651,记账规则!$A$6:$A$9,0),3),""))</f>
        <v/>
      </c>
      <c r="M2586" s="66" t="str">
        <f aca="false">IF($L2586="","",IFERROR(INDEX(记账规则!$A$6:$N$9,MATCH(购销流水!$D651,记账规则!$A$6:$A$9,0),4),""))</f>
        <v/>
      </c>
      <c r="N2586" s="66" t="str">
        <f aca="false">IF($L2586="","",IFERROR(INDEX(记账规则!$A$6:$N$9,MATCH(购销流水!$D651,记账规则!$A$6:$A$9,0),5),""))</f>
        <v/>
      </c>
      <c r="O2586" s="67" t="n">
        <f aca="false">IF($H2586="",0,ROUND(IF($N2586="成本金额",N(购销流水!$W651),IF($N2586="金额",N(购销流水!$Q651),0)),2))</f>
        <v>0</v>
      </c>
      <c r="P2586" s="64" t="str">
        <f aca="false">IF(AND($H2586&lt;&gt;"",ROUND($O2586,2)&lt;&gt;0),"有","")</f>
        <v/>
      </c>
    </row>
    <row r="2587" customFormat="false" ht="15" hidden="true" customHeight="false" outlineLevel="0" collapsed="false">
      <c r="A2587" s="53" t="str">
        <f aca="false">IF($H2587="","",ROW()-5)</f>
        <v/>
      </c>
      <c r="B2587" s="64" t="s">
        <v>36</v>
      </c>
      <c r="C2587" s="53" t="n">
        <v>651</v>
      </c>
      <c r="D2587" s="53" t="n">
        <v>2</v>
      </c>
      <c r="E2587" s="65" t="str">
        <f aca="false">IF($H2587="","",购销流水!$B651)</f>
        <v/>
      </c>
      <c r="F2587" s="55" t="str">
        <f aca="false">IF($H2587="","",购销流水!$C651)</f>
        <v/>
      </c>
      <c r="G2587" s="48" t="str">
        <f aca="false">IF($H2587="","",购销流水!$N651)</f>
        <v/>
      </c>
      <c r="H2587" s="10" t="str">
        <f aca="false">IF($L2587="","",IF($L2587="@成本",购销流水!$U651,IF($L2587="@收入",购销流水!$T651,IF($L2587="@存货",购销流水!$S651,IF($L2587="@结算",购销流水!$R651,$L2587)))))</f>
        <v/>
      </c>
      <c r="I2587" s="42" t="n">
        <f aca="false">IF($M2587="借",$O2587,0)</f>
        <v>0</v>
      </c>
      <c r="J2587" s="42" t="n">
        <f aca="false">IF($M2587="贷",$O2587,0)</f>
        <v>0</v>
      </c>
      <c r="K2587" s="48" t="str">
        <f aca="false">IF($H2587="","",购销流水!$E651)</f>
        <v/>
      </c>
      <c r="L2587" s="66" t="str">
        <f aca="false">IF(购销流水!$D651="","",IFERROR(INDEX(记账规则!$A$6:$N$9,MATCH(购销流水!$D651,记账规则!$A$6:$A$9,0),6),""))</f>
        <v/>
      </c>
      <c r="M2587" s="66" t="str">
        <f aca="false">IF($L2587="","",IFERROR(INDEX(记账规则!$A$6:$N$9,MATCH(购销流水!$D651,记账规则!$A$6:$A$9,0),7),""))</f>
        <v/>
      </c>
      <c r="N2587" s="66" t="str">
        <f aca="false">IF($L2587="","",IFERROR(INDEX(记账规则!$A$6:$N$9,MATCH(购销流水!$D651,记账规则!$A$6:$A$9,0),8),""))</f>
        <v/>
      </c>
      <c r="O2587" s="67" t="n">
        <f aca="false">IF($H2587="",0,ROUND(IF($N2587="成本金额",N(购销流水!$W651),IF($N2587="金额",N(购销流水!$Q651),0)),2))</f>
        <v>0</v>
      </c>
      <c r="P2587" s="64" t="str">
        <f aca="false">IF(AND($H2587&lt;&gt;"",ROUND($O2587,2)&lt;&gt;0),"有","")</f>
        <v/>
      </c>
    </row>
    <row r="2588" customFormat="false" ht="15" hidden="true" customHeight="false" outlineLevel="0" collapsed="false">
      <c r="A2588" s="53" t="str">
        <f aca="false">IF($H2588="","",ROW()-5)</f>
        <v/>
      </c>
      <c r="B2588" s="64" t="s">
        <v>36</v>
      </c>
      <c r="C2588" s="53" t="n">
        <v>651</v>
      </c>
      <c r="D2588" s="53" t="n">
        <v>3</v>
      </c>
      <c r="E2588" s="65" t="str">
        <f aca="false">IF($H2588="","",购销流水!$B651)</f>
        <v/>
      </c>
      <c r="F2588" s="55" t="str">
        <f aca="false">IF($H2588="","",购销流水!$C651)</f>
        <v/>
      </c>
      <c r="G2588" s="48" t="str">
        <f aca="false">IF($H2588="","",购销流水!$N651)</f>
        <v/>
      </c>
      <c r="H2588" s="10" t="str">
        <f aca="false">IF($L2588="","",IF($L2588="@成本",购销流水!$U651,IF($L2588="@收入",购销流水!$T651,IF($L2588="@存货",购销流水!$S651,IF($L2588="@结算",购销流水!$R651,$L2588)))))</f>
        <v/>
      </c>
      <c r="I2588" s="42" t="n">
        <f aca="false">IF($M2588="借",$O2588,0)</f>
        <v>0</v>
      </c>
      <c r="J2588" s="42" t="n">
        <f aca="false">IF($M2588="贷",$O2588,0)</f>
        <v>0</v>
      </c>
      <c r="K2588" s="48" t="str">
        <f aca="false">IF($H2588="","",购销流水!$E651)</f>
        <v/>
      </c>
      <c r="L2588" s="66" t="str">
        <f aca="false">IF(购销流水!$D651="","",IFERROR(INDEX(记账规则!$A$6:$N$9,MATCH(购销流水!$D651,记账规则!$A$6:$A$9,0),9),""))</f>
        <v/>
      </c>
      <c r="M2588" s="66" t="str">
        <f aca="false">IF($L2588="","",IFERROR(INDEX(记账规则!$A$6:$N$9,MATCH(购销流水!$D651,记账规则!$A$6:$A$9,0),10),""))</f>
        <v/>
      </c>
      <c r="N2588" s="66" t="str">
        <f aca="false">IF($L2588="","",IFERROR(INDEX(记账规则!$A$6:$N$9,MATCH(购销流水!$D651,记账规则!$A$6:$A$9,0),11),""))</f>
        <v/>
      </c>
      <c r="O2588" s="67" t="n">
        <f aca="false">IF($H2588="",0,ROUND(IF($N2588="成本金额",N(购销流水!$W651),IF($N2588="金额",N(购销流水!$Q651),0)),2))</f>
        <v>0</v>
      </c>
      <c r="P2588" s="64" t="str">
        <f aca="false">IF(AND($H2588&lt;&gt;"",ROUND($O2588,2)&lt;&gt;0),"有","")</f>
        <v/>
      </c>
    </row>
    <row r="2589" customFormat="false" ht="15" hidden="true" customHeight="false" outlineLevel="0" collapsed="false">
      <c r="A2589" s="53" t="str">
        <f aca="false">IF($H2589="","",ROW()-5)</f>
        <v/>
      </c>
      <c r="B2589" s="64" t="s">
        <v>36</v>
      </c>
      <c r="C2589" s="53" t="n">
        <v>651</v>
      </c>
      <c r="D2589" s="53" t="n">
        <v>4</v>
      </c>
      <c r="E2589" s="65" t="str">
        <f aca="false">IF($H2589="","",购销流水!$B651)</f>
        <v/>
      </c>
      <c r="F2589" s="55" t="str">
        <f aca="false">IF($H2589="","",购销流水!$C651)</f>
        <v/>
      </c>
      <c r="G2589" s="48" t="str">
        <f aca="false">IF($H2589="","",购销流水!$N651)</f>
        <v/>
      </c>
      <c r="H2589" s="10" t="str">
        <f aca="false">IF($L2589="","",IF($L2589="@成本",购销流水!$U651,IF($L2589="@收入",购销流水!$T651,IF($L2589="@存货",购销流水!$S651,IF($L2589="@结算",购销流水!$R651,$L2589)))))</f>
        <v/>
      </c>
      <c r="I2589" s="42" t="n">
        <f aca="false">IF($M2589="借",$O2589,0)</f>
        <v>0</v>
      </c>
      <c r="J2589" s="42" t="n">
        <f aca="false">IF($M2589="贷",$O2589,0)</f>
        <v>0</v>
      </c>
      <c r="K2589" s="48" t="str">
        <f aca="false">IF($H2589="","",购销流水!$E651)</f>
        <v/>
      </c>
      <c r="L2589" s="66" t="str">
        <f aca="false">IF(购销流水!$D651="","",IFERROR(INDEX(记账规则!$A$6:$N$9,MATCH(购销流水!$D651,记账规则!$A$6:$A$9,0),12),""))</f>
        <v/>
      </c>
      <c r="M2589" s="66" t="str">
        <f aca="false">IF($L2589="","",IFERROR(INDEX(记账规则!$A$6:$N$9,MATCH(购销流水!$D651,记账规则!$A$6:$A$9,0),13),""))</f>
        <v/>
      </c>
      <c r="N2589" s="66" t="str">
        <f aca="false">IF($L2589="","",IFERROR(INDEX(记账规则!$A$6:$N$9,MATCH(购销流水!$D651,记账规则!$A$6:$A$9,0),14),""))</f>
        <v/>
      </c>
      <c r="O2589" s="67" t="n">
        <f aca="false">IF($H2589="",0,ROUND(IF($N2589="成本金额",N(购销流水!$W651),IF($N2589="金额",N(购销流水!$Q651),0)),2))</f>
        <v>0</v>
      </c>
      <c r="P2589" s="64" t="str">
        <f aca="false">IF(AND($H2589&lt;&gt;"",ROUND($O2589,2)&lt;&gt;0),"有","")</f>
        <v/>
      </c>
    </row>
    <row r="2590" customFormat="false" ht="15" hidden="true" customHeight="false" outlineLevel="0" collapsed="false">
      <c r="A2590" s="53" t="str">
        <f aca="false">IF($H2590="","",ROW()-5)</f>
        <v/>
      </c>
      <c r="B2590" s="64" t="s">
        <v>36</v>
      </c>
      <c r="C2590" s="53" t="n">
        <v>652</v>
      </c>
      <c r="D2590" s="53" t="n">
        <v>1</v>
      </c>
      <c r="E2590" s="65" t="str">
        <f aca="false">IF($H2590="","",购销流水!$B652)</f>
        <v/>
      </c>
      <c r="F2590" s="55" t="str">
        <f aca="false">IF($H2590="","",购销流水!$C652)</f>
        <v/>
      </c>
      <c r="G2590" s="48" t="str">
        <f aca="false">IF($H2590="","",购销流水!$N652)</f>
        <v/>
      </c>
      <c r="H2590" s="10" t="str">
        <f aca="false">IF($L2590="","",IF($L2590="@成本",购销流水!$U652,IF($L2590="@收入",购销流水!$T652,IF($L2590="@存货",购销流水!$S652,IF($L2590="@结算",购销流水!$R652,$L2590)))))</f>
        <v/>
      </c>
      <c r="I2590" s="42" t="n">
        <f aca="false">IF($M2590="借",$O2590,0)</f>
        <v>0</v>
      </c>
      <c r="J2590" s="42" t="n">
        <f aca="false">IF($M2590="贷",$O2590,0)</f>
        <v>0</v>
      </c>
      <c r="K2590" s="48" t="str">
        <f aca="false">IF($H2590="","",购销流水!$E652)</f>
        <v/>
      </c>
      <c r="L2590" s="66" t="str">
        <f aca="false">IF(购销流水!$D652="","",IFERROR(INDEX(记账规则!$A$6:$N$9,MATCH(购销流水!$D652,记账规则!$A$6:$A$9,0),3),""))</f>
        <v/>
      </c>
      <c r="M2590" s="66" t="str">
        <f aca="false">IF($L2590="","",IFERROR(INDEX(记账规则!$A$6:$N$9,MATCH(购销流水!$D652,记账规则!$A$6:$A$9,0),4),""))</f>
        <v/>
      </c>
      <c r="N2590" s="66" t="str">
        <f aca="false">IF($L2590="","",IFERROR(INDEX(记账规则!$A$6:$N$9,MATCH(购销流水!$D652,记账规则!$A$6:$A$9,0),5),""))</f>
        <v/>
      </c>
      <c r="O2590" s="67" t="n">
        <f aca="false">IF($H2590="",0,ROUND(IF($N2590="成本金额",N(购销流水!$W652),IF($N2590="金额",N(购销流水!$Q652),0)),2))</f>
        <v>0</v>
      </c>
      <c r="P2590" s="64" t="str">
        <f aca="false">IF(AND($H2590&lt;&gt;"",ROUND($O2590,2)&lt;&gt;0),"有","")</f>
        <v/>
      </c>
    </row>
    <row r="2591" customFormat="false" ht="15" hidden="true" customHeight="false" outlineLevel="0" collapsed="false">
      <c r="A2591" s="53" t="str">
        <f aca="false">IF($H2591="","",ROW()-5)</f>
        <v/>
      </c>
      <c r="B2591" s="64" t="s">
        <v>36</v>
      </c>
      <c r="C2591" s="53" t="n">
        <v>652</v>
      </c>
      <c r="D2591" s="53" t="n">
        <v>2</v>
      </c>
      <c r="E2591" s="65" t="str">
        <f aca="false">IF($H2591="","",购销流水!$B652)</f>
        <v/>
      </c>
      <c r="F2591" s="55" t="str">
        <f aca="false">IF($H2591="","",购销流水!$C652)</f>
        <v/>
      </c>
      <c r="G2591" s="48" t="str">
        <f aca="false">IF($H2591="","",购销流水!$N652)</f>
        <v/>
      </c>
      <c r="H2591" s="10" t="str">
        <f aca="false">IF($L2591="","",IF($L2591="@成本",购销流水!$U652,IF($L2591="@收入",购销流水!$T652,IF($L2591="@存货",购销流水!$S652,IF($L2591="@结算",购销流水!$R652,$L2591)))))</f>
        <v/>
      </c>
      <c r="I2591" s="42" t="n">
        <f aca="false">IF($M2591="借",$O2591,0)</f>
        <v>0</v>
      </c>
      <c r="J2591" s="42" t="n">
        <f aca="false">IF($M2591="贷",$O2591,0)</f>
        <v>0</v>
      </c>
      <c r="K2591" s="48" t="str">
        <f aca="false">IF($H2591="","",购销流水!$E652)</f>
        <v/>
      </c>
      <c r="L2591" s="66" t="str">
        <f aca="false">IF(购销流水!$D652="","",IFERROR(INDEX(记账规则!$A$6:$N$9,MATCH(购销流水!$D652,记账规则!$A$6:$A$9,0),6),""))</f>
        <v/>
      </c>
      <c r="M2591" s="66" t="str">
        <f aca="false">IF($L2591="","",IFERROR(INDEX(记账规则!$A$6:$N$9,MATCH(购销流水!$D652,记账规则!$A$6:$A$9,0),7),""))</f>
        <v/>
      </c>
      <c r="N2591" s="66" t="str">
        <f aca="false">IF($L2591="","",IFERROR(INDEX(记账规则!$A$6:$N$9,MATCH(购销流水!$D652,记账规则!$A$6:$A$9,0),8),""))</f>
        <v/>
      </c>
      <c r="O2591" s="67" t="n">
        <f aca="false">IF($H2591="",0,ROUND(IF($N2591="成本金额",N(购销流水!$W652),IF($N2591="金额",N(购销流水!$Q652),0)),2))</f>
        <v>0</v>
      </c>
      <c r="P2591" s="64" t="str">
        <f aca="false">IF(AND($H2591&lt;&gt;"",ROUND($O2591,2)&lt;&gt;0),"有","")</f>
        <v/>
      </c>
    </row>
    <row r="2592" customFormat="false" ht="15" hidden="true" customHeight="false" outlineLevel="0" collapsed="false">
      <c r="A2592" s="53" t="str">
        <f aca="false">IF($H2592="","",ROW()-5)</f>
        <v/>
      </c>
      <c r="B2592" s="64" t="s">
        <v>36</v>
      </c>
      <c r="C2592" s="53" t="n">
        <v>652</v>
      </c>
      <c r="D2592" s="53" t="n">
        <v>3</v>
      </c>
      <c r="E2592" s="65" t="str">
        <f aca="false">IF($H2592="","",购销流水!$B652)</f>
        <v/>
      </c>
      <c r="F2592" s="55" t="str">
        <f aca="false">IF($H2592="","",购销流水!$C652)</f>
        <v/>
      </c>
      <c r="G2592" s="48" t="str">
        <f aca="false">IF($H2592="","",购销流水!$N652)</f>
        <v/>
      </c>
      <c r="H2592" s="10" t="str">
        <f aca="false">IF($L2592="","",IF($L2592="@成本",购销流水!$U652,IF($L2592="@收入",购销流水!$T652,IF($L2592="@存货",购销流水!$S652,IF($L2592="@结算",购销流水!$R652,$L2592)))))</f>
        <v/>
      </c>
      <c r="I2592" s="42" t="n">
        <f aca="false">IF($M2592="借",$O2592,0)</f>
        <v>0</v>
      </c>
      <c r="J2592" s="42" t="n">
        <f aca="false">IF($M2592="贷",$O2592,0)</f>
        <v>0</v>
      </c>
      <c r="K2592" s="48" t="str">
        <f aca="false">IF($H2592="","",购销流水!$E652)</f>
        <v/>
      </c>
      <c r="L2592" s="66" t="str">
        <f aca="false">IF(购销流水!$D652="","",IFERROR(INDEX(记账规则!$A$6:$N$9,MATCH(购销流水!$D652,记账规则!$A$6:$A$9,0),9),""))</f>
        <v/>
      </c>
      <c r="M2592" s="66" t="str">
        <f aca="false">IF($L2592="","",IFERROR(INDEX(记账规则!$A$6:$N$9,MATCH(购销流水!$D652,记账规则!$A$6:$A$9,0),10),""))</f>
        <v/>
      </c>
      <c r="N2592" s="66" t="str">
        <f aca="false">IF($L2592="","",IFERROR(INDEX(记账规则!$A$6:$N$9,MATCH(购销流水!$D652,记账规则!$A$6:$A$9,0),11),""))</f>
        <v/>
      </c>
      <c r="O2592" s="67" t="n">
        <f aca="false">IF($H2592="",0,ROUND(IF($N2592="成本金额",N(购销流水!$W652),IF($N2592="金额",N(购销流水!$Q652),0)),2))</f>
        <v>0</v>
      </c>
      <c r="P2592" s="64" t="str">
        <f aca="false">IF(AND($H2592&lt;&gt;"",ROUND($O2592,2)&lt;&gt;0),"有","")</f>
        <v/>
      </c>
    </row>
    <row r="2593" customFormat="false" ht="15" hidden="true" customHeight="false" outlineLevel="0" collapsed="false">
      <c r="A2593" s="53" t="str">
        <f aca="false">IF($H2593="","",ROW()-5)</f>
        <v/>
      </c>
      <c r="B2593" s="64" t="s">
        <v>36</v>
      </c>
      <c r="C2593" s="53" t="n">
        <v>652</v>
      </c>
      <c r="D2593" s="53" t="n">
        <v>4</v>
      </c>
      <c r="E2593" s="65" t="str">
        <f aca="false">IF($H2593="","",购销流水!$B652)</f>
        <v/>
      </c>
      <c r="F2593" s="55" t="str">
        <f aca="false">IF($H2593="","",购销流水!$C652)</f>
        <v/>
      </c>
      <c r="G2593" s="48" t="str">
        <f aca="false">IF($H2593="","",购销流水!$N652)</f>
        <v/>
      </c>
      <c r="H2593" s="10" t="str">
        <f aca="false">IF($L2593="","",IF($L2593="@成本",购销流水!$U652,IF($L2593="@收入",购销流水!$T652,IF($L2593="@存货",购销流水!$S652,IF($L2593="@结算",购销流水!$R652,$L2593)))))</f>
        <v/>
      </c>
      <c r="I2593" s="42" t="n">
        <f aca="false">IF($M2593="借",$O2593,0)</f>
        <v>0</v>
      </c>
      <c r="J2593" s="42" t="n">
        <f aca="false">IF($M2593="贷",$O2593,0)</f>
        <v>0</v>
      </c>
      <c r="K2593" s="48" t="str">
        <f aca="false">IF($H2593="","",购销流水!$E652)</f>
        <v/>
      </c>
      <c r="L2593" s="66" t="str">
        <f aca="false">IF(购销流水!$D652="","",IFERROR(INDEX(记账规则!$A$6:$N$9,MATCH(购销流水!$D652,记账规则!$A$6:$A$9,0),12),""))</f>
        <v/>
      </c>
      <c r="M2593" s="66" t="str">
        <f aca="false">IF($L2593="","",IFERROR(INDEX(记账规则!$A$6:$N$9,MATCH(购销流水!$D652,记账规则!$A$6:$A$9,0),13),""))</f>
        <v/>
      </c>
      <c r="N2593" s="66" t="str">
        <f aca="false">IF($L2593="","",IFERROR(INDEX(记账规则!$A$6:$N$9,MATCH(购销流水!$D652,记账规则!$A$6:$A$9,0),14),""))</f>
        <v/>
      </c>
      <c r="O2593" s="67" t="n">
        <f aca="false">IF($H2593="",0,ROUND(IF($N2593="成本金额",N(购销流水!$W652),IF($N2593="金额",N(购销流水!$Q652),0)),2))</f>
        <v>0</v>
      </c>
      <c r="P2593" s="64" t="str">
        <f aca="false">IF(AND($H2593&lt;&gt;"",ROUND($O2593,2)&lt;&gt;0),"有","")</f>
        <v/>
      </c>
    </row>
    <row r="2594" customFormat="false" ht="15" hidden="true" customHeight="false" outlineLevel="0" collapsed="false">
      <c r="A2594" s="53" t="str">
        <f aca="false">IF($H2594="","",ROW()-5)</f>
        <v/>
      </c>
      <c r="B2594" s="64" t="s">
        <v>36</v>
      </c>
      <c r="C2594" s="53" t="n">
        <v>653</v>
      </c>
      <c r="D2594" s="53" t="n">
        <v>1</v>
      </c>
      <c r="E2594" s="65" t="str">
        <f aca="false">IF($H2594="","",购销流水!$B653)</f>
        <v/>
      </c>
      <c r="F2594" s="55" t="str">
        <f aca="false">IF($H2594="","",购销流水!$C653)</f>
        <v/>
      </c>
      <c r="G2594" s="48" t="str">
        <f aca="false">IF($H2594="","",购销流水!$N653)</f>
        <v/>
      </c>
      <c r="H2594" s="10" t="str">
        <f aca="false">IF($L2594="","",IF($L2594="@成本",购销流水!$U653,IF($L2594="@收入",购销流水!$T653,IF($L2594="@存货",购销流水!$S653,IF($L2594="@结算",购销流水!$R653,$L2594)))))</f>
        <v/>
      </c>
      <c r="I2594" s="42" t="n">
        <f aca="false">IF($M2594="借",$O2594,0)</f>
        <v>0</v>
      </c>
      <c r="J2594" s="42" t="n">
        <f aca="false">IF($M2594="贷",$O2594,0)</f>
        <v>0</v>
      </c>
      <c r="K2594" s="48" t="str">
        <f aca="false">IF($H2594="","",购销流水!$E653)</f>
        <v/>
      </c>
      <c r="L2594" s="66" t="str">
        <f aca="false">IF(购销流水!$D653="","",IFERROR(INDEX(记账规则!$A$6:$N$9,MATCH(购销流水!$D653,记账规则!$A$6:$A$9,0),3),""))</f>
        <v/>
      </c>
      <c r="M2594" s="66" t="str">
        <f aca="false">IF($L2594="","",IFERROR(INDEX(记账规则!$A$6:$N$9,MATCH(购销流水!$D653,记账规则!$A$6:$A$9,0),4),""))</f>
        <v/>
      </c>
      <c r="N2594" s="66" t="str">
        <f aca="false">IF($L2594="","",IFERROR(INDEX(记账规则!$A$6:$N$9,MATCH(购销流水!$D653,记账规则!$A$6:$A$9,0),5),""))</f>
        <v/>
      </c>
      <c r="O2594" s="67" t="n">
        <f aca="false">IF($H2594="",0,ROUND(IF($N2594="成本金额",N(购销流水!$W653),IF($N2594="金额",N(购销流水!$Q653),0)),2))</f>
        <v>0</v>
      </c>
      <c r="P2594" s="64" t="str">
        <f aca="false">IF(AND($H2594&lt;&gt;"",ROUND($O2594,2)&lt;&gt;0),"有","")</f>
        <v/>
      </c>
    </row>
    <row r="2595" customFormat="false" ht="15" hidden="true" customHeight="false" outlineLevel="0" collapsed="false">
      <c r="A2595" s="53" t="str">
        <f aca="false">IF($H2595="","",ROW()-5)</f>
        <v/>
      </c>
      <c r="B2595" s="64" t="s">
        <v>36</v>
      </c>
      <c r="C2595" s="53" t="n">
        <v>653</v>
      </c>
      <c r="D2595" s="53" t="n">
        <v>2</v>
      </c>
      <c r="E2595" s="65" t="str">
        <f aca="false">IF($H2595="","",购销流水!$B653)</f>
        <v/>
      </c>
      <c r="F2595" s="55" t="str">
        <f aca="false">IF($H2595="","",购销流水!$C653)</f>
        <v/>
      </c>
      <c r="G2595" s="48" t="str">
        <f aca="false">IF($H2595="","",购销流水!$N653)</f>
        <v/>
      </c>
      <c r="H2595" s="10" t="str">
        <f aca="false">IF($L2595="","",IF($L2595="@成本",购销流水!$U653,IF($L2595="@收入",购销流水!$T653,IF($L2595="@存货",购销流水!$S653,IF($L2595="@结算",购销流水!$R653,$L2595)))))</f>
        <v/>
      </c>
      <c r="I2595" s="42" t="n">
        <f aca="false">IF($M2595="借",$O2595,0)</f>
        <v>0</v>
      </c>
      <c r="J2595" s="42" t="n">
        <f aca="false">IF($M2595="贷",$O2595,0)</f>
        <v>0</v>
      </c>
      <c r="K2595" s="48" t="str">
        <f aca="false">IF($H2595="","",购销流水!$E653)</f>
        <v/>
      </c>
      <c r="L2595" s="66" t="str">
        <f aca="false">IF(购销流水!$D653="","",IFERROR(INDEX(记账规则!$A$6:$N$9,MATCH(购销流水!$D653,记账规则!$A$6:$A$9,0),6),""))</f>
        <v/>
      </c>
      <c r="M2595" s="66" t="str">
        <f aca="false">IF($L2595="","",IFERROR(INDEX(记账规则!$A$6:$N$9,MATCH(购销流水!$D653,记账规则!$A$6:$A$9,0),7),""))</f>
        <v/>
      </c>
      <c r="N2595" s="66" t="str">
        <f aca="false">IF($L2595="","",IFERROR(INDEX(记账规则!$A$6:$N$9,MATCH(购销流水!$D653,记账规则!$A$6:$A$9,0),8),""))</f>
        <v/>
      </c>
      <c r="O2595" s="67" t="n">
        <f aca="false">IF($H2595="",0,ROUND(IF($N2595="成本金额",N(购销流水!$W653),IF($N2595="金额",N(购销流水!$Q653),0)),2))</f>
        <v>0</v>
      </c>
      <c r="P2595" s="64" t="str">
        <f aca="false">IF(AND($H2595&lt;&gt;"",ROUND($O2595,2)&lt;&gt;0),"有","")</f>
        <v/>
      </c>
    </row>
    <row r="2596" customFormat="false" ht="15" hidden="true" customHeight="false" outlineLevel="0" collapsed="false">
      <c r="A2596" s="53" t="str">
        <f aca="false">IF($H2596="","",ROW()-5)</f>
        <v/>
      </c>
      <c r="B2596" s="64" t="s">
        <v>36</v>
      </c>
      <c r="C2596" s="53" t="n">
        <v>653</v>
      </c>
      <c r="D2596" s="53" t="n">
        <v>3</v>
      </c>
      <c r="E2596" s="65" t="str">
        <f aca="false">IF($H2596="","",购销流水!$B653)</f>
        <v/>
      </c>
      <c r="F2596" s="55" t="str">
        <f aca="false">IF($H2596="","",购销流水!$C653)</f>
        <v/>
      </c>
      <c r="G2596" s="48" t="str">
        <f aca="false">IF($H2596="","",购销流水!$N653)</f>
        <v/>
      </c>
      <c r="H2596" s="10" t="str">
        <f aca="false">IF($L2596="","",IF($L2596="@成本",购销流水!$U653,IF($L2596="@收入",购销流水!$T653,IF($L2596="@存货",购销流水!$S653,IF($L2596="@结算",购销流水!$R653,$L2596)))))</f>
        <v/>
      </c>
      <c r="I2596" s="42" t="n">
        <f aca="false">IF($M2596="借",$O2596,0)</f>
        <v>0</v>
      </c>
      <c r="J2596" s="42" t="n">
        <f aca="false">IF($M2596="贷",$O2596,0)</f>
        <v>0</v>
      </c>
      <c r="K2596" s="48" t="str">
        <f aca="false">IF($H2596="","",购销流水!$E653)</f>
        <v/>
      </c>
      <c r="L2596" s="66" t="str">
        <f aca="false">IF(购销流水!$D653="","",IFERROR(INDEX(记账规则!$A$6:$N$9,MATCH(购销流水!$D653,记账规则!$A$6:$A$9,0),9),""))</f>
        <v/>
      </c>
      <c r="M2596" s="66" t="str">
        <f aca="false">IF($L2596="","",IFERROR(INDEX(记账规则!$A$6:$N$9,MATCH(购销流水!$D653,记账规则!$A$6:$A$9,0),10),""))</f>
        <v/>
      </c>
      <c r="N2596" s="66" t="str">
        <f aca="false">IF($L2596="","",IFERROR(INDEX(记账规则!$A$6:$N$9,MATCH(购销流水!$D653,记账规则!$A$6:$A$9,0),11),""))</f>
        <v/>
      </c>
      <c r="O2596" s="67" t="n">
        <f aca="false">IF($H2596="",0,ROUND(IF($N2596="成本金额",N(购销流水!$W653),IF($N2596="金额",N(购销流水!$Q653),0)),2))</f>
        <v>0</v>
      </c>
      <c r="P2596" s="64" t="str">
        <f aca="false">IF(AND($H2596&lt;&gt;"",ROUND($O2596,2)&lt;&gt;0),"有","")</f>
        <v/>
      </c>
    </row>
    <row r="2597" customFormat="false" ht="15" hidden="true" customHeight="false" outlineLevel="0" collapsed="false">
      <c r="A2597" s="53" t="str">
        <f aca="false">IF($H2597="","",ROW()-5)</f>
        <v/>
      </c>
      <c r="B2597" s="64" t="s">
        <v>36</v>
      </c>
      <c r="C2597" s="53" t="n">
        <v>653</v>
      </c>
      <c r="D2597" s="53" t="n">
        <v>4</v>
      </c>
      <c r="E2597" s="65" t="str">
        <f aca="false">IF($H2597="","",购销流水!$B653)</f>
        <v/>
      </c>
      <c r="F2597" s="55" t="str">
        <f aca="false">IF($H2597="","",购销流水!$C653)</f>
        <v/>
      </c>
      <c r="G2597" s="48" t="str">
        <f aca="false">IF($H2597="","",购销流水!$N653)</f>
        <v/>
      </c>
      <c r="H2597" s="10" t="str">
        <f aca="false">IF($L2597="","",IF($L2597="@成本",购销流水!$U653,IF($L2597="@收入",购销流水!$T653,IF($L2597="@存货",购销流水!$S653,IF($L2597="@结算",购销流水!$R653,$L2597)))))</f>
        <v/>
      </c>
      <c r="I2597" s="42" t="n">
        <f aca="false">IF($M2597="借",$O2597,0)</f>
        <v>0</v>
      </c>
      <c r="J2597" s="42" t="n">
        <f aca="false">IF($M2597="贷",$O2597,0)</f>
        <v>0</v>
      </c>
      <c r="K2597" s="48" t="str">
        <f aca="false">IF($H2597="","",购销流水!$E653)</f>
        <v/>
      </c>
      <c r="L2597" s="66" t="str">
        <f aca="false">IF(购销流水!$D653="","",IFERROR(INDEX(记账规则!$A$6:$N$9,MATCH(购销流水!$D653,记账规则!$A$6:$A$9,0),12),""))</f>
        <v/>
      </c>
      <c r="M2597" s="66" t="str">
        <f aca="false">IF($L2597="","",IFERROR(INDEX(记账规则!$A$6:$N$9,MATCH(购销流水!$D653,记账规则!$A$6:$A$9,0),13),""))</f>
        <v/>
      </c>
      <c r="N2597" s="66" t="str">
        <f aca="false">IF($L2597="","",IFERROR(INDEX(记账规则!$A$6:$N$9,MATCH(购销流水!$D653,记账规则!$A$6:$A$9,0),14),""))</f>
        <v/>
      </c>
      <c r="O2597" s="67" t="n">
        <f aca="false">IF($H2597="",0,ROUND(IF($N2597="成本金额",N(购销流水!$W653),IF($N2597="金额",N(购销流水!$Q653),0)),2))</f>
        <v>0</v>
      </c>
      <c r="P2597" s="64" t="str">
        <f aca="false">IF(AND($H2597&lt;&gt;"",ROUND($O2597,2)&lt;&gt;0),"有","")</f>
        <v/>
      </c>
    </row>
    <row r="2598" customFormat="false" ht="15" hidden="true" customHeight="false" outlineLevel="0" collapsed="false">
      <c r="A2598" s="53" t="str">
        <f aca="false">IF($H2598="","",ROW()-5)</f>
        <v/>
      </c>
      <c r="B2598" s="64" t="s">
        <v>36</v>
      </c>
      <c r="C2598" s="53" t="n">
        <v>654</v>
      </c>
      <c r="D2598" s="53" t="n">
        <v>1</v>
      </c>
      <c r="E2598" s="65" t="str">
        <f aca="false">IF($H2598="","",购销流水!$B654)</f>
        <v/>
      </c>
      <c r="F2598" s="55" t="str">
        <f aca="false">IF($H2598="","",购销流水!$C654)</f>
        <v/>
      </c>
      <c r="G2598" s="48" t="str">
        <f aca="false">IF($H2598="","",购销流水!$N654)</f>
        <v/>
      </c>
      <c r="H2598" s="10" t="str">
        <f aca="false">IF($L2598="","",IF($L2598="@成本",购销流水!$U654,IF($L2598="@收入",购销流水!$T654,IF($L2598="@存货",购销流水!$S654,IF($L2598="@结算",购销流水!$R654,$L2598)))))</f>
        <v/>
      </c>
      <c r="I2598" s="42" t="n">
        <f aca="false">IF($M2598="借",$O2598,0)</f>
        <v>0</v>
      </c>
      <c r="J2598" s="42" t="n">
        <f aca="false">IF($M2598="贷",$O2598,0)</f>
        <v>0</v>
      </c>
      <c r="K2598" s="48" t="str">
        <f aca="false">IF($H2598="","",购销流水!$E654)</f>
        <v/>
      </c>
      <c r="L2598" s="66" t="str">
        <f aca="false">IF(购销流水!$D654="","",IFERROR(INDEX(记账规则!$A$6:$N$9,MATCH(购销流水!$D654,记账规则!$A$6:$A$9,0),3),""))</f>
        <v/>
      </c>
      <c r="M2598" s="66" t="str">
        <f aca="false">IF($L2598="","",IFERROR(INDEX(记账规则!$A$6:$N$9,MATCH(购销流水!$D654,记账规则!$A$6:$A$9,0),4),""))</f>
        <v/>
      </c>
      <c r="N2598" s="66" t="str">
        <f aca="false">IF($L2598="","",IFERROR(INDEX(记账规则!$A$6:$N$9,MATCH(购销流水!$D654,记账规则!$A$6:$A$9,0),5),""))</f>
        <v/>
      </c>
      <c r="O2598" s="67" t="n">
        <f aca="false">IF($H2598="",0,ROUND(IF($N2598="成本金额",N(购销流水!$W654),IF($N2598="金额",N(购销流水!$Q654),0)),2))</f>
        <v>0</v>
      </c>
      <c r="P2598" s="64" t="str">
        <f aca="false">IF(AND($H2598&lt;&gt;"",ROUND($O2598,2)&lt;&gt;0),"有","")</f>
        <v/>
      </c>
    </row>
    <row r="2599" customFormat="false" ht="15" hidden="true" customHeight="false" outlineLevel="0" collapsed="false">
      <c r="A2599" s="53" t="str">
        <f aca="false">IF($H2599="","",ROW()-5)</f>
        <v/>
      </c>
      <c r="B2599" s="64" t="s">
        <v>36</v>
      </c>
      <c r="C2599" s="53" t="n">
        <v>654</v>
      </c>
      <c r="D2599" s="53" t="n">
        <v>2</v>
      </c>
      <c r="E2599" s="65" t="str">
        <f aca="false">IF($H2599="","",购销流水!$B654)</f>
        <v/>
      </c>
      <c r="F2599" s="55" t="str">
        <f aca="false">IF($H2599="","",购销流水!$C654)</f>
        <v/>
      </c>
      <c r="G2599" s="48" t="str">
        <f aca="false">IF($H2599="","",购销流水!$N654)</f>
        <v/>
      </c>
      <c r="H2599" s="10" t="str">
        <f aca="false">IF($L2599="","",IF($L2599="@成本",购销流水!$U654,IF($L2599="@收入",购销流水!$T654,IF($L2599="@存货",购销流水!$S654,IF($L2599="@结算",购销流水!$R654,$L2599)))))</f>
        <v/>
      </c>
      <c r="I2599" s="42" t="n">
        <f aca="false">IF($M2599="借",$O2599,0)</f>
        <v>0</v>
      </c>
      <c r="J2599" s="42" t="n">
        <f aca="false">IF($M2599="贷",$O2599,0)</f>
        <v>0</v>
      </c>
      <c r="K2599" s="48" t="str">
        <f aca="false">IF($H2599="","",购销流水!$E654)</f>
        <v/>
      </c>
      <c r="L2599" s="66" t="str">
        <f aca="false">IF(购销流水!$D654="","",IFERROR(INDEX(记账规则!$A$6:$N$9,MATCH(购销流水!$D654,记账规则!$A$6:$A$9,0),6),""))</f>
        <v/>
      </c>
      <c r="M2599" s="66" t="str">
        <f aca="false">IF($L2599="","",IFERROR(INDEX(记账规则!$A$6:$N$9,MATCH(购销流水!$D654,记账规则!$A$6:$A$9,0),7),""))</f>
        <v/>
      </c>
      <c r="N2599" s="66" t="str">
        <f aca="false">IF($L2599="","",IFERROR(INDEX(记账规则!$A$6:$N$9,MATCH(购销流水!$D654,记账规则!$A$6:$A$9,0),8),""))</f>
        <v/>
      </c>
      <c r="O2599" s="67" t="n">
        <f aca="false">IF($H2599="",0,ROUND(IF($N2599="成本金额",N(购销流水!$W654),IF($N2599="金额",N(购销流水!$Q654),0)),2))</f>
        <v>0</v>
      </c>
      <c r="P2599" s="64" t="str">
        <f aca="false">IF(AND($H2599&lt;&gt;"",ROUND($O2599,2)&lt;&gt;0),"有","")</f>
        <v/>
      </c>
    </row>
    <row r="2600" customFormat="false" ht="15" hidden="true" customHeight="false" outlineLevel="0" collapsed="false">
      <c r="A2600" s="53" t="str">
        <f aca="false">IF($H2600="","",ROW()-5)</f>
        <v/>
      </c>
      <c r="B2600" s="64" t="s">
        <v>36</v>
      </c>
      <c r="C2600" s="53" t="n">
        <v>654</v>
      </c>
      <c r="D2600" s="53" t="n">
        <v>3</v>
      </c>
      <c r="E2600" s="65" t="str">
        <f aca="false">IF($H2600="","",购销流水!$B654)</f>
        <v/>
      </c>
      <c r="F2600" s="55" t="str">
        <f aca="false">IF($H2600="","",购销流水!$C654)</f>
        <v/>
      </c>
      <c r="G2600" s="48" t="str">
        <f aca="false">IF($H2600="","",购销流水!$N654)</f>
        <v/>
      </c>
      <c r="H2600" s="10" t="str">
        <f aca="false">IF($L2600="","",IF($L2600="@成本",购销流水!$U654,IF($L2600="@收入",购销流水!$T654,IF($L2600="@存货",购销流水!$S654,IF($L2600="@结算",购销流水!$R654,$L2600)))))</f>
        <v/>
      </c>
      <c r="I2600" s="42" t="n">
        <f aca="false">IF($M2600="借",$O2600,0)</f>
        <v>0</v>
      </c>
      <c r="J2600" s="42" t="n">
        <f aca="false">IF($M2600="贷",$O2600,0)</f>
        <v>0</v>
      </c>
      <c r="K2600" s="48" t="str">
        <f aca="false">IF($H2600="","",购销流水!$E654)</f>
        <v/>
      </c>
      <c r="L2600" s="66" t="str">
        <f aca="false">IF(购销流水!$D654="","",IFERROR(INDEX(记账规则!$A$6:$N$9,MATCH(购销流水!$D654,记账规则!$A$6:$A$9,0),9),""))</f>
        <v/>
      </c>
      <c r="M2600" s="66" t="str">
        <f aca="false">IF($L2600="","",IFERROR(INDEX(记账规则!$A$6:$N$9,MATCH(购销流水!$D654,记账规则!$A$6:$A$9,0),10),""))</f>
        <v/>
      </c>
      <c r="N2600" s="66" t="str">
        <f aca="false">IF($L2600="","",IFERROR(INDEX(记账规则!$A$6:$N$9,MATCH(购销流水!$D654,记账规则!$A$6:$A$9,0),11),""))</f>
        <v/>
      </c>
      <c r="O2600" s="67" t="n">
        <f aca="false">IF($H2600="",0,ROUND(IF($N2600="成本金额",N(购销流水!$W654),IF($N2600="金额",N(购销流水!$Q654),0)),2))</f>
        <v>0</v>
      </c>
      <c r="P2600" s="64" t="str">
        <f aca="false">IF(AND($H2600&lt;&gt;"",ROUND($O2600,2)&lt;&gt;0),"有","")</f>
        <v/>
      </c>
    </row>
    <row r="2601" customFormat="false" ht="15" hidden="true" customHeight="false" outlineLevel="0" collapsed="false">
      <c r="A2601" s="53" t="str">
        <f aca="false">IF($H2601="","",ROW()-5)</f>
        <v/>
      </c>
      <c r="B2601" s="64" t="s">
        <v>36</v>
      </c>
      <c r="C2601" s="53" t="n">
        <v>654</v>
      </c>
      <c r="D2601" s="53" t="n">
        <v>4</v>
      </c>
      <c r="E2601" s="65" t="str">
        <f aca="false">IF($H2601="","",购销流水!$B654)</f>
        <v/>
      </c>
      <c r="F2601" s="55" t="str">
        <f aca="false">IF($H2601="","",购销流水!$C654)</f>
        <v/>
      </c>
      <c r="G2601" s="48" t="str">
        <f aca="false">IF($H2601="","",购销流水!$N654)</f>
        <v/>
      </c>
      <c r="H2601" s="10" t="str">
        <f aca="false">IF($L2601="","",IF($L2601="@成本",购销流水!$U654,IF($L2601="@收入",购销流水!$T654,IF($L2601="@存货",购销流水!$S654,IF($L2601="@结算",购销流水!$R654,$L2601)))))</f>
        <v/>
      </c>
      <c r="I2601" s="42" t="n">
        <f aca="false">IF($M2601="借",$O2601,0)</f>
        <v>0</v>
      </c>
      <c r="J2601" s="42" t="n">
        <f aca="false">IF($M2601="贷",$O2601,0)</f>
        <v>0</v>
      </c>
      <c r="K2601" s="48" t="str">
        <f aca="false">IF($H2601="","",购销流水!$E654)</f>
        <v/>
      </c>
      <c r="L2601" s="66" t="str">
        <f aca="false">IF(购销流水!$D654="","",IFERROR(INDEX(记账规则!$A$6:$N$9,MATCH(购销流水!$D654,记账规则!$A$6:$A$9,0),12),""))</f>
        <v/>
      </c>
      <c r="M2601" s="66" t="str">
        <f aca="false">IF($L2601="","",IFERROR(INDEX(记账规则!$A$6:$N$9,MATCH(购销流水!$D654,记账规则!$A$6:$A$9,0),13),""))</f>
        <v/>
      </c>
      <c r="N2601" s="66" t="str">
        <f aca="false">IF($L2601="","",IFERROR(INDEX(记账规则!$A$6:$N$9,MATCH(购销流水!$D654,记账规则!$A$6:$A$9,0),14),""))</f>
        <v/>
      </c>
      <c r="O2601" s="67" t="n">
        <f aca="false">IF($H2601="",0,ROUND(IF($N2601="成本金额",N(购销流水!$W654),IF($N2601="金额",N(购销流水!$Q654),0)),2))</f>
        <v>0</v>
      </c>
      <c r="P2601" s="64" t="str">
        <f aca="false">IF(AND($H2601&lt;&gt;"",ROUND($O2601,2)&lt;&gt;0),"有","")</f>
        <v/>
      </c>
    </row>
    <row r="2602" customFormat="false" ht="15" hidden="true" customHeight="false" outlineLevel="0" collapsed="false">
      <c r="A2602" s="53" t="str">
        <f aca="false">IF($H2602="","",ROW()-5)</f>
        <v/>
      </c>
      <c r="B2602" s="64" t="s">
        <v>36</v>
      </c>
      <c r="C2602" s="53" t="n">
        <v>655</v>
      </c>
      <c r="D2602" s="53" t="n">
        <v>1</v>
      </c>
      <c r="E2602" s="65" t="str">
        <f aca="false">IF($H2602="","",购销流水!$B655)</f>
        <v/>
      </c>
      <c r="F2602" s="55" t="str">
        <f aca="false">IF($H2602="","",购销流水!$C655)</f>
        <v/>
      </c>
      <c r="G2602" s="48" t="str">
        <f aca="false">IF($H2602="","",购销流水!$N655)</f>
        <v/>
      </c>
      <c r="H2602" s="10" t="str">
        <f aca="false">IF($L2602="","",IF($L2602="@成本",购销流水!$U655,IF($L2602="@收入",购销流水!$T655,IF($L2602="@存货",购销流水!$S655,IF($L2602="@结算",购销流水!$R655,$L2602)))))</f>
        <v/>
      </c>
      <c r="I2602" s="42" t="n">
        <f aca="false">IF($M2602="借",$O2602,0)</f>
        <v>0</v>
      </c>
      <c r="J2602" s="42" t="n">
        <f aca="false">IF($M2602="贷",$O2602,0)</f>
        <v>0</v>
      </c>
      <c r="K2602" s="48" t="str">
        <f aca="false">IF($H2602="","",购销流水!$E655)</f>
        <v/>
      </c>
      <c r="L2602" s="66" t="str">
        <f aca="false">IF(购销流水!$D655="","",IFERROR(INDEX(记账规则!$A$6:$N$9,MATCH(购销流水!$D655,记账规则!$A$6:$A$9,0),3),""))</f>
        <v/>
      </c>
      <c r="M2602" s="66" t="str">
        <f aca="false">IF($L2602="","",IFERROR(INDEX(记账规则!$A$6:$N$9,MATCH(购销流水!$D655,记账规则!$A$6:$A$9,0),4),""))</f>
        <v/>
      </c>
      <c r="N2602" s="66" t="str">
        <f aca="false">IF($L2602="","",IFERROR(INDEX(记账规则!$A$6:$N$9,MATCH(购销流水!$D655,记账规则!$A$6:$A$9,0),5),""))</f>
        <v/>
      </c>
      <c r="O2602" s="67" t="n">
        <f aca="false">IF($H2602="",0,ROUND(IF($N2602="成本金额",N(购销流水!$W655),IF($N2602="金额",N(购销流水!$Q655),0)),2))</f>
        <v>0</v>
      </c>
      <c r="P2602" s="64" t="str">
        <f aca="false">IF(AND($H2602&lt;&gt;"",ROUND($O2602,2)&lt;&gt;0),"有","")</f>
        <v/>
      </c>
    </row>
    <row r="2603" customFormat="false" ht="15" hidden="true" customHeight="false" outlineLevel="0" collapsed="false">
      <c r="A2603" s="53" t="str">
        <f aca="false">IF($H2603="","",ROW()-5)</f>
        <v/>
      </c>
      <c r="B2603" s="64" t="s">
        <v>36</v>
      </c>
      <c r="C2603" s="53" t="n">
        <v>655</v>
      </c>
      <c r="D2603" s="53" t="n">
        <v>2</v>
      </c>
      <c r="E2603" s="65" t="str">
        <f aca="false">IF($H2603="","",购销流水!$B655)</f>
        <v/>
      </c>
      <c r="F2603" s="55" t="str">
        <f aca="false">IF($H2603="","",购销流水!$C655)</f>
        <v/>
      </c>
      <c r="G2603" s="48" t="str">
        <f aca="false">IF($H2603="","",购销流水!$N655)</f>
        <v/>
      </c>
      <c r="H2603" s="10" t="str">
        <f aca="false">IF($L2603="","",IF($L2603="@成本",购销流水!$U655,IF($L2603="@收入",购销流水!$T655,IF($L2603="@存货",购销流水!$S655,IF($L2603="@结算",购销流水!$R655,$L2603)))))</f>
        <v/>
      </c>
      <c r="I2603" s="42" t="n">
        <f aca="false">IF($M2603="借",$O2603,0)</f>
        <v>0</v>
      </c>
      <c r="J2603" s="42" t="n">
        <f aca="false">IF($M2603="贷",$O2603,0)</f>
        <v>0</v>
      </c>
      <c r="K2603" s="48" t="str">
        <f aca="false">IF($H2603="","",购销流水!$E655)</f>
        <v/>
      </c>
      <c r="L2603" s="66" t="str">
        <f aca="false">IF(购销流水!$D655="","",IFERROR(INDEX(记账规则!$A$6:$N$9,MATCH(购销流水!$D655,记账规则!$A$6:$A$9,0),6),""))</f>
        <v/>
      </c>
      <c r="M2603" s="66" t="str">
        <f aca="false">IF($L2603="","",IFERROR(INDEX(记账规则!$A$6:$N$9,MATCH(购销流水!$D655,记账规则!$A$6:$A$9,0),7),""))</f>
        <v/>
      </c>
      <c r="N2603" s="66" t="str">
        <f aca="false">IF($L2603="","",IFERROR(INDEX(记账规则!$A$6:$N$9,MATCH(购销流水!$D655,记账规则!$A$6:$A$9,0),8),""))</f>
        <v/>
      </c>
      <c r="O2603" s="67" t="n">
        <f aca="false">IF($H2603="",0,ROUND(IF($N2603="成本金额",N(购销流水!$W655),IF($N2603="金额",N(购销流水!$Q655),0)),2))</f>
        <v>0</v>
      </c>
      <c r="P2603" s="64" t="str">
        <f aca="false">IF(AND($H2603&lt;&gt;"",ROUND($O2603,2)&lt;&gt;0),"有","")</f>
        <v/>
      </c>
    </row>
    <row r="2604" customFormat="false" ht="15" hidden="true" customHeight="false" outlineLevel="0" collapsed="false">
      <c r="A2604" s="53" t="str">
        <f aca="false">IF($H2604="","",ROW()-5)</f>
        <v/>
      </c>
      <c r="B2604" s="64" t="s">
        <v>36</v>
      </c>
      <c r="C2604" s="53" t="n">
        <v>655</v>
      </c>
      <c r="D2604" s="53" t="n">
        <v>3</v>
      </c>
      <c r="E2604" s="65" t="str">
        <f aca="false">IF($H2604="","",购销流水!$B655)</f>
        <v/>
      </c>
      <c r="F2604" s="55" t="str">
        <f aca="false">IF($H2604="","",购销流水!$C655)</f>
        <v/>
      </c>
      <c r="G2604" s="48" t="str">
        <f aca="false">IF($H2604="","",购销流水!$N655)</f>
        <v/>
      </c>
      <c r="H2604" s="10" t="str">
        <f aca="false">IF($L2604="","",IF($L2604="@成本",购销流水!$U655,IF($L2604="@收入",购销流水!$T655,IF($L2604="@存货",购销流水!$S655,IF($L2604="@结算",购销流水!$R655,$L2604)))))</f>
        <v/>
      </c>
      <c r="I2604" s="42" t="n">
        <f aca="false">IF($M2604="借",$O2604,0)</f>
        <v>0</v>
      </c>
      <c r="J2604" s="42" t="n">
        <f aca="false">IF($M2604="贷",$O2604,0)</f>
        <v>0</v>
      </c>
      <c r="K2604" s="48" t="str">
        <f aca="false">IF($H2604="","",购销流水!$E655)</f>
        <v/>
      </c>
      <c r="L2604" s="66" t="str">
        <f aca="false">IF(购销流水!$D655="","",IFERROR(INDEX(记账规则!$A$6:$N$9,MATCH(购销流水!$D655,记账规则!$A$6:$A$9,0),9),""))</f>
        <v/>
      </c>
      <c r="M2604" s="66" t="str">
        <f aca="false">IF($L2604="","",IFERROR(INDEX(记账规则!$A$6:$N$9,MATCH(购销流水!$D655,记账规则!$A$6:$A$9,0),10),""))</f>
        <v/>
      </c>
      <c r="N2604" s="66" t="str">
        <f aca="false">IF($L2604="","",IFERROR(INDEX(记账规则!$A$6:$N$9,MATCH(购销流水!$D655,记账规则!$A$6:$A$9,0),11),""))</f>
        <v/>
      </c>
      <c r="O2604" s="67" t="n">
        <f aca="false">IF($H2604="",0,ROUND(IF($N2604="成本金额",N(购销流水!$W655),IF($N2604="金额",N(购销流水!$Q655),0)),2))</f>
        <v>0</v>
      </c>
      <c r="P2604" s="64" t="str">
        <f aca="false">IF(AND($H2604&lt;&gt;"",ROUND($O2604,2)&lt;&gt;0),"有","")</f>
        <v/>
      </c>
    </row>
    <row r="2605" customFormat="false" ht="15" hidden="true" customHeight="false" outlineLevel="0" collapsed="false">
      <c r="A2605" s="53" t="str">
        <f aca="false">IF($H2605="","",ROW()-5)</f>
        <v/>
      </c>
      <c r="B2605" s="64" t="s">
        <v>36</v>
      </c>
      <c r="C2605" s="53" t="n">
        <v>655</v>
      </c>
      <c r="D2605" s="53" t="n">
        <v>4</v>
      </c>
      <c r="E2605" s="65" t="str">
        <f aca="false">IF($H2605="","",购销流水!$B655)</f>
        <v/>
      </c>
      <c r="F2605" s="55" t="str">
        <f aca="false">IF($H2605="","",购销流水!$C655)</f>
        <v/>
      </c>
      <c r="G2605" s="48" t="str">
        <f aca="false">IF($H2605="","",购销流水!$N655)</f>
        <v/>
      </c>
      <c r="H2605" s="10" t="str">
        <f aca="false">IF($L2605="","",IF($L2605="@成本",购销流水!$U655,IF($L2605="@收入",购销流水!$T655,IF($L2605="@存货",购销流水!$S655,IF($L2605="@结算",购销流水!$R655,$L2605)))))</f>
        <v/>
      </c>
      <c r="I2605" s="42" t="n">
        <f aca="false">IF($M2605="借",$O2605,0)</f>
        <v>0</v>
      </c>
      <c r="J2605" s="42" t="n">
        <f aca="false">IF($M2605="贷",$O2605,0)</f>
        <v>0</v>
      </c>
      <c r="K2605" s="48" t="str">
        <f aca="false">IF($H2605="","",购销流水!$E655)</f>
        <v/>
      </c>
      <c r="L2605" s="66" t="str">
        <f aca="false">IF(购销流水!$D655="","",IFERROR(INDEX(记账规则!$A$6:$N$9,MATCH(购销流水!$D655,记账规则!$A$6:$A$9,0),12),""))</f>
        <v/>
      </c>
      <c r="M2605" s="66" t="str">
        <f aca="false">IF($L2605="","",IFERROR(INDEX(记账规则!$A$6:$N$9,MATCH(购销流水!$D655,记账规则!$A$6:$A$9,0),13),""))</f>
        <v/>
      </c>
      <c r="N2605" s="66" t="str">
        <f aca="false">IF($L2605="","",IFERROR(INDEX(记账规则!$A$6:$N$9,MATCH(购销流水!$D655,记账规则!$A$6:$A$9,0),14),""))</f>
        <v/>
      </c>
      <c r="O2605" s="67" t="n">
        <f aca="false">IF($H2605="",0,ROUND(IF($N2605="成本金额",N(购销流水!$W655),IF($N2605="金额",N(购销流水!$Q655),0)),2))</f>
        <v>0</v>
      </c>
      <c r="P2605" s="64" t="str">
        <f aca="false">IF(AND($H2605&lt;&gt;"",ROUND($O2605,2)&lt;&gt;0),"有","")</f>
        <v/>
      </c>
    </row>
    <row r="2606" customFormat="false" ht="15" hidden="true" customHeight="false" outlineLevel="0" collapsed="false">
      <c r="A2606" s="53" t="str">
        <f aca="false">IF($H2606="","",ROW()-5)</f>
        <v/>
      </c>
      <c r="B2606" s="64" t="s">
        <v>36</v>
      </c>
      <c r="C2606" s="53" t="n">
        <v>656</v>
      </c>
      <c r="D2606" s="53" t="n">
        <v>1</v>
      </c>
      <c r="E2606" s="65" t="str">
        <f aca="false">IF($H2606="","",购销流水!$B656)</f>
        <v/>
      </c>
      <c r="F2606" s="55" t="str">
        <f aca="false">IF($H2606="","",购销流水!$C656)</f>
        <v/>
      </c>
      <c r="G2606" s="48" t="str">
        <f aca="false">IF($H2606="","",购销流水!$N656)</f>
        <v/>
      </c>
      <c r="H2606" s="10" t="str">
        <f aca="false">IF($L2606="","",IF($L2606="@成本",购销流水!$U656,IF($L2606="@收入",购销流水!$T656,IF($L2606="@存货",购销流水!$S656,IF($L2606="@结算",购销流水!$R656,$L2606)))))</f>
        <v/>
      </c>
      <c r="I2606" s="42" t="n">
        <f aca="false">IF($M2606="借",$O2606,0)</f>
        <v>0</v>
      </c>
      <c r="J2606" s="42" t="n">
        <f aca="false">IF($M2606="贷",$O2606,0)</f>
        <v>0</v>
      </c>
      <c r="K2606" s="48" t="str">
        <f aca="false">IF($H2606="","",购销流水!$E656)</f>
        <v/>
      </c>
      <c r="L2606" s="66" t="str">
        <f aca="false">IF(购销流水!$D656="","",IFERROR(INDEX(记账规则!$A$6:$N$9,MATCH(购销流水!$D656,记账规则!$A$6:$A$9,0),3),""))</f>
        <v/>
      </c>
      <c r="M2606" s="66" t="str">
        <f aca="false">IF($L2606="","",IFERROR(INDEX(记账规则!$A$6:$N$9,MATCH(购销流水!$D656,记账规则!$A$6:$A$9,0),4),""))</f>
        <v/>
      </c>
      <c r="N2606" s="66" t="str">
        <f aca="false">IF($L2606="","",IFERROR(INDEX(记账规则!$A$6:$N$9,MATCH(购销流水!$D656,记账规则!$A$6:$A$9,0),5),""))</f>
        <v/>
      </c>
      <c r="O2606" s="67" t="n">
        <f aca="false">IF($H2606="",0,ROUND(IF($N2606="成本金额",N(购销流水!$W656),IF($N2606="金额",N(购销流水!$Q656),0)),2))</f>
        <v>0</v>
      </c>
      <c r="P2606" s="64" t="str">
        <f aca="false">IF(AND($H2606&lt;&gt;"",ROUND($O2606,2)&lt;&gt;0),"有","")</f>
        <v/>
      </c>
    </row>
    <row r="2607" customFormat="false" ht="15" hidden="true" customHeight="false" outlineLevel="0" collapsed="false">
      <c r="A2607" s="53" t="str">
        <f aca="false">IF($H2607="","",ROW()-5)</f>
        <v/>
      </c>
      <c r="B2607" s="64" t="s">
        <v>36</v>
      </c>
      <c r="C2607" s="53" t="n">
        <v>656</v>
      </c>
      <c r="D2607" s="53" t="n">
        <v>2</v>
      </c>
      <c r="E2607" s="65" t="str">
        <f aca="false">IF($H2607="","",购销流水!$B656)</f>
        <v/>
      </c>
      <c r="F2607" s="55" t="str">
        <f aca="false">IF($H2607="","",购销流水!$C656)</f>
        <v/>
      </c>
      <c r="G2607" s="48" t="str">
        <f aca="false">IF($H2607="","",购销流水!$N656)</f>
        <v/>
      </c>
      <c r="H2607" s="10" t="str">
        <f aca="false">IF($L2607="","",IF($L2607="@成本",购销流水!$U656,IF($L2607="@收入",购销流水!$T656,IF($L2607="@存货",购销流水!$S656,IF($L2607="@结算",购销流水!$R656,$L2607)))))</f>
        <v/>
      </c>
      <c r="I2607" s="42" t="n">
        <f aca="false">IF($M2607="借",$O2607,0)</f>
        <v>0</v>
      </c>
      <c r="J2607" s="42" t="n">
        <f aca="false">IF($M2607="贷",$O2607,0)</f>
        <v>0</v>
      </c>
      <c r="K2607" s="48" t="str">
        <f aca="false">IF($H2607="","",购销流水!$E656)</f>
        <v/>
      </c>
      <c r="L2607" s="66" t="str">
        <f aca="false">IF(购销流水!$D656="","",IFERROR(INDEX(记账规则!$A$6:$N$9,MATCH(购销流水!$D656,记账规则!$A$6:$A$9,0),6),""))</f>
        <v/>
      </c>
      <c r="M2607" s="66" t="str">
        <f aca="false">IF($L2607="","",IFERROR(INDEX(记账规则!$A$6:$N$9,MATCH(购销流水!$D656,记账规则!$A$6:$A$9,0),7),""))</f>
        <v/>
      </c>
      <c r="N2607" s="66" t="str">
        <f aca="false">IF($L2607="","",IFERROR(INDEX(记账规则!$A$6:$N$9,MATCH(购销流水!$D656,记账规则!$A$6:$A$9,0),8),""))</f>
        <v/>
      </c>
      <c r="O2607" s="67" t="n">
        <f aca="false">IF($H2607="",0,ROUND(IF($N2607="成本金额",N(购销流水!$W656),IF($N2607="金额",N(购销流水!$Q656),0)),2))</f>
        <v>0</v>
      </c>
      <c r="P2607" s="64" t="str">
        <f aca="false">IF(AND($H2607&lt;&gt;"",ROUND($O2607,2)&lt;&gt;0),"有","")</f>
        <v/>
      </c>
    </row>
    <row r="2608" customFormat="false" ht="15" hidden="true" customHeight="false" outlineLevel="0" collapsed="false">
      <c r="A2608" s="53" t="str">
        <f aca="false">IF($H2608="","",ROW()-5)</f>
        <v/>
      </c>
      <c r="B2608" s="64" t="s">
        <v>36</v>
      </c>
      <c r="C2608" s="53" t="n">
        <v>656</v>
      </c>
      <c r="D2608" s="53" t="n">
        <v>3</v>
      </c>
      <c r="E2608" s="65" t="str">
        <f aca="false">IF($H2608="","",购销流水!$B656)</f>
        <v/>
      </c>
      <c r="F2608" s="55" t="str">
        <f aca="false">IF($H2608="","",购销流水!$C656)</f>
        <v/>
      </c>
      <c r="G2608" s="48" t="str">
        <f aca="false">IF($H2608="","",购销流水!$N656)</f>
        <v/>
      </c>
      <c r="H2608" s="10" t="str">
        <f aca="false">IF($L2608="","",IF($L2608="@成本",购销流水!$U656,IF($L2608="@收入",购销流水!$T656,IF($L2608="@存货",购销流水!$S656,IF($L2608="@结算",购销流水!$R656,$L2608)))))</f>
        <v/>
      </c>
      <c r="I2608" s="42" t="n">
        <f aca="false">IF($M2608="借",$O2608,0)</f>
        <v>0</v>
      </c>
      <c r="J2608" s="42" t="n">
        <f aca="false">IF($M2608="贷",$O2608,0)</f>
        <v>0</v>
      </c>
      <c r="K2608" s="48" t="str">
        <f aca="false">IF($H2608="","",购销流水!$E656)</f>
        <v/>
      </c>
      <c r="L2608" s="66" t="str">
        <f aca="false">IF(购销流水!$D656="","",IFERROR(INDEX(记账规则!$A$6:$N$9,MATCH(购销流水!$D656,记账规则!$A$6:$A$9,0),9),""))</f>
        <v/>
      </c>
      <c r="M2608" s="66" t="str">
        <f aca="false">IF($L2608="","",IFERROR(INDEX(记账规则!$A$6:$N$9,MATCH(购销流水!$D656,记账规则!$A$6:$A$9,0),10),""))</f>
        <v/>
      </c>
      <c r="N2608" s="66" t="str">
        <f aca="false">IF($L2608="","",IFERROR(INDEX(记账规则!$A$6:$N$9,MATCH(购销流水!$D656,记账规则!$A$6:$A$9,0),11),""))</f>
        <v/>
      </c>
      <c r="O2608" s="67" t="n">
        <f aca="false">IF($H2608="",0,ROUND(IF($N2608="成本金额",N(购销流水!$W656),IF($N2608="金额",N(购销流水!$Q656),0)),2))</f>
        <v>0</v>
      </c>
      <c r="P2608" s="64" t="str">
        <f aca="false">IF(AND($H2608&lt;&gt;"",ROUND($O2608,2)&lt;&gt;0),"有","")</f>
        <v/>
      </c>
    </row>
    <row r="2609" customFormat="false" ht="15" hidden="true" customHeight="false" outlineLevel="0" collapsed="false">
      <c r="A2609" s="53" t="str">
        <f aca="false">IF($H2609="","",ROW()-5)</f>
        <v/>
      </c>
      <c r="B2609" s="64" t="s">
        <v>36</v>
      </c>
      <c r="C2609" s="53" t="n">
        <v>656</v>
      </c>
      <c r="D2609" s="53" t="n">
        <v>4</v>
      </c>
      <c r="E2609" s="65" t="str">
        <f aca="false">IF($H2609="","",购销流水!$B656)</f>
        <v/>
      </c>
      <c r="F2609" s="55" t="str">
        <f aca="false">IF($H2609="","",购销流水!$C656)</f>
        <v/>
      </c>
      <c r="G2609" s="48" t="str">
        <f aca="false">IF($H2609="","",购销流水!$N656)</f>
        <v/>
      </c>
      <c r="H2609" s="10" t="str">
        <f aca="false">IF($L2609="","",IF($L2609="@成本",购销流水!$U656,IF($L2609="@收入",购销流水!$T656,IF($L2609="@存货",购销流水!$S656,IF($L2609="@结算",购销流水!$R656,$L2609)))))</f>
        <v/>
      </c>
      <c r="I2609" s="42" t="n">
        <f aca="false">IF($M2609="借",$O2609,0)</f>
        <v>0</v>
      </c>
      <c r="J2609" s="42" t="n">
        <f aca="false">IF($M2609="贷",$O2609,0)</f>
        <v>0</v>
      </c>
      <c r="K2609" s="48" t="str">
        <f aca="false">IF($H2609="","",购销流水!$E656)</f>
        <v/>
      </c>
      <c r="L2609" s="66" t="str">
        <f aca="false">IF(购销流水!$D656="","",IFERROR(INDEX(记账规则!$A$6:$N$9,MATCH(购销流水!$D656,记账规则!$A$6:$A$9,0),12),""))</f>
        <v/>
      </c>
      <c r="M2609" s="66" t="str">
        <f aca="false">IF($L2609="","",IFERROR(INDEX(记账规则!$A$6:$N$9,MATCH(购销流水!$D656,记账规则!$A$6:$A$9,0),13),""))</f>
        <v/>
      </c>
      <c r="N2609" s="66" t="str">
        <f aca="false">IF($L2609="","",IFERROR(INDEX(记账规则!$A$6:$N$9,MATCH(购销流水!$D656,记账规则!$A$6:$A$9,0),14),""))</f>
        <v/>
      </c>
      <c r="O2609" s="67" t="n">
        <f aca="false">IF($H2609="",0,ROUND(IF($N2609="成本金额",N(购销流水!$W656),IF($N2609="金额",N(购销流水!$Q656),0)),2))</f>
        <v>0</v>
      </c>
      <c r="P2609" s="64" t="str">
        <f aca="false">IF(AND($H2609&lt;&gt;"",ROUND($O2609,2)&lt;&gt;0),"有","")</f>
        <v/>
      </c>
    </row>
    <row r="2610" customFormat="false" ht="15" hidden="true" customHeight="false" outlineLevel="0" collapsed="false">
      <c r="A2610" s="53" t="str">
        <f aca="false">IF($H2610="","",ROW()-5)</f>
        <v/>
      </c>
      <c r="B2610" s="64" t="s">
        <v>36</v>
      </c>
      <c r="C2610" s="53" t="n">
        <v>657</v>
      </c>
      <c r="D2610" s="53" t="n">
        <v>1</v>
      </c>
      <c r="E2610" s="65" t="str">
        <f aca="false">IF($H2610="","",购销流水!$B657)</f>
        <v/>
      </c>
      <c r="F2610" s="55" t="str">
        <f aca="false">IF($H2610="","",购销流水!$C657)</f>
        <v/>
      </c>
      <c r="G2610" s="48" t="str">
        <f aca="false">IF($H2610="","",购销流水!$N657)</f>
        <v/>
      </c>
      <c r="H2610" s="10" t="str">
        <f aca="false">IF($L2610="","",IF($L2610="@成本",购销流水!$U657,IF($L2610="@收入",购销流水!$T657,IF($L2610="@存货",购销流水!$S657,IF($L2610="@结算",购销流水!$R657,$L2610)))))</f>
        <v/>
      </c>
      <c r="I2610" s="42" t="n">
        <f aca="false">IF($M2610="借",$O2610,0)</f>
        <v>0</v>
      </c>
      <c r="J2610" s="42" t="n">
        <f aca="false">IF($M2610="贷",$O2610,0)</f>
        <v>0</v>
      </c>
      <c r="K2610" s="48" t="str">
        <f aca="false">IF($H2610="","",购销流水!$E657)</f>
        <v/>
      </c>
      <c r="L2610" s="66" t="str">
        <f aca="false">IF(购销流水!$D657="","",IFERROR(INDEX(记账规则!$A$6:$N$9,MATCH(购销流水!$D657,记账规则!$A$6:$A$9,0),3),""))</f>
        <v/>
      </c>
      <c r="M2610" s="66" t="str">
        <f aca="false">IF($L2610="","",IFERROR(INDEX(记账规则!$A$6:$N$9,MATCH(购销流水!$D657,记账规则!$A$6:$A$9,0),4),""))</f>
        <v/>
      </c>
      <c r="N2610" s="66" t="str">
        <f aca="false">IF($L2610="","",IFERROR(INDEX(记账规则!$A$6:$N$9,MATCH(购销流水!$D657,记账规则!$A$6:$A$9,0),5),""))</f>
        <v/>
      </c>
      <c r="O2610" s="67" t="n">
        <f aca="false">IF($H2610="",0,ROUND(IF($N2610="成本金额",N(购销流水!$W657),IF($N2610="金额",N(购销流水!$Q657),0)),2))</f>
        <v>0</v>
      </c>
      <c r="P2610" s="64" t="str">
        <f aca="false">IF(AND($H2610&lt;&gt;"",ROUND($O2610,2)&lt;&gt;0),"有","")</f>
        <v/>
      </c>
    </row>
    <row r="2611" customFormat="false" ht="15" hidden="true" customHeight="false" outlineLevel="0" collapsed="false">
      <c r="A2611" s="53" t="str">
        <f aca="false">IF($H2611="","",ROW()-5)</f>
        <v/>
      </c>
      <c r="B2611" s="64" t="s">
        <v>36</v>
      </c>
      <c r="C2611" s="53" t="n">
        <v>657</v>
      </c>
      <c r="D2611" s="53" t="n">
        <v>2</v>
      </c>
      <c r="E2611" s="65" t="str">
        <f aca="false">IF($H2611="","",购销流水!$B657)</f>
        <v/>
      </c>
      <c r="F2611" s="55" t="str">
        <f aca="false">IF($H2611="","",购销流水!$C657)</f>
        <v/>
      </c>
      <c r="G2611" s="48" t="str">
        <f aca="false">IF($H2611="","",购销流水!$N657)</f>
        <v/>
      </c>
      <c r="H2611" s="10" t="str">
        <f aca="false">IF($L2611="","",IF($L2611="@成本",购销流水!$U657,IF($L2611="@收入",购销流水!$T657,IF($L2611="@存货",购销流水!$S657,IF($L2611="@结算",购销流水!$R657,$L2611)))))</f>
        <v/>
      </c>
      <c r="I2611" s="42" t="n">
        <f aca="false">IF($M2611="借",$O2611,0)</f>
        <v>0</v>
      </c>
      <c r="J2611" s="42" t="n">
        <f aca="false">IF($M2611="贷",$O2611,0)</f>
        <v>0</v>
      </c>
      <c r="K2611" s="48" t="str">
        <f aca="false">IF($H2611="","",购销流水!$E657)</f>
        <v/>
      </c>
      <c r="L2611" s="66" t="str">
        <f aca="false">IF(购销流水!$D657="","",IFERROR(INDEX(记账规则!$A$6:$N$9,MATCH(购销流水!$D657,记账规则!$A$6:$A$9,0),6),""))</f>
        <v/>
      </c>
      <c r="M2611" s="66" t="str">
        <f aca="false">IF($L2611="","",IFERROR(INDEX(记账规则!$A$6:$N$9,MATCH(购销流水!$D657,记账规则!$A$6:$A$9,0),7),""))</f>
        <v/>
      </c>
      <c r="N2611" s="66" t="str">
        <f aca="false">IF($L2611="","",IFERROR(INDEX(记账规则!$A$6:$N$9,MATCH(购销流水!$D657,记账规则!$A$6:$A$9,0),8),""))</f>
        <v/>
      </c>
      <c r="O2611" s="67" t="n">
        <f aca="false">IF($H2611="",0,ROUND(IF($N2611="成本金额",N(购销流水!$W657),IF($N2611="金额",N(购销流水!$Q657),0)),2))</f>
        <v>0</v>
      </c>
      <c r="P2611" s="64" t="str">
        <f aca="false">IF(AND($H2611&lt;&gt;"",ROUND($O2611,2)&lt;&gt;0),"有","")</f>
        <v/>
      </c>
    </row>
    <row r="2612" customFormat="false" ht="15" hidden="true" customHeight="false" outlineLevel="0" collapsed="false">
      <c r="A2612" s="53" t="str">
        <f aca="false">IF($H2612="","",ROW()-5)</f>
        <v/>
      </c>
      <c r="B2612" s="64" t="s">
        <v>36</v>
      </c>
      <c r="C2612" s="53" t="n">
        <v>657</v>
      </c>
      <c r="D2612" s="53" t="n">
        <v>3</v>
      </c>
      <c r="E2612" s="65" t="str">
        <f aca="false">IF($H2612="","",购销流水!$B657)</f>
        <v/>
      </c>
      <c r="F2612" s="55" t="str">
        <f aca="false">IF($H2612="","",购销流水!$C657)</f>
        <v/>
      </c>
      <c r="G2612" s="48" t="str">
        <f aca="false">IF($H2612="","",购销流水!$N657)</f>
        <v/>
      </c>
      <c r="H2612" s="10" t="str">
        <f aca="false">IF($L2612="","",IF($L2612="@成本",购销流水!$U657,IF($L2612="@收入",购销流水!$T657,IF($L2612="@存货",购销流水!$S657,IF($L2612="@结算",购销流水!$R657,$L2612)))))</f>
        <v/>
      </c>
      <c r="I2612" s="42" t="n">
        <f aca="false">IF($M2612="借",$O2612,0)</f>
        <v>0</v>
      </c>
      <c r="J2612" s="42" t="n">
        <f aca="false">IF($M2612="贷",$O2612,0)</f>
        <v>0</v>
      </c>
      <c r="K2612" s="48" t="str">
        <f aca="false">IF($H2612="","",购销流水!$E657)</f>
        <v/>
      </c>
      <c r="L2612" s="66" t="str">
        <f aca="false">IF(购销流水!$D657="","",IFERROR(INDEX(记账规则!$A$6:$N$9,MATCH(购销流水!$D657,记账规则!$A$6:$A$9,0),9),""))</f>
        <v/>
      </c>
      <c r="M2612" s="66" t="str">
        <f aca="false">IF($L2612="","",IFERROR(INDEX(记账规则!$A$6:$N$9,MATCH(购销流水!$D657,记账规则!$A$6:$A$9,0),10),""))</f>
        <v/>
      </c>
      <c r="N2612" s="66" t="str">
        <f aca="false">IF($L2612="","",IFERROR(INDEX(记账规则!$A$6:$N$9,MATCH(购销流水!$D657,记账规则!$A$6:$A$9,0),11),""))</f>
        <v/>
      </c>
      <c r="O2612" s="67" t="n">
        <f aca="false">IF($H2612="",0,ROUND(IF($N2612="成本金额",N(购销流水!$W657),IF($N2612="金额",N(购销流水!$Q657),0)),2))</f>
        <v>0</v>
      </c>
      <c r="P2612" s="64" t="str">
        <f aca="false">IF(AND($H2612&lt;&gt;"",ROUND($O2612,2)&lt;&gt;0),"有","")</f>
        <v/>
      </c>
    </row>
    <row r="2613" customFormat="false" ht="15" hidden="true" customHeight="false" outlineLevel="0" collapsed="false">
      <c r="A2613" s="53" t="str">
        <f aca="false">IF($H2613="","",ROW()-5)</f>
        <v/>
      </c>
      <c r="B2613" s="64" t="s">
        <v>36</v>
      </c>
      <c r="C2613" s="53" t="n">
        <v>657</v>
      </c>
      <c r="D2613" s="53" t="n">
        <v>4</v>
      </c>
      <c r="E2613" s="65" t="str">
        <f aca="false">IF($H2613="","",购销流水!$B657)</f>
        <v/>
      </c>
      <c r="F2613" s="55" t="str">
        <f aca="false">IF($H2613="","",购销流水!$C657)</f>
        <v/>
      </c>
      <c r="G2613" s="48" t="str">
        <f aca="false">IF($H2613="","",购销流水!$N657)</f>
        <v/>
      </c>
      <c r="H2613" s="10" t="str">
        <f aca="false">IF($L2613="","",IF($L2613="@成本",购销流水!$U657,IF($L2613="@收入",购销流水!$T657,IF($L2613="@存货",购销流水!$S657,IF($L2613="@结算",购销流水!$R657,$L2613)))))</f>
        <v/>
      </c>
      <c r="I2613" s="42" t="n">
        <f aca="false">IF($M2613="借",$O2613,0)</f>
        <v>0</v>
      </c>
      <c r="J2613" s="42" t="n">
        <f aca="false">IF($M2613="贷",$O2613,0)</f>
        <v>0</v>
      </c>
      <c r="K2613" s="48" t="str">
        <f aca="false">IF($H2613="","",购销流水!$E657)</f>
        <v/>
      </c>
      <c r="L2613" s="66" t="str">
        <f aca="false">IF(购销流水!$D657="","",IFERROR(INDEX(记账规则!$A$6:$N$9,MATCH(购销流水!$D657,记账规则!$A$6:$A$9,0),12),""))</f>
        <v/>
      </c>
      <c r="M2613" s="66" t="str">
        <f aca="false">IF($L2613="","",IFERROR(INDEX(记账规则!$A$6:$N$9,MATCH(购销流水!$D657,记账规则!$A$6:$A$9,0),13),""))</f>
        <v/>
      </c>
      <c r="N2613" s="66" t="str">
        <f aca="false">IF($L2613="","",IFERROR(INDEX(记账规则!$A$6:$N$9,MATCH(购销流水!$D657,记账规则!$A$6:$A$9,0),14),""))</f>
        <v/>
      </c>
      <c r="O2613" s="67" t="n">
        <f aca="false">IF($H2613="",0,ROUND(IF($N2613="成本金额",N(购销流水!$W657),IF($N2613="金额",N(购销流水!$Q657),0)),2))</f>
        <v>0</v>
      </c>
      <c r="P2613" s="64" t="str">
        <f aca="false">IF(AND($H2613&lt;&gt;"",ROUND($O2613,2)&lt;&gt;0),"有","")</f>
        <v/>
      </c>
    </row>
    <row r="2614" customFormat="false" ht="15" hidden="true" customHeight="false" outlineLevel="0" collapsed="false">
      <c r="A2614" s="53" t="str">
        <f aca="false">IF($H2614="","",ROW()-5)</f>
        <v/>
      </c>
      <c r="B2614" s="64" t="s">
        <v>36</v>
      </c>
      <c r="C2614" s="53" t="n">
        <v>658</v>
      </c>
      <c r="D2614" s="53" t="n">
        <v>1</v>
      </c>
      <c r="E2614" s="65" t="str">
        <f aca="false">IF($H2614="","",购销流水!$B658)</f>
        <v/>
      </c>
      <c r="F2614" s="55" t="str">
        <f aca="false">IF($H2614="","",购销流水!$C658)</f>
        <v/>
      </c>
      <c r="G2614" s="48" t="str">
        <f aca="false">IF($H2614="","",购销流水!$N658)</f>
        <v/>
      </c>
      <c r="H2614" s="10" t="str">
        <f aca="false">IF($L2614="","",IF($L2614="@成本",购销流水!$U658,IF($L2614="@收入",购销流水!$T658,IF($L2614="@存货",购销流水!$S658,IF($L2614="@结算",购销流水!$R658,$L2614)))))</f>
        <v/>
      </c>
      <c r="I2614" s="42" t="n">
        <f aca="false">IF($M2614="借",$O2614,0)</f>
        <v>0</v>
      </c>
      <c r="J2614" s="42" t="n">
        <f aca="false">IF($M2614="贷",$O2614,0)</f>
        <v>0</v>
      </c>
      <c r="K2614" s="48" t="str">
        <f aca="false">IF($H2614="","",购销流水!$E658)</f>
        <v/>
      </c>
      <c r="L2614" s="66" t="str">
        <f aca="false">IF(购销流水!$D658="","",IFERROR(INDEX(记账规则!$A$6:$N$9,MATCH(购销流水!$D658,记账规则!$A$6:$A$9,0),3),""))</f>
        <v/>
      </c>
      <c r="M2614" s="66" t="str">
        <f aca="false">IF($L2614="","",IFERROR(INDEX(记账规则!$A$6:$N$9,MATCH(购销流水!$D658,记账规则!$A$6:$A$9,0),4),""))</f>
        <v/>
      </c>
      <c r="N2614" s="66" t="str">
        <f aca="false">IF($L2614="","",IFERROR(INDEX(记账规则!$A$6:$N$9,MATCH(购销流水!$D658,记账规则!$A$6:$A$9,0),5),""))</f>
        <v/>
      </c>
      <c r="O2614" s="67" t="n">
        <f aca="false">IF($H2614="",0,ROUND(IF($N2614="成本金额",N(购销流水!$W658),IF($N2614="金额",N(购销流水!$Q658),0)),2))</f>
        <v>0</v>
      </c>
      <c r="P2614" s="64" t="str">
        <f aca="false">IF(AND($H2614&lt;&gt;"",ROUND($O2614,2)&lt;&gt;0),"有","")</f>
        <v/>
      </c>
    </row>
    <row r="2615" customFormat="false" ht="15" hidden="true" customHeight="false" outlineLevel="0" collapsed="false">
      <c r="A2615" s="53" t="str">
        <f aca="false">IF($H2615="","",ROW()-5)</f>
        <v/>
      </c>
      <c r="B2615" s="64" t="s">
        <v>36</v>
      </c>
      <c r="C2615" s="53" t="n">
        <v>658</v>
      </c>
      <c r="D2615" s="53" t="n">
        <v>2</v>
      </c>
      <c r="E2615" s="65" t="str">
        <f aca="false">IF($H2615="","",购销流水!$B658)</f>
        <v/>
      </c>
      <c r="F2615" s="55" t="str">
        <f aca="false">IF($H2615="","",购销流水!$C658)</f>
        <v/>
      </c>
      <c r="G2615" s="48" t="str">
        <f aca="false">IF($H2615="","",购销流水!$N658)</f>
        <v/>
      </c>
      <c r="H2615" s="10" t="str">
        <f aca="false">IF($L2615="","",IF($L2615="@成本",购销流水!$U658,IF($L2615="@收入",购销流水!$T658,IF($L2615="@存货",购销流水!$S658,IF($L2615="@结算",购销流水!$R658,$L2615)))))</f>
        <v/>
      </c>
      <c r="I2615" s="42" t="n">
        <f aca="false">IF($M2615="借",$O2615,0)</f>
        <v>0</v>
      </c>
      <c r="J2615" s="42" t="n">
        <f aca="false">IF($M2615="贷",$O2615,0)</f>
        <v>0</v>
      </c>
      <c r="K2615" s="48" t="str">
        <f aca="false">IF($H2615="","",购销流水!$E658)</f>
        <v/>
      </c>
      <c r="L2615" s="66" t="str">
        <f aca="false">IF(购销流水!$D658="","",IFERROR(INDEX(记账规则!$A$6:$N$9,MATCH(购销流水!$D658,记账规则!$A$6:$A$9,0),6),""))</f>
        <v/>
      </c>
      <c r="M2615" s="66" t="str">
        <f aca="false">IF($L2615="","",IFERROR(INDEX(记账规则!$A$6:$N$9,MATCH(购销流水!$D658,记账规则!$A$6:$A$9,0),7),""))</f>
        <v/>
      </c>
      <c r="N2615" s="66" t="str">
        <f aca="false">IF($L2615="","",IFERROR(INDEX(记账规则!$A$6:$N$9,MATCH(购销流水!$D658,记账规则!$A$6:$A$9,0),8),""))</f>
        <v/>
      </c>
      <c r="O2615" s="67" t="n">
        <f aca="false">IF($H2615="",0,ROUND(IF($N2615="成本金额",N(购销流水!$W658),IF($N2615="金额",N(购销流水!$Q658),0)),2))</f>
        <v>0</v>
      </c>
      <c r="P2615" s="64" t="str">
        <f aca="false">IF(AND($H2615&lt;&gt;"",ROUND($O2615,2)&lt;&gt;0),"有","")</f>
        <v/>
      </c>
    </row>
    <row r="2616" customFormat="false" ht="15" hidden="true" customHeight="false" outlineLevel="0" collapsed="false">
      <c r="A2616" s="53" t="str">
        <f aca="false">IF($H2616="","",ROW()-5)</f>
        <v/>
      </c>
      <c r="B2616" s="64" t="s">
        <v>36</v>
      </c>
      <c r="C2616" s="53" t="n">
        <v>658</v>
      </c>
      <c r="D2616" s="53" t="n">
        <v>3</v>
      </c>
      <c r="E2616" s="65" t="str">
        <f aca="false">IF($H2616="","",购销流水!$B658)</f>
        <v/>
      </c>
      <c r="F2616" s="55" t="str">
        <f aca="false">IF($H2616="","",购销流水!$C658)</f>
        <v/>
      </c>
      <c r="G2616" s="48" t="str">
        <f aca="false">IF($H2616="","",购销流水!$N658)</f>
        <v/>
      </c>
      <c r="H2616" s="10" t="str">
        <f aca="false">IF($L2616="","",IF($L2616="@成本",购销流水!$U658,IF($L2616="@收入",购销流水!$T658,IF($L2616="@存货",购销流水!$S658,IF($L2616="@结算",购销流水!$R658,$L2616)))))</f>
        <v/>
      </c>
      <c r="I2616" s="42" t="n">
        <f aca="false">IF($M2616="借",$O2616,0)</f>
        <v>0</v>
      </c>
      <c r="J2616" s="42" t="n">
        <f aca="false">IF($M2616="贷",$O2616,0)</f>
        <v>0</v>
      </c>
      <c r="K2616" s="48" t="str">
        <f aca="false">IF($H2616="","",购销流水!$E658)</f>
        <v/>
      </c>
      <c r="L2616" s="66" t="str">
        <f aca="false">IF(购销流水!$D658="","",IFERROR(INDEX(记账规则!$A$6:$N$9,MATCH(购销流水!$D658,记账规则!$A$6:$A$9,0),9),""))</f>
        <v/>
      </c>
      <c r="M2616" s="66" t="str">
        <f aca="false">IF($L2616="","",IFERROR(INDEX(记账规则!$A$6:$N$9,MATCH(购销流水!$D658,记账规则!$A$6:$A$9,0),10),""))</f>
        <v/>
      </c>
      <c r="N2616" s="66" t="str">
        <f aca="false">IF($L2616="","",IFERROR(INDEX(记账规则!$A$6:$N$9,MATCH(购销流水!$D658,记账规则!$A$6:$A$9,0),11),""))</f>
        <v/>
      </c>
      <c r="O2616" s="67" t="n">
        <f aca="false">IF($H2616="",0,ROUND(IF($N2616="成本金额",N(购销流水!$W658),IF($N2616="金额",N(购销流水!$Q658),0)),2))</f>
        <v>0</v>
      </c>
      <c r="P2616" s="64" t="str">
        <f aca="false">IF(AND($H2616&lt;&gt;"",ROUND($O2616,2)&lt;&gt;0),"有","")</f>
        <v/>
      </c>
    </row>
    <row r="2617" customFormat="false" ht="15" hidden="true" customHeight="false" outlineLevel="0" collapsed="false">
      <c r="A2617" s="53" t="str">
        <f aca="false">IF($H2617="","",ROW()-5)</f>
        <v/>
      </c>
      <c r="B2617" s="64" t="s">
        <v>36</v>
      </c>
      <c r="C2617" s="53" t="n">
        <v>658</v>
      </c>
      <c r="D2617" s="53" t="n">
        <v>4</v>
      </c>
      <c r="E2617" s="65" t="str">
        <f aca="false">IF($H2617="","",购销流水!$B658)</f>
        <v/>
      </c>
      <c r="F2617" s="55" t="str">
        <f aca="false">IF($H2617="","",购销流水!$C658)</f>
        <v/>
      </c>
      <c r="G2617" s="48" t="str">
        <f aca="false">IF($H2617="","",购销流水!$N658)</f>
        <v/>
      </c>
      <c r="H2617" s="10" t="str">
        <f aca="false">IF($L2617="","",IF($L2617="@成本",购销流水!$U658,IF($L2617="@收入",购销流水!$T658,IF($L2617="@存货",购销流水!$S658,IF($L2617="@结算",购销流水!$R658,$L2617)))))</f>
        <v/>
      </c>
      <c r="I2617" s="42" t="n">
        <f aca="false">IF($M2617="借",$O2617,0)</f>
        <v>0</v>
      </c>
      <c r="J2617" s="42" t="n">
        <f aca="false">IF($M2617="贷",$O2617,0)</f>
        <v>0</v>
      </c>
      <c r="K2617" s="48" t="str">
        <f aca="false">IF($H2617="","",购销流水!$E658)</f>
        <v/>
      </c>
      <c r="L2617" s="66" t="str">
        <f aca="false">IF(购销流水!$D658="","",IFERROR(INDEX(记账规则!$A$6:$N$9,MATCH(购销流水!$D658,记账规则!$A$6:$A$9,0),12),""))</f>
        <v/>
      </c>
      <c r="M2617" s="66" t="str">
        <f aca="false">IF($L2617="","",IFERROR(INDEX(记账规则!$A$6:$N$9,MATCH(购销流水!$D658,记账规则!$A$6:$A$9,0),13),""))</f>
        <v/>
      </c>
      <c r="N2617" s="66" t="str">
        <f aca="false">IF($L2617="","",IFERROR(INDEX(记账规则!$A$6:$N$9,MATCH(购销流水!$D658,记账规则!$A$6:$A$9,0),14),""))</f>
        <v/>
      </c>
      <c r="O2617" s="67" t="n">
        <f aca="false">IF($H2617="",0,ROUND(IF($N2617="成本金额",N(购销流水!$W658),IF($N2617="金额",N(购销流水!$Q658),0)),2))</f>
        <v>0</v>
      </c>
      <c r="P2617" s="64" t="str">
        <f aca="false">IF(AND($H2617&lt;&gt;"",ROUND($O2617,2)&lt;&gt;0),"有","")</f>
        <v/>
      </c>
    </row>
    <row r="2618" customFormat="false" ht="15" hidden="true" customHeight="false" outlineLevel="0" collapsed="false">
      <c r="A2618" s="53" t="str">
        <f aca="false">IF($H2618="","",ROW()-5)</f>
        <v/>
      </c>
      <c r="B2618" s="64" t="s">
        <v>36</v>
      </c>
      <c r="C2618" s="53" t="n">
        <v>659</v>
      </c>
      <c r="D2618" s="53" t="n">
        <v>1</v>
      </c>
      <c r="E2618" s="65" t="str">
        <f aca="false">IF($H2618="","",购销流水!$B659)</f>
        <v/>
      </c>
      <c r="F2618" s="55" t="str">
        <f aca="false">IF($H2618="","",购销流水!$C659)</f>
        <v/>
      </c>
      <c r="G2618" s="48" t="str">
        <f aca="false">IF($H2618="","",购销流水!$N659)</f>
        <v/>
      </c>
      <c r="H2618" s="10" t="str">
        <f aca="false">IF($L2618="","",IF($L2618="@成本",购销流水!$U659,IF($L2618="@收入",购销流水!$T659,IF($L2618="@存货",购销流水!$S659,IF($L2618="@结算",购销流水!$R659,$L2618)))))</f>
        <v/>
      </c>
      <c r="I2618" s="42" t="n">
        <f aca="false">IF($M2618="借",$O2618,0)</f>
        <v>0</v>
      </c>
      <c r="J2618" s="42" t="n">
        <f aca="false">IF($M2618="贷",$O2618,0)</f>
        <v>0</v>
      </c>
      <c r="K2618" s="48" t="str">
        <f aca="false">IF($H2618="","",购销流水!$E659)</f>
        <v/>
      </c>
      <c r="L2618" s="66" t="str">
        <f aca="false">IF(购销流水!$D659="","",IFERROR(INDEX(记账规则!$A$6:$N$9,MATCH(购销流水!$D659,记账规则!$A$6:$A$9,0),3),""))</f>
        <v/>
      </c>
      <c r="M2618" s="66" t="str">
        <f aca="false">IF($L2618="","",IFERROR(INDEX(记账规则!$A$6:$N$9,MATCH(购销流水!$D659,记账规则!$A$6:$A$9,0),4),""))</f>
        <v/>
      </c>
      <c r="N2618" s="66" t="str">
        <f aca="false">IF($L2618="","",IFERROR(INDEX(记账规则!$A$6:$N$9,MATCH(购销流水!$D659,记账规则!$A$6:$A$9,0),5),""))</f>
        <v/>
      </c>
      <c r="O2618" s="67" t="n">
        <f aca="false">IF($H2618="",0,ROUND(IF($N2618="成本金额",N(购销流水!$W659),IF($N2618="金额",N(购销流水!$Q659),0)),2))</f>
        <v>0</v>
      </c>
      <c r="P2618" s="64" t="str">
        <f aca="false">IF(AND($H2618&lt;&gt;"",ROUND($O2618,2)&lt;&gt;0),"有","")</f>
        <v/>
      </c>
    </row>
    <row r="2619" customFormat="false" ht="15" hidden="true" customHeight="false" outlineLevel="0" collapsed="false">
      <c r="A2619" s="53" t="str">
        <f aca="false">IF($H2619="","",ROW()-5)</f>
        <v/>
      </c>
      <c r="B2619" s="64" t="s">
        <v>36</v>
      </c>
      <c r="C2619" s="53" t="n">
        <v>659</v>
      </c>
      <c r="D2619" s="53" t="n">
        <v>2</v>
      </c>
      <c r="E2619" s="65" t="str">
        <f aca="false">IF($H2619="","",购销流水!$B659)</f>
        <v/>
      </c>
      <c r="F2619" s="55" t="str">
        <f aca="false">IF($H2619="","",购销流水!$C659)</f>
        <v/>
      </c>
      <c r="G2619" s="48" t="str">
        <f aca="false">IF($H2619="","",购销流水!$N659)</f>
        <v/>
      </c>
      <c r="H2619" s="10" t="str">
        <f aca="false">IF($L2619="","",IF($L2619="@成本",购销流水!$U659,IF($L2619="@收入",购销流水!$T659,IF($L2619="@存货",购销流水!$S659,IF($L2619="@结算",购销流水!$R659,$L2619)))))</f>
        <v/>
      </c>
      <c r="I2619" s="42" t="n">
        <f aca="false">IF($M2619="借",$O2619,0)</f>
        <v>0</v>
      </c>
      <c r="J2619" s="42" t="n">
        <f aca="false">IF($M2619="贷",$O2619,0)</f>
        <v>0</v>
      </c>
      <c r="K2619" s="48" t="str">
        <f aca="false">IF($H2619="","",购销流水!$E659)</f>
        <v/>
      </c>
      <c r="L2619" s="66" t="str">
        <f aca="false">IF(购销流水!$D659="","",IFERROR(INDEX(记账规则!$A$6:$N$9,MATCH(购销流水!$D659,记账规则!$A$6:$A$9,0),6),""))</f>
        <v/>
      </c>
      <c r="M2619" s="66" t="str">
        <f aca="false">IF($L2619="","",IFERROR(INDEX(记账规则!$A$6:$N$9,MATCH(购销流水!$D659,记账规则!$A$6:$A$9,0),7),""))</f>
        <v/>
      </c>
      <c r="N2619" s="66" t="str">
        <f aca="false">IF($L2619="","",IFERROR(INDEX(记账规则!$A$6:$N$9,MATCH(购销流水!$D659,记账规则!$A$6:$A$9,0),8),""))</f>
        <v/>
      </c>
      <c r="O2619" s="67" t="n">
        <f aca="false">IF($H2619="",0,ROUND(IF($N2619="成本金额",N(购销流水!$W659),IF($N2619="金额",N(购销流水!$Q659),0)),2))</f>
        <v>0</v>
      </c>
      <c r="P2619" s="64" t="str">
        <f aca="false">IF(AND($H2619&lt;&gt;"",ROUND($O2619,2)&lt;&gt;0),"有","")</f>
        <v/>
      </c>
    </row>
    <row r="2620" customFormat="false" ht="15" hidden="true" customHeight="false" outlineLevel="0" collapsed="false">
      <c r="A2620" s="53" t="str">
        <f aca="false">IF($H2620="","",ROW()-5)</f>
        <v/>
      </c>
      <c r="B2620" s="64" t="s">
        <v>36</v>
      </c>
      <c r="C2620" s="53" t="n">
        <v>659</v>
      </c>
      <c r="D2620" s="53" t="n">
        <v>3</v>
      </c>
      <c r="E2620" s="65" t="str">
        <f aca="false">IF($H2620="","",购销流水!$B659)</f>
        <v/>
      </c>
      <c r="F2620" s="55" t="str">
        <f aca="false">IF($H2620="","",购销流水!$C659)</f>
        <v/>
      </c>
      <c r="G2620" s="48" t="str">
        <f aca="false">IF($H2620="","",购销流水!$N659)</f>
        <v/>
      </c>
      <c r="H2620" s="10" t="str">
        <f aca="false">IF($L2620="","",IF($L2620="@成本",购销流水!$U659,IF($L2620="@收入",购销流水!$T659,IF($L2620="@存货",购销流水!$S659,IF($L2620="@结算",购销流水!$R659,$L2620)))))</f>
        <v/>
      </c>
      <c r="I2620" s="42" t="n">
        <f aca="false">IF($M2620="借",$O2620,0)</f>
        <v>0</v>
      </c>
      <c r="J2620" s="42" t="n">
        <f aca="false">IF($M2620="贷",$O2620,0)</f>
        <v>0</v>
      </c>
      <c r="K2620" s="48" t="str">
        <f aca="false">IF($H2620="","",购销流水!$E659)</f>
        <v/>
      </c>
      <c r="L2620" s="66" t="str">
        <f aca="false">IF(购销流水!$D659="","",IFERROR(INDEX(记账规则!$A$6:$N$9,MATCH(购销流水!$D659,记账规则!$A$6:$A$9,0),9),""))</f>
        <v/>
      </c>
      <c r="M2620" s="66" t="str">
        <f aca="false">IF($L2620="","",IFERROR(INDEX(记账规则!$A$6:$N$9,MATCH(购销流水!$D659,记账规则!$A$6:$A$9,0),10),""))</f>
        <v/>
      </c>
      <c r="N2620" s="66" t="str">
        <f aca="false">IF($L2620="","",IFERROR(INDEX(记账规则!$A$6:$N$9,MATCH(购销流水!$D659,记账规则!$A$6:$A$9,0),11),""))</f>
        <v/>
      </c>
      <c r="O2620" s="67" t="n">
        <f aca="false">IF($H2620="",0,ROUND(IF($N2620="成本金额",N(购销流水!$W659),IF($N2620="金额",N(购销流水!$Q659),0)),2))</f>
        <v>0</v>
      </c>
      <c r="P2620" s="64" t="str">
        <f aca="false">IF(AND($H2620&lt;&gt;"",ROUND($O2620,2)&lt;&gt;0),"有","")</f>
        <v/>
      </c>
    </row>
    <row r="2621" customFormat="false" ht="15" hidden="true" customHeight="false" outlineLevel="0" collapsed="false">
      <c r="A2621" s="53" t="str">
        <f aca="false">IF($H2621="","",ROW()-5)</f>
        <v/>
      </c>
      <c r="B2621" s="64" t="s">
        <v>36</v>
      </c>
      <c r="C2621" s="53" t="n">
        <v>659</v>
      </c>
      <c r="D2621" s="53" t="n">
        <v>4</v>
      </c>
      <c r="E2621" s="65" t="str">
        <f aca="false">IF($H2621="","",购销流水!$B659)</f>
        <v/>
      </c>
      <c r="F2621" s="55" t="str">
        <f aca="false">IF($H2621="","",购销流水!$C659)</f>
        <v/>
      </c>
      <c r="G2621" s="48" t="str">
        <f aca="false">IF($H2621="","",购销流水!$N659)</f>
        <v/>
      </c>
      <c r="H2621" s="10" t="str">
        <f aca="false">IF($L2621="","",IF($L2621="@成本",购销流水!$U659,IF($L2621="@收入",购销流水!$T659,IF($L2621="@存货",购销流水!$S659,IF($L2621="@结算",购销流水!$R659,$L2621)))))</f>
        <v/>
      </c>
      <c r="I2621" s="42" t="n">
        <f aca="false">IF($M2621="借",$O2621,0)</f>
        <v>0</v>
      </c>
      <c r="J2621" s="42" t="n">
        <f aca="false">IF($M2621="贷",$O2621,0)</f>
        <v>0</v>
      </c>
      <c r="K2621" s="48" t="str">
        <f aca="false">IF($H2621="","",购销流水!$E659)</f>
        <v/>
      </c>
      <c r="L2621" s="66" t="str">
        <f aca="false">IF(购销流水!$D659="","",IFERROR(INDEX(记账规则!$A$6:$N$9,MATCH(购销流水!$D659,记账规则!$A$6:$A$9,0),12),""))</f>
        <v/>
      </c>
      <c r="M2621" s="66" t="str">
        <f aca="false">IF($L2621="","",IFERROR(INDEX(记账规则!$A$6:$N$9,MATCH(购销流水!$D659,记账规则!$A$6:$A$9,0),13),""))</f>
        <v/>
      </c>
      <c r="N2621" s="66" t="str">
        <f aca="false">IF($L2621="","",IFERROR(INDEX(记账规则!$A$6:$N$9,MATCH(购销流水!$D659,记账规则!$A$6:$A$9,0),14),""))</f>
        <v/>
      </c>
      <c r="O2621" s="67" t="n">
        <f aca="false">IF($H2621="",0,ROUND(IF($N2621="成本金额",N(购销流水!$W659),IF($N2621="金额",N(购销流水!$Q659),0)),2))</f>
        <v>0</v>
      </c>
      <c r="P2621" s="64" t="str">
        <f aca="false">IF(AND($H2621&lt;&gt;"",ROUND($O2621,2)&lt;&gt;0),"有","")</f>
        <v/>
      </c>
    </row>
    <row r="2622" customFormat="false" ht="15" hidden="true" customHeight="false" outlineLevel="0" collapsed="false">
      <c r="A2622" s="53" t="str">
        <f aca="false">IF($H2622="","",ROW()-5)</f>
        <v/>
      </c>
      <c r="B2622" s="64" t="s">
        <v>36</v>
      </c>
      <c r="C2622" s="53" t="n">
        <v>660</v>
      </c>
      <c r="D2622" s="53" t="n">
        <v>1</v>
      </c>
      <c r="E2622" s="65" t="str">
        <f aca="false">IF($H2622="","",购销流水!$B660)</f>
        <v/>
      </c>
      <c r="F2622" s="55" t="str">
        <f aca="false">IF($H2622="","",购销流水!$C660)</f>
        <v/>
      </c>
      <c r="G2622" s="48" t="str">
        <f aca="false">IF($H2622="","",购销流水!$N660)</f>
        <v/>
      </c>
      <c r="H2622" s="10" t="str">
        <f aca="false">IF($L2622="","",IF($L2622="@成本",购销流水!$U660,IF($L2622="@收入",购销流水!$T660,IF($L2622="@存货",购销流水!$S660,IF($L2622="@结算",购销流水!$R660,$L2622)))))</f>
        <v/>
      </c>
      <c r="I2622" s="42" t="n">
        <f aca="false">IF($M2622="借",$O2622,0)</f>
        <v>0</v>
      </c>
      <c r="J2622" s="42" t="n">
        <f aca="false">IF($M2622="贷",$O2622,0)</f>
        <v>0</v>
      </c>
      <c r="K2622" s="48" t="str">
        <f aca="false">IF($H2622="","",购销流水!$E660)</f>
        <v/>
      </c>
      <c r="L2622" s="66" t="str">
        <f aca="false">IF(购销流水!$D660="","",IFERROR(INDEX(记账规则!$A$6:$N$9,MATCH(购销流水!$D660,记账规则!$A$6:$A$9,0),3),""))</f>
        <v/>
      </c>
      <c r="M2622" s="66" t="str">
        <f aca="false">IF($L2622="","",IFERROR(INDEX(记账规则!$A$6:$N$9,MATCH(购销流水!$D660,记账规则!$A$6:$A$9,0),4),""))</f>
        <v/>
      </c>
      <c r="N2622" s="66" t="str">
        <f aca="false">IF($L2622="","",IFERROR(INDEX(记账规则!$A$6:$N$9,MATCH(购销流水!$D660,记账规则!$A$6:$A$9,0),5),""))</f>
        <v/>
      </c>
      <c r="O2622" s="67" t="n">
        <f aca="false">IF($H2622="",0,ROUND(IF($N2622="成本金额",N(购销流水!$W660),IF($N2622="金额",N(购销流水!$Q660),0)),2))</f>
        <v>0</v>
      </c>
      <c r="P2622" s="64" t="str">
        <f aca="false">IF(AND($H2622&lt;&gt;"",ROUND($O2622,2)&lt;&gt;0),"有","")</f>
        <v/>
      </c>
    </row>
    <row r="2623" customFormat="false" ht="15" hidden="true" customHeight="false" outlineLevel="0" collapsed="false">
      <c r="A2623" s="53" t="str">
        <f aca="false">IF($H2623="","",ROW()-5)</f>
        <v/>
      </c>
      <c r="B2623" s="64" t="s">
        <v>36</v>
      </c>
      <c r="C2623" s="53" t="n">
        <v>660</v>
      </c>
      <c r="D2623" s="53" t="n">
        <v>2</v>
      </c>
      <c r="E2623" s="65" t="str">
        <f aca="false">IF($H2623="","",购销流水!$B660)</f>
        <v/>
      </c>
      <c r="F2623" s="55" t="str">
        <f aca="false">IF($H2623="","",购销流水!$C660)</f>
        <v/>
      </c>
      <c r="G2623" s="48" t="str">
        <f aca="false">IF($H2623="","",购销流水!$N660)</f>
        <v/>
      </c>
      <c r="H2623" s="10" t="str">
        <f aca="false">IF($L2623="","",IF($L2623="@成本",购销流水!$U660,IF($L2623="@收入",购销流水!$T660,IF($L2623="@存货",购销流水!$S660,IF($L2623="@结算",购销流水!$R660,$L2623)))))</f>
        <v/>
      </c>
      <c r="I2623" s="42" t="n">
        <f aca="false">IF($M2623="借",$O2623,0)</f>
        <v>0</v>
      </c>
      <c r="J2623" s="42" t="n">
        <f aca="false">IF($M2623="贷",$O2623,0)</f>
        <v>0</v>
      </c>
      <c r="K2623" s="48" t="str">
        <f aca="false">IF($H2623="","",购销流水!$E660)</f>
        <v/>
      </c>
      <c r="L2623" s="66" t="str">
        <f aca="false">IF(购销流水!$D660="","",IFERROR(INDEX(记账规则!$A$6:$N$9,MATCH(购销流水!$D660,记账规则!$A$6:$A$9,0),6),""))</f>
        <v/>
      </c>
      <c r="M2623" s="66" t="str">
        <f aca="false">IF($L2623="","",IFERROR(INDEX(记账规则!$A$6:$N$9,MATCH(购销流水!$D660,记账规则!$A$6:$A$9,0),7),""))</f>
        <v/>
      </c>
      <c r="N2623" s="66" t="str">
        <f aca="false">IF($L2623="","",IFERROR(INDEX(记账规则!$A$6:$N$9,MATCH(购销流水!$D660,记账规则!$A$6:$A$9,0),8),""))</f>
        <v/>
      </c>
      <c r="O2623" s="67" t="n">
        <f aca="false">IF($H2623="",0,ROUND(IF($N2623="成本金额",N(购销流水!$W660),IF($N2623="金额",N(购销流水!$Q660),0)),2))</f>
        <v>0</v>
      </c>
      <c r="P2623" s="64" t="str">
        <f aca="false">IF(AND($H2623&lt;&gt;"",ROUND($O2623,2)&lt;&gt;0),"有","")</f>
        <v/>
      </c>
    </row>
    <row r="2624" customFormat="false" ht="15" hidden="true" customHeight="false" outlineLevel="0" collapsed="false">
      <c r="A2624" s="53" t="str">
        <f aca="false">IF($H2624="","",ROW()-5)</f>
        <v/>
      </c>
      <c r="B2624" s="64" t="s">
        <v>36</v>
      </c>
      <c r="C2624" s="53" t="n">
        <v>660</v>
      </c>
      <c r="D2624" s="53" t="n">
        <v>3</v>
      </c>
      <c r="E2624" s="65" t="str">
        <f aca="false">IF($H2624="","",购销流水!$B660)</f>
        <v/>
      </c>
      <c r="F2624" s="55" t="str">
        <f aca="false">IF($H2624="","",购销流水!$C660)</f>
        <v/>
      </c>
      <c r="G2624" s="48" t="str">
        <f aca="false">IF($H2624="","",购销流水!$N660)</f>
        <v/>
      </c>
      <c r="H2624" s="10" t="str">
        <f aca="false">IF($L2624="","",IF($L2624="@成本",购销流水!$U660,IF($L2624="@收入",购销流水!$T660,IF($L2624="@存货",购销流水!$S660,IF($L2624="@结算",购销流水!$R660,$L2624)))))</f>
        <v/>
      </c>
      <c r="I2624" s="42" t="n">
        <f aca="false">IF($M2624="借",$O2624,0)</f>
        <v>0</v>
      </c>
      <c r="J2624" s="42" t="n">
        <f aca="false">IF($M2624="贷",$O2624,0)</f>
        <v>0</v>
      </c>
      <c r="K2624" s="48" t="str">
        <f aca="false">IF($H2624="","",购销流水!$E660)</f>
        <v/>
      </c>
      <c r="L2624" s="66" t="str">
        <f aca="false">IF(购销流水!$D660="","",IFERROR(INDEX(记账规则!$A$6:$N$9,MATCH(购销流水!$D660,记账规则!$A$6:$A$9,0),9),""))</f>
        <v/>
      </c>
      <c r="M2624" s="66" t="str">
        <f aca="false">IF($L2624="","",IFERROR(INDEX(记账规则!$A$6:$N$9,MATCH(购销流水!$D660,记账规则!$A$6:$A$9,0),10),""))</f>
        <v/>
      </c>
      <c r="N2624" s="66" t="str">
        <f aca="false">IF($L2624="","",IFERROR(INDEX(记账规则!$A$6:$N$9,MATCH(购销流水!$D660,记账规则!$A$6:$A$9,0),11),""))</f>
        <v/>
      </c>
      <c r="O2624" s="67" t="n">
        <f aca="false">IF($H2624="",0,ROUND(IF($N2624="成本金额",N(购销流水!$W660),IF($N2624="金额",N(购销流水!$Q660),0)),2))</f>
        <v>0</v>
      </c>
      <c r="P2624" s="64" t="str">
        <f aca="false">IF(AND($H2624&lt;&gt;"",ROUND($O2624,2)&lt;&gt;0),"有","")</f>
        <v/>
      </c>
    </row>
    <row r="2625" customFormat="false" ht="15" hidden="true" customHeight="false" outlineLevel="0" collapsed="false">
      <c r="A2625" s="53" t="str">
        <f aca="false">IF($H2625="","",ROW()-5)</f>
        <v/>
      </c>
      <c r="B2625" s="64" t="s">
        <v>36</v>
      </c>
      <c r="C2625" s="53" t="n">
        <v>660</v>
      </c>
      <c r="D2625" s="53" t="n">
        <v>4</v>
      </c>
      <c r="E2625" s="65" t="str">
        <f aca="false">IF($H2625="","",购销流水!$B660)</f>
        <v/>
      </c>
      <c r="F2625" s="55" t="str">
        <f aca="false">IF($H2625="","",购销流水!$C660)</f>
        <v/>
      </c>
      <c r="G2625" s="48" t="str">
        <f aca="false">IF($H2625="","",购销流水!$N660)</f>
        <v/>
      </c>
      <c r="H2625" s="10" t="str">
        <f aca="false">IF($L2625="","",IF($L2625="@成本",购销流水!$U660,IF($L2625="@收入",购销流水!$T660,IF($L2625="@存货",购销流水!$S660,IF($L2625="@结算",购销流水!$R660,$L2625)))))</f>
        <v/>
      </c>
      <c r="I2625" s="42" t="n">
        <f aca="false">IF($M2625="借",$O2625,0)</f>
        <v>0</v>
      </c>
      <c r="J2625" s="42" t="n">
        <f aca="false">IF($M2625="贷",$O2625,0)</f>
        <v>0</v>
      </c>
      <c r="K2625" s="48" t="str">
        <f aca="false">IF($H2625="","",购销流水!$E660)</f>
        <v/>
      </c>
      <c r="L2625" s="66" t="str">
        <f aca="false">IF(购销流水!$D660="","",IFERROR(INDEX(记账规则!$A$6:$N$9,MATCH(购销流水!$D660,记账规则!$A$6:$A$9,0),12),""))</f>
        <v/>
      </c>
      <c r="M2625" s="66" t="str">
        <f aca="false">IF($L2625="","",IFERROR(INDEX(记账规则!$A$6:$N$9,MATCH(购销流水!$D660,记账规则!$A$6:$A$9,0),13),""))</f>
        <v/>
      </c>
      <c r="N2625" s="66" t="str">
        <f aca="false">IF($L2625="","",IFERROR(INDEX(记账规则!$A$6:$N$9,MATCH(购销流水!$D660,记账规则!$A$6:$A$9,0),14),""))</f>
        <v/>
      </c>
      <c r="O2625" s="67" t="n">
        <f aca="false">IF($H2625="",0,ROUND(IF($N2625="成本金额",N(购销流水!$W660),IF($N2625="金额",N(购销流水!$Q660),0)),2))</f>
        <v>0</v>
      </c>
      <c r="P2625" s="64" t="str">
        <f aca="false">IF(AND($H2625&lt;&gt;"",ROUND($O2625,2)&lt;&gt;0),"有","")</f>
        <v/>
      </c>
    </row>
    <row r="2626" customFormat="false" ht="15" hidden="true" customHeight="false" outlineLevel="0" collapsed="false">
      <c r="A2626" s="53" t="str">
        <f aca="false">IF($H2626="","",ROW()-5)</f>
        <v/>
      </c>
      <c r="B2626" s="64" t="s">
        <v>36</v>
      </c>
      <c r="C2626" s="53" t="n">
        <v>661</v>
      </c>
      <c r="D2626" s="53" t="n">
        <v>1</v>
      </c>
      <c r="E2626" s="65" t="str">
        <f aca="false">IF($H2626="","",购销流水!$B661)</f>
        <v/>
      </c>
      <c r="F2626" s="55" t="str">
        <f aca="false">IF($H2626="","",购销流水!$C661)</f>
        <v/>
      </c>
      <c r="G2626" s="48" t="str">
        <f aca="false">IF($H2626="","",购销流水!$N661)</f>
        <v/>
      </c>
      <c r="H2626" s="10" t="str">
        <f aca="false">IF($L2626="","",IF($L2626="@成本",购销流水!$U661,IF($L2626="@收入",购销流水!$T661,IF($L2626="@存货",购销流水!$S661,IF($L2626="@结算",购销流水!$R661,$L2626)))))</f>
        <v/>
      </c>
      <c r="I2626" s="42" t="n">
        <f aca="false">IF($M2626="借",$O2626,0)</f>
        <v>0</v>
      </c>
      <c r="J2626" s="42" t="n">
        <f aca="false">IF($M2626="贷",$O2626,0)</f>
        <v>0</v>
      </c>
      <c r="K2626" s="48" t="str">
        <f aca="false">IF($H2626="","",购销流水!$E661)</f>
        <v/>
      </c>
      <c r="L2626" s="66" t="str">
        <f aca="false">IF(购销流水!$D661="","",IFERROR(INDEX(记账规则!$A$6:$N$9,MATCH(购销流水!$D661,记账规则!$A$6:$A$9,0),3),""))</f>
        <v/>
      </c>
      <c r="M2626" s="66" t="str">
        <f aca="false">IF($L2626="","",IFERROR(INDEX(记账规则!$A$6:$N$9,MATCH(购销流水!$D661,记账规则!$A$6:$A$9,0),4),""))</f>
        <v/>
      </c>
      <c r="N2626" s="66" t="str">
        <f aca="false">IF($L2626="","",IFERROR(INDEX(记账规则!$A$6:$N$9,MATCH(购销流水!$D661,记账规则!$A$6:$A$9,0),5),""))</f>
        <v/>
      </c>
      <c r="O2626" s="67" t="n">
        <f aca="false">IF($H2626="",0,ROUND(IF($N2626="成本金额",N(购销流水!$W661),IF($N2626="金额",N(购销流水!$Q661),0)),2))</f>
        <v>0</v>
      </c>
      <c r="P2626" s="64" t="str">
        <f aca="false">IF(AND($H2626&lt;&gt;"",ROUND($O2626,2)&lt;&gt;0),"有","")</f>
        <v/>
      </c>
    </row>
    <row r="2627" customFormat="false" ht="15" hidden="true" customHeight="false" outlineLevel="0" collapsed="false">
      <c r="A2627" s="53" t="str">
        <f aca="false">IF($H2627="","",ROW()-5)</f>
        <v/>
      </c>
      <c r="B2627" s="64" t="s">
        <v>36</v>
      </c>
      <c r="C2627" s="53" t="n">
        <v>661</v>
      </c>
      <c r="D2627" s="53" t="n">
        <v>2</v>
      </c>
      <c r="E2627" s="65" t="str">
        <f aca="false">IF($H2627="","",购销流水!$B661)</f>
        <v/>
      </c>
      <c r="F2627" s="55" t="str">
        <f aca="false">IF($H2627="","",购销流水!$C661)</f>
        <v/>
      </c>
      <c r="G2627" s="48" t="str">
        <f aca="false">IF($H2627="","",购销流水!$N661)</f>
        <v/>
      </c>
      <c r="H2627" s="10" t="str">
        <f aca="false">IF($L2627="","",IF($L2627="@成本",购销流水!$U661,IF($L2627="@收入",购销流水!$T661,IF($L2627="@存货",购销流水!$S661,IF($L2627="@结算",购销流水!$R661,$L2627)))))</f>
        <v/>
      </c>
      <c r="I2627" s="42" t="n">
        <f aca="false">IF($M2627="借",$O2627,0)</f>
        <v>0</v>
      </c>
      <c r="J2627" s="42" t="n">
        <f aca="false">IF($M2627="贷",$O2627,0)</f>
        <v>0</v>
      </c>
      <c r="K2627" s="48" t="str">
        <f aca="false">IF($H2627="","",购销流水!$E661)</f>
        <v/>
      </c>
      <c r="L2627" s="66" t="str">
        <f aca="false">IF(购销流水!$D661="","",IFERROR(INDEX(记账规则!$A$6:$N$9,MATCH(购销流水!$D661,记账规则!$A$6:$A$9,0),6),""))</f>
        <v/>
      </c>
      <c r="M2627" s="66" t="str">
        <f aca="false">IF($L2627="","",IFERROR(INDEX(记账规则!$A$6:$N$9,MATCH(购销流水!$D661,记账规则!$A$6:$A$9,0),7),""))</f>
        <v/>
      </c>
      <c r="N2627" s="66" t="str">
        <f aca="false">IF($L2627="","",IFERROR(INDEX(记账规则!$A$6:$N$9,MATCH(购销流水!$D661,记账规则!$A$6:$A$9,0),8),""))</f>
        <v/>
      </c>
      <c r="O2627" s="67" t="n">
        <f aca="false">IF($H2627="",0,ROUND(IF($N2627="成本金额",N(购销流水!$W661),IF($N2627="金额",N(购销流水!$Q661),0)),2))</f>
        <v>0</v>
      </c>
      <c r="P2627" s="64" t="str">
        <f aca="false">IF(AND($H2627&lt;&gt;"",ROUND($O2627,2)&lt;&gt;0),"有","")</f>
        <v/>
      </c>
    </row>
    <row r="2628" customFormat="false" ht="15" hidden="true" customHeight="false" outlineLevel="0" collapsed="false">
      <c r="A2628" s="53" t="str">
        <f aca="false">IF($H2628="","",ROW()-5)</f>
        <v/>
      </c>
      <c r="B2628" s="64" t="s">
        <v>36</v>
      </c>
      <c r="C2628" s="53" t="n">
        <v>661</v>
      </c>
      <c r="D2628" s="53" t="n">
        <v>3</v>
      </c>
      <c r="E2628" s="65" t="str">
        <f aca="false">IF($H2628="","",购销流水!$B661)</f>
        <v/>
      </c>
      <c r="F2628" s="55" t="str">
        <f aca="false">IF($H2628="","",购销流水!$C661)</f>
        <v/>
      </c>
      <c r="G2628" s="48" t="str">
        <f aca="false">IF($H2628="","",购销流水!$N661)</f>
        <v/>
      </c>
      <c r="H2628" s="10" t="str">
        <f aca="false">IF($L2628="","",IF($L2628="@成本",购销流水!$U661,IF($L2628="@收入",购销流水!$T661,IF($L2628="@存货",购销流水!$S661,IF($L2628="@结算",购销流水!$R661,$L2628)))))</f>
        <v/>
      </c>
      <c r="I2628" s="42" t="n">
        <f aca="false">IF($M2628="借",$O2628,0)</f>
        <v>0</v>
      </c>
      <c r="J2628" s="42" t="n">
        <f aca="false">IF($M2628="贷",$O2628,0)</f>
        <v>0</v>
      </c>
      <c r="K2628" s="48" t="str">
        <f aca="false">IF($H2628="","",购销流水!$E661)</f>
        <v/>
      </c>
      <c r="L2628" s="66" t="str">
        <f aca="false">IF(购销流水!$D661="","",IFERROR(INDEX(记账规则!$A$6:$N$9,MATCH(购销流水!$D661,记账规则!$A$6:$A$9,0),9),""))</f>
        <v/>
      </c>
      <c r="M2628" s="66" t="str">
        <f aca="false">IF($L2628="","",IFERROR(INDEX(记账规则!$A$6:$N$9,MATCH(购销流水!$D661,记账规则!$A$6:$A$9,0),10),""))</f>
        <v/>
      </c>
      <c r="N2628" s="66" t="str">
        <f aca="false">IF($L2628="","",IFERROR(INDEX(记账规则!$A$6:$N$9,MATCH(购销流水!$D661,记账规则!$A$6:$A$9,0),11),""))</f>
        <v/>
      </c>
      <c r="O2628" s="67" t="n">
        <f aca="false">IF($H2628="",0,ROUND(IF($N2628="成本金额",N(购销流水!$W661),IF($N2628="金额",N(购销流水!$Q661),0)),2))</f>
        <v>0</v>
      </c>
      <c r="P2628" s="64" t="str">
        <f aca="false">IF(AND($H2628&lt;&gt;"",ROUND($O2628,2)&lt;&gt;0),"有","")</f>
        <v/>
      </c>
    </row>
    <row r="2629" customFormat="false" ht="15" hidden="true" customHeight="false" outlineLevel="0" collapsed="false">
      <c r="A2629" s="53" t="str">
        <f aca="false">IF($H2629="","",ROW()-5)</f>
        <v/>
      </c>
      <c r="B2629" s="64" t="s">
        <v>36</v>
      </c>
      <c r="C2629" s="53" t="n">
        <v>661</v>
      </c>
      <c r="D2629" s="53" t="n">
        <v>4</v>
      </c>
      <c r="E2629" s="65" t="str">
        <f aca="false">IF($H2629="","",购销流水!$B661)</f>
        <v/>
      </c>
      <c r="F2629" s="55" t="str">
        <f aca="false">IF($H2629="","",购销流水!$C661)</f>
        <v/>
      </c>
      <c r="G2629" s="48" t="str">
        <f aca="false">IF($H2629="","",购销流水!$N661)</f>
        <v/>
      </c>
      <c r="H2629" s="10" t="str">
        <f aca="false">IF($L2629="","",IF($L2629="@成本",购销流水!$U661,IF($L2629="@收入",购销流水!$T661,IF($L2629="@存货",购销流水!$S661,IF($L2629="@结算",购销流水!$R661,$L2629)))))</f>
        <v/>
      </c>
      <c r="I2629" s="42" t="n">
        <f aca="false">IF($M2629="借",$O2629,0)</f>
        <v>0</v>
      </c>
      <c r="J2629" s="42" t="n">
        <f aca="false">IF($M2629="贷",$O2629,0)</f>
        <v>0</v>
      </c>
      <c r="K2629" s="48" t="str">
        <f aca="false">IF($H2629="","",购销流水!$E661)</f>
        <v/>
      </c>
      <c r="L2629" s="66" t="str">
        <f aca="false">IF(购销流水!$D661="","",IFERROR(INDEX(记账规则!$A$6:$N$9,MATCH(购销流水!$D661,记账规则!$A$6:$A$9,0),12),""))</f>
        <v/>
      </c>
      <c r="M2629" s="66" t="str">
        <f aca="false">IF($L2629="","",IFERROR(INDEX(记账规则!$A$6:$N$9,MATCH(购销流水!$D661,记账规则!$A$6:$A$9,0),13),""))</f>
        <v/>
      </c>
      <c r="N2629" s="66" t="str">
        <f aca="false">IF($L2629="","",IFERROR(INDEX(记账规则!$A$6:$N$9,MATCH(购销流水!$D661,记账规则!$A$6:$A$9,0),14),""))</f>
        <v/>
      </c>
      <c r="O2629" s="67" t="n">
        <f aca="false">IF($H2629="",0,ROUND(IF($N2629="成本金额",N(购销流水!$W661),IF($N2629="金额",N(购销流水!$Q661),0)),2))</f>
        <v>0</v>
      </c>
      <c r="P2629" s="64" t="str">
        <f aca="false">IF(AND($H2629&lt;&gt;"",ROUND($O2629,2)&lt;&gt;0),"有","")</f>
        <v/>
      </c>
    </row>
    <row r="2630" customFormat="false" ht="15" hidden="true" customHeight="false" outlineLevel="0" collapsed="false">
      <c r="A2630" s="53" t="str">
        <f aca="false">IF($H2630="","",ROW()-5)</f>
        <v/>
      </c>
      <c r="B2630" s="64" t="s">
        <v>36</v>
      </c>
      <c r="C2630" s="53" t="n">
        <v>662</v>
      </c>
      <c r="D2630" s="53" t="n">
        <v>1</v>
      </c>
      <c r="E2630" s="65" t="str">
        <f aca="false">IF($H2630="","",购销流水!$B662)</f>
        <v/>
      </c>
      <c r="F2630" s="55" t="str">
        <f aca="false">IF($H2630="","",购销流水!$C662)</f>
        <v/>
      </c>
      <c r="G2630" s="48" t="str">
        <f aca="false">IF($H2630="","",购销流水!$N662)</f>
        <v/>
      </c>
      <c r="H2630" s="10" t="str">
        <f aca="false">IF($L2630="","",IF($L2630="@成本",购销流水!$U662,IF($L2630="@收入",购销流水!$T662,IF($L2630="@存货",购销流水!$S662,IF($L2630="@结算",购销流水!$R662,$L2630)))))</f>
        <v/>
      </c>
      <c r="I2630" s="42" t="n">
        <f aca="false">IF($M2630="借",$O2630,0)</f>
        <v>0</v>
      </c>
      <c r="J2630" s="42" t="n">
        <f aca="false">IF($M2630="贷",$O2630,0)</f>
        <v>0</v>
      </c>
      <c r="K2630" s="48" t="str">
        <f aca="false">IF($H2630="","",购销流水!$E662)</f>
        <v/>
      </c>
      <c r="L2630" s="66" t="str">
        <f aca="false">IF(购销流水!$D662="","",IFERROR(INDEX(记账规则!$A$6:$N$9,MATCH(购销流水!$D662,记账规则!$A$6:$A$9,0),3),""))</f>
        <v/>
      </c>
      <c r="M2630" s="66" t="str">
        <f aca="false">IF($L2630="","",IFERROR(INDEX(记账规则!$A$6:$N$9,MATCH(购销流水!$D662,记账规则!$A$6:$A$9,0),4),""))</f>
        <v/>
      </c>
      <c r="N2630" s="66" t="str">
        <f aca="false">IF($L2630="","",IFERROR(INDEX(记账规则!$A$6:$N$9,MATCH(购销流水!$D662,记账规则!$A$6:$A$9,0),5),""))</f>
        <v/>
      </c>
      <c r="O2630" s="67" t="n">
        <f aca="false">IF($H2630="",0,ROUND(IF($N2630="成本金额",N(购销流水!$W662),IF($N2630="金额",N(购销流水!$Q662),0)),2))</f>
        <v>0</v>
      </c>
      <c r="P2630" s="64" t="str">
        <f aca="false">IF(AND($H2630&lt;&gt;"",ROUND($O2630,2)&lt;&gt;0),"有","")</f>
        <v/>
      </c>
    </row>
    <row r="2631" customFormat="false" ht="15" hidden="true" customHeight="false" outlineLevel="0" collapsed="false">
      <c r="A2631" s="53" t="str">
        <f aca="false">IF($H2631="","",ROW()-5)</f>
        <v/>
      </c>
      <c r="B2631" s="64" t="s">
        <v>36</v>
      </c>
      <c r="C2631" s="53" t="n">
        <v>662</v>
      </c>
      <c r="D2631" s="53" t="n">
        <v>2</v>
      </c>
      <c r="E2631" s="65" t="str">
        <f aca="false">IF($H2631="","",购销流水!$B662)</f>
        <v/>
      </c>
      <c r="F2631" s="55" t="str">
        <f aca="false">IF($H2631="","",购销流水!$C662)</f>
        <v/>
      </c>
      <c r="G2631" s="48" t="str">
        <f aca="false">IF($H2631="","",购销流水!$N662)</f>
        <v/>
      </c>
      <c r="H2631" s="10" t="str">
        <f aca="false">IF($L2631="","",IF($L2631="@成本",购销流水!$U662,IF($L2631="@收入",购销流水!$T662,IF($L2631="@存货",购销流水!$S662,IF($L2631="@结算",购销流水!$R662,$L2631)))))</f>
        <v/>
      </c>
      <c r="I2631" s="42" t="n">
        <f aca="false">IF($M2631="借",$O2631,0)</f>
        <v>0</v>
      </c>
      <c r="J2631" s="42" t="n">
        <f aca="false">IF($M2631="贷",$O2631,0)</f>
        <v>0</v>
      </c>
      <c r="K2631" s="48" t="str">
        <f aca="false">IF($H2631="","",购销流水!$E662)</f>
        <v/>
      </c>
      <c r="L2631" s="66" t="str">
        <f aca="false">IF(购销流水!$D662="","",IFERROR(INDEX(记账规则!$A$6:$N$9,MATCH(购销流水!$D662,记账规则!$A$6:$A$9,0),6),""))</f>
        <v/>
      </c>
      <c r="M2631" s="66" t="str">
        <f aca="false">IF($L2631="","",IFERROR(INDEX(记账规则!$A$6:$N$9,MATCH(购销流水!$D662,记账规则!$A$6:$A$9,0),7),""))</f>
        <v/>
      </c>
      <c r="N2631" s="66" t="str">
        <f aca="false">IF($L2631="","",IFERROR(INDEX(记账规则!$A$6:$N$9,MATCH(购销流水!$D662,记账规则!$A$6:$A$9,0),8),""))</f>
        <v/>
      </c>
      <c r="O2631" s="67" t="n">
        <f aca="false">IF($H2631="",0,ROUND(IF($N2631="成本金额",N(购销流水!$W662),IF($N2631="金额",N(购销流水!$Q662),0)),2))</f>
        <v>0</v>
      </c>
      <c r="P2631" s="64" t="str">
        <f aca="false">IF(AND($H2631&lt;&gt;"",ROUND($O2631,2)&lt;&gt;0),"有","")</f>
        <v/>
      </c>
    </row>
    <row r="2632" customFormat="false" ht="15" hidden="true" customHeight="false" outlineLevel="0" collapsed="false">
      <c r="A2632" s="53" t="str">
        <f aca="false">IF($H2632="","",ROW()-5)</f>
        <v/>
      </c>
      <c r="B2632" s="64" t="s">
        <v>36</v>
      </c>
      <c r="C2632" s="53" t="n">
        <v>662</v>
      </c>
      <c r="D2632" s="53" t="n">
        <v>3</v>
      </c>
      <c r="E2632" s="65" t="str">
        <f aca="false">IF($H2632="","",购销流水!$B662)</f>
        <v/>
      </c>
      <c r="F2632" s="55" t="str">
        <f aca="false">IF($H2632="","",购销流水!$C662)</f>
        <v/>
      </c>
      <c r="G2632" s="48" t="str">
        <f aca="false">IF($H2632="","",购销流水!$N662)</f>
        <v/>
      </c>
      <c r="H2632" s="10" t="str">
        <f aca="false">IF($L2632="","",IF($L2632="@成本",购销流水!$U662,IF($L2632="@收入",购销流水!$T662,IF($L2632="@存货",购销流水!$S662,IF($L2632="@结算",购销流水!$R662,$L2632)))))</f>
        <v/>
      </c>
      <c r="I2632" s="42" t="n">
        <f aca="false">IF($M2632="借",$O2632,0)</f>
        <v>0</v>
      </c>
      <c r="J2632" s="42" t="n">
        <f aca="false">IF($M2632="贷",$O2632,0)</f>
        <v>0</v>
      </c>
      <c r="K2632" s="48" t="str">
        <f aca="false">IF($H2632="","",购销流水!$E662)</f>
        <v/>
      </c>
      <c r="L2632" s="66" t="str">
        <f aca="false">IF(购销流水!$D662="","",IFERROR(INDEX(记账规则!$A$6:$N$9,MATCH(购销流水!$D662,记账规则!$A$6:$A$9,0),9),""))</f>
        <v/>
      </c>
      <c r="M2632" s="66" t="str">
        <f aca="false">IF($L2632="","",IFERROR(INDEX(记账规则!$A$6:$N$9,MATCH(购销流水!$D662,记账规则!$A$6:$A$9,0),10),""))</f>
        <v/>
      </c>
      <c r="N2632" s="66" t="str">
        <f aca="false">IF($L2632="","",IFERROR(INDEX(记账规则!$A$6:$N$9,MATCH(购销流水!$D662,记账规则!$A$6:$A$9,0),11),""))</f>
        <v/>
      </c>
      <c r="O2632" s="67" t="n">
        <f aca="false">IF($H2632="",0,ROUND(IF($N2632="成本金额",N(购销流水!$W662),IF($N2632="金额",N(购销流水!$Q662),0)),2))</f>
        <v>0</v>
      </c>
      <c r="P2632" s="64" t="str">
        <f aca="false">IF(AND($H2632&lt;&gt;"",ROUND($O2632,2)&lt;&gt;0),"有","")</f>
        <v/>
      </c>
    </row>
    <row r="2633" customFormat="false" ht="15" hidden="true" customHeight="false" outlineLevel="0" collapsed="false">
      <c r="A2633" s="53" t="str">
        <f aca="false">IF($H2633="","",ROW()-5)</f>
        <v/>
      </c>
      <c r="B2633" s="64" t="s">
        <v>36</v>
      </c>
      <c r="C2633" s="53" t="n">
        <v>662</v>
      </c>
      <c r="D2633" s="53" t="n">
        <v>4</v>
      </c>
      <c r="E2633" s="65" t="str">
        <f aca="false">IF($H2633="","",购销流水!$B662)</f>
        <v/>
      </c>
      <c r="F2633" s="55" t="str">
        <f aca="false">IF($H2633="","",购销流水!$C662)</f>
        <v/>
      </c>
      <c r="G2633" s="48" t="str">
        <f aca="false">IF($H2633="","",购销流水!$N662)</f>
        <v/>
      </c>
      <c r="H2633" s="10" t="str">
        <f aca="false">IF($L2633="","",IF($L2633="@成本",购销流水!$U662,IF($L2633="@收入",购销流水!$T662,IF($L2633="@存货",购销流水!$S662,IF($L2633="@结算",购销流水!$R662,$L2633)))))</f>
        <v/>
      </c>
      <c r="I2633" s="42" t="n">
        <f aca="false">IF($M2633="借",$O2633,0)</f>
        <v>0</v>
      </c>
      <c r="J2633" s="42" t="n">
        <f aca="false">IF($M2633="贷",$O2633,0)</f>
        <v>0</v>
      </c>
      <c r="K2633" s="48" t="str">
        <f aca="false">IF($H2633="","",购销流水!$E662)</f>
        <v/>
      </c>
      <c r="L2633" s="66" t="str">
        <f aca="false">IF(购销流水!$D662="","",IFERROR(INDEX(记账规则!$A$6:$N$9,MATCH(购销流水!$D662,记账规则!$A$6:$A$9,0),12),""))</f>
        <v/>
      </c>
      <c r="M2633" s="66" t="str">
        <f aca="false">IF($L2633="","",IFERROR(INDEX(记账规则!$A$6:$N$9,MATCH(购销流水!$D662,记账规则!$A$6:$A$9,0),13),""))</f>
        <v/>
      </c>
      <c r="N2633" s="66" t="str">
        <f aca="false">IF($L2633="","",IFERROR(INDEX(记账规则!$A$6:$N$9,MATCH(购销流水!$D662,记账规则!$A$6:$A$9,0),14),""))</f>
        <v/>
      </c>
      <c r="O2633" s="67" t="n">
        <f aca="false">IF($H2633="",0,ROUND(IF($N2633="成本金额",N(购销流水!$W662),IF($N2633="金额",N(购销流水!$Q662),0)),2))</f>
        <v>0</v>
      </c>
      <c r="P2633" s="64" t="str">
        <f aca="false">IF(AND($H2633&lt;&gt;"",ROUND($O2633,2)&lt;&gt;0),"有","")</f>
        <v/>
      </c>
    </row>
    <row r="2634" customFormat="false" ht="15" hidden="true" customHeight="false" outlineLevel="0" collapsed="false">
      <c r="A2634" s="53" t="str">
        <f aca="false">IF($H2634="","",ROW()-5)</f>
        <v/>
      </c>
      <c r="B2634" s="64" t="s">
        <v>36</v>
      </c>
      <c r="C2634" s="53" t="n">
        <v>663</v>
      </c>
      <c r="D2634" s="53" t="n">
        <v>1</v>
      </c>
      <c r="E2634" s="65" t="str">
        <f aca="false">IF($H2634="","",购销流水!$B663)</f>
        <v/>
      </c>
      <c r="F2634" s="55" t="str">
        <f aca="false">IF($H2634="","",购销流水!$C663)</f>
        <v/>
      </c>
      <c r="G2634" s="48" t="str">
        <f aca="false">IF($H2634="","",购销流水!$N663)</f>
        <v/>
      </c>
      <c r="H2634" s="10" t="str">
        <f aca="false">IF($L2634="","",IF($L2634="@成本",购销流水!$U663,IF($L2634="@收入",购销流水!$T663,IF($L2634="@存货",购销流水!$S663,IF($L2634="@结算",购销流水!$R663,$L2634)))))</f>
        <v/>
      </c>
      <c r="I2634" s="42" t="n">
        <f aca="false">IF($M2634="借",$O2634,0)</f>
        <v>0</v>
      </c>
      <c r="J2634" s="42" t="n">
        <f aca="false">IF($M2634="贷",$O2634,0)</f>
        <v>0</v>
      </c>
      <c r="K2634" s="48" t="str">
        <f aca="false">IF($H2634="","",购销流水!$E663)</f>
        <v/>
      </c>
      <c r="L2634" s="66" t="str">
        <f aca="false">IF(购销流水!$D663="","",IFERROR(INDEX(记账规则!$A$6:$N$9,MATCH(购销流水!$D663,记账规则!$A$6:$A$9,0),3),""))</f>
        <v/>
      </c>
      <c r="M2634" s="66" t="str">
        <f aca="false">IF($L2634="","",IFERROR(INDEX(记账规则!$A$6:$N$9,MATCH(购销流水!$D663,记账规则!$A$6:$A$9,0),4),""))</f>
        <v/>
      </c>
      <c r="N2634" s="66" t="str">
        <f aca="false">IF($L2634="","",IFERROR(INDEX(记账规则!$A$6:$N$9,MATCH(购销流水!$D663,记账规则!$A$6:$A$9,0),5),""))</f>
        <v/>
      </c>
      <c r="O2634" s="67" t="n">
        <f aca="false">IF($H2634="",0,ROUND(IF($N2634="成本金额",N(购销流水!$W663),IF($N2634="金额",N(购销流水!$Q663),0)),2))</f>
        <v>0</v>
      </c>
      <c r="P2634" s="64" t="str">
        <f aca="false">IF(AND($H2634&lt;&gt;"",ROUND($O2634,2)&lt;&gt;0),"有","")</f>
        <v/>
      </c>
    </row>
    <row r="2635" customFormat="false" ht="15" hidden="true" customHeight="false" outlineLevel="0" collapsed="false">
      <c r="A2635" s="53" t="str">
        <f aca="false">IF($H2635="","",ROW()-5)</f>
        <v/>
      </c>
      <c r="B2635" s="64" t="s">
        <v>36</v>
      </c>
      <c r="C2635" s="53" t="n">
        <v>663</v>
      </c>
      <c r="D2635" s="53" t="n">
        <v>2</v>
      </c>
      <c r="E2635" s="65" t="str">
        <f aca="false">IF($H2635="","",购销流水!$B663)</f>
        <v/>
      </c>
      <c r="F2635" s="55" t="str">
        <f aca="false">IF($H2635="","",购销流水!$C663)</f>
        <v/>
      </c>
      <c r="G2635" s="48" t="str">
        <f aca="false">IF($H2635="","",购销流水!$N663)</f>
        <v/>
      </c>
      <c r="H2635" s="10" t="str">
        <f aca="false">IF($L2635="","",IF($L2635="@成本",购销流水!$U663,IF($L2635="@收入",购销流水!$T663,IF($L2635="@存货",购销流水!$S663,IF($L2635="@结算",购销流水!$R663,$L2635)))))</f>
        <v/>
      </c>
      <c r="I2635" s="42" t="n">
        <f aca="false">IF($M2635="借",$O2635,0)</f>
        <v>0</v>
      </c>
      <c r="J2635" s="42" t="n">
        <f aca="false">IF($M2635="贷",$O2635,0)</f>
        <v>0</v>
      </c>
      <c r="K2635" s="48" t="str">
        <f aca="false">IF($H2635="","",购销流水!$E663)</f>
        <v/>
      </c>
      <c r="L2635" s="66" t="str">
        <f aca="false">IF(购销流水!$D663="","",IFERROR(INDEX(记账规则!$A$6:$N$9,MATCH(购销流水!$D663,记账规则!$A$6:$A$9,0),6),""))</f>
        <v/>
      </c>
      <c r="M2635" s="66" t="str">
        <f aca="false">IF($L2635="","",IFERROR(INDEX(记账规则!$A$6:$N$9,MATCH(购销流水!$D663,记账规则!$A$6:$A$9,0),7),""))</f>
        <v/>
      </c>
      <c r="N2635" s="66" t="str">
        <f aca="false">IF($L2635="","",IFERROR(INDEX(记账规则!$A$6:$N$9,MATCH(购销流水!$D663,记账规则!$A$6:$A$9,0),8),""))</f>
        <v/>
      </c>
      <c r="O2635" s="67" t="n">
        <f aca="false">IF($H2635="",0,ROUND(IF($N2635="成本金额",N(购销流水!$W663),IF($N2635="金额",N(购销流水!$Q663),0)),2))</f>
        <v>0</v>
      </c>
      <c r="P2635" s="64" t="str">
        <f aca="false">IF(AND($H2635&lt;&gt;"",ROUND($O2635,2)&lt;&gt;0),"有","")</f>
        <v/>
      </c>
    </row>
    <row r="2636" customFormat="false" ht="15" hidden="true" customHeight="false" outlineLevel="0" collapsed="false">
      <c r="A2636" s="53" t="str">
        <f aca="false">IF($H2636="","",ROW()-5)</f>
        <v/>
      </c>
      <c r="B2636" s="64" t="s">
        <v>36</v>
      </c>
      <c r="C2636" s="53" t="n">
        <v>663</v>
      </c>
      <c r="D2636" s="53" t="n">
        <v>3</v>
      </c>
      <c r="E2636" s="65" t="str">
        <f aca="false">IF($H2636="","",购销流水!$B663)</f>
        <v/>
      </c>
      <c r="F2636" s="55" t="str">
        <f aca="false">IF($H2636="","",购销流水!$C663)</f>
        <v/>
      </c>
      <c r="G2636" s="48" t="str">
        <f aca="false">IF($H2636="","",购销流水!$N663)</f>
        <v/>
      </c>
      <c r="H2636" s="10" t="str">
        <f aca="false">IF($L2636="","",IF($L2636="@成本",购销流水!$U663,IF($L2636="@收入",购销流水!$T663,IF($L2636="@存货",购销流水!$S663,IF($L2636="@结算",购销流水!$R663,$L2636)))))</f>
        <v/>
      </c>
      <c r="I2636" s="42" t="n">
        <f aca="false">IF($M2636="借",$O2636,0)</f>
        <v>0</v>
      </c>
      <c r="J2636" s="42" t="n">
        <f aca="false">IF($M2636="贷",$O2636,0)</f>
        <v>0</v>
      </c>
      <c r="K2636" s="48" t="str">
        <f aca="false">IF($H2636="","",购销流水!$E663)</f>
        <v/>
      </c>
      <c r="L2636" s="66" t="str">
        <f aca="false">IF(购销流水!$D663="","",IFERROR(INDEX(记账规则!$A$6:$N$9,MATCH(购销流水!$D663,记账规则!$A$6:$A$9,0),9),""))</f>
        <v/>
      </c>
      <c r="M2636" s="66" t="str">
        <f aca="false">IF($L2636="","",IFERROR(INDEX(记账规则!$A$6:$N$9,MATCH(购销流水!$D663,记账规则!$A$6:$A$9,0),10),""))</f>
        <v/>
      </c>
      <c r="N2636" s="66" t="str">
        <f aca="false">IF($L2636="","",IFERROR(INDEX(记账规则!$A$6:$N$9,MATCH(购销流水!$D663,记账规则!$A$6:$A$9,0),11),""))</f>
        <v/>
      </c>
      <c r="O2636" s="67" t="n">
        <f aca="false">IF($H2636="",0,ROUND(IF($N2636="成本金额",N(购销流水!$W663),IF($N2636="金额",N(购销流水!$Q663),0)),2))</f>
        <v>0</v>
      </c>
      <c r="P2636" s="64" t="str">
        <f aca="false">IF(AND($H2636&lt;&gt;"",ROUND($O2636,2)&lt;&gt;0),"有","")</f>
        <v/>
      </c>
    </row>
    <row r="2637" customFormat="false" ht="15" hidden="true" customHeight="false" outlineLevel="0" collapsed="false">
      <c r="A2637" s="53" t="str">
        <f aca="false">IF($H2637="","",ROW()-5)</f>
        <v/>
      </c>
      <c r="B2637" s="64" t="s">
        <v>36</v>
      </c>
      <c r="C2637" s="53" t="n">
        <v>663</v>
      </c>
      <c r="D2637" s="53" t="n">
        <v>4</v>
      </c>
      <c r="E2637" s="65" t="str">
        <f aca="false">IF($H2637="","",购销流水!$B663)</f>
        <v/>
      </c>
      <c r="F2637" s="55" t="str">
        <f aca="false">IF($H2637="","",购销流水!$C663)</f>
        <v/>
      </c>
      <c r="G2637" s="48" t="str">
        <f aca="false">IF($H2637="","",购销流水!$N663)</f>
        <v/>
      </c>
      <c r="H2637" s="10" t="str">
        <f aca="false">IF($L2637="","",IF($L2637="@成本",购销流水!$U663,IF($L2637="@收入",购销流水!$T663,IF($L2637="@存货",购销流水!$S663,IF($L2637="@结算",购销流水!$R663,$L2637)))))</f>
        <v/>
      </c>
      <c r="I2637" s="42" t="n">
        <f aca="false">IF($M2637="借",$O2637,0)</f>
        <v>0</v>
      </c>
      <c r="J2637" s="42" t="n">
        <f aca="false">IF($M2637="贷",$O2637,0)</f>
        <v>0</v>
      </c>
      <c r="K2637" s="48" t="str">
        <f aca="false">IF($H2637="","",购销流水!$E663)</f>
        <v/>
      </c>
      <c r="L2637" s="66" t="str">
        <f aca="false">IF(购销流水!$D663="","",IFERROR(INDEX(记账规则!$A$6:$N$9,MATCH(购销流水!$D663,记账规则!$A$6:$A$9,0),12),""))</f>
        <v/>
      </c>
      <c r="M2637" s="66" t="str">
        <f aca="false">IF($L2637="","",IFERROR(INDEX(记账规则!$A$6:$N$9,MATCH(购销流水!$D663,记账规则!$A$6:$A$9,0),13),""))</f>
        <v/>
      </c>
      <c r="N2637" s="66" t="str">
        <f aca="false">IF($L2637="","",IFERROR(INDEX(记账规则!$A$6:$N$9,MATCH(购销流水!$D663,记账规则!$A$6:$A$9,0),14),""))</f>
        <v/>
      </c>
      <c r="O2637" s="67" t="n">
        <f aca="false">IF($H2637="",0,ROUND(IF($N2637="成本金额",N(购销流水!$W663),IF($N2637="金额",N(购销流水!$Q663),0)),2))</f>
        <v>0</v>
      </c>
      <c r="P2637" s="64" t="str">
        <f aca="false">IF(AND($H2637&lt;&gt;"",ROUND($O2637,2)&lt;&gt;0),"有","")</f>
        <v/>
      </c>
    </row>
    <row r="2638" customFormat="false" ht="15" hidden="true" customHeight="false" outlineLevel="0" collapsed="false">
      <c r="A2638" s="53" t="str">
        <f aca="false">IF($H2638="","",ROW()-5)</f>
        <v/>
      </c>
      <c r="B2638" s="64" t="s">
        <v>36</v>
      </c>
      <c r="C2638" s="53" t="n">
        <v>664</v>
      </c>
      <c r="D2638" s="53" t="n">
        <v>1</v>
      </c>
      <c r="E2638" s="65" t="str">
        <f aca="false">IF($H2638="","",购销流水!$B664)</f>
        <v/>
      </c>
      <c r="F2638" s="55" t="str">
        <f aca="false">IF($H2638="","",购销流水!$C664)</f>
        <v/>
      </c>
      <c r="G2638" s="48" t="str">
        <f aca="false">IF($H2638="","",购销流水!$N664)</f>
        <v/>
      </c>
      <c r="H2638" s="10" t="str">
        <f aca="false">IF($L2638="","",IF($L2638="@成本",购销流水!$U664,IF($L2638="@收入",购销流水!$T664,IF($L2638="@存货",购销流水!$S664,IF($L2638="@结算",购销流水!$R664,$L2638)))))</f>
        <v/>
      </c>
      <c r="I2638" s="42" t="n">
        <f aca="false">IF($M2638="借",$O2638,0)</f>
        <v>0</v>
      </c>
      <c r="J2638" s="42" t="n">
        <f aca="false">IF($M2638="贷",$O2638,0)</f>
        <v>0</v>
      </c>
      <c r="K2638" s="48" t="str">
        <f aca="false">IF($H2638="","",购销流水!$E664)</f>
        <v/>
      </c>
      <c r="L2638" s="66" t="str">
        <f aca="false">IF(购销流水!$D664="","",IFERROR(INDEX(记账规则!$A$6:$N$9,MATCH(购销流水!$D664,记账规则!$A$6:$A$9,0),3),""))</f>
        <v/>
      </c>
      <c r="M2638" s="66" t="str">
        <f aca="false">IF($L2638="","",IFERROR(INDEX(记账规则!$A$6:$N$9,MATCH(购销流水!$D664,记账规则!$A$6:$A$9,0),4),""))</f>
        <v/>
      </c>
      <c r="N2638" s="66" t="str">
        <f aca="false">IF($L2638="","",IFERROR(INDEX(记账规则!$A$6:$N$9,MATCH(购销流水!$D664,记账规则!$A$6:$A$9,0),5),""))</f>
        <v/>
      </c>
      <c r="O2638" s="67" t="n">
        <f aca="false">IF($H2638="",0,ROUND(IF($N2638="成本金额",N(购销流水!$W664),IF($N2638="金额",N(购销流水!$Q664),0)),2))</f>
        <v>0</v>
      </c>
      <c r="P2638" s="64" t="str">
        <f aca="false">IF(AND($H2638&lt;&gt;"",ROUND($O2638,2)&lt;&gt;0),"有","")</f>
        <v/>
      </c>
    </row>
    <row r="2639" customFormat="false" ht="15" hidden="true" customHeight="false" outlineLevel="0" collapsed="false">
      <c r="A2639" s="53" t="str">
        <f aca="false">IF($H2639="","",ROW()-5)</f>
        <v/>
      </c>
      <c r="B2639" s="64" t="s">
        <v>36</v>
      </c>
      <c r="C2639" s="53" t="n">
        <v>664</v>
      </c>
      <c r="D2639" s="53" t="n">
        <v>2</v>
      </c>
      <c r="E2639" s="65" t="str">
        <f aca="false">IF($H2639="","",购销流水!$B664)</f>
        <v/>
      </c>
      <c r="F2639" s="55" t="str">
        <f aca="false">IF($H2639="","",购销流水!$C664)</f>
        <v/>
      </c>
      <c r="G2639" s="48" t="str">
        <f aca="false">IF($H2639="","",购销流水!$N664)</f>
        <v/>
      </c>
      <c r="H2639" s="10" t="str">
        <f aca="false">IF($L2639="","",IF($L2639="@成本",购销流水!$U664,IF($L2639="@收入",购销流水!$T664,IF($L2639="@存货",购销流水!$S664,IF($L2639="@结算",购销流水!$R664,$L2639)))))</f>
        <v/>
      </c>
      <c r="I2639" s="42" t="n">
        <f aca="false">IF($M2639="借",$O2639,0)</f>
        <v>0</v>
      </c>
      <c r="J2639" s="42" t="n">
        <f aca="false">IF($M2639="贷",$O2639,0)</f>
        <v>0</v>
      </c>
      <c r="K2639" s="48" t="str">
        <f aca="false">IF($H2639="","",购销流水!$E664)</f>
        <v/>
      </c>
      <c r="L2639" s="66" t="str">
        <f aca="false">IF(购销流水!$D664="","",IFERROR(INDEX(记账规则!$A$6:$N$9,MATCH(购销流水!$D664,记账规则!$A$6:$A$9,0),6),""))</f>
        <v/>
      </c>
      <c r="M2639" s="66" t="str">
        <f aca="false">IF($L2639="","",IFERROR(INDEX(记账规则!$A$6:$N$9,MATCH(购销流水!$D664,记账规则!$A$6:$A$9,0),7),""))</f>
        <v/>
      </c>
      <c r="N2639" s="66" t="str">
        <f aca="false">IF($L2639="","",IFERROR(INDEX(记账规则!$A$6:$N$9,MATCH(购销流水!$D664,记账规则!$A$6:$A$9,0),8),""))</f>
        <v/>
      </c>
      <c r="O2639" s="67" t="n">
        <f aca="false">IF($H2639="",0,ROUND(IF($N2639="成本金额",N(购销流水!$W664),IF($N2639="金额",N(购销流水!$Q664),0)),2))</f>
        <v>0</v>
      </c>
      <c r="P2639" s="64" t="str">
        <f aca="false">IF(AND($H2639&lt;&gt;"",ROUND($O2639,2)&lt;&gt;0),"有","")</f>
        <v/>
      </c>
    </row>
    <row r="2640" customFormat="false" ht="15" hidden="true" customHeight="false" outlineLevel="0" collapsed="false">
      <c r="A2640" s="53" t="str">
        <f aca="false">IF($H2640="","",ROW()-5)</f>
        <v/>
      </c>
      <c r="B2640" s="64" t="s">
        <v>36</v>
      </c>
      <c r="C2640" s="53" t="n">
        <v>664</v>
      </c>
      <c r="D2640" s="53" t="n">
        <v>3</v>
      </c>
      <c r="E2640" s="65" t="str">
        <f aca="false">IF($H2640="","",购销流水!$B664)</f>
        <v/>
      </c>
      <c r="F2640" s="55" t="str">
        <f aca="false">IF($H2640="","",购销流水!$C664)</f>
        <v/>
      </c>
      <c r="G2640" s="48" t="str">
        <f aca="false">IF($H2640="","",购销流水!$N664)</f>
        <v/>
      </c>
      <c r="H2640" s="10" t="str">
        <f aca="false">IF($L2640="","",IF($L2640="@成本",购销流水!$U664,IF($L2640="@收入",购销流水!$T664,IF($L2640="@存货",购销流水!$S664,IF($L2640="@结算",购销流水!$R664,$L2640)))))</f>
        <v/>
      </c>
      <c r="I2640" s="42" t="n">
        <f aca="false">IF($M2640="借",$O2640,0)</f>
        <v>0</v>
      </c>
      <c r="J2640" s="42" t="n">
        <f aca="false">IF($M2640="贷",$O2640,0)</f>
        <v>0</v>
      </c>
      <c r="K2640" s="48" t="str">
        <f aca="false">IF($H2640="","",购销流水!$E664)</f>
        <v/>
      </c>
      <c r="L2640" s="66" t="str">
        <f aca="false">IF(购销流水!$D664="","",IFERROR(INDEX(记账规则!$A$6:$N$9,MATCH(购销流水!$D664,记账规则!$A$6:$A$9,0),9),""))</f>
        <v/>
      </c>
      <c r="M2640" s="66" t="str">
        <f aca="false">IF($L2640="","",IFERROR(INDEX(记账规则!$A$6:$N$9,MATCH(购销流水!$D664,记账规则!$A$6:$A$9,0),10),""))</f>
        <v/>
      </c>
      <c r="N2640" s="66" t="str">
        <f aca="false">IF($L2640="","",IFERROR(INDEX(记账规则!$A$6:$N$9,MATCH(购销流水!$D664,记账规则!$A$6:$A$9,0),11),""))</f>
        <v/>
      </c>
      <c r="O2640" s="67" t="n">
        <f aca="false">IF($H2640="",0,ROUND(IF($N2640="成本金额",N(购销流水!$W664),IF($N2640="金额",N(购销流水!$Q664),0)),2))</f>
        <v>0</v>
      </c>
      <c r="P2640" s="64" t="str">
        <f aca="false">IF(AND($H2640&lt;&gt;"",ROUND($O2640,2)&lt;&gt;0),"有","")</f>
        <v/>
      </c>
    </row>
    <row r="2641" customFormat="false" ht="15" hidden="true" customHeight="false" outlineLevel="0" collapsed="false">
      <c r="A2641" s="53" t="str">
        <f aca="false">IF($H2641="","",ROW()-5)</f>
        <v/>
      </c>
      <c r="B2641" s="64" t="s">
        <v>36</v>
      </c>
      <c r="C2641" s="53" t="n">
        <v>664</v>
      </c>
      <c r="D2641" s="53" t="n">
        <v>4</v>
      </c>
      <c r="E2641" s="65" t="str">
        <f aca="false">IF($H2641="","",购销流水!$B664)</f>
        <v/>
      </c>
      <c r="F2641" s="55" t="str">
        <f aca="false">IF($H2641="","",购销流水!$C664)</f>
        <v/>
      </c>
      <c r="G2641" s="48" t="str">
        <f aca="false">IF($H2641="","",购销流水!$N664)</f>
        <v/>
      </c>
      <c r="H2641" s="10" t="str">
        <f aca="false">IF($L2641="","",IF($L2641="@成本",购销流水!$U664,IF($L2641="@收入",购销流水!$T664,IF($L2641="@存货",购销流水!$S664,IF($L2641="@结算",购销流水!$R664,$L2641)))))</f>
        <v/>
      </c>
      <c r="I2641" s="42" t="n">
        <f aca="false">IF($M2641="借",$O2641,0)</f>
        <v>0</v>
      </c>
      <c r="J2641" s="42" t="n">
        <f aca="false">IF($M2641="贷",$O2641,0)</f>
        <v>0</v>
      </c>
      <c r="K2641" s="48" t="str">
        <f aca="false">IF($H2641="","",购销流水!$E664)</f>
        <v/>
      </c>
      <c r="L2641" s="66" t="str">
        <f aca="false">IF(购销流水!$D664="","",IFERROR(INDEX(记账规则!$A$6:$N$9,MATCH(购销流水!$D664,记账规则!$A$6:$A$9,0),12),""))</f>
        <v/>
      </c>
      <c r="M2641" s="66" t="str">
        <f aca="false">IF($L2641="","",IFERROR(INDEX(记账规则!$A$6:$N$9,MATCH(购销流水!$D664,记账规则!$A$6:$A$9,0),13),""))</f>
        <v/>
      </c>
      <c r="N2641" s="66" t="str">
        <f aca="false">IF($L2641="","",IFERROR(INDEX(记账规则!$A$6:$N$9,MATCH(购销流水!$D664,记账规则!$A$6:$A$9,0),14),""))</f>
        <v/>
      </c>
      <c r="O2641" s="67" t="n">
        <f aca="false">IF($H2641="",0,ROUND(IF($N2641="成本金额",N(购销流水!$W664),IF($N2641="金额",N(购销流水!$Q664),0)),2))</f>
        <v>0</v>
      </c>
      <c r="P2641" s="64" t="str">
        <f aca="false">IF(AND($H2641&lt;&gt;"",ROUND($O2641,2)&lt;&gt;0),"有","")</f>
        <v/>
      </c>
    </row>
    <row r="2642" customFormat="false" ht="15" hidden="true" customHeight="false" outlineLevel="0" collapsed="false">
      <c r="A2642" s="53" t="str">
        <f aca="false">IF($H2642="","",ROW()-5)</f>
        <v/>
      </c>
      <c r="B2642" s="64" t="s">
        <v>36</v>
      </c>
      <c r="C2642" s="53" t="n">
        <v>665</v>
      </c>
      <c r="D2642" s="53" t="n">
        <v>1</v>
      </c>
      <c r="E2642" s="65" t="str">
        <f aca="false">IF($H2642="","",购销流水!$B665)</f>
        <v/>
      </c>
      <c r="F2642" s="55" t="str">
        <f aca="false">IF($H2642="","",购销流水!$C665)</f>
        <v/>
      </c>
      <c r="G2642" s="48" t="str">
        <f aca="false">IF($H2642="","",购销流水!$N665)</f>
        <v/>
      </c>
      <c r="H2642" s="10" t="str">
        <f aca="false">IF($L2642="","",IF($L2642="@成本",购销流水!$U665,IF($L2642="@收入",购销流水!$T665,IF($L2642="@存货",购销流水!$S665,IF($L2642="@结算",购销流水!$R665,$L2642)))))</f>
        <v/>
      </c>
      <c r="I2642" s="42" t="n">
        <f aca="false">IF($M2642="借",$O2642,0)</f>
        <v>0</v>
      </c>
      <c r="J2642" s="42" t="n">
        <f aca="false">IF($M2642="贷",$O2642,0)</f>
        <v>0</v>
      </c>
      <c r="K2642" s="48" t="str">
        <f aca="false">IF($H2642="","",购销流水!$E665)</f>
        <v/>
      </c>
      <c r="L2642" s="66" t="str">
        <f aca="false">IF(购销流水!$D665="","",IFERROR(INDEX(记账规则!$A$6:$N$9,MATCH(购销流水!$D665,记账规则!$A$6:$A$9,0),3),""))</f>
        <v/>
      </c>
      <c r="M2642" s="66" t="str">
        <f aca="false">IF($L2642="","",IFERROR(INDEX(记账规则!$A$6:$N$9,MATCH(购销流水!$D665,记账规则!$A$6:$A$9,0),4),""))</f>
        <v/>
      </c>
      <c r="N2642" s="66" t="str">
        <f aca="false">IF($L2642="","",IFERROR(INDEX(记账规则!$A$6:$N$9,MATCH(购销流水!$D665,记账规则!$A$6:$A$9,0),5),""))</f>
        <v/>
      </c>
      <c r="O2642" s="67" t="n">
        <f aca="false">IF($H2642="",0,ROUND(IF($N2642="成本金额",N(购销流水!$W665),IF($N2642="金额",N(购销流水!$Q665),0)),2))</f>
        <v>0</v>
      </c>
      <c r="P2642" s="64" t="str">
        <f aca="false">IF(AND($H2642&lt;&gt;"",ROUND($O2642,2)&lt;&gt;0),"有","")</f>
        <v/>
      </c>
    </row>
    <row r="2643" customFormat="false" ht="15" hidden="true" customHeight="false" outlineLevel="0" collapsed="false">
      <c r="A2643" s="53" t="str">
        <f aca="false">IF($H2643="","",ROW()-5)</f>
        <v/>
      </c>
      <c r="B2643" s="64" t="s">
        <v>36</v>
      </c>
      <c r="C2643" s="53" t="n">
        <v>665</v>
      </c>
      <c r="D2643" s="53" t="n">
        <v>2</v>
      </c>
      <c r="E2643" s="65" t="str">
        <f aca="false">IF($H2643="","",购销流水!$B665)</f>
        <v/>
      </c>
      <c r="F2643" s="55" t="str">
        <f aca="false">IF($H2643="","",购销流水!$C665)</f>
        <v/>
      </c>
      <c r="G2643" s="48" t="str">
        <f aca="false">IF($H2643="","",购销流水!$N665)</f>
        <v/>
      </c>
      <c r="H2643" s="10" t="str">
        <f aca="false">IF($L2643="","",IF($L2643="@成本",购销流水!$U665,IF($L2643="@收入",购销流水!$T665,IF($L2643="@存货",购销流水!$S665,IF($L2643="@结算",购销流水!$R665,$L2643)))))</f>
        <v/>
      </c>
      <c r="I2643" s="42" t="n">
        <f aca="false">IF($M2643="借",$O2643,0)</f>
        <v>0</v>
      </c>
      <c r="J2643" s="42" t="n">
        <f aca="false">IF($M2643="贷",$O2643,0)</f>
        <v>0</v>
      </c>
      <c r="K2643" s="48" t="str">
        <f aca="false">IF($H2643="","",购销流水!$E665)</f>
        <v/>
      </c>
      <c r="L2643" s="66" t="str">
        <f aca="false">IF(购销流水!$D665="","",IFERROR(INDEX(记账规则!$A$6:$N$9,MATCH(购销流水!$D665,记账规则!$A$6:$A$9,0),6),""))</f>
        <v/>
      </c>
      <c r="M2643" s="66" t="str">
        <f aca="false">IF($L2643="","",IFERROR(INDEX(记账规则!$A$6:$N$9,MATCH(购销流水!$D665,记账规则!$A$6:$A$9,0),7),""))</f>
        <v/>
      </c>
      <c r="N2643" s="66" t="str">
        <f aca="false">IF($L2643="","",IFERROR(INDEX(记账规则!$A$6:$N$9,MATCH(购销流水!$D665,记账规则!$A$6:$A$9,0),8),""))</f>
        <v/>
      </c>
      <c r="O2643" s="67" t="n">
        <f aca="false">IF($H2643="",0,ROUND(IF($N2643="成本金额",N(购销流水!$W665),IF($N2643="金额",N(购销流水!$Q665),0)),2))</f>
        <v>0</v>
      </c>
      <c r="P2643" s="64" t="str">
        <f aca="false">IF(AND($H2643&lt;&gt;"",ROUND($O2643,2)&lt;&gt;0),"有","")</f>
        <v/>
      </c>
    </row>
    <row r="2644" customFormat="false" ht="15" hidden="true" customHeight="false" outlineLevel="0" collapsed="false">
      <c r="A2644" s="53" t="str">
        <f aca="false">IF($H2644="","",ROW()-5)</f>
        <v/>
      </c>
      <c r="B2644" s="64" t="s">
        <v>36</v>
      </c>
      <c r="C2644" s="53" t="n">
        <v>665</v>
      </c>
      <c r="D2644" s="53" t="n">
        <v>3</v>
      </c>
      <c r="E2644" s="65" t="str">
        <f aca="false">IF($H2644="","",购销流水!$B665)</f>
        <v/>
      </c>
      <c r="F2644" s="55" t="str">
        <f aca="false">IF($H2644="","",购销流水!$C665)</f>
        <v/>
      </c>
      <c r="G2644" s="48" t="str">
        <f aca="false">IF($H2644="","",购销流水!$N665)</f>
        <v/>
      </c>
      <c r="H2644" s="10" t="str">
        <f aca="false">IF($L2644="","",IF($L2644="@成本",购销流水!$U665,IF($L2644="@收入",购销流水!$T665,IF($L2644="@存货",购销流水!$S665,IF($L2644="@结算",购销流水!$R665,$L2644)))))</f>
        <v/>
      </c>
      <c r="I2644" s="42" t="n">
        <f aca="false">IF($M2644="借",$O2644,0)</f>
        <v>0</v>
      </c>
      <c r="J2644" s="42" t="n">
        <f aca="false">IF($M2644="贷",$O2644,0)</f>
        <v>0</v>
      </c>
      <c r="K2644" s="48" t="str">
        <f aca="false">IF($H2644="","",购销流水!$E665)</f>
        <v/>
      </c>
      <c r="L2644" s="66" t="str">
        <f aca="false">IF(购销流水!$D665="","",IFERROR(INDEX(记账规则!$A$6:$N$9,MATCH(购销流水!$D665,记账规则!$A$6:$A$9,0),9),""))</f>
        <v/>
      </c>
      <c r="M2644" s="66" t="str">
        <f aca="false">IF($L2644="","",IFERROR(INDEX(记账规则!$A$6:$N$9,MATCH(购销流水!$D665,记账规则!$A$6:$A$9,0),10),""))</f>
        <v/>
      </c>
      <c r="N2644" s="66" t="str">
        <f aca="false">IF($L2644="","",IFERROR(INDEX(记账规则!$A$6:$N$9,MATCH(购销流水!$D665,记账规则!$A$6:$A$9,0),11),""))</f>
        <v/>
      </c>
      <c r="O2644" s="67" t="n">
        <f aca="false">IF($H2644="",0,ROUND(IF($N2644="成本金额",N(购销流水!$W665),IF($N2644="金额",N(购销流水!$Q665),0)),2))</f>
        <v>0</v>
      </c>
      <c r="P2644" s="64" t="str">
        <f aca="false">IF(AND($H2644&lt;&gt;"",ROUND($O2644,2)&lt;&gt;0),"有","")</f>
        <v/>
      </c>
    </row>
    <row r="2645" customFormat="false" ht="15" hidden="true" customHeight="false" outlineLevel="0" collapsed="false">
      <c r="A2645" s="53" t="str">
        <f aca="false">IF($H2645="","",ROW()-5)</f>
        <v/>
      </c>
      <c r="B2645" s="64" t="s">
        <v>36</v>
      </c>
      <c r="C2645" s="53" t="n">
        <v>665</v>
      </c>
      <c r="D2645" s="53" t="n">
        <v>4</v>
      </c>
      <c r="E2645" s="65" t="str">
        <f aca="false">IF($H2645="","",购销流水!$B665)</f>
        <v/>
      </c>
      <c r="F2645" s="55" t="str">
        <f aca="false">IF($H2645="","",购销流水!$C665)</f>
        <v/>
      </c>
      <c r="G2645" s="48" t="str">
        <f aca="false">IF($H2645="","",购销流水!$N665)</f>
        <v/>
      </c>
      <c r="H2645" s="10" t="str">
        <f aca="false">IF($L2645="","",IF($L2645="@成本",购销流水!$U665,IF($L2645="@收入",购销流水!$T665,IF($L2645="@存货",购销流水!$S665,IF($L2645="@结算",购销流水!$R665,$L2645)))))</f>
        <v/>
      </c>
      <c r="I2645" s="42" t="n">
        <f aca="false">IF($M2645="借",$O2645,0)</f>
        <v>0</v>
      </c>
      <c r="J2645" s="42" t="n">
        <f aca="false">IF($M2645="贷",$O2645,0)</f>
        <v>0</v>
      </c>
      <c r="K2645" s="48" t="str">
        <f aca="false">IF($H2645="","",购销流水!$E665)</f>
        <v/>
      </c>
      <c r="L2645" s="66" t="str">
        <f aca="false">IF(购销流水!$D665="","",IFERROR(INDEX(记账规则!$A$6:$N$9,MATCH(购销流水!$D665,记账规则!$A$6:$A$9,0),12),""))</f>
        <v/>
      </c>
      <c r="M2645" s="66" t="str">
        <f aca="false">IF($L2645="","",IFERROR(INDEX(记账规则!$A$6:$N$9,MATCH(购销流水!$D665,记账规则!$A$6:$A$9,0),13),""))</f>
        <v/>
      </c>
      <c r="N2645" s="66" t="str">
        <f aca="false">IF($L2645="","",IFERROR(INDEX(记账规则!$A$6:$N$9,MATCH(购销流水!$D665,记账规则!$A$6:$A$9,0),14),""))</f>
        <v/>
      </c>
      <c r="O2645" s="67" t="n">
        <f aca="false">IF($H2645="",0,ROUND(IF($N2645="成本金额",N(购销流水!$W665),IF($N2645="金额",N(购销流水!$Q665),0)),2))</f>
        <v>0</v>
      </c>
      <c r="P2645" s="64" t="str">
        <f aca="false">IF(AND($H2645&lt;&gt;"",ROUND($O2645,2)&lt;&gt;0),"有","")</f>
        <v/>
      </c>
    </row>
    <row r="2646" customFormat="false" ht="15" hidden="true" customHeight="false" outlineLevel="0" collapsed="false">
      <c r="A2646" s="53" t="str">
        <f aca="false">IF($H2646="","",ROW()-5)</f>
        <v/>
      </c>
      <c r="B2646" s="64" t="s">
        <v>36</v>
      </c>
      <c r="C2646" s="53" t="n">
        <v>666</v>
      </c>
      <c r="D2646" s="53" t="n">
        <v>1</v>
      </c>
      <c r="E2646" s="65" t="str">
        <f aca="false">IF($H2646="","",购销流水!$B666)</f>
        <v/>
      </c>
      <c r="F2646" s="55" t="str">
        <f aca="false">IF($H2646="","",购销流水!$C666)</f>
        <v/>
      </c>
      <c r="G2646" s="48" t="str">
        <f aca="false">IF($H2646="","",购销流水!$N666)</f>
        <v/>
      </c>
      <c r="H2646" s="10" t="str">
        <f aca="false">IF($L2646="","",IF($L2646="@成本",购销流水!$U666,IF($L2646="@收入",购销流水!$T666,IF($L2646="@存货",购销流水!$S666,IF($L2646="@结算",购销流水!$R666,$L2646)))))</f>
        <v/>
      </c>
      <c r="I2646" s="42" t="n">
        <f aca="false">IF($M2646="借",$O2646,0)</f>
        <v>0</v>
      </c>
      <c r="J2646" s="42" t="n">
        <f aca="false">IF($M2646="贷",$O2646,0)</f>
        <v>0</v>
      </c>
      <c r="K2646" s="48" t="str">
        <f aca="false">IF($H2646="","",购销流水!$E666)</f>
        <v/>
      </c>
      <c r="L2646" s="66" t="str">
        <f aca="false">IF(购销流水!$D666="","",IFERROR(INDEX(记账规则!$A$6:$N$9,MATCH(购销流水!$D666,记账规则!$A$6:$A$9,0),3),""))</f>
        <v/>
      </c>
      <c r="M2646" s="66" t="str">
        <f aca="false">IF($L2646="","",IFERROR(INDEX(记账规则!$A$6:$N$9,MATCH(购销流水!$D666,记账规则!$A$6:$A$9,0),4),""))</f>
        <v/>
      </c>
      <c r="N2646" s="66" t="str">
        <f aca="false">IF($L2646="","",IFERROR(INDEX(记账规则!$A$6:$N$9,MATCH(购销流水!$D666,记账规则!$A$6:$A$9,0),5),""))</f>
        <v/>
      </c>
      <c r="O2646" s="67" t="n">
        <f aca="false">IF($H2646="",0,ROUND(IF($N2646="成本金额",N(购销流水!$W666),IF($N2646="金额",N(购销流水!$Q666),0)),2))</f>
        <v>0</v>
      </c>
      <c r="P2646" s="64" t="str">
        <f aca="false">IF(AND($H2646&lt;&gt;"",ROUND($O2646,2)&lt;&gt;0),"有","")</f>
        <v/>
      </c>
    </row>
    <row r="2647" customFormat="false" ht="15" hidden="true" customHeight="false" outlineLevel="0" collapsed="false">
      <c r="A2647" s="53" t="str">
        <f aca="false">IF($H2647="","",ROW()-5)</f>
        <v/>
      </c>
      <c r="B2647" s="64" t="s">
        <v>36</v>
      </c>
      <c r="C2647" s="53" t="n">
        <v>666</v>
      </c>
      <c r="D2647" s="53" t="n">
        <v>2</v>
      </c>
      <c r="E2647" s="65" t="str">
        <f aca="false">IF($H2647="","",购销流水!$B666)</f>
        <v/>
      </c>
      <c r="F2647" s="55" t="str">
        <f aca="false">IF($H2647="","",购销流水!$C666)</f>
        <v/>
      </c>
      <c r="G2647" s="48" t="str">
        <f aca="false">IF($H2647="","",购销流水!$N666)</f>
        <v/>
      </c>
      <c r="H2647" s="10" t="str">
        <f aca="false">IF($L2647="","",IF($L2647="@成本",购销流水!$U666,IF($L2647="@收入",购销流水!$T666,IF($L2647="@存货",购销流水!$S666,IF($L2647="@结算",购销流水!$R666,$L2647)))))</f>
        <v/>
      </c>
      <c r="I2647" s="42" t="n">
        <f aca="false">IF($M2647="借",$O2647,0)</f>
        <v>0</v>
      </c>
      <c r="J2647" s="42" t="n">
        <f aca="false">IF($M2647="贷",$O2647,0)</f>
        <v>0</v>
      </c>
      <c r="K2647" s="48" t="str">
        <f aca="false">IF($H2647="","",购销流水!$E666)</f>
        <v/>
      </c>
      <c r="L2647" s="66" t="str">
        <f aca="false">IF(购销流水!$D666="","",IFERROR(INDEX(记账规则!$A$6:$N$9,MATCH(购销流水!$D666,记账规则!$A$6:$A$9,0),6),""))</f>
        <v/>
      </c>
      <c r="M2647" s="66" t="str">
        <f aca="false">IF($L2647="","",IFERROR(INDEX(记账规则!$A$6:$N$9,MATCH(购销流水!$D666,记账规则!$A$6:$A$9,0),7),""))</f>
        <v/>
      </c>
      <c r="N2647" s="66" t="str">
        <f aca="false">IF($L2647="","",IFERROR(INDEX(记账规则!$A$6:$N$9,MATCH(购销流水!$D666,记账规则!$A$6:$A$9,0),8),""))</f>
        <v/>
      </c>
      <c r="O2647" s="67" t="n">
        <f aca="false">IF($H2647="",0,ROUND(IF($N2647="成本金额",N(购销流水!$W666),IF($N2647="金额",N(购销流水!$Q666),0)),2))</f>
        <v>0</v>
      </c>
      <c r="P2647" s="64" t="str">
        <f aca="false">IF(AND($H2647&lt;&gt;"",ROUND($O2647,2)&lt;&gt;0),"有","")</f>
        <v/>
      </c>
    </row>
    <row r="2648" customFormat="false" ht="15" hidden="true" customHeight="false" outlineLevel="0" collapsed="false">
      <c r="A2648" s="53" t="str">
        <f aca="false">IF($H2648="","",ROW()-5)</f>
        <v/>
      </c>
      <c r="B2648" s="64" t="s">
        <v>36</v>
      </c>
      <c r="C2648" s="53" t="n">
        <v>666</v>
      </c>
      <c r="D2648" s="53" t="n">
        <v>3</v>
      </c>
      <c r="E2648" s="65" t="str">
        <f aca="false">IF($H2648="","",购销流水!$B666)</f>
        <v/>
      </c>
      <c r="F2648" s="55" t="str">
        <f aca="false">IF($H2648="","",购销流水!$C666)</f>
        <v/>
      </c>
      <c r="G2648" s="48" t="str">
        <f aca="false">IF($H2648="","",购销流水!$N666)</f>
        <v/>
      </c>
      <c r="H2648" s="10" t="str">
        <f aca="false">IF($L2648="","",IF($L2648="@成本",购销流水!$U666,IF($L2648="@收入",购销流水!$T666,IF($L2648="@存货",购销流水!$S666,IF($L2648="@结算",购销流水!$R666,$L2648)))))</f>
        <v/>
      </c>
      <c r="I2648" s="42" t="n">
        <f aca="false">IF($M2648="借",$O2648,0)</f>
        <v>0</v>
      </c>
      <c r="J2648" s="42" t="n">
        <f aca="false">IF($M2648="贷",$O2648,0)</f>
        <v>0</v>
      </c>
      <c r="K2648" s="48" t="str">
        <f aca="false">IF($H2648="","",购销流水!$E666)</f>
        <v/>
      </c>
      <c r="L2648" s="66" t="str">
        <f aca="false">IF(购销流水!$D666="","",IFERROR(INDEX(记账规则!$A$6:$N$9,MATCH(购销流水!$D666,记账规则!$A$6:$A$9,0),9),""))</f>
        <v/>
      </c>
      <c r="M2648" s="66" t="str">
        <f aca="false">IF($L2648="","",IFERROR(INDEX(记账规则!$A$6:$N$9,MATCH(购销流水!$D666,记账规则!$A$6:$A$9,0),10),""))</f>
        <v/>
      </c>
      <c r="N2648" s="66" t="str">
        <f aca="false">IF($L2648="","",IFERROR(INDEX(记账规则!$A$6:$N$9,MATCH(购销流水!$D666,记账规则!$A$6:$A$9,0),11),""))</f>
        <v/>
      </c>
      <c r="O2648" s="67" t="n">
        <f aca="false">IF($H2648="",0,ROUND(IF($N2648="成本金额",N(购销流水!$W666),IF($N2648="金额",N(购销流水!$Q666),0)),2))</f>
        <v>0</v>
      </c>
      <c r="P2648" s="64" t="str">
        <f aca="false">IF(AND($H2648&lt;&gt;"",ROUND($O2648,2)&lt;&gt;0),"有","")</f>
        <v/>
      </c>
    </row>
    <row r="2649" customFormat="false" ht="15" hidden="true" customHeight="false" outlineLevel="0" collapsed="false">
      <c r="A2649" s="53" t="str">
        <f aca="false">IF($H2649="","",ROW()-5)</f>
        <v/>
      </c>
      <c r="B2649" s="64" t="s">
        <v>36</v>
      </c>
      <c r="C2649" s="53" t="n">
        <v>666</v>
      </c>
      <c r="D2649" s="53" t="n">
        <v>4</v>
      </c>
      <c r="E2649" s="65" t="str">
        <f aca="false">IF($H2649="","",购销流水!$B666)</f>
        <v/>
      </c>
      <c r="F2649" s="55" t="str">
        <f aca="false">IF($H2649="","",购销流水!$C666)</f>
        <v/>
      </c>
      <c r="G2649" s="48" t="str">
        <f aca="false">IF($H2649="","",购销流水!$N666)</f>
        <v/>
      </c>
      <c r="H2649" s="10" t="str">
        <f aca="false">IF($L2649="","",IF($L2649="@成本",购销流水!$U666,IF($L2649="@收入",购销流水!$T666,IF($L2649="@存货",购销流水!$S666,IF($L2649="@结算",购销流水!$R666,$L2649)))))</f>
        <v/>
      </c>
      <c r="I2649" s="42" t="n">
        <f aca="false">IF($M2649="借",$O2649,0)</f>
        <v>0</v>
      </c>
      <c r="J2649" s="42" t="n">
        <f aca="false">IF($M2649="贷",$O2649,0)</f>
        <v>0</v>
      </c>
      <c r="K2649" s="48" t="str">
        <f aca="false">IF($H2649="","",购销流水!$E666)</f>
        <v/>
      </c>
      <c r="L2649" s="66" t="str">
        <f aca="false">IF(购销流水!$D666="","",IFERROR(INDEX(记账规则!$A$6:$N$9,MATCH(购销流水!$D666,记账规则!$A$6:$A$9,0),12),""))</f>
        <v/>
      </c>
      <c r="M2649" s="66" t="str">
        <f aca="false">IF($L2649="","",IFERROR(INDEX(记账规则!$A$6:$N$9,MATCH(购销流水!$D666,记账规则!$A$6:$A$9,0),13),""))</f>
        <v/>
      </c>
      <c r="N2649" s="66" t="str">
        <f aca="false">IF($L2649="","",IFERROR(INDEX(记账规则!$A$6:$N$9,MATCH(购销流水!$D666,记账规则!$A$6:$A$9,0),14),""))</f>
        <v/>
      </c>
      <c r="O2649" s="67" t="n">
        <f aca="false">IF($H2649="",0,ROUND(IF($N2649="成本金额",N(购销流水!$W666),IF($N2649="金额",N(购销流水!$Q666),0)),2))</f>
        <v>0</v>
      </c>
      <c r="P2649" s="64" t="str">
        <f aca="false">IF(AND($H2649&lt;&gt;"",ROUND($O2649,2)&lt;&gt;0),"有","")</f>
        <v/>
      </c>
    </row>
    <row r="2650" customFormat="false" ht="15" hidden="true" customHeight="false" outlineLevel="0" collapsed="false">
      <c r="A2650" s="53" t="str">
        <f aca="false">IF($H2650="","",ROW()-5)</f>
        <v/>
      </c>
      <c r="B2650" s="64" t="s">
        <v>36</v>
      </c>
      <c r="C2650" s="53" t="n">
        <v>667</v>
      </c>
      <c r="D2650" s="53" t="n">
        <v>1</v>
      </c>
      <c r="E2650" s="65" t="str">
        <f aca="false">IF($H2650="","",购销流水!$B667)</f>
        <v/>
      </c>
      <c r="F2650" s="55" t="str">
        <f aca="false">IF($H2650="","",购销流水!$C667)</f>
        <v/>
      </c>
      <c r="G2650" s="48" t="str">
        <f aca="false">IF($H2650="","",购销流水!$N667)</f>
        <v/>
      </c>
      <c r="H2650" s="10" t="str">
        <f aca="false">IF($L2650="","",IF($L2650="@成本",购销流水!$U667,IF($L2650="@收入",购销流水!$T667,IF($L2650="@存货",购销流水!$S667,IF($L2650="@结算",购销流水!$R667,$L2650)))))</f>
        <v/>
      </c>
      <c r="I2650" s="42" t="n">
        <f aca="false">IF($M2650="借",$O2650,0)</f>
        <v>0</v>
      </c>
      <c r="J2650" s="42" t="n">
        <f aca="false">IF($M2650="贷",$O2650,0)</f>
        <v>0</v>
      </c>
      <c r="K2650" s="48" t="str">
        <f aca="false">IF($H2650="","",购销流水!$E667)</f>
        <v/>
      </c>
      <c r="L2650" s="66" t="str">
        <f aca="false">IF(购销流水!$D667="","",IFERROR(INDEX(记账规则!$A$6:$N$9,MATCH(购销流水!$D667,记账规则!$A$6:$A$9,0),3),""))</f>
        <v/>
      </c>
      <c r="M2650" s="66" t="str">
        <f aca="false">IF($L2650="","",IFERROR(INDEX(记账规则!$A$6:$N$9,MATCH(购销流水!$D667,记账规则!$A$6:$A$9,0),4),""))</f>
        <v/>
      </c>
      <c r="N2650" s="66" t="str">
        <f aca="false">IF($L2650="","",IFERROR(INDEX(记账规则!$A$6:$N$9,MATCH(购销流水!$D667,记账规则!$A$6:$A$9,0),5),""))</f>
        <v/>
      </c>
      <c r="O2650" s="67" t="n">
        <f aca="false">IF($H2650="",0,ROUND(IF($N2650="成本金额",N(购销流水!$W667),IF($N2650="金额",N(购销流水!$Q667),0)),2))</f>
        <v>0</v>
      </c>
      <c r="P2650" s="64" t="str">
        <f aca="false">IF(AND($H2650&lt;&gt;"",ROUND($O2650,2)&lt;&gt;0),"有","")</f>
        <v/>
      </c>
    </row>
    <row r="2651" customFormat="false" ht="15" hidden="true" customHeight="false" outlineLevel="0" collapsed="false">
      <c r="A2651" s="53" t="str">
        <f aca="false">IF($H2651="","",ROW()-5)</f>
        <v/>
      </c>
      <c r="B2651" s="64" t="s">
        <v>36</v>
      </c>
      <c r="C2651" s="53" t="n">
        <v>667</v>
      </c>
      <c r="D2651" s="53" t="n">
        <v>2</v>
      </c>
      <c r="E2651" s="65" t="str">
        <f aca="false">IF($H2651="","",购销流水!$B667)</f>
        <v/>
      </c>
      <c r="F2651" s="55" t="str">
        <f aca="false">IF($H2651="","",购销流水!$C667)</f>
        <v/>
      </c>
      <c r="G2651" s="48" t="str">
        <f aca="false">IF($H2651="","",购销流水!$N667)</f>
        <v/>
      </c>
      <c r="H2651" s="10" t="str">
        <f aca="false">IF($L2651="","",IF($L2651="@成本",购销流水!$U667,IF($L2651="@收入",购销流水!$T667,IF($L2651="@存货",购销流水!$S667,IF($L2651="@结算",购销流水!$R667,$L2651)))))</f>
        <v/>
      </c>
      <c r="I2651" s="42" t="n">
        <f aca="false">IF($M2651="借",$O2651,0)</f>
        <v>0</v>
      </c>
      <c r="J2651" s="42" t="n">
        <f aca="false">IF($M2651="贷",$O2651,0)</f>
        <v>0</v>
      </c>
      <c r="K2651" s="48" t="str">
        <f aca="false">IF($H2651="","",购销流水!$E667)</f>
        <v/>
      </c>
      <c r="L2651" s="66" t="str">
        <f aca="false">IF(购销流水!$D667="","",IFERROR(INDEX(记账规则!$A$6:$N$9,MATCH(购销流水!$D667,记账规则!$A$6:$A$9,0),6),""))</f>
        <v/>
      </c>
      <c r="M2651" s="66" t="str">
        <f aca="false">IF($L2651="","",IFERROR(INDEX(记账规则!$A$6:$N$9,MATCH(购销流水!$D667,记账规则!$A$6:$A$9,0),7),""))</f>
        <v/>
      </c>
      <c r="N2651" s="66" t="str">
        <f aca="false">IF($L2651="","",IFERROR(INDEX(记账规则!$A$6:$N$9,MATCH(购销流水!$D667,记账规则!$A$6:$A$9,0),8),""))</f>
        <v/>
      </c>
      <c r="O2651" s="67" t="n">
        <f aca="false">IF($H2651="",0,ROUND(IF($N2651="成本金额",N(购销流水!$W667),IF($N2651="金额",N(购销流水!$Q667),0)),2))</f>
        <v>0</v>
      </c>
      <c r="P2651" s="64" t="str">
        <f aca="false">IF(AND($H2651&lt;&gt;"",ROUND($O2651,2)&lt;&gt;0),"有","")</f>
        <v/>
      </c>
    </row>
    <row r="2652" customFormat="false" ht="15" hidden="true" customHeight="false" outlineLevel="0" collapsed="false">
      <c r="A2652" s="53" t="str">
        <f aca="false">IF($H2652="","",ROW()-5)</f>
        <v/>
      </c>
      <c r="B2652" s="64" t="s">
        <v>36</v>
      </c>
      <c r="C2652" s="53" t="n">
        <v>667</v>
      </c>
      <c r="D2652" s="53" t="n">
        <v>3</v>
      </c>
      <c r="E2652" s="65" t="str">
        <f aca="false">IF($H2652="","",购销流水!$B667)</f>
        <v/>
      </c>
      <c r="F2652" s="55" t="str">
        <f aca="false">IF($H2652="","",购销流水!$C667)</f>
        <v/>
      </c>
      <c r="G2652" s="48" t="str">
        <f aca="false">IF($H2652="","",购销流水!$N667)</f>
        <v/>
      </c>
      <c r="H2652" s="10" t="str">
        <f aca="false">IF($L2652="","",IF($L2652="@成本",购销流水!$U667,IF($L2652="@收入",购销流水!$T667,IF($L2652="@存货",购销流水!$S667,IF($L2652="@结算",购销流水!$R667,$L2652)))))</f>
        <v/>
      </c>
      <c r="I2652" s="42" t="n">
        <f aca="false">IF($M2652="借",$O2652,0)</f>
        <v>0</v>
      </c>
      <c r="J2652" s="42" t="n">
        <f aca="false">IF($M2652="贷",$O2652,0)</f>
        <v>0</v>
      </c>
      <c r="K2652" s="48" t="str">
        <f aca="false">IF($H2652="","",购销流水!$E667)</f>
        <v/>
      </c>
      <c r="L2652" s="66" t="str">
        <f aca="false">IF(购销流水!$D667="","",IFERROR(INDEX(记账规则!$A$6:$N$9,MATCH(购销流水!$D667,记账规则!$A$6:$A$9,0),9),""))</f>
        <v/>
      </c>
      <c r="M2652" s="66" t="str">
        <f aca="false">IF($L2652="","",IFERROR(INDEX(记账规则!$A$6:$N$9,MATCH(购销流水!$D667,记账规则!$A$6:$A$9,0),10),""))</f>
        <v/>
      </c>
      <c r="N2652" s="66" t="str">
        <f aca="false">IF($L2652="","",IFERROR(INDEX(记账规则!$A$6:$N$9,MATCH(购销流水!$D667,记账规则!$A$6:$A$9,0),11),""))</f>
        <v/>
      </c>
      <c r="O2652" s="67" t="n">
        <f aca="false">IF($H2652="",0,ROUND(IF($N2652="成本金额",N(购销流水!$W667),IF($N2652="金额",N(购销流水!$Q667),0)),2))</f>
        <v>0</v>
      </c>
      <c r="P2652" s="64" t="str">
        <f aca="false">IF(AND($H2652&lt;&gt;"",ROUND($O2652,2)&lt;&gt;0),"有","")</f>
        <v/>
      </c>
    </row>
    <row r="2653" customFormat="false" ht="15" hidden="true" customHeight="false" outlineLevel="0" collapsed="false">
      <c r="A2653" s="53" t="str">
        <f aca="false">IF($H2653="","",ROW()-5)</f>
        <v/>
      </c>
      <c r="B2653" s="64" t="s">
        <v>36</v>
      </c>
      <c r="C2653" s="53" t="n">
        <v>667</v>
      </c>
      <c r="D2653" s="53" t="n">
        <v>4</v>
      </c>
      <c r="E2653" s="65" t="str">
        <f aca="false">IF($H2653="","",购销流水!$B667)</f>
        <v/>
      </c>
      <c r="F2653" s="55" t="str">
        <f aca="false">IF($H2653="","",购销流水!$C667)</f>
        <v/>
      </c>
      <c r="G2653" s="48" t="str">
        <f aca="false">IF($H2653="","",购销流水!$N667)</f>
        <v/>
      </c>
      <c r="H2653" s="10" t="str">
        <f aca="false">IF($L2653="","",IF($L2653="@成本",购销流水!$U667,IF($L2653="@收入",购销流水!$T667,IF($L2653="@存货",购销流水!$S667,IF($L2653="@结算",购销流水!$R667,$L2653)))))</f>
        <v/>
      </c>
      <c r="I2653" s="42" t="n">
        <f aca="false">IF($M2653="借",$O2653,0)</f>
        <v>0</v>
      </c>
      <c r="J2653" s="42" t="n">
        <f aca="false">IF($M2653="贷",$O2653,0)</f>
        <v>0</v>
      </c>
      <c r="K2653" s="48" t="str">
        <f aca="false">IF($H2653="","",购销流水!$E667)</f>
        <v/>
      </c>
      <c r="L2653" s="66" t="str">
        <f aca="false">IF(购销流水!$D667="","",IFERROR(INDEX(记账规则!$A$6:$N$9,MATCH(购销流水!$D667,记账规则!$A$6:$A$9,0),12),""))</f>
        <v/>
      </c>
      <c r="M2653" s="66" t="str">
        <f aca="false">IF($L2653="","",IFERROR(INDEX(记账规则!$A$6:$N$9,MATCH(购销流水!$D667,记账规则!$A$6:$A$9,0),13),""))</f>
        <v/>
      </c>
      <c r="N2653" s="66" t="str">
        <f aca="false">IF($L2653="","",IFERROR(INDEX(记账规则!$A$6:$N$9,MATCH(购销流水!$D667,记账规则!$A$6:$A$9,0),14),""))</f>
        <v/>
      </c>
      <c r="O2653" s="67" t="n">
        <f aca="false">IF($H2653="",0,ROUND(IF($N2653="成本金额",N(购销流水!$W667),IF($N2653="金额",N(购销流水!$Q667),0)),2))</f>
        <v>0</v>
      </c>
      <c r="P2653" s="64" t="str">
        <f aca="false">IF(AND($H2653&lt;&gt;"",ROUND($O2653,2)&lt;&gt;0),"有","")</f>
        <v/>
      </c>
    </row>
    <row r="2654" customFormat="false" ht="15" hidden="true" customHeight="false" outlineLevel="0" collapsed="false">
      <c r="A2654" s="53" t="str">
        <f aca="false">IF($H2654="","",ROW()-5)</f>
        <v/>
      </c>
      <c r="B2654" s="64" t="s">
        <v>36</v>
      </c>
      <c r="C2654" s="53" t="n">
        <v>668</v>
      </c>
      <c r="D2654" s="53" t="n">
        <v>1</v>
      </c>
      <c r="E2654" s="65" t="str">
        <f aca="false">IF($H2654="","",购销流水!$B668)</f>
        <v/>
      </c>
      <c r="F2654" s="55" t="str">
        <f aca="false">IF($H2654="","",购销流水!$C668)</f>
        <v/>
      </c>
      <c r="G2654" s="48" t="str">
        <f aca="false">IF($H2654="","",购销流水!$N668)</f>
        <v/>
      </c>
      <c r="H2654" s="10" t="str">
        <f aca="false">IF($L2654="","",IF($L2654="@成本",购销流水!$U668,IF($L2654="@收入",购销流水!$T668,IF($L2654="@存货",购销流水!$S668,IF($L2654="@结算",购销流水!$R668,$L2654)))))</f>
        <v/>
      </c>
      <c r="I2654" s="42" t="n">
        <f aca="false">IF($M2654="借",$O2654,0)</f>
        <v>0</v>
      </c>
      <c r="J2654" s="42" t="n">
        <f aca="false">IF($M2654="贷",$O2654,0)</f>
        <v>0</v>
      </c>
      <c r="K2654" s="48" t="str">
        <f aca="false">IF($H2654="","",购销流水!$E668)</f>
        <v/>
      </c>
      <c r="L2654" s="66" t="str">
        <f aca="false">IF(购销流水!$D668="","",IFERROR(INDEX(记账规则!$A$6:$N$9,MATCH(购销流水!$D668,记账规则!$A$6:$A$9,0),3),""))</f>
        <v/>
      </c>
      <c r="M2654" s="66" t="str">
        <f aca="false">IF($L2654="","",IFERROR(INDEX(记账规则!$A$6:$N$9,MATCH(购销流水!$D668,记账规则!$A$6:$A$9,0),4),""))</f>
        <v/>
      </c>
      <c r="N2654" s="66" t="str">
        <f aca="false">IF($L2654="","",IFERROR(INDEX(记账规则!$A$6:$N$9,MATCH(购销流水!$D668,记账规则!$A$6:$A$9,0),5),""))</f>
        <v/>
      </c>
      <c r="O2654" s="67" t="n">
        <f aca="false">IF($H2654="",0,ROUND(IF($N2654="成本金额",N(购销流水!$W668),IF($N2654="金额",N(购销流水!$Q668),0)),2))</f>
        <v>0</v>
      </c>
      <c r="P2654" s="64" t="str">
        <f aca="false">IF(AND($H2654&lt;&gt;"",ROUND($O2654,2)&lt;&gt;0),"有","")</f>
        <v/>
      </c>
    </row>
    <row r="2655" customFormat="false" ht="15" hidden="true" customHeight="false" outlineLevel="0" collapsed="false">
      <c r="A2655" s="53" t="str">
        <f aca="false">IF($H2655="","",ROW()-5)</f>
        <v/>
      </c>
      <c r="B2655" s="64" t="s">
        <v>36</v>
      </c>
      <c r="C2655" s="53" t="n">
        <v>668</v>
      </c>
      <c r="D2655" s="53" t="n">
        <v>2</v>
      </c>
      <c r="E2655" s="65" t="str">
        <f aca="false">IF($H2655="","",购销流水!$B668)</f>
        <v/>
      </c>
      <c r="F2655" s="55" t="str">
        <f aca="false">IF($H2655="","",购销流水!$C668)</f>
        <v/>
      </c>
      <c r="G2655" s="48" t="str">
        <f aca="false">IF($H2655="","",购销流水!$N668)</f>
        <v/>
      </c>
      <c r="H2655" s="10" t="str">
        <f aca="false">IF($L2655="","",IF($L2655="@成本",购销流水!$U668,IF($L2655="@收入",购销流水!$T668,IF($L2655="@存货",购销流水!$S668,IF($L2655="@结算",购销流水!$R668,$L2655)))))</f>
        <v/>
      </c>
      <c r="I2655" s="42" t="n">
        <f aca="false">IF($M2655="借",$O2655,0)</f>
        <v>0</v>
      </c>
      <c r="J2655" s="42" t="n">
        <f aca="false">IF($M2655="贷",$O2655,0)</f>
        <v>0</v>
      </c>
      <c r="K2655" s="48" t="str">
        <f aca="false">IF($H2655="","",购销流水!$E668)</f>
        <v/>
      </c>
      <c r="L2655" s="66" t="str">
        <f aca="false">IF(购销流水!$D668="","",IFERROR(INDEX(记账规则!$A$6:$N$9,MATCH(购销流水!$D668,记账规则!$A$6:$A$9,0),6),""))</f>
        <v/>
      </c>
      <c r="M2655" s="66" t="str">
        <f aca="false">IF($L2655="","",IFERROR(INDEX(记账规则!$A$6:$N$9,MATCH(购销流水!$D668,记账规则!$A$6:$A$9,0),7),""))</f>
        <v/>
      </c>
      <c r="N2655" s="66" t="str">
        <f aca="false">IF($L2655="","",IFERROR(INDEX(记账规则!$A$6:$N$9,MATCH(购销流水!$D668,记账规则!$A$6:$A$9,0),8),""))</f>
        <v/>
      </c>
      <c r="O2655" s="67" t="n">
        <f aca="false">IF($H2655="",0,ROUND(IF($N2655="成本金额",N(购销流水!$W668),IF($N2655="金额",N(购销流水!$Q668),0)),2))</f>
        <v>0</v>
      </c>
      <c r="P2655" s="64" t="str">
        <f aca="false">IF(AND($H2655&lt;&gt;"",ROUND($O2655,2)&lt;&gt;0),"有","")</f>
        <v/>
      </c>
    </row>
    <row r="2656" customFormat="false" ht="15" hidden="true" customHeight="false" outlineLevel="0" collapsed="false">
      <c r="A2656" s="53" t="str">
        <f aca="false">IF($H2656="","",ROW()-5)</f>
        <v/>
      </c>
      <c r="B2656" s="64" t="s">
        <v>36</v>
      </c>
      <c r="C2656" s="53" t="n">
        <v>668</v>
      </c>
      <c r="D2656" s="53" t="n">
        <v>3</v>
      </c>
      <c r="E2656" s="65" t="str">
        <f aca="false">IF($H2656="","",购销流水!$B668)</f>
        <v/>
      </c>
      <c r="F2656" s="55" t="str">
        <f aca="false">IF($H2656="","",购销流水!$C668)</f>
        <v/>
      </c>
      <c r="G2656" s="48" t="str">
        <f aca="false">IF($H2656="","",购销流水!$N668)</f>
        <v/>
      </c>
      <c r="H2656" s="10" t="str">
        <f aca="false">IF($L2656="","",IF($L2656="@成本",购销流水!$U668,IF($L2656="@收入",购销流水!$T668,IF($L2656="@存货",购销流水!$S668,IF($L2656="@结算",购销流水!$R668,$L2656)))))</f>
        <v/>
      </c>
      <c r="I2656" s="42" t="n">
        <f aca="false">IF($M2656="借",$O2656,0)</f>
        <v>0</v>
      </c>
      <c r="J2656" s="42" t="n">
        <f aca="false">IF($M2656="贷",$O2656,0)</f>
        <v>0</v>
      </c>
      <c r="K2656" s="48" t="str">
        <f aca="false">IF($H2656="","",购销流水!$E668)</f>
        <v/>
      </c>
      <c r="L2656" s="66" t="str">
        <f aca="false">IF(购销流水!$D668="","",IFERROR(INDEX(记账规则!$A$6:$N$9,MATCH(购销流水!$D668,记账规则!$A$6:$A$9,0),9),""))</f>
        <v/>
      </c>
      <c r="M2656" s="66" t="str">
        <f aca="false">IF($L2656="","",IFERROR(INDEX(记账规则!$A$6:$N$9,MATCH(购销流水!$D668,记账规则!$A$6:$A$9,0),10),""))</f>
        <v/>
      </c>
      <c r="N2656" s="66" t="str">
        <f aca="false">IF($L2656="","",IFERROR(INDEX(记账规则!$A$6:$N$9,MATCH(购销流水!$D668,记账规则!$A$6:$A$9,0),11),""))</f>
        <v/>
      </c>
      <c r="O2656" s="67" t="n">
        <f aca="false">IF($H2656="",0,ROUND(IF($N2656="成本金额",N(购销流水!$W668),IF($N2656="金额",N(购销流水!$Q668),0)),2))</f>
        <v>0</v>
      </c>
      <c r="P2656" s="64" t="str">
        <f aca="false">IF(AND($H2656&lt;&gt;"",ROUND($O2656,2)&lt;&gt;0),"有","")</f>
        <v/>
      </c>
    </row>
    <row r="2657" customFormat="false" ht="15" hidden="true" customHeight="false" outlineLevel="0" collapsed="false">
      <c r="A2657" s="53" t="str">
        <f aca="false">IF($H2657="","",ROW()-5)</f>
        <v/>
      </c>
      <c r="B2657" s="64" t="s">
        <v>36</v>
      </c>
      <c r="C2657" s="53" t="n">
        <v>668</v>
      </c>
      <c r="D2657" s="53" t="n">
        <v>4</v>
      </c>
      <c r="E2657" s="65" t="str">
        <f aca="false">IF($H2657="","",购销流水!$B668)</f>
        <v/>
      </c>
      <c r="F2657" s="55" t="str">
        <f aca="false">IF($H2657="","",购销流水!$C668)</f>
        <v/>
      </c>
      <c r="G2657" s="48" t="str">
        <f aca="false">IF($H2657="","",购销流水!$N668)</f>
        <v/>
      </c>
      <c r="H2657" s="10" t="str">
        <f aca="false">IF($L2657="","",IF($L2657="@成本",购销流水!$U668,IF($L2657="@收入",购销流水!$T668,IF($L2657="@存货",购销流水!$S668,IF($L2657="@结算",购销流水!$R668,$L2657)))))</f>
        <v/>
      </c>
      <c r="I2657" s="42" t="n">
        <f aca="false">IF($M2657="借",$O2657,0)</f>
        <v>0</v>
      </c>
      <c r="J2657" s="42" t="n">
        <f aca="false">IF($M2657="贷",$O2657,0)</f>
        <v>0</v>
      </c>
      <c r="K2657" s="48" t="str">
        <f aca="false">IF($H2657="","",购销流水!$E668)</f>
        <v/>
      </c>
      <c r="L2657" s="66" t="str">
        <f aca="false">IF(购销流水!$D668="","",IFERROR(INDEX(记账规则!$A$6:$N$9,MATCH(购销流水!$D668,记账规则!$A$6:$A$9,0),12),""))</f>
        <v/>
      </c>
      <c r="M2657" s="66" t="str">
        <f aca="false">IF($L2657="","",IFERROR(INDEX(记账规则!$A$6:$N$9,MATCH(购销流水!$D668,记账规则!$A$6:$A$9,0),13),""))</f>
        <v/>
      </c>
      <c r="N2657" s="66" t="str">
        <f aca="false">IF($L2657="","",IFERROR(INDEX(记账规则!$A$6:$N$9,MATCH(购销流水!$D668,记账规则!$A$6:$A$9,0),14),""))</f>
        <v/>
      </c>
      <c r="O2657" s="67" t="n">
        <f aca="false">IF($H2657="",0,ROUND(IF($N2657="成本金额",N(购销流水!$W668),IF($N2657="金额",N(购销流水!$Q668),0)),2))</f>
        <v>0</v>
      </c>
      <c r="P2657" s="64" t="str">
        <f aca="false">IF(AND($H2657&lt;&gt;"",ROUND($O2657,2)&lt;&gt;0),"有","")</f>
        <v/>
      </c>
    </row>
    <row r="2658" customFormat="false" ht="15" hidden="true" customHeight="false" outlineLevel="0" collapsed="false">
      <c r="A2658" s="53" t="str">
        <f aca="false">IF($H2658="","",ROW()-5)</f>
        <v/>
      </c>
      <c r="B2658" s="64" t="s">
        <v>36</v>
      </c>
      <c r="C2658" s="53" t="n">
        <v>669</v>
      </c>
      <c r="D2658" s="53" t="n">
        <v>1</v>
      </c>
      <c r="E2658" s="65" t="str">
        <f aca="false">IF($H2658="","",购销流水!$B669)</f>
        <v/>
      </c>
      <c r="F2658" s="55" t="str">
        <f aca="false">IF($H2658="","",购销流水!$C669)</f>
        <v/>
      </c>
      <c r="G2658" s="48" t="str">
        <f aca="false">IF($H2658="","",购销流水!$N669)</f>
        <v/>
      </c>
      <c r="H2658" s="10" t="str">
        <f aca="false">IF($L2658="","",IF($L2658="@成本",购销流水!$U669,IF($L2658="@收入",购销流水!$T669,IF($L2658="@存货",购销流水!$S669,IF($L2658="@结算",购销流水!$R669,$L2658)))))</f>
        <v/>
      </c>
      <c r="I2658" s="42" t="n">
        <f aca="false">IF($M2658="借",$O2658,0)</f>
        <v>0</v>
      </c>
      <c r="J2658" s="42" t="n">
        <f aca="false">IF($M2658="贷",$O2658,0)</f>
        <v>0</v>
      </c>
      <c r="K2658" s="48" t="str">
        <f aca="false">IF($H2658="","",购销流水!$E669)</f>
        <v/>
      </c>
      <c r="L2658" s="66" t="str">
        <f aca="false">IF(购销流水!$D669="","",IFERROR(INDEX(记账规则!$A$6:$N$9,MATCH(购销流水!$D669,记账规则!$A$6:$A$9,0),3),""))</f>
        <v/>
      </c>
      <c r="M2658" s="66" t="str">
        <f aca="false">IF($L2658="","",IFERROR(INDEX(记账规则!$A$6:$N$9,MATCH(购销流水!$D669,记账规则!$A$6:$A$9,0),4),""))</f>
        <v/>
      </c>
      <c r="N2658" s="66" t="str">
        <f aca="false">IF($L2658="","",IFERROR(INDEX(记账规则!$A$6:$N$9,MATCH(购销流水!$D669,记账规则!$A$6:$A$9,0),5),""))</f>
        <v/>
      </c>
      <c r="O2658" s="67" t="n">
        <f aca="false">IF($H2658="",0,ROUND(IF($N2658="成本金额",N(购销流水!$W669),IF($N2658="金额",N(购销流水!$Q669),0)),2))</f>
        <v>0</v>
      </c>
      <c r="P2658" s="64" t="str">
        <f aca="false">IF(AND($H2658&lt;&gt;"",ROUND($O2658,2)&lt;&gt;0),"有","")</f>
        <v/>
      </c>
    </row>
    <row r="2659" customFormat="false" ht="15" hidden="true" customHeight="false" outlineLevel="0" collapsed="false">
      <c r="A2659" s="53" t="str">
        <f aca="false">IF($H2659="","",ROW()-5)</f>
        <v/>
      </c>
      <c r="B2659" s="64" t="s">
        <v>36</v>
      </c>
      <c r="C2659" s="53" t="n">
        <v>669</v>
      </c>
      <c r="D2659" s="53" t="n">
        <v>2</v>
      </c>
      <c r="E2659" s="65" t="str">
        <f aca="false">IF($H2659="","",购销流水!$B669)</f>
        <v/>
      </c>
      <c r="F2659" s="55" t="str">
        <f aca="false">IF($H2659="","",购销流水!$C669)</f>
        <v/>
      </c>
      <c r="G2659" s="48" t="str">
        <f aca="false">IF($H2659="","",购销流水!$N669)</f>
        <v/>
      </c>
      <c r="H2659" s="10" t="str">
        <f aca="false">IF($L2659="","",IF($L2659="@成本",购销流水!$U669,IF($L2659="@收入",购销流水!$T669,IF($L2659="@存货",购销流水!$S669,IF($L2659="@结算",购销流水!$R669,$L2659)))))</f>
        <v/>
      </c>
      <c r="I2659" s="42" t="n">
        <f aca="false">IF($M2659="借",$O2659,0)</f>
        <v>0</v>
      </c>
      <c r="J2659" s="42" t="n">
        <f aca="false">IF($M2659="贷",$O2659,0)</f>
        <v>0</v>
      </c>
      <c r="K2659" s="48" t="str">
        <f aca="false">IF($H2659="","",购销流水!$E669)</f>
        <v/>
      </c>
      <c r="L2659" s="66" t="str">
        <f aca="false">IF(购销流水!$D669="","",IFERROR(INDEX(记账规则!$A$6:$N$9,MATCH(购销流水!$D669,记账规则!$A$6:$A$9,0),6),""))</f>
        <v/>
      </c>
      <c r="M2659" s="66" t="str">
        <f aca="false">IF($L2659="","",IFERROR(INDEX(记账规则!$A$6:$N$9,MATCH(购销流水!$D669,记账规则!$A$6:$A$9,0),7),""))</f>
        <v/>
      </c>
      <c r="N2659" s="66" t="str">
        <f aca="false">IF($L2659="","",IFERROR(INDEX(记账规则!$A$6:$N$9,MATCH(购销流水!$D669,记账规则!$A$6:$A$9,0),8),""))</f>
        <v/>
      </c>
      <c r="O2659" s="67" t="n">
        <f aca="false">IF($H2659="",0,ROUND(IF($N2659="成本金额",N(购销流水!$W669),IF($N2659="金额",N(购销流水!$Q669),0)),2))</f>
        <v>0</v>
      </c>
      <c r="P2659" s="64" t="str">
        <f aca="false">IF(AND($H2659&lt;&gt;"",ROUND($O2659,2)&lt;&gt;0),"有","")</f>
        <v/>
      </c>
    </row>
    <row r="2660" customFormat="false" ht="15" hidden="true" customHeight="false" outlineLevel="0" collapsed="false">
      <c r="A2660" s="53" t="str">
        <f aca="false">IF($H2660="","",ROW()-5)</f>
        <v/>
      </c>
      <c r="B2660" s="64" t="s">
        <v>36</v>
      </c>
      <c r="C2660" s="53" t="n">
        <v>669</v>
      </c>
      <c r="D2660" s="53" t="n">
        <v>3</v>
      </c>
      <c r="E2660" s="65" t="str">
        <f aca="false">IF($H2660="","",购销流水!$B669)</f>
        <v/>
      </c>
      <c r="F2660" s="55" t="str">
        <f aca="false">IF($H2660="","",购销流水!$C669)</f>
        <v/>
      </c>
      <c r="G2660" s="48" t="str">
        <f aca="false">IF($H2660="","",购销流水!$N669)</f>
        <v/>
      </c>
      <c r="H2660" s="10" t="str">
        <f aca="false">IF($L2660="","",IF($L2660="@成本",购销流水!$U669,IF($L2660="@收入",购销流水!$T669,IF($L2660="@存货",购销流水!$S669,IF($L2660="@结算",购销流水!$R669,$L2660)))))</f>
        <v/>
      </c>
      <c r="I2660" s="42" t="n">
        <f aca="false">IF($M2660="借",$O2660,0)</f>
        <v>0</v>
      </c>
      <c r="J2660" s="42" t="n">
        <f aca="false">IF($M2660="贷",$O2660,0)</f>
        <v>0</v>
      </c>
      <c r="K2660" s="48" t="str">
        <f aca="false">IF($H2660="","",购销流水!$E669)</f>
        <v/>
      </c>
      <c r="L2660" s="66" t="str">
        <f aca="false">IF(购销流水!$D669="","",IFERROR(INDEX(记账规则!$A$6:$N$9,MATCH(购销流水!$D669,记账规则!$A$6:$A$9,0),9),""))</f>
        <v/>
      </c>
      <c r="M2660" s="66" t="str">
        <f aca="false">IF($L2660="","",IFERROR(INDEX(记账规则!$A$6:$N$9,MATCH(购销流水!$D669,记账规则!$A$6:$A$9,0),10),""))</f>
        <v/>
      </c>
      <c r="N2660" s="66" t="str">
        <f aca="false">IF($L2660="","",IFERROR(INDEX(记账规则!$A$6:$N$9,MATCH(购销流水!$D669,记账规则!$A$6:$A$9,0),11),""))</f>
        <v/>
      </c>
      <c r="O2660" s="67" t="n">
        <f aca="false">IF($H2660="",0,ROUND(IF($N2660="成本金额",N(购销流水!$W669),IF($N2660="金额",N(购销流水!$Q669),0)),2))</f>
        <v>0</v>
      </c>
      <c r="P2660" s="64" t="str">
        <f aca="false">IF(AND($H2660&lt;&gt;"",ROUND($O2660,2)&lt;&gt;0),"有","")</f>
        <v/>
      </c>
    </row>
    <row r="2661" customFormat="false" ht="15" hidden="true" customHeight="false" outlineLevel="0" collapsed="false">
      <c r="A2661" s="53" t="str">
        <f aca="false">IF($H2661="","",ROW()-5)</f>
        <v/>
      </c>
      <c r="B2661" s="64" t="s">
        <v>36</v>
      </c>
      <c r="C2661" s="53" t="n">
        <v>669</v>
      </c>
      <c r="D2661" s="53" t="n">
        <v>4</v>
      </c>
      <c r="E2661" s="65" t="str">
        <f aca="false">IF($H2661="","",购销流水!$B669)</f>
        <v/>
      </c>
      <c r="F2661" s="55" t="str">
        <f aca="false">IF($H2661="","",购销流水!$C669)</f>
        <v/>
      </c>
      <c r="G2661" s="48" t="str">
        <f aca="false">IF($H2661="","",购销流水!$N669)</f>
        <v/>
      </c>
      <c r="H2661" s="10" t="str">
        <f aca="false">IF($L2661="","",IF($L2661="@成本",购销流水!$U669,IF($L2661="@收入",购销流水!$T669,IF($L2661="@存货",购销流水!$S669,IF($L2661="@结算",购销流水!$R669,$L2661)))))</f>
        <v/>
      </c>
      <c r="I2661" s="42" t="n">
        <f aca="false">IF($M2661="借",$O2661,0)</f>
        <v>0</v>
      </c>
      <c r="J2661" s="42" t="n">
        <f aca="false">IF($M2661="贷",$O2661,0)</f>
        <v>0</v>
      </c>
      <c r="K2661" s="48" t="str">
        <f aca="false">IF($H2661="","",购销流水!$E669)</f>
        <v/>
      </c>
      <c r="L2661" s="66" t="str">
        <f aca="false">IF(购销流水!$D669="","",IFERROR(INDEX(记账规则!$A$6:$N$9,MATCH(购销流水!$D669,记账规则!$A$6:$A$9,0),12),""))</f>
        <v/>
      </c>
      <c r="M2661" s="66" t="str">
        <f aca="false">IF($L2661="","",IFERROR(INDEX(记账规则!$A$6:$N$9,MATCH(购销流水!$D669,记账规则!$A$6:$A$9,0),13),""))</f>
        <v/>
      </c>
      <c r="N2661" s="66" t="str">
        <f aca="false">IF($L2661="","",IFERROR(INDEX(记账规则!$A$6:$N$9,MATCH(购销流水!$D669,记账规则!$A$6:$A$9,0),14),""))</f>
        <v/>
      </c>
      <c r="O2661" s="67" t="n">
        <f aca="false">IF($H2661="",0,ROUND(IF($N2661="成本金额",N(购销流水!$W669),IF($N2661="金额",N(购销流水!$Q669),0)),2))</f>
        <v>0</v>
      </c>
      <c r="P2661" s="64" t="str">
        <f aca="false">IF(AND($H2661&lt;&gt;"",ROUND($O2661,2)&lt;&gt;0),"有","")</f>
        <v/>
      </c>
    </row>
    <row r="2662" customFormat="false" ht="15" hidden="true" customHeight="false" outlineLevel="0" collapsed="false">
      <c r="A2662" s="53" t="str">
        <f aca="false">IF($H2662="","",ROW()-5)</f>
        <v/>
      </c>
      <c r="B2662" s="64" t="s">
        <v>36</v>
      </c>
      <c r="C2662" s="53" t="n">
        <v>670</v>
      </c>
      <c r="D2662" s="53" t="n">
        <v>1</v>
      </c>
      <c r="E2662" s="65" t="str">
        <f aca="false">IF($H2662="","",购销流水!$B670)</f>
        <v/>
      </c>
      <c r="F2662" s="55" t="str">
        <f aca="false">IF($H2662="","",购销流水!$C670)</f>
        <v/>
      </c>
      <c r="G2662" s="48" t="str">
        <f aca="false">IF($H2662="","",购销流水!$N670)</f>
        <v/>
      </c>
      <c r="H2662" s="10" t="str">
        <f aca="false">IF($L2662="","",IF($L2662="@成本",购销流水!$U670,IF($L2662="@收入",购销流水!$T670,IF($L2662="@存货",购销流水!$S670,IF($L2662="@结算",购销流水!$R670,$L2662)))))</f>
        <v/>
      </c>
      <c r="I2662" s="42" t="n">
        <f aca="false">IF($M2662="借",$O2662,0)</f>
        <v>0</v>
      </c>
      <c r="J2662" s="42" t="n">
        <f aca="false">IF($M2662="贷",$O2662,0)</f>
        <v>0</v>
      </c>
      <c r="K2662" s="48" t="str">
        <f aca="false">IF($H2662="","",购销流水!$E670)</f>
        <v/>
      </c>
      <c r="L2662" s="66" t="str">
        <f aca="false">IF(购销流水!$D670="","",IFERROR(INDEX(记账规则!$A$6:$N$9,MATCH(购销流水!$D670,记账规则!$A$6:$A$9,0),3),""))</f>
        <v/>
      </c>
      <c r="M2662" s="66" t="str">
        <f aca="false">IF($L2662="","",IFERROR(INDEX(记账规则!$A$6:$N$9,MATCH(购销流水!$D670,记账规则!$A$6:$A$9,0),4),""))</f>
        <v/>
      </c>
      <c r="N2662" s="66" t="str">
        <f aca="false">IF($L2662="","",IFERROR(INDEX(记账规则!$A$6:$N$9,MATCH(购销流水!$D670,记账规则!$A$6:$A$9,0),5),""))</f>
        <v/>
      </c>
      <c r="O2662" s="67" t="n">
        <f aca="false">IF($H2662="",0,ROUND(IF($N2662="成本金额",N(购销流水!$W670),IF($N2662="金额",N(购销流水!$Q670),0)),2))</f>
        <v>0</v>
      </c>
      <c r="P2662" s="64" t="str">
        <f aca="false">IF(AND($H2662&lt;&gt;"",ROUND($O2662,2)&lt;&gt;0),"有","")</f>
        <v/>
      </c>
    </row>
    <row r="2663" customFormat="false" ht="15" hidden="true" customHeight="false" outlineLevel="0" collapsed="false">
      <c r="A2663" s="53" t="str">
        <f aca="false">IF($H2663="","",ROW()-5)</f>
        <v/>
      </c>
      <c r="B2663" s="64" t="s">
        <v>36</v>
      </c>
      <c r="C2663" s="53" t="n">
        <v>670</v>
      </c>
      <c r="D2663" s="53" t="n">
        <v>2</v>
      </c>
      <c r="E2663" s="65" t="str">
        <f aca="false">IF($H2663="","",购销流水!$B670)</f>
        <v/>
      </c>
      <c r="F2663" s="55" t="str">
        <f aca="false">IF($H2663="","",购销流水!$C670)</f>
        <v/>
      </c>
      <c r="G2663" s="48" t="str">
        <f aca="false">IF($H2663="","",购销流水!$N670)</f>
        <v/>
      </c>
      <c r="H2663" s="10" t="str">
        <f aca="false">IF($L2663="","",IF($L2663="@成本",购销流水!$U670,IF($L2663="@收入",购销流水!$T670,IF($L2663="@存货",购销流水!$S670,IF($L2663="@结算",购销流水!$R670,$L2663)))))</f>
        <v/>
      </c>
      <c r="I2663" s="42" t="n">
        <f aca="false">IF($M2663="借",$O2663,0)</f>
        <v>0</v>
      </c>
      <c r="J2663" s="42" t="n">
        <f aca="false">IF($M2663="贷",$O2663,0)</f>
        <v>0</v>
      </c>
      <c r="K2663" s="48" t="str">
        <f aca="false">IF($H2663="","",购销流水!$E670)</f>
        <v/>
      </c>
      <c r="L2663" s="66" t="str">
        <f aca="false">IF(购销流水!$D670="","",IFERROR(INDEX(记账规则!$A$6:$N$9,MATCH(购销流水!$D670,记账规则!$A$6:$A$9,0),6),""))</f>
        <v/>
      </c>
      <c r="M2663" s="66" t="str">
        <f aca="false">IF($L2663="","",IFERROR(INDEX(记账规则!$A$6:$N$9,MATCH(购销流水!$D670,记账规则!$A$6:$A$9,0),7),""))</f>
        <v/>
      </c>
      <c r="N2663" s="66" t="str">
        <f aca="false">IF($L2663="","",IFERROR(INDEX(记账规则!$A$6:$N$9,MATCH(购销流水!$D670,记账规则!$A$6:$A$9,0),8),""))</f>
        <v/>
      </c>
      <c r="O2663" s="67" t="n">
        <f aca="false">IF($H2663="",0,ROUND(IF($N2663="成本金额",N(购销流水!$W670),IF($N2663="金额",N(购销流水!$Q670),0)),2))</f>
        <v>0</v>
      </c>
      <c r="P2663" s="64" t="str">
        <f aca="false">IF(AND($H2663&lt;&gt;"",ROUND($O2663,2)&lt;&gt;0),"有","")</f>
        <v/>
      </c>
    </row>
    <row r="2664" customFormat="false" ht="15" hidden="true" customHeight="false" outlineLevel="0" collapsed="false">
      <c r="A2664" s="53" t="str">
        <f aca="false">IF($H2664="","",ROW()-5)</f>
        <v/>
      </c>
      <c r="B2664" s="64" t="s">
        <v>36</v>
      </c>
      <c r="C2664" s="53" t="n">
        <v>670</v>
      </c>
      <c r="D2664" s="53" t="n">
        <v>3</v>
      </c>
      <c r="E2664" s="65" t="str">
        <f aca="false">IF($H2664="","",购销流水!$B670)</f>
        <v/>
      </c>
      <c r="F2664" s="55" t="str">
        <f aca="false">IF($H2664="","",购销流水!$C670)</f>
        <v/>
      </c>
      <c r="G2664" s="48" t="str">
        <f aca="false">IF($H2664="","",购销流水!$N670)</f>
        <v/>
      </c>
      <c r="H2664" s="10" t="str">
        <f aca="false">IF($L2664="","",IF($L2664="@成本",购销流水!$U670,IF($L2664="@收入",购销流水!$T670,IF($L2664="@存货",购销流水!$S670,IF($L2664="@结算",购销流水!$R670,$L2664)))))</f>
        <v/>
      </c>
      <c r="I2664" s="42" t="n">
        <f aca="false">IF($M2664="借",$O2664,0)</f>
        <v>0</v>
      </c>
      <c r="J2664" s="42" t="n">
        <f aca="false">IF($M2664="贷",$O2664,0)</f>
        <v>0</v>
      </c>
      <c r="K2664" s="48" t="str">
        <f aca="false">IF($H2664="","",购销流水!$E670)</f>
        <v/>
      </c>
      <c r="L2664" s="66" t="str">
        <f aca="false">IF(购销流水!$D670="","",IFERROR(INDEX(记账规则!$A$6:$N$9,MATCH(购销流水!$D670,记账规则!$A$6:$A$9,0),9),""))</f>
        <v/>
      </c>
      <c r="M2664" s="66" t="str">
        <f aca="false">IF($L2664="","",IFERROR(INDEX(记账规则!$A$6:$N$9,MATCH(购销流水!$D670,记账规则!$A$6:$A$9,0),10),""))</f>
        <v/>
      </c>
      <c r="N2664" s="66" t="str">
        <f aca="false">IF($L2664="","",IFERROR(INDEX(记账规则!$A$6:$N$9,MATCH(购销流水!$D670,记账规则!$A$6:$A$9,0),11),""))</f>
        <v/>
      </c>
      <c r="O2664" s="67" t="n">
        <f aca="false">IF($H2664="",0,ROUND(IF($N2664="成本金额",N(购销流水!$W670),IF($N2664="金额",N(购销流水!$Q670),0)),2))</f>
        <v>0</v>
      </c>
      <c r="P2664" s="64" t="str">
        <f aca="false">IF(AND($H2664&lt;&gt;"",ROUND($O2664,2)&lt;&gt;0),"有","")</f>
        <v/>
      </c>
    </row>
    <row r="2665" customFormat="false" ht="15" hidden="true" customHeight="false" outlineLevel="0" collapsed="false">
      <c r="A2665" s="53" t="str">
        <f aca="false">IF($H2665="","",ROW()-5)</f>
        <v/>
      </c>
      <c r="B2665" s="64" t="s">
        <v>36</v>
      </c>
      <c r="C2665" s="53" t="n">
        <v>670</v>
      </c>
      <c r="D2665" s="53" t="n">
        <v>4</v>
      </c>
      <c r="E2665" s="65" t="str">
        <f aca="false">IF($H2665="","",购销流水!$B670)</f>
        <v/>
      </c>
      <c r="F2665" s="55" t="str">
        <f aca="false">IF($H2665="","",购销流水!$C670)</f>
        <v/>
      </c>
      <c r="G2665" s="48" t="str">
        <f aca="false">IF($H2665="","",购销流水!$N670)</f>
        <v/>
      </c>
      <c r="H2665" s="10" t="str">
        <f aca="false">IF($L2665="","",IF($L2665="@成本",购销流水!$U670,IF($L2665="@收入",购销流水!$T670,IF($L2665="@存货",购销流水!$S670,IF($L2665="@结算",购销流水!$R670,$L2665)))))</f>
        <v/>
      </c>
      <c r="I2665" s="42" t="n">
        <f aca="false">IF($M2665="借",$O2665,0)</f>
        <v>0</v>
      </c>
      <c r="J2665" s="42" t="n">
        <f aca="false">IF($M2665="贷",$O2665,0)</f>
        <v>0</v>
      </c>
      <c r="K2665" s="48" t="str">
        <f aca="false">IF($H2665="","",购销流水!$E670)</f>
        <v/>
      </c>
      <c r="L2665" s="66" t="str">
        <f aca="false">IF(购销流水!$D670="","",IFERROR(INDEX(记账规则!$A$6:$N$9,MATCH(购销流水!$D670,记账规则!$A$6:$A$9,0),12),""))</f>
        <v/>
      </c>
      <c r="M2665" s="66" t="str">
        <f aca="false">IF($L2665="","",IFERROR(INDEX(记账规则!$A$6:$N$9,MATCH(购销流水!$D670,记账规则!$A$6:$A$9,0),13),""))</f>
        <v/>
      </c>
      <c r="N2665" s="66" t="str">
        <f aca="false">IF($L2665="","",IFERROR(INDEX(记账规则!$A$6:$N$9,MATCH(购销流水!$D670,记账规则!$A$6:$A$9,0),14),""))</f>
        <v/>
      </c>
      <c r="O2665" s="67" t="n">
        <f aca="false">IF($H2665="",0,ROUND(IF($N2665="成本金额",N(购销流水!$W670),IF($N2665="金额",N(购销流水!$Q670),0)),2))</f>
        <v>0</v>
      </c>
      <c r="P2665" s="64" t="str">
        <f aca="false">IF(AND($H2665&lt;&gt;"",ROUND($O2665,2)&lt;&gt;0),"有","")</f>
        <v/>
      </c>
    </row>
    <row r="2666" customFormat="false" ht="15" hidden="true" customHeight="false" outlineLevel="0" collapsed="false">
      <c r="A2666" s="53" t="str">
        <f aca="false">IF($H2666="","",ROW()-5)</f>
        <v/>
      </c>
      <c r="B2666" s="64" t="s">
        <v>36</v>
      </c>
      <c r="C2666" s="53" t="n">
        <v>671</v>
      </c>
      <c r="D2666" s="53" t="n">
        <v>1</v>
      </c>
      <c r="E2666" s="65" t="str">
        <f aca="false">IF($H2666="","",购销流水!$B671)</f>
        <v/>
      </c>
      <c r="F2666" s="55" t="str">
        <f aca="false">IF($H2666="","",购销流水!$C671)</f>
        <v/>
      </c>
      <c r="G2666" s="48" t="str">
        <f aca="false">IF($H2666="","",购销流水!$N671)</f>
        <v/>
      </c>
      <c r="H2666" s="10" t="str">
        <f aca="false">IF($L2666="","",IF($L2666="@成本",购销流水!$U671,IF($L2666="@收入",购销流水!$T671,IF($L2666="@存货",购销流水!$S671,IF($L2666="@结算",购销流水!$R671,$L2666)))))</f>
        <v/>
      </c>
      <c r="I2666" s="42" t="n">
        <f aca="false">IF($M2666="借",$O2666,0)</f>
        <v>0</v>
      </c>
      <c r="J2666" s="42" t="n">
        <f aca="false">IF($M2666="贷",$O2666,0)</f>
        <v>0</v>
      </c>
      <c r="K2666" s="48" t="str">
        <f aca="false">IF($H2666="","",购销流水!$E671)</f>
        <v/>
      </c>
      <c r="L2666" s="66" t="str">
        <f aca="false">IF(购销流水!$D671="","",IFERROR(INDEX(记账规则!$A$6:$N$9,MATCH(购销流水!$D671,记账规则!$A$6:$A$9,0),3),""))</f>
        <v/>
      </c>
      <c r="M2666" s="66" t="str">
        <f aca="false">IF($L2666="","",IFERROR(INDEX(记账规则!$A$6:$N$9,MATCH(购销流水!$D671,记账规则!$A$6:$A$9,0),4),""))</f>
        <v/>
      </c>
      <c r="N2666" s="66" t="str">
        <f aca="false">IF($L2666="","",IFERROR(INDEX(记账规则!$A$6:$N$9,MATCH(购销流水!$D671,记账规则!$A$6:$A$9,0),5),""))</f>
        <v/>
      </c>
      <c r="O2666" s="67" t="n">
        <f aca="false">IF($H2666="",0,ROUND(IF($N2666="成本金额",N(购销流水!$W671),IF($N2666="金额",N(购销流水!$Q671),0)),2))</f>
        <v>0</v>
      </c>
      <c r="P2666" s="64" t="str">
        <f aca="false">IF(AND($H2666&lt;&gt;"",ROUND($O2666,2)&lt;&gt;0),"有","")</f>
        <v/>
      </c>
    </row>
    <row r="2667" customFormat="false" ht="15" hidden="true" customHeight="false" outlineLevel="0" collapsed="false">
      <c r="A2667" s="53" t="str">
        <f aca="false">IF($H2667="","",ROW()-5)</f>
        <v/>
      </c>
      <c r="B2667" s="64" t="s">
        <v>36</v>
      </c>
      <c r="C2667" s="53" t="n">
        <v>671</v>
      </c>
      <c r="D2667" s="53" t="n">
        <v>2</v>
      </c>
      <c r="E2667" s="65" t="str">
        <f aca="false">IF($H2667="","",购销流水!$B671)</f>
        <v/>
      </c>
      <c r="F2667" s="55" t="str">
        <f aca="false">IF($H2667="","",购销流水!$C671)</f>
        <v/>
      </c>
      <c r="G2667" s="48" t="str">
        <f aca="false">IF($H2667="","",购销流水!$N671)</f>
        <v/>
      </c>
      <c r="H2667" s="10" t="str">
        <f aca="false">IF($L2667="","",IF($L2667="@成本",购销流水!$U671,IF($L2667="@收入",购销流水!$T671,IF($L2667="@存货",购销流水!$S671,IF($L2667="@结算",购销流水!$R671,$L2667)))))</f>
        <v/>
      </c>
      <c r="I2667" s="42" t="n">
        <f aca="false">IF($M2667="借",$O2667,0)</f>
        <v>0</v>
      </c>
      <c r="J2667" s="42" t="n">
        <f aca="false">IF($M2667="贷",$O2667,0)</f>
        <v>0</v>
      </c>
      <c r="K2667" s="48" t="str">
        <f aca="false">IF($H2667="","",购销流水!$E671)</f>
        <v/>
      </c>
      <c r="L2667" s="66" t="str">
        <f aca="false">IF(购销流水!$D671="","",IFERROR(INDEX(记账规则!$A$6:$N$9,MATCH(购销流水!$D671,记账规则!$A$6:$A$9,0),6),""))</f>
        <v/>
      </c>
      <c r="M2667" s="66" t="str">
        <f aca="false">IF($L2667="","",IFERROR(INDEX(记账规则!$A$6:$N$9,MATCH(购销流水!$D671,记账规则!$A$6:$A$9,0),7),""))</f>
        <v/>
      </c>
      <c r="N2667" s="66" t="str">
        <f aca="false">IF($L2667="","",IFERROR(INDEX(记账规则!$A$6:$N$9,MATCH(购销流水!$D671,记账规则!$A$6:$A$9,0),8),""))</f>
        <v/>
      </c>
      <c r="O2667" s="67" t="n">
        <f aca="false">IF($H2667="",0,ROUND(IF($N2667="成本金额",N(购销流水!$W671),IF($N2667="金额",N(购销流水!$Q671),0)),2))</f>
        <v>0</v>
      </c>
      <c r="P2667" s="64" t="str">
        <f aca="false">IF(AND($H2667&lt;&gt;"",ROUND($O2667,2)&lt;&gt;0),"有","")</f>
        <v/>
      </c>
    </row>
    <row r="2668" customFormat="false" ht="15" hidden="true" customHeight="false" outlineLevel="0" collapsed="false">
      <c r="A2668" s="53" t="str">
        <f aca="false">IF($H2668="","",ROW()-5)</f>
        <v/>
      </c>
      <c r="B2668" s="64" t="s">
        <v>36</v>
      </c>
      <c r="C2668" s="53" t="n">
        <v>671</v>
      </c>
      <c r="D2668" s="53" t="n">
        <v>3</v>
      </c>
      <c r="E2668" s="65" t="str">
        <f aca="false">IF($H2668="","",购销流水!$B671)</f>
        <v/>
      </c>
      <c r="F2668" s="55" t="str">
        <f aca="false">IF($H2668="","",购销流水!$C671)</f>
        <v/>
      </c>
      <c r="G2668" s="48" t="str">
        <f aca="false">IF($H2668="","",购销流水!$N671)</f>
        <v/>
      </c>
      <c r="H2668" s="10" t="str">
        <f aca="false">IF($L2668="","",IF($L2668="@成本",购销流水!$U671,IF($L2668="@收入",购销流水!$T671,IF($L2668="@存货",购销流水!$S671,IF($L2668="@结算",购销流水!$R671,$L2668)))))</f>
        <v/>
      </c>
      <c r="I2668" s="42" t="n">
        <f aca="false">IF($M2668="借",$O2668,0)</f>
        <v>0</v>
      </c>
      <c r="J2668" s="42" t="n">
        <f aca="false">IF($M2668="贷",$O2668,0)</f>
        <v>0</v>
      </c>
      <c r="K2668" s="48" t="str">
        <f aca="false">IF($H2668="","",购销流水!$E671)</f>
        <v/>
      </c>
      <c r="L2668" s="66" t="str">
        <f aca="false">IF(购销流水!$D671="","",IFERROR(INDEX(记账规则!$A$6:$N$9,MATCH(购销流水!$D671,记账规则!$A$6:$A$9,0),9),""))</f>
        <v/>
      </c>
      <c r="M2668" s="66" t="str">
        <f aca="false">IF($L2668="","",IFERROR(INDEX(记账规则!$A$6:$N$9,MATCH(购销流水!$D671,记账规则!$A$6:$A$9,0),10),""))</f>
        <v/>
      </c>
      <c r="N2668" s="66" t="str">
        <f aca="false">IF($L2668="","",IFERROR(INDEX(记账规则!$A$6:$N$9,MATCH(购销流水!$D671,记账规则!$A$6:$A$9,0),11),""))</f>
        <v/>
      </c>
      <c r="O2668" s="67" t="n">
        <f aca="false">IF($H2668="",0,ROUND(IF($N2668="成本金额",N(购销流水!$W671),IF($N2668="金额",N(购销流水!$Q671),0)),2))</f>
        <v>0</v>
      </c>
      <c r="P2668" s="64" t="str">
        <f aca="false">IF(AND($H2668&lt;&gt;"",ROUND($O2668,2)&lt;&gt;0),"有","")</f>
        <v/>
      </c>
    </row>
    <row r="2669" customFormat="false" ht="15" hidden="true" customHeight="false" outlineLevel="0" collapsed="false">
      <c r="A2669" s="53" t="str">
        <f aca="false">IF($H2669="","",ROW()-5)</f>
        <v/>
      </c>
      <c r="B2669" s="64" t="s">
        <v>36</v>
      </c>
      <c r="C2669" s="53" t="n">
        <v>671</v>
      </c>
      <c r="D2669" s="53" t="n">
        <v>4</v>
      </c>
      <c r="E2669" s="65" t="str">
        <f aca="false">IF($H2669="","",购销流水!$B671)</f>
        <v/>
      </c>
      <c r="F2669" s="55" t="str">
        <f aca="false">IF($H2669="","",购销流水!$C671)</f>
        <v/>
      </c>
      <c r="G2669" s="48" t="str">
        <f aca="false">IF($H2669="","",购销流水!$N671)</f>
        <v/>
      </c>
      <c r="H2669" s="10" t="str">
        <f aca="false">IF($L2669="","",IF($L2669="@成本",购销流水!$U671,IF($L2669="@收入",购销流水!$T671,IF($L2669="@存货",购销流水!$S671,IF($L2669="@结算",购销流水!$R671,$L2669)))))</f>
        <v/>
      </c>
      <c r="I2669" s="42" t="n">
        <f aca="false">IF($M2669="借",$O2669,0)</f>
        <v>0</v>
      </c>
      <c r="J2669" s="42" t="n">
        <f aca="false">IF($M2669="贷",$O2669,0)</f>
        <v>0</v>
      </c>
      <c r="K2669" s="48" t="str">
        <f aca="false">IF($H2669="","",购销流水!$E671)</f>
        <v/>
      </c>
      <c r="L2669" s="66" t="str">
        <f aca="false">IF(购销流水!$D671="","",IFERROR(INDEX(记账规则!$A$6:$N$9,MATCH(购销流水!$D671,记账规则!$A$6:$A$9,0),12),""))</f>
        <v/>
      </c>
      <c r="M2669" s="66" t="str">
        <f aca="false">IF($L2669="","",IFERROR(INDEX(记账规则!$A$6:$N$9,MATCH(购销流水!$D671,记账规则!$A$6:$A$9,0),13),""))</f>
        <v/>
      </c>
      <c r="N2669" s="66" t="str">
        <f aca="false">IF($L2669="","",IFERROR(INDEX(记账规则!$A$6:$N$9,MATCH(购销流水!$D671,记账规则!$A$6:$A$9,0),14),""))</f>
        <v/>
      </c>
      <c r="O2669" s="67" t="n">
        <f aca="false">IF($H2669="",0,ROUND(IF($N2669="成本金额",N(购销流水!$W671),IF($N2669="金额",N(购销流水!$Q671),0)),2))</f>
        <v>0</v>
      </c>
      <c r="P2669" s="64" t="str">
        <f aca="false">IF(AND($H2669&lt;&gt;"",ROUND($O2669,2)&lt;&gt;0),"有","")</f>
        <v/>
      </c>
    </row>
    <row r="2670" customFormat="false" ht="15" hidden="true" customHeight="false" outlineLevel="0" collapsed="false">
      <c r="A2670" s="53" t="str">
        <f aca="false">IF($H2670="","",ROW()-5)</f>
        <v/>
      </c>
      <c r="B2670" s="64" t="s">
        <v>36</v>
      </c>
      <c r="C2670" s="53" t="n">
        <v>672</v>
      </c>
      <c r="D2670" s="53" t="n">
        <v>1</v>
      </c>
      <c r="E2670" s="65" t="str">
        <f aca="false">IF($H2670="","",购销流水!$B672)</f>
        <v/>
      </c>
      <c r="F2670" s="55" t="str">
        <f aca="false">IF($H2670="","",购销流水!$C672)</f>
        <v/>
      </c>
      <c r="G2670" s="48" t="str">
        <f aca="false">IF($H2670="","",购销流水!$N672)</f>
        <v/>
      </c>
      <c r="H2670" s="10" t="str">
        <f aca="false">IF($L2670="","",IF($L2670="@成本",购销流水!$U672,IF($L2670="@收入",购销流水!$T672,IF($L2670="@存货",购销流水!$S672,IF($L2670="@结算",购销流水!$R672,$L2670)))))</f>
        <v/>
      </c>
      <c r="I2670" s="42" t="n">
        <f aca="false">IF($M2670="借",$O2670,0)</f>
        <v>0</v>
      </c>
      <c r="J2670" s="42" t="n">
        <f aca="false">IF($M2670="贷",$O2670,0)</f>
        <v>0</v>
      </c>
      <c r="K2670" s="48" t="str">
        <f aca="false">IF($H2670="","",购销流水!$E672)</f>
        <v/>
      </c>
      <c r="L2670" s="66" t="str">
        <f aca="false">IF(购销流水!$D672="","",IFERROR(INDEX(记账规则!$A$6:$N$9,MATCH(购销流水!$D672,记账规则!$A$6:$A$9,0),3),""))</f>
        <v/>
      </c>
      <c r="M2670" s="66" t="str">
        <f aca="false">IF($L2670="","",IFERROR(INDEX(记账规则!$A$6:$N$9,MATCH(购销流水!$D672,记账规则!$A$6:$A$9,0),4),""))</f>
        <v/>
      </c>
      <c r="N2670" s="66" t="str">
        <f aca="false">IF($L2670="","",IFERROR(INDEX(记账规则!$A$6:$N$9,MATCH(购销流水!$D672,记账规则!$A$6:$A$9,0),5),""))</f>
        <v/>
      </c>
      <c r="O2670" s="67" t="n">
        <f aca="false">IF($H2670="",0,ROUND(IF($N2670="成本金额",N(购销流水!$W672),IF($N2670="金额",N(购销流水!$Q672),0)),2))</f>
        <v>0</v>
      </c>
      <c r="P2670" s="64" t="str">
        <f aca="false">IF(AND($H2670&lt;&gt;"",ROUND($O2670,2)&lt;&gt;0),"有","")</f>
        <v/>
      </c>
    </row>
    <row r="2671" customFormat="false" ht="15" hidden="true" customHeight="false" outlineLevel="0" collapsed="false">
      <c r="A2671" s="53" t="str">
        <f aca="false">IF($H2671="","",ROW()-5)</f>
        <v/>
      </c>
      <c r="B2671" s="64" t="s">
        <v>36</v>
      </c>
      <c r="C2671" s="53" t="n">
        <v>672</v>
      </c>
      <c r="D2671" s="53" t="n">
        <v>2</v>
      </c>
      <c r="E2671" s="65" t="str">
        <f aca="false">IF($H2671="","",购销流水!$B672)</f>
        <v/>
      </c>
      <c r="F2671" s="55" t="str">
        <f aca="false">IF($H2671="","",购销流水!$C672)</f>
        <v/>
      </c>
      <c r="G2671" s="48" t="str">
        <f aca="false">IF($H2671="","",购销流水!$N672)</f>
        <v/>
      </c>
      <c r="H2671" s="10" t="str">
        <f aca="false">IF($L2671="","",IF($L2671="@成本",购销流水!$U672,IF($L2671="@收入",购销流水!$T672,IF($L2671="@存货",购销流水!$S672,IF($L2671="@结算",购销流水!$R672,$L2671)))))</f>
        <v/>
      </c>
      <c r="I2671" s="42" t="n">
        <f aca="false">IF($M2671="借",$O2671,0)</f>
        <v>0</v>
      </c>
      <c r="J2671" s="42" t="n">
        <f aca="false">IF($M2671="贷",$O2671,0)</f>
        <v>0</v>
      </c>
      <c r="K2671" s="48" t="str">
        <f aca="false">IF($H2671="","",购销流水!$E672)</f>
        <v/>
      </c>
      <c r="L2671" s="66" t="str">
        <f aca="false">IF(购销流水!$D672="","",IFERROR(INDEX(记账规则!$A$6:$N$9,MATCH(购销流水!$D672,记账规则!$A$6:$A$9,0),6),""))</f>
        <v/>
      </c>
      <c r="M2671" s="66" t="str">
        <f aca="false">IF($L2671="","",IFERROR(INDEX(记账规则!$A$6:$N$9,MATCH(购销流水!$D672,记账规则!$A$6:$A$9,0),7),""))</f>
        <v/>
      </c>
      <c r="N2671" s="66" t="str">
        <f aca="false">IF($L2671="","",IFERROR(INDEX(记账规则!$A$6:$N$9,MATCH(购销流水!$D672,记账规则!$A$6:$A$9,0),8),""))</f>
        <v/>
      </c>
      <c r="O2671" s="67" t="n">
        <f aca="false">IF($H2671="",0,ROUND(IF($N2671="成本金额",N(购销流水!$W672),IF($N2671="金额",N(购销流水!$Q672),0)),2))</f>
        <v>0</v>
      </c>
      <c r="P2671" s="64" t="str">
        <f aca="false">IF(AND($H2671&lt;&gt;"",ROUND($O2671,2)&lt;&gt;0),"有","")</f>
        <v/>
      </c>
    </row>
    <row r="2672" customFormat="false" ht="15" hidden="true" customHeight="false" outlineLevel="0" collapsed="false">
      <c r="A2672" s="53" t="str">
        <f aca="false">IF($H2672="","",ROW()-5)</f>
        <v/>
      </c>
      <c r="B2672" s="64" t="s">
        <v>36</v>
      </c>
      <c r="C2672" s="53" t="n">
        <v>672</v>
      </c>
      <c r="D2672" s="53" t="n">
        <v>3</v>
      </c>
      <c r="E2672" s="65" t="str">
        <f aca="false">IF($H2672="","",购销流水!$B672)</f>
        <v/>
      </c>
      <c r="F2672" s="55" t="str">
        <f aca="false">IF($H2672="","",购销流水!$C672)</f>
        <v/>
      </c>
      <c r="G2672" s="48" t="str">
        <f aca="false">IF($H2672="","",购销流水!$N672)</f>
        <v/>
      </c>
      <c r="H2672" s="10" t="str">
        <f aca="false">IF($L2672="","",IF($L2672="@成本",购销流水!$U672,IF($L2672="@收入",购销流水!$T672,IF($L2672="@存货",购销流水!$S672,IF($L2672="@结算",购销流水!$R672,$L2672)))))</f>
        <v/>
      </c>
      <c r="I2672" s="42" t="n">
        <f aca="false">IF($M2672="借",$O2672,0)</f>
        <v>0</v>
      </c>
      <c r="J2672" s="42" t="n">
        <f aca="false">IF($M2672="贷",$O2672,0)</f>
        <v>0</v>
      </c>
      <c r="K2672" s="48" t="str">
        <f aca="false">IF($H2672="","",购销流水!$E672)</f>
        <v/>
      </c>
      <c r="L2672" s="66" t="str">
        <f aca="false">IF(购销流水!$D672="","",IFERROR(INDEX(记账规则!$A$6:$N$9,MATCH(购销流水!$D672,记账规则!$A$6:$A$9,0),9),""))</f>
        <v/>
      </c>
      <c r="M2672" s="66" t="str">
        <f aca="false">IF($L2672="","",IFERROR(INDEX(记账规则!$A$6:$N$9,MATCH(购销流水!$D672,记账规则!$A$6:$A$9,0),10),""))</f>
        <v/>
      </c>
      <c r="N2672" s="66" t="str">
        <f aca="false">IF($L2672="","",IFERROR(INDEX(记账规则!$A$6:$N$9,MATCH(购销流水!$D672,记账规则!$A$6:$A$9,0),11),""))</f>
        <v/>
      </c>
      <c r="O2672" s="67" t="n">
        <f aca="false">IF($H2672="",0,ROUND(IF($N2672="成本金额",N(购销流水!$W672),IF($N2672="金额",N(购销流水!$Q672),0)),2))</f>
        <v>0</v>
      </c>
      <c r="P2672" s="64" t="str">
        <f aca="false">IF(AND($H2672&lt;&gt;"",ROUND($O2672,2)&lt;&gt;0),"有","")</f>
        <v/>
      </c>
    </row>
    <row r="2673" customFormat="false" ht="15" hidden="true" customHeight="false" outlineLevel="0" collapsed="false">
      <c r="A2673" s="53" t="str">
        <f aca="false">IF($H2673="","",ROW()-5)</f>
        <v/>
      </c>
      <c r="B2673" s="64" t="s">
        <v>36</v>
      </c>
      <c r="C2673" s="53" t="n">
        <v>672</v>
      </c>
      <c r="D2673" s="53" t="n">
        <v>4</v>
      </c>
      <c r="E2673" s="65" t="str">
        <f aca="false">IF($H2673="","",购销流水!$B672)</f>
        <v/>
      </c>
      <c r="F2673" s="55" t="str">
        <f aca="false">IF($H2673="","",购销流水!$C672)</f>
        <v/>
      </c>
      <c r="G2673" s="48" t="str">
        <f aca="false">IF($H2673="","",购销流水!$N672)</f>
        <v/>
      </c>
      <c r="H2673" s="10" t="str">
        <f aca="false">IF($L2673="","",IF($L2673="@成本",购销流水!$U672,IF($L2673="@收入",购销流水!$T672,IF($L2673="@存货",购销流水!$S672,IF($L2673="@结算",购销流水!$R672,$L2673)))))</f>
        <v/>
      </c>
      <c r="I2673" s="42" t="n">
        <f aca="false">IF($M2673="借",$O2673,0)</f>
        <v>0</v>
      </c>
      <c r="J2673" s="42" t="n">
        <f aca="false">IF($M2673="贷",$O2673,0)</f>
        <v>0</v>
      </c>
      <c r="K2673" s="48" t="str">
        <f aca="false">IF($H2673="","",购销流水!$E672)</f>
        <v/>
      </c>
      <c r="L2673" s="66" t="str">
        <f aca="false">IF(购销流水!$D672="","",IFERROR(INDEX(记账规则!$A$6:$N$9,MATCH(购销流水!$D672,记账规则!$A$6:$A$9,0),12),""))</f>
        <v/>
      </c>
      <c r="M2673" s="66" t="str">
        <f aca="false">IF($L2673="","",IFERROR(INDEX(记账规则!$A$6:$N$9,MATCH(购销流水!$D672,记账规则!$A$6:$A$9,0),13),""))</f>
        <v/>
      </c>
      <c r="N2673" s="66" t="str">
        <f aca="false">IF($L2673="","",IFERROR(INDEX(记账规则!$A$6:$N$9,MATCH(购销流水!$D672,记账规则!$A$6:$A$9,0),14),""))</f>
        <v/>
      </c>
      <c r="O2673" s="67" t="n">
        <f aca="false">IF($H2673="",0,ROUND(IF($N2673="成本金额",N(购销流水!$W672),IF($N2673="金额",N(购销流水!$Q672),0)),2))</f>
        <v>0</v>
      </c>
      <c r="P2673" s="64" t="str">
        <f aca="false">IF(AND($H2673&lt;&gt;"",ROUND($O2673,2)&lt;&gt;0),"有","")</f>
        <v/>
      </c>
    </row>
    <row r="2674" customFormat="false" ht="15" hidden="true" customHeight="false" outlineLevel="0" collapsed="false">
      <c r="A2674" s="53" t="str">
        <f aca="false">IF($H2674="","",ROW()-5)</f>
        <v/>
      </c>
      <c r="B2674" s="64" t="s">
        <v>36</v>
      </c>
      <c r="C2674" s="53" t="n">
        <v>673</v>
      </c>
      <c r="D2674" s="53" t="n">
        <v>1</v>
      </c>
      <c r="E2674" s="65" t="str">
        <f aca="false">IF($H2674="","",购销流水!$B673)</f>
        <v/>
      </c>
      <c r="F2674" s="55" t="str">
        <f aca="false">IF($H2674="","",购销流水!$C673)</f>
        <v/>
      </c>
      <c r="G2674" s="48" t="str">
        <f aca="false">IF($H2674="","",购销流水!$N673)</f>
        <v/>
      </c>
      <c r="H2674" s="10" t="str">
        <f aca="false">IF($L2674="","",IF($L2674="@成本",购销流水!$U673,IF($L2674="@收入",购销流水!$T673,IF($L2674="@存货",购销流水!$S673,IF($L2674="@结算",购销流水!$R673,$L2674)))))</f>
        <v/>
      </c>
      <c r="I2674" s="42" t="n">
        <f aca="false">IF($M2674="借",$O2674,0)</f>
        <v>0</v>
      </c>
      <c r="J2674" s="42" t="n">
        <f aca="false">IF($M2674="贷",$O2674,0)</f>
        <v>0</v>
      </c>
      <c r="K2674" s="48" t="str">
        <f aca="false">IF($H2674="","",购销流水!$E673)</f>
        <v/>
      </c>
      <c r="L2674" s="66" t="str">
        <f aca="false">IF(购销流水!$D673="","",IFERROR(INDEX(记账规则!$A$6:$N$9,MATCH(购销流水!$D673,记账规则!$A$6:$A$9,0),3),""))</f>
        <v/>
      </c>
      <c r="M2674" s="66" t="str">
        <f aca="false">IF($L2674="","",IFERROR(INDEX(记账规则!$A$6:$N$9,MATCH(购销流水!$D673,记账规则!$A$6:$A$9,0),4),""))</f>
        <v/>
      </c>
      <c r="N2674" s="66" t="str">
        <f aca="false">IF($L2674="","",IFERROR(INDEX(记账规则!$A$6:$N$9,MATCH(购销流水!$D673,记账规则!$A$6:$A$9,0),5),""))</f>
        <v/>
      </c>
      <c r="O2674" s="67" t="n">
        <f aca="false">IF($H2674="",0,ROUND(IF($N2674="成本金额",N(购销流水!$W673),IF($N2674="金额",N(购销流水!$Q673),0)),2))</f>
        <v>0</v>
      </c>
      <c r="P2674" s="64" t="str">
        <f aca="false">IF(AND($H2674&lt;&gt;"",ROUND($O2674,2)&lt;&gt;0),"有","")</f>
        <v/>
      </c>
    </row>
    <row r="2675" customFormat="false" ht="15" hidden="true" customHeight="false" outlineLevel="0" collapsed="false">
      <c r="A2675" s="53" t="str">
        <f aca="false">IF($H2675="","",ROW()-5)</f>
        <v/>
      </c>
      <c r="B2675" s="64" t="s">
        <v>36</v>
      </c>
      <c r="C2675" s="53" t="n">
        <v>673</v>
      </c>
      <c r="D2675" s="53" t="n">
        <v>2</v>
      </c>
      <c r="E2675" s="65" t="str">
        <f aca="false">IF($H2675="","",购销流水!$B673)</f>
        <v/>
      </c>
      <c r="F2675" s="55" t="str">
        <f aca="false">IF($H2675="","",购销流水!$C673)</f>
        <v/>
      </c>
      <c r="G2675" s="48" t="str">
        <f aca="false">IF($H2675="","",购销流水!$N673)</f>
        <v/>
      </c>
      <c r="H2675" s="10" t="str">
        <f aca="false">IF($L2675="","",IF($L2675="@成本",购销流水!$U673,IF($L2675="@收入",购销流水!$T673,IF($L2675="@存货",购销流水!$S673,IF($L2675="@结算",购销流水!$R673,$L2675)))))</f>
        <v/>
      </c>
      <c r="I2675" s="42" t="n">
        <f aca="false">IF($M2675="借",$O2675,0)</f>
        <v>0</v>
      </c>
      <c r="J2675" s="42" t="n">
        <f aca="false">IF($M2675="贷",$O2675,0)</f>
        <v>0</v>
      </c>
      <c r="K2675" s="48" t="str">
        <f aca="false">IF($H2675="","",购销流水!$E673)</f>
        <v/>
      </c>
      <c r="L2675" s="66" t="str">
        <f aca="false">IF(购销流水!$D673="","",IFERROR(INDEX(记账规则!$A$6:$N$9,MATCH(购销流水!$D673,记账规则!$A$6:$A$9,0),6),""))</f>
        <v/>
      </c>
      <c r="M2675" s="66" t="str">
        <f aca="false">IF($L2675="","",IFERROR(INDEX(记账规则!$A$6:$N$9,MATCH(购销流水!$D673,记账规则!$A$6:$A$9,0),7),""))</f>
        <v/>
      </c>
      <c r="N2675" s="66" t="str">
        <f aca="false">IF($L2675="","",IFERROR(INDEX(记账规则!$A$6:$N$9,MATCH(购销流水!$D673,记账规则!$A$6:$A$9,0),8),""))</f>
        <v/>
      </c>
      <c r="O2675" s="67" t="n">
        <f aca="false">IF($H2675="",0,ROUND(IF($N2675="成本金额",N(购销流水!$W673),IF($N2675="金额",N(购销流水!$Q673),0)),2))</f>
        <v>0</v>
      </c>
      <c r="P2675" s="64" t="str">
        <f aca="false">IF(AND($H2675&lt;&gt;"",ROUND($O2675,2)&lt;&gt;0),"有","")</f>
        <v/>
      </c>
    </row>
    <row r="2676" customFormat="false" ht="15" hidden="true" customHeight="false" outlineLevel="0" collapsed="false">
      <c r="A2676" s="53" t="str">
        <f aca="false">IF($H2676="","",ROW()-5)</f>
        <v/>
      </c>
      <c r="B2676" s="64" t="s">
        <v>36</v>
      </c>
      <c r="C2676" s="53" t="n">
        <v>673</v>
      </c>
      <c r="D2676" s="53" t="n">
        <v>3</v>
      </c>
      <c r="E2676" s="65" t="str">
        <f aca="false">IF($H2676="","",购销流水!$B673)</f>
        <v/>
      </c>
      <c r="F2676" s="55" t="str">
        <f aca="false">IF($H2676="","",购销流水!$C673)</f>
        <v/>
      </c>
      <c r="G2676" s="48" t="str">
        <f aca="false">IF($H2676="","",购销流水!$N673)</f>
        <v/>
      </c>
      <c r="H2676" s="10" t="str">
        <f aca="false">IF($L2676="","",IF($L2676="@成本",购销流水!$U673,IF($L2676="@收入",购销流水!$T673,IF($L2676="@存货",购销流水!$S673,IF($L2676="@结算",购销流水!$R673,$L2676)))))</f>
        <v/>
      </c>
      <c r="I2676" s="42" t="n">
        <f aca="false">IF($M2676="借",$O2676,0)</f>
        <v>0</v>
      </c>
      <c r="J2676" s="42" t="n">
        <f aca="false">IF($M2676="贷",$O2676,0)</f>
        <v>0</v>
      </c>
      <c r="K2676" s="48" t="str">
        <f aca="false">IF($H2676="","",购销流水!$E673)</f>
        <v/>
      </c>
      <c r="L2676" s="66" t="str">
        <f aca="false">IF(购销流水!$D673="","",IFERROR(INDEX(记账规则!$A$6:$N$9,MATCH(购销流水!$D673,记账规则!$A$6:$A$9,0),9),""))</f>
        <v/>
      </c>
      <c r="M2676" s="66" t="str">
        <f aca="false">IF($L2676="","",IFERROR(INDEX(记账规则!$A$6:$N$9,MATCH(购销流水!$D673,记账规则!$A$6:$A$9,0),10),""))</f>
        <v/>
      </c>
      <c r="N2676" s="66" t="str">
        <f aca="false">IF($L2676="","",IFERROR(INDEX(记账规则!$A$6:$N$9,MATCH(购销流水!$D673,记账规则!$A$6:$A$9,0),11),""))</f>
        <v/>
      </c>
      <c r="O2676" s="67" t="n">
        <f aca="false">IF($H2676="",0,ROUND(IF($N2676="成本金额",N(购销流水!$W673),IF($N2676="金额",N(购销流水!$Q673),0)),2))</f>
        <v>0</v>
      </c>
      <c r="P2676" s="64" t="str">
        <f aca="false">IF(AND($H2676&lt;&gt;"",ROUND($O2676,2)&lt;&gt;0),"有","")</f>
        <v/>
      </c>
    </row>
    <row r="2677" customFormat="false" ht="15" hidden="true" customHeight="false" outlineLevel="0" collapsed="false">
      <c r="A2677" s="53" t="str">
        <f aca="false">IF($H2677="","",ROW()-5)</f>
        <v/>
      </c>
      <c r="B2677" s="64" t="s">
        <v>36</v>
      </c>
      <c r="C2677" s="53" t="n">
        <v>673</v>
      </c>
      <c r="D2677" s="53" t="n">
        <v>4</v>
      </c>
      <c r="E2677" s="65" t="str">
        <f aca="false">IF($H2677="","",购销流水!$B673)</f>
        <v/>
      </c>
      <c r="F2677" s="55" t="str">
        <f aca="false">IF($H2677="","",购销流水!$C673)</f>
        <v/>
      </c>
      <c r="G2677" s="48" t="str">
        <f aca="false">IF($H2677="","",购销流水!$N673)</f>
        <v/>
      </c>
      <c r="H2677" s="10" t="str">
        <f aca="false">IF($L2677="","",IF($L2677="@成本",购销流水!$U673,IF($L2677="@收入",购销流水!$T673,IF($L2677="@存货",购销流水!$S673,IF($L2677="@结算",购销流水!$R673,$L2677)))))</f>
        <v/>
      </c>
      <c r="I2677" s="42" t="n">
        <f aca="false">IF($M2677="借",$O2677,0)</f>
        <v>0</v>
      </c>
      <c r="J2677" s="42" t="n">
        <f aca="false">IF($M2677="贷",$O2677,0)</f>
        <v>0</v>
      </c>
      <c r="K2677" s="48" t="str">
        <f aca="false">IF($H2677="","",购销流水!$E673)</f>
        <v/>
      </c>
      <c r="L2677" s="66" t="str">
        <f aca="false">IF(购销流水!$D673="","",IFERROR(INDEX(记账规则!$A$6:$N$9,MATCH(购销流水!$D673,记账规则!$A$6:$A$9,0),12),""))</f>
        <v/>
      </c>
      <c r="M2677" s="66" t="str">
        <f aca="false">IF($L2677="","",IFERROR(INDEX(记账规则!$A$6:$N$9,MATCH(购销流水!$D673,记账规则!$A$6:$A$9,0),13),""))</f>
        <v/>
      </c>
      <c r="N2677" s="66" t="str">
        <f aca="false">IF($L2677="","",IFERROR(INDEX(记账规则!$A$6:$N$9,MATCH(购销流水!$D673,记账规则!$A$6:$A$9,0),14),""))</f>
        <v/>
      </c>
      <c r="O2677" s="67" t="n">
        <f aca="false">IF($H2677="",0,ROUND(IF($N2677="成本金额",N(购销流水!$W673),IF($N2677="金额",N(购销流水!$Q673),0)),2))</f>
        <v>0</v>
      </c>
      <c r="P2677" s="64" t="str">
        <f aca="false">IF(AND($H2677&lt;&gt;"",ROUND($O2677,2)&lt;&gt;0),"有","")</f>
        <v/>
      </c>
    </row>
    <row r="2678" customFormat="false" ht="15" hidden="true" customHeight="false" outlineLevel="0" collapsed="false">
      <c r="A2678" s="53" t="str">
        <f aca="false">IF($H2678="","",ROW()-5)</f>
        <v/>
      </c>
      <c r="B2678" s="64" t="s">
        <v>36</v>
      </c>
      <c r="C2678" s="53" t="n">
        <v>674</v>
      </c>
      <c r="D2678" s="53" t="n">
        <v>1</v>
      </c>
      <c r="E2678" s="65" t="str">
        <f aca="false">IF($H2678="","",购销流水!$B674)</f>
        <v/>
      </c>
      <c r="F2678" s="55" t="str">
        <f aca="false">IF($H2678="","",购销流水!$C674)</f>
        <v/>
      </c>
      <c r="G2678" s="48" t="str">
        <f aca="false">IF($H2678="","",购销流水!$N674)</f>
        <v/>
      </c>
      <c r="H2678" s="10" t="str">
        <f aca="false">IF($L2678="","",IF($L2678="@成本",购销流水!$U674,IF($L2678="@收入",购销流水!$T674,IF($L2678="@存货",购销流水!$S674,IF($L2678="@结算",购销流水!$R674,$L2678)))))</f>
        <v/>
      </c>
      <c r="I2678" s="42" t="n">
        <f aca="false">IF($M2678="借",$O2678,0)</f>
        <v>0</v>
      </c>
      <c r="J2678" s="42" t="n">
        <f aca="false">IF($M2678="贷",$O2678,0)</f>
        <v>0</v>
      </c>
      <c r="K2678" s="48" t="str">
        <f aca="false">IF($H2678="","",购销流水!$E674)</f>
        <v/>
      </c>
      <c r="L2678" s="66" t="str">
        <f aca="false">IF(购销流水!$D674="","",IFERROR(INDEX(记账规则!$A$6:$N$9,MATCH(购销流水!$D674,记账规则!$A$6:$A$9,0),3),""))</f>
        <v/>
      </c>
      <c r="M2678" s="66" t="str">
        <f aca="false">IF($L2678="","",IFERROR(INDEX(记账规则!$A$6:$N$9,MATCH(购销流水!$D674,记账规则!$A$6:$A$9,0),4),""))</f>
        <v/>
      </c>
      <c r="N2678" s="66" t="str">
        <f aca="false">IF($L2678="","",IFERROR(INDEX(记账规则!$A$6:$N$9,MATCH(购销流水!$D674,记账规则!$A$6:$A$9,0),5),""))</f>
        <v/>
      </c>
      <c r="O2678" s="67" t="n">
        <f aca="false">IF($H2678="",0,ROUND(IF($N2678="成本金额",N(购销流水!$W674),IF($N2678="金额",N(购销流水!$Q674),0)),2))</f>
        <v>0</v>
      </c>
      <c r="P2678" s="64" t="str">
        <f aca="false">IF(AND($H2678&lt;&gt;"",ROUND($O2678,2)&lt;&gt;0),"有","")</f>
        <v/>
      </c>
    </row>
    <row r="2679" customFormat="false" ht="15" hidden="true" customHeight="false" outlineLevel="0" collapsed="false">
      <c r="A2679" s="53" t="str">
        <f aca="false">IF($H2679="","",ROW()-5)</f>
        <v/>
      </c>
      <c r="B2679" s="64" t="s">
        <v>36</v>
      </c>
      <c r="C2679" s="53" t="n">
        <v>674</v>
      </c>
      <c r="D2679" s="53" t="n">
        <v>2</v>
      </c>
      <c r="E2679" s="65" t="str">
        <f aca="false">IF($H2679="","",购销流水!$B674)</f>
        <v/>
      </c>
      <c r="F2679" s="55" t="str">
        <f aca="false">IF($H2679="","",购销流水!$C674)</f>
        <v/>
      </c>
      <c r="G2679" s="48" t="str">
        <f aca="false">IF($H2679="","",购销流水!$N674)</f>
        <v/>
      </c>
      <c r="H2679" s="10" t="str">
        <f aca="false">IF($L2679="","",IF($L2679="@成本",购销流水!$U674,IF($L2679="@收入",购销流水!$T674,IF($L2679="@存货",购销流水!$S674,IF($L2679="@结算",购销流水!$R674,$L2679)))))</f>
        <v/>
      </c>
      <c r="I2679" s="42" t="n">
        <f aca="false">IF($M2679="借",$O2679,0)</f>
        <v>0</v>
      </c>
      <c r="J2679" s="42" t="n">
        <f aca="false">IF($M2679="贷",$O2679,0)</f>
        <v>0</v>
      </c>
      <c r="K2679" s="48" t="str">
        <f aca="false">IF($H2679="","",购销流水!$E674)</f>
        <v/>
      </c>
      <c r="L2679" s="66" t="str">
        <f aca="false">IF(购销流水!$D674="","",IFERROR(INDEX(记账规则!$A$6:$N$9,MATCH(购销流水!$D674,记账规则!$A$6:$A$9,0),6),""))</f>
        <v/>
      </c>
      <c r="M2679" s="66" t="str">
        <f aca="false">IF($L2679="","",IFERROR(INDEX(记账规则!$A$6:$N$9,MATCH(购销流水!$D674,记账规则!$A$6:$A$9,0),7),""))</f>
        <v/>
      </c>
      <c r="N2679" s="66" t="str">
        <f aca="false">IF($L2679="","",IFERROR(INDEX(记账规则!$A$6:$N$9,MATCH(购销流水!$D674,记账规则!$A$6:$A$9,0),8),""))</f>
        <v/>
      </c>
      <c r="O2679" s="67" t="n">
        <f aca="false">IF($H2679="",0,ROUND(IF($N2679="成本金额",N(购销流水!$W674),IF($N2679="金额",N(购销流水!$Q674),0)),2))</f>
        <v>0</v>
      </c>
      <c r="P2679" s="64" t="str">
        <f aca="false">IF(AND($H2679&lt;&gt;"",ROUND($O2679,2)&lt;&gt;0),"有","")</f>
        <v/>
      </c>
    </row>
    <row r="2680" customFormat="false" ht="15" hidden="true" customHeight="false" outlineLevel="0" collapsed="false">
      <c r="A2680" s="53" t="str">
        <f aca="false">IF($H2680="","",ROW()-5)</f>
        <v/>
      </c>
      <c r="B2680" s="64" t="s">
        <v>36</v>
      </c>
      <c r="C2680" s="53" t="n">
        <v>674</v>
      </c>
      <c r="D2680" s="53" t="n">
        <v>3</v>
      </c>
      <c r="E2680" s="65" t="str">
        <f aca="false">IF($H2680="","",购销流水!$B674)</f>
        <v/>
      </c>
      <c r="F2680" s="55" t="str">
        <f aca="false">IF($H2680="","",购销流水!$C674)</f>
        <v/>
      </c>
      <c r="G2680" s="48" t="str">
        <f aca="false">IF($H2680="","",购销流水!$N674)</f>
        <v/>
      </c>
      <c r="H2680" s="10" t="str">
        <f aca="false">IF($L2680="","",IF($L2680="@成本",购销流水!$U674,IF($L2680="@收入",购销流水!$T674,IF($L2680="@存货",购销流水!$S674,IF($L2680="@结算",购销流水!$R674,$L2680)))))</f>
        <v/>
      </c>
      <c r="I2680" s="42" t="n">
        <f aca="false">IF($M2680="借",$O2680,0)</f>
        <v>0</v>
      </c>
      <c r="J2680" s="42" t="n">
        <f aca="false">IF($M2680="贷",$O2680,0)</f>
        <v>0</v>
      </c>
      <c r="K2680" s="48" t="str">
        <f aca="false">IF($H2680="","",购销流水!$E674)</f>
        <v/>
      </c>
      <c r="L2680" s="66" t="str">
        <f aca="false">IF(购销流水!$D674="","",IFERROR(INDEX(记账规则!$A$6:$N$9,MATCH(购销流水!$D674,记账规则!$A$6:$A$9,0),9),""))</f>
        <v/>
      </c>
      <c r="M2680" s="66" t="str">
        <f aca="false">IF($L2680="","",IFERROR(INDEX(记账规则!$A$6:$N$9,MATCH(购销流水!$D674,记账规则!$A$6:$A$9,0),10),""))</f>
        <v/>
      </c>
      <c r="N2680" s="66" t="str">
        <f aca="false">IF($L2680="","",IFERROR(INDEX(记账规则!$A$6:$N$9,MATCH(购销流水!$D674,记账规则!$A$6:$A$9,0),11),""))</f>
        <v/>
      </c>
      <c r="O2680" s="67" t="n">
        <f aca="false">IF($H2680="",0,ROUND(IF($N2680="成本金额",N(购销流水!$W674),IF($N2680="金额",N(购销流水!$Q674),0)),2))</f>
        <v>0</v>
      </c>
      <c r="P2680" s="64" t="str">
        <f aca="false">IF(AND($H2680&lt;&gt;"",ROUND($O2680,2)&lt;&gt;0),"有","")</f>
        <v/>
      </c>
    </row>
    <row r="2681" customFormat="false" ht="15" hidden="true" customHeight="false" outlineLevel="0" collapsed="false">
      <c r="A2681" s="53" t="str">
        <f aca="false">IF($H2681="","",ROW()-5)</f>
        <v/>
      </c>
      <c r="B2681" s="64" t="s">
        <v>36</v>
      </c>
      <c r="C2681" s="53" t="n">
        <v>674</v>
      </c>
      <c r="D2681" s="53" t="n">
        <v>4</v>
      </c>
      <c r="E2681" s="65" t="str">
        <f aca="false">IF($H2681="","",购销流水!$B674)</f>
        <v/>
      </c>
      <c r="F2681" s="55" t="str">
        <f aca="false">IF($H2681="","",购销流水!$C674)</f>
        <v/>
      </c>
      <c r="G2681" s="48" t="str">
        <f aca="false">IF($H2681="","",购销流水!$N674)</f>
        <v/>
      </c>
      <c r="H2681" s="10" t="str">
        <f aca="false">IF($L2681="","",IF($L2681="@成本",购销流水!$U674,IF($L2681="@收入",购销流水!$T674,IF($L2681="@存货",购销流水!$S674,IF($L2681="@结算",购销流水!$R674,$L2681)))))</f>
        <v/>
      </c>
      <c r="I2681" s="42" t="n">
        <f aca="false">IF($M2681="借",$O2681,0)</f>
        <v>0</v>
      </c>
      <c r="J2681" s="42" t="n">
        <f aca="false">IF($M2681="贷",$O2681,0)</f>
        <v>0</v>
      </c>
      <c r="K2681" s="48" t="str">
        <f aca="false">IF($H2681="","",购销流水!$E674)</f>
        <v/>
      </c>
      <c r="L2681" s="66" t="str">
        <f aca="false">IF(购销流水!$D674="","",IFERROR(INDEX(记账规则!$A$6:$N$9,MATCH(购销流水!$D674,记账规则!$A$6:$A$9,0),12),""))</f>
        <v/>
      </c>
      <c r="M2681" s="66" t="str">
        <f aca="false">IF($L2681="","",IFERROR(INDEX(记账规则!$A$6:$N$9,MATCH(购销流水!$D674,记账规则!$A$6:$A$9,0),13),""))</f>
        <v/>
      </c>
      <c r="N2681" s="66" t="str">
        <f aca="false">IF($L2681="","",IFERROR(INDEX(记账规则!$A$6:$N$9,MATCH(购销流水!$D674,记账规则!$A$6:$A$9,0),14),""))</f>
        <v/>
      </c>
      <c r="O2681" s="67" t="n">
        <f aca="false">IF($H2681="",0,ROUND(IF($N2681="成本金额",N(购销流水!$W674),IF($N2681="金额",N(购销流水!$Q674),0)),2))</f>
        <v>0</v>
      </c>
      <c r="P2681" s="64" t="str">
        <f aca="false">IF(AND($H2681&lt;&gt;"",ROUND($O2681,2)&lt;&gt;0),"有","")</f>
        <v/>
      </c>
    </row>
    <row r="2682" customFormat="false" ht="15" hidden="true" customHeight="false" outlineLevel="0" collapsed="false">
      <c r="A2682" s="53" t="str">
        <f aca="false">IF($H2682="","",ROW()-5)</f>
        <v/>
      </c>
      <c r="B2682" s="64" t="s">
        <v>36</v>
      </c>
      <c r="C2682" s="53" t="n">
        <v>675</v>
      </c>
      <c r="D2682" s="53" t="n">
        <v>1</v>
      </c>
      <c r="E2682" s="65" t="str">
        <f aca="false">IF($H2682="","",购销流水!$B675)</f>
        <v/>
      </c>
      <c r="F2682" s="55" t="str">
        <f aca="false">IF($H2682="","",购销流水!$C675)</f>
        <v/>
      </c>
      <c r="G2682" s="48" t="str">
        <f aca="false">IF($H2682="","",购销流水!$N675)</f>
        <v/>
      </c>
      <c r="H2682" s="10" t="str">
        <f aca="false">IF($L2682="","",IF($L2682="@成本",购销流水!$U675,IF($L2682="@收入",购销流水!$T675,IF($L2682="@存货",购销流水!$S675,IF($L2682="@结算",购销流水!$R675,$L2682)))))</f>
        <v/>
      </c>
      <c r="I2682" s="42" t="n">
        <f aca="false">IF($M2682="借",$O2682,0)</f>
        <v>0</v>
      </c>
      <c r="J2682" s="42" t="n">
        <f aca="false">IF($M2682="贷",$O2682,0)</f>
        <v>0</v>
      </c>
      <c r="K2682" s="48" t="str">
        <f aca="false">IF($H2682="","",购销流水!$E675)</f>
        <v/>
      </c>
      <c r="L2682" s="66" t="str">
        <f aca="false">IF(购销流水!$D675="","",IFERROR(INDEX(记账规则!$A$6:$N$9,MATCH(购销流水!$D675,记账规则!$A$6:$A$9,0),3),""))</f>
        <v/>
      </c>
      <c r="M2682" s="66" t="str">
        <f aca="false">IF($L2682="","",IFERROR(INDEX(记账规则!$A$6:$N$9,MATCH(购销流水!$D675,记账规则!$A$6:$A$9,0),4),""))</f>
        <v/>
      </c>
      <c r="N2682" s="66" t="str">
        <f aca="false">IF($L2682="","",IFERROR(INDEX(记账规则!$A$6:$N$9,MATCH(购销流水!$D675,记账规则!$A$6:$A$9,0),5),""))</f>
        <v/>
      </c>
      <c r="O2682" s="67" t="n">
        <f aca="false">IF($H2682="",0,ROUND(IF($N2682="成本金额",N(购销流水!$W675),IF($N2682="金额",N(购销流水!$Q675),0)),2))</f>
        <v>0</v>
      </c>
      <c r="P2682" s="64" t="str">
        <f aca="false">IF(AND($H2682&lt;&gt;"",ROUND($O2682,2)&lt;&gt;0),"有","")</f>
        <v/>
      </c>
    </row>
    <row r="2683" customFormat="false" ht="15" hidden="true" customHeight="false" outlineLevel="0" collapsed="false">
      <c r="A2683" s="53" t="str">
        <f aca="false">IF($H2683="","",ROW()-5)</f>
        <v/>
      </c>
      <c r="B2683" s="64" t="s">
        <v>36</v>
      </c>
      <c r="C2683" s="53" t="n">
        <v>675</v>
      </c>
      <c r="D2683" s="53" t="n">
        <v>2</v>
      </c>
      <c r="E2683" s="65" t="str">
        <f aca="false">IF($H2683="","",购销流水!$B675)</f>
        <v/>
      </c>
      <c r="F2683" s="55" t="str">
        <f aca="false">IF($H2683="","",购销流水!$C675)</f>
        <v/>
      </c>
      <c r="G2683" s="48" t="str">
        <f aca="false">IF($H2683="","",购销流水!$N675)</f>
        <v/>
      </c>
      <c r="H2683" s="10" t="str">
        <f aca="false">IF($L2683="","",IF($L2683="@成本",购销流水!$U675,IF($L2683="@收入",购销流水!$T675,IF($L2683="@存货",购销流水!$S675,IF($L2683="@结算",购销流水!$R675,$L2683)))))</f>
        <v/>
      </c>
      <c r="I2683" s="42" t="n">
        <f aca="false">IF($M2683="借",$O2683,0)</f>
        <v>0</v>
      </c>
      <c r="J2683" s="42" t="n">
        <f aca="false">IF($M2683="贷",$O2683,0)</f>
        <v>0</v>
      </c>
      <c r="K2683" s="48" t="str">
        <f aca="false">IF($H2683="","",购销流水!$E675)</f>
        <v/>
      </c>
      <c r="L2683" s="66" t="str">
        <f aca="false">IF(购销流水!$D675="","",IFERROR(INDEX(记账规则!$A$6:$N$9,MATCH(购销流水!$D675,记账规则!$A$6:$A$9,0),6),""))</f>
        <v/>
      </c>
      <c r="M2683" s="66" t="str">
        <f aca="false">IF($L2683="","",IFERROR(INDEX(记账规则!$A$6:$N$9,MATCH(购销流水!$D675,记账规则!$A$6:$A$9,0),7),""))</f>
        <v/>
      </c>
      <c r="N2683" s="66" t="str">
        <f aca="false">IF($L2683="","",IFERROR(INDEX(记账规则!$A$6:$N$9,MATCH(购销流水!$D675,记账规则!$A$6:$A$9,0),8),""))</f>
        <v/>
      </c>
      <c r="O2683" s="67" t="n">
        <f aca="false">IF($H2683="",0,ROUND(IF($N2683="成本金额",N(购销流水!$W675),IF($N2683="金额",N(购销流水!$Q675),0)),2))</f>
        <v>0</v>
      </c>
      <c r="P2683" s="64" t="str">
        <f aca="false">IF(AND($H2683&lt;&gt;"",ROUND($O2683,2)&lt;&gt;0),"有","")</f>
        <v/>
      </c>
    </row>
    <row r="2684" customFormat="false" ht="15" hidden="true" customHeight="false" outlineLevel="0" collapsed="false">
      <c r="A2684" s="53" t="str">
        <f aca="false">IF($H2684="","",ROW()-5)</f>
        <v/>
      </c>
      <c r="B2684" s="64" t="s">
        <v>36</v>
      </c>
      <c r="C2684" s="53" t="n">
        <v>675</v>
      </c>
      <c r="D2684" s="53" t="n">
        <v>3</v>
      </c>
      <c r="E2684" s="65" t="str">
        <f aca="false">IF($H2684="","",购销流水!$B675)</f>
        <v/>
      </c>
      <c r="F2684" s="55" t="str">
        <f aca="false">IF($H2684="","",购销流水!$C675)</f>
        <v/>
      </c>
      <c r="G2684" s="48" t="str">
        <f aca="false">IF($H2684="","",购销流水!$N675)</f>
        <v/>
      </c>
      <c r="H2684" s="10" t="str">
        <f aca="false">IF($L2684="","",IF($L2684="@成本",购销流水!$U675,IF($L2684="@收入",购销流水!$T675,IF($L2684="@存货",购销流水!$S675,IF($L2684="@结算",购销流水!$R675,$L2684)))))</f>
        <v/>
      </c>
      <c r="I2684" s="42" t="n">
        <f aca="false">IF($M2684="借",$O2684,0)</f>
        <v>0</v>
      </c>
      <c r="J2684" s="42" t="n">
        <f aca="false">IF($M2684="贷",$O2684,0)</f>
        <v>0</v>
      </c>
      <c r="K2684" s="48" t="str">
        <f aca="false">IF($H2684="","",购销流水!$E675)</f>
        <v/>
      </c>
      <c r="L2684" s="66" t="str">
        <f aca="false">IF(购销流水!$D675="","",IFERROR(INDEX(记账规则!$A$6:$N$9,MATCH(购销流水!$D675,记账规则!$A$6:$A$9,0),9),""))</f>
        <v/>
      </c>
      <c r="M2684" s="66" t="str">
        <f aca="false">IF($L2684="","",IFERROR(INDEX(记账规则!$A$6:$N$9,MATCH(购销流水!$D675,记账规则!$A$6:$A$9,0),10),""))</f>
        <v/>
      </c>
      <c r="N2684" s="66" t="str">
        <f aca="false">IF($L2684="","",IFERROR(INDEX(记账规则!$A$6:$N$9,MATCH(购销流水!$D675,记账规则!$A$6:$A$9,0),11),""))</f>
        <v/>
      </c>
      <c r="O2684" s="67" t="n">
        <f aca="false">IF($H2684="",0,ROUND(IF($N2684="成本金额",N(购销流水!$W675),IF($N2684="金额",N(购销流水!$Q675),0)),2))</f>
        <v>0</v>
      </c>
      <c r="P2684" s="64" t="str">
        <f aca="false">IF(AND($H2684&lt;&gt;"",ROUND($O2684,2)&lt;&gt;0),"有","")</f>
        <v/>
      </c>
    </row>
    <row r="2685" customFormat="false" ht="15" hidden="true" customHeight="false" outlineLevel="0" collapsed="false">
      <c r="A2685" s="53" t="str">
        <f aca="false">IF($H2685="","",ROW()-5)</f>
        <v/>
      </c>
      <c r="B2685" s="64" t="s">
        <v>36</v>
      </c>
      <c r="C2685" s="53" t="n">
        <v>675</v>
      </c>
      <c r="D2685" s="53" t="n">
        <v>4</v>
      </c>
      <c r="E2685" s="65" t="str">
        <f aca="false">IF($H2685="","",购销流水!$B675)</f>
        <v/>
      </c>
      <c r="F2685" s="55" t="str">
        <f aca="false">IF($H2685="","",购销流水!$C675)</f>
        <v/>
      </c>
      <c r="G2685" s="48" t="str">
        <f aca="false">IF($H2685="","",购销流水!$N675)</f>
        <v/>
      </c>
      <c r="H2685" s="10" t="str">
        <f aca="false">IF($L2685="","",IF($L2685="@成本",购销流水!$U675,IF($L2685="@收入",购销流水!$T675,IF($L2685="@存货",购销流水!$S675,IF($L2685="@结算",购销流水!$R675,$L2685)))))</f>
        <v/>
      </c>
      <c r="I2685" s="42" t="n">
        <f aca="false">IF($M2685="借",$O2685,0)</f>
        <v>0</v>
      </c>
      <c r="J2685" s="42" t="n">
        <f aca="false">IF($M2685="贷",$O2685,0)</f>
        <v>0</v>
      </c>
      <c r="K2685" s="48" t="str">
        <f aca="false">IF($H2685="","",购销流水!$E675)</f>
        <v/>
      </c>
      <c r="L2685" s="66" t="str">
        <f aca="false">IF(购销流水!$D675="","",IFERROR(INDEX(记账规则!$A$6:$N$9,MATCH(购销流水!$D675,记账规则!$A$6:$A$9,0),12),""))</f>
        <v/>
      </c>
      <c r="M2685" s="66" t="str">
        <f aca="false">IF($L2685="","",IFERROR(INDEX(记账规则!$A$6:$N$9,MATCH(购销流水!$D675,记账规则!$A$6:$A$9,0),13),""))</f>
        <v/>
      </c>
      <c r="N2685" s="66" t="str">
        <f aca="false">IF($L2685="","",IFERROR(INDEX(记账规则!$A$6:$N$9,MATCH(购销流水!$D675,记账规则!$A$6:$A$9,0),14),""))</f>
        <v/>
      </c>
      <c r="O2685" s="67" t="n">
        <f aca="false">IF($H2685="",0,ROUND(IF($N2685="成本金额",N(购销流水!$W675),IF($N2685="金额",N(购销流水!$Q675),0)),2))</f>
        <v>0</v>
      </c>
      <c r="P2685" s="64" t="str">
        <f aca="false">IF(AND($H2685&lt;&gt;"",ROUND($O2685,2)&lt;&gt;0),"有","")</f>
        <v/>
      </c>
    </row>
    <row r="2686" customFormat="false" ht="15" hidden="true" customHeight="false" outlineLevel="0" collapsed="false">
      <c r="A2686" s="53" t="str">
        <f aca="false">IF($H2686="","",ROW()-5)</f>
        <v/>
      </c>
      <c r="B2686" s="64" t="s">
        <v>36</v>
      </c>
      <c r="C2686" s="53" t="n">
        <v>676</v>
      </c>
      <c r="D2686" s="53" t="n">
        <v>1</v>
      </c>
      <c r="E2686" s="65" t="str">
        <f aca="false">IF($H2686="","",购销流水!$B676)</f>
        <v/>
      </c>
      <c r="F2686" s="55" t="str">
        <f aca="false">IF($H2686="","",购销流水!$C676)</f>
        <v/>
      </c>
      <c r="G2686" s="48" t="str">
        <f aca="false">IF($H2686="","",购销流水!$N676)</f>
        <v/>
      </c>
      <c r="H2686" s="10" t="str">
        <f aca="false">IF($L2686="","",IF($L2686="@成本",购销流水!$U676,IF($L2686="@收入",购销流水!$T676,IF($L2686="@存货",购销流水!$S676,IF($L2686="@结算",购销流水!$R676,$L2686)))))</f>
        <v/>
      </c>
      <c r="I2686" s="42" t="n">
        <f aca="false">IF($M2686="借",$O2686,0)</f>
        <v>0</v>
      </c>
      <c r="J2686" s="42" t="n">
        <f aca="false">IF($M2686="贷",$O2686,0)</f>
        <v>0</v>
      </c>
      <c r="K2686" s="48" t="str">
        <f aca="false">IF($H2686="","",购销流水!$E676)</f>
        <v/>
      </c>
      <c r="L2686" s="66" t="str">
        <f aca="false">IF(购销流水!$D676="","",IFERROR(INDEX(记账规则!$A$6:$N$9,MATCH(购销流水!$D676,记账规则!$A$6:$A$9,0),3),""))</f>
        <v/>
      </c>
      <c r="M2686" s="66" t="str">
        <f aca="false">IF($L2686="","",IFERROR(INDEX(记账规则!$A$6:$N$9,MATCH(购销流水!$D676,记账规则!$A$6:$A$9,0),4),""))</f>
        <v/>
      </c>
      <c r="N2686" s="66" t="str">
        <f aca="false">IF($L2686="","",IFERROR(INDEX(记账规则!$A$6:$N$9,MATCH(购销流水!$D676,记账规则!$A$6:$A$9,0),5),""))</f>
        <v/>
      </c>
      <c r="O2686" s="67" t="n">
        <f aca="false">IF($H2686="",0,ROUND(IF($N2686="成本金额",N(购销流水!$W676),IF($N2686="金额",N(购销流水!$Q676),0)),2))</f>
        <v>0</v>
      </c>
      <c r="P2686" s="64" t="str">
        <f aca="false">IF(AND($H2686&lt;&gt;"",ROUND($O2686,2)&lt;&gt;0),"有","")</f>
        <v/>
      </c>
    </row>
    <row r="2687" customFormat="false" ht="15" hidden="true" customHeight="false" outlineLevel="0" collapsed="false">
      <c r="A2687" s="53" t="str">
        <f aca="false">IF($H2687="","",ROW()-5)</f>
        <v/>
      </c>
      <c r="B2687" s="64" t="s">
        <v>36</v>
      </c>
      <c r="C2687" s="53" t="n">
        <v>676</v>
      </c>
      <c r="D2687" s="53" t="n">
        <v>2</v>
      </c>
      <c r="E2687" s="65" t="str">
        <f aca="false">IF($H2687="","",购销流水!$B676)</f>
        <v/>
      </c>
      <c r="F2687" s="55" t="str">
        <f aca="false">IF($H2687="","",购销流水!$C676)</f>
        <v/>
      </c>
      <c r="G2687" s="48" t="str">
        <f aca="false">IF($H2687="","",购销流水!$N676)</f>
        <v/>
      </c>
      <c r="H2687" s="10" t="str">
        <f aca="false">IF($L2687="","",IF($L2687="@成本",购销流水!$U676,IF($L2687="@收入",购销流水!$T676,IF($L2687="@存货",购销流水!$S676,IF($L2687="@结算",购销流水!$R676,$L2687)))))</f>
        <v/>
      </c>
      <c r="I2687" s="42" t="n">
        <f aca="false">IF($M2687="借",$O2687,0)</f>
        <v>0</v>
      </c>
      <c r="J2687" s="42" t="n">
        <f aca="false">IF($M2687="贷",$O2687,0)</f>
        <v>0</v>
      </c>
      <c r="K2687" s="48" t="str">
        <f aca="false">IF($H2687="","",购销流水!$E676)</f>
        <v/>
      </c>
      <c r="L2687" s="66" t="str">
        <f aca="false">IF(购销流水!$D676="","",IFERROR(INDEX(记账规则!$A$6:$N$9,MATCH(购销流水!$D676,记账规则!$A$6:$A$9,0),6),""))</f>
        <v/>
      </c>
      <c r="M2687" s="66" t="str">
        <f aca="false">IF($L2687="","",IFERROR(INDEX(记账规则!$A$6:$N$9,MATCH(购销流水!$D676,记账规则!$A$6:$A$9,0),7),""))</f>
        <v/>
      </c>
      <c r="N2687" s="66" t="str">
        <f aca="false">IF($L2687="","",IFERROR(INDEX(记账规则!$A$6:$N$9,MATCH(购销流水!$D676,记账规则!$A$6:$A$9,0),8),""))</f>
        <v/>
      </c>
      <c r="O2687" s="67" t="n">
        <f aca="false">IF($H2687="",0,ROUND(IF($N2687="成本金额",N(购销流水!$W676),IF($N2687="金额",N(购销流水!$Q676),0)),2))</f>
        <v>0</v>
      </c>
      <c r="P2687" s="64" t="str">
        <f aca="false">IF(AND($H2687&lt;&gt;"",ROUND($O2687,2)&lt;&gt;0),"有","")</f>
        <v/>
      </c>
    </row>
    <row r="2688" customFormat="false" ht="15" hidden="true" customHeight="false" outlineLevel="0" collapsed="false">
      <c r="A2688" s="53" t="str">
        <f aca="false">IF($H2688="","",ROW()-5)</f>
        <v/>
      </c>
      <c r="B2688" s="64" t="s">
        <v>36</v>
      </c>
      <c r="C2688" s="53" t="n">
        <v>676</v>
      </c>
      <c r="D2688" s="53" t="n">
        <v>3</v>
      </c>
      <c r="E2688" s="65" t="str">
        <f aca="false">IF($H2688="","",购销流水!$B676)</f>
        <v/>
      </c>
      <c r="F2688" s="55" t="str">
        <f aca="false">IF($H2688="","",购销流水!$C676)</f>
        <v/>
      </c>
      <c r="G2688" s="48" t="str">
        <f aca="false">IF($H2688="","",购销流水!$N676)</f>
        <v/>
      </c>
      <c r="H2688" s="10" t="str">
        <f aca="false">IF($L2688="","",IF($L2688="@成本",购销流水!$U676,IF($L2688="@收入",购销流水!$T676,IF($L2688="@存货",购销流水!$S676,IF($L2688="@结算",购销流水!$R676,$L2688)))))</f>
        <v/>
      </c>
      <c r="I2688" s="42" t="n">
        <f aca="false">IF($M2688="借",$O2688,0)</f>
        <v>0</v>
      </c>
      <c r="J2688" s="42" t="n">
        <f aca="false">IF($M2688="贷",$O2688,0)</f>
        <v>0</v>
      </c>
      <c r="K2688" s="48" t="str">
        <f aca="false">IF($H2688="","",购销流水!$E676)</f>
        <v/>
      </c>
      <c r="L2688" s="66" t="str">
        <f aca="false">IF(购销流水!$D676="","",IFERROR(INDEX(记账规则!$A$6:$N$9,MATCH(购销流水!$D676,记账规则!$A$6:$A$9,0),9),""))</f>
        <v/>
      </c>
      <c r="M2688" s="66" t="str">
        <f aca="false">IF($L2688="","",IFERROR(INDEX(记账规则!$A$6:$N$9,MATCH(购销流水!$D676,记账规则!$A$6:$A$9,0),10),""))</f>
        <v/>
      </c>
      <c r="N2688" s="66" t="str">
        <f aca="false">IF($L2688="","",IFERROR(INDEX(记账规则!$A$6:$N$9,MATCH(购销流水!$D676,记账规则!$A$6:$A$9,0),11),""))</f>
        <v/>
      </c>
      <c r="O2688" s="67" t="n">
        <f aca="false">IF($H2688="",0,ROUND(IF($N2688="成本金额",N(购销流水!$W676),IF($N2688="金额",N(购销流水!$Q676),0)),2))</f>
        <v>0</v>
      </c>
      <c r="P2688" s="64" t="str">
        <f aca="false">IF(AND($H2688&lt;&gt;"",ROUND($O2688,2)&lt;&gt;0),"有","")</f>
        <v/>
      </c>
    </row>
    <row r="2689" customFormat="false" ht="15" hidden="true" customHeight="false" outlineLevel="0" collapsed="false">
      <c r="A2689" s="53" t="str">
        <f aca="false">IF($H2689="","",ROW()-5)</f>
        <v/>
      </c>
      <c r="B2689" s="64" t="s">
        <v>36</v>
      </c>
      <c r="C2689" s="53" t="n">
        <v>676</v>
      </c>
      <c r="D2689" s="53" t="n">
        <v>4</v>
      </c>
      <c r="E2689" s="65" t="str">
        <f aca="false">IF($H2689="","",购销流水!$B676)</f>
        <v/>
      </c>
      <c r="F2689" s="55" t="str">
        <f aca="false">IF($H2689="","",购销流水!$C676)</f>
        <v/>
      </c>
      <c r="G2689" s="48" t="str">
        <f aca="false">IF($H2689="","",购销流水!$N676)</f>
        <v/>
      </c>
      <c r="H2689" s="10" t="str">
        <f aca="false">IF($L2689="","",IF($L2689="@成本",购销流水!$U676,IF($L2689="@收入",购销流水!$T676,IF($L2689="@存货",购销流水!$S676,IF($L2689="@结算",购销流水!$R676,$L2689)))))</f>
        <v/>
      </c>
      <c r="I2689" s="42" t="n">
        <f aca="false">IF($M2689="借",$O2689,0)</f>
        <v>0</v>
      </c>
      <c r="J2689" s="42" t="n">
        <f aca="false">IF($M2689="贷",$O2689,0)</f>
        <v>0</v>
      </c>
      <c r="K2689" s="48" t="str">
        <f aca="false">IF($H2689="","",购销流水!$E676)</f>
        <v/>
      </c>
      <c r="L2689" s="66" t="str">
        <f aca="false">IF(购销流水!$D676="","",IFERROR(INDEX(记账规则!$A$6:$N$9,MATCH(购销流水!$D676,记账规则!$A$6:$A$9,0),12),""))</f>
        <v/>
      </c>
      <c r="M2689" s="66" t="str">
        <f aca="false">IF($L2689="","",IFERROR(INDEX(记账规则!$A$6:$N$9,MATCH(购销流水!$D676,记账规则!$A$6:$A$9,0),13),""))</f>
        <v/>
      </c>
      <c r="N2689" s="66" t="str">
        <f aca="false">IF($L2689="","",IFERROR(INDEX(记账规则!$A$6:$N$9,MATCH(购销流水!$D676,记账规则!$A$6:$A$9,0),14),""))</f>
        <v/>
      </c>
      <c r="O2689" s="67" t="n">
        <f aca="false">IF($H2689="",0,ROUND(IF($N2689="成本金额",N(购销流水!$W676),IF($N2689="金额",N(购销流水!$Q676),0)),2))</f>
        <v>0</v>
      </c>
      <c r="P2689" s="64" t="str">
        <f aca="false">IF(AND($H2689&lt;&gt;"",ROUND($O2689,2)&lt;&gt;0),"有","")</f>
        <v/>
      </c>
    </row>
    <row r="2690" customFormat="false" ht="15" hidden="true" customHeight="false" outlineLevel="0" collapsed="false">
      <c r="A2690" s="53" t="str">
        <f aca="false">IF($H2690="","",ROW()-5)</f>
        <v/>
      </c>
      <c r="B2690" s="64" t="s">
        <v>36</v>
      </c>
      <c r="C2690" s="53" t="n">
        <v>677</v>
      </c>
      <c r="D2690" s="53" t="n">
        <v>1</v>
      </c>
      <c r="E2690" s="65" t="str">
        <f aca="false">IF($H2690="","",购销流水!$B677)</f>
        <v/>
      </c>
      <c r="F2690" s="55" t="str">
        <f aca="false">IF($H2690="","",购销流水!$C677)</f>
        <v/>
      </c>
      <c r="G2690" s="48" t="str">
        <f aca="false">IF($H2690="","",购销流水!$N677)</f>
        <v/>
      </c>
      <c r="H2690" s="10" t="str">
        <f aca="false">IF($L2690="","",IF($L2690="@成本",购销流水!$U677,IF($L2690="@收入",购销流水!$T677,IF($L2690="@存货",购销流水!$S677,IF($L2690="@结算",购销流水!$R677,$L2690)))))</f>
        <v/>
      </c>
      <c r="I2690" s="42" t="n">
        <f aca="false">IF($M2690="借",$O2690,0)</f>
        <v>0</v>
      </c>
      <c r="J2690" s="42" t="n">
        <f aca="false">IF($M2690="贷",$O2690,0)</f>
        <v>0</v>
      </c>
      <c r="K2690" s="48" t="str">
        <f aca="false">IF($H2690="","",购销流水!$E677)</f>
        <v/>
      </c>
      <c r="L2690" s="66" t="str">
        <f aca="false">IF(购销流水!$D677="","",IFERROR(INDEX(记账规则!$A$6:$N$9,MATCH(购销流水!$D677,记账规则!$A$6:$A$9,0),3),""))</f>
        <v/>
      </c>
      <c r="M2690" s="66" t="str">
        <f aca="false">IF($L2690="","",IFERROR(INDEX(记账规则!$A$6:$N$9,MATCH(购销流水!$D677,记账规则!$A$6:$A$9,0),4),""))</f>
        <v/>
      </c>
      <c r="N2690" s="66" t="str">
        <f aca="false">IF($L2690="","",IFERROR(INDEX(记账规则!$A$6:$N$9,MATCH(购销流水!$D677,记账规则!$A$6:$A$9,0),5),""))</f>
        <v/>
      </c>
      <c r="O2690" s="67" t="n">
        <f aca="false">IF($H2690="",0,ROUND(IF($N2690="成本金额",N(购销流水!$W677),IF($N2690="金额",N(购销流水!$Q677),0)),2))</f>
        <v>0</v>
      </c>
      <c r="P2690" s="64" t="str">
        <f aca="false">IF(AND($H2690&lt;&gt;"",ROUND($O2690,2)&lt;&gt;0),"有","")</f>
        <v/>
      </c>
    </row>
    <row r="2691" customFormat="false" ht="15" hidden="true" customHeight="false" outlineLevel="0" collapsed="false">
      <c r="A2691" s="53" t="str">
        <f aca="false">IF($H2691="","",ROW()-5)</f>
        <v/>
      </c>
      <c r="B2691" s="64" t="s">
        <v>36</v>
      </c>
      <c r="C2691" s="53" t="n">
        <v>677</v>
      </c>
      <c r="D2691" s="53" t="n">
        <v>2</v>
      </c>
      <c r="E2691" s="65" t="str">
        <f aca="false">IF($H2691="","",购销流水!$B677)</f>
        <v/>
      </c>
      <c r="F2691" s="55" t="str">
        <f aca="false">IF($H2691="","",购销流水!$C677)</f>
        <v/>
      </c>
      <c r="G2691" s="48" t="str">
        <f aca="false">IF($H2691="","",购销流水!$N677)</f>
        <v/>
      </c>
      <c r="H2691" s="10" t="str">
        <f aca="false">IF($L2691="","",IF($L2691="@成本",购销流水!$U677,IF($L2691="@收入",购销流水!$T677,IF($L2691="@存货",购销流水!$S677,IF($L2691="@结算",购销流水!$R677,$L2691)))))</f>
        <v/>
      </c>
      <c r="I2691" s="42" t="n">
        <f aca="false">IF($M2691="借",$O2691,0)</f>
        <v>0</v>
      </c>
      <c r="J2691" s="42" t="n">
        <f aca="false">IF($M2691="贷",$O2691,0)</f>
        <v>0</v>
      </c>
      <c r="K2691" s="48" t="str">
        <f aca="false">IF($H2691="","",购销流水!$E677)</f>
        <v/>
      </c>
      <c r="L2691" s="66" t="str">
        <f aca="false">IF(购销流水!$D677="","",IFERROR(INDEX(记账规则!$A$6:$N$9,MATCH(购销流水!$D677,记账规则!$A$6:$A$9,0),6),""))</f>
        <v/>
      </c>
      <c r="M2691" s="66" t="str">
        <f aca="false">IF($L2691="","",IFERROR(INDEX(记账规则!$A$6:$N$9,MATCH(购销流水!$D677,记账规则!$A$6:$A$9,0),7),""))</f>
        <v/>
      </c>
      <c r="N2691" s="66" t="str">
        <f aca="false">IF($L2691="","",IFERROR(INDEX(记账规则!$A$6:$N$9,MATCH(购销流水!$D677,记账规则!$A$6:$A$9,0),8),""))</f>
        <v/>
      </c>
      <c r="O2691" s="67" t="n">
        <f aca="false">IF($H2691="",0,ROUND(IF($N2691="成本金额",N(购销流水!$W677),IF($N2691="金额",N(购销流水!$Q677),0)),2))</f>
        <v>0</v>
      </c>
      <c r="P2691" s="64" t="str">
        <f aca="false">IF(AND($H2691&lt;&gt;"",ROUND($O2691,2)&lt;&gt;0),"有","")</f>
        <v/>
      </c>
    </row>
    <row r="2692" customFormat="false" ht="15" hidden="true" customHeight="false" outlineLevel="0" collapsed="false">
      <c r="A2692" s="53" t="str">
        <f aca="false">IF($H2692="","",ROW()-5)</f>
        <v/>
      </c>
      <c r="B2692" s="64" t="s">
        <v>36</v>
      </c>
      <c r="C2692" s="53" t="n">
        <v>677</v>
      </c>
      <c r="D2692" s="53" t="n">
        <v>3</v>
      </c>
      <c r="E2692" s="65" t="str">
        <f aca="false">IF($H2692="","",购销流水!$B677)</f>
        <v/>
      </c>
      <c r="F2692" s="55" t="str">
        <f aca="false">IF($H2692="","",购销流水!$C677)</f>
        <v/>
      </c>
      <c r="G2692" s="48" t="str">
        <f aca="false">IF($H2692="","",购销流水!$N677)</f>
        <v/>
      </c>
      <c r="H2692" s="10" t="str">
        <f aca="false">IF($L2692="","",IF($L2692="@成本",购销流水!$U677,IF($L2692="@收入",购销流水!$T677,IF($L2692="@存货",购销流水!$S677,IF($L2692="@结算",购销流水!$R677,$L2692)))))</f>
        <v/>
      </c>
      <c r="I2692" s="42" t="n">
        <f aca="false">IF($M2692="借",$O2692,0)</f>
        <v>0</v>
      </c>
      <c r="J2692" s="42" t="n">
        <f aca="false">IF($M2692="贷",$O2692,0)</f>
        <v>0</v>
      </c>
      <c r="K2692" s="48" t="str">
        <f aca="false">IF($H2692="","",购销流水!$E677)</f>
        <v/>
      </c>
      <c r="L2692" s="66" t="str">
        <f aca="false">IF(购销流水!$D677="","",IFERROR(INDEX(记账规则!$A$6:$N$9,MATCH(购销流水!$D677,记账规则!$A$6:$A$9,0),9),""))</f>
        <v/>
      </c>
      <c r="M2692" s="66" t="str">
        <f aca="false">IF($L2692="","",IFERROR(INDEX(记账规则!$A$6:$N$9,MATCH(购销流水!$D677,记账规则!$A$6:$A$9,0),10),""))</f>
        <v/>
      </c>
      <c r="N2692" s="66" t="str">
        <f aca="false">IF($L2692="","",IFERROR(INDEX(记账规则!$A$6:$N$9,MATCH(购销流水!$D677,记账规则!$A$6:$A$9,0),11),""))</f>
        <v/>
      </c>
      <c r="O2692" s="67" t="n">
        <f aca="false">IF($H2692="",0,ROUND(IF($N2692="成本金额",N(购销流水!$W677),IF($N2692="金额",N(购销流水!$Q677),0)),2))</f>
        <v>0</v>
      </c>
      <c r="P2692" s="64" t="str">
        <f aca="false">IF(AND($H2692&lt;&gt;"",ROUND($O2692,2)&lt;&gt;0),"有","")</f>
        <v/>
      </c>
    </row>
    <row r="2693" customFormat="false" ht="15" hidden="true" customHeight="false" outlineLevel="0" collapsed="false">
      <c r="A2693" s="53" t="str">
        <f aca="false">IF($H2693="","",ROW()-5)</f>
        <v/>
      </c>
      <c r="B2693" s="64" t="s">
        <v>36</v>
      </c>
      <c r="C2693" s="53" t="n">
        <v>677</v>
      </c>
      <c r="D2693" s="53" t="n">
        <v>4</v>
      </c>
      <c r="E2693" s="65" t="str">
        <f aca="false">IF($H2693="","",购销流水!$B677)</f>
        <v/>
      </c>
      <c r="F2693" s="55" t="str">
        <f aca="false">IF($H2693="","",购销流水!$C677)</f>
        <v/>
      </c>
      <c r="G2693" s="48" t="str">
        <f aca="false">IF($H2693="","",购销流水!$N677)</f>
        <v/>
      </c>
      <c r="H2693" s="10" t="str">
        <f aca="false">IF($L2693="","",IF($L2693="@成本",购销流水!$U677,IF($L2693="@收入",购销流水!$T677,IF($L2693="@存货",购销流水!$S677,IF($L2693="@结算",购销流水!$R677,$L2693)))))</f>
        <v/>
      </c>
      <c r="I2693" s="42" t="n">
        <f aca="false">IF($M2693="借",$O2693,0)</f>
        <v>0</v>
      </c>
      <c r="J2693" s="42" t="n">
        <f aca="false">IF($M2693="贷",$O2693,0)</f>
        <v>0</v>
      </c>
      <c r="K2693" s="48" t="str">
        <f aca="false">IF($H2693="","",购销流水!$E677)</f>
        <v/>
      </c>
      <c r="L2693" s="66" t="str">
        <f aca="false">IF(购销流水!$D677="","",IFERROR(INDEX(记账规则!$A$6:$N$9,MATCH(购销流水!$D677,记账规则!$A$6:$A$9,0),12),""))</f>
        <v/>
      </c>
      <c r="M2693" s="66" t="str">
        <f aca="false">IF($L2693="","",IFERROR(INDEX(记账规则!$A$6:$N$9,MATCH(购销流水!$D677,记账规则!$A$6:$A$9,0),13),""))</f>
        <v/>
      </c>
      <c r="N2693" s="66" t="str">
        <f aca="false">IF($L2693="","",IFERROR(INDEX(记账规则!$A$6:$N$9,MATCH(购销流水!$D677,记账规则!$A$6:$A$9,0),14),""))</f>
        <v/>
      </c>
      <c r="O2693" s="67" t="n">
        <f aca="false">IF($H2693="",0,ROUND(IF($N2693="成本金额",N(购销流水!$W677),IF($N2693="金额",N(购销流水!$Q677),0)),2))</f>
        <v>0</v>
      </c>
      <c r="P2693" s="64" t="str">
        <f aca="false">IF(AND($H2693&lt;&gt;"",ROUND($O2693,2)&lt;&gt;0),"有","")</f>
        <v/>
      </c>
    </row>
    <row r="2694" customFormat="false" ht="15" hidden="true" customHeight="false" outlineLevel="0" collapsed="false">
      <c r="A2694" s="53" t="str">
        <f aca="false">IF($H2694="","",ROW()-5)</f>
        <v/>
      </c>
      <c r="B2694" s="64" t="s">
        <v>36</v>
      </c>
      <c r="C2694" s="53" t="n">
        <v>678</v>
      </c>
      <c r="D2694" s="53" t="n">
        <v>1</v>
      </c>
      <c r="E2694" s="65" t="str">
        <f aca="false">IF($H2694="","",购销流水!$B678)</f>
        <v/>
      </c>
      <c r="F2694" s="55" t="str">
        <f aca="false">IF($H2694="","",购销流水!$C678)</f>
        <v/>
      </c>
      <c r="G2694" s="48" t="str">
        <f aca="false">IF($H2694="","",购销流水!$N678)</f>
        <v/>
      </c>
      <c r="H2694" s="10" t="str">
        <f aca="false">IF($L2694="","",IF($L2694="@成本",购销流水!$U678,IF($L2694="@收入",购销流水!$T678,IF($L2694="@存货",购销流水!$S678,IF($L2694="@结算",购销流水!$R678,$L2694)))))</f>
        <v/>
      </c>
      <c r="I2694" s="42" t="n">
        <f aca="false">IF($M2694="借",$O2694,0)</f>
        <v>0</v>
      </c>
      <c r="J2694" s="42" t="n">
        <f aca="false">IF($M2694="贷",$O2694,0)</f>
        <v>0</v>
      </c>
      <c r="K2694" s="48" t="str">
        <f aca="false">IF($H2694="","",购销流水!$E678)</f>
        <v/>
      </c>
      <c r="L2694" s="66" t="str">
        <f aca="false">IF(购销流水!$D678="","",IFERROR(INDEX(记账规则!$A$6:$N$9,MATCH(购销流水!$D678,记账规则!$A$6:$A$9,0),3),""))</f>
        <v/>
      </c>
      <c r="M2694" s="66" t="str">
        <f aca="false">IF($L2694="","",IFERROR(INDEX(记账规则!$A$6:$N$9,MATCH(购销流水!$D678,记账规则!$A$6:$A$9,0),4),""))</f>
        <v/>
      </c>
      <c r="N2694" s="66" t="str">
        <f aca="false">IF($L2694="","",IFERROR(INDEX(记账规则!$A$6:$N$9,MATCH(购销流水!$D678,记账规则!$A$6:$A$9,0),5),""))</f>
        <v/>
      </c>
      <c r="O2694" s="67" t="n">
        <f aca="false">IF($H2694="",0,ROUND(IF($N2694="成本金额",N(购销流水!$W678),IF($N2694="金额",N(购销流水!$Q678),0)),2))</f>
        <v>0</v>
      </c>
      <c r="P2694" s="64" t="str">
        <f aca="false">IF(AND($H2694&lt;&gt;"",ROUND($O2694,2)&lt;&gt;0),"有","")</f>
        <v/>
      </c>
    </row>
    <row r="2695" customFormat="false" ht="15" hidden="true" customHeight="false" outlineLevel="0" collapsed="false">
      <c r="A2695" s="53" t="str">
        <f aca="false">IF($H2695="","",ROW()-5)</f>
        <v/>
      </c>
      <c r="B2695" s="64" t="s">
        <v>36</v>
      </c>
      <c r="C2695" s="53" t="n">
        <v>678</v>
      </c>
      <c r="D2695" s="53" t="n">
        <v>2</v>
      </c>
      <c r="E2695" s="65" t="str">
        <f aca="false">IF($H2695="","",购销流水!$B678)</f>
        <v/>
      </c>
      <c r="F2695" s="55" t="str">
        <f aca="false">IF($H2695="","",购销流水!$C678)</f>
        <v/>
      </c>
      <c r="G2695" s="48" t="str">
        <f aca="false">IF($H2695="","",购销流水!$N678)</f>
        <v/>
      </c>
      <c r="H2695" s="10" t="str">
        <f aca="false">IF($L2695="","",IF($L2695="@成本",购销流水!$U678,IF($L2695="@收入",购销流水!$T678,IF($L2695="@存货",购销流水!$S678,IF($L2695="@结算",购销流水!$R678,$L2695)))))</f>
        <v/>
      </c>
      <c r="I2695" s="42" t="n">
        <f aca="false">IF($M2695="借",$O2695,0)</f>
        <v>0</v>
      </c>
      <c r="J2695" s="42" t="n">
        <f aca="false">IF($M2695="贷",$O2695,0)</f>
        <v>0</v>
      </c>
      <c r="K2695" s="48" t="str">
        <f aca="false">IF($H2695="","",购销流水!$E678)</f>
        <v/>
      </c>
      <c r="L2695" s="66" t="str">
        <f aca="false">IF(购销流水!$D678="","",IFERROR(INDEX(记账规则!$A$6:$N$9,MATCH(购销流水!$D678,记账规则!$A$6:$A$9,0),6),""))</f>
        <v/>
      </c>
      <c r="M2695" s="66" t="str">
        <f aca="false">IF($L2695="","",IFERROR(INDEX(记账规则!$A$6:$N$9,MATCH(购销流水!$D678,记账规则!$A$6:$A$9,0),7),""))</f>
        <v/>
      </c>
      <c r="N2695" s="66" t="str">
        <f aca="false">IF($L2695="","",IFERROR(INDEX(记账规则!$A$6:$N$9,MATCH(购销流水!$D678,记账规则!$A$6:$A$9,0),8),""))</f>
        <v/>
      </c>
      <c r="O2695" s="67" t="n">
        <f aca="false">IF($H2695="",0,ROUND(IF($N2695="成本金额",N(购销流水!$W678),IF($N2695="金额",N(购销流水!$Q678),0)),2))</f>
        <v>0</v>
      </c>
      <c r="P2695" s="64" t="str">
        <f aca="false">IF(AND($H2695&lt;&gt;"",ROUND($O2695,2)&lt;&gt;0),"有","")</f>
        <v/>
      </c>
    </row>
    <row r="2696" customFormat="false" ht="15" hidden="true" customHeight="false" outlineLevel="0" collapsed="false">
      <c r="A2696" s="53" t="str">
        <f aca="false">IF($H2696="","",ROW()-5)</f>
        <v/>
      </c>
      <c r="B2696" s="64" t="s">
        <v>36</v>
      </c>
      <c r="C2696" s="53" t="n">
        <v>678</v>
      </c>
      <c r="D2696" s="53" t="n">
        <v>3</v>
      </c>
      <c r="E2696" s="65" t="str">
        <f aca="false">IF($H2696="","",购销流水!$B678)</f>
        <v/>
      </c>
      <c r="F2696" s="55" t="str">
        <f aca="false">IF($H2696="","",购销流水!$C678)</f>
        <v/>
      </c>
      <c r="G2696" s="48" t="str">
        <f aca="false">IF($H2696="","",购销流水!$N678)</f>
        <v/>
      </c>
      <c r="H2696" s="10" t="str">
        <f aca="false">IF($L2696="","",IF($L2696="@成本",购销流水!$U678,IF($L2696="@收入",购销流水!$T678,IF($L2696="@存货",购销流水!$S678,IF($L2696="@结算",购销流水!$R678,$L2696)))))</f>
        <v/>
      </c>
      <c r="I2696" s="42" t="n">
        <f aca="false">IF($M2696="借",$O2696,0)</f>
        <v>0</v>
      </c>
      <c r="J2696" s="42" t="n">
        <f aca="false">IF($M2696="贷",$O2696,0)</f>
        <v>0</v>
      </c>
      <c r="K2696" s="48" t="str">
        <f aca="false">IF($H2696="","",购销流水!$E678)</f>
        <v/>
      </c>
      <c r="L2696" s="66" t="str">
        <f aca="false">IF(购销流水!$D678="","",IFERROR(INDEX(记账规则!$A$6:$N$9,MATCH(购销流水!$D678,记账规则!$A$6:$A$9,0),9),""))</f>
        <v/>
      </c>
      <c r="M2696" s="66" t="str">
        <f aca="false">IF($L2696="","",IFERROR(INDEX(记账规则!$A$6:$N$9,MATCH(购销流水!$D678,记账规则!$A$6:$A$9,0),10),""))</f>
        <v/>
      </c>
      <c r="N2696" s="66" t="str">
        <f aca="false">IF($L2696="","",IFERROR(INDEX(记账规则!$A$6:$N$9,MATCH(购销流水!$D678,记账规则!$A$6:$A$9,0),11),""))</f>
        <v/>
      </c>
      <c r="O2696" s="67" t="n">
        <f aca="false">IF($H2696="",0,ROUND(IF($N2696="成本金额",N(购销流水!$W678),IF($N2696="金额",N(购销流水!$Q678),0)),2))</f>
        <v>0</v>
      </c>
      <c r="P2696" s="64" t="str">
        <f aca="false">IF(AND($H2696&lt;&gt;"",ROUND($O2696,2)&lt;&gt;0),"有","")</f>
        <v/>
      </c>
    </row>
    <row r="2697" customFormat="false" ht="15" hidden="true" customHeight="false" outlineLevel="0" collapsed="false">
      <c r="A2697" s="53" t="str">
        <f aca="false">IF($H2697="","",ROW()-5)</f>
        <v/>
      </c>
      <c r="B2697" s="64" t="s">
        <v>36</v>
      </c>
      <c r="C2697" s="53" t="n">
        <v>678</v>
      </c>
      <c r="D2697" s="53" t="n">
        <v>4</v>
      </c>
      <c r="E2697" s="65" t="str">
        <f aca="false">IF($H2697="","",购销流水!$B678)</f>
        <v/>
      </c>
      <c r="F2697" s="55" t="str">
        <f aca="false">IF($H2697="","",购销流水!$C678)</f>
        <v/>
      </c>
      <c r="G2697" s="48" t="str">
        <f aca="false">IF($H2697="","",购销流水!$N678)</f>
        <v/>
      </c>
      <c r="H2697" s="10" t="str">
        <f aca="false">IF($L2697="","",IF($L2697="@成本",购销流水!$U678,IF($L2697="@收入",购销流水!$T678,IF($L2697="@存货",购销流水!$S678,IF($L2697="@结算",购销流水!$R678,$L2697)))))</f>
        <v/>
      </c>
      <c r="I2697" s="42" t="n">
        <f aca="false">IF($M2697="借",$O2697,0)</f>
        <v>0</v>
      </c>
      <c r="J2697" s="42" t="n">
        <f aca="false">IF($M2697="贷",$O2697,0)</f>
        <v>0</v>
      </c>
      <c r="K2697" s="48" t="str">
        <f aca="false">IF($H2697="","",购销流水!$E678)</f>
        <v/>
      </c>
      <c r="L2697" s="66" t="str">
        <f aca="false">IF(购销流水!$D678="","",IFERROR(INDEX(记账规则!$A$6:$N$9,MATCH(购销流水!$D678,记账规则!$A$6:$A$9,0),12),""))</f>
        <v/>
      </c>
      <c r="M2697" s="66" t="str">
        <f aca="false">IF($L2697="","",IFERROR(INDEX(记账规则!$A$6:$N$9,MATCH(购销流水!$D678,记账规则!$A$6:$A$9,0),13),""))</f>
        <v/>
      </c>
      <c r="N2697" s="66" t="str">
        <f aca="false">IF($L2697="","",IFERROR(INDEX(记账规则!$A$6:$N$9,MATCH(购销流水!$D678,记账规则!$A$6:$A$9,0),14),""))</f>
        <v/>
      </c>
      <c r="O2697" s="67" t="n">
        <f aca="false">IF($H2697="",0,ROUND(IF($N2697="成本金额",N(购销流水!$W678),IF($N2697="金额",N(购销流水!$Q678),0)),2))</f>
        <v>0</v>
      </c>
      <c r="P2697" s="64" t="str">
        <f aca="false">IF(AND($H2697&lt;&gt;"",ROUND($O2697,2)&lt;&gt;0),"有","")</f>
        <v/>
      </c>
    </row>
    <row r="2698" customFormat="false" ht="15" hidden="true" customHeight="false" outlineLevel="0" collapsed="false">
      <c r="A2698" s="53" t="str">
        <f aca="false">IF($H2698="","",ROW()-5)</f>
        <v/>
      </c>
      <c r="B2698" s="64" t="s">
        <v>36</v>
      </c>
      <c r="C2698" s="53" t="n">
        <v>679</v>
      </c>
      <c r="D2698" s="53" t="n">
        <v>1</v>
      </c>
      <c r="E2698" s="65" t="str">
        <f aca="false">IF($H2698="","",购销流水!$B679)</f>
        <v/>
      </c>
      <c r="F2698" s="55" t="str">
        <f aca="false">IF($H2698="","",购销流水!$C679)</f>
        <v/>
      </c>
      <c r="G2698" s="48" t="str">
        <f aca="false">IF($H2698="","",购销流水!$N679)</f>
        <v/>
      </c>
      <c r="H2698" s="10" t="str">
        <f aca="false">IF($L2698="","",IF($L2698="@成本",购销流水!$U679,IF($L2698="@收入",购销流水!$T679,IF($L2698="@存货",购销流水!$S679,IF($L2698="@结算",购销流水!$R679,$L2698)))))</f>
        <v/>
      </c>
      <c r="I2698" s="42" t="n">
        <f aca="false">IF($M2698="借",$O2698,0)</f>
        <v>0</v>
      </c>
      <c r="J2698" s="42" t="n">
        <f aca="false">IF($M2698="贷",$O2698,0)</f>
        <v>0</v>
      </c>
      <c r="K2698" s="48" t="str">
        <f aca="false">IF($H2698="","",购销流水!$E679)</f>
        <v/>
      </c>
      <c r="L2698" s="66" t="str">
        <f aca="false">IF(购销流水!$D679="","",IFERROR(INDEX(记账规则!$A$6:$N$9,MATCH(购销流水!$D679,记账规则!$A$6:$A$9,0),3),""))</f>
        <v/>
      </c>
      <c r="M2698" s="66" t="str">
        <f aca="false">IF($L2698="","",IFERROR(INDEX(记账规则!$A$6:$N$9,MATCH(购销流水!$D679,记账规则!$A$6:$A$9,0),4),""))</f>
        <v/>
      </c>
      <c r="N2698" s="66" t="str">
        <f aca="false">IF($L2698="","",IFERROR(INDEX(记账规则!$A$6:$N$9,MATCH(购销流水!$D679,记账规则!$A$6:$A$9,0),5),""))</f>
        <v/>
      </c>
      <c r="O2698" s="67" t="n">
        <f aca="false">IF($H2698="",0,ROUND(IF($N2698="成本金额",N(购销流水!$W679),IF($N2698="金额",N(购销流水!$Q679),0)),2))</f>
        <v>0</v>
      </c>
      <c r="P2698" s="64" t="str">
        <f aca="false">IF(AND($H2698&lt;&gt;"",ROUND($O2698,2)&lt;&gt;0),"有","")</f>
        <v/>
      </c>
    </row>
    <row r="2699" customFormat="false" ht="15" hidden="true" customHeight="false" outlineLevel="0" collapsed="false">
      <c r="A2699" s="53" t="str">
        <f aca="false">IF($H2699="","",ROW()-5)</f>
        <v/>
      </c>
      <c r="B2699" s="64" t="s">
        <v>36</v>
      </c>
      <c r="C2699" s="53" t="n">
        <v>679</v>
      </c>
      <c r="D2699" s="53" t="n">
        <v>2</v>
      </c>
      <c r="E2699" s="65" t="str">
        <f aca="false">IF($H2699="","",购销流水!$B679)</f>
        <v/>
      </c>
      <c r="F2699" s="55" t="str">
        <f aca="false">IF($H2699="","",购销流水!$C679)</f>
        <v/>
      </c>
      <c r="G2699" s="48" t="str">
        <f aca="false">IF($H2699="","",购销流水!$N679)</f>
        <v/>
      </c>
      <c r="H2699" s="10" t="str">
        <f aca="false">IF($L2699="","",IF($L2699="@成本",购销流水!$U679,IF($L2699="@收入",购销流水!$T679,IF($L2699="@存货",购销流水!$S679,IF($L2699="@结算",购销流水!$R679,$L2699)))))</f>
        <v/>
      </c>
      <c r="I2699" s="42" t="n">
        <f aca="false">IF($M2699="借",$O2699,0)</f>
        <v>0</v>
      </c>
      <c r="J2699" s="42" t="n">
        <f aca="false">IF($M2699="贷",$O2699,0)</f>
        <v>0</v>
      </c>
      <c r="K2699" s="48" t="str">
        <f aca="false">IF($H2699="","",购销流水!$E679)</f>
        <v/>
      </c>
      <c r="L2699" s="66" t="str">
        <f aca="false">IF(购销流水!$D679="","",IFERROR(INDEX(记账规则!$A$6:$N$9,MATCH(购销流水!$D679,记账规则!$A$6:$A$9,0),6),""))</f>
        <v/>
      </c>
      <c r="M2699" s="66" t="str">
        <f aca="false">IF($L2699="","",IFERROR(INDEX(记账规则!$A$6:$N$9,MATCH(购销流水!$D679,记账规则!$A$6:$A$9,0),7),""))</f>
        <v/>
      </c>
      <c r="N2699" s="66" t="str">
        <f aca="false">IF($L2699="","",IFERROR(INDEX(记账规则!$A$6:$N$9,MATCH(购销流水!$D679,记账规则!$A$6:$A$9,0),8),""))</f>
        <v/>
      </c>
      <c r="O2699" s="67" t="n">
        <f aca="false">IF($H2699="",0,ROUND(IF($N2699="成本金额",N(购销流水!$W679),IF($N2699="金额",N(购销流水!$Q679),0)),2))</f>
        <v>0</v>
      </c>
      <c r="P2699" s="64" t="str">
        <f aca="false">IF(AND($H2699&lt;&gt;"",ROUND($O2699,2)&lt;&gt;0),"有","")</f>
        <v/>
      </c>
    </row>
    <row r="2700" customFormat="false" ht="15" hidden="true" customHeight="false" outlineLevel="0" collapsed="false">
      <c r="A2700" s="53" t="str">
        <f aca="false">IF($H2700="","",ROW()-5)</f>
        <v/>
      </c>
      <c r="B2700" s="64" t="s">
        <v>36</v>
      </c>
      <c r="C2700" s="53" t="n">
        <v>679</v>
      </c>
      <c r="D2700" s="53" t="n">
        <v>3</v>
      </c>
      <c r="E2700" s="65" t="str">
        <f aca="false">IF($H2700="","",购销流水!$B679)</f>
        <v/>
      </c>
      <c r="F2700" s="55" t="str">
        <f aca="false">IF($H2700="","",购销流水!$C679)</f>
        <v/>
      </c>
      <c r="G2700" s="48" t="str">
        <f aca="false">IF($H2700="","",购销流水!$N679)</f>
        <v/>
      </c>
      <c r="H2700" s="10" t="str">
        <f aca="false">IF($L2700="","",IF($L2700="@成本",购销流水!$U679,IF($L2700="@收入",购销流水!$T679,IF($L2700="@存货",购销流水!$S679,IF($L2700="@结算",购销流水!$R679,$L2700)))))</f>
        <v/>
      </c>
      <c r="I2700" s="42" t="n">
        <f aca="false">IF($M2700="借",$O2700,0)</f>
        <v>0</v>
      </c>
      <c r="J2700" s="42" t="n">
        <f aca="false">IF($M2700="贷",$O2700,0)</f>
        <v>0</v>
      </c>
      <c r="K2700" s="48" t="str">
        <f aca="false">IF($H2700="","",购销流水!$E679)</f>
        <v/>
      </c>
      <c r="L2700" s="66" t="str">
        <f aca="false">IF(购销流水!$D679="","",IFERROR(INDEX(记账规则!$A$6:$N$9,MATCH(购销流水!$D679,记账规则!$A$6:$A$9,0),9),""))</f>
        <v/>
      </c>
      <c r="M2700" s="66" t="str">
        <f aca="false">IF($L2700="","",IFERROR(INDEX(记账规则!$A$6:$N$9,MATCH(购销流水!$D679,记账规则!$A$6:$A$9,0),10),""))</f>
        <v/>
      </c>
      <c r="N2700" s="66" t="str">
        <f aca="false">IF($L2700="","",IFERROR(INDEX(记账规则!$A$6:$N$9,MATCH(购销流水!$D679,记账规则!$A$6:$A$9,0),11),""))</f>
        <v/>
      </c>
      <c r="O2700" s="67" t="n">
        <f aca="false">IF($H2700="",0,ROUND(IF($N2700="成本金额",N(购销流水!$W679),IF($N2700="金额",N(购销流水!$Q679),0)),2))</f>
        <v>0</v>
      </c>
      <c r="P2700" s="64" t="str">
        <f aca="false">IF(AND($H2700&lt;&gt;"",ROUND($O2700,2)&lt;&gt;0),"有","")</f>
        <v/>
      </c>
    </row>
    <row r="2701" customFormat="false" ht="15" hidden="true" customHeight="false" outlineLevel="0" collapsed="false">
      <c r="A2701" s="53" t="str">
        <f aca="false">IF($H2701="","",ROW()-5)</f>
        <v/>
      </c>
      <c r="B2701" s="64" t="s">
        <v>36</v>
      </c>
      <c r="C2701" s="53" t="n">
        <v>679</v>
      </c>
      <c r="D2701" s="53" t="n">
        <v>4</v>
      </c>
      <c r="E2701" s="65" t="str">
        <f aca="false">IF($H2701="","",购销流水!$B679)</f>
        <v/>
      </c>
      <c r="F2701" s="55" t="str">
        <f aca="false">IF($H2701="","",购销流水!$C679)</f>
        <v/>
      </c>
      <c r="G2701" s="48" t="str">
        <f aca="false">IF($H2701="","",购销流水!$N679)</f>
        <v/>
      </c>
      <c r="H2701" s="10" t="str">
        <f aca="false">IF($L2701="","",IF($L2701="@成本",购销流水!$U679,IF($L2701="@收入",购销流水!$T679,IF($L2701="@存货",购销流水!$S679,IF($L2701="@结算",购销流水!$R679,$L2701)))))</f>
        <v/>
      </c>
      <c r="I2701" s="42" t="n">
        <f aca="false">IF($M2701="借",$O2701,0)</f>
        <v>0</v>
      </c>
      <c r="J2701" s="42" t="n">
        <f aca="false">IF($M2701="贷",$O2701,0)</f>
        <v>0</v>
      </c>
      <c r="K2701" s="48" t="str">
        <f aca="false">IF($H2701="","",购销流水!$E679)</f>
        <v/>
      </c>
      <c r="L2701" s="66" t="str">
        <f aca="false">IF(购销流水!$D679="","",IFERROR(INDEX(记账规则!$A$6:$N$9,MATCH(购销流水!$D679,记账规则!$A$6:$A$9,0),12),""))</f>
        <v/>
      </c>
      <c r="M2701" s="66" t="str">
        <f aca="false">IF($L2701="","",IFERROR(INDEX(记账规则!$A$6:$N$9,MATCH(购销流水!$D679,记账规则!$A$6:$A$9,0),13),""))</f>
        <v/>
      </c>
      <c r="N2701" s="66" t="str">
        <f aca="false">IF($L2701="","",IFERROR(INDEX(记账规则!$A$6:$N$9,MATCH(购销流水!$D679,记账规则!$A$6:$A$9,0),14),""))</f>
        <v/>
      </c>
      <c r="O2701" s="67" t="n">
        <f aca="false">IF($H2701="",0,ROUND(IF($N2701="成本金额",N(购销流水!$W679),IF($N2701="金额",N(购销流水!$Q679),0)),2))</f>
        <v>0</v>
      </c>
      <c r="P2701" s="64" t="str">
        <f aca="false">IF(AND($H2701&lt;&gt;"",ROUND($O2701,2)&lt;&gt;0),"有","")</f>
        <v/>
      </c>
    </row>
    <row r="2702" customFormat="false" ht="15" hidden="true" customHeight="false" outlineLevel="0" collapsed="false">
      <c r="A2702" s="53" t="str">
        <f aca="false">IF($H2702="","",ROW()-5)</f>
        <v/>
      </c>
      <c r="B2702" s="64" t="s">
        <v>36</v>
      </c>
      <c r="C2702" s="53" t="n">
        <v>680</v>
      </c>
      <c r="D2702" s="53" t="n">
        <v>1</v>
      </c>
      <c r="E2702" s="65" t="str">
        <f aca="false">IF($H2702="","",购销流水!$B680)</f>
        <v/>
      </c>
      <c r="F2702" s="55" t="str">
        <f aca="false">IF($H2702="","",购销流水!$C680)</f>
        <v/>
      </c>
      <c r="G2702" s="48" t="str">
        <f aca="false">IF($H2702="","",购销流水!$N680)</f>
        <v/>
      </c>
      <c r="H2702" s="10" t="str">
        <f aca="false">IF($L2702="","",IF($L2702="@成本",购销流水!$U680,IF($L2702="@收入",购销流水!$T680,IF($L2702="@存货",购销流水!$S680,IF($L2702="@结算",购销流水!$R680,$L2702)))))</f>
        <v/>
      </c>
      <c r="I2702" s="42" t="n">
        <f aca="false">IF($M2702="借",$O2702,0)</f>
        <v>0</v>
      </c>
      <c r="J2702" s="42" t="n">
        <f aca="false">IF($M2702="贷",$O2702,0)</f>
        <v>0</v>
      </c>
      <c r="K2702" s="48" t="str">
        <f aca="false">IF($H2702="","",购销流水!$E680)</f>
        <v/>
      </c>
      <c r="L2702" s="66" t="str">
        <f aca="false">IF(购销流水!$D680="","",IFERROR(INDEX(记账规则!$A$6:$N$9,MATCH(购销流水!$D680,记账规则!$A$6:$A$9,0),3),""))</f>
        <v/>
      </c>
      <c r="M2702" s="66" t="str">
        <f aca="false">IF($L2702="","",IFERROR(INDEX(记账规则!$A$6:$N$9,MATCH(购销流水!$D680,记账规则!$A$6:$A$9,0),4),""))</f>
        <v/>
      </c>
      <c r="N2702" s="66" t="str">
        <f aca="false">IF($L2702="","",IFERROR(INDEX(记账规则!$A$6:$N$9,MATCH(购销流水!$D680,记账规则!$A$6:$A$9,0),5),""))</f>
        <v/>
      </c>
      <c r="O2702" s="67" t="n">
        <f aca="false">IF($H2702="",0,ROUND(IF($N2702="成本金额",N(购销流水!$W680),IF($N2702="金额",N(购销流水!$Q680),0)),2))</f>
        <v>0</v>
      </c>
      <c r="P2702" s="64" t="str">
        <f aca="false">IF(AND($H2702&lt;&gt;"",ROUND($O2702,2)&lt;&gt;0),"有","")</f>
        <v/>
      </c>
    </row>
    <row r="2703" customFormat="false" ht="15" hidden="true" customHeight="false" outlineLevel="0" collapsed="false">
      <c r="A2703" s="53" t="str">
        <f aca="false">IF($H2703="","",ROW()-5)</f>
        <v/>
      </c>
      <c r="B2703" s="64" t="s">
        <v>36</v>
      </c>
      <c r="C2703" s="53" t="n">
        <v>680</v>
      </c>
      <c r="D2703" s="53" t="n">
        <v>2</v>
      </c>
      <c r="E2703" s="65" t="str">
        <f aca="false">IF($H2703="","",购销流水!$B680)</f>
        <v/>
      </c>
      <c r="F2703" s="55" t="str">
        <f aca="false">IF($H2703="","",购销流水!$C680)</f>
        <v/>
      </c>
      <c r="G2703" s="48" t="str">
        <f aca="false">IF($H2703="","",购销流水!$N680)</f>
        <v/>
      </c>
      <c r="H2703" s="10" t="str">
        <f aca="false">IF($L2703="","",IF($L2703="@成本",购销流水!$U680,IF($L2703="@收入",购销流水!$T680,IF($L2703="@存货",购销流水!$S680,IF($L2703="@结算",购销流水!$R680,$L2703)))))</f>
        <v/>
      </c>
      <c r="I2703" s="42" t="n">
        <f aca="false">IF($M2703="借",$O2703,0)</f>
        <v>0</v>
      </c>
      <c r="J2703" s="42" t="n">
        <f aca="false">IF($M2703="贷",$O2703,0)</f>
        <v>0</v>
      </c>
      <c r="K2703" s="48" t="str">
        <f aca="false">IF($H2703="","",购销流水!$E680)</f>
        <v/>
      </c>
      <c r="L2703" s="66" t="str">
        <f aca="false">IF(购销流水!$D680="","",IFERROR(INDEX(记账规则!$A$6:$N$9,MATCH(购销流水!$D680,记账规则!$A$6:$A$9,0),6),""))</f>
        <v/>
      </c>
      <c r="M2703" s="66" t="str">
        <f aca="false">IF($L2703="","",IFERROR(INDEX(记账规则!$A$6:$N$9,MATCH(购销流水!$D680,记账规则!$A$6:$A$9,0),7),""))</f>
        <v/>
      </c>
      <c r="N2703" s="66" t="str">
        <f aca="false">IF($L2703="","",IFERROR(INDEX(记账规则!$A$6:$N$9,MATCH(购销流水!$D680,记账规则!$A$6:$A$9,0),8),""))</f>
        <v/>
      </c>
      <c r="O2703" s="67" t="n">
        <f aca="false">IF($H2703="",0,ROUND(IF($N2703="成本金额",N(购销流水!$W680),IF($N2703="金额",N(购销流水!$Q680),0)),2))</f>
        <v>0</v>
      </c>
      <c r="P2703" s="64" t="str">
        <f aca="false">IF(AND($H2703&lt;&gt;"",ROUND($O2703,2)&lt;&gt;0),"有","")</f>
        <v/>
      </c>
    </row>
    <row r="2704" customFormat="false" ht="15" hidden="true" customHeight="false" outlineLevel="0" collapsed="false">
      <c r="A2704" s="53" t="str">
        <f aca="false">IF($H2704="","",ROW()-5)</f>
        <v/>
      </c>
      <c r="B2704" s="64" t="s">
        <v>36</v>
      </c>
      <c r="C2704" s="53" t="n">
        <v>680</v>
      </c>
      <c r="D2704" s="53" t="n">
        <v>3</v>
      </c>
      <c r="E2704" s="65" t="str">
        <f aca="false">IF($H2704="","",购销流水!$B680)</f>
        <v/>
      </c>
      <c r="F2704" s="55" t="str">
        <f aca="false">IF($H2704="","",购销流水!$C680)</f>
        <v/>
      </c>
      <c r="G2704" s="48" t="str">
        <f aca="false">IF($H2704="","",购销流水!$N680)</f>
        <v/>
      </c>
      <c r="H2704" s="10" t="str">
        <f aca="false">IF($L2704="","",IF($L2704="@成本",购销流水!$U680,IF($L2704="@收入",购销流水!$T680,IF($L2704="@存货",购销流水!$S680,IF($L2704="@结算",购销流水!$R680,$L2704)))))</f>
        <v/>
      </c>
      <c r="I2704" s="42" t="n">
        <f aca="false">IF($M2704="借",$O2704,0)</f>
        <v>0</v>
      </c>
      <c r="J2704" s="42" t="n">
        <f aca="false">IF($M2704="贷",$O2704,0)</f>
        <v>0</v>
      </c>
      <c r="K2704" s="48" t="str">
        <f aca="false">IF($H2704="","",购销流水!$E680)</f>
        <v/>
      </c>
      <c r="L2704" s="66" t="str">
        <f aca="false">IF(购销流水!$D680="","",IFERROR(INDEX(记账规则!$A$6:$N$9,MATCH(购销流水!$D680,记账规则!$A$6:$A$9,0),9),""))</f>
        <v/>
      </c>
      <c r="M2704" s="66" t="str">
        <f aca="false">IF($L2704="","",IFERROR(INDEX(记账规则!$A$6:$N$9,MATCH(购销流水!$D680,记账规则!$A$6:$A$9,0),10),""))</f>
        <v/>
      </c>
      <c r="N2704" s="66" t="str">
        <f aca="false">IF($L2704="","",IFERROR(INDEX(记账规则!$A$6:$N$9,MATCH(购销流水!$D680,记账规则!$A$6:$A$9,0),11),""))</f>
        <v/>
      </c>
      <c r="O2704" s="67" t="n">
        <f aca="false">IF($H2704="",0,ROUND(IF($N2704="成本金额",N(购销流水!$W680),IF($N2704="金额",N(购销流水!$Q680),0)),2))</f>
        <v>0</v>
      </c>
      <c r="P2704" s="64" t="str">
        <f aca="false">IF(AND($H2704&lt;&gt;"",ROUND($O2704,2)&lt;&gt;0),"有","")</f>
        <v/>
      </c>
    </row>
    <row r="2705" customFormat="false" ht="15" hidden="true" customHeight="false" outlineLevel="0" collapsed="false">
      <c r="A2705" s="53" t="str">
        <f aca="false">IF($H2705="","",ROW()-5)</f>
        <v/>
      </c>
      <c r="B2705" s="64" t="s">
        <v>36</v>
      </c>
      <c r="C2705" s="53" t="n">
        <v>680</v>
      </c>
      <c r="D2705" s="53" t="n">
        <v>4</v>
      </c>
      <c r="E2705" s="65" t="str">
        <f aca="false">IF($H2705="","",购销流水!$B680)</f>
        <v/>
      </c>
      <c r="F2705" s="55" t="str">
        <f aca="false">IF($H2705="","",购销流水!$C680)</f>
        <v/>
      </c>
      <c r="G2705" s="48" t="str">
        <f aca="false">IF($H2705="","",购销流水!$N680)</f>
        <v/>
      </c>
      <c r="H2705" s="10" t="str">
        <f aca="false">IF($L2705="","",IF($L2705="@成本",购销流水!$U680,IF($L2705="@收入",购销流水!$T680,IF($L2705="@存货",购销流水!$S680,IF($L2705="@结算",购销流水!$R680,$L2705)))))</f>
        <v/>
      </c>
      <c r="I2705" s="42" t="n">
        <f aca="false">IF($M2705="借",$O2705,0)</f>
        <v>0</v>
      </c>
      <c r="J2705" s="42" t="n">
        <f aca="false">IF($M2705="贷",$O2705,0)</f>
        <v>0</v>
      </c>
      <c r="K2705" s="48" t="str">
        <f aca="false">IF($H2705="","",购销流水!$E680)</f>
        <v/>
      </c>
      <c r="L2705" s="66" t="str">
        <f aca="false">IF(购销流水!$D680="","",IFERROR(INDEX(记账规则!$A$6:$N$9,MATCH(购销流水!$D680,记账规则!$A$6:$A$9,0),12),""))</f>
        <v/>
      </c>
      <c r="M2705" s="66" t="str">
        <f aca="false">IF($L2705="","",IFERROR(INDEX(记账规则!$A$6:$N$9,MATCH(购销流水!$D680,记账规则!$A$6:$A$9,0),13),""))</f>
        <v/>
      </c>
      <c r="N2705" s="66" t="str">
        <f aca="false">IF($L2705="","",IFERROR(INDEX(记账规则!$A$6:$N$9,MATCH(购销流水!$D680,记账规则!$A$6:$A$9,0),14),""))</f>
        <v/>
      </c>
      <c r="O2705" s="67" t="n">
        <f aca="false">IF($H2705="",0,ROUND(IF($N2705="成本金额",N(购销流水!$W680),IF($N2705="金额",N(购销流水!$Q680),0)),2))</f>
        <v>0</v>
      </c>
      <c r="P2705" s="64" t="str">
        <f aca="false">IF(AND($H2705&lt;&gt;"",ROUND($O2705,2)&lt;&gt;0),"有","")</f>
        <v/>
      </c>
    </row>
    <row r="2706" customFormat="false" ht="15" hidden="true" customHeight="false" outlineLevel="0" collapsed="false">
      <c r="A2706" s="53" t="str">
        <f aca="false">IF($H2706="","",ROW()-5)</f>
        <v/>
      </c>
      <c r="B2706" s="64" t="s">
        <v>36</v>
      </c>
      <c r="C2706" s="53" t="n">
        <v>681</v>
      </c>
      <c r="D2706" s="53" t="n">
        <v>1</v>
      </c>
      <c r="E2706" s="65" t="str">
        <f aca="false">IF($H2706="","",购销流水!$B681)</f>
        <v/>
      </c>
      <c r="F2706" s="55" t="str">
        <f aca="false">IF($H2706="","",购销流水!$C681)</f>
        <v/>
      </c>
      <c r="G2706" s="48" t="str">
        <f aca="false">IF($H2706="","",购销流水!$N681)</f>
        <v/>
      </c>
      <c r="H2706" s="10" t="str">
        <f aca="false">IF($L2706="","",IF($L2706="@成本",购销流水!$U681,IF($L2706="@收入",购销流水!$T681,IF($L2706="@存货",购销流水!$S681,IF($L2706="@结算",购销流水!$R681,$L2706)))))</f>
        <v/>
      </c>
      <c r="I2706" s="42" t="n">
        <f aca="false">IF($M2706="借",$O2706,0)</f>
        <v>0</v>
      </c>
      <c r="J2706" s="42" t="n">
        <f aca="false">IF($M2706="贷",$O2706,0)</f>
        <v>0</v>
      </c>
      <c r="K2706" s="48" t="str">
        <f aca="false">IF($H2706="","",购销流水!$E681)</f>
        <v/>
      </c>
      <c r="L2706" s="66" t="str">
        <f aca="false">IF(购销流水!$D681="","",IFERROR(INDEX(记账规则!$A$6:$N$9,MATCH(购销流水!$D681,记账规则!$A$6:$A$9,0),3),""))</f>
        <v/>
      </c>
      <c r="M2706" s="66" t="str">
        <f aca="false">IF($L2706="","",IFERROR(INDEX(记账规则!$A$6:$N$9,MATCH(购销流水!$D681,记账规则!$A$6:$A$9,0),4),""))</f>
        <v/>
      </c>
      <c r="N2706" s="66" t="str">
        <f aca="false">IF($L2706="","",IFERROR(INDEX(记账规则!$A$6:$N$9,MATCH(购销流水!$D681,记账规则!$A$6:$A$9,0),5),""))</f>
        <v/>
      </c>
      <c r="O2706" s="67" t="n">
        <f aca="false">IF($H2706="",0,ROUND(IF($N2706="成本金额",N(购销流水!$W681),IF($N2706="金额",N(购销流水!$Q681),0)),2))</f>
        <v>0</v>
      </c>
      <c r="P2706" s="64" t="str">
        <f aca="false">IF(AND($H2706&lt;&gt;"",ROUND($O2706,2)&lt;&gt;0),"有","")</f>
        <v/>
      </c>
    </row>
    <row r="2707" customFormat="false" ht="15" hidden="true" customHeight="false" outlineLevel="0" collapsed="false">
      <c r="A2707" s="53" t="str">
        <f aca="false">IF($H2707="","",ROW()-5)</f>
        <v/>
      </c>
      <c r="B2707" s="64" t="s">
        <v>36</v>
      </c>
      <c r="C2707" s="53" t="n">
        <v>681</v>
      </c>
      <c r="D2707" s="53" t="n">
        <v>2</v>
      </c>
      <c r="E2707" s="65" t="str">
        <f aca="false">IF($H2707="","",购销流水!$B681)</f>
        <v/>
      </c>
      <c r="F2707" s="55" t="str">
        <f aca="false">IF($H2707="","",购销流水!$C681)</f>
        <v/>
      </c>
      <c r="G2707" s="48" t="str">
        <f aca="false">IF($H2707="","",购销流水!$N681)</f>
        <v/>
      </c>
      <c r="H2707" s="10" t="str">
        <f aca="false">IF($L2707="","",IF($L2707="@成本",购销流水!$U681,IF($L2707="@收入",购销流水!$T681,IF($L2707="@存货",购销流水!$S681,IF($L2707="@结算",购销流水!$R681,$L2707)))))</f>
        <v/>
      </c>
      <c r="I2707" s="42" t="n">
        <f aca="false">IF($M2707="借",$O2707,0)</f>
        <v>0</v>
      </c>
      <c r="J2707" s="42" t="n">
        <f aca="false">IF($M2707="贷",$O2707,0)</f>
        <v>0</v>
      </c>
      <c r="K2707" s="48" t="str">
        <f aca="false">IF($H2707="","",购销流水!$E681)</f>
        <v/>
      </c>
      <c r="L2707" s="66" t="str">
        <f aca="false">IF(购销流水!$D681="","",IFERROR(INDEX(记账规则!$A$6:$N$9,MATCH(购销流水!$D681,记账规则!$A$6:$A$9,0),6),""))</f>
        <v/>
      </c>
      <c r="M2707" s="66" t="str">
        <f aca="false">IF($L2707="","",IFERROR(INDEX(记账规则!$A$6:$N$9,MATCH(购销流水!$D681,记账规则!$A$6:$A$9,0),7),""))</f>
        <v/>
      </c>
      <c r="N2707" s="66" t="str">
        <f aca="false">IF($L2707="","",IFERROR(INDEX(记账规则!$A$6:$N$9,MATCH(购销流水!$D681,记账规则!$A$6:$A$9,0),8),""))</f>
        <v/>
      </c>
      <c r="O2707" s="67" t="n">
        <f aca="false">IF($H2707="",0,ROUND(IF($N2707="成本金额",N(购销流水!$W681),IF($N2707="金额",N(购销流水!$Q681),0)),2))</f>
        <v>0</v>
      </c>
      <c r="P2707" s="64" t="str">
        <f aca="false">IF(AND($H2707&lt;&gt;"",ROUND($O2707,2)&lt;&gt;0),"有","")</f>
        <v/>
      </c>
    </row>
    <row r="2708" customFormat="false" ht="15" hidden="true" customHeight="false" outlineLevel="0" collapsed="false">
      <c r="A2708" s="53" t="str">
        <f aca="false">IF($H2708="","",ROW()-5)</f>
        <v/>
      </c>
      <c r="B2708" s="64" t="s">
        <v>36</v>
      </c>
      <c r="C2708" s="53" t="n">
        <v>681</v>
      </c>
      <c r="D2708" s="53" t="n">
        <v>3</v>
      </c>
      <c r="E2708" s="65" t="str">
        <f aca="false">IF($H2708="","",购销流水!$B681)</f>
        <v/>
      </c>
      <c r="F2708" s="55" t="str">
        <f aca="false">IF($H2708="","",购销流水!$C681)</f>
        <v/>
      </c>
      <c r="G2708" s="48" t="str">
        <f aca="false">IF($H2708="","",购销流水!$N681)</f>
        <v/>
      </c>
      <c r="H2708" s="10" t="str">
        <f aca="false">IF($L2708="","",IF($L2708="@成本",购销流水!$U681,IF($L2708="@收入",购销流水!$T681,IF($L2708="@存货",购销流水!$S681,IF($L2708="@结算",购销流水!$R681,$L2708)))))</f>
        <v/>
      </c>
      <c r="I2708" s="42" t="n">
        <f aca="false">IF($M2708="借",$O2708,0)</f>
        <v>0</v>
      </c>
      <c r="J2708" s="42" t="n">
        <f aca="false">IF($M2708="贷",$O2708,0)</f>
        <v>0</v>
      </c>
      <c r="K2708" s="48" t="str">
        <f aca="false">IF($H2708="","",购销流水!$E681)</f>
        <v/>
      </c>
      <c r="L2708" s="66" t="str">
        <f aca="false">IF(购销流水!$D681="","",IFERROR(INDEX(记账规则!$A$6:$N$9,MATCH(购销流水!$D681,记账规则!$A$6:$A$9,0),9),""))</f>
        <v/>
      </c>
      <c r="M2708" s="66" t="str">
        <f aca="false">IF($L2708="","",IFERROR(INDEX(记账规则!$A$6:$N$9,MATCH(购销流水!$D681,记账规则!$A$6:$A$9,0),10),""))</f>
        <v/>
      </c>
      <c r="N2708" s="66" t="str">
        <f aca="false">IF($L2708="","",IFERROR(INDEX(记账规则!$A$6:$N$9,MATCH(购销流水!$D681,记账规则!$A$6:$A$9,0),11),""))</f>
        <v/>
      </c>
      <c r="O2708" s="67" t="n">
        <f aca="false">IF($H2708="",0,ROUND(IF($N2708="成本金额",N(购销流水!$W681),IF($N2708="金额",N(购销流水!$Q681),0)),2))</f>
        <v>0</v>
      </c>
      <c r="P2708" s="64" t="str">
        <f aca="false">IF(AND($H2708&lt;&gt;"",ROUND($O2708,2)&lt;&gt;0),"有","")</f>
        <v/>
      </c>
    </row>
    <row r="2709" customFormat="false" ht="15" hidden="true" customHeight="false" outlineLevel="0" collapsed="false">
      <c r="A2709" s="53" t="str">
        <f aca="false">IF($H2709="","",ROW()-5)</f>
        <v/>
      </c>
      <c r="B2709" s="64" t="s">
        <v>36</v>
      </c>
      <c r="C2709" s="53" t="n">
        <v>681</v>
      </c>
      <c r="D2709" s="53" t="n">
        <v>4</v>
      </c>
      <c r="E2709" s="65" t="str">
        <f aca="false">IF($H2709="","",购销流水!$B681)</f>
        <v/>
      </c>
      <c r="F2709" s="55" t="str">
        <f aca="false">IF($H2709="","",购销流水!$C681)</f>
        <v/>
      </c>
      <c r="G2709" s="48" t="str">
        <f aca="false">IF($H2709="","",购销流水!$N681)</f>
        <v/>
      </c>
      <c r="H2709" s="10" t="str">
        <f aca="false">IF($L2709="","",IF($L2709="@成本",购销流水!$U681,IF($L2709="@收入",购销流水!$T681,IF($L2709="@存货",购销流水!$S681,IF($L2709="@结算",购销流水!$R681,$L2709)))))</f>
        <v/>
      </c>
      <c r="I2709" s="42" t="n">
        <f aca="false">IF($M2709="借",$O2709,0)</f>
        <v>0</v>
      </c>
      <c r="J2709" s="42" t="n">
        <f aca="false">IF($M2709="贷",$O2709,0)</f>
        <v>0</v>
      </c>
      <c r="K2709" s="48" t="str">
        <f aca="false">IF($H2709="","",购销流水!$E681)</f>
        <v/>
      </c>
      <c r="L2709" s="66" t="str">
        <f aca="false">IF(购销流水!$D681="","",IFERROR(INDEX(记账规则!$A$6:$N$9,MATCH(购销流水!$D681,记账规则!$A$6:$A$9,0),12),""))</f>
        <v/>
      </c>
      <c r="M2709" s="66" t="str">
        <f aca="false">IF($L2709="","",IFERROR(INDEX(记账规则!$A$6:$N$9,MATCH(购销流水!$D681,记账规则!$A$6:$A$9,0),13),""))</f>
        <v/>
      </c>
      <c r="N2709" s="66" t="str">
        <f aca="false">IF($L2709="","",IFERROR(INDEX(记账规则!$A$6:$N$9,MATCH(购销流水!$D681,记账规则!$A$6:$A$9,0),14),""))</f>
        <v/>
      </c>
      <c r="O2709" s="67" t="n">
        <f aca="false">IF($H2709="",0,ROUND(IF($N2709="成本金额",N(购销流水!$W681),IF($N2709="金额",N(购销流水!$Q681),0)),2))</f>
        <v>0</v>
      </c>
      <c r="P2709" s="64" t="str">
        <f aca="false">IF(AND($H2709&lt;&gt;"",ROUND($O2709,2)&lt;&gt;0),"有","")</f>
        <v/>
      </c>
    </row>
    <row r="2710" customFormat="false" ht="15" hidden="true" customHeight="false" outlineLevel="0" collapsed="false">
      <c r="A2710" s="53" t="str">
        <f aca="false">IF($H2710="","",ROW()-5)</f>
        <v/>
      </c>
      <c r="B2710" s="64" t="s">
        <v>36</v>
      </c>
      <c r="C2710" s="53" t="n">
        <v>682</v>
      </c>
      <c r="D2710" s="53" t="n">
        <v>1</v>
      </c>
      <c r="E2710" s="65" t="str">
        <f aca="false">IF($H2710="","",购销流水!$B682)</f>
        <v/>
      </c>
      <c r="F2710" s="55" t="str">
        <f aca="false">IF($H2710="","",购销流水!$C682)</f>
        <v/>
      </c>
      <c r="G2710" s="48" t="str">
        <f aca="false">IF($H2710="","",购销流水!$N682)</f>
        <v/>
      </c>
      <c r="H2710" s="10" t="str">
        <f aca="false">IF($L2710="","",IF($L2710="@成本",购销流水!$U682,IF($L2710="@收入",购销流水!$T682,IF($L2710="@存货",购销流水!$S682,IF($L2710="@结算",购销流水!$R682,$L2710)))))</f>
        <v/>
      </c>
      <c r="I2710" s="42" t="n">
        <f aca="false">IF($M2710="借",$O2710,0)</f>
        <v>0</v>
      </c>
      <c r="J2710" s="42" t="n">
        <f aca="false">IF($M2710="贷",$O2710,0)</f>
        <v>0</v>
      </c>
      <c r="K2710" s="48" t="str">
        <f aca="false">IF($H2710="","",购销流水!$E682)</f>
        <v/>
      </c>
      <c r="L2710" s="66" t="str">
        <f aca="false">IF(购销流水!$D682="","",IFERROR(INDEX(记账规则!$A$6:$N$9,MATCH(购销流水!$D682,记账规则!$A$6:$A$9,0),3),""))</f>
        <v/>
      </c>
      <c r="M2710" s="66" t="str">
        <f aca="false">IF($L2710="","",IFERROR(INDEX(记账规则!$A$6:$N$9,MATCH(购销流水!$D682,记账规则!$A$6:$A$9,0),4),""))</f>
        <v/>
      </c>
      <c r="N2710" s="66" t="str">
        <f aca="false">IF($L2710="","",IFERROR(INDEX(记账规则!$A$6:$N$9,MATCH(购销流水!$D682,记账规则!$A$6:$A$9,0),5),""))</f>
        <v/>
      </c>
      <c r="O2710" s="67" t="n">
        <f aca="false">IF($H2710="",0,ROUND(IF($N2710="成本金额",N(购销流水!$W682),IF($N2710="金额",N(购销流水!$Q682),0)),2))</f>
        <v>0</v>
      </c>
      <c r="P2710" s="64" t="str">
        <f aca="false">IF(AND($H2710&lt;&gt;"",ROUND($O2710,2)&lt;&gt;0),"有","")</f>
        <v/>
      </c>
    </row>
    <row r="2711" customFormat="false" ht="15" hidden="true" customHeight="false" outlineLevel="0" collapsed="false">
      <c r="A2711" s="53" t="str">
        <f aca="false">IF($H2711="","",ROW()-5)</f>
        <v/>
      </c>
      <c r="B2711" s="64" t="s">
        <v>36</v>
      </c>
      <c r="C2711" s="53" t="n">
        <v>682</v>
      </c>
      <c r="D2711" s="53" t="n">
        <v>2</v>
      </c>
      <c r="E2711" s="65" t="str">
        <f aca="false">IF($H2711="","",购销流水!$B682)</f>
        <v/>
      </c>
      <c r="F2711" s="55" t="str">
        <f aca="false">IF($H2711="","",购销流水!$C682)</f>
        <v/>
      </c>
      <c r="G2711" s="48" t="str">
        <f aca="false">IF($H2711="","",购销流水!$N682)</f>
        <v/>
      </c>
      <c r="H2711" s="10" t="str">
        <f aca="false">IF($L2711="","",IF($L2711="@成本",购销流水!$U682,IF($L2711="@收入",购销流水!$T682,IF($L2711="@存货",购销流水!$S682,IF($L2711="@结算",购销流水!$R682,$L2711)))))</f>
        <v/>
      </c>
      <c r="I2711" s="42" t="n">
        <f aca="false">IF($M2711="借",$O2711,0)</f>
        <v>0</v>
      </c>
      <c r="J2711" s="42" t="n">
        <f aca="false">IF($M2711="贷",$O2711,0)</f>
        <v>0</v>
      </c>
      <c r="K2711" s="48" t="str">
        <f aca="false">IF($H2711="","",购销流水!$E682)</f>
        <v/>
      </c>
      <c r="L2711" s="66" t="str">
        <f aca="false">IF(购销流水!$D682="","",IFERROR(INDEX(记账规则!$A$6:$N$9,MATCH(购销流水!$D682,记账规则!$A$6:$A$9,0),6),""))</f>
        <v/>
      </c>
      <c r="M2711" s="66" t="str">
        <f aca="false">IF($L2711="","",IFERROR(INDEX(记账规则!$A$6:$N$9,MATCH(购销流水!$D682,记账规则!$A$6:$A$9,0),7),""))</f>
        <v/>
      </c>
      <c r="N2711" s="66" t="str">
        <f aca="false">IF($L2711="","",IFERROR(INDEX(记账规则!$A$6:$N$9,MATCH(购销流水!$D682,记账规则!$A$6:$A$9,0),8),""))</f>
        <v/>
      </c>
      <c r="O2711" s="67" t="n">
        <f aca="false">IF($H2711="",0,ROUND(IF($N2711="成本金额",N(购销流水!$W682),IF($N2711="金额",N(购销流水!$Q682),0)),2))</f>
        <v>0</v>
      </c>
      <c r="P2711" s="64" t="str">
        <f aca="false">IF(AND($H2711&lt;&gt;"",ROUND($O2711,2)&lt;&gt;0),"有","")</f>
        <v/>
      </c>
    </row>
    <row r="2712" customFormat="false" ht="15" hidden="true" customHeight="false" outlineLevel="0" collapsed="false">
      <c r="A2712" s="53" t="str">
        <f aca="false">IF($H2712="","",ROW()-5)</f>
        <v/>
      </c>
      <c r="B2712" s="64" t="s">
        <v>36</v>
      </c>
      <c r="C2712" s="53" t="n">
        <v>682</v>
      </c>
      <c r="D2712" s="53" t="n">
        <v>3</v>
      </c>
      <c r="E2712" s="65" t="str">
        <f aca="false">IF($H2712="","",购销流水!$B682)</f>
        <v/>
      </c>
      <c r="F2712" s="55" t="str">
        <f aca="false">IF($H2712="","",购销流水!$C682)</f>
        <v/>
      </c>
      <c r="G2712" s="48" t="str">
        <f aca="false">IF($H2712="","",购销流水!$N682)</f>
        <v/>
      </c>
      <c r="H2712" s="10" t="str">
        <f aca="false">IF($L2712="","",IF($L2712="@成本",购销流水!$U682,IF($L2712="@收入",购销流水!$T682,IF($L2712="@存货",购销流水!$S682,IF($L2712="@结算",购销流水!$R682,$L2712)))))</f>
        <v/>
      </c>
      <c r="I2712" s="42" t="n">
        <f aca="false">IF($M2712="借",$O2712,0)</f>
        <v>0</v>
      </c>
      <c r="J2712" s="42" t="n">
        <f aca="false">IF($M2712="贷",$O2712,0)</f>
        <v>0</v>
      </c>
      <c r="K2712" s="48" t="str">
        <f aca="false">IF($H2712="","",购销流水!$E682)</f>
        <v/>
      </c>
      <c r="L2712" s="66" t="str">
        <f aca="false">IF(购销流水!$D682="","",IFERROR(INDEX(记账规则!$A$6:$N$9,MATCH(购销流水!$D682,记账规则!$A$6:$A$9,0),9),""))</f>
        <v/>
      </c>
      <c r="M2712" s="66" t="str">
        <f aca="false">IF($L2712="","",IFERROR(INDEX(记账规则!$A$6:$N$9,MATCH(购销流水!$D682,记账规则!$A$6:$A$9,0),10),""))</f>
        <v/>
      </c>
      <c r="N2712" s="66" t="str">
        <f aca="false">IF($L2712="","",IFERROR(INDEX(记账规则!$A$6:$N$9,MATCH(购销流水!$D682,记账规则!$A$6:$A$9,0),11),""))</f>
        <v/>
      </c>
      <c r="O2712" s="67" t="n">
        <f aca="false">IF($H2712="",0,ROUND(IF($N2712="成本金额",N(购销流水!$W682),IF($N2712="金额",N(购销流水!$Q682),0)),2))</f>
        <v>0</v>
      </c>
      <c r="P2712" s="64" t="str">
        <f aca="false">IF(AND($H2712&lt;&gt;"",ROUND($O2712,2)&lt;&gt;0),"有","")</f>
        <v/>
      </c>
    </row>
    <row r="2713" customFormat="false" ht="15" hidden="true" customHeight="false" outlineLevel="0" collapsed="false">
      <c r="A2713" s="53" t="str">
        <f aca="false">IF($H2713="","",ROW()-5)</f>
        <v/>
      </c>
      <c r="B2713" s="64" t="s">
        <v>36</v>
      </c>
      <c r="C2713" s="53" t="n">
        <v>682</v>
      </c>
      <c r="D2713" s="53" t="n">
        <v>4</v>
      </c>
      <c r="E2713" s="65" t="str">
        <f aca="false">IF($H2713="","",购销流水!$B682)</f>
        <v/>
      </c>
      <c r="F2713" s="55" t="str">
        <f aca="false">IF($H2713="","",购销流水!$C682)</f>
        <v/>
      </c>
      <c r="G2713" s="48" t="str">
        <f aca="false">IF($H2713="","",购销流水!$N682)</f>
        <v/>
      </c>
      <c r="H2713" s="10" t="str">
        <f aca="false">IF($L2713="","",IF($L2713="@成本",购销流水!$U682,IF($L2713="@收入",购销流水!$T682,IF($L2713="@存货",购销流水!$S682,IF($L2713="@结算",购销流水!$R682,$L2713)))))</f>
        <v/>
      </c>
      <c r="I2713" s="42" t="n">
        <f aca="false">IF($M2713="借",$O2713,0)</f>
        <v>0</v>
      </c>
      <c r="J2713" s="42" t="n">
        <f aca="false">IF($M2713="贷",$O2713,0)</f>
        <v>0</v>
      </c>
      <c r="K2713" s="48" t="str">
        <f aca="false">IF($H2713="","",购销流水!$E682)</f>
        <v/>
      </c>
      <c r="L2713" s="66" t="str">
        <f aca="false">IF(购销流水!$D682="","",IFERROR(INDEX(记账规则!$A$6:$N$9,MATCH(购销流水!$D682,记账规则!$A$6:$A$9,0),12),""))</f>
        <v/>
      </c>
      <c r="M2713" s="66" t="str">
        <f aca="false">IF($L2713="","",IFERROR(INDEX(记账规则!$A$6:$N$9,MATCH(购销流水!$D682,记账规则!$A$6:$A$9,0),13),""))</f>
        <v/>
      </c>
      <c r="N2713" s="66" t="str">
        <f aca="false">IF($L2713="","",IFERROR(INDEX(记账规则!$A$6:$N$9,MATCH(购销流水!$D682,记账规则!$A$6:$A$9,0),14),""))</f>
        <v/>
      </c>
      <c r="O2713" s="67" t="n">
        <f aca="false">IF($H2713="",0,ROUND(IF($N2713="成本金额",N(购销流水!$W682),IF($N2713="金额",N(购销流水!$Q682),0)),2))</f>
        <v>0</v>
      </c>
      <c r="P2713" s="64" t="str">
        <f aca="false">IF(AND($H2713&lt;&gt;"",ROUND($O2713,2)&lt;&gt;0),"有","")</f>
        <v/>
      </c>
    </row>
    <row r="2714" customFormat="false" ht="15" hidden="true" customHeight="false" outlineLevel="0" collapsed="false">
      <c r="A2714" s="53" t="str">
        <f aca="false">IF($H2714="","",ROW()-5)</f>
        <v/>
      </c>
      <c r="B2714" s="64" t="s">
        <v>36</v>
      </c>
      <c r="C2714" s="53" t="n">
        <v>683</v>
      </c>
      <c r="D2714" s="53" t="n">
        <v>1</v>
      </c>
      <c r="E2714" s="65" t="str">
        <f aca="false">IF($H2714="","",购销流水!$B683)</f>
        <v/>
      </c>
      <c r="F2714" s="55" t="str">
        <f aca="false">IF($H2714="","",购销流水!$C683)</f>
        <v/>
      </c>
      <c r="G2714" s="48" t="str">
        <f aca="false">IF($H2714="","",购销流水!$N683)</f>
        <v/>
      </c>
      <c r="H2714" s="10" t="str">
        <f aca="false">IF($L2714="","",IF($L2714="@成本",购销流水!$U683,IF($L2714="@收入",购销流水!$T683,IF($L2714="@存货",购销流水!$S683,IF($L2714="@结算",购销流水!$R683,$L2714)))))</f>
        <v/>
      </c>
      <c r="I2714" s="42" t="n">
        <f aca="false">IF($M2714="借",$O2714,0)</f>
        <v>0</v>
      </c>
      <c r="J2714" s="42" t="n">
        <f aca="false">IF($M2714="贷",$O2714,0)</f>
        <v>0</v>
      </c>
      <c r="K2714" s="48" t="str">
        <f aca="false">IF($H2714="","",购销流水!$E683)</f>
        <v/>
      </c>
      <c r="L2714" s="66" t="str">
        <f aca="false">IF(购销流水!$D683="","",IFERROR(INDEX(记账规则!$A$6:$N$9,MATCH(购销流水!$D683,记账规则!$A$6:$A$9,0),3),""))</f>
        <v/>
      </c>
      <c r="M2714" s="66" t="str">
        <f aca="false">IF($L2714="","",IFERROR(INDEX(记账规则!$A$6:$N$9,MATCH(购销流水!$D683,记账规则!$A$6:$A$9,0),4),""))</f>
        <v/>
      </c>
      <c r="N2714" s="66" t="str">
        <f aca="false">IF($L2714="","",IFERROR(INDEX(记账规则!$A$6:$N$9,MATCH(购销流水!$D683,记账规则!$A$6:$A$9,0),5),""))</f>
        <v/>
      </c>
      <c r="O2714" s="67" t="n">
        <f aca="false">IF($H2714="",0,ROUND(IF($N2714="成本金额",N(购销流水!$W683),IF($N2714="金额",N(购销流水!$Q683),0)),2))</f>
        <v>0</v>
      </c>
      <c r="P2714" s="64" t="str">
        <f aca="false">IF(AND($H2714&lt;&gt;"",ROUND($O2714,2)&lt;&gt;0),"有","")</f>
        <v/>
      </c>
    </row>
    <row r="2715" customFormat="false" ht="15" hidden="true" customHeight="false" outlineLevel="0" collapsed="false">
      <c r="A2715" s="53" t="str">
        <f aca="false">IF($H2715="","",ROW()-5)</f>
        <v/>
      </c>
      <c r="B2715" s="64" t="s">
        <v>36</v>
      </c>
      <c r="C2715" s="53" t="n">
        <v>683</v>
      </c>
      <c r="D2715" s="53" t="n">
        <v>2</v>
      </c>
      <c r="E2715" s="65" t="str">
        <f aca="false">IF($H2715="","",购销流水!$B683)</f>
        <v/>
      </c>
      <c r="F2715" s="55" t="str">
        <f aca="false">IF($H2715="","",购销流水!$C683)</f>
        <v/>
      </c>
      <c r="G2715" s="48" t="str">
        <f aca="false">IF($H2715="","",购销流水!$N683)</f>
        <v/>
      </c>
      <c r="H2715" s="10" t="str">
        <f aca="false">IF($L2715="","",IF($L2715="@成本",购销流水!$U683,IF($L2715="@收入",购销流水!$T683,IF($L2715="@存货",购销流水!$S683,IF($L2715="@结算",购销流水!$R683,$L2715)))))</f>
        <v/>
      </c>
      <c r="I2715" s="42" t="n">
        <f aca="false">IF($M2715="借",$O2715,0)</f>
        <v>0</v>
      </c>
      <c r="J2715" s="42" t="n">
        <f aca="false">IF($M2715="贷",$O2715,0)</f>
        <v>0</v>
      </c>
      <c r="K2715" s="48" t="str">
        <f aca="false">IF($H2715="","",购销流水!$E683)</f>
        <v/>
      </c>
      <c r="L2715" s="66" t="str">
        <f aca="false">IF(购销流水!$D683="","",IFERROR(INDEX(记账规则!$A$6:$N$9,MATCH(购销流水!$D683,记账规则!$A$6:$A$9,0),6),""))</f>
        <v/>
      </c>
      <c r="M2715" s="66" t="str">
        <f aca="false">IF($L2715="","",IFERROR(INDEX(记账规则!$A$6:$N$9,MATCH(购销流水!$D683,记账规则!$A$6:$A$9,0),7),""))</f>
        <v/>
      </c>
      <c r="N2715" s="66" t="str">
        <f aca="false">IF($L2715="","",IFERROR(INDEX(记账规则!$A$6:$N$9,MATCH(购销流水!$D683,记账规则!$A$6:$A$9,0),8),""))</f>
        <v/>
      </c>
      <c r="O2715" s="67" t="n">
        <f aca="false">IF($H2715="",0,ROUND(IF($N2715="成本金额",N(购销流水!$W683),IF($N2715="金额",N(购销流水!$Q683),0)),2))</f>
        <v>0</v>
      </c>
      <c r="P2715" s="64" t="str">
        <f aca="false">IF(AND($H2715&lt;&gt;"",ROUND($O2715,2)&lt;&gt;0),"有","")</f>
        <v/>
      </c>
    </row>
    <row r="2716" customFormat="false" ht="15" hidden="true" customHeight="false" outlineLevel="0" collapsed="false">
      <c r="A2716" s="53" t="str">
        <f aca="false">IF($H2716="","",ROW()-5)</f>
        <v/>
      </c>
      <c r="B2716" s="64" t="s">
        <v>36</v>
      </c>
      <c r="C2716" s="53" t="n">
        <v>683</v>
      </c>
      <c r="D2716" s="53" t="n">
        <v>3</v>
      </c>
      <c r="E2716" s="65" t="str">
        <f aca="false">IF($H2716="","",购销流水!$B683)</f>
        <v/>
      </c>
      <c r="F2716" s="55" t="str">
        <f aca="false">IF($H2716="","",购销流水!$C683)</f>
        <v/>
      </c>
      <c r="G2716" s="48" t="str">
        <f aca="false">IF($H2716="","",购销流水!$N683)</f>
        <v/>
      </c>
      <c r="H2716" s="10" t="str">
        <f aca="false">IF($L2716="","",IF($L2716="@成本",购销流水!$U683,IF($L2716="@收入",购销流水!$T683,IF($L2716="@存货",购销流水!$S683,IF($L2716="@结算",购销流水!$R683,$L2716)))))</f>
        <v/>
      </c>
      <c r="I2716" s="42" t="n">
        <f aca="false">IF($M2716="借",$O2716,0)</f>
        <v>0</v>
      </c>
      <c r="J2716" s="42" t="n">
        <f aca="false">IF($M2716="贷",$O2716,0)</f>
        <v>0</v>
      </c>
      <c r="K2716" s="48" t="str">
        <f aca="false">IF($H2716="","",购销流水!$E683)</f>
        <v/>
      </c>
      <c r="L2716" s="66" t="str">
        <f aca="false">IF(购销流水!$D683="","",IFERROR(INDEX(记账规则!$A$6:$N$9,MATCH(购销流水!$D683,记账规则!$A$6:$A$9,0),9),""))</f>
        <v/>
      </c>
      <c r="M2716" s="66" t="str">
        <f aca="false">IF($L2716="","",IFERROR(INDEX(记账规则!$A$6:$N$9,MATCH(购销流水!$D683,记账规则!$A$6:$A$9,0),10),""))</f>
        <v/>
      </c>
      <c r="N2716" s="66" t="str">
        <f aca="false">IF($L2716="","",IFERROR(INDEX(记账规则!$A$6:$N$9,MATCH(购销流水!$D683,记账规则!$A$6:$A$9,0),11),""))</f>
        <v/>
      </c>
      <c r="O2716" s="67" t="n">
        <f aca="false">IF($H2716="",0,ROUND(IF($N2716="成本金额",N(购销流水!$W683),IF($N2716="金额",N(购销流水!$Q683),0)),2))</f>
        <v>0</v>
      </c>
      <c r="P2716" s="64" t="str">
        <f aca="false">IF(AND($H2716&lt;&gt;"",ROUND($O2716,2)&lt;&gt;0),"有","")</f>
        <v/>
      </c>
    </row>
    <row r="2717" customFormat="false" ht="15" hidden="true" customHeight="false" outlineLevel="0" collapsed="false">
      <c r="A2717" s="53" t="str">
        <f aca="false">IF($H2717="","",ROW()-5)</f>
        <v/>
      </c>
      <c r="B2717" s="64" t="s">
        <v>36</v>
      </c>
      <c r="C2717" s="53" t="n">
        <v>683</v>
      </c>
      <c r="D2717" s="53" t="n">
        <v>4</v>
      </c>
      <c r="E2717" s="65" t="str">
        <f aca="false">IF($H2717="","",购销流水!$B683)</f>
        <v/>
      </c>
      <c r="F2717" s="55" t="str">
        <f aca="false">IF($H2717="","",购销流水!$C683)</f>
        <v/>
      </c>
      <c r="G2717" s="48" t="str">
        <f aca="false">IF($H2717="","",购销流水!$N683)</f>
        <v/>
      </c>
      <c r="H2717" s="10" t="str">
        <f aca="false">IF($L2717="","",IF($L2717="@成本",购销流水!$U683,IF($L2717="@收入",购销流水!$T683,IF($L2717="@存货",购销流水!$S683,IF($L2717="@结算",购销流水!$R683,$L2717)))))</f>
        <v/>
      </c>
      <c r="I2717" s="42" t="n">
        <f aca="false">IF($M2717="借",$O2717,0)</f>
        <v>0</v>
      </c>
      <c r="J2717" s="42" t="n">
        <f aca="false">IF($M2717="贷",$O2717,0)</f>
        <v>0</v>
      </c>
      <c r="K2717" s="48" t="str">
        <f aca="false">IF($H2717="","",购销流水!$E683)</f>
        <v/>
      </c>
      <c r="L2717" s="66" t="str">
        <f aca="false">IF(购销流水!$D683="","",IFERROR(INDEX(记账规则!$A$6:$N$9,MATCH(购销流水!$D683,记账规则!$A$6:$A$9,0),12),""))</f>
        <v/>
      </c>
      <c r="M2717" s="66" t="str">
        <f aca="false">IF($L2717="","",IFERROR(INDEX(记账规则!$A$6:$N$9,MATCH(购销流水!$D683,记账规则!$A$6:$A$9,0),13),""))</f>
        <v/>
      </c>
      <c r="N2717" s="66" t="str">
        <f aca="false">IF($L2717="","",IFERROR(INDEX(记账规则!$A$6:$N$9,MATCH(购销流水!$D683,记账规则!$A$6:$A$9,0),14),""))</f>
        <v/>
      </c>
      <c r="O2717" s="67" t="n">
        <f aca="false">IF($H2717="",0,ROUND(IF($N2717="成本金额",N(购销流水!$W683),IF($N2717="金额",N(购销流水!$Q683),0)),2))</f>
        <v>0</v>
      </c>
      <c r="P2717" s="64" t="str">
        <f aca="false">IF(AND($H2717&lt;&gt;"",ROUND($O2717,2)&lt;&gt;0),"有","")</f>
        <v/>
      </c>
    </row>
    <row r="2718" customFormat="false" ht="15" hidden="true" customHeight="false" outlineLevel="0" collapsed="false">
      <c r="A2718" s="53" t="str">
        <f aca="false">IF($H2718="","",ROW()-5)</f>
        <v/>
      </c>
      <c r="B2718" s="64" t="s">
        <v>36</v>
      </c>
      <c r="C2718" s="53" t="n">
        <v>684</v>
      </c>
      <c r="D2718" s="53" t="n">
        <v>1</v>
      </c>
      <c r="E2718" s="65" t="str">
        <f aca="false">IF($H2718="","",购销流水!$B684)</f>
        <v/>
      </c>
      <c r="F2718" s="55" t="str">
        <f aca="false">IF($H2718="","",购销流水!$C684)</f>
        <v/>
      </c>
      <c r="G2718" s="48" t="str">
        <f aca="false">IF($H2718="","",购销流水!$N684)</f>
        <v/>
      </c>
      <c r="H2718" s="10" t="str">
        <f aca="false">IF($L2718="","",IF($L2718="@成本",购销流水!$U684,IF($L2718="@收入",购销流水!$T684,IF($L2718="@存货",购销流水!$S684,IF($L2718="@结算",购销流水!$R684,$L2718)))))</f>
        <v/>
      </c>
      <c r="I2718" s="42" t="n">
        <f aca="false">IF($M2718="借",$O2718,0)</f>
        <v>0</v>
      </c>
      <c r="J2718" s="42" t="n">
        <f aca="false">IF($M2718="贷",$O2718,0)</f>
        <v>0</v>
      </c>
      <c r="K2718" s="48" t="str">
        <f aca="false">IF($H2718="","",购销流水!$E684)</f>
        <v/>
      </c>
      <c r="L2718" s="66" t="str">
        <f aca="false">IF(购销流水!$D684="","",IFERROR(INDEX(记账规则!$A$6:$N$9,MATCH(购销流水!$D684,记账规则!$A$6:$A$9,0),3),""))</f>
        <v/>
      </c>
      <c r="M2718" s="66" t="str">
        <f aca="false">IF($L2718="","",IFERROR(INDEX(记账规则!$A$6:$N$9,MATCH(购销流水!$D684,记账规则!$A$6:$A$9,0),4),""))</f>
        <v/>
      </c>
      <c r="N2718" s="66" t="str">
        <f aca="false">IF($L2718="","",IFERROR(INDEX(记账规则!$A$6:$N$9,MATCH(购销流水!$D684,记账规则!$A$6:$A$9,0),5),""))</f>
        <v/>
      </c>
      <c r="O2718" s="67" t="n">
        <f aca="false">IF($H2718="",0,ROUND(IF($N2718="成本金额",N(购销流水!$W684),IF($N2718="金额",N(购销流水!$Q684),0)),2))</f>
        <v>0</v>
      </c>
      <c r="P2718" s="64" t="str">
        <f aca="false">IF(AND($H2718&lt;&gt;"",ROUND($O2718,2)&lt;&gt;0),"有","")</f>
        <v/>
      </c>
    </row>
    <row r="2719" customFormat="false" ht="15" hidden="true" customHeight="false" outlineLevel="0" collapsed="false">
      <c r="A2719" s="53" t="str">
        <f aca="false">IF($H2719="","",ROW()-5)</f>
        <v/>
      </c>
      <c r="B2719" s="64" t="s">
        <v>36</v>
      </c>
      <c r="C2719" s="53" t="n">
        <v>684</v>
      </c>
      <c r="D2719" s="53" t="n">
        <v>2</v>
      </c>
      <c r="E2719" s="65" t="str">
        <f aca="false">IF($H2719="","",购销流水!$B684)</f>
        <v/>
      </c>
      <c r="F2719" s="55" t="str">
        <f aca="false">IF($H2719="","",购销流水!$C684)</f>
        <v/>
      </c>
      <c r="G2719" s="48" t="str">
        <f aca="false">IF($H2719="","",购销流水!$N684)</f>
        <v/>
      </c>
      <c r="H2719" s="10" t="str">
        <f aca="false">IF($L2719="","",IF($L2719="@成本",购销流水!$U684,IF($L2719="@收入",购销流水!$T684,IF($L2719="@存货",购销流水!$S684,IF($L2719="@结算",购销流水!$R684,$L2719)))))</f>
        <v/>
      </c>
      <c r="I2719" s="42" t="n">
        <f aca="false">IF($M2719="借",$O2719,0)</f>
        <v>0</v>
      </c>
      <c r="J2719" s="42" t="n">
        <f aca="false">IF($M2719="贷",$O2719,0)</f>
        <v>0</v>
      </c>
      <c r="K2719" s="48" t="str">
        <f aca="false">IF($H2719="","",购销流水!$E684)</f>
        <v/>
      </c>
      <c r="L2719" s="66" t="str">
        <f aca="false">IF(购销流水!$D684="","",IFERROR(INDEX(记账规则!$A$6:$N$9,MATCH(购销流水!$D684,记账规则!$A$6:$A$9,0),6),""))</f>
        <v/>
      </c>
      <c r="M2719" s="66" t="str">
        <f aca="false">IF($L2719="","",IFERROR(INDEX(记账规则!$A$6:$N$9,MATCH(购销流水!$D684,记账规则!$A$6:$A$9,0),7),""))</f>
        <v/>
      </c>
      <c r="N2719" s="66" t="str">
        <f aca="false">IF($L2719="","",IFERROR(INDEX(记账规则!$A$6:$N$9,MATCH(购销流水!$D684,记账规则!$A$6:$A$9,0),8),""))</f>
        <v/>
      </c>
      <c r="O2719" s="67" t="n">
        <f aca="false">IF($H2719="",0,ROUND(IF($N2719="成本金额",N(购销流水!$W684),IF($N2719="金额",N(购销流水!$Q684),0)),2))</f>
        <v>0</v>
      </c>
      <c r="P2719" s="64" t="str">
        <f aca="false">IF(AND($H2719&lt;&gt;"",ROUND($O2719,2)&lt;&gt;0),"有","")</f>
        <v/>
      </c>
    </row>
    <row r="2720" customFormat="false" ht="15" hidden="true" customHeight="false" outlineLevel="0" collapsed="false">
      <c r="A2720" s="53" t="str">
        <f aca="false">IF($H2720="","",ROW()-5)</f>
        <v/>
      </c>
      <c r="B2720" s="64" t="s">
        <v>36</v>
      </c>
      <c r="C2720" s="53" t="n">
        <v>684</v>
      </c>
      <c r="D2720" s="53" t="n">
        <v>3</v>
      </c>
      <c r="E2720" s="65" t="str">
        <f aca="false">IF($H2720="","",购销流水!$B684)</f>
        <v/>
      </c>
      <c r="F2720" s="55" t="str">
        <f aca="false">IF($H2720="","",购销流水!$C684)</f>
        <v/>
      </c>
      <c r="G2720" s="48" t="str">
        <f aca="false">IF($H2720="","",购销流水!$N684)</f>
        <v/>
      </c>
      <c r="H2720" s="10" t="str">
        <f aca="false">IF($L2720="","",IF($L2720="@成本",购销流水!$U684,IF($L2720="@收入",购销流水!$T684,IF($L2720="@存货",购销流水!$S684,IF($L2720="@结算",购销流水!$R684,$L2720)))))</f>
        <v/>
      </c>
      <c r="I2720" s="42" t="n">
        <f aca="false">IF($M2720="借",$O2720,0)</f>
        <v>0</v>
      </c>
      <c r="J2720" s="42" t="n">
        <f aca="false">IF($M2720="贷",$O2720,0)</f>
        <v>0</v>
      </c>
      <c r="K2720" s="48" t="str">
        <f aca="false">IF($H2720="","",购销流水!$E684)</f>
        <v/>
      </c>
      <c r="L2720" s="66" t="str">
        <f aca="false">IF(购销流水!$D684="","",IFERROR(INDEX(记账规则!$A$6:$N$9,MATCH(购销流水!$D684,记账规则!$A$6:$A$9,0),9),""))</f>
        <v/>
      </c>
      <c r="M2720" s="66" t="str">
        <f aca="false">IF($L2720="","",IFERROR(INDEX(记账规则!$A$6:$N$9,MATCH(购销流水!$D684,记账规则!$A$6:$A$9,0),10),""))</f>
        <v/>
      </c>
      <c r="N2720" s="66" t="str">
        <f aca="false">IF($L2720="","",IFERROR(INDEX(记账规则!$A$6:$N$9,MATCH(购销流水!$D684,记账规则!$A$6:$A$9,0),11),""))</f>
        <v/>
      </c>
      <c r="O2720" s="67" t="n">
        <f aca="false">IF($H2720="",0,ROUND(IF($N2720="成本金额",N(购销流水!$W684),IF($N2720="金额",N(购销流水!$Q684),0)),2))</f>
        <v>0</v>
      </c>
      <c r="P2720" s="64" t="str">
        <f aca="false">IF(AND($H2720&lt;&gt;"",ROUND($O2720,2)&lt;&gt;0),"有","")</f>
        <v/>
      </c>
    </row>
    <row r="2721" customFormat="false" ht="15" hidden="true" customHeight="false" outlineLevel="0" collapsed="false">
      <c r="A2721" s="53" t="str">
        <f aca="false">IF($H2721="","",ROW()-5)</f>
        <v/>
      </c>
      <c r="B2721" s="64" t="s">
        <v>36</v>
      </c>
      <c r="C2721" s="53" t="n">
        <v>684</v>
      </c>
      <c r="D2721" s="53" t="n">
        <v>4</v>
      </c>
      <c r="E2721" s="65" t="str">
        <f aca="false">IF($H2721="","",购销流水!$B684)</f>
        <v/>
      </c>
      <c r="F2721" s="55" t="str">
        <f aca="false">IF($H2721="","",购销流水!$C684)</f>
        <v/>
      </c>
      <c r="G2721" s="48" t="str">
        <f aca="false">IF($H2721="","",购销流水!$N684)</f>
        <v/>
      </c>
      <c r="H2721" s="10" t="str">
        <f aca="false">IF($L2721="","",IF($L2721="@成本",购销流水!$U684,IF($L2721="@收入",购销流水!$T684,IF($L2721="@存货",购销流水!$S684,IF($L2721="@结算",购销流水!$R684,$L2721)))))</f>
        <v/>
      </c>
      <c r="I2721" s="42" t="n">
        <f aca="false">IF($M2721="借",$O2721,0)</f>
        <v>0</v>
      </c>
      <c r="J2721" s="42" t="n">
        <f aca="false">IF($M2721="贷",$O2721,0)</f>
        <v>0</v>
      </c>
      <c r="K2721" s="48" t="str">
        <f aca="false">IF($H2721="","",购销流水!$E684)</f>
        <v/>
      </c>
      <c r="L2721" s="66" t="str">
        <f aca="false">IF(购销流水!$D684="","",IFERROR(INDEX(记账规则!$A$6:$N$9,MATCH(购销流水!$D684,记账规则!$A$6:$A$9,0),12),""))</f>
        <v/>
      </c>
      <c r="M2721" s="66" t="str">
        <f aca="false">IF($L2721="","",IFERROR(INDEX(记账规则!$A$6:$N$9,MATCH(购销流水!$D684,记账规则!$A$6:$A$9,0),13),""))</f>
        <v/>
      </c>
      <c r="N2721" s="66" t="str">
        <f aca="false">IF($L2721="","",IFERROR(INDEX(记账规则!$A$6:$N$9,MATCH(购销流水!$D684,记账规则!$A$6:$A$9,0),14),""))</f>
        <v/>
      </c>
      <c r="O2721" s="67" t="n">
        <f aca="false">IF($H2721="",0,ROUND(IF($N2721="成本金额",N(购销流水!$W684),IF($N2721="金额",N(购销流水!$Q684),0)),2))</f>
        <v>0</v>
      </c>
      <c r="P2721" s="64" t="str">
        <f aca="false">IF(AND($H2721&lt;&gt;"",ROUND($O2721,2)&lt;&gt;0),"有","")</f>
        <v/>
      </c>
    </row>
    <row r="2722" customFormat="false" ht="15" hidden="true" customHeight="false" outlineLevel="0" collapsed="false">
      <c r="A2722" s="53" t="str">
        <f aca="false">IF($H2722="","",ROW()-5)</f>
        <v/>
      </c>
      <c r="B2722" s="64" t="s">
        <v>36</v>
      </c>
      <c r="C2722" s="53" t="n">
        <v>685</v>
      </c>
      <c r="D2722" s="53" t="n">
        <v>1</v>
      </c>
      <c r="E2722" s="65" t="str">
        <f aca="false">IF($H2722="","",购销流水!$B685)</f>
        <v/>
      </c>
      <c r="F2722" s="55" t="str">
        <f aca="false">IF($H2722="","",购销流水!$C685)</f>
        <v/>
      </c>
      <c r="G2722" s="48" t="str">
        <f aca="false">IF($H2722="","",购销流水!$N685)</f>
        <v/>
      </c>
      <c r="H2722" s="10" t="str">
        <f aca="false">IF($L2722="","",IF($L2722="@成本",购销流水!$U685,IF($L2722="@收入",购销流水!$T685,IF($L2722="@存货",购销流水!$S685,IF($L2722="@结算",购销流水!$R685,$L2722)))))</f>
        <v/>
      </c>
      <c r="I2722" s="42" t="n">
        <f aca="false">IF($M2722="借",$O2722,0)</f>
        <v>0</v>
      </c>
      <c r="J2722" s="42" t="n">
        <f aca="false">IF($M2722="贷",$O2722,0)</f>
        <v>0</v>
      </c>
      <c r="K2722" s="48" t="str">
        <f aca="false">IF($H2722="","",购销流水!$E685)</f>
        <v/>
      </c>
      <c r="L2722" s="66" t="str">
        <f aca="false">IF(购销流水!$D685="","",IFERROR(INDEX(记账规则!$A$6:$N$9,MATCH(购销流水!$D685,记账规则!$A$6:$A$9,0),3),""))</f>
        <v/>
      </c>
      <c r="M2722" s="66" t="str">
        <f aca="false">IF($L2722="","",IFERROR(INDEX(记账规则!$A$6:$N$9,MATCH(购销流水!$D685,记账规则!$A$6:$A$9,0),4),""))</f>
        <v/>
      </c>
      <c r="N2722" s="66" t="str">
        <f aca="false">IF($L2722="","",IFERROR(INDEX(记账规则!$A$6:$N$9,MATCH(购销流水!$D685,记账规则!$A$6:$A$9,0),5),""))</f>
        <v/>
      </c>
      <c r="O2722" s="67" t="n">
        <f aca="false">IF($H2722="",0,ROUND(IF($N2722="成本金额",N(购销流水!$W685),IF($N2722="金额",N(购销流水!$Q685),0)),2))</f>
        <v>0</v>
      </c>
      <c r="P2722" s="64" t="str">
        <f aca="false">IF(AND($H2722&lt;&gt;"",ROUND($O2722,2)&lt;&gt;0),"有","")</f>
        <v/>
      </c>
    </row>
    <row r="2723" customFormat="false" ht="15" hidden="true" customHeight="false" outlineLevel="0" collapsed="false">
      <c r="A2723" s="53" t="str">
        <f aca="false">IF($H2723="","",ROW()-5)</f>
        <v/>
      </c>
      <c r="B2723" s="64" t="s">
        <v>36</v>
      </c>
      <c r="C2723" s="53" t="n">
        <v>685</v>
      </c>
      <c r="D2723" s="53" t="n">
        <v>2</v>
      </c>
      <c r="E2723" s="65" t="str">
        <f aca="false">IF($H2723="","",购销流水!$B685)</f>
        <v/>
      </c>
      <c r="F2723" s="55" t="str">
        <f aca="false">IF($H2723="","",购销流水!$C685)</f>
        <v/>
      </c>
      <c r="G2723" s="48" t="str">
        <f aca="false">IF($H2723="","",购销流水!$N685)</f>
        <v/>
      </c>
      <c r="H2723" s="10" t="str">
        <f aca="false">IF($L2723="","",IF($L2723="@成本",购销流水!$U685,IF($L2723="@收入",购销流水!$T685,IF($L2723="@存货",购销流水!$S685,IF($L2723="@结算",购销流水!$R685,$L2723)))))</f>
        <v/>
      </c>
      <c r="I2723" s="42" t="n">
        <f aca="false">IF($M2723="借",$O2723,0)</f>
        <v>0</v>
      </c>
      <c r="J2723" s="42" t="n">
        <f aca="false">IF($M2723="贷",$O2723,0)</f>
        <v>0</v>
      </c>
      <c r="K2723" s="48" t="str">
        <f aca="false">IF($H2723="","",购销流水!$E685)</f>
        <v/>
      </c>
      <c r="L2723" s="66" t="str">
        <f aca="false">IF(购销流水!$D685="","",IFERROR(INDEX(记账规则!$A$6:$N$9,MATCH(购销流水!$D685,记账规则!$A$6:$A$9,0),6),""))</f>
        <v/>
      </c>
      <c r="M2723" s="66" t="str">
        <f aca="false">IF($L2723="","",IFERROR(INDEX(记账规则!$A$6:$N$9,MATCH(购销流水!$D685,记账规则!$A$6:$A$9,0),7),""))</f>
        <v/>
      </c>
      <c r="N2723" s="66" t="str">
        <f aca="false">IF($L2723="","",IFERROR(INDEX(记账规则!$A$6:$N$9,MATCH(购销流水!$D685,记账规则!$A$6:$A$9,0),8),""))</f>
        <v/>
      </c>
      <c r="O2723" s="67" t="n">
        <f aca="false">IF($H2723="",0,ROUND(IF($N2723="成本金额",N(购销流水!$W685),IF($N2723="金额",N(购销流水!$Q685),0)),2))</f>
        <v>0</v>
      </c>
      <c r="P2723" s="64" t="str">
        <f aca="false">IF(AND($H2723&lt;&gt;"",ROUND($O2723,2)&lt;&gt;0),"有","")</f>
        <v/>
      </c>
    </row>
    <row r="2724" customFormat="false" ht="15" hidden="true" customHeight="false" outlineLevel="0" collapsed="false">
      <c r="A2724" s="53" t="str">
        <f aca="false">IF($H2724="","",ROW()-5)</f>
        <v/>
      </c>
      <c r="B2724" s="64" t="s">
        <v>36</v>
      </c>
      <c r="C2724" s="53" t="n">
        <v>685</v>
      </c>
      <c r="D2724" s="53" t="n">
        <v>3</v>
      </c>
      <c r="E2724" s="65" t="str">
        <f aca="false">IF($H2724="","",购销流水!$B685)</f>
        <v/>
      </c>
      <c r="F2724" s="55" t="str">
        <f aca="false">IF($H2724="","",购销流水!$C685)</f>
        <v/>
      </c>
      <c r="G2724" s="48" t="str">
        <f aca="false">IF($H2724="","",购销流水!$N685)</f>
        <v/>
      </c>
      <c r="H2724" s="10" t="str">
        <f aca="false">IF($L2724="","",IF($L2724="@成本",购销流水!$U685,IF($L2724="@收入",购销流水!$T685,IF($L2724="@存货",购销流水!$S685,IF($L2724="@结算",购销流水!$R685,$L2724)))))</f>
        <v/>
      </c>
      <c r="I2724" s="42" t="n">
        <f aca="false">IF($M2724="借",$O2724,0)</f>
        <v>0</v>
      </c>
      <c r="J2724" s="42" t="n">
        <f aca="false">IF($M2724="贷",$O2724,0)</f>
        <v>0</v>
      </c>
      <c r="K2724" s="48" t="str">
        <f aca="false">IF($H2724="","",购销流水!$E685)</f>
        <v/>
      </c>
      <c r="L2724" s="66" t="str">
        <f aca="false">IF(购销流水!$D685="","",IFERROR(INDEX(记账规则!$A$6:$N$9,MATCH(购销流水!$D685,记账规则!$A$6:$A$9,0),9),""))</f>
        <v/>
      </c>
      <c r="M2724" s="66" t="str">
        <f aca="false">IF($L2724="","",IFERROR(INDEX(记账规则!$A$6:$N$9,MATCH(购销流水!$D685,记账规则!$A$6:$A$9,0),10),""))</f>
        <v/>
      </c>
      <c r="N2724" s="66" t="str">
        <f aca="false">IF($L2724="","",IFERROR(INDEX(记账规则!$A$6:$N$9,MATCH(购销流水!$D685,记账规则!$A$6:$A$9,0),11),""))</f>
        <v/>
      </c>
      <c r="O2724" s="67" t="n">
        <f aca="false">IF($H2724="",0,ROUND(IF($N2724="成本金额",N(购销流水!$W685),IF($N2724="金额",N(购销流水!$Q685),0)),2))</f>
        <v>0</v>
      </c>
      <c r="P2724" s="64" t="str">
        <f aca="false">IF(AND($H2724&lt;&gt;"",ROUND($O2724,2)&lt;&gt;0),"有","")</f>
        <v/>
      </c>
    </row>
    <row r="2725" customFormat="false" ht="15" hidden="true" customHeight="false" outlineLevel="0" collapsed="false">
      <c r="A2725" s="53" t="str">
        <f aca="false">IF($H2725="","",ROW()-5)</f>
        <v/>
      </c>
      <c r="B2725" s="64" t="s">
        <v>36</v>
      </c>
      <c r="C2725" s="53" t="n">
        <v>685</v>
      </c>
      <c r="D2725" s="53" t="n">
        <v>4</v>
      </c>
      <c r="E2725" s="65" t="str">
        <f aca="false">IF($H2725="","",购销流水!$B685)</f>
        <v/>
      </c>
      <c r="F2725" s="55" t="str">
        <f aca="false">IF($H2725="","",购销流水!$C685)</f>
        <v/>
      </c>
      <c r="G2725" s="48" t="str">
        <f aca="false">IF($H2725="","",购销流水!$N685)</f>
        <v/>
      </c>
      <c r="H2725" s="10" t="str">
        <f aca="false">IF($L2725="","",IF($L2725="@成本",购销流水!$U685,IF($L2725="@收入",购销流水!$T685,IF($L2725="@存货",购销流水!$S685,IF($L2725="@结算",购销流水!$R685,$L2725)))))</f>
        <v/>
      </c>
      <c r="I2725" s="42" t="n">
        <f aca="false">IF($M2725="借",$O2725,0)</f>
        <v>0</v>
      </c>
      <c r="J2725" s="42" t="n">
        <f aca="false">IF($M2725="贷",$O2725,0)</f>
        <v>0</v>
      </c>
      <c r="K2725" s="48" t="str">
        <f aca="false">IF($H2725="","",购销流水!$E685)</f>
        <v/>
      </c>
      <c r="L2725" s="66" t="str">
        <f aca="false">IF(购销流水!$D685="","",IFERROR(INDEX(记账规则!$A$6:$N$9,MATCH(购销流水!$D685,记账规则!$A$6:$A$9,0),12),""))</f>
        <v/>
      </c>
      <c r="M2725" s="66" t="str">
        <f aca="false">IF($L2725="","",IFERROR(INDEX(记账规则!$A$6:$N$9,MATCH(购销流水!$D685,记账规则!$A$6:$A$9,0),13),""))</f>
        <v/>
      </c>
      <c r="N2725" s="66" t="str">
        <f aca="false">IF($L2725="","",IFERROR(INDEX(记账规则!$A$6:$N$9,MATCH(购销流水!$D685,记账规则!$A$6:$A$9,0),14),""))</f>
        <v/>
      </c>
      <c r="O2725" s="67" t="n">
        <f aca="false">IF($H2725="",0,ROUND(IF($N2725="成本金额",N(购销流水!$W685),IF($N2725="金额",N(购销流水!$Q685),0)),2))</f>
        <v>0</v>
      </c>
      <c r="P2725" s="64" t="str">
        <f aca="false">IF(AND($H2725&lt;&gt;"",ROUND($O2725,2)&lt;&gt;0),"有","")</f>
        <v/>
      </c>
    </row>
    <row r="2726" customFormat="false" ht="15" hidden="true" customHeight="false" outlineLevel="0" collapsed="false">
      <c r="A2726" s="53" t="str">
        <f aca="false">IF($H2726="","",ROW()-5)</f>
        <v/>
      </c>
      <c r="B2726" s="64" t="s">
        <v>36</v>
      </c>
      <c r="C2726" s="53" t="n">
        <v>686</v>
      </c>
      <c r="D2726" s="53" t="n">
        <v>1</v>
      </c>
      <c r="E2726" s="65" t="str">
        <f aca="false">IF($H2726="","",购销流水!$B686)</f>
        <v/>
      </c>
      <c r="F2726" s="55" t="str">
        <f aca="false">IF($H2726="","",购销流水!$C686)</f>
        <v/>
      </c>
      <c r="G2726" s="48" t="str">
        <f aca="false">IF($H2726="","",购销流水!$N686)</f>
        <v/>
      </c>
      <c r="H2726" s="10" t="str">
        <f aca="false">IF($L2726="","",IF($L2726="@成本",购销流水!$U686,IF($L2726="@收入",购销流水!$T686,IF($L2726="@存货",购销流水!$S686,IF($L2726="@结算",购销流水!$R686,$L2726)))))</f>
        <v/>
      </c>
      <c r="I2726" s="42" t="n">
        <f aca="false">IF($M2726="借",$O2726,0)</f>
        <v>0</v>
      </c>
      <c r="J2726" s="42" t="n">
        <f aca="false">IF($M2726="贷",$O2726,0)</f>
        <v>0</v>
      </c>
      <c r="K2726" s="48" t="str">
        <f aca="false">IF($H2726="","",购销流水!$E686)</f>
        <v/>
      </c>
      <c r="L2726" s="66" t="str">
        <f aca="false">IF(购销流水!$D686="","",IFERROR(INDEX(记账规则!$A$6:$N$9,MATCH(购销流水!$D686,记账规则!$A$6:$A$9,0),3),""))</f>
        <v/>
      </c>
      <c r="M2726" s="66" t="str">
        <f aca="false">IF($L2726="","",IFERROR(INDEX(记账规则!$A$6:$N$9,MATCH(购销流水!$D686,记账规则!$A$6:$A$9,0),4),""))</f>
        <v/>
      </c>
      <c r="N2726" s="66" t="str">
        <f aca="false">IF($L2726="","",IFERROR(INDEX(记账规则!$A$6:$N$9,MATCH(购销流水!$D686,记账规则!$A$6:$A$9,0),5),""))</f>
        <v/>
      </c>
      <c r="O2726" s="67" t="n">
        <f aca="false">IF($H2726="",0,ROUND(IF($N2726="成本金额",N(购销流水!$W686),IF($N2726="金额",N(购销流水!$Q686),0)),2))</f>
        <v>0</v>
      </c>
      <c r="P2726" s="64" t="str">
        <f aca="false">IF(AND($H2726&lt;&gt;"",ROUND($O2726,2)&lt;&gt;0),"有","")</f>
        <v/>
      </c>
    </row>
    <row r="2727" customFormat="false" ht="15" hidden="true" customHeight="false" outlineLevel="0" collapsed="false">
      <c r="A2727" s="53" t="str">
        <f aca="false">IF($H2727="","",ROW()-5)</f>
        <v/>
      </c>
      <c r="B2727" s="64" t="s">
        <v>36</v>
      </c>
      <c r="C2727" s="53" t="n">
        <v>686</v>
      </c>
      <c r="D2727" s="53" t="n">
        <v>2</v>
      </c>
      <c r="E2727" s="65" t="str">
        <f aca="false">IF($H2727="","",购销流水!$B686)</f>
        <v/>
      </c>
      <c r="F2727" s="55" t="str">
        <f aca="false">IF($H2727="","",购销流水!$C686)</f>
        <v/>
      </c>
      <c r="G2727" s="48" t="str">
        <f aca="false">IF($H2727="","",购销流水!$N686)</f>
        <v/>
      </c>
      <c r="H2727" s="10" t="str">
        <f aca="false">IF($L2727="","",IF($L2727="@成本",购销流水!$U686,IF($L2727="@收入",购销流水!$T686,IF($L2727="@存货",购销流水!$S686,IF($L2727="@结算",购销流水!$R686,$L2727)))))</f>
        <v/>
      </c>
      <c r="I2727" s="42" t="n">
        <f aca="false">IF($M2727="借",$O2727,0)</f>
        <v>0</v>
      </c>
      <c r="J2727" s="42" t="n">
        <f aca="false">IF($M2727="贷",$O2727,0)</f>
        <v>0</v>
      </c>
      <c r="K2727" s="48" t="str">
        <f aca="false">IF($H2727="","",购销流水!$E686)</f>
        <v/>
      </c>
      <c r="L2727" s="66" t="str">
        <f aca="false">IF(购销流水!$D686="","",IFERROR(INDEX(记账规则!$A$6:$N$9,MATCH(购销流水!$D686,记账规则!$A$6:$A$9,0),6),""))</f>
        <v/>
      </c>
      <c r="M2727" s="66" t="str">
        <f aca="false">IF($L2727="","",IFERROR(INDEX(记账规则!$A$6:$N$9,MATCH(购销流水!$D686,记账规则!$A$6:$A$9,0),7),""))</f>
        <v/>
      </c>
      <c r="N2727" s="66" t="str">
        <f aca="false">IF($L2727="","",IFERROR(INDEX(记账规则!$A$6:$N$9,MATCH(购销流水!$D686,记账规则!$A$6:$A$9,0),8),""))</f>
        <v/>
      </c>
      <c r="O2727" s="67" t="n">
        <f aca="false">IF($H2727="",0,ROUND(IF($N2727="成本金额",N(购销流水!$W686),IF($N2727="金额",N(购销流水!$Q686),0)),2))</f>
        <v>0</v>
      </c>
      <c r="P2727" s="64" t="str">
        <f aca="false">IF(AND($H2727&lt;&gt;"",ROUND($O2727,2)&lt;&gt;0),"有","")</f>
        <v/>
      </c>
    </row>
    <row r="2728" customFormat="false" ht="15" hidden="true" customHeight="false" outlineLevel="0" collapsed="false">
      <c r="A2728" s="53" t="str">
        <f aca="false">IF($H2728="","",ROW()-5)</f>
        <v/>
      </c>
      <c r="B2728" s="64" t="s">
        <v>36</v>
      </c>
      <c r="C2728" s="53" t="n">
        <v>686</v>
      </c>
      <c r="D2728" s="53" t="n">
        <v>3</v>
      </c>
      <c r="E2728" s="65" t="str">
        <f aca="false">IF($H2728="","",购销流水!$B686)</f>
        <v/>
      </c>
      <c r="F2728" s="55" t="str">
        <f aca="false">IF($H2728="","",购销流水!$C686)</f>
        <v/>
      </c>
      <c r="G2728" s="48" t="str">
        <f aca="false">IF($H2728="","",购销流水!$N686)</f>
        <v/>
      </c>
      <c r="H2728" s="10" t="str">
        <f aca="false">IF($L2728="","",IF($L2728="@成本",购销流水!$U686,IF($L2728="@收入",购销流水!$T686,IF($L2728="@存货",购销流水!$S686,IF($L2728="@结算",购销流水!$R686,$L2728)))))</f>
        <v/>
      </c>
      <c r="I2728" s="42" t="n">
        <f aca="false">IF($M2728="借",$O2728,0)</f>
        <v>0</v>
      </c>
      <c r="J2728" s="42" t="n">
        <f aca="false">IF($M2728="贷",$O2728,0)</f>
        <v>0</v>
      </c>
      <c r="K2728" s="48" t="str">
        <f aca="false">IF($H2728="","",购销流水!$E686)</f>
        <v/>
      </c>
      <c r="L2728" s="66" t="str">
        <f aca="false">IF(购销流水!$D686="","",IFERROR(INDEX(记账规则!$A$6:$N$9,MATCH(购销流水!$D686,记账规则!$A$6:$A$9,0),9),""))</f>
        <v/>
      </c>
      <c r="M2728" s="66" t="str">
        <f aca="false">IF($L2728="","",IFERROR(INDEX(记账规则!$A$6:$N$9,MATCH(购销流水!$D686,记账规则!$A$6:$A$9,0),10),""))</f>
        <v/>
      </c>
      <c r="N2728" s="66" t="str">
        <f aca="false">IF($L2728="","",IFERROR(INDEX(记账规则!$A$6:$N$9,MATCH(购销流水!$D686,记账规则!$A$6:$A$9,0),11),""))</f>
        <v/>
      </c>
      <c r="O2728" s="67" t="n">
        <f aca="false">IF($H2728="",0,ROUND(IF($N2728="成本金额",N(购销流水!$W686),IF($N2728="金额",N(购销流水!$Q686),0)),2))</f>
        <v>0</v>
      </c>
      <c r="P2728" s="64" t="str">
        <f aca="false">IF(AND($H2728&lt;&gt;"",ROUND($O2728,2)&lt;&gt;0),"有","")</f>
        <v/>
      </c>
    </row>
    <row r="2729" customFormat="false" ht="15" hidden="true" customHeight="false" outlineLevel="0" collapsed="false">
      <c r="A2729" s="53" t="str">
        <f aca="false">IF($H2729="","",ROW()-5)</f>
        <v/>
      </c>
      <c r="B2729" s="64" t="s">
        <v>36</v>
      </c>
      <c r="C2729" s="53" t="n">
        <v>686</v>
      </c>
      <c r="D2729" s="53" t="n">
        <v>4</v>
      </c>
      <c r="E2729" s="65" t="str">
        <f aca="false">IF($H2729="","",购销流水!$B686)</f>
        <v/>
      </c>
      <c r="F2729" s="55" t="str">
        <f aca="false">IF($H2729="","",购销流水!$C686)</f>
        <v/>
      </c>
      <c r="G2729" s="48" t="str">
        <f aca="false">IF($H2729="","",购销流水!$N686)</f>
        <v/>
      </c>
      <c r="H2729" s="10" t="str">
        <f aca="false">IF($L2729="","",IF($L2729="@成本",购销流水!$U686,IF($L2729="@收入",购销流水!$T686,IF($L2729="@存货",购销流水!$S686,IF($L2729="@结算",购销流水!$R686,$L2729)))))</f>
        <v/>
      </c>
      <c r="I2729" s="42" t="n">
        <f aca="false">IF($M2729="借",$O2729,0)</f>
        <v>0</v>
      </c>
      <c r="J2729" s="42" t="n">
        <f aca="false">IF($M2729="贷",$O2729,0)</f>
        <v>0</v>
      </c>
      <c r="K2729" s="48" t="str">
        <f aca="false">IF($H2729="","",购销流水!$E686)</f>
        <v/>
      </c>
      <c r="L2729" s="66" t="str">
        <f aca="false">IF(购销流水!$D686="","",IFERROR(INDEX(记账规则!$A$6:$N$9,MATCH(购销流水!$D686,记账规则!$A$6:$A$9,0),12),""))</f>
        <v/>
      </c>
      <c r="M2729" s="66" t="str">
        <f aca="false">IF($L2729="","",IFERROR(INDEX(记账规则!$A$6:$N$9,MATCH(购销流水!$D686,记账规则!$A$6:$A$9,0),13),""))</f>
        <v/>
      </c>
      <c r="N2729" s="66" t="str">
        <f aca="false">IF($L2729="","",IFERROR(INDEX(记账规则!$A$6:$N$9,MATCH(购销流水!$D686,记账规则!$A$6:$A$9,0),14),""))</f>
        <v/>
      </c>
      <c r="O2729" s="67" t="n">
        <f aca="false">IF($H2729="",0,ROUND(IF($N2729="成本金额",N(购销流水!$W686),IF($N2729="金额",N(购销流水!$Q686),0)),2))</f>
        <v>0</v>
      </c>
      <c r="P2729" s="64" t="str">
        <f aca="false">IF(AND($H2729&lt;&gt;"",ROUND($O2729,2)&lt;&gt;0),"有","")</f>
        <v/>
      </c>
    </row>
    <row r="2730" customFormat="false" ht="15" hidden="true" customHeight="false" outlineLevel="0" collapsed="false">
      <c r="A2730" s="53" t="str">
        <f aca="false">IF($H2730="","",ROW()-5)</f>
        <v/>
      </c>
      <c r="B2730" s="64" t="s">
        <v>36</v>
      </c>
      <c r="C2730" s="53" t="n">
        <v>687</v>
      </c>
      <c r="D2730" s="53" t="n">
        <v>1</v>
      </c>
      <c r="E2730" s="65" t="str">
        <f aca="false">IF($H2730="","",购销流水!$B687)</f>
        <v/>
      </c>
      <c r="F2730" s="55" t="str">
        <f aca="false">IF($H2730="","",购销流水!$C687)</f>
        <v/>
      </c>
      <c r="G2730" s="48" t="str">
        <f aca="false">IF($H2730="","",购销流水!$N687)</f>
        <v/>
      </c>
      <c r="H2730" s="10" t="str">
        <f aca="false">IF($L2730="","",IF($L2730="@成本",购销流水!$U687,IF($L2730="@收入",购销流水!$T687,IF($L2730="@存货",购销流水!$S687,IF($L2730="@结算",购销流水!$R687,$L2730)))))</f>
        <v/>
      </c>
      <c r="I2730" s="42" t="n">
        <f aca="false">IF($M2730="借",$O2730,0)</f>
        <v>0</v>
      </c>
      <c r="J2730" s="42" t="n">
        <f aca="false">IF($M2730="贷",$O2730,0)</f>
        <v>0</v>
      </c>
      <c r="K2730" s="48" t="str">
        <f aca="false">IF($H2730="","",购销流水!$E687)</f>
        <v/>
      </c>
      <c r="L2730" s="66" t="str">
        <f aca="false">IF(购销流水!$D687="","",IFERROR(INDEX(记账规则!$A$6:$N$9,MATCH(购销流水!$D687,记账规则!$A$6:$A$9,0),3),""))</f>
        <v/>
      </c>
      <c r="M2730" s="66" t="str">
        <f aca="false">IF($L2730="","",IFERROR(INDEX(记账规则!$A$6:$N$9,MATCH(购销流水!$D687,记账规则!$A$6:$A$9,0),4),""))</f>
        <v/>
      </c>
      <c r="N2730" s="66" t="str">
        <f aca="false">IF($L2730="","",IFERROR(INDEX(记账规则!$A$6:$N$9,MATCH(购销流水!$D687,记账规则!$A$6:$A$9,0),5),""))</f>
        <v/>
      </c>
      <c r="O2730" s="67" t="n">
        <f aca="false">IF($H2730="",0,ROUND(IF($N2730="成本金额",N(购销流水!$W687),IF($N2730="金额",N(购销流水!$Q687),0)),2))</f>
        <v>0</v>
      </c>
      <c r="P2730" s="64" t="str">
        <f aca="false">IF(AND($H2730&lt;&gt;"",ROUND($O2730,2)&lt;&gt;0),"有","")</f>
        <v/>
      </c>
    </row>
    <row r="2731" customFormat="false" ht="15" hidden="true" customHeight="false" outlineLevel="0" collapsed="false">
      <c r="A2731" s="53" t="str">
        <f aca="false">IF($H2731="","",ROW()-5)</f>
        <v/>
      </c>
      <c r="B2731" s="64" t="s">
        <v>36</v>
      </c>
      <c r="C2731" s="53" t="n">
        <v>687</v>
      </c>
      <c r="D2731" s="53" t="n">
        <v>2</v>
      </c>
      <c r="E2731" s="65" t="str">
        <f aca="false">IF($H2731="","",购销流水!$B687)</f>
        <v/>
      </c>
      <c r="F2731" s="55" t="str">
        <f aca="false">IF($H2731="","",购销流水!$C687)</f>
        <v/>
      </c>
      <c r="G2731" s="48" t="str">
        <f aca="false">IF($H2731="","",购销流水!$N687)</f>
        <v/>
      </c>
      <c r="H2731" s="10" t="str">
        <f aca="false">IF($L2731="","",IF($L2731="@成本",购销流水!$U687,IF($L2731="@收入",购销流水!$T687,IF($L2731="@存货",购销流水!$S687,IF($L2731="@结算",购销流水!$R687,$L2731)))))</f>
        <v/>
      </c>
      <c r="I2731" s="42" t="n">
        <f aca="false">IF($M2731="借",$O2731,0)</f>
        <v>0</v>
      </c>
      <c r="J2731" s="42" t="n">
        <f aca="false">IF($M2731="贷",$O2731,0)</f>
        <v>0</v>
      </c>
      <c r="K2731" s="48" t="str">
        <f aca="false">IF($H2731="","",购销流水!$E687)</f>
        <v/>
      </c>
      <c r="L2731" s="66" t="str">
        <f aca="false">IF(购销流水!$D687="","",IFERROR(INDEX(记账规则!$A$6:$N$9,MATCH(购销流水!$D687,记账规则!$A$6:$A$9,0),6),""))</f>
        <v/>
      </c>
      <c r="M2731" s="66" t="str">
        <f aca="false">IF($L2731="","",IFERROR(INDEX(记账规则!$A$6:$N$9,MATCH(购销流水!$D687,记账规则!$A$6:$A$9,0),7),""))</f>
        <v/>
      </c>
      <c r="N2731" s="66" t="str">
        <f aca="false">IF($L2731="","",IFERROR(INDEX(记账规则!$A$6:$N$9,MATCH(购销流水!$D687,记账规则!$A$6:$A$9,0),8),""))</f>
        <v/>
      </c>
      <c r="O2731" s="67" t="n">
        <f aca="false">IF($H2731="",0,ROUND(IF($N2731="成本金额",N(购销流水!$W687),IF($N2731="金额",N(购销流水!$Q687),0)),2))</f>
        <v>0</v>
      </c>
      <c r="P2731" s="64" t="str">
        <f aca="false">IF(AND($H2731&lt;&gt;"",ROUND($O2731,2)&lt;&gt;0),"有","")</f>
        <v/>
      </c>
    </row>
    <row r="2732" customFormat="false" ht="15" hidden="true" customHeight="false" outlineLevel="0" collapsed="false">
      <c r="A2732" s="53" t="str">
        <f aca="false">IF($H2732="","",ROW()-5)</f>
        <v/>
      </c>
      <c r="B2732" s="64" t="s">
        <v>36</v>
      </c>
      <c r="C2732" s="53" t="n">
        <v>687</v>
      </c>
      <c r="D2732" s="53" t="n">
        <v>3</v>
      </c>
      <c r="E2732" s="65" t="str">
        <f aca="false">IF($H2732="","",购销流水!$B687)</f>
        <v/>
      </c>
      <c r="F2732" s="55" t="str">
        <f aca="false">IF($H2732="","",购销流水!$C687)</f>
        <v/>
      </c>
      <c r="G2732" s="48" t="str">
        <f aca="false">IF($H2732="","",购销流水!$N687)</f>
        <v/>
      </c>
      <c r="H2732" s="10" t="str">
        <f aca="false">IF($L2732="","",IF($L2732="@成本",购销流水!$U687,IF($L2732="@收入",购销流水!$T687,IF($L2732="@存货",购销流水!$S687,IF($L2732="@结算",购销流水!$R687,$L2732)))))</f>
        <v/>
      </c>
      <c r="I2732" s="42" t="n">
        <f aca="false">IF($M2732="借",$O2732,0)</f>
        <v>0</v>
      </c>
      <c r="J2732" s="42" t="n">
        <f aca="false">IF($M2732="贷",$O2732,0)</f>
        <v>0</v>
      </c>
      <c r="K2732" s="48" t="str">
        <f aca="false">IF($H2732="","",购销流水!$E687)</f>
        <v/>
      </c>
      <c r="L2732" s="66" t="str">
        <f aca="false">IF(购销流水!$D687="","",IFERROR(INDEX(记账规则!$A$6:$N$9,MATCH(购销流水!$D687,记账规则!$A$6:$A$9,0),9),""))</f>
        <v/>
      </c>
      <c r="M2732" s="66" t="str">
        <f aca="false">IF($L2732="","",IFERROR(INDEX(记账规则!$A$6:$N$9,MATCH(购销流水!$D687,记账规则!$A$6:$A$9,0),10),""))</f>
        <v/>
      </c>
      <c r="N2732" s="66" t="str">
        <f aca="false">IF($L2732="","",IFERROR(INDEX(记账规则!$A$6:$N$9,MATCH(购销流水!$D687,记账规则!$A$6:$A$9,0),11),""))</f>
        <v/>
      </c>
      <c r="O2732" s="67" t="n">
        <f aca="false">IF($H2732="",0,ROUND(IF($N2732="成本金额",N(购销流水!$W687),IF($N2732="金额",N(购销流水!$Q687),0)),2))</f>
        <v>0</v>
      </c>
      <c r="P2732" s="64" t="str">
        <f aca="false">IF(AND($H2732&lt;&gt;"",ROUND($O2732,2)&lt;&gt;0),"有","")</f>
        <v/>
      </c>
    </row>
    <row r="2733" customFormat="false" ht="15" hidden="true" customHeight="false" outlineLevel="0" collapsed="false">
      <c r="A2733" s="53" t="str">
        <f aca="false">IF($H2733="","",ROW()-5)</f>
        <v/>
      </c>
      <c r="B2733" s="64" t="s">
        <v>36</v>
      </c>
      <c r="C2733" s="53" t="n">
        <v>687</v>
      </c>
      <c r="D2733" s="53" t="n">
        <v>4</v>
      </c>
      <c r="E2733" s="65" t="str">
        <f aca="false">IF($H2733="","",购销流水!$B687)</f>
        <v/>
      </c>
      <c r="F2733" s="55" t="str">
        <f aca="false">IF($H2733="","",购销流水!$C687)</f>
        <v/>
      </c>
      <c r="G2733" s="48" t="str">
        <f aca="false">IF($H2733="","",购销流水!$N687)</f>
        <v/>
      </c>
      <c r="H2733" s="10" t="str">
        <f aca="false">IF($L2733="","",IF($L2733="@成本",购销流水!$U687,IF($L2733="@收入",购销流水!$T687,IF($L2733="@存货",购销流水!$S687,IF($L2733="@结算",购销流水!$R687,$L2733)))))</f>
        <v/>
      </c>
      <c r="I2733" s="42" t="n">
        <f aca="false">IF($M2733="借",$O2733,0)</f>
        <v>0</v>
      </c>
      <c r="J2733" s="42" t="n">
        <f aca="false">IF($M2733="贷",$O2733,0)</f>
        <v>0</v>
      </c>
      <c r="K2733" s="48" t="str">
        <f aca="false">IF($H2733="","",购销流水!$E687)</f>
        <v/>
      </c>
      <c r="L2733" s="66" t="str">
        <f aca="false">IF(购销流水!$D687="","",IFERROR(INDEX(记账规则!$A$6:$N$9,MATCH(购销流水!$D687,记账规则!$A$6:$A$9,0),12),""))</f>
        <v/>
      </c>
      <c r="M2733" s="66" t="str">
        <f aca="false">IF($L2733="","",IFERROR(INDEX(记账规则!$A$6:$N$9,MATCH(购销流水!$D687,记账规则!$A$6:$A$9,0),13),""))</f>
        <v/>
      </c>
      <c r="N2733" s="66" t="str">
        <f aca="false">IF($L2733="","",IFERROR(INDEX(记账规则!$A$6:$N$9,MATCH(购销流水!$D687,记账规则!$A$6:$A$9,0),14),""))</f>
        <v/>
      </c>
      <c r="O2733" s="67" t="n">
        <f aca="false">IF($H2733="",0,ROUND(IF($N2733="成本金额",N(购销流水!$W687),IF($N2733="金额",N(购销流水!$Q687),0)),2))</f>
        <v>0</v>
      </c>
      <c r="P2733" s="64" t="str">
        <f aca="false">IF(AND($H2733&lt;&gt;"",ROUND($O2733,2)&lt;&gt;0),"有","")</f>
        <v/>
      </c>
    </row>
    <row r="2734" customFormat="false" ht="15" hidden="true" customHeight="false" outlineLevel="0" collapsed="false">
      <c r="A2734" s="53" t="str">
        <f aca="false">IF($H2734="","",ROW()-5)</f>
        <v/>
      </c>
      <c r="B2734" s="64" t="s">
        <v>36</v>
      </c>
      <c r="C2734" s="53" t="n">
        <v>688</v>
      </c>
      <c r="D2734" s="53" t="n">
        <v>1</v>
      </c>
      <c r="E2734" s="65" t="str">
        <f aca="false">IF($H2734="","",购销流水!$B688)</f>
        <v/>
      </c>
      <c r="F2734" s="55" t="str">
        <f aca="false">IF($H2734="","",购销流水!$C688)</f>
        <v/>
      </c>
      <c r="G2734" s="48" t="str">
        <f aca="false">IF($H2734="","",购销流水!$N688)</f>
        <v/>
      </c>
      <c r="H2734" s="10" t="str">
        <f aca="false">IF($L2734="","",IF($L2734="@成本",购销流水!$U688,IF($L2734="@收入",购销流水!$T688,IF($L2734="@存货",购销流水!$S688,IF($L2734="@结算",购销流水!$R688,$L2734)))))</f>
        <v/>
      </c>
      <c r="I2734" s="42" t="n">
        <f aca="false">IF($M2734="借",$O2734,0)</f>
        <v>0</v>
      </c>
      <c r="J2734" s="42" t="n">
        <f aca="false">IF($M2734="贷",$O2734,0)</f>
        <v>0</v>
      </c>
      <c r="K2734" s="48" t="str">
        <f aca="false">IF($H2734="","",购销流水!$E688)</f>
        <v/>
      </c>
      <c r="L2734" s="66" t="str">
        <f aca="false">IF(购销流水!$D688="","",IFERROR(INDEX(记账规则!$A$6:$N$9,MATCH(购销流水!$D688,记账规则!$A$6:$A$9,0),3),""))</f>
        <v/>
      </c>
      <c r="M2734" s="66" t="str">
        <f aca="false">IF($L2734="","",IFERROR(INDEX(记账规则!$A$6:$N$9,MATCH(购销流水!$D688,记账规则!$A$6:$A$9,0),4),""))</f>
        <v/>
      </c>
      <c r="N2734" s="66" t="str">
        <f aca="false">IF($L2734="","",IFERROR(INDEX(记账规则!$A$6:$N$9,MATCH(购销流水!$D688,记账规则!$A$6:$A$9,0),5),""))</f>
        <v/>
      </c>
      <c r="O2734" s="67" t="n">
        <f aca="false">IF($H2734="",0,ROUND(IF($N2734="成本金额",N(购销流水!$W688),IF($N2734="金额",N(购销流水!$Q688),0)),2))</f>
        <v>0</v>
      </c>
      <c r="P2734" s="64" t="str">
        <f aca="false">IF(AND($H2734&lt;&gt;"",ROUND($O2734,2)&lt;&gt;0),"有","")</f>
        <v/>
      </c>
    </row>
    <row r="2735" customFormat="false" ht="15" hidden="true" customHeight="false" outlineLevel="0" collapsed="false">
      <c r="A2735" s="53" t="str">
        <f aca="false">IF($H2735="","",ROW()-5)</f>
        <v/>
      </c>
      <c r="B2735" s="64" t="s">
        <v>36</v>
      </c>
      <c r="C2735" s="53" t="n">
        <v>688</v>
      </c>
      <c r="D2735" s="53" t="n">
        <v>2</v>
      </c>
      <c r="E2735" s="65" t="str">
        <f aca="false">IF($H2735="","",购销流水!$B688)</f>
        <v/>
      </c>
      <c r="F2735" s="55" t="str">
        <f aca="false">IF($H2735="","",购销流水!$C688)</f>
        <v/>
      </c>
      <c r="G2735" s="48" t="str">
        <f aca="false">IF($H2735="","",购销流水!$N688)</f>
        <v/>
      </c>
      <c r="H2735" s="10" t="str">
        <f aca="false">IF($L2735="","",IF($L2735="@成本",购销流水!$U688,IF($L2735="@收入",购销流水!$T688,IF($L2735="@存货",购销流水!$S688,IF($L2735="@结算",购销流水!$R688,$L2735)))))</f>
        <v/>
      </c>
      <c r="I2735" s="42" t="n">
        <f aca="false">IF($M2735="借",$O2735,0)</f>
        <v>0</v>
      </c>
      <c r="J2735" s="42" t="n">
        <f aca="false">IF($M2735="贷",$O2735,0)</f>
        <v>0</v>
      </c>
      <c r="K2735" s="48" t="str">
        <f aca="false">IF($H2735="","",购销流水!$E688)</f>
        <v/>
      </c>
      <c r="L2735" s="66" t="str">
        <f aca="false">IF(购销流水!$D688="","",IFERROR(INDEX(记账规则!$A$6:$N$9,MATCH(购销流水!$D688,记账规则!$A$6:$A$9,0),6),""))</f>
        <v/>
      </c>
      <c r="M2735" s="66" t="str">
        <f aca="false">IF($L2735="","",IFERROR(INDEX(记账规则!$A$6:$N$9,MATCH(购销流水!$D688,记账规则!$A$6:$A$9,0),7),""))</f>
        <v/>
      </c>
      <c r="N2735" s="66" t="str">
        <f aca="false">IF($L2735="","",IFERROR(INDEX(记账规则!$A$6:$N$9,MATCH(购销流水!$D688,记账规则!$A$6:$A$9,0),8),""))</f>
        <v/>
      </c>
      <c r="O2735" s="67" t="n">
        <f aca="false">IF($H2735="",0,ROUND(IF($N2735="成本金额",N(购销流水!$W688),IF($N2735="金额",N(购销流水!$Q688),0)),2))</f>
        <v>0</v>
      </c>
      <c r="P2735" s="64" t="str">
        <f aca="false">IF(AND($H2735&lt;&gt;"",ROUND($O2735,2)&lt;&gt;0),"有","")</f>
        <v/>
      </c>
    </row>
    <row r="2736" customFormat="false" ht="15" hidden="true" customHeight="false" outlineLevel="0" collapsed="false">
      <c r="A2736" s="53" t="str">
        <f aca="false">IF($H2736="","",ROW()-5)</f>
        <v/>
      </c>
      <c r="B2736" s="64" t="s">
        <v>36</v>
      </c>
      <c r="C2736" s="53" t="n">
        <v>688</v>
      </c>
      <c r="D2736" s="53" t="n">
        <v>3</v>
      </c>
      <c r="E2736" s="65" t="str">
        <f aca="false">IF($H2736="","",购销流水!$B688)</f>
        <v/>
      </c>
      <c r="F2736" s="55" t="str">
        <f aca="false">IF($H2736="","",购销流水!$C688)</f>
        <v/>
      </c>
      <c r="G2736" s="48" t="str">
        <f aca="false">IF($H2736="","",购销流水!$N688)</f>
        <v/>
      </c>
      <c r="H2736" s="10" t="str">
        <f aca="false">IF($L2736="","",IF($L2736="@成本",购销流水!$U688,IF($L2736="@收入",购销流水!$T688,IF($L2736="@存货",购销流水!$S688,IF($L2736="@结算",购销流水!$R688,$L2736)))))</f>
        <v/>
      </c>
      <c r="I2736" s="42" t="n">
        <f aca="false">IF($M2736="借",$O2736,0)</f>
        <v>0</v>
      </c>
      <c r="J2736" s="42" t="n">
        <f aca="false">IF($M2736="贷",$O2736,0)</f>
        <v>0</v>
      </c>
      <c r="K2736" s="48" t="str">
        <f aca="false">IF($H2736="","",购销流水!$E688)</f>
        <v/>
      </c>
      <c r="L2736" s="66" t="str">
        <f aca="false">IF(购销流水!$D688="","",IFERROR(INDEX(记账规则!$A$6:$N$9,MATCH(购销流水!$D688,记账规则!$A$6:$A$9,0),9),""))</f>
        <v/>
      </c>
      <c r="M2736" s="66" t="str">
        <f aca="false">IF($L2736="","",IFERROR(INDEX(记账规则!$A$6:$N$9,MATCH(购销流水!$D688,记账规则!$A$6:$A$9,0),10),""))</f>
        <v/>
      </c>
      <c r="N2736" s="66" t="str">
        <f aca="false">IF($L2736="","",IFERROR(INDEX(记账规则!$A$6:$N$9,MATCH(购销流水!$D688,记账规则!$A$6:$A$9,0),11),""))</f>
        <v/>
      </c>
      <c r="O2736" s="67" t="n">
        <f aca="false">IF($H2736="",0,ROUND(IF($N2736="成本金额",N(购销流水!$W688),IF($N2736="金额",N(购销流水!$Q688),0)),2))</f>
        <v>0</v>
      </c>
      <c r="P2736" s="64" t="str">
        <f aca="false">IF(AND($H2736&lt;&gt;"",ROUND($O2736,2)&lt;&gt;0),"有","")</f>
        <v/>
      </c>
    </row>
    <row r="2737" customFormat="false" ht="15" hidden="true" customHeight="false" outlineLevel="0" collapsed="false">
      <c r="A2737" s="53" t="str">
        <f aca="false">IF($H2737="","",ROW()-5)</f>
        <v/>
      </c>
      <c r="B2737" s="64" t="s">
        <v>36</v>
      </c>
      <c r="C2737" s="53" t="n">
        <v>688</v>
      </c>
      <c r="D2737" s="53" t="n">
        <v>4</v>
      </c>
      <c r="E2737" s="65" t="str">
        <f aca="false">IF($H2737="","",购销流水!$B688)</f>
        <v/>
      </c>
      <c r="F2737" s="55" t="str">
        <f aca="false">IF($H2737="","",购销流水!$C688)</f>
        <v/>
      </c>
      <c r="G2737" s="48" t="str">
        <f aca="false">IF($H2737="","",购销流水!$N688)</f>
        <v/>
      </c>
      <c r="H2737" s="10" t="str">
        <f aca="false">IF($L2737="","",IF($L2737="@成本",购销流水!$U688,IF($L2737="@收入",购销流水!$T688,IF($L2737="@存货",购销流水!$S688,IF($L2737="@结算",购销流水!$R688,$L2737)))))</f>
        <v/>
      </c>
      <c r="I2737" s="42" t="n">
        <f aca="false">IF($M2737="借",$O2737,0)</f>
        <v>0</v>
      </c>
      <c r="J2737" s="42" t="n">
        <f aca="false">IF($M2737="贷",$O2737,0)</f>
        <v>0</v>
      </c>
      <c r="K2737" s="48" t="str">
        <f aca="false">IF($H2737="","",购销流水!$E688)</f>
        <v/>
      </c>
      <c r="L2737" s="66" t="str">
        <f aca="false">IF(购销流水!$D688="","",IFERROR(INDEX(记账规则!$A$6:$N$9,MATCH(购销流水!$D688,记账规则!$A$6:$A$9,0),12),""))</f>
        <v/>
      </c>
      <c r="M2737" s="66" t="str">
        <f aca="false">IF($L2737="","",IFERROR(INDEX(记账规则!$A$6:$N$9,MATCH(购销流水!$D688,记账规则!$A$6:$A$9,0),13),""))</f>
        <v/>
      </c>
      <c r="N2737" s="66" t="str">
        <f aca="false">IF($L2737="","",IFERROR(INDEX(记账规则!$A$6:$N$9,MATCH(购销流水!$D688,记账规则!$A$6:$A$9,0),14),""))</f>
        <v/>
      </c>
      <c r="O2737" s="67" t="n">
        <f aca="false">IF($H2737="",0,ROUND(IF($N2737="成本金额",N(购销流水!$W688),IF($N2737="金额",N(购销流水!$Q688),0)),2))</f>
        <v>0</v>
      </c>
      <c r="P2737" s="64" t="str">
        <f aca="false">IF(AND($H2737&lt;&gt;"",ROUND($O2737,2)&lt;&gt;0),"有","")</f>
        <v/>
      </c>
    </row>
    <row r="2738" customFormat="false" ht="15" hidden="true" customHeight="false" outlineLevel="0" collapsed="false">
      <c r="A2738" s="53" t="str">
        <f aca="false">IF($H2738="","",ROW()-5)</f>
        <v/>
      </c>
      <c r="B2738" s="64" t="s">
        <v>36</v>
      </c>
      <c r="C2738" s="53" t="n">
        <v>689</v>
      </c>
      <c r="D2738" s="53" t="n">
        <v>1</v>
      </c>
      <c r="E2738" s="65" t="str">
        <f aca="false">IF($H2738="","",购销流水!$B689)</f>
        <v/>
      </c>
      <c r="F2738" s="55" t="str">
        <f aca="false">IF($H2738="","",购销流水!$C689)</f>
        <v/>
      </c>
      <c r="G2738" s="48" t="str">
        <f aca="false">IF($H2738="","",购销流水!$N689)</f>
        <v/>
      </c>
      <c r="H2738" s="10" t="str">
        <f aca="false">IF($L2738="","",IF($L2738="@成本",购销流水!$U689,IF($L2738="@收入",购销流水!$T689,IF($L2738="@存货",购销流水!$S689,IF($L2738="@结算",购销流水!$R689,$L2738)))))</f>
        <v/>
      </c>
      <c r="I2738" s="42" t="n">
        <f aca="false">IF($M2738="借",$O2738,0)</f>
        <v>0</v>
      </c>
      <c r="J2738" s="42" t="n">
        <f aca="false">IF($M2738="贷",$O2738,0)</f>
        <v>0</v>
      </c>
      <c r="K2738" s="48" t="str">
        <f aca="false">IF($H2738="","",购销流水!$E689)</f>
        <v/>
      </c>
      <c r="L2738" s="66" t="str">
        <f aca="false">IF(购销流水!$D689="","",IFERROR(INDEX(记账规则!$A$6:$N$9,MATCH(购销流水!$D689,记账规则!$A$6:$A$9,0),3),""))</f>
        <v/>
      </c>
      <c r="M2738" s="66" t="str">
        <f aca="false">IF($L2738="","",IFERROR(INDEX(记账规则!$A$6:$N$9,MATCH(购销流水!$D689,记账规则!$A$6:$A$9,0),4),""))</f>
        <v/>
      </c>
      <c r="N2738" s="66" t="str">
        <f aca="false">IF($L2738="","",IFERROR(INDEX(记账规则!$A$6:$N$9,MATCH(购销流水!$D689,记账规则!$A$6:$A$9,0),5),""))</f>
        <v/>
      </c>
      <c r="O2738" s="67" t="n">
        <f aca="false">IF($H2738="",0,ROUND(IF($N2738="成本金额",N(购销流水!$W689),IF($N2738="金额",N(购销流水!$Q689),0)),2))</f>
        <v>0</v>
      </c>
      <c r="P2738" s="64" t="str">
        <f aca="false">IF(AND($H2738&lt;&gt;"",ROUND($O2738,2)&lt;&gt;0),"有","")</f>
        <v/>
      </c>
    </row>
    <row r="2739" customFormat="false" ht="15" hidden="true" customHeight="false" outlineLevel="0" collapsed="false">
      <c r="A2739" s="53" t="str">
        <f aca="false">IF($H2739="","",ROW()-5)</f>
        <v/>
      </c>
      <c r="B2739" s="64" t="s">
        <v>36</v>
      </c>
      <c r="C2739" s="53" t="n">
        <v>689</v>
      </c>
      <c r="D2739" s="53" t="n">
        <v>2</v>
      </c>
      <c r="E2739" s="65" t="str">
        <f aca="false">IF($H2739="","",购销流水!$B689)</f>
        <v/>
      </c>
      <c r="F2739" s="55" t="str">
        <f aca="false">IF($H2739="","",购销流水!$C689)</f>
        <v/>
      </c>
      <c r="G2739" s="48" t="str">
        <f aca="false">IF($H2739="","",购销流水!$N689)</f>
        <v/>
      </c>
      <c r="H2739" s="10" t="str">
        <f aca="false">IF($L2739="","",IF($L2739="@成本",购销流水!$U689,IF($L2739="@收入",购销流水!$T689,IF($L2739="@存货",购销流水!$S689,IF($L2739="@结算",购销流水!$R689,$L2739)))))</f>
        <v/>
      </c>
      <c r="I2739" s="42" t="n">
        <f aca="false">IF($M2739="借",$O2739,0)</f>
        <v>0</v>
      </c>
      <c r="J2739" s="42" t="n">
        <f aca="false">IF($M2739="贷",$O2739,0)</f>
        <v>0</v>
      </c>
      <c r="K2739" s="48" t="str">
        <f aca="false">IF($H2739="","",购销流水!$E689)</f>
        <v/>
      </c>
      <c r="L2739" s="66" t="str">
        <f aca="false">IF(购销流水!$D689="","",IFERROR(INDEX(记账规则!$A$6:$N$9,MATCH(购销流水!$D689,记账规则!$A$6:$A$9,0),6),""))</f>
        <v/>
      </c>
      <c r="M2739" s="66" t="str">
        <f aca="false">IF($L2739="","",IFERROR(INDEX(记账规则!$A$6:$N$9,MATCH(购销流水!$D689,记账规则!$A$6:$A$9,0),7),""))</f>
        <v/>
      </c>
      <c r="N2739" s="66" t="str">
        <f aca="false">IF($L2739="","",IFERROR(INDEX(记账规则!$A$6:$N$9,MATCH(购销流水!$D689,记账规则!$A$6:$A$9,0),8),""))</f>
        <v/>
      </c>
      <c r="O2739" s="67" t="n">
        <f aca="false">IF($H2739="",0,ROUND(IF($N2739="成本金额",N(购销流水!$W689),IF($N2739="金额",N(购销流水!$Q689),0)),2))</f>
        <v>0</v>
      </c>
      <c r="P2739" s="64" t="str">
        <f aca="false">IF(AND($H2739&lt;&gt;"",ROUND($O2739,2)&lt;&gt;0),"有","")</f>
        <v/>
      </c>
    </row>
    <row r="2740" customFormat="false" ht="15" hidden="true" customHeight="false" outlineLevel="0" collapsed="false">
      <c r="A2740" s="53" t="str">
        <f aca="false">IF($H2740="","",ROW()-5)</f>
        <v/>
      </c>
      <c r="B2740" s="64" t="s">
        <v>36</v>
      </c>
      <c r="C2740" s="53" t="n">
        <v>689</v>
      </c>
      <c r="D2740" s="53" t="n">
        <v>3</v>
      </c>
      <c r="E2740" s="65" t="str">
        <f aca="false">IF($H2740="","",购销流水!$B689)</f>
        <v/>
      </c>
      <c r="F2740" s="55" t="str">
        <f aca="false">IF($H2740="","",购销流水!$C689)</f>
        <v/>
      </c>
      <c r="G2740" s="48" t="str">
        <f aca="false">IF($H2740="","",购销流水!$N689)</f>
        <v/>
      </c>
      <c r="H2740" s="10" t="str">
        <f aca="false">IF($L2740="","",IF($L2740="@成本",购销流水!$U689,IF($L2740="@收入",购销流水!$T689,IF($L2740="@存货",购销流水!$S689,IF($L2740="@结算",购销流水!$R689,$L2740)))))</f>
        <v/>
      </c>
      <c r="I2740" s="42" t="n">
        <f aca="false">IF($M2740="借",$O2740,0)</f>
        <v>0</v>
      </c>
      <c r="J2740" s="42" t="n">
        <f aca="false">IF($M2740="贷",$O2740,0)</f>
        <v>0</v>
      </c>
      <c r="K2740" s="48" t="str">
        <f aca="false">IF($H2740="","",购销流水!$E689)</f>
        <v/>
      </c>
      <c r="L2740" s="66" t="str">
        <f aca="false">IF(购销流水!$D689="","",IFERROR(INDEX(记账规则!$A$6:$N$9,MATCH(购销流水!$D689,记账规则!$A$6:$A$9,0),9),""))</f>
        <v/>
      </c>
      <c r="M2740" s="66" t="str">
        <f aca="false">IF($L2740="","",IFERROR(INDEX(记账规则!$A$6:$N$9,MATCH(购销流水!$D689,记账规则!$A$6:$A$9,0),10),""))</f>
        <v/>
      </c>
      <c r="N2740" s="66" t="str">
        <f aca="false">IF($L2740="","",IFERROR(INDEX(记账规则!$A$6:$N$9,MATCH(购销流水!$D689,记账规则!$A$6:$A$9,0),11),""))</f>
        <v/>
      </c>
      <c r="O2740" s="67" t="n">
        <f aca="false">IF($H2740="",0,ROUND(IF($N2740="成本金额",N(购销流水!$W689),IF($N2740="金额",N(购销流水!$Q689),0)),2))</f>
        <v>0</v>
      </c>
      <c r="P2740" s="64" t="str">
        <f aca="false">IF(AND($H2740&lt;&gt;"",ROUND($O2740,2)&lt;&gt;0),"有","")</f>
        <v/>
      </c>
    </row>
    <row r="2741" customFormat="false" ht="15" hidden="true" customHeight="false" outlineLevel="0" collapsed="false">
      <c r="A2741" s="53" t="str">
        <f aca="false">IF($H2741="","",ROW()-5)</f>
        <v/>
      </c>
      <c r="B2741" s="64" t="s">
        <v>36</v>
      </c>
      <c r="C2741" s="53" t="n">
        <v>689</v>
      </c>
      <c r="D2741" s="53" t="n">
        <v>4</v>
      </c>
      <c r="E2741" s="65" t="str">
        <f aca="false">IF($H2741="","",购销流水!$B689)</f>
        <v/>
      </c>
      <c r="F2741" s="55" t="str">
        <f aca="false">IF($H2741="","",购销流水!$C689)</f>
        <v/>
      </c>
      <c r="G2741" s="48" t="str">
        <f aca="false">IF($H2741="","",购销流水!$N689)</f>
        <v/>
      </c>
      <c r="H2741" s="10" t="str">
        <f aca="false">IF($L2741="","",IF($L2741="@成本",购销流水!$U689,IF($L2741="@收入",购销流水!$T689,IF($L2741="@存货",购销流水!$S689,IF($L2741="@结算",购销流水!$R689,$L2741)))))</f>
        <v/>
      </c>
      <c r="I2741" s="42" t="n">
        <f aca="false">IF($M2741="借",$O2741,0)</f>
        <v>0</v>
      </c>
      <c r="J2741" s="42" t="n">
        <f aca="false">IF($M2741="贷",$O2741,0)</f>
        <v>0</v>
      </c>
      <c r="K2741" s="48" t="str">
        <f aca="false">IF($H2741="","",购销流水!$E689)</f>
        <v/>
      </c>
      <c r="L2741" s="66" t="str">
        <f aca="false">IF(购销流水!$D689="","",IFERROR(INDEX(记账规则!$A$6:$N$9,MATCH(购销流水!$D689,记账规则!$A$6:$A$9,0),12),""))</f>
        <v/>
      </c>
      <c r="M2741" s="66" t="str">
        <f aca="false">IF($L2741="","",IFERROR(INDEX(记账规则!$A$6:$N$9,MATCH(购销流水!$D689,记账规则!$A$6:$A$9,0),13),""))</f>
        <v/>
      </c>
      <c r="N2741" s="66" t="str">
        <f aca="false">IF($L2741="","",IFERROR(INDEX(记账规则!$A$6:$N$9,MATCH(购销流水!$D689,记账规则!$A$6:$A$9,0),14),""))</f>
        <v/>
      </c>
      <c r="O2741" s="67" t="n">
        <f aca="false">IF($H2741="",0,ROUND(IF($N2741="成本金额",N(购销流水!$W689),IF($N2741="金额",N(购销流水!$Q689),0)),2))</f>
        <v>0</v>
      </c>
      <c r="P2741" s="64" t="str">
        <f aca="false">IF(AND($H2741&lt;&gt;"",ROUND($O2741,2)&lt;&gt;0),"有","")</f>
        <v/>
      </c>
    </row>
    <row r="2742" customFormat="false" ht="15" hidden="true" customHeight="false" outlineLevel="0" collapsed="false">
      <c r="A2742" s="53" t="str">
        <f aca="false">IF($H2742="","",ROW()-5)</f>
        <v/>
      </c>
      <c r="B2742" s="64" t="s">
        <v>36</v>
      </c>
      <c r="C2742" s="53" t="n">
        <v>690</v>
      </c>
      <c r="D2742" s="53" t="n">
        <v>1</v>
      </c>
      <c r="E2742" s="65" t="str">
        <f aca="false">IF($H2742="","",购销流水!$B690)</f>
        <v/>
      </c>
      <c r="F2742" s="55" t="str">
        <f aca="false">IF($H2742="","",购销流水!$C690)</f>
        <v/>
      </c>
      <c r="G2742" s="48" t="str">
        <f aca="false">IF($H2742="","",购销流水!$N690)</f>
        <v/>
      </c>
      <c r="H2742" s="10" t="str">
        <f aca="false">IF($L2742="","",IF($L2742="@成本",购销流水!$U690,IF($L2742="@收入",购销流水!$T690,IF($L2742="@存货",购销流水!$S690,IF($L2742="@结算",购销流水!$R690,$L2742)))))</f>
        <v/>
      </c>
      <c r="I2742" s="42" t="n">
        <f aca="false">IF($M2742="借",$O2742,0)</f>
        <v>0</v>
      </c>
      <c r="J2742" s="42" t="n">
        <f aca="false">IF($M2742="贷",$O2742,0)</f>
        <v>0</v>
      </c>
      <c r="K2742" s="48" t="str">
        <f aca="false">IF($H2742="","",购销流水!$E690)</f>
        <v/>
      </c>
      <c r="L2742" s="66" t="str">
        <f aca="false">IF(购销流水!$D690="","",IFERROR(INDEX(记账规则!$A$6:$N$9,MATCH(购销流水!$D690,记账规则!$A$6:$A$9,0),3),""))</f>
        <v/>
      </c>
      <c r="M2742" s="66" t="str">
        <f aca="false">IF($L2742="","",IFERROR(INDEX(记账规则!$A$6:$N$9,MATCH(购销流水!$D690,记账规则!$A$6:$A$9,0),4),""))</f>
        <v/>
      </c>
      <c r="N2742" s="66" t="str">
        <f aca="false">IF($L2742="","",IFERROR(INDEX(记账规则!$A$6:$N$9,MATCH(购销流水!$D690,记账规则!$A$6:$A$9,0),5),""))</f>
        <v/>
      </c>
      <c r="O2742" s="67" t="n">
        <f aca="false">IF($H2742="",0,ROUND(IF($N2742="成本金额",N(购销流水!$W690),IF($N2742="金额",N(购销流水!$Q690),0)),2))</f>
        <v>0</v>
      </c>
      <c r="P2742" s="64" t="str">
        <f aca="false">IF(AND($H2742&lt;&gt;"",ROUND($O2742,2)&lt;&gt;0),"有","")</f>
        <v/>
      </c>
    </row>
    <row r="2743" customFormat="false" ht="15" hidden="true" customHeight="false" outlineLevel="0" collapsed="false">
      <c r="A2743" s="53" t="str">
        <f aca="false">IF($H2743="","",ROW()-5)</f>
        <v/>
      </c>
      <c r="B2743" s="64" t="s">
        <v>36</v>
      </c>
      <c r="C2743" s="53" t="n">
        <v>690</v>
      </c>
      <c r="D2743" s="53" t="n">
        <v>2</v>
      </c>
      <c r="E2743" s="65" t="str">
        <f aca="false">IF($H2743="","",购销流水!$B690)</f>
        <v/>
      </c>
      <c r="F2743" s="55" t="str">
        <f aca="false">IF($H2743="","",购销流水!$C690)</f>
        <v/>
      </c>
      <c r="G2743" s="48" t="str">
        <f aca="false">IF($H2743="","",购销流水!$N690)</f>
        <v/>
      </c>
      <c r="H2743" s="10" t="str">
        <f aca="false">IF($L2743="","",IF($L2743="@成本",购销流水!$U690,IF($L2743="@收入",购销流水!$T690,IF($L2743="@存货",购销流水!$S690,IF($L2743="@结算",购销流水!$R690,$L2743)))))</f>
        <v/>
      </c>
      <c r="I2743" s="42" t="n">
        <f aca="false">IF($M2743="借",$O2743,0)</f>
        <v>0</v>
      </c>
      <c r="J2743" s="42" t="n">
        <f aca="false">IF($M2743="贷",$O2743,0)</f>
        <v>0</v>
      </c>
      <c r="K2743" s="48" t="str">
        <f aca="false">IF($H2743="","",购销流水!$E690)</f>
        <v/>
      </c>
      <c r="L2743" s="66" t="str">
        <f aca="false">IF(购销流水!$D690="","",IFERROR(INDEX(记账规则!$A$6:$N$9,MATCH(购销流水!$D690,记账规则!$A$6:$A$9,0),6),""))</f>
        <v/>
      </c>
      <c r="M2743" s="66" t="str">
        <f aca="false">IF($L2743="","",IFERROR(INDEX(记账规则!$A$6:$N$9,MATCH(购销流水!$D690,记账规则!$A$6:$A$9,0),7),""))</f>
        <v/>
      </c>
      <c r="N2743" s="66" t="str">
        <f aca="false">IF($L2743="","",IFERROR(INDEX(记账规则!$A$6:$N$9,MATCH(购销流水!$D690,记账规则!$A$6:$A$9,0),8),""))</f>
        <v/>
      </c>
      <c r="O2743" s="67" t="n">
        <f aca="false">IF($H2743="",0,ROUND(IF($N2743="成本金额",N(购销流水!$W690),IF($N2743="金额",N(购销流水!$Q690),0)),2))</f>
        <v>0</v>
      </c>
      <c r="P2743" s="64" t="str">
        <f aca="false">IF(AND($H2743&lt;&gt;"",ROUND($O2743,2)&lt;&gt;0),"有","")</f>
        <v/>
      </c>
    </row>
    <row r="2744" customFormat="false" ht="15" hidden="true" customHeight="false" outlineLevel="0" collapsed="false">
      <c r="A2744" s="53" t="str">
        <f aca="false">IF($H2744="","",ROW()-5)</f>
        <v/>
      </c>
      <c r="B2744" s="64" t="s">
        <v>36</v>
      </c>
      <c r="C2744" s="53" t="n">
        <v>690</v>
      </c>
      <c r="D2744" s="53" t="n">
        <v>3</v>
      </c>
      <c r="E2744" s="65" t="str">
        <f aca="false">IF($H2744="","",购销流水!$B690)</f>
        <v/>
      </c>
      <c r="F2744" s="55" t="str">
        <f aca="false">IF($H2744="","",购销流水!$C690)</f>
        <v/>
      </c>
      <c r="G2744" s="48" t="str">
        <f aca="false">IF($H2744="","",购销流水!$N690)</f>
        <v/>
      </c>
      <c r="H2744" s="10" t="str">
        <f aca="false">IF($L2744="","",IF($L2744="@成本",购销流水!$U690,IF($L2744="@收入",购销流水!$T690,IF($L2744="@存货",购销流水!$S690,IF($L2744="@结算",购销流水!$R690,$L2744)))))</f>
        <v/>
      </c>
      <c r="I2744" s="42" t="n">
        <f aca="false">IF($M2744="借",$O2744,0)</f>
        <v>0</v>
      </c>
      <c r="J2744" s="42" t="n">
        <f aca="false">IF($M2744="贷",$O2744,0)</f>
        <v>0</v>
      </c>
      <c r="K2744" s="48" t="str">
        <f aca="false">IF($H2744="","",购销流水!$E690)</f>
        <v/>
      </c>
      <c r="L2744" s="66" t="str">
        <f aca="false">IF(购销流水!$D690="","",IFERROR(INDEX(记账规则!$A$6:$N$9,MATCH(购销流水!$D690,记账规则!$A$6:$A$9,0),9),""))</f>
        <v/>
      </c>
      <c r="M2744" s="66" t="str">
        <f aca="false">IF($L2744="","",IFERROR(INDEX(记账规则!$A$6:$N$9,MATCH(购销流水!$D690,记账规则!$A$6:$A$9,0),10),""))</f>
        <v/>
      </c>
      <c r="N2744" s="66" t="str">
        <f aca="false">IF($L2744="","",IFERROR(INDEX(记账规则!$A$6:$N$9,MATCH(购销流水!$D690,记账规则!$A$6:$A$9,0),11),""))</f>
        <v/>
      </c>
      <c r="O2744" s="67" t="n">
        <f aca="false">IF($H2744="",0,ROUND(IF($N2744="成本金额",N(购销流水!$W690),IF($N2744="金额",N(购销流水!$Q690),0)),2))</f>
        <v>0</v>
      </c>
      <c r="P2744" s="64" t="str">
        <f aca="false">IF(AND($H2744&lt;&gt;"",ROUND($O2744,2)&lt;&gt;0),"有","")</f>
        <v/>
      </c>
    </row>
    <row r="2745" customFormat="false" ht="15" hidden="true" customHeight="false" outlineLevel="0" collapsed="false">
      <c r="A2745" s="53" t="str">
        <f aca="false">IF($H2745="","",ROW()-5)</f>
        <v/>
      </c>
      <c r="B2745" s="64" t="s">
        <v>36</v>
      </c>
      <c r="C2745" s="53" t="n">
        <v>690</v>
      </c>
      <c r="D2745" s="53" t="n">
        <v>4</v>
      </c>
      <c r="E2745" s="65" t="str">
        <f aca="false">IF($H2745="","",购销流水!$B690)</f>
        <v/>
      </c>
      <c r="F2745" s="55" t="str">
        <f aca="false">IF($H2745="","",购销流水!$C690)</f>
        <v/>
      </c>
      <c r="G2745" s="48" t="str">
        <f aca="false">IF($H2745="","",购销流水!$N690)</f>
        <v/>
      </c>
      <c r="H2745" s="10" t="str">
        <f aca="false">IF($L2745="","",IF($L2745="@成本",购销流水!$U690,IF($L2745="@收入",购销流水!$T690,IF($L2745="@存货",购销流水!$S690,IF($L2745="@结算",购销流水!$R690,$L2745)))))</f>
        <v/>
      </c>
      <c r="I2745" s="42" t="n">
        <f aca="false">IF($M2745="借",$O2745,0)</f>
        <v>0</v>
      </c>
      <c r="J2745" s="42" t="n">
        <f aca="false">IF($M2745="贷",$O2745,0)</f>
        <v>0</v>
      </c>
      <c r="K2745" s="48" t="str">
        <f aca="false">IF($H2745="","",购销流水!$E690)</f>
        <v/>
      </c>
      <c r="L2745" s="66" t="str">
        <f aca="false">IF(购销流水!$D690="","",IFERROR(INDEX(记账规则!$A$6:$N$9,MATCH(购销流水!$D690,记账规则!$A$6:$A$9,0),12),""))</f>
        <v/>
      </c>
      <c r="M2745" s="66" t="str">
        <f aca="false">IF($L2745="","",IFERROR(INDEX(记账规则!$A$6:$N$9,MATCH(购销流水!$D690,记账规则!$A$6:$A$9,0),13),""))</f>
        <v/>
      </c>
      <c r="N2745" s="66" t="str">
        <f aca="false">IF($L2745="","",IFERROR(INDEX(记账规则!$A$6:$N$9,MATCH(购销流水!$D690,记账规则!$A$6:$A$9,0),14),""))</f>
        <v/>
      </c>
      <c r="O2745" s="67" t="n">
        <f aca="false">IF($H2745="",0,ROUND(IF($N2745="成本金额",N(购销流水!$W690),IF($N2745="金额",N(购销流水!$Q690),0)),2))</f>
        <v>0</v>
      </c>
      <c r="P2745" s="64" t="str">
        <f aca="false">IF(AND($H2745&lt;&gt;"",ROUND($O2745,2)&lt;&gt;0),"有","")</f>
        <v/>
      </c>
    </row>
    <row r="2746" customFormat="false" ht="15" hidden="true" customHeight="false" outlineLevel="0" collapsed="false">
      <c r="A2746" s="53" t="str">
        <f aca="false">IF($H2746="","",ROW()-5)</f>
        <v/>
      </c>
      <c r="B2746" s="64" t="s">
        <v>36</v>
      </c>
      <c r="C2746" s="53" t="n">
        <v>691</v>
      </c>
      <c r="D2746" s="53" t="n">
        <v>1</v>
      </c>
      <c r="E2746" s="65" t="str">
        <f aca="false">IF($H2746="","",购销流水!$B691)</f>
        <v/>
      </c>
      <c r="F2746" s="55" t="str">
        <f aca="false">IF($H2746="","",购销流水!$C691)</f>
        <v/>
      </c>
      <c r="G2746" s="48" t="str">
        <f aca="false">IF($H2746="","",购销流水!$N691)</f>
        <v/>
      </c>
      <c r="H2746" s="10" t="str">
        <f aca="false">IF($L2746="","",IF($L2746="@成本",购销流水!$U691,IF($L2746="@收入",购销流水!$T691,IF($L2746="@存货",购销流水!$S691,IF($L2746="@结算",购销流水!$R691,$L2746)))))</f>
        <v/>
      </c>
      <c r="I2746" s="42" t="n">
        <f aca="false">IF($M2746="借",$O2746,0)</f>
        <v>0</v>
      </c>
      <c r="J2746" s="42" t="n">
        <f aca="false">IF($M2746="贷",$O2746,0)</f>
        <v>0</v>
      </c>
      <c r="K2746" s="48" t="str">
        <f aca="false">IF($H2746="","",购销流水!$E691)</f>
        <v/>
      </c>
      <c r="L2746" s="66" t="str">
        <f aca="false">IF(购销流水!$D691="","",IFERROR(INDEX(记账规则!$A$6:$N$9,MATCH(购销流水!$D691,记账规则!$A$6:$A$9,0),3),""))</f>
        <v/>
      </c>
      <c r="M2746" s="66" t="str">
        <f aca="false">IF($L2746="","",IFERROR(INDEX(记账规则!$A$6:$N$9,MATCH(购销流水!$D691,记账规则!$A$6:$A$9,0),4),""))</f>
        <v/>
      </c>
      <c r="N2746" s="66" t="str">
        <f aca="false">IF($L2746="","",IFERROR(INDEX(记账规则!$A$6:$N$9,MATCH(购销流水!$D691,记账规则!$A$6:$A$9,0),5),""))</f>
        <v/>
      </c>
      <c r="O2746" s="67" t="n">
        <f aca="false">IF($H2746="",0,ROUND(IF($N2746="成本金额",N(购销流水!$W691),IF($N2746="金额",N(购销流水!$Q691),0)),2))</f>
        <v>0</v>
      </c>
      <c r="P2746" s="64" t="str">
        <f aca="false">IF(AND($H2746&lt;&gt;"",ROUND($O2746,2)&lt;&gt;0),"有","")</f>
        <v/>
      </c>
    </row>
    <row r="2747" customFormat="false" ht="15" hidden="true" customHeight="false" outlineLevel="0" collapsed="false">
      <c r="A2747" s="53" t="str">
        <f aca="false">IF($H2747="","",ROW()-5)</f>
        <v/>
      </c>
      <c r="B2747" s="64" t="s">
        <v>36</v>
      </c>
      <c r="C2747" s="53" t="n">
        <v>691</v>
      </c>
      <c r="D2747" s="53" t="n">
        <v>2</v>
      </c>
      <c r="E2747" s="65" t="str">
        <f aca="false">IF($H2747="","",购销流水!$B691)</f>
        <v/>
      </c>
      <c r="F2747" s="55" t="str">
        <f aca="false">IF($H2747="","",购销流水!$C691)</f>
        <v/>
      </c>
      <c r="G2747" s="48" t="str">
        <f aca="false">IF($H2747="","",购销流水!$N691)</f>
        <v/>
      </c>
      <c r="H2747" s="10" t="str">
        <f aca="false">IF($L2747="","",IF($L2747="@成本",购销流水!$U691,IF($L2747="@收入",购销流水!$T691,IF($L2747="@存货",购销流水!$S691,IF($L2747="@结算",购销流水!$R691,$L2747)))))</f>
        <v/>
      </c>
      <c r="I2747" s="42" t="n">
        <f aca="false">IF($M2747="借",$O2747,0)</f>
        <v>0</v>
      </c>
      <c r="J2747" s="42" t="n">
        <f aca="false">IF($M2747="贷",$O2747,0)</f>
        <v>0</v>
      </c>
      <c r="K2747" s="48" t="str">
        <f aca="false">IF($H2747="","",购销流水!$E691)</f>
        <v/>
      </c>
      <c r="L2747" s="66" t="str">
        <f aca="false">IF(购销流水!$D691="","",IFERROR(INDEX(记账规则!$A$6:$N$9,MATCH(购销流水!$D691,记账规则!$A$6:$A$9,0),6),""))</f>
        <v/>
      </c>
      <c r="M2747" s="66" t="str">
        <f aca="false">IF($L2747="","",IFERROR(INDEX(记账规则!$A$6:$N$9,MATCH(购销流水!$D691,记账规则!$A$6:$A$9,0),7),""))</f>
        <v/>
      </c>
      <c r="N2747" s="66" t="str">
        <f aca="false">IF($L2747="","",IFERROR(INDEX(记账规则!$A$6:$N$9,MATCH(购销流水!$D691,记账规则!$A$6:$A$9,0),8),""))</f>
        <v/>
      </c>
      <c r="O2747" s="67" t="n">
        <f aca="false">IF($H2747="",0,ROUND(IF($N2747="成本金额",N(购销流水!$W691),IF($N2747="金额",N(购销流水!$Q691),0)),2))</f>
        <v>0</v>
      </c>
      <c r="P2747" s="64" t="str">
        <f aca="false">IF(AND($H2747&lt;&gt;"",ROUND($O2747,2)&lt;&gt;0),"有","")</f>
        <v/>
      </c>
    </row>
    <row r="2748" customFormat="false" ht="15" hidden="true" customHeight="false" outlineLevel="0" collapsed="false">
      <c r="A2748" s="53" t="str">
        <f aca="false">IF($H2748="","",ROW()-5)</f>
        <v/>
      </c>
      <c r="B2748" s="64" t="s">
        <v>36</v>
      </c>
      <c r="C2748" s="53" t="n">
        <v>691</v>
      </c>
      <c r="D2748" s="53" t="n">
        <v>3</v>
      </c>
      <c r="E2748" s="65" t="str">
        <f aca="false">IF($H2748="","",购销流水!$B691)</f>
        <v/>
      </c>
      <c r="F2748" s="55" t="str">
        <f aca="false">IF($H2748="","",购销流水!$C691)</f>
        <v/>
      </c>
      <c r="G2748" s="48" t="str">
        <f aca="false">IF($H2748="","",购销流水!$N691)</f>
        <v/>
      </c>
      <c r="H2748" s="10" t="str">
        <f aca="false">IF($L2748="","",IF($L2748="@成本",购销流水!$U691,IF($L2748="@收入",购销流水!$T691,IF($L2748="@存货",购销流水!$S691,IF($L2748="@结算",购销流水!$R691,$L2748)))))</f>
        <v/>
      </c>
      <c r="I2748" s="42" t="n">
        <f aca="false">IF($M2748="借",$O2748,0)</f>
        <v>0</v>
      </c>
      <c r="J2748" s="42" t="n">
        <f aca="false">IF($M2748="贷",$O2748,0)</f>
        <v>0</v>
      </c>
      <c r="K2748" s="48" t="str">
        <f aca="false">IF($H2748="","",购销流水!$E691)</f>
        <v/>
      </c>
      <c r="L2748" s="66" t="str">
        <f aca="false">IF(购销流水!$D691="","",IFERROR(INDEX(记账规则!$A$6:$N$9,MATCH(购销流水!$D691,记账规则!$A$6:$A$9,0),9),""))</f>
        <v/>
      </c>
      <c r="M2748" s="66" t="str">
        <f aca="false">IF($L2748="","",IFERROR(INDEX(记账规则!$A$6:$N$9,MATCH(购销流水!$D691,记账规则!$A$6:$A$9,0),10),""))</f>
        <v/>
      </c>
      <c r="N2748" s="66" t="str">
        <f aca="false">IF($L2748="","",IFERROR(INDEX(记账规则!$A$6:$N$9,MATCH(购销流水!$D691,记账规则!$A$6:$A$9,0),11),""))</f>
        <v/>
      </c>
      <c r="O2748" s="67" t="n">
        <f aca="false">IF($H2748="",0,ROUND(IF($N2748="成本金额",N(购销流水!$W691),IF($N2748="金额",N(购销流水!$Q691),0)),2))</f>
        <v>0</v>
      </c>
      <c r="P2748" s="64" t="str">
        <f aca="false">IF(AND($H2748&lt;&gt;"",ROUND($O2748,2)&lt;&gt;0),"有","")</f>
        <v/>
      </c>
    </row>
    <row r="2749" customFormat="false" ht="15" hidden="true" customHeight="false" outlineLevel="0" collapsed="false">
      <c r="A2749" s="53" t="str">
        <f aca="false">IF($H2749="","",ROW()-5)</f>
        <v/>
      </c>
      <c r="B2749" s="64" t="s">
        <v>36</v>
      </c>
      <c r="C2749" s="53" t="n">
        <v>691</v>
      </c>
      <c r="D2749" s="53" t="n">
        <v>4</v>
      </c>
      <c r="E2749" s="65" t="str">
        <f aca="false">IF($H2749="","",购销流水!$B691)</f>
        <v/>
      </c>
      <c r="F2749" s="55" t="str">
        <f aca="false">IF($H2749="","",购销流水!$C691)</f>
        <v/>
      </c>
      <c r="G2749" s="48" t="str">
        <f aca="false">IF($H2749="","",购销流水!$N691)</f>
        <v/>
      </c>
      <c r="H2749" s="10" t="str">
        <f aca="false">IF($L2749="","",IF($L2749="@成本",购销流水!$U691,IF($L2749="@收入",购销流水!$T691,IF($L2749="@存货",购销流水!$S691,IF($L2749="@结算",购销流水!$R691,$L2749)))))</f>
        <v/>
      </c>
      <c r="I2749" s="42" t="n">
        <f aca="false">IF($M2749="借",$O2749,0)</f>
        <v>0</v>
      </c>
      <c r="J2749" s="42" t="n">
        <f aca="false">IF($M2749="贷",$O2749,0)</f>
        <v>0</v>
      </c>
      <c r="K2749" s="48" t="str">
        <f aca="false">IF($H2749="","",购销流水!$E691)</f>
        <v/>
      </c>
      <c r="L2749" s="66" t="str">
        <f aca="false">IF(购销流水!$D691="","",IFERROR(INDEX(记账规则!$A$6:$N$9,MATCH(购销流水!$D691,记账规则!$A$6:$A$9,0),12),""))</f>
        <v/>
      </c>
      <c r="M2749" s="66" t="str">
        <f aca="false">IF($L2749="","",IFERROR(INDEX(记账规则!$A$6:$N$9,MATCH(购销流水!$D691,记账规则!$A$6:$A$9,0),13),""))</f>
        <v/>
      </c>
      <c r="N2749" s="66" t="str">
        <f aca="false">IF($L2749="","",IFERROR(INDEX(记账规则!$A$6:$N$9,MATCH(购销流水!$D691,记账规则!$A$6:$A$9,0),14),""))</f>
        <v/>
      </c>
      <c r="O2749" s="67" t="n">
        <f aca="false">IF($H2749="",0,ROUND(IF($N2749="成本金额",N(购销流水!$W691),IF($N2749="金额",N(购销流水!$Q691),0)),2))</f>
        <v>0</v>
      </c>
      <c r="P2749" s="64" t="str">
        <f aca="false">IF(AND($H2749&lt;&gt;"",ROUND($O2749,2)&lt;&gt;0),"有","")</f>
        <v/>
      </c>
    </row>
    <row r="2750" customFormat="false" ht="15" hidden="true" customHeight="false" outlineLevel="0" collapsed="false">
      <c r="A2750" s="53" t="str">
        <f aca="false">IF($H2750="","",ROW()-5)</f>
        <v/>
      </c>
      <c r="B2750" s="64" t="s">
        <v>36</v>
      </c>
      <c r="C2750" s="53" t="n">
        <v>692</v>
      </c>
      <c r="D2750" s="53" t="n">
        <v>1</v>
      </c>
      <c r="E2750" s="65" t="str">
        <f aca="false">IF($H2750="","",购销流水!$B692)</f>
        <v/>
      </c>
      <c r="F2750" s="55" t="str">
        <f aca="false">IF($H2750="","",购销流水!$C692)</f>
        <v/>
      </c>
      <c r="G2750" s="48" t="str">
        <f aca="false">IF($H2750="","",购销流水!$N692)</f>
        <v/>
      </c>
      <c r="H2750" s="10" t="str">
        <f aca="false">IF($L2750="","",IF($L2750="@成本",购销流水!$U692,IF($L2750="@收入",购销流水!$T692,IF($L2750="@存货",购销流水!$S692,IF($L2750="@结算",购销流水!$R692,$L2750)))))</f>
        <v/>
      </c>
      <c r="I2750" s="42" t="n">
        <f aca="false">IF($M2750="借",$O2750,0)</f>
        <v>0</v>
      </c>
      <c r="J2750" s="42" t="n">
        <f aca="false">IF($M2750="贷",$O2750,0)</f>
        <v>0</v>
      </c>
      <c r="K2750" s="48" t="str">
        <f aca="false">IF($H2750="","",购销流水!$E692)</f>
        <v/>
      </c>
      <c r="L2750" s="66" t="str">
        <f aca="false">IF(购销流水!$D692="","",IFERROR(INDEX(记账规则!$A$6:$N$9,MATCH(购销流水!$D692,记账规则!$A$6:$A$9,0),3),""))</f>
        <v/>
      </c>
      <c r="M2750" s="66" t="str">
        <f aca="false">IF($L2750="","",IFERROR(INDEX(记账规则!$A$6:$N$9,MATCH(购销流水!$D692,记账规则!$A$6:$A$9,0),4),""))</f>
        <v/>
      </c>
      <c r="N2750" s="66" t="str">
        <f aca="false">IF($L2750="","",IFERROR(INDEX(记账规则!$A$6:$N$9,MATCH(购销流水!$D692,记账规则!$A$6:$A$9,0),5),""))</f>
        <v/>
      </c>
      <c r="O2750" s="67" t="n">
        <f aca="false">IF($H2750="",0,ROUND(IF($N2750="成本金额",N(购销流水!$W692),IF($N2750="金额",N(购销流水!$Q692),0)),2))</f>
        <v>0</v>
      </c>
      <c r="P2750" s="64" t="str">
        <f aca="false">IF(AND($H2750&lt;&gt;"",ROUND($O2750,2)&lt;&gt;0),"有","")</f>
        <v/>
      </c>
    </row>
    <row r="2751" customFormat="false" ht="15" hidden="true" customHeight="false" outlineLevel="0" collapsed="false">
      <c r="A2751" s="53" t="str">
        <f aca="false">IF($H2751="","",ROW()-5)</f>
        <v/>
      </c>
      <c r="B2751" s="64" t="s">
        <v>36</v>
      </c>
      <c r="C2751" s="53" t="n">
        <v>692</v>
      </c>
      <c r="D2751" s="53" t="n">
        <v>2</v>
      </c>
      <c r="E2751" s="65" t="str">
        <f aca="false">IF($H2751="","",购销流水!$B692)</f>
        <v/>
      </c>
      <c r="F2751" s="55" t="str">
        <f aca="false">IF($H2751="","",购销流水!$C692)</f>
        <v/>
      </c>
      <c r="G2751" s="48" t="str">
        <f aca="false">IF($H2751="","",购销流水!$N692)</f>
        <v/>
      </c>
      <c r="H2751" s="10" t="str">
        <f aca="false">IF($L2751="","",IF($L2751="@成本",购销流水!$U692,IF($L2751="@收入",购销流水!$T692,IF($L2751="@存货",购销流水!$S692,IF($L2751="@结算",购销流水!$R692,$L2751)))))</f>
        <v/>
      </c>
      <c r="I2751" s="42" t="n">
        <f aca="false">IF($M2751="借",$O2751,0)</f>
        <v>0</v>
      </c>
      <c r="J2751" s="42" t="n">
        <f aca="false">IF($M2751="贷",$O2751,0)</f>
        <v>0</v>
      </c>
      <c r="K2751" s="48" t="str">
        <f aca="false">IF($H2751="","",购销流水!$E692)</f>
        <v/>
      </c>
      <c r="L2751" s="66" t="str">
        <f aca="false">IF(购销流水!$D692="","",IFERROR(INDEX(记账规则!$A$6:$N$9,MATCH(购销流水!$D692,记账规则!$A$6:$A$9,0),6),""))</f>
        <v/>
      </c>
      <c r="M2751" s="66" t="str">
        <f aca="false">IF($L2751="","",IFERROR(INDEX(记账规则!$A$6:$N$9,MATCH(购销流水!$D692,记账规则!$A$6:$A$9,0),7),""))</f>
        <v/>
      </c>
      <c r="N2751" s="66" t="str">
        <f aca="false">IF($L2751="","",IFERROR(INDEX(记账规则!$A$6:$N$9,MATCH(购销流水!$D692,记账规则!$A$6:$A$9,0),8),""))</f>
        <v/>
      </c>
      <c r="O2751" s="67" t="n">
        <f aca="false">IF($H2751="",0,ROUND(IF($N2751="成本金额",N(购销流水!$W692),IF($N2751="金额",N(购销流水!$Q692),0)),2))</f>
        <v>0</v>
      </c>
      <c r="P2751" s="64" t="str">
        <f aca="false">IF(AND($H2751&lt;&gt;"",ROUND($O2751,2)&lt;&gt;0),"有","")</f>
        <v/>
      </c>
    </row>
    <row r="2752" customFormat="false" ht="15" hidden="true" customHeight="false" outlineLevel="0" collapsed="false">
      <c r="A2752" s="53" t="str">
        <f aca="false">IF($H2752="","",ROW()-5)</f>
        <v/>
      </c>
      <c r="B2752" s="64" t="s">
        <v>36</v>
      </c>
      <c r="C2752" s="53" t="n">
        <v>692</v>
      </c>
      <c r="D2752" s="53" t="n">
        <v>3</v>
      </c>
      <c r="E2752" s="65" t="str">
        <f aca="false">IF($H2752="","",购销流水!$B692)</f>
        <v/>
      </c>
      <c r="F2752" s="55" t="str">
        <f aca="false">IF($H2752="","",购销流水!$C692)</f>
        <v/>
      </c>
      <c r="G2752" s="48" t="str">
        <f aca="false">IF($H2752="","",购销流水!$N692)</f>
        <v/>
      </c>
      <c r="H2752" s="10" t="str">
        <f aca="false">IF($L2752="","",IF($L2752="@成本",购销流水!$U692,IF($L2752="@收入",购销流水!$T692,IF($L2752="@存货",购销流水!$S692,IF($L2752="@结算",购销流水!$R692,$L2752)))))</f>
        <v/>
      </c>
      <c r="I2752" s="42" t="n">
        <f aca="false">IF($M2752="借",$O2752,0)</f>
        <v>0</v>
      </c>
      <c r="J2752" s="42" t="n">
        <f aca="false">IF($M2752="贷",$O2752,0)</f>
        <v>0</v>
      </c>
      <c r="K2752" s="48" t="str">
        <f aca="false">IF($H2752="","",购销流水!$E692)</f>
        <v/>
      </c>
      <c r="L2752" s="66" t="str">
        <f aca="false">IF(购销流水!$D692="","",IFERROR(INDEX(记账规则!$A$6:$N$9,MATCH(购销流水!$D692,记账规则!$A$6:$A$9,0),9),""))</f>
        <v/>
      </c>
      <c r="M2752" s="66" t="str">
        <f aca="false">IF($L2752="","",IFERROR(INDEX(记账规则!$A$6:$N$9,MATCH(购销流水!$D692,记账规则!$A$6:$A$9,0),10),""))</f>
        <v/>
      </c>
      <c r="N2752" s="66" t="str">
        <f aca="false">IF($L2752="","",IFERROR(INDEX(记账规则!$A$6:$N$9,MATCH(购销流水!$D692,记账规则!$A$6:$A$9,0),11),""))</f>
        <v/>
      </c>
      <c r="O2752" s="67" t="n">
        <f aca="false">IF($H2752="",0,ROUND(IF($N2752="成本金额",N(购销流水!$W692),IF($N2752="金额",N(购销流水!$Q692),0)),2))</f>
        <v>0</v>
      </c>
      <c r="P2752" s="64" t="str">
        <f aca="false">IF(AND($H2752&lt;&gt;"",ROUND($O2752,2)&lt;&gt;0),"有","")</f>
        <v/>
      </c>
    </row>
    <row r="2753" customFormat="false" ht="15" hidden="true" customHeight="false" outlineLevel="0" collapsed="false">
      <c r="A2753" s="53" t="str">
        <f aca="false">IF($H2753="","",ROW()-5)</f>
        <v/>
      </c>
      <c r="B2753" s="64" t="s">
        <v>36</v>
      </c>
      <c r="C2753" s="53" t="n">
        <v>692</v>
      </c>
      <c r="D2753" s="53" t="n">
        <v>4</v>
      </c>
      <c r="E2753" s="65" t="str">
        <f aca="false">IF($H2753="","",购销流水!$B692)</f>
        <v/>
      </c>
      <c r="F2753" s="55" t="str">
        <f aca="false">IF($H2753="","",购销流水!$C692)</f>
        <v/>
      </c>
      <c r="G2753" s="48" t="str">
        <f aca="false">IF($H2753="","",购销流水!$N692)</f>
        <v/>
      </c>
      <c r="H2753" s="10" t="str">
        <f aca="false">IF($L2753="","",IF($L2753="@成本",购销流水!$U692,IF($L2753="@收入",购销流水!$T692,IF($L2753="@存货",购销流水!$S692,IF($L2753="@结算",购销流水!$R692,$L2753)))))</f>
        <v/>
      </c>
      <c r="I2753" s="42" t="n">
        <f aca="false">IF($M2753="借",$O2753,0)</f>
        <v>0</v>
      </c>
      <c r="J2753" s="42" t="n">
        <f aca="false">IF($M2753="贷",$O2753,0)</f>
        <v>0</v>
      </c>
      <c r="K2753" s="48" t="str">
        <f aca="false">IF($H2753="","",购销流水!$E692)</f>
        <v/>
      </c>
      <c r="L2753" s="66" t="str">
        <f aca="false">IF(购销流水!$D692="","",IFERROR(INDEX(记账规则!$A$6:$N$9,MATCH(购销流水!$D692,记账规则!$A$6:$A$9,0),12),""))</f>
        <v/>
      </c>
      <c r="M2753" s="66" t="str">
        <f aca="false">IF($L2753="","",IFERROR(INDEX(记账规则!$A$6:$N$9,MATCH(购销流水!$D692,记账规则!$A$6:$A$9,0),13),""))</f>
        <v/>
      </c>
      <c r="N2753" s="66" t="str">
        <f aca="false">IF($L2753="","",IFERROR(INDEX(记账规则!$A$6:$N$9,MATCH(购销流水!$D692,记账规则!$A$6:$A$9,0),14),""))</f>
        <v/>
      </c>
      <c r="O2753" s="67" t="n">
        <f aca="false">IF($H2753="",0,ROUND(IF($N2753="成本金额",N(购销流水!$W692),IF($N2753="金额",N(购销流水!$Q692),0)),2))</f>
        <v>0</v>
      </c>
      <c r="P2753" s="64" t="str">
        <f aca="false">IF(AND($H2753&lt;&gt;"",ROUND($O2753,2)&lt;&gt;0),"有","")</f>
        <v/>
      </c>
    </row>
    <row r="2754" customFormat="false" ht="15" hidden="true" customHeight="false" outlineLevel="0" collapsed="false">
      <c r="A2754" s="53" t="str">
        <f aca="false">IF($H2754="","",ROW()-5)</f>
        <v/>
      </c>
      <c r="B2754" s="64" t="s">
        <v>36</v>
      </c>
      <c r="C2754" s="53" t="n">
        <v>693</v>
      </c>
      <c r="D2754" s="53" t="n">
        <v>1</v>
      </c>
      <c r="E2754" s="65" t="str">
        <f aca="false">IF($H2754="","",购销流水!$B693)</f>
        <v/>
      </c>
      <c r="F2754" s="55" t="str">
        <f aca="false">IF($H2754="","",购销流水!$C693)</f>
        <v/>
      </c>
      <c r="G2754" s="48" t="str">
        <f aca="false">IF($H2754="","",购销流水!$N693)</f>
        <v/>
      </c>
      <c r="H2754" s="10" t="str">
        <f aca="false">IF($L2754="","",IF($L2754="@成本",购销流水!$U693,IF($L2754="@收入",购销流水!$T693,IF($L2754="@存货",购销流水!$S693,IF($L2754="@结算",购销流水!$R693,$L2754)))))</f>
        <v/>
      </c>
      <c r="I2754" s="42" t="n">
        <f aca="false">IF($M2754="借",$O2754,0)</f>
        <v>0</v>
      </c>
      <c r="J2754" s="42" t="n">
        <f aca="false">IF($M2754="贷",$O2754,0)</f>
        <v>0</v>
      </c>
      <c r="K2754" s="48" t="str">
        <f aca="false">IF($H2754="","",购销流水!$E693)</f>
        <v/>
      </c>
      <c r="L2754" s="66" t="str">
        <f aca="false">IF(购销流水!$D693="","",IFERROR(INDEX(记账规则!$A$6:$N$9,MATCH(购销流水!$D693,记账规则!$A$6:$A$9,0),3),""))</f>
        <v/>
      </c>
      <c r="M2754" s="66" t="str">
        <f aca="false">IF($L2754="","",IFERROR(INDEX(记账规则!$A$6:$N$9,MATCH(购销流水!$D693,记账规则!$A$6:$A$9,0),4),""))</f>
        <v/>
      </c>
      <c r="N2754" s="66" t="str">
        <f aca="false">IF($L2754="","",IFERROR(INDEX(记账规则!$A$6:$N$9,MATCH(购销流水!$D693,记账规则!$A$6:$A$9,0),5),""))</f>
        <v/>
      </c>
      <c r="O2754" s="67" t="n">
        <f aca="false">IF($H2754="",0,ROUND(IF($N2754="成本金额",N(购销流水!$W693),IF($N2754="金额",N(购销流水!$Q693),0)),2))</f>
        <v>0</v>
      </c>
      <c r="P2754" s="64" t="str">
        <f aca="false">IF(AND($H2754&lt;&gt;"",ROUND($O2754,2)&lt;&gt;0),"有","")</f>
        <v/>
      </c>
    </row>
    <row r="2755" customFormat="false" ht="15" hidden="true" customHeight="false" outlineLevel="0" collapsed="false">
      <c r="A2755" s="53" t="str">
        <f aca="false">IF($H2755="","",ROW()-5)</f>
        <v/>
      </c>
      <c r="B2755" s="64" t="s">
        <v>36</v>
      </c>
      <c r="C2755" s="53" t="n">
        <v>693</v>
      </c>
      <c r="D2755" s="53" t="n">
        <v>2</v>
      </c>
      <c r="E2755" s="65" t="str">
        <f aca="false">IF($H2755="","",购销流水!$B693)</f>
        <v/>
      </c>
      <c r="F2755" s="55" t="str">
        <f aca="false">IF($H2755="","",购销流水!$C693)</f>
        <v/>
      </c>
      <c r="G2755" s="48" t="str">
        <f aca="false">IF($H2755="","",购销流水!$N693)</f>
        <v/>
      </c>
      <c r="H2755" s="10" t="str">
        <f aca="false">IF($L2755="","",IF($L2755="@成本",购销流水!$U693,IF($L2755="@收入",购销流水!$T693,IF($L2755="@存货",购销流水!$S693,IF($L2755="@结算",购销流水!$R693,$L2755)))))</f>
        <v/>
      </c>
      <c r="I2755" s="42" t="n">
        <f aca="false">IF($M2755="借",$O2755,0)</f>
        <v>0</v>
      </c>
      <c r="J2755" s="42" t="n">
        <f aca="false">IF($M2755="贷",$O2755,0)</f>
        <v>0</v>
      </c>
      <c r="K2755" s="48" t="str">
        <f aca="false">IF($H2755="","",购销流水!$E693)</f>
        <v/>
      </c>
      <c r="L2755" s="66" t="str">
        <f aca="false">IF(购销流水!$D693="","",IFERROR(INDEX(记账规则!$A$6:$N$9,MATCH(购销流水!$D693,记账规则!$A$6:$A$9,0),6),""))</f>
        <v/>
      </c>
      <c r="M2755" s="66" t="str">
        <f aca="false">IF($L2755="","",IFERROR(INDEX(记账规则!$A$6:$N$9,MATCH(购销流水!$D693,记账规则!$A$6:$A$9,0),7),""))</f>
        <v/>
      </c>
      <c r="N2755" s="66" t="str">
        <f aca="false">IF($L2755="","",IFERROR(INDEX(记账规则!$A$6:$N$9,MATCH(购销流水!$D693,记账规则!$A$6:$A$9,0),8),""))</f>
        <v/>
      </c>
      <c r="O2755" s="67" t="n">
        <f aca="false">IF($H2755="",0,ROUND(IF($N2755="成本金额",N(购销流水!$W693),IF($N2755="金额",N(购销流水!$Q693),0)),2))</f>
        <v>0</v>
      </c>
      <c r="P2755" s="64" t="str">
        <f aca="false">IF(AND($H2755&lt;&gt;"",ROUND($O2755,2)&lt;&gt;0),"有","")</f>
        <v/>
      </c>
    </row>
    <row r="2756" customFormat="false" ht="15" hidden="true" customHeight="false" outlineLevel="0" collapsed="false">
      <c r="A2756" s="53" t="str">
        <f aca="false">IF($H2756="","",ROW()-5)</f>
        <v/>
      </c>
      <c r="B2756" s="64" t="s">
        <v>36</v>
      </c>
      <c r="C2756" s="53" t="n">
        <v>693</v>
      </c>
      <c r="D2756" s="53" t="n">
        <v>3</v>
      </c>
      <c r="E2756" s="65" t="str">
        <f aca="false">IF($H2756="","",购销流水!$B693)</f>
        <v/>
      </c>
      <c r="F2756" s="55" t="str">
        <f aca="false">IF($H2756="","",购销流水!$C693)</f>
        <v/>
      </c>
      <c r="G2756" s="48" t="str">
        <f aca="false">IF($H2756="","",购销流水!$N693)</f>
        <v/>
      </c>
      <c r="H2756" s="10" t="str">
        <f aca="false">IF($L2756="","",IF($L2756="@成本",购销流水!$U693,IF($L2756="@收入",购销流水!$T693,IF($L2756="@存货",购销流水!$S693,IF($L2756="@结算",购销流水!$R693,$L2756)))))</f>
        <v/>
      </c>
      <c r="I2756" s="42" t="n">
        <f aca="false">IF($M2756="借",$O2756,0)</f>
        <v>0</v>
      </c>
      <c r="J2756" s="42" t="n">
        <f aca="false">IF($M2756="贷",$O2756,0)</f>
        <v>0</v>
      </c>
      <c r="K2756" s="48" t="str">
        <f aca="false">IF($H2756="","",购销流水!$E693)</f>
        <v/>
      </c>
      <c r="L2756" s="66" t="str">
        <f aca="false">IF(购销流水!$D693="","",IFERROR(INDEX(记账规则!$A$6:$N$9,MATCH(购销流水!$D693,记账规则!$A$6:$A$9,0),9),""))</f>
        <v/>
      </c>
      <c r="M2756" s="66" t="str">
        <f aca="false">IF($L2756="","",IFERROR(INDEX(记账规则!$A$6:$N$9,MATCH(购销流水!$D693,记账规则!$A$6:$A$9,0),10),""))</f>
        <v/>
      </c>
      <c r="N2756" s="66" t="str">
        <f aca="false">IF($L2756="","",IFERROR(INDEX(记账规则!$A$6:$N$9,MATCH(购销流水!$D693,记账规则!$A$6:$A$9,0),11),""))</f>
        <v/>
      </c>
      <c r="O2756" s="67" t="n">
        <f aca="false">IF($H2756="",0,ROUND(IF($N2756="成本金额",N(购销流水!$W693),IF($N2756="金额",N(购销流水!$Q693),0)),2))</f>
        <v>0</v>
      </c>
      <c r="P2756" s="64" t="str">
        <f aca="false">IF(AND($H2756&lt;&gt;"",ROUND($O2756,2)&lt;&gt;0),"有","")</f>
        <v/>
      </c>
    </row>
    <row r="2757" customFormat="false" ht="15" hidden="true" customHeight="false" outlineLevel="0" collapsed="false">
      <c r="A2757" s="53" t="str">
        <f aca="false">IF($H2757="","",ROW()-5)</f>
        <v/>
      </c>
      <c r="B2757" s="64" t="s">
        <v>36</v>
      </c>
      <c r="C2757" s="53" t="n">
        <v>693</v>
      </c>
      <c r="D2757" s="53" t="n">
        <v>4</v>
      </c>
      <c r="E2757" s="65" t="str">
        <f aca="false">IF($H2757="","",购销流水!$B693)</f>
        <v/>
      </c>
      <c r="F2757" s="55" t="str">
        <f aca="false">IF($H2757="","",购销流水!$C693)</f>
        <v/>
      </c>
      <c r="G2757" s="48" t="str">
        <f aca="false">IF($H2757="","",购销流水!$N693)</f>
        <v/>
      </c>
      <c r="H2757" s="10" t="str">
        <f aca="false">IF($L2757="","",IF($L2757="@成本",购销流水!$U693,IF($L2757="@收入",购销流水!$T693,IF($L2757="@存货",购销流水!$S693,IF($L2757="@结算",购销流水!$R693,$L2757)))))</f>
        <v/>
      </c>
      <c r="I2757" s="42" t="n">
        <f aca="false">IF($M2757="借",$O2757,0)</f>
        <v>0</v>
      </c>
      <c r="J2757" s="42" t="n">
        <f aca="false">IF($M2757="贷",$O2757,0)</f>
        <v>0</v>
      </c>
      <c r="K2757" s="48" t="str">
        <f aca="false">IF($H2757="","",购销流水!$E693)</f>
        <v/>
      </c>
      <c r="L2757" s="66" t="str">
        <f aca="false">IF(购销流水!$D693="","",IFERROR(INDEX(记账规则!$A$6:$N$9,MATCH(购销流水!$D693,记账规则!$A$6:$A$9,0),12),""))</f>
        <v/>
      </c>
      <c r="M2757" s="66" t="str">
        <f aca="false">IF($L2757="","",IFERROR(INDEX(记账规则!$A$6:$N$9,MATCH(购销流水!$D693,记账规则!$A$6:$A$9,0),13),""))</f>
        <v/>
      </c>
      <c r="N2757" s="66" t="str">
        <f aca="false">IF($L2757="","",IFERROR(INDEX(记账规则!$A$6:$N$9,MATCH(购销流水!$D693,记账规则!$A$6:$A$9,0),14),""))</f>
        <v/>
      </c>
      <c r="O2757" s="67" t="n">
        <f aca="false">IF($H2757="",0,ROUND(IF($N2757="成本金额",N(购销流水!$W693),IF($N2757="金额",N(购销流水!$Q693),0)),2))</f>
        <v>0</v>
      </c>
      <c r="P2757" s="64" t="str">
        <f aca="false">IF(AND($H2757&lt;&gt;"",ROUND($O2757,2)&lt;&gt;0),"有","")</f>
        <v/>
      </c>
    </row>
    <row r="2758" customFormat="false" ht="15" hidden="true" customHeight="false" outlineLevel="0" collapsed="false">
      <c r="A2758" s="53" t="str">
        <f aca="false">IF($H2758="","",ROW()-5)</f>
        <v/>
      </c>
      <c r="B2758" s="64" t="s">
        <v>36</v>
      </c>
      <c r="C2758" s="53" t="n">
        <v>694</v>
      </c>
      <c r="D2758" s="53" t="n">
        <v>1</v>
      </c>
      <c r="E2758" s="65" t="str">
        <f aca="false">IF($H2758="","",购销流水!$B694)</f>
        <v/>
      </c>
      <c r="F2758" s="55" t="str">
        <f aca="false">IF($H2758="","",购销流水!$C694)</f>
        <v/>
      </c>
      <c r="G2758" s="48" t="str">
        <f aca="false">IF($H2758="","",购销流水!$N694)</f>
        <v/>
      </c>
      <c r="H2758" s="10" t="str">
        <f aca="false">IF($L2758="","",IF($L2758="@成本",购销流水!$U694,IF($L2758="@收入",购销流水!$T694,IF($L2758="@存货",购销流水!$S694,IF($L2758="@结算",购销流水!$R694,$L2758)))))</f>
        <v/>
      </c>
      <c r="I2758" s="42" t="n">
        <f aca="false">IF($M2758="借",$O2758,0)</f>
        <v>0</v>
      </c>
      <c r="J2758" s="42" t="n">
        <f aca="false">IF($M2758="贷",$O2758,0)</f>
        <v>0</v>
      </c>
      <c r="K2758" s="48" t="str">
        <f aca="false">IF($H2758="","",购销流水!$E694)</f>
        <v/>
      </c>
      <c r="L2758" s="66" t="str">
        <f aca="false">IF(购销流水!$D694="","",IFERROR(INDEX(记账规则!$A$6:$N$9,MATCH(购销流水!$D694,记账规则!$A$6:$A$9,0),3),""))</f>
        <v/>
      </c>
      <c r="M2758" s="66" t="str">
        <f aca="false">IF($L2758="","",IFERROR(INDEX(记账规则!$A$6:$N$9,MATCH(购销流水!$D694,记账规则!$A$6:$A$9,0),4),""))</f>
        <v/>
      </c>
      <c r="N2758" s="66" t="str">
        <f aca="false">IF($L2758="","",IFERROR(INDEX(记账规则!$A$6:$N$9,MATCH(购销流水!$D694,记账规则!$A$6:$A$9,0),5),""))</f>
        <v/>
      </c>
      <c r="O2758" s="67" t="n">
        <f aca="false">IF($H2758="",0,ROUND(IF($N2758="成本金额",N(购销流水!$W694),IF($N2758="金额",N(购销流水!$Q694),0)),2))</f>
        <v>0</v>
      </c>
      <c r="P2758" s="64" t="str">
        <f aca="false">IF(AND($H2758&lt;&gt;"",ROUND($O2758,2)&lt;&gt;0),"有","")</f>
        <v/>
      </c>
    </row>
    <row r="2759" customFormat="false" ht="15" hidden="true" customHeight="false" outlineLevel="0" collapsed="false">
      <c r="A2759" s="53" t="str">
        <f aca="false">IF($H2759="","",ROW()-5)</f>
        <v/>
      </c>
      <c r="B2759" s="64" t="s">
        <v>36</v>
      </c>
      <c r="C2759" s="53" t="n">
        <v>694</v>
      </c>
      <c r="D2759" s="53" t="n">
        <v>2</v>
      </c>
      <c r="E2759" s="65" t="str">
        <f aca="false">IF($H2759="","",购销流水!$B694)</f>
        <v/>
      </c>
      <c r="F2759" s="55" t="str">
        <f aca="false">IF($H2759="","",购销流水!$C694)</f>
        <v/>
      </c>
      <c r="G2759" s="48" t="str">
        <f aca="false">IF($H2759="","",购销流水!$N694)</f>
        <v/>
      </c>
      <c r="H2759" s="10" t="str">
        <f aca="false">IF($L2759="","",IF($L2759="@成本",购销流水!$U694,IF($L2759="@收入",购销流水!$T694,IF($L2759="@存货",购销流水!$S694,IF($L2759="@结算",购销流水!$R694,$L2759)))))</f>
        <v/>
      </c>
      <c r="I2759" s="42" t="n">
        <f aca="false">IF($M2759="借",$O2759,0)</f>
        <v>0</v>
      </c>
      <c r="J2759" s="42" t="n">
        <f aca="false">IF($M2759="贷",$O2759,0)</f>
        <v>0</v>
      </c>
      <c r="K2759" s="48" t="str">
        <f aca="false">IF($H2759="","",购销流水!$E694)</f>
        <v/>
      </c>
      <c r="L2759" s="66" t="str">
        <f aca="false">IF(购销流水!$D694="","",IFERROR(INDEX(记账规则!$A$6:$N$9,MATCH(购销流水!$D694,记账规则!$A$6:$A$9,0),6),""))</f>
        <v/>
      </c>
      <c r="M2759" s="66" t="str">
        <f aca="false">IF($L2759="","",IFERROR(INDEX(记账规则!$A$6:$N$9,MATCH(购销流水!$D694,记账规则!$A$6:$A$9,0),7),""))</f>
        <v/>
      </c>
      <c r="N2759" s="66" t="str">
        <f aca="false">IF($L2759="","",IFERROR(INDEX(记账规则!$A$6:$N$9,MATCH(购销流水!$D694,记账规则!$A$6:$A$9,0),8),""))</f>
        <v/>
      </c>
      <c r="O2759" s="67" t="n">
        <f aca="false">IF($H2759="",0,ROUND(IF($N2759="成本金额",N(购销流水!$W694),IF($N2759="金额",N(购销流水!$Q694),0)),2))</f>
        <v>0</v>
      </c>
      <c r="P2759" s="64" t="str">
        <f aca="false">IF(AND($H2759&lt;&gt;"",ROUND($O2759,2)&lt;&gt;0),"有","")</f>
        <v/>
      </c>
    </row>
    <row r="2760" customFormat="false" ht="15" hidden="true" customHeight="false" outlineLevel="0" collapsed="false">
      <c r="A2760" s="53" t="str">
        <f aca="false">IF($H2760="","",ROW()-5)</f>
        <v/>
      </c>
      <c r="B2760" s="64" t="s">
        <v>36</v>
      </c>
      <c r="C2760" s="53" t="n">
        <v>694</v>
      </c>
      <c r="D2760" s="53" t="n">
        <v>3</v>
      </c>
      <c r="E2760" s="65" t="str">
        <f aca="false">IF($H2760="","",购销流水!$B694)</f>
        <v/>
      </c>
      <c r="F2760" s="55" t="str">
        <f aca="false">IF($H2760="","",购销流水!$C694)</f>
        <v/>
      </c>
      <c r="G2760" s="48" t="str">
        <f aca="false">IF($H2760="","",购销流水!$N694)</f>
        <v/>
      </c>
      <c r="H2760" s="10" t="str">
        <f aca="false">IF($L2760="","",IF($L2760="@成本",购销流水!$U694,IF($L2760="@收入",购销流水!$T694,IF($L2760="@存货",购销流水!$S694,IF($L2760="@结算",购销流水!$R694,$L2760)))))</f>
        <v/>
      </c>
      <c r="I2760" s="42" t="n">
        <f aca="false">IF($M2760="借",$O2760,0)</f>
        <v>0</v>
      </c>
      <c r="J2760" s="42" t="n">
        <f aca="false">IF($M2760="贷",$O2760,0)</f>
        <v>0</v>
      </c>
      <c r="K2760" s="48" t="str">
        <f aca="false">IF($H2760="","",购销流水!$E694)</f>
        <v/>
      </c>
      <c r="L2760" s="66" t="str">
        <f aca="false">IF(购销流水!$D694="","",IFERROR(INDEX(记账规则!$A$6:$N$9,MATCH(购销流水!$D694,记账规则!$A$6:$A$9,0),9),""))</f>
        <v/>
      </c>
      <c r="M2760" s="66" t="str">
        <f aca="false">IF($L2760="","",IFERROR(INDEX(记账规则!$A$6:$N$9,MATCH(购销流水!$D694,记账规则!$A$6:$A$9,0),10),""))</f>
        <v/>
      </c>
      <c r="N2760" s="66" t="str">
        <f aca="false">IF($L2760="","",IFERROR(INDEX(记账规则!$A$6:$N$9,MATCH(购销流水!$D694,记账规则!$A$6:$A$9,0),11),""))</f>
        <v/>
      </c>
      <c r="O2760" s="67" t="n">
        <f aca="false">IF($H2760="",0,ROUND(IF($N2760="成本金额",N(购销流水!$W694),IF($N2760="金额",N(购销流水!$Q694),0)),2))</f>
        <v>0</v>
      </c>
      <c r="P2760" s="64" t="str">
        <f aca="false">IF(AND($H2760&lt;&gt;"",ROUND($O2760,2)&lt;&gt;0),"有","")</f>
        <v/>
      </c>
    </row>
    <row r="2761" customFormat="false" ht="15" hidden="true" customHeight="false" outlineLevel="0" collapsed="false">
      <c r="A2761" s="53" t="str">
        <f aca="false">IF($H2761="","",ROW()-5)</f>
        <v/>
      </c>
      <c r="B2761" s="64" t="s">
        <v>36</v>
      </c>
      <c r="C2761" s="53" t="n">
        <v>694</v>
      </c>
      <c r="D2761" s="53" t="n">
        <v>4</v>
      </c>
      <c r="E2761" s="65" t="str">
        <f aca="false">IF($H2761="","",购销流水!$B694)</f>
        <v/>
      </c>
      <c r="F2761" s="55" t="str">
        <f aca="false">IF($H2761="","",购销流水!$C694)</f>
        <v/>
      </c>
      <c r="G2761" s="48" t="str">
        <f aca="false">IF($H2761="","",购销流水!$N694)</f>
        <v/>
      </c>
      <c r="H2761" s="10" t="str">
        <f aca="false">IF($L2761="","",IF($L2761="@成本",购销流水!$U694,IF($L2761="@收入",购销流水!$T694,IF($L2761="@存货",购销流水!$S694,IF($L2761="@结算",购销流水!$R694,$L2761)))))</f>
        <v/>
      </c>
      <c r="I2761" s="42" t="n">
        <f aca="false">IF($M2761="借",$O2761,0)</f>
        <v>0</v>
      </c>
      <c r="J2761" s="42" t="n">
        <f aca="false">IF($M2761="贷",$O2761,0)</f>
        <v>0</v>
      </c>
      <c r="K2761" s="48" t="str">
        <f aca="false">IF($H2761="","",购销流水!$E694)</f>
        <v/>
      </c>
      <c r="L2761" s="66" t="str">
        <f aca="false">IF(购销流水!$D694="","",IFERROR(INDEX(记账规则!$A$6:$N$9,MATCH(购销流水!$D694,记账规则!$A$6:$A$9,0),12),""))</f>
        <v/>
      </c>
      <c r="M2761" s="66" t="str">
        <f aca="false">IF($L2761="","",IFERROR(INDEX(记账规则!$A$6:$N$9,MATCH(购销流水!$D694,记账规则!$A$6:$A$9,0),13),""))</f>
        <v/>
      </c>
      <c r="N2761" s="66" t="str">
        <f aca="false">IF($L2761="","",IFERROR(INDEX(记账规则!$A$6:$N$9,MATCH(购销流水!$D694,记账规则!$A$6:$A$9,0),14),""))</f>
        <v/>
      </c>
      <c r="O2761" s="67" t="n">
        <f aca="false">IF($H2761="",0,ROUND(IF($N2761="成本金额",N(购销流水!$W694),IF($N2761="金额",N(购销流水!$Q694),0)),2))</f>
        <v>0</v>
      </c>
      <c r="P2761" s="64" t="str">
        <f aca="false">IF(AND($H2761&lt;&gt;"",ROUND($O2761,2)&lt;&gt;0),"有","")</f>
        <v/>
      </c>
    </row>
    <row r="2762" customFormat="false" ht="15" hidden="true" customHeight="false" outlineLevel="0" collapsed="false">
      <c r="A2762" s="53" t="str">
        <f aca="false">IF($H2762="","",ROW()-5)</f>
        <v/>
      </c>
      <c r="B2762" s="64" t="s">
        <v>36</v>
      </c>
      <c r="C2762" s="53" t="n">
        <v>695</v>
      </c>
      <c r="D2762" s="53" t="n">
        <v>1</v>
      </c>
      <c r="E2762" s="65" t="str">
        <f aca="false">IF($H2762="","",购销流水!$B695)</f>
        <v/>
      </c>
      <c r="F2762" s="55" t="str">
        <f aca="false">IF($H2762="","",购销流水!$C695)</f>
        <v/>
      </c>
      <c r="G2762" s="48" t="str">
        <f aca="false">IF($H2762="","",购销流水!$N695)</f>
        <v/>
      </c>
      <c r="H2762" s="10" t="str">
        <f aca="false">IF($L2762="","",IF($L2762="@成本",购销流水!$U695,IF($L2762="@收入",购销流水!$T695,IF($L2762="@存货",购销流水!$S695,IF($L2762="@结算",购销流水!$R695,$L2762)))))</f>
        <v/>
      </c>
      <c r="I2762" s="42" t="n">
        <f aca="false">IF($M2762="借",$O2762,0)</f>
        <v>0</v>
      </c>
      <c r="J2762" s="42" t="n">
        <f aca="false">IF($M2762="贷",$O2762,0)</f>
        <v>0</v>
      </c>
      <c r="K2762" s="48" t="str">
        <f aca="false">IF($H2762="","",购销流水!$E695)</f>
        <v/>
      </c>
      <c r="L2762" s="66" t="str">
        <f aca="false">IF(购销流水!$D695="","",IFERROR(INDEX(记账规则!$A$6:$N$9,MATCH(购销流水!$D695,记账规则!$A$6:$A$9,0),3),""))</f>
        <v/>
      </c>
      <c r="M2762" s="66" t="str">
        <f aca="false">IF($L2762="","",IFERROR(INDEX(记账规则!$A$6:$N$9,MATCH(购销流水!$D695,记账规则!$A$6:$A$9,0),4),""))</f>
        <v/>
      </c>
      <c r="N2762" s="66" t="str">
        <f aca="false">IF($L2762="","",IFERROR(INDEX(记账规则!$A$6:$N$9,MATCH(购销流水!$D695,记账规则!$A$6:$A$9,0),5),""))</f>
        <v/>
      </c>
      <c r="O2762" s="67" t="n">
        <f aca="false">IF($H2762="",0,ROUND(IF($N2762="成本金额",N(购销流水!$W695),IF($N2762="金额",N(购销流水!$Q695),0)),2))</f>
        <v>0</v>
      </c>
      <c r="P2762" s="64" t="str">
        <f aca="false">IF(AND($H2762&lt;&gt;"",ROUND($O2762,2)&lt;&gt;0),"有","")</f>
        <v/>
      </c>
    </row>
    <row r="2763" customFormat="false" ht="15" hidden="true" customHeight="false" outlineLevel="0" collapsed="false">
      <c r="A2763" s="53" t="str">
        <f aca="false">IF($H2763="","",ROW()-5)</f>
        <v/>
      </c>
      <c r="B2763" s="64" t="s">
        <v>36</v>
      </c>
      <c r="C2763" s="53" t="n">
        <v>695</v>
      </c>
      <c r="D2763" s="53" t="n">
        <v>2</v>
      </c>
      <c r="E2763" s="65" t="str">
        <f aca="false">IF($H2763="","",购销流水!$B695)</f>
        <v/>
      </c>
      <c r="F2763" s="55" t="str">
        <f aca="false">IF($H2763="","",购销流水!$C695)</f>
        <v/>
      </c>
      <c r="G2763" s="48" t="str">
        <f aca="false">IF($H2763="","",购销流水!$N695)</f>
        <v/>
      </c>
      <c r="H2763" s="10" t="str">
        <f aca="false">IF($L2763="","",IF($L2763="@成本",购销流水!$U695,IF($L2763="@收入",购销流水!$T695,IF($L2763="@存货",购销流水!$S695,IF($L2763="@结算",购销流水!$R695,$L2763)))))</f>
        <v/>
      </c>
      <c r="I2763" s="42" t="n">
        <f aca="false">IF($M2763="借",$O2763,0)</f>
        <v>0</v>
      </c>
      <c r="J2763" s="42" t="n">
        <f aca="false">IF($M2763="贷",$O2763,0)</f>
        <v>0</v>
      </c>
      <c r="K2763" s="48" t="str">
        <f aca="false">IF($H2763="","",购销流水!$E695)</f>
        <v/>
      </c>
      <c r="L2763" s="66" t="str">
        <f aca="false">IF(购销流水!$D695="","",IFERROR(INDEX(记账规则!$A$6:$N$9,MATCH(购销流水!$D695,记账规则!$A$6:$A$9,0),6),""))</f>
        <v/>
      </c>
      <c r="M2763" s="66" t="str">
        <f aca="false">IF($L2763="","",IFERROR(INDEX(记账规则!$A$6:$N$9,MATCH(购销流水!$D695,记账规则!$A$6:$A$9,0),7),""))</f>
        <v/>
      </c>
      <c r="N2763" s="66" t="str">
        <f aca="false">IF($L2763="","",IFERROR(INDEX(记账规则!$A$6:$N$9,MATCH(购销流水!$D695,记账规则!$A$6:$A$9,0),8),""))</f>
        <v/>
      </c>
      <c r="O2763" s="67" t="n">
        <f aca="false">IF($H2763="",0,ROUND(IF($N2763="成本金额",N(购销流水!$W695),IF($N2763="金额",N(购销流水!$Q695),0)),2))</f>
        <v>0</v>
      </c>
      <c r="P2763" s="64" t="str">
        <f aca="false">IF(AND($H2763&lt;&gt;"",ROUND($O2763,2)&lt;&gt;0),"有","")</f>
        <v/>
      </c>
    </row>
    <row r="2764" customFormat="false" ht="15" hidden="true" customHeight="false" outlineLevel="0" collapsed="false">
      <c r="A2764" s="53" t="str">
        <f aca="false">IF($H2764="","",ROW()-5)</f>
        <v/>
      </c>
      <c r="B2764" s="64" t="s">
        <v>36</v>
      </c>
      <c r="C2764" s="53" t="n">
        <v>695</v>
      </c>
      <c r="D2764" s="53" t="n">
        <v>3</v>
      </c>
      <c r="E2764" s="65" t="str">
        <f aca="false">IF($H2764="","",购销流水!$B695)</f>
        <v/>
      </c>
      <c r="F2764" s="55" t="str">
        <f aca="false">IF($H2764="","",购销流水!$C695)</f>
        <v/>
      </c>
      <c r="G2764" s="48" t="str">
        <f aca="false">IF($H2764="","",购销流水!$N695)</f>
        <v/>
      </c>
      <c r="H2764" s="10" t="str">
        <f aca="false">IF($L2764="","",IF($L2764="@成本",购销流水!$U695,IF($L2764="@收入",购销流水!$T695,IF($L2764="@存货",购销流水!$S695,IF($L2764="@结算",购销流水!$R695,$L2764)))))</f>
        <v/>
      </c>
      <c r="I2764" s="42" t="n">
        <f aca="false">IF($M2764="借",$O2764,0)</f>
        <v>0</v>
      </c>
      <c r="J2764" s="42" t="n">
        <f aca="false">IF($M2764="贷",$O2764,0)</f>
        <v>0</v>
      </c>
      <c r="K2764" s="48" t="str">
        <f aca="false">IF($H2764="","",购销流水!$E695)</f>
        <v/>
      </c>
      <c r="L2764" s="66" t="str">
        <f aca="false">IF(购销流水!$D695="","",IFERROR(INDEX(记账规则!$A$6:$N$9,MATCH(购销流水!$D695,记账规则!$A$6:$A$9,0),9),""))</f>
        <v/>
      </c>
      <c r="M2764" s="66" t="str">
        <f aca="false">IF($L2764="","",IFERROR(INDEX(记账规则!$A$6:$N$9,MATCH(购销流水!$D695,记账规则!$A$6:$A$9,0),10),""))</f>
        <v/>
      </c>
      <c r="N2764" s="66" t="str">
        <f aca="false">IF($L2764="","",IFERROR(INDEX(记账规则!$A$6:$N$9,MATCH(购销流水!$D695,记账规则!$A$6:$A$9,0),11),""))</f>
        <v/>
      </c>
      <c r="O2764" s="67" t="n">
        <f aca="false">IF($H2764="",0,ROUND(IF($N2764="成本金额",N(购销流水!$W695),IF($N2764="金额",N(购销流水!$Q695),0)),2))</f>
        <v>0</v>
      </c>
      <c r="P2764" s="64" t="str">
        <f aca="false">IF(AND($H2764&lt;&gt;"",ROUND($O2764,2)&lt;&gt;0),"有","")</f>
        <v/>
      </c>
    </row>
    <row r="2765" customFormat="false" ht="15" hidden="true" customHeight="false" outlineLevel="0" collapsed="false">
      <c r="A2765" s="53" t="str">
        <f aca="false">IF($H2765="","",ROW()-5)</f>
        <v/>
      </c>
      <c r="B2765" s="64" t="s">
        <v>36</v>
      </c>
      <c r="C2765" s="53" t="n">
        <v>695</v>
      </c>
      <c r="D2765" s="53" t="n">
        <v>4</v>
      </c>
      <c r="E2765" s="65" t="str">
        <f aca="false">IF($H2765="","",购销流水!$B695)</f>
        <v/>
      </c>
      <c r="F2765" s="55" t="str">
        <f aca="false">IF($H2765="","",购销流水!$C695)</f>
        <v/>
      </c>
      <c r="G2765" s="48" t="str">
        <f aca="false">IF($H2765="","",购销流水!$N695)</f>
        <v/>
      </c>
      <c r="H2765" s="10" t="str">
        <f aca="false">IF($L2765="","",IF($L2765="@成本",购销流水!$U695,IF($L2765="@收入",购销流水!$T695,IF($L2765="@存货",购销流水!$S695,IF($L2765="@结算",购销流水!$R695,$L2765)))))</f>
        <v/>
      </c>
      <c r="I2765" s="42" t="n">
        <f aca="false">IF($M2765="借",$O2765,0)</f>
        <v>0</v>
      </c>
      <c r="J2765" s="42" t="n">
        <f aca="false">IF($M2765="贷",$O2765,0)</f>
        <v>0</v>
      </c>
      <c r="K2765" s="48" t="str">
        <f aca="false">IF($H2765="","",购销流水!$E695)</f>
        <v/>
      </c>
      <c r="L2765" s="66" t="str">
        <f aca="false">IF(购销流水!$D695="","",IFERROR(INDEX(记账规则!$A$6:$N$9,MATCH(购销流水!$D695,记账规则!$A$6:$A$9,0),12),""))</f>
        <v/>
      </c>
      <c r="M2765" s="66" t="str">
        <f aca="false">IF($L2765="","",IFERROR(INDEX(记账规则!$A$6:$N$9,MATCH(购销流水!$D695,记账规则!$A$6:$A$9,0),13),""))</f>
        <v/>
      </c>
      <c r="N2765" s="66" t="str">
        <f aca="false">IF($L2765="","",IFERROR(INDEX(记账规则!$A$6:$N$9,MATCH(购销流水!$D695,记账规则!$A$6:$A$9,0),14),""))</f>
        <v/>
      </c>
      <c r="O2765" s="67" t="n">
        <f aca="false">IF($H2765="",0,ROUND(IF($N2765="成本金额",N(购销流水!$W695),IF($N2765="金额",N(购销流水!$Q695),0)),2))</f>
        <v>0</v>
      </c>
      <c r="P2765" s="64" t="str">
        <f aca="false">IF(AND($H2765&lt;&gt;"",ROUND($O2765,2)&lt;&gt;0),"有","")</f>
        <v/>
      </c>
    </row>
    <row r="2766" customFormat="false" ht="15" hidden="true" customHeight="false" outlineLevel="0" collapsed="false">
      <c r="A2766" s="53" t="str">
        <f aca="false">IF($H2766="","",ROW()-5)</f>
        <v/>
      </c>
      <c r="B2766" s="64" t="s">
        <v>36</v>
      </c>
      <c r="C2766" s="53" t="n">
        <v>696</v>
      </c>
      <c r="D2766" s="53" t="n">
        <v>1</v>
      </c>
      <c r="E2766" s="65" t="str">
        <f aca="false">IF($H2766="","",购销流水!$B696)</f>
        <v/>
      </c>
      <c r="F2766" s="55" t="str">
        <f aca="false">IF($H2766="","",购销流水!$C696)</f>
        <v/>
      </c>
      <c r="G2766" s="48" t="str">
        <f aca="false">IF($H2766="","",购销流水!$N696)</f>
        <v/>
      </c>
      <c r="H2766" s="10" t="str">
        <f aca="false">IF($L2766="","",IF($L2766="@成本",购销流水!$U696,IF($L2766="@收入",购销流水!$T696,IF($L2766="@存货",购销流水!$S696,IF($L2766="@结算",购销流水!$R696,$L2766)))))</f>
        <v/>
      </c>
      <c r="I2766" s="42" t="n">
        <f aca="false">IF($M2766="借",$O2766,0)</f>
        <v>0</v>
      </c>
      <c r="J2766" s="42" t="n">
        <f aca="false">IF($M2766="贷",$O2766,0)</f>
        <v>0</v>
      </c>
      <c r="K2766" s="48" t="str">
        <f aca="false">IF($H2766="","",购销流水!$E696)</f>
        <v/>
      </c>
      <c r="L2766" s="66" t="str">
        <f aca="false">IF(购销流水!$D696="","",IFERROR(INDEX(记账规则!$A$6:$N$9,MATCH(购销流水!$D696,记账规则!$A$6:$A$9,0),3),""))</f>
        <v/>
      </c>
      <c r="M2766" s="66" t="str">
        <f aca="false">IF($L2766="","",IFERROR(INDEX(记账规则!$A$6:$N$9,MATCH(购销流水!$D696,记账规则!$A$6:$A$9,0),4),""))</f>
        <v/>
      </c>
      <c r="N2766" s="66" t="str">
        <f aca="false">IF($L2766="","",IFERROR(INDEX(记账规则!$A$6:$N$9,MATCH(购销流水!$D696,记账规则!$A$6:$A$9,0),5),""))</f>
        <v/>
      </c>
      <c r="O2766" s="67" t="n">
        <f aca="false">IF($H2766="",0,ROUND(IF($N2766="成本金额",N(购销流水!$W696),IF($N2766="金额",N(购销流水!$Q696),0)),2))</f>
        <v>0</v>
      </c>
      <c r="P2766" s="64" t="str">
        <f aca="false">IF(AND($H2766&lt;&gt;"",ROUND($O2766,2)&lt;&gt;0),"有","")</f>
        <v/>
      </c>
    </row>
    <row r="2767" customFormat="false" ht="15" hidden="true" customHeight="false" outlineLevel="0" collapsed="false">
      <c r="A2767" s="53" t="str">
        <f aca="false">IF($H2767="","",ROW()-5)</f>
        <v/>
      </c>
      <c r="B2767" s="64" t="s">
        <v>36</v>
      </c>
      <c r="C2767" s="53" t="n">
        <v>696</v>
      </c>
      <c r="D2767" s="53" t="n">
        <v>2</v>
      </c>
      <c r="E2767" s="65" t="str">
        <f aca="false">IF($H2767="","",购销流水!$B696)</f>
        <v/>
      </c>
      <c r="F2767" s="55" t="str">
        <f aca="false">IF($H2767="","",购销流水!$C696)</f>
        <v/>
      </c>
      <c r="G2767" s="48" t="str">
        <f aca="false">IF($H2767="","",购销流水!$N696)</f>
        <v/>
      </c>
      <c r="H2767" s="10" t="str">
        <f aca="false">IF($L2767="","",IF($L2767="@成本",购销流水!$U696,IF($L2767="@收入",购销流水!$T696,IF($L2767="@存货",购销流水!$S696,IF($L2767="@结算",购销流水!$R696,$L2767)))))</f>
        <v/>
      </c>
      <c r="I2767" s="42" t="n">
        <f aca="false">IF($M2767="借",$O2767,0)</f>
        <v>0</v>
      </c>
      <c r="J2767" s="42" t="n">
        <f aca="false">IF($M2767="贷",$O2767,0)</f>
        <v>0</v>
      </c>
      <c r="K2767" s="48" t="str">
        <f aca="false">IF($H2767="","",购销流水!$E696)</f>
        <v/>
      </c>
      <c r="L2767" s="66" t="str">
        <f aca="false">IF(购销流水!$D696="","",IFERROR(INDEX(记账规则!$A$6:$N$9,MATCH(购销流水!$D696,记账规则!$A$6:$A$9,0),6),""))</f>
        <v/>
      </c>
      <c r="M2767" s="66" t="str">
        <f aca="false">IF($L2767="","",IFERROR(INDEX(记账规则!$A$6:$N$9,MATCH(购销流水!$D696,记账规则!$A$6:$A$9,0),7),""))</f>
        <v/>
      </c>
      <c r="N2767" s="66" t="str">
        <f aca="false">IF($L2767="","",IFERROR(INDEX(记账规则!$A$6:$N$9,MATCH(购销流水!$D696,记账规则!$A$6:$A$9,0),8),""))</f>
        <v/>
      </c>
      <c r="O2767" s="67" t="n">
        <f aca="false">IF($H2767="",0,ROUND(IF($N2767="成本金额",N(购销流水!$W696),IF($N2767="金额",N(购销流水!$Q696),0)),2))</f>
        <v>0</v>
      </c>
      <c r="P2767" s="64" t="str">
        <f aca="false">IF(AND($H2767&lt;&gt;"",ROUND($O2767,2)&lt;&gt;0),"有","")</f>
        <v/>
      </c>
    </row>
    <row r="2768" customFormat="false" ht="15" hidden="true" customHeight="false" outlineLevel="0" collapsed="false">
      <c r="A2768" s="53" t="str">
        <f aca="false">IF($H2768="","",ROW()-5)</f>
        <v/>
      </c>
      <c r="B2768" s="64" t="s">
        <v>36</v>
      </c>
      <c r="C2768" s="53" t="n">
        <v>696</v>
      </c>
      <c r="D2768" s="53" t="n">
        <v>3</v>
      </c>
      <c r="E2768" s="65" t="str">
        <f aca="false">IF($H2768="","",购销流水!$B696)</f>
        <v/>
      </c>
      <c r="F2768" s="55" t="str">
        <f aca="false">IF($H2768="","",购销流水!$C696)</f>
        <v/>
      </c>
      <c r="G2768" s="48" t="str">
        <f aca="false">IF($H2768="","",购销流水!$N696)</f>
        <v/>
      </c>
      <c r="H2768" s="10" t="str">
        <f aca="false">IF($L2768="","",IF($L2768="@成本",购销流水!$U696,IF($L2768="@收入",购销流水!$T696,IF($L2768="@存货",购销流水!$S696,IF($L2768="@结算",购销流水!$R696,$L2768)))))</f>
        <v/>
      </c>
      <c r="I2768" s="42" t="n">
        <f aca="false">IF($M2768="借",$O2768,0)</f>
        <v>0</v>
      </c>
      <c r="J2768" s="42" t="n">
        <f aca="false">IF($M2768="贷",$O2768,0)</f>
        <v>0</v>
      </c>
      <c r="K2768" s="48" t="str">
        <f aca="false">IF($H2768="","",购销流水!$E696)</f>
        <v/>
      </c>
      <c r="L2768" s="66" t="str">
        <f aca="false">IF(购销流水!$D696="","",IFERROR(INDEX(记账规则!$A$6:$N$9,MATCH(购销流水!$D696,记账规则!$A$6:$A$9,0),9),""))</f>
        <v/>
      </c>
      <c r="M2768" s="66" t="str">
        <f aca="false">IF($L2768="","",IFERROR(INDEX(记账规则!$A$6:$N$9,MATCH(购销流水!$D696,记账规则!$A$6:$A$9,0),10),""))</f>
        <v/>
      </c>
      <c r="N2768" s="66" t="str">
        <f aca="false">IF($L2768="","",IFERROR(INDEX(记账规则!$A$6:$N$9,MATCH(购销流水!$D696,记账规则!$A$6:$A$9,0),11),""))</f>
        <v/>
      </c>
      <c r="O2768" s="67" t="n">
        <f aca="false">IF($H2768="",0,ROUND(IF($N2768="成本金额",N(购销流水!$W696),IF($N2768="金额",N(购销流水!$Q696),0)),2))</f>
        <v>0</v>
      </c>
      <c r="P2768" s="64" t="str">
        <f aca="false">IF(AND($H2768&lt;&gt;"",ROUND($O2768,2)&lt;&gt;0),"有","")</f>
        <v/>
      </c>
    </row>
    <row r="2769" customFormat="false" ht="15" hidden="true" customHeight="false" outlineLevel="0" collapsed="false">
      <c r="A2769" s="53" t="str">
        <f aca="false">IF($H2769="","",ROW()-5)</f>
        <v/>
      </c>
      <c r="B2769" s="64" t="s">
        <v>36</v>
      </c>
      <c r="C2769" s="53" t="n">
        <v>696</v>
      </c>
      <c r="D2769" s="53" t="n">
        <v>4</v>
      </c>
      <c r="E2769" s="65" t="str">
        <f aca="false">IF($H2769="","",购销流水!$B696)</f>
        <v/>
      </c>
      <c r="F2769" s="55" t="str">
        <f aca="false">IF($H2769="","",购销流水!$C696)</f>
        <v/>
      </c>
      <c r="G2769" s="48" t="str">
        <f aca="false">IF($H2769="","",购销流水!$N696)</f>
        <v/>
      </c>
      <c r="H2769" s="10" t="str">
        <f aca="false">IF($L2769="","",IF($L2769="@成本",购销流水!$U696,IF($L2769="@收入",购销流水!$T696,IF($L2769="@存货",购销流水!$S696,IF($L2769="@结算",购销流水!$R696,$L2769)))))</f>
        <v/>
      </c>
      <c r="I2769" s="42" t="n">
        <f aca="false">IF($M2769="借",$O2769,0)</f>
        <v>0</v>
      </c>
      <c r="J2769" s="42" t="n">
        <f aca="false">IF($M2769="贷",$O2769,0)</f>
        <v>0</v>
      </c>
      <c r="K2769" s="48" t="str">
        <f aca="false">IF($H2769="","",购销流水!$E696)</f>
        <v/>
      </c>
      <c r="L2769" s="66" t="str">
        <f aca="false">IF(购销流水!$D696="","",IFERROR(INDEX(记账规则!$A$6:$N$9,MATCH(购销流水!$D696,记账规则!$A$6:$A$9,0),12),""))</f>
        <v/>
      </c>
      <c r="M2769" s="66" t="str">
        <f aca="false">IF($L2769="","",IFERROR(INDEX(记账规则!$A$6:$N$9,MATCH(购销流水!$D696,记账规则!$A$6:$A$9,0),13),""))</f>
        <v/>
      </c>
      <c r="N2769" s="66" t="str">
        <f aca="false">IF($L2769="","",IFERROR(INDEX(记账规则!$A$6:$N$9,MATCH(购销流水!$D696,记账规则!$A$6:$A$9,0),14),""))</f>
        <v/>
      </c>
      <c r="O2769" s="67" t="n">
        <f aca="false">IF($H2769="",0,ROUND(IF($N2769="成本金额",N(购销流水!$W696),IF($N2769="金额",N(购销流水!$Q696),0)),2))</f>
        <v>0</v>
      </c>
      <c r="P2769" s="64" t="str">
        <f aca="false">IF(AND($H2769&lt;&gt;"",ROUND($O2769,2)&lt;&gt;0),"有","")</f>
        <v/>
      </c>
    </row>
    <row r="2770" customFormat="false" ht="15" hidden="true" customHeight="false" outlineLevel="0" collapsed="false">
      <c r="A2770" s="53" t="str">
        <f aca="false">IF($H2770="","",ROW()-5)</f>
        <v/>
      </c>
      <c r="B2770" s="64" t="s">
        <v>36</v>
      </c>
      <c r="C2770" s="53" t="n">
        <v>697</v>
      </c>
      <c r="D2770" s="53" t="n">
        <v>1</v>
      </c>
      <c r="E2770" s="65" t="str">
        <f aca="false">IF($H2770="","",购销流水!$B697)</f>
        <v/>
      </c>
      <c r="F2770" s="55" t="str">
        <f aca="false">IF($H2770="","",购销流水!$C697)</f>
        <v/>
      </c>
      <c r="G2770" s="48" t="str">
        <f aca="false">IF($H2770="","",购销流水!$N697)</f>
        <v/>
      </c>
      <c r="H2770" s="10" t="str">
        <f aca="false">IF($L2770="","",IF($L2770="@成本",购销流水!$U697,IF($L2770="@收入",购销流水!$T697,IF($L2770="@存货",购销流水!$S697,IF($L2770="@结算",购销流水!$R697,$L2770)))))</f>
        <v/>
      </c>
      <c r="I2770" s="42" t="n">
        <f aca="false">IF($M2770="借",$O2770,0)</f>
        <v>0</v>
      </c>
      <c r="J2770" s="42" t="n">
        <f aca="false">IF($M2770="贷",$O2770,0)</f>
        <v>0</v>
      </c>
      <c r="K2770" s="48" t="str">
        <f aca="false">IF($H2770="","",购销流水!$E697)</f>
        <v/>
      </c>
      <c r="L2770" s="66" t="str">
        <f aca="false">IF(购销流水!$D697="","",IFERROR(INDEX(记账规则!$A$6:$N$9,MATCH(购销流水!$D697,记账规则!$A$6:$A$9,0),3),""))</f>
        <v/>
      </c>
      <c r="M2770" s="66" t="str">
        <f aca="false">IF($L2770="","",IFERROR(INDEX(记账规则!$A$6:$N$9,MATCH(购销流水!$D697,记账规则!$A$6:$A$9,0),4),""))</f>
        <v/>
      </c>
      <c r="N2770" s="66" t="str">
        <f aca="false">IF($L2770="","",IFERROR(INDEX(记账规则!$A$6:$N$9,MATCH(购销流水!$D697,记账规则!$A$6:$A$9,0),5),""))</f>
        <v/>
      </c>
      <c r="O2770" s="67" t="n">
        <f aca="false">IF($H2770="",0,ROUND(IF($N2770="成本金额",N(购销流水!$W697),IF($N2770="金额",N(购销流水!$Q697),0)),2))</f>
        <v>0</v>
      </c>
      <c r="P2770" s="64" t="str">
        <f aca="false">IF(AND($H2770&lt;&gt;"",ROUND($O2770,2)&lt;&gt;0),"有","")</f>
        <v/>
      </c>
    </row>
    <row r="2771" customFormat="false" ht="15" hidden="true" customHeight="false" outlineLevel="0" collapsed="false">
      <c r="A2771" s="53" t="str">
        <f aca="false">IF($H2771="","",ROW()-5)</f>
        <v/>
      </c>
      <c r="B2771" s="64" t="s">
        <v>36</v>
      </c>
      <c r="C2771" s="53" t="n">
        <v>697</v>
      </c>
      <c r="D2771" s="53" t="n">
        <v>2</v>
      </c>
      <c r="E2771" s="65" t="str">
        <f aca="false">IF($H2771="","",购销流水!$B697)</f>
        <v/>
      </c>
      <c r="F2771" s="55" t="str">
        <f aca="false">IF($H2771="","",购销流水!$C697)</f>
        <v/>
      </c>
      <c r="G2771" s="48" t="str">
        <f aca="false">IF($H2771="","",购销流水!$N697)</f>
        <v/>
      </c>
      <c r="H2771" s="10" t="str">
        <f aca="false">IF($L2771="","",IF($L2771="@成本",购销流水!$U697,IF($L2771="@收入",购销流水!$T697,IF($L2771="@存货",购销流水!$S697,IF($L2771="@结算",购销流水!$R697,$L2771)))))</f>
        <v/>
      </c>
      <c r="I2771" s="42" t="n">
        <f aca="false">IF($M2771="借",$O2771,0)</f>
        <v>0</v>
      </c>
      <c r="J2771" s="42" t="n">
        <f aca="false">IF($M2771="贷",$O2771,0)</f>
        <v>0</v>
      </c>
      <c r="K2771" s="48" t="str">
        <f aca="false">IF($H2771="","",购销流水!$E697)</f>
        <v/>
      </c>
      <c r="L2771" s="66" t="str">
        <f aca="false">IF(购销流水!$D697="","",IFERROR(INDEX(记账规则!$A$6:$N$9,MATCH(购销流水!$D697,记账规则!$A$6:$A$9,0),6),""))</f>
        <v/>
      </c>
      <c r="M2771" s="66" t="str">
        <f aca="false">IF($L2771="","",IFERROR(INDEX(记账规则!$A$6:$N$9,MATCH(购销流水!$D697,记账规则!$A$6:$A$9,0),7),""))</f>
        <v/>
      </c>
      <c r="N2771" s="66" t="str">
        <f aca="false">IF($L2771="","",IFERROR(INDEX(记账规则!$A$6:$N$9,MATCH(购销流水!$D697,记账规则!$A$6:$A$9,0),8),""))</f>
        <v/>
      </c>
      <c r="O2771" s="67" t="n">
        <f aca="false">IF($H2771="",0,ROUND(IF($N2771="成本金额",N(购销流水!$W697),IF($N2771="金额",N(购销流水!$Q697),0)),2))</f>
        <v>0</v>
      </c>
      <c r="P2771" s="64" t="str">
        <f aca="false">IF(AND($H2771&lt;&gt;"",ROUND($O2771,2)&lt;&gt;0),"有","")</f>
        <v/>
      </c>
    </row>
    <row r="2772" customFormat="false" ht="15" hidden="true" customHeight="false" outlineLevel="0" collapsed="false">
      <c r="A2772" s="53" t="str">
        <f aca="false">IF($H2772="","",ROW()-5)</f>
        <v/>
      </c>
      <c r="B2772" s="64" t="s">
        <v>36</v>
      </c>
      <c r="C2772" s="53" t="n">
        <v>697</v>
      </c>
      <c r="D2772" s="53" t="n">
        <v>3</v>
      </c>
      <c r="E2772" s="65" t="str">
        <f aca="false">IF($H2772="","",购销流水!$B697)</f>
        <v/>
      </c>
      <c r="F2772" s="55" t="str">
        <f aca="false">IF($H2772="","",购销流水!$C697)</f>
        <v/>
      </c>
      <c r="G2772" s="48" t="str">
        <f aca="false">IF($H2772="","",购销流水!$N697)</f>
        <v/>
      </c>
      <c r="H2772" s="10" t="str">
        <f aca="false">IF($L2772="","",IF($L2772="@成本",购销流水!$U697,IF($L2772="@收入",购销流水!$T697,IF($L2772="@存货",购销流水!$S697,IF($L2772="@结算",购销流水!$R697,$L2772)))))</f>
        <v/>
      </c>
      <c r="I2772" s="42" t="n">
        <f aca="false">IF($M2772="借",$O2772,0)</f>
        <v>0</v>
      </c>
      <c r="J2772" s="42" t="n">
        <f aca="false">IF($M2772="贷",$O2772,0)</f>
        <v>0</v>
      </c>
      <c r="K2772" s="48" t="str">
        <f aca="false">IF($H2772="","",购销流水!$E697)</f>
        <v/>
      </c>
      <c r="L2772" s="66" t="str">
        <f aca="false">IF(购销流水!$D697="","",IFERROR(INDEX(记账规则!$A$6:$N$9,MATCH(购销流水!$D697,记账规则!$A$6:$A$9,0),9),""))</f>
        <v/>
      </c>
      <c r="M2772" s="66" t="str">
        <f aca="false">IF($L2772="","",IFERROR(INDEX(记账规则!$A$6:$N$9,MATCH(购销流水!$D697,记账规则!$A$6:$A$9,0),10),""))</f>
        <v/>
      </c>
      <c r="N2772" s="66" t="str">
        <f aca="false">IF($L2772="","",IFERROR(INDEX(记账规则!$A$6:$N$9,MATCH(购销流水!$D697,记账规则!$A$6:$A$9,0),11),""))</f>
        <v/>
      </c>
      <c r="O2772" s="67" t="n">
        <f aca="false">IF($H2772="",0,ROUND(IF($N2772="成本金额",N(购销流水!$W697),IF($N2772="金额",N(购销流水!$Q697),0)),2))</f>
        <v>0</v>
      </c>
      <c r="P2772" s="64" t="str">
        <f aca="false">IF(AND($H2772&lt;&gt;"",ROUND($O2772,2)&lt;&gt;0),"有","")</f>
        <v/>
      </c>
    </row>
    <row r="2773" customFormat="false" ht="15" hidden="true" customHeight="false" outlineLevel="0" collapsed="false">
      <c r="A2773" s="53" t="str">
        <f aca="false">IF($H2773="","",ROW()-5)</f>
        <v/>
      </c>
      <c r="B2773" s="64" t="s">
        <v>36</v>
      </c>
      <c r="C2773" s="53" t="n">
        <v>697</v>
      </c>
      <c r="D2773" s="53" t="n">
        <v>4</v>
      </c>
      <c r="E2773" s="65" t="str">
        <f aca="false">IF($H2773="","",购销流水!$B697)</f>
        <v/>
      </c>
      <c r="F2773" s="55" t="str">
        <f aca="false">IF($H2773="","",购销流水!$C697)</f>
        <v/>
      </c>
      <c r="G2773" s="48" t="str">
        <f aca="false">IF($H2773="","",购销流水!$N697)</f>
        <v/>
      </c>
      <c r="H2773" s="10" t="str">
        <f aca="false">IF($L2773="","",IF($L2773="@成本",购销流水!$U697,IF($L2773="@收入",购销流水!$T697,IF($L2773="@存货",购销流水!$S697,IF($L2773="@结算",购销流水!$R697,$L2773)))))</f>
        <v/>
      </c>
      <c r="I2773" s="42" t="n">
        <f aca="false">IF($M2773="借",$O2773,0)</f>
        <v>0</v>
      </c>
      <c r="J2773" s="42" t="n">
        <f aca="false">IF($M2773="贷",$O2773,0)</f>
        <v>0</v>
      </c>
      <c r="K2773" s="48" t="str">
        <f aca="false">IF($H2773="","",购销流水!$E697)</f>
        <v/>
      </c>
      <c r="L2773" s="66" t="str">
        <f aca="false">IF(购销流水!$D697="","",IFERROR(INDEX(记账规则!$A$6:$N$9,MATCH(购销流水!$D697,记账规则!$A$6:$A$9,0),12),""))</f>
        <v/>
      </c>
      <c r="M2773" s="66" t="str">
        <f aca="false">IF($L2773="","",IFERROR(INDEX(记账规则!$A$6:$N$9,MATCH(购销流水!$D697,记账规则!$A$6:$A$9,0),13),""))</f>
        <v/>
      </c>
      <c r="N2773" s="66" t="str">
        <f aca="false">IF($L2773="","",IFERROR(INDEX(记账规则!$A$6:$N$9,MATCH(购销流水!$D697,记账规则!$A$6:$A$9,0),14),""))</f>
        <v/>
      </c>
      <c r="O2773" s="67" t="n">
        <f aca="false">IF($H2773="",0,ROUND(IF($N2773="成本金额",N(购销流水!$W697),IF($N2773="金额",N(购销流水!$Q697),0)),2))</f>
        <v>0</v>
      </c>
      <c r="P2773" s="64" t="str">
        <f aca="false">IF(AND($H2773&lt;&gt;"",ROUND($O2773,2)&lt;&gt;0),"有","")</f>
        <v/>
      </c>
    </row>
    <row r="2774" customFormat="false" ht="15" hidden="true" customHeight="false" outlineLevel="0" collapsed="false">
      <c r="A2774" s="53" t="str">
        <f aca="false">IF($H2774="","",ROW()-5)</f>
        <v/>
      </c>
      <c r="B2774" s="64" t="s">
        <v>36</v>
      </c>
      <c r="C2774" s="53" t="n">
        <v>698</v>
      </c>
      <c r="D2774" s="53" t="n">
        <v>1</v>
      </c>
      <c r="E2774" s="65" t="str">
        <f aca="false">IF($H2774="","",购销流水!$B698)</f>
        <v/>
      </c>
      <c r="F2774" s="55" t="str">
        <f aca="false">IF($H2774="","",购销流水!$C698)</f>
        <v/>
      </c>
      <c r="G2774" s="48" t="str">
        <f aca="false">IF($H2774="","",购销流水!$N698)</f>
        <v/>
      </c>
      <c r="H2774" s="10" t="str">
        <f aca="false">IF($L2774="","",IF($L2774="@成本",购销流水!$U698,IF($L2774="@收入",购销流水!$T698,IF($L2774="@存货",购销流水!$S698,IF($L2774="@结算",购销流水!$R698,$L2774)))))</f>
        <v/>
      </c>
      <c r="I2774" s="42" t="n">
        <f aca="false">IF($M2774="借",$O2774,0)</f>
        <v>0</v>
      </c>
      <c r="J2774" s="42" t="n">
        <f aca="false">IF($M2774="贷",$O2774,0)</f>
        <v>0</v>
      </c>
      <c r="K2774" s="48" t="str">
        <f aca="false">IF($H2774="","",购销流水!$E698)</f>
        <v/>
      </c>
      <c r="L2774" s="66" t="str">
        <f aca="false">IF(购销流水!$D698="","",IFERROR(INDEX(记账规则!$A$6:$N$9,MATCH(购销流水!$D698,记账规则!$A$6:$A$9,0),3),""))</f>
        <v/>
      </c>
      <c r="M2774" s="66" t="str">
        <f aca="false">IF($L2774="","",IFERROR(INDEX(记账规则!$A$6:$N$9,MATCH(购销流水!$D698,记账规则!$A$6:$A$9,0),4),""))</f>
        <v/>
      </c>
      <c r="N2774" s="66" t="str">
        <f aca="false">IF($L2774="","",IFERROR(INDEX(记账规则!$A$6:$N$9,MATCH(购销流水!$D698,记账规则!$A$6:$A$9,0),5),""))</f>
        <v/>
      </c>
      <c r="O2774" s="67" t="n">
        <f aca="false">IF($H2774="",0,ROUND(IF($N2774="成本金额",N(购销流水!$W698),IF($N2774="金额",N(购销流水!$Q698),0)),2))</f>
        <v>0</v>
      </c>
      <c r="P2774" s="64" t="str">
        <f aca="false">IF(AND($H2774&lt;&gt;"",ROUND($O2774,2)&lt;&gt;0),"有","")</f>
        <v/>
      </c>
    </row>
    <row r="2775" customFormat="false" ht="15" hidden="true" customHeight="false" outlineLevel="0" collapsed="false">
      <c r="A2775" s="53" t="str">
        <f aca="false">IF($H2775="","",ROW()-5)</f>
        <v/>
      </c>
      <c r="B2775" s="64" t="s">
        <v>36</v>
      </c>
      <c r="C2775" s="53" t="n">
        <v>698</v>
      </c>
      <c r="D2775" s="53" t="n">
        <v>2</v>
      </c>
      <c r="E2775" s="65" t="str">
        <f aca="false">IF($H2775="","",购销流水!$B698)</f>
        <v/>
      </c>
      <c r="F2775" s="55" t="str">
        <f aca="false">IF($H2775="","",购销流水!$C698)</f>
        <v/>
      </c>
      <c r="G2775" s="48" t="str">
        <f aca="false">IF($H2775="","",购销流水!$N698)</f>
        <v/>
      </c>
      <c r="H2775" s="10" t="str">
        <f aca="false">IF($L2775="","",IF($L2775="@成本",购销流水!$U698,IF($L2775="@收入",购销流水!$T698,IF($L2775="@存货",购销流水!$S698,IF($L2775="@结算",购销流水!$R698,$L2775)))))</f>
        <v/>
      </c>
      <c r="I2775" s="42" t="n">
        <f aca="false">IF($M2775="借",$O2775,0)</f>
        <v>0</v>
      </c>
      <c r="J2775" s="42" t="n">
        <f aca="false">IF($M2775="贷",$O2775,0)</f>
        <v>0</v>
      </c>
      <c r="K2775" s="48" t="str">
        <f aca="false">IF($H2775="","",购销流水!$E698)</f>
        <v/>
      </c>
      <c r="L2775" s="66" t="str">
        <f aca="false">IF(购销流水!$D698="","",IFERROR(INDEX(记账规则!$A$6:$N$9,MATCH(购销流水!$D698,记账规则!$A$6:$A$9,0),6),""))</f>
        <v/>
      </c>
      <c r="M2775" s="66" t="str">
        <f aca="false">IF($L2775="","",IFERROR(INDEX(记账规则!$A$6:$N$9,MATCH(购销流水!$D698,记账规则!$A$6:$A$9,0),7),""))</f>
        <v/>
      </c>
      <c r="N2775" s="66" t="str">
        <f aca="false">IF($L2775="","",IFERROR(INDEX(记账规则!$A$6:$N$9,MATCH(购销流水!$D698,记账规则!$A$6:$A$9,0),8),""))</f>
        <v/>
      </c>
      <c r="O2775" s="67" t="n">
        <f aca="false">IF($H2775="",0,ROUND(IF($N2775="成本金额",N(购销流水!$W698),IF($N2775="金额",N(购销流水!$Q698),0)),2))</f>
        <v>0</v>
      </c>
      <c r="P2775" s="64" t="str">
        <f aca="false">IF(AND($H2775&lt;&gt;"",ROUND($O2775,2)&lt;&gt;0),"有","")</f>
        <v/>
      </c>
    </row>
    <row r="2776" customFormat="false" ht="15" hidden="true" customHeight="false" outlineLevel="0" collapsed="false">
      <c r="A2776" s="53" t="str">
        <f aca="false">IF($H2776="","",ROW()-5)</f>
        <v/>
      </c>
      <c r="B2776" s="64" t="s">
        <v>36</v>
      </c>
      <c r="C2776" s="53" t="n">
        <v>698</v>
      </c>
      <c r="D2776" s="53" t="n">
        <v>3</v>
      </c>
      <c r="E2776" s="65" t="str">
        <f aca="false">IF($H2776="","",购销流水!$B698)</f>
        <v/>
      </c>
      <c r="F2776" s="55" t="str">
        <f aca="false">IF($H2776="","",购销流水!$C698)</f>
        <v/>
      </c>
      <c r="G2776" s="48" t="str">
        <f aca="false">IF($H2776="","",购销流水!$N698)</f>
        <v/>
      </c>
      <c r="H2776" s="10" t="str">
        <f aca="false">IF($L2776="","",IF($L2776="@成本",购销流水!$U698,IF($L2776="@收入",购销流水!$T698,IF($L2776="@存货",购销流水!$S698,IF($L2776="@结算",购销流水!$R698,$L2776)))))</f>
        <v/>
      </c>
      <c r="I2776" s="42" t="n">
        <f aca="false">IF($M2776="借",$O2776,0)</f>
        <v>0</v>
      </c>
      <c r="J2776" s="42" t="n">
        <f aca="false">IF($M2776="贷",$O2776,0)</f>
        <v>0</v>
      </c>
      <c r="K2776" s="48" t="str">
        <f aca="false">IF($H2776="","",购销流水!$E698)</f>
        <v/>
      </c>
      <c r="L2776" s="66" t="str">
        <f aca="false">IF(购销流水!$D698="","",IFERROR(INDEX(记账规则!$A$6:$N$9,MATCH(购销流水!$D698,记账规则!$A$6:$A$9,0),9),""))</f>
        <v/>
      </c>
      <c r="M2776" s="66" t="str">
        <f aca="false">IF($L2776="","",IFERROR(INDEX(记账规则!$A$6:$N$9,MATCH(购销流水!$D698,记账规则!$A$6:$A$9,0),10),""))</f>
        <v/>
      </c>
      <c r="N2776" s="66" t="str">
        <f aca="false">IF($L2776="","",IFERROR(INDEX(记账规则!$A$6:$N$9,MATCH(购销流水!$D698,记账规则!$A$6:$A$9,0),11),""))</f>
        <v/>
      </c>
      <c r="O2776" s="67" t="n">
        <f aca="false">IF($H2776="",0,ROUND(IF($N2776="成本金额",N(购销流水!$W698),IF($N2776="金额",N(购销流水!$Q698),0)),2))</f>
        <v>0</v>
      </c>
      <c r="P2776" s="64" t="str">
        <f aca="false">IF(AND($H2776&lt;&gt;"",ROUND($O2776,2)&lt;&gt;0),"有","")</f>
        <v/>
      </c>
    </row>
    <row r="2777" customFormat="false" ht="15" hidden="true" customHeight="false" outlineLevel="0" collapsed="false">
      <c r="A2777" s="53" t="str">
        <f aca="false">IF($H2777="","",ROW()-5)</f>
        <v/>
      </c>
      <c r="B2777" s="64" t="s">
        <v>36</v>
      </c>
      <c r="C2777" s="53" t="n">
        <v>698</v>
      </c>
      <c r="D2777" s="53" t="n">
        <v>4</v>
      </c>
      <c r="E2777" s="65" t="str">
        <f aca="false">IF($H2777="","",购销流水!$B698)</f>
        <v/>
      </c>
      <c r="F2777" s="55" t="str">
        <f aca="false">IF($H2777="","",购销流水!$C698)</f>
        <v/>
      </c>
      <c r="G2777" s="48" t="str">
        <f aca="false">IF($H2777="","",购销流水!$N698)</f>
        <v/>
      </c>
      <c r="H2777" s="10" t="str">
        <f aca="false">IF($L2777="","",IF($L2777="@成本",购销流水!$U698,IF($L2777="@收入",购销流水!$T698,IF($L2777="@存货",购销流水!$S698,IF($L2777="@结算",购销流水!$R698,$L2777)))))</f>
        <v/>
      </c>
      <c r="I2777" s="42" t="n">
        <f aca="false">IF($M2777="借",$O2777,0)</f>
        <v>0</v>
      </c>
      <c r="J2777" s="42" t="n">
        <f aca="false">IF($M2777="贷",$O2777,0)</f>
        <v>0</v>
      </c>
      <c r="K2777" s="48" t="str">
        <f aca="false">IF($H2777="","",购销流水!$E698)</f>
        <v/>
      </c>
      <c r="L2777" s="66" t="str">
        <f aca="false">IF(购销流水!$D698="","",IFERROR(INDEX(记账规则!$A$6:$N$9,MATCH(购销流水!$D698,记账规则!$A$6:$A$9,0),12),""))</f>
        <v/>
      </c>
      <c r="M2777" s="66" t="str">
        <f aca="false">IF($L2777="","",IFERROR(INDEX(记账规则!$A$6:$N$9,MATCH(购销流水!$D698,记账规则!$A$6:$A$9,0),13),""))</f>
        <v/>
      </c>
      <c r="N2777" s="66" t="str">
        <f aca="false">IF($L2777="","",IFERROR(INDEX(记账规则!$A$6:$N$9,MATCH(购销流水!$D698,记账规则!$A$6:$A$9,0),14),""))</f>
        <v/>
      </c>
      <c r="O2777" s="67" t="n">
        <f aca="false">IF($H2777="",0,ROUND(IF($N2777="成本金额",N(购销流水!$W698),IF($N2777="金额",N(购销流水!$Q698),0)),2))</f>
        <v>0</v>
      </c>
      <c r="P2777" s="64" t="str">
        <f aca="false">IF(AND($H2777&lt;&gt;"",ROUND($O2777,2)&lt;&gt;0),"有","")</f>
        <v/>
      </c>
    </row>
    <row r="2778" customFormat="false" ht="15" hidden="true" customHeight="false" outlineLevel="0" collapsed="false">
      <c r="A2778" s="53" t="str">
        <f aca="false">IF($H2778="","",ROW()-5)</f>
        <v/>
      </c>
      <c r="B2778" s="64" t="s">
        <v>36</v>
      </c>
      <c r="C2778" s="53" t="n">
        <v>699</v>
      </c>
      <c r="D2778" s="53" t="n">
        <v>1</v>
      </c>
      <c r="E2778" s="65" t="str">
        <f aca="false">IF($H2778="","",购销流水!$B699)</f>
        <v/>
      </c>
      <c r="F2778" s="55" t="str">
        <f aca="false">IF($H2778="","",购销流水!$C699)</f>
        <v/>
      </c>
      <c r="G2778" s="48" t="str">
        <f aca="false">IF($H2778="","",购销流水!$N699)</f>
        <v/>
      </c>
      <c r="H2778" s="10" t="str">
        <f aca="false">IF($L2778="","",IF($L2778="@成本",购销流水!$U699,IF($L2778="@收入",购销流水!$T699,IF($L2778="@存货",购销流水!$S699,IF($L2778="@结算",购销流水!$R699,$L2778)))))</f>
        <v/>
      </c>
      <c r="I2778" s="42" t="n">
        <f aca="false">IF($M2778="借",$O2778,0)</f>
        <v>0</v>
      </c>
      <c r="J2778" s="42" t="n">
        <f aca="false">IF($M2778="贷",$O2778,0)</f>
        <v>0</v>
      </c>
      <c r="K2778" s="48" t="str">
        <f aca="false">IF($H2778="","",购销流水!$E699)</f>
        <v/>
      </c>
      <c r="L2778" s="66" t="str">
        <f aca="false">IF(购销流水!$D699="","",IFERROR(INDEX(记账规则!$A$6:$N$9,MATCH(购销流水!$D699,记账规则!$A$6:$A$9,0),3),""))</f>
        <v/>
      </c>
      <c r="M2778" s="66" t="str">
        <f aca="false">IF($L2778="","",IFERROR(INDEX(记账规则!$A$6:$N$9,MATCH(购销流水!$D699,记账规则!$A$6:$A$9,0),4),""))</f>
        <v/>
      </c>
      <c r="N2778" s="66" t="str">
        <f aca="false">IF($L2778="","",IFERROR(INDEX(记账规则!$A$6:$N$9,MATCH(购销流水!$D699,记账规则!$A$6:$A$9,0),5),""))</f>
        <v/>
      </c>
      <c r="O2778" s="67" t="n">
        <f aca="false">IF($H2778="",0,ROUND(IF($N2778="成本金额",N(购销流水!$W699),IF($N2778="金额",N(购销流水!$Q699),0)),2))</f>
        <v>0</v>
      </c>
      <c r="P2778" s="64" t="str">
        <f aca="false">IF(AND($H2778&lt;&gt;"",ROUND($O2778,2)&lt;&gt;0),"有","")</f>
        <v/>
      </c>
    </row>
    <row r="2779" customFormat="false" ht="15" hidden="true" customHeight="false" outlineLevel="0" collapsed="false">
      <c r="A2779" s="53" t="str">
        <f aca="false">IF($H2779="","",ROW()-5)</f>
        <v/>
      </c>
      <c r="B2779" s="64" t="s">
        <v>36</v>
      </c>
      <c r="C2779" s="53" t="n">
        <v>699</v>
      </c>
      <c r="D2779" s="53" t="n">
        <v>2</v>
      </c>
      <c r="E2779" s="65" t="str">
        <f aca="false">IF($H2779="","",购销流水!$B699)</f>
        <v/>
      </c>
      <c r="F2779" s="55" t="str">
        <f aca="false">IF($H2779="","",购销流水!$C699)</f>
        <v/>
      </c>
      <c r="G2779" s="48" t="str">
        <f aca="false">IF($H2779="","",购销流水!$N699)</f>
        <v/>
      </c>
      <c r="H2779" s="10" t="str">
        <f aca="false">IF($L2779="","",IF($L2779="@成本",购销流水!$U699,IF($L2779="@收入",购销流水!$T699,IF($L2779="@存货",购销流水!$S699,IF($L2779="@结算",购销流水!$R699,$L2779)))))</f>
        <v/>
      </c>
      <c r="I2779" s="42" t="n">
        <f aca="false">IF($M2779="借",$O2779,0)</f>
        <v>0</v>
      </c>
      <c r="J2779" s="42" t="n">
        <f aca="false">IF($M2779="贷",$O2779,0)</f>
        <v>0</v>
      </c>
      <c r="K2779" s="48" t="str">
        <f aca="false">IF($H2779="","",购销流水!$E699)</f>
        <v/>
      </c>
      <c r="L2779" s="66" t="str">
        <f aca="false">IF(购销流水!$D699="","",IFERROR(INDEX(记账规则!$A$6:$N$9,MATCH(购销流水!$D699,记账规则!$A$6:$A$9,0),6),""))</f>
        <v/>
      </c>
      <c r="M2779" s="66" t="str">
        <f aca="false">IF($L2779="","",IFERROR(INDEX(记账规则!$A$6:$N$9,MATCH(购销流水!$D699,记账规则!$A$6:$A$9,0),7),""))</f>
        <v/>
      </c>
      <c r="N2779" s="66" t="str">
        <f aca="false">IF($L2779="","",IFERROR(INDEX(记账规则!$A$6:$N$9,MATCH(购销流水!$D699,记账规则!$A$6:$A$9,0),8),""))</f>
        <v/>
      </c>
      <c r="O2779" s="67" t="n">
        <f aca="false">IF($H2779="",0,ROUND(IF($N2779="成本金额",N(购销流水!$W699),IF($N2779="金额",N(购销流水!$Q699),0)),2))</f>
        <v>0</v>
      </c>
      <c r="P2779" s="64" t="str">
        <f aca="false">IF(AND($H2779&lt;&gt;"",ROUND($O2779,2)&lt;&gt;0),"有","")</f>
        <v/>
      </c>
    </row>
    <row r="2780" customFormat="false" ht="15" hidden="true" customHeight="false" outlineLevel="0" collapsed="false">
      <c r="A2780" s="53" t="str">
        <f aca="false">IF($H2780="","",ROW()-5)</f>
        <v/>
      </c>
      <c r="B2780" s="64" t="s">
        <v>36</v>
      </c>
      <c r="C2780" s="53" t="n">
        <v>699</v>
      </c>
      <c r="D2780" s="53" t="n">
        <v>3</v>
      </c>
      <c r="E2780" s="65" t="str">
        <f aca="false">IF($H2780="","",购销流水!$B699)</f>
        <v/>
      </c>
      <c r="F2780" s="55" t="str">
        <f aca="false">IF($H2780="","",购销流水!$C699)</f>
        <v/>
      </c>
      <c r="G2780" s="48" t="str">
        <f aca="false">IF($H2780="","",购销流水!$N699)</f>
        <v/>
      </c>
      <c r="H2780" s="10" t="str">
        <f aca="false">IF($L2780="","",IF($L2780="@成本",购销流水!$U699,IF($L2780="@收入",购销流水!$T699,IF($L2780="@存货",购销流水!$S699,IF($L2780="@结算",购销流水!$R699,$L2780)))))</f>
        <v/>
      </c>
      <c r="I2780" s="42" t="n">
        <f aca="false">IF($M2780="借",$O2780,0)</f>
        <v>0</v>
      </c>
      <c r="J2780" s="42" t="n">
        <f aca="false">IF($M2780="贷",$O2780,0)</f>
        <v>0</v>
      </c>
      <c r="K2780" s="48" t="str">
        <f aca="false">IF($H2780="","",购销流水!$E699)</f>
        <v/>
      </c>
      <c r="L2780" s="66" t="str">
        <f aca="false">IF(购销流水!$D699="","",IFERROR(INDEX(记账规则!$A$6:$N$9,MATCH(购销流水!$D699,记账规则!$A$6:$A$9,0),9),""))</f>
        <v/>
      </c>
      <c r="M2780" s="66" t="str">
        <f aca="false">IF($L2780="","",IFERROR(INDEX(记账规则!$A$6:$N$9,MATCH(购销流水!$D699,记账规则!$A$6:$A$9,0),10),""))</f>
        <v/>
      </c>
      <c r="N2780" s="66" t="str">
        <f aca="false">IF($L2780="","",IFERROR(INDEX(记账规则!$A$6:$N$9,MATCH(购销流水!$D699,记账规则!$A$6:$A$9,0),11),""))</f>
        <v/>
      </c>
      <c r="O2780" s="67" t="n">
        <f aca="false">IF($H2780="",0,ROUND(IF($N2780="成本金额",N(购销流水!$W699),IF($N2780="金额",N(购销流水!$Q699),0)),2))</f>
        <v>0</v>
      </c>
      <c r="P2780" s="64" t="str">
        <f aca="false">IF(AND($H2780&lt;&gt;"",ROUND($O2780,2)&lt;&gt;0),"有","")</f>
        <v/>
      </c>
    </row>
    <row r="2781" customFormat="false" ht="15" hidden="true" customHeight="false" outlineLevel="0" collapsed="false">
      <c r="A2781" s="53" t="str">
        <f aca="false">IF($H2781="","",ROW()-5)</f>
        <v/>
      </c>
      <c r="B2781" s="64" t="s">
        <v>36</v>
      </c>
      <c r="C2781" s="53" t="n">
        <v>699</v>
      </c>
      <c r="D2781" s="53" t="n">
        <v>4</v>
      </c>
      <c r="E2781" s="65" t="str">
        <f aca="false">IF($H2781="","",购销流水!$B699)</f>
        <v/>
      </c>
      <c r="F2781" s="55" t="str">
        <f aca="false">IF($H2781="","",购销流水!$C699)</f>
        <v/>
      </c>
      <c r="G2781" s="48" t="str">
        <f aca="false">IF($H2781="","",购销流水!$N699)</f>
        <v/>
      </c>
      <c r="H2781" s="10" t="str">
        <f aca="false">IF($L2781="","",IF($L2781="@成本",购销流水!$U699,IF($L2781="@收入",购销流水!$T699,IF($L2781="@存货",购销流水!$S699,IF($L2781="@结算",购销流水!$R699,$L2781)))))</f>
        <v/>
      </c>
      <c r="I2781" s="42" t="n">
        <f aca="false">IF($M2781="借",$O2781,0)</f>
        <v>0</v>
      </c>
      <c r="J2781" s="42" t="n">
        <f aca="false">IF($M2781="贷",$O2781,0)</f>
        <v>0</v>
      </c>
      <c r="K2781" s="48" t="str">
        <f aca="false">IF($H2781="","",购销流水!$E699)</f>
        <v/>
      </c>
      <c r="L2781" s="66" t="str">
        <f aca="false">IF(购销流水!$D699="","",IFERROR(INDEX(记账规则!$A$6:$N$9,MATCH(购销流水!$D699,记账规则!$A$6:$A$9,0),12),""))</f>
        <v/>
      </c>
      <c r="M2781" s="66" t="str">
        <f aca="false">IF($L2781="","",IFERROR(INDEX(记账规则!$A$6:$N$9,MATCH(购销流水!$D699,记账规则!$A$6:$A$9,0),13),""))</f>
        <v/>
      </c>
      <c r="N2781" s="66" t="str">
        <f aca="false">IF($L2781="","",IFERROR(INDEX(记账规则!$A$6:$N$9,MATCH(购销流水!$D699,记账规则!$A$6:$A$9,0),14),""))</f>
        <v/>
      </c>
      <c r="O2781" s="67" t="n">
        <f aca="false">IF($H2781="",0,ROUND(IF($N2781="成本金额",N(购销流水!$W699),IF($N2781="金额",N(购销流水!$Q699),0)),2))</f>
        <v>0</v>
      </c>
      <c r="P2781" s="64" t="str">
        <f aca="false">IF(AND($H2781&lt;&gt;"",ROUND($O2781,2)&lt;&gt;0),"有","")</f>
        <v/>
      </c>
    </row>
    <row r="2782" customFormat="false" ht="15" hidden="true" customHeight="false" outlineLevel="0" collapsed="false">
      <c r="A2782" s="53" t="str">
        <f aca="false">IF($H2782="","",ROW()-5)</f>
        <v/>
      </c>
      <c r="B2782" s="64" t="s">
        <v>36</v>
      </c>
      <c r="C2782" s="53" t="n">
        <v>700</v>
      </c>
      <c r="D2782" s="53" t="n">
        <v>1</v>
      </c>
      <c r="E2782" s="65" t="str">
        <f aca="false">IF($H2782="","",购销流水!$B700)</f>
        <v/>
      </c>
      <c r="F2782" s="55" t="str">
        <f aca="false">IF($H2782="","",购销流水!$C700)</f>
        <v/>
      </c>
      <c r="G2782" s="48" t="str">
        <f aca="false">IF($H2782="","",购销流水!$N700)</f>
        <v/>
      </c>
      <c r="H2782" s="10" t="str">
        <f aca="false">IF($L2782="","",IF($L2782="@成本",购销流水!$U700,IF($L2782="@收入",购销流水!$T700,IF($L2782="@存货",购销流水!$S700,IF($L2782="@结算",购销流水!$R700,$L2782)))))</f>
        <v/>
      </c>
      <c r="I2782" s="42" t="n">
        <f aca="false">IF($M2782="借",$O2782,0)</f>
        <v>0</v>
      </c>
      <c r="J2782" s="42" t="n">
        <f aca="false">IF($M2782="贷",$O2782,0)</f>
        <v>0</v>
      </c>
      <c r="K2782" s="48" t="str">
        <f aca="false">IF($H2782="","",购销流水!$E700)</f>
        <v/>
      </c>
      <c r="L2782" s="66" t="str">
        <f aca="false">IF(购销流水!$D700="","",IFERROR(INDEX(记账规则!$A$6:$N$9,MATCH(购销流水!$D700,记账规则!$A$6:$A$9,0),3),""))</f>
        <v/>
      </c>
      <c r="M2782" s="66" t="str">
        <f aca="false">IF($L2782="","",IFERROR(INDEX(记账规则!$A$6:$N$9,MATCH(购销流水!$D700,记账规则!$A$6:$A$9,0),4),""))</f>
        <v/>
      </c>
      <c r="N2782" s="66" t="str">
        <f aca="false">IF($L2782="","",IFERROR(INDEX(记账规则!$A$6:$N$9,MATCH(购销流水!$D700,记账规则!$A$6:$A$9,0),5),""))</f>
        <v/>
      </c>
      <c r="O2782" s="67" t="n">
        <f aca="false">IF($H2782="",0,ROUND(IF($N2782="成本金额",N(购销流水!$W700),IF($N2782="金额",N(购销流水!$Q700),0)),2))</f>
        <v>0</v>
      </c>
      <c r="P2782" s="64" t="str">
        <f aca="false">IF(AND($H2782&lt;&gt;"",ROUND($O2782,2)&lt;&gt;0),"有","")</f>
        <v/>
      </c>
    </row>
    <row r="2783" customFormat="false" ht="15" hidden="true" customHeight="false" outlineLevel="0" collapsed="false">
      <c r="A2783" s="53" t="str">
        <f aca="false">IF($H2783="","",ROW()-5)</f>
        <v/>
      </c>
      <c r="B2783" s="64" t="s">
        <v>36</v>
      </c>
      <c r="C2783" s="53" t="n">
        <v>700</v>
      </c>
      <c r="D2783" s="53" t="n">
        <v>2</v>
      </c>
      <c r="E2783" s="65" t="str">
        <f aca="false">IF($H2783="","",购销流水!$B700)</f>
        <v/>
      </c>
      <c r="F2783" s="55" t="str">
        <f aca="false">IF($H2783="","",购销流水!$C700)</f>
        <v/>
      </c>
      <c r="G2783" s="48" t="str">
        <f aca="false">IF($H2783="","",购销流水!$N700)</f>
        <v/>
      </c>
      <c r="H2783" s="10" t="str">
        <f aca="false">IF($L2783="","",IF($L2783="@成本",购销流水!$U700,IF($L2783="@收入",购销流水!$T700,IF($L2783="@存货",购销流水!$S700,IF($L2783="@结算",购销流水!$R700,$L2783)))))</f>
        <v/>
      </c>
      <c r="I2783" s="42" t="n">
        <f aca="false">IF($M2783="借",$O2783,0)</f>
        <v>0</v>
      </c>
      <c r="J2783" s="42" t="n">
        <f aca="false">IF($M2783="贷",$O2783,0)</f>
        <v>0</v>
      </c>
      <c r="K2783" s="48" t="str">
        <f aca="false">IF($H2783="","",购销流水!$E700)</f>
        <v/>
      </c>
      <c r="L2783" s="66" t="str">
        <f aca="false">IF(购销流水!$D700="","",IFERROR(INDEX(记账规则!$A$6:$N$9,MATCH(购销流水!$D700,记账规则!$A$6:$A$9,0),6),""))</f>
        <v/>
      </c>
      <c r="M2783" s="66" t="str">
        <f aca="false">IF($L2783="","",IFERROR(INDEX(记账规则!$A$6:$N$9,MATCH(购销流水!$D700,记账规则!$A$6:$A$9,0),7),""))</f>
        <v/>
      </c>
      <c r="N2783" s="66" t="str">
        <f aca="false">IF($L2783="","",IFERROR(INDEX(记账规则!$A$6:$N$9,MATCH(购销流水!$D700,记账规则!$A$6:$A$9,0),8),""))</f>
        <v/>
      </c>
      <c r="O2783" s="67" t="n">
        <f aca="false">IF($H2783="",0,ROUND(IF($N2783="成本金额",N(购销流水!$W700),IF($N2783="金额",N(购销流水!$Q700),0)),2))</f>
        <v>0</v>
      </c>
      <c r="P2783" s="64" t="str">
        <f aca="false">IF(AND($H2783&lt;&gt;"",ROUND($O2783,2)&lt;&gt;0),"有","")</f>
        <v/>
      </c>
    </row>
    <row r="2784" customFormat="false" ht="15" hidden="true" customHeight="false" outlineLevel="0" collapsed="false">
      <c r="A2784" s="53" t="str">
        <f aca="false">IF($H2784="","",ROW()-5)</f>
        <v/>
      </c>
      <c r="B2784" s="64" t="s">
        <v>36</v>
      </c>
      <c r="C2784" s="53" t="n">
        <v>700</v>
      </c>
      <c r="D2784" s="53" t="n">
        <v>3</v>
      </c>
      <c r="E2784" s="65" t="str">
        <f aca="false">IF($H2784="","",购销流水!$B700)</f>
        <v/>
      </c>
      <c r="F2784" s="55" t="str">
        <f aca="false">IF($H2784="","",购销流水!$C700)</f>
        <v/>
      </c>
      <c r="G2784" s="48" t="str">
        <f aca="false">IF($H2784="","",购销流水!$N700)</f>
        <v/>
      </c>
      <c r="H2784" s="10" t="str">
        <f aca="false">IF($L2784="","",IF($L2784="@成本",购销流水!$U700,IF($L2784="@收入",购销流水!$T700,IF($L2784="@存货",购销流水!$S700,IF($L2784="@结算",购销流水!$R700,$L2784)))))</f>
        <v/>
      </c>
      <c r="I2784" s="42" t="n">
        <f aca="false">IF($M2784="借",$O2784,0)</f>
        <v>0</v>
      </c>
      <c r="J2784" s="42" t="n">
        <f aca="false">IF($M2784="贷",$O2784,0)</f>
        <v>0</v>
      </c>
      <c r="K2784" s="48" t="str">
        <f aca="false">IF($H2784="","",购销流水!$E700)</f>
        <v/>
      </c>
      <c r="L2784" s="66" t="str">
        <f aca="false">IF(购销流水!$D700="","",IFERROR(INDEX(记账规则!$A$6:$N$9,MATCH(购销流水!$D700,记账规则!$A$6:$A$9,0),9),""))</f>
        <v/>
      </c>
      <c r="M2784" s="66" t="str">
        <f aca="false">IF($L2784="","",IFERROR(INDEX(记账规则!$A$6:$N$9,MATCH(购销流水!$D700,记账规则!$A$6:$A$9,0),10),""))</f>
        <v/>
      </c>
      <c r="N2784" s="66" t="str">
        <f aca="false">IF($L2784="","",IFERROR(INDEX(记账规则!$A$6:$N$9,MATCH(购销流水!$D700,记账规则!$A$6:$A$9,0),11),""))</f>
        <v/>
      </c>
      <c r="O2784" s="67" t="n">
        <f aca="false">IF($H2784="",0,ROUND(IF($N2784="成本金额",N(购销流水!$W700),IF($N2784="金额",N(购销流水!$Q700),0)),2))</f>
        <v>0</v>
      </c>
      <c r="P2784" s="64" t="str">
        <f aca="false">IF(AND($H2784&lt;&gt;"",ROUND($O2784,2)&lt;&gt;0),"有","")</f>
        <v/>
      </c>
    </row>
    <row r="2785" customFormat="false" ht="15" hidden="true" customHeight="false" outlineLevel="0" collapsed="false">
      <c r="A2785" s="53" t="str">
        <f aca="false">IF($H2785="","",ROW()-5)</f>
        <v/>
      </c>
      <c r="B2785" s="64" t="s">
        <v>36</v>
      </c>
      <c r="C2785" s="53" t="n">
        <v>700</v>
      </c>
      <c r="D2785" s="53" t="n">
        <v>4</v>
      </c>
      <c r="E2785" s="65" t="str">
        <f aca="false">IF($H2785="","",购销流水!$B700)</f>
        <v/>
      </c>
      <c r="F2785" s="55" t="str">
        <f aca="false">IF($H2785="","",购销流水!$C700)</f>
        <v/>
      </c>
      <c r="G2785" s="48" t="str">
        <f aca="false">IF($H2785="","",购销流水!$N700)</f>
        <v/>
      </c>
      <c r="H2785" s="10" t="str">
        <f aca="false">IF($L2785="","",IF($L2785="@成本",购销流水!$U700,IF($L2785="@收入",购销流水!$T700,IF($L2785="@存货",购销流水!$S700,IF($L2785="@结算",购销流水!$R700,$L2785)))))</f>
        <v/>
      </c>
      <c r="I2785" s="42" t="n">
        <f aca="false">IF($M2785="借",$O2785,0)</f>
        <v>0</v>
      </c>
      <c r="J2785" s="42" t="n">
        <f aca="false">IF($M2785="贷",$O2785,0)</f>
        <v>0</v>
      </c>
      <c r="K2785" s="48" t="str">
        <f aca="false">IF($H2785="","",购销流水!$E700)</f>
        <v/>
      </c>
      <c r="L2785" s="66" t="str">
        <f aca="false">IF(购销流水!$D700="","",IFERROR(INDEX(记账规则!$A$6:$N$9,MATCH(购销流水!$D700,记账规则!$A$6:$A$9,0),12),""))</f>
        <v/>
      </c>
      <c r="M2785" s="66" t="str">
        <f aca="false">IF($L2785="","",IFERROR(INDEX(记账规则!$A$6:$N$9,MATCH(购销流水!$D700,记账规则!$A$6:$A$9,0),13),""))</f>
        <v/>
      </c>
      <c r="N2785" s="66" t="str">
        <f aca="false">IF($L2785="","",IFERROR(INDEX(记账规则!$A$6:$N$9,MATCH(购销流水!$D700,记账规则!$A$6:$A$9,0),14),""))</f>
        <v/>
      </c>
      <c r="O2785" s="67" t="n">
        <f aca="false">IF($H2785="",0,ROUND(IF($N2785="成本金额",N(购销流水!$W700),IF($N2785="金额",N(购销流水!$Q700),0)),2))</f>
        <v>0</v>
      </c>
      <c r="P2785" s="64" t="str">
        <f aca="false">IF(AND($H2785&lt;&gt;"",ROUND($O2785,2)&lt;&gt;0),"有","")</f>
        <v/>
      </c>
    </row>
    <row r="2786" customFormat="false" ht="15" hidden="true" customHeight="false" outlineLevel="0" collapsed="false">
      <c r="A2786" s="53" t="str">
        <f aca="false">IF($H2786="","",ROW()-5)</f>
        <v/>
      </c>
      <c r="B2786" s="64" t="s">
        <v>36</v>
      </c>
      <c r="C2786" s="53" t="n">
        <v>701</v>
      </c>
      <c r="D2786" s="53" t="n">
        <v>1</v>
      </c>
      <c r="E2786" s="65" t="str">
        <f aca="false">IF($H2786="","",购销流水!$B701)</f>
        <v/>
      </c>
      <c r="F2786" s="55" t="str">
        <f aca="false">IF($H2786="","",购销流水!$C701)</f>
        <v/>
      </c>
      <c r="G2786" s="48" t="str">
        <f aca="false">IF($H2786="","",购销流水!$N701)</f>
        <v/>
      </c>
      <c r="H2786" s="10" t="str">
        <f aca="false">IF($L2786="","",IF($L2786="@成本",购销流水!$U701,IF($L2786="@收入",购销流水!$T701,IF($L2786="@存货",购销流水!$S701,IF($L2786="@结算",购销流水!$R701,$L2786)))))</f>
        <v/>
      </c>
      <c r="I2786" s="42" t="n">
        <f aca="false">IF($M2786="借",$O2786,0)</f>
        <v>0</v>
      </c>
      <c r="J2786" s="42" t="n">
        <f aca="false">IF($M2786="贷",$O2786,0)</f>
        <v>0</v>
      </c>
      <c r="K2786" s="48" t="str">
        <f aca="false">IF($H2786="","",购销流水!$E701)</f>
        <v/>
      </c>
      <c r="L2786" s="66" t="str">
        <f aca="false">IF(购销流水!$D701="","",IFERROR(INDEX(记账规则!$A$6:$N$9,MATCH(购销流水!$D701,记账规则!$A$6:$A$9,0),3),""))</f>
        <v/>
      </c>
      <c r="M2786" s="66" t="str">
        <f aca="false">IF($L2786="","",IFERROR(INDEX(记账规则!$A$6:$N$9,MATCH(购销流水!$D701,记账规则!$A$6:$A$9,0),4),""))</f>
        <v/>
      </c>
      <c r="N2786" s="66" t="str">
        <f aca="false">IF($L2786="","",IFERROR(INDEX(记账规则!$A$6:$N$9,MATCH(购销流水!$D701,记账规则!$A$6:$A$9,0),5),""))</f>
        <v/>
      </c>
      <c r="O2786" s="67" t="n">
        <f aca="false">IF($H2786="",0,ROUND(IF($N2786="成本金额",N(购销流水!$W701),IF($N2786="金额",N(购销流水!$Q701),0)),2))</f>
        <v>0</v>
      </c>
      <c r="P2786" s="64" t="str">
        <f aca="false">IF(AND($H2786&lt;&gt;"",ROUND($O2786,2)&lt;&gt;0),"有","")</f>
        <v/>
      </c>
    </row>
    <row r="2787" customFormat="false" ht="15" hidden="true" customHeight="false" outlineLevel="0" collapsed="false">
      <c r="A2787" s="53" t="str">
        <f aca="false">IF($H2787="","",ROW()-5)</f>
        <v/>
      </c>
      <c r="B2787" s="64" t="s">
        <v>36</v>
      </c>
      <c r="C2787" s="53" t="n">
        <v>701</v>
      </c>
      <c r="D2787" s="53" t="n">
        <v>2</v>
      </c>
      <c r="E2787" s="65" t="str">
        <f aca="false">IF($H2787="","",购销流水!$B701)</f>
        <v/>
      </c>
      <c r="F2787" s="55" t="str">
        <f aca="false">IF($H2787="","",购销流水!$C701)</f>
        <v/>
      </c>
      <c r="G2787" s="48" t="str">
        <f aca="false">IF($H2787="","",购销流水!$N701)</f>
        <v/>
      </c>
      <c r="H2787" s="10" t="str">
        <f aca="false">IF($L2787="","",IF($L2787="@成本",购销流水!$U701,IF($L2787="@收入",购销流水!$T701,IF($L2787="@存货",购销流水!$S701,IF($L2787="@结算",购销流水!$R701,$L2787)))))</f>
        <v/>
      </c>
      <c r="I2787" s="42" t="n">
        <f aca="false">IF($M2787="借",$O2787,0)</f>
        <v>0</v>
      </c>
      <c r="J2787" s="42" t="n">
        <f aca="false">IF($M2787="贷",$O2787,0)</f>
        <v>0</v>
      </c>
      <c r="K2787" s="48" t="str">
        <f aca="false">IF($H2787="","",购销流水!$E701)</f>
        <v/>
      </c>
      <c r="L2787" s="66" t="str">
        <f aca="false">IF(购销流水!$D701="","",IFERROR(INDEX(记账规则!$A$6:$N$9,MATCH(购销流水!$D701,记账规则!$A$6:$A$9,0),6),""))</f>
        <v/>
      </c>
      <c r="M2787" s="66" t="str">
        <f aca="false">IF($L2787="","",IFERROR(INDEX(记账规则!$A$6:$N$9,MATCH(购销流水!$D701,记账规则!$A$6:$A$9,0),7),""))</f>
        <v/>
      </c>
      <c r="N2787" s="66" t="str">
        <f aca="false">IF($L2787="","",IFERROR(INDEX(记账规则!$A$6:$N$9,MATCH(购销流水!$D701,记账规则!$A$6:$A$9,0),8),""))</f>
        <v/>
      </c>
      <c r="O2787" s="67" t="n">
        <f aca="false">IF($H2787="",0,ROUND(IF($N2787="成本金额",N(购销流水!$W701),IF($N2787="金额",N(购销流水!$Q701),0)),2))</f>
        <v>0</v>
      </c>
      <c r="P2787" s="64" t="str">
        <f aca="false">IF(AND($H2787&lt;&gt;"",ROUND($O2787,2)&lt;&gt;0),"有","")</f>
        <v/>
      </c>
    </row>
    <row r="2788" customFormat="false" ht="15" hidden="true" customHeight="false" outlineLevel="0" collapsed="false">
      <c r="A2788" s="53" t="str">
        <f aca="false">IF($H2788="","",ROW()-5)</f>
        <v/>
      </c>
      <c r="B2788" s="64" t="s">
        <v>36</v>
      </c>
      <c r="C2788" s="53" t="n">
        <v>701</v>
      </c>
      <c r="D2788" s="53" t="n">
        <v>3</v>
      </c>
      <c r="E2788" s="65" t="str">
        <f aca="false">IF($H2788="","",购销流水!$B701)</f>
        <v/>
      </c>
      <c r="F2788" s="55" t="str">
        <f aca="false">IF($H2788="","",购销流水!$C701)</f>
        <v/>
      </c>
      <c r="G2788" s="48" t="str">
        <f aca="false">IF($H2788="","",购销流水!$N701)</f>
        <v/>
      </c>
      <c r="H2788" s="10" t="str">
        <f aca="false">IF($L2788="","",IF($L2788="@成本",购销流水!$U701,IF($L2788="@收入",购销流水!$T701,IF($L2788="@存货",购销流水!$S701,IF($L2788="@结算",购销流水!$R701,$L2788)))))</f>
        <v/>
      </c>
      <c r="I2788" s="42" t="n">
        <f aca="false">IF($M2788="借",$O2788,0)</f>
        <v>0</v>
      </c>
      <c r="J2788" s="42" t="n">
        <f aca="false">IF($M2788="贷",$O2788,0)</f>
        <v>0</v>
      </c>
      <c r="K2788" s="48" t="str">
        <f aca="false">IF($H2788="","",购销流水!$E701)</f>
        <v/>
      </c>
      <c r="L2788" s="66" t="str">
        <f aca="false">IF(购销流水!$D701="","",IFERROR(INDEX(记账规则!$A$6:$N$9,MATCH(购销流水!$D701,记账规则!$A$6:$A$9,0),9),""))</f>
        <v/>
      </c>
      <c r="M2788" s="66" t="str">
        <f aca="false">IF($L2788="","",IFERROR(INDEX(记账规则!$A$6:$N$9,MATCH(购销流水!$D701,记账规则!$A$6:$A$9,0),10),""))</f>
        <v/>
      </c>
      <c r="N2788" s="66" t="str">
        <f aca="false">IF($L2788="","",IFERROR(INDEX(记账规则!$A$6:$N$9,MATCH(购销流水!$D701,记账规则!$A$6:$A$9,0),11),""))</f>
        <v/>
      </c>
      <c r="O2788" s="67" t="n">
        <f aca="false">IF($H2788="",0,ROUND(IF($N2788="成本金额",N(购销流水!$W701),IF($N2788="金额",N(购销流水!$Q701),0)),2))</f>
        <v>0</v>
      </c>
      <c r="P2788" s="64" t="str">
        <f aca="false">IF(AND($H2788&lt;&gt;"",ROUND($O2788,2)&lt;&gt;0),"有","")</f>
        <v/>
      </c>
    </row>
    <row r="2789" customFormat="false" ht="15" hidden="true" customHeight="false" outlineLevel="0" collapsed="false">
      <c r="A2789" s="53" t="str">
        <f aca="false">IF($H2789="","",ROW()-5)</f>
        <v/>
      </c>
      <c r="B2789" s="64" t="s">
        <v>36</v>
      </c>
      <c r="C2789" s="53" t="n">
        <v>701</v>
      </c>
      <c r="D2789" s="53" t="n">
        <v>4</v>
      </c>
      <c r="E2789" s="65" t="str">
        <f aca="false">IF($H2789="","",购销流水!$B701)</f>
        <v/>
      </c>
      <c r="F2789" s="55" t="str">
        <f aca="false">IF($H2789="","",购销流水!$C701)</f>
        <v/>
      </c>
      <c r="G2789" s="48" t="str">
        <f aca="false">IF($H2789="","",购销流水!$N701)</f>
        <v/>
      </c>
      <c r="H2789" s="10" t="str">
        <f aca="false">IF($L2789="","",IF($L2789="@成本",购销流水!$U701,IF($L2789="@收入",购销流水!$T701,IF($L2789="@存货",购销流水!$S701,IF($L2789="@结算",购销流水!$R701,$L2789)))))</f>
        <v/>
      </c>
      <c r="I2789" s="42" t="n">
        <f aca="false">IF($M2789="借",$O2789,0)</f>
        <v>0</v>
      </c>
      <c r="J2789" s="42" t="n">
        <f aca="false">IF($M2789="贷",$O2789,0)</f>
        <v>0</v>
      </c>
      <c r="K2789" s="48" t="str">
        <f aca="false">IF($H2789="","",购销流水!$E701)</f>
        <v/>
      </c>
      <c r="L2789" s="66" t="str">
        <f aca="false">IF(购销流水!$D701="","",IFERROR(INDEX(记账规则!$A$6:$N$9,MATCH(购销流水!$D701,记账规则!$A$6:$A$9,0),12),""))</f>
        <v/>
      </c>
      <c r="M2789" s="66" t="str">
        <f aca="false">IF($L2789="","",IFERROR(INDEX(记账规则!$A$6:$N$9,MATCH(购销流水!$D701,记账规则!$A$6:$A$9,0),13),""))</f>
        <v/>
      </c>
      <c r="N2789" s="66" t="str">
        <f aca="false">IF($L2789="","",IFERROR(INDEX(记账规则!$A$6:$N$9,MATCH(购销流水!$D701,记账规则!$A$6:$A$9,0),14),""))</f>
        <v/>
      </c>
      <c r="O2789" s="67" t="n">
        <f aca="false">IF($H2789="",0,ROUND(IF($N2789="成本金额",N(购销流水!$W701),IF($N2789="金额",N(购销流水!$Q701),0)),2))</f>
        <v>0</v>
      </c>
      <c r="P2789" s="64" t="str">
        <f aca="false">IF(AND($H2789&lt;&gt;"",ROUND($O2789,2)&lt;&gt;0),"有","")</f>
        <v/>
      </c>
    </row>
    <row r="2790" customFormat="false" ht="15" hidden="true" customHeight="false" outlineLevel="0" collapsed="false">
      <c r="A2790" s="53" t="str">
        <f aca="false">IF($H2790="","",ROW()-5)</f>
        <v/>
      </c>
      <c r="B2790" s="64" t="s">
        <v>36</v>
      </c>
      <c r="C2790" s="53" t="n">
        <v>702</v>
      </c>
      <c r="D2790" s="53" t="n">
        <v>1</v>
      </c>
      <c r="E2790" s="65" t="str">
        <f aca="false">IF($H2790="","",购销流水!$B702)</f>
        <v/>
      </c>
      <c r="F2790" s="55" t="str">
        <f aca="false">IF($H2790="","",购销流水!$C702)</f>
        <v/>
      </c>
      <c r="G2790" s="48" t="str">
        <f aca="false">IF($H2790="","",购销流水!$N702)</f>
        <v/>
      </c>
      <c r="H2790" s="10" t="str">
        <f aca="false">IF($L2790="","",IF($L2790="@成本",购销流水!$U702,IF($L2790="@收入",购销流水!$T702,IF($L2790="@存货",购销流水!$S702,IF($L2790="@结算",购销流水!$R702,$L2790)))))</f>
        <v/>
      </c>
      <c r="I2790" s="42" t="n">
        <f aca="false">IF($M2790="借",$O2790,0)</f>
        <v>0</v>
      </c>
      <c r="J2790" s="42" t="n">
        <f aca="false">IF($M2790="贷",$O2790,0)</f>
        <v>0</v>
      </c>
      <c r="K2790" s="48" t="str">
        <f aca="false">IF($H2790="","",购销流水!$E702)</f>
        <v/>
      </c>
      <c r="L2790" s="66" t="str">
        <f aca="false">IF(购销流水!$D702="","",IFERROR(INDEX(记账规则!$A$6:$N$9,MATCH(购销流水!$D702,记账规则!$A$6:$A$9,0),3),""))</f>
        <v/>
      </c>
      <c r="M2790" s="66" t="str">
        <f aca="false">IF($L2790="","",IFERROR(INDEX(记账规则!$A$6:$N$9,MATCH(购销流水!$D702,记账规则!$A$6:$A$9,0),4),""))</f>
        <v/>
      </c>
      <c r="N2790" s="66" t="str">
        <f aca="false">IF($L2790="","",IFERROR(INDEX(记账规则!$A$6:$N$9,MATCH(购销流水!$D702,记账规则!$A$6:$A$9,0),5),""))</f>
        <v/>
      </c>
      <c r="O2790" s="67" t="n">
        <f aca="false">IF($H2790="",0,ROUND(IF($N2790="成本金额",N(购销流水!$W702),IF($N2790="金额",N(购销流水!$Q702),0)),2))</f>
        <v>0</v>
      </c>
      <c r="P2790" s="64" t="str">
        <f aca="false">IF(AND($H2790&lt;&gt;"",ROUND($O2790,2)&lt;&gt;0),"有","")</f>
        <v/>
      </c>
    </row>
    <row r="2791" customFormat="false" ht="15" hidden="true" customHeight="false" outlineLevel="0" collapsed="false">
      <c r="A2791" s="53" t="str">
        <f aca="false">IF($H2791="","",ROW()-5)</f>
        <v/>
      </c>
      <c r="B2791" s="64" t="s">
        <v>36</v>
      </c>
      <c r="C2791" s="53" t="n">
        <v>702</v>
      </c>
      <c r="D2791" s="53" t="n">
        <v>2</v>
      </c>
      <c r="E2791" s="65" t="str">
        <f aca="false">IF($H2791="","",购销流水!$B702)</f>
        <v/>
      </c>
      <c r="F2791" s="55" t="str">
        <f aca="false">IF($H2791="","",购销流水!$C702)</f>
        <v/>
      </c>
      <c r="G2791" s="48" t="str">
        <f aca="false">IF($H2791="","",购销流水!$N702)</f>
        <v/>
      </c>
      <c r="H2791" s="10" t="str">
        <f aca="false">IF($L2791="","",IF($L2791="@成本",购销流水!$U702,IF($L2791="@收入",购销流水!$T702,IF($L2791="@存货",购销流水!$S702,IF($L2791="@结算",购销流水!$R702,$L2791)))))</f>
        <v/>
      </c>
      <c r="I2791" s="42" t="n">
        <f aca="false">IF($M2791="借",$O2791,0)</f>
        <v>0</v>
      </c>
      <c r="J2791" s="42" t="n">
        <f aca="false">IF($M2791="贷",$O2791,0)</f>
        <v>0</v>
      </c>
      <c r="K2791" s="48" t="str">
        <f aca="false">IF($H2791="","",购销流水!$E702)</f>
        <v/>
      </c>
      <c r="L2791" s="66" t="str">
        <f aca="false">IF(购销流水!$D702="","",IFERROR(INDEX(记账规则!$A$6:$N$9,MATCH(购销流水!$D702,记账规则!$A$6:$A$9,0),6),""))</f>
        <v/>
      </c>
      <c r="M2791" s="66" t="str">
        <f aca="false">IF($L2791="","",IFERROR(INDEX(记账规则!$A$6:$N$9,MATCH(购销流水!$D702,记账规则!$A$6:$A$9,0),7),""))</f>
        <v/>
      </c>
      <c r="N2791" s="66" t="str">
        <f aca="false">IF($L2791="","",IFERROR(INDEX(记账规则!$A$6:$N$9,MATCH(购销流水!$D702,记账规则!$A$6:$A$9,0),8),""))</f>
        <v/>
      </c>
      <c r="O2791" s="67" t="n">
        <f aca="false">IF($H2791="",0,ROUND(IF($N2791="成本金额",N(购销流水!$W702),IF($N2791="金额",N(购销流水!$Q702),0)),2))</f>
        <v>0</v>
      </c>
      <c r="P2791" s="64" t="str">
        <f aca="false">IF(AND($H2791&lt;&gt;"",ROUND($O2791,2)&lt;&gt;0),"有","")</f>
        <v/>
      </c>
    </row>
    <row r="2792" customFormat="false" ht="15" hidden="true" customHeight="false" outlineLevel="0" collapsed="false">
      <c r="A2792" s="53" t="str">
        <f aca="false">IF($H2792="","",ROW()-5)</f>
        <v/>
      </c>
      <c r="B2792" s="64" t="s">
        <v>36</v>
      </c>
      <c r="C2792" s="53" t="n">
        <v>702</v>
      </c>
      <c r="D2792" s="53" t="n">
        <v>3</v>
      </c>
      <c r="E2792" s="65" t="str">
        <f aca="false">IF($H2792="","",购销流水!$B702)</f>
        <v/>
      </c>
      <c r="F2792" s="55" t="str">
        <f aca="false">IF($H2792="","",购销流水!$C702)</f>
        <v/>
      </c>
      <c r="G2792" s="48" t="str">
        <f aca="false">IF($H2792="","",购销流水!$N702)</f>
        <v/>
      </c>
      <c r="H2792" s="10" t="str">
        <f aca="false">IF($L2792="","",IF($L2792="@成本",购销流水!$U702,IF($L2792="@收入",购销流水!$T702,IF($L2792="@存货",购销流水!$S702,IF($L2792="@结算",购销流水!$R702,$L2792)))))</f>
        <v/>
      </c>
      <c r="I2792" s="42" t="n">
        <f aca="false">IF($M2792="借",$O2792,0)</f>
        <v>0</v>
      </c>
      <c r="J2792" s="42" t="n">
        <f aca="false">IF($M2792="贷",$O2792,0)</f>
        <v>0</v>
      </c>
      <c r="K2792" s="48" t="str">
        <f aca="false">IF($H2792="","",购销流水!$E702)</f>
        <v/>
      </c>
      <c r="L2792" s="66" t="str">
        <f aca="false">IF(购销流水!$D702="","",IFERROR(INDEX(记账规则!$A$6:$N$9,MATCH(购销流水!$D702,记账规则!$A$6:$A$9,0),9),""))</f>
        <v/>
      </c>
      <c r="M2792" s="66" t="str">
        <f aca="false">IF($L2792="","",IFERROR(INDEX(记账规则!$A$6:$N$9,MATCH(购销流水!$D702,记账规则!$A$6:$A$9,0),10),""))</f>
        <v/>
      </c>
      <c r="N2792" s="66" t="str">
        <f aca="false">IF($L2792="","",IFERROR(INDEX(记账规则!$A$6:$N$9,MATCH(购销流水!$D702,记账规则!$A$6:$A$9,0),11),""))</f>
        <v/>
      </c>
      <c r="O2792" s="67" t="n">
        <f aca="false">IF($H2792="",0,ROUND(IF($N2792="成本金额",N(购销流水!$W702),IF($N2792="金额",N(购销流水!$Q702),0)),2))</f>
        <v>0</v>
      </c>
      <c r="P2792" s="64" t="str">
        <f aca="false">IF(AND($H2792&lt;&gt;"",ROUND($O2792,2)&lt;&gt;0),"有","")</f>
        <v/>
      </c>
    </row>
    <row r="2793" customFormat="false" ht="15" hidden="true" customHeight="false" outlineLevel="0" collapsed="false">
      <c r="A2793" s="53" t="str">
        <f aca="false">IF($H2793="","",ROW()-5)</f>
        <v/>
      </c>
      <c r="B2793" s="64" t="s">
        <v>36</v>
      </c>
      <c r="C2793" s="53" t="n">
        <v>702</v>
      </c>
      <c r="D2793" s="53" t="n">
        <v>4</v>
      </c>
      <c r="E2793" s="65" t="str">
        <f aca="false">IF($H2793="","",购销流水!$B702)</f>
        <v/>
      </c>
      <c r="F2793" s="55" t="str">
        <f aca="false">IF($H2793="","",购销流水!$C702)</f>
        <v/>
      </c>
      <c r="G2793" s="48" t="str">
        <f aca="false">IF($H2793="","",购销流水!$N702)</f>
        <v/>
      </c>
      <c r="H2793" s="10" t="str">
        <f aca="false">IF($L2793="","",IF($L2793="@成本",购销流水!$U702,IF($L2793="@收入",购销流水!$T702,IF($L2793="@存货",购销流水!$S702,IF($L2793="@结算",购销流水!$R702,$L2793)))))</f>
        <v/>
      </c>
      <c r="I2793" s="42" t="n">
        <f aca="false">IF($M2793="借",$O2793,0)</f>
        <v>0</v>
      </c>
      <c r="J2793" s="42" t="n">
        <f aca="false">IF($M2793="贷",$O2793,0)</f>
        <v>0</v>
      </c>
      <c r="K2793" s="48" t="str">
        <f aca="false">IF($H2793="","",购销流水!$E702)</f>
        <v/>
      </c>
      <c r="L2793" s="66" t="str">
        <f aca="false">IF(购销流水!$D702="","",IFERROR(INDEX(记账规则!$A$6:$N$9,MATCH(购销流水!$D702,记账规则!$A$6:$A$9,0),12),""))</f>
        <v/>
      </c>
      <c r="M2793" s="66" t="str">
        <f aca="false">IF($L2793="","",IFERROR(INDEX(记账规则!$A$6:$N$9,MATCH(购销流水!$D702,记账规则!$A$6:$A$9,0),13),""))</f>
        <v/>
      </c>
      <c r="N2793" s="66" t="str">
        <f aca="false">IF($L2793="","",IFERROR(INDEX(记账规则!$A$6:$N$9,MATCH(购销流水!$D702,记账规则!$A$6:$A$9,0),14),""))</f>
        <v/>
      </c>
      <c r="O2793" s="67" t="n">
        <f aca="false">IF($H2793="",0,ROUND(IF($N2793="成本金额",N(购销流水!$W702),IF($N2793="金额",N(购销流水!$Q702),0)),2))</f>
        <v>0</v>
      </c>
      <c r="P2793" s="64" t="str">
        <f aca="false">IF(AND($H2793&lt;&gt;"",ROUND($O2793,2)&lt;&gt;0),"有","")</f>
        <v/>
      </c>
    </row>
    <row r="2794" customFormat="false" ht="15" hidden="true" customHeight="false" outlineLevel="0" collapsed="false">
      <c r="A2794" s="53" t="str">
        <f aca="false">IF($H2794="","",ROW()-5)</f>
        <v/>
      </c>
      <c r="B2794" s="64" t="s">
        <v>36</v>
      </c>
      <c r="C2794" s="53" t="n">
        <v>703</v>
      </c>
      <c r="D2794" s="53" t="n">
        <v>1</v>
      </c>
      <c r="E2794" s="65" t="str">
        <f aca="false">IF($H2794="","",购销流水!$B703)</f>
        <v/>
      </c>
      <c r="F2794" s="55" t="str">
        <f aca="false">IF($H2794="","",购销流水!$C703)</f>
        <v/>
      </c>
      <c r="G2794" s="48" t="str">
        <f aca="false">IF($H2794="","",购销流水!$N703)</f>
        <v/>
      </c>
      <c r="H2794" s="10" t="str">
        <f aca="false">IF($L2794="","",IF($L2794="@成本",购销流水!$U703,IF($L2794="@收入",购销流水!$T703,IF($L2794="@存货",购销流水!$S703,IF($L2794="@结算",购销流水!$R703,$L2794)))))</f>
        <v/>
      </c>
      <c r="I2794" s="42" t="n">
        <f aca="false">IF($M2794="借",$O2794,0)</f>
        <v>0</v>
      </c>
      <c r="J2794" s="42" t="n">
        <f aca="false">IF($M2794="贷",$O2794,0)</f>
        <v>0</v>
      </c>
      <c r="K2794" s="48" t="str">
        <f aca="false">IF($H2794="","",购销流水!$E703)</f>
        <v/>
      </c>
      <c r="L2794" s="66" t="str">
        <f aca="false">IF(购销流水!$D703="","",IFERROR(INDEX(记账规则!$A$6:$N$9,MATCH(购销流水!$D703,记账规则!$A$6:$A$9,0),3),""))</f>
        <v/>
      </c>
      <c r="M2794" s="66" t="str">
        <f aca="false">IF($L2794="","",IFERROR(INDEX(记账规则!$A$6:$N$9,MATCH(购销流水!$D703,记账规则!$A$6:$A$9,0),4),""))</f>
        <v/>
      </c>
      <c r="N2794" s="66" t="str">
        <f aca="false">IF($L2794="","",IFERROR(INDEX(记账规则!$A$6:$N$9,MATCH(购销流水!$D703,记账规则!$A$6:$A$9,0),5),""))</f>
        <v/>
      </c>
      <c r="O2794" s="67" t="n">
        <f aca="false">IF($H2794="",0,ROUND(IF($N2794="成本金额",N(购销流水!$W703),IF($N2794="金额",N(购销流水!$Q703),0)),2))</f>
        <v>0</v>
      </c>
      <c r="P2794" s="64" t="str">
        <f aca="false">IF(AND($H2794&lt;&gt;"",ROUND($O2794,2)&lt;&gt;0),"有","")</f>
        <v/>
      </c>
    </row>
    <row r="2795" customFormat="false" ht="15" hidden="true" customHeight="false" outlineLevel="0" collapsed="false">
      <c r="A2795" s="53" t="str">
        <f aca="false">IF($H2795="","",ROW()-5)</f>
        <v/>
      </c>
      <c r="B2795" s="64" t="s">
        <v>36</v>
      </c>
      <c r="C2795" s="53" t="n">
        <v>703</v>
      </c>
      <c r="D2795" s="53" t="n">
        <v>2</v>
      </c>
      <c r="E2795" s="65" t="str">
        <f aca="false">IF($H2795="","",购销流水!$B703)</f>
        <v/>
      </c>
      <c r="F2795" s="55" t="str">
        <f aca="false">IF($H2795="","",购销流水!$C703)</f>
        <v/>
      </c>
      <c r="G2795" s="48" t="str">
        <f aca="false">IF($H2795="","",购销流水!$N703)</f>
        <v/>
      </c>
      <c r="H2795" s="10" t="str">
        <f aca="false">IF($L2795="","",IF($L2795="@成本",购销流水!$U703,IF($L2795="@收入",购销流水!$T703,IF($L2795="@存货",购销流水!$S703,IF($L2795="@结算",购销流水!$R703,$L2795)))))</f>
        <v/>
      </c>
      <c r="I2795" s="42" t="n">
        <f aca="false">IF($M2795="借",$O2795,0)</f>
        <v>0</v>
      </c>
      <c r="J2795" s="42" t="n">
        <f aca="false">IF($M2795="贷",$O2795,0)</f>
        <v>0</v>
      </c>
      <c r="K2795" s="48" t="str">
        <f aca="false">IF($H2795="","",购销流水!$E703)</f>
        <v/>
      </c>
      <c r="L2795" s="66" t="str">
        <f aca="false">IF(购销流水!$D703="","",IFERROR(INDEX(记账规则!$A$6:$N$9,MATCH(购销流水!$D703,记账规则!$A$6:$A$9,0),6),""))</f>
        <v/>
      </c>
      <c r="M2795" s="66" t="str">
        <f aca="false">IF($L2795="","",IFERROR(INDEX(记账规则!$A$6:$N$9,MATCH(购销流水!$D703,记账规则!$A$6:$A$9,0),7),""))</f>
        <v/>
      </c>
      <c r="N2795" s="66" t="str">
        <f aca="false">IF($L2795="","",IFERROR(INDEX(记账规则!$A$6:$N$9,MATCH(购销流水!$D703,记账规则!$A$6:$A$9,0),8),""))</f>
        <v/>
      </c>
      <c r="O2795" s="67" t="n">
        <f aca="false">IF($H2795="",0,ROUND(IF($N2795="成本金额",N(购销流水!$W703),IF($N2795="金额",N(购销流水!$Q703),0)),2))</f>
        <v>0</v>
      </c>
      <c r="P2795" s="64" t="str">
        <f aca="false">IF(AND($H2795&lt;&gt;"",ROUND($O2795,2)&lt;&gt;0),"有","")</f>
        <v/>
      </c>
    </row>
    <row r="2796" customFormat="false" ht="15" hidden="true" customHeight="false" outlineLevel="0" collapsed="false">
      <c r="A2796" s="53" t="str">
        <f aca="false">IF($H2796="","",ROW()-5)</f>
        <v/>
      </c>
      <c r="B2796" s="64" t="s">
        <v>36</v>
      </c>
      <c r="C2796" s="53" t="n">
        <v>703</v>
      </c>
      <c r="D2796" s="53" t="n">
        <v>3</v>
      </c>
      <c r="E2796" s="65" t="str">
        <f aca="false">IF($H2796="","",购销流水!$B703)</f>
        <v/>
      </c>
      <c r="F2796" s="55" t="str">
        <f aca="false">IF($H2796="","",购销流水!$C703)</f>
        <v/>
      </c>
      <c r="G2796" s="48" t="str">
        <f aca="false">IF($H2796="","",购销流水!$N703)</f>
        <v/>
      </c>
      <c r="H2796" s="10" t="str">
        <f aca="false">IF($L2796="","",IF($L2796="@成本",购销流水!$U703,IF($L2796="@收入",购销流水!$T703,IF($L2796="@存货",购销流水!$S703,IF($L2796="@结算",购销流水!$R703,$L2796)))))</f>
        <v/>
      </c>
      <c r="I2796" s="42" t="n">
        <f aca="false">IF($M2796="借",$O2796,0)</f>
        <v>0</v>
      </c>
      <c r="J2796" s="42" t="n">
        <f aca="false">IF($M2796="贷",$O2796,0)</f>
        <v>0</v>
      </c>
      <c r="K2796" s="48" t="str">
        <f aca="false">IF($H2796="","",购销流水!$E703)</f>
        <v/>
      </c>
      <c r="L2796" s="66" t="str">
        <f aca="false">IF(购销流水!$D703="","",IFERROR(INDEX(记账规则!$A$6:$N$9,MATCH(购销流水!$D703,记账规则!$A$6:$A$9,0),9),""))</f>
        <v/>
      </c>
      <c r="M2796" s="66" t="str">
        <f aca="false">IF($L2796="","",IFERROR(INDEX(记账规则!$A$6:$N$9,MATCH(购销流水!$D703,记账规则!$A$6:$A$9,0),10),""))</f>
        <v/>
      </c>
      <c r="N2796" s="66" t="str">
        <f aca="false">IF($L2796="","",IFERROR(INDEX(记账规则!$A$6:$N$9,MATCH(购销流水!$D703,记账规则!$A$6:$A$9,0),11),""))</f>
        <v/>
      </c>
      <c r="O2796" s="67" t="n">
        <f aca="false">IF($H2796="",0,ROUND(IF($N2796="成本金额",N(购销流水!$W703),IF($N2796="金额",N(购销流水!$Q703),0)),2))</f>
        <v>0</v>
      </c>
      <c r="P2796" s="64" t="str">
        <f aca="false">IF(AND($H2796&lt;&gt;"",ROUND($O2796,2)&lt;&gt;0),"有","")</f>
        <v/>
      </c>
    </row>
    <row r="2797" customFormat="false" ht="15" hidden="true" customHeight="false" outlineLevel="0" collapsed="false">
      <c r="A2797" s="53" t="str">
        <f aca="false">IF($H2797="","",ROW()-5)</f>
        <v/>
      </c>
      <c r="B2797" s="64" t="s">
        <v>36</v>
      </c>
      <c r="C2797" s="53" t="n">
        <v>703</v>
      </c>
      <c r="D2797" s="53" t="n">
        <v>4</v>
      </c>
      <c r="E2797" s="65" t="str">
        <f aca="false">IF($H2797="","",购销流水!$B703)</f>
        <v/>
      </c>
      <c r="F2797" s="55" t="str">
        <f aca="false">IF($H2797="","",购销流水!$C703)</f>
        <v/>
      </c>
      <c r="G2797" s="48" t="str">
        <f aca="false">IF($H2797="","",购销流水!$N703)</f>
        <v/>
      </c>
      <c r="H2797" s="10" t="str">
        <f aca="false">IF($L2797="","",IF($L2797="@成本",购销流水!$U703,IF($L2797="@收入",购销流水!$T703,IF($L2797="@存货",购销流水!$S703,IF($L2797="@结算",购销流水!$R703,$L2797)))))</f>
        <v/>
      </c>
      <c r="I2797" s="42" t="n">
        <f aca="false">IF($M2797="借",$O2797,0)</f>
        <v>0</v>
      </c>
      <c r="J2797" s="42" t="n">
        <f aca="false">IF($M2797="贷",$O2797,0)</f>
        <v>0</v>
      </c>
      <c r="K2797" s="48" t="str">
        <f aca="false">IF($H2797="","",购销流水!$E703)</f>
        <v/>
      </c>
      <c r="L2797" s="66" t="str">
        <f aca="false">IF(购销流水!$D703="","",IFERROR(INDEX(记账规则!$A$6:$N$9,MATCH(购销流水!$D703,记账规则!$A$6:$A$9,0),12),""))</f>
        <v/>
      </c>
      <c r="M2797" s="66" t="str">
        <f aca="false">IF($L2797="","",IFERROR(INDEX(记账规则!$A$6:$N$9,MATCH(购销流水!$D703,记账规则!$A$6:$A$9,0),13),""))</f>
        <v/>
      </c>
      <c r="N2797" s="66" t="str">
        <f aca="false">IF($L2797="","",IFERROR(INDEX(记账规则!$A$6:$N$9,MATCH(购销流水!$D703,记账规则!$A$6:$A$9,0),14),""))</f>
        <v/>
      </c>
      <c r="O2797" s="67" t="n">
        <f aca="false">IF($H2797="",0,ROUND(IF($N2797="成本金额",N(购销流水!$W703),IF($N2797="金额",N(购销流水!$Q703),0)),2))</f>
        <v>0</v>
      </c>
      <c r="P2797" s="64" t="str">
        <f aca="false">IF(AND($H2797&lt;&gt;"",ROUND($O2797,2)&lt;&gt;0),"有","")</f>
        <v/>
      </c>
    </row>
    <row r="2798" customFormat="false" ht="15" hidden="true" customHeight="false" outlineLevel="0" collapsed="false">
      <c r="A2798" s="53" t="str">
        <f aca="false">IF($H2798="","",ROW()-5)</f>
        <v/>
      </c>
      <c r="B2798" s="64" t="s">
        <v>36</v>
      </c>
      <c r="C2798" s="53" t="n">
        <v>704</v>
      </c>
      <c r="D2798" s="53" t="n">
        <v>1</v>
      </c>
      <c r="E2798" s="65" t="str">
        <f aca="false">IF($H2798="","",购销流水!$B704)</f>
        <v/>
      </c>
      <c r="F2798" s="55" t="str">
        <f aca="false">IF($H2798="","",购销流水!$C704)</f>
        <v/>
      </c>
      <c r="G2798" s="48" t="str">
        <f aca="false">IF($H2798="","",购销流水!$N704)</f>
        <v/>
      </c>
      <c r="H2798" s="10" t="str">
        <f aca="false">IF($L2798="","",IF($L2798="@成本",购销流水!$U704,IF($L2798="@收入",购销流水!$T704,IF($L2798="@存货",购销流水!$S704,IF($L2798="@结算",购销流水!$R704,$L2798)))))</f>
        <v/>
      </c>
      <c r="I2798" s="42" t="n">
        <f aca="false">IF($M2798="借",$O2798,0)</f>
        <v>0</v>
      </c>
      <c r="J2798" s="42" t="n">
        <f aca="false">IF($M2798="贷",$O2798,0)</f>
        <v>0</v>
      </c>
      <c r="K2798" s="48" t="str">
        <f aca="false">IF($H2798="","",购销流水!$E704)</f>
        <v/>
      </c>
      <c r="L2798" s="66" t="str">
        <f aca="false">IF(购销流水!$D704="","",IFERROR(INDEX(记账规则!$A$6:$N$9,MATCH(购销流水!$D704,记账规则!$A$6:$A$9,0),3),""))</f>
        <v/>
      </c>
      <c r="M2798" s="66" t="str">
        <f aca="false">IF($L2798="","",IFERROR(INDEX(记账规则!$A$6:$N$9,MATCH(购销流水!$D704,记账规则!$A$6:$A$9,0),4),""))</f>
        <v/>
      </c>
      <c r="N2798" s="66" t="str">
        <f aca="false">IF($L2798="","",IFERROR(INDEX(记账规则!$A$6:$N$9,MATCH(购销流水!$D704,记账规则!$A$6:$A$9,0),5),""))</f>
        <v/>
      </c>
      <c r="O2798" s="67" t="n">
        <f aca="false">IF($H2798="",0,ROUND(IF($N2798="成本金额",N(购销流水!$W704),IF($N2798="金额",N(购销流水!$Q704),0)),2))</f>
        <v>0</v>
      </c>
      <c r="P2798" s="64" t="str">
        <f aca="false">IF(AND($H2798&lt;&gt;"",ROUND($O2798,2)&lt;&gt;0),"有","")</f>
        <v/>
      </c>
    </row>
    <row r="2799" customFormat="false" ht="15" hidden="true" customHeight="false" outlineLevel="0" collapsed="false">
      <c r="A2799" s="53" t="str">
        <f aca="false">IF($H2799="","",ROW()-5)</f>
        <v/>
      </c>
      <c r="B2799" s="64" t="s">
        <v>36</v>
      </c>
      <c r="C2799" s="53" t="n">
        <v>704</v>
      </c>
      <c r="D2799" s="53" t="n">
        <v>2</v>
      </c>
      <c r="E2799" s="65" t="str">
        <f aca="false">IF($H2799="","",购销流水!$B704)</f>
        <v/>
      </c>
      <c r="F2799" s="55" t="str">
        <f aca="false">IF($H2799="","",购销流水!$C704)</f>
        <v/>
      </c>
      <c r="G2799" s="48" t="str">
        <f aca="false">IF($H2799="","",购销流水!$N704)</f>
        <v/>
      </c>
      <c r="H2799" s="10" t="str">
        <f aca="false">IF($L2799="","",IF($L2799="@成本",购销流水!$U704,IF($L2799="@收入",购销流水!$T704,IF($L2799="@存货",购销流水!$S704,IF($L2799="@结算",购销流水!$R704,$L2799)))))</f>
        <v/>
      </c>
      <c r="I2799" s="42" t="n">
        <f aca="false">IF($M2799="借",$O2799,0)</f>
        <v>0</v>
      </c>
      <c r="J2799" s="42" t="n">
        <f aca="false">IF($M2799="贷",$O2799,0)</f>
        <v>0</v>
      </c>
      <c r="K2799" s="48" t="str">
        <f aca="false">IF($H2799="","",购销流水!$E704)</f>
        <v/>
      </c>
      <c r="L2799" s="66" t="str">
        <f aca="false">IF(购销流水!$D704="","",IFERROR(INDEX(记账规则!$A$6:$N$9,MATCH(购销流水!$D704,记账规则!$A$6:$A$9,0),6),""))</f>
        <v/>
      </c>
      <c r="M2799" s="66" t="str">
        <f aca="false">IF($L2799="","",IFERROR(INDEX(记账规则!$A$6:$N$9,MATCH(购销流水!$D704,记账规则!$A$6:$A$9,0),7),""))</f>
        <v/>
      </c>
      <c r="N2799" s="66" t="str">
        <f aca="false">IF($L2799="","",IFERROR(INDEX(记账规则!$A$6:$N$9,MATCH(购销流水!$D704,记账规则!$A$6:$A$9,0),8),""))</f>
        <v/>
      </c>
      <c r="O2799" s="67" t="n">
        <f aca="false">IF($H2799="",0,ROUND(IF($N2799="成本金额",N(购销流水!$W704),IF($N2799="金额",N(购销流水!$Q704),0)),2))</f>
        <v>0</v>
      </c>
      <c r="P2799" s="64" t="str">
        <f aca="false">IF(AND($H2799&lt;&gt;"",ROUND($O2799,2)&lt;&gt;0),"有","")</f>
        <v/>
      </c>
    </row>
    <row r="2800" customFormat="false" ht="15" hidden="true" customHeight="false" outlineLevel="0" collapsed="false">
      <c r="A2800" s="53" t="str">
        <f aca="false">IF($H2800="","",ROW()-5)</f>
        <v/>
      </c>
      <c r="B2800" s="64" t="s">
        <v>36</v>
      </c>
      <c r="C2800" s="53" t="n">
        <v>704</v>
      </c>
      <c r="D2800" s="53" t="n">
        <v>3</v>
      </c>
      <c r="E2800" s="65" t="str">
        <f aca="false">IF($H2800="","",购销流水!$B704)</f>
        <v/>
      </c>
      <c r="F2800" s="55" t="str">
        <f aca="false">IF($H2800="","",购销流水!$C704)</f>
        <v/>
      </c>
      <c r="G2800" s="48" t="str">
        <f aca="false">IF($H2800="","",购销流水!$N704)</f>
        <v/>
      </c>
      <c r="H2800" s="10" t="str">
        <f aca="false">IF($L2800="","",IF($L2800="@成本",购销流水!$U704,IF($L2800="@收入",购销流水!$T704,IF($L2800="@存货",购销流水!$S704,IF($L2800="@结算",购销流水!$R704,$L2800)))))</f>
        <v/>
      </c>
      <c r="I2800" s="42" t="n">
        <f aca="false">IF($M2800="借",$O2800,0)</f>
        <v>0</v>
      </c>
      <c r="J2800" s="42" t="n">
        <f aca="false">IF($M2800="贷",$O2800,0)</f>
        <v>0</v>
      </c>
      <c r="K2800" s="48" t="str">
        <f aca="false">IF($H2800="","",购销流水!$E704)</f>
        <v/>
      </c>
      <c r="L2800" s="66" t="str">
        <f aca="false">IF(购销流水!$D704="","",IFERROR(INDEX(记账规则!$A$6:$N$9,MATCH(购销流水!$D704,记账规则!$A$6:$A$9,0),9),""))</f>
        <v/>
      </c>
      <c r="M2800" s="66" t="str">
        <f aca="false">IF($L2800="","",IFERROR(INDEX(记账规则!$A$6:$N$9,MATCH(购销流水!$D704,记账规则!$A$6:$A$9,0),10),""))</f>
        <v/>
      </c>
      <c r="N2800" s="66" t="str">
        <f aca="false">IF($L2800="","",IFERROR(INDEX(记账规则!$A$6:$N$9,MATCH(购销流水!$D704,记账规则!$A$6:$A$9,0),11),""))</f>
        <v/>
      </c>
      <c r="O2800" s="67" t="n">
        <f aca="false">IF($H2800="",0,ROUND(IF($N2800="成本金额",N(购销流水!$W704),IF($N2800="金额",N(购销流水!$Q704),0)),2))</f>
        <v>0</v>
      </c>
      <c r="P2800" s="64" t="str">
        <f aca="false">IF(AND($H2800&lt;&gt;"",ROUND($O2800,2)&lt;&gt;0),"有","")</f>
        <v/>
      </c>
    </row>
    <row r="2801" customFormat="false" ht="15" hidden="true" customHeight="false" outlineLevel="0" collapsed="false">
      <c r="A2801" s="53" t="str">
        <f aca="false">IF($H2801="","",ROW()-5)</f>
        <v/>
      </c>
      <c r="B2801" s="64" t="s">
        <v>36</v>
      </c>
      <c r="C2801" s="53" t="n">
        <v>704</v>
      </c>
      <c r="D2801" s="53" t="n">
        <v>4</v>
      </c>
      <c r="E2801" s="65" t="str">
        <f aca="false">IF($H2801="","",购销流水!$B704)</f>
        <v/>
      </c>
      <c r="F2801" s="55" t="str">
        <f aca="false">IF($H2801="","",购销流水!$C704)</f>
        <v/>
      </c>
      <c r="G2801" s="48" t="str">
        <f aca="false">IF($H2801="","",购销流水!$N704)</f>
        <v/>
      </c>
      <c r="H2801" s="10" t="str">
        <f aca="false">IF($L2801="","",IF($L2801="@成本",购销流水!$U704,IF($L2801="@收入",购销流水!$T704,IF($L2801="@存货",购销流水!$S704,IF($L2801="@结算",购销流水!$R704,$L2801)))))</f>
        <v/>
      </c>
      <c r="I2801" s="42" t="n">
        <f aca="false">IF($M2801="借",$O2801,0)</f>
        <v>0</v>
      </c>
      <c r="J2801" s="42" t="n">
        <f aca="false">IF($M2801="贷",$O2801,0)</f>
        <v>0</v>
      </c>
      <c r="K2801" s="48" t="str">
        <f aca="false">IF($H2801="","",购销流水!$E704)</f>
        <v/>
      </c>
      <c r="L2801" s="66" t="str">
        <f aca="false">IF(购销流水!$D704="","",IFERROR(INDEX(记账规则!$A$6:$N$9,MATCH(购销流水!$D704,记账规则!$A$6:$A$9,0),12),""))</f>
        <v/>
      </c>
      <c r="M2801" s="66" t="str">
        <f aca="false">IF($L2801="","",IFERROR(INDEX(记账规则!$A$6:$N$9,MATCH(购销流水!$D704,记账规则!$A$6:$A$9,0),13),""))</f>
        <v/>
      </c>
      <c r="N2801" s="66" t="str">
        <f aca="false">IF($L2801="","",IFERROR(INDEX(记账规则!$A$6:$N$9,MATCH(购销流水!$D704,记账规则!$A$6:$A$9,0),14),""))</f>
        <v/>
      </c>
      <c r="O2801" s="67" t="n">
        <f aca="false">IF($H2801="",0,ROUND(IF($N2801="成本金额",N(购销流水!$W704),IF($N2801="金额",N(购销流水!$Q704),0)),2))</f>
        <v>0</v>
      </c>
      <c r="P2801" s="64" t="str">
        <f aca="false">IF(AND($H2801&lt;&gt;"",ROUND($O2801,2)&lt;&gt;0),"有","")</f>
        <v/>
      </c>
    </row>
    <row r="2802" customFormat="false" ht="15" hidden="true" customHeight="false" outlineLevel="0" collapsed="false">
      <c r="A2802" s="53" t="str">
        <f aca="false">IF($H2802="","",ROW()-5)</f>
        <v/>
      </c>
      <c r="B2802" s="64" t="s">
        <v>36</v>
      </c>
      <c r="C2802" s="53" t="n">
        <v>705</v>
      </c>
      <c r="D2802" s="53" t="n">
        <v>1</v>
      </c>
      <c r="E2802" s="65" t="str">
        <f aca="false">IF($H2802="","",购销流水!$B705)</f>
        <v/>
      </c>
      <c r="F2802" s="55" t="str">
        <f aca="false">IF($H2802="","",购销流水!$C705)</f>
        <v/>
      </c>
      <c r="G2802" s="48" t="str">
        <f aca="false">IF($H2802="","",购销流水!$N705)</f>
        <v/>
      </c>
      <c r="H2802" s="10" t="str">
        <f aca="false">IF($L2802="","",IF($L2802="@成本",购销流水!$U705,IF($L2802="@收入",购销流水!$T705,IF($L2802="@存货",购销流水!$S705,IF($L2802="@结算",购销流水!$R705,$L2802)))))</f>
        <v/>
      </c>
      <c r="I2802" s="42" t="n">
        <f aca="false">IF($M2802="借",$O2802,0)</f>
        <v>0</v>
      </c>
      <c r="J2802" s="42" t="n">
        <f aca="false">IF($M2802="贷",$O2802,0)</f>
        <v>0</v>
      </c>
      <c r="K2802" s="48" t="str">
        <f aca="false">IF($H2802="","",购销流水!$E705)</f>
        <v/>
      </c>
      <c r="L2802" s="66" t="str">
        <f aca="false">IF(购销流水!$D705="","",IFERROR(INDEX(记账规则!$A$6:$N$9,MATCH(购销流水!$D705,记账规则!$A$6:$A$9,0),3),""))</f>
        <v/>
      </c>
      <c r="M2802" s="66" t="str">
        <f aca="false">IF($L2802="","",IFERROR(INDEX(记账规则!$A$6:$N$9,MATCH(购销流水!$D705,记账规则!$A$6:$A$9,0),4),""))</f>
        <v/>
      </c>
      <c r="N2802" s="66" t="str">
        <f aca="false">IF($L2802="","",IFERROR(INDEX(记账规则!$A$6:$N$9,MATCH(购销流水!$D705,记账规则!$A$6:$A$9,0),5),""))</f>
        <v/>
      </c>
      <c r="O2802" s="67" t="n">
        <f aca="false">IF($H2802="",0,ROUND(IF($N2802="成本金额",N(购销流水!$W705),IF($N2802="金额",N(购销流水!$Q705),0)),2))</f>
        <v>0</v>
      </c>
      <c r="P2802" s="64" t="str">
        <f aca="false">IF(AND($H2802&lt;&gt;"",ROUND($O2802,2)&lt;&gt;0),"有","")</f>
        <v/>
      </c>
    </row>
    <row r="2803" customFormat="false" ht="15" hidden="true" customHeight="false" outlineLevel="0" collapsed="false">
      <c r="A2803" s="53" t="str">
        <f aca="false">IF($H2803="","",ROW()-5)</f>
        <v/>
      </c>
      <c r="B2803" s="64" t="s">
        <v>36</v>
      </c>
      <c r="C2803" s="53" t="n">
        <v>705</v>
      </c>
      <c r="D2803" s="53" t="n">
        <v>2</v>
      </c>
      <c r="E2803" s="65" t="str">
        <f aca="false">IF($H2803="","",购销流水!$B705)</f>
        <v/>
      </c>
      <c r="F2803" s="55" t="str">
        <f aca="false">IF($H2803="","",购销流水!$C705)</f>
        <v/>
      </c>
      <c r="G2803" s="48" t="str">
        <f aca="false">IF($H2803="","",购销流水!$N705)</f>
        <v/>
      </c>
      <c r="H2803" s="10" t="str">
        <f aca="false">IF($L2803="","",IF($L2803="@成本",购销流水!$U705,IF($L2803="@收入",购销流水!$T705,IF($L2803="@存货",购销流水!$S705,IF($L2803="@结算",购销流水!$R705,$L2803)))))</f>
        <v/>
      </c>
      <c r="I2803" s="42" t="n">
        <f aca="false">IF($M2803="借",$O2803,0)</f>
        <v>0</v>
      </c>
      <c r="J2803" s="42" t="n">
        <f aca="false">IF($M2803="贷",$O2803,0)</f>
        <v>0</v>
      </c>
      <c r="K2803" s="48" t="str">
        <f aca="false">IF($H2803="","",购销流水!$E705)</f>
        <v/>
      </c>
      <c r="L2803" s="66" t="str">
        <f aca="false">IF(购销流水!$D705="","",IFERROR(INDEX(记账规则!$A$6:$N$9,MATCH(购销流水!$D705,记账规则!$A$6:$A$9,0),6),""))</f>
        <v/>
      </c>
      <c r="M2803" s="66" t="str">
        <f aca="false">IF($L2803="","",IFERROR(INDEX(记账规则!$A$6:$N$9,MATCH(购销流水!$D705,记账规则!$A$6:$A$9,0),7),""))</f>
        <v/>
      </c>
      <c r="N2803" s="66" t="str">
        <f aca="false">IF($L2803="","",IFERROR(INDEX(记账规则!$A$6:$N$9,MATCH(购销流水!$D705,记账规则!$A$6:$A$9,0),8),""))</f>
        <v/>
      </c>
      <c r="O2803" s="67" t="n">
        <f aca="false">IF($H2803="",0,ROUND(IF($N2803="成本金额",N(购销流水!$W705),IF($N2803="金额",N(购销流水!$Q705),0)),2))</f>
        <v>0</v>
      </c>
      <c r="P2803" s="64" t="str">
        <f aca="false">IF(AND($H2803&lt;&gt;"",ROUND($O2803,2)&lt;&gt;0),"有","")</f>
        <v/>
      </c>
    </row>
    <row r="2804" customFormat="false" ht="15" hidden="true" customHeight="false" outlineLevel="0" collapsed="false">
      <c r="A2804" s="53" t="str">
        <f aca="false">IF($H2804="","",ROW()-5)</f>
        <v/>
      </c>
      <c r="B2804" s="64" t="s">
        <v>36</v>
      </c>
      <c r="C2804" s="53" t="n">
        <v>705</v>
      </c>
      <c r="D2804" s="53" t="n">
        <v>3</v>
      </c>
      <c r="E2804" s="65" t="str">
        <f aca="false">IF($H2804="","",购销流水!$B705)</f>
        <v/>
      </c>
      <c r="F2804" s="55" t="str">
        <f aca="false">IF($H2804="","",购销流水!$C705)</f>
        <v/>
      </c>
      <c r="G2804" s="48" t="str">
        <f aca="false">IF($H2804="","",购销流水!$N705)</f>
        <v/>
      </c>
      <c r="H2804" s="10" t="str">
        <f aca="false">IF($L2804="","",IF($L2804="@成本",购销流水!$U705,IF($L2804="@收入",购销流水!$T705,IF($L2804="@存货",购销流水!$S705,IF($L2804="@结算",购销流水!$R705,$L2804)))))</f>
        <v/>
      </c>
      <c r="I2804" s="42" t="n">
        <f aca="false">IF($M2804="借",$O2804,0)</f>
        <v>0</v>
      </c>
      <c r="J2804" s="42" t="n">
        <f aca="false">IF($M2804="贷",$O2804,0)</f>
        <v>0</v>
      </c>
      <c r="K2804" s="48" t="str">
        <f aca="false">IF($H2804="","",购销流水!$E705)</f>
        <v/>
      </c>
      <c r="L2804" s="66" t="str">
        <f aca="false">IF(购销流水!$D705="","",IFERROR(INDEX(记账规则!$A$6:$N$9,MATCH(购销流水!$D705,记账规则!$A$6:$A$9,0),9),""))</f>
        <v/>
      </c>
      <c r="M2804" s="66" t="str">
        <f aca="false">IF($L2804="","",IFERROR(INDEX(记账规则!$A$6:$N$9,MATCH(购销流水!$D705,记账规则!$A$6:$A$9,0),10),""))</f>
        <v/>
      </c>
      <c r="N2804" s="66" t="str">
        <f aca="false">IF($L2804="","",IFERROR(INDEX(记账规则!$A$6:$N$9,MATCH(购销流水!$D705,记账规则!$A$6:$A$9,0),11),""))</f>
        <v/>
      </c>
      <c r="O2804" s="67" t="n">
        <f aca="false">IF($H2804="",0,ROUND(IF($N2804="成本金额",N(购销流水!$W705),IF($N2804="金额",N(购销流水!$Q705),0)),2))</f>
        <v>0</v>
      </c>
      <c r="P2804" s="64" t="str">
        <f aca="false">IF(AND($H2804&lt;&gt;"",ROUND($O2804,2)&lt;&gt;0),"有","")</f>
        <v/>
      </c>
    </row>
    <row r="2805" customFormat="false" ht="15" hidden="true" customHeight="false" outlineLevel="0" collapsed="false">
      <c r="A2805" s="53" t="str">
        <f aca="false">IF($H2805="","",ROW()-5)</f>
        <v/>
      </c>
      <c r="B2805" s="64" t="s">
        <v>36</v>
      </c>
      <c r="C2805" s="53" t="n">
        <v>705</v>
      </c>
      <c r="D2805" s="53" t="n">
        <v>4</v>
      </c>
      <c r="E2805" s="65" t="str">
        <f aca="false">IF($H2805="","",购销流水!$B705)</f>
        <v/>
      </c>
      <c r="F2805" s="55" t="str">
        <f aca="false">IF($H2805="","",购销流水!$C705)</f>
        <v/>
      </c>
      <c r="G2805" s="48" t="str">
        <f aca="false">IF($H2805="","",购销流水!$N705)</f>
        <v/>
      </c>
      <c r="H2805" s="10" t="str">
        <f aca="false">IF($L2805="","",IF($L2805="@成本",购销流水!$U705,IF($L2805="@收入",购销流水!$T705,IF($L2805="@存货",购销流水!$S705,IF($L2805="@结算",购销流水!$R705,$L2805)))))</f>
        <v/>
      </c>
      <c r="I2805" s="42" t="n">
        <f aca="false">IF($M2805="借",$O2805,0)</f>
        <v>0</v>
      </c>
      <c r="J2805" s="42" t="n">
        <f aca="false">IF($M2805="贷",$O2805,0)</f>
        <v>0</v>
      </c>
      <c r="K2805" s="48" t="str">
        <f aca="false">IF($H2805="","",购销流水!$E705)</f>
        <v/>
      </c>
      <c r="L2805" s="66" t="str">
        <f aca="false">IF(购销流水!$D705="","",IFERROR(INDEX(记账规则!$A$6:$N$9,MATCH(购销流水!$D705,记账规则!$A$6:$A$9,0),12),""))</f>
        <v/>
      </c>
      <c r="M2805" s="66" t="str">
        <f aca="false">IF($L2805="","",IFERROR(INDEX(记账规则!$A$6:$N$9,MATCH(购销流水!$D705,记账规则!$A$6:$A$9,0),13),""))</f>
        <v/>
      </c>
      <c r="N2805" s="66" t="str">
        <f aca="false">IF($L2805="","",IFERROR(INDEX(记账规则!$A$6:$N$9,MATCH(购销流水!$D705,记账规则!$A$6:$A$9,0),14),""))</f>
        <v/>
      </c>
      <c r="O2805" s="67" t="n">
        <f aca="false">IF($H2805="",0,ROUND(IF($N2805="成本金额",N(购销流水!$W705),IF($N2805="金额",N(购销流水!$Q705),0)),2))</f>
        <v>0</v>
      </c>
      <c r="P2805" s="64" t="str">
        <f aca="false">IF(AND($H2805&lt;&gt;"",ROUND($O2805,2)&lt;&gt;0),"有","")</f>
        <v/>
      </c>
    </row>
    <row r="2806" customFormat="false" ht="15" hidden="true" customHeight="false" outlineLevel="0" collapsed="false">
      <c r="A2806" s="53" t="str">
        <f aca="false">IF($H2806="","",ROW()-5)</f>
        <v/>
      </c>
      <c r="B2806" s="64" t="s">
        <v>36</v>
      </c>
      <c r="C2806" s="53" t="n">
        <v>706</v>
      </c>
      <c r="D2806" s="53" t="n">
        <v>1</v>
      </c>
      <c r="E2806" s="65" t="str">
        <f aca="false">IF($H2806="","",购销流水!$B706)</f>
        <v/>
      </c>
      <c r="F2806" s="55" t="str">
        <f aca="false">IF($H2806="","",购销流水!$C706)</f>
        <v/>
      </c>
      <c r="G2806" s="48" t="str">
        <f aca="false">IF($H2806="","",购销流水!$N706)</f>
        <v/>
      </c>
      <c r="H2806" s="10" t="str">
        <f aca="false">IF($L2806="","",IF($L2806="@成本",购销流水!$U706,IF($L2806="@收入",购销流水!$T706,IF($L2806="@存货",购销流水!$S706,IF($L2806="@结算",购销流水!$R706,$L2806)))))</f>
        <v/>
      </c>
      <c r="I2806" s="42" t="n">
        <f aca="false">IF($M2806="借",$O2806,0)</f>
        <v>0</v>
      </c>
      <c r="J2806" s="42" t="n">
        <f aca="false">IF($M2806="贷",$O2806,0)</f>
        <v>0</v>
      </c>
      <c r="K2806" s="48" t="str">
        <f aca="false">IF($H2806="","",购销流水!$E706)</f>
        <v/>
      </c>
      <c r="L2806" s="66" t="str">
        <f aca="false">IF(购销流水!$D706="","",IFERROR(INDEX(记账规则!$A$6:$N$9,MATCH(购销流水!$D706,记账规则!$A$6:$A$9,0),3),""))</f>
        <v/>
      </c>
      <c r="M2806" s="66" t="str">
        <f aca="false">IF($L2806="","",IFERROR(INDEX(记账规则!$A$6:$N$9,MATCH(购销流水!$D706,记账规则!$A$6:$A$9,0),4),""))</f>
        <v/>
      </c>
      <c r="N2806" s="66" t="str">
        <f aca="false">IF($L2806="","",IFERROR(INDEX(记账规则!$A$6:$N$9,MATCH(购销流水!$D706,记账规则!$A$6:$A$9,0),5),""))</f>
        <v/>
      </c>
      <c r="O2806" s="67" t="n">
        <f aca="false">IF($H2806="",0,ROUND(IF($N2806="成本金额",N(购销流水!$W706),IF($N2806="金额",N(购销流水!$Q706),0)),2))</f>
        <v>0</v>
      </c>
      <c r="P2806" s="64" t="str">
        <f aca="false">IF(AND($H2806&lt;&gt;"",ROUND($O2806,2)&lt;&gt;0),"有","")</f>
        <v/>
      </c>
    </row>
    <row r="2807" customFormat="false" ht="15" hidden="true" customHeight="false" outlineLevel="0" collapsed="false">
      <c r="A2807" s="53" t="str">
        <f aca="false">IF($H2807="","",ROW()-5)</f>
        <v/>
      </c>
      <c r="B2807" s="64" t="s">
        <v>36</v>
      </c>
      <c r="C2807" s="53" t="n">
        <v>706</v>
      </c>
      <c r="D2807" s="53" t="n">
        <v>2</v>
      </c>
      <c r="E2807" s="65" t="str">
        <f aca="false">IF($H2807="","",购销流水!$B706)</f>
        <v/>
      </c>
      <c r="F2807" s="55" t="str">
        <f aca="false">IF($H2807="","",购销流水!$C706)</f>
        <v/>
      </c>
      <c r="G2807" s="48" t="str">
        <f aca="false">IF($H2807="","",购销流水!$N706)</f>
        <v/>
      </c>
      <c r="H2807" s="10" t="str">
        <f aca="false">IF($L2807="","",IF($L2807="@成本",购销流水!$U706,IF($L2807="@收入",购销流水!$T706,IF($L2807="@存货",购销流水!$S706,IF($L2807="@结算",购销流水!$R706,$L2807)))))</f>
        <v/>
      </c>
      <c r="I2807" s="42" t="n">
        <f aca="false">IF($M2807="借",$O2807,0)</f>
        <v>0</v>
      </c>
      <c r="J2807" s="42" t="n">
        <f aca="false">IF($M2807="贷",$O2807,0)</f>
        <v>0</v>
      </c>
      <c r="K2807" s="48" t="str">
        <f aca="false">IF($H2807="","",购销流水!$E706)</f>
        <v/>
      </c>
      <c r="L2807" s="66" t="str">
        <f aca="false">IF(购销流水!$D706="","",IFERROR(INDEX(记账规则!$A$6:$N$9,MATCH(购销流水!$D706,记账规则!$A$6:$A$9,0),6),""))</f>
        <v/>
      </c>
      <c r="M2807" s="66" t="str">
        <f aca="false">IF($L2807="","",IFERROR(INDEX(记账规则!$A$6:$N$9,MATCH(购销流水!$D706,记账规则!$A$6:$A$9,0),7),""))</f>
        <v/>
      </c>
      <c r="N2807" s="66" t="str">
        <f aca="false">IF($L2807="","",IFERROR(INDEX(记账规则!$A$6:$N$9,MATCH(购销流水!$D706,记账规则!$A$6:$A$9,0),8),""))</f>
        <v/>
      </c>
      <c r="O2807" s="67" t="n">
        <f aca="false">IF($H2807="",0,ROUND(IF($N2807="成本金额",N(购销流水!$W706),IF($N2807="金额",N(购销流水!$Q706),0)),2))</f>
        <v>0</v>
      </c>
      <c r="P2807" s="64" t="str">
        <f aca="false">IF(AND($H2807&lt;&gt;"",ROUND($O2807,2)&lt;&gt;0),"有","")</f>
        <v/>
      </c>
    </row>
    <row r="2808" customFormat="false" ht="15" hidden="true" customHeight="false" outlineLevel="0" collapsed="false">
      <c r="A2808" s="53" t="str">
        <f aca="false">IF($H2808="","",ROW()-5)</f>
        <v/>
      </c>
      <c r="B2808" s="64" t="s">
        <v>36</v>
      </c>
      <c r="C2808" s="53" t="n">
        <v>706</v>
      </c>
      <c r="D2808" s="53" t="n">
        <v>3</v>
      </c>
      <c r="E2808" s="65" t="str">
        <f aca="false">IF($H2808="","",购销流水!$B706)</f>
        <v/>
      </c>
      <c r="F2808" s="55" t="str">
        <f aca="false">IF($H2808="","",购销流水!$C706)</f>
        <v/>
      </c>
      <c r="G2808" s="48" t="str">
        <f aca="false">IF($H2808="","",购销流水!$N706)</f>
        <v/>
      </c>
      <c r="H2808" s="10" t="str">
        <f aca="false">IF($L2808="","",IF($L2808="@成本",购销流水!$U706,IF($L2808="@收入",购销流水!$T706,IF($L2808="@存货",购销流水!$S706,IF($L2808="@结算",购销流水!$R706,$L2808)))))</f>
        <v/>
      </c>
      <c r="I2808" s="42" t="n">
        <f aca="false">IF($M2808="借",$O2808,0)</f>
        <v>0</v>
      </c>
      <c r="J2808" s="42" t="n">
        <f aca="false">IF($M2808="贷",$O2808,0)</f>
        <v>0</v>
      </c>
      <c r="K2808" s="48" t="str">
        <f aca="false">IF($H2808="","",购销流水!$E706)</f>
        <v/>
      </c>
      <c r="L2808" s="66" t="str">
        <f aca="false">IF(购销流水!$D706="","",IFERROR(INDEX(记账规则!$A$6:$N$9,MATCH(购销流水!$D706,记账规则!$A$6:$A$9,0),9),""))</f>
        <v/>
      </c>
      <c r="M2808" s="66" t="str">
        <f aca="false">IF($L2808="","",IFERROR(INDEX(记账规则!$A$6:$N$9,MATCH(购销流水!$D706,记账规则!$A$6:$A$9,0),10),""))</f>
        <v/>
      </c>
      <c r="N2808" s="66" t="str">
        <f aca="false">IF($L2808="","",IFERROR(INDEX(记账规则!$A$6:$N$9,MATCH(购销流水!$D706,记账规则!$A$6:$A$9,0),11),""))</f>
        <v/>
      </c>
      <c r="O2808" s="67" t="n">
        <f aca="false">IF($H2808="",0,ROUND(IF($N2808="成本金额",N(购销流水!$W706),IF($N2808="金额",N(购销流水!$Q706),0)),2))</f>
        <v>0</v>
      </c>
      <c r="P2808" s="64" t="str">
        <f aca="false">IF(AND($H2808&lt;&gt;"",ROUND($O2808,2)&lt;&gt;0),"有","")</f>
        <v/>
      </c>
    </row>
    <row r="2809" customFormat="false" ht="15" hidden="true" customHeight="false" outlineLevel="0" collapsed="false">
      <c r="A2809" s="53" t="str">
        <f aca="false">IF($H2809="","",ROW()-5)</f>
        <v/>
      </c>
      <c r="B2809" s="64" t="s">
        <v>36</v>
      </c>
      <c r="C2809" s="53" t="n">
        <v>706</v>
      </c>
      <c r="D2809" s="53" t="n">
        <v>4</v>
      </c>
      <c r="E2809" s="65" t="str">
        <f aca="false">IF($H2809="","",购销流水!$B706)</f>
        <v/>
      </c>
      <c r="F2809" s="55" t="str">
        <f aca="false">IF($H2809="","",购销流水!$C706)</f>
        <v/>
      </c>
      <c r="G2809" s="48" t="str">
        <f aca="false">IF($H2809="","",购销流水!$N706)</f>
        <v/>
      </c>
      <c r="H2809" s="10" t="str">
        <f aca="false">IF($L2809="","",IF($L2809="@成本",购销流水!$U706,IF($L2809="@收入",购销流水!$T706,IF($L2809="@存货",购销流水!$S706,IF($L2809="@结算",购销流水!$R706,$L2809)))))</f>
        <v/>
      </c>
      <c r="I2809" s="42" t="n">
        <f aca="false">IF($M2809="借",$O2809,0)</f>
        <v>0</v>
      </c>
      <c r="J2809" s="42" t="n">
        <f aca="false">IF($M2809="贷",$O2809,0)</f>
        <v>0</v>
      </c>
      <c r="K2809" s="48" t="str">
        <f aca="false">IF($H2809="","",购销流水!$E706)</f>
        <v/>
      </c>
      <c r="L2809" s="66" t="str">
        <f aca="false">IF(购销流水!$D706="","",IFERROR(INDEX(记账规则!$A$6:$N$9,MATCH(购销流水!$D706,记账规则!$A$6:$A$9,0),12),""))</f>
        <v/>
      </c>
      <c r="M2809" s="66" t="str">
        <f aca="false">IF($L2809="","",IFERROR(INDEX(记账规则!$A$6:$N$9,MATCH(购销流水!$D706,记账规则!$A$6:$A$9,0),13),""))</f>
        <v/>
      </c>
      <c r="N2809" s="66" t="str">
        <f aca="false">IF($L2809="","",IFERROR(INDEX(记账规则!$A$6:$N$9,MATCH(购销流水!$D706,记账规则!$A$6:$A$9,0),14),""))</f>
        <v/>
      </c>
      <c r="O2809" s="67" t="n">
        <f aca="false">IF($H2809="",0,ROUND(IF($N2809="成本金额",N(购销流水!$W706),IF($N2809="金额",N(购销流水!$Q706),0)),2))</f>
        <v>0</v>
      </c>
      <c r="P2809" s="64" t="str">
        <f aca="false">IF(AND($H2809&lt;&gt;"",ROUND($O2809,2)&lt;&gt;0),"有","")</f>
        <v/>
      </c>
    </row>
    <row r="2810" customFormat="false" ht="15" hidden="true" customHeight="false" outlineLevel="0" collapsed="false">
      <c r="A2810" s="53" t="str">
        <f aca="false">IF($H2810="","",ROW()-5)</f>
        <v/>
      </c>
      <c r="B2810" s="64" t="s">
        <v>36</v>
      </c>
      <c r="C2810" s="53" t="n">
        <v>707</v>
      </c>
      <c r="D2810" s="53" t="n">
        <v>1</v>
      </c>
      <c r="E2810" s="65" t="str">
        <f aca="false">IF($H2810="","",购销流水!$B707)</f>
        <v/>
      </c>
      <c r="F2810" s="55" t="str">
        <f aca="false">IF($H2810="","",购销流水!$C707)</f>
        <v/>
      </c>
      <c r="G2810" s="48" t="str">
        <f aca="false">IF($H2810="","",购销流水!$N707)</f>
        <v/>
      </c>
      <c r="H2810" s="10" t="str">
        <f aca="false">IF($L2810="","",IF($L2810="@成本",购销流水!$U707,IF($L2810="@收入",购销流水!$T707,IF($L2810="@存货",购销流水!$S707,IF($L2810="@结算",购销流水!$R707,$L2810)))))</f>
        <v/>
      </c>
      <c r="I2810" s="42" t="n">
        <f aca="false">IF($M2810="借",$O2810,0)</f>
        <v>0</v>
      </c>
      <c r="J2810" s="42" t="n">
        <f aca="false">IF($M2810="贷",$O2810,0)</f>
        <v>0</v>
      </c>
      <c r="K2810" s="48" t="str">
        <f aca="false">IF($H2810="","",购销流水!$E707)</f>
        <v/>
      </c>
      <c r="L2810" s="66" t="str">
        <f aca="false">IF(购销流水!$D707="","",IFERROR(INDEX(记账规则!$A$6:$N$9,MATCH(购销流水!$D707,记账规则!$A$6:$A$9,0),3),""))</f>
        <v/>
      </c>
      <c r="M2810" s="66" t="str">
        <f aca="false">IF($L2810="","",IFERROR(INDEX(记账规则!$A$6:$N$9,MATCH(购销流水!$D707,记账规则!$A$6:$A$9,0),4),""))</f>
        <v/>
      </c>
      <c r="N2810" s="66" t="str">
        <f aca="false">IF($L2810="","",IFERROR(INDEX(记账规则!$A$6:$N$9,MATCH(购销流水!$D707,记账规则!$A$6:$A$9,0),5),""))</f>
        <v/>
      </c>
      <c r="O2810" s="67" t="n">
        <f aca="false">IF($H2810="",0,ROUND(IF($N2810="成本金额",N(购销流水!$W707),IF($N2810="金额",N(购销流水!$Q707),0)),2))</f>
        <v>0</v>
      </c>
      <c r="P2810" s="64" t="str">
        <f aca="false">IF(AND($H2810&lt;&gt;"",ROUND($O2810,2)&lt;&gt;0),"有","")</f>
        <v/>
      </c>
    </row>
    <row r="2811" customFormat="false" ht="15" hidden="true" customHeight="false" outlineLevel="0" collapsed="false">
      <c r="A2811" s="53" t="str">
        <f aca="false">IF($H2811="","",ROW()-5)</f>
        <v/>
      </c>
      <c r="B2811" s="64" t="s">
        <v>36</v>
      </c>
      <c r="C2811" s="53" t="n">
        <v>707</v>
      </c>
      <c r="D2811" s="53" t="n">
        <v>2</v>
      </c>
      <c r="E2811" s="65" t="str">
        <f aca="false">IF($H2811="","",购销流水!$B707)</f>
        <v/>
      </c>
      <c r="F2811" s="55" t="str">
        <f aca="false">IF($H2811="","",购销流水!$C707)</f>
        <v/>
      </c>
      <c r="G2811" s="48" t="str">
        <f aca="false">IF($H2811="","",购销流水!$N707)</f>
        <v/>
      </c>
      <c r="H2811" s="10" t="str">
        <f aca="false">IF($L2811="","",IF($L2811="@成本",购销流水!$U707,IF($L2811="@收入",购销流水!$T707,IF($L2811="@存货",购销流水!$S707,IF($L2811="@结算",购销流水!$R707,$L2811)))))</f>
        <v/>
      </c>
      <c r="I2811" s="42" t="n">
        <f aca="false">IF($M2811="借",$O2811,0)</f>
        <v>0</v>
      </c>
      <c r="J2811" s="42" t="n">
        <f aca="false">IF($M2811="贷",$O2811,0)</f>
        <v>0</v>
      </c>
      <c r="K2811" s="48" t="str">
        <f aca="false">IF($H2811="","",购销流水!$E707)</f>
        <v/>
      </c>
      <c r="L2811" s="66" t="str">
        <f aca="false">IF(购销流水!$D707="","",IFERROR(INDEX(记账规则!$A$6:$N$9,MATCH(购销流水!$D707,记账规则!$A$6:$A$9,0),6),""))</f>
        <v/>
      </c>
      <c r="M2811" s="66" t="str">
        <f aca="false">IF($L2811="","",IFERROR(INDEX(记账规则!$A$6:$N$9,MATCH(购销流水!$D707,记账规则!$A$6:$A$9,0),7),""))</f>
        <v/>
      </c>
      <c r="N2811" s="66" t="str">
        <f aca="false">IF($L2811="","",IFERROR(INDEX(记账规则!$A$6:$N$9,MATCH(购销流水!$D707,记账规则!$A$6:$A$9,0),8),""))</f>
        <v/>
      </c>
      <c r="O2811" s="67" t="n">
        <f aca="false">IF($H2811="",0,ROUND(IF($N2811="成本金额",N(购销流水!$W707),IF($N2811="金额",N(购销流水!$Q707),0)),2))</f>
        <v>0</v>
      </c>
      <c r="P2811" s="64" t="str">
        <f aca="false">IF(AND($H2811&lt;&gt;"",ROUND($O2811,2)&lt;&gt;0),"有","")</f>
        <v/>
      </c>
    </row>
    <row r="2812" customFormat="false" ht="15" hidden="true" customHeight="false" outlineLevel="0" collapsed="false">
      <c r="A2812" s="53" t="str">
        <f aca="false">IF($H2812="","",ROW()-5)</f>
        <v/>
      </c>
      <c r="B2812" s="64" t="s">
        <v>36</v>
      </c>
      <c r="C2812" s="53" t="n">
        <v>707</v>
      </c>
      <c r="D2812" s="53" t="n">
        <v>3</v>
      </c>
      <c r="E2812" s="65" t="str">
        <f aca="false">IF($H2812="","",购销流水!$B707)</f>
        <v/>
      </c>
      <c r="F2812" s="55" t="str">
        <f aca="false">IF($H2812="","",购销流水!$C707)</f>
        <v/>
      </c>
      <c r="G2812" s="48" t="str">
        <f aca="false">IF($H2812="","",购销流水!$N707)</f>
        <v/>
      </c>
      <c r="H2812" s="10" t="str">
        <f aca="false">IF($L2812="","",IF($L2812="@成本",购销流水!$U707,IF($L2812="@收入",购销流水!$T707,IF($L2812="@存货",购销流水!$S707,IF($L2812="@结算",购销流水!$R707,$L2812)))))</f>
        <v/>
      </c>
      <c r="I2812" s="42" t="n">
        <f aca="false">IF($M2812="借",$O2812,0)</f>
        <v>0</v>
      </c>
      <c r="J2812" s="42" t="n">
        <f aca="false">IF($M2812="贷",$O2812,0)</f>
        <v>0</v>
      </c>
      <c r="K2812" s="48" t="str">
        <f aca="false">IF($H2812="","",购销流水!$E707)</f>
        <v/>
      </c>
      <c r="L2812" s="66" t="str">
        <f aca="false">IF(购销流水!$D707="","",IFERROR(INDEX(记账规则!$A$6:$N$9,MATCH(购销流水!$D707,记账规则!$A$6:$A$9,0),9),""))</f>
        <v/>
      </c>
      <c r="M2812" s="66" t="str">
        <f aca="false">IF($L2812="","",IFERROR(INDEX(记账规则!$A$6:$N$9,MATCH(购销流水!$D707,记账规则!$A$6:$A$9,0),10),""))</f>
        <v/>
      </c>
      <c r="N2812" s="66" t="str">
        <f aca="false">IF($L2812="","",IFERROR(INDEX(记账规则!$A$6:$N$9,MATCH(购销流水!$D707,记账规则!$A$6:$A$9,0),11),""))</f>
        <v/>
      </c>
      <c r="O2812" s="67" t="n">
        <f aca="false">IF($H2812="",0,ROUND(IF($N2812="成本金额",N(购销流水!$W707),IF($N2812="金额",N(购销流水!$Q707),0)),2))</f>
        <v>0</v>
      </c>
      <c r="P2812" s="64" t="str">
        <f aca="false">IF(AND($H2812&lt;&gt;"",ROUND($O2812,2)&lt;&gt;0),"有","")</f>
        <v/>
      </c>
    </row>
    <row r="2813" customFormat="false" ht="15" hidden="true" customHeight="false" outlineLevel="0" collapsed="false">
      <c r="A2813" s="53" t="str">
        <f aca="false">IF($H2813="","",ROW()-5)</f>
        <v/>
      </c>
      <c r="B2813" s="64" t="s">
        <v>36</v>
      </c>
      <c r="C2813" s="53" t="n">
        <v>707</v>
      </c>
      <c r="D2813" s="53" t="n">
        <v>4</v>
      </c>
      <c r="E2813" s="65" t="str">
        <f aca="false">IF($H2813="","",购销流水!$B707)</f>
        <v/>
      </c>
      <c r="F2813" s="55" t="str">
        <f aca="false">IF($H2813="","",购销流水!$C707)</f>
        <v/>
      </c>
      <c r="G2813" s="48" t="str">
        <f aca="false">IF($H2813="","",购销流水!$N707)</f>
        <v/>
      </c>
      <c r="H2813" s="10" t="str">
        <f aca="false">IF($L2813="","",IF($L2813="@成本",购销流水!$U707,IF($L2813="@收入",购销流水!$T707,IF($L2813="@存货",购销流水!$S707,IF($L2813="@结算",购销流水!$R707,$L2813)))))</f>
        <v/>
      </c>
      <c r="I2813" s="42" t="n">
        <f aca="false">IF($M2813="借",$O2813,0)</f>
        <v>0</v>
      </c>
      <c r="J2813" s="42" t="n">
        <f aca="false">IF($M2813="贷",$O2813,0)</f>
        <v>0</v>
      </c>
      <c r="K2813" s="48" t="str">
        <f aca="false">IF($H2813="","",购销流水!$E707)</f>
        <v/>
      </c>
      <c r="L2813" s="66" t="str">
        <f aca="false">IF(购销流水!$D707="","",IFERROR(INDEX(记账规则!$A$6:$N$9,MATCH(购销流水!$D707,记账规则!$A$6:$A$9,0),12),""))</f>
        <v/>
      </c>
      <c r="M2813" s="66" t="str">
        <f aca="false">IF($L2813="","",IFERROR(INDEX(记账规则!$A$6:$N$9,MATCH(购销流水!$D707,记账规则!$A$6:$A$9,0),13),""))</f>
        <v/>
      </c>
      <c r="N2813" s="66" t="str">
        <f aca="false">IF($L2813="","",IFERROR(INDEX(记账规则!$A$6:$N$9,MATCH(购销流水!$D707,记账规则!$A$6:$A$9,0),14),""))</f>
        <v/>
      </c>
      <c r="O2813" s="67" t="n">
        <f aca="false">IF($H2813="",0,ROUND(IF($N2813="成本金额",N(购销流水!$W707),IF($N2813="金额",N(购销流水!$Q707),0)),2))</f>
        <v>0</v>
      </c>
      <c r="P2813" s="64" t="str">
        <f aca="false">IF(AND($H2813&lt;&gt;"",ROUND($O2813,2)&lt;&gt;0),"有","")</f>
        <v/>
      </c>
    </row>
    <row r="2814" customFormat="false" ht="15" hidden="true" customHeight="false" outlineLevel="0" collapsed="false">
      <c r="A2814" s="53" t="str">
        <f aca="false">IF($H2814="","",ROW()-5)</f>
        <v/>
      </c>
      <c r="B2814" s="64" t="s">
        <v>36</v>
      </c>
      <c r="C2814" s="53" t="n">
        <v>708</v>
      </c>
      <c r="D2814" s="53" t="n">
        <v>1</v>
      </c>
      <c r="E2814" s="65" t="str">
        <f aca="false">IF($H2814="","",购销流水!$B708)</f>
        <v/>
      </c>
      <c r="F2814" s="55" t="str">
        <f aca="false">IF($H2814="","",购销流水!$C708)</f>
        <v/>
      </c>
      <c r="G2814" s="48" t="str">
        <f aca="false">IF($H2814="","",购销流水!$N708)</f>
        <v/>
      </c>
      <c r="H2814" s="10" t="str">
        <f aca="false">IF($L2814="","",IF($L2814="@成本",购销流水!$U708,IF($L2814="@收入",购销流水!$T708,IF($L2814="@存货",购销流水!$S708,IF($L2814="@结算",购销流水!$R708,$L2814)))))</f>
        <v/>
      </c>
      <c r="I2814" s="42" t="n">
        <f aca="false">IF($M2814="借",$O2814,0)</f>
        <v>0</v>
      </c>
      <c r="J2814" s="42" t="n">
        <f aca="false">IF($M2814="贷",$O2814,0)</f>
        <v>0</v>
      </c>
      <c r="K2814" s="48" t="str">
        <f aca="false">IF($H2814="","",购销流水!$E708)</f>
        <v/>
      </c>
      <c r="L2814" s="66" t="str">
        <f aca="false">IF(购销流水!$D708="","",IFERROR(INDEX(记账规则!$A$6:$N$9,MATCH(购销流水!$D708,记账规则!$A$6:$A$9,0),3),""))</f>
        <v/>
      </c>
      <c r="M2814" s="66" t="str">
        <f aca="false">IF($L2814="","",IFERROR(INDEX(记账规则!$A$6:$N$9,MATCH(购销流水!$D708,记账规则!$A$6:$A$9,0),4),""))</f>
        <v/>
      </c>
      <c r="N2814" s="66" t="str">
        <f aca="false">IF($L2814="","",IFERROR(INDEX(记账规则!$A$6:$N$9,MATCH(购销流水!$D708,记账规则!$A$6:$A$9,0),5),""))</f>
        <v/>
      </c>
      <c r="O2814" s="67" t="n">
        <f aca="false">IF($H2814="",0,ROUND(IF($N2814="成本金额",N(购销流水!$W708),IF($N2814="金额",N(购销流水!$Q708),0)),2))</f>
        <v>0</v>
      </c>
      <c r="P2814" s="64" t="str">
        <f aca="false">IF(AND($H2814&lt;&gt;"",ROUND($O2814,2)&lt;&gt;0),"有","")</f>
        <v/>
      </c>
    </row>
    <row r="2815" customFormat="false" ht="15" hidden="true" customHeight="false" outlineLevel="0" collapsed="false">
      <c r="A2815" s="53" t="str">
        <f aca="false">IF($H2815="","",ROW()-5)</f>
        <v/>
      </c>
      <c r="B2815" s="64" t="s">
        <v>36</v>
      </c>
      <c r="C2815" s="53" t="n">
        <v>708</v>
      </c>
      <c r="D2815" s="53" t="n">
        <v>2</v>
      </c>
      <c r="E2815" s="65" t="str">
        <f aca="false">IF($H2815="","",购销流水!$B708)</f>
        <v/>
      </c>
      <c r="F2815" s="55" t="str">
        <f aca="false">IF($H2815="","",购销流水!$C708)</f>
        <v/>
      </c>
      <c r="G2815" s="48" t="str">
        <f aca="false">IF($H2815="","",购销流水!$N708)</f>
        <v/>
      </c>
      <c r="H2815" s="10" t="str">
        <f aca="false">IF($L2815="","",IF($L2815="@成本",购销流水!$U708,IF($L2815="@收入",购销流水!$T708,IF($L2815="@存货",购销流水!$S708,IF($L2815="@结算",购销流水!$R708,$L2815)))))</f>
        <v/>
      </c>
      <c r="I2815" s="42" t="n">
        <f aca="false">IF($M2815="借",$O2815,0)</f>
        <v>0</v>
      </c>
      <c r="J2815" s="42" t="n">
        <f aca="false">IF($M2815="贷",$O2815,0)</f>
        <v>0</v>
      </c>
      <c r="K2815" s="48" t="str">
        <f aca="false">IF($H2815="","",购销流水!$E708)</f>
        <v/>
      </c>
      <c r="L2815" s="66" t="str">
        <f aca="false">IF(购销流水!$D708="","",IFERROR(INDEX(记账规则!$A$6:$N$9,MATCH(购销流水!$D708,记账规则!$A$6:$A$9,0),6),""))</f>
        <v/>
      </c>
      <c r="M2815" s="66" t="str">
        <f aca="false">IF($L2815="","",IFERROR(INDEX(记账规则!$A$6:$N$9,MATCH(购销流水!$D708,记账规则!$A$6:$A$9,0),7),""))</f>
        <v/>
      </c>
      <c r="N2815" s="66" t="str">
        <f aca="false">IF($L2815="","",IFERROR(INDEX(记账规则!$A$6:$N$9,MATCH(购销流水!$D708,记账规则!$A$6:$A$9,0),8),""))</f>
        <v/>
      </c>
      <c r="O2815" s="67" t="n">
        <f aca="false">IF($H2815="",0,ROUND(IF($N2815="成本金额",N(购销流水!$W708),IF($N2815="金额",N(购销流水!$Q708),0)),2))</f>
        <v>0</v>
      </c>
      <c r="P2815" s="64" t="str">
        <f aca="false">IF(AND($H2815&lt;&gt;"",ROUND($O2815,2)&lt;&gt;0),"有","")</f>
        <v/>
      </c>
    </row>
    <row r="2816" customFormat="false" ht="15" hidden="true" customHeight="false" outlineLevel="0" collapsed="false">
      <c r="A2816" s="53" t="str">
        <f aca="false">IF($H2816="","",ROW()-5)</f>
        <v/>
      </c>
      <c r="B2816" s="64" t="s">
        <v>36</v>
      </c>
      <c r="C2816" s="53" t="n">
        <v>708</v>
      </c>
      <c r="D2816" s="53" t="n">
        <v>3</v>
      </c>
      <c r="E2816" s="65" t="str">
        <f aca="false">IF($H2816="","",购销流水!$B708)</f>
        <v/>
      </c>
      <c r="F2816" s="55" t="str">
        <f aca="false">IF($H2816="","",购销流水!$C708)</f>
        <v/>
      </c>
      <c r="G2816" s="48" t="str">
        <f aca="false">IF($H2816="","",购销流水!$N708)</f>
        <v/>
      </c>
      <c r="H2816" s="10" t="str">
        <f aca="false">IF($L2816="","",IF($L2816="@成本",购销流水!$U708,IF($L2816="@收入",购销流水!$T708,IF($L2816="@存货",购销流水!$S708,IF($L2816="@结算",购销流水!$R708,$L2816)))))</f>
        <v/>
      </c>
      <c r="I2816" s="42" t="n">
        <f aca="false">IF($M2816="借",$O2816,0)</f>
        <v>0</v>
      </c>
      <c r="J2816" s="42" t="n">
        <f aca="false">IF($M2816="贷",$O2816,0)</f>
        <v>0</v>
      </c>
      <c r="K2816" s="48" t="str">
        <f aca="false">IF($H2816="","",购销流水!$E708)</f>
        <v/>
      </c>
      <c r="L2816" s="66" t="str">
        <f aca="false">IF(购销流水!$D708="","",IFERROR(INDEX(记账规则!$A$6:$N$9,MATCH(购销流水!$D708,记账规则!$A$6:$A$9,0),9),""))</f>
        <v/>
      </c>
      <c r="M2816" s="66" t="str">
        <f aca="false">IF($L2816="","",IFERROR(INDEX(记账规则!$A$6:$N$9,MATCH(购销流水!$D708,记账规则!$A$6:$A$9,0),10),""))</f>
        <v/>
      </c>
      <c r="N2816" s="66" t="str">
        <f aca="false">IF($L2816="","",IFERROR(INDEX(记账规则!$A$6:$N$9,MATCH(购销流水!$D708,记账规则!$A$6:$A$9,0),11),""))</f>
        <v/>
      </c>
      <c r="O2816" s="67" t="n">
        <f aca="false">IF($H2816="",0,ROUND(IF($N2816="成本金额",N(购销流水!$W708),IF($N2816="金额",N(购销流水!$Q708),0)),2))</f>
        <v>0</v>
      </c>
      <c r="P2816" s="64" t="str">
        <f aca="false">IF(AND($H2816&lt;&gt;"",ROUND($O2816,2)&lt;&gt;0),"有","")</f>
        <v/>
      </c>
    </row>
    <row r="2817" customFormat="false" ht="15" hidden="true" customHeight="false" outlineLevel="0" collapsed="false">
      <c r="A2817" s="53" t="str">
        <f aca="false">IF($H2817="","",ROW()-5)</f>
        <v/>
      </c>
      <c r="B2817" s="64" t="s">
        <v>36</v>
      </c>
      <c r="C2817" s="53" t="n">
        <v>708</v>
      </c>
      <c r="D2817" s="53" t="n">
        <v>4</v>
      </c>
      <c r="E2817" s="65" t="str">
        <f aca="false">IF($H2817="","",购销流水!$B708)</f>
        <v/>
      </c>
      <c r="F2817" s="55" t="str">
        <f aca="false">IF($H2817="","",购销流水!$C708)</f>
        <v/>
      </c>
      <c r="G2817" s="48" t="str">
        <f aca="false">IF($H2817="","",购销流水!$N708)</f>
        <v/>
      </c>
      <c r="H2817" s="10" t="str">
        <f aca="false">IF($L2817="","",IF($L2817="@成本",购销流水!$U708,IF($L2817="@收入",购销流水!$T708,IF($L2817="@存货",购销流水!$S708,IF($L2817="@结算",购销流水!$R708,$L2817)))))</f>
        <v/>
      </c>
      <c r="I2817" s="42" t="n">
        <f aca="false">IF($M2817="借",$O2817,0)</f>
        <v>0</v>
      </c>
      <c r="J2817" s="42" t="n">
        <f aca="false">IF($M2817="贷",$O2817,0)</f>
        <v>0</v>
      </c>
      <c r="K2817" s="48" t="str">
        <f aca="false">IF($H2817="","",购销流水!$E708)</f>
        <v/>
      </c>
      <c r="L2817" s="66" t="str">
        <f aca="false">IF(购销流水!$D708="","",IFERROR(INDEX(记账规则!$A$6:$N$9,MATCH(购销流水!$D708,记账规则!$A$6:$A$9,0),12),""))</f>
        <v/>
      </c>
      <c r="M2817" s="66" t="str">
        <f aca="false">IF($L2817="","",IFERROR(INDEX(记账规则!$A$6:$N$9,MATCH(购销流水!$D708,记账规则!$A$6:$A$9,0),13),""))</f>
        <v/>
      </c>
      <c r="N2817" s="66" t="str">
        <f aca="false">IF($L2817="","",IFERROR(INDEX(记账规则!$A$6:$N$9,MATCH(购销流水!$D708,记账规则!$A$6:$A$9,0),14),""))</f>
        <v/>
      </c>
      <c r="O2817" s="67" t="n">
        <f aca="false">IF($H2817="",0,ROUND(IF($N2817="成本金额",N(购销流水!$W708),IF($N2817="金额",N(购销流水!$Q708),0)),2))</f>
        <v>0</v>
      </c>
      <c r="P2817" s="64" t="str">
        <f aca="false">IF(AND($H2817&lt;&gt;"",ROUND($O2817,2)&lt;&gt;0),"有","")</f>
        <v/>
      </c>
    </row>
    <row r="2818" customFormat="false" ht="15" hidden="true" customHeight="false" outlineLevel="0" collapsed="false">
      <c r="A2818" s="53" t="str">
        <f aca="false">IF($H2818="","",ROW()-5)</f>
        <v/>
      </c>
      <c r="B2818" s="64" t="s">
        <v>36</v>
      </c>
      <c r="C2818" s="53" t="n">
        <v>709</v>
      </c>
      <c r="D2818" s="53" t="n">
        <v>1</v>
      </c>
      <c r="E2818" s="65" t="str">
        <f aca="false">IF($H2818="","",购销流水!$B709)</f>
        <v/>
      </c>
      <c r="F2818" s="55" t="str">
        <f aca="false">IF($H2818="","",购销流水!$C709)</f>
        <v/>
      </c>
      <c r="G2818" s="48" t="str">
        <f aca="false">IF($H2818="","",购销流水!$N709)</f>
        <v/>
      </c>
      <c r="H2818" s="10" t="str">
        <f aca="false">IF($L2818="","",IF($L2818="@成本",购销流水!$U709,IF($L2818="@收入",购销流水!$T709,IF($L2818="@存货",购销流水!$S709,IF($L2818="@结算",购销流水!$R709,$L2818)))))</f>
        <v/>
      </c>
      <c r="I2818" s="42" t="n">
        <f aca="false">IF($M2818="借",$O2818,0)</f>
        <v>0</v>
      </c>
      <c r="J2818" s="42" t="n">
        <f aca="false">IF($M2818="贷",$O2818,0)</f>
        <v>0</v>
      </c>
      <c r="K2818" s="48" t="str">
        <f aca="false">IF($H2818="","",购销流水!$E709)</f>
        <v/>
      </c>
      <c r="L2818" s="66" t="str">
        <f aca="false">IF(购销流水!$D709="","",IFERROR(INDEX(记账规则!$A$6:$N$9,MATCH(购销流水!$D709,记账规则!$A$6:$A$9,0),3),""))</f>
        <v/>
      </c>
      <c r="M2818" s="66" t="str">
        <f aca="false">IF($L2818="","",IFERROR(INDEX(记账规则!$A$6:$N$9,MATCH(购销流水!$D709,记账规则!$A$6:$A$9,0),4),""))</f>
        <v/>
      </c>
      <c r="N2818" s="66" t="str">
        <f aca="false">IF($L2818="","",IFERROR(INDEX(记账规则!$A$6:$N$9,MATCH(购销流水!$D709,记账规则!$A$6:$A$9,0),5),""))</f>
        <v/>
      </c>
      <c r="O2818" s="67" t="n">
        <f aca="false">IF($H2818="",0,ROUND(IF($N2818="成本金额",N(购销流水!$W709),IF($N2818="金额",N(购销流水!$Q709),0)),2))</f>
        <v>0</v>
      </c>
      <c r="P2818" s="64" t="str">
        <f aca="false">IF(AND($H2818&lt;&gt;"",ROUND($O2818,2)&lt;&gt;0),"有","")</f>
        <v/>
      </c>
    </row>
    <row r="2819" customFormat="false" ht="15" hidden="true" customHeight="false" outlineLevel="0" collapsed="false">
      <c r="A2819" s="53" t="str">
        <f aca="false">IF($H2819="","",ROW()-5)</f>
        <v/>
      </c>
      <c r="B2819" s="64" t="s">
        <v>36</v>
      </c>
      <c r="C2819" s="53" t="n">
        <v>709</v>
      </c>
      <c r="D2819" s="53" t="n">
        <v>2</v>
      </c>
      <c r="E2819" s="65" t="str">
        <f aca="false">IF($H2819="","",购销流水!$B709)</f>
        <v/>
      </c>
      <c r="F2819" s="55" t="str">
        <f aca="false">IF($H2819="","",购销流水!$C709)</f>
        <v/>
      </c>
      <c r="G2819" s="48" t="str">
        <f aca="false">IF($H2819="","",购销流水!$N709)</f>
        <v/>
      </c>
      <c r="H2819" s="10" t="str">
        <f aca="false">IF($L2819="","",IF($L2819="@成本",购销流水!$U709,IF($L2819="@收入",购销流水!$T709,IF($L2819="@存货",购销流水!$S709,IF($L2819="@结算",购销流水!$R709,$L2819)))))</f>
        <v/>
      </c>
      <c r="I2819" s="42" t="n">
        <f aca="false">IF($M2819="借",$O2819,0)</f>
        <v>0</v>
      </c>
      <c r="J2819" s="42" t="n">
        <f aca="false">IF($M2819="贷",$O2819,0)</f>
        <v>0</v>
      </c>
      <c r="K2819" s="48" t="str">
        <f aca="false">IF($H2819="","",购销流水!$E709)</f>
        <v/>
      </c>
      <c r="L2819" s="66" t="str">
        <f aca="false">IF(购销流水!$D709="","",IFERROR(INDEX(记账规则!$A$6:$N$9,MATCH(购销流水!$D709,记账规则!$A$6:$A$9,0),6),""))</f>
        <v/>
      </c>
      <c r="M2819" s="66" t="str">
        <f aca="false">IF($L2819="","",IFERROR(INDEX(记账规则!$A$6:$N$9,MATCH(购销流水!$D709,记账规则!$A$6:$A$9,0),7),""))</f>
        <v/>
      </c>
      <c r="N2819" s="66" t="str">
        <f aca="false">IF($L2819="","",IFERROR(INDEX(记账规则!$A$6:$N$9,MATCH(购销流水!$D709,记账规则!$A$6:$A$9,0),8),""))</f>
        <v/>
      </c>
      <c r="O2819" s="67" t="n">
        <f aca="false">IF($H2819="",0,ROUND(IF($N2819="成本金额",N(购销流水!$W709),IF($N2819="金额",N(购销流水!$Q709),0)),2))</f>
        <v>0</v>
      </c>
      <c r="P2819" s="64" t="str">
        <f aca="false">IF(AND($H2819&lt;&gt;"",ROUND($O2819,2)&lt;&gt;0),"有","")</f>
        <v/>
      </c>
    </row>
    <row r="2820" customFormat="false" ht="15" hidden="true" customHeight="false" outlineLevel="0" collapsed="false">
      <c r="A2820" s="53" t="str">
        <f aca="false">IF($H2820="","",ROW()-5)</f>
        <v/>
      </c>
      <c r="B2820" s="64" t="s">
        <v>36</v>
      </c>
      <c r="C2820" s="53" t="n">
        <v>709</v>
      </c>
      <c r="D2820" s="53" t="n">
        <v>3</v>
      </c>
      <c r="E2820" s="65" t="str">
        <f aca="false">IF($H2820="","",购销流水!$B709)</f>
        <v/>
      </c>
      <c r="F2820" s="55" t="str">
        <f aca="false">IF($H2820="","",购销流水!$C709)</f>
        <v/>
      </c>
      <c r="G2820" s="48" t="str">
        <f aca="false">IF($H2820="","",购销流水!$N709)</f>
        <v/>
      </c>
      <c r="H2820" s="10" t="str">
        <f aca="false">IF($L2820="","",IF($L2820="@成本",购销流水!$U709,IF($L2820="@收入",购销流水!$T709,IF($L2820="@存货",购销流水!$S709,IF($L2820="@结算",购销流水!$R709,$L2820)))))</f>
        <v/>
      </c>
      <c r="I2820" s="42" t="n">
        <f aca="false">IF($M2820="借",$O2820,0)</f>
        <v>0</v>
      </c>
      <c r="J2820" s="42" t="n">
        <f aca="false">IF($M2820="贷",$O2820,0)</f>
        <v>0</v>
      </c>
      <c r="K2820" s="48" t="str">
        <f aca="false">IF($H2820="","",购销流水!$E709)</f>
        <v/>
      </c>
      <c r="L2820" s="66" t="str">
        <f aca="false">IF(购销流水!$D709="","",IFERROR(INDEX(记账规则!$A$6:$N$9,MATCH(购销流水!$D709,记账规则!$A$6:$A$9,0),9),""))</f>
        <v/>
      </c>
      <c r="M2820" s="66" t="str">
        <f aca="false">IF($L2820="","",IFERROR(INDEX(记账规则!$A$6:$N$9,MATCH(购销流水!$D709,记账规则!$A$6:$A$9,0),10),""))</f>
        <v/>
      </c>
      <c r="N2820" s="66" t="str">
        <f aca="false">IF($L2820="","",IFERROR(INDEX(记账规则!$A$6:$N$9,MATCH(购销流水!$D709,记账规则!$A$6:$A$9,0),11),""))</f>
        <v/>
      </c>
      <c r="O2820" s="67" t="n">
        <f aca="false">IF($H2820="",0,ROUND(IF($N2820="成本金额",N(购销流水!$W709),IF($N2820="金额",N(购销流水!$Q709),0)),2))</f>
        <v>0</v>
      </c>
      <c r="P2820" s="64" t="str">
        <f aca="false">IF(AND($H2820&lt;&gt;"",ROUND($O2820,2)&lt;&gt;0),"有","")</f>
        <v/>
      </c>
    </row>
    <row r="2821" customFormat="false" ht="15" hidden="true" customHeight="false" outlineLevel="0" collapsed="false">
      <c r="A2821" s="53" t="str">
        <f aca="false">IF($H2821="","",ROW()-5)</f>
        <v/>
      </c>
      <c r="B2821" s="64" t="s">
        <v>36</v>
      </c>
      <c r="C2821" s="53" t="n">
        <v>709</v>
      </c>
      <c r="D2821" s="53" t="n">
        <v>4</v>
      </c>
      <c r="E2821" s="65" t="str">
        <f aca="false">IF($H2821="","",购销流水!$B709)</f>
        <v/>
      </c>
      <c r="F2821" s="55" t="str">
        <f aca="false">IF($H2821="","",购销流水!$C709)</f>
        <v/>
      </c>
      <c r="G2821" s="48" t="str">
        <f aca="false">IF($H2821="","",购销流水!$N709)</f>
        <v/>
      </c>
      <c r="H2821" s="10" t="str">
        <f aca="false">IF($L2821="","",IF($L2821="@成本",购销流水!$U709,IF($L2821="@收入",购销流水!$T709,IF($L2821="@存货",购销流水!$S709,IF($L2821="@结算",购销流水!$R709,$L2821)))))</f>
        <v/>
      </c>
      <c r="I2821" s="42" t="n">
        <f aca="false">IF($M2821="借",$O2821,0)</f>
        <v>0</v>
      </c>
      <c r="J2821" s="42" t="n">
        <f aca="false">IF($M2821="贷",$O2821,0)</f>
        <v>0</v>
      </c>
      <c r="K2821" s="48" t="str">
        <f aca="false">IF($H2821="","",购销流水!$E709)</f>
        <v/>
      </c>
      <c r="L2821" s="66" t="str">
        <f aca="false">IF(购销流水!$D709="","",IFERROR(INDEX(记账规则!$A$6:$N$9,MATCH(购销流水!$D709,记账规则!$A$6:$A$9,0),12),""))</f>
        <v/>
      </c>
      <c r="M2821" s="66" t="str">
        <f aca="false">IF($L2821="","",IFERROR(INDEX(记账规则!$A$6:$N$9,MATCH(购销流水!$D709,记账规则!$A$6:$A$9,0),13),""))</f>
        <v/>
      </c>
      <c r="N2821" s="66" t="str">
        <f aca="false">IF($L2821="","",IFERROR(INDEX(记账规则!$A$6:$N$9,MATCH(购销流水!$D709,记账规则!$A$6:$A$9,0),14),""))</f>
        <v/>
      </c>
      <c r="O2821" s="67" t="n">
        <f aca="false">IF($H2821="",0,ROUND(IF($N2821="成本金额",N(购销流水!$W709),IF($N2821="金额",N(购销流水!$Q709),0)),2))</f>
        <v>0</v>
      </c>
      <c r="P2821" s="64" t="str">
        <f aca="false">IF(AND($H2821&lt;&gt;"",ROUND($O2821,2)&lt;&gt;0),"有","")</f>
        <v/>
      </c>
    </row>
    <row r="2822" customFormat="false" ht="15" hidden="true" customHeight="false" outlineLevel="0" collapsed="false">
      <c r="A2822" s="53" t="str">
        <f aca="false">IF($H2822="","",ROW()-5)</f>
        <v/>
      </c>
      <c r="B2822" s="64" t="s">
        <v>36</v>
      </c>
      <c r="C2822" s="53" t="n">
        <v>710</v>
      </c>
      <c r="D2822" s="53" t="n">
        <v>1</v>
      </c>
      <c r="E2822" s="65" t="str">
        <f aca="false">IF($H2822="","",购销流水!$B710)</f>
        <v/>
      </c>
      <c r="F2822" s="55" t="str">
        <f aca="false">IF($H2822="","",购销流水!$C710)</f>
        <v/>
      </c>
      <c r="G2822" s="48" t="str">
        <f aca="false">IF($H2822="","",购销流水!$N710)</f>
        <v/>
      </c>
      <c r="H2822" s="10" t="str">
        <f aca="false">IF($L2822="","",IF($L2822="@成本",购销流水!$U710,IF($L2822="@收入",购销流水!$T710,IF($L2822="@存货",购销流水!$S710,IF($L2822="@结算",购销流水!$R710,$L2822)))))</f>
        <v/>
      </c>
      <c r="I2822" s="42" t="n">
        <f aca="false">IF($M2822="借",$O2822,0)</f>
        <v>0</v>
      </c>
      <c r="J2822" s="42" t="n">
        <f aca="false">IF($M2822="贷",$O2822,0)</f>
        <v>0</v>
      </c>
      <c r="K2822" s="48" t="str">
        <f aca="false">IF($H2822="","",购销流水!$E710)</f>
        <v/>
      </c>
      <c r="L2822" s="66" t="str">
        <f aca="false">IF(购销流水!$D710="","",IFERROR(INDEX(记账规则!$A$6:$N$9,MATCH(购销流水!$D710,记账规则!$A$6:$A$9,0),3),""))</f>
        <v/>
      </c>
      <c r="M2822" s="66" t="str">
        <f aca="false">IF($L2822="","",IFERROR(INDEX(记账规则!$A$6:$N$9,MATCH(购销流水!$D710,记账规则!$A$6:$A$9,0),4),""))</f>
        <v/>
      </c>
      <c r="N2822" s="66" t="str">
        <f aca="false">IF($L2822="","",IFERROR(INDEX(记账规则!$A$6:$N$9,MATCH(购销流水!$D710,记账规则!$A$6:$A$9,0),5),""))</f>
        <v/>
      </c>
      <c r="O2822" s="67" t="n">
        <f aca="false">IF($H2822="",0,ROUND(IF($N2822="成本金额",N(购销流水!$W710),IF($N2822="金额",N(购销流水!$Q710),0)),2))</f>
        <v>0</v>
      </c>
      <c r="P2822" s="64" t="str">
        <f aca="false">IF(AND($H2822&lt;&gt;"",ROUND($O2822,2)&lt;&gt;0),"有","")</f>
        <v/>
      </c>
    </row>
    <row r="2823" customFormat="false" ht="15" hidden="true" customHeight="false" outlineLevel="0" collapsed="false">
      <c r="A2823" s="53" t="str">
        <f aca="false">IF($H2823="","",ROW()-5)</f>
        <v/>
      </c>
      <c r="B2823" s="64" t="s">
        <v>36</v>
      </c>
      <c r="C2823" s="53" t="n">
        <v>710</v>
      </c>
      <c r="D2823" s="53" t="n">
        <v>2</v>
      </c>
      <c r="E2823" s="65" t="str">
        <f aca="false">IF($H2823="","",购销流水!$B710)</f>
        <v/>
      </c>
      <c r="F2823" s="55" t="str">
        <f aca="false">IF($H2823="","",购销流水!$C710)</f>
        <v/>
      </c>
      <c r="G2823" s="48" t="str">
        <f aca="false">IF($H2823="","",购销流水!$N710)</f>
        <v/>
      </c>
      <c r="H2823" s="10" t="str">
        <f aca="false">IF($L2823="","",IF($L2823="@成本",购销流水!$U710,IF($L2823="@收入",购销流水!$T710,IF($L2823="@存货",购销流水!$S710,IF($L2823="@结算",购销流水!$R710,$L2823)))))</f>
        <v/>
      </c>
      <c r="I2823" s="42" t="n">
        <f aca="false">IF($M2823="借",$O2823,0)</f>
        <v>0</v>
      </c>
      <c r="J2823" s="42" t="n">
        <f aca="false">IF($M2823="贷",$O2823,0)</f>
        <v>0</v>
      </c>
      <c r="K2823" s="48" t="str">
        <f aca="false">IF($H2823="","",购销流水!$E710)</f>
        <v/>
      </c>
      <c r="L2823" s="66" t="str">
        <f aca="false">IF(购销流水!$D710="","",IFERROR(INDEX(记账规则!$A$6:$N$9,MATCH(购销流水!$D710,记账规则!$A$6:$A$9,0),6),""))</f>
        <v/>
      </c>
      <c r="M2823" s="66" t="str">
        <f aca="false">IF($L2823="","",IFERROR(INDEX(记账规则!$A$6:$N$9,MATCH(购销流水!$D710,记账规则!$A$6:$A$9,0),7),""))</f>
        <v/>
      </c>
      <c r="N2823" s="66" t="str">
        <f aca="false">IF($L2823="","",IFERROR(INDEX(记账规则!$A$6:$N$9,MATCH(购销流水!$D710,记账规则!$A$6:$A$9,0),8),""))</f>
        <v/>
      </c>
      <c r="O2823" s="67" t="n">
        <f aca="false">IF($H2823="",0,ROUND(IF($N2823="成本金额",N(购销流水!$W710),IF($N2823="金额",N(购销流水!$Q710),0)),2))</f>
        <v>0</v>
      </c>
      <c r="P2823" s="64" t="str">
        <f aca="false">IF(AND($H2823&lt;&gt;"",ROUND($O2823,2)&lt;&gt;0),"有","")</f>
        <v/>
      </c>
    </row>
    <row r="2824" customFormat="false" ht="15" hidden="true" customHeight="false" outlineLevel="0" collapsed="false">
      <c r="A2824" s="53" t="str">
        <f aca="false">IF($H2824="","",ROW()-5)</f>
        <v/>
      </c>
      <c r="B2824" s="64" t="s">
        <v>36</v>
      </c>
      <c r="C2824" s="53" t="n">
        <v>710</v>
      </c>
      <c r="D2824" s="53" t="n">
        <v>3</v>
      </c>
      <c r="E2824" s="65" t="str">
        <f aca="false">IF($H2824="","",购销流水!$B710)</f>
        <v/>
      </c>
      <c r="F2824" s="55" t="str">
        <f aca="false">IF($H2824="","",购销流水!$C710)</f>
        <v/>
      </c>
      <c r="G2824" s="48" t="str">
        <f aca="false">IF($H2824="","",购销流水!$N710)</f>
        <v/>
      </c>
      <c r="H2824" s="10" t="str">
        <f aca="false">IF($L2824="","",IF($L2824="@成本",购销流水!$U710,IF($L2824="@收入",购销流水!$T710,IF($L2824="@存货",购销流水!$S710,IF($L2824="@结算",购销流水!$R710,$L2824)))))</f>
        <v/>
      </c>
      <c r="I2824" s="42" t="n">
        <f aca="false">IF($M2824="借",$O2824,0)</f>
        <v>0</v>
      </c>
      <c r="J2824" s="42" t="n">
        <f aca="false">IF($M2824="贷",$O2824,0)</f>
        <v>0</v>
      </c>
      <c r="K2824" s="48" t="str">
        <f aca="false">IF($H2824="","",购销流水!$E710)</f>
        <v/>
      </c>
      <c r="L2824" s="66" t="str">
        <f aca="false">IF(购销流水!$D710="","",IFERROR(INDEX(记账规则!$A$6:$N$9,MATCH(购销流水!$D710,记账规则!$A$6:$A$9,0),9),""))</f>
        <v/>
      </c>
      <c r="M2824" s="66" t="str">
        <f aca="false">IF($L2824="","",IFERROR(INDEX(记账规则!$A$6:$N$9,MATCH(购销流水!$D710,记账规则!$A$6:$A$9,0),10),""))</f>
        <v/>
      </c>
      <c r="N2824" s="66" t="str">
        <f aca="false">IF($L2824="","",IFERROR(INDEX(记账规则!$A$6:$N$9,MATCH(购销流水!$D710,记账规则!$A$6:$A$9,0),11),""))</f>
        <v/>
      </c>
      <c r="O2824" s="67" t="n">
        <f aca="false">IF($H2824="",0,ROUND(IF($N2824="成本金额",N(购销流水!$W710),IF($N2824="金额",N(购销流水!$Q710),0)),2))</f>
        <v>0</v>
      </c>
      <c r="P2824" s="64" t="str">
        <f aca="false">IF(AND($H2824&lt;&gt;"",ROUND($O2824,2)&lt;&gt;0),"有","")</f>
        <v/>
      </c>
    </row>
    <row r="2825" customFormat="false" ht="15" hidden="true" customHeight="false" outlineLevel="0" collapsed="false">
      <c r="A2825" s="53" t="str">
        <f aca="false">IF($H2825="","",ROW()-5)</f>
        <v/>
      </c>
      <c r="B2825" s="64" t="s">
        <v>36</v>
      </c>
      <c r="C2825" s="53" t="n">
        <v>710</v>
      </c>
      <c r="D2825" s="53" t="n">
        <v>4</v>
      </c>
      <c r="E2825" s="65" t="str">
        <f aca="false">IF($H2825="","",购销流水!$B710)</f>
        <v/>
      </c>
      <c r="F2825" s="55" t="str">
        <f aca="false">IF($H2825="","",购销流水!$C710)</f>
        <v/>
      </c>
      <c r="G2825" s="48" t="str">
        <f aca="false">IF($H2825="","",购销流水!$N710)</f>
        <v/>
      </c>
      <c r="H2825" s="10" t="str">
        <f aca="false">IF($L2825="","",IF($L2825="@成本",购销流水!$U710,IF($L2825="@收入",购销流水!$T710,IF($L2825="@存货",购销流水!$S710,IF($L2825="@结算",购销流水!$R710,$L2825)))))</f>
        <v/>
      </c>
      <c r="I2825" s="42" t="n">
        <f aca="false">IF($M2825="借",$O2825,0)</f>
        <v>0</v>
      </c>
      <c r="J2825" s="42" t="n">
        <f aca="false">IF($M2825="贷",$O2825,0)</f>
        <v>0</v>
      </c>
      <c r="K2825" s="48" t="str">
        <f aca="false">IF($H2825="","",购销流水!$E710)</f>
        <v/>
      </c>
      <c r="L2825" s="66" t="str">
        <f aca="false">IF(购销流水!$D710="","",IFERROR(INDEX(记账规则!$A$6:$N$9,MATCH(购销流水!$D710,记账规则!$A$6:$A$9,0),12),""))</f>
        <v/>
      </c>
      <c r="M2825" s="66" t="str">
        <f aca="false">IF($L2825="","",IFERROR(INDEX(记账规则!$A$6:$N$9,MATCH(购销流水!$D710,记账规则!$A$6:$A$9,0),13),""))</f>
        <v/>
      </c>
      <c r="N2825" s="66" t="str">
        <f aca="false">IF($L2825="","",IFERROR(INDEX(记账规则!$A$6:$N$9,MATCH(购销流水!$D710,记账规则!$A$6:$A$9,0),14),""))</f>
        <v/>
      </c>
      <c r="O2825" s="67" t="n">
        <f aca="false">IF($H2825="",0,ROUND(IF($N2825="成本金额",N(购销流水!$W710),IF($N2825="金额",N(购销流水!$Q710),0)),2))</f>
        <v>0</v>
      </c>
      <c r="P2825" s="64" t="str">
        <f aca="false">IF(AND($H2825&lt;&gt;"",ROUND($O2825,2)&lt;&gt;0),"有","")</f>
        <v/>
      </c>
    </row>
    <row r="2826" customFormat="false" ht="15" hidden="true" customHeight="false" outlineLevel="0" collapsed="false">
      <c r="A2826" s="53" t="str">
        <f aca="false">IF($H2826="","",ROW()-5)</f>
        <v/>
      </c>
      <c r="B2826" s="64" t="s">
        <v>36</v>
      </c>
      <c r="C2826" s="53" t="n">
        <v>711</v>
      </c>
      <c r="D2826" s="53" t="n">
        <v>1</v>
      </c>
      <c r="E2826" s="65" t="str">
        <f aca="false">IF($H2826="","",购销流水!$B711)</f>
        <v/>
      </c>
      <c r="F2826" s="55" t="str">
        <f aca="false">IF($H2826="","",购销流水!$C711)</f>
        <v/>
      </c>
      <c r="G2826" s="48" t="str">
        <f aca="false">IF($H2826="","",购销流水!$N711)</f>
        <v/>
      </c>
      <c r="H2826" s="10" t="str">
        <f aca="false">IF($L2826="","",IF($L2826="@成本",购销流水!$U711,IF($L2826="@收入",购销流水!$T711,IF($L2826="@存货",购销流水!$S711,IF($L2826="@结算",购销流水!$R711,$L2826)))))</f>
        <v/>
      </c>
      <c r="I2826" s="42" t="n">
        <f aca="false">IF($M2826="借",$O2826,0)</f>
        <v>0</v>
      </c>
      <c r="J2826" s="42" t="n">
        <f aca="false">IF($M2826="贷",$O2826,0)</f>
        <v>0</v>
      </c>
      <c r="K2826" s="48" t="str">
        <f aca="false">IF($H2826="","",购销流水!$E711)</f>
        <v/>
      </c>
      <c r="L2826" s="66" t="str">
        <f aca="false">IF(购销流水!$D711="","",IFERROR(INDEX(记账规则!$A$6:$N$9,MATCH(购销流水!$D711,记账规则!$A$6:$A$9,0),3),""))</f>
        <v/>
      </c>
      <c r="M2826" s="66" t="str">
        <f aca="false">IF($L2826="","",IFERROR(INDEX(记账规则!$A$6:$N$9,MATCH(购销流水!$D711,记账规则!$A$6:$A$9,0),4),""))</f>
        <v/>
      </c>
      <c r="N2826" s="66" t="str">
        <f aca="false">IF($L2826="","",IFERROR(INDEX(记账规则!$A$6:$N$9,MATCH(购销流水!$D711,记账规则!$A$6:$A$9,0),5),""))</f>
        <v/>
      </c>
      <c r="O2826" s="67" t="n">
        <f aca="false">IF($H2826="",0,ROUND(IF($N2826="成本金额",N(购销流水!$W711),IF($N2826="金额",N(购销流水!$Q711),0)),2))</f>
        <v>0</v>
      </c>
      <c r="P2826" s="64" t="str">
        <f aca="false">IF(AND($H2826&lt;&gt;"",ROUND($O2826,2)&lt;&gt;0),"有","")</f>
        <v/>
      </c>
    </row>
    <row r="2827" customFormat="false" ht="15" hidden="true" customHeight="false" outlineLevel="0" collapsed="false">
      <c r="A2827" s="53" t="str">
        <f aca="false">IF($H2827="","",ROW()-5)</f>
        <v/>
      </c>
      <c r="B2827" s="64" t="s">
        <v>36</v>
      </c>
      <c r="C2827" s="53" t="n">
        <v>711</v>
      </c>
      <c r="D2827" s="53" t="n">
        <v>2</v>
      </c>
      <c r="E2827" s="65" t="str">
        <f aca="false">IF($H2827="","",购销流水!$B711)</f>
        <v/>
      </c>
      <c r="F2827" s="55" t="str">
        <f aca="false">IF($H2827="","",购销流水!$C711)</f>
        <v/>
      </c>
      <c r="G2827" s="48" t="str">
        <f aca="false">IF($H2827="","",购销流水!$N711)</f>
        <v/>
      </c>
      <c r="H2827" s="10" t="str">
        <f aca="false">IF($L2827="","",IF($L2827="@成本",购销流水!$U711,IF($L2827="@收入",购销流水!$T711,IF($L2827="@存货",购销流水!$S711,IF($L2827="@结算",购销流水!$R711,$L2827)))))</f>
        <v/>
      </c>
      <c r="I2827" s="42" t="n">
        <f aca="false">IF($M2827="借",$O2827,0)</f>
        <v>0</v>
      </c>
      <c r="J2827" s="42" t="n">
        <f aca="false">IF($M2827="贷",$O2827,0)</f>
        <v>0</v>
      </c>
      <c r="K2827" s="48" t="str">
        <f aca="false">IF($H2827="","",购销流水!$E711)</f>
        <v/>
      </c>
      <c r="L2827" s="66" t="str">
        <f aca="false">IF(购销流水!$D711="","",IFERROR(INDEX(记账规则!$A$6:$N$9,MATCH(购销流水!$D711,记账规则!$A$6:$A$9,0),6),""))</f>
        <v/>
      </c>
      <c r="M2827" s="66" t="str">
        <f aca="false">IF($L2827="","",IFERROR(INDEX(记账规则!$A$6:$N$9,MATCH(购销流水!$D711,记账规则!$A$6:$A$9,0),7),""))</f>
        <v/>
      </c>
      <c r="N2827" s="66" t="str">
        <f aca="false">IF($L2827="","",IFERROR(INDEX(记账规则!$A$6:$N$9,MATCH(购销流水!$D711,记账规则!$A$6:$A$9,0),8),""))</f>
        <v/>
      </c>
      <c r="O2827" s="67" t="n">
        <f aca="false">IF($H2827="",0,ROUND(IF($N2827="成本金额",N(购销流水!$W711),IF($N2827="金额",N(购销流水!$Q711),0)),2))</f>
        <v>0</v>
      </c>
      <c r="P2827" s="64" t="str">
        <f aca="false">IF(AND($H2827&lt;&gt;"",ROUND($O2827,2)&lt;&gt;0),"有","")</f>
        <v/>
      </c>
    </row>
    <row r="2828" customFormat="false" ht="15" hidden="true" customHeight="false" outlineLevel="0" collapsed="false">
      <c r="A2828" s="53" t="str">
        <f aca="false">IF($H2828="","",ROW()-5)</f>
        <v/>
      </c>
      <c r="B2828" s="64" t="s">
        <v>36</v>
      </c>
      <c r="C2828" s="53" t="n">
        <v>711</v>
      </c>
      <c r="D2828" s="53" t="n">
        <v>3</v>
      </c>
      <c r="E2828" s="65" t="str">
        <f aca="false">IF($H2828="","",购销流水!$B711)</f>
        <v/>
      </c>
      <c r="F2828" s="55" t="str">
        <f aca="false">IF($H2828="","",购销流水!$C711)</f>
        <v/>
      </c>
      <c r="G2828" s="48" t="str">
        <f aca="false">IF($H2828="","",购销流水!$N711)</f>
        <v/>
      </c>
      <c r="H2828" s="10" t="str">
        <f aca="false">IF($L2828="","",IF($L2828="@成本",购销流水!$U711,IF($L2828="@收入",购销流水!$T711,IF($L2828="@存货",购销流水!$S711,IF($L2828="@结算",购销流水!$R711,$L2828)))))</f>
        <v/>
      </c>
      <c r="I2828" s="42" t="n">
        <f aca="false">IF($M2828="借",$O2828,0)</f>
        <v>0</v>
      </c>
      <c r="J2828" s="42" t="n">
        <f aca="false">IF($M2828="贷",$O2828,0)</f>
        <v>0</v>
      </c>
      <c r="K2828" s="48" t="str">
        <f aca="false">IF($H2828="","",购销流水!$E711)</f>
        <v/>
      </c>
      <c r="L2828" s="66" t="str">
        <f aca="false">IF(购销流水!$D711="","",IFERROR(INDEX(记账规则!$A$6:$N$9,MATCH(购销流水!$D711,记账规则!$A$6:$A$9,0),9),""))</f>
        <v/>
      </c>
      <c r="M2828" s="66" t="str">
        <f aca="false">IF($L2828="","",IFERROR(INDEX(记账规则!$A$6:$N$9,MATCH(购销流水!$D711,记账规则!$A$6:$A$9,0),10),""))</f>
        <v/>
      </c>
      <c r="N2828" s="66" t="str">
        <f aca="false">IF($L2828="","",IFERROR(INDEX(记账规则!$A$6:$N$9,MATCH(购销流水!$D711,记账规则!$A$6:$A$9,0),11),""))</f>
        <v/>
      </c>
      <c r="O2828" s="67" t="n">
        <f aca="false">IF($H2828="",0,ROUND(IF($N2828="成本金额",N(购销流水!$W711),IF($N2828="金额",N(购销流水!$Q711),0)),2))</f>
        <v>0</v>
      </c>
      <c r="P2828" s="64" t="str">
        <f aca="false">IF(AND($H2828&lt;&gt;"",ROUND($O2828,2)&lt;&gt;0),"有","")</f>
        <v/>
      </c>
    </row>
    <row r="2829" customFormat="false" ht="15" hidden="true" customHeight="false" outlineLevel="0" collapsed="false">
      <c r="A2829" s="53" t="str">
        <f aca="false">IF($H2829="","",ROW()-5)</f>
        <v/>
      </c>
      <c r="B2829" s="64" t="s">
        <v>36</v>
      </c>
      <c r="C2829" s="53" t="n">
        <v>711</v>
      </c>
      <c r="D2829" s="53" t="n">
        <v>4</v>
      </c>
      <c r="E2829" s="65" t="str">
        <f aca="false">IF($H2829="","",购销流水!$B711)</f>
        <v/>
      </c>
      <c r="F2829" s="55" t="str">
        <f aca="false">IF($H2829="","",购销流水!$C711)</f>
        <v/>
      </c>
      <c r="G2829" s="48" t="str">
        <f aca="false">IF($H2829="","",购销流水!$N711)</f>
        <v/>
      </c>
      <c r="H2829" s="10" t="str">
        <f aca="false">IF($L2829="","",IF($L2829="@成本",购销流水!$U711,IF($L2829="@收入",购销流水!$T711,IF($L2829="@存货",购销流水!$S711,IF($L2829="@结算",购销流水!$R711,$L2829)))))</f>
        <v/>
      </c>
      <c r="I2829" s="42" t="n">
        <f aca="false">IF($M2829="借",$O2829,0)</f>
        <v>0</v>
      </c>
      <c r="J2829" s="42" t="n">
        <f aca="false">IF($M2829="贷",$O2829,0)</f>
        <v>0</v>
      </c>
      <c r="K2829" s="48" t="str">
        <f aca="false">IF($H2829="","",购销流水!$E711)</f>
        <v/>
      </c>
      <c r="L2829" s="66" t="str">
        <f aca="false">IF(购销流水!$D711="","",IFERROR(INDEX(记账规则!$A$6:$N$9,MATCH(购销流水!$D711,记账规则!$A$6:$A$9,0),12),""))</f>
        <v/>
      </c>
      <c r="M2829" s="66" t="str">
        <f aca="false">IF($L2829="","",IFERROR(INDEX(记账规则!$A$6:$N$9,MATCH(购销流水!$D711,记账规则!$A$6:$A$9,0),13),""))</f>
        <v/>
      </c>
      <c r="N2829" s="66" t="str">
        <f aca="false">IF($L2829="","",IFERROR(INDEX(记账规则!$A$6:$N$9,MATCH(购销流水!$D711,记账规则!$A$6:$A$9,0),14),""))</f>
        <v/>
      </c>
      <c r="O2829" s="67" t="n">
        <f aca="false">IF($H2829="",0,ROUND(IF($N2829="成本金额",N(购销流水!$W711),IF($N2829="金额",N(购销流水!$Q711),0)),2))</f>
        <v>0</v>
      </c>
      <c r="P2829" s="64" t="str">
        <f aca="false">IF(AND($H2829&lt;&gt;"",ROUND($O2829,2)&lt;&gt;0),"有","")</f>
        <v/>
      </c>
    </row>
    <row r="2830" customFormat="false" ht="15" hidden="true" customHeight="false" outlineLevel="0" collapsed="false">
      <c r="A2830" s="53" t="str">
        <f aca="false">IF($H2830="","",ROW()-5)</f>
        <v/>
      </c>
      <c r="B2830" s="64" t="s">
        <v>36</v>
      </c>
      <c r="C2830" s="53" t="n">
        <v>712</v>
      </c>
      <c r="D2830" s="53" t="n">
        <v>1</v>
      </c>
      <c r="E2830" s="65" t="str">
        <f aca="false">IF($H2830="","",购销流水!$B712)</f>
        <v/>
      </c>
      <c r="F2830" s="55" t="str">
        <f aca="false">IF($H2830="","",购销流水!$C712)</f>
        <v/>
      </c>
      <c r="G2830" s="48" t="str">
        <f aca="false">IF($H2830="","",购销流水!$N712)</f>
        <v/>
      </c>
      <c r="H2830" s="10" t="str">
        <f aca="false">IF($L2830="","",IF($L2830="@成本",购销流水!$U712,IF($L2830="@收入",购销流水!$T712,IF($L2830="@存货",购销流水!$S712,IF($L2830="@结算",购销流水!$R712,$L2830)))))</f>
        <v/>
      </c>
      <c r="I2830" s="42" t="n">
        <f aca="false">IF($M2830="借",$O2830,0)</f>
        <v>0</v>
      </c>
      <c r="J2830" s="42" t="n">
        <f aca="false">IF($M2830="贷",$O2830,0)</f>
        <v>0</v>
      </c>
      <c r="K2830" s="48" t="str">
        <f aca="false">IF($H2830="","",购销流水!$E712)</f>
        <v/>
      </c>
      <c r="L2830" s="66" t="str">
        <f aca="false">IF(购销流水!$D712="","",IFERROR(INDEX(记账规则!$A$6:$N$9,MATCH(购销流水!$D712,记账规则!$A$6:$A$9,0),3),""))</f>
        <v/>
      </c>
      <c r="M2830" s="66" t="str">
        <f aca="false">IF($L2830="","",IFERROR(INDEX(记账规则!$A$6:$N$9,MATCH(购销流水!$D712,记账规则!$A$6:$A$9,0),4),""))</f>
        <v/>
      </c>
      <c r="N2830" s="66" t="str">
        <f aca="false">IF($L2830="","",IFERROR(INDEX(记账规则!$A$6:$N$9,MATCH(购销流水!$D712,记账规则!$A$6:$A$9,0),5),""))</f>
        <v/>
      </c>
      <c r="O2830" s="67" t="n">
        <f aca="false">IF($H2830="",0,ROUND(IF($N2830="成本金额",N(购销流水!$W712),IF($N2830="金额",N(购销流水!$Q712),0)),2))</f>
        <v>0</v>
      </c>
      <c r="P2830" s="64" t="str">
        <f aca="false">IF(AND($H2830&lt;&gt;"",ROUND($O2830,2)&lt;&gt;0),"有","")</f>
        <v/>
      </c>
    </row>
    <row r="2831" customFormat="false" ht="15" hidden="true" customHeight="false" outlineLevel="0" collapsed="false">
      <c r="A2831" s="53" t="str">
        <f aca="false">IF($H2831="","",ROW()-5)</f>
        <v/>
      </c>
      <c r="B2831" s="64" t="s">
        <v>36</v>
      </c>
      <c r="C2831" s="53" t="n">
        <v>712</v>
      </c>
      <c r="D2831" s="53" t="n">
        <v>2</v>
      </c>
      <c r="E2831" s="65" t="str">
        <f aca="false">IF($H2831="","",购销流水!$B712)</f>
        <v/>
      </c>
      <c r="F2831" s="55" t="str">
        <f aca="false">IF($H2831="","",购销流水!$C712)</f>
        <v/>
      </c>
      <c r="G2831" s="48" t="str">
        <f aca="false">IF($H2831="","",购销流水!$N712)</f>
        <v/>
      </c>
      <c r="H2831" s="10" t="str">
        <f aca="false">IF($L2831="","",IF($L2831="@成本",购销流水!$U712,IF($L2831="@收入",购销流水!$T712,IF($L2831="@存货",购销流水!$S712,IF($L2831="@结算",购销流水!$R712,$L2831)))))</f>
        <v/>
      </c>
      <c r="I2831" s="42" t="n">
        <f aca="false">IF($M2831="借",$O2831,0)</f>
        <v>0</v>
      </c>
      <c r="J2831" s="42" t="n">
        <f aca="false">IF($M2831="贷",$O2831,0)</f>
        <v>0</v>
      </c>
      <c r="K2831" s="48" t="str">
        <f aca="false">IF($H2831="","",购销流水!$E712)</f>
        <v/>
      </c>
      <c r="L2831" s="66" t="str">
        <f aca="false">IF(购销流水!$D712="","",IFERROR(INDEX(记账规则!$A$6:$N$9,MATCH(购销流水!$D712,记账规则!$A$6:$A$9,0),6),""))</f>
        <v/>
      </c>
      <c r="M2831" s="66" t="str">
        <f aca="false">IF($L2831="","",IFERROR(INDEX(记账规则!$A$6:$N$9,MATCH(购销流水!$D712,记账规则!$A$6:$A$9,0),7),""))</f>
        <v/>
      </c>
      <c r="N2831" s="66" t="str">
        <f aca="false">IF($L2831="","",IFERROR(INDEX(记账规则!$A$6:$N$9,MATCH(购销流水!$D712,记账规则!$A$6:$A$9,0),8),""))</f>
        <v/>
      </c>
      <c r="O2831" s="67" t="n">
        <f aca="false">IF($H2831="",0,ROUND(IF($N2831="成本金额",N(购销流水!$W712),IF($N2831="金额",N(购销流水!$Q712),0)),2))</f>
        <v>0</v>
      </c>
      <c r="P2831" s="64" t="str">
        <f aca="false">IF(AND($H2831&lt;&gt;"",ROUND($O2831,2)&lt;&gt;0),"有","")</f>
        <v/>
      </c>
    </row>
    <row r="2832" customFormat="false" ht="15" hidden="true" customHeight="false" outlineLevel="0" collapsed="false">
      <c r="A2832" s="53" t="str">
        <f aca="false">IF($H2832="","",ROW()-5)</f>
        <v/>
      </c>
      <c r="B2832" s="64" t="s">
        <v>36</v>
      </c>
      <c r="C2832" s="53" t="n">
        <v>712</v>
      </c>
      <c r="D2832" s="53" t="n">
        <v>3</v>
      </c>
      <c r="E2832" s="65" t="str">
        <f aca="false">IF($H2832="","",购销流水!$B712)</f>
        <v/>
      </c>
      <c r="F2832" s="55" t="str">
        <f aca="false">IF($H2832="","",购销流水!$C712)</f>
        <v/>
      </c>
      <c r="G2832" s="48" t="str">
        <f aca="false">IF($H2832="","",购销流水!$N712)</f>
        <v/>
      </c>
      <c r="H2832" s="10" t="str">
        <f aca="false">IF($L2832="","",IF($L2832="@成本",购销流水!$U712,IF($L2832="@收入",购销流水!$T712,IF($L2832="@存货",购销流水!$S712,IF($L2832="@结算",购销流水!$R712,$L2832)))))</f>
        <v/>
      </c>
      <c r="I2832" s="42" t="n">
        <f aca="false">IF($M2832="借",$O2832,0)</f>
        <v>0</v>
      </c>
      <c r="J2832" s="42" t="n">
        <f aca="false">IF($M2832="贷",$O2832,0)</f>
        <v>0</v>
      </c>
      <c r="K2832" s="48" t="str">
        <f aca="false">IF($H2832="","",购销流水!$E712)</f>
        <v/>
      </c>
      <c r="L2832" s="66" t="str">
        <f aca="false">IF(购销流水!$D712="","",IFERROR(INDEX(记账规则!$A$6:$N$9,MATCH(购销流水!$D712,记账规则!$A$6:$A$9,0),9),""))</f>
        <v/>
      </c>
      <c r="M2832" s="66" t="str">
        <f aca="false">IF($L2832="","",IFERROR(INDEX(记账规则!$A$6:$N$9,MATCH(购销流水!$D712,记账规则!$A$6:$A$9,0),10),""))</f>
        <v/>
      </c>
      <c r="N2832" s="66" t="str">
        <f aca="false">IF($L2832="","",IFERROR(INDEX(记账规则!$A$6:$N$9,MATCH(购销流水!$D712,记账规则!$A$6:$A$9,0),11),""))</f>
        <v/>
      </c>
      <c r="O2832" s="67" t="n">
        <f aca="false">IF($H2832="",0,ROUND(IF($N2832="成本金额",N(购销流水!$W712),IF($N2832="金额",N(购销流水!$Q712),0)),2))</f>
        <v>0</v>
      </c>
      <c r="P2832" s="64" t="str">
        <f aca="false">IF(AND($H2832&lt;&gt;"",ROUND($O2832,2)&lt;&gt;0),"有","")</f>
        <v/>
      </c>
    </row>
    <row r="2833" customFormat="false" ht="15" hidden="true" customHeight="false" outlineLevel="0" collapsed="false">
      <c r="A2833" s="53" t="str">
        <f aca="false">IF($H2833="","",ROW()-5)</f>
        <v/>
      </c>
      <c r="B2833" s="64" t="s">
        <v>36</v>
      </c>
      <c r="C2833" s="53" t="n">
        <v>712</v>
      </c>
      <c r="D2833" s="53" t="n">
        <v>4</v>
      </c>
      <c r="E2833" s="65" t="str">
        <f aca="false">IF($H2833="","",购销流水!$B712)</f>
        <v/>
      </c>
      <c r="F2833" s="55" t="str">
        <f aca="false">IF($H2833="","",购销流水!$C712)</f>
        <v/>
      </c>
      <c r="G2833" s="48" t="str">
        <f aca="false">IF($H2833="","",购销流水!$N712)</f>
        <v/>
      </c>
      <c r="H2833" s="10" t="str">
        <f aca="false">IF($L2833="","",IF($L2833="@成本",购销流水!$U712,IF($L2833="@收入",购销流水!$T712,IF($L2833="@存货",购销流水!$S712,IF($L2833="@结算",购销流水!$R712,$L2833)))))</f>
        <v/>
      </c>
      <c r="I2833" s="42" t="n">
        <f aca="false">IF($M2833="借",$O2833,0)</f>
        <v>0</v>
      </c>
      <c r="J2833" s="42" t="n">
        <f aca="false">IF($M2833="贷",$O2833,0)</f>
        <v>0</v>
      </c>
      <c r="K2833" s="48" t="str">
        <f aca="false">IF($H2833="","",购销流水!$E712)</f>
        <v/>
      </c>
      <c r="L2833" s="66" t="str">
        <f aca="false">IF(购销流水!$D712="","",IFERROR(INDEX(记账规则!$A$6:$N$9,MATCH(购销流水!$D712,记账规则!$A$6:$A$9,0),12),""))</f>
        <v/>
      </c>
      <c r="M2833" s="66" t="str">
        <f aca="false">IF($L2833="","",IFERROR(INDEX(记账规则!$A$6:$N$9,MATCH(购销流水!$D712,记账规则!$A$6:$A$9,0),13),""))</f>
        <v/>
      </c>
      <c r="N2833" s="66" t="str">
        <f aca="false">IF($L2833="","",IFERROR(INDEX(记账规则!$A$6:$N$9,MATCH(购销流水!$D712,记账规则!$A$6:$A$9,0),14),""))</f>
        <v/>
      </c>
      <c r="O2833" s="67" t="n">
        <f aca="false">IF($H2833="",0,ROUND(IF($N2833="成本金额",N(购销流水!$W712),IF($N2833="金额",N(购销流水!$Q712),0)),2))</f>
        <v>0</v>
      </c>
      <c r="P2833" s="64" t="str">
        <f aca="false">IF(AND($H2833&lt;&gt;"",ROUND($O2833,2)&lt;&gt;0),"有","")</f>
        <v/>
      </c>
    </row>
    <row r="2834" customFormat="false" ht="15" hidden="true" customHeight="false" outlineLevel="0" collapsed="false">
      <c r="A2834" s="53" t="str">
        <f aca="false">IF($H2834="","",ROW()-5)</f>
        <v/>
      </c>
      <c r="B2834" s="64" t="s">
        <v>36</v>
      </c>
      <c r="C2834" s="53" t="n">
        <v>713</v>
      </c>
      <c r="D2834" s="53" t="n">
        <v>1</v>
      </c>
      <c r="E2834" s="65" t="str">
        <f aca="false">IF($H2834="","",购销流水!$B713)</f>
        <v/>
      </c>
      <c r="F2834" s="55" t="str">
        <f aca="false">IF($H2834="","",购销流水!$C713)</f>
        <v/>
      </c>
      <c r="G2834" s="48" t="str">
        <f aca="false">IF($H2834="","",购销流水!$N713)</f>
        <v/>
      </c>
      <c r="H2834" s="10" t="str">
        <f aca="false">IF($L2834="","",IF($L2834="@成本",购销流水!$U713,IF($L2834="@收入",购销流水!$T713,IF($L2834="@存货",购销流水!$S713,IF($L2834="@结算",购销流水!$R713,$L2834)))))</f>
        <v/>
      </c>
      <c r="I2834" s="42" t="n">
        <f aca="false">IF($M2834="借",$O2834,0)</f>
        <v>0</v>
      </c>
      <c r="J2834" s="42" t="n">
        <f aca="false">IF($M2834="贷",$O2834,0)</f>
        <v>0</v>
      </c>
      <c r="K2834" s="48" t="str">
        <f aca="false">IF($H2834="","",购销流水!$E713)</f>
        <v/>
      </c>
      <c r="L2834" s="66" t="str">
        <f aca="false">IF(购销流水!$D713="","",IFERROR(INDEX(记账规则!$A$6:$N$9,MATCH(购销流水!$D713,记账规则!$A$6:$A$9,0),3),""))</f>
        <v/>
      </c>
      <c r="M2834" s="66" t="str">
        <f aca="false">IF($L2834="","",IFERROR(INDEX(记账规则!$A$6:$N$9,MATCH(购销流水!$D713,记账规则!$A$6:$A$9,0),4),""))</f>
        <v/>
      </c>
      <c r="N2834" s="66" t="str">
        <f aca="false">IF($L2834="","",IFERROR(INDEX(记账规则!$A$6:$N$9,MATCH(购销流水!$D713,记账规则!$A$6:$A$9,0),5),""))</f>
        <v/>
      </c>
      <c r="O2834" s="67" t="n">
        <f aca="false">IF($H2834="",0,ROUND(IF($N2834="成本金额",N(购销流水!$W713),IF($N2834="金额",N(购销流水!$Q713),0)),2))</f>
        <v>0</v>
      </c>
      <c r="P2834" s="64" t="str">
        <f aca="false">IF(AND($H2834&lt;&gt;"",ROUND($O2834,2)&lt;&gt;0),"有","")</f>
        <v/>
      </c>
    </row>
    <row r="2835" customFormat="false" ht="15" hidden="true" customHeight="false" outlineLevel="0" collapsed="false">
      <c r="A2835" s="53" t="str">
        <f aca="false">IF($H2835="","",ROW()-5)</f>
        <v/>
      </c>
      <c r="B2835" s="64" t="s">
        <v>36</v>
      </c>
      <c r="C2835" s="53" t="n">
        <v>713</v>
      </c>
      <c r="D2835" s="53" t="n">
        <v>2</v>
      </c>
      <c r="E2835" s="65" t="str">
        <f aca="false">IF($H2835="","",购销流水!$B713)</f>
        <v/>
      </c>
      <c r="F2835" s="55" t="str">
        <f aca="false">IF($H2835="","",购销流水!$C713)</f>
        <v/>
      </c>
      <c r="G2835" s="48" t="str">
        <f aca="false">IF($H2835="","",购销流水!$N713)</f>
        <v/>
      </c>
      <c r="H2835" s="10" t="str">
        <f aca="false">IF($L2835="","",IF($L2835="@成本",购销流水!$U713,IF($L2835="@收入",购销流水!$T713,IF($L2835="@存货",购销流水!$S713,IF($L2835="@结算",购销流水!$R713,$L2835)))))</f>
        <v/>
      </c>
      <c r="I2835" s="42" t="n">
        <f aca="false">IF($M2835="借",$O2835,0)</f>
        <v>0</v>
      </c>
      <c r="J2835" s="42" t="n">
        <f aca="false">IF($M2835="贷",$O2835,0)</f>
        <v>0</v>
      </c>
      <c r="K2835" s="48" t="str">
        <f aca="false">IF($H2835="","",购销流水!$E713)</f>
        <v/>
      </c>
      <c r="L2835" s="66" t="str">
        <f aca="false">IF(购销流水!$D713="","",IFERROR(INDEX(记账规则!$A$6:$N$9,MATCH(购销流水!$D713,记账规则!$A$6:$A$9,0),6),""))</f>
        <v/>
      </c>
      <c r="M2835" s="66" t="str">
        <f aca="false">IF($L2835="","",IFERROR(INDEX(记账规则!$A$6:$N$9,MATCH(购销流水!$D713,记账规则!$A$6:$A$9,0),7),""))</f>
        <v/>
      </c>
      <c r="N2835" s="66" t="str">
        <f aca="false">IF($L2835="","",IFERROR(INDEX(记账规则!$A$6:$N$9,MATCH(购销流水!$D713,记账规则!$A$6:$A$9,0),8),""))</f>
        <v/>
      </c>
      <c r="O2835" s="67" t="n">
        <f aca="false">IF($H2835="",0,ROUND(IF($N2835="成本金额",N(购销流水!$W713),IF($N2835="金额",N(购销流水!$Q713),0)),2))</f>
        <v>0</v>
      </c>
      <c r="P2835" s="64" t="str">
        <f aca="false">IF(AND($H2835&lt;&gt;"",ROUND($O2835,2)&lt;&gt;0),"有","")</f>
        <v/>
      </c>
    </row>
    <row r="2836" customFormat="false" ht="15" hidden="true" customHeight="false" outlineLevel="0" collapsed="false">
      <c r="A2836" s="53" t="str">
        <f aca="false">IF($H2836="","",ROW()-5)</f>
        <v/>
      </c>
      <c r="B2836" s="64" t="s">
        <v>36</v>
      </c>
      <c r="C2836" s="53" t="n">
        <v>713</v>
      </c>
      <c r="D2836" s="53" t="n">
        <v>3</v>
      </c>
      <c r="E2836" s="65" t="str">
        <f aca="false">IF($H2836="","",购销流水!$B713)</f>
        <v/>
      </c>
      <c r="F2836" s="55" t="str">
        <f aca="false">IF($H2836="","",购销流水!$C713)</f>
        <v/>
      </c>
      <c r="G2836" s="48" t="str">
        <f aca="false">IF($H2836="","",购销流水!$N713)</f>
        <v/>
      </c>
      <c r="H2836" s="10" t="str">
        <f aca="false">IF($L2836="","",IF($L2836="@成本",购销流水!$U713,IF($L2836="@收入",购销流水!$T713,IF($L2836="@存货",购销流水!$S713,IF($L2836="@结算",购销流水!$R713,$L2836)))))</f>
        <v/>
      </c>
      <c r="I2836" s="42" t="n">
        <f aca="false">IF($M2836="借",$O2836,0)</f>
        <v>0</v>
      </c>
      <c r="J2836" s="42" t="n">
        <f aca="false">IF($M2836="贷",$O2836,0)</f>
        <v>0</v>
      </c>
      <c r="K2836" s="48" t="str">
        <f aca="false">IF($H2836="","",购销流水!$E713)</f>
        <v/>
      </c>
      <c r="L2836" s="66" t="str">
        <f aca="false">IF(购销流水!$D713="","",IFERROR(INDEX(记账规则!$A$6:$N$9,MATCH(购销流水!$D713,记账规则!$A$6:$A$9,0),9),""))</f>
        <v/>
      </c>
      <c r="M2836" s="66" t="str">
        <f aca="false">IF($L2836="","",IFERROR(INDEX(记账规则!$A$6:$N$9,MATCH(购销流水!$D713,记账规则!$A$6:$A$9,0),10),""))</f>
        <v/>
      </c>
      <c r="N2836" s="66" t="str">
        <f aca="false">IF($L2836="","",IFERROR(INDEX(记账规则!$A$6:$N$9,MATCH(购销流水!$D713,记账规则!$A$6:$A$9,0),11),""))</f>
        <v/>
      </c>
      <c r="O2836" s="67" t="n">
        <f aca="false">IF($H2836="",0,ROUND(IF($N2836="成本金额",N(购销流水!$W713),IF($N2836="金额",N(购销流水!$Q713),0)),2))</f>
        <v>0</v>
      </c>
      <c r="P2836" s="64" t="str">
        <f aca="false">IF(AND($H2836&lt;&gt;"",ROUND($O2836,2)&lt;&gt;0),"有","")</f>
        <v/>
      </c>
    </row>
    <row r="2837" customFormat="false" ht="15" hidden="true" customHeight="false" outlineLevel="0" collapsed="false">
      <c r="A2837" s="53" t="str">
        <f aca="false">IF($H2837="","",ROW()-5)</f>
        <v/>
      </c>
      <c r="B2837" s="64" t="s">
        <v>36</v>
      </c>
      <c r="C2837" s="53" t="n">
        <v>713</v>
      </c>
      <c r="D2837" s="53" t="n">
        <v>4</v>
      </c>
      <c r="E2837" s="65" t="str">
        <f aca="false">IF($H2837="","",购销流水!$B713)</f>
        <v/>
      </c>
      <c r="F2837" s="55" t="str">
        <f aca="false">IF($H2837="","",购销流水!$C713)</f>
        <v/>
      </c>
      <c r="G2837" s="48" t="str">
        <f aca="false">IF($H2837="","",购销流水!$N713)</f>
        <v/>
      </c>
      <c r="H2837" s="10" t="str">
        <f aca="false">IF($L2837="","",IF($L2837="@成本",购销流水!$U713,IF($L2837="@收入",购销流水!$T713,IF($L2837="@存货",购销流水!$S713,IF($L2837="@结算",购销流水!$R713,$L2837)))))</f>
        <v/>
      </c>
      <c r="I2837" s="42" t="n">
        <f aca="false">IF($M2837="借",$O2837,0)</f>
        <v>0</v>
      </c>
      <c r="J2837" s="42" t="n">
        <f aca="false">IF($M2837="贷",$O2837,0)</f>
        <v>0</v>
      </c>
      <c r="K2837" s="48" t="str">
        <f aca="false">IF($H2837="","",购销流水!$E713)</f>
        <v/>
      </c>
      <c r="L2837" s="66" t="str">
        <f aca="false">IF(购销流水!$D713="","",IFERROR(INDEX(记账规则!$A$6:$N$9,MATCH(购销流水!$D713,记账规则!$A$6:$A$9,0),12),""))</f>
        <v/>
      </c>
      <c r="M2837" s="66" t="str">
        <f aca="false">IF($L2837="","",IFERROR(INDEX(记账规则!$A$6:$N$9,MATCH(购销流水!$D713,记账规则!$A$6:$A$9,0),13),""))</f>
        <v/>
      </c>
      <c r="N2837" s="66" t="str">
        <f aca="false">IF($L2837="","",IFERROR(INDEX(记账规则!$A$6:$N$9,MATCH(购销流水!$D713,记账规则!$A$6:$A$9,0),14),""))</f>
        <v/>
      </c>
      <c r="O2837" s="67" t="n">
        <f aca="false">IF($H2837="",0,ROUND(IF($N2837="成本金额",N(购销流水!$W713),IF($N2837="金额",N(购销流水!$Q713),0)),2))</f>
        <v>0</v>
      </c>
      <c r="P2837" s="64" t="str">
        <f aca="false">IF(AND($H2837&lt;&gt;"",ROUND($O2837,2)&lt;&gt;0),"有","")</f>
        <v/>
      </c>
    </row>
    <row r="2838" customFormat="false" ht="15" hidden="true" customHeight="false" outlineLevel="0" collapsed="false">
      <c r="A2838" s="53" t="str">
        <f aca="false">IF($H2838="","",ROW()-5)</f>
        <v/>
      </c>
      <c r="B2838" s="64" t="s">
        <v>36</v>
      </c>
      <c r="C2838" s="53" t="n">
        <v>714</v>
      </c>
      <c r="D2838" s="53" t="n">
        <v>1</v>
      </c>
      <c r="E2838" s="65" t="str">
        <f aca="false">IF($H2838="","",购销流水!$B714)</f>
        <v/>
      </c>
      <c r="F2838" s="55" t="str">
        <f aca="false">IF($H2838="","",购销流水!$C714)</f>
        <v/>
      </c>
      <c r="G2838" s="48" t="str">
        <f aca="false">IF($H2838="","",购销流水!$N714)</f>
        <v/>
      </c>
      <c r="H2838" s="10" t="str">
        <f aca="false">IF($L2838="","",IF($L2838="@成本",购销流水!$U714,IF($L2838="@收入",购销流水!$T714,IF($L2838="@存货",购销流水!$S714,IF($L2838="@结算",购销流水!$R714,$L2838)))))</f>
        <v/>
      </c>
      <c r="I2838" s="42" t="n">
        <f aca="false">IF($M2838="借",$O2838,0)</f>
        <v>0</v>
      </c>
      <c r="J2838" s="42" t="n">
        <f aca="false">IF($M2838="贷",$O2838,0)</f>
        <v>0</v>
      </c>
      <c r="K2838" s="48" t="str">
        <f aca="false">IF($H2838="","",购销流水!$E714)</f>
        <v/>
      </c>
      <c r="L2838" s="66" t="str">
        <f aca="false">IF(购销流水!$D714="","",IFERROR(INDEX(记账规则!$A$6:$N$9,MATCH(购销流水!$D714,记账规则!$A$6:$A$9,0),3),""))</f>
        <v/>
      </c>
      <c r="M2838" s="66" t="str">
        <f aca="false">IF($L2838="","",IFERROR(INDEX(记账规则!$A$6:$N$9,MATCH(购销流水!$D714,记账规则!$A$6:$A$9,0),4),""))</f>
        <v/>
      </c>
      <c r="N2838" s="66" t="str">
        <f aca="false">IF($L2838="","",IFERROR(INDEX(记账规则!$A$6:$N$9,MATCH(购销流水!$D714,记账规则!$A$6:$A$9,0),5),""))</f>
        <v/>
      </c>
      <c r="O2838" s="67" t="n">
        <f aca="false">IF($H2838="",0,ROUND(IF($N2838="成本金额",N(购销流水!$W714),IF($N2838="金额",N(购销流水!$Q714),0)),2))</f>
        <v>0</v>
      </c>
      <c r="P2838" s="64" t="str">
        <f aca="false">IF(AND($H2838&lt;&gt;"",ROUND($O2838,2)&lt;&gt;0),"有","")</f>
        <v/>
      </c>
    </row>
    <row r="2839" customFormat="false" ht="15" hidden="true" customHeight="false" outlineLevel="0" collapsed="false">
      <c r="A2839" s="53" t="str">
        <f aca="false">IF($H2839="","",ROW()-5)</f>
        <v/>
      </c>
      <c r="B2839" s="64" t="s">
        <v>36</v>
      </c>
      <c r="C2839" s="53" t="n">
        <v>714</v>
      </c>
      <c r="D2839" s="53" t="n">
        <v>2</v>
      </c>
      <c r="E2839" s="65" t="str">
        <f aca="false">IF($H2839="","",购销流水!$B714)</f>
        <v/>
      </c>
      <c r="F2839" s="55" t="str">
        <f aca="false">IF($H2839="","",购销流水!$C714)</f>
        <v/>
      </c>
      <c r="G2839" s="48" t="str">
        <f aca="false">IF($H2839="","",购销流水!$N714)</f>
        <v/>
      </c>
      <c r="H2839" s="10" t="str">
        <f aca="false">IF($L2839="","",IF($L2839="@成本",购销流水!$U714,IF($L2839="@收入",购销流水!$T714,IF($L2839="@存货",购销流水!$S714,IF($L2839="@结算",购销流水!$R714,$L2839)))))</f>
        <v/>
      </c>
      <c r="I2839" s="42" t="n">
        <f aca="false">IF($M2839="借",$O2839,0)</f>
        <v>0</v>
      </c>
      <c r="J2839" s="42" t="n">
        <f aca="false">IF($M2839="贷",$O2839,0)</f>
        <v>0</v>
      </c>
      <c r="K2839" s="48" t="str">
        <f aca="false">IF($H2839="","",购销流水!$E714)</f>
        <v/>
      </c>
      <c r="L2839" s="66" t="str">
        <f aca="false">IF(购销流水!$D714="","",IFERROR(INDEX(记账规则!$A$6:$N$9,MATCH(购销流水!$D714,记账规则!$A$6:$A$9,0),6),""))</f>
        <v/>
      </c>
      <c r="M2839" s="66" t="str">
        <f aca="false">IF($L2839="","",IFERROR(INDEX(记账规则!$A$6:$N$9,MATCH(购销流水!$D714,记账规则!$A$6:$A$9,0),7),""))</f>
        <v/>
      </c>
      <c r="N2839" s="66" t="str">
        <f aca="false">IF($L2839="","",IFERROR(INDEX(记账规则!$A$6:$N$9,MATCH(购销流水!$D714,记账规则!$A$6:$A$9,0),8),""))</f>
        <v/>
      </c>
      <c r="O2839" s="67" t="n">
        <f aca="false">IF($H2839="",0,ROUND(IF($N2839="成本金额",N(购销流水!$W714),IF($N2839="金额",N(购销流水!$Q714),0)),2))</f>
        <v>0</v>
      </c>
      <c r="P2839" s="64" t="str">
        <f aca="false">IF(AND($H2839&lt;&gt;"",ROUND($O2839,2)&lt;&gt;0),"有","")</f>
        <v/>
      </c>
    </row>
    <row r="2840" customFormat="false" ht="15" hidden="true" customHeight="false" outlineLevel="0" collapsed="false">
      <c r="A2840" s="53" t="str">
        <f aca="false">IF($H2840="","",ROW()-5)</f>
        <v/>
      </c>
      <c r="B2840" s="64" t="s">
        <v>36</v>
      </c>
      <c r="C2840" s="53" t="n">
        <v>714</v>
      </c>
      <c r="D2840" s="53" t="n">
        <v>3</v>
      </c>
      <c r="E2840" s="65" t="str">
        <f aca="false">IF($H2840="","",购销流水!$B714)</f>
        <v/>
      </c>
      <c r="F2840" s="55" t="str">
        <f aca="false">IF($H2840="","",购销流水!$C714)</f>
        <v/>
      </c>
      <c r="G2840" s="48" t="str">
        <f aca="false">IF($H2840="","",购销流水!$N714)</f>
        <v/>
      </c>
      <c r="H2840" s="10" t="str">
        <f aca="false">IF($L2840="","",IF($L2840="@成本",购销流水!$U714,IF($L2840="@收入",购销流水!$T714,IF($L2840="@存货",购销流水!$S714,IF($L2840="@结算",购销流水!$R714,$L2840)))))</f>
        <v/>
      </c>
      <c r="I2840" s="42" t="n">
        <f aca="false">IF($M2840="借",$O2840,0)</f>
        <v>0</v>
      </c>
      <c r="J2840" s="42" t="n">
        <f aca="false">IF($M2840="贷",$O2840,0)</f>
        <v>0</v>
      </c>
      <c r="K2840" s="48" t="str">
        <f aca="false">IF($H2840="","",购销流水!$E714)</f>
        <v/>
      </c>
      <c r="L2840" s="66" t="str">
        <f aca="false">IF(购销流水!$D714="","",IFERROR(INDEX(记账规则!$A$6:$N$9,MATCH(购销流水!$D714,记账规则!$A$6:$A$9,0),9),""))</f>
        <v/>
      </c>
      <c r="M2840" s="66" t="str">
        <f aca="false">IF($L2840="","",IFERROR(INDEX(记账规则!$A$6:$N$9,MATCH(购销流水!$D714,记账规则!$A$6:$A$9,0),10),""))</f>
        <v/>
      </c>
      <c r="N2840" s="66" t="str">
        <f aca="false">IF($L2840="","",IFERROR(INDEX(记账规则!$A$6:$N$9,MATCH(购销流水!$D714,记账规则!$A$6:$A$9,0),11),""))</f>
        <v/>
      </c>
      <c r="O2840" s="67" t="n">
        <f aca="false">IF($H2840="",0,ROUND(IF($N2840="成本金额",N(购销流水!$W714),IF($N2840="金额",N(购销流水!$Q714),0)),2))</f>
        <v>0</v>
      </c>
      <c r="P2840" s="64" t="str">
        <f aca="false">IF(AND($H2840&lt;&gt;"",ROUND($O2840,2)&lt;&gt;0),"有","")</f>
        <v/>
      </c>
    </row>
    <row r="2841" customFormat="false" ht="15" hidden="true" customHeight="false" outlineLevel="0" collapsed="false">
      <c r="A2841" s="53" t="str">
        <f aca="false">IF($H2841="","",ROW()-5)</f>
        <v/>
      </c>
      <c r="B2841" s="64" t="s">
        <v>36</v>
      </c>
      <c r="C2841" s="53" t="n">
        <v>714</v>
      </c>
      <c r="D2841" s="53" t="n">
        <v>4</v>
      </c>
      <c r="E2841" s="65" t="str">
        <f aca="false">IF($H2841="","",购销流水!$B714)</f>
        <v/>
      </c>
      <c r="F2841" s="55" t="str">
        <f aca="false">IF($H2841="","",购销流水!$C714)</f>
        <v/>
      </c>
      <c r="G2841" s="48" t="str">
        <f aca="false">IF($H2841="","",购销流水!$N714)</f>
        <v/>
      </c>
      <c r="H2841" s="10" t="str">
        <f aca="false">IF($L2841="","",IF($L2841="@成本",购销流水!$U714,IF($L2841="@收入",购销流水!$T714,IF($L2841="@存货",购销流水!$S714,IF($L2841="@结算",购销流水!$R714,$L2841)))))</f>
        <v/>
      </c>
      <c r="I2841" s="42" t="n">
        <f aca="false">IF($M2841="借",$O2841,0)</f>
        <v>0</v>
      </c>
      <c r="J2841" s="42" t="n">
        <f aca="false">IF($M2841="贷",$O2841,0)</f>
        <v>0</v>
      </c>
      <c r="K2841" s="48" t="str">
        <f aca="false">IF($H2841="","",购销流水!$E714)</f>
        <v/>
      </c>
      <c r="L2841" s="66" t="str">
        <f aca="false">IF(购销流水!$D714="","",IFERROR(INDEX(记账规则!$A$6:$N$9,MATCH(购销流水!$D714,记账规则!$A$6:$A$9,0),12),""))</f>
        <v/>
      </c>
      <c r="M2841" s="66" t="str">
        <f aca="false">IF($L2841="","",IFERROR(INDEX(记账规则!$A$6:$N$9,MATCH(购销流水!$D714,记账规则!$A$6:$A$9,0),13),""))</f>
        <v/>
      </c>
      <c r="N2841" s="66" t="str">
        <f aca="false">IF($L2841="","",IFERROR(INDEX(记账规则!$A$6:$N$9,MATCH(购销流水!$D714,记账规则!$A$6:$A$9,0),14),""))</f>
        <v/>
      </c>
      <c r="O2841" s="67" t="n">
        <f aca="false">IF($H2841="",0,ROUND(IF($N2841="成本金额",N(购销流水!$W714),IF($N2841="金额",N(购销流水!$Q714),0)),2))</f>
        <v>0</v>
      </c>
      <c r="P2841" s="64" t="str">
        <f aca="false">IF(AND($H2841&lt;&gt;"",ROUND($O2841,2)&lt;&gt;0),"有","")</f>
        <v/>
      </c>
    </row>
    <row r="2842" customFormat="false" ht="15" hidden="true" customHeight="false" outlineLevel="0" collapsed="false">
      <c r="A2842" s="53" t="str">
        <f aca="false">IF($H2842="","",ROW()-5)</f>
        <v/>
      </c>
      <c r="B2842" s="64" t="s">
        <v>36</v>
      </c>
      <c r="C2842" s="53" t="n">
        <v>715</v>
      </c>
      <c r="D2842" s="53" t="n">
        <v>1</v>
      </c>
      <c r="E2842" s="65" t="str">
        <f aca="false">IF($H2842="","",购销流水!$B715)</f>
        <v/>
      </c>
      <c r="F2842" s="55" t="str">
        <f aca="false">IF($H2842="","",购销流水!$C715)</f>
        <v/>
      </c>
      <c r="G2842" s="48" t="str">
        <f aca="false">IF($H2842="","",购销流水!$N715)</f>
        <v/>
      </c>
      <c r="H2842" s="10" t="str">
        <f aca="false">IF($L2842="","",IF($L2842="@成本",购销流水!$U715,IF($L2842="@收入",购销流水!$T715,IF($L2842="@存货",购销流水!$S715,IF($L2842="@结算",购销流水!$R715,$L2842)))))</f>
        <v/>
      </c>
      <c r="I2842" s="42" t="n">
        <f aca="false">IF($M2842="借",$O2842,0)</f>
        <v>0</v>
      </c>
      <c r="J2842" s="42" t="n">
        <f aca="false">IF($M2842="贷",$O2842,0)</f>
        <v>0</v>
      </c>
      <c r="K2842" s="48" t="str">
        <f aca="false">IF($H2842="","",购销流水!$E715)</f>
        <v/>
      </c>
      <c r="L2842" s="66" t="str">
        <f aca="false">IF(购销流水!$D715="","",IFERROR(INDEX(记账规则!$A$6:$N$9,MATCH(购销流水!$D715,记账规则!$A$6:$A$9,0),3),""))</f>
        <v/>
      </c>
      <c r="M2842" s="66" t="str">
        <f aca="false">IF($L2842="","",IFERROR(INDEX(记账规则!$A$6:$N$9,MATCH(购销流水!$D715,记账规则!$A$6:$A$9,0),4),""))</f>
        <v/>
      </c>
      <c r="N2842" s="66" t="str">
        <f aca="false">IF($L2842="","",IFERROR(INDEX(记账规则!$A$6:$N$9,MATCH(购销流水!$D715,记账规则!$A$6:$A$9,0),5),""))</f>
        <v/>
      </c>
      <c r="O2842" s="67" t="n">
        <f aca="false">IF($H2842="",0,ROUND(IF($N2842="成本金额",N(购销流水!$W715),IF($N2842="金额",N(购销流水!$Q715),0)),2))</f>
        <v>0</v>
      </c>
      <c r="P2842" s="64" t="str">
        <f aca="false">IF(AND($H2842&lt;&gt;"",ROUND($O2842,2)&lt;&gt;0),"有","")</f>
        <v/>
      </c>
    </row>
    <row r="2843" customFormat="false" ht="15" hidden="true" customHeight="false" outlineLevel="0" collapsed="false">
      <c r="A2843" s="53" t="str">
        <f aca="false">IF($H2843="","",ROW()-5)</f>
        <v/>
      </c>
      <c r="B2843" s="64" t="s">
        <v>36</v>
      </c>
      <c r="C2843" s="53" t="n">
        <v>715</v>
      </c>
      <c r="D2843" s="53" t="n">
        <v>2</v>
      </c>
      <c r="E2843" s="65" t="str">
        <f aca="false">IF($H2843="","",购销流水!$B715)</f>
        <v/>
      </c>
      <c r="F2843" s="55" t="str">
        <f aca="false">IF($H2843="","",购销流水!$C715)</f>
        <v/>
      </c>
      <c r="G2843" s="48" t="str">
        <f aca="false">IF($H2843="","",购销流水!$N715)</f>
        <v/>
      </c>
      <c r="H2843" s="10" t="str">
        <f aca="false">IF($L2843="","",IF($L2843="@成本",购销流水!$U715,IF($L2843="@收入",购销流水!$T715,IF($L2843="@存货",购销流水!$S715,IF($L2843="@结算",购销流水!$R715,$L2843)))))</f>
        <v/>
      </c>
      <c r="I2843" s="42" t="n">
        <f aca="false">IF($M2843="借",$O2843,0)</f>
        <v>0</v>
      </c>
      <c r="J2843" s="42" t="n">
        <f aca="false">IF($M2843="贷",$O2843,0)</f>
        <v>0</v>
      </c>
      <c r="K2843" s="48" t="str">
        <f aca="false">IF($H2843="","",购销流水!$E715)</f>
        <v/>
      </c>
      <c r="L2843" s="66" t="str">
        <f aca="false">IF(购销流水!$D715="","",IFERROR(INDEX(记账规则!$A$6:$N$9,MATCH(购销流水!$D715,记账规则!$A$6:$A$9,0),6),""))</f>
        <v/>
      </c>
      <c r="M2843" s="66" t="str">
        <f aca="false">IF($L2843="","",IFERROR(INDEX(记账规则!$A$6:$N$9,MATCH(购销流水!$D715,记账规则!$A$6:$A$9,0),7),""))</f>
        <v/>
      </c>
      <c r="N2843" s="66" t="str">
        <f aca="false">IF($L2843="","",IFERROR(INDEX(记账规则!$A$6:$N$9,MATCH(购销流水!$D715,记账规则!$A$6:$A$9,0),8),""))</f>
        <v/>
      </c>
      <c r="O2843" s="67" t="n">
        <f aca="false">IF($H2843="",0,ROUND(IF($N2843="成本金额",N(购销流水!$W715),IF($N2843="金额",N(购销流水!$Q715),0)),2))</f>
        <v>0</v>
      </c>
      <c r="P2843" s="64" t="str">
        <f aca="false">IF(AND($H2843&lt;&gt;"",ROUND($O2843,2)&lt;&gt;0),"有","")</f>
        <v/>
      </c>
    </row>
    <row r="2844" customFormat="false" ht="15" hidden="true" customHeight="false" outlineLevel="0" collapsed="false">
      <c r="A2844" s="53" t="str">
        <f aca="false">IF($H2844="","",ROW()-5)</f>
        <v/>
      </c>
      <c r="B2844" s="64" t="s">
        <v>36</v>
      </c>
      <c r="C2844" s="53" t="n">
        <v>715</v>
      </c>
      <c r="D2844" s="53" t="n">
        <v>3</v>
      </c>
      <c r="E2844" s="65" t="str">
        <f aca="false">IF($H2844="","",购销流水!$B715)</f>
        <v/>
      </c>
      <c r="F2844" s="55" t="str">
        <f aca="false">IF($H2844="","",购销流水!$C715)</f>
        <v/>
      </c>
      <c r="G2844" s="48" t="str">
        <f aca="false">IF($H2844="","",购销流水!$N715)</f>
        <v/>
      </c>
      <c r="H2844" s="10" t="str">
        <f aca="false">IF($L2844="","",IF($L2844="@成本",购销流水!$U715,IF($L2844="@收入",购销流水!$T715,IF($L2844="@存货",购销流水!$S715,IF($L2844="@结算",购销流水!$R715,$L2844)))))</f>
        <v/>
      </c>
      <c r="I2844" s="42" t="n">
        <f aca="false">IF($M2844="借",$O2844,0)</f>
        <v>0</v>
      </c>
      <c r="J2844" s="42" t="n">
        <f aca="false">IF($M2844="贷",$O2844,0)</f>
        <v>0</v>
      </c>
      <c r="K2844" s="48" t="str">
        <f aca="false">IF($H2844="","",购销流水!$E715)</f>
        <v/>
      </c>
      <c r="L2844" s="66" t="str">
        <f aca="false">IF(购销流水!$D715="","",IFERROR(INDEX(记账规则!$A$6:$N$9,MATCH(购销流水!$D715,记账规则!$A$6:$A$9,0),9),""))</f>
        <v/>
      </c>
      <c r="M2844" s="66" t="str">
        <f aca="false">IF($L2844="","",IFERROR(INDEX(记账规则!$A$6:$N$9,MATCH(购销流水!$D715,记账规则!$A$6:$A$9,0),10),""))</f>
        <v/>
      </c>
      <c r="N2844" s="66" t="str">
        <f aca="false">IF($L2844="","",IFERROR(INDEX(记账规则!$A$6:$N$9,MATCH(购销流水!$D715,记账规则!$A$6:$A$9,0),11),""))</f>
        <v/>
      </c>
      <c r="O2844" s="67" t="n">
        <f aca="false">IF($H2844="",0,ROUND(IF($N2844="成本金额",N(购销流水!$W715),IF($N2844="金额",N(购销流水!$Q715),0)),2))</f>
        <v>0</v>
      </c>
      <c r="P2844" s="64" t="str">
        <f aca="false">IF(AND($H2844&lt;&gt;"",ROUND($O2844,2)&lt;&gt;0),"有","")</f>
        <v/>
      </c>
    </row>
    <row r="2845" customFormat="false" ht="15" hidden="true" customHeight="false" outlineLevel="0" collapsed="false">
      <c r="A2845" s="53" t="str">
        <f aca="false">IF($H2845="","",ROW()-5)</f>
        <v/>
      </c>
      <c r="B2845" s="64" t="s">
        <v>36</v>
      </c>
      <c r="C2845" s="53" t="n">
        <v>715</v>
      </c>
      <c r="D2845" s="53" t="n">
        <v>4</v>
      </c>
      <c r="E2845" s="65" t="str">
        <f aca="false">IF($H2845="","",购销流水!$B715)</f>
        <v/>
      </c>
      <c r="F2845" s="55" t="str">
        <f aca="false">IF($H2845="","",购销流水!$C715)</f>
        <v/>
      </c>
      <c r="G2845" s="48" t="str">
        <f aca="false">IF($H2845="","",购销流水!$N715)</f>
        <v/>
      </c>
      <c r="H2845" s="10" t="str">
        <f aca="false">IF($L2845="","",IF($L2845="@成本",购销流水!$U715,IF($L2845="@收入",购销流水!$T715,IF($L2845="@存货",购销流水!$S715,IF($L2845="@结算",购销流水!$R715,$L2845)))))</f>
        <v/>
      </c>
      <c r="I2845" s="42" t="n">
        <f aca="false">IF($M2845="借",$O2845,0)</f>
        <v>0</v>
      </c>
      <c r="J2845" s="42" t="n">
        <f aca="false">IF($M2845="贷",$O2845,0)</f>
        <v>0</v>
      </c>
      <c r="K2845" s="48" t="str">
        <f aca="false">IF($H2845="","",购销流水!$E715)</f>
        <v/>
      </c>
      <c r="L2845" s="66" t="str">
        <f aca="false">IF(购销流水!$D715="","",IFERROR(INDEX(记账规则!$A$6:$N$9,MATCH(购销流水!$D715,记账规则!$A$6:$A$9,0),12),""))</f>
        <v/>
      </c>
      <c r="M2845" s="66" t="str">
        <f aca="false">IF($L2845="","",IFERROR(INDEX(记账规则!$A$6:$N$9,MATCH(购销流水!$D715,记账规则!$A$6:$A$9,0),13),""))</f>
        <v/>
      </c>
      <c r="N2845" s="66" t="str">
        <f aca="false">IF($L2845="","",IFERROR(INDEX(记账规则!$A$6:$N$9,MATCH(购销流水!$D715,记账规则!$A$6:$A$9,0),14),""))</f>
        <v/>
      </c>
      <c r="O2845" s="67" t="n">
        <f aca="false">IF($H2845="",0,ROUND(IF($N2845="成本金额",N(购销流水!$W715),IF($N2845="金额",N(购销流水!$Q715),0)),2))</f>
        <v>0</v>
      </c>
      <c r="P2845" s="64" t="str">
        <f aca="false">IF(AND($H2845&lt;&gt;"",ROUND($O2845,2)&lt;&gt;0),"有","")</f>
        <v/>
      </c>
    </row>
    <row r="2846" customFormat="false" ht="15" hidden="true" customHeight="false" outlineLevel="0" collapsed="false">
      <c r="A2846" s="53" t="str">
        <f aca="false">IF($H2846="","",ROW()-5)</f>
        <v/>
      </c>
      <c r="B2846" s="64" t="s">
        <v>36</v>
      </c>
      <c r="C2846" s="53" t="n">
        <v>716</v>
      </c>
      <c r="D2846" s="53" t="n">
        <v>1</v>
      </c>
      <c r="E2846" s="65" t="str">
        <f aca="false">IF($H2846="","",购销流水!$B716)</f>
        <v/>
      </c>
      <c r="F2846" s="55" t="str">
        <f aca="false">IF($H2846="","",购销流水!$C716)</f>
        <v/>
      </c>
      <c r="G2846" s="48" t="str">
        <f aca="false">IF($H2846="","",购销流水!$N716)</f>
        <v/>
      </c>
      <c r="H2846" s="10" t="str">
        <f aca="false">IF($L2846="","",IF($L2846="@成本",购销流水!$U716,IF($L2846="@收入",购销流水!$T716,IF($L2846="@存货",购销流水!$S716,IF($L2846="@结算",购销流水!$R716,$L2846)))))</f>
        <v/>
      </c>
      <c r="I2846" s="42" t="n">
        <f aca="false">IF($M2846="借",$O2846,0)</f>
        <v>0</v>
      </c>
      <c r="J2846" s="42" t="n">
        <f aca="false">IF($M2846="贷",$O2846,0)</f>
        <v>0</v>
      </c>
      <c r="K2846" s="48" t="str">
        <f aca="false">IF($H2846="","",购销流水!$E716)</f>
        <v/>
      </c>
      <c r="L2846" s="66" t="str">
        <f aca="false">IF(购销流水!$D716="","",IFERROR(INDEX(记账规则!$A$6:$N$9,MATCH(购销流水!$D716,记账规则!$A$6:$A$9,0),3),""))</f>
        <v/>
      </c>
      <c r="M2846" s="66" t="str">
        <f aca="false">IF($L2846="","",IFERROR(INDEX(记账规则!$A$6:$N$9,MATCH(购销流水!$D716,记账规则!$A$6:$A$9,0),4),""))</f>
        <v/>
      </c>
      <c r="N2846" s="66" t="str">
        <f aca="false">IF($L2846="","",IFERROR(INDEX(记账规则!$A$6:$N$9,MATCH(购销流水!$D716,记账规则!$A$6:$A$9,0),5),""))</f>
        <v/>
      </c>
      <c r="O2846" s="67" t="n">
        <f aca="false">IF($H2846="",0,ROUND(IF($N2846="成本金额",N(购销流水!$W716),IF($N2846="金额",N(购销流水!$Q716),0)),2))</f>
        <v>0</v>
      </c>
      <c r="P2846" s="64" t="str">
        <f aca="false">IF(AND($H2846&lt;&gt;"",ROUND($O2846,2)&lt;&gt;0),"有","")</f>
        <v/>
      </c>
    </row>
    <row r="2847" customFormat="false" ht="15" hidden="true" customHeight="false" outlineLevel="0" collapsed="false">
      <c r="A2847" s="53" t="str">
        <f aca="false">IF($H2847="","",ROW()-5)</f>
        <v/>
      </c>
      <c r="B2847" s="64" t="s">
        <v>36</v>
      </c>
      <c r="C2847" s="53" t="n">
        <v>716</v>
      </c>
      <c r="D2847" s="53" t="n">
        <v>2</v>
      </c>
      <c r="E2847" s="65" t="str">
        <f aca="false">IF($H2847="","",购销流水!$B716)</f>
        <v/>
      </c>
      <c r="F2847" s="55" t="str">
        <f aca="false">IF($H2847="","",购销流水!$C716)</f>
        <v/>
      </c>
      <c r="G2847" s="48" t="str">
        <f aca="false">IF($H2847="","",购销流水!$N716)</f>
        <v/>
      </c>
      <c r="H2847" s="10" t="str">
        <f aca="false">IF($L2847="","",IF($L2847="@成本",购销流水!$U716,IF($L2847="@收入",购销流水!$T716,IF($L2847="@存货",购销流水!$S716,IF($L2847="@结算",购销流水!$R716,$L2847)))))</f>
        <v/>
      </c>
      <c r="I2847" s="42" t="n">
        <f aca="false">IF($M2847="借",$O2847,0)</f>
        <v>0</v>
      </c>
      <c r="J2847" s="42" t="n">
        <f aca="false">IF($M2847="贷",$O2847,0)</f>
        <v>0</v>
      </c>
      <c r="K2847" s="48" t="str">
        <f aca="false">IF($H2847="","",购销流水!$E716)</f>
        <v/>
      </c>
      <c r="L2847" s="66" t="str">
        <f aca="false">IF(购销流水!$D716="","",IFERROR(INDEX(记账规则!$A$6:$N$9,MATCH(购销流水!$D716,记账规则!$A$6:$A$9,0),6),""))</f>
        <v/>
      </c>
      <c r="M2847" s="66" t="str">
        <f aca="false">IF($L2847="","",IFERROR(INDEX(记账规则!$A$6:$N$9,MATCH(购销流水!$D716,记账规则!$A$6:$A$9,0),7),""))</f>
        <v/>
      </c>
      <c r="N2847" s="66" t="str">
        <f aca="false">IF($L2847="","",IFERROR(INDEX(记账规则!$A$6:$N$9,MATCH(购销流水!$D716,记账规则!$A$6:$A$9,0),8),""))</f>
        <v/>
      </c>
      <c r="O2847" s="67" t="n">
        <f aca="false">IF($H2847="",0,ROUND(IF($N2847="成本金额",N(购销流水!$W716),IF($N2847="金额",N(购销流水!$Q716),0)),2))</f>
        <v>0</v>
      </c>
      <c r="P2847" s="64" t="str">
        <f aca="false">IF(AND($H2847&lt;&gt;"",ROUND($O2847,2)&lt;&gt;0),"有","")</f>
        <v/>
      </c>
    </row>
    <row r="2848" customFormat="false" ht="15" hidden="true" customHeight="false" outlineLevel="0" collapsed="false">
      <c r="A2848" s="53" t="str">
        <f aca="false">IF($H2848="","",ROW()-5)</f>
        <v/>
      </c>
      <c r="B2848" s="64" t="s">
        <v>36</v>
      </c>
      <c r="C2848" s="53" t="n">
        <v>716</v>
      </c>
      <c r="D2848" s="53" t="n">
        <v>3</v>
      </c>
      <c r="E2848" s="65" t="str">
        <f aca="false">IF($H2848="","",购销流水!$B716)</f>
        <v/>
      </c>
      <c r="F2848" s="55" t="str">
        <f aca="false">IF($H2848="","",购销流水!$C716)</f>
        <v/>
      </c>
      <c r="G2848" s="48" t="str">
        <f aca="false">IF($H2848="","",购销流水!$N716)</f>
        <v/>
      </c>
      <c r="H2848" s="10" t="str">
        <f aca="false">IF($L2848="","",IF($L2848="@成本",购销流水!$U716,IF($L2848="@收入",购销流水!$T716,IF($L2848="@存货",购销流水!$S716,IF($L2848="@结算",购销流水!$R716,$L2848)))))</f>
        <v/>
      </c>
      <c r="I2848" s="42" t="n">
        <f aca="false">IF($M2848="借",$O2848,0)</f>
        <v>0</v>
      </c>
      <c r="J2848" s="42" t="n">
        <f aca="false">IF($M2848="贷",$O2848,0)</f>
        <v>0</v>
      </c>
      <c r="K2848" s="48" t="str">
        <f aca="false">IF($H2848="","",购销流水!$E716)</f>
        <v/>
      </c>
      <c r="L2848" s="66" t="str">
        <f aca="false">IF(购销流水!$D716="","",IFERROR(INDEX(记账规则!$A$6:$N$9,MATCH(购销流水!$D716,记账规则!$A$6:$A$9,0),9),""))</f>
        <v/>
      </c>
      <c r="M2848" s="66" t="str">
        <f aca="false">IF($L2848="","",IFERROR(INDEX(记账规则!$A$6:$N$9,MATCH(购销流水!$D716,记账规则!$A$6:$A$9,0),10),""))</f>
        <v/>
      </c>
      <c r="N2848" s="66" t="str">
        <f aca="false">IF($L2848="","",IFERROR(INDEX(记账规则!$A$6:$N$9,MATCH(购销流水!$D716,记账规则!$A$6:$A$9,0),11),""))</f>
        <v/>
      </c>
      <c r="O2848" s="67" t="n">
        <f aca="false">IF($H2848="",0,ROUND(IF($N2848="成本金额",N(购销流水!$W716),IF($N2848="金额",N(购销流水!$Q716),0)),2))</f>
        <v>0</v>
      </c>
      <c r="P2848" s="64" t="str">
        <f aca="false">IF(AND($H2848&lt;&gt;"",ROUND($O2848,2)&lt;&gt;0),"有","")</f>
        <v/>
      </c>
    </row>
    <row r="2849" customFormat="false" ht="15" hidden="true" customHeight="false" outlineLevel="0" collapsed="false">
      <c r="A2849" s="53" t="str">
        <f aca="false">IF($H2849="","",ROW()-5)</f>
        <v/>
      </c>
      <c r="B2849" s="64" t="s">
        <v>36</v>
      </c>
      <c r="C2849" s="53" t="n">
        <v>716</v>
      </c>
      <c r="D2849" s="53" t="n">
        <v>4</v>
      </c>
      <c r="E2849" s="65" t="str">
        <f aca="false">IF($H2849="","",购销流水!$B716)</f>
        <v/>
      </c>
      <c r="F2849" s="55" t="str">
        <f aca="false">IF($H2849="","",购销流水!$C716)</f>
        <v/>
      </c>
      <c r="G2849" s="48" t="str">
        <f aca="false">IF($H2849="","",购销流水!$N716)</f>
        <v/>
      </c>
      <c r="H2849" s="10" t="str">
        <f aca="false">IF($L2849="","",IF($L2849="@成本",购销流水!$U716,IF($L2849="@收入",购销流水!$T716,IF($L2849="@存货",购销流水!$S716,IF($L2849="@结算",购销流水!$R716,$L2849)))))</f>
        <v/>
      </c>
      <c r="I2849" s="42" t="n">
        <f aca="false">IF($M2849="借",$O2849,0)</f>
        <v>0</v>
      </c>
      <c r="J2849" s="42" t="n">
        <f aca="false">IF($M2849="贷",$O2849,0)</f>
        <v>0</v>
      </c>
      <c r="K2849" s="48" t="str">
        <f aca="false">IF($H2849="","",购销流水!$E716)</f>
        <v/>
      </c>
      <c r="L2849" s="66" t="str">
        <f aca="false">IF(购销流水!$D716="","",IFERROR(INDEX(记账规则!$A$6:$N$9,MATCH(购销流水!$D716,记账规则!$A$6:$A$9,0),12),""))</f>
        <v/>
      </c>
      <c r="M2849" s="66" t="str">
        <f aca="false">IF($L2849="","",IFERROR(INDEX(记账规则!$A$6:$N$9,MATCH(购销流水!$D716,记账规则!$A$6:$A$9,0),13),""))</f>
        <v/>
      </c>
      <c r="N2849" s="66" t="str">
        <f aca="false">IF($L2849="","",IFERROR(INDEX(记账规则!$A$6:$N$9,MATCH(购销流水!$D716,记账规则!$A$6:$A$9,0),14),""))</f>
        <v/>
      </c>
      <c r="O2849" s="67" t="n">
        <f aca="false">IF($H2849="",0,ROUND(IF($N2849="成本金额",N(购销流水!$W716),IF($N2849="金额",N(购销流水!$Q716),0)),2))</f>
        <v>0</v>
      </c>
      <c r="P2849" s="64" t="str">
        <f aca="false">IF(AND($H2849&lt;&gt;"",ROUND($O2849,2)&lt;&gt;0),"有","")</f>
        <v/>
      </c>
    </row>
    <row r="2850" customFormat="false" ht="15" hidden="true" customHeight="false" outlineLevel="0" collapsed="false">
      <c r="A2850" s="53" t="str">
        <f aca="false">IF($H2850="","",ROW()-5)</f>
        <v/>
      </c>
      <c r="B2850" s="64" t="s">
        <v>36</v>
      </c>
      <c r="C2850" s="53" t="n">
        <v>717</v>
      </c>
      <c r="D2850" s="53" t="n">
        <v>1</v>
      </c>
      <c r="E2850" s="65" t="str">
        <f aca="false">IF($H2850="","",购销流水!$B717)</f>
        <v/>
      </c>
      <c r="F2850" s="55" t="str">
        <f aca="false">IF($H2850="","",购销流水!$C717)</f>
        <v/>
      </c>
      <c r="G2850" s="48" t="str">
        <f aca="false">IF($H2850="","",购销流水!$N717)</f>
        <v/>
      </c>
      <c r="H2850" s="10" t="str">
        <f aca="false">IF($L2850="","",IF($L2850="@成本",购销流水!$U717,IF($L2850="@收入",购销流水!$T717,IF($L2850="@存货",购销流水!$S717,IF($L2850="@结算",购销流水!$R717,$L2850)))))</f>
        <v/>
      </c>
      <c r="I2850" s="42" t="n">
        <f aca="false">IF($M2850="借",$O2850,0)</f>
        <v>0</v>
      </c>
      <c r="J2850" s="42" t="n">
        <f aca="false">IF($M2850="贷",$O2850,0)</f>
        <v>0</v>
      </c>
      <c r="K2850" s="48" t="str">
        <f aca="false">IF($H2850="","",购销流水!$E717)</f>
        <v/>
      </c>
      <c r="L2850" s="66" t="str">
        <f aca="false">IF(购销流水!$D717="","",IFERROR(INDEX(记账规则!$A$6:$N$9,MATCH(购销流水!$D717,记账规则!$A$6:$A$9,0),3),""))</f>
        <v/>
      </c>
      <c r="M2850" s="66" t="str">
        <f aca="false">IF($L2850="","",IFERROR(INDEX(记账规则!$A$6:$N$9,MATCH(购销流水!$D717,记账规则!$A$6:$A$9,0),4),""))</f>
        <v/>
      </c>
      <c r="N2850" s="66" t="str">
        <f aca="false">IF($L2850="","",IFERROR(INDEX(记账规则!$A$6:$N$9,MATCH(购销流水!$D717,记账规则!$A$6:$A$9,0),5),""))</f>
        <v/>
      </c>
      <c r="O2850" s="67" t="n">
        <f aca="false">IF($H2850="",0,ROUND(IF($N2850="成本金额",N(购销流水!$W717),IF($N2850="金额",N(购销流水!$Q717),0)),2))</f>
        <v>0</v>
      </c>
      <c r="P2850" s="64" t="str">
        <f aca="false">IF(AND($H2850&lt;&gt;"",ROUND($O2850,2)&lt;&gt;0),"有","")</f>
        <v/>
      </c>
    </row>
    <row r="2851" customFormat="false" ht="15" hidden="true" customHeight="false" outlineLevel="0" collapsed="false">
      <c r="A2851" s="53" t="str">
        <f aca="false">IF($H2851="","",ROW()-5)</f>
        <v/>
      </c>
      <c r="B2851" s="64" t="s">
        <v>36</v>
      </c>
      <c r="C2851" s="53" t="n">
        <v>717</v>
      </c>
      <c r="D2851" s="53" t="n">
        <v>2</v>
      </c>
      <c r="E2851" s="65" t="str">
        <f aca="false">IF($H2851="","",购销流水!$B717)</f>
        <v/>
      </c>
      <c r="F2851" s="55" t="str">
        <f aca="false">IF($H2851="","",购销流水!$C717)</f>
        <v/>
      </c>
      <c r="G2851" s="48" t="str">
        <f aca="false">IF($H2851="","",购销流水!$N717)</f>
        <v/>
      </c>
      <c r="H2851" s="10" t="str">
        <f aca="false">IF($L2851="","",IF($L2851="@成本",购销流水!$U717,IF($L2851="@收入",购销流水!$T717,IF($L2851="@存货",购销流水!$S717,IF($L2851="@结算",购销流水!$R717,$L2851)))))</f>
        <v/>
      </c>
      <c r="I2851" s="42" t="n">
        <f aca="false">IF($M2851="借",$O2851,0)</f>
        <v>0</v>
      </c>
      <c r="J2851" s="42" t="n">
        <f aca="false">IF($M2851="贷",$O2851,0)</f>
        <v>0</v>
      </c>
      <c r="K2851" s="48" t="str">
        <f aca="false">IF($H2851="","",购销流水!$E717)</f>
        <v/>
      </c>
      <c r="L2851" s="66" t="str">
        <f aca="false">IF(购销流水!$D717="","",IFERROR(INDEX(记账规则!$A$6:$N$9,MATCH(购销流水!$D717,记账规则!$A$6:$A$9,0),6),""))</f>
        <v/>
      </c>
      <c r="M2851" s="66" t="str">
        <f aca="false">IF($L2851="","",IFERROR(INDEX(记账规则!$A$6:$N$9,MATCH(购销流水!$D717,记账规则!$A$6:$A$9,0),7),""))</f>
        <v/>
      </c>
      <c r="N2851" s="66" t="str">
        <f aca="false">IF($L2851="","",IFERROR(INDEX(记账规则!$A$6:$N$9,MATCH(购销流水!$D717,记账规则!$A$6:$A$9,0),8),""))</f>
        <v/>
      </c>
      <c r="O2851" s="67" t="n">
        <f aca="false">IF($H2851="",0,ROUND(IF($N2851="成本金额",N(购销流水!$W717),IF($N2851="金额",N(购销流水!$Q717),0)),2))</f>
        <v>0</v>
      </c>
      <c r="P2851" s="64" t="str">
        <f aca="false">IF(AND($H2851&lt;&gt;"",ROUND($O2851,2)&lt;&gt;0),"有","")</f>
        <v/>
      </c>
    </row>
    <row r="2852" customFormat="false" ht="15" hidden="true" customHeight="false" outlineLevel="0" collapsed="false">
      <c r="A2852" s="53" t="str">
        <f aca="false">IF($H2852="","",ROW()-5)</f>
        <v/>
      </c>
      <c r="B2852" s="64" t="s">
        <v>36</v>
      </c>
      <c r="C2852" s="53" t="n">
        <v>717</v>
      </c>
      <c r="D2852" s="53" t="n">
        <v>3</v>
      </c>
      <c r="E2852" s="65" t="str">
        <f aca="false">IF($H2852="","",购销流水!$B717)</f>
        <v/>
      </c>
      <c r="F2852" s="55" t="str">
        <f aca="false">IF($H2852="","",购销流水!$C717)</f>
        <v/>
      </c>
      <c r="G2852" s="48" t="str">
        <f aca="false">IF($H2852="","",购销流水!$N717)</f>
        <v/>
      </c>
      <c r="H2852" s="10" t="str">
        <f aca="false">IF($L2852="","",IF($L2852="@成本",购销流水!$U717,IF($L2852="@收入",购销流水!$T717,IF($L2852="@存货",购销流水!$S717,IF($L2852="@结算",购销流水!$R717,$L2852)))))</f>
        <v/>
      </c>
      <c r="I2852" s="42" t="n">
        <f aca="false">IF($M2852="借",$O2852,0)</f>
        <v>0</v>
      </c>
      <c r="J2852" s="42" t="n">
        <f aca="false">IF($M2852="贷",$O2852,0)</f>
        <v>0</v>
      </c>
      <c r="K2852" s="48" t="str">
        <f aca="false">IF($H2852="","",购销流水!$E717)</f>
        <v/>
      </c>
      <c r="L2852" s="66" t="str">
        <f aca="false">IF(购销流水!$D717="","",IFERROR(INDEX(记账规则!$A$6:$N$9,MATCH(购销流水!$D717,记账规则!$A$6:$A$9,0),9),""))</f>
        <v/>
      </c>
      <c r="M2852" s="66" t="str">
        <f aca="false">IF($L2852="","",IFERROR(INDEX(记账规则!$A$6:$N$9,MATCH(购销流水!$D717,记账规则!$A$6:$A$9,0),10),""))</f>
        <v/>
      </c>
      <c r="N2852" s="66" t="str">
        <f aca="false">IF($L2852="","",IFERROR(INDEX(记账规则!$A$6:$N$9,MATCH(购销流水!$D717,记账规则!$A$6:$A$9,0),11),""))</f>
        <v/>
      </c>
      <c r="O2852" s="67" t="n">
        <f aca="false">IF($H2852="",0,ROUND(IF($N2852="成本金额",N(购销流水!$W717),IF($N2852="金额",N(购销流水!$Q717),0)),2))</f>
        <v>0</v>
      </c>
      <c r="P2852" s="64" t="str">
        <f aca="false">IF(AND($H2852&lt;&gt;"",ROUND($O2852,2)&lt;&gt;0),"有","")</f>
        <v/>
      </c>
    </row>
    <row r="2853" customFormat="false" ht="15" hidden="true" customHeight="false" outlineLevel="0" collapsed="false">
      <c r="A2853" s="53" t="str">
        <f aca="false">IF($H2853="","",ROW()-5)</f>
        <v/>
      </c>
      <c r="B2853" s="64" t="s">
        <v>36</v>
      </c>
      <c r="C2853" s="53" t="n">
        <v>717</v>
      </c>
      <c r="D2853" s="53" t="n">
        <v>4</v>
      </c>
      <c r="E2853" s="65" t="str">
        <f aca="false">IF($H2853="","",购销流水!$B717)</f>
        <v/>
      </c>
      <c r="F2853" s="55" t="str">
        <f aca="false">IF($H2853="","",购销流水!$C717)</f>
        <v/>
      </c>
      <c r="G2853" s="48" t="str">
        <f aca="false">IF($H2853="","",购销流水!$N717)</f>
        <v/>
      </c>
      <c r="H2853" s="10" t="str">
        <f aca="false">IF($L2853="","",IF($L2853="@成本",购销流水!$U717,IF($L2853="@收入",购销流水!$T717,IF($L2853="@存货",购销流水!$S717,IF($L2853="@结算",购销流水!$R717,$L2853)))))</f>
        <v/>
      </c>
      <c r="I2853" s="42" t="n">
        <f aca="false">IF($M2853="借",$O2853,0)</f>
        <v>0</v>
      </c>
      <c r="J2853" s="42" t="n">
        <f aca="false">IF($M2853="贷",$O2853,0)</f>
        <v>0</v>
      </c>
      <c r="K2853" s="48" t="str">
        <f aca="false">IF($H2853="","",购销流水!$E717)</f>
        <v/>
      </c>
      <c r="L2853" s="66" t="str">
        <f aca="false">IF(购销流水!$D717="","",IFERROR(INDEX(记账规则!$A$6:$N$9,MATCH(购销流水!$D717,记账规则!$A$6:$A$9,0),12),""))</f>
        <v/>
      </c>
      <c r="M2853" s="66" t="str">
        <f aca="false">IF($L2853="","",IFERROR(INDEX(记账规则!$A$6:$N$9,MATCH(购销流水!$D717,记账规则!$A$6:$A$9,0),13),""))</f>
        <v/>
      </c>
      <c r="N2853" s="66" t="str">
        <f aca="false">IF($L2853="","",IFERROR(INDEX(记账规则!$A$6:$N$9,MATCH(购销流水!$D717,记账规则!$A$6:$A$9,0),14),""))</f>
        <v/>
      </c>
      <c r="O2853" s="67" t="n">
        <f aca="false">IF($H2853="",0,ROUND(IF($N2853="成本金额",N(购销流水!$W717),IF($N2853="金额",N(购销流水!$Q717),0)),2))</f>
        <v>0</v>
      </c>
      <c r="P2853" s="64" t="str">
        <f aca="false">IF(AND($H2853&lt;&gt;"",ROUND($O2853,2)&lt;&gt;0),"有","")</f>
        <v/>
      </c>
    </row>
    <row r="2854" customFormat="false" ht="15" hidden="true" customHeight="false" outlineLevel="0" collapsed="false">
      <c r="A2854" s="53" t="str">
        <f aca="false">IF($H2854="","",ROW()-5)</f>
        <v/>
      </c>
      <c r="B2854" s="64" t="s">
        <v>36</v>
      </c>
      <c r="C2854" s="53" t="n">
        <v>718</v>
      </c>
      <c r="D2854" s="53" t="n">
        <v>1</v>
      </c>
      <c r="E2854" s="65" t="str">
        <f aca="false">IF($H2854="","",购销流水!$B718)</f>
        <v/>
      </c>
      <c r="F2854" s="55" t="str">
        <f aca="false">IF($H2854="","",购销流水!$C718)</f>
        <v/>
      </c>
      <c r="G2854" s="48" t="str">
        <f aca="false">IF($H2854="","",购销流水!$N718)</f>
        <v/>
      </c>
      <c r="H2854" s="10" t="str">
        <f aca="false">IF($L2854="","",IF($L2854="@成本",购销流水!$U718,IF($L2854="@收入",购销流水!$T718,IF($L2854="@存货",购销流水!$S718,IF($L2854="@结算",购销流水!$R718,$L2854)))))</f>
        <v/>
      </c>
      <c r="I2854" s="42" t="n">
        <f aca="false">IF($M2854="借",$O2854,0)</f>
        <v>0</v>
      </c>
      <c r="J2854" s="42" t="n">
        <f aca="false">IF($M2854="贷",$O2854,0)</f>
        <v>0</v>
      </c>
      <c r="K2854" s="48" t="str">
        <f aca="false">IF($H2854="","",购销流水!$E718)</f>
        <v/>
      </c>
      <c r="L2854" s="66" t="str">
        <f aca="false">IF(购销流水!$D718="","",IFERROR(INDEX(记账规则!$A$6:$N$9,MATCH(购销流水!$D718,记账规则!$A$6:$A$9,0),3),""))</f>
        <v/>
      </c>
      <c r="M2854" s="66" t="str">
        <f aca="false">IF($L2854="","",IFERROR(INDEX(记账规则!$A$6:$N$9,MATCH(购销流水!$D718,记账规则!$A$6:$A$9,0),4),""))</f>
        <v/>
      </c>
      <c r="N2854" s="66" t="str">
        <f aca="false">IF($L2854="","",IFERROR(INDEX(记账规则!$A$6:$N$9,MATCH(购销流水!$D718,记账规则!$A$6:$A$9,0),5),""))</f>
        <v/>
      </c>
      <c r="O2854" s="67" t="n">
        <f aca="false">IF($H2854="",0,ROUND(IF($N2854="成本金额",N(购销流水!$W718),IF($N2854="金额",N(购销流水!$Q718),0)),2))</f>
        <v>0</v>
      </c>
      <c r="P2854" s="64" t="str">
        <f aca="false">IF(AND($H2854&lt;&gt;"",ROUND($O2854,2)&lt;&gt;0),"有","")</f>
        <v/>
      </c>
    </row>
    <row r="2855" customFormat="false" ht="15" hidden="true" customHeight="false" outlineLevel="0" collapsed="false">
      <c r="A2855" s="53" t="str">
        <f aca="false">IF($H2855="","",ROW()-5)</f>
        <v/>
      </c>
      <c r="B2855" s="64" t="s">
        <v>36</v>
      </c>
      <c r="C2855" s="53" t="n">
        <v>718</v>
      </c>
      <c r="D2855" s="53" t="n">
        <v>2</v>
      </c>
      <c r="E2855" s="65" t="str">
        <f aca="false">IF($H2855="","",购销流水!$B718)</f>
        <v/>
      </c>
      <c r="F2855" s="55" t="str">
        <f aca="false">IF($H2855="","",购销流水!$C718)</f>
        <v/>
      </c>
      <c r="G2855" s="48" t="str">
        <f aca="false">IF($H2855="","",购销流水!$N718)</f>
        <v/>
      </c>
      <c r="H2855" s="10" t="str">
        <f aca="false">IF($L2855="","",IF($L2855="@成本",购销流水!$U718,IF($L2855="@收入",购销流水!$T718,IF($L2855="@存货",购销流水!$S718,IF($L2855="@结算",购销流水!$R718,$L2855)))))</f>
        <v/>
      </c>
      <c r="I2855" s="42" t="n">
        <f aca="false">IF($M2855="借",$O2855,0)</f>
        <v>0</v>
      </c>
      <c r="J2855" s="42" t="n">
        <f aca="false">IF($M2855="贷",$O2855,0)</f>
        <v>0</v>
      </c>
      <c r="K2855" s="48" t="str">
        <f aca="false">IF($H2855="","",购销流水!$E718)</f>
        <v/>
      </c>
      <c r="L2855" s="66" t="str">
        <f aca="false">IF(购销流水!$D718="","",IFERROR(INDEX(记账规则!$A$6:$N$9,MATCH(购销流水!$D718,记账规则!$A$6:$A$9,0),6),""))</f>
        <v/>
      </c>
      <c r="M2855" s="66" t="str">
        <f aca="false">IF($L2855="","",IFERROR(INDEX(记账规则!$A$6:$N$9,MATCH(购销流水!$D718,记账规则!$A$6:$A$9,0),7),""))</f>
        <v/>
      </c>
      <c r="N2855" s="66" t="str">
        <f aca="false">IF($L2855="","",IFERROR(INDEX(记账规则!$A$6:$N$9,MATCH(购销流水!$D718,记账规则!$A$6:$A$9,0),8),""))</f>
        <v/>
      </c>
      <c r="O2855" s="67" t="n">
        <f aca="false">IF($H2855="",0,ROUND(IF($N2855="成本金额",N(购销流水!$W718),IF($N2855="金额",N(购销流水!$Q718),0)),2))</f>
        <v>0</v>
      </c>
      <c r="P2855" s="64" t="str">
        <f aca="false">IF(AND($H2855&lt;&gt;"",ROUND($O2855,2)&lt;&gt;0),"有","")</f>
        <v/>
      </c>
    </row>
    <row r="2856" customFormat="false" ht="15" hidden="true" customHeight="false" outlineLevel="0" collapsed="false">
      <c r="A2856" s="53" t="str">
        <f aca="false">IF($H2856="","",ROW()-5)</f>
        <v/>
      </c>
      <c r="B2856" s="64" t="s">
        <v>36</v>
      </c>
      <c r="C2856" s="53" t="n">
        <v>718</v>
      </c>
      <c r="D2856" s="53" t="n">
        <v>3</v>
      </c>
      <c r="E2856" s="65" t="str">
        <f aca="false">IF($H2856="","",购销流水!$B718)</f>
        <v/>
      </c>
      <c r="F2856" s="55" t="str">
        <f aca="false">IF($H2856="","",购销流水!$C718)</f>
        <v/>
      </c>
      <c r="G2856" s="48" t="str">
        <f aca="false">IF($H2856="","",购销流水!$N718)</f>
        <v/>
      </c>
      <c r="H2856" s="10" t="str">
        <f aca="false">IF($L2856="","",IF($L2856="@成本",购销流水!$U718,IF($L2856="@收入",购销流水!$T718,IF($L2856="@存货",购销流水!$S718,IF($L2856="@结算",购销流水!$R718,$L2856)))))</f>
        <v/>
      </c>
      <c r="I2856" s="42" t="n">
        <f aca="false">IF($M2856="借",$O2856,0)</f>
        <v>0</v>
      </c>
      <c r="J2856" s="42" t="n">
        <f aca="false">IF($M2856="贷",$O2856,0)</f>
        <v>0</v>
      </c>
      <c r="K2856" s="48" t="str">
        <f aca="false">IF($H2856="","",购销流水!$E718)</f>
        <v/>
      </c>
      <c r="L2856" s="66" t="str">
        <f aca="false">IF(购销流水!$D718="","",IFERROR(INDEX(记账规则!$A$6:$N$9,MATCH(购销流水!$D718,记账规则!$A$6:$A$9,0),9),""))</f>
        <v/>
      </c>
      <c r="M2856" s="66" t="str">
        <f aca="false">IF($L2856="","",IFERROR(INDEX(记账规则!$A$6:$N$9,MATCH(购销流水!$D718,记账规则!$A$6:$A$9,0),10),""))</f>
        <v/>
      </c>
      <c r="N2856" s="66" t="str">
        <f aca="false">IF($L2856="","",IFERROR(INDEX(记账规则!$A$6:$N$9,MATCH(购销流水!$D718,记账规则!$A$6:$A$9,0),11),""))</f>
        <v/>
      </c>
      <c r="O2856" s="67" t="n">
        <f aca="false">IF($H2856="",0,ROUND(IF($N2856="成本金额",N(购销流水!$W718),IF($N2856="金额",N(购销流水!$Q718),0)),2))</f>
        <v>0</v>
      </c>
      <c r="P2856" s="64" t="str">
        <f aca="false">IF(AND($H2856&lt;&gt;"",ROUND($O2856,2)&lt;&gt;0),"有","")</f>
        <v/>
      </c>
    </row>
    <row r="2857" customFormat="false" ht="15" hidden="true" customHeight="false" outlineLevel="0" collapsed="false">
      <c r="A2857" s="53" t="str">
        <f aca="false">IF($H2857="","",ROW()-5)</f>
        <v/>
      </c>
      <c r="B2857" s="64" t="s">
        <v>36</v>
      </c>
      <c r="C2857" s="53" t="n">
        <v>718</v>
      </c>
      <c r="D2857" s="53" t="n">
        <v>4</v>
      </c>
      <c r="E2857" s="65" t="str">
        <f aca="false">IF($H2857="","",购销流水!$B718)</f>
        <v/>
      </c>
      <c r="F2857" s="55" t="str">
        <f aca="false">IF($H2857="","",购销流水!$C718)</f>
        <v/>
      </c>
      <c r="G2857" s="48" t="str">
        <f aca="false">IF($H2857="","",购销流水!$N718)</f>
        <v/>
      </c>
      <c r="H2857" s="10" t="str">
        <f aca="false">IF($L2857="","",IF($L2857="@成本",购销流水!$U718,IF($L2857="@收入",购销流水!$T718,IF($L2857="@存货",购销流水!$S718,IF($L2857="@结算",购销流水!$R718,$L2857)))))</f>
        <v/>
      </c>
      <c r="I2857" s="42" t="n">
        <f aca="false">IF($M2857="借",$O2857,0)</f>
        <v>0</v>
      </c>
      <c r="J2857" s="42" t="n">
        <f aca="false">IF($M2857="贷",$O2857,0)</f>
        <v>0</v>
      </c>
      <c r="K2857" s="48" t="str">
        <f aca="false">IF($H2857="","",购销流水!$E718)</f>
        <v/>
      </c>
      <c r="L2857" s="66" t="str">
        <f aca="false">IF(购销流水!$D718="","",IFERROR(INDEX(记账规则!$A$6:$N$9,MATCH(购销流水!$D718,记账规则!$A$6:$A$9,0),12),""))</f>
        <v/>
      </c>
      <c r="M2857" s="66" t="str">
        <f aca="false">IF($L2857="","",IFERROR(INDEX(记账规则!$A$6:$N$9,MATCH(购销流水!$D718,记账规则!$A$6:$A$9,0),13),""))</f>
        <v/>
      </c>
      <c r="N2857" s="66" t="str">
        <f aca="false">IF($L2857="","",IFERROR(INDEX(记账规则!$A$6:$N$9,MATCH(购销流水!$D718,记账规则!$A$6:$A$9,0),14),""))</f>
        <v/>
      </c>
      <c r="O2857" s="67" t="n">
        <f aca="false">IF($H2857="",0,ROUND(IF($N2857="成本金额",N(购销流水!$W718),IF($N2857="金额",N(购销流水!$Q718),0)),2))</f>
        <v>0</v>
      </c>
      <c r="P2857" s="64" t="str">
        <f aca="false">IF(AND($H2857&lt;&gt;"",ROUND($O2857,2)&lt;&gt;0),"有","")</f>
        <v/>
      </c>
    </row>
    <row r="2858" customFormat="false" ht="15" hidden="true" customHeight="false" outlineLevel="0" collapsed="false">
      <c r="A2858" s="53" t="str">
        <f aca="false">IF($H2858="","",ROW()-5)</f>
        <v/>
      </c>
      <c r="B2858" s="64" t="s">
        <v>36</v>
      </c>
      <c r="C2858" s="53" t="n">
        <v>719</v>
      </c>
      <c r="D2858" s="53" t="n">
        <v>1</v>
      </c>
      <c r="E2858" s="65" t="str">
        <f aca="false">IF($H2858="","",购销流水!$B719)</f>
        <v/>
      </c>
      <c r="F2858" s="55" t="str">
        <f aca="false">IF($H2858="","",购销流水!$C719)</f>
        <v/>
      </c>
      <c r="G2858" s="48" t="str">
        <f aca="false">IF($H2858="","",购销流水!$N719)</f>
        <v/>
      </c>
      <c r="H2858" s="10" t="str">
        <f aca="false">IF($L2858="","",IF($L2858="@成本",购销流水!$U719,IF($L2858="@收入",购销流水!$T719,IF($L2858="@存货",购销流水!$S719,IF($L2858="@结算",购销流水!$R719,$L2858)))))</f>
        <v/>
      </c>
      <c r="I2858" s="42" t="n">
        <f aca="false">IF($M2858="借",$O2858,0)</f>
        <v>0</v>
      </c>
      <c r="J2858" s="42" t="n">
        <f aca="false">IF($M2858="贷",$O2858,0)</f>
        <v>0</v>
      </c>
      <c r="K2858" s="48" t="str">
        <f aca="false">IF($H2858="","",购销流水!$E719)</f>
        <v/>
      </c>
      <c r="L2858" s="66" t="str">
        <f aca="false">IF(购销流水!$D719="","",IFERROR(INDEX(记账规则!$A$6:$N$9,MATCH(购销流水!$D719,记账规则!$A$6:$A$9,0),3),""))</f>
        <v/>
      </c>
      <c r="M2858" s="66" t="str">
        <f aca="false">IF($L2858="","",IFERROR(INDEX(记账规则!$A$6:$N$9,MATCH(购销流水!$D719,记账规则!$A$6:$A$9,0),4),""))</f>
        <v/>
      </c>
      <c r="N2858" s="66" t="str">
        <f aca="false">IF($L2858="","",IFERROR(INDEX(记账规则!$A$6:$N$9,MATCH(购销流水!$D719,记账规则!$A$6:$A$9,0),5),""))</f>
        <v/>
      </c>
      <c r="O2858" s="67" t="n">
        <f aca="false">IF($H2858="",0,ROUND(IF($N2858="成本金额",N(购销流水!$W719),IF($N2858="金额",N(购销流水!$Q719),0)),2))</f>
        <v>0</v>
      </c>
      <c r="P2858" s="64" t="str">
        <f aca="false">IF(AND($H2858&lt;&gt;"",ROUND($O2858,2)&lt;&gt;0),"有","")</f>
        <v/>
      </c>
    </row>
    <row r="2859" customFormat="false" ht="15" hidden="true" customHeight="false" outlineLevel="0" collapsed="false">
      <c r="A2859" s="53" t="str">
        <f aca="false">IF($H2859="","",ROW()-5)</f>
        <v/>
      </c>
      <c r="B2859" s="64" t="s">
        <v>36</v>
      </c>
      <c r="C2859" s="53" t="n">
        <v>719</v>
      </c>
      <c r="D2859" s="53" t="n">
        <v>2</v>
      </c>
      <c r="E2859" s="65" t="str">
        <f aca="false">IF($H2859="","",购销流水!$B719)</f>
        <v/>
      </c>
      <c r="F2859" s="55" t="str">
        <f aca="false">IF($H2859="","",购销流水!$C719)</f>
        <v/>
      </c>
      <c r="G2859" s="48" t="str">
        <f aca="false">IF($H2859="","",购销流水!$N719)</f>
        <v/>
      </c>
      <c r="H2859" s="10" t="str">
        <f aca="false">IF($L2859="","",IF($L2859="@成本",购销流水!$U719,IF($L2859="@收入",购销流水!$T719,IF($L2859="@存货",购销流水!$S719,IF($L2859="@结算",购销流水!$R719,$L2859)))))</f>
        <v/>
      </c>
      <c r="I2859" s="42" t="n">
        <f aca="false">IF($M2859="借",$O2859,0)</f>
        <v>0</v>
      </c>
      <c r="J2859" s="42" t="n">
        <f aca="false">IF($M2859="贷",$O2859,0)</f>
        <v>0</v>
      </c>
      <c r="K2859" s="48" t="str">
        <f aca="false">IF($H2859="","",购销流水!$E719)</f>
        <v/>
      </c>
      <c r="L2859" s="66" t="str">
        <f aca="false">IF(购销流水!$D719="","",IFERROR(INDEX(记账规则!$A$6:$N$9,MATCH(购销流水!$D719,记账规则!$A$6:$A$9,0),6),""))</f>
        <v/>
      </c>
      <c r="M2859" s="66" t="str">
        <f aca="false">IF($L2859="","",IFERROR(INDEX(记账规则!$A$6:$N$9,MATCH(购销流水!$D719,记账规则!$A$6:$A$9,0),7),""))</f>
        <v/>
      </c>
      <c r="N2859" s="66" t="str">
        <f aca="false">IF($L2859="","",IFERROR(INDEX(记账规则!$A$6:$N$9,MATCH(购销流水!$D719,记账规则!$A$6:$A$9,0),8),""))</f>
        <v/>
      </c>
      <c r="O2859" s="67" t="n">
        <f aca="false">IF($H2859="",0,ROUND(IF($N2859="成本金额",N(购销流水!$W719),IF($N2859="金额",N(购销流水!$Q719),0)),2))</f>
        <v>0</v>
      </c>
      <c r="P2859" s="64" t="str">
        <f aca="false">IF(AND($H2859&lt;&gt;"",ROUND($O2859,2)&lt;&gt;0),"有","")</f>
        <v/>
      </c>
    </row>
    <row r="2860" customFormat="false" ht="15" hidden="true" customHeight="false" outlineLevel="0" collapsed="false">
      <c r="A2860" s="53" t="str">
        <f aca="false">IF($H2860="","",ROW()-5)</f>
        <v/>
      </c>
      <c r="B2860" s="64" t="s">
        <v>36</v>
      </c>
      <c r="C2860" s="53" t="n">
        <v>719</v>
      </c>
      <c r="D2860" s="53" t="n">
        <v>3</v>
      </c>
      <c r="E2860" s="65" t="str">
        <f aca="false">IF($H2860="","",购销流水!$B719)</f>
        <v/>
      </c>
      <c r="F2860" s="55" t="str">
        <f aca="false">IF($H2860="","",购销流水!$C719)</f>
        <v/>
      </c>
      <c r="G2860" s="48" t="str">
        <f aca="false">IF($H2860="","",购销流水!$N719)</f>
        <v/>
      </c>
      <c r="H2860" s="10" t="str">
        <f aca="false">IF($L2860="","",IF($L2860="@成本",购销流水!$U719,IF($L2860="@收入",购销流水!$T719,IF($L2860="@存货",购销流水!$S719,IF($L2860="@结算",购销流水!$R719,$L2860)))))</f>
        <v/>
      </c>
      <c r="I2860" s="42" t="n">
        <f aca="false">IF($M2860="借",$O2860,0)</f>
        <v>0</v>
      </c>
      <c r="J2860" s="42" t="n">
        <f aca="false">IF($M2860="贷",$O2860,0)</f>
        <v>0</v>
      </c>
      <c r="K2860" s="48" t="str">
        <f aca="false">IF($H2860="","",购销流水!$E719)</f>
        <v/>
      </c>
      <c r="L2860" s="66" t="str">
        <f aca="false">IF(购销流水!$D719="","",IFERROR(INDEX(记账规则!$A$6:$N$9,MATCH(购销流水!$D719,记账规则!$A$6:$A$9,0),9),""))</f>
        <v/>
      </c>
      <c r="M2860" s="66" t="str">
        <f aca="false">IF($L2860="","",IFERROR(INDEX(记账规则!$A$6:$N$9,MATCH(购销流水!$D719,记账规则!$A$6:$A$9,0),10),""))</f>
        <v/>
      </c>
      <c r="N2860" s="66" t="str">
        <f aca="false">IF($L2860="","",IFERROR(INDEX(记账规则!$A$6:$N$9,MATCH(购销流水!$D719,记账规则!$A$6:$A$9,0),11),""))</f>
        <v/>
      </c>
      <c r="O2860" s="67" t="n">
        <f aca="false">IF($H2860="",0,ROUND(IF($N2860="成本金额",N(购销流水!$W719),IF($N2860="金额",N(购销流水!$Q719),0)),2))</f>
        <v>0</v>
      </c>
      <c r="P2860" s="64" t="str">
        <f aca="false">IF(AND($H2860&lt;&gt;"",ROUND($O2860,2)&lt;&gt;0),"有","")</f>
        <v/>
      </c>
    </row>
    <row r="2861" customFormat="false" ht="15" hidden="true" customHeight="false" outlineLevel="0" collapsed="false">
      <c r="A2861" s="53" t="str">
        <f aca="false">IF($H2861="","",ROW()-5)</f>
        <v/>
      </c>
      <c r="B2861" s="64" t="s">
        <v>36</v>
      </c>
      <c r="C2861" s="53" t="n">
        <v>719</v>
      </c>
      <c r="D2861" s="53" t="n">
        <v>4</v>
      </c>
      <c r="E2861" s="65" t="str">
        <f aca="false">IF($H2861="","",购销流水!$B719)</f>
        <v/>
      </c>
      <c r="F2861" s="55" t="str">
        <f aca="false">IF($H2861="","",购销流水!$C719)</f>
        <v/>
      </c>
      <c r="G2861" s="48" t="str">
        <f aca="false">IF($H2861="","",购销流水!$N719)</f>
        <v/>
      </c>
      <c r="H2861" s="10" t="str">
        <f aca="false">IF($L2861="","",IF($L2861="@成本",购销流水!$U719,IF($L2861="@收入",购销流水!$T719,IF($L2861="@存货",购销流水!$S719,IF($L2861="@结算",购销流水!$R719,$L2861)))))</f>
        <v/>
      </c>
      <c r="I2861" s="42" t="n">
        <f aca="false">IF($M2861="借",$O2861,0)</f>
        <v>0</v>
      </c>
      <c r="J2861" s="42" t="n">
        <f aca="false">IF($M2861="贷",$O2861,0)</f>
        <v>0</v>
      </c>
      <c r="K2861" s="48" t="str">
        <f aca="false">IF($H2861="","",购销流水!$E719)</f>
        <v/>
      </c>
      <c r="L2861" s="66" t="str">
        <f aca="false">IF(购销流水!$D719="","",IFERROR(INDEX(记账规则!$A$6:$N$9,MATCH(购销流水!$D719,记账规则!$A$6:$A$9,0),12),""))</f>
        <v/>
      </c>
      <c r="M2861" s="66" t="str">
        <f aca="false">IF($L2861="","",IFERROR(INDEX(记账规则!$A$6:$N$9,MATCH(购销流水!$D719,记账规则!$A$6:$A$9,0),13),""))</f>
        <v/>
      </c>
      <c r="N2861" s="66" t="str">
        <f aca="false">IF($L2861="","",IFERROR(INDEX(记账规则!$A$6:$N$9,MATCH(购销流水!$D719,记账规则!$A$6:$A$9,0),14),""))</f>
        <v/>
      </c>
      <c r="O2861" s="67" t="n">
        <f aca="false">IF($H2861="",0,ROUND(IF($N2861="成本金额",N(购销流水!$W719),IF($N2861="金额",N(购销流水!$Q719),0)),2))</f>
        <v>0</v>
      </c>
      <c r="P2861" s="64" t="str">
        <f aca="false">IF(AND($H2861&lt;&gt;"",ROUND($O2861,2)&lt;&gt;0),"有","")</f>
        <v/>
      </c>
    </row>
    <row r="2862" customFormat="false" ht="15" hidden="true" customHeight="false" outlineLevel="0" collapsed="false">
      <c r="A2862" s="53" t="str">
        <f aca="false">IF($H2862="","",ROW()-5)</f>
        <v/>
      </c>
      <c r="B2862" s="64" t="s">
        <v>36</v>
      </c>
      <c r="C2862" s="53" t="n">
        <v>720</v>
      </c>
      <c r="D2862" s="53" t="n">
        <v>1</v>
      </c>
      <c r="E2862" s="65" t="str">
        <f aca="false">IF($H2862="","",购销流水!$B720)</f>
        <v/>
      </c>
      <c r="F2862" s="55" t="str">
        <f aca="false">IF($H2862="","",购销流水!$C720)</f>
        <v/>
      </c>
      <c r="G2862" s="48" t="str">
        <f aca="false">IF($H2862="","",购销流水!$N720)</f>
        <v/>
      </c>
      <c r="H2862" s="10" t="str">
        <f aca="false">IF($L2862="","",IF($L2862="@成本",购销流水!$U720,IF($L2862="@收入",购销流水!$T720,IF($L2862="@存货",购销流水!$S720,IF($L2862="@结算",购销流水!$R720,$L2862)))))</f>
        <v/>
      </c>
      <c r="I2862" s="42" t="n">
        <f aca="false">IF($M2862="借",$O2862,0)</f>
        <v>0</v>
      </c>
      <c r="J2862" s="42" t="n">
        <f aca="false">IF($M2862="贷",$O2862,0)</f>
        <v>0</v>
      </c>
      <c r="K2862" s="48" t="str">
        <f aca="false">IF($H2862="","",购销流水!$E720)</f>
        <v/>
      </c>
      <c r="L2862" s="66" t="str">
        <f aca="false">IF(购销流水!$D720="","",IFERROR(INDEX(记账规则!$A$6:$N$9,MATCH(购销流水!$D720,记账规则!$A$6:$A$9,0),3),""))</f>
        <v/>
      </c>
      <c r="M2862" s="66" t="str">
        <f aca="false">IF($L2862="","",IFERROR(INDEX(记账规则!$A$6:$N$9,MATCH(购销流水!$D720,记账规则!$A$6:$A$9,0),4),""))</f>
        <v/>
      </c>
      <c r="N2862" s="66" t="str">
        <f aca="false">IF($L2862="","",IFERROR(INDEX(记账规则!$A$6:$N$9,MATCH(购销流水!$D720,记账规则!$A$6:$A$9,0),5),""))</f>
        <v/>
      </c>
      <c r="O2862" s="67" t="n">
        <f aca="false">IF($H2862="",0,ROUND(IF($N2862="成本金额",N(购销流水!$W720),IF($N2862="金额",N(购销流水!$Q720),0)),2))</f>
        <v>0</v>
      </c>
      <c r="P2862" s="64" t="str">
        <f aca="false">IF(AND($H2862&lt;&gt;"",ROUND($O2862,2)&lt;&gt;0),"有","")</f>
        <v/>
      </c>
    </row>
    <row r="2863" customFormat="false" ht="15" hidden="true" customHeight="false" outlineLevel="0" collapsed="false">
      <c r="A2863" s="53" t="str">
        <f aca="false">IF($H2863="","",ROW()-5)</f>
        <v/>
      </c>
      <c r="B2863" s="64" t="s">
        <v>36</v>
      </c>
      <c r="C2863" s="53" t="n">
        <v>720</v>
      </c>
      <c r="D2863" s="53" t="n">
        <v>2</v>
      </c>
      <c r="E2863" s="65" t="str">
        <f aca="false">IF($H2863="","",购销流水!$B720)</f>
        <v/>
      </c>
      <c r="F2863" s="55" t="str">
        <f aca="false">IF($H2863="","",购销流水!$C720)</f>
        <v/>
      </c>
      <c r="G2863" s="48" t="str">
        <f aca="false">IF($H2863="","",购销流水!$N720)</f>
        <v/>
      </c>
      <c r="H2863" s="10" t="str">
        <f aca="false">IF($L2863="","",IF($L2863="@成本",购销流水!$U720,IF($L2863="@收入",购销流水!$T720,IF($L2863="@存货",购销流水!$S720,IF($L2863="@结算",购销流水!$R720,$L2863)))))</f>
        <v/>
      </c>
      <c r="I2863" s="42" t="n">
        <f aca="false">IF($M2863="借",$O2863,0)</f>
        <v>0</v>
      </c>
      <c r="J2863" s="42" t="n">
        <f aca="false">IF($M2863="贷",$O2863,0)</f>
        <v>0</v>
      </c>
      <c r="K2863" s="48" t="str">
        <f aca="false">IF($H2863="","",购销流水!$E720)</f>
        <v/>
      </c>
      <c r="L2863" s="66" t="str">
        <f aca="false">IF(购销流水!$D720="","",IFERROR(INDEX(记账规则!$A$6:$N$9,MATCH(购销流水!$D720,记账规则!$A$6:$A$9,0),6),""))</f>
        <v/>
      </c>
      <c r="M2863" s="66" t="str">
        <f aca="false">IF($L2863="","",IFERROR(INDEX(记账规则!$A$6:$N$9,MATCH(购销流水!$D720,记账规则!$A$6:$A$9,0),7),""))</f>
        <v/>
      </c>
      <c r="N2863" s="66" t="str">
        <f aca="false">IF($L2863="","",IFERROR(INDEX(记账规则!$A$6:$N$9,MATCH(购销流水!$D720,记账规则!$A$6:$A$9,0),8),""))</f>
        <v/>
      </c>
      <c r="O2863" s="67" t="n">
        <f aca="false">IF($H2863="",0,ROUND(IF($N2863="成本金额",N(购销流水!$W720),IF($N2863="金额",N(购销流水!$Q720),0)),2))</f>
        <v>0</v>
      </c>
      <c r="P2863" s="64" t="str">
        <f aca="false">IF(AND($H2863&lt;&gt;"",ROUND($O2863,2)&lt;&gt;0),"有","")</f>
        <v/>
      </c>
    </row>
    <row r="2864" customFormat="false" ht="15" hidden="true" customHeight="false" outlineLevel="0" collapsed="false">
      <c r="A2864" s="53" t="str">
        <f aca="false">IF($H2864="","",ROW()-5)</f>
        <v/>
      </c>
      <c r="B2864" s="64" t="s">
        <v>36</v>
      </c>
      <c r="C2864" s="53" t="n">
        <v>720</v>
      </c>
      <c r="D2864" s="53" t="n">
        <v>3</v>
      </c>
      <c r="E2864" s="65" t="str">
        <f aca="false">IF($H2864="","",购销流水!$B720)</f>
        <v/>
      </c>
      <c r="F2864" s="55" t="str">
        <f aca="false">IF($H2864="","",购销流水!$C720)</f>
        <v/>
      </c>
      <c r="G2864" s="48" t="str">
        <f aca="false">IF($H2864="","",购销流水!$N720)</f>
        <v/>
      </c>
      <c r="H2864" s="10" t="str">
        <f aca="false">IF($L2864="","",IF($L2864="@成本",购销流水!$U720,IF($L2864="@收入",购销流水!$T720,IF($L2864="@存货",购销流水!$S720,IF($L2864="@结算",购销流水!$R720,$L2864)))))</f>
        <v/>
      </c>
      <c r="I2864" s="42" t="n">
        <f aca="false">IF($M2864="借",$O2864,0)</f>
        <v>0</v>
      </c>
      <c r="J2864" s="42" t="n">
        <f aca="false">IF($M2864="贷",$O2864,0)</f>
        <v>0</v>
      </c>
      <c r="K2864" s="48" t="str">
        <f aca="false">IF($H2864="","",购销流水!$E720)</f>
        <v/>
      </c>
      <c r="L2864" s="66" t="str">
        <f aca="false">IF(购销流水!$D720="","",IFERROR(INDEX(记账规则!$A$6:$N$9,MATCH(购销流水!$D720,记账规则!$A$6:$A$9,0),9),""))</f>
        <v/>
      </c>
      <c r="M2864" s="66" t="str">
        <f aca="false">IF($L2864="","",IFERROR(INDEX(记账规则!$A$6:$N$9,MATCH(购销流水!$D720,记账规则!$A$6:$A$9,0),10),""))</f>
        <v/>
      </c>
      <c r="N2864" s="66" t="str">
        <f aca="false">IF($L2864="","",IFERROR(INDEX(记账规则!$A$6:$N$9,MATCH(购销流水!$D720,记账规则!$A$6:$A$9,0),11),""))</f>
        <v/>
      </c>
      <c r="O2864" s="67" t="n">
        <f aca="false">IF($H2864="",0,ROUND(IF($N2864="成本金额",N(购销流水!$W720),IF($N2864="金额",N(购销流水!$Q720),0)),2))</f>
        <v>0</v>
      </c>
      <c r="P2864" s="64" t="str">
        <f aca="false">IF(AND($H2864&lt;&gt;"",ROUND($O2864,2)&lt;&gt;0),"有","")</f>
        <v/>
      </c>
    </row>
    <row r="2865" customFormat="false" ht="15" hidden="true" customHeight="false" outlineLevel="0" collapsed="false">
      <c r="A2865" s="53" t="str">
        <f aca="false">IF($H2865="","",ROW()-5)</f>
        <v/>
      </c>
      <c r="B2865" s="64" t="s">
        <v>36</v>
      </c>
      <c r="C2865" s="53" t="n">
        <v>720</v>
      </c>
      <c r="D2865" s="53" t="n">
        <v>4</v>
      </c>
      <c r="E2865" s="65" t="str">
        <f aca="false">IF($H2865="","",购销流水!$B720)</f>
        <v/>
      </c>
      <c r="F2865" s="55" t="str">
        <f aca="false">IF($H2865="","",购销流水!$C720)</f>
        <v/>
      </c>
      <c r="G2865" s="48" t="str">
        <f aca="false">IF($H2865="","",购销流水!$N720)</f>
        <v/>
      </c>
      <c r="H2865" s="10" t="str">
        <f aca="false">IF($L2865="","",IF($L2865="@成本",购销流水!$U720,IF($L2865="@收入",购销流水!$T720,IF($L2865="@存货",购销流水!$S720,IF($L2865="@结算",购销流水!$R720,$L2865)))))</f>
        <v/>
      </c>
      <c r="I2865" s="42" t="n">
        <f aca="false">IF($M2865="借",$O2865,0)</f>
        <v>0</v>
      </c>
      <c r="J2865" s="42" t="n">
        <f aca="false">IF($M2865="贷",$O2865,0)</f>
        <v>0</v>
      </c>
      <c r="K2865" s="48" t="str">
        <f aca="false">IF($H2865="","",购销流水!$E720)</f>
        <v/>
      </c>
      <c r="L2865" s="66" t="str">
        <f aca="false">IF(购销流水!$D720="","",IFERROR(INDEX(记账规则!$A$6:$N$9,MATCH(购销流水!$D720,记账规则!$A$6:$A$9,0),12),""))</f>
        <v/>
      </c>
      <c r="M2865" s="66" t="str">
        <f aca="false">IF($L2865="","",IFERROR(INDEX(记账规则!$A$6:$N$9,MATCH(购销流水!$D720,记账规则!$A$6:$A$9,0),13),""))</f>
        <v/>
      </c>
      <c r="N2865" s="66" t="str">
        <f aca="false">IF($L2865="","",IFERROR(INDEX(记账规则!$A$6:$N$9,MATCH(购销流水!$D720,记账规则!$A$6:$A$9,0),14),""))</f>
        <v/>
      </c>
      <c r="O2865" s="67" t="n">
        <f aca="false">IF($H2865="",0,ROUND(IF($N2865="成本金额",N(购销流水!$W720),IF($N2865="金额",N(购销流水!$Q720),0)),2))</f>
        <v>0</v>
      </c>
      <c r="P2865" s="64" t="str">
        <f aca="false">IF(AND($H2865&lt;&gt;"",ROUND($O2865,2)&lt;&gt;0),"有","")</f>
        <v/>
      </c>
    </row>
    <row r="2866" customFormat="false" ht="15" hidden="true" customHeight="false" outlineLevel="0" collapsed="false">
      <c r="A2866" s="53" t="str">
        <f aca="false">IF($H2866="","",ROW()-5)</f>
        <v/>
      </c>
      <c r="B2866" s="64" t="s">
        <v>36</v>
      </c>
      <c r="C2866" s="53" t="n">
        <v>721</v>
      </c>
      <c r="D2866" s="53" t="n">
        <v>1</v>
      </c>
      <c r="E2866" s="65" t="str">
        <f aca="false">IF($H2866="","",购销流水!$B721)</f>
        <v/>
      </c>
      <c r="F2866" s="55" t="str">
        <f aca="false">IF($H2866="","",购销流水!$C721)</f>
        <v/>
      </c>
      <c r="G2866" s="48" t="str">
        <f aca="false">IF($H2866="","",购销流水!$N721)</f>
        <v/>
      </c>
      <c r="H2866" s="10" t="str">
        <f aca="false">IF($L2866="","",IF($L2866="@成本",购销流水!$U721,IF($L2866="@收入",购销流水!$T721,IF($L2866="@存货",购销流水!$S721,IF($L2866="@结算",购销流水!$R721,$L2866)))))</f>
        <v/>
      </c>
      <c r="I2866" s="42" t="n">
        <f aca="false">IF($M2866="借",$O2866,0)</f>
        <v>0</v>
      </c>
      <c r="J2866" s="42" t="n">
        <f aca="false">IF($M2866="贷",$O2866,0)</f>
        <v>0</v>
      </c>
      <c r="K2866" s="48" t="str">
        <f aca="false">IF($H2866="","",购销流水!$E721)</f>
        <v/>
      </c>
      <c r="L2866" s="66" t="str">
        <f aca="false">IF(购销流水!$D721="","",IFERROR(INDEX(记账规则!$A$6:$N$9,MATCH(购销流水!$D721,记账规则!$A$6:$A$9,0),3),""))</f>
        <v/>
      </c>
      <c r="M2866" s="66" t="str">
        <f aca="false">IF($L2866="","",IFERROR(INDEX(记账规则!$A$6:$N$9,MATCH(购销流水!$D721,记账规则!$A$6:$A$9,0),4),""))</f>
        <v/>
      </c>
      <c r="N2866" s="66" t="str">
        <f aca="false">IF($L2866="","",IFERROR(INDEX(记账规则!$A$6:$N$9,MATCH(购销流水!$D721,记账规则!$A$6:$A$9,0),5),""))</f>
        <v/>
      </c>
      <c r="O2866" s="67" t="n">
        <f aca="false">IF($H2866="",0,ROUND(IF($N2866="成本金额",N(购销流水!$W721),IF($N2866="金额",N(购销流水!$Q721),0)),2))</f>
        <v>0</v>
      </c>
      <c r="P2866" s="64" t="str">
        <f aca="false">IF(AND($H2866&lt;&gt;"",ROUND($O2866,2)&lt;&gt;0),"有","")</f>
        <v/>
      </c>
    </row>
    <row r="2867" customFormat="false" ht="15" hidden="true" customHeight="false" outlineLevel="0" collapsed="false">
      <c r="A2867" s="53" t="str">
        <f aca="false">IF($H2867="","",ROW()-5)</f>
        <v/>
      </c>
      <c r="B2867" s="64" t="s">
        <v>36</v>
      </c>
      <c r="C2867" s="53" t="n">
        <v>721</v>
      </c>
      <c r="D2867" s="53" t="n">
        <v>2</v>
      </c>
      <c r="E2867" s="65" t="str">
        <f aca="false">IF($H2867="","",购销流水!$B721)</f>
        <v/>
      </c>
      <c r="F2867" s="55" t="str">
        <f aca="false">IF($H2867="","",购销流水!$C721)</f>
        <v/>
      </c>
      <c r="G2867" s="48" t="str">
        <f aca="false">IF($H2867="","",购销流水!$N721)</f>
        <v/>
      </c>
      <c r="H2867" s="10" t="str">
        <f aca="false">IF($L2867="","",IF($L2867="@成本",购销流水!$U721,IF($L2867="@收入",购销流水!$T721,IF($L2867="@存货",购销流水!$S721,IF($L2867="@结算",购销流水!$R721,$L2867)))))</f>
        <v/>
      </c>
      <c r="I2867" s="42" t="n">
        <f aca="false">IF($M2867="借",$O2867,0)</f>
        <v>0</v>
      </c>
      <c r="J2867" s="42" t="n">
        <f aca="false">IF($M2867="贷",$O2867,0)</f>
        <v>0</v>
      </c>
      <c r="K2867" s="48" t="str">
        <f aca="false">IF($H2867="","",购销流水!$E721)</f>
        <v/>
      </c>
      <c r="L2867" s="66" t="str">
        <f aca="false">IF(购销流水!$D721="","",IFERROR(INDEX(记账规则!$A$6:$N$9,MATCH(购销流水!$D721,记账规则!$A$6:$A$9,0),6),""))</f>
        <v/>
      </c>
      <c r="M2867" s="66" t="str">
        <f aca="false">IF($L2867="","",IFERROR(INDEX(记账规则!$A$6:$N$9,MATCH(购销流水!$D721,记账规则!$A$6:$A$9,0),7),""))</f>
        <v/>
      </c>
      <c r="N2867" s="66" t="str">
        <f aca="false">IF($L2867="","",IFERROR(INDEX(记账规则!$A$6:$N$9,MATCH(购销流水!$D721,记账规则!$A$6:$A$9,0),8),""))</f>
        <v/>
      </c>
      <c r="O2867" s="67" t="n">
        <f aca="false">IF($H2867="",0,ROUND(IF($N2867="成本金额",N(购销流水!$W721),IF($N2867="金额",N(购销流水!$Q721),0)),2))</f>
        <v>0</v>
      </c>
      <c r="P2867" s="64" t="str">
        <f aca="false">IF(AND($H2867&lt;&gt;"",ROUND($O2867,2)&lt;&gt;0),"有","")</f>
        <v/>
      </c>
    </row>
    <row r="2868" customFormat="false" ht="15" hidden="true" customHeight="false" outlineLevel="0" collapsed="false">
      <c r="A2868" s="53" t="str">
        <f aca="false">IF($H2868="","",ROW()-5)</f>
        <v/>
      </c>
      <c r="B2868" s="64" t="s">
        <v>36</v>
      </c>
      <c r="C2868" s="53" t="n">
        <v>721</v>
      </c>
      <c r="D2868" s="53" t="n">
        <v>3</v>
      </c>
      <c r="E2868" s="65" t="str">
        <f aca="false">IF($H2868="","",购销流水!$B721)</f>
        <v/>
      </c>
      <c r="F2868" s="55" t="str">
        <f aca="false">IF($H2868="","",购销流水!$C721)</f>
        <v/>
      </c>
      <c r="G2868" s="48" t="str">
        <f aca="false">IF($H2868="","",购销流水!$N721)</f>
        <v/>
      </c>
      <c r="H2868" s="10" t="str">
        <f aca="false">IF($L2868="","",IF($L2868="@成本",购销流水!$U721,IF($L2868="@收入",购销流水!$T721,IF($L2868="@存货",购销流水!$S721,IF($L2868="@结算",购销流水!$R721,$L2868)))))</f>
        <v/>
      </c>
      <c r="I2868" s="42" t="n">
        <f aca="false">IF($M2868="借",$O2868,0)</f>
        <v>0</v>
      </c>
      <c r="J2868" s="42" t="n">
        <f aca="false">IF($M2868="贷",$O2868,0)</f>
        <v>0</v>
      </c>
      <c r="K2868" s="48" t="str">
        <f aca="false">IF($H2868="","",购销流水!$E721)</f>
        <v/>
      </c>
      <c r="L2868" s="66" t="str">
        <f aca="false">IF(购销流水!$D721="","",IFERROR(INDEX(记账规则!$A$6:$N$9,MATCH(购销流水!$D721,记账规则!$A$6:$A$9,0),9),""))</f>
        <v/>
      </c>
      <c r="M2868" s="66" t="str">
        <f aca="false">IF($L2868="","",IFERROR(INDEX(记账规则!$A$6:$N$9,MATCH(购销流水!$D721,记账规则!$A$6:$A$9,0),10),""))</f>
        <v/>
      </c>
      <c r="N2868" s="66" t="str">
        <f aca="false">IF($L2868="","",IFERROR(INDEX(记账规则!$A$6:$N$9,MATCH(购销流水!$D721,记账规则!$A$6:$A$9,0),11),""))</f>
        <v/>
      </c>
      <c r="O2868" s="67" t="n">
        <f aca="false">IF($H2868="",0,ROUND(IF($N2868="成本金额",N(购销流水!$W721),IF($N2868="金额",N(购销流水!$Q721),0)),2))</f>
        <v>0</v>
      </c>
      <c r="P2868" s="64" t="str">
        <f aca="false">IF(AND($H2868&lt;&gt;"",ROUND($O2868,2)&lt;&gt;0),"有","")</f>
        <v/>
      </c>
    </row>
    <row r="2869" customFormat="false" ht="15" hidden="true" customHeight="false" outlineLevel="0" collapsed="false">
      <c r="A2869" s="53" t="str">
        <f aca="false">IF($H2869="","",ROW()-5)</f>
        <v/>
      </c>
      <c r="B2869" s="64" t="s">
        <v>36</v>
      </c>
      <c r="C2869" s="53" t="n">
        <v>721</v>
      </c>
      <c r="D2869" s="53" t="n">
        <v>4</v>
      </c>
      <c r="E2869" s="65" t="str">
        <f aca="false">IF($H2869="","",购销流水!$B721)</f>
        <v/>
      </c>
      <c r="F2869" s="55" t="str">
        <f aca="false">IF($H2869="","",购销流水!$C721)</f>
        <v/>
      </c>
      <c r="G2869" s="48" t="str">
        <f aca="false">IF($H2869="","",购销流水!$N721)</f>
        <v/>
      </c>
      <c r="H2869" s="10" t="str">
        <f aca="false">IF($L2869="","",IF($L2869="@成本",购销流水!$U721,IF($L2869="@收入",购销流水!$T721,IF($L2869="@存货",购销流水!$S721,IF($L2869="@结算",购销流水!$R721,$L2869)))))</f>
        <v/>
      </c>
      <c r="I2869" s="42" t="n">
        <f aca="false">IF($M2869="借",$O2869,0)</f>
        <v>0</v>
      </c>
      <c r="J2869" s="42" t="n">
        <f aca="false">IF($M2869="贷",$O2869,0)</f>
        <v>0</v>
      </c>
      <c r="K2869" s="48" t="str">
        <f aca="false">IF($H2869="","",购销流水!$E721)</f>
        <v/>
      </c>
      <c r="L2869" s="66" t="str">
        <f aca="false">IF(购销流水!$D721="","",IFERROR(INDEX(记账规则!$A$6:$N$9,MATCH(购销流水!$D721,记账规则!$A$6:$A$9,0),12),""))</f>
        <v/>
      </c>
      <c r="M2869" s="66" t="str">
        <f aca="false">IF($L2869="","",IFERROR(INDEX(记账规则!$A$6:$N$9,MATCH(购销流水!$D721,记账规则!$A$6:$A$9,0),13),""))</f>
        <v/>
      </c>
      <c r="N2869" s="66" t="str">
        <f aca="false">IF($L2869="","",IFERROR(INDEX(记账规则!$A$6:$N$9,MATCH(购销流水!$D721,记账规则!$A$6:$A$9,0),14),""))</f>
        <v/>
      </c>
      <c r="O2869" s="67" t="n">
        <f aca="false">IF($H2869="",0,ROUND(IF($N2869="成本金额",N(购销流水!$W721),IF($N2869="金额",N(购销流水!$Q721),0)),2))</f>
        <v>0</v>
      </c>
      <c r="P2869" s="64" t="str">
        <f aca="false">IF(AND($H2869&lt;&gt;"",ROUND($O2869,2)&lt;&gt;0),"有","")</f>
        <v/>
      </c>
    </row>
    <row r="2870" customFormat="false" ht="15" hidden="true" customHeight="false" outlineLevel="0" collapsed="false">
      <c r="A2870" s="53" t="str">
        <f aca="false">IF($H2870="","",ROW()-5)</f>
        <v/>
      </c>
      <c r="B2870" s="64" t="s">
        <v>36</v>
      </c>
      <c r="C2870" s="53" t="n">
        <v>722</v>
      </c>
      <c r="D2870" s="53" t="n">
        <v>1</v>
      </c>
      <c r="E2870" s="65" t="str">
        <f aca="false">IF($H2870="","",购销流水!$B722)</f>
        <v/>
      </c>
      <c r="F2870" s="55" t="str">
        <f aca="false">IF($H2870="","",购销流水!$C722)</f>
        <v/>
      </c>
      <c r="G2870" s="48" t="str">
        <f aca="false">IF($H2870="","",购销流水!$N722)</f>
        <v/>
      </c>
      <c r="H2870" s="10" t="str">
        <f aca="false">IF($L2870="","",IF($L2870="@成本",购销流水!$U722,IF($L2870="@收入",购销流水!$T722,IF($L2870="@存货",购销流水!$S722,IF($L2870="@结算",购销流水!$R722,$L2870)))))</f>
        <v/>
      </c>
      <c r="I2870" s="42" t="n">
        <f aca="false">IF($M2870="借",$O2870,0)</f>
        <v>0</v>
      </c>
      <c r="J2870" s="42" t="n">
        <f aca="false">IF($M2870="贷",$O2870,0)</f>
        <v>0</v>
      </c>
      <c r="K2870" s="48" t="str">
        <f aca="false">IF($H2870="","",购销流水!$E722)</f>
        <v/>
      </c>
      <c r="L2870" s="66" t="str">
        <f aca="false">IF(购销流水!$D722="","",IFERROR(INDEX(记账规则!$A$6:$N$9,MATCH(购销流水!$D722,记账规则!$A$6:$A$9,0),3),""))</f>
        <v/>
      </c>
      <c r="M2870" s="66" t="str">
        <f aca="false">IF($L2870="","",IFERROR(INDEX(记账规则!$A$6:$N$9,MATCH(购销流水!$D722,记账规则!$A$6:$A$9,0),4),""))</f>
        <v/>
      </c>
      <c r="N2870" s="66" t="str">
        <f aca="false">IF($L2870="","",IFERROR(INDEX(记账规则!$A$6:$N$9,MATCH(购销流水!$D722,记账规则!$A$6:$A$9,0),5),""))</f>
        <v/>
      </c>
      <c r="O2870" s="67" t="n">
        <f aca="false">IF($H2870="",0,ROUND(IF($N2870="成本金额",N(购销流水!$W722),IF($N2870="金额",N(购销流水!$Q722),0)),2))</f>
        <v>0</v>
      </c>
      <c r="P2870" s="64" t="str">
        <f aca="false">IF(AND($H2870&lt;&gt;"",ROUND($O2870,2)&lt;&gt;0),"有","")</f>
        <v/>
      </c>
    </row>
    <row r="2871" customFormat="false" ht="15" hidden="true" customHeight="false" outlineLevel="0" collapsed="false">
      <c r="A2871" s="53" t="str">
        <f aca="false">IF($H2871="","",ROW()-5)</f>
        <v/>
      </c>
      <c r="B2871" s="64" t="s">
        <v>36</v>
      </c>
      <c r="C2871" s="53" t="n">
        <v>722</v>
      </c>
      <c r="D2871" s="53" t="n">
        <v>2</v>
      </c>
      <c r="E2871" s="65" t="str">
        <f aca="false">IF($H2871="","",购销流水!$B722)</f>
        <v/>
      </c>
      <c r="F2871" s="55" t="str">
        <f aca="false">IF($H2871="","",购销流水!$C722)</f>
        <v/>
      </c>
      <c r="G2871" s="48" t="str">
        <f aca="false">IF($H2871="","",购销流水!$N722)</f>
        <v/>
      </c>
      <c r="H2871" s="10" t="str">
        <f aca="false">IF($L2871="","",IF($L2871="@成本",购销流水!$U722,IF($L2871="@收入",购销流水!$T722,IF($L2871="@存货",购销流水!$S722,IF($L2871="@结算",购销流水!$R722,$L2871)))))</f>
        <v/>
      </c>
      <c r="I2871" s="42" t="n">
        <f aca="false">IF($M2871="借",$O2871,0)</f>
        <v>0</v>
      </c>
      <c r="J2871" s="42" t="n">
        <f aca="false">IF($M2871="贷",$O2871,0)</f>
        <v>0</v>
      </c>
      <c r="K2871" s="48" t="str">
        <f aca="false">IF($H2871="","",购销流水!$E722)</f>
        <v/>
      </c>
      <c r="L2871" s="66" t="str">
        <f aca="false">IF(购销流水!$D722="","",IFERROR(INDEX(记账规则!$A$6:$N$9,MATCH(购销流水!$D722,记账规则!$A$6:$A$9,0),6),""))</f>
        <v/>
      </c>
      <c r="M2871" s="66" t="str">
        <f aca="false">IF($L2871="","",IFERROR(INDEX(记账规则!$A$6:$N$9,MATCH(购销流水!$D722,记账规则!$A$6:$A$9,0),7),""))</f>
        <v/>
      </c>
      <c r="N2871" s="66" t="str">
        <f aca="false">IF($L2871="","",IFERROR(INDEX(记账规则!$A$6:$N$9,MATCH(购销流水!$D722,记账规则!$A$6:$A$9,0),8),""))</f>
        <v/>
      </c>
      <c r="O2871" s="67" t="n">
        <f aca="false">IF($H2871="",0,ROUND(IF($N2871="成本金额",N(购销流水!$W722),IF($N2871="金额",N(购销流水!$Q722),0)),2))</f>
        <v>0</v>
      </c>
      <c r="P2871" s="64" t="str">
        <f aca="false">IF(AND($H2871&lt;&gt;"",ROUND($O2871,2)&lt;&gt;0),"有","")</f>
        <v/>
      </c>
    </row>
    <row r="2872" customFormat="false" ht="15" hidden="true" customHeight="false" outlineLevel="0" collapsed="false">
      <c r="A2872" s="53" t="str">
        <f aca="false">IF($H2872="","",ROW()-5)</f>
        <v/>
      </c>
      <c r="B2872" s="64" t="s">
        <v>36</v>
      </c>
      <c r="C2872" s="53" t="n">
        <v>722</v>
      </c>
      <c r="D2872" s="53" t="n">
        <v>3</v>
      </c>
      <c r="E2872" s="65" t="str">
        <f aca="false">IF($H2872="","",购销流水!$B722)</f>
        <v/>
      </c>
      <c r="F2872" s="55" t="str">
        <f aca="false">IF($H2872="","",购销流水!$C722)</f>
        <v/>
      </c>
      <c r="G2872" s="48" t="str">
        <f aca="false">IF($H2872="","",购销流水!$N722)</f>
        <v/>
      </c>
      <c r="H2872" s="10" t="str">
        <f aca="false">IF($L2872="","",IF($L2872="@成本",购销流水!$U722,IF($L2872="@收入",购销流水!$T722,IF($L2872="@存货",购销流水!$S722,IF($L2872="@结算",购销流水!$R722,$L2872)))))</f>
        <v/>
      </c>
      <c r="I2872" s="42" t="n">
        <f aca="false">IF($M2872="借",$O2872,0)</f>
        <v>0</v>
      </c>
      <c r="J2872" s="42" t="n">
        <f aca="false">IF($M2872="贷",$O2872,0)</f>
        <v>0</v>
      </c>
      <c r="K2872" s="48" t="str">
        <f aca="false">IF($H2872="","",购销流水!$E722)</f>
        <v/>
      </c>
      <c r="L2872" s="66" t="str">
        <f aca="false">IF(购销流水!$D722="","",IFERROR(INDEX(记账规则!$A$6:$N$9,MATCH(购销流水!$D722,记账规则!$A$6:$A$9,0),9),""))</f>
        <v/>
      </c>
      <c r="M2872" s="66" t="str">
        <f aca="false">IF($L2872="","",IFERROR(INDEX(记账规则!$A$6:$N$9,MATCH(购销流水!$D722,记账规则!$A$6:$A$9,0),10),""))</f>
        <v/>
      </c>
      <c r="N2872" s="66" t="str">
        <f aca="false">IF($L2872="","",IFERROR(INDEX(记账规则!$A$6:$N$9,MATCH(购销流水!$D722,记账规则!$A$6:$A$9,0),11),""))</f>
        <v/>
      </c>
      <c r="O2872" s="67" t="n">
        <f aca="false">IF($H2872="",0,ROUND(IF($N2872="成本金额",N(购销流水!$W722),IF($N2872="金额",N(购销流水!$Q722),0)),2))</f>
        <v>0</v>
      </c>
      <c r="P2872" s="64" t="str">
        <f aca="false">IF(AND($H2872&lt;&gt;"",ROUND($O2872,2)&lt;&gt;0),"有","")</f>
        <v/>
      </c>
    </row>
    <row r="2873" customFormat="false" ht="15" hidden="true" customHeight="false" outlineLevel="0" collapsed="false">
      <c r="A2873" s="53" t="str">
        <f aca="false">IF($H2873="","",ROW()-5)</f>
        <v/>
      </c>
      <c r="B2873" s="64" t="s">
        <v>36</v>
      </c>
      <c r="C2873" s="53" t="n">
        <v>722</v>
      </c>
      <c r="D2873" s="53" t="n">
        <v>4</v>
      </c>
      <c r="E2873" s="65" t="str">
        <f aca="false">IF($H2873="","",购销流水!$B722)</f>
        <v/>
      </c>
      <c r="F2873" s="55" t="str">
        <f aca="false">IF($H2873="","",购销流水!$C722)</f>
        <v/>
      </c>
      <c r="G2873" s="48" t="str">
        <f aca="false">IF($H2873="","",购销流水!$N722)</f>
        <v/>
      </c>
      <c r="H2873" s="10" t="str">
        <f aca="false">IF($L2873="","",IF($L2873="@成本",购销流水!$U722,IF($L2873="@收入",购销流水!$T722,IF($L2873="@存货",购销流水!$S722,IF($L2873="@结算",购销流水!$R722,$L2873)))))</f>
        <v/>
      </c>
      <c r="I2873" s="42" t="n">
        <f aca="false">IF($M2873="借",$O2873,0)</f>
        <v>0</v>
      </c>
      <c r="J2873" s="42" t="n">
        <f aca="false">IF($M2873="贷",$O2873,0)</f>
        <v>0</v>
      </c>
      <c r="K2873" s="48" t="str">
        <f aca="false">IF($H2873="","",购销流水!$E722)</f>
        <v/>
      </c>
      <c r="L2873" s="66" t="str">
        <f aca="false">IF(购销流水!$D722="","",IFERROR(INDEX(记账规则!$A$6:$N$9,MATCH(购销流水!$D722,记账规则!$A$6:$A$9,0),12),""))</f>
        <v/>
      </c>
      <c r="M2873" s="66" t="str">
        <f aca="false">IF($L2873="","",IFERROR(INDEX(记账规则!$A$6:$N$9,MATCH(购销流水!$D722,记账规则!$A$6:$A$9,0),13),""))</f>
        <v/>
      </c>
      <c r="N2873" s="66" t="str">
        <f aca="false">IF($L2873="","",IFERROR(INDEX(记账规则!$A$6:$N$9,MATCH(购销流水!$D722,记账规则!$A$6:$A$9,0),14),""))</f>
        <v/>
      </c>
      <c r="O2873" s="67" t="n">
        <f aca="false">IF($H2873="",0,ROUND(IF($N2873="成本金额",N(购销流水!$W722),IF($N2873="金额",N(购销流水!$Q722),0)),2))</f>
        <v>0</v>
      </c>
      <c r="P2873" s="64" t="str">
        <f aca="false">IF(AND($H2873&lt;&gt;"",ROUND($O2873,2)&lt;&gt;0),"有","")</f>
        <v/>
      </c>
    </row>
    <row r="2874" customFormat="false" ht="15" hidden="true" customHeight="false" outlineLevel="0" collapsed="false">
      <c r="A2874" s="53" t="str">
        <f aca="false">IF($H2874="","",ROW()-5)</f>
        <v/>
      </c>
      <c r="B2874" s="64" t="s">
        <v>36</v>
      </c>
      <c r="C2874" s="53" t="n">
        <v>723</v>
      </c>
      <c r="D2874" s="53" t="n">
        <v>1</v>
      </c>
      <c r="E2874" s="65" t="str">
        <f aca="false">IF($H2874="","",购销流水!$B723)</f>
        <v/>
      </c>
      <c r="F2874" s="55" t="str">
        <f aca="false">IF($H2874="","",购销流水!$C723)</f>
        <v/>
      </c>
      <c r="G2874" s="48" t="str">
        <f aca="false">IF($H2874="","",购销流水!$N723)</f>
        <v/>
      </c>
      <c r="H2874" s="10" t="str">
        <f aca="false">IF($L2874="","",IF($L2874="@成本",购销流水!$U723,IF($L2874="@收入",购销流水!$T723,IF($L2874="@存货",购销流水!$S723,IF($L2874="@结算",购销流水!$R723,$L2874)))))</f>
        <v/>
      </c>
      <c r="I2874" s="42" t="n">
        <f aca="false">IF($M2874="借",$O2874,0)</f>
        <v>0</v>
      </c>
      <c r="J2874" s="42" t="n">
        <f aca="false">IF($M2874="贷",$O2874,0)</f>
        <v>0</v>
      </c>
      <c r="K2874" s="48" t="str">
        <f aca="false">IF($H2874="","",购销流水!$E723)</f>
        <v/>
      </c>
      <c r="L2874" s="66" t="str">
        <f aca="false">IF(购销流水!$D723="","",IFERROR(INDEX(记账规则!$A$6:$N$9,MATCH(购销流水!$D723,记账规则!$A$6:$A$9,0),3),""))</f>
        <v/>
      </c>
      <c r="M2874" s="66" t="str">
        <f aca="false">IF($L2874="","",IFERROR(INDEX(记账规则!$A$6:$N$9,MATCH(购销流水!$D723,记账规则!$A$6:$A$9,0),4),""))</f>
        <v/>
      </c>
      <c r="N2874" s="66" t="str">
        <f aca="false">IF($L2874="","",IFERROR(INDEX(记账规则!$A$6:$N$9,MATCH(购销流水!$D723,记账规则!$A$6:$A$9,0),5),""))</f>
        <v/>
      </c>
      <c r="O2874" s="67" t="n">
        <f aca="false">IF($H2874="",0,ROUND(IF($N2874="成本金额",N(购销流水!$W723),IF($N2874="金额",N(购销流水!$Q723),0)),2))</f>
        <v>0</v>
      </c>
      <c r="P2874" s="64" t="str">
        <f aca="false">IF(AND($H2874&lt;&gt;"",ROUND($O2874,2)&lt;&gt;0),"有","")</f>
        <v/>
      </c>
    </row>
    <row r="2875" customFormat="false" ht="15" hidden="true" customHeight="false" outlineLevel="0" collapsed="false">
      <c r="A2875" s="53" t="str">
        <f aca="false">IF($H2875="","",ROW()-5)</f>
        <v/>
      </c>
      <c r="B2875" s="64" t="s">
        <v>36</v>
      </c>
      <c r="C2875" s="53" t="n">
        <v>723</v>
      </c>
      <c r="D2875" s="53" t="n">
        <v>2</v>
      </c>
      <c r="E2875" s="65" t="str">
        <f aca="false">IF($H2875="","",购销流水!$B723)</f>
        <v/>
      </c>
      <c r="F2875" s="55" t="str">
        <f aca="false">IF($H2875="","",购销流水!$C723)</f>
        <v/>
      </c>
      <c r="G2875" s="48" t="str">
        <f aca="false">IF($H2875="","",购销流水!$N723)</f>
        <v/>
      </c>
      <c r="H2875" s="10" t="str">
        <f aca="false">IF($L2875="","",IF($L2875="@成本",购销流水!$U723,IF($L2875="@收入",购销流水!$T723,IF($L2875="@存货",购销流水!$S723,IF($L2875="@结算",购销流水!$R723,$L2875)))))</f>
        <v/>
      </c>
      <c r="I2875" s="42" t="n">
        <f aca="false">IF($M2875="借",$O2875,0)</f>
        <v>0</v>
      </c>
      <c r="J2875" s="42" t="n">
        <f aca="false">IF($M2875="贷",$O2875,0)</f>
        <v>0</v>
      </c>
      <c r="K2875" s="48" t="str">
        <f aca="false">IF($H2875="","",购销流水!$E723)</f>
        <v/>
      </c>
      <c r="L2875" s="66" t="str">
        <f aca="false">IF(购销流水!$D723="","",IFERROR(INDEX(记账规则!$A$6:$N$9,MATCH(购销流水!$D723,记账规则!$A$6:$A$9,0),6),""))</f>
        <v/>
      </c>
      <c r="M2875" s="66" t="str">
        <f aca="false">IF($L2875="","",IFERROR(INDEX(记账规则!$A$6:$N$9,MATCH(购销流水!$D723,记账规则!$A$6:$A$9,0),7),""))</f>
        <v/>
      </c>
      <c r="N2875" s="66" t="str">
        <f aca="false">IF($L2875="","",IFERROR(INDEX(记账规则!$A$6:$N$9,MATCH(购销流水!$D723,记账规则!$A$6:$A$9,0),8),""))</f>
        <v/>
      </c>
      <c r="O2875" s="67" t="n">
        <f aca="false">IF($H2875="",0,ROUND(IF($N2875="成本金额",N(购销流水!$W723),IF($N2875="金额",N(购销流水!$Q723),0)),2))</f>
        <v>0</v>
      </c>
      <c r="P2875" s="64" t="str">
        <f aca="false">IF(AND($H2875&lt;&gt;"",ROUND($O2875,2)&lt;&gt;0),"有","")</f>
        <v/>
      </c>
    </row>
    <row r="2876" customFormat="false" ht="15" hidden="true" customHeight="false" outlineLevel="0" collapsed="false">
      <c r="A2876" s="53" t="str">
        <f aca="false">IF($H2876="","",ROW()-5)</f>
        <v/>
      </c>
      <c r="B2876" s="64" t="s">
        <v>36</v>
      </c>
      <c r="C2876" s="53" t="n">
        <v>723</v>
      </c>
      <c r="D2876" s="53" t="n">
        <v>3</v>
      </c>
      <c r="E2876" s="65" t="str">
        <f aca="false">IF($H2876="","",购销流水!$B723)</f>
        <v/>
      </c>
      <c r="F2876" s="55" t="str">
        <f aca="false">IF($H2876="","",购销流水!$C723)</f>
        <v/>
      </c>
      <c r="G2876" s="48" t="str">
        <f aca="false">IF($H2876="","",购销流水!$N723)</f>
        <v/>
      </c>
      <c r="H2876" s="10" t="str">
        <f aca="false">IF($L2876="","",IF($L2876="@成本",购销流水!$U723,IF($L2876="@收入",购销流水!$T723,IF($L2876="@存货",购销流水!$S723,IF($L2876="@结算",购销流水!$R723,$L2876)))))</f>
        <v/>
      </c>
      <c r="I2876" s="42" t="n">
        <f aca="false">IF($M2876="借",$O2876,0)</f>
        <v>0</v>
      </c>
      <c r="J2876" s="42" t="n">
        <f aca="false">IF($M2876="贷",$O2876,0)</f>
        <v>0</v>
      </c>
      <c r="K2876" s="48" t="str">
        <f aca="false">IF($H2876="","",购销流水!$E723)</f>
        <v/>
      </c>
      <c r="L2876" s="66" t="str">
        <f aca="false">IF(购销流水!$D723="","",IFERROR(INDEX(记账规则!$A$6:$N$9,MATCH(购销流水!$D723,记账规则!$A$6:$A$9,0),9),""))</f>
        <v/>
      </c>
      <c r="M2876" s="66" t="str">
        <f aca="false">IF($L2876="","",IFERROR(INDEX(记账规则!$A$6:$N$9,MATCH(购销流水!$D723,记账规则!$A$6:$A$9,0),10),""))</f>
        <v/>
      </c>
      <c r="N2876" s="66" t="str">
        <f aca="false">IF($L2876="","",IFERROR(INDEX(记账规则!$A$6:$N$9,MATCH(购销流水!$D723,记账规则!$A$6:$A$9,0),11),""))</f>
        <v/>
      </c>
      <c r="O2876" s="67" t="n">
        <f aca="false">IF($H2876="",0,ROUND(IF($N2876="成本金额",N(购销流水!$W723),IF($N2876="金额",N(购销流水!$Q723),0)),2))</f>
        <v>0</v>
      </c>
      <c r="P2876" s="64" t="str">
        <f aca="false">IF(AND($H2876&lt;&gt;"",ROUND($O2876,2)&lt;&gt;0),"有","")</f>
        <v/>
      </c>
    </row>
    <row r="2877" customFormat="false" ht="15" hidden="true" customHeight="false" outlineLevel="0" collapsed="false">
      <c r="A2877" s="53" t="str">
        <f aca="false">IF($H2877="","",ROW()-5)</f>
        <v/>
      </c>
      <c r="B2877" s="64" t="s">
        <v>36</v>
      </c>
      <c r="C2877" s="53" t="n">
        <v>723</v>
      </c>
      <c r="D2877" s="53" t="n">
        <v>4</v>
      </c>
      <c r="E2877" s="65" t="str">
        <f aca="false">IF($H2877="","",购销流水!$B723)</f>
        <v/>
      </c>
      <c r="F2877" s="55" t="str">
        <f aca="false">IF($H2877="","",购销流水!$C723)</f>
        <v/>
      </c>
      <c r="G2877" s="48" t="str">
        <f aca="false">IF($H2877="","",购销流水!$N723)</f>
        <v/>
      </c>
      <c r="H2877" s="10" t="str">
        <f aca="false">IF($L2877="","",IF($L2877="@成本",购销流水!$U723,IF($L2877="@收入",购销流水!$T723,IF($L2877="@存货",购销流水!$S723,IF($L2877="@结算",购销流水!$R723,$L2877)))))</f>
        <v/>
      </c>
      <c r="I2877" s="42" t="n">
        <f aca="false">IF($M2877="借",$O2877,0)</f>
        <v>0</v>
      </c>
      <c r="J2877" s="42" t="n">
        <f aca="false">IF($M2877="贷",$O2877,0)</f>
        <v>0</v>
      </c>
      <c r="K2877" s="48" t="str">
        <f aca="false">IF($H2877="","",购销流水!$E723)</f>
        <v/>
      </c>
      <c r="L2877" s="66" t="str">
        <f aca="false">IF(购销流水!$D723="","",IFERROR(INDEX(记账规则!$A$6:$N$9,MATCH(购销流水!$D723,记账规则!$A$6:$A$9,0),12),""))</f>
        <v/>
      </c>
      <c r="M2877" s="66" t="str">
        <f aca="false">IF($L2877="","",IFERROR(INDEX(记账规则!$A$6:$N$9,MATCH(购销流水!$D723,记账规则!$A$6:$A$9,0),13),""))</f>
        <v/>
      </c>
      <c r="N2877" s="66" t="str">
        <f aca="false">IF($L2877="","",IFERROR(INDEX(记账规则!$A$6:$N$9,MATCH(购销流水!$D723,记账规则!$A$6:$A$9,0),14),""))</f>
        <v/>
      </c>
      <c r="O2877" s="67" t="n">
        <f aca="false">IF($H2877="",0,ROUND(IF($N2877="成本金额",N(购销流水!$W723),IF($N2877="金额",N(购销流水!$Q723),0)),2))</f>
        <v>0</v>
      </c>
      <c r="P2877" s="64" t="str">
        <f aca="false">IF(AND($H2877&lt;&gt;"",ROUND($O2877,2)&lt;&gt;0),"有","")</f>
        <v/>
      </c>
    </row>
    <row r="2878" customFormat="false" ht="15" hidden="true" customHeight="false" outlineLevel="0" collapsed="false">
      <c r="A2878" s="53" t="str">
        <f aca="false">IF($H2878="","",ROW()-5)</f>
        <v/>
      </c>
      <c r="B2878" s="64" t="s">
        <v>36</v>
      </c>
      <c r="C2878" s="53" t="n">
        <v>724</v>
      </c>
      <c r="D2878" s="53" t="n">
        <v>1</v>
      </c>
      <c r="E2878" s="65" t="str">
        <f aca="false">IF($H2878="","",购销流水!$B724)</f>
        <v/>
      </c>
      <c r="F2878" s="55" t="str">
        <f aca="false">IF($H2878="","",购销流水!$C724)</f>
        <v/>
      </c>
      <c r="G2878" s="48" t="str">
        <f aca="false">IF($H2878="","",购销流水!$N724)</f>
        <v/>
      </c>
      <c r="H2878" s="10" t="str">
        <f aca="false">IF($L2878="","",IF($L2878="@成本",购销流水!$U724,IF($L2878="@收入",购销流水!$T724,IF($L2878="@存货",购销流水!$S724,IF($L2878="@结算",购销流水!$R724,$L2878)))))</f>
        <v/>
      </c>
      <c r="I2878" s="42" t="n">
        <f aca="false">IF($M2878="借",$O2878,0)</f>
        <v>0</v>
      </c>
      <c r="J2878" s="42" t="n">
        <f aca="false">IF($M2878="贷",$O2878,0)</f>
        <v>0</v>
      </c>
      <c r="K2878" s="48" t="str">
        <f aca="false">IF($H2878="","",购销流水!$E724)</f>
        <v/>
      </c>
      <c r="L2878" s="66" t="str">
        <f aca="false">IF(购销流水!$D724="","",IFERROR(INDEX(记账规则!$A$6:$N$9,MATCH(购销流水!$D724,记账规则!$A$6:$A$9,0),3),""))</f>
        <v/>
      </c>
      <c r="M2878" s="66" t="str">
        <f aca="false">IF($L2878="","",IFERROR(INDEX(记账规则!$A$6:$N$9,MATCH(购销流水!$D724,记账规则!$A$6:$A$9,0),4),""))</f>
        <v/>
      </c>
      <c r="N2878" s="66" t="str">
        <f aca="false">IF($L2878="","",IFERROR(INDEX(记账规则!$A$6:$N$9,MATCH(购销流水!$D724,记账规则!$A$6:$A$9,0),5),""))</f>
        <v/>
      </c>
      <c r="O2878" s="67" t="n">
        <f aca="false">IF($H2878="",0,ROUND(IF($N2878="成本金额",N(购销流水!$W724),IF($N2878="金额",N(购销流水!$Q724),0)),2))</f>
        <v>0</v>
      </c>
      <c r="P2878" s="64" t="str">
        <f aca="false">IF(AND($H2878&lt;&gt;"",ROUND($O2878,2)&lt;&gt;0),"有","")</f>
        <v/>
      </c>
    </row>
    <row r="2879" customFormat="false" ht="15" hidden="true" customHeight="false" outlineLevel="0" collapsed="false">
      <c r="A2879" s="53" t="str">
        <f aca="false">IF($H2879="","",ROW()-5)</f>
        <v/>
      </c>
      <c r="B2879" s="64" t="s">
        <v>36</v>
      </c>
      <c r="C2879" s="53" t="n">
        <v>724</v>
      </c>
      <c r="D2879" s="53" t="n">
        <v>2</v>
      </c>
      <c r="E2879" s="65" t="str">
        <f aca="false">IF($H2879="","",购销流水!$B724)</f>
        <v/>
      </c>
      <c r="F2879" s="55" t="str">
        <f aca="false">IF($H2879="","",购销流水!$C724)</f>
        <v/>
      </c>
      <c r="G2879" s="48" t="str">
        <f aca="false">IF($H2879="","",购销流水!$N724)</f>
        <v/>
      </c>
      <c r="H2879" s="10" t="str">
        <f aca="false">IF($L2879="","",IF($L2879="@成本",购销流水!$U724,IF($L2879="@收入",购销流水!$T724,IF($L2879="@存货",购销流水!$S724,IF($L2879="@结算",购销流水!$R724,$L2879)))))</f>
        <v/>
      </c>
      <c r="I2879" s="42" t="n">
        <f aca="false">IF($M2879="借",$O2879,0)</f>
        <v>0</v>
      </c>
      <c r="J2879" s="42" t="n">
        <f aca="false">IF($M2879="贷",$O2879,0)</f>
        <v>0</v>
      </c>
      <c r="K2879" s="48" t="str">
        <f aca="false">IF($H2879="","",购销流水!$E724)</f>
        <v/>
      </c>
      <c r="L2879" s="66" t="str">
        <f aca="false">IF(购销流水!$D724="","",IFERROR(INDEX(记账规则!$A$6:$N$9,MATCH(购销流水!$D724,记账规则!$A$6:$A$9,0),6),""))</f>
        <v/>
      </c>
      <c r="M2879" s="66" t="str">
        <f aca="false">IF($L2879="","",IFERROR(INDEX(记账规则!$A$6:$N$9,MATCH(购销流水!$D724,记账规则!$A$6:$A$9,0),7),""))</f>
        <v/>
      </c>
      <c r="N2879" s="66" t="str">
        <f aca="false">IF($L2879="","",IFERROR(INDEX(记账规则!$A$6:$N$9,MATCH(购销流水!$D724,记账规则!$A$6:$A$9,0),8),""))</f>
        <v/>
      </c>
      <c r="O2879" s="67" t="n">
        <f aca="false">IF($H2879="",0,ROUND(IF($N2879="成本金额",N(购销流水!$W724),IF($N2879="金额",N(购销流水!$Q724),0)),2))</f>
        <v>0</v>
      </c>
      <c r="P2879" s="64" t="str">
        <f aca="false">IF(AND($H2879&lt;&gt;"",ROUND($O2879,2)&lt;&gt;0),"有","")</f>
        <v/>
      </c>
    </row>
    <row r="2880" customFormat="false" ht="15" hidden="true" customHeight="false" outlineLevel="0" collapsed="false">
      <c r="A2880" s="53" t="str">
        <f aca="false">IF($H2880="","",ROW()-5)</f>
        <v/>
      </c>
      <c r="B2880" s="64" t="s">
        <v>36</v>
      </c>
      <c r="C2880" s="53" t="n">
        <v>724</v>
      </c>
      <c r="D2880" s="53" t="n">
        <v>3</v>
      </c>
      <c r="E2880" s="65" t="str">
        <f aca="false">IF($H2880="","",购销流水!$B724)</f>
        <v/>
      </c>
      <c r="F2880" s="55" t="str">
        <f aca="false">IF($H2880="","",购销流水!$C724)</f>
        <v/>
      </c>
      <c r="G2880" s="48" t="str">
        <f aca="false">IF($H2880="","",购销流水!$N724)</f>
        <v/>
      </c>
      <c r="H2880" s="10" t="str">
        <f aca="false">IF($L2880="","",IF($L2880="@成本",购销流水!$U724,IF($L2880="@收入",购销流水!$T724,IF($L2880="@存货",购销流水!$S724,IF($L2880="@结算",购销流水!$R724,$L2880)))))</f>
        <v/>
      </c>
      <c r="I2880" s="42" t="n">
        <f aca="false">IF($M2880="借",$O2880,0)</f>
        <v>0</v>
      </c>
      <c r="J2880" s="42" t="n">
        <f aca="false">IF($M2880="贷",$O2880,0)</f>
        <v>0</v>
      </c>
      <c r="K2880" s="48" t="str">
        <f aca="false">IF($H2880="","",购销流水!$E724)</f>
        <v/>
      </c>
      <c r="L2880" s="66" t="str">
        <f aca="false">IF(购销流水!$D724="","",IFERROR(INDEX(记账规则!$A$6:$N$9,MATCH(购销流水!$D724,记账规则!$A$6:$A$9,0),9),""))</f>
        <v/>
      </c>
      <c r="M2880" s="66" t="str">
        <f aca="false">IF($L2880="","",IFERROR(INDEX(记账规则!$A$6:$N$9,MATCH(购销流水!$D724,记账规则!$A$6:$A$9,0),10),""))</f>
        <v/>
      </c>
      <c r="N2880" s="66" t="str">
        <f aca="false">IF($L2880="","",IFERROR(INDEX(记账规则!$A$6:$N$9,MATCH(购销流水!$D724,记账规则!$A$6:$A$9,0),11),""))</f>
        <v/>
      </c>
      <c r="O2880" s="67" t="n">
        <f aca="false">IF($H2880="",0,ROUND(IF($N2880="成本金额",N(购销流水!$W724),IF($N2880="金额",N(购销流水!$Q724),0)),2))</f>
        <v>0</v>
      </c>
      <c r="P2880" s="64" t="str">
        <f aca="false">IF(AND($H2880&lt;&gt;"",ROUND($O2880,2)&lt;&gt;0),"有","")</f>
        <v/>
      </c>
    </row>
    <row r="2881" customFormat="false" ht="15" hidden="true" customHeight="false" outlineLevel="0" collapsed="false">
      <c r="A2881" s="53" t="str">
        <f aca="false">IF($H2881="","",ROW()-5)</f>
        <v/>
      </c>
      <c r="B2881" s="64" t="s">
        <v>36</v>
      </c>
      <c r="C2881" s="53" t="n">
        <v>724</v>
      </c>
      <c r="D2881" s="53" t="n">
        <v>4</v>
      </c>
      <c r="E2881" s="65" t="str">
        <f aca="false">IF($H2881="","",购销流水!$B724)</f>
        <v/>
      </c>
      <c r="F2881" s="55" t="str">
        <f aca="false">IF($H2881="","",购销流水!$C724)</f>
        <v/>
      </c>
      <c r="G2881" s="48" t="str">
        <f aca="false">IF($H2881="","",购销流水!$N724)</f>
        <v/>
      </c>
      <c r="H2881" s="10" t="str">
        <f aca="false">IF($L2881="","",IF($L2881="@成本",购销流水!$U724,IF($L2881="@收入",购销流水!$T724,IF($L2881="@存货",购销流水!$S724,IF($L2881="@结算",购销流水!$R724,$L2881)))))</f>
        <v/>
      </c>
      <c r="I2881" s="42" t="n">
        <f aca="false">IF($M2881="借",$O2881,0)</f>
        <v>0</v>
      </c>
      <c r="J2881" s="42" t="n">
        <f aca="false">IF($M2881="贷",$O2881,0)</f>
        <v>0</v>
      </c>
      <c r="K2881" s="48" t="str">
        <f aca="false">IF($H2881="","",购销流水!$E724)</f>
        <v/>
      </c>
      <c r="L2881" s="66" t="str">
        <f aca="false">IF(购销流水!$D724="","",IFERROR(INDEX(记账规则!$A$6:$N$9,MATCH(购销流水!$D724,记账规则!$A$6:$A$9,0),12),""))</f>
        <v/>
      </c>
      <c r="M2881" s="66" t="str">
        <f aca="false">IF($L2881="","",IFERROR(INDEX(记账规则!$A$6:$N$9,MATCH(购销流水!$D724,记账规则!$A$6:$A$9,0),13),""))</f>
        <v/>
      </c>
      <c r="N2881" s="66" t="str">
        <f aca="false">IF($L2881="","",IFERROR(INDEX(记账规则!$A$6:$N$9,MATCH(购销流水!$D724,记账规则!$A$6:$A$9,0),14),""))</f>
        <v/>
      </c>
      <c r="O2881" s="67" t="n">
        <f aca="false">IF($H2881="",0,ROUND(IF($N2881="成本金额",N(购销流水!$W724),IF($N2881="金额",N(购销流水!$Q724),0)),2))</f>
        <v>0</v>
      </c>
      <c r="P2881" s="64" t="str">
        <f aca="false">IF(AND($H2881&lt;&gt;"",ROUND($O2881,2)&lt;&gt;0),"有","")</f>
        <v/>
      </c>
    </row>
    <row r="2882" customFormat="false" ht="15" hidden="true" customHeight="false" outlineLevel="0" collapsed="false">
      <c r="A2882" s="53" t="str">
        <f aca="false">IF($H2882="","",ROW()-5)</f>
        <v/>
      </c>
      <c r="B2882" s="64" t="s">
        <v>36</v>
      </c>
      <c r="C2882" s="53" t="n">
        <v>725</v>
      </c>
      <c r="D2882" s="53" t="n">
        <v>1</v>
      </c>
      <c r="E2882" s="65" t="str">
        <f aca="false">IF($H2882="","",购销流水!$B725)</f>
        <v/>
      </c>
      <c r="F2882" s="55" t="str">
        <f aca="false">IF($H2882="","",购销流水!$C725)</f>
        <v/>
      </c>
      <c r="G2882" s="48" t="str">
        <f aca="false">IF($H2882="","",购销流水!$N725)</f>
        <v/>
      </c>
      <c r="H2882" s="10" t="str">
        <f aca="false">IF($L2882="","",IF($L2882="@成本",购销流水!$U725,IF($L2882="@收入",购销流水!$T725,IF($L2882="@存货",购销流水!$S725,IF($L2882="@结算",购销流水!$R725,$L2882)))))</f>
        <v/>
      </c>
      <c r="I2882" s="42" t="n">
        <f aca="false">IF($M2882="借",$O2882,0)</f>
        <v>0</v>
      </c>
      <c r="J2882" s="42" t="n">
        <f aca="false">IF($M2882="贷",$O2882,0)</f>
        <v>0</v>
      </c>
      <c r="K2882" s="48" t="str">
        <f aca="false">IF($H2882="","",购销流水!$E725)</f>
        <v/>
      </c>
      <c r="L2882" s="66" t="str">
        <f aca="false">IF(购销流水!$D725="","",IFERROR(INDEX(记账规则!$A$6:$N$9,MATCH(购销流水!$D725,记账规则!$A$6:$A$9,0),3),""))</f>
        <v/>
      </c>
      <c r="M2882" s="66" t="str">
        <f aca="false">IF($L2882="","",IFERROR(INDEX(记账规则!$A$6:$N$9,MATCH(购销流水!$D725,记账规则!$A$6:$A$9,0),4),""))</f>
        <v/>
      </c>
      <c r="N2882" s="66" t="str">
        <f aca="false">IF($L2882="","",IFERROR(INDEX(记账规则!$A$6:$N$9,MATCH(购销流水!$D725,记账规则!$A$6:$A$9,0),5),""))</f>
        <v/>
      </c>
      <c r="O2882" s="67" t="n">
        <f aca="false">IF($H2882="",0,ROUND(IF($N2882="成本金额",N(购销流水!$W725),IF($N2882="金额",N(购销流水!$Q725),0)),2))</f>
        <v>0</v>
      </c>
      <c r="P2882" s="64" t="str">
        <f aca="false">IF(AND($H2882&lt;&gt;"",ROUND($O2882,2)&lt;&gt;0),"有","")</f>
        <v/>
      </c>
    </row>
    <row r="2883" customFormat="false" ht="15" hidden="true" customHeight="false" outlineLevel="0" collapsed="false">
      <c r="A2883" s="53" t="str">
        <f aca="false">IF($H2883="","",ROW()-5)</f>
        <v/>
      </c>
      <c r="B2883" s="64" t="s">
        <v>36</v>
      </c>
      <c r="C2883" s="53" t="n">
        <v>725</v>
      </c>
      <c r="D2883" s="53" t="n">
        <v>2</v>
      </c>
      <c r="E2883" s="65" t="str">
        <f aca="false">IF($H2883="","",购销流水!$B725)</f>
        <v/>
      </c>
      <c r="F2883" s="55" t="str">
        <f aca="false">IF($H2883="","",购销流水!$C725)</f>
        <v/>
      </c>
      <c r="G2883" s="48" t="str">
        <f aca="false">IF($H2883="","",购销流水!$N725)</f>
        <v/>
      </c>
      <c r="H2883" s="10" t="str">
        <f aca="false">IF($L2883="","",IF($L2883="@成本",购销流水!$U725,IF($L2883="@收入",购销流水!$T725,IF($L2883="@存货",购销流水!$S725,IF($L2883="@结算",购销流水!$R725,$L2883)))))</f>
        <v/>
      </c>
      <c r="I2883" s="42" t="n">
        <f aca="false">IF($M2883="借",$O2883,0)</f>
        <v>0</v>
      </c>
      <c r="J2883" s="42" t="n">
        <f aca="false">IF($M2883="贷",$O2883,0)</f>
        <v>0</v>
      </c>
      <c r="K2883" s="48" t="str">
        <f aca="false">IF($H2883="","",购销流水!$E725)</f>
        <v/>
      </c>
      <c r="L2883" s="66" t="str">
        <f aca="false">IF(购销流水!$D725="","",IFERROR(INDEX(记账规则!$A$6:$N$9,MATCH(购销流水!$D725,记账规则!$A$6:$A$9,0),6),""))</f>
        <v/>
      </c>
      <c r="M2883" s="66" t="str">
        <f aca="false">IF($L2883="","",IFERROR(INDEX(记账规则!$A$6:$N$9,MATCH(购销流水!$D725,记账规则!$A$6:$A$9,0),7),""))</f>
        <v/>
      </c>
      <c r="N2883" s="66" t="str">
        <f aca="false">IF($L2883="","",IFERROR(INDEX(记账规则!$A$6:$N$9,MATCH(购销流水!$D725,记账规则!$A$6:$A$9,0),8),""))</f>
        <v/>
      </c>
      <c r="O2883" s="67" t="n">
        <f aca="false">IF($H2883="",0,ROUND(IF($N2883="成本金额",N(购销流水!$W725),IF($N2883="金额",N(购销流水!$Q725),0)),2))</f>
        <v>0</v>
      </c>
      <c r="P2883" s="64" t="str">
        <f aca="false">IF(AND($H2883&lt;&gt;"",ROUND($O2883,2)&lt;&gt;0),"有","")</f>
        <v/>
      </c>
    </row>
    <row r="2884" customFormat="false" ht="15" hidden="true" customHeight="false" outlineLevel="0" collapsed="false">
      <c r="A2884" s="53" t="str">
        <f aca="false">IF($H2884="","",ROW()-5)</f>
        <v/>
      </c>
      <c r="B2884" s="64" t="s">
        <v>36</v>
      </c>
      <c r="C2884" s="53" t="n">
        <v>725</v>
      </c>
      <c r="D2884" s="53" t="n">
        <v>3</v>
      </c>
      <c r="E2884" s="65" t="str">
        <f aca="false">IF($H2884="","",购销流水!$B725)</f>
        <v/>
      </c>
      <c r="F2884" s="55" t="str">
        <f aca="false">IF($H2884="","",购销流水!$C725)</f>
        <v/>
      </c>
      <c r="G2884" s="48" t="str">
        <f aca="false">IF($H2884="","",购销流水!$N725)</f>
        <v/>
      </c>
      <c r="H2884" s="10" t="str">
        <f aca="false">IF($L2884="","",IF($L2884="@成本",购销流水!$U725,IF($L2884="@收入",购销流水!$T725,IF($L2884="@存货",购销流水!$S725,IF($L2884="@结算",购销流水!$R725,$L2884)))))</f>
        <v/>
      </c>
      <c r="I2884" s="42" t="n">
        <f aca="false">IF($M2884="借",$O2884,0)</f>
        <v>0</v>
      </c>
      <c r="J2884" s="42" t="n">
        <f aca="false">IF($M2884="贷",$O2884,0)</f>
        <v>0</v>
      </c>
      <c r="K2884" s="48" t="str">
        <f aca="false">IF($H2884="","",购销流水!$E725)</f>
        <v/>
      </c>
      <c r="L2884" s="66" t="str">
        <f aca="false">IF(购销流水!$D725="","",IFERROR(INDEX(记账规则!$A$6:$N$9,MATCH(购销流水!$D725,记账规则!$A$6:$A$9,0),9),""))</f>
        <v/>
      </c>
      <c r="M2884" s="66" t="str">
        <f aca="false">IF($L2884="","",IFERROR(INDEX(记账规则!$A$6:$N$9,MATCH(购销流水!$D725,记账规则!$A$6:$A$9,0),10),""))</f>
        <v/>
      </c>
      <c r="N2884" s="66" t="str">
        <f aca="false">IF($L2884="","",IFERROR(INDEX(记账规则!$A$6:$N$9,MATCH(购销流水!$D725,记账规则!$A$6:$A$9,0),11),""))</f>
        <v/>
      </c>
      <c r="O2884" s="67" t="n">
        <f aca="false">IF($H2884="",0,ROUND(IF($N2884="成本金额",N(购销流水!$W725),IF($N2884="金额",N(购销流水!$Q725),0)),2))</f>
        <v>0</v>
      </c>
      <c r="P2884" s="64" t="str">
        <f aca="false">IF(AND($H2884&lt;&gt;"",ROUND($O2884,2)&lt;&gt;0),"有","")</f>
        <v/>
      </c>
    </row>
    <row r="2885" customFormat="false" ht="15" hidden="true" customHeight="false" outlineLevel="0" collapsed="false">
      <c r="A2885" s="53" t="str">
        <f aca="false">IF($H2885="","",ROW()-5)</f>
        <v/>
      </c>
      <c r="B2885" s="64" t="s">
        <v>36</v>
      </c>
      <c r="C2885" s="53" t="n">
        <v>725</v>
      </c>
      <c r="D2885" s="53" t="n">
        <v>4</v>
      </c>
      <c r="E2885" s="65" t="str">
        <f aca="false">IF($H2885="","",购销流水!$B725)</f>
        <v/>
      </c>
      <c r="F2885" s="55" t="str">
        <f aca="false">IF($H2885="","",购销流水!$C725)</f>
        <v/>
      </c>
      <c r="G2885" s="48" t="str">
        <f aca="false">IF($H2885="","",购销流水!$N725)</f>
        <v/>
      </c>
      <c r="H2885" s="10" t="str">
        <f aca="false">IF($L2885="","",IF($L2885="@成本",购销流水!$U725,IF($L2885="@收入",购销流水!$T725,IF($L2885="@存货",购销流水!$S725,IF($L2885="@结算",购销流水!$R725,$L2885)))))</f>
        <v/>
      </c>
      <c r="I2885" s="42" t="n">
        <f aca="false">IF($M2885="借",$O2885,0)</f>
        <v>0</v>
      </c>
      <c r="J2885" s="42" t="n">
        <f aca="false">IF($M2885="贷",$O2885,0)</f>
        <v>0</v>
      </c>
      <c r="K2885" s="48" t="str">
        <f aca="false">IF($H2885="","",购销流水!$E725)</f>
        <v/>
      </c>
      <c r="L2885" s="66" t="str">
        <f aca="false">IF(购销流水!$D725="","",IFERROR(INDEX(记账规则!$A$6:$N$9,MATCH(购销流水!$D725,记账规则!$A$6:$A$9,0),12),""))</f>
        <v/>
      </c>
      <c r="M2885" s="66" t="str">
        <f aca="false">IF($L2885="","",IFERROR(INDEX(记账规则!$A$6:$N$9,MATCH(购销流水!$D725,记账规则!$A$6:$A$9,0),13),""))</f>
        <v/>
      </c>
      <c r="N2885" s="66" t="str">
        <f aca="false">IF($L2885="","",IFERROR(INDEX(记账规则!$A$6:$N$9,MATCH(购销流水!$D725,记账规则!$A$6:$A$9,0),14),""))</f>
        <v/>
      </c>
      <c r="O2885" s="67" t="n">
        <f aca="false">IF($H2885="",0,ROUND(IF($N2885="成本金额",N(购销流水!$W725),IF($N2885="金额",N(购销流水!$Q725),0)),2))</f>
        <v>0</v>
      </c>
      <c r="P2885" s="64" t="str">
        <f aca="false">IF(AND($H2885&lt;&gt;"",ROUND($O2885,2)&lt;&gt;0),"有","")</f>
        <v/>
      </c>
    </row>
    <row r="2886" customFormat="false" ht="15" hidden="true" customHeight="false" outlineLevel="0" collapsed="false">
      <c r="A2886" s="53" t="str">
        <f aca="false">IF($H2886="","",ROW()-5)</f>
        <v/>
      </c>
      <c r="B2886" s="64" t="s">
        <v>36</v>
      </c>
      <c r="C2886" s="53" t="n">
        <v>726</v>
      </c>
      <c r="D2886" s="53" t="n">
        <v>1</v>
      </c>
      <c r="E2886" s="65" t="str">
        <f aca="false">IF($H2886="","",购销流水!$B726)</f>
        <v/>
      </c>
      <c r="F2886" s="55" t="str">
        <f aca="false">IF($H2886="","",购销流水!$C726)</f>
        <v/>
      </c>
      <c r="G2886" s="48" t="str">
        <f aca="false">IF($H2886="","",购销流水!$N726)</f>
        <v/>
      </c>
      <c r="H2886" s="10" t="str">
        <f aca="false">IF($L2886="","",IF($L2886="@成本",购销流水!$U726,IF($L2886="@收入",购销流水!$T726,IF($L2886="@存货",购销流水!$S726,IF($L2886="@结算",购销流水!$R726,$L2886)))))</f>
        <v/>
      </c>
      <c r="I2886" s="42" t="n">
        <f aca="false">IF($M2886="借",$O2886,0)</f>
        <v>0</v>
      </c>
      <c r="J2886" s="42" t="n">
        <f aca="false">IF($M2886="贷",$O2886,0)</f>
        <v>0</v>
      </c>
      <c r="K2886" s="48" t="str">
        <f aca="false">IF($H2886="","",购销流水!$E726)</f>
        <v/>
      </c>
      <c r="L2886" s="66" t="str">
        <f aca="false">IF(购销流水!$D726="","",IFERROR(INDEX(记账规则!$A$6:$N$9,MATCH(购销流水!$D726,记账规则!$A$6:$A$9,0),3),""))</f>
        <v/>
      </c>
      <c r="M2886" s="66" t="str">
        <f aca="false">IF($L2886="","",IFERROR(INDEX(记账规则!$A$6:$N$9,MATCH(购销流水!$D726,记账规则!$A$6:$A$9,0),4),""))</f>
        <v/>
      </c>
      <c r="N2886" s="66" t="str">
        <f aca="false">IF($L2886="","",IFERROR(INDEX(记账规则!$A$6:$N$9,MATCH(购销流水!$D726,记账规则!$A$6:$A$9,0),5),""))</f>
        <v/>
      </c>
      <c r="O2886" s="67" t="n">
        <f aca="false">IF($H2886="",0,ROUND(IF($N2886="成本金额",N(购销流水!$W726),IF($N2886="金额",N(购销流水!$Q726),0)),2))</f>
        <v>0</v>
      </c>
      <c r="P2886" s="64" t="str">
        <f aca="false">IF(AND($H2886&lt;&gt;"",ROUND($O2886,2)&lt;&gt;0),"有","")</f>
        <v/>
      </c>
    </row>
    <row r="2887" customFormat="false" ht="15" hidden="true" customHeight="false" outlineLevel="0" collapsed="false">
      <c r="A2887" s="53" t="str">
        <f aca="false">IF($H2887="","",ROW()-5)</f>
        <v/>
      </c>
      <c r="B2887" s="64" t="s">
        <v>36</v>
      </c>
      <c r="C2887" s="53" t="n">
        <v>726</v>
      </c>
      <c r="D2887" s="53" t="n">
        <v>2</v>
      </c>
      <c r="E2887" s="65" t="str">
        <f aca="false">IF($H2887="","",购销流水!$B726)</f>
        <v/>
      </c>
      <c r="F2887" s="55" t="str">
        <f aca="false">IF($H2887="","",购销流水!$C726)</f>
        <v/>
      </c>
      <c r="G2887" s="48" t="str">
        <f aca="false">IF($H2887="","",购销流水!$N726)</f>
        <v/>
      </c>
      <c r="H2887" s="10" t="str">
        <f aca="false">IF($L2887="","",IF($L2887="@成本",购销流水!$U726,IF($L2887="@收入",购销流水!$T726,IF($L2887="@存货",购销流水!$S726,IF($L2887="@结算",购销流水!$R726,$L2887)))))</f>
        <v/>
      </c>
      <c r="I2887" s="42" t="n">
        <f aca="false">IF($M2887="借",$O2887,0)</f>
        <v>0</v>
      </c>
      <c r="J2887" s="42" t="n">
        <f aca="false">IF($M2887="贷",$O2887,0)</f>
        <v>0</v>
      </c>
      <c r="K2887" s="48" t="str">
        <f aca="false">IF($H2887="","",购销流水!$E726)</f>
        <v/>
      </c>
      <c r="L2887" s="66" t="str">
        <f aca="false">IF(购销流水!$D726="","",IFERROR(INDEX(记账规则!$A$6:$N$9,MATCH(购销流水!$D726,记账规则!$A$6:$A$9,0),6),""))</f>
        <v/>
      </c>
      <c r="M2887" s="66" t="str">
        <f aca="false">IF($L2887="","",IFERROR(INDEX(记账规则!$A$6:$N$9,MATCH(购销流水!$D726,记账规则!$A$6:$A$9,0),7),""))</f>
        <v/>
      </c>
      <c r="N2887" s="66" t="str">
        <f aca="false">IF($L2887="","",IFERROR(INDEX(记账规则!$A$6:$N$9,MATCH(购销流水!$D726,记账规则!$A$6:$A$9,0),8),""))</f>
        <v/>
      </c>
      <c r="O2887" s="67" t="n">
        <f aca="false">IF($H2887="",0,ROUND(IF($N2887="成本金额",N(购销流水!$W726),IF($N2887="金额",N(购销流水!$Q726),0)),2))</f>
        <v>0</v>
      </c>
      <c r="P2887" s="64" t="str">
        <f aca="false">IF(AND($H2887&lt;&gt;"",ROUND($O2887,2)&lt;&gt;0),"有","")</f>
        <v/>
      </c>
    </row>
    <row r="2888" customFormat="false" ht="15" hidden="true" customHeight="false" outlineLevel="0" collapsed="false">
      <c r="A2888" s="53" t="str">
        <f aca="false">IF($H2888="","",ROW()-5)</f>
        <v/>
      </c>
      <c r="B2888" s="64" t="s">
        <v>36</v>
      </c>
      <c r="C2888" s="53" t="n">
        <v>726</v>
      </c>
      <c r="D2888" s="53" t="n">
        <v>3</v>
      </c>
      <c r="E2888" s="65" t="str">
        <f aca="false">IF($H2888="","",购销流水!$B726)</f>
        <v/>
      </c>
      <c r="F2888" s="55" t="str">
        <f aca="false">IF($H2888="","",购销流水!$C726)</f>
        <v/>
      </c>
      <c r="G2888" s="48" t="str">
        <f aca="false">IF($H2888="","",购销流水!$N726)</f>
        <v/>
      </c>
      <c r="H2888" s="10" t="str">
        <f aca="false">IF($L2888="","",IF($L2888="@成本",购销流水!$U726,IF($L2888="@收入",购销流水!$T726,IF($L2888="@存货",购销流水!$S726,IF($L2888="@结算",购销流水!$R726,$L2888)))))</f>
        <v/>
      </c>
      <c r="I2888" s="42" t="n">
        <f aca="false">IF($M2888="借",$O2888,0)</f>
        <v>0</v>
      </c>
      <c r="J2888" s="42" t="n">
        <f aca="false">IF($M2888="贷",$O2888,0)</f>
        <v>0</v>
      </c>
      <c r="K2888" s="48" t="str">
        <f aca="false">IF($H2888="","",购销流水!$E726)</f>
        <v/>
      </c>
      <c r="L2888" s="66" t="str">
        <f aca="false">IF(购销流水!$D726="","",IFERROR(INDEX(记账规则!$A$6:$N$9,MATCH(购销流水!$D726,记账规则!$A$6:$A$9,0),9),""))</f>
        <v/>
      </c>
      <c r="M2888" s="66" t="str">
        <f aca="false">IF($L2888="","",IFERROR(INDEX(记账规则!$A$6:$N$9,MATCH(购销流水!$D726,记账规则!$A$6:$A$9,0),10),""))</f>
        <v/>
      </c>
      <c r="N2888" s="66" t="str">
        <f aca="false">IF($L2888="","",IFERROR(INDEX(记账规则!$A$6:$N$9,MATCH(购销流水!$D726,记账规则!$A$6:$A$9,0),11),""))</f>
        <v/>
      </c>
      <c r="O2888" s="67" t="n">
        <f aca="false">IF($H2888="",0,ROUND(IF($N2888="成本金额",N(购销流水!$W726),IF($N2888="金额",N(购销流水!$Q726),0)),2))</f>
        <v>0</v>
      </c>
      <c r="P2888" s="64" t="str">
        <f aca="false">IF(AND($H2888&lt;&gt;"",ROUND($O2888,2)&lt;&gt;0),"有","")</f>
        <v/>
      </c>
    </row>
    <row r="2889" customFormat="false" ht="15" hidden="true" customHeight="false" outlineLevel="0" collapsed="false">
      <c r="A2889" s="53" t="str">
        <f aca="false">IF($H2889="","",ROW()-5)</f>
        <v/>
      </c>
      <c r="B2889" s="64" t="s">
        <v>36</v>
      </c>
      <c r="C2889" s="53" t="n">
        <v>726</v>
      </c>
      <c r="D2889" s="53" t="n">
        <v>4</v>
      </c>
      <c r="E2889" s="65" t="str">
        <f aca="false">IF($H2889="","",购销流水!$B726)</f>
        <v/>
      </c>
      <c r="F2889" s="55" t="str">
        <f aca="false">IF($H2889="","",购销流水!$C726)</f>
        <v/>
      </c>
      <c r="G2889" s="48" t="str">
        <f aca="false">IF($H2889="","",购销流水!$N726)</f>
        <v/>
      </c>
      <c r="H2889" s="10" t="str">
        <f aca="false">IF($L2889="","",IF($L2889="@成本",购销流水!$U726,IF($L2889="@收入",购销流水!$T726,IF($L2889="@存货",购销流水!$S726,IF($L2889="@结算",购销流水!$R726,$L2889)))))</f>
        <v/>
      </c>
      <c r="I2889" s="42" t="n">
        <f aca="false">IF($M2889="借",$O2889,0)</f>
        <v>0</v>
      </c>
      <c r="J2889" s="42" t="n">
        <f aca="false">IF($M2889="贷",$O2889,0)</f>
        <v>0</v>
      </c>
      <c r="K2889" s="48" t="str">
        <f aca="false">IF($H2889="","",购销流水!$E726)</f>
        <v/>
      </c>
      <c r="L2889" s="66" t="str">
        <f aca="false">IF(购销流水!$D726="","",IFERROR(INDEX(记账规则!$A$6:$N$9,MATCH(购销流水!$D726,记账规则!$A$6:$A$9,0),12),""))</f>
        <v/>
      </c>
      <c r="M2889" s="66" t="str">
        <f aca="false">IF($L2889="","",IFERROR(INDEX(记账规则!$A$6:$N$9,MATCH(购销流水!$D726,记账规则!$A$6:$A$9,0),13),""))</f>
        <v/>
      </c>
      <c r="N2889" s="66" t="str">
        <f aca="false">IF($L2889="","",IFERROR(INDEX(记账规则!$A$6:$N$9,MATCH(购销流水!$D726,记账规则!$A$6:$A$9,0),14),""))</f>
        <v/>
      </c>
      <c r="O2889" s="67" t="n">
        <f aca="false">IF($H2889="",0,ROUND(IF($N2889="成本金额",N(购销流水!$W726),IF($N2889="金额",N(购销流水!$Q726),0)),2))</f>
        <v>0</v>
      </c>
      <c r="P2889" s="64" t="str">
        <f aca="false">IF(AND($H2889&lt;&gt;"",ROUND($O2889,2)&lt;&gt;0),"有","")</f>
        <v/>
      </c>
    </row>
    <row r="2890" customFormat="false" ht="15" hidden="true" customHeight="false" outlineLevel="0" collapsed="false">
      <c r="A2890" s="53" t="str">
        <f aca="false">IF($H2890="","",ROW()-5)</f>
        <v/>
      </c>
      <c r="B2890" s="64" t="s">
        <v>36</v>
      </c>
      <c r="C2890" s="53" t="n">
        <v>727</v>
      </c>
      <c r="D2890" s="53" t="n">
        <v>1</v>
      </c>
      <c r="E2890" s="65" t="str">
        <f aca="false">IF($H2890="","",购销流水!$B727)</f>
        <v/>
      </c>
      <c r="F2890" s="55" t="str">
        <f aca="false">IF($H2890="","",购销流水!$C727)</f>
        <v/>
      </c>
      <c r="G2890" s="48" t="str">
        <f aca="false">IF($H2890="","",购销流水!$N727)</f>
        <v/>
      </c>
      <c r="H2890" s="10" t="str">
        <f aca="false">IF($L2890="","",IF($L2890="@成本",购销流水!$U727,IF($L2890="@收入",购销流水!$T727,IF($L2890="@存货",购销流水!$S727,IF($L2890="@结算",购销流水!$R727,$L2890)))))</f>
        <v/>
      </c>
      <c r="I2890" s="42" t="n">
        <f aca="false">IF($M2890="借",$O2890,0)</f>
        <v>0</v>
      </c>
      <c r="J2890" s="42" t="n">
        <f aca="false">IF($M2890="贷",$O2890,0)</f>
        <v>0</v>
      </c>
      <c r="K2890" s="48" t="str">
        <f aca="false">IF($H2890="","",购销流水!$E727)</f>
        <v/>
      </c>
      <c r="L2890" s="66" t="str">
        <f aca="false">IF(购销流水!$D727="","",IFERROR(INDEX(记账规则!$A$6:$N$9,MATCH(购销流水!$D727,记账规则!$A$6:$A$9,0),3),""))</f>
        <v/>
      </c>
      <c r="M2890" s="66" t="str">
        <f aca="false">IF($L2890="","",IFERROR(INDEX(记账规则!$A$6:$N$9,MATCH(购销流水!$D727,记账规则!$A$6:$A$9,0),4),""))</f>
        <v/>
      </c>
      <c r="N2890" s="66" t="str">
        <f aca="false">IF($L2890="","",IFERROR(INDEX(记账规则!$A$6:$N$9,MATCH(购销流水!$D727,记账规则!$A$6:$A$9,0),5),""))</f>
        <v/>
      </c>
      <c r="O2890" s="67" t="n">
        <f aca="false">IF($H2890="",0,ROUND(IF($N2890="成本金额",N(购销流水!$W727),IF($N2890="金额",N(购销流水!$Q727),0)),2))</f>
        <v>0</v>
      </c>
      <c r="P2890" s="64" t="str">
        <f aca="false">IF(AND($H2890&lt;&gt;"",ROUND($O2890,2)&lt;&gt;0),"有","")</f>
        <v/>
      </c>
    </row>
    <row r="2891" customFormat="false" ht="15" hidden="true" customHeight="false" outlineLevel="0" collapsed="false">
      <c r="A2891" s="53" t="str">
        <f aca="false">IF($H2891="","",ROW()-5)</f>
        <v/>
      </c>
      <c r="B2891" s="64" t="s">
        <v>36</v>
      </c>
      <c r="C2891" s="53" t="n">
        <v>727</v>
      </c>
      <c r="D2891" s="53" t="n">
        <v>2</v>
      </c>
      <c r="E2891" s="65" t="str">
        <f aca="false">IF($H2891="","",购销流水!$B727)</f>
        <v/>
      </c>
      <c r="F2891" s="55" t="str">
        <f aca="false">IF($H2891="","",购销流水!$C727)</f>
        <v/>
      </c>
      <c r="G2891" s="48" t="str">
        <f aca="false">IF($H2891="","",购销流水!$N727)</f>
        <v/>
      </c>
      <c r="H2891" s="10" t="str">
        <f aca="false">IF($L2891="","",IF($L2891="@成本",购销流水!$U727,IF($L2891="@收入",购销流水!$T727,IF($L2891="@存货",购销流水!$S727,IF($L2891="@结算",购销流水!$R727,$L2891)))))</f>
        <v/>
      </c>
      <c r="I2891" s="42" t="n">
        <f aca="false">IF($M2891="借",$O2891,0)</f>
        <v>0</v>
      </c>
      <c r="J2891" s="42" t="n">
        <f aca="false">IF($M2891="贷",$O2891,0)</f>
        <v>0</v>
      </c>
      <c r="K2891" s="48" t="str">
        <f aca="false">IF($H2891="","",购销流水!$E727)</f>
        <v/>
      </c>
      <c r="L2891" s="66" t="str">
        <f aca="false">IF(购销流水!$D727="","",IFERROR(INDEX(记账规则!$A$6:$N$9,MATCH(购销流水!$D727,记账规则!$A$6:$A$9,0),6),""))</f>
        <v/>
      </c>
      <c r="M2891" s="66" t="str">
        <f aca="false">IF($L2891="","",IFERROR(INDEX(记账规则!$A$6:$N$9,MATCH(购销流水!$D727,记账规则!$A$6:$A$9,0),7),""))</f>
        <v/>
      </c>
      <c r="N2891" s="66" t="str">
        <f aca="false">IF($L2891="","",IFERROR(INDEX(记账规则!$A$6:$N$9,MATCH(购销流水!$D727,记账规则!$A$6:$A$9,0),8),""))</f>
        <v/>
      </c>
      <c r="O2891" s="67" t="n">
        <f aca="false">IF($H2891="",0,ROUND(IF($N2891="成本金额",N(购销流水!$W727),IF($N2891="金额",N(购销流水!$Q727),0)),2))</f>
        <v>0</v>
      </c>
      <c r="P2891" s="64" t="str">
        <f aca="false">IF(AND($H2891&lt;&gt;"",ROUND($O2891,2)&lt;&gt;0),"有","")</f>
        <v/>
      </c>
    </row>
    <row r="2892" customFormat="false" ht="15" hidden="true" customHeight="false" outlineLevel="0" collapsed="false">
      <c r="A2892" s="53" t="str">
        <f aca="false">IF($H2892="","",ROW()-5)</f>
        <v/>
      </c>
      <c r="B2892" s="64" t="s">
        <v>36</v>
      </c>
      <c r="C2892" s="53" t="n">
        <v>727</v>
      </c>
      <c r="D2892" s="53" t="n">
        <v>3</v>
      </c>
      <c r="E2892" s="65" t="str">
        <f aca="false">IF($H2892="","",购销流水!$B727)</f>
        <v/>
      </c>
      <c r="F2892" s="55" t="str">
        <f aca="false">IF($H2892="","",购销流水!$C727)</f>
        <v/>
      </c>
      <c r="G2892" s="48" t="str">
        <f aca="false">IF($H2892="","",购销流水!$N727)</f>
        <v/>
      </c>
      <c r="H2892" s="10" t="str">
        <f aca="false">IF($L2892="","",IF($L2892="@成本",购销流水!$U727,IF($L2892="@收入",购销流水!$T727,IF($L2892="@存货",购销流水!$S727,IF($L2892="@结算",购销流水!$R727,$L2892)))))</f>
        <v/>
      </c>
      <c r="I2892" s="42" t="n">
        <f aca="false">IF($M2892="借",$O2892,0)</f>
        <v>0</v>
      </c>
      <c r="J2892" s="42" t="n">
        <f aca="false">IF($M2892="贷",$O2892,0)</f>
        <v>0</v>
      </c>
      <c r="K2892" s="48" t="str">
        <f aca="false">IF($H2892="","",购销流水!$E727)</f>
        <v/>
      </c>
      <c r="L2892" s="66" t="str">
        <f aca="false">IF(购销流水!$D727="","",IFERROR(INDEX(记账规则!$A$6:$N$9,MATCH(购销流水!$D727,记账规则!$A$6:$A$9,0),9),""))</f>
        <v/>
      </c>
      <c r="M2892" s="66" t="str">
        <f aca="false">IF($L2892="","",IFERROR(INDEX(记账规则!$A$6:$N$9,MATCH(购销流水!$D727,记账规则!$A$6:$A$9,0),10),""))</f>
        <v/>
      </c>
      <c r="N2892" s="66" t="str">
        <f aca="false">IF($L2892="","",IFERROR(INDEX(记账规则!$A$6:$N$9,MATCH(购销流水!$D727,记账规则!$A$6:$A$9,0),11),""))</f>
        <v/>
      </c>
      <c r="O2892" s="67" t="n">
        <f aca="false">IF($H2892="",0,ROUND(IF($N2892="成本金额",N(购销流水!$W727),IF($N2892="金额",N(购销流水!$Q727),0)),2))</f>
        <v>0</v>
      </c>
      <c r="P2892" s="64" t="str">
        <f aca="false">IF(AND($H2892&lt;&gt;"",ROUND($O2892,2)&lt;&gt;0),"有","")</f>
        <v/>
      </c>
    </row>
    <row r="2893" customFormat="false" ht="15" hidden="true" customHeight="false" outlineLevel="0" collapsed="false">
      <c r="A2893" s="53" t="str">
        <f aca="false">IF($H2893="","",ROW()-5)</f>
        <v/>
      </c>
      <c r="B2893" s="64" t="s">
        <v>36</v>
      </c>
      <c r="C2893" s="53" t="n">
        <v>727</v>
      </c>
      <c r="D2893" s="53" t="n">
        <v>4</v>
      </c>
      <c r="E2893" s="65" t="str">
        <f aca="false">IF($H2893="","",购销流水!$B727)</f>
        <v/>
      </c>
      <c r="F2893" s="55" t="str">
        <f aca="false">IF($H2893="","",购销流水!$C727)</f>
        <v/>
      </c>
      <c r="G2893" s="48" t="str">
        <f aca="false">IF($H2893="","",购销流水!$N727)</f>
        <v/>
      </c>
      <c r="H2893" s="10" t="str">
        <f aca="false">IF($L2893="","",IF($L2893="@成本",购销流水!$U727,IF($L2893="@收入",购销流水!$T727,IF($L2893="@存货",购销流水!$S727,IF($L2893="@结算",购销流水!$R727,$L2893)))))</f>
        <v/>
      </c>
      <c r="I2893" s="42" t="n">
        <f aca="false">IF($M2893="借",$O2893,0)</f>
        <v>0</v>
      </c>
      <c r="J2893" s="42" t="n">
        <f aca="false">IF($M2893="贷",$O2893,0)</f>
        <v>0</v>
      </c>
      <c r="K2893" s="48" t="str">
        <f aca="false">IF($H2893="","",购销流水!$E727)</f>
        <v/>
      </c>
      <c r="L2893" s="66" t="str">
        <f aca="false">IF(购销流水!$D727="","",IFERROR(INDEX(记账规则!$A$6:$N$9,MATCH(购销流水!$D727,记账规则!$A$6:$A$9,0),12),""))</f>
        <v/>
      </c>
      <c r="M2893" s="66" t="str">
        <f aca="false">IF($L2893="","",IFERROR(INDEX(记账规则!$A$6:$N$9,MATCH(购销流水!$D727,记账规则!$A$6:$A$9,0),13),""))</f>
        <v/>
      </c>
      <c r="N2893" s="66" t="str">
        <f aca="false">IF($L2893="","",IFERROR(INDEX(记账规则!$A$6:$N$9,MATCH(购销流水!$D727,记账规则!$A$6:$A$9,0),14),""))</f>
        <v/>
      </c>
      <c r="O2893" s="67" t="n">
        <f aca="false">IF($H2893="",0,ROUND(IF($N2893="成本金额",N(购销流水!$W727),IF($N2893="金额",N(购销流水!$Q727),0)),2))</f>
        <v>0</v>
      </c>
      <c r="P2893" s="64" t="str">
        <f aca="false">IF(AND($H2893&lt;&gt;"",ROUND($O2893,2)&lt;&gt;0),"有","")</f>
        <v/>
      </c>
    </row>
    <row r="2894" customFormat="false" ht="15" hidden="true" customHeight="false" outlineLevel="0" collapsed="false">
      <c r="A2894" s="53" t="str">
        <f aca="false">IF($H2894="","",ROW()-5)</f>
        <v/>
      </c>
      <c r="B2894" s="64" t="s">
        <v>36</v>
      </c>
      <c r="C2894" s="53" t="n">
        <v>728</v>
      </c>
      <c r="D2894" s="53" t="n">
        <v>1</v>
      </c>
      <c r="E2894" s="65" t="str">
        <f aca="false">IF($H2894="","",购销流水!$B728)</f>
        <v/>
      </c>
      <c r="F2894" s="55" t="str">
        <f aca="false">IF($H2894="","",购销流水!$C728)</f>
        <v/>
      </c>
      <c r="G2894" s="48" t="str">
        <f aca="false">IF($H2894="","",购销流水!$N728)</f>
        <v/>
      </c>
      <c r="H2894" s="10" t="str">
        <f aca="false">IF($L2894="","",IF($L2894="@成本",购销流水!$U728,IF($L2894="@收入",购销流水!$T728,IF($L2894="@存货",购销流水!$S728,IF($L2894="@结算",购销流水!$R728,$L2894)))))</f>
        <v/>
      </c>
      <c r="I2894" s="42" t="n">
        <f aca="false">IF($M2894="借",$O2894,0)</f>
        <v>0</v>
      </c>
      <c r="J2894" s="42" t="n">
        <f aca="false">IF($M2894="贷",$O2894,0)</f>
        <v>0</v>
      </c>
      <c r="K2894" s="48" t="str">
        <f aca="false">IF($H2894="","",购销流水!$E728)</f>
        <v/>
      </c>
      <c r="L2894" s="66" t="str">
        <f aca="false">IF(购销流水!$D728="","",IFERROR(INDEX(记账规则!$A$6:$N$9,MATCH(购销流水!$D728,记账规则!$A$6:$A$9,0),3),""))</f>
        <v/>
      </c>
      <c r="M2894" s="66" t="str">
        <f aca="false">IF($L2894="","",IFERROR(INDEX(记账规则!$A$6:$N$9,MATCH(购销流水!$D728,记账规则!$A$6:$A$9,0),4),""))</f>
        <v/>
      </c>
      <c r="N2894" s="66" t="str">
        <f aca="false">IF($L2894="","",IFERROR(INDEX(记账规则!$A$6:$N$9,MATCH(购销流水!$D728,记账规则!$A$6:$A$9,0),5),""))</f>
        <v/>
      </c>
      <c r="O2894" s="67" t="n">
        <f aca="false">IF($H2894="",0,ROUND(IF($N2894="成本金额",N(购销流水!$W728),IF($N2894="金额",N(购销流水!$Q728),0)),2))</f>
        <v>0</v>
      </c>
      <c r="P2894" s="64" t="str">
        <f aca="false">IF(AND($H2894&lt;&gt;"",ROUND($O2894,2)&lt;&gt;0),"有","")</f>
        <v/>
      </c>
    </row>
    <row r="2895" customFormat="false" ht="15" hidden="true" customHeight="false" outlineLevel="0" collapsed="false">
      <c r="A2895" s="53" t="str">
        <f aca="false">IF($H2895="","",ROW()-5)</f>
        <v/>
      </c>
      <c r="B2895" s="64" t="s">
        <v>36</v>
      </c>
      <c r="C2895" s="53" t="n">
        <v>728</v>
      </c>
      <c r="D2895" s="53" t="n">
        <v>2</v>
      </c>
      <c r="E2895" s="65" t="str">
        <f aca="false">IF($H2895="","",购销流水!$B728)</f>
        <v/>
      </c>
      <c r="F2895" s="55" t="str">
        <f aca="false">IF($H2895="","",购销流水!$C728)</f>
        <v/>
      </c>
      <c r="G2895" s="48" t="str">
        <f aca="false">IF($H2895="","",购销流水!$N728)</f>
        <v/>
      </c>
      <c r="H2895" s="10" t="str">
        <f aca="false">IF($L2895="","",IF($L2895="@成本",购销流水!$U728,IF($L2895="@收入",购销流水!$T728,IF($L2895="@存货",购销流水!$S728,IF($L2895="@结算",购销流水!$R728,$L2895)))))</f>
        <v/>
      </c>
      <c r="I2895" s="42" t="n">
        <f aca="false">IF($M2895="借",$O2895,0)</f>
        <v>0</v>
      </c>
      <c r="J2895" s="42" t="n">
        <f aca="false">IF($M2895="贷",$O2895,0)</f>
        <v>0</v>
      </c>
      <c r="K2895" s="48" t="str">
        <f aca="false">IF($H2895="","",购销流水!$E728)</f>
        <v/>
      </c>
      <c r="L2895" s="66" t="str">
        <f aca="false">IF(购销流水!$D728="","",IFERROR(INDEX(记账规则!$A$6:$N$9,MATCH(购销流水!$D728,记账规则!$A$6:$A$9,0),6),""))</f>
        <v/>
      </c>
      <c r="M2895" s="66" t="str">
        <f aca="false">IF($L2895="","",IFERROR(INDEX(记账规则!$A$6:$N$9,MATCH(购销流水!$D728,记账规则!$A$6:$A$9,0),7),""))</f>
        <v/>
      </c>
      <c r="N2895" s="66" t="str">
        <f aca="false">IF($L2895="","",IFERROR(INDEX(记账规则!$A$6:$N$9,MATCH(购销流水!$D728,记账规则!$A$6:$A$9,0),8),""))</f>
        <v/>
      </c>
      <c r="O2895" s="67" t="n">
        <f aca="false">IF($H2895="",0,ROUND(IF($N2895="成本金额",N(购销流水!$W728),IF($N2895="金额",N(购销流水!$Q728),0)),2))</f>
        <v>0</v>
      </c>
      <c r="P2895" s="64" t="str">
        <f aca="false">IF(AND($H2895&lt;&gt;"",ROUND($O2895,2)&lt;&gt;0),"有","")</f>
        <v/>
      </c>
    </row>
    <row r="2896" customFormat="false" ht="15" hidden="true" customHeight="false" outlineLevel="0" collapsed="false">
      <c r="A2896" s="53" t="str">
        <f aca="false">IF($H2896="","",ROW()-5)</f>
        <v/>
      </c>
      <c r="B2896" s="64" t="s">
        <v>36</v>
      </c>
      <c r="C2896" s="53" t="n">
        <v>728</v>
      </c>
      <c r="D2896" s="53" t="n">
        <v>3</v>
      </c>
      <c r="E2896" s="65" t="str">
        <f aca="false">IF($H2896="","",购销流水!$B728)</f>
        <v/>
      </c>
      <c r="F2896" s="55" t="str">
        <f aca="false">IF($H2896="","",购销流水!$C728)</f>
        <v/>
      </c>
      <c r="G2896" s="48" t="str">
        <f aca="false">IF($H2896="","",购销流水!$N728)</f>
        <v/>
      </c>
      <c r="H2896" s="10" t="str">
        <f aca="false">IF($L2896="","",IF($L2896="@成本",购销流水!$U728,IF($L2896="@收入",购销流水!$T728,IF($L2896="@存货",购销流水!$S728,IF($L2896="@结算",购销流水!$R728,$L2896)))))</f>
        <v/>
      </c>
      <c r="I2896" s="42" t="n">
        <f aca="false">IF($M2896="借",$O2896,0)</f>
        <v>0</v>
      </c>
      <c r="J2896" s="42" t="n">
        <f aca="false">IF($M2896="贷",$O2896,0)</f>
        <v>0</v>
      </c>
      <c r="K2896" s="48" t="str">
        <f aca="false">IF($H2896="","",购销流水!$E728)</f>
        <v/>
      </c>
      <c r="L2896" s="66" t="str">
        <f aca="false">IF(购销流水!$D728="","",IFERROR(INDEX(记账规则!$A$6:$N$9,MATCH(购销流水!$D728,记账规则!$A$6:$A$9,0),9),""))</f>
        <v/>
      </c>
      <c r="M2896" s="66" t="str">
        <f aca="false">IF($L2896="","",IFERROR(INDEX(记账规则!$A$6:$N$9,MATCH(购销流水!$D728,记账规则!$A$6:$A$9,0),10),""))</f>
        <v/>
      </c>
      <c r="N2896" s="66" t="str">
        <f aca="false">IF($L2896="","",IFERROR(INDEX(记账规则!$A$6:$N$9,MATCH(购销流水!$D728,记账规则!$A$6:$A$9,0),11),""))</f>
        <v/>
      </c>
      <c r="O2896" s="67" t="n">
        <f aca="false">IF($H2896="",0,ROUND(IF($N2896="成本金额",N(购销流水!$W728),IF($N2896="金额",N(购销流水!$Q728),0)),2))</f>
        <v>0</v>
      </c>
      <c r="P2896" s="64" t="str">
        <f aca="false">IF(AND($H2896&lt;&gt;"",ROUND($O2896,2)&lt;&gt;0),"有","")</f>
        <v/>
      </c>
    </row>
    <row r="2897" customFormat="false" ht="15" hidden="true" customHeight="false" outlineLevel="0" collapsed="false">
      <c r="A2897" s="53" t="str">
        <f aca="false">IF($H2897="","",ROW()-5)</f>
        <v/>
      </c>
      <c r="B2897" s="64" t="s">
        <v>36</v>
      </c>
      <c r="C2897" s="53" t="n">
        <v>728</v>
      </c>
      <c r="D2897" s="53" t="n">
        <v>4</v>
      </c>
      <c r="E2897" s="65" t="str">
        <f aca="false">IF($H2897="","",购销流水!$B728)</f>
        <v/>
      </c>
      <c r="F2897" s="55" t="str">
        <f aca="false">IF($H2897="","",购销流水!$C728)</f>
        <v/>
      </c>
      <c r="G2897" s="48" t="str">
        <f aca="false">IF($H2897="","",购销流水!$N728)</f>
        <v/>
      </c>
      <c r="H2897" s="10" t="str">
        <f aca="false">IF($L2897="","",IF($L2897="@成本",购销流水!$U728,IF($L2897="@收入",购销流水!$T728,IF($L2897="@存货",购销流水!$S728,IF($L2897="@结算",购销流水!$R728,$L2897)))))</f>
        <v/>
      </c>
      <c r="I2897" s="42" t="n">
        <f aca="false">IF($M2897="借",$O2897,0)</f>
        <v>0</v>
      </c>
      <c r="J2897" s="42" t="n">
        <f aca="false">IF($M2897="贷",$O2897,0)</f>
        <v>0</v>
      </c>
      <c r="K2897" s="48" t="str">
        <f aca="false">IF($H2897="","",购销流水!$E728)</f>
        <v/>
      </c>
      <c r="L2897" s="66" t="str">
        <f aca="false">IF(购销流水!$D728="","",IFERROR(INDEX(记账规则!$A$6:$N$9,MATCH(购销流水!$D728,记账规则!$A$6:$A$9,0),12),""))</f>
        <v/>
      </c>
      <c r="M2897" s="66" t="str">
        <f aca="false">IF($L2897="","",IFERROR(INDEX(记账规则!$A$6:$N$9,MATCH(购销流水!$D728,记账规则!$A$6:$A$9,0),13),""))</f>
        <v/>
      </c>
      <c r="N2897" s="66" t="str">
        <f aca="false">IF($L2897="","",IFERROR(INDEX(记账规则!$A$6:$N$9,MATCH(购销流水!$D728,记账规则!$A$6:$A$9,0),14),""))</f>
        <v/>
      </c>
      <c r="O2897" s="67" t="n">
        <f aca="false">IF($H2897="",0,ROUND(IF($N2897="成本金额",N(购销流水!$W728),IF($N2897="金额",N(购销流水!$Q728),0)),2))</f>
        <v>0</v>
      </c>
      <c r="P2897" s="64" t="str">
        <f aca="false">IF(AND($H2897&lt;&gt;"",ROUND($O2897,2)&lt;&gt;0),"有","")</f>
        <v/>
      </c>
    </row>
    <row r="2898" customFormat="false" ht="15" hidden="true" customHeight="false" outlineLevel="0" collapsed="false">
      <c r="A2898" s="53" t="str">
        <f aca="false">IF($H2898="","",ROW()-5)</f>
        <v/>
      </c>
      <c r="B2898" s="64" t="s">
        <v>36</v>
      </c>
      <c r="C2898" s="53" t="n">
        <v>729</v>
      </c>
      <c r="D2898" s="53" t="n">
        <v>1</v>
      </c>
      <c r="E2898" s="65" t="str">
        <f aca="false">IF($H2898="","",购销流水!$B729)</f>
        <v/>
      </c>
      <c r="F2898" s="55" t="str">
        <f aca="false">IF($H2898="","",购销流水!$C729)</f>
        <v/>
      </c>
      <c r="G2898" s="48" t="str">
        <f aca="false">IF($H2898="","",购销流水!$N729)</f>
        <v/>
      </c>
      <c r="H2898" s="10" t="str">
        <f aca="false">IF($L2898="","",IF($L2898="@成本",购销流水!$U729,IF($L2898="@收入",购销流水!$T729,IF($L2898="@存货",购销流水!$S729,IF($L2898="@结算",购销流水!$R729,$L2898)))))</f>
        <v/>
      </c>
      <c r="I2898" s="42" t="n">
        <f aca="false">IF($M2898="借",$O2898,0)</f>
        <v>0</v>
      </c>
      <c r="J2898" s="42" t="n">
        <f aca="false">IF($M2898="贷",$O2898,0)</f>
        <v>0</v>
      </c>
      <c r="K2898" s="48" t="str">
        <f aca="false">IF($H2898="","",购销流水!$E729)</f>
        <v/>
      </c>
      <c r="L2898" s="66" t="str">
        <f aca="false">IF(购销流水!$D729="","",IFERROR(INDEX(记账规则!$A$6:$N$9,MATCH(购销流水!$D729,记账规则!$A$6:$A$9,0),3),""))</f>
        <v/>
      </c>
      <c r="M2898" s="66" t="str">
        <f aca="false">IF($L2898="","",IFERROR(INDEX(记账规则!$A$6:$N$9,MATCH(购销流水!$D729,记账规则!$A$6:$A$9,0),4),""))</f>
        <v/>
      </c>
      <c r="N2898" s="66" t="str">
        <f aca="false">IF($L2898="","",IFERROR(INDEX(记账规则!$A$6:$N$9,MATCH(购销流水!$D729,记账规则!$A$6:$A$9,0),5),""))</f>
        <v/>
      </c>
      <c r="O2898" s="67" t="n">
        <f aca="false">IF($H2898="",0,ROUND(IF($N2898="成本金额",N(购销流水!$W729),IF($N2898="金额",N(购销流水!$Q729),0)),2))</f>
        <v>0</v>
      </c>
      <c r="P2898" s="64" t="str">
        <f aca="false">IF(AND($H2898&lt;&gt;"",ROUND($O2898,2)&lt;&gt;0),"有","")</f>
        <v/>
      </c>
    </row>
    <row r="2899" customFormat="false" ht="15" hidden="true" customHeight="false" outlineLevel="0" collapsed="false">
      <c r="A2899" s="53" t="str">
        <f aca="false">IF($H2899="","",ROW()-5)</f>
        <v/>
      </c>
      <c r="B2899" s="64" t="s">
        <v>36</v>
      </c>
      <c r="C2899" s="53" t="n">
        <v>729</v>
      </c>
      <c r="D2899" s="53" t="n">
        <v>2</v>
      </c>
      <c r="E2899" s="65" t="str">
        <f aca="false">IF($H2899="","",购销流水!$B729)</f>
        <v/>
      </c>
      <c r="F2899" s="55" t="str">
        <f aca="false">IF($H2899="","",购销流水!$C729)</f>
        <v/>
      </c>
      <c r="G2899" s="48" t="str">
        <f aca="false">IF($H2899="","",购销流水!$N729)</f>
        <v/>
      </c>
      <c r="H2899" s="10" t="str">
        <f aca="false">IF($L2899="","",IF($L2899="@成本",购销流水!$U729,IF($L2899="@收入",购销流水!$T729,IF($L2899="@存货",购销流水!$S729,IF($L2899="@结算",购销流水!$R729,$L2899)))))</f>
        <v/>
      </c>
      <c r="I2899" s="42" t="n">
        <f aca="false">IF($M2899="借",$O2899,0)</f>
        <v>0</v>
      </c>
      <c r="J2899" s="42" t="n">
        <f aca="false">IF($M2899="贷",$O2899,0)</f>
        <v>0</v>
      </c>
      <c r="K2899" s="48" t="str">
        <f aca="false">IF($H2899="","",购销流水!$E729)</f>
        <v/>
      </c>
      <c r="L2899" s="66" t="str">
        <f aca="false">IF(购销流水!$D729="","",IFERROR(INDEX(记账规则!$A$6:$N$9,MATCH(购销流水!$D729,记账规则!$A$6:$A$9,0),6),""))</f>
        <v/>
      </c>
      <c r="M2899" s="66" t="str">
        <f aca="false">IF($L2899="","",IFERROR(INDEX(记账规则!$A$6:$N$9,MATCH(购销流水!$D729,记账规则!$A$6:$A$9,0),7),""))</f>
        <v/>
      </c>
      <c r="N2899" s="66" t="str">
        <f aca="false">IF($L2899="","",IFERROR(INDEX(记账规则!$A$6:$N$9,MATCH(购销流水!$D729,记账规则!$A$6:$A$9,0),8),""))</f>
        <v/>
      </c>
      <c r="O2899" s="67" t="n">
        <f aca="false">IF($H2899="",0,ROUND(IF($N2899="成本金额",N(购销流水!$W729),IF($N2899="金额",N(购销流水!$Q729),0)),2))</f>
        <v>0</v>
      </c>
      <c r="P2899" s="64" t="str">
        <f aca="false">IF(AND($H2899&lt;&gt;"",ROUND($O2899,2)&lt;&gt;0),"有","")</f>
        <v/>
      </c>
    </row>
    <row r="2900" customFormat="false" ht="15" hidden="true" customHeight="false" outlineLevel="0" collapsed="false">
      <c r="A2900" s="53" t="str">
        <f aca="false">IF($H2900="","",ROW()-5)</f>
        <v/>
      </c>
      <c r="B2900" s="64" t="s">
        <v>36</v>
      </c>
      <c r="C2900" s="53" t="n">
        <v>729</v>
      </c>
      <c r="D2900" s="53" t="n">
        <v>3</v>
      </c>
      <c r="E2900" s="65" t="str">
        <f aca="false">IF($H2900="","",购销流水!$B729)</f>
        <v/>
      </c>
      <c r="F2900" s="55" t="str">
        <f aca="false">IF($H2900="","",购销流水!$C729)</f>
        <v/>
      </c>
      <c r="G2900" s="48" t="str">
        <f aca="false">IF($H2900="","",购销流水!$N729)</f>
        <v/>
      </c>
      <c r="H2900" s="10" t="str">
        <f aca="false">IF($L2900="","",IF($L2900="@成本",购销流水!$U729,IF($L2900="@收入",购销流水!$T729,IF($L2900="@存货",购销流水!$S729,IF($L2900="@结算",购销流水!$R729,$L2900)))))</f>
        <v/>
      </c>
      <c r="I2900" s="42" t="n">
        <f aca="false">IF($M2900="借",$O2900,0)</f>
        <v>0</v>
      </c>
      <c r="J2900" s="42" t="n">
        <f aca="false">IF($M2900="贷",$O2900,0)</f>
        <v>0</v>
      </c>
      <c r="K2900" s="48" t="str">
        <f aca="false">IF($H2900="","",购销流水!$E729)</f>
        <v/>
      </c>
      <c r="L2900" s="66" t="str">
        <f aca="false">IF(购销流水!$D729="","",IFERROR(INDEX(记账规则!$A$6:$N$9,MATCH(购销流水!$D729,记账规则!$A$6:$A$9,0),9),""))</f>
        <v/>
      </c>
      <c r="M2900" s="66" t="str">
        <f aca="false">IF($L2900="","",IFERROR(INDEX(记账规则!$A$6:$N$9,MATCH(购销流水!$D729,记账规则!$A$6:$A$9,0),10),""))</f>
        <v/>
      </c>
      <c r="N2900" s="66" t="str">
        <f aca="false">IF($L2900="","",IFERROR(INDEX(记账规则!$A$6:$N$9,MATCH(购销流水!$D729,记账规则!$A$6:$A$9,0),11),""))</f>
        <v/>
      </c>
      <c r="O2900" s="67" t="n">
        <f aca="false">IF($H2900="",0,ROUND(IF($N2900="成本金额",N(购销流水!$W729),IF($N2900="金额",N(购销流水!$Q729),0)),2))</f>
        <v>0</v>
      </c>
      <c r="P2900" s="64" t="str">
        <f aca="false">IF(AND($H2900&lt;&gt;"",ROUND($O2900,2)&lt;&gt;0),"有","")</f>
        <v/>
      </c>
    </row>
    <row r="2901" customFormat="false" ht="15" hidden="true" customHeight="false" outlineLevel="0" collapsed="false">
      <c r="A2901" s="53" t="str">
        <f aca="false">IF($H2901="","",ROW()-5)</f>
        <v/>
      </c>
      <c r="B2901" s="64" t="s">
        <v>36</v>
      </c>
      <c r="C2901" s="53" t="n">
        <v>729</v>
      </c>
      <c r="D2901" s="53" t="n">
        <v>4</v>
      </c>
      <c r="E2901" s="65" t="str">
        <f aca="false">IF($H2901="","",购销流水!$B729)</f>
        <v/>
      </c>
      <c r="F2901" s="55" t="str">
        <f aca="false">IF($H2901="","",购销流水!$C729)</f>
        <v/>
      </c>
      <c r="G2901" s="48" t="str">
        <f aca="false">IF($H2901="","",购销流水!$N729)</f>
        <v/>
      </c>
      <c r="H2901" s="10" t="str">
        <f aca="false">IF($L2901="","",IF($L2901="@成本",购销流水!$U729,IF($L2901="@收入",购销流水!$T729,IF($L2901="@存货",购销流水!$S729,IF($L2901="@结算",购销流水!$R729,$L2901)))))</f>
        <v/>
      </c>
      <c r="I2901" s="42" t="n">
        <f aca="false">IF($M2901="借",$O2901,0)</f>
        <v>0</v>
      </c>
      <c r="J2901" s="42" t="n">
        <f aca="false">IF($M2901="贷",$O2901,0)</f>
        <v>0</v>
      </c>
      <c r="K2901" s="48" t="str">
        <f aca="false">IF($H2901="","",购销流水!$E729)</f>
        <v/>
      </c>
      <c r="L2901" s="66" t="str">
        <f aca="false">IF(购销流水!$D729="","",IFERROR(INDEX(记账规则!$A$6:$N$9,MATCH(购销流水!$D729,记账规则!$A$6:$A$9,0),12),""))</f>
        <v/>
      </c>
      <c r="M2901" s="66" t="str">
        <f aca="false">IF($L2901="","",IFERROR(INDEX(记账规则!$A$6:$N$9,MATCH(购销流水!$D729,记账规则!$A$6:$A$9,0),13),""))</f>
        <v/>
      </c>
      <c r="N2901" s="66" t="str">
        <f aca="false">IF($L2901="","",IFERROR(INDEX(记账规则!$A$6:$N$9,MATCH(购销流水!$D729,记账规则!$A$6:$A$9,0),14),""))</f>
        <v/>
      </c>
      <c r="O2901" s="67" t="n">
        <f aca="false">IF($H2901="",0,ROUND(IF($N2901="成本金额",N(购销流水!$W729),IF($N2901="金额",N(购销流水!$Q729),0)),2))</f>
        <v>0</v>
      </c>
      <c r="P2901" s="64" t="str">
        <f aca="false">IF(AND($H2901&lt;&gt;"",ROUND($O2901,2)&lt;&gt;0),"有","")</f>
        <v/>
      </c>
    </row>
    <row r="2902" customFormat="false" ht="15" hidden="true" customHeight="false" outlineLevel="0" collapsed="false">
      <c r="A2902" s="53" t="str">
        <f aca="false">IF($H2902="","",ROW()-5)</f>
        <v/>
      </c>
      <c r="B2902" s="64" t="s">
        <v>36</v>
      </c>
      <c r="C2902" s="53" t="n">
        <v>730</v>
      </c>
      <c r="D2902" s="53" t="n">
        <v>1</v>
      </c>
      <c r="E2902" s="65" t="str">
        <f aca="false">IF($H2902="","",购销流水!$B730)</f>
        <v/>
      </c>
      <c r="F2902" s="55" t="str">
        <f aca="false">IF($H2902="","",购销流水!$C730)</f>
        <v/>
      </c>
      <c r="G2902" s="48" t="str">
        <f aca="false">IF($H2902="","",购销流水!$N730)</f>
        <v/>
      </c>
      <c r="H2902" s="10" t="str">
        <f aca="false">IF($L2902="","",IF($L2902="@成本",购销流水!$U730,IF($L2902="@收入",购销流水!$T730,IF($L2902="@存货",购销流水!$S730,IF($L2902="@结算",购销流水!$R730,$L2902)))))</f>
        <v/>
      </c>
      <c r="I2902" s="42" t="n">
        <f aca="false">IF($M2902="借",$O2902,0)</f>
        <v>0</v>
      </c>
      <c r="J2902" s="42" t="n">
        <f aca="false">IF($M2902="贷",$O2902,0)</f>
        <v>0</v>
      </c>
      <c r="K2902" s="48" t="str">
        <f aca="false">IF($H2902="","",购销流水!$E730)</f>
        <v/>
      </c>
      <c r="L2902" s="66" t="str">
        <f aca="false">IF(购销流水!$D730="","",IFERROR(INDEX(记账规则!$A$6:$N$9,MATCH(购销流水!$D730,记账规则!$A$6:$A$9,0),3),""))</f>
        <v/>
      </c>
      <c r="M2902" s="66" t="str">
        <f aca="false">IF($L2902="","",IFERROR(INDEX(记账规则!$A$6:$N$9,MATCH(购销流水!$D730,记账规则!$A$6:$A$9,0),4),""))</f>
        <v/>
      </c>
      <c r="N2902" s="66" t="str">
        <f aca="false">IF($L2902="","",IFERROR(INDEX(记账规则!$A$6:$N$9,MATCH(购销流水!$D730,记账规则!$A$6:$A$9,0),5),""))</f>
        <v/>
      </c>
      <c r="O2902" s="67" t="n">
        <f aca="false">IF($H2902="",0,ROUND(IF($N2902="成本金额",N(购销流水!$W730),IF($N2902="金额",N(购销流水!$Q730),0)),2))</f>
        <v>0</v>
      </c>
      <c r="P2902" s="64" t="str">
        <f aca="false">IF(AND($H2902&lt;&gt;"",ROUND($O2902,2)&lt;&gt;0),"有","")</f>
        <v/>
      </c>
    </row>
    <row r="2903" customFormat="false" ht="15" hidden="true" customHeight="false" outlineLevel="0" collapsed="false">
      <c r="A2903" s="53" t="str">
        <f aca="false">IF($H2903="","",ROW()-5)</f>
        <v/>
      </c>
      <c r="B2903" s="64" t="s">
        <v>36</v>
      </c>
      <c r="C2903" s="53" t="n">
        <v>730</v>
      </c>
      <c r="D2903" s="53" t="n">
        <v>2</v>
      </c>
      <c r="E2903" s="65" t="str">
        <f aca="false">IF($H2903="","",购销流水!$B730)</f>
        <v/>
      </c>
      <c r="F2903" s="55" t="str">
        <f aca="false">IF($H2903="","",购销流水!$C730)</f>
        <v/>
      </c>
      <c r="G2903" s="48" t="str">
        <f aca="false">IF($H2903="","",购销流水!$N730)</f>
        <v/>
      </c>
      <c r="H2903" s="10" t="str">
        <f aca="false">IF($L2903="","",IF($L2903="@成本",购销流水!$U730,IF($L2903="@收入",购销流水!$T730,IF($L2903="@存货",购销流水!$S730,IF($L2903="@结算",购销流水!$R730,$L2903)))))</f>
        <v/>
      </c>
      <c r="I2903" s="42" t="n">
        <f aca="false">IF($M2903="借",$O2903,0)</f>
        <v>0</v>
      </c>
      <c r="J2903" s="42" t="n">
        <f aca="false">IF($M2903="贷",$O2903,0)</f>
        <v>0</v>
      </c>
      <c r="K2903" s="48" t="str">
        <f aca="false">IF($H2903="","",购销流水!$E730)</f>
        <v/>
      </c>
      <c r="L2903" s="66" t="str">
        <f aca="false">IF(购销流水!$D730="","",IFERROR(INDEX(记账规则!$A$6:$N$9,MATCH(购销流水!$D730,记账规则!$A$6:$A$9,0),6),""))</f>
        <v/>
      </c>
      <c r="M2903" s="66" t="str">
        <f aca="false">IF($L2903="","",IFERROR(INDEX(记账规则!$A$6:$N$9,MATCH(购销流水!$D730,记账规则!$A$6:$A$9,0),7),""))</f>
        <v/>
      </c>
      <c r="N2903" s="66" t="str">
        <f aca="false">IF($L2903="","",IFERROR(INDEX(记账规则!$A$6:$N$9,MATCH(购销流水!$D730,记账规则!$A$6:$A$9,0),8),""))</f>
        <v/>
      </c>
      <c r="O2903" s="67" t="n">
        <f aca="false">IF($H2903="",0,ROUND(IF($N2903="成本金额",N(购销流水!$W730),IF($N2903="金额",N(购销流水!$Q730),0)),2))</f>
        <v>0</v>
      </c>
      <c r="P2903" s="64" t="str">
        <f aca="false">IF(AND($H2903&lt;&gt;"",ROUND($O2903,2)&lt;&gt;0),"有","")</f>
        <v/>
      </c>
    </row>
    <row r="2904" customFormat="false" ht="15" hidden="true" customHeight="false" outlineLevel="0" collapsed="false">
      <c r="A2904" s="53" t="str">
        <f aca="false">IF($H2904="","",ROW()-5)</f>
        <v/>
      </c>
      <c r="B2904" s="64" t="s">
        <v>36</v>
      </c>
      <c r="C2904" s="53" t="n">
        <v>730</v>
      </c>
      <c r="D2904" s="53" t="n">
        <v>3</v>
      </c>
      <c r="E2904" s="65" t="str">
        <f aca="false">IF($H2904="","",购销流水!$B730)</f>
        <v/>
      </c>
      <c r="F2904" s="55" t="str">
        <f aca="false">IF($H2904="","",购销流水!$C730)</f>
        <v/>
      </c>
      <c r="G2904" s="48" t="str">
        <f aca="false">IF($H2904="","",购销流水!$N730)</f>
        <v/>
      </c>
      <c r="H2904" s="10" t="str">
        <f aca="false">IF($L2904="","",IF($L2904="@成本",购销流水!$U730,IF($L2904="@收入",购销流水!$T730,IF($L2904="@存货",购销流水!$S730,IF($L2904="@结算",购销流水!$R730,$L2904)))))</f>
        <v/>
      </c>
      <c r="I2904" s="42" t="n">
        <f aca="false">IF($M2904="借",$O2904,0)</f>
        <v>0</v>
      </c>
      <c r="J2904" s="42" t="n">
        <f aca="false">IF($M2904="贷",$O2904,0)</f>
        <v>0</v>
      </c>
      <c r="K2904" s="48" t="str">
        <f aca="false">IF($H2904="","",购销流水!$E730)</f>
        <v/>
      </c>
      <c r="L2904" s="66" t="str">
        <f aca="false">IF(购销流水!$D730="","",IFERROR(INDEX(记账规则!$A$6:$N$9,MATCH(购销流水!$D730,记账规则!$A$6:$A$9,0),9),""))</f>
        <v/>
      </c>
      <c r="M2904" s="66" t="str">
        <f aca="false">IF($L2904="","",IFERROR(INDEX(记账规则!$A$6:$N$9,MATCH(购销流水!$D730,记账规则!$A$6:$A$9,0),10),""))</f>
        <v/>
      </c>
      <c r="N2904" s="66" t="str">
        <f aca="false">IF($L2904="","",IFERROR(INDEX(记账规则!$A$6:$N$9,MATCH(购销流水!$D730,记账规则!$A$6:$A$9,0),11),""))</f>
        <v/>
      </c>
      <c r="O2904" s="67" t="n">
        <f aca="false">IF($H2904="",0,ROUND(IF($N2904="成本金额",N(购销流水!$W730),IF($N2904="金额",N(购销流水!$Q730),0)),2))</f>
        <v>0</v>
      </c>
      <c r="P2904" s="64" t="str">
        <f aca="false">IF(AND($H2904&lt;&gt;"",ROUND($O2904,2)&lt;&gt;0),"有","")</f>
        <v/>
      </c>
    </row>
    <row r="2905" customFormat="false" ht="15" hidden="true" customHeight="false" outlineLevel="0" collapsed="false">
      <c r="A2905" s="53" t="str">
        <f aca="false">IF($H2905="","",ROW()-5)</f>
        <v/>
      </c>
      <c r="B2905" s="64" t="s">
        <v>36</v>
      </c>
      <c r="C2905" s="53" t="n">
        <v>730</v>
      </c>
      <c r="D2905" s="53" t="n">
        <v>4</v>
      </c>
      <c r="E2905" s="65" t="str">
        <f aca="false">IF($H2905="","",购销流水!$B730)</f>
        <v/>
      </c>
      <c r="F2905" s="55" t="str">
        <f aca="false">IF($H2905="","",购销流水!$C730)</f>
        <v/>
      </c>
      <c r="G2905" s="48" t="str">
        <f aca="false">IF($H2905="","",购销流水!$N730)</f>
        <v/>
      </c>
      <c r="H2905" s="10" t="str">
        <f aca="false">IF($L2905="","",IF($L2905="@成本",购销流水!$U730,IF($L2905="@收入",购销流水!$T730,IF($L2905="@存货",购销流水!$S730,IF($L2905="@结算",购销流水!$R730,$L2905)))))</f>
        <v/>
      </c>
      <c r="I2905" s="42" t="n">
        <f aca="false">IF($M2905="借",$O2905,0)</f>
        <v>0</v>
      </c>
      <c r="J2905" s="42" t="n">
        <f aca="false">IF($M2905="贷",$O2905,0)</f>
        <v>0</v>
      </c>
      <c r="K2905" s="48" t="str">
        <f aca="false">IF($H2905="","",购销流水!$E730)</f>
        <v/>
      </c>
      <c r="L2905" s="66" t="str">
        <f aca="false">IF(购销流水!$D730="","",IFERROR(INDEX(记账规则!$A$6:$N$9,MATCH(购销流水!$D730,记账规则!$A$6:$A$9,0),12),""))</f>
        <v/>
      </c>
      <c r="M2905" s="66" t="str">
        <f aca="false">IF($L2905="","",IFERROR(INDEX(记账规则!$A$6:$N$9,MATCH(购销流水!$D730,记账规则!$A$6:$A$9,0),13),""))</f>
        <v/>
      </c>
      <c r="N2905" s="66" t="str">
        <f aca="false">IF($L2905="","",IFERROR(INDEX(记账规则!$A$6:$N$9,MATCH(购销流水!$D730,记账规则!$A$6:$A$9,0),14),""))</f>
        <v/>
      </c>
      <c r="O2905" s="67" t="n">
        <f aca="false">IF($H2905="",0,ROUND(IF($N2905="成本金额",N(购销流水!$W730),IF($N2905="金额",N(购销流水!$Q730),0)),2))</f>
        <v>0</v>
      </c>
      <c r="P2905" s="64" t="str">
        <f aca="false">IF(AND($H2905&lt;&gt;"",ROUND($O2905,2)&lt;&gt;0),"有","")</f>
        <v/>
      </c>
    </row>
    <row r="2906" customFormat="false" ht="15" hidden="true" customHeight="false" outlineLevel="0" collapsed="false">
      <c r="A2906" s="53" t="str">
        <f aca="false">IF($H2906="","",ROW()-5)</f>
        <v/>
      </c>
      <c r="B2906" s="64" t="s">
        <v>36</v>
      </c>
      <c r="C2906" s="53" t="n">
        <v>731</v>
      </c>
      <c r="D2906" s="53" t="n">
        <v>1</v>
      </c>
      <c r="E2906" s="65" t="str">
        <f aca="false">IF($H2906="","",购销流水!$B731)</f>
        <v/>
      </c>
      <c r="F2906" s="55" t="str">
        <f aca="false">IF($H2906="","",购销流水!$C731)</f>
        <v/>
      </c>
      <c r="G2906" s="48" t="str">
        <f aca="false">IF($H2906="","",购销流水!$N731)</f>
        <v/>
      </c>
      <c r="H2906" s="10" t="str">
        <f aca="false">IF($L2906="","",IF($L2906="@成本",购销流水!$U731,IF($L2906="@收入",购销流水!$T731,IF($L2906="@存货",购销流水!$S731,IF($L2906="@结算",购销流水!$R731,$L2906)))))</f>
        <v/>
      </c>
      <c r="I2906" s="42" t="n">
        <f aca="false">IF($M2906="借",$O2906,0)</f>
        <v>0</v>
      </c>
      <c r="J2906" s="42" t="n">
        <f aca="false">IF($M2906="贷",$O2906,0)</f>
        <v>0</v>
      </c>
      <c r="K2906" s="48" t="str">
        <f aca="false">IF($H2906="","",购销流水!$E731)</f>
        <v/>
      </c>
      <c r="L2906" s="66" t="str">
        <f aca="false">IF(购销流水!$D731="","",IFERROR(INDEX(记账规则!$A$6:$N$9,MATCH(购销流水!$D731,记账规则!$A$6:$A$9,0),3),""))</f>
        <v/>
      </c>
      <c r="M2906" s="66" t="str">
        <f aca="false">IF($L2906="","",IFERROR(INDEX(记账规则!$A$6:$N$9,MATCH(购销流水!$D731,记账规则!$A$6:$A$9,0),4),""))</f>
        <v/>
      </c>
      <c r="N2906" s="66" t="str">
        <f aca="false">IF($L2906="","",IFERROR(INDEX(记账规则!$A$6:$N$9,MATCH(购销流水!$D731,记账规则!$A$6:$A$9,0),5),""))</f>
        <v/>
      </c>
      <c r="O2906" s="67" t="n">
        <f aca="false">IF($H2906="",0,ROUND(IF($N2906="成本金额",N(购销流水!$W731),IF($N2906="金额",N(购销流水!$Q731),0)),2))</f>
        <v>0</v>
      </c>
      <c r="P2906" s="64" t="str">
        <f aca="false">IF(AND($H2906&lt;&gt;"",ROUND($O2906,2)&lt;&gt;0),"有","")</f>
        <v/>
      </c>
    </row>
    <row r="2907" customFormat="false" ht="15" hidden="true" customHeight="false" outlineLevel="0" collapsed="false">
      <c r="A2907" s="53" t="str">
        <f aca="false">IF($H2907="","",ROW()-5)</f>
        <v/>
      </c>
      <c r="B2907" s="64" t="s">
        <v>36</v>
      </c>
      <c r="C2907" s="53" t="n">
        <v>731</v>
      </c>
      <c r="D2907" s="53" t="n">
        <v>2</v>
      </c>
      <c r="E2907" s="65" t="str">
        <f aca="false">IF($H2907="","",购销流水!$B731)</f>
        <v/>
      </c>
      <c r="F2907" s="55" t="str">
        <f aca="false">IF($H2907="","",购销流水!$C731)</f>
        <v/>
      </c>
      <c r="G2907" s="48" t="str">
        <f aca="false">IF($H2907="","",购销流水!$N731)</f>
        <v/>
      </c>
      <c r="H2907" s="10" t="str">
        <f aca="false">IF($L2907="","",IF($L2907="@成本",购销流水!$U731,IF($L2907="@收入",购销流水!$T731,IF($L2907="@存货",购销流水!$S731,IF($L2907="@结算",购销流水!$R731,$L2907)))))</f>
        <v/>
      </c>
      <c r="I2907" s="42" t="n">
        <f aca="false">IF($M2907="借",$O2907,0)</f>
        <v>0</v>
      </c>
      <c r="J2907" s="42" t="n">
        <f aca="false">IF($M2907="贷",$O2907,0)</f>
        <v>0</v>
      </c>
      <c r="K2907" s="48" t="str">
        <f aca="false">IF($H2907="","",购销流水!$E731)</f>
        <v/>
      </c>
      <c r="L2907" s="66" t="str">
        <f aca="false">IF(购销流水!$D731="","",IFERROR(INDEX(记账规则!$A$6:$N$9,MATCH(购销流水!$D731,记账规则!$A$6:$A$9,0),6),""))</f>
        <v/>
      </c>
      <c r="M2907" s="66" t="str">
        <f aca="false">IF($L2907="","",IFERROR(INDEX(记账规则!$A$6:$N$9,MATCH(购销流水!$D731,记账规则!$A$6:$A$9,0),7),""))</f>
        <v/>
      </c>
      <c r="N2907" s="66" t="str">
        <f aca="false">IF($L2907="","",IFERROR(INDEX(记账规则!$A$6:$N$9,MATCH(购销流水!$D731,记账规则!$A$6:$A$9,0),8),""))</f>
        <v/>
      </c>
      <c r="O2907" s="67" t="n">
        <f aca="false">IF($H2907="",0,ROUND(IF($N2907="成本金额",N(购销流水!$W731),IF($N2907="金额",N(购销流水!$Q731),0)),2))</f>
        <v>0</v>
      </c>
      <c r="P2907" s="64" t="str">
        <f aca="false">IF(AND($H2907&lt;&gt;"",ROUND($O2907,2)&lt;&gt;0),"有","")</f>
        <v/>
      </c>
    </row>
    <row r="2908" customFormat="false" ht="15" hidden="true" customHeight="false" outlineLevel="0" collapsed="false">
      <c r="A2908" s="53" t="str">
        <f aca="false">IF($H2908="","",ROW()-5)</f>
        <v/>
      </c>
      <c r="B2908" s="64" t="s">
        <v>36</v>
      </c>
      <c r="C2908" s="53" t="n">
        <v>731</v>
      </c>
      <c r="D2908" s="53" t="n">
        <v>3</v>
      </c>
      <c r="E2908" s="65" t="str">
        <f aca="false">IF($H2908="","",购销流水!$B731)</f>
        <v/>
      </c>
      <c r="F2908" s="55" t="str">
        <f aca="false">IF($H2908="","",购销流水!$C731)</f>
        <v/>
      </c>
      <c r="G2908" s="48" t="str">
        <f aca="false">IF($H2908="","",购销流水!$N731)</f>
        <v/>
      </c>
      <c r="H2908" s="10" t="str">
        <f aca="false">IF($L2908="","",IF($L2908="@成本",购销流水!$U731,IF($L2908="@收入",购销流水!$T731,IF($L2908="@存货",购销流水!$S731,IF($L2908="@结算",购销流水!$R731,$L2908)))))</f>
        <v/>
      </c>
      <c r="I2908" s="42" t="n">
        <f aca="false">IF($M2908="借",$O2908,0)</f>
        <v>0</v>
      </c>
      <c r="J2908" s="42" t="n">
        <f aca="false">IF($M2908="贷",$O2908,0)</f>
        <v>0</v>
      </c>
      <c r="K2908" s="48" t="str">
        <f aca="false">IF($H2908="","",购销流水!$E731)</f>
        <v/>
      </c>
      <c r="L2908" s="66" t="str">
        <f aca="false">IF(购销流水!$D731="","",IFERROR(INDEX(记账规则!$A$6:$N$9,MATCH(购销流水!$D731,记账规则!$A$6:$A$9,0),9),""))</f>
        <v/>
      </c>
      <c r="M2908" s="66" t="str">
        <f aca="false">IF($L2908="","",IFERROR(INDEX(记账规则!$A$6:$N$9,MATCH(购销流水!$D731,记账规则!$A$6:$A$9,0),10),""))</f>
        <v/>
      </c>
      <c r="N2908" s="66" t="str">
        <f aca="false">IF($L2908="","",IFERROR(INDEX(记账规则!$A$6:$N$9,MATCH(购销流水!$D731,记账规则!$A$6:$A$9,0),11),""))</f>
        <v/>
      </c>
      <c r="O2908" s="67" t="n">
        <f aca="false">IF($H2908="",0,ROUND(IF($N2908="成本金额",N(购销流水!$W731),IF($N2908="金额",N(购销流水!$Q731),0)),2))</f>
        <v>0</v>
      </c>
      <c r="P2908" s="64" t="str">
        <f aca="false">IF(AND($H2908&lt;&gt;"",ROUND($O2908,2)&lt;&gt;0),"有","")</f>
        <v/>
      </c>
    </row>
    <row r="2909" customFormat="false" ht="15" hidden="true" customHeight="false" outlineLevel="0" collapsed="false">
      <c r="A2909" s="53" t="str">
        <f aca="false">IF($H2909="","",ROW()-5)</f>
        <v/>
      </c>
      <c r="B2909" s="64" t="s">
        <v>36</v>
      </c>
      <c r="C2909" s="53" t="n">
        <v>731</v>
      </c>
      <c r="D2909" s="53" t="n">
        <v>4</v>
      </c>
      <c r="E2909" s="65" t="str">
        <f aca="false">IF($H2909="","",购销流水!$B731)</f>
        <v/>
      </c>
      <c r="F2909" s="55" t="str">
        <f aca="false">IF($H2909="","",购销流水!$C731)</f>
        <v/>
      </c>
      <c r="G2909" s="48" t="str">
        <f aca="false">IF($H2909="","",购销流水!$N731)</f>
        <v/>
      </c>
      <c r="H2909" s="10" t="str">
        <f aca="false">IF($L2909="","",IF($L2909="@成本",购销流水!$U731,IF($L2909="@收入",购销流水!$T731,IF($L2909="@存货",购销流水!$S731,IF($L2909="@结算",购销流水!$R731,$L2909)))))</f>
        <v/>
      </c>
      <c r="I2909" s="42" t="n">
        <f aca="false">IF($M2909="借",$O2909,0)</f>
        <v>0</v>
      </c>
      <c r="J2909" s="42" t="n">
        <f aca="false">IF($M2909="贷",$O2909,0)</f>
        <v>0</v>
      </c>
      <c r="K2909" s="48" t="str">
        <f aca="false">IF($H2909="","",购销流水!$E731)</f>
        <v/>
      </c>
      <c r="L2909" s="66" t="str">
        <f aca="false">IF(购销流水!$D731="","",IFERROR(INDEX(记账规则!$A$6:$N$9,MATCH(购销流水!$D731,记账规则!$A$6:$A$9,0),12),""))</f>
        <v/>
      </c>
      <c r="M2909" s="66" t="str">
        <f aca="false">IF($L2909="","",IFERROR(INDEX(记账规则!$A$6:$N$9,MATCH(购销流水!$D731,记账规则!$A$6:$A$9,0),13),""))</f>
        <v/>
      </c>
      <c r="N2909" s="66" t="str">
        <f aca="false">IF($L2909="","",IFERROR(INDEX(记账规则!$A$6:$N$9,MATCH(购销流水!$D731,记账规则!$A$6:$A$9,0),14),""))</f>
        <v/>
      </c>
      <c r="O2909" s="67" t="n">
        <f aca="false">IF($H2909="",0,ROUND(IF($N2909="成本金额",N(购销流水!$W731),IF($N2909="金额",N(购销流水!$Q731),0)),2))</f>
        <v>0</v>
      </c>
      <c r="P2909" s="64" t="str">
        <f aca="false">IF(AND($H2909&lt;&gt;"",ROUND($O2909,2)&lt;&gt;0),"有","")</f>
        <v/>
      </c>
    </row>
    <row r="2910" customFormat="false" ht="15" hidden="true" customHeight="false" outlineLevel="0" collapsed="false">
      <c r="A2910" s="53" t="str">
        <f aca="false">IF($H2910="","",ROW()-5)</f>
        <v/>
      </c>
      <c r="B2910" s="64" t="s">
        <v>36</v>
      </c>
      <c r="C2910" s="53" t="n">
        <v>732</v>
      </c>
      <c r="D2910" s="53" t="n">
        <v>1</v>
      </c>
      <c r="E2910" s="65" t="str">
        <f aca="false">IF($H2910="","",购销流水!$B732)</f>
        <v/>
      </c>
      <c r="F2910" s="55" t="str">
        <f aca="false">IF($H2910="","",购销流水!$C732)</f>
        <v/>
      </c>
      <c r="G2910" s="48" t="str">
        <f aca="false">IF($H2910="","",购销流水!$N732)</f>
        <v/>
      </c>
      <c r="H2910" s="10" t="str">
        <f aca="false">IF($L2910="","",IF($L2910="@成本",购销流水!$U732,IF($L2910="@收入",购销流水!$T732,IF($L2910="@存货",购销流水!$S732,IF($L2910="@结算",购销流水!$R732,$L2910)))))</f>
        <v/>
      </c>
      <c r="I2910" s="42" t="n">
        <f aca="false">IF($M2910="借",$O2910,0)</f>
        <v>0</v>
      </c>
      <c r="J2910" s="42" t="n">
        <f aca="false">IF($M2910="贷",$O2910,0)</f>
        <v>0</v>
      </c>
      <c r="K2910" s="48" t="str">
        <f aca="false">IF($H2910="","",购销流水!$E732)</f>
        <v/>
      </c>
      <c r="L2910" s="66" t="str">
        <f aca="false">IF(购销流水!$D732="","",IFERROR(INDEX(记账规则!$A$6:$N$9,MATCH(购销流水!$D732,记账规则!$A$6:$A$9,0),3),""))</f>
        <v/>
      </c>
      <c r="M2910" s="66" t="str">
        <f aca="false">IF($L2910="","",IFERROR(INDEX(记账规则!$A$6:$N$9,MATCH(购销流水!$D732,记账规则!$A$6:$A$9,0),4),""))</f>
        <v/>
      </c>
      <c r="N2910" s="66" t="str">
        <f aca="false">IF($L2910="","",IFERROR(INDEX(记账规则!$A$6:$N$9,MATCH(购销流水!$D732,记账规则!$A$6:$A$9,0),5),""))</f>
        <v/>
      </c>
      <c r="O2910" s="67" t="n">
        <f aca="false">IF($H2910="",0,ROUND(IF($N2910="成本金额",N(购销流水!$W732),IF($N2910="金额",N(购销流水!$Q732),0)),2))</f>
        <v>0</v>
      </c>
      <c r="P2910" s="64" t="str">
        <f aca="false">IF(AND($H2910&lt;&gt;"",ROUND($O2910,2)&lt;&gt;0),"有","")</f>
        <v/>
      </c>
    </row>
    <row r="2911" customFormat="false" ht="15" hidden="true" customHeight="false" outlineLevel="0" collapsed="false">
      <c r="A2911" s="53" t="str">
        <f aca="false">IF($H2911="","",ROW()-5)</f>
        <v/>
      </c>
      <c r="B2911" s="64" t="s">
        <v>36</v>
      </c>
      <c r="C2911" s="53" t="n">
        <v>732</v>
      </c>
      <c r="D2911" s="53" t="n">
        <v>2</v>
      </c>
      <c r="E2911" s="65" t="str">
        <f aca="false">IF($H2911="","",购销流水!$B732)</f>
        <v/>
      </c>
      <c r="F2911" s="55" t="str">
        <f aca="false">IF($H2911="","",购销流水!$C732)</f>
        <v/>
      </c>
      <c r="G2911" s="48" t="str">
        <f aca="false">IF($H2911="","",购销流水!$N732)</f>
        <v/>
      </c>
      <c r="H2911" s="10" t="str">
        <f aca="false">IF($L2911="","",IF($L2911="@成本",购销流水!$U732,IF($L2911="@收入",购销流水!$T732,IF($L2911="@存货",购销流水!$S732,IF($L2911="@结算",购销流水!$R732,$L2911)))))</f>
        <v/>
      </c>
      <c r="I2911" s="42" t="n">
        <f aca="false">IF($M2911="借",$O2911,0)</f>
        <v>0</v>
      </c>
      <c r="J2911" s="42" t="n">
        <f aca="false">IF($M2911="贷",$O2911,0)</f>
        <v>0</v>
      </c>
      <c r="K2911" s="48" t="str">
        <f aca="false">IF($H2911="","",购销流水!$E732)</f>
        <v/>
      </c>
      <c r="L2911" s="66" t="str">
        <f aca="false">IF(购销流水!$D732="","",IFERROR(INDEX(记账规则!$A$6:$N$9,MATCH(购销流水!$D732,记账规则!$A$6:$A$9,0),6),""))</f>
        <v/>
      </c>
      <c r="M2911" s="66" t="str">
        <f aca="false">IF($L2911="","",IFERROR(INDEX(记账规则!$A$6:$N$9,MATCH(购销流水!$D732,记账规则!$A$6:$A$9,0),7),""))</f>
        <v/>
      </c>
      <c r="N2911" s="66" t="str">
        <f aca="false">IF($L2911="","",IFERROR(INDEX(记账规则!$A$6:$N$9,MATCH(购销流水!$D732,记账规则!$A$6:$A$9,0),8),""))</f>
        <v/>
      </c>
      <c r="O2911" s="67" t="n">
        <f aca="false">IF($H2911="",0,ROUND(IF($N2911="成本金额",N(购销流水!$W732),IF($N2911="金额",N(购销流水!$Q732),0)),2))</f>
        <v>0</v>
      </c>
      <c r="P2911" s="64" t="str">
        <f aca="false">IF(AND($H2911&lt;&gt;"",ROUND($O2911,2)&lt;&gt;0),"有","")</f>
        <v/>
      </c>
    </row>
    <row r="2912" customFormat="false" ht="15" hidden="true" customHeight="false" outlineLevel="0" collapsed="false">
      <c r="A2912" s="53" t="str">
        <f aca="false">IF($H2912="","",ROW()-5)</f>
        <v/>
      </c>
      <c r="B2912" s="64" t="s">
        <v>36</v>
      </c>
      <c r="C2912" s="53" t="n">
        <v>732</v>
      </c>
      <c r="D2912" s="53" t="n">
        <v>3</v>
      </c>
      <c r="E2912" s="65" t="str">
        <f aca="false">IF($H2912="","",购销流水!$B732)</f>
        <v/>
      </c>
      <c r="F2912" s="55" t="str">
        <f aca="false">IF($H2912="","",购销流水!$C732)</f>
        <v/>
      </c>
      <c r="G2912" s="48" t="str">
        <f aca="false">IF($H2912="","",购销流水!$N732)</f>
        <v/>
      </c>
      <c r="H2912" s="10" t="str">
        <f aca="false">IF($L2912="","",IF($L2912="@成本",购销流水!$U732,IF($L2912="@收入",购销流水!$T732,IF($L2912="@存货",购销流水!$S732,IF($L2912="@结算",购销流水!$R732,$L2912)))))</f>
        <v/>
      </c>
      <c r="I2912" s="42" t="n">
        <f aca="false">IF($M2912="借",$O2912,0)</f>
        <v>0</v>
      </c>
      <c r="J2912" s="42" t="n">
        <f aca="false">IF($M2912="贷",$O2912,0)</f>
        <v>0</v>
      </c>
      <c r="K2912" s="48" t="str">
        <f aca="false">IF($H2912="","",购销流水!$E732)</f>
        <v/>
      </c>
      <c r="L2912" s="66" t="str">
        <f aca="false">IF(购销流水!$D732="","",IFERROR(INDEX(记账规则!$A$6:$N$9,MATCH(购销流水!$D732,记账规则!$A$6:$A$9,0),9),""))</f>
        <v/>
      </c>
      <c r="M2912" s="66" t="str">
        <f aca="false">IF($L2912="","",IFERROR(INDEX(记账规则!$A$6:$N$9,MATCH(购销流水!$D732,记账规则!$A$6:$A$9,0),10),""))</f>
        <v/>
      </c>
      <c r="N2912" s="66" t="str">
        <f aca="false">IF($L2912="","",IFERROR(INDEX(记账规则!$A$6:$N$9,MATCH(购销流水!$D732,记账规则!$A$6:$A$9,0),11),""))</f>
        <v/>
      </c>
      <c r="O2912" s="67" t="n">
        <f aca="false">IF($H2912="",0,ROUND(IF($N2912="成本金额",N(购销流水!$W732),IF($N2912="金额",N(购销流水!$Q732),0)),2))</f>
        <v>0</v>
      </c>
      <c r="P2912" s="64" t="str">
        <f aca="false">IF(AND($H2912&lt;&gt;"",ROUND($O2912,2)&lt;&gt;0),"有","")</f>
        <v/>
      </c>
    </row>
    <row r="2913" customFormat="false" ht="15" hidden="true" customHeight="false" outlineLevel="0" collapsed="false">
      <c r="A2913" s="53" t="str">
        <f aca="false">IF($H2913="","",ROW()-5)</f>
        <v/>
      </c>
      <c r="B2913" s="64" t="s">
        <v>36</v>
      </c>
      <c r="C2913" s="53" t="n">
        <v>732</v>
      </c>
      <c r="D2913" s="53" t="n">
        <v>4</v>
      </c>
      <c r="E2913" s="65" t="str">
        <f aca="false">IF($H2913="","",购销流水!$B732)</f>
        <v/>
      </c>
      <c r="F2913" s="55" t="str">
        <f aca="false">IF($H2913="","",购销流水!$C732)</f>
        <v/>
      </c>
      <c r="G2913" s="48" t="str">
        <f aca="false">IF($H2913="","",购销流水!$N732)</f>
        <v/>
      </c>
      <c r="H2913" s="10" t="str">
        <f aca="false">IF($L2913="","",IF($L2913="@成本",购销流水!$U732,IF($L2913="@收入",购销流水!$T732,IF($L2913="@存货",购销流水!$S732,IF($L2913="@结算",购销流水!$R732,$L2913)))))</f>
        <v/>
      </c>
      <c r="I2913" s="42" t="n">
        <f aca="false">IF($M2913="借",$O2913,0)</f>
        <v>0</v>
      </c>
      <c r="J2913" s="42" t="n">
        <f aca="false">IF($M2913="贷",$O2913,0)</f>
        <v>0</v>
      </c>
      <c r="K2913" s="48" t="str">
        <f aca="false">IF($H2913="","",购销流水!$E732)</f>
        <v/>
      </c>
      <c r="L2913" s="66" t="str">
        <f aca="false">IF(购销流水!$D732="","",IFERROR(INDEX(记账规则!$A$6:$N$9,MATCH(购销流水!$D732,记账规则!$A$6:$A$9,0),12),""))</f>
        <v/>
      </c>
      <c r="M2913" s="66" t="str">
        <f aca="false">IF($L2913="","",IFERROR(INDEX(记账规则!$A$6:$N$9,MATCH(购销流水!$D732,记账规则!$A$6:$A$9,0),13),""))</f>
        <v/>
      </c>
      <c r="N2913" s="66" t="str">
        <f aca="false">IF($L2913="","",IFERROR(INDEX(记账规则!$A$6:$N$9,MATCH(购销流水!$D732,记账规则!$A$6:$A$9,0),14),""))</f>
        <v/>
      </c>
      <c r="O2913" s="67" t="n">
        <f aca="false">IF($H2913="",0,ROUND(IF($N2913="成本金额",N(购销流水!$W732),IF($N2913="金额",N(购销流水!$Q732),0)),2))</f>
        <v>0</v>
      </c>
      <c r="P2913" s="64" t="str">
        <f aca="false">IF(AND($H2913&lt;&gt;"",ROUND($O2913,2)&lt;&gt;0),"有","")</f>
        <v/>
      </c>
    </row>
    <row r="2914" customFormat="false" ht="15" hidden="true" customHeight="false" outlineLevel="0" collapsed="false">
      <c r="A2914" s="53" t="str">
        <f aca="false">IF($H2914="","",ROW()-5)</f>
        <v/>
      </c>
      <c r="B2914" s="64" t="s">
        <v>36</v>
      </c>
      <c r="C2914" s="53" t="n">
        <v>733</v>
      </c>
      <c r="D2914" s="53" t="n">
        <v>1</v>
      </c>
      <c r="E2914" s="65" t="str">
        <f aca="false">IF($H2914="","",购销流水!$B733)</f>
        <v/>
      </c>
      <c r="F2914" s="55" t="str">
        <f aca="false">IF($H2914="","",购销流水!$C733)</f>
        <v/>
      </c>
      <c r="G2914" s="48" t="str">
        <f aca="false">IF($H2914="","",购销流水!$N733)</f>
        <v/>
      </c>
      <c r="H2914" s="10" t="str">
        <f aca="false">IF($L2914="","",IF($L2914="@成本",购销流水!$U733,IF($L2914="@收入",购销流水!$T733,IF($L2914="@存货",购销流水!$S733,IF($L2914="@结算",购销流水!$R733,$L2914)))))</f>
        <v/>
      </c>
      <c r="I2914" s="42" t="n">
        <f aca="false">IF($M2914="借",$O2914,0)</f>
        <v>0</v>
      </c>
      <c r="J2914" s="42" t="n">
        <f aca="false">IF($M2914="贷",$O2914,0)</f>
        <v>0</v>
      </c>
      <c r="K2914" s="48" t="str">
        <f aca="false">IF($H2914="","",购销流水!$E733)</f>
        <v/>
      </c>
      <c r="L2914" s="66" t="str">
        <f aca="false">IF(购销流水!$D733="","",IFERROR(INDEX(记账规则!$A$6:$N$9,MATCH(购销流水!$D733,记账规则!$A$6:$A$9,0),3),""))</f>
        <v/>
      </c>
      <c r="M2914" s="66" t="str">
        <f aca="false">IF($L2914="","",IFERROR(INDEX(记账规则!$A$6:$N$9,MATCH(购销流水!$D733,记账规则!$A$6:$A$9,0),4),""))</f>
        <v/>
      </c>
      <c r="N2914" s="66" t="str">
        <f aca="false">IF($L2914="","",IFERROR(INDEX(记账规则!$A$6:$N$9,MATCH(购销流水!$D733,记账规则!$A$6:$A$9,0),5),""))</f>
        <v/>
      </c>
      <c r="O2914" s="67" t="n">
        <f aca="false">IF($H2914="",0,ROUND(IF($N2914="成本金额",N(购销流水!$W733),IF($N2914="金额",N(购销流水!$Q733),0)),2))</f>
        <v>0</v>
      </c>
      <c r="P2914" s="64" t="str">
        <f aca="false">IF(AND($H2914&lt;&gt;"",ROUND($O2914,2)&lt;&gt;0),"有","")</f>
        <v/>
      </c>
    </row>
    <row r="2915" customFormat="false" ht="15" hidden="true" customHeight="false" outlineLevel="0" collapsed="false">
      <c r="A2915" s="53" t="str">
        <f aca="false">IF($H2915="","",ROW()-5)</f>
        <v/>
      </c>
      <c r="B2915" s="64" t="s">
        <v>36</v>
      </c>
      <c r="C2915" s="53" t="n">
        <v>733</v>
      </c>
      <c r="D2915" s="53" t="n">
        <v>2</v>
      </c>
      <c r="E2915" s="65" t="str">
        <f aca="false">IF($H2915="","",购销流水!$B733)</f>
        <v/>
      </c>
      <c r="F2915" s="55" t="str">
        <f aca="false">IF($H2915="","",购销流水!$C733)</f>
        <v/>
      </c>
      <c r="G2915" s="48" t="str">
        <f aca="false">IF($H2915="","",购销流水!$N733)</f>
        <v/>
      </c>
      <c r="H2915" s="10" t="str">
        <f aca="false">IF($L2915="","",IF($L2915="@成本",购销流水!$U733,IF($L2915="@收入",购销流水!$T733,IF($L2915="@存货",购销流水!$S733,IF($L2915="@结算",购销流水!$R733,$L2915)))))</f>
        <v/>
      </c>
      <c r="I2915" s="42" t="n">
        <f aca="false">IF($M2915="借",$O2915,0)</f>
        <v>0</v>
      </c>
      <c r="J2915" s="42" t="n">
        <f aca="false">IF($M2915="贷",$O2915,0)</f>
        <v>0</v>
      </c>
      <c r="K2915" s="48" t="str">
        <f aca="false">IF($H2915="","",购销流水!$E733)</f>
        <v/>
      </c>
      <c r="L2915" s="66" t="str">
        <f aca="false">IF(购销流水!$D733="","",IFERROR(INDEX(记账规则!$A$6:$N$9,MATCH(购销流水!$D733,记账规则!$A$6:$A$9,0),6),""))</f>
        <v/>
      </c>
      <c r="M2915" s="66" t="str">
        <f aca="false">IF($L2915="","",IFERROR(INDEX(记账规则!$A$6:$N$9,MATCH(购销流水!$D733,记账规则!$A$6:$A$9,0),7),""))</f>
        <v/>
      </c>
      <c r="N2915" s="66" t="str">
        <f aca="false">IF($L2915="","",IFERROR(INDEX(记账规则!$A$6:$N$9,MATCH(购销流水!$D733,记账规则!$A$6:$A$9,0),8),""))</f>
        <v/>
      </c>
      <c r="O2915" s="67" t="n">
        <f aca="false">IF($H2915="",0,ROUND(IF($N2915="成本金额",N(购销流水!$W733),IF($N2915="金额",N(购销流水!$Q733),0)),2))</f>
        <v>0</v>
      </c>
      <c r="P2915" s="64" t="str">
        <f aca="false">IF(AND($H2915&lt;&gt;"",ROUND($O2915,2)&lt;&gt;0),"有","")</f>
        <v/>
      </c>
    </row>
    <row r="2916" customFormat="false" ht="15" hidden="true" customHeight="false" outlineLevel="0" collapsed="false">
      <c r="A2916" s="53" t="str">
        <f aca="false">IF($H2916="","",ROW()-5)</f>
        <v/>
      </c>
      <c r="B2916" s="64" t="s">
        <v>36</v>
      </c>
      <c r="C2916" s="53" t="n">
        <v>733</v>
      </c>
      <c r="D2916" s="53" t="n">
        <v>3</v>
      </c>
      <c r="E2916" s="65" t="str">
        <f aca="false">IF($H2916="","",购销流水!$B733)</f>
        <v/>
      </c>
      <c r="F2916" s="55" t="str">
        <f aca="false">IF($H2916="","",购销流水!$C733)</f>
        <v/>
      </c>
      <c r="G2916" s="48" t="str">
        <f aca="false">IF($H2916="","",购销流水!$N733)</f>
        <v/>
      </c>
      <c r="H2916" s="10" t="str">
        <f aca="false">IF($L2916="","",IF($L2916="@成本",购销流水!$U733,IF($L2916="@收入",购销流水!$T733,IF($L2916="@存货",购销流水!$S733,IF($L2916="@结算",购销流水!$R733,$L2916)))))</f>
        <v/>
      </c>
      <c r="I2916" s="42" t="n">
        <f aca="false">IF($M2916="借",$O2916,0)</f>
        <v>0</v>
      </c>
      <c r="J2916" s="42" t="n">
        <f aca="false">IF($M2916="贷",$O2916,0)</f>
        <v>0</v>
      </c>
      <c r="K2916" s="48" t="str">
        <f aca="false">IF($H2916="","",购销流水!$E733)</f>
        <v/>
      </c>
      <c r="L2916" s="66" t="str">
        <f aca="false">IF(购销流水!$D733="","",IFERROR(INDEX(记账规则!$A$6:$N$9,MATCH(购销流水!$D733,记账规则!$A$6:$A$9,0),9),""))</f>
        <v/>
      </c>
      <c r="M2916" s="66" t="str">
        <f aca="false">IF($L2916="","",IFERROR(INDEX(记账规则!$A$6:$N$9,MATCH(购销流水!$D733,记账规则!$A$6:$A$9,0),10),""))</f>
        <v/>
      </c>
      <c r="N2916" s="66" t="str">
        <f aca="false">IF($L2916="","",IFERROR(INDEX(记账规则!$A$6:$N$9,MATCH(购销流水!$D733,记账规则!$A$6:$A$9,0),11),""))</f>
        <v/>
      </c>
      <c r="O2916" s="67" t="n">
        <f aca="false">IF($H2916="",0,ROUND(IF($N2916="成本金额",N(购销流水!$W733),IF($N2916="金额",N(购销流水!$Q733),0)),2))</f>
        <v>0</v>
      </c>
      <c r="P2916" s="64" t="str">
        <f aca="false">IF(AND($H2916&lt;&gt;"",ROUND($O2916,2)&lt;&gt;0),"有","")</f>
        <v/>
      </c>
    </row>
    <row r="2917" customFormat="false" ht="15" hidden="true" customHeight="false" outlineLevel="0" collapsed="false">
      <c r="A2917" s="53" t="str">
        <f aca="false">IF($H2917="","",ROW()-5)</f>
        <v/>
      </c>
      <c r="B2917" s="64" t="s">
        <v>36</v>
      </c>
      <c r="C2917" s="53" t="n">
        <v>733</v>
      </c>
      <c r="D2917" s="53" t="n">
        <v>4</v>
      </c>
      <c r="E2917" s="65" t="str">
        <f aca="false">IF($H2917="","",购销流水!$B733)</f>
        <v/>
      </c>
      <c r="F2917" s="55" t="str">
        <f aca="false">IF($H2917="","",购销流水!$C733)</f>
        <v/>
      </c>
      <c r="G2917" s="48" t="str">
        <f aca="false">IF($H2917="","",购销流水!$N733)</f>
        <v/>
      </c>
      <c r="H2917" s="10" t="str">
        <f aca="false">IF($L2917="","",IF($L2917="@成本",购销流水!$U733,IF($L2917="@收入",购销流水!$T733,IF($L2917="@存货",购销流水!$S733,IF($L2917="@结算",购销流水!$R733,$L2917)))))</f>
        <v/>
      </c>
      <c r="I2917" s="42" t="n">
        <f aca="false">IF($M2917="借",$O2917,0)</f>
        <v>0</v>
      </c>
      <c r="J2917" s="42" t="n">
        <f aca="false">IF($M2917="贷",$O2917,0)</f>
        <v>0</v>
      </c>
      <c r="K2917" s="48" t="str">
        <f aca="false">IF($H2917="","",购销流水!$E733)</f>
        <v/>
      </c>
      <c r="L2917" s="66" t="str">
        <f aca="false">IF(购销流水!$D733="","",IFERROR(INDEX(记账规则!$A$6:$N$9,MATCH(购销流水!$D733,记账规则!$A$6:$A$9,0),12),""))</f>
        <v/>
      </c>
      <c r="M2917" s="66" t="str">
        <f aca="false">IF($L2917="","",IFERROR(INDEX(记账规则!$A$6:$N$9,MATCH(购销流水!$D733,记账规则!$A$6:$A$9,0),13),""))</f>
        <v/>
      </c>
      <c r="N2917" s="66" t="str">
        <f aca="false">IF($L2917="","",IFERROR(INDEX(记账规则!$A$6:$N$9,MATCH(购销流水!$D733,记账规则!$A$6:$A$9,0),14),""))</f>
        <v/>
      </c>
      <c r="O2917" s="67" t="n">
        <f aca="false">IF($H2917="",0,ROUND(IF($N2917="成本金额",N(购销流水!$W733),IF($N2917="金额",N(购销流水!$Q733),0)),2))</f>
        <v>0</v>
      </c>
      <c r="P2917" s="64" t="str">
        <f aca="false">IF(AND($H2917&lt;&gt;"",ROUND($O2917,2)&lt;&gt;0),"有","")</f>
        <v/>
      </c>
    </row>
    <row r="2918" customFormat="false" ht="15" hidden="true" customHeight="false" outlineLevel="0" collapsed="false">
      <c r="A2918" s="53" t="str">
        <f aca="false">IF($H2918="","",ROW()-5)</f>
        <v/>
      </c>
      <c r="B2918" s="64" t="s">
        <v>36</v>
      </c>
      <c r="C2918" s="53" t="n">
        <v>734</v>
      </c>
      <c r="D2918" s="53" t="n">
        <v>1</v>
      </c>
      <c r="E2918" s="65" t="str">
        <f aca="false">IF($H2918="","",购销流水!$B734)</f>
        <v/>
      </c>
      <c r="F2918" s="55" t="str">
        <f aca="false">IF($H2918="","",购销流水!$C734)</f>
        <v/>
      </c>
      <c r="G2918" s="48" t="str">
        <f aca="false">IF($H2918="","",购销流水!$N734)</f>
        <v/>
      </c>
      <c r="H2918" s="10" t="str">
        <f aca="false">IF($L2918="","",IF($L2918="@成本",购销流水!$U734,IF($L2918="@收入",购销流水!$T734,IF($L2918="@存货",购销流水!$S734,IF($L2918="@结算",购销流水!$R734,$L2918)))))</f>
        <v/>
      </c>
      <c r="I2918" s="42" t="n">
        <f aca="false">IF($M2918="借",$O2918,0)</f>
        <v>0</v>
      </c>
      <c r="J2918" s="42" t="n">
        <f aca="false">IF($M2918="贷",$O2918,0)</f>
        <v>0</v>
      </c>
      <c r="K2918" s="48" t="str">
        <f aca="false">IF($H2918="","",购销流水!$E734)</f>
        <v/>
      </c>
      <c r="L2918" s="66" t="str">
        <f aca="false">IF(购销流水!$D734="","",IFERROR(INDEX(记账规则!$A$6:$N$9,MATCH(购销流水!$D734,记账规则!$A$6:$A$9,0),3),""))</f>
        <v/>
      </c>
      <c r="M2918" s="66" t="str">
        <f aca="false">IF($L2918="","",IFERROR(INDEX(记账规则!$A$6:$N$9,MATCH(购销流水!$D734,记账规则!$A$6:$A$9,0),4),""))</f>
        <v/>
      </c>
      <c r="N2918" s="66" t="str">
        <f aca="false">IF($L2918="","",IFERROR(INDEX(记账规则!$A$6:$N$9,MATCH(购销流水!$D734,记账规则!$A$6:$A$9,0),5),""))</f>
        <v/>
      </c>
      <c r="O2918" s="67" t="n">
        <f aca="false">IF($H2918="",0,ROUND(IF($N2918="成本金额",N(购销流水!$W734),IF($N2918="金额",N(购销流水!$Q734),0)),2))</f>
        <v>0</v>
      </c>
      <c r="P2918" s="64" t="str">
        <f aca="false">IF(AND($H2918&lt;&gt;"",ROUND($O2918,2)&lt;&gt;0),"有","")</f>
        <v/>
      </c>
    </row>
    <row r="2919" customFormat="false" ht="15" hidden="true" customHeight="false" outlineLevel="0" collapsed="false">
      <c r="A2919" s="53" t="str">
        <f aca="false">IF($H2919="","",ROW()-5)</f>
        <v/>
      </c>
      <c r="B2919" s="64" t="s">
        <v>36</v>
      </c>
      <c r="C2919" s="53" t="n">
        <v>734</v>
      </c>
      <c r="D2919" s="53" t="n">
        <v>2</v>
      </c>
      <c r="E2919" s="65" t="str">
        <f aca="false">IF($H2919="","",购销流水!$B734)</f>
        <v/>
      </c>
      <c r="F2919" s="55" t="str">
        <f aca="false">IF($H2919="","",购销流水!$C734)</f>
        <v/>
      </c>
      <c r="G2919" s="48" t="str">
        <f aca="false">IF($H2919="","",购销流水!$N734)</f>
        <v/>
      </c>
      <c r="H2919" s="10" t="str">
        <f aca="false">IF($L2919="","",IF($L2919="@成本",购销流水!$U734,IF($L2919="@收入",购销流水!$T734,IF($L2919="@存货",购销流水!$S734,IF($L2919="@结算",购销流水!$R734,$L2919)))))</f>
        <v/>
      </c>
      <c r="I2919" s="42" t="n">
        <f aca="false">IF($M2919="借",$O2919,0)</f>
        <v>0</v>
      </c>
      <c r="J2919" s="42" t="n">
        <f aca="false">IF($M2919="贷",$O2919,0)</f>
        <v>0</v>
      </c>
      <c r="K2919" s="48" t="str">
        <f aca="false">IF($H2919="","",购销流水!$E734)</f>
        <v/>
      </c>
      <c r="L2919" s="66" t="str">
        <f aca="false">IF(购销流水!$D734="","",IFERROR(INDEX(记账规则!$A$6:$N$9,MATCH(购销流水!$D734,记账规则!$A$6:$A$9,0),6),""))</f>
        <v/>
      </c>
      <c r="M2919" s="66" t="str">
        <f aca="false">IF($L2919="","",IFERROR(INDEX(记账规则!$A$6:$N$9,MATCH(购销流水!$D734,记账规则!$A$6:$A$9,0),7),""))</f>
        <v/>
      </c>
      <c r="N2919" s="66" t="str">
        <f aca="false">IF($L2919="","",IFERROR(INDEX(记账规则!$A$6:$N$9,MATCH(购销流水!$D734,记账规则!$A$6:$A$9,0),8),""))</f>
        <v/>
      </c>
      <c r="O2919" s="67" t="n">
        <f aca="false">IF($H2919="",0,ROUND(IF($N2919="成本金额",N(购销流水!$W734),IF($N2919="金额",N(购销流水!$Q734),0)),2))</f>
        <v>0</v>
      </c>
      <c r="P2919" s="64" t="str">
        <f aca="false">IF(AND($H2919&lt;&gt;"",ROUND($O2919,2)&lt;&gt;0),"有","")</f>
        <v/>
      </c>
    </row>
    <row r="2920" customFormat="false" ht="15" hidden="true" customHeight="false" outlineLevel="0" collapsed="false">
      <c r="A2920" s="53" t="str">
        <f aca="false">IF($H2920="","",ROW()-5)</f>
        <v/>
      </c>
      <c r="B2920" s="64" t="s">
        <v>36</v>
      </c>
      <c r="C2920" s="53" t="n">
        <v>734</v>
      </c>
      <c r="D2920" s="53" t="n">
        <v>3</v>
      </c>
      <c r="E2920" s="65" t="str">
        <f aca="false">IF($H2920="","",购销流水!$B734)</f>
        <v/>
      </c>
      <c r="F2920" s="55" t="str">
        <f aca="false">IF($H2920="","",购销流水!$C734)</f>
        <v/>
      </c>
      <c r="G2920" s="48" t="str">
        <f aca="false">IF($H2920="","",购销流水!$N734)</f>
        <v/>
      </c>
      <c r="H2920" s="10" t="str">
        <f aca="false">IF($L2920="","",IF($L2920="@成本",购销流水!$U734,IF($L2920="@收入",购销流水!$T734,IF($L2920="@存货",购销流水!$S734,IF($L2920="@结算",购销流水!$R734,$L2920)))))</f>
        <v/>
      </c>
      <c r="I2920" s="42" t="n">
        <f aca="false">IF($M2920="借",$O2920,0)</f>
        <v>0</v>
      </c>
      <c r="J2920" s="42" t="n">
        <f aca="false">IF($M2920="贷",$O2920,0)</f>
        <v>0</v>
      </c>
      <c r="K2920" s="48" t="str">
        <f aca="false">IF($H2920="","",购销流水!$E734)</f>
        <v/>
      </c>
      <c r="L2920" s="66" t="str">
        <f aca="false">IF(购销流水!$D734="","",IFERROR(INDEX(记账规则!$A$6:$N$9,MATCH(购销流水!$D734,记账规则!$A$6:$A$9,0),9),""))</f>
        <v/>
      </c>
      <c r="M2920" s="66" t="str">
        <f aca="false">IF($L2920="","",IFERROR(INDEX(记账规则!$A$6:$N$9,MATCH(购销流水!$D734,记账规则!$A$6:$A$9,0),10),""))</f>
        <v/>
      </c>
      <c r="N2920" s="66" t="str">
        <f aca="false">IF($L2920="","",IFERROR(INDEX(记账规则!$A$6:$N$9,MATCH(购销流水!$D734,记账规则!$A$6:$A$9,0),11),""))</f>
        <v/>
      </c>
      <c r="O2920" s="67" t="n">
        <f aca="false">IF($H2920="",0,ROUND(IF($N2920="成本金额",N(购销流水!$W734),IF($N2920="金额",N(购销流水!$Q734),0)),2))</f>
        <v>0</v>
      </c>
      <c r="P2920" s="64" t="str">
        <f aca="false">IF(AND($H2920&lt;&gt;"",ROUND($O2920,2)&lt;&gt;0),"有","")</f>
        <v/>
      </c>
    </row>
    <row r="2921" customFormat="false" ht="15" hidden="true" customHeight="false" outlineLevel="0" collapsed="false">
      <c r="A2921" s="53" t="str">
        <f aca="false">IF($H2921="","",ROW()-5)</f>
        <v/>
      </c>
      <c r="B2921" s="64" t="s">
        <v>36</v>
      </c>
      <c r="C2921" s="53" t="n">
        <v>734</v>
      </c>
      <c r="D2921" s="53" t="n">
        <v>4</v>
      </c>
      <c r="E2921" s="65" t="str">
        <f aca="false">IF($H2921="","",购销流水!$B734)</f>
        <v/>
      </c>
      <c r="F2921" s="55" t="str">
        <f aca="false">IF($H2921="","",购销流水!$C734)</f>
        <v/>
      </c>
      <c r="G2921" s="48" t="str">
        <f aca="false">IF($H2921="","",购销流水!$N734)</f>
        <v/>
      </c>
      <c r="H2921" s="10" t="str">
        <f aca="false">IF($L2921="","",IF($L2921="@成本",购销流水!$U734,IF($L2921="@收入",购销流水!$T734,IF($L2921="@存货",购销流水!$S734,IF($L2921="@结算",购销流水!$R734,$L2921)))))</f>
        <v/>
      </c>
      <c r="I2921" s="42" t="n">
        <f aca="false">IF($M2921="借",$O2921,0)</f>
        <v>0</v>
      </c>
      <c r="J2921" s="42" t="n">
        <f aca="false">IF($M2921="贷",$O2921,0)</f>
        <v>0</v>
      </c>
      <c r="K2921" s="48" t="str">
        <f aca="false">IF($H2921="","",购销流水!$E734)</f>
        <v/>
      </c>
      <c r="L2921" s="66" t="str">
        <f aca="false">IF(购销流水!$D734="","",IFERROR(INDEX(记账规则!$A$6:$N$9,MATCH(购销流水!$D734,记账规则!$A$6:$A$9,0),12),""))</f>
        <v/>
      </c>
      <c r="M2921" s="66" t="str">
        <f aca="false">IF($L2921="","",IFERROR(INDEX(记账规则!$A$6:$N$9,MATCH(购销流水!$D734,记账规则!$A$6:$A$9,0),13),""))</f>
        <v/>
      </c>
      <c r="N2921" s="66" t="str">
        <f aca="false">IF($L2921="","",IFERROR(INDEX(记账规则!$A$6:$N$9,MATCH(购销流水!$D734,记账规则!$A$6:$A$9,0),14),""))</f>
        <v/>
      </c>
      <c r="O2921" s="67" t="n">
        <f aca="false">IF($H2921="",0,ROUND(IF($N2921="成本金额",N(购销流水!$W734),IF($N2921="金额",N(购销流水!$Q734),0)),2))</f>
        <v>0</v>
      </c>
      <c r="P2921" s="64" t="str">
        <f aca="false">IF(AND($H2921&lt;&gt;"",ROUND($O2921,2)&lt;&gt;0),"有","")</f>
        <v/>
      </c>
    </row>
    <row r="2922" customFormat="false" ht="15" hidden="true" customHeight="false" outlineLevel="0" collapsed="false">
      <c r="A2922" s="53" t="str">
        <f aca="false">IF($H2922="","",ROW()-5)</f>
        <v/>
      </c>
      <c r="B2922" s="64" t="s">
        <v>36</v>
      </c>
      <c r="C2922" s="53" t="n">
        <v>735</v>
      </c>
      <c r="D2922" s="53" t="n">
        <v>1</v>
      </c>
      <c r="E2922" s="65" t="str">
        <f aca="false">IF($H2922="","",购销流水!$B735)</f>
        <v/>
      </c>
      <c r="F2922" s="55" t="str">
        <f aca="false">IF($H2922="","",购销流水!$C735)</f>
        <v/>
      </c>
      <c r="G2922" s="48" t="str">
        <f aca="false">IF($H2922="","",购销流水!$N735)</f>
        <v/>
      </c>
      <c r="H2922" s="10" t="str">
        <f aca="false">IF($L2922="","",IF($L2922="@成本",购销流水!$U735,IF($L2922="@收入",购销流水!$T735,IF($L2922="@存货",购销流水!$S735,IF($L2922="@结算",购销流水!$R735,$L2922)))))</f>
        <v/>
      </c>
      <c r="I2922" s="42" t="n">
        <f aca="false">IF($M2922="借",$O2922,0)</f>
        <v>0</v>
      </c>
      <c r="J2922" s="42" t="n">
        <f aca="false">IF($M2922="贷",$O2922,0)</f>
        <v>0</v>
      </c>
      <c r="K2922" s="48" t="str">
        <f aca="false">IF($H2922="","",购销流水!$E735)</f>
        <v/>
      </c>
      <c r="L2922" s="66" t="str">
        <f aca="false">IF(购销流水!$D735="","",IFERROR(INDEX(记账规则!$A$6:$N$9,MATCH(购销流水!$D735,记账规则!$A$6:$A$9,0),3),""))</f>
        <v/>
      </c>
      <c r="M2922" s="66" t="str">
        <f aca="false">IF($L2922="","",IFERROR(INDEX(记账规则!$A$6:$N$9,MATCH(购销流水!$D735,记账规则!$A$6:$A$9,0),4),""))</f>
        <v/>
      </c>
      <c r="N2922" s="66" t="str">
        <f aca="false">IF($L2922="","",IFERROR(INDEX(记账规则!$A$6:$N$9,MATCH(购销流水!$D735,记账规则!$A$6:$A$9,0),5),""))</f>
        <v/>
      </c>
      <c r="O2922" s="67" t="n">
        <f aca="false">IF($H2922="",0,ROUND(IF($N2922="成本金额",N(购销流水!$W735),IF($N2922="金额",N(购销流水!$Q735),0)),2))</f>
        <v>0</v>
      </c>
      <c r="P2922" s="64" t="str">
        <f aca="false">IF(AND($H2922&lt;&gt;"",ROUND($O2922,2)&lt;&gt;0),"有","")</f>
        <v/>
      </c>
    </row>
    <row r="2923" customFormat="false" ht="15" hidden="true" customHeight="false" outlineLevel="0" collapsed="false">
      <c r="A2923" s="53" t="str">
        <f aca="false">IF($H2923="","",ROW()-5)</f>
        <v/>
      </c>
      <c r="B2923" s="64" t="s">
        <v>36</v>
      </c>
      <c r="C2923" s="53" t="n">
        <v>735</v>
      </c>
      <c r="D2923" s="53" t="n">
        <v>2</v>
      </c>
      <c r="E2923" s="65" t="str">
        <f aca="false">IF($H2923="","",购销流水!$B735)</f>
        <v/>
      </c>
      <c r="F2923" s="55" t="str">
        <f aca="false">IF($H2923="","",购销流水!$C735)</f>
        <v/>
      </c>
      <c r="G2923" s="48" t="str">
        <f aca="false">IF($H2923="","",购销流水!$N735)</f>
        <v/>
      </c>
      <c r="H2923" s="10" t="str">
        <f aca="false">IF($L2923="","",IF($L2923="@成本",购销流水!$U735,IF($L2923="@收入",购销流水!$T735,IF($L2923="@存货",购销流水!$S735,IF($L2923="@结算",购销流水!$R735,$L2923)))))</f>
        <v/>
      </c>
      <c r="I2923" s="42" t="n">
        <f aca="false">IF($M2923="借",$O2923,0)</f>
        <v>0</v>
      </c>
      <c r="J2923" s="42" t="n">
        <f aca="false">IF($M2923="贷",$O2923,0)</f>
        <v>0</v>
      </c>
      <c r="K2923" s="48" t="str">
        <f aca="false">IF($H2923="","",购销流水!$E735)</f>
        <v/>
      </c>
      <c r="L2923" s="66" t="str">
        <f aca="false">IF(购销流水!$D735="","",IFERROR(INDEX(记账规则!$A$6:$N$9,MATCH(购销流水!$D735,记账规则!$A$6:$A$9,0),6),""))</f>
        <v/>
      </c>
      <c r="M2923" s="66" t="str">
        <f aca="false">IF($L2923="","",IFERROR(INDEX(记账规则!$A$6:$N$9,MATCH(购销流水!$D735,记账规则!$A$6:$A$9,0),7),""))</f>
        <v/>
      </c>
      <c r="N2923" s="66" t="str">
        <f aca="false">IF($L2923="","",IFERROR(INDEX(记账规则!$A$6:$N$9,MATCH(购销流水!$D735,记账规则!$A$6:$A$9,0),8),""))</f>
        <v/>
      </c>
      <c r="O2923" s="67" t="n">
        <f aca="false">IF($H2923="",0,ROUND(IF($N2923="成本金额",N(购销流水!$W735),IF($N2923="金额",N(购销流水!$Q735),0)),2))</f>
        <v>0</v>
      </c>
      <c r="P2923" s="64" t="str">
        <f aca="false">IF(AND($H2923&lt;&gt;"",ROUND($O2923,2)&lt;&gt;0),"有","")</f>
        <v/>
      </c>
    </row>
    <row r="2924" customFormat="false" ht="15" hidden="true" customHeight="false" outlineLevel="0" collapsed="false">
      <c r="A2924" s="53" t="str">
        <f aca="false">IF($H2924="","",ROW()-5)</f>
        <v/>
      </c>
      <c r="B2924" s="64" t="s">
        <v>36</v>
      </c>
      <c r="C2924" s="53" t="n">
        <v>735</v>
      </c>
      <c r="D2924" s="53" t="n">
        <v>3</v>
      </c>
      <c r="E2924" s="65" t="str">
        <f aca="false">IF($H2924="","",购销流水!$B735)</f>
        <v/>
      </c>
      <c r="F2924" s="55" t="str">
        <f aca="false">IF($H2924="","",购销流水!$C735)</f>
        <v/>
      </c>
      <c r="G2924" s="48" t="str">
        <f aca="false">IF($H2924="","",购销流水!$N735)</f>
        <v/>
      </c>
      <c r="H2924" s="10" t="str">
        <f aca="false">IF($L2924="","",IF($L2924="@成本",购销流水!$U735,IF($L2924="@收入",购销流水!$T735,IF($L2924="@存货",购销流水!$S735,IF($L2924="@结算",购销流水!$R735,$L2924)))))</f>
        <v/>
      </c>
      <c r="I2924" s="42" t="n">
        <f aca="false">IF($M2924="借",$O2924,0)</f>
        <v>0</v>
      </c>
      <c r="J2924" s="42" t="n">
        <f aca="false">IF($M2924="贷",$O2924,0)</f>
        <v>0</v>
      </c>
      <c r="K2924" s="48" t="str">
        <f aca="false">IF($H2924="","",购销流水!$E735)</f>
        <v/>
      </c>
      <c r="L2924" s="66" t="str">
        <f aca="false">IF(购销流水!$D735="","",IFERROR(INDEX(记账规则!$A$6:$N$9,MATCH(购销流水!$D735,记账规则!$A$6:$A$9,0),9),""))</f>
        <v/>
      </c>
      <c r="M2924" s="66" t="str">
        <f aca="false">IF($L2924="","",IFERROR(INDEX(记账规则!$A$6:$N$9,MATCH(购销流水!$D735,记账规则!$A$6:$A$9,0),10),""))</f>
        <v/>
      </c>
      <c r="N2924" s="66" t="str">
        <f aca="false">IF($L2924="","",IFERROR(INDEX(记账规则!$A$6:$N$9,MATCH(购销流水!$D735,记账规则!$A$6:$A$9,0),11),""))</f>
        <v/>
      </c>
      <c r="O2924" s="67" t="n">
        <f aca="false">IF($H2924="",0,ROUND(IF($N2924="成本金额",N(购销流水!$W735),IF($N2924="金额",N(购销流水!$Q735),0)),2))</f>
        <v>0</v>
      </c>
      <c r="P2924" s="64" t="str">
        <f aca="false">IF(AND($H2924&lt;&gt;"",ROUND($O2924,2)&lt;&gt;0),"有","")</f>
        <v/>
      </c>
    </row>
    <row r="2925" customFormat="false" ht="15" hidden="true" customHeight="false" outlineLevel="0" collapsed="false">
      <c r="A2925" s="53" t="str">
        <f aca="false">IF($H2925="","",ROW()-5)</f>
        <v/>
      </c>
      <c r="B2925" s="64" t="s">
        <v>36</v>
      </c>
      <c r="C2925" s="53" t="n">
        <v>735</v>
      </c>
      <c r="D2925" s="53" t="n">
        <v>4</v>
      </c>
      <c r="E2925" s="65" t="str">
        <f aca="false">IF($H2925="","",购销流水!$B735)</f>
        <v/>
      </c>
      <c r="F2925" s="55" t="str">
        <f aca="false">IF($H2925="","",购销流水!$C735)</f>
        <v/>
      </c>
      <c r="G2925" s="48" t="str">
        <f aca="false">IF($H2925="","",购销流水!$N735)</f>
        <v/>
      </c>
      <c r="H2925" s="10" t="str">
        <f aca="false">IF($L2925="","",IF($L2925="@成本",购销流水!$U735,IF($L2925="@收入",购销流水!$T735,IF($L2925="@存货",购销流水!$S735,IF($L2925="@结算",购销流水!$R735,$L2925)))))</f>
        <v/>
      </c>
      <c r="I2925" s="42" t="n">
        <f aca="false">IF($M2925="借",$O2925,0)</f>
        <v>0</v>
      </c>
      <c r="J2925" s="42" t="n">
        <f aca="false">IF($M2925="贷",$O2925,0)</f>
        <v>0</v>
      </c>
      <c r="K2925" s="48" t="str">
        <f aca="false">IF($H2925="","",购销流水!$E735)</f>
        <v/>
      </c>
      <c r="L2925" s="66" t="str">
        <f aca="false">IF(购销流水!$D735="","",IFERROR(INDEX(记账规则!$A$6:$N$9,MATCH(购销流水!$D735,记账规则!$A$6:$A$9,0),12),""))</f>
        <v/>
      </c>
      <c r="M2925" s="66" t="str">
        <f aca="false">IF($L2925="","",IFERROR(INDEX(记账规则!$A$6:$N$9,MATCH(购销流水!$D735,记账规则!$A$6:$A$9,0),13),""))</f>
        <v/>
      </c>
      <c r="N2925" s="66" t="str">
        <f aca="false">IF($L2925="","",IFERROR(INDEX(记账规则!$A$6:$N$9,MATCH(购销流水!$D735,记账规则!$A$6:$A$9,0),14),""))</f>
        <v/>
      </c>
      <c r="O2925" s="67" t="n">
        <f aca="false">IF($H2925="",0,ROUND(IF($N2925="成本金额",N(购销流水!$W735),IF($N2925="金额",N(购销流水!$Q735),0)),2))</f>
        <v>0</v>
      </c>
      <c r="P2925" s="64" t="str">
        <f aca="false">IF(AND($H2925&lt;&gt;"",ROUND($O2925,2)&lt;&gt;0),"有","")</f>
        <v/>
      </c>
    </row>
    <row r="2926" customFormat="false" ht="15" hidden="true" customHeight="false" outlineLevel="0" collapsed="false">
      <c r="A2926" s="53" t="str">
        <f aca="false">IF($H2926="","",ROW()-5)</f>
        <v/>
      </c>
      <c r="B2926" s="64" t="s">
        <v>36</v>
      </c>
      <c r="C2926" s="53" t="n">
        <v>736</v>
      </c>
      <c r="D2926" s="53" t="n">
        <v>1</v>
      </c>
      <c r="E2926" s="65" t="str">
        <f aca="false">IF($H2926="","",购销流水!$B736)</f>
        <v/>
      </c>
      <c r="F2926" s="55" t="str">
        <f aca="false">IF($H2926="","",购销流水!$C736)</f>
        <v/>
      </c>
      <c r="G2926" s="48" t="str">
        <f aca="false">IF($H2926="","",购销流水!$N736)</f>
        <v/>
      </c>
      <c r="H2926" s="10" t="str">
        <f aca="false">IF($L2926="","",IF($L2926="@成本",购销流水!$U736,IF($L2926="@收入",购销流水!$T736,IF($L2926="@存货",购销流水!$S736,IF($L2926="@结算",购销流水!$R736,$L2926)))))</f>
        <v/>
      </c>
      <c r="I2926" s="42" t="n">
        <f aca="false">IF($M2926="借",$O2926,0)</f>
        <v>0</v>
      </c>
      <c r="J2926" s="42" t="n">
        <f aca="false">IF($M2926="贷",$O2926,0)</f>
        <v>0</v>
      </c>
      <c r="K2926" s="48" t="str">
        <f aca="false">IF($H2926="","",购销流水!$E736)</f>
        <v/>
      </c>
      <c r="L2926" s="66" t="str">
        <f aca="false">IF(购销流水!$D736="","",IFERROR(INDEX(记账规则!$A$6:$N$9,MATCH(购销流水!$D736,记账规则!$A$6:$A$9,0),3),""))</f>
        <v/>
      </c>
      <c r="M2926" s="66" t="str">
        <f aca="false">IF($L2926="","",IFERROR(INDEX(记账规则!$A$6:$N$9,MATCH(购销流水!$D736,记账规则!$A$6:$A$9,0),4),""))</f>
        <v/>
      </c>
      <c r="N2926" s="66" t="str">
        <f aca="false">IF($L2926="","",IFERROR(INDEX(记账规则!$A$6:$N$9,MATCH(购销流水!$D736,记账规则!$A$6:$A$9,0),5),""))</f>
        <v/>
      </c>
      <c r="O2926" s="67" t="n">
        <f aca="false">IF($H2926="",0,ROUND(IF($N2926="成本金额",N(购销流水!$W736),IF($N2926="金额",N(购销流水!$Q736),0)),2))</f>
        <v>0</v>
      </c>
      <c r="P2926" s="64" t="str">
        <f aca="false">IF(AND($H2926&lt;&gt;"",ROUND($O2926,2)&lt;&gt;0),"有","")</f>
        <v/>
      </c>
    </row>
    <row r="2927" customFormat="false" ht="15" hidden="true" customHeight="false" outlineLevel="0" collapsed="false">
      <c r="A2927" s="53" t="str">
        <f aca="false">IF($H2927="","",ROW()-5)</f>
        <v/>
      </c>
      <c r="B2927" s="64" t="s">
        <v>36</v>
      </c>
      <c r="C2927" s="53" t="n">
        <v>736</v>
      </c>
      <c r="D2927" s="53" t="n">
        <v>2</v>
      </c>
      <c r="E2927" s="65" t="str">
        <f aca="false">IF($H2927="","",购销流水!$B736)</f>
        <v/>
      </c>
      <c r="F2927" s="55" t="str">
        <f aca="false">IF($H2927="","",购销流水!$C736)</f>
        <v/>
      </c>
      <c r="G2927" s="48" t="str">
        <f aca="false">IF($H2927="","",购销流水!$N736)</f>
        <v/>
      </c>
      <c r="H2927" s="10" t="str">
        <f aca="false">IF($L2927="","",IF($L2927="@成本",购销流水!$U736,IF($L2927="@收入",购销流水!$T736,IF($L2927="@存货",购销流水!$S736,IF($L2927="@结算",购销流水!$R736,$L2927)))))</f>
        <v/>
      </c>
      <c r="I2927" s="42" t="n">
        <f aca="false">IF($M2927="借",$O2927,0)</f>
        <v>0</v>
      </c>
      <c r="J2927" s="42" t="n">
        <f aca="false">IF($M2927="贷",$O2927,0)</f>
        <v>0</v>
      </c>
      <c r="K2927" s="48" t="str">
        <f aca="false">IF($H2927="","",购销流水!$E736)</f>
        <v/>
      </c>
      <c r="L2927" s="66" t="str">
        <f aca="false">IF(购销流水!$D736="","",IFERROR(INDEX(记账规则!$A$6:$N$9,MATCH(购销流水!$D736,记账规则!$A$6:$A$9,0),6),""))</f>
        <v/>
      </c>
      <c r="M2927" s="66" t="str">
        <f aca="false">IF($L2927="","",IFERROR(INDEX(记账规则!$A$6:$N$9,MATCH(购销流水!$D736,记账规则!$A$6:$A$9,0),7),""))</f>
        <v/>
      </c>
      <c r="N2927" s="66" t="str">
        <f aca="false">IF($L2927="","",IFERROR(INDEX(记账规则!$A$6:$N$9,MATCH(购销流水!$D736,记账规则!$A$6:$A$9,0),8),""))</f>
        <v/>
      </c>
      <c r="O2927" s="67" t="n">
        <f aca="false">IF($H2927="",0,ROUND(IF($N2927="成本金额",N(购销流水!$W736),IF($N2927="金额",N(购销流水!$Q736),0)),2))</f>
        <v>0</v>
      </c>
      <c r="P2927" s="64" t="str">
        <f aca="false">IF(AND($H2927&lt;&gt;"",ROUND($O2927,2)&lt;&gt;0),"有","")</f>
        <v/>
      </c>
    </row>
    <row r="2928" customFormat="false" ht="15" hidden="true" customHeight="false" outlineLevel="0" collapsed="false">
      <c r="A2928" s="53" t="str">
        <f aca="false">IF($H2928="","",ROW()-5)</f>
        <v/>
      </c>
      <c r="B2928" s="64" t="s">
        <v>36</v>
      </c>
      <c r="C2928" s="53" t="n">
        <v>736</v>
      </c>
      <c r="D2928" s="53" t="n">
        <v>3</v>
      </c>
      <c r="E2928" s="65" t="str">
        <f aca="false">IF($H2928="","",购销流水!$B736)</f>
        <v/>
      </c>
      <c r="F2928" s="55" t="str">
        <f aca="false">IF($H2928="","",购销流水!$C736)</f>
        <v/>
      </c>
      <c r="G2928" s="48" t="str">
        <f aca="false">IF($H2928="","",购销流水!$N736)</f>
        <v/>
      </c>
      <c r="H2928" s="10" t="str">
        <f aca="false">IF($L2928="","",IF($L2928="@成本",购销流水!$U736,IF($L2928="@收入",购销流水!$T736,IF($L2928="@存货",购销流水!$S736,IF($L2928="@结算",购销流水!$R736,$L2928)))))</f>
        <v/>
      </c>
      <c r="I2928" s="42" t="n">
        <f aca="false">IF($M2928="借",$O2928,0)</f>
        <v>0</v>
      </c>
      <c r="J2928" s="42" t="n">
        <f aca="false">IF($M2928="贷",$O2928,0)</f>
        <v>0</v>
      </c>
      <c r="K2928" s="48" t="str">
        <f aca="false">IF($H2928="","",购销流水!$E736)</f>
        <v/>
      </c>
      <c r="L2928" s="66" t="str">
        <f aca="false">IF(购销流水!$D736="","",IFERROR(INDEX(记账规则!$A$6:$N$9,MATCH(购销流水!$D736,记账规则!$A$6:$A$9,0),9),""))</f>
        <v/>
      </c>
      <c r="M2928" s="66" t="str">
        <f aca="false">IF($L2928="","",IFERROR(INDEX(记账规则!$A$6:$N$9,MATCH(购销流水!$D736,记账规则!$A$6:$A$9,0),10),""))</f>
        <v/>
      </c>
      <c r="N2928" s="66" t="str">
        <f aca="false">IF($L2928="","",IFERROR(INDEX(记账规则!$A$6:$N$9,MATCH(购销流水!$D736,记账规则!$A$6:$A$9,0),11),""))</f>
        <v/>
      </c>
      <c r="O2928" s="67" t="n">
        <f aca="false">IF($H2928="",0,ROUND(IF($N2928="成本金额",N(购销流水!$W736),IF($N2928="金额",N(购销流水!$Q736),0)),2))</f>
        <v>0</v>
      </c>
      <c r="P2928" s="64" t="str">
        <f aca="false">IF(AND($H2928&lt;&gt;"",ROUND($O2928,2)&lt;&gt;0),"有","")</f>
        <v/>
      </c>
    </row>
    <row r="2929" customFormat="false" ht="15" hidden="true" customHeight="false" outlineLevel="0" collapsed="false">
      <c r="A2929" s="53" t="str">
        <f aca="false">IF($H2929="","",ROW()-5)</f>
        <v/>
      </c>
      <c r="B2929" s="64" t="s">
        <v>36</v>
      </c>
      <c r="C2929" s="53" t="n">
        <v>736</v>
      </c>
      <c r="D2929" s="53" t="n">
        <v>4</v>
      </c>
      <c r="E2929" s="65" t="str">
        <f aca="false">IF($H2929="","",购销流水!$B736)</f>
        <v/>
      </c>
      <c r="F2929" s="55" t="str">
        <f aca="false">IF($H2929="","",购销流水!$C736)</f>
        <v/>
      </c>
      <c r="G2929" s="48" t="str">
        <f aca="false">IF($H2929="","",购销流水!$N736)</f>
        <v/>
      </c>
      <c r="H2929" s="10" t="str">
        <f aca="false">IF($L2929="","",IF($L2929="@成本",购销流水!$U736,IF($L2929="@收入",购销流水!$T736,IF($L2929="@存货",购销流水!$S736,IF($L2929="@结算",购销流水!$R736,$L2929)))))</f>
        <v/>
      </c>
      <c r="I2929" s="42" t="n">
        <f aca="false">IF($M2929="借",$O2929,0)</f>
        <v>0</v>
      </c>
      <c r="J2929" s="42" t="n">
        <f aca="false">IF($M2929="贷",$O2929,0)</f>
        <v>0</v>
      </c>
      <c r="K2929" s="48" t="str">
        <f aca="false">IF($H2929="","",购销流水!$E736)</f>
        <v/>
      </c>
      <c r="L2929" s="66" t="str">
        <f aca="false">IF(购销流水!$D736="","",IFERROR(INDEX(记账规则!$A$6:$N$9,MATCH(购销流水!$D736,记账规则!$A$6:$A$9,0),12),""))</f>
        <v/>
      </c>
      <c r="M2929" s="66" t="str">
        <f aca="false">IF($L2929="","",IFERROR(INDEX(记账规则!$A$6:$N$9,MATCH(购销流水!$D736,记账规则!$A$6:$A$9,0),13),""))</f>
        <v/>
      </c>
      <c r="N2929" s="66" t="str">
        <f aca="false">IF($L2929="","",IFERROR(INDEX(记账规则!$A$6:$N$9,MATCH(购销流水!$D736,记账规则!$A$6:$A$9,0),14),""))</f>
        <v/>
      </c>
      <c r="O2929" s="67" t="n">
        <f aca="false">IF($H2929="",0,ROUND(IF($N2929="成本金额",N(购销流水!$W736),IF($N2929="金额",N(购销流水!$Q736),0)),2))</f>
        <v>0</v>
      </c>
      <c r="P2929" s="64" t="str">
        <f aca="false">IF(AND($H2929&lt;&gt;"",ROUND($O2929,2)&lt;&gt;0),"有","")</f>
        <v/>
      </c>
    </row>
    <row r="2930" customFormat="false" ht="15" hidden="true" customHeight="false" outlineLevel="0" collapsed="false">
      <c r="A2930" s="53" t="str">
        <f aca="false">IF($H2930="","",ROW()-5)</f>
        <v/>
      </c>
      <c r="B2930" s="64" t="s">
        <v>36</v>
      </c>
      <c r="C2930" s="53" t="n">
        <v>737</v>
      </c>
      <c r="D2930" s="53" t="n">
        <v>1</v>
      </c>
      <c r="E2930" s="65" t="str">
        <f aca="false">IF($H2930="","",购销流水!$B737)</f>
        <v/>
      </c>
      <c r="F2930" s="55" t="str">
        <f aca="false">IF($H2930="","",购销流水!$C737)</f>
        <v/>
      </c>
      <c r="G2930" s="48" t="str">
        <f aca="false">IF($H2930="","",购销流水!$N737)</f>
        <v/>
      </c>
      <c r="H2930" s="10" t="str">
        <f aca="false">IF($L2930="","",IF($L2930="@成本",购销流水!$U737,IF($L2930="@收入",购销流水!$T737,IF($L2930="@存货",购销流水!$S737,IF($L2930="@结算",购销流水!$R737,$L2930)))))</f>
        <v/>
      </c>
      <c r="I2930" s="42" t="n">
        <f aca="false">IF($M2930="借",$O2930,0)</f>
        <v>0</v>
      </c>
      <c r="J2930" s="42" t="n">
        <f aca="false">IF($M2930="贷",$O2930,0)</f>
        <v>0</v>
      </c>
      <c r="K2930" s="48" t="str">
        <f aca="false">IF($H2930="","",购销流水!$E737)</f>
        <v/>
      </c>
      <c r="L2930" s="66" t="str">
        <f aca="false">IF(购销流水!$D737="","",IFERROR(INDEX(记账规则!$A$6:$N$9,MATCH(购销流水!$D737,记账规则!$A$6:$A$9,0),3),""))</f>
        <v/>
      </c>
      <c r="M2930" s="66" t="str">
        <f aca="false">IF($L2930="","",IFERROR(INDEX(记账规则!$A$6:$N$9,MATCH(购销流水!$D737,记账规则!$A$6:$A$9,0),4),""))</f>
        <v/>
      </c>
      <c r="N2930" s="66" t="str">
        <f aca="false">IF($L2930="","",IFERROR(INDEX(记账规则!$A$6:$N$9,MATCH(购销流水!$D737,记账规则!$A$6:$A$9,0),5),""))</f>
        <v/>
      </c>
      <c r="O2930" s="67" t="n">
        <f aca="false">IF($H2930="",0,ROUND(IF($N2930="成本金额",N(购销流水!$W737),IF($N2930="金额",N(购销流水!$Q737),0)),2))</f>
        <v>0</v>
      </c>
      <c r="P2930" s="64" t="str">
        <f aca="false">IF(AND($H2930&lt;&gt;"",ROUND($O2930,2)&lt;&gt;0),"有","")</f>
        <v/>
      </c>
    </row>
    <row r="2931" customFormat="false" ht="15" hidden="true" customHeight="false" outlineLevel="0" collapsed="false">
      <c r="A2931" s="53" t="str">
        <f aca="false">IF($H2931="","",ROW()-5)</f>
        <v/>
      </c>
      <c r="B2931" s="64" t="s">
        <v>36</v>
      </c>
      <c r="C2931" s="53" t="n">
        <v>737</v>
      </c>
      <c r="D2931" s="53" t="n">
        <v>2</v>
      </c>
      <c r="E2931" s="65" t="str">
        <f aca="false">IF($H2931="","",购销流水!$B737)</f>
        <v/>
      </c>
      <c r="F2931" s="55" t="str">
        <f aca="false">IF($H2931="","",购销流水!$C737)</f>
        <v/>
      </c>
      <c r="G2931" s="48" t="str">
        <f aca="false">IF($H2931="","",购销流水!$N737)</f>
        <v/>
      </c>
      <c r="H2931" s="10" t="str">
        <f aca="false">IF($L2931="","",IF($L2931="@成本",购销流水!$U737,IF($L2931="@收入",购销流水!$T737,IF($L2931="@存货",购销流水!$S737,IF($L2931="@结算",购销流水!$R737,$L2931)))))</f>
        <v/>
      </c>
      <c r="I2931" s="42" t="n">
        <f aca="false">IF($M2931="借",$O2931,0)</f>
        <v>0</v>
      </c>
      <c r="J2931" s="42" t="n">
        <f aca="false">IF($M2931="贷",$O2931,0)</f>
        <v>0</v>
      </c>
      <c r="K2931" s="48" t="str">
        <f aca="false">IF($H2931="","",购销流水!$E737)</f>
        <v/>
      </c>
      <c r="L2931" s="66" t="str">
        <f aca="false">IF(购销流水!$D737="","",IFERROR(INDEX(记账规则!$A$6:$N$9,MATCH(购销流水!$D737,记账规则!$A$6:$A$9,0),6),""))</f>
        <v/>
      </c>
      <c r="M2931" s="66" t="str">
        <f aca="false">IF($L2931="","",IFERROR(INDEX(记账规则!$A$6:$N$9,MATCH(购销流水!$D737,记账规则!$A$6:$A$9,0),7),""))</f>
        <v/>
      </c>
      <c r="N2931" s="66" t="str">
        <f aca="false">IF($L2931="","",IFERROR(INDEX(记账规则!$A$6:$N$9,MATCH(购销流水!$D737,记账规则!$A$6:$A$9,0),8),""))</f>
        <v/>
      </c>
      <c r="O2931" s="67" t="n">
        <f aca="false">IF($H2931="",0,ROUND(IF($N2931="成本金额",N(购销流水!$W737),IF($N2931="金额",N(购销流水!$Q737),0)),2))</f>
        <v>0</v>
      </c>
      <c r="P2931" s="64" t="str">
        <f aca="false">IF(AND($H2931&lt;&gt;"",ROUND($O2931,2)&lt;&gt;0),"有","")</f>
        <v/>
      </c>
    </row>
    <row r="2932" customFormat="false" ht="15" hidden="true" customHeight="false" outlineLevel="0" collapsed="false">
      <c r="A2932" s="53" t="str">
        <f aca="false">IF($H2932="","",ROW()-5)</f>
        <v/>
      </c>
      <c r="B2932" s="64" t="s">
        <v>36</v>
      </c>
      <c r="C2932" s="53" t="n">
        <v>737</v>
      </c>
      <c r="D2932" s="53" t="n">
        <v>3</v>
      </c>
      <c r="E2932" s="65" t="str">
        <f aca="false">IF($H2932="","",购销流水!$B737)</f>
        <v/>
      </c>
      <c r="F2932" s="55" t="str">
        <f aca="false">IF($H2932="","",购销流水!$C737)</f>
        <v/>
      </c>
      <c r="G2932" s="48" t="str">
        <f aca="false">IF($H2932="","",购销流水!$N737)</f>
        <v/>
      </c>
      <c r="H2932" s="10" t="str">
        <f aca="false">IF($L2932="","",IF($L2932="@成本",购销流水!$U737,IF($L2932="@收入",购销流水!$T737,IF($L2932="@存货",购销流水!$S737,IF($L2932="@结算",购销流水!$R737,$L2932)))))</f>
        <v/>
      </c>
      <c r="I2932" s="42" t="n">
        <f aca="false">IF($M2932="借",$O2932,0)</f>
        <v>0</v>
      </c>
      <c r="J2932" s="42" t="n">
        <f aca="false">IF($M2932="贷",$O2932,0)</f>
        <v>0</v>
      </c>
      <c r="K2932" s="48" t="str">
        <f aca="false">IF($H2932="","",购销流水!$E737)</f>
        <v/>
      </c>
      <c r="L2932" s="66" t="str">
        <f aca="false">IF(购销流水!$D737="","",IFERROR(INDEX(记账规则!$A$6:$N$9,MATCH(购销流水!$D737,记账规则!$A$6:$A$9,0),9),""))</f>
        <v/>
      </c>
      <c r="M2932" s="66" t="str">
        <f aca="false">IF($L2932="","",IFERROR(INDEX(记账规则!$A$6:$N$9,MATCH(购销流水!$D737,记账规则!$A$6:$A$9,0),10),""))</f>
        <v/>
      </c>
      <c r="N2932" s="66" t="str">
        <f aca="false">IF($L2932="","",IFERROR(INDEX(记账规则!$A$6:$N$9,MATCH(购销流水!$D737,记账规则!$A$6:$A$9,0),11),""))</f>
        <v/>
      </c>
      <c r="O2932" s="67" t="n">
        <f aca="false">IF($H2932="",0,ROUND(IF($N2932="成本金额",N(购销流水!$W737),IF($N2932="金额",N(购销流水!$Q737),0)),2))</f>
        <v>0</v>
      </c>
      <c r="P2932" s="64" t="str">
        <f aca="false">IF(AND($H2932&lt;&gt;"",ROUND($O2932,2)&lt;&gt;0),"有","")</f>
        <v/>
      </c>
    </row>
    <row r="2933" customFormat="false" ht="15" hidden="true" customHeight="false" outlineLevel="0" collapsed="false">
      <c r="A2933" s="53" t="str">
        <f aca="false">IF($H2933="","",ROW()-5)</f>
        <v/>
      </c>
      <c r="B2933" s="64" t="s">
        <v>36</v>
      </c>
      <c r="C2933" s="53" t="n">
        <v>737</v>
      </c>
      <c r="D2933" s="53" t="n">
        <v>4</v>
      </c>
      <c r="E2933" s="65" t="str">
        <f aca="false">IF($H2933="","",购销流水!$B737)</f>
        <v/>
      </c>
      <c r="F2933" s="55" t="str">
        <f aca="false">IF($H2933="","",购销流水!$C737)</f>
        <v/>
      </c>
      <c r="G2933" s="48" t="str">
        <f aca="false">IF($H2933="","",购销流水!$N737)</f>
        <v/>
      </c>
      <c r="H2933" s="10" t="str">
        <f aca="false">IF($L2933="","",IF($L2933="@成本",购销流水!$U737,IF($L2933="@收入",购销流水!$T737,IF($L2933="@存货",购销流水!$S737,IF($L2933="@结算",购销流水!$R737,$L2933)))))</f>
        <v/>
      </c>
      <c r="I2933" s="42" t="n">
        <f aca="false">IF($M2933="借",$O2933,0)</f>
        <v>0</v>
      </c>
      <c r="J2933" s="42" t="n">
        <f aca="false">IF($M2933="贷",$O2933,0)</f>
        <v>0</v>
      </c>
      <c r="K2933" s="48" t="str">
        <f aca="false">IF($H2933="","",购销流水!$E737)</f>
        <v/>
      </c>
      <c r="L2933" s="66" t="str">
        <f aca="false">IF(购销流水!$D737="","",IFERROR(INDEX(记账规则!$A$6:$N$9,MATCH(购销流水!$D737,记账规则!$A$6:$A$9,0),12),""))</f>
        <v/>
      </c>
      <c r="M2933" s="66" t="str">
        <f aca="false">IF($L2933="","",IFERROR(INDEX(记账规则!$A$6:$N$9,MATCH(购销流水!$D737,记账规则!$A$6:$A$9,0),13),""))</f>
        <v/>
      </c>
      <c r="N2933" s="66" t="str">
        <f aca="false">IF($L2933="","",IFERROR(INDEX(记账规则!$A$6:$N$9,MATCH(购销流水!$D737,记账规则!$A$6:$A$9,0),14),""))</f>
        <v/>
      </c>
      <c r="O2933" s="67" t="n">
        <f aca="false">IF($H2933="",0,ROUND(IF($N2933="成本金额",N(购销流水!$W737),IF($N2933="金额",N(购销流水!$Q737),0)),2))</f>
        <v>0</v>
      </c>
      <c r="P2933" s="64" t="str">
        <f aca="false">IF(AND($H2933&lt;&gt;"",ROUND($O2933,2)&lt;&gt;0),"有","")</f>
        <v/>
      </c>
    </row>
    <row r="2934" customFormat="false" ht="15" hidden="true" customHeight="false" outlineLevel="0" collapsed="false">
      <c r="A2934" s="53" t="str">
        <f aca="false">IF($H2934="","",ROW()-5)</f>
        <v/>
      </c>
      <c r="B2934" s="64" t="s">
        <v>36</v>
      </c>
      <c r="C2934" s="53" t="n">
        <v>738</v>
      </c>
      <c r="D2934" s="53" t="n">
        <v>1</v>
      </c>
      <c r="E2934" s="65" t="str">
        <f aca="false">IF($H2934="","",购销流水!$B738)</f>
        <v/>
      </c>
      <c r="F2934" s="55" t="str">
        <f aca="false">IF($H2934="","",购销流水!$C738)</f>
        <v/>
      </c>
      <c r="G2934" s="48" t="str">
        <f aca="false">IF($H2934="","",购销流水!$N738)</f>
        <v/>
      </c>
      <c r="H2934" s="10" t="str">
        <f aca="false">IF($L2934="","",IF($L2934="@成本",购销流水!$U738,IF($L2934="@收入",购销流水!$T738,IF($L2934="@存货",购销流水!$S738,IF($L2934="@结算",购销流水!$R738,$L2934)))))</f>
        <v/>
      </c>
      <c r="I2934" s="42" t="n">
        <f aca="false">IF($M2934="借",$O2934,0)</f>
        <v>0</v>
      </c>
      <c r="J2934" s="42" t="n">
        <f aca="false">IF($M2934="贷",$O2934,0)</f>
        <v>0</v>
      </c>
      <c r="K2934" s="48" t="str">
        <f aca="false">IF($H2934="","",购销流水!$E738)</f>
        <v/>
      </c>
      <c r="L2934" s="66" t="str">
        <f aca="false">IF(购销流水!$D738="","",IFERROR(INDEX(记账规则!$A$6:$N$9,MATCH(购销流水!$D738,记账规则!$A$6:$A$9,0),3),""))</f>
        <v/>
      </c>
      <c r="M2934" s="66" t="str">
        <f aca="false">IF($L2934="","",IFERROR(INDEX(记账规则!$A$6:$N$9,MATCH(购销流水!$D738,记账规则!$A$6:$A$9,0),4),""))</f>
        <v/>
      </c>
      <c r="N2934" s="66" t="str">
        <f aca="false">IF($L2934="","",IFERROR(INDEX(记账规则!$A$6:$N$9,MATCH(购销流水!$D738,记账规则!$A$6:$A$9,0),5),""))</f>
        <v/>
      </c>
      <c r="O2934" s="67" t="n">
        <f aca="false">IF($H2934="",0,ROUND(IF($N2934="成本金额",N(购销流水!$W738),IF($N2934="金额",N(购销流水!$Q738),0)),2))</f>
        <v>0</v>
      </c>
      <c r="P2934" s="64" t="str">
        <f aca="false">IF(AND($H2934&lt;&gt;"",ROUND($O2934,2)&lt;&gt;0),"有","")</f>
        <v/>
      </c>
    </row>
    <row r="2935" customFormat="false" ht="15" hidden="true" customHeight="false" outlineLevel="0" collapsed="false">
      <c r="A2935" s="53" t="str">
        <f aca="false">IF($H2935="","",ROW()-5)</f>
        <v/>
      </c>
      <c r="B2935" s="64" t="s">
        <v>36</v>
      </c>
      <c r="C2935" s="53" t="n">
        <v>738</v>
      </c>
      <c r="D2935" s="53" t="n">
        <v>2</v>
      </c>
      <c r="E2935" s="65" t="str">
        <f aca="false">IF($H2935="","",购销流水!$B738)</f>
        <v/>
      </c>
      <c r="F2935" s="55" t="str">
        <f aca="false">IF($H2935="","",购销流水!$C738)</f>
        <v/>
      </c>
      <c r="G2935" s="48" t="str">
        <f aca="false">IF($H2935="","",购销流水!$N738)</f>
        <v/>
      </c>
      <c r="H2935" s="10" t="str">
        <f aca="false">IF($L2935="","",IF($L2935="@成本",购销流水!$U738,IF($L2935="@收入",购销流水!$T738,IF($L2935="@存货",购销流水!$S738,IF($L2935="@结算",购销流水!$R738,$L2935)))))</f>
        <v/>
      </c>
      <c r="I2935" s="42" t="n">
        <f aca="false">IF($M2935="借",$O2935,0)</f>
        <v>0</v>
      </c>
      <c r="J2935" s="42" t="n">
        <f aca="false">IF($M2935="贷",$O2935,0)</f>
        <v>0</v>
      </c>
      <c r="K2935" s="48" t="str">
        <f aca="false">IF($H2935="","",购销流水!$E738)</f>
        <v/>
      </c>
      <c r="L2935" s="66" t="str">
        <f aca="false">IF(购销流水!$D738="","",IFERROR(INDEX(记账规则!$A$6:$N$9,MATCH(购销流水!$D738,记账规则!$A$6:$A$9,0),6),""))</f>
        <v/>
      </c>
      <c r="M2935" s="66" t="str">
        <f aca="false">IF($L2935="","",IFERROR(INDEX(记账规则!$A$6:$N$9,MATCH(购销流水!$D738,记账规则!$A$6:$A$9,0),7),""))</f>
        <v/>
      </c>
      <c r="N2935" s="66" t="str">
        <f aca="false">IF($L2935="","",IFERROR(INDEX(记账规则!$A$6:$N$9,MATCH(购销流水!$D738,记账规则!$A$6:$A$9,0),8),""))</f>
        <v/>
      </c>
      <c r="O2935" s="67" t="n">
        <f aca="false">IF($H2935="",0,ROUND(IF($N2935="成本金额",N(购销流水!$W738),IF($N2935="金额",N(购销流水!$Q738),0)),2))</f>
        <v>0</v>
      </c>
      <c r="P2935" s="64" t="str">
        <f aca="false">IF(AND($H2935&lt;&gt;"",ROUND($O2935,2)&lt;&gt;0),"有","")</f>
        <v/>
      </c>
    </row>
    <row r="2936" customFormat="false" ht="15" hidden="true" customHeight="false" outlineLevel="0" collapsed="false">
      <c r="A2936" s="53" t="str">
        <f aca="false">IF($H2936="","",ROW()-5)</f>
        <v/>
      </c>
      <c r="B2936" s="64" t="s">
        <v>36</v>
      </c>
      <c r="C2936" s="53" t="n">
        <v>738</v>
      </c>
      <c r="D2936" s="53" t="n">
        <v>3</v>
      </c>
      <c r="E2936" s="65" t="str">
        <f aca="false">IF($H2936="","",购销流水!$B738)</f>
        <v/>
      </c>
      <c r="F2936" s="55" t="str">
        <f aca="false">IF($H2936="","",购销流水!$C738)</f>
        <v/>
      </c>
      <c r="G2936" s="48" t="str">
        <f aca="false">IF($H2936="","",购销流水!$N738)</f>
        <v/>
      </c>
      <c r="H2936" s="10" t="str">
        <f aca="false">IF($L2936="","",IF($L2936="@成本",购销流水!$U738,IF($L2936="@收入",购销流水!$T738,IF($L2936="@存货",购销流水!$S738,IF($L2936="@结算",购销流水!$R738,$L2936)))))</f>
        <v/>
      </c>
      <c r="I2936" s="42" t="n">
        <f aca="false">IF($M2936="借",$O2936,0)</f>
        <v>0</v>
      </c>
      <c r="J2936" s="42" t="n">
        <f aca="false">IF($M2936="贷",$O2936,0)</f>
        <v>0</v>
      </c>
      <c r="K2936" s="48" t="str">
        <f aca="false">IF($H2936="","",购销流水!$E738)</f>
        <v/>
      </c>
      <c r="L2936" s="66" t="str">
        <f aca="false">IF(购销流水!$D738="","",IFERROR(INDEX(记账规则!$A$6:$N$9,MATCH(购销流水!$D738,记账规则!$A$6:$A$9,0),9),""))</f>
        <v/>
      </c>
      <c r="M2936" s="66" t="str">
        <f aca="false">IF($L2936="","",IFERROR(INDEX(记账规则!$A$6:$N$9,MATCH(购销流水!$D738,记账规则!$A$6:$A$9,0),10),""))</f>
        <v/>
      </c>
      <c r="N2936" s="66" t="str">
        <f aca="false">IF($L2936="","",IFERROR(INDEX(记账规则!$A$6:$N$9,MATCH(购销流水!$D738,记账规则!$A$6:$A$9,0),11),""))</f>
        <v/>
      </c>
      <c r="O2936" s="67" t="n">
        <f aca="false">IF($H2936="",0,ROUND(IF($N2936="成本金额",N(购销流水!$W738),IF($N2936="金额",N(购销流水!$Q738),0)),2))</f>
        <v>0</v>
      </c>
      <c r="P2936" s="64" t="str">
        <f aca="false">IF(AND($H2936&lt;&gt;"",ROUND($O2936,2)&lt;&gt;0),"有","")</f>
        <v/>
      </c>
    </row>
    <row r="2937" customFormat="false" ht="15" hidden="true" customHeight="false" outlineLevel="0" collapsed="false">
      <c r="A2937" s="53" t="str">
        <f aca="false">IF($H2937="","",ROW()-5)</f>
        <v/>
      </c>
      <c r="B2937" s="64" t="s">
        <v>36</v>
      </c>
      <c r="C2937" s="53" t="n">
        <v>738</v>
      </c>
      <c r="D2937" s="53" t="n">
        <v>4</v>
      </c>
      <c r="E2937" s="65" t="str">
        <f aca="false">IF($H2937="","",购销流水!$B738)</f>
        <v/>
      </c>
      <c r="F2937" s="55" t="str">
        <f aca="false">IF($H2937="","",购销流水!$C738)</f>
        <v/>
      </c>
      <c r="G2937" s="48" t="str">
        <f aca="false">IF($H2937="","",购销流水!$N738)</f>
        <v/>
      </c>
      <c r="H2937" s="10" t="str">
        <f aca="false">IF($L2937="","",IF($L2937="@成本",购销流水!$U738,IF($L2937="@收入",购销流水!$T738,IF($L2937="@存货",购销流水!$S738,IF($L2937="@结算",购销流水!$R738,$L2937)))))</f>
        <v/>
      </c>
      <c r="I2937" s="42" t="n">
        <f aca="false">IF($M2937="借",$O2937,0)</f>
        <v>0</v>
      </c>
      <c r="J2937" s="42" t="n">
        <f aca="false">IF($M2937="贷",$O2937,0)</f>
        <v>0</v>
      </c>
      <c r="K2937" s="48" t="str">
        <f aca="false">IF($H2937="","",购销流水!$E738)</f>
        <v/>
      </c>
      <c r="L2937" s="66" t="str">
        <f aca="false">IF(购销流水!$D738="","",IFERROR(INDEX(记账规则!$A$6:$N$9,MATCH(购销流水!$D738,记账规则!$A$6:$A$9,0),12),""))</f>
        <v/>
      </c>
      <c r="M2937" s="66" t="str">
        <f aca="false">IF($L2937="","",IFERROR(INDEX(记账规则!$A$6:$N$9,MATCH(购销流水!$D738,记账规则!$A$6:$A$9,0),13),""))</f>
        <v/>
      </c>
      <c r="N2937" s="66" t="str">
        <f aca="false">IF($L2937="","",IFERROR(INDEX(记账规则!$A$6:$N$9,MATCH(购销流水!$D738,记账规则!$A$6:$A$9,0),14),""))</f>
        <v/>
      </c>
      <c r="O2937" s="67" t="n">
        <f aca="false">IF($H2937="",0,ROUND(IF($N2937="成本金额",N(购销流水!$W738),IF($N2937="金额",N(购销流水!$Q738),0)),2))</f>
        <v>0</v>
      </c>
      <c r="P2937" s="64" t="str">
        <f aca="false">IF(AND($H2937&lt;&gt;"",ROUND($O2937,2)&lt;&gt;0),"有","")</f>
        <v/>
      </c>
    </row>
    <row r="2938" customFormat="false" ht="15" hidden="true" customHeight="false" outlineLevel="0" collapsed="false">
      <c r="A2938" s="53" t="str">
        <f aca="false">IF($H2938="","",ROW()-5)</f>
        <v/>
      </c>
      <c r="B2938" s="64" t="s">
        <v>36</v>
      </c>
      <c r="C2938" s="53" t="n">
        <v>739</v>
      </c>
      <c r="D2938" s="53" t="n">
        <v>1</v>
      </c>
      <c r="E2938" s="65" t="str">
        <f aca="false">IF($H2938="","",购销流水!$B739)</f>
        <v/>
      </c>
      <c r="F2938" s="55" t="str">
        <f aca="false">IF($H2938="","",购销流水!$C739)</f>
        <v/>
      </c>
      <c r="G2938" s="48" t="str">
        <f aca="false">IF($H2938="","",购销流水!$N739)</f>
        <v/>
      </c>
      <c r="H2938" s="10" t="str">
        <f aca="false">IF($L2938="","",IF($L2938="@成本",购销流水!$U739,IF($L2938="@收入",购销流水!$T739,IF($L2938="@存货",购销流水!$S739,IF($L2938="@结算",购销流水!$R739,$L2938)))))</f>
        <v/>
      </c>
      <c r="I2938" s="42" t="n">
        <f aca="false">IF($M2938="借",$O2938,0)</f>
        <v>0</v>
      </c>
      <c r="J2938" s="42" t="n">
        <f aca="false">IF($M2938="贷",$O2938,0)</f>
        <v>0</v>
      </c>
      <c r="K2938" s="48" t="str">
        <f aca="false">IF($H2938="","",购销流水!$E739)</f>
        <v/>
      </c>
      <c r="L2938" s="66" t="str">
        <f aca="false">IF(购销流水!$D739="","",IFERROR(INDEX(记账规则!$A$6:$N$9,MATCH(购销流水!$D739,记账规则!$A$6:$A$9,0),3),""))</f>
        <v/>
      </c>
      <c r="M2938" s="66" t="str">
        <f aca="false">IF($L2938="","",IFERROR(INDEX(记账规则!$A$6:$N$9,MATCH(购销流水!$D739,记账规则!$A$6:$A$9,0),4),""))</f>
        <v/>
      </c>
      <c r="N2938" s="66" t="str">
        <f aca="false">IF($L2938="","",IFERROR(INDEX(记账规则!$A$6:$N$9,MATCH(购销流水!$D739,记账规则!$A$6:$A$9,0),5),""))</f>
        <v/>
      </c>
      <c r="O2938" s="67" t="n">
        <f aca="false">IF($H2938="",0,ROUND(IF($N2938="成本金额",N(购销流水!$W739),IF($N2938="金额",N(购销流水!$Q739),0)),2))</f>
        <v>0</v>
      </c>
      <c r="P2938" s="64" t="str">
        <f aca="false">IF(AND($H2938&lt;&gt;"",ROUND($O2938,2)&lt;&gt;0),"有","")</f>
        <v/>
      </c>
    </row>
    <row r="2939" customFormat="false" ht="15" hidden="true" customHeight="false" outlineLevel="0" collapsed="false">
      <c r="A2939" s="53" t="str">
        <f aca="false">IF($H2939="","",ROW()-5)</f>
        <v/>
      </c>
      <c r="B2939" s="64" t="s">
        <v>36</v>
      </c>
      <c r="C2939" s="53" t="n">
        <v>739</v>
      </c>
      <c r="D2939" s="53" t="n">
        <v>2</v>
      </c>
      <c r="E2939" s="65" t="str">
        <f aca="false">IF($H2939="","",购销流水!$B739)</f>
        <v/>
      </c>
      <c r="F2939" s="55" t="str">
        <f aca="false">IF($H2939="","",购销流水!$C739)</f>
        <v/>
      </c>
      <c r="G2939" s="48" t="str">
        <f aca="false">IF($H2939="","",购销流水!$N739)</f>
        <v/>
      </c>
      <c r="H2939" s="10" t="str">
        <f aca="false">IF($L2939="","",IF($L2939="@成本",购销流水!$U739,IF($L2939="@收入",购销流水!$T739,IF($L2939="@存货",购销流水!$S739,IF($L2939="@结算",购销流水!$R739,$L2939)))))</f>
        <v/>
      </c>
      <c r="I2939" s="42" t="n">
        <f aca="false">IF($M2939="借",$O2939,0)</f>
        <v>0</v>
      </c>
      <c r="J2939" s="42" t="n">
        <f aca="false">IF($M2939="贷",$O2939,0)</f>
        <v>0</v>
      </c>
      <c r="K2939" s="48" t="str">
        <f aca="false">IF($H2939="","",购销流水!$E739)</f>
        <v/>
      </c>
      <c r="L2939" s="66" t="str">
        <f aca="false">IF(购销流水!$D739="","",IFERROR(INDEX(记账规则!$A$6:$N$9,MATCH(购销流水!$D739,记账规则!$A$6:$A$9,0),6),""))</f>
        <v/>
      </c>
      <c r="M2939" s="66" t="str">
        <f aca="false">IF($L2939="","",IFERROR(INDEX(记账规则!$A$6:$N$9,MATCH(购销流水!$D739,记账规则!$A$6:$A$9,0),7),""))</f>
        <v/>
      </c>
      <c r="N2939" s="66" t="str">
        <f aca="false">IF($L2939="","",IFERROR(INDEX(记账规则!$A$6:$N$9,MATCH(购销流水!$D739,记账规则!$A$6:$A$9,0),8),""))</f>
        <v/>
      </c>
      <c r="O2939" s="67" t="n">
        <f aca="false">IF($H2939="",0,ROUND(IF($N2939="成本金额",N(购销流水!$W739),IF($N2939="金额",N(购销流水!$Q739),0)),2))</f>
        <v>0</v>
      </c>
      <c r="P2939" s="64" t="str">
        <f aca="false">IF(AND($H2939&lt;&gt;"",ROUND($O2939,2)&lt;&gt;0),"有","")</f>
        <v/>
      </c>
    </row>
    <row r="2940" customFormat="false" ht="15" hidden="true" customHeight="false" outlineLevel="0" collapsed="false">
      <c r="A2940" s="53" t="str">
        <f aca="false">IF($H2940="","",ROW()-5)</f>
        <v/>
      </c>
      <c r="B2940" s="64" t="s">
        <v>36</v>
      </c>
      <c r="C2940" s="53" t="n">
        <v>739</v>
      </c>
      <c r="D2940" s="53" t="n">
        <v>3</v>
      </c>
      <c r="E2940" s="65" t="str">
        <f aca="false">IF($H2940="","",购销流水!$B739)</f>
        <v/>
      </c>
      <c r="F2940" s="55" t="str">
        <f aca="false">IF($H2940="","",购销流水!$C739)</f>
        <v/>
      </c>
      <c r="G2940" s="48" t="str">
        <f aca="false">IF($H2940="","",购销流水!$N739)</f>
        <v/>
      </c>
      <c r="H2940" s="10" t="str">
        <f aca="false">IF($L2940="","",IF($L2940="@成本",购销流水!$U739,IF($L2940="@收入",购销流水!$T739,IF($L2940="@存货",购销流水!$S739,IF($L2940="@结算",购销流水!$R739,$L2940)))))</f>
        <v/>
      </c>
      <c r="I2940" s="42" t="n">
        <f aca="false">IF($M2940="借",$O2940,0)</f>
        <v>0</v>
      </c>
      <c r="J2940" s="42" t="n">
        <f aca="false">IF($M2940="贷",$O2940,0)</f>
        <v>0</v>
      </c>
      <c r="K2940" s="48" t="str">
        <f aca="false">IF($H2940="","",购销流水!$E739)</f>
        <v/>
      </c>
      <c r="L2940" s="66" t="str">
        <f aca="false">IF(购销流水!$D739="","",IFERROR(INDEX(记账规则!$A$6:$N$9,MATCH(购销流水!$D739,记账规则!$A$6:$A$9,0),9),""))</f>
        <v/>
      </c>
      <c r="M2940" s="66" t="str">
        <f aca="false">IF($L2940="","",IFERROR(INDEX(记账规则!$A$6:$N$9,MATCH(购销流水!$D739,记账规则!$A$6:$A$9,0),10),""))</f>
        <v/>
      </c>
      <c r="N2940" s="66" t="str">
        <f aca="false">IF($L2940="","",IFERROR(INDEX(记账规则!$A$6:$N$9,MATCH(购销流水!$D739,记账规则!$A$6:$A$9,0),11),""))</f>
        <v/>
      </c>
      <c r="O2940" s="67" t="n">
        <f aca="false">IF($H2940="",0,ROUND(IF($N2940="成本金额",N(购销流水!$W739),IF($N2940="金额",N(购销流水!$Q739),0)),2))</f>
        <v>0</v>
      </c>
      <c r="P2940" s="64" t="str">
        <f aca="false">IF(AND($H2940&lt;&gt;"",ROUND($O2940,2)&lt;&gt;0),"有","")</f>
        <v/>
      </c>
    </row>
    <row r="2941" customFormat="false" ht="15" hidden="true" customHeight="false" outlineLevel="0" collapsed="false">
      <c r="A2941" s="53" t="str">
        <f aca="false">IF($H2941="","",ROW()-5)</f>
        <v/>
      </c>
      <c r="B2941" s="64" t="s">
        <v>36</v>
      </c>
      <c r="C2941" s="53" t="n">
        <v>739</v>
      </c>
      <c r="D2941" s="53" t="n">
        <v>4</v>
      </c>
      <c r="E2941" s="65" t="str">
        <f aca="false">IF($H2941="","",购销流水!$B739)</f>
        <v/>
      </c>
      <c r="F2941" s="55" t="str">
        <f aca="false">IF($H2941="","",购销流水!$C739)</f>
        <v/>
      </c>
      <c r="G2941" s="48" t="str">
        <f aca="false">IF($H2941="","",购销流水!$N739)</f>
        <v/>
      </c>
      <c r="H2941" s="10" t="str">
        <f aca="false">IF($L2941="","",IF($L2941="@成本",购销流水!$U739,IF($L2941="@收入",购销流水!$T739,IF($L2941="@存货",购销流水!$S739,IF($L2941="@结算",购销流水!$R739,$L2941)))))</f>
        <v/>
      </c>
      <c r="I2941" s="42" t="n">
        <f aca="false">IF($M2941="借",$O2941,0)</f>
        <v>0</v>
      </c>
      <c r="J2941" s="42" t="n">
        <f aca="false">IF($M2941="贷",$O2941,0)</f>
        <v>0</v>
      </c>
      <c r="K2941" s="48" t="str">
        <f aca="false">IF($H2941="","",购销流水!$E739)</f>
        <v/>
      </c>
      <c r="L2941" s="66" t="str">
        <f aca="false">IF(购销流水!$D739="","",IFERROR(INDEX(记账规则!$A$6:$N$9,MATCH(购销流水!$D739,记账规则!$A$6:$A$9,0),12),""))</f>
        <v/>
      </c>
      <c r="M2941" s="66" t="str">
        <f aca="false">IF($L2941="","",IFERROR(INDEX(记账规则!$A$6:$N$9,MATCH(购销流水!$D739,记账规则!$A$6:$A$9,0),13),""))</f>
        <v/>
      </c>
      <c r="N2941" s="66" t="str">
        <f aca="false">IF($L2941="","",IFERROR(INDEX(记账规则!$A$6:$N$9,MATCH(购销流水!$D739,记账规则!$A$6:$A$9,0),14),""))</f>
        <v/>
      </c>
      <c r="O2941" s="67" t="n">
        <f aca="false">IF($H2941="",0,ROUND(IF($N2941="成本金额",N(购销流水!$W739),IF($N2941="金额",N(购销流水!$Q739),0)),2))</f>
        <v>0</v>
      </c>
      <c r="P2941" s="64" t="str">
        <f aca="false">IF(AND($H2941&lt;&gt;"",ROUND($O2941,2)&lt;&gt;0),"有","")</f>
        <v/>
      </c>
    </row>
    <row r="2942" customFormat="false" ht="15" hidden="true" customHeight="false" outlineLevel="0" collapsed="false">
      <c r="A2942" s="53" t="str">
        <f aca="false">IF($H2942="","",ROW()-5)</f>
        <v/>
      </c>
      <c r="B2942" s="64" t="s">
        <v>36</v>
      </c>
      <c r="C2942" s="53" t="n">
        <v>740</v>
      </c>
      <c r="D2942" s="53" t="n">
        <v>1</v>
      </c>
      <c r="E2942" s="65" t="str">
        <f aca="false">IF($H2942="","",购销流水!$B740)</f>
        <v/>
      </c>
      <c r="F2942" s="55" t="str">
        <f aca="false">IF($H2942="","",购销流水!$C740)</f>
        <v/>
      </c>
      <c r="G2942" s="48" t="str">
        <f aca="false">IF($H2942="","",购销流水!$N740)</f>
        <v/>
      </c>
      <c r="H2942" s="10" t="str">
        <f aca="false">IF($L2942="","",IF($L2942="@成本",购销流水!$U740,IF($L2942="@收入",购销流水!$T740,IF($L2942="@存货",购销流水!$S740,IF($L2942="@结算",购销流水!$R740,$L2942)))))</f>
        <v/>
      </c>
      <c r="I2942" s="42" t="n">
        <f aca="false">IF($M2942="借",$O2942,0)</f>
        <v>0</v>
      </c>
      <c r="J2942" s="42" t="n">
        <f aca="false">IF($M2942="贷",$O2942,0)</f>
        <v>0</v>
      </c>
      <c r="K2942" s="48" t="str">
        <f aca="false">IF($H2942="","",购销流水!$E740)</f>
        <v/>
      </c>
      <c r="L2942" s="66" t="str">
        <f aca="false">IF(购销流水!$D740="","",IFERROR(INDEX(记账规则!$A$6:$N$9,MATCH(购销流水!$D740,记账规则!$A$6:$A$9,0),3),""))</f>
        <v/>
      </c>
      <c r="M2942" s="66" t="str">
        <f aca="false">IF($L2942="","",IFERROR(INDEX(记账规则!$A$6:$N$9,MATCH(购销流水!$D740,记账规则!$A$6:$A$9,0),4),""))</f>
        <v/>
      </c>
      <c r="N2942" s="66" t="str">
        <f aca="false">IF($L2942="","",IFERROR(INDEX(记账规则!$A$6:$N$9,MATCH(购销流水!$D740,记账规则!$A$6:$A$9,0),5),""))</f>
        <v/>
      </c>
      <c r="O2942" s="67" t="n">
        <f aca="false">IF($H2942="",0,ROUND(IF($N2942="成本金额",N(购销流水!$W740),IF($N2942="金额",N(购销流水!$Q740),0)),2))</f>
        <v>0</v>
      </c>
      <c r="P2942" s="64" t="str">
        <f aca="false">IF(AND($H2942&lt;&gt;"",ROUND($O2942,2)&lt;&gt;0),"有","")</f>
        <v/>
      </c>
    </row>
    <row r="2943" customFormat="false" ht="15" hidden="true" customHeight="false" outlineLevel="0" collapsed="false">
      <c r="A2943" s="53" t="str">
        <f aca="false">IF($H2943="","",ROW()-5)</f>
        <v/>
      </c>
      <c r="B2943" s="64" t="s">
        <v>36</v>
      </c>
      <c r="C2943" s="53" t="n">
        <v>740</v>
      </c>
      <c r="D2943" s="53" t="n">
        <v>2</v>
      </c>
      <c r="E2943" s="65" t="str">
        <f aca="false">IF($H2943="","",购销流水!$B740)</f>
        <v/>
      </c>
      <c r="F2943" s="55" t="str">
        <f aca="false">IF($H2943="","",购销流水!$C740)</f>
        <v/>
      </c>
      <c r="G2943" s="48" t="str">
        <f aca="false">IF($H2943="","",购销流水!$N740)</f>
        <v/>
      </c>
      <c r="H2943" s="10" t="str">
        <f aca="false">IF($L2943="","",IF($L2943="@成本",购销流水!$U740,IF($L2943="@收入",购销流水!$T740,IF($L2943="@存货",购销流水!$S740,IF($L2943="@结算",购销流水!$R740,$L2943)))))</f>
        <v/>
      </c>
      <c r="I2943" s="42" t="n">
        <f aca="false">IF($M2943="借",$O2943,0)</f>
        <v>0</v>
      </c>
      <c r="J2943" s="42" t="n">
        <f aca="false">IF($M2943="贷",$O2943,0)</f>
        <v>0</v>
      </c>
      <c r="K2943" s="48" t="str">
        <f aca="false">IF($H2943="","",购销流水!$E740)</f>
        <v/>
      </c>
      <c r="L2943" s="66" t="str">
        <f aca="false">IF(购销流水!$D740="","",IFERROR(INDEX(记账规则!$A$6:$N$9,MATCH(购销流水!$D740,记账规则!$A$6:$A$9,0),6),""))</f>
        <v/>
      </c>
      <c r="M2943" s="66" t="str">
        <f aca="false">IF($L2943="","",IFERROR(INDEX(记账规则!$A$6:$N$9,MATCH(购销流水!$D740,记账规则!$A$6:$A$9,0),7),""))</f>
        <v/>
      </c>
      <c r="N2943" s="66" t="str">
        <f aca="false">IF($L2943="","",IFERROR(INDEX(记账规则!$A$6:$N$9,MATCH(购销流水!$D740,记账规则!$A$6:$A$9,0),8),""))</f>
        <v/>
      </c>
      <c r="O2943" s="67" t="n">
        <f aca="false">IF($H2943="",0,ROUND(IF($N2943="成本金额",N(购销流水!$W740),IF($N2943="金额",N(购销流水!$Q740),0)),2))</f>
        <v>0</v>
      </c>
      <c r="P2943" s="64" t="str">
        <f aca="false">IF(AND($H2943&lt;&gt;"",ROUND($O2943,2)&lt;&gt;0),"有","")</f>
        <v/>
      </c>
    </row>
    <row r="2944" customFormat="false" ht="15" hidden="true" customHeight="false" outlineLevel="0" collapsed="false">
      <c r="A2944" s="53" t="str">
        <f aca="false">IF($H2944="","",ROW()-5)</f>
        <v/>
      </c>
      <c r="B2944" s="64" t="s">
        <v>36</v>
      </c>
      <c r="C2944" s="53" t="n">
        <v>740</v>
      </c>
      <c r="D2944" s="53" t="n">
        <v>3</v>
      </c>
      <c r="E2944" s="65" t="str">
        <f aca="false">IF($H2944="","",购销流水!$B740)</f>
        <v/>
      </c>
      <c r="F2944" s="55" t="str">
        <f aca="false">IF($H2944="","",购销流水!$C740)</f>
        <v/>
      </c>
      <c r="G2944" s="48" t="str">
        <f aca="false">IF($H2944="","",购销流水!$N740)</f>
        <v/>
      </c>
      <c r="H2944" s="10" t="str">
        <f aca="false">IF($L2944="","",IF($L2944="@成本",购销流水!$U740,IF($L2944="@收入",购销流水!$T740,IF($L2944="@存货",购销流水!$S740,IF($L2944="@结算",购销流水!$R740,$L2944)))))</f>
        <v/>
      </c>
      <c r="I2944" s="42" t="n">
        <f aca="false">IF($M2944="借",$O2944,0)</f>
        <v>0</v>
      </c>
      <c r="J2944" s="42" t="n">
        <f aca="false">IF($M2944="贷",$O2944,0)</f>
        <v>0</v>
      </c>
      <c r="K2944" s="48" t="str">
        <f aca="false">IF($H2944="","",购销流水!$E740)</f>
        <v/>
      </c>
      <c r="L2944" s="66" t="str">
        <f aca="false">IF(购销流水!$D740="","",IFERROR(INDEX(记账规则!$A$6:$N$9,MATCH(购销流水!$D740,记账规则!$A$6:$A$9,0),9),""))</f>
        <v/>
      </c>
      <c r="M2944" s="66" t="str">
        <f aca="false">IF($L2944="","",IFERROR(INDEX(记账规则!$A$6:$N$9,MATCH(购销流水!$D740,记账规则!$A$6:$A$9,0),10),""))</f>
        <v/>
      </c>
      <c r="N2944" s="66" t="str">
        <f aca="false">IF($L2944="","",IFERROR(INDEX(记账规则!$A$6:$N$9,MATCH(购销流水!$D740,记账规则!$A$6:$A$9,0),11),""))</f>
        <v/>
      </c>
      <c r="O2944" s="67" t="n">
        <f aca="false">IF($H2944="",0,ROUND(IF($N2944="成本金额",N(购销流水!$W740),IF($N2944="金额",N(购销流水!$Q740),0)),2))</f>
        <v>0</v>
      </c>
      <c r="P2944" s="64" t="str">
        <f aca="false">IF(AND($H2944&lt;&gt;"",ROUND($O2944,2)&lt;&gt;0),"有","")</f>
        <v/>
      </c>
    </row>
    <row r="2945" customFormat="false" ht="15" hidden="true" customHeight="false" outlineLevel="0" collapsed="false">
      <c r="A2945" s="53" t="str">
        <f aca="false">IF($H2945="","",ROW()-5)</f>
        <v/>
      </c>
      <c r="B2945" s="64" t="s">
        <v>36</v>
      </c>
      <c r="C2945" s="53" t="n">
        <v>740</v>
      </c>
      <c r="D2945" s="53" t="n">
        <v>4</v>
      </c>
      <c r="E2945" s="65" t="str">
        <f aca="false">IF($H2945="","",购销流水!$B740)</f>
        <v/>
      </c>
      <c r="F2945" s="55" t="str">
        <f aca="false">IF($H2945="","",购销流水!$C740)</f>
        <v/>
      </c>
      <c r="G2945" s="48" t="str">
        <f aca="false">IF($H2945="","",购销流水!$N740)</f>
        <v/>
      </c>
      <c r="H2945" s="10" t="str">
        <f aca="false">IF($L2945="","",IF($L2945="@成本",购销流水!$U740,IF($L2945="@收入",购销流水!$T740,IF($L2945="@存货",购销流水!$S740,IF($L2945="@结算",购销流水!$R740,$L2945)))))</f>
        <v/>
      </c>
      <c r="I2945" s="42" t="n">
        <f aca="false">IF($M2945="借",$O2945,0)</f>
        <v>0</v>
      </c>
      <c r="J2945" s="42" t="n">
        <f aca="false">IF($M2945="贷",$O2945,0)</f>
        <v>0</v>
      </c>
      <c r="K2945" s="48" t="str">
        <f aca="false">IF($H2945="","",购销流水!$E740)</f>
        <v/>
      </c>
      <c r="L2945" s="66" t="str">
        <f aca="false">IF(购销流水!$D740="","",IFERROR(INDEX(记账规则!$A$6:$N$9,MATCH(购销流水!$D740,记账规则!$A$6:$A$9,0),12),""))</f>
        <v/>
      </c>
      <c r="M2945" s="66" t="str">
        <f aca="false">IF($L2945="","",IFERROR(INDEX(记账规则!$A$6:$N$9,MATCH(购销流水!$D740,记账规则!$A$6:$A$9,0),13),""))</f>
        <v/>
      </c>
      <c r="N2945" s="66" t="str">
        <f aca="false">IF($L2945="","",IFERROR(INDEX(记账规则!$A$6:$N$9,MATCH(购销流水!$D740,记账规则!$A$6:$A$9,0),14),""))</f>
        <v/>
      </c>
      <c r="O2945" s="67" t="n">
        <f aca="false">IF($H2945="",0,ROUND(IF($N2945="成本金额",N(购销流水!$W740),IF($N2945="金额",N(购销流水!$Q740),0)),2))</f>
        <v>0</v>
      </c>
      <c r="P2945" s="64" t="str">
        <f aca="false">IF(AND($H2945&lt;&gt;"",ROUND($O2945,2)&lt;&gt;0),"有","")</f>
        <v/>
      </c>
    </row>
    <row r="2946" customFormat="false" ht="15" hidden="true" customHeight="false" outlineLevel="0" collapsed="false">
      <c r="A2946" s="53" t="str">
        <f aca="false">IF($H2946="","",ROW()-5)</f>
        <v/>
      </c>
      <c r="B2946" s="64" t="s">
        <v>36</v>
      </c>
      <c r="C2946" s="53" t="n">
        <v>741</v>
      </c>
      <c r="D2946" s="53" t="n">
        <v>1</v>
      </c>
      <c r="E2946" s="65" t="str">
        <f aca="false">IF($H2946="","",购销流水!$B741)</f>
        <v/>
      </c>
      <c r="F2946" s="55" t="str">
        <f aca="false">IF($H2946="","",购销流水!$C741)</f>
        <v/>
      </c>
      <c r="G2946" s="48" t="str">
        <f aca="false">IF($H2946="","",购销流水!$N741)</f>
        <v/>
      </c>
      <c r="H2946" s="10" t="str">
        <f aca="false">IF($L2946="","",IF($L2946="@成本",购销流水!$U741,IF($L2946="@收入",购销流水!$T741,IF($L2946="@存货",购销流水!$S741,IF($L2946="@结算",购销流水!$R741,$L2946)))))</f>
        <v/>
      </c>
      <c r="I2946" s="42" t="n">
        <f aca="false">IF($M2946="借",$O2946,0)</f>
        <v>0</v>
      </c>
      <c r="J2946" s="42" t="n">
        <f aca="false">IF($M2946="贷",$O2946,0)</f>
        <v>0</v>
      </c>
      <c r="K2946" s="48" t="str">
        <f aca="false">IF($H2946="","",购销流水!$E741)</f>
        <v/>
      </c>
      <c r="L2946" s="66" t="str">
        <f aca="false">IF(购销流水!$D741="","",IFERROR(INDEX(记账规则!$A$6:$N$9,MATCH(购销流水!$D741,记账规则!$A$6:$A$9,0),3),""))</f>
        <v/>
      </c>
      <c r="M2946" s="66" t="str">
        <f aca="false">IF($L2946="","",IFERROR(INDEX(记账规则!$A$6:$N$9,MATCH(购销流水!$D741,记账规则!$A$6:$A$9,0),4),""))</f>
        <v/>
      </c>
      <c r="N2946" s="66" t="str">
        <f aca="false">IF($L2946="","",IFERROR(INDEX(记账规则!$A$6:$N$9,MATCH(购销流水!$D741,记账规则!$A$6:$A$9,0),5),""))</f>
        <v/>
      </c>
      <c r="O2946" s="67" t="n">
        <f aca="false">IF($H2946="",0,ROUND(IF($N2946="成本金额",N(购销流水!$W741),IF($N2946="金额",N(购销流水!$Q741),0)),2))</f>
        <v>0</v>
      </c>
      <c r="P2946" s="64" t="str">
        <f aca="false">IF(AND($H2946&lt;&gt;"",ROUND($O2946,2)&lt;&gt;0),"有","")</f>
        <v/>
      </c>
    </row>
    <row r="2947" customFormat="false" ht="15" hidden="true" customHeight="false" outlineLevel="0" collapsed="false">
      <c r="A2947" s="53" t="str">
        <f aca="false">IF($H2947="","",ROW()-5)</f>
        <v/>
      </c>
      <c r="B2947" s="64" t="s">
        <v>36</v>
      </c>
      <c r="C2947" s="53" t="n">
        <v>741</v>
      </c>
      <c r="D2947" s="53" t="n">
        <v>2</v>
      </c>
      <c r="E2947" s="65" t="str">
        <f aca="false">IF($H2947="","",购销流水!$B741)</f>
        <v/>
      </c>
      <c r="F2947" s="55" t="str">
        <f aca="false">IF($H2947="","",购销流水!$C741)</f>
        <v/>
      </c>
      <c r="G2947" s="48" t="str">
        <f aca="false">IF($H2947="","",购销流水!$N741)</f>
        <v/>
      </c>
      <c r="H2947" s="10" t="str">
        <f aca="false">IF($L2947="","",IF($L2947="@成本",购销流水!$U741,IF($L2947="@收入",购销流水!$T741,IF($L2947="@存货",购销流水!$S741,IF($L2947="@结算",购销流水!$R741,$L2947)))))</f>
        <v/>
      </c>
      <c r="I2947" s="42" t="n">
        <f aca="false">IF($M2947="借",$O2947,0)</f>
        <v>0</v>
      </c>
      <c r="J2947" s="42" t="n">
        <f aca="false">IF($M2947="贷",$O2947,0)</f>
        <v>0</v>
      </c>
      <c r="K2947" s="48" t="str">
        <f aca="false">IF($H2947="","",购销流水!$E741)</f>
        <v/>
      </c>
      <c r="L2947" s="66" t="str">
        <f aca="false">IF(购销流水!$D741="","",IFERROR(INDEX(记账规则!$A$6:$N$9,MATCH(购销流水!$D741,记账规则!$A$6:$A$9,0),6),""))</f>
        <v/>
      </c>
      <c r="M2947" s="66" t="str">
        <f aca="false">IF($L2947="","",IFERROR(INDEX(记账规则!$A$6:$N$9,MATCH(购销流水!$D741,记账规则!$A$6:$A$9,0),7),""))</f>
        <v/>
      </c>
      <c r="N2947" s="66" t="str">
        <f aca="false">IF($L2947="","",IFERROR(INDEX(记账规则!$A$6:$N$9,MATCH(购销流水!$D741,记账规则!$A$6:$A$9,0),8),""))</f>
        <v/>
      </c>
      <c r="O2947" s="67" t="n">
        <f aca="false">IF($H2947="",0,ROUND(IF($N2947="成本金额",N(购销流水!$W741),IF($N2947="金额",N(购销流水!$Q741),0)),2))</f>
        <v>0</v>
      </c>
      <c r="P2947" s="64" t="str">
        <f aca="false">IF(AND($H2947&lt;&gt;"",ROUND($O2947,2)&lt;&gt;0),"有","")</f>
        <v/>
      </c>
    </row>
    <row r="2948" customFormat="false" ht="15" hidden="true" customHeight="false" outlineLevel="0" collapsed="false">
      <c r="A2948" s="53" t="str">
        <f aca="false">IF($H2948="","",ROW()-5)</f>
        <v/>
      </c>
      <c r="B2948" s="64" t="s">
        <v>36</v>
      </c>
      <c r="C2948" s="53" t="n">
        <v>741</v>
      </c>
      <c r="D2948" s="53" t="n">
        <v>3</v>
      </c>
      <c r="E2948" s="65" t="str">
        <f aca="false">IF($H2948="","",购销流水!$B741)</f>
        <v/>
      </c>
      <c r="F2948" s="55" t="str">
        <f aca="false">IF($H2948="","",购销流水!$C741)</f>
        <v/>
      </c>
      <c r="G2948" s="48" t="str">
        <f aca="false">IF($H2948="","",购销流水!$N741)</f>
        <v/>
      </c>
      <c r="H2948" s="10" t="str">
        <f aca="false">IF($L2948="","",IF($L2948="@成本",购销流水!$U741,IF($L2948="@收入",购销流水!$T741,IF($L2948="@存货",购销流水!$S741,IF($L2948="@结算",购销流水!$R741,$L2948)))))</f>
        <v/>
      </c>
      <c r="I2948" s="42" t="n">
        <f aca="false">IF($M2948="借",$O2948,0)</f>
        <v>0</v>
      </c>
      <c r="J2948" s="42" t="n">
        <f aca="false">IF($M2948="贷",$O2948,0)</f>
        <v>0</v>
      </c>
      <c r="K2948" s="48" t="str">
        <f aca="false">IF($H2948="","",购销流水!$E741)</f>
        <v/>
      </c>
      <c r="L2948" s="66" t="str">
        <f aca="false">IF(购销流水!$D741="","",IFERROR(INDEX(记账规则!$A$6:$N$9,MATCH(购销流水!$D741,记账规则!$A$6:$A$9,0),9),""))</f>
        <v/>
      </c>
      <c r="M2948" s="66" t="str">
        <f aca="false">IF($L2948="","",IFERROR(INDEX(记账规则!$A$6:$N$9,MATCH(购销流水!$D741,记账规则!$A$6:$A$9,0),10),""))</f>
        <v/>
      </c>
      <c r="N2948" s="66" t="str">
        <f aca="false">IF($L2948="","",IFERROR(INDEX(记账规则!$A$6:$N$9,MATCH(购销流水!$D741,记账规则!$A$6:$A$9,0),11),""))</f>
        <v/>
      </c>
      <c r="O2948" s="67" t="n">
        <f aca="false">IF($H2948="",0,ROUND(IF($N2948="成本金额",N(购销流水!$W741),IF($N2948="金额",N(购销流水!$Q741),0)),2))</f>
        <v>0</v>
      </c>
      <c r="P2948" s="64" t="str">
        <f aca="false">IF(AND($H2948&lt;&gt;"",ROUND($O2948,2)&lt;&gt;0),"有","")</f>
        <v/>
      </c>
    </row>
    <row r="2949" customFormat="false" ht="15" hidden="true" customHeight="false" outlineLevel="0" collapsed="false">
      <c r="A2949" s="53" t="str">
        <f aca="false">IF($H2949="","",ROW()-5)</f>
        <v/>
      </c>
      <c r="B2949" s="64" t="s">
        <v>36</v>
      </c>
      <c r="C2949" s="53" t="n">
        <v>741</v>
      </c>
      <c r="D2949" s="53" t="n">
        <v>4</v>
      </c>
      <c r="E2949" s="65" t="str">
        <f aca="false">IF($H2949="","",购销流水!$B741)</f>
        <v/>
      </c>
      <c r="F2949" s="55" t="str">
        <f aca="false">IF($H2949="","",购销流水!$C741)</f>
        <v/>
      </c>
      <c r="G2949" s="48" t="str">
        <f aca="false">IF($H2949="","",购销流水!$N741)</f>
        <v/>
      </c>
      <c r="H2949" s="10" t="str">
        <f aca="false">IF($L2949="","",IF($L2949="@成本",购销流水!$U741,IF($L2949="@收入",购销流水!$T741,IF($L2949="@存货",购销流水!$S741,IF($L2949="@结算",购销流水!$R741,$L2949)))))</f>
        <v/>
      </c>
      <c r="I2949" s="42" t="n">
        <f aca="false">IF($M2949="借",$O2949,0)</f>
        <v>0</v>
      </c>
      <c r="J2949" s="42" t="n">
        <f aca="false">IF($M2949="贷",$O2949,0)</f>
        <v>0</v>
      </c>
      <c r="K2949" s="48" t="str">
        <f aca="false">IF($H2949="","",购销流水!$E741)</f>
        <v/>
      </c>
      <c r="L2949" s="66" t="str">
        <f aca="false">IF(购销流水!$D741="","",IFERROR(INDEX(记账规则!$A$6:$N$9,MATCH(购销流水!$D741,记账规则!$A$6:$A$9,0),12),""))</f>
        <v/>
      </c>
      <c r="M2949" s="66" t="str">
        <f aca="false">IF($L2949="","",IFERROR(INDEX(记账规则!$A$6:$N$9,MATCH(购销流水!$D741,记账规则!$A$6:$A$9,0),13),""))</f>
        <v/>
      </c>
      <c r="N2949" s="66" t="str">
        <f aca="false">IF($L2949="","",IFERROR(INDEX(记账规则!$A$6:$N$9,MATCH(购销流水!$D741,记账规则!$A$6:$A$9,0),14),""))</f>
        <v/>
      </c>
      <c r="O2949" s="67" t="n">
        <f aca="false">IF($H2949="",0,ROUND(IF($N2949="成本金额",N(购销流水!$W741),IF($N2949="金额",N(购销流水!$Q741),0)),2))</f>
        <v>0</v>
      </c>
      <c r="P2949" s="64" t="str">
        <f aca="false">IF(AND($H2949&lt;&gt;"",ROUND($O2949,2)&lt;&gt;0),"有","")</f>
        <v/>
      </c>
    </row>
    <row r="2950" customFormat="false" ht="15" hidden="true" customHeight="false" outlineLevel="0" collapsed="false">
      <c r="A2950" s="53" t="str">
        <f aca="false">IF($H2950="","",ROW()-5)</f>
        <v/>
      </c>
      <c r="B2950" s="64" t="s">
        <v>36</v>
      </c>
      <c r="C2950" s="53" t="n">
        <v>742</v>
      </c>
      <c r="D2950" s="53" t="n">
        <v>1</v>
      </c>
      <c r="E2950" s="65" t="str">
        <f aca="false">IF($H2950="","",购销流水!$B742)</f>
        <v/>
      </c>
      <c r="F2950" s="55" t="str">
        <f aca="false">IF($H2950="","",购销流水!$C742)</f>
        <v/>
      </c>
      <c r="G2950" s="48" t="str">
        <f aca="false">IF($H2950="","",购销流水!$N742)</f>
        <v/>
      </c>
      <c r="H2950" s="10" t="str">
        <f aca="false">IF($L2950="","",IF($L2950="@成本",购销流水!$U742,IF($L2950="@收入",购销流水!$T742,IF($L2950="@存货",购销流水!$S742,IF($L2950="@结算",购销流水!$R742,$L2950)))))</f>
        <v/>
      </c>
      <c r="I2950" s="42" t="n">
        <f aca="false">IF($M2950="借",$O2950,0)</f>
        <v>0</v>
      </c>
      <c r="J2950" s="42" t="n">
        <f aca="false">IF($M2950="贷",$O2950,0)</f>
        <v>0</v>
      </c>
      <c r="K2950" s="48" t="str">
        <f aca="false">IF($H2950="","",购销流水!$E742)</f>
        <v/>
      </c>
      <c r="L2950" s="66" t="str">
        <f aca="false">IF(购销流水!$D742="","",IFERROR(INDEX(记账规则!$A$6:$N$9,MATCH(购销流水!$D742,记账规则!$A$6:$A$9,0),3),""))</f>
        <v/>
      </c>
      <c r="M2950" s="66" t="str">
        <f aca="false">IF($L2950="","",IFERROR(INDEX(记账规则!$A$6:$N$9,MATCH(购销流水!$D742,记账规则!$A$6:$A$9,0),4),""))</f>
        <v/>
      </c>
      <c r="N2950" s="66" t="str">
        <f aca="false">IF($L2950="","",IFERROR(INDEX(记账规则!$A$6:$N$9,MATCH(购销流水!$D742,记账规则!$A$6:$A$9,0),5),""))</f>
        <v/>
      </c>
      <c r="O2950" s="67" t="n">
        <f aca="false">IF($H2950="",0,ROUND(IF($N2950="成本金额",N(购销流水!$W742),IF($N2950="金额",N(购销流水!$Q742),0)),2))</f>
        <v>0</v>
      </c>
      <c r="P2950" s="64" t="str">
        <f aca="false">IF(AND($H2950&lt;&gt;"",ROUND($O2950,2)&lt;&gt;0),"有","")</f>
        <v/>
      </c>
    </row>
    <row r="2951" customFormat="false" ht="15" hidden="true" customHeight="false" outlineLevel="0" collapsed="false">
      <c r="A2951" s="53" t="str">
        <f aca="false">IF($H2951="","",ROW()-5)</f>
        <v/>
      </c>
      <c r="B2951" s="64" t="s">
        <v>36</v>
      </c>
      <c r="C2951" s="53" t="n">
        <v>742</v>
      </c>
      <c r="D2951" s="53" t="n">
        <v>2</v>
      </c>
      <c r="E2951" s="65" t="str">
        <f aca="false">IF($H2951="","",购销流水!$B742)</f>
        <v/>
      </c>
      <c r="F2951" s="55" t="str">
        <f aca="false">IF($H2951="","",购销流水!$C742)</f>
        <v/>
      </c>
      <c r="G2951" s="48" t="str">
        <f aca="false">IF($H2951="","",购销流水!$N742)</f>
        <v/>
      </c>
      <c r="H2951" s="10" t="str">
        <f aca="false">IF($L2951="","",IF($L2951="@成本",购销流水!$U742,IF($L2951="@收入",购销流水!$T742,IF($L2951="@存货",购销流水!$S742,IF($L2951="@结算",购销流水!$R742,$L2951)))))</f>
        <v/>
      </c>
      <c r="I2951" s="42" t="n">
        <f aca="false">IF($M2951="借",$O2951,0)</f>
        <v>0</v>
      </c>
      <c r="J2951" s="42" t="n">
        <f aca="false">IF($M2951="贷",$O2951,0)</f>
        <v>0</v>
      </c>
      <c r="K2951" s="48" t="str">
        <f aca="false">IF($H2951="","",购销流水!$E742)</f>
        <v/>
      </c>
      <c r="L2951" s="66" t="str">
        <f aca="false">IF(购销流水!$D742="","",IFERROR(INDEX(记账规则!$A$6:$N$9,MATCH(购销流水!$D742,记账规则!$A$6:$A$9,0),6),""))</f>
        <v/>
      </c>
      <c r="M2951" s="66" t="str">
        <f aca="false">IF($L2951="","",IFERROR(INDEX(记账规则!$A$6:$N$9,MATCH(购销流水!$D742,记账规则!$A$6:$A$9,0),7),""))</f>
        <v/>
      </c>
      <c r="N2951" s="66" t="str">
        <f aca="false">IF($L2951="","",IFERROR(INDEX(记账规则!$A$6:$N$9,MATCH(购销流水!$D742,记账规则!$A$6:$A$9,0),8),""))</f>
        <v/>
      </c>
      <c r="O2951" s="67" t="n">
        <f aca="false">IF($H2951="",0,ROUND(IF($N2951="成本金额",N(购销流水!$W742),IF($N2951="金额",N(购销流水!$Q742),0)),2))</f>
        <v>0</v>
      </c>
      <c r="P2951" s="64" t="str">
        <f aca="false">IF(AND($H2951&lt;&gt;"",ROUND($O2951,2)&lt;&gt;0),"有","")</f>
        <v/>
      </c>
    </row>
    <row r="2952" customFormat="false" ht="15" hidden="true" customHeight="false" outlineLevel="0" collapsed="false">
      <c r="A2952" s="53" t="str">
        <f aca="false">IF($H2952="","",ROW()-5)</f>
        <v/>
      </c>
      <c r="B2952" s="64" t="s">
        <v>36</v>
      </c>
      <c r="C2952" s="53" t="n">
        <v>742</v>
      </c>
      <c r="D2952" s="53" t="n">
        <v>3</v>
      </c>
      <c r="E2952" s="65" t="str">
        <f aca="false">IF($H2952="","",购销流水!$B742)</f>
        <v/>
      </c>
      <c r="F2952" s="55" t="str">
        <f aca="false">IF($H2952="","",购销流水!$C742)</f>
        <v/>
      </c>
      <c r="G2952" s="48" t="str">
        <f aca="false">IF($H2952="","",购销流水!$N742)</f>
        <v/>
      </c>
      <c r="H2952" s="10" t="str">
        <f aca="false">IF($L2952="","",IF($L2952="@成本",购销流水!$U742,IF($L2952="@收入",购销流水!$T742,IF($L2952="@存货",购销流水!$S742,IF($L2952="@结算",购销流水!$R742,$L2952)))))</f>
        <v/>
      </c>
      <c r="I2952" s="42" t="n">
        <f aca="false">IF($M2952="借",$O2952,0)</f>
        <v>0</v>
      </c>
      <c r="J2952" s="42" t="n">
        <f aca="false">IF($M2952="贷",$O2952,0)</f>
        <v>0</v>
      </c>
      <c r="K2952" s="48" t="str">
        <f aca="false">IF($H2952="","",购销流水!$E742)</f>
        <v/>
      </c>
      <c r="L2952" s="66" t="str">
        <f aca="false">IF(购销流水!$D742="","",IFERROR(INDEX(记账规则!$A$6:$N$9,MATCH(购销流水!$D742,记账规则!$A$6:$A$9,0),9),""))</f>
        <v/>
      </c>
      <c r="M2952" s="66" t="str">
        <f aca="false">IF($L2952="","",IFERROR(INDEX(记账规则!$A$6:$N$9,MATCH(购销流水!$D742,记账规则!$A$6:$A$9,0),10),""))</f>
        <v/>
      </c>
      <c r="N2952" s="66" t="str">
        <f aca="false">IF($L2952="","",IFERROR(INDEX(记账规则!$A$6:$N$9,MATCH(购销流水!$D742,记账规则!$A$6:$A$9,0),11),""))</f>
        <v/>
      </c>
      <c r="O2952" s="67" t="n">
        <f aca="false">IF($H2952="",0,ROUND(IF($N2952="成本金额",N(购销流水!$W742),IF($N2952="金额",N(购销流水!$Q742),0)),2))</f>
        <v>0</v>
      </c>
      <c r="P2952" s="64" t="str">
        <f aca="false">IF(AND($H2952&lt;&gt;"",ROUND($O2952,2)&lt;&gt;0),"有","")</f>
        <v/>
      </c>
    </row>
    <row r="2953" customFormat="false" ht="15" hidden="true" customHeight="false" outlineLevel="0" collapsed="false">
      <c r="A2953" s="53" t="str">
        <f aca="false">IF($H2953="","",ROW()-5)</f>
        <v/>
      </c>
      <c r="B2953" s="64" t="s">
        <v>36</v>
      </c>
      <c r="C2953" s="53" t="n">
        <v>742</v>
      </c>
      <c r="D2953" s="53" t="n">
        <v>4</v>
      </c>
      <c r="E2953" s="65" t="str">
        <f aca="false">IF($H2953="","",购销流水!$B742)</f>
        <v/>
      </c>
      <c r="F2953" s="55" t="str">
        <f aca="false">IF($H2953="","",购销流水!$C742)</f>
        <v/>
      </c>
      <c r="G2953" s="48" t="str">
        <f aca="false">IF($H2953="","",购销流水!$N742)</f>
        <v/>
      </c>
      <c r="H2953" s="10" t="str">
        <f aca="false">IF($L2953="","",IF($L2953="@成本",购销流水!$U742,IF($L2953="@收入",购销流水!$T742,IF($L2953="@存货",购销流水!$S742,IF($L2953="@结算",购销流水!$R742,$L2953)))))</f>
        <v/>
      </c>
      <c r="I2953" s="42" t="n">
        <f aca="false">IF($M2953="借",$O2953,0)</f>
        <v>0</v>
      </c>
      <c r="J2953" s="42" t="n">
        <f aca="false">IF($M2953="贷",$O2953,0)</f>
        <v>0</v>
      </c>
      <c r="K2953" s="48" t="str">
        <f aca="false">IF($H2953="","",购销流水!$E742)</f>
        <v/>
      </c>
      <c r="L2953" s="66" t="str">
        <f aca="false">IF(购销流水!$D742="","",IFERROR(INDEX(记账规则!$A$6:$N$9,MATCH(购销流水!$D742,记账规则!$A$6:$A$9,0),12),""))</f>
        <v/>
      </c>
      <c r="M2953" s="66" t="str">
        <f aca="false">IF($L2953="","",IFERROR(INDEX(记账规则!$A$6:$N$9,MATCH(购销流水!$D742,记账规则!$A$6:$A$9,0),13),""))</f>
        <v/>
      </c>
      <c r="N2953" s="66" t="str">
        <f aca="false">IF($L2953="","",IFERROR(INDEX(记账规则!$A$6:$N$9,MATCH(购销流水!$D742,记账规则!$A$6:$A$9,0),14),""))</f>
        <v/>
      </c>
      <c r="O2953" s="67" t="n">
        <f aca="false">IF($H2953="",0,ROUND(IF($N2953="成本金额",N(购销流水!$W742),IF($N2953="金额",N(购销流水!$Q742),0)),2))</f>
        <v>0</v>
      </c>
      <c r="P2953" s="64" t="str">
        <f aca="false">IF(AND($H2953&lt;&gt;"",ROUND($O2953,2)&lt;&gt;0),"有","")</f>
        <v/>
      </c>
    </row>
    <row r="2954" customFormat="false" ht="15" hidden="true" customHeight="false" outlineLevel="0" collapsed="false">
      <c r="A2954" s="53" t="str">
        <f aca="false">IF($H2954="","",ROW()-5)</f>
        <v/>
      </c>
      <c r="B2954" s="64" t="s">
        <v>36</v>
      </c>
      <c r="C2954" s="53" t="n">
        <v>743</v>
      </c>
      <c r="D2954" s="53" t="n">
        <v>1</v>
      </c>
      <c r="E2954" s="65" t="str">
        <f aca="false">IF($H2954="","",购销流水!$B743)</f>
        <v/>
      </c>
      <c r="F2954" s="55" t="str">
        <f aca="false">IF($H2954="","",购销流水!$C743)</f>
        <v/>
      </c>
      <c r="G2954" s="48" t="str">
        <f aca="false">IF($H2954="","",购销流水!$N743)</f>
        <v/>
      </c>
      <c r="H2954" s="10" t="str">
        <f aca="false">IF($L2954="","",IF($L2954="@成本",购销流水!$U743,IF($L2954="@收入",购销流水!$T743,IF($L2954="@存货",购销流水!$S743,IF($L2954="@结算",购销流水!$R743,$L2954)))))</f>
        <v/>
      </c>
      <c r="I2954" s="42" t="n">
        <f aca="false">IF($M2954="借",$O2954,0)</f>
        <v>0</v>
      </c>
      <c r="J2954" s="42" t="n">
        <f aca="false">IF($M2954="贷",$O2954,0)</f>
        <v>0</v>
      </c>
      <c r="K2954" s="48" t="str">
        <f aca="false">IF($H2954="","",购销流水!$E743)</f>
        <v/>
      </c>
      <c r="L2954" s="66" t="str">
        <f aca="false">IF(购销流水!$D743="","",IFERROR(INDEX(记账规则!$A$6:$N$9,MATCH(购销流水!$D743,记账规则!$A$6:$A$9,0),3),""))</f>
        <v/>
      </c>
      <c r="M2954" s="66" t="str">
        <f aca="false">IF($L2954="","",IFERROR(INDEX(记账规则!$A$6:$N$9,MATCH(购销流水!$D743,记账规则!$A$6:$A$9,0),4),""))</f>
        <v/>
      </c>
      <c r="N2954" s="66" t="str">
        <f aca="false">IF($L2954="","",IFERROR(INDEX(记账规则!$A$6:$N$9,MATCH(购销流水!$D743,记账规则!$A$6:$A$9,0),5),""))</f>
        <v/>
      </c>
      <c r="O2954" s="67" t="n">
        <f aca="false">IF($H2954="",0,ROUND(IF($N2954="成本金额",N(购销流水!$W743),IF($N2954="金额",N(购销流水!$Q743),0)),2))</f>
        <v>0</v>
      </c>
      <c r="P2954" s="64" t="str">
        <f aca="false">IF(AND($H2954&lt;&gt;"",ROUND($O2954,2)&lt;&gt;0),"有","")</f>
        <v/>
      </c>
    </row>
    <row r="2955" customFormat="false" ht="15" hidden="true" customHeight="false" outlineLevel="0" collapsed="false">
      <c r="A2955" s="53" t="str">
        <f aca="false">IF($H2955="","",ROW()-5)</f>
        <v/>
      </c>
      <c r="B2955" s="64" t="s">
        <v>36</v>
      </c>
      <c r="C2955" s="53" t="n">
        <v>743</v>
      </c>
      <c r="D2955" s="53" t="n">
        <v>2</v>
      </c>
      <c r="E2955" s="65" t="str">
        <f aca="false">IF($H2955="","",购销流水!$B743)</f>
        <v/>
      </c>
      <c r="F2955" s="55" t="str">
        <f aca="false">IF($H2955="","",购销流水!$C743)</f>
        <v/>
      </c>
      <c r="G2955" s="48" t="str">
        <f aca="false">IF($H2955="","",购销流水!$N743)</f>
        <v/>
      </c>
      <c r="H2955" s="10" t="str">
        <f aca="false">IF($L2955="","",IF($L2955="@成本",购销流水!$U743,IF($L2955="@收入",购销流水!$T743,IF($L2955="@存货",购销流水!$S743,IF($L2955="@结算",购销流水!$R743,$L2955)))))</f>
        <v/>
      </c>
      <c r="I2955" s="42" t="n">
        <f aca="false">IF($M2955="借",$O2955,0)</f>
        <v>0</v>
      </c>
      <c r="J2955" s="42" t="n">
        <f aca="false">IF($M2955="贷",$O2955,0)</f>
        <v>0</v>
      </c>
      <c r="K2955" s="48" t="str">
        <f aca="false">IF($H2955="","",购销流水!$E743)</f>
        <v/>
      </c>
      <c r="L2955" s="66" t="str">
        <f aca="false">IF(购销流水!$D743="","",IFERROR(INDEX(记账规则!$A$6:$N$9,MATCH(购销流水!$D743,记账规则!$A$6:$A$9,0),6),""))</f>
        <v/>
      </c>
      <c r="M2955" s="66" t="str">
        <f aca="false">IF($L2955="","",IFERROR(INDEX(记账规则!$A$6:$N$9,MATCH(购销流水!$D743,记账规则!$A$6:$A$9,0),7),""))</f>
        <v/>
      </c>
      <c r="N2955" s="66" t="str">
        <f aca="false">IF($L2955="","",IFERROR(INDEX(记账规则!$A$6:$N$9,MATCH(购销流水!$D743,记账规则!$A$6:$A$9,0),8),""))</f>
        <v/>
      </c>
      <c r="O2955" s="67" t="n">
        <f aca="false">IF($H2955="",0,ROUND(IF($N2955="成本金额",N(购销流水!$W743),IF($N2955="金额",N(购销流水!$Q743),0)),2))</f>
        <v>0</v>
      </c>
      <c r="P2955" s="64" t="str">
        <f aca="false">IF(AND($H2955&lt;&gt;"",ROUND($O2955,2)&lt;&gt;0),"有","")</f>
        <v/>
      </c>
    </row>
    <row r="2956" customFormat="false" ht="15" hidden="true" customHeight="false" outlineLevel="0" collapsed="false">
      <c r="A2956" s="53" t="str">
        <f aca="false">IF($H2956="","",ROW()-5)</f>
        <v/>
      </c>
      <c r="B2956" s="64" t="s">
        <v>36</v>
      </c>
      <c r="C2956" s="53" t="n">
        <v>743</v>
      </c>
      <c r="D2956" s="53" t="n">
        <v>3</v>
      </c>
      <c r="E2956" s="65" t="str">
        <f aca="false">IF($H2956="","",购销流水!$B743)</f>
        <v/>
      </c>
      <c r="F2956" s="55" t="str">
        <f aca="false">IF($H2956="","",购销流水!$C743)</f>
        <v/>
      </c>
      <c r="G2956" s="48" t="str">
        <f aca="false">IF($H2956="","",购销流水!$N743)</f>
        <v/>
      </c>
      <c r="H2956" s="10" t="str">
        <f aca="false">IF($L2956="","",IF($L2956="@成本",购销流水!$U743,IF($L2956="@收入",购销流水!$T743,IF($L2956="@存货",购销流水!$S743,IF($L2956="@结算",购销流水!$R743,$L2956)))))</f>
        <v/>
      </c>
      <c r="I2956" s="42" t="n">
        <f aca="false">IF($M2956="借",$O2956,0)</f>
        <v>0</v>
      </c>
      <c r="J2956" s="42" t="n">
        <f aca="false">IF($M2956="贷",$O2956,0)</f>
        <v>0</v>
      </c>
      <c r="K2956" s="48" t="str">
        <f aca="false">IF($H2956="","",购销流水!$E743)</f>
        <v/>
      </c>
      <c r="L2956" s="66" t="str">
        <f aca="false">IF(购销流水!$D743="","",IFERROR(INDEX(记账规则!$A$6:$N$9,MATCH(购销流水!$D743,记账规则!$A$6:$A$9,0),9),""))</f>
        <v/>
      </c>
      <c r="M2956" s="66" t="str">
        <f aca="false">IF($L2956="","",IFERROR(INDEX(记账规则!$A$6:$N$9,MATCH(购销流水!$D743,记账规则!$A$6:$A$9,0),10),""))</f>
        <v/>
      </c>
      <c r="N2956" s="66" t="str">
        <f aca="false">IF($L2956="","",IFERROR(INDEX(记账规则!$A$6:$N$9,MATCH(购销流水!$D743,记账规则!$A$6:$A$9,0),11),""))</f>
        <v/>
      </c>
      <c r="O2956" s="67" t="n">
        <f aca="false">IF($H2956="",0,ROUND(IF($N2956="成本金额",N(购销流水!$W743),IF($N2956="金额",N(购销流水!$Q743),0)),2))</f>
        <v>0</v>
      </c>
      <c r="P2956" s="64" t="str">
        <f aca="false">IF(AND($H2956&lt;&gt;"",ROUND($O2956,2)&lt;&gt;0),"有","")</f>
        <v/>
      </c>
    </row>
    <row r="2957" customFormat="false" ht="15" hidden="true" customHeight="false" outlineLevel="0" collapsed="false">
      <c r="A2957" s="53" t="str">
        <f aca="false">IF($H2957="","",ROW()-5)</f>
        <v/>
      </c>
      <c r="B2957" s="64" t="s">
        <v>36</v>
      </c>
      <c r="C2957" s="53" t="n">
        <v>743</v>
      </c>
      <c r="D2957" s="53" t="n">
        <v>4</v>
      </c>
      <c r="E2957" s="65" t="str">
        <f aca="false">IF($H2957="","",购销流水!$B743)</f>
        <v/>
      </c>
      <c r="F2957" s="55" t="str">
        <f aca="false">IF($H2957="","",购销流水!$C743)</f>
        <v/>
      </c>
      <c r="G2957" s="48" t="str">
        <f aca="false">IF($H2957="","",购销流水!$N743)</f>
        <v/>
      </c>
      <c r="H2957" s="10" t="str">
        <f aca="false">IF($L2957="","",IF($L2957="@成本",购销流水!$U743,IF($L2957="@收入",购销流水!$T743,IF($L2957="@存货",购销流水!$S743,IF($L2957="@结算",购销流水!$R743,$L2957)))))</f>
        <v/>
      </c>
      <c r="I2957" s="42" t="n">
        <f aca="false">IF($M2957="借",$O2957,0)</f>
        <v>0</v>
      </c>
      <c r="J2957" s="42" t="n">
        <f aca="false">IF($M2957="贷",$O2957,0)</f>
        <v>0</v>
      </c>
      <c r="K2957" s="48" t="str">
        <f aca="false">IF($H2957="","",购销流水!$E743)</f>
        <v/>
      </c>
      <c r="L2957" s="66" t="str">
        <f aca="false">IF(购销流水!$D743="","",IFERROR(INDEX(记账规则!$A$6:$N$9,MATCH(购销流水!$D743,记账规则!$A$6:$A$9,0),12),""))</f>
        <v/>
      </c>
      <c r="M2957" s="66" t="str">
        <f aca="false">IF($L2957="","",IFERROR(INDEX(记账规则!$A$6:$N$9,MATCH(购销流水!$D743,记账规则!$A$6:$A$9,0),13),""))</f>
        <v/>
      </c>
      <c r="N2957" s="66" t="str">
        <f aca="false">IF($L2957="","",IFERROR(INDEX(记账规则!$A$6:$N$9,MATCH(购销流水!$D743,记账规则!$A$6:$A$9,0),14),""))</f>
        <v/>
      </c>
      <c r="O2957" s="67" t="n">
        <f aca="false">IF($H2957="",0,ROUND(IF($N2957="成本金额",N(购销流水!$W743),IF($N2957="金额",N(购销流水!$Q743),0)),2))</f>
        <v>0</v>
      </c>
      <c r="P2957" s="64" t="str">
        <f aca="false">IF(AND($H2957&lt;&gt;"",ROUND($O2957,2)&lt;&gt;0),"有","")</f>
        <v/>
      </c>
    </row>
    <row r="2958" customFormat="false" ht="15" hidden="true" customHeight="false" outlineLevel="0" collapsed="false">
      <c r="A2958" s="53" t="str">
        <f aca="false">IF($H2958="","",ROW()-5)</f>
        <v/>
      </c>
      <c r="B2958" s="64" t="s">
        <v>36</v>
      </c>
      <c r="C2958" s="53" t="n">
        <v>744</v>
      </c>
      <c r="D2958" s="53" t="n">
        <v>1</v>
      </c>
      <c r="E2958" s="65" t="str">
        <f aca="false">IF($H2958="","",购销流水!$B744)</f>
        <v/>
      </c>
      <c r="F2958" s="55" t="str">
        <f aca="false">IF($H2958="","",购销流水!$C744)</f>
        <v/>
      </c>
      <c r="G2958" s="48" t="str">
        <f aca="false">IF($H2958="","",购销流水!$N744)</f>
        <v/>
      </c>
      <c r="H2958" s="10" t="str">
        <f aca="false">IF($L2958="","",IF($L2958="@成本",购销流水!$U744,IF($L2958="@收入",购销流水!$T744,IF($L2958="@存货",购销流水!$S744,IF($L2958="@结算",购销流水!$R744,$L2958)))))</f>
        <v/>
      </c>
      <c r="I2958" s="42" t="n">
        <f aca="false">IF($M2958="借",$O2958,0)</f>
        <v>0</v>
      </c>
      <c r="J2958" s="42" t="n">
        <f aca="false">IF($M2958="贷",$O2958,0)</f>
        <v>0</v>
      </c>
      <c r="K2958" s="48" t="str">
        <f aca="false">IF($H2958="","",购销流水!$E744)</f>
        <v/>
      </c>
      <c r="L2958" s="66" t="str">
        <f aca="false">IF(购销流水!$D744="","",IFERROR(INDEX(记账规则!$A$6:$N$9,MATCH(购销流水!$D744,记账规则!$A$6:$A$9,0),3),""))</f>
        <v/>
      </c>
      <c r="M2958" s="66" t="str">
        <f aca="false">IF($L2958="","",IFERROR(INDEX(记账规则!$A$6:$N$9,MATCH(购销流水!$D744,记账规则!$A$6:$A$9,0),4),""))</f>
        <v/>
      </c>
      <c r="N2958" s="66" t="str">
        <f aca="false">IF($L2958="","",IFERROR(INDEX(记账规则!$A$6:$N$9,MATCH(购销流水!$D744,记账规则!$A$6:$A$9,0),5),""))</f>
        <v/>
      </c>
      <c r="O2958" s="67" t="n">
        <f aca="false">IF($H2958="",0,ROUND(IF($N2958="成本金额",N(购销流水!$W744),IF($N2958="金额",N(购销流水!$Q744),0)),2))</f>
        <v>0</v>
      </c>
      <c r="P2958" s="64" t="str">
        <f aca="false">IF(AND($H2958&lt;&gt;"",ROUND($O2958,2)&lt;&gt;0),"有","")</f>
        <v/>
      </c>
    </row>
    <row r="2959" customFormat="false" ht="15" hidden="true" customHeight="false" outlineLevel="0" collapsed="false">
      <c r="A2959" s="53" t="str">
        <f aca="false">IF($H2959="","",ROW()-5)</f>
        <v/>
      </c>
      <c r="B2959" s="64" t="s">
        <v>36</v>
      </c>
      <c r="C2959" s="53" t="n">
        <v>744</v>
      </c>
      <c r="D2959" s="53" t="n">
        <v>2</v>
      </c>
      <c r="E2959" s="65" t="str">
        <f aca="false">IF($H2959="","",购销流水!$B744)</f>
        <v/>
      </c>
      <c r="F2959" s="55" t="str">
        <f aca="false">IF($H2959="","",购销流水!$C744)</f>
        <v/>
      </c>
      <c r="G2959" s="48" t="str">
        <f aca="false">IF($H2959="","",购销流水!$N744)</f>
        <v/>
      </c>
      <c r="H2959" s="10" t="str">
        <f aca="false">IF($L2959="","",IF($L2959="@成本",购销流水!$U744,IF($L2959="@收入",购销流水!$T744,IF($L2959="@存货",购销流水!$S744,IF($L2959="@结算",购销流水!$R744,$L2959)))))</f>
        <v/>
      </c>
      <c r="I2959" s="42" t="n">
        <f aca="false">IF($M2959="借",$O2959,0)</f>
        <v>0</v>
      </c>
      <c r="J2959" s="42" t="n">
        <f aca="false">IF($M2959="贷",$O2959,0)</f>
        <v>0</v>
      </c>
      <c r="K2959" s="48" t="str">
        <f aca="false">IF($H2959="","",购销流水!$E744)</f>
        <v/>
      </c>
      <c r="L2959" s="66" t="str">
        <f aca="false">IF(购销流水!$D744="","",IFERROR(INDEX(记账规则!$A$6:$N$9,MATCH(购销流水!$D744,记账规则!$A$6:$A$9,0),6),""))</f>
        <v/>
      </c>
      <c r="M2959" s="66" t="str">
        <f aca="false">IF($L2959="","",IFERROR(INDEX(记账规则!$A$6:$N$9,MATCH(购销流水!$D744,记账规则!$A$6:$A$9,0),7),""))</f>
        <v/>
      </c>
      <c r="N2959" s="66" t="str">
        <f aca="false">IF($L2959="","",IFERROR(INDEX(记账规则!$A$6:$N$9,MATCH(购销流水!$D744,记账规则!$A$6:$A$9,0),8),""))</f>
        <v/>
      </c>
      <c r="O2959" s="67" t="n">
        <f aca="false">IF($H2959="",0,ROUND(IF($N2959="成本金额",N(购销流水!$W744),IF($N2959="金额",N(购销流水!$Q744),0)),2))</f>
        <v>0</v>
      </c>
      <c r="P2959" s="64" t="str">
        <f aca="false">IF(AND($H2959&lt;&gt;"",ROUND($O2959,2)&lt;&gt;0),"有","")</f>
        <v/>
      </c>
    </row>
    <row r="2960" customFormat="false" ht="15" hidden="true" customHeight="false" outlineLevel="0" collapsed="false">
      <c r="A2960" s="53" t="str">
        <f aca="false">IF($H2960="","",ROW()-5)</f>
        <v/>
      </c>
      <c r="B2960" s="64" t="s">
        <v>36</v>
      </c>
      <c r="C2960" s="53" t="n">
        <v>744</v>
      </c>
      <c r="D2960" s="53" t="n">
        <v>3</v>
      </c>
      <c r="E2960" s="65" t="str">
        <f aca="false">IF($H2960="","",购销流水!$B744)</f>
        <v/>
      </c>
      <c r="F2960" s="55" t="str">
        <f aca="false">IF($H2960="","",购销流水!$C744)</f>
        <v/>
      </c>
      <c r="G2960" s="48" t="str">
        <f aca="false">IF($H2960="","",购销流水!$N744)</f>
        <v/>
      </c>
      <c r="H2960" s="10" t="str">
        <f aca="false">IF($L2960="","",IF($L2960="@成本",购销流水!$U744,IF($L2960="@收入",购销流水!$T744,IF($L2960="@存货",购销流水!$S744,IF($L2960="@结算",购销流水!$R744,$L2960)))))</f>
        <v/>
      </c>
      <c r="I2960" s="42" t="n">
        <f aca="false">IF($M2960="借",$O2960,0)</f>
        <v>0</v>
      </c>
      <c r="J2960" s="42" t="n">
        <f aca="false">IF($M2960="贷",$O2960,0)</f>
        <v>0</v>
      </c>
      <c r="K2960" s="48" t="str">
        <f aca="false">IF($H2960="","",购销流水!$E744)</f>
        <v/>
      </c>
      <c r="L2960" s="66" t="str">
        <f aca="false">IF(购销流水!$D744="","",IFERROR(INDEX(记账规则!$A$6:$N$9,MATCH(购销流水!$D744,记账规则!$A$6:$A$9,0),9),""))</f>
        <v/>
      </c>
      <c r="M2960" s="66" t="str">
        <f aca="false">IF($L2960="","",IFERROR(INDEX(记账规则!$A$6:$N$9,MATCH(购销流水!$D744,记账规则!$A$6:$A$9,0),10),""))</f>
        <v/>
      </c>
      <c r="N2960" s="66" t="str">
        <f aca="false">IF($L2960="","",IFERROR(INDEX(记账规则!$A$6:$N$9,MATCH(购销流水!$D744,记账规则!$A$6:$A$9,0),11),""))</f>
        <v/>
      </c>
      <c r="O2960" s="67" t="n">
        <f aca="false">IF($H2960="",0,ROUND(IF($N2960="成本金额",N(购销流水!$W744),IF($N2960="金额",N(购销流水!$Q744),0)),2))</f>
        <v>0</v>
      </c>
      <c r="P2960" s="64" t="str">
        <f aca="false">IF(AND($H2960&lt;&gt;"",ROUND($O2960,2)&lt;&gt;0),"有","")</f>
        <v/>
      </c>
    </row>
    <row r="2961" customFormat="false" ht="15" hidden="true" customHeight="false" outlineLevel="0" collapsed="false">
      <c r="A2961" s="53" t="str">
        <f aca="false">IF($H2961="","",ROW()-5)</f>
        <v/>
      </c>
      <c r="B2961" s="64" t="s">
        <v>36</v>
      </c>
      <c r="C2961" s="53" t="n">
        <v>744</v>
      </c>
      <c r="D2961" s="53" t="n">
        <v>4</v>
      </c>
      <c r="E2961" s="65" t="str">
        <f aca="false">IF($H2961="","",购销流水!$B744)</f>
        <v/>
      </c>
      <c r="F2961" s="55" t="str">
        <f aca="false">IF($H2961="","",购销流水!$C744)</f>
        <v/>
      </c>
      <c r="G2961" s="48" t="str">
        <f aca="false">IF($H2961="","",购销流水!$N744)</f>
        <v/>
      </c>
      <c r="H2961" s="10" t="str">
        <f aca="false">IF($L2961="","",IF($L2961="@成本",购销流水!$U744,IF($L2961="@收入",购销流水!$T744,IF($L2961="@存货",购销流水!$S744,IF($L2961="@结算",购销流水!$R744,$L2961)))))</f>
        <v/>
      </c>
      <c r="I2961" s="42" t="n">
        <f aca="false">IF($M2961="借",$O2961,0)</f>
        <v>0</v>
      </c>
      <c r="J2961" s="42" t="n">
        <f aca="false">IF($M2961="贷",$O2961,0)</f>
        <v>0</v>
      </c>
      <c r="K2961" s="48" t="str">
        <f aca="false">IF($H2961="","",购销流水!$E744)</f>
        <v/>
      </c>
      <c r="L2961" s="66" t="str">
        <f aca="false">IF(购销流水!$D744="","",IFERROR(INDEX(记账规则!$A$6:$N$9,MATCH(购销流水!$D744,记账规则!$A$6:$A$9,0),12),""))</f>
        <v/>
      </c>
      <c r="M2961" s="66" t="str">
        <f aca="false">IF($L2961="","",IFERROR(INDEX(记账规则!$A$6:$N$9,MATCH(购销流水!$D744,记账规则!$A$6:$A$9,0),13),""))</f>
        <v/>
      </c>
      <c r="N2961" s="66" t="str">
        <f aca="false">IF($L2961="","",IFERROR(INDEX(记账规则!$A$6:$N$9,MATCH(购销流水!$D744,记账规则!$A$6:$A$9,0),14),""))</f>
        <v/>
      </c>
      <c r="O2961" s="67" t="n">
        <f aca="false">IF($H2961="",0,ROUND(IF($N2961="成本金额",N(购销流水!$W744),IF($N2961="金额",N(购销流水!$Q744),0)),2))</f>
        <v>0</v>
      </c>
      <c r="P2961" s="64" t="str">
        <f aca="false">IF(AND($H2961&lt;&gt;"",ROUND($O2961,2)&lt;&gt;0),"有","")</f>
        <v/>
      </c>
    </row>
    <row r="2962" customFormat="false" ht="15" hidden="true" customHeight="false" outlineLevel="0" collapsed="false">
      <c r="A2962" s="53" t="str">
        <f aca="false">IF($H2962="","",ROW()-5)</f>
        <v/>
      </c>
      <c r="B2962" s="64" t="s">
        <v>36</v>
      </c>
      <c r="C2962" s="53" t="n">
        <v>745</v>
      </c>
      <c r="D2962" s="53" t="n">
        <v>1</v>
      </c>
      <c r="E2962" s="65" t="str">
        <f aca="false">IF($H2962="","",购销流水!$B745)</f>
        <v/>
      </c>
      <c r="F2962" s="55" t="str">
        <f aca="false">IF($H2962="","",购销流水!$C745)</f>
        <v/>
      </c>
      <c r="G2962" s="48" t="str">
        <f aca="false">IF($H2962="","",购销流水!$N745)</f>
        <v/>
      </c>
      <c r="H2962" s="10" t="str">
        <f aca="false">IF($L2962="","",IF($L2962="@成本",购销流水!$U745,IF($L2962="@收入",购销流水!$T745,IF($L2962="@存货",购销流水!$S745,IF($L2962="@结算",购销流水!$R745,$L2962)))))</f>
        <v/>
      </c>
      <c r="I2962" s="42" t="n">
        <f aca="false">IF($M2962="借",$O2962,0)</f>
        <v>0</v>
      </c>
      <c r="J2962" s="42" t="n">
        <f aca="false">IF($M2962="贷",$O2962,0)</f>
        <v>0</v>
      </c>
      <c r="K2962" s="48" t="str">
        <f aca="false">IF($H2962="","",购销流水!$E745)</f>
        <v/>
      </c>
      <c r="L2962" s="66" t="str">
        <f aca="false">IF(购销流水!$D745="","",IFERROR(INDEX(记账规则!$A$6:$N$9,MATCH(购销流水!$D745,记账规则!$A$6:$A$9,0),3),""))</f>
        <v/>
      </c>
      <c r="M2962" s="66" t="str">
        <f aca="false">IF($L2962="","",IFERROR(INDEX(记账规则!$A$6:$N$9,MATCH(购销流水!$D745,记账规则!$A$6:$A$9,0),4),""))</f>
        <v/>
      </c>
      <c r="N2962" s="66" t="str">
        <f aca="false">IF($L2962="","",IFERROR(INDEX(记账规则!$A$6:$N$9,MATCH(购销流水!$D745,记账规则!$A$6:$A$9,0),5),""))</f>
        <v/>
      </c>
      <c r="O2962" s="67" t="n">
        <f aca="false">IF($H2962="",0,ROUND(IF($N2962="成本金额",N(购销流水!$W745),IF($N2962="金额",N(购销流水!$Q745),0)),2))</f>
        <v>0</v>
      </c>
      <c r="P2962" s="64" t="str">
        <f aca="false">IF(AND($H2962&lt;&gt;"",ROUND($O2962,2)&lt;&gt;0),"有","")</f>
        <v/>
      </c>
    </row>
    <row r="2963" customFormat="false" ht="15" hidden="true" customHeight="false" outlineLevel="0" collapsed="false">
      <c r="A2963" s="53" t="str">
        <f aca="false">IF($H2963="","",ROW()-5)</f>
        <v/>
      </c>
      <c r="B2963" s="64" t="s">
        <v>36</v>
      </c>
      <c r="C2963" s="53" t="n">
        <v>745</v>
      </c>
      <c r="D2963" s="53" t="n">
        <v>2</v>
      </c>
      <c r="E2963" s="65" t="str">
        <f aca="false">IF($H2963="","",购销流水!$B745)</f>
        <v/>
      </c>
      <c r="F2963" s="55" t="str">
        <f aca="false">IF($H2963="","",购销流水!$C745)</f>
        <v/>
      </c>
      <c r="G2963" s="48" t="str">
        <f aca="false">IF($H2963="","",购销流水!$N745)</f>
        <v/>
      </c>
      <c r="H2963" s="10" t="str">
        <f aca="false">IF($L2963="","",IF($L2963="@成本",购销流水!$U745,IF($L2963="@收入",购销流水!$T745,IF($L2963="@存货",购销流水!$S745,IF($L2963="@结算",购销流水!$R745,$L2963)))))</f>
        <v/>
      </c>
      <c r="I2963" s="42" t="n">
        <f aca="false">IF($M2963="借",$O2963,0)</f>
        <v>0</v>
      </c>
      <c r="J2963" s="42" t="n">
        <f aca="false">IF($M2963="贷",$O2963,0)</f>
        <v>0</v>
      </c>
      <c r="K2963" s="48" t="str">
        <f aca="false">IF($H2963="","",购销流水!$E745)</f>
        <v/>
      </c>
      <c r="L2963" s="66" t="str">
        <f aca="false">IF(购销流水!$D745="","",IFERROR(INDEX(记账规则!$A$6:$N$9,MATCH(购销流水!$D745,记账规则!$A$6:$A$9,0),6),""))</f>
        <v/>
      </c>
      <c r="M2963" s="66" t="str">
        <f aca="false">IF($L2963="","",IFERROR(INDEX(记账规则!$A$6:$N$9,MATCH(购销流水!$D745,记账规则!$A$6:$A$9,0),7),""))</f>
        <v/>
      </c>
      <c r="N2963" s="66" t="str">
        <f aca="false">IF($L2963="","",IFERROR(INDEX(记账规则!$A$6:$N$9,MATCH(购销流水!$D745,记账规则!$A$6:$A$9,0),8),""))</f>
        <v/>
      </c>
      <c r="O2963" s="67" t="n">
        <f aca="false">IF($H2963="",0,ROUND(IF($N2963="成本金额",N(购销流水!$W745),IF($N2963="金额",N(购销流水!$Q745),0)),2))</f>
        <v>0</v>
      </c>
      <c r="P2963" s="64" t="str">
        <f aca="false">IF(AND($H2963&lt;&gt;"",ROUND($O2963,2)&lt;&gt;0),"有","")</f>
        <v/>
      </c>
    </row>
    <row r="2964" customFormat="false" ht="15" hidden="true" customHeight="false" outlineLevel="0" collapsed="false">
      <c r="A2964" s="53" t="str">
        <f aca="false">IF($H2964="","",ROW()-5)</f>
        <v/>
      </c>
      <c r="B2964" s="64" t="s">
        <v>36</v>
      </c>
      <c r="C2964" s="53" t="n">
        <v>745</v>
      </c>
      <c r="D2964" s="53" t="n">
        <v>3</v>
      </c>
      <c r="E2964" s="65" t="str">
        <f aca="false">IF($H2964="","",购销流水!$B745)</f>
        <v/>
      </c>
      <c r="F2964" s="55" t="str">
        <f aca="false">IF($H2964="","",购销流水!$C745)</f>
        <v/>
      </c>
      <c r="G2964" s="48" t="str">
        <f aca="false">IF($H2964="","",购销流水!$N745)</f>
        <v/>
      </c>
      <c r="H2964" s="10" t="str">
        <f aca="false">IF($L2964="","",IF($L2964="@成本",购销流水!$U745,IF($L2964="@收入",购销流水!$T745,IF($L2964="@存货",购销流水!$S745,IF($L2964="@结算",购销流水!$R745,$L2964)))))</f>
        <v/>
      </c>
      <c r="I2964" s="42" t="n">
        <f aca="false">IF($M2964="借",$O2964,0)</f>
        <v>0</v>
      </c>
      <c r="J2964" s="42" t="n">
        <f aca="false">IF($M2964="贷",$O2964,0)</f>
        <v>0</v>
      </c>
      <c r="K2964" s="48" t="str">
        <f aca="false">IF($H2964="","",购销流水!$E745)</f>
        <v/>
      </c>
      <c r="L2964" s="66" t="str">
        <f aca="false">IF(购销流水!$D745="","",IFERROR(INDEX(记账规则!$A$6:$N$9,MATCH(购销流水!$D745,记账规则!$A$6:$A$9,0),9),""))</f>
        <v/>
      </c>
      <c r="M2964" s="66" t="str">
        <f aca="false">IF($L2964="","",IFERROR(INDEX(记账规则!$A$6:$N$9,MATCH(购销流水!$D745,记账规则!$A$6:$A$9,0),10),""))</f>
        <v/>
      </c>
      <c r="N2964" s="66" t="str">
        <f aca="false">IF($L2964="","",IFERROR(INDEX(记账规则!$A$6:$N$9,MATCH(购销流水!$D745,记账规则!$A$6:$A$9,0),11),""))</f>
        <v/>
      </c>
      <c r="O2964" s="67" t="n">
        <f aca="false">IF($H2964="",0,ROUND(IF($N2964="成本金额",N(购销流水!$W745),IF($N2964="金额",N(购销流水!$Q745),0)),2))</f>
        <v>0</v>
      </c>
      <c r="P2964" s="64" t="str">
        <f aca="false">IF(AND($H2964&lt;&gt;"",ROUND($O2964,2)&lt;&gt;0),"有","")</f>
        <v/>
      </c>
    </row>
    <row r="2965" customFormat="false" ht="15" hidden="true" customHeight="false" outlineLevel="0" collapsed="false">
      <c r="A2965" s="53" t="str">
        <f aca="false">IF($H2965="","",ROW()-5)</f>
        <v/>
      </c>
      <c r="B2965" s="64" t="s">
        <v>36</v>
      </c>
      <c r="C2965" s="53" t="n">
        <v>745</v>
      </c>
      <c r="D2965" s="53" t="n">
        <v>4</v>
      </c>
      <c r="E2965" s="65" t="str">
        <f aca="false">IF($H2965="","",购销流水!$B745)</f>
        <v/>
      </c>
      <c r="F2965" s="55" t="str">
        <f aca="false">IF($H2965="","",购销流水!$C745)</f>
        <v/>
      </c>
      <c r="G2965" s="48" t="str">
        <f aca="false">IF($H2965="","",购销流水!$N745)</f>
        <v/>
      </c>
      <c r="H2965" s="10" t="str">
        <f aca="false">IF($L2965="","",IF($L2965="@成本",购销流水!$U745,IF($L2965="@收入",购销流水!$T745,IF($L2965="@存货",购销流水!$S745,IF($L2965="@结算",购销流水!$R745,$L2965)))))</f>
        <v/>
      </c>
      <c r="I2965" s="42" t="n">
        <f aca="false">IF($M2965="借",$O2965,0)</f>
        <v>0</v>
      </c>
      <c r="J2965" s="42" t="n">
        <f aca="false">IF($M2965="贷",$O2965,0)</f>
        <v>0</v>
      </c>
      <c r="K2965" s="48" t="str">
        <f aca="false">IF($H2965="","",购销流水!$E745)</f>
        <v/>
      </c>
      <c r="L2965" s="66" t="str">
        <f aca="false">IF(购销流水!$D745="","",IFERROR(INDEX(记账规则!$A$6:$N$9,MATCH(购销流水!$D745,记账规则!$A$6:$A$9,0),12),""))</f>
        <v/>
      </c>
      <c r="M2965" s="66" t="str">
        <f aca="false">IF($L2965="","",IFERROR(INDEX(记账规则!$A$6:$N$9,MATCH(购销流水!$D745,记账规则!$A$6:$A$9,0),13),""))</f>
        <v/>
      </c>
      <c r="N2965" s="66" t="str">
        <f aca="false">IF($L2965="","",IFERROR(INDEX(记账规则!$A$6:$N$9,MATCH(购销流水!$D745,记账规则!$A$6:$A$9,0),14),""))</f>
        <v/>
      </c>
      <c r="O2965" s="67" t="n">
        <f aca="false">IF($H2965="",0,ROUND(IF($N2965="成本金额",N(购销流水!$W745),IF($N2965="金额",N(购销流水!$Q745),0)),2))</f>
        <v>0</v>
      </c>
      <c r="P2965" s="64" t="str">
        <f aca="false">IF(AND($H2965&lt;&gt;"",ROUND($O2965,2)&lt;&gt;0),"有","")</f>
        <v/>
      </c>
    </row>
    <row r="2966" customFormat="false" ht="15" hidden="true" customHeight="false" outlineLevel="0" collapsed="false">
      <c r="A2966" s="53" t="str">
        <f aca="false">IF($H2966="","",ROW()-5)</f>
        <v/>
      </c>
      <c r="B2966" s="64" t="s">
        <v>36</v>
      </c>
      <c r="C2966" s="53" t="n">
        <v>746</v>
      </c>
      <c r="D2966" s="53" t="n">
        <v>1</v>
      </c>
      <c r="E2966" s="65" t="str">
        <f aca="false">IF($H2966="","",购销流水!$B746)</f>
        <v/>
      </c>
      <c r="F2966" s="55" t="str">
        <f aca="false">IF($H2966="","",购销流水!$C746)</f>
        <v/>
      </c>
      <c r="G2966" s="48" t="str">
        <f aca="false">IF($H2966="","",购销流水!$N746)</f>
        <v/>
      </c>
      <c r="H2966" s="10" t="str">
        <f aca="false">IF($L2966="","",IF($L2966="@成本",购销流水!$U746,IF($L2966="@收入",购销流水!$T746,IF($L2966="@存货",购销流水!$S746,IF($L2966="@结算",购销流水!$R746,$L2966)))))</f>
        <v/>
      </c>
      <c r="I2966" s="42" t="n">
        <f aca="false">IF($M2966="借",$O2966,0)</f>
        <v>0</v>
      </c>
      <c r="J2966" s="42" t="n">
        <f aca="false">IF($M2966="贷",$O2966,0)</f>
        <v>0</v>
      </c>
      <c r="K2966" s="48" t="str">
        <f aca="false">IF($H2966="","",购销流水!$E746)</f>
        <v/>
      </c>
      <c r="L2966" s="66" t="str">
        <f aca="false">IF(购销流水!$D746="","",IFERROR(INDEX(记账规则!$A$6:$N$9,MATCH(购销流水!$D746,记账规则!$A$6:$A$9,0),3),""))</f>
        <v/>
      </c>
      <c r="M2966" s="66" t="str">
        <f aca="false">IF($L2966="","",IFERROR(INDEX(记账规则!$A$6:$N$9,MATCH(购销流水!$D746,记账规则!$A$6:$A$9,0),4),""))</f>
        <v/>
      </c>
      <c r="N2966" s="66" t="str">
        <f aca="false">IF($L2966="","",IFERROR(INDEX(记账规则!$A$6:$N$9,MATCH(购销流水!$D746,记账规则!$A$6:$A$9,0),5),""))</f>
        <v/>
      </c>
      <c r="O2966" s="67" t="n">
        <f aca="false">IF($H2966="",0,ROUND(IF($N2966="成本金额",N(购销流水!$W746),IF($N2966="金额",N(购销流水!$Q746),0)),2))</f>
        <v>0</v>
      </c>
      <c r="P2966" s="64" t="str">
        <f aca="false">IF(AND($H2966&lt;&gt;"",ROUND($O2966,2)&lt;&gt;0),"有","")</f>
        <v/>
      </c>
    </row>
    <row r="2967" customFormat="false" ht="15" hidden="true" customHeight="false" outlineLevel="0" collapsed="false">
      <c r="A2967" s="53" t="str">
        <f aca="false">IF($H2967="","",ROW()-5)</f>
        <v/>
      </c>
      <c r="B2967" s="64" t="s">
        <v>36</v>
      </c>
      <c r="C2967" s="53" t="n">
        <v>746</v>
      </c>
      <c r="D2967" s="53" t="n">
        <v>2</v>
      </c>
      <c r="E2967" s="65" t="str">
        <f aca="false">IF($H2967="","",购销流水!$B746)</f>
        <v/>
      </c>
      <c r="F2967" s="55" t="str">
        <f aca="false">IF($H2967="","",购销流水!$C746)</f>
        <v/>
      </c>
      <c r="G2967" s="48" t="str">
        <f aca="false">IF($H2967="","",购销流水!$N746)</f>
        <v/>
      </c>
      <c r="H2967" s="10" t="str">
        <f aca="false">IF($L2967="","",IF($L2967="@成本",购销流水!$U746,IF($L2967="@收入",购销流水!$T746,IF($L2967="@存货",购销流水!$S746,IF($L2967="@结算",购销流水!$R746,$L2967)))))</f>
        <v/>
      </c>
      <c r="I2967" s="42" t="n">
        <f aca="false">IF($M2967="借",$O2967,0)</f>
        <v>0</v>
      </c>
      <c r="J2967" s="42" t="n">
        <f aca="false">IF($M2967="贷",$O2967,0)</f>
        <v>0</v>
      </c>
      <c r="K2967" s="48" t="str">
        <f aca="false">IF($H2967="","",购销流水!$E746)</f>
        <v/>
      </c>
      <c r="L2967" s="66" t="str">
        <f aca="false">IF(购销流水!$D746="","",IFERROR(INDEX(记账规则!$A$6:$N$9,MATCH(购销流水!$D746,记账规则!$A$6:$A$9,0),6),""))</f>
        <v/>
      </c>
      <c r="M2967" s="66" t="str">
        <f aca="false">IF($L2967="","",IFERROR(INDEX(记账规则!$A$6:$N$9,MATCH(购销流水!$D746,记账规则!$A$6:$A$9,0),7),""))</f>
        <v/>
      </c>
      <c r="N2967" s="66" t="str">
        <f aca="false">IF($L2967="","",IFERROR(INDEX(记账规则!$A$6:$N$9,MATCH(购销流水!$D746,记账规则!$A$6:$A$9,0),8),""))</f>
        <v/>
      </c>
      <c r="O2967" s="67" t="n">
        <f aca="false">IF($H2967="",0,ROUND(IF($N2967="成本金额",N(购销流水!$W746),IF($N2967="金额",N(购销流水!$Q746),0)),2))</f>
        <v>0</v>
      </c>
      <c r="P2967" s="64" t="str">
        <f aca="false">IF(AND($H2967&lt;&gt;"",ROUND($O2967,2)&lt;&gt;0),"有","")</f>
        <v/>
      </c>
    </row>
    <row r="2968" customFormat="false" ht="15" hidden="true" customHeight="false" outlineLevel="0" collapsed="false">
      <c r="A2968" s="53" t="str">
        <f aca="false">IF($H2968="","",ROW()-5)</f>
        <v/>
      </c>
      <c r="B2968" s="64" t="s">
        <v>36</v>
      </c>
      <c r="C2968" s="53" t="n">
        <v>746</v>
      </c>
      <c r="D2968" s="53" t="n">
        <v>3</v>
      </c>
      <c r="E2968" s="65" t="str">
        <f aca="false">IF($H2968="","",购销流水!$B746)</f>
        <v/>
      </c>
      <c r="F2968" s="55" t="str">
        <f aca="false">IF($H2968="","",购销流水!$C746)</f>
        <v/>
      </c>
      <c r="G2968" s="48" t="str">
        <f aca="false">IF($H2968="","",购销流水!$N746)</f>
        <v/>
      </c>
      <c r="H2968" s="10" t="str">
        <f aca="false">IF($L2968="","",IF($L2968="@成本",购销流水!$U746,IF($L2968="@收入",购销流水!$T746,IF($L2968="@存货",购销流水!$S746,IF($L2968="@结算",购销流水!$R746,$L2968)))))</f>
        <v/>
      </c>
      <c r="I2968" s="42" t="n">
        <f aca="false">IF($M2968="借",$O2968,0)</f>
        <v>0</v>
      </c>
      <c r="J2968" s="42" t="n">
        <f aca="false">IF($M2968="贷",$O2968,0)</f>
        <v>0</v>
      </c>
      <c r="K2968" s="48" t="str">
        <f aca="false">IF($H2968="","",购销流水!$E746)</f>
        <v/>
      </c>
      <c r="L2968" s="66" t="str">
        <f aca="false">IF(购销流水!$D746="","",IFERROR(INDEX(记账规则!$A$6:$N$9,MATCH(购销流水!$D746,记账规则!$A$6:$A$9,0),9),""))</f>
        <v/>
      </c>
      <c r="M2968" s="66" t="str">
        <f aca="false">IF($L2968="","",IFERROR(INDEX(记账规则!$A$6:$N$9,MATCH(购销流水!$D746,记账规则!$A$6:$A$9,0),10),""))</f>
        <v/>
      </c>
      <c r="N2968" s="66" t="str">
        <f aca="false">IF($L2968="","",IFERROR(INDEX(记账规则!$A$6:$N$9,MATCH(购销流水!$D746,记账规则!$A$6:$A$9,0),11),""))</f>
        <v/>
      </c>
      <c r="O2968" s="67" t="n">
        <f aca="false">IF($H2968="",0,ROUND(IF($N2968="成本金额",N(购销流水!$W746),IF($N2968="金额",N(购销流水!$Q746),0)),2))</f>
        <v>0</v>
      </c>
      <c r="P2968" s="64" t="str">
        <f aca="false">IF(AND($H2968&lt;&gt;"",ROUND($O2968,2)&lt;&gt;0),"有","")</f>
        <v/>
      </c>
    </row>
    <row r="2969" customFormat="false" ht="15" hidden="true" customHeight="false" outlineLevel="0" collapsed="false">
      <c r="A2969" s="53" t="str">
        <f aca="false">IF($H2969="","",ROW()-5)</f>
        <v/>
      </c>
      <c r="B2969" s="64" t="s">
        <v>36</v>
      </c>
      <c r="C2969" s="53" t="n">
        <v>746</v>
      </c>
      <c r="D2969" s="53" t="n">
        <v>4</v>
      </c>
      <c r="E2969" s="65" t="str">
        <f aca="false">IF($H2969="","",购销流水!$B746)</f>
        <v/>
      </c>
      <c r="F2969" s="55" t="str">
        <f aca="false">IF($H2969="","",购销流水!$C746)</f>
        <v/>
      </c>
      <c r="G2969" s="48" t="str">
        <f aca="false">IF($H2969="","",购销流水!$N746)</f>
        <v/>
      </c>
      <c r="H2969" s="10" t="str">
        <f aca="false">IF($L2969="","",IF($L2969="@成本",购销流水!$U746,IF($L2969="@收入",购销流水!$T746,IF($L2969="@存货",购销流水!$S746,IF($L2969="@结算",购销流水!$R746,$L2969)))))</f>
        <v/>
      </c>
      <c r="I2969" s="42" t="n">
        <f aca="false">IF($M2969="借",$O2969,0)</f>
        <v>0</v>
      </c>
      <c r="J2969" s="42" t="n">
        <f aca="false">IF($M2969="贷",$O2969,0)</f>
        <v>0</v>
      </c>
      <c r="K2969" s="48" t="str">
        <f aca="false">IF($H2969="","",购销流水!$E746)</f>
        <v/>
      </c>
      <c r="L2969" s="66" t="str">
        <f aca="false">IF(购销流水!$D746="","",IFERROR(INDEX(记账规则!$A$6:$N$9,MATCH(购销流水!$D746,记账规则!$A$6:$A$9,0),12),""))</f>
        <v/>
      </c>
      <c r="M2969" s="66" t="str">
        <f aca="false">IF($L2969="","",IFERROR(INDEX(记账规则!$A$6:$N$9,MATCH(购销流水!$D746,记账规则!$A$6:$A$9,0),13),""))</f>
        <v/>
      </c>
      <c r="N2969" s="66" t="str">
        <f aca="false">IF($L2969="","",IFERROR(INDEX(记账规则!$A$6:$N$9,MATCH(购销流水!$D746,记账规则!$A$6:$A$9,0),14),""))</f>
        <v/>
      </c>
      <c r="O2969" s="67" t="n">
        <f aca="false">IF($H2969="",0,ROUND(IF($N2969="成本金额",N(购销流水!$W746),IF($N2969="金额",N(购销流水!$Q746),0)),2))</f>
        <v>0</v>
      </c>
      <c r="P2969" s="64" t="str">
        <f aca="false">IF(AND($H2969&lt;&gt;"",ROUND($O2969,2)&lt;&gt;0),"有","")</f>
        <v/>
      </c>
    </row>
    <row r="2970" customFormat="false" ht="15" hidden="true" customHeight="false" outlineLevel="0" collapsed="false">
      <c r="A2970" s="53" t="str">
        <f aca="false">IF($H2970="","",ROW()-5)</f>
        <v/>
      </c>
      <c r="B2970" s="64" t="s">
        <v>36</v>
      </c>
      <c r="C2970" s="53" t="n">
        <v>747</v>
      </c>
      <c r="D2970" s="53" t="n">
        <v>1</v>
      </c>
      <c r="E2970" s="65" t="str">
        <f aca="false">IF($H2970="","",购销流水!$B747)</f>
        <v/>
      </c>
      <c r="F2970" s="55" t="str">
        <f aca="false">IF($H2970="","",购销流水!$C747)</f>
        <v/>
      </c>
      <c r="G2970" s="48" t="str">
        <f aca="false">IF($H2970="","",购销流水!$N747)</f>
        <v/>
      </c>
      <c r="H2970" s="10" t="str">
        <f aca="false">IF($L2970="","",IF($L2970="@成本",购销流水!$U747,IF($L2970="@收入",购销流水!$T747,IF($L2970="@存货",购销流水!$S747,IF($L2970="@结算",购销流水!$R747,$L2970)))))</f>
        <v/>
      </c>
      <c r="I2970" s="42" t="n">
        <f aca="false">IF($M2970="借",$O2970,0)</f>
        <v>0</v>
      </c>
      <c r="J2970" s="42" t="n">
        <f aca="false">IF($M2970="贷",$O2970,0)</f>
        <v>0</v>
      </c>
      <c r="K2970" s="48" t="str">
        <f aca="false">IF($H2970="","",购销流水!$E747)</f>
        <v/>
      </c>
      <c r="L2970" s="66" t="str">
        <f aca="false">IF(购销流水!$D747="","",IFERROR(INDEX(记账规则!$A$6:$N$9,MATCH(购销流水!$D747,记账规则!$A$6:$A$9,0),3),""))</f>
        <v/>
      </c>
      <c r="M2970" s="66" t="str">
        <f aca="false">IF($L2970="","",IFERROR(INDEX(记账规则!$A$6:$N$9,MATCH(购销流水!$D747,记账规则!$A$6:$A$9,0),4),""))</f>
        <v/>
      </c>
      <c r="N2970" s="66" t="str">
        <f aca="false">IF($L2970="","",IFERROR(INDEX(记账规则!$A$6:$N$9,MATCH(购销流水!$D747,记账规则!$A$6:$A$9,0),5),""))</f>
        <v/>
      </c>
      <c r="O2970" s="67" t="n">
        <f aca="false">IF($H2970="",0,ROUND(IF($N2970="成本金额",N(购销流水!$W747),IF($N2970="金额",N(购销流水!$Q747),0)),2))</f>
        <v>0</v>
      </c>
      <c r="P2970" s="64" t="str">
        <f aca="false">IF(AND($H2970&lt;&gt;"",ROUND($O2970,2)&lt;&gt;0),"有","")</f>
        <v/>
      </c>
    </row>
    <row r="2971" customFormat="false" ht="15" hidden="true" customHeight="false" outlineLevel="0" collapsed="false">
      <c r="A2971" s="53" t="str">
        <f aca="false">IF($H2971="","",ROW()-5)</f>
        <v/>
      </c>
      <c r="B2971" s="64" t="s">
        <v>36</v>
      </c>
      <c r="C2971" s="53" t="n">
        <v>747</v>
      </c>
      <c r="D2971" s="53" t="n">
        <v>2</v>
      </c>
      <c r="E2971" s="65" t="str">
        <f aca="false">IF($H2971="","",购销流水!$B747)</f>
        <v/>
      </c>
      <c r="F2971" s="55" t="str">
        <f aca="false">IF($H2971="","",购销流水!$C747)</f>
        <v/>
      </c>
      <c r="G2971" s="48" t="str">
        <f aca="false">IF($H2971="","",购销流水!$N747)</f>
        <v/>
      </c>
      <c r="H2971" s="10" t="str">
        <f aca="false">IF($L2971="","",IF($L2971="@成本",购销流水!$U747,IF($L2971="@收入",购销流水!$T747,IF($L2971="@存货",购销流水!$S747,IF($L2971="@结算",购销流水!$R747,$L2971)))))</f>
        <v/>
      </c>
      <c r="I2971" s="42" t="n">
        <f aca="false">IF($M2971="借",$O2971,0)</f>
        <v>0</v>
      </c>
      <c r="J2971" s="42" t="n">
        <f aca="false">IF($M2971="贷",$O2971,0)</f>
        <v>0</v>
      </c>
      <c r="K2971" s="48" t="str">
        <f aca="false">IF($H2971="","",购销流水!$E747)</f>
        <v/>
      </c>
      <c r="L2971" s="66" t="str">
        <f aca="false">IF(购销流水!$D747="","",IFERROR(INDEX(记账规则!$A$6:$N$9,MATCH(购销流水!$D747,记账规则!$A$6:$A$9,0),6),""))</f>
        <v/>
      </c>
      <c r="M2971" s="66" t="str">
        <f aca="false">IF($L2971="","",IFERROR(INDEX(记账规则!$A$6:$N$9,MATCH(购销流水!$D747,记账规则!$A$6:$A$9,0),7),""))</f>
        <v/>
      </c>
      <c r="N2971" s="66" t="str">
        <f aca="false">IF($L2971="","",IFERROR(INDEX(记账规则!$A$6:$N$9,MATCH(购销流水!$D747,记账规则!$A$6:$A$9,0),8),""))</f>
        <v/>
      </c>
      <c r="O2971" s="67" t="n">
        <f aca="false">IF($H2971="",0,ROUND(IF($N2971="成本金额",N(购销流水!$W747),IF($N2971="金额",N(购销流水!$Q747),0)),2))</f>
        <v>0</v>
      </c>
      <c r="P2971" s="64" t="str">
        <f aca="false">IF(AND($H2971&lt;&gt;"",ROUND($O2971,2)&lt;&gt;0),"有","")</f>
        <v/>
      </c>
    </row>
    <row r="2972" customFormat="false" ht="15" hidden="true" customHeight="false" outlineLevel="0" collapsed="false">
      <c r="A2972" s="53" t="str">
        <f aca="false">IF($H2972="","",ROW()-5)</f>
        <v/>
      </c>
      <c r="B2972" s="64" t="s">
        <v>36</v>
      </c>
      <c r="C2972" s="53" t="n">
        <v>747</v>
      </c>
      <c r="D2972" s="53" t="n">
        <v>3</v>
      </c>
      <c r="E2972" s="65" t="str">
        <f aca="false">IF($H2972="","",购销流水!$B747)</f>
        <v/>
      </c>
      <c r="F2972" s="55" t="str">
        <f aca="false">IF($H2972="","",购销流水!$C747)</f>
        <v/>
      </c>
      <c r="G2972" s="48" t="str">
        <f aca="false">IF($H2972="","",购销流水!$N747)</f>
        <v/>
      </c>
      <c r="H2972" s="10" t="str">
        <f aca="false">IF($L2972="","",IF($L2972="@成本",购销流水!$U747,IF($L2972="@收入",购销流水!$T747,IF($L2972="@存货",购销流水!$S747,IF($L2972="@结算",购销流水!$R747,$L2972)))))</f>
        <v/>
      </c>
      <c r="I2972" s="42" t="n">
        <f aca="false">IF($M2972="借",$O2972,0)</f>
        <v>0</v>
      </c>
      <c r="J2972" s="42" t="n">
        <f aca="false">IF($M2972="贷",$O2972,0)</f>
        <v>0</v>
      </c>
      <c r="K2972" s="48" t="str">
        <f aca="false">IF($H2972="","",购销流水!$E747)</f>
        <v/>
      </c>
      <c r="L2972" s="66" t="str">
        <f aca="false">IF(购销流水!$D747="","",IFERROR(INDEX(记账规则!$A$6:$N$9,MATCH(购销流水!$D747,记账规则!$A$6:$A$9,0),9),""))</f>
        <v/>
      </c>
      <c r="M2972" s="66" t="str">
        <f aca="false">IF($L2972="","",IFERROR(INDEX(记账规则!$A$6:$N$9,MATCH(购销流水!$D747,记账规则!$A$6:$A$9,0),10),""))</f>
        <v/>
      </c>
      <c r="N2972" s="66" t="str">
        <f aca="false">IF($L2972="","",IFERROR(INDEX(记账规则!$A$6:$N$9,MATCH(购销流水!$D747,记账规则!$A$6:$A$9,0),11),""))</f>
        <v/>
      </c>
      <c r="O2972" s="67" t="n">
        <f aca="false">IF($H2972="",0,ROUND(IF($N2972="成本金额",N(购销流水!$W747),IF($N2972="金额",N(购销流水!$Q747),0)),2))</f>
        <v>0</v>
      </c>
      <c r="P2972" s="64" t="str">
        <f aca="false">IF(AND($H2972&lt;&gt;"",ROUND($O2972,2)&lt;&gt;0),"有","")</f>
        <v/>
      </c>
    </row>
    <row r="2973" customFormat="false" ht="15" hidden="true" customHeight="false" outlineLevel="0" collapsed="false">
      <c r="A2973" s="53" t="str">
        <f aca="false">IF($H2973="","",ROW()-5)</f>
        <v/>
      </c>
      <c r="B2973" s="64" t="s">
        <v>36</v>
      </c>
      <c r="C2973" s="53" t="n">
        <v>747</v>
      </c>
      <c r="D2973" s="53" t="n">
        <v>4</v>
      </c>
      <c r="E2973" s="65" t="str">
        <f aca="false">IF($H2973="","",购销流水!$B747)</f>
        <v/>
      </c>
      <c r="F2973" s="55" t="str">
        <f aca="false">IF($H2973="","",购销流水!$C747)</f>
        <v/>
      </c>
      <c r="G2973" s="48" t="str">
        <f aca="false">IF($H2973="","",购销流水!$N747)</f>
        <v/>
      </c>
      <c r="H2973" s="10" t="str">
        <f aca="false">IF($L2973="","",IF($L2973="@成本",购销流水!$U747,IF($L2973="@收入",购销流水!$T747,IF($L2973="@存货",购销流水!$S747,IF($L2973="@结算",购销流水!$R747,$L2973)))))</f>
        <v/>
      </c>
      <c r="I2973" s="42" t="n">
        <f aca="false">IF($M2973="借",$O2973,0)</f>
        <v>0</v>
      </c>
      <c r="J2973" s="42" t="n">
        <f aca="false">IF($M2973="贷",$O2973,0)</f>
        <v>0</v>
      </c>
      <c r="K2973" s="48" t="str">
        <f aca="false">IF($H2973="","",购销流水!$E747)</f>
        <v/>
      </c>
      <c r="L2973" s="66" t="str">
        <f aca="false">IF(购销流水!$D747="","",IFERROR(INDEX(记账规则!$A$6:$N$9,MATCH(购销流水!$D747,记账规则!$A$6:$A$9,0),12),""))</f>
        <v/>
      </c>
      <c r="M2973" s="66" t="str">
        <f aca="false">IF($L2973="","",IFERROR(INDEX(记账规则!$A$6:$N$9,MATCH(购销流水!$D747,记账规则!$A$6:$A$9,0),13),""))</f>
        <v/>
      </c>
      <c r="N2973" s="66" t="str">
        <f aca="false">IF($L2973="","",IFERROR(INDEX(记账规则!$A$6:$N$9,MATCH(购销流水!$D747,记账规则!$A$6:$A$9,0),14),""))</f>
        <v/>
      </c>
      <c r="O2973" s="67" t="n">
        <f aca="false">IF($H2973="",0,ROUND(IF($N2973="成本金额",N(购销流水!$W747),IF($N2973="金额",N(购销流水!$Q747),0)),2))</f>
        <v>0</v>
      </c>
      <c r="P2973" s="64" t="str">
        <f aca="false">IF(AND($H2973&lt;&gt;"",ROUND($O2973,2)&lt;&gt;0),"有","")</f>
        <v/>
      </c>
    </row>
    <row r="2974" customFormat="false" ht="15" hidden="true" customHeight="false" outlineLevel="0" collapsed="false">
      <c r="A2974" s="53" t="str">
        <f aca="false">IF($H2974="","",ROW()-5)</f>
        <v/>
      </c>
      <c r="B2974" s="64" t="s">
        <v>36</v>
      </c>
      <c r="C2974" s="53" t="n">
        <v>748</v>
      </c>
      <c r="D2974" s="53" t="n">
        <v>1</v>
      </c>
      <c r="E2974" s="65" t="str">
        <f aca="false">IF($H2974="","",购销流水!$B748)</f>
        <v/>
      </c>
      <c r="F2974" s="55" t="str">
        <f aca="false">IF($H2974="","",购销流水!$C748)</f>
        <v/>
      </c>
      <c r="G2974" s="48" t="str">
        <f aca="false">IF($H2974="","",购销流水!$N748)</f>
        <v/>
      </c>
      <c r="H2974" s="10" t="str">
        <f aca="false">IF($L2974="","",IF($L2974="@成本",购销流水!$U748,IF($L2974="@收入",购销流水!$T748,IF($L2974="@存货",购销流水!$S748,IF($L2974="@结算",购销流水!$R748,$L2974)))))</f>
        <v/>
      </c>
      <c r="I2974" s="42" t="n">
        <f aca="false">IF($M2974="借",$O2974,0)</f>
        <v>0</v>
      </c>
      <c r="J2974" s="42" t="n">
        <f aca="false">IF($M2974="贷",$O2974,0)</f>
        <v>0</v>
      </c>
      <c r="K2974" s="48" t="str">
        <f aca="false">IF($H2974="","",购销流水!$E748)</f>
        <v/>
      </c>
      <c r="L2974" s="66" t="str">
        <f aca="false">IF(购销流水!$D748="","",IFERROR(INDEX(记账规则!$A$6:$N$9,MATCH(购销流水!$D748,记账规则!$A$6:$A$9,0),3),""))</f>
        <v/>
      </c>
      <c r="M2974" s="66" t="str">
        <f aca="false">IF($L2974="","",IFERROR(INDEX(记账规则!$A$6:$N$9,MATCH(购销流水!$D748,记账规则!$A$6:$A$9,0),4),""))</f>
        <v/>
      </c>
      <c r="N2974" s="66" t="str">
        <f aca="false">IF($L2974="","",IFERROR(INDEX(记账规则!$A$6:$N$9,MATCH(购销流水!$D748,记账规则!$A$6:$A$9,0),5),""))</f>
        <v/>
      </c>
      <c r="O2974" s="67" t="n">
        <f aca="false">IF($H2974="",0,ROUND(IF($N2974="成本金额",N(购销流水!$W748),IF($N2974="金额",N(购销流水!$Q748),0)),2))</f>
        <v>0</v>
      </c>
      <c r="P2974" s="64" t="str">
        <f aca="false">IF(AND($H2974&lt;&gt;"",ROUND($O2974,2)&lt;&gt;0),"有","")</f>
        <v/>
      </c>
    </row>
    <row r="2975" customFormat="false" ht="15" hidden="true" customHeight="false" outlineLevel="0" collapsed="false">
      <c r="A2975" s="53" t="str">
        <f aca="false">IF($H2975="","",ROW()-5)</f>
        <v/>
      </c>
      <c r="B2975" s="64" t="s">
        <v>36</v>
      </c>
      <c r="C2975" s="53" t="n">
        <v>748</v>
      </c>
      <c r="D2975" s="53" t="n">
        <v>2</v>
      </c>
      <c r="E2975" s="65" t="str">
        <f aca="false">IF($H2975="","",购销流水!$B748)</f>
        <v/>
      </c>
      <c r="F2975" s="55" t="str">
        <f aca="false">IF($H2975="","",购销流水!$C748)</f>
        <v/>
      </c>
      <c r="G2975" s="48" t="str">
        <f aca="false">IF($H2975="","",购销流水!$N748)</f>
        <v/>
      </c>
      <c r="H2975" s="10" t="str">
        <f aca="false">IF($L2975="","",IF($L2975="@成本",购销流水!$U748,IF($L2975="@收入",购销流水!$T748,IF($L2975="@存货",购销流水!$S748,IF($L2975="@结算",购销流水!$R748,$L2975)))))</f>
        <v/>
      </c>
      <c r="I2975" s="42" t="n">
        <f aca="false">IF($M2975="借",$O2975,0)</f>
        <v>0</v>
      </c>
      <c r="J2975" s="42" t="n">
        <f aca="false">IF($M2975="贷",$O2975,0)</f>
        <v>0</v>
      </c>
      <c r="K2975" s="48" t="str">
        <f aca="false">IF($H2975="","",购销流水!$E748)</f>
        <v/>
      </c>
      <c r="L2975" s="66" t="str">
        <f aca="false">IF(购销流水!$D748="","",IFERROR(INDEX(记账规则!$A$6:$N$9,MATCH(购销流水!$D748,记账规则!$A$6:$A$9,0),6),""))</f>
        <v/>
      </c>
      <c r="M2975" s="66" t="str">
        <f aca="false">IF($L2975="","",IFERROR(INDEX(记账规则!$A$6:$N$9,MATCH(购销流水!$D748,记账规则!$A$6:$A$9,0),7),""))</f>
        <v/>
      </c>
      <c r="N2975" s="66" t="str">
        <f aca="false">IF($L2975="","",IFERROR(INDEX(记账规则!$A$6:$N$9,MATCH(购销流水!$D748,记账规则!$A$6:$A$9,0),8),""))</f>
        <v/>
      </c>
      <c r="O2975" s="67" t="n">
        <f aca="false">IF($H2975="",0,ROUND(IF($N2975="成本金额",N(购销流水!$W748),IF($N2975="金额",N(购销流水!$Q748),0)),2))</f>
        <v>0</v>
      </c>
      <c r="P2975" s="64" t="str">
        <f aca="false">IF(AND($H2975&lt;&gt;"",ROUND($O2975,2)&lt;&gt;0),"有","")</f>
        <v/>
      </c>
    </row>
    <row r="2976" customFormat="false" ht="15" hidden="true" customHeight="false" outlineLevel="0" collapsed="false">
      <c r="A2976" s="53" t="str">
        <f aca="false">IF($H2976="","",ROW()-5)</f>
        <v/>
      </c>
      <c r="B2976" s="64" t="s">
        <v>36</v>
      </c>
      <c r="C2976" s="53" t="n">
        <v>748</v>
      </c>
      <c r="D2976" s="53" t="n">
        <v>3</v>
      </c>
      <c r="E2976" s="65" t="str">
        <f aca="false">IF($H2976="","",购销流水!$B748)</f>
        <v/>
      </c>
      <c r="F2976" s="55" t="str">
        <f aca="false">IF($H2976="","",购销流水!$C748)</f>
        <v/>
      </c>
      <c r="G2976" s="48" t="str">
        <f aca="false">IF($H2976="","",购销流水!$N748)</f>
        <v/>
      </c>
      <c r="H2976" s="10" t="str">
        <f aca="false">IF($L2976="","",IF($L2976="@成本",购销流水!$U748,IF($L2976="@收入",购销流水!$T748,IF($L2976="@存货",购销流水!$S748,IF($L2976="@结算",购销流水!$R748,$L2976)))))</f>
        <v/>
      </c>
      <c r="I2976" s="42" t="n">
        <f aca="false">IF($M2976="借",$O2976,0)</f>
        <v>0</v>
      </c>
      <c r="J2976" s="42" t="n">
        <f aca="false">IF($M2976="贷",$O2976,0)</f>
        <v>0</v>
      </c>
      <c r="K2976" s="48" t="str">
        <f aca="false">IF($H2976="","",购销流水!$E748)</f>
        <v/>
      </c>
      <c r="L2976" s="66" t="str">
        <f aca="false">IF(购销流水!$D748="","",IFERROR(INDEX(记账规则!$A$6:$N$9,MATCH(购销流水!$D748,记账规则!$A$6:$A$9,0),9),""))</f>
        <v/>
      </c>
      <c r="M2976" s="66" t="str">
        <f aca="false">IF($L2976="","",IFERROR(INDEX(记账规则!$A$6:$N$9,MATCH(购销流水!$D748,记账规则!$A$6:$A$9,0),10),""))</f>
        <v/>
      </c>
      <c r="N2976" s="66" t="str">
        <f aca="false">IF($L2976="","",IFERROR(INDEX(记账规则!$A$6:$N$9,MATCH(购销流水!$D748,记账规则!$A$6:$A$9,0),11),""))</f>
        <v/>
      </c>
      <c r="O2976" s="67" t="n">
        <f aca="false">IF($H2976="",0,ROUND(IF($N2976="成本金额",N(购销流水!$W748),IF($N2976="金额",N(购销流水!$Q748),0)),2))</f>
        <v>0</v>
      </c>
      <c r="P2976" s="64" t="str">
        <f aca="false">IF(AND($H2976&lt;&gt;"",ROUND($O2976,2)&lt;&gt;0),"有","")</f>
        <v/>
      </c>
    </row>
    <row r="2977" customFormat="false" ht="15" hidden="true" customHeight="false" outlineLevel="0" collapsed="false">
      <c r="A2977" s="53" t="str">
        <f aca="false">IF($H2977="","",ROW()-5)</f>
        <v/>
      </c>
      <c r="B2977" s="64" t="s">
        <v>36</v>
      </c>
      <c r="C2977" s="53" t="n">
        <v>748</v>
      </c>
      <c r="D2977" s="53" t="n">
        <v>4</v>
      </c>
      <c r="E2977" s="65" t="str">
        <f aca="false">IF($H2977="","",购销流水!$B748)</f>
        <v/>
      </c>
      <c r="F2977" s="55" t="str">
        <f aca="false">IF($H2977="","",购销流水!$C748)</f>
        <v/>
      </c>
      <c r="G2977" s="48" t="str">
        <f aca="false">IF($H2977="","",购销流水!$N748)</f>
        <v/>
      </c>
      <c r="H2977" s="10" t="str">
        <f aca="false">IF($L2977="","",IF($L2977="@成本",购销流水!$U748,IF($L2977="@收入",购销流水!$T748,IF($L2977="@存货",购销流水!$S748,IF($L2977="@结算",购销流水!$R748,$L2977)))))</f>
        <v/>
      </c>
      <c r="I2977" s="42" t="n">
        <f aca="false">IF($M2977="借",$O2977,0)</f>
        <v>0</v>
      </c>
      <c r="J2977" s="42" t="n">
        <f aca="false">IF($M2977="贷",$O2977,0)</f>
        <v>0</v>
      </c>
      <c r="K2977" s="48" t="str">
        <f aca="false">IF($H2977="","",购销流水!$E748)</f>
        <v/>
      </c>
      <c r="L2977" s="66" t="str">
        <f aca="false">IF(购销流水!$D748="","",IFERROR(INDEX(记账规则!$A$6:$N$9,MATCH(购销流水!$D748,记账规则!$A$6:$A$9,0),12),""))</f>
        <v/>
      </c>
      <c r="M2977" s="66" t="str">
        <f aca="false">IF($L2977="","",IFERROR(INDEX(记账规则!$A$6:$N$9,MATCH(购销流水!$D748,记账规则!$A$6:$A$9,0),13),""))</f>
        <v/>
      </c>
      <c r="N2977" s="66" t="str">
        <f aca="false">IF($L2977="","",IFERROR(INDEX(记账规则!$A$6:$N$9,MATCH(购销流水!$D748,记账规则!$A$6:$A$9,0),14),""))</f>
        <v/>
      </c>
      <c r="O2977" s="67" t="n">
        <f aca="false">IF($H2977="",0,ROUND(IF($N2977="成本金额",N(购销流水!$W748),IF($N2977="金额",N(购销流水!$Q748),0)),2))</f>
        <v>0</v>
      </c>
      <c r="P2977" s="64" t="str">
        <f aca="false">IF(AND($H2977&lt;&gt;"",ROUND($O2977,2)&lt;&gt;0),"有","")</f>
        <v/>
      </c>
    </row>
    <row r="2978" customFormat="false" ht="15" hidden="true" customHeight="false" outlineLevel="0" collapsed="false">
      <c r="A2978" s="53" t="str">
        <f aca="false">IF($H2978="","",ROW()-5)</f>
        <v/>
      </c>
      <c r="B2978" s="64" t="s">
        <v>36</v>
      </c>
      <c r="C2978" s="53" t="n">
        <v>749</v>
      </c>
      <c r="D2978" s="53" t="n">
        <v>1</v>
      </c>
      <c r="E2978" s="65" t="str">
        <f aca="false">IF($H2978="","",购销流水!$B749)</f>
        <v/>
      </c>
      <c r="F2978" s="55" t="str">
        <f aca="false">IF($H2978="","",购销流水!$C749)</f>
        <v/>
      </c>
      <c r="G2978" s="48" t="str">
        <f aca="false">IF($H2978="","",购销流水!$N749)</f>
        <v/>
      </c>
      <c r="H2978" s="10" t="str">
        <f aca="false">IF($L2978="","",IF($L2978="@成本",购销流水!$U749,IF($L2978="@收入",购销流水!$T749,IF($L2978="@存货",购销流水!$S749,IF($L2978="@结算",购销流水!$R749,$L2978)))))</f>
        <v/>
      </c>
      <c r="I2978" s="42" t="n">
        <f aca="false">IF($M2978="借",$O2978,0)</f>
        <v>0</v>
      </c>
      <c r="J2978" s="42" t="n">
        <f aca="false">IF($M2978="贷",$O2978,0)</f>
        <v>0</v>
      </c>
      <c r="K2978" s="48" t="str">
        <f aca="false">IF($H2978="","",购销流水!$E749)</f>
        <v/>
      </c>
      <c r="L2978" s="66" t="str">
        <f aca="false">IF(购销流水!$D749="","",IFERROR(INDEX(记账规则!$A$6:$N$9,MATCH(购销流水!$D749,记账规则!$A$6:$A$9,0),3),""))</f>
        <v/>
      </c>
      <c r="M2978" s="66" t="str">
        <f aca="false">IF($L2978="","",IFERROR(INDEX(记账规则!$A$6:$N$9,MATCH(购销流水!$D749,记账规则!$A$6:$A$9,0),4),""))</f>
        <v/>
      </c>
      <c r="N2978" s="66" t="str">
        <f aca="false">IF($L2978="","",IFERROR(INDEX(记账规则!$A$6:$N$9,MATCH(购销流水!$D749,记账规则!$A$6:$A$9,0),5),""))</f>
        <v/>
      </c>
      <c r="O2978" s="67" t="n">
        <f aca="false">IF($H2978="",0,ROUND(IF($N2978="成本金额",N(购销流水!$W749),IF($N2978="金额",N(购销流水!$Q749),0)),2))</f>
        <v>0</v>
      </c>
      <c r="P2978" s="64" t="str">
        <f aca="false">IF(AND($H2978&lt;&gt;"",ROUND($O2978,2)&lt;&gt;0),"有","")</f>
        <v/>
      </c>
    </row>
    <row r="2979" customFormat="false" ht="15" hidden="true" customHeight="false" outlineLevel="0" collapsed="false">
      <c r="A2979" s="53" t="str">
        <f aca="false">IF($H2979="","",ROW()-5)</f>
        <v/>
      </c>
      <c r="B2979" s="64" t="s">
        <v>36</v>
      </c>
      <c r="C2979" s="53" t="n">
        <v>749</v>
      </c>
      <c r="D2979" s="53" t="n">
        <v>2</v>
      </c>
      <c r="E2979" s="65" t="str">
        <f aca="false">IF($H2979="","",购销流水!$B749)</f>
        <v/>
      </c>
      <c r="F2979" s="55" t="str">
        <f aca="false">IF($H2979="","",购销流水!$C749)</f>
        <v/>
      </c>
      <c r="G2979" s="48" t="str">
        <f aca="false">IF($H2979="","",购销流水!$N749)</f>
        <v/>
      </c>
      <c r="H2979" s="10" t="str">
        <f aca="false">IF($L2979="","",IF($L2979="@成本",购销流水!$U749,IF($L2979="@收入",购销流水!$T749,IF($L2979="@存货",购销流水!$S749,IF($L2979="@结算",购销流水!$R749,$L2979)))))</f>
        <v/>
      </c>
      <c r="I2979" s="42" t="n">
        <f aca="false">IF($M2979="借",$O2979,0)</f>
        <v>0</v>
      </c>
      <c r="J2979" s="42" t="n">
        <f aca="false">IF($M2979="贷",$O2979,0)</f>
        <v>0</v>
      </c>
      <c r="K2979" s="48" t="str">
        <f aca="false">IF($H2979="","",购销流水!$E749)</f>
        <v/>
      </c>
      <c r="L2979" s="66" t="str">
        <f aca="false">IF(购销流水!$D749="","",IFERROR(INDEX(记账规则!$A$6:$N$9,MATCH(购销流水!$D749,记账规则!$A$6:$A$9,0),6),""))</f>
        <v/>
      </c>
      <c r="M2979" s="66" t="str">
        <f aca="false">IF($L2979="","",IFERROR(INDEX(记账规则!$A$6:$N$9,MATCH(购销流水!$D749,记账规则!$A$6:$A$9,0),7),""))</f>
        <v/>
      </c>
      <c r="N2979" s="66" t="str">
        <f aca="false">IF($L2979="","",IFERROR(INDEX(记账规则!$A$6:$N$9,MATCH(购销流水!$D749,记账规则!$A$6:$A$9,0),8),""))</f>
        <v/>
      </c>
      <c r="O2979" s="67" t="n">
        <f aca="false">IF($H2979="",0,ROUND(IF($N2979="成本金额",N(购销流水!$W749),IF($N2979="金额",N(购销流水!$Q749),0)),2))</f>
        <v>0</v>
      </c>
      <c r="P2979" s="64" t="str">
        <f aca="false">IF(AND($H2979&lt;&gt;"",ROUND($O2979,2)&lt;&gt;0),"有","")</f>
        <v/>
      </c>
    </row>
    <row r="2980" customFormat="false" ht="15" hidden="true" customHeight="false" outlineLevel="0" collapsed="false">
      <c r="A2980" s="53" t="str">
        <f aca="false">IF($H2980="","",ROW()-5)</f>
        <v/>
      </c>
      <c r="B2980" s="64" t="s">
        <v>36</v>
      </c>
      <c r="C2980" s="53" t="n">
        <v>749</v>
      </c>
      <c r="D2980" s="53" t="n">
        <v>3</v>
      </c>
      <c r="E2980" s="65" t="str">
        <f aca="false">IF($H2980="","",购销流水!$B749)</f>
        <v/>
      </c>
      <c r="F2980" s="55" t="str">
        <f aca="false">IF($H2980="","",购销流水!$C749)</f>
        <v/>
      </c>
      <c r="G2980" s="48" t="str">
        <f aca="false">IF($H2980="","",购销流水!$N749)</f>
        <v/>
      </c>
      <c r="H2980" s="10" t="str">
        <f aca="false">IF($L2980="","",IF($L2980="@成本",购销流水!$U749,IF($L2980="@收入",购销流水!$T749,IF($L2980="@存货",购销流水!$S749,IF($L2980="@结算",购销流水!$R749,$L2980)))))</f>
        <v/>
      </c>
      <c r="I2980" s="42" t="n">
        <f aca="false">IF($M2980="借",$O2980,0)</f>
        <v>0</v>
      </c>
      <c r="J2980" s="42" t="n">
        <f aca="false">IF($M2980="贷",$O2980,0)</f>
        <v>0</v>
      </c>
      <c r="K2980" s="48" t="str">
        <f aca="false">IF($H2980="","",购销流水!$E749)</f>
        <v/>
      </c>
      <c r="L2980" s="66" t="str">
        <f aca="false">IF(购销流水!$D749="","",IFERROR(INDEX(记账规则!$A$6:$N$9,MATCH(购销流水!$D749,记账规则!$A$6:$A$9,0),9),""))</f>
        <v/>
      </c>
      <c r="M2980" s="66" t="str">
        <f aca="false">IF($L2980="","",IFERROR(INDEX(记账规则!$A$6:$N$9,MATCH(购销流水!$D749,记账规则!$A$6:$A$9,0),10),""))</f>
        <v/>
      </c>
      <c r="N2980" s="66" t="str">
        <f aca="false">IF($L2980="","",IFERROR(INDEX(记账规则!$A$6:$N$9,MATCH(购销流水!$D749,记账规则!$A$6:$A$9,0),11),""))</f>
        <v/>
      </c>
      <c r="O2980" s="67" t="n">
        <f aca="false">IF($H2980="",0,ROUND(IF($N2980="成本金额",N(购销流水!$W749),IF($N2980="金额",N(购销流水!$Q749),0)),2))</f>
        <v>0</v>
      </c>
      <c r="P2980" s="64" t="str">
        <f aca="false">IF(AND($H2980&lt;&gt;"",ROUND($O2980,2)&lt;&gt;0),"有","")</f>
        <v/>
      </c>
    </row>
    <row r="2981" customFormat="false" ht="15" hidden="true" customHeight="false" outlineLevel="0" collapsed="false">
      <c r="A2981" s="53" t="str">
        <f aca="false">IF($H2981="","",ROW()-5)</f>
        <v/>
      </c>
      <c r="B2981" s="64" t="s">
        <v>36</v>
      </c>
      <c r="C2981" s="53" t="n">
        <v>749</v>
      </c>
      <c r="D2981" s="53" t="n">
        <v>4</v>
      </c>
      <c r="E2981" s="65" t="str">
        <f aca="false">IF($H2981="","",购销流水!$B749)</f>
        <v/>
      </c>
      <c r="F2981" s="55" t="str">
        <f aca="false">IF($H2981="","",购销流水!$C749)</f>
        <v/>
      </c>
      <c r="G2981" s="48" t="str">
        <f aca="false">IF($H2981="","",购销流水!$N749)</f>
        <v/>
      </c>
      <c r="H2981" s="10" t="str">
        <f aca="false">IF($L2981="","",IF($L2981="@成本",购销流水!$U749,IF($L2981="@收入",购销流水!$T749,IF($L2981="@存货",购销流水!$S749,IF($L2981="@结算",购销流水!$R749,$L2981)))))</f>
        <v/>
      </c>
      <c r="I2981" s="42" t="n">
        <f aca="false">IF($M2981="借",$O2981,0)</f>
        <v>0</v>
      </c>
      <c r="J2981" s="42" t="n">
        <f aca="false">IF($M2981="贷",$O2981,0)</f>
        <v>0</v>
      </c>
      <c r="K2981" s="48" t="str">
        <f aca="false">IF($H2981="","",购销流水!$E749)</f>
        <v/>
      </c>
      <c r="L2981" s="66" t="str">
        <f aca="false">IF(购销流水!$D749="","",IFERROR(INDEX(记账规则!$A$6:$N$9,MATCH(购销流水!$D749,记账规则!$A$6:$A$9,0),12),""))</f>
        <v/>
      </c>
      <c r="M2981" s="66" t="str">
        <f aca="false">IF($L2981="","",IFERROR(INDEX(记账规则!$A$6:$N$9,MATCH(购销流水!$D749,记账规则!$A$6:$A$9,0),13),""))</f>
        <v/>
      </c>
      <c r="N2981" s="66" t="str">
        <f aca="false">IF($L2981="","",IFERROR(INDEX(记账规则!$A$6:$N$9,MATCH(购销流水!$D749,记账规则!$A$6:$A$9,0),14),""))</f>
        <v/>
      </c>
      <c r="O2981" s="67" t="n">
        <f aca="false">IF($H2981="",0,ROUND(IF($N2981="成本金额",N(购销流水!$W749),IF($N2981="金额",N(购销流水!$Q749),0)),2))</f>
        <v>0</v>
      </c>
      <c r="P2981" s="64" t="str">
        <f aca="false">IF(AND($H2981&lt;&gt;"",ROUND($O2981,2)&lt;&gt;0),"有","")</f>
        <v/>
      </c>
    </row>
    <row r="2982" customFormat="false" ht="15" hidden="true" customHeight="false" outlineLevel="0" collapsed="false">
      <c r="A2982" s="53" t="str">
        <f aca="false">IF($H2982="","",ROW()-5)</f>
        <v/>
      </c>
      <c r="B2982" s="64" t="s">
        <v>36</v>
      </c>
      <c r="C2982" s="53" t="n">
        <v>750</v>
      </c>
      <c r="D2982" s="53" t="n">
        <v>1</v>
      </c>
      <c r="E2982" s="65" t="str">
        <f aca="false">IF($H2982="","",购销流水!$B750)</f>
        <v/>
      </c>
      <c r="F2982" s="55" t="str">
        <f aca="false">IF($H2982="","",购销流水!$C750)</f>
        <v/>
      </c>
      <c r="G2982" s="48" t="str">
        <f aca="false">IF($H2982="","",购销流水!$N750)</f>
        <v/>
      </c>
      <c r="H2982" s="10" t="str">
        <f aca="false">IF($L2982="","",IF($L2982="@成本",购销流水!$U750,IF($L2982="@收入",购销流水!$T750,IF($L2982="@存货",购销流水!$S750,IF($L2982="@结算",购销流水!$R750,$L2982)))))</f>
        <v/>
      </c>
      <c r="I2982" s="42" t="n">
        <f aca="false">IF($M2982="借",$O2982,0)</f>
        <v>0</v>
      </c>
      <c r="J2982" s="42" t="n">
        <f aca="false">IF($M2982="贷",$O2982,0)</f>
        <v>0</v>
      </c>
      <c r="K2982" s="48" t="str">
        <f aca="false">IF($H2982="","",购销流水!$E750)</f>
        <v/>
      </c>
      <c r="L2982" s="66" t="str">
        <f aca="false">IF(购销流水!$D750="","",IFERROR(INDEX(记账规则!$A$6:$N$9,MATCH(购销流水!$D750,记账规则!$A$6:$A$9,0),3),""))</f>
        <v/>
      </c>
      <c r="M2982" s="66" t="str">
        <f aca="false">IF($L2982="","",IFERROR(INDEX(记账规则!$A$6:$N$9,MATCH(购销流水!$D750,记账规则!$A$6:$A$9,0),4),""))</f>
        <v/>
      </c>
      <c r="N2982" s="66" t="str">
        <f aca="false">IF($L2982="","",IFERROR(INDEX(记账规则!$A$6:$N$9,MATCH(购销流水!$D750,记账规则!$A$6:$A$9,0),5),""))</f>
        <v/>
      </c>
      <c r="O2982" s="67" t="n">
        <f aca="false">IF($H2982="",0,ROUND(IF($N2982="成本金额",N(购销流水!$W750),IF($N2982="金额",N(购销流水!$Q750),0)),2))</f>
        <v>0</v>
      </c>
      <c r="P2982" s="64" t="str">
        <f aca="false">IF(AND($H2982&lt;&gt;"",ROUND($O2982,2)&lt;&gt;0),"有","")</f>
        <v/>
      </c>
    </row>
    <row r="2983" customFormat="false" ht="15" hidden="true" customHeight="false" outlineLevel="0" collapsed="false">
      <c r="A2983" s="53" t="str">
        <f aca="false">IF($H2983="","",ROW()-5)</f>
        <v/>
      </c>
      <c r="B2983" s="64" t="s">
        <v>36</v>
      </c>
      <c r="C2983" s="53" t="n">
        <v>750</v>
      </c>
      <c r="D2983" s="53" t="n">
        <v>2</v>
      </c>
      <c r="E2983" s="65" t="str">
        <f aca="false">IF($H2983="","",购销流水!$B750)</f>
        <v/>
      </c>
      <c r="F2983" s="55" t="str">
        <f aca="false">IF($H2983="","",购销流水!$C750)</f>
        <v/>
      </c>
      <c r="G2983" s="48" t="str">
        <f aca="false">IF($H2983="","",购销流水!$N750)</f>
        <v/>
      </c>
      <c r="H2983" s="10" t="str">
        <f aca="false">IF($L2983="","",IF($L2983="@成本",购销流水!$U750,IF($L2983="@收入",购销流水!$T750,IF($L2983="@存货",购销流水!$S750,IF($L2983="@结算",购销流水!$R750,$L2983)))))</f>
        <v/>
      </c>
      <c r="I2983" s="42" t="n">
        <f aca="false">IF($M2983="借",$O2983,0)</f>
        <v>0</v>
      </c>
      <c r="J2983" s="42" t="n">
        <f aca="false">IF($M2983="贷",$O2983,0)</f>
        <v>0</v>
      </c>
      <c r="K2983" s="48" t="str">
        <f aca="false">IF($H2983="","",购销流水!$E750)</f>
        <v/>
      </c>
      <c r="L2983" s="66" t="str">
        <f aca="false">IF(购销流水!$D750="","",IFERROR(INDEX(记账规则!$A$6:$N$9,MATCH(购销流水!$D750,记账规则!$A$6:$A$9,0),6),""))</f>
        <v/>
      </c>
      <c r="M2983" s="66" t="str">
        <f aca="false">IF($L2983="","",IFERROR(INDEX(记账规则!$A$6:$N$9,MATCH(购销流水!$D750,记账规则!$A$6:$A$9,0),7),""))</f>
        <v/>
      </c>
      <c r="N2983" s="66" t="str">
        <f aca="false">IF($L2983="","",IFERROR(INDEX(记账规则!$A$6:$N$9,MATCH(购销流水!$D750,记账规则!$A$6:$A$9,0),8),""))</f>
        <v/>
      </c>
      <c r="O2983" s="67" t="n">
        <f aca="false">IF($H2983="",0,ROUND(IF($N2983="成本金额",N(购销流水!$W750),IF($N2983="金额",N(购销流水!$Q750),0)),2))</f>
        <v>0</v>
      </c>
      <c r="P2983" s="64" t="str">
        <f aca="false">IF(AND($H2983&lt;&gt;"",ROUND($O2983,2)&lt;&gt;0),"有","")</f>
        <v/>
      </c>
    </row>
    <row r="2984" customFormat="false" ht="15" hidden="true" customHeight="false" outlineLevel="0" collapsed="false">
      <c r="A2984" s="53" t="str">
        <f aca="false">IF($H2984="","",ROW()-5)</f>
        <v/>
      </c>
      <c r="B2984" s="64" t="s">
        <v>36</v>
      </c>
      <c r="C2984" s="53" t="n">
        <v>750</v>
      </c>
      <c r="D2984" s="53" t="n">
        <v>3</v>
      </c>
      <c r="E2984" s="65" t="str">
        <f aca="false">IF($H2984="","",购销流水!$B750)</f>
        <v/>
      </c>
      <c r="F2984" s="55" t="str">
        <f aca="false">IF($H2984="","",购销流水!$C750)</f>
        <v/>
      </c>
      <c r="G2984" s="48" t="str">
        <f aca="false">IF($H2984="","",购销流水!$N750)</f>
        <v/>
      </c>
      <c r="H2984" s="10" t="str">
        <f aca="false">IF($L2984="","",IF($L2984="@成本",购销流水!$U750,IF($L2984="@收入",购销流水!$T750,IF($L2984="@存货",购销流水!$S750,IF($L2984="@结算",购销流水!$R750,$L2984)))))</f>
        <v/>
      </c>
      <c r="I2984" s="42" t="n">
        <f aca="false">IF($M2984="借",$O2984,0)</f>
        <v>0</v>
      </c>
      <c r="J2984" s="42" t="n">
        <f aca="false">IF($M2984="贷",$O2984,0)</f>
        <v>0</v>
      </c>
      <c r="K2984" s="48" t="str">
        <f aca="false">IF($H2984="","",购销流水!$E750)</f>
        <v/>
      </c>
      <c r="L2984" s="66" t="str">
        <f aca="false">IF(购销流水!$D750="","",IFERROR(INDEX(记账规则!$A$6:$N$9,MATCH(购销流水!$D750,记账规则!$A$6:$A$9,0),9),""))</f>
        <v/>
      </c>
      <c r="M2984" s="66" t="str">
        <f aca="false">IF($L2984="","",IFERROR(INDEX(记账规则!$A$6:$N$9,MATCH(购销流水!$D750,记账规则!$A$6:$A$9,0),10),""))</f>
        <v/>
      </c>
      <c r="N2984" s="66" t="str">
        <f aca="false">IF($L2984="","",IFERROR(INDEX(记账规则!$A$6:$N$9,MATCH(购销流水!$D750,记账规则!$A$6:$A$9,0),11),""))</f>
        <v/>
      </c>
      <c r="O2984" s="67" t="n">
        <f aca="false">IF($H2984="",0,ROUND(IF($N2984="成本金额",N(购销流水!$W750),IF($N2984="金额",N(购销流水!$Q750),0)),2))</f>
        <v>0</v>
      </c>
      <c r="P2984" s="64" t="str">
        <f aca="false">IF(AND($H2984&lt;&gt;"",ROUND($O2984,2)&lt;&gt;0),"有","")</f>
        <v/>
      </c>
    </row>
    <row r="2985" customFormat="false" ht="15" hidden="true" customHeight="false" outlineLevel="0" collapsed="false">
      <c r="A2985" s="53" t="str">
        <f aca="false">IF($H2985="","",ROW()-5)</f>
        <v/>
      </c>
      <c r="B2985" s="64" t="s">
        <v>36</v>
      </c>
      <c r="C2985" s="53" t="n">
        <v>750</v>
      </c>
      <c r="D2985" s="53" t="n">
        <v>4</v>
      </c>
      <c r="E2985" s="65" t="str">
        <f aca="false">IF($H2985="","",购销流水!$B750)</f>
        <v/>
      </c>
      <c r="F2985" s="55" t="str">
        <f aca="false">IF($H2985="","",购销流水!$C750)</f>
        <v/>
      </c>
      <c r="G2985" s="48" t="str">
        <f aca="false">IF($H2985="","",购销流水!$N750)</f>
        <v/>
      </c>
      <c r="H2985" s="10" t="str">
        <f aca="false">IF($L2985="","",IF($L2985="@成本",购销流水!$U750,IF($L2985="@收入",购销流水!$T750,IF($L2985="@存货",购销流水!$S750,IF($L2985="@结算",购销流水!$R750,$L2985)))))</f>
        <v/>
      </c>
      <c r="I2985" s="42" t="n">
        <f aca="false">IF($M2985="借",$O2985,0)</f>
        <v>0</v>
      </c>
      <c r="J2985" s="42" t="n">
        <f aca="false">IF($M2985="贷",$O2985,0)</f>
        <v>0</v>
      </c>
      <c r="K2985" s="48" t="str">
        <f aca="false">IF($H2985="","",购销流水!$E750)</f>
        <v/>
      </c>
      <c r="L2985" s="66" t="str">
        <f aca="false">IF(购销流水!$D750="","",IFERROR(INDEX(记账规则!$A$6:$N$9,MATCH(购销流水!$D750,记账规则!$A$6:$A$9,0),12),""))</f>
        <v/>
      </c>
      <c r="M2985" s="66" t="str">
        <f aca="false">IF($L2985="","",IFERROR(INDEX(记账规则!$A$6:$N$9,MATCH(购销流水!$D750,记账规则!$A$6:$A$9,0),13),""))</f>
        <v/>
      </c>
      <c r="N2985" s="66" t="str">
        <f aca="false">IF($L2985="","",IFERROR(INDEX(记账规则!$A$6:$N$9,MATCH(购销流水!$D750,记账规则!$A$6:$A$9,0),14),""))</f>
        <v/>
      </c>
      <c r="O2985" s="67" t="n">
        <f aca="false">IF($H2985="",0,ROUND(IF($N2985="成本金额",N(购销流水!$W750),IF($N2985="金额",N(购销流水!$Q750),0)),2))</f>
        <v>0</v>
      </c>
      <c r="P2985" s="64" t="str">
        <f aca="false">IF(AND($H2985&lt;&gt;"",ROUND($O2985,2)&lt;&gt;0),"有","")</f>
        <v/>
      </c>
    </row>
    <row r="2986" customFormat="false" ht="15" hidden="true" customHeight="false" outlineLevel="0" collapsed="false">
      <c r="A2986" s="53" t="str">
        <f aca="false">IF($H2986="","",ROW()-5)</f>
        <v/>
      </c>
      <c r="B2986" s="64" t="s">
        <v>36</v>
      </c>
      <c r="C2986" s="53" t="n">
        <v>751</v>
      </c>
      <c r="D2986" s="53" t="n">
        <v>1</v>
      </c>
      <c r="E2986" s="65" t="str">
        <f aca="false">IF($H2986="","",购销流水!$B751)</f>
        <v/>
      </c>
      <c r="F2986" s="55" t="str">
        <f aca="false">IF($H2986="","",购销流水!$C751)</f>
        <v/>
      </c>
      <c r="G2986" s="48" t="str">
        <f aca="false">IF($H2986="","",购销流水!$N751)</f>
        <v/>
      </c>
      <c r="H2986" s="10" t="str">
        <f aca="false">IF($L2986="","",IF($L2986="@成本",购销流水!$U751,IF($L2986="@收入",购销流水!$T751,IF($L2986="@存货",购销流水!$S751,IF($L2986="@结算",购销流水!$R751,$L2986)))))</f>
        <v/>
      </c>
      <c r="I2986" s="42" t="n">
        <f aca="false">IF($M2986="借",$O2986,0)</f>
        <v>0</v>
      </c>
      <c r="J2986" s="42" t="n">
        <f aca="false">IF($M2986="贷",$O2986,0)</f>
        <v>0</v>
      </c>
      <c r="K2986" s="48" t="str">
        <f aca="false">IF($H2986="","",购销流水!$E751)</f>
        <v/>
      </c>
      <c r="L2986" s="66" t="str">
        <f aca="false">IF(购销流水!$D751="","",IFERROR(INDEX(记账规则!$A$6:$N$9,MATCH(购销流水!$D751,记账规则!$A$6:$A$9,0),3),""))</f>
        <v/>
      </c>
      <c r="M2986" s="66" t="str">
        <f aca="false">IF($L2986="","",IFERROR(INDEX(记账规则!$A$6:$N$9,MATCH(购销流水!$D751,记账规则!$A$6:$A$9,0),4),""))</f>
        <v/>
      </c>
      <c r="N2986" s="66" t="str">
        <f aca="false">IF($L2986="","",IFERROR(INDEX(记账规则!$A$6:$N$9,MATCH(购销流水!$D751,记账规则!$A$6:$A$9,0),5),""))</f>
        <v/>
      </c>
      <c r="O2986" s="67" t="n">
        <f aca="false">IF($H2986="",0,ROUND(IF($N2986="成本金额",N(购销流水!$W751),IF($N2986="金额",N(购销流水!$Q751),0)),2))</f>
        <v>0</v>
      </c>
      <c r="P2986" s="64" t="str">
        <f aca="false">IF(AND($H2986&lt;&gt;"",ROUND($O2986,2)&lt;&gt;0),"有","")</f>
        <v/>
      </c>
    </row>
    <row r="2987" customFormat="false" ht="15" hidden="true" customHeight="false" outlineLevel="0" collapsed="false">
      <c r="A2987" s="53" t="str">
        <f aca="false">IF($H2987="","",ROW()-5)</f>
        <v/>
      </c>
      <c r="B2987" s="64" t="s">
        <v>36</v>
      </c>
      <c r="C2987" s="53" t="n">
        <v>751</v>
      </c>
      <c r="D2987" s="53" t="n">
        <v>2</v>
      </c>
      <c r="E2987" s="65" t="str">
        <f aca="false">IF($H2987="","",购销流水!$B751)</f>
        <v/>
      </c>
      <c r="F2987" s="55" t="str">
        <f aca="false">IF($H2987="","",购销流水!$C751)</f>
        <v/>
      </c>
      <c r="G2987" s="48" t="str">
        <f aca="false">IF($H2987="","",购销流水!$N751)</f>
        <v/>
      </c>
      <c r="H2987" s="10" t="str">
        <f aca="false">IF($L2987="","",IF($L2987="@成本",购销流水!$U751,IF($L2987="@收入",购销流水!$T751,IF($L2987="@存货",购销流水!$S751,IF($L2987="@结算",购销流水!$R751,$L2987)))))</f>
        <v/>
      </c>
      <c r="I2987" s="42" t="n">
        <f aca="false">IF($M2987="借",$O2987,0)</f>
        <v>0</v>
      </c>
      <c r="J2987" s="42" t="n">
        <f aca="false">IF($M2987="贷",$O2987,0)</f>
        <v>0</v>
      </c>
      <c r="K2987" s="48" t="str">
        <f aca="false">IF($H2987="","",购销流水!$E751)</f>
        <v/>
      </c>
      <c r="L2987" s="66" t="str">
        <f aca="false">IF(购销流水!$D751="","",IFERROR(INDEX(记账规则!$A$6:$N$9,MATCH(购销流水!$D751,记账规则!$A$6:$A$9,0),6),""))</f>
        <v/>
      </c>
      <c r="M2987" s="66" t="str">
        <f aca="false">IF($L2987="","",IFERROR(INDEX(记账规则!$A$6:$N$9,MATCH(购销流水!$D751,记账规则!$A$6:$A$9,0),7),""))</f>
        <v/>
      </c>
      <c r="N2987" s="66" t="str">
        <f aca="false">IF($L2987="","",IFERROR(INDEX(记账规则!$A$6:$N$9,MATCH(购销流水!$D751,记账规则!$A$6:$A$9,0),8),""))</f>
        <v/>
      </c>
      <c r="O2987" s="67" t="n">
        <f aca="false">IF($H2987="",0,ROUND(IF($N2987="成本金额",N(购销流水!$W751),IF($N2987="金额",N(购销流水!$Q751),0)),2))</f>
        <v>0</v>
      </c>
      <c r="P2987" s="64" t="str">
        <f aca="false">IF(AND($H2987&lt;&gt;"",ROUND($O2987,2)&lt;&gt;0),"有","")</f>
        <v/>
      </c>
    </row>
    <row r="2988" customFormat="false" ht="15" hidden="true" customHeight="false" outlineLevel="0" collapsed="false">
      <c r="A2988" s="53" t="str">
        <f aca="false">IF($H2988="","",ROW()-5)</f>
        <v/>
      </c>
      <c r="B2988" s="64" t="s">
        <v>36</v>
      </c>
      <c r="C2988" s="53" t="n">
        <v>751</v>
      </c>
      <c r="D2988" s="53" t="n">
        <v>3</v>
      </c>
      <c r="E2988" s="65" t="str">
        <f aca="false">IF($H2988="","",购销流水!$B751)</f>
        <v/>
      </c>
      <c r="F2988" s="55" t="str">
        <f aca="false">IF($H2988="","",购销流水!$C751)</f>
        <v/>
      </c>
      <c r="G2988" s="48" t="str">
        <f aca="false">IF($H2988="","",购销流水!$N751)</f>
        <v/>
      </c>
      <c r="H2988" s="10" t="str">
        <f aca="false">IF($L2988="","",IF($L2988="@成本",购销流水!$U751,IF($L2988="@收入",购销流水!$T751,IF($L2988="@存货",购销流水!$S751,IF($L2988="@结算",购销流水!$R751,$L2988)))))</f>
        <v/>
      </c>
      <c r="I2988" s="42" t="n">
        <f aca="false">IF($M2988="借",$O2988,0)</f>
        <v>0</v>
      </c>
      <c r="J2988" s="42" t="n">
        <f aca="false">IF($M2988="贷",$O2988,0)</f>
        <v>0</v>
      </c>
      <c r="K2988" s="48" t="str">
        <f aca="false">IF($H2988="","",购销流水!$E751)</f>
        <v/>
      </c>
      <c r="L2988" s="66" t="str">
        <f aca="false">IF(购销流水!$D751="","",IFERROR(INDEX(记账规则!$A$6:$N$9,MATCH(购销流水!$D751,记账规则!$A$6:$A$9,0),9),""))</f>
        <v/>
      </c>
      <c r="M2988" s="66" t="str">
        <f aca="false">IF($L2988="","",IFERROR(INDEX(记账规则!$A$6:$N$9,MATCH(购销流水!$D751,记账规则!$A$6:$A$9,0),10),""))</f>
        <v/>
      </c>
      <c r="N2988" s="66" t="str">
        <f aca="false">IF($L2988="","",IFERROR(INDEX(记账规则!$A$6:$N$9,MATCH(购销流水!$D751,记账规则!$A$6:$A$9,0),11),""))</f>
        <v/>
      </c>
      <c r="O2988" s="67" t="n">
        <f aca="false">IF($H2988="",0,ROUND(IF($N2988="成本金额",N(购销流水!$W751),IF($N2988="金额",N(购销流水!$Q751),0)),2))</f>
        <v>0</v>
      </c>
      <c r="P2988" s="64" t="str">
        <f aca="false">IF(AND($H2988&lt;&gt;"",ROUND($O2988,2)&lt;&gt;0),"有","")</f>
        <v/>
      </c>
    </row>
    <row r="2989" customFormat="false" ht="15" hidden="true" customHeight="false" outlineLevel="0" collapsed="false">
      <c r="A2989" s="53" t="str">
        <f aca="false">IF($H2989="","",ROW()-5)</f>
        <v/>
      </c>
      <c r="B2989" s="64" t="s">
        <v>36</v>
      </c>
      <c r="C2989" s="53" t="n">
        <v>751</v>
      </c>
      <c r="D2989" s="53" t="n">
        <v>4</v>
      </c>
      <c r="E2989" s="65" t="str">
        <f aca="false">IF($H2989="","",购销流水!$B751)</f>
        <v/>
      </c>
      <c r="F2989" s="55" t="str">
        <f aca="false">IF($H2989="","",购销流水!$C751)</f>
        <v/>
      </c>
      <c r="G2989" s="48" t="str">
        <f aca="false">IF($H2989="","",购销流水!$N751)</f>
        <v/>
      </c>
      <c r="H2989" s="10" t="str">
        <f aca="false">IF($L2989="","",IF($L2989="@成本",购销流水!$U751,IF($L2989="@收入",购销流水!$T751,IF($L2989="@存货",购销流水!$S751,IF($L2989="@结算",购销流水!$R751,$L2989)))))</f>
        <v/>
      </c>
      <c r="I2989" s="42" t="n">
        <f aca="false">IF($M2989="借",$O2989,0)</f>
        <v>0</v>
      </c>
      <c r="J2989" s="42" t="n">
        <f aca="false">IF($M2989="贷",$O2989,0)</f>
        <v>0</v>
      </c>
      <c r="K2989" s="48" t="str">
        <f aca="false">IF($H2989="","",购销流水!$E751)</f>
        <v/>
      </c>
      <c r="L2989" s="66" t="str">
        <f aca="false">IF(购销流水!$D751="","",IFERROR(INDEX(记账规则!$A$6:$N$9,MATCH(购销流水!$D751,记账规则!$A$6:$A$9,0),12),""))</f>
        <v/>
      </c>
      <c r="M2989" s="66" t="str">
        <f aca="false">IF($L2989="","",IFERROR(INDEX(记账规则!$A$6:$N$9,MATCH(购销流水!$D751,记账规则!$A$6:$A$9,0),13),""))</f>
        <v/>
      </c>
      <c r="N2989" s="66" t="str">
        <f aca="false">IF($L2989="","",IFERROR(INDEX(记账规则!$A$6:$N$9,MATCH(购销流水!$D751,记账规则!$A$6:$A$9,0),14),""))</f>
        <v/>
      </c>
      <c r="O2989" s="67" t="n">
        <f aca="false">IF($H2989="",0,ROUND(IF($N2989="成本金额",N(购销流水!$W751),IF($N2989="金额",N(购销流水!$Q751),0)),2))</f>
        <v>0</v>
      </c>
      <c r="P2989" s="64" t="str">
        <f aca="false">IF(AND($H2989&lt;&gt;"",ROUND($O2989,2)&lt;&gt;0),"有","")</f>
        <v/>
      </c>
    </row>
    <row r="2990" customFormat="false" ht="15" hidden="true" customHeight="false" outlineLevel="0" collapsed="false">
      <c r="A2990" s="53" t="str">
        <f aca="false">IF($H2990="","",ROW()-5)</f>
        <v/>
      </c>
      <c r="B2990" s="64" t="s">
        <v>36</v>
      </c>
      <c r="C2990" s="53" t="n">
        <v>752</v>
      </c>
      <c r="D2990" s="53" t="n">
        <v>1</v>
      </c>
      <c r="E2990" s="65" t="str">
        <f aca="false">IF($H2990="","",购销流水!$B752)</f>
        <v/>
      </c>
      <c r="F2990" s="55" t="str">
        <f aca="false">IF($H2990="","",购销流水!$C752)</f>
        <v/>
      </c>
      <c r="G2990" s="48" t="str">
        <f aca="false">IF($H2990="","",购销流水!$N752)</f>
        <v/>
      </c>
      <c r="H2990" s="10" t="str">
        <f aca="false">IF($L2990="","",IF($L2990="@成本",购销流水!$U752,IF($L2990="@收入",购销流水!$T752,IF($L2990="@存货",购销流水!$S752,IF($L2990="@结算",购销流水!$R752,$L2990)))))</f>
        <v/>
      </c>
      <c r="I2990" s="42" t="n">
        <f aca="false">IF($M2990="借",$O2990,0)</f>
        <v>0</v>
      </c>
      <c r="J2990" s="42" t="n">
        <f aca="false">IF($M2990="贷",$O2990,0)</f>
        <v>0</v>
      </c>
      <c r="K2990" s="48" t="str">
        <f aca="false">IF($H2990="","",购销流水!$E752)</f>
        <v/>
      </c>
      <c r="L2990" s="66" t="str">
        <f aca="false">IF(购销流水!$D752="","",IFERROR(INDEX(记账规则!$A$6:$N$9,MATCH(购销流水!$D752,记账规则!$A$6:$A$9,0),3),""))</f>
        <v/>
      </c>
      <c r="M2990" s="66" t="str">
        <f aca="false">IF($L2990="","",IFERROR(INDEX(记账规则!$A$6:$N$9,MATCH(购销流水!$D752,记账规则!$A$6:$A$9,0),4),""))</f>
        <v/>
      </c>
      <c r="N2990" s="66" t="str">
        <f aca="false">IF($L2990="","",IFERROR(INDEX(记账规则!$A$6:$N$9,MATCH(购销流水!$D752,记账规则!$A$6:$A$9,0),5),""))</f>
        <v/>
      </c>
      <c r="O2990" s="67" t="n">
        <f aca="false">IF($H2990="",0,ROUND(IF($N2990="成本金额",N(购销流水!$W752),IF($N2990="金额",N(购销流水!$Q752),0)),2))</f>
        <v>0</v>
      </c>
      <c r="P2990" s="64" t="str">
        <f aca="false">IF(AND($H2990&lt;&gt;"",ROUND($O2990,2)&lt;&gt;0),"有","")</f>
        <v/>
      </c>
    </row>
    <row r="2991" customFormat="false" ht="15" hidden="true" customHeight="false" outlineLevel="0" collapsed="false">
      <c r="A2991" s="53" t="str">
        <f aca="false">IF($H2991="","",ROW()-5)</f>
        <v/>
      </c>
      <c r="B2991" s="64" t="s">
        <v>36</v>
      </c>
      <c r="C2991" s="53" t="n">
        <v>752</v>
      </c>
      <c r="D2991" s="53" t="n">
        <v>2</v>
      </c>
      <c r="E2991" s="65" t="str">
        <f aca="false">IF($H2991="","",购销流水!$B752)</f>
        <v/>
      </c>
      <c r="F2991" s="55" t="str">
        <f aca="false">IF($H2991="","",购销流水!$C752)</f>
        <v/>
      </c>
      <c r="G2991" s="48" t="str">
        <f aca="false">IF($H2991="","",购销流水!$N752)</f>
        <v/>
      </c>
      <c r="H2991" s="10" t="str">
        <f aca="false">IF($L2991="","",IF($L2991="@成本",购销流水!$U752,IF($L2991="@收入",购销流水!$T752,IF($L2991="@存货",购销流水!$S752,IF($L2991="@结算",购销流水!$R752,$L2991)))))</f>
        <v/>
      </c>
      <c r="I2991" s="42" t="n">
        <f aca="false">IF($M2991="借",$O2991,0)</f>
        <v>0</v>
      </c>
      <c r="J2991" s="42" t="n">
        <f aca="false">IF($M2991="贷",$O2991,0)</f>
        <v>0</v>
      </c>
      <c r="K2991" s="48" t="str">
        <f aca="false">IF($H2991="","",购销流水!$E752)</f>
        <v/>
      </c>
      <c r="L2991" s="66" t="str">
        <f aca="false">IF(购销流水!$D752="","",IFERROR(INDEX(记账规则!$A$6:$N$9,MATCH(购销流水!$D752,记账规则!$A$6:$A$9,0),6),""))</f>
        <v/>
      </c>
      <c r="M2991" s="66" t="str">
        <f aca="false">IF($L2991="","",IFERROR(INDEX(记账规则!$A$6:$N$9,MATCH(购销流水!$D752,记账规则!$A$6:$A$9,0),7),""))</f>
        <v/>
      </c>
      <c r="N2991" s="66" t="str">
        <f aca="false">IF($L2991="","",IFERROR(INDEX(记账规则!$A$6:$N$9,MATCH(购销流水!$D752,记账规则!$A$6:$A$9,0),8),""))</f>
        <v/>
      </c>
      <c r="O2991" s="67" t="n">
        <f aca="false">IF($H2991="",0,ROUND(IF($N2991="成本金额",N(购销流水!$W752),IF($N2991="金额",N(购销流水!$Q752),0)),2))</f>
        <v>0</v>
      </c>
      <c r="P2991" s="64" t="str">
        <f aca="false">IF(AND($H2991&lt;&gt;"",ROUND($O2991,2)&lt;&gt;0),"有","")</f>
        <v/>
      </c>
    </row>
    <row r="2992" customFormat="false" ht="15" hidden="true" customHeight="false" outlineLevel="0" collapsed="false">
      <c r="A2992" s="53" t="str">
        <f aca="false">IF($H2992="","",ROW()-5)</f>
        <v/>
      </c>
      <c r="B2992" s="64" t="s">
        <v>36</v>
      </c>
      <c r="C2992" s="53" t="n">
        <v>752</v>
      </c>
      <c r="D2992" s="53" t="n">
        <v>3</v>
      </c>
      <c r="E2992" s="65" t="str">
        <f aca="false">IF($H2992="","",购销流水!$B752)</f>
        <v/>
      </c>
      <c r="F2992" s="55" t="str">
        <f aca="false">IF($H2992="","",购销流水!$C752)</f>
        <v/>
      </c>
      <c r="G2992" s="48" t="str">
        <f aca="false">IF($H2992="","",购销流水!$N752)</f>
        <v/>
      </c>
      <c r="H2992" s="10" t="str">
        <f aca="false">IF($L2992="","",IF($L2992="@成本",购销流水!$U752,IF($L2992="@收入",购销流水!$T752,IF($L2992="@存货",购销流水!$S752,IF($L2992="@结算",购销流水!$R752,$L2992)))))</f>
        <v/>
      </c>
      <c r="I2992" s="42" t="n">
        <f aca="false">IF($M2992="借",$O2992,0)</f>
        <v>0</v>
      </c>
      <c r="J2992" s="42" t="n">
        <f aca="false">IF($M2992="贷",$O2992,0)</f>
        <v>0</v>
      </c>
      <c r="K2992" s="48" t="str">
        <f aca="false">IF($H2992="","",购销流水!$E752)</f>
        <v/>
      </c>
      <c r="L2992" s="66" t="str">
        <f aca="false">IF(购销流水!$D752="","",IFERROR(INDEX(记账规则!$A$6:$N$9,MATCH(购销流水!$D752,记账规则!$A$6:$A$9,0),9),""))</f>
        <v/>
      </c>
      <c r="M2992" s="66" t="str">
        <f aca="false">IF($L2992="","",IFERROR(INDEX(记账规则!$A$6:$N$9,MATCH(购销流水!$D752,记账规则!$A$6:$A$9,0),10),""))</f>
        <v/>
      </c>
      <c r="N2992" s="66" t="str">
        <f aca="false">IF($L2992="","",IFERROR(INDEX(记账规则!$A$6:$N$9,MATCH(购销流水!$D752,记账规则!$A$6:$A$9,0),11),""))</f>
        <v/>
      </c>
      <c r="O2992" s="67" t="n">
        <f aca="false">IF($H2992="",0,ROUND(IF($N2992="成本金额",N(购销流水!$W752),IF($N2992="金额",N(购销流水!$Q752),0)),2))</f>
        <v>0</v>
      </c>
      <c r="P2992" s="64" t="str">
        <f aca="false">IF(AND($H2992&lt;&gt;"",ROUND($O2992,2)&lt;&gt;0),"有","")</f>
        <v/>
      </c>
    </row>
    <row r="2993" customFormat="false" ht="15" hidden="true" customHeight="false" outlineLevel="0" collapsed="false">
      <c r="A2993" s="53" t="str">
        <f aca="false">IF($H2993="","",ROW()-5)</f>
        <v/>
      </c>
      <c r="B2993" s="64" t="s">
        <v>36</v>
      </c>
      <c r="C2993" s="53" t="n">
        <v>752</v>
      </c>
      <c r="D2993" s="53" t="n">
        <v>4</v>
      </c>
      <c r="E2993" s="65" t="str">
        <f aca="false">IF($H2993="","",购销流水!$B752)</f>
        <v/>
      </c>
      <c r="F2993" s="55" t="str">
        <f aca="false">IF($H2993="","",购销流水!$C752)</f>
        <v/>
      </c>
      <c r="G2993" s="48" t="str">
        <f aca="false">IF($H2993="","",购销流水!$N752)</f>
        <v/>
      </c>
      <c r="H2993" s="10" t="str">
        <f aca="false">IF($L2993="","",IF($L2993="@成本",购销流水!$U752,IF($L2993="@收入",购销流水!$T752,IF($L2993="@存货",购销流水!$S752,IF($L2993="@结算",购销流水!$R752,$L2993)))))</f>
        <v/>
      </c>
      <c r="I2993" s="42" t="n">
        <f aca="false">IF($M2993="借",$O2993,0)</f>
        <v>0</v>
      </c>
      <c r="J2993" s="42" t="n">
        <f aca="false">IF($M2993="贷",$O2993,0)</f>
        <v>0</v>
      </c>
      <c r="K2993" s="48" t="str">
        <f aca="false">IF($H2993="","",购销流水!$E752)</f>
        <v/>
      </c>
      <c r="L2993" s="66" t="str">
        <f aca="false">IF(购销流水!$D752="","",IFERROR(INDEX(记账规则!$A$6:$N$9,MATCH(购销流水!$D752,记账规则!$A$6:$A$9,0),12),""))</f>
        <v/>
      </c>
      <c r="M2993" s="66" t="str">
        <f aca="false">IF($L2993="","",IFERROR(INDEX(记账规则!$A$6:$N$9,MATCH(购销流水!$D752,记账规则!$A$6:$A$9,0),13),""))</f>
        <v/>
      </c>
      <c r="N2993" s="66" t="str">
        <f aca="false">IF($L2993="","",IFERROR(INDEX(记账规则!$A$6:$N$9,MATCH(购销流水!$D752,记账规则!$A$6:$A$9,0),14),""))</f>
        <v/>
      </c>
      <c r="O2993" s="67" t="n">
        <f aca="false">IF($H2993="",0,ROUND(IF($N2993="成本金额",N(购销流水!$W752),IF($N2993="金额",N(购销流水!$Q752),0)),2))</f>
        <v>0</v>
      </c>
      <c r="P2993" s="64" t="str">
        <f aca="false">IF(AND($H2993&lt;&gt;"",ROUND($O2993,2)&lt;&gt;0),"有","")</f>
        <v/>
      </c>
    </row>
    <row r="2994" customFormat="false" ht="15" hidden="true" customHeight="false" outlineLevel="0" collapsed="false">
      <c r="A2994" s="53" t="str">
        <f aca="false">IF($H2994="","",ROW()-5)</f>
        <v/>
      </c>
      <c r="B2994" s="64" t="s">
        <v>36</v>
      </c>
      <c r="C2994" s="53" t="n">
        <v>753</v>
      </c>
      <c r="D2994" s="53" t="n">
        <v>1</v>
      </c>
      <c r="E2994" s="65" t="str">
        <f aca="false">IF($H2994="","",购销流水!$B753)</f>
        <v/>
      </c>
      <c r="F2994" s="55" t="str">
        <f aca="false">IF($H2994="","",购销流水!$C753)</f>
        <v/>
      </c>
      <c r="G2994" s="48" t="str">
        <f aca="false">IF($H2994="","",购销流水!$N753)</f>
        <v/>
      </c>
      <c r="H2994" s="10" t="str">
        <f aca="false">IF($L2994="","",IF($L2994="@成本",购销流水!$U753,IF($L2994="@收入",购销流水!$T753,IF($L2994="@存货",购销流水!$S753,IF($L2994="@结算",购销流水!$R753,$L2994)))))</f>
        <v/>
      </c>
      <c r="I2994" s="42" t="n">
        <f aca="false">IF($M2994="借",$O2994,0)</f>
        <v>0</v>
      </c>
      <c r="J2994" s="42" t="n">
        <f aca="false">IF($M2994="贷",$O2994,0)</f>
        <v>0</v>
      </c>
      <c r="K2994" s="48" t="str">
        <f aca="false">IF($H2994="","",购销流水!$E753)</f>
        <v/>
      </c>
      <c r="L2994" s="66" t="str">
        <f aca="false">IF(购销流水!$D753="","",IFERROR(INDEX(记账规则!$A$6:$N$9,MATCH(购销流水!$D753,记账规则!$A$6:$A$9,0),3),""))</f>
        <v/>
      </c>
      <c r="M2994" s="66" t="str">
        <f aca="false">IF($L2994="","",IFERROR(INDEX(记账规则!$A$6:$N$9,MATCH(购销流水!$D753,记账规则!$A$6:$A$9,0),4),""))</f>
        <v/>
      </c>
      <c r="N2994" s="66" t="str">
        <f aca="false">IF($L2994="","",IFERROR(INDEX(记账规则!$A$6:$N$9,MATCH(购销流水!$D753,记账规则!$A$6:$A$9,0),5),""))</f>
        <v/>
      </c>
      <c r="O2994" s="67" t="n">
        <f aca="false">IF($H2994="",0,ROUND(IF($N2994="成本金额",N(购销流水!$W753),IF($N2994="金额",N(购销流水!$Q753),0)),2))</f>
        <v>0</v>
      </c>
      <c r="P2994" s="64" t="str">
        <f aca="false">IF(AND($H2994&lt;&gt;"",ROUND($O2994,2)&lt;&gt;0),"有","")</f>
        <v/>
      </c>
    </row>
    <row r="2995" customFormat="false" ht="15" hidden="true" customHeight="false" outlineLevel="0" collapsed="false">
      <c r="A2995" s="53" t="str">
        <f aca="false">IF($H2995="","",ROW()-5)</f>
        <v/>
      </c>
      <c r="B2995" s="64" t="s">
        <v>36</v>
      </c>
      <c r="C2995" s="53" t="n">
        <v>753</v>
      </c>
      <c r="D2995" s="53" t="n">
        <v>2</v>
      </c>
      <c r="E2995" s="65" t="str">
        <f aca="false">IF($H2995="","",购销流水!$B753)</f>
        <v/>
      </c>
      <c r="F2995" s="55" t="str">
        <f aca="false">IF($H2995="","",购销流水!$C753)</f>
        <v/>
      </c>
      <c r="G2995" s="48" t="str">
        <f aca="false">IF($H2995="","",购销流水!$N753)</f>
        <v/>
      </c>
      <c r="H2995" s="10" t="str">
        <f aca="false">IF($L2995="","",IF($L2995="@成本",购销流水!$U753,IF($L2995="@收入",购销流水!$T753,IF($L2995="@存货",购销流水!$S753,IF($L2995="@结算",购销流水!$R753,$L2995)))))</f>
        <v/>
      </c>
      <c r="I2995" s="42" t="n">
        <f aca="false">IF($M2995="借",$O2995,0)</f>
        <v>0</v>
      </c>
      <c r="J2995" s="42" t="n">
        <f aca="false">IF($M2995="贷",$O2995,0)</f>
        <v>0</v>
      </c>
      <c r="K2995" s="48" t="str">
        <f aca="false">IF($H2995="","",购销流水!$E753)</f>
        <v/>
      </c>
      <c r="L2995" s="66" t="str">
        <f aca="false">IF(购销流水!$D753="","",IFERROR(INDEX(记账规则!$A$6:$N$9,MATCH(购销流水!$D753,记账规则!$A$6:$A$9,0),6),""))</f>
        <v/>
      </c>
      <c r="M2995" s="66" t="str">
        <f aca="false">IF($L2995="","",IFERROR(INDEX(记账规则!$A$6:$N$9,MATCH(购销流水!$D753,记账规则!$A$6:$A$9,0),7),""))</f>
        <v/>
      </c>
      <c r="N2995" s="66" t="str">
        <f aca="false">IF($L2995="","",IFERROR(INDEX(记账规则!$A$6:$N$9,MATCH(购销流水!$D753,记账规则!$A$6:$A$9,0),8),""))</f>
        <v/>
      </c>
      <c r="O2995" s="67" t="n">
        <f aca="false">IF($H2995="",0,ROUND(IF($N2995="成本金额",N(购销流水!$W753),IF($N2995="金额",N(购销流水!$Q753),0)),2))</f>
        <v>0</v>
      </c>
      <c r="P2995" s="64" t="str">
        <f aca="false">IF(AND($H2995&lt;&gt;"",ROUND($O2995,2)&lt;&gt;0),"有","")</f>
        <v/>
      </c>
    </row>
    <row r="2996" customFormat="false" ht="15" hidden="true" customHeight="false" outlineLevel="0" collapsed="false">
      <c r="A2996" s="53" t="str">
        <f aca="false">IF($H2996="","",ROW()-5)</f>
        <v/>
      </c>
      <c r="B2996" s="64" t="s">
        <v>36</v>
      </c>
      <c r="C2996" s="53" t="n">
        <v>753</v>
      </c>
      <c r="D2996" s="53" t="n">
        <v>3</v>
      </c>
      <c r="E2996" s="65" t="str">
        <f aca="false">IF($H2996="","",购销流水!$B753)</f>
        <v/>
      </c>
      <c r="F2996" s="55" t="str">
        <f aca="false">IF($H2996="","",购销流水!$C753)</f>
        <v/>
      </c>
      <c r="G2996" s="48" t="str">
        <f aca="false">IF($H2996="","",购销流水!$N753)</f>
        <v/>
      </c>
      <c r="H2996" s="10" t="str">
        <f aca="false">IF($L2996="","",IF($L2996="@成本",购销流水!$U753,IF($L2996="@收入",购销流水!$T753,IF($L2996="@存货",购销流水!$S753,IF($L2996="@结算",购销流水!$R753,$L2996)))))</f>
        <v/>
      </c>
      <c r="I2996" s="42" t="n">
        <f aca="false">IF($M2996="借",$O2996,0)</f>
        <v>0</v>
      </c>
      <c r="J2996" s="42" t="n">
        <f aca="false">IF($M2996="贷",$O2996,0)</f>
        <v>0</v>
      </c>
      <c r="K2996" s="48" t="str">
        <f aca="false">IF($H2996="","",购销流水!$E753)</f>
        <v/>
      </c>
      <c r="L2996" s="66" t="str">
        <f aca="false">IF(购销流水!$D753="","",IFERROR(INDEX(记账规则!$A$6:$N$9,MATCH(购销流水!$D753,记账规则!$A$6:$A$9,0),9),""))</f>
        <v/>
      </c>
      <c r="M2996" s="66" t="str">
        <f aca="false">IF($L2996="","",IFERROR(INDEX(记账规则!$A$6:$N$9,MATCH(购销流水!$D753,记账规则!$A$6:$A$9,0),10),""))</f>
        <v/>
      </c>
      <c r="N2996" s="66" t="str">
        <f aca="false">IF($L2996="","",IFERROR(INDEX(记账规则!$A$6:$N$9,MATCH(购销流水!$D753,记账规则!$A$6:$A$9,0),11),""))</f>
        <v/>
      </c>
      <c r="O2996" s="67" t="n">
        <f aca="false">IF($H2996="",0,ROUND(IF($N2996="成本金额",N(购销流水!$W753),IF($N2996="金额",N(购销流水!$Q753),0)),2))</f>
        <v>0</v>
      </c>
      <c r="P2996" s="64" t="str">
        <f aca="false">IF(AND($H2996&lt;&gt;"",ROUND($O2996,2)&lt;&gt;0),"有","")</f>
        <v/>
      </c>
    </row>
    <row r="2997" customFormat="false" ht="15" hidden="true" customHeight="false" outlineLevel="0" collapsed="false">
      <c r="A2997" s="53" t="str">
        <f aca="false">IF($H2997="","",ROW()-5)</f>
        <v/>
      </c>
      <c r="B2997" s="64" t="s">
        <v>36</v>
      </c>
      <c r="C2997" s="53" t="n">
        <v>753</v>
      </c>
      <c r="D2997" s="53" t="n">
        <v>4</v>
      </c>
      <c r="E2997" s="65" t="str">
        <f aca="false">IF($H2997="","",购销流水!$B753)</f>
        <v/>
      </c>
      <c r="F2997" s="55" t="str">
        <f aca="false">IF($H2997="","",购销流水!$C753)</f>
        <v/>
      </c>
      <c r="G2997" s="48" t="str">
        <f aca="false">IF($H2997="","",购销流水!$N753)</f>
        <v/>
      </c>
      <c r="H2997" s="10" t="str">
        <f aca="false">IF($L2997="","",IF($L2997="@成本",购销流水!$U753,IF($L2997="@收入",购销流水!$T753,IF($L2997="@存货",购销流水!$S753,IF($L2997="@结算",购销流水!$R753,$L2997)))))</f>
        <v/>
      </c>
      <c r="I2997" s="42" t="n">
        <f aca="false">IF($M2997="借",$O2997,0)</f>
        <v>0</v>
      </c>
      <c r="J2997" s="42" t="n">
        <f aca="false">IF($M2997="贷",$O2997,0)</f>
        <v>0</v>
      </c>
      <c r="K2997" s="48" t="str">
        <f aca="false">IF($H2997="","",购销流水!$E753)</f>
        <v/>
      </c>
      <c r="L2997" s="66" t="str">
        <f aca="false">IF(购销流水!$D753="","",IFERROR(INDEX(记账规则!$A$6:$N$9,MATCH(购销流水!$D753,记账规则!$A$6:$A$9,0),12),""))</f>
        <v/>
      </c>
      <c r="M2997" s="66" t="str">
        <f aca="false">IF($L2997="","",IFERROR(INDEX(记账规则!$A$6:$N$9,MATCH(购销流水!$D753,记账规则!$A$6:$A$9,0),13),""))</f>
        <v/>
      </c>
      <c r="N2997" s="66" t="str">
        <f aca="false">IF($L2997="","",IFERROR(INDEX(记账规则!$A$6:$N$9,MATCH(购销流水!$D753,记账规则!$A$6:$A$9,0),14),""))</f>
        <v/>
      </c>
      <c r="O2997" s="67" t="n">
        <f aca="false">IF($H2997="",0,ROUND(IF($N2997="成本金额",N(购销流水!$W753),IF($N2997="金额",N(购销流水!$Q753),0)),2))</f>
        <v>0</v>
      </c>
      <c r="P2997" s="64" t="str">
        <f aca="false">IF(AND($H2997&lt;&gt;"",ROUND($O2997,2)&lt;&gt;0),"有","")</f>
        <v/>
      </c>
    </row>
    <row r="2998" customFormat="false" ht="15" hidden="true" customHeight="false" outlineLevel="0" collapsed="false">
      <c r="A2998" s="53" t="str">
        <f aca="false">IF($H2998="","",ROW()-5)</f>
        <v/>
      </c>
      <c r="B2998" s="64" t="s">
        <v>36</v>
      </c>
      <c r="C2998" s="53" t="n">
        <v>754</v>
      </c>
      <c r="D2998" s="53" t="n">
        <v>1</v>
      </c>
      <c r="E2998" s="65" t="str">
        <f aca="false">IF($H2998="","",购销流水!$B754)</f>
        <v/>
      </c>
      <c r="F2998" s="55" t="str">
        <f aca="false">IF($H2998="","",购销流水!$C754)</f>
        <v/>
      </c>
      <c r="G2998" s="48" t="str">
        <f aca="false">IF($H2998="","",购销流水!$N754)</f>
        <v/>
      </c>
      <c r="H2998" s="10" t="str">
        <f aca="false">IF($L2998="","",IF($L2998="@成本",购销流水!$U754,IF($L2998="@收入",购销流水!$T754,IF($L2998="@存货",购销流水!$S754,IF($L2998="@结算",购销流水!$R754,$L2998)))))</f>
        <v/>
      </c>
      <c r="I2998" s="42" t="n">
        <f aca="false">IF($M2998="借",$O2998,0)</f>
        <v>0</v>
      </c>
      <c r="J2998" s="42" t="n">
        <f aca="false">IF($M2998="贷",$O2998,0)</f>
        <v>0</v>
      </c>
      <c r="K2998" s="48" t="str">
        <f aca="false">IF($H2998="","",购销流水!$E754)</f>
        <v/>
      </c>
      <c r="L2998" s="66" t="str">
        <f aca="false">IF(购销流水!$D754="","",IFERROR(INDEX(记账规则!$A$6:$N$9,MATCH(购销流水!$D754,记账规则!$A$6:$A$9,0),3),""))</f>
        <v/>
      </c>
      <c r="M2998" s="66" t="str">
        <f aca="false">IF($L2998="","",IFERROR(INDEX(记账规则!$A$6:$N$9,MATCH(购销流水!$D754,记账规则!$A$6:$A$9,0),4),""))</f>
        <v/>
      </c>
      <c r="N2998" s="66" t="str">
        <f aca="false">IF($L2998="","",IFERROR(INDEX(记账规则!$A$6:$N$9,MATCH(购销流水!$D754,记账规则!$A$6:$A$9,0),5),""))</f>
        <v/>
      </c>
      <c r="O2998" s="67" t="n">
        <f aca="false">IF($H2998="",0,ROUND(IF($N2998="成本金额",N(购销流水!$W754),IF($N2998="金额",N(购销流水!$Q754),0)),2))</f>
        <v>0</v>
      </c>
      <c r="P2998" s="64" t="str">
        <f aca="false">IF(AND($H2998&lt;&gt;"",ROUND($O2998,2)&lt;&gt;0),"有","")</f>
        <v/>
      </c>
    </row>
    <row r="2999" customFormat="false" ht="15" hidden="true" customHeight="false" outlineLevel="0" collapsed="false">
      <c r="A2999" s="53" t="str">
        <f aca="false">IF($H2999="","",ROW()-5)</f>
        <v/>
      </c>
      <c r="B2999" s="64" t="s">
        <v>36</v>
      </c>
      <c r="C2999" s="53" t="n">
        <v>754</v>
      </c>
      <c r="D2999" s="53" t="n">
        <v>2</v>
      </c>
      <c r="E2999" s="65" t="str">
        <f aca="false">IF($H2999="","",购销流水!$B754)</f>
        <v/>
      </c>
      <c r="F2999" s="55" t="str">
        <f aca="false">IF($H2999="","",购销流水!$C754)</f>
        <v/>
      </c>
      <c r="G2999" s="48" t="str">
        <f aca="false">IF($H2999="","",购销流水!$N754)</f>
        <v/>
      </c>
      <c r="H2999" s="10" t="str">
        <f aca="false">IF($L2999="","",IF($L2999="@成本",购销流水!$U754,IF($L2999="@收入",购销流水!$T754,IF($L2999="@存货",购销流水!$S754,IF($L2999="@结算",购销流水!$R754,$L2999)))))</f>
        <v/>
      </c>
      <c r="I2999" s="42" t="n">
        <f aca="false">IF($M2999="借",$O2999,0)</f>
        <v>0</v>
      </c>
      <c r="J2999" s="42" t="n">
        <f aca="false">IF($M2999="贷",$O2999,0)</f>
        <v>0</v>
      </c>
      <c r="K2999" s="48" t="str">
        <f aca="false">IF($H2999="","",购销流水!$E754)</f>
        <v/>
      </c>
      <c r="L2999" s="66" t="str">
        <f aca="false">IF(购销流水!$D754="","",IFERROR(INDEX(记账规则!$A$6:$N$9,MATCH(购销流水!$D754,记账规则!$A$6:$A$9,0),6),""))</f>
        <v/>
      </c>
      <c r="M2999" s="66" t="str">
        <f aca="false">IF($L2999="","",IFERROR(INDEX(记账规则!$A$6:$N$9,MATCH(购销流水!$D754,记账规则!$A$6:$A$9,0),7),""))</f>
        <v/>
      </c>
      <c r="N2999" s="66" t="str">
        <f aca="false">IF($L2999="","",IFERROR(INDEX(记账规则!$A$6:$N$9,MATCH(购销流水!$D754,记账规则!$A$6:$A$9,0),8),""))</f>
        <v/>
      </c>
      <c r="O2999" s="67" t="n">
        <f aca="false">IF($H2999="",0,ROUND(IF($N2999="成本金额",N(购销流水!$W754),IF($N2999="金额",N(购销流水!$Q754),0)),2))</f>
        <v>0</v>
      </c>
      <c r="P2999" s="64" t="str">
        <f aca="false">IF(AND($H2999&lt;&gt;"",ROUND($O2999,2)&lt;&gt;0),"有","")</f>
        <v/>
      </c>
    </row>
    <row r="3000" customFormat="false" ht="15" hidden="true" customHeight="false" outlineLevel="0" collapsed="false">
      <c r="A3000" s="53" t="str">
        <f aca="false">IF($H3000="","",ROW()-5)</f>
        <v/>
      </c>
      <c r="B3000" s="64" t="s">
        <v>36</v>
      </c>
      <c r="C3000" s="53" t="n">
        <v>754</v>
      </c>
      <c r="D3000" s="53" t="n">
        <v>3</v>
      </c>
      <c r="E3000" s="65" t="str">
        <f aca="false">IF($H3000="","",购销流水!$B754)</f>
        <v/>
      </c>
      <c r="F3000" s="55" t="str">
        <f aca="false">IF($H3000="","",购销流水!$C754)</f>
        <v/>
      </c>
      <c r="G3000" s="48" t="str">
        <f aca="false">IF($H3000="","",购销流水!$N754)</f>
        <v/>
      </c>
      <c r="H3000" s="10" t="str">
        <f aca="false">IF($L3000="","",IF($L3000="@成本",购销流水!$U754,IF($L3000="@收入",购销流水!$T754,IF($L3000="@存货",购销流水!$S754,IF($L3000="@结算",购销流水!$R754,$L3000)))))</f>
        <v/>
      </c>
      <c r="I3000" s="42" t="n">
        <f aca="false">IF($M3000="借",$O3000,0)</f>
        <v>0</v>
      </c>
      <c r="J3000" s="42" t="n">
        <f aca="false">IF($M3000="贷",$O3000,0)</f>
        <v>0</v>
      </c>
      <c r="K3000" s="48" t="str">
        <f aca="false">IF($H3000="","",购销流水!$E754)</f>
        <v/>
      </c>
      <c r="L3000" s="66" t="str">
        <f aca="false">IF(购销流水!$D754="","",IFERROR(INDEX(记账规则!$A$6:$N$9,MATCH(购销流水!$D754,记账规则!$A$6:$A$9,0),9),""))</f>
        <v/>
      </c>
      <c r="M3000" s="66" t="str">
        <f aca="false">IF($L3000="","",IFERROR(INDEX(记账规则!$A$6:$N$9,MATCH(购销流水!$D754,记账规则!$A$6:$A$9,0),10),""))</f>
        <v/>
      </c>
      <c r="N3000" s="66" t="str">
        <f aca="false">IF($L3000="","",IFERROR(INDEX(记账规则!$A$6:$N$9,MATCH(购销流水!$D754,记账规则!$A$6:$A$9,0),11),""))</f>
        <v/>
      </c>
      <c r="O3000" s="67" t="n">
        <f aca="false">IF($H3000="",0,ROUND(IF($N3000="成本金额",N(购销流水!$W754),IF($N3000="金额",N(购销流水!$Q754),0)),2))</f>
        <v>0</v>
      </c>
      <c r="P3000" s="64" t="str">
        <f aca="false">IF(AND($H3000&lt;&gt;"",ROUND($O3000,2)&lt;&gt;0),"有","")</f>
        <v/>
      </c>
    </row>
    <row r="3001" customFormat="false" ht="15" hidden="true" customHeight="false" outlineLevel="0" collapsed="false">
      <c r="A3001" s="53" t="str">
        <f aca="false">IF($H3001="","",ROW()-5)</f>
        <v/>
      </c>
      <c r="B3001" s="64" t="s">
        <v>36</v>
      </c>
      <c r="C3001" s="53" t="n">
        <v>754</v>
      </c>
      <c r="D3001" s="53" t="n">
        <v>4</v>
      </c>
      <c r="E3001" s="65" t="str">
        <f aca="false">IF($H3001="","",购销流水!$B754)</f>
        <v/>
      </c>
      <c r="F3001" s="55" t="str">
        <f aca="false">IF($H3001="","",购销流水!$C754)</f>
        <v/>
      </c>
      <c r="G3001" s="48" t="str">
        <f aca="false">IF($H3001="","",购销流水!$N754)</f>
        <v/>
      </c>
      <c r="H3001" s="10" t="str">
        <f aca="false">IF($L3001="","",IF($L3001="@成本",购销流水!$U754,IF($L3001="@收入",购销流水!$T754,IF($L3001="@存货",购销流水!$S754,IF($L3001="@结算",购销流水!$R754,$L3001)))))</f>
        <v/>
      </c>
      <c r="I3001" s="42" t="n">
        <f aca="false">IF($M3001="借",$O3001,0)</f>
        <v>0</v>
      </c>
      <c r="J3001" s="42" t="n">
        <f aca="false">IF($M3001="贷",$O3001,0)</f>
        <v>0</v>
      </c>
      <c r="K3001" s="48" t="str">
        <f aca="false">IF($H3001="","",购销流水!$E754)</f>
        <v/>
      </c>
      <c r="L3001" s="66" t="str">
        <f aca="false">IF(购销流水!$D754="","",IFERROR(INDEX(记账规则!$A$6:$N$9,MATCH(购销流水!$D754,记账规则!$A$6:$A$9,0),12),""))</f>
        <v/>
      </c>
      <c r="M3001" s="66" t="str">
        <f aca="false">IF($L3001="","",IFERROR(INDEX(记账规则!$A$6:$N$9,MATCH(购销流水!$D754,记账规则!$A$6:$A$9,0),13),""))</f>
        <v/>
      </c>
      <c r="N3001" s="66" t="str">
        <f aca="false">IF($L3001="","",IFERROR(INDEX(记账规则!$A$6:$N$9,MATCH(购销流水!$D754,记账规则!$A$6:$A$9,0),14),""))</f>
        <v/>
      </c>
      <c r="O3001" s="67" t="n">
        <f aca="false">IF($H3001="",0,ROUND(IF($N3001="成本金额",N(购销流水!$W754),IF($N3001="金额",N(购销流水!$Q754),0)),2))</f>
        <v>0</v>
      </c>
      <c r="P3001" s="64" t="str">
        <f aca="false">IF(AND($H3001&lt;&gt;"",ROUND($O3001,2)&lt;&gt;0),"有","")</f>
        <v/>
      </c>
    </row>
    <row r="3002" customFormat="false" ht="15" hidden="true" customHeight="false" outlineLevel="0" collapsed="false">
      <c r="A3002" s="53" t="str">
        <f aca="false">IF($H3002="","",ROW()-5)</f>
        <v/>
      </c>
      <c r="B3002" s="64" t="s">
        <v>36</v>
      </c>
      <c r="C3002" s="53" t="n">
        <v>755</v>
      </c>
      <c r="D3002" s="53" t="n">
        <v>1</v>
      </c>
      <c r="E3002" s="65" t="str">
        <f aca="false">IF($H3002="","",购销流水!$B755)</f>
        <v/>
      </c>
      <c r="F3002" s="55" t="str">
        <f aca="false">IF($H3002="","",购销流水!$C755)</f>
        <v/>
      </c>
      <c r="G3002" s="48" t="str">
        <f aca="false">IF($H3002="","",购销流水!$N755)</f>
        <v/>
      </c>
      <c r="H3002" s="10" t="str">
        <f aca="false">IF($L3002="","",IF($L3002="@成本",购销流水!$U755,IF($L3002="@收入",购销流水!$T755,IF($L3002="@存货",购销流水!$S755,IF($L3002="@结算",购销流水!$R755,$L3002)))))</f>
        <v/>
      </c>
      <c r="I3002" s="42" t="n">
        <f aca="false">IF($M3002="借",$O3002,0)</f>
        <v>0</v>
      </c>
      <c r="J3002" s="42" t="n">
        <f aca="false">IF($M3002="贷",$O3002,0)</f>
        <v>0</v>
      </c>
      <c r="K3002" s="48" t="str">
        <f aca="false">IF($H3002="","",购销流水!$E755)</f>
        <v/>
      </c>
      <c r="L3002" s="66" t="str">
        <f aca="false">IF(购销流水!$D755="","",IFERROR(INDEX(记账规则!$A$6:$N$9,MATCH(购销流水!$D755,记账规则!$A$6:$A$9,0),3),""))</f>
        <v/>
      </c>
      <c r="M3002" s="66" t="str">
        <f aca="false">IF($L3002="","",IFERROR(INDEX(记账规则!$A$6:$N$9,MATCH(购销流水!$D755,记账规则!$A$6:$A$9,0),4),""))</f>
        <v/>
      </c>
      <c r="N3002" s="66" t="str">
        <f aca="false">IF($L3002="","",IFERROR(INDEX(记账规则!$A$6:$N$9,MATCH(购销流水!$D755,记账规则!$A$6:$A$9,0),5),""))</f>
        <v/>
      </c>
      <c r="O3002" s="67" t="n">
        <f aca="false">IF($H3002="",0,ROUND(IF($N3002="成本金额",N(购销流水!$W755),IF($N3002="金额",N(购销流水!$Q755),0)),2))</f>
        <v>0</v>
      </c>
      <c r="P3002" s="64" t="str">
        <f aca="false">IF(AND($H3002&lt;&gt;"",ROUND($O3002,2)&lt;&gt;0),"有","")</f>
        <v/>
      </c>
    </row>
    <row r="3003" customFormat="false" ht="15" hidden="true" customHeight="false" outlineLevel="0" collapsed="false">
      <c r="A3003" s="53" t="str">
        <f aca="false">IF($H3003="","",ROW()-5)</f>
        <v/>
      </c>
      <c r="B3003" s="64" t="s">
        <v>36</v>
      </c>
      <c r="C3003" s="53" t="n">
        <v>755</v>
      </c>
      <c r="D3003" s="53" t="n">
        <v>2</v>
      </c>
      <c r="E3003" s="65" t="str">
        <f aca="false">IF($H3003="","",购销流水!$B755)</f>
        <v/>
      </c>
      <c r="F3003" s="55" t="str">
        <f aca="false">IF($H3003="","",购销流水!$C755)</f>
        <v/>
      </c>
      <c r="G3003" s="48" t="str">
        <f aca="false">IF($H3003="","",购销流水!$N755)</f>
        <v/>
      </c>
      <c r="H3003" s="10" t="str">
        <f aca="false">IF($L3003="","",IF($L3003="@成本",购销流水!$U755,IF($L3003="@收入",购销流水!$T755,IF($L3003="@存货",购销流水!$S755,IF($L3003="@结算",购销流水!$R755,$L3003)))))</f>
        <v/>
      </c>
      <c r="I3003" s="42" t="n">
        <f aca="false">IF($M3003="借",$O3003,0)</f>
        <v>0</v>
      </c>
      <c r="J3003" s="42" t="n">
        <f aca="false">IF($M3003="贷",$O3003,0)</f>
        <v>0</v>
      </c>
      <c r="K3003" s="48" t="str">
        <f aca="false">IF($H3003="","",购销流水!$E755)</f>
        <v/>
      </c>
      <c r="L3003" s="66" t="str">
        <f aca="false">IF(购销流水!$D755="","",IFERROR(INDEX(记账规则!$A$6:$N$9,MATCH(购销流水!$D755,记账规则!$A$6:$A$9,0),6),""))</f>
        <v/>
      </c>
      <c r="M3003" s="66" t="str">
        <f aca="false">IF($L3003="","",IFERROR(INDEX(记账规则!$A$6:$N$9,MATCH(购销流水!$D755,记账规则!$A$6:$A$9,0),7),""))</f>
        <v/>
      </c>
      <c r="N3003" s="66" t="str">
        <f aca="false">IF($L3003="","",IFERROR(INDEX(记账规则!$A$6:$N$9,MATCH(购销流水!$D755,记账规则!$A$6:$A$9,0),8),""))</f>
        <v/>
      </c>
      <c r="O3003" s="67" t="n">
        <f aca="false">IF($H3003="",0,ROUND(IF($N3003="成本金额",N(购销流水!$W755),IF($N3003="金额",N(购销流水!$Q755),0)),2))</f>
        <v>0</v>
      </c>
      <c r="P3003" s="64" t="str">
        <f aca="false">IF(AND($H3003&lt;&gt;"",ROUND($O3003,2)&lt;&gt;0),"有","")</f>
        <v/>
      </c>
    </row>
    <row r="3004" customFormat="false" ht="15" hidden="true" customHeight="false" outlineLevel="0" collapsed="false">
      <c r="A3004" s="53" t="str">
        <f aca="false">IF($H3004="","",ROW()-5)</f>
        <v/>
      </c>
      <c r="B3004" s="64" t="s">
        <v>36</v>
      </c>
      <c r="C3004" s="53" t="n">
        <v>755</v>
      </c>
      <c r="D3004" s="53" t="n">
        <v>3</v>
      </c>
      <c r="E3004" s="65" t="str">
        <f aca="false">IF($H3004="","",购销流水!$B755)</f>
        <v/>
      </c>
      <c r="F3004" s="55" t="str">
        <f aca="false">IF($H3004="","",购销流水!$C755)</f>
        <v/>
      </c>
      <c r="G3004" s="48" t="str">
        <f aca="false">IF($H3004="","",购销流水!$N755)</f>
        <v/>
      </c>
      <c r="H3004" s="10" t="str">
        <f aca="false">IF($L3004="","",IF($L3004="@成本",购销流水!$U755,IF($L3004="@收入",购销流水!$T755,IF($L3004="@存货",购销流水!$S755,IF($L3004="@结算",购销流水!$R755,$L3004)))))</f>
        <v/>
      </c>
      <c r="I3004" s="42" t="n">
        <f aca="false">IF($M3004="借",$O3004,0)</f>
        <v>0</v>
      </c>
      <c r="J3004" s="42" t="n">
        <f aca="false">IF($M3004="贷",$O3004,0)</f>
        <v>0</v>
      </c>
      <c r="K3004" s="48" t="str">
        <f aca="false">IF($H3004="","",购销流水!$E755)</f>
        <v/>
      </c>
      <c r="L3004" s="66" t="str">
        <f aca="false">IF(购销流水!$D755="","",IFERROR(INDEX(记账规则!$A$6:$N$9,MATCH(购销流水!$D755,记账规则!$A$6:$A$9,0),9),""))</f>
        <v/>
      </c>
      <c r="M3004" s="66" t="str">
        <f aca="false">IF($L3004="","",IFERROR(INDEX(记账规则!$A$6:$N$9,MATCH(购销流水!$D755,记账规则!$A$6:$A$9,0),10),""))</f>
        <v/>
      </c>
      <c r="N3004" s="66" t="str">
        <f aca="false">IF($L3004="","",IFERROR(INDEX(记账规则!$A$6:$N$9,MATCH(购销流水!$D755,记账规则!$A$6:$A$9,0),11),""))</f>
        <v/>
      </c>
      <c r="O3004" s="67" t="n">
        <f aca="false">IF($H3004="",0,ROUND(IF($N3004="成本金额",N(购销流水!$W755),IF($N3004="金额",N(购销流水!$Q755),0)),2))</f>
        <v>0</v>
      </c>
      <c r="P3004" s="64" t="str">
        <f aca="false">IF(AND($H3004&lt;&gt;"",ROUND($O3004,2)&lt;&gt;0),"有","")</f>
        <v/>
      </c>
    </row>
    <row r="3005" customFormat="false" ht="15" hidden="true" customHeight="false" outlineLevel="0" collapsed="false">
      <c r="A3005" s="53" t="str">
        <f aca="false">IF($H3005="","",ROW()-5)</f>
        <v/>
      </c>
      <c r="B3005" s="64" t="s">
        <v>36</v>
      </c>
      <c r="C3005" s="53" t="n">
        <v>755</v>
      </c>
      <c r="D3005" s="53" t="n">
        <v>4</v>
      </c>
      <c r="E3005" s="65" t="str">
        <f aca="false">IF($H3005="","",购销流水!$B755)</f>
        <v/>
      </c>
      <c r="F3005" s="55" t="str">
        <f aca="false">IF($H3005="","",购销流水!$C755)</f>
        <v/>
      </c>
      <c r="G3005" s="48" t="str">
        <f aca="false">IF($H3005="","",购销流水!$N755)</f>
        <v/>
      </c>
      <c r="H3005" s="10" t="str">
        <f aca="false">IF($L3005="","",IF($L3005="@成本",购销流水!$U755,IF($L3005="@收入",购销流水!$T755,IF($L3005="@存货",购销流水!$S755,IF($L3005="@结算",购销流水!$R755,$L3005)))))</f>
        <v/>
      </c>
      <c r="I3005" s="42" t="n">
        <f aca="false">IF($M3005="借",$O3005,0)</f>
        <v>0</v>
      </c>
      <c r="J3005" s="42" t="n">
        <f aca="false">IF($M3005="贷",$O3005,0)</f>
        <v>0</v>
      </c>
      <c r="K3005" s="48" t="str">
        <f aca="false">IF($H3005="","",购销流水!$E755)</f>
        <v/>
      </c>
      <c r="L3005" s="66" t="str">
        <f aca="false">IF(购销流水!$D755="","",IFERROR(INDEX(记账规则!$A$6:$N$9,MATCH(购销流水!$D755,记账规则!$A$6:$A$9,0),12),""))</f>
        <v/>
      </c>
      <c r="M3005" s="66" t="str">
        <f aca="false">IF($L3005="","",IFERROR(INDEX(记账规则!$A$6:$N$9,MATCH(购销流水!$D755,记账规则!$A$6:$A$9,0),13),""))</f>
        <v/>
      </c>
      <c r="N3005" s="66" t="str">
        <f aca="false">IF($L3005="","",IFERROR(INDEX(记账规则!$A$6:$N$9,MATCH(购销流水!$D755,记账规则!$A$6:$A$9,0),14),""))</f>
        <v/>
      </c>
      <c r="O3005" s="67" t="n">
        <f aca="false">IF($H3005="",0,ROUND(IF($N3005="成本金额",N(购销流水!$W755),IF($N3005="金额",N(购销流水!$Q755),0)),2))</f>
        <v>0</v>
      </c>
      <c r="P3005" s="64" t="str">
        <f aca="false">IF(AND($H3005&lt;&gt;"",ROUND($O3005,2)&lt;&gt;0),"有","")</f>
        <v/>
      </c>
    </row>
    <row r="3006" customFormat="false" ht="15" hidden="true" customHeight="false" outlineLevel="0" collapsed="false">
      <c r="A3006" s="53" t="str">
        <f aca="false">IF($H3006="","",ROW()-5)</f>
        <v/>
      </c>
      <c r="B3006" s="64" t="s">
        <v>36</v>
      </c>
      <c r="C3006" s="53" t="n">
        <v>756</v>
      </c>
      <c r="D3006" s="53" t="n">
        <v>1</v>
      </c>
      <c r="E3006" s="65" t="str">
        <f aca="false">IF($H3006="","",购销流水!$B756)</f>
        <v/>
      </c>
      <c r="F3006" s="55" t="str">
        <f aca="false">IF($H3006="","",购销流水!$C756)</f>
        <v/>
      </c>
      <c r="G3006" s="48" t="str">
        <f aca="false">IF($H3006="","",购销流水!$N756)</f>
        <v/>
      </c>
      <c r="H3006" s="10" t="str">
        <f aca="false">IF($L3006="","",IF($L3006="@成本",购销流水!$U756,IF($L3006="@收入",购销流水!$T756,IF($L3006="@存货",购销流水!$S756,IF($L3006="@结算",购销流水!$R756,$L3006)))))</f>
        <v/>
      </c>
      <c r="I3006" s="42" t="n">
        <f aca="false">IF($M3006="借",$O3006,0)</f>
        <v>0</v>
      </c>
      <c r="J3006" s="42" t="n">
        <f aca="false">IF($M3006="贷",$O3006,0)</f>
        <v>0</v>
      </c>
      <c r="K3006" s="48" t="str">
        <f aca="false">IF($H3006="","",购销流水!$E756)</f>
        <v/>
      </c>
      <c r="L3006" s="66" t="str">
        <f aca="false">IF(购销流水!$D756="","",IFERROR(INDEX(记账规则!$A$6:$N$9,MATCH(购销流水!$D756,记账规则!$A$6:$A$9,0),3),""))</f>
        <v/>
      </c>
      <c r="M3006" s="66" t="str">
        <f aca="false">IF($L3006="","",IFERROR(INDEX(记账规则!$A$6:$N$9,MATCH(购销流水!$D756,记账规则!$A$6:$A$9,0),4),""))</f>
        <v/>
      </c>
      <c r="N3006" s="66" t="str">
        <f aca="false">IF($L3006="","",IFERROR(INDEX(记账规则!$A$6:$N$9,MATCH(购销流水!$D756,记账规则!$A$6:$A$9,0),5),""))</f>
        <v/>
      </c>
      <c r="O3006" s="67" t="n">
        <f aca="false">IF($H3006="",0,ROUND(IF($N3006="成本金额",N(购销流水!$W756),IF($N3006="金额",N(购销流水!$Q756),0)),2))</f>
        <v>0</v>
      </c>
      <c r="P3006" s="64" t="str">
        <f aca="false">IF(AND($H3006&lt;&gt;"",ROUND($O3006,2)&lt;&gt;0),"有","")</f>
        <v/>
      </c>
    </row>
    <row r="3007" customFormat="false" ht="15" hidden="true" customHeight="false" outlineLevel="0" collapsed="false">
      <c r="A3007" s="53" t="str">
        <f aca="false">IF($H3007="","",ROW()-5)</f>
        <v/>
      </c>
      <c r="B3007" s="64" t="s">
        <v>36</v>
      </c>
      <c r="C3007" s="53" t="n">
        <v>756</v>
      </c>
      <c r="D3007" s="53" t="n">
        <v>2</v>
      </c>
      <c r="E3007" s="65" t="str">
        <f aca="false">IF($H3007="","",购销流水!$B756)</f>
        <v/>
      </c>
      <c r="F3007" s="55" t="str">
        <f aca="false">IF($H3007="","",购销流水!$C756)</f>
        <v/>
      </c>
      <c r="G3007" s="48" t="str">
        <f aca="false">IF($H3007="","",购销流水!$N756)</f>
        <v/>
      </c>
      <c r="H3007" s="10" t="str">
        <f aca="false">IF($L3007="","",IF($L3007="@成本",购销流水!$U756,IF($L3007="@收入",购销流水!$T756,IF($L3007="@存货",购销流水!$S756,IF($L3007="@结算",购销流水!$R756,$L3007)))))</f>
        <v/>
      </c>
      <c r="I3007" s="42" t="n">
        <f aca="false">IF($M3007="借",$O3007,0)</f>
        <v>0</v>
      </c>
      <c r="J3007" s="42" t="n">
        <f aca="false">IF($M3007="贷",$O3007,0)</f>
        <v>0</v>
      </c>
      <c r="K3007" s="48" t="str">
        <f aca="false">IF($H3007="","",购销流水!$E756)</f>
        <v/>
      </c>
      <c r="L3007" s="66" t="str">
        <f aca="false">IF(购销流水!$D756="","",IFERROR(INDEX(记账规则!$A$6:$N$9,MATCH(购销流水!$D756,记账规则!$A$6:$A$9,0),6),""))</f>
        <v/>
      </c>
      <c r="M3007" s="66" t="str">
        <f aca="false">IF($L3007="","",IFERROR(INDEX(记账规则!$A$6:$N$9,MATCH(购销流水!$D756,记账规则!$A$6:$A$9,0),7),""))</f>
        <v/>
      </c>
      <c r="N3007" s="66" t="str">
        <f aca="false">IF($L3007="","",IFERROR(INDEX(记账规则!$A$6:$N$9,MATCH(购销流水!$D756,记账规则!$A$6:$A$9,0),8),""))</f>
        <v/>
      </c>
      <c r="O3007" s="67" t="n">
        <f aca="false">IF($H3007="",0,ROUND(IF($N3007="成本金额",N(购销流水!$W756),IF($N3007="金额",N(购销流水!$Q756),0)),2))</f>
        <v>0</v>
      </c>
      <c r="P3007" s="64" t="str">
        <f aca="false">IF(AND($H3007&lt;&gt;"",ROUND($O3007,2)&lt;&gt;0),"有","")</f>
        <v/>
      </c>
    </row>
    <row r="3008" customFormat="false" ht="15" hidden="true" customHeight="false" outlineLevel="0" collapsed="false">
      <c r="A3008" s="53" t="str">
        <f aca="false">IF($H3008="","",ROW()-5)</f>
        <v/>
      </c>
      <c r="B3008" s="64" t="s">
        <v>36</v>
      </c>
      <c r="C3008" s="53" t="n">
        <v>756</v>
      </c>
      <c r="D3008" s="53" t="n">
        <v>3</v>
      </c>
      <c r="E3008" s="65" t="str">
        <f aca="false">IF($H3008="","",购销流水!$B756)</f>
        <v/>
      </c>
      <c r="F3008" s="55" t="str">
        <f aca="false">IF($H3008="","",购销流水!$C756)</f>
        <v/>
      </c>
      <c r="G3008" s="48" t="str">
        <f aca="false">IF($H3008="","",购销流水!$N756)</f>
        <v/>
      </c>
      <c r="H3008" s="10" t="str">
        <f aca="false">IF($L3008="","",IF($L3008="@成本",购销流水!$U756,IF($L3008="@收入",购销流水!$T756,IF($L3008="@存货",购销流水!$S756,IF($L3008="@结算",购销流水!$R756,$L3008)))))</f>
        <v/>
      </c>
      <c r="I3008" s="42" t="n">
        <f aca="false">IF($M3008="借",$O3008,0)</f>
        <v>0</v>
      </c>
      <c r="J3008" s="42" t="n">
        <f aca="false">IF($M3008="贷",$O3008,0)</f>
        <v>0</v>
      </c>
      <c r="K3008" s="48" t="str">
        <f aca="false">IF($H3008="","",购销流水!$E756)</f>
        <v/>
      </c>
      <c r="L3008" s="66" t="str">
        <f aca="false">IF(购销流水!$D756="","",IFERROR(INDEX(记账规则!$A$6:$N$9,MATCH(购销流水!$D756,记账规则!$A$6:$A$9,0),9),""))</f>
        <v/>
      </c>
      <c r="M3008" s="66" t="str">
        <f aca="false">IF($L3008="","",IFERROR(INDEX(记账规则!$A$6:$N$9,MATCH(购销流水!$D756,记账规则!$A$6:$A$9,0),10),""))</f>
        <v/>
      </c>
      <c r="N3008" s="66" t="str">
        <f aca="false">IF($L3008="","",IFERROR(INDEX(记账规则!$A$6:$N$9,MATCH(购销流水!$D756,记账规则!$A$6:$A$9,0),11),""))</f>
        <v/>
      </c>
      <c r="O3008" s="67" t="n">
        <f aca="false">IF($H3008="",0,ROUND(IF($N3008="成本金额",N(购销流水!$W756),IF($N3008="金额",N(购销流水!$Q756),0)),2))</f>
        <v>0</v>
      </c>
      <c r="P3008" s="64" t="str">
        <f aca="false">IF(AND($H3008&lt;&gt;"",ROUND($O3008,2)&lt;&gt;0),"有","")</f>
        <v/>
      </c>
    </row>
    <row r="3009" customFormat="false" ht="15" hidden="true" customHeight="false" outlineLevel="0" collapsed="false">
      <c r="A3009" s="53" t="str">
        <f aca="false">IF($H3009="","",ROW()-5)</f>
        <v/>
      </c>
      <c r="B3009" s="64" t="s">
        <v>36</v>
      </c>
      <c r="C3009" s="53" t="n">
        <v>756</v>
      </c>
      <c r="D3009" s="53" t="n">
        <v>4</v>
      </c>
      <c r="E3009" s="65" t="str">
        <f aca="false">IF($H3009="","",购销流水!$B756)</f>
        <v/>
      </c>
      <c r="F3009" s="55" t="str">
        <f aca="false">IF($H3009="","",购销流水!$C756)</f>
        <v/>
      </c>
      <c r="G3009" s="48" t="str">
        <f aca="false">IF($H3009="","",购销流水!$N756)</f>
        <v/>
      </c>
      <c r="H3009" s="10" t="str">
        <f aca="false">IF($L3009="","",IF($L3009="@成本",购销流水!$U756,IF($L3009="@收入",购销流水!$T756,IF($L3009="@存货",购销流水!$S756,IF($L3009="@结算",购销流水!$R756,$L3009)))))</f>
        <v/>
      </c>
      <c r="I3009" s="42" t="n">
        <f aca="false">IF($M3009="借",$O3009,0)</f>
        <v>0</v>
      </c>
      <c r="J3009" s="42" t="n">
        <f aca="false">IF($M3009="贷",$O3009,0)</f>
        <v>0</v>
      </c>
      <c r="K3009" s="48" t="str">
        <f aca="false">IF($H3009="","",购销流水!$E756)</f>
        <v/>
      </c>
      <c r="L3009" s="66" t="str">
        <f aca="false">IF(购销流水!$D756="","",IFERROR(INDEX(记账规则!$A$6:$N$9,MATCH(购销流水!$D756,记账规则!$A$6:$A$9,0),12),""))</f>
        <v/>
      </c>
      <c r="M3009" s="66" t="str">
        <f aca="false">IF($L3009="","",IFERROR(INDEX(记账规则!$A$6:$N$9,MATCH(购销流水!$D756,记账规则!$A$6:$A$9,0),13),""))</f>
        <v/>
      </c>
      <c r="N3009" s="66" t="str">
        <f aca="false">IF($L3009="","",IFERROR(INDEX(记账规则!$A$6:$N$9,MATCH(购销流水!$D756,记账规则!$A$6:$A$9,0),14),""))</f>
        <v/>
      </c>
      <c r="O3009" s="67" t="n">
        <f aca="false">IF($H3009="",0,ROUND(IF($N3009="成本金额",N(购销流水!$W756),IF($N3009="金额",N(购销流水!$Q756),0)),2))</f>
        <v>0</v>
      </c>
      <c r="P3009" s="64" t="str">
        <f aca="false">IF(AND($H3009&lt;&gt;"",ROUND($O3009,2)&lt;&gt;0),"有","")</f>
        <v/>
      </c>
    </row>
    <row r="3010" customFormat="false" ht="15" hidden="true" customHeight="false" outlineLevel="0" collapsed="false">
      <c r="A3010" s="53" t="str">
        <f aca="false">IF($H3010="","",ROW()-5)</f>
        <v/>
      </c>
      <c r="B3010" s="64" t="s">
        <v>36</v>
      </c>
      <c r="C3010" s="53" t="n">
        <v>757</v>
      </c>
      <c r="D3010" s="53" t="n">
        <v>1</v>
      </c>
      <c r="E3010" s="65" t="str">
        <f aca="false">IF($H3010="","",购销流水!$B757)</f>
        <v/>
      </c>
      <c r="F3010" s="55" t="str">
        <f aca="false">IF($H3010="","",购销流水!$C757)</f>
        <v/>
      </c>
      <c r="G3010" s="48" t="str">
        <f aca="false">IF($H3010="","",购销流水!$N757)</f>
        <v/>
      </c>
      <c r="H3010" s="10" t="str">
        <f aca="false">IF($L3010="","",IF($L3010="@成本",购销流水!$U757,IF($L3010="@收入",购销流水!$T757,IF($L3010="@存货",购销流水!$S757,IF($L3010="@结算",购销流水!$R757,$L3010)))))</f>
        <v/>
      </c>
      <c r="I3010" s="42" t="n">
        <f aca="false">IF($M3010="借",$O3010,0)</f>
        <v>0</v>
      </c>
      <c r="J3010" s="42" t="n">
        <f aca="false">IF($M3010="贷",$O3010,0)</f>
        <v>0</v>
      </c>
      <c r="K3010" s="48" t="str">
        <f aca="false">IF($H3010="","",购销流水!$E757)</f>
        <v/>
      </c>
      <c r="L3010" s="66" t="str">
        <f aca="false">IF(购销流水!$D757="","",IFERROR(INDEX(记账规则!$A$6:$N$9,MATCH(购销流水!$D757,记账规则!$A$6:$A$9,0),3),""))</f>
        <v/>
      </c>
      <c r="M3010" s="66" t="str">
        <f aca="false">IF($L3010="","",IFERROR(INDEX(记账规则!$A$6:$N$9,MATCH(购销流水!$D757,记账规则!$A$6:$A$9,0),4),""))</f>
        <v/>
      </c>
      <c r="N3010" s="66" t="str">
        <f aca="false">IF($L3010="","",IFERROR(INDEX(记账规则!$A$6:$N$9,MATCH(购销流水!$D757,记账规则!$A$6:$A$9,0),5),""))</f>
        <v/>
      </c>
      <c r="O3010" s="67" t="n">
        <f aca="false">IF($H3010="",0,ROUND(IF($N3010="成本金额",N(购销流水!$W757),IF($N3010="金额",N(购销流水!$Q757),0)),2))</f>
        <v>0</v>
      </c>
      <c r="P3010" s="64" t="str">
        <f aca="false">IF(AND($H3010&lt;&gt;"",ROUND($O3010,2)&lt;&gt;0),"有","")</f>
        <v/>
      </c>
    </row>
    <row r="3011" customFormat="false" ht="15" hidden="true" customHeight="false" outlineLevel="0" collapsed="false">
      <c r="A3011" s="53" t="str">
        <f aca="false">IF($H3011="","",ROW()-5)</f>
        <v/>
      </c>
      <c r="B3011" s="64" t="s">
        <v>36</v>
      </c>
      <c r="C3011" s="53" t="n">
        <v>757</v>
      </c>
      <c r="D3011" s="53" t="n">
        <v>2</v>
      </c>
      <c r="E3011" s="65" t="str">
        <f aca="false">IF($H3011="","",购销流水!$B757)</f>
        <v/>
      </c>
      <c r="F3011" s="55" t="str">
        <f aca="false">IF($H3011="","",购销流水!$C757)</f>
        <v/>
      </c>
      <c r="G3011" s="48" t="str">
        <f aca="false">IF($H3011="","",购销流水!$N757)</f>
        <v/>
      </c>
      <c r="H3011" s="10" t="str">
        <f aca="false">IF($L3011="","",IF($L3011="@成本",购销流水!$U757,IF($L3011="@收入",购销流水!$T757,IF($L3011="@存货",购销流水!$S757,IF($L3011="@结算",购销流水!$R757,$L3011)))))</f>
        <v/>
      </c>
      <c r="I3011" s="42" t="n">
        <f aca="false">IF($M3011="借",$O3011,0)</f>
        <v>0</v>
      </c>
      <c r="J3011" s="42" t="n">
        <f aca="false">IF($M3011="贷",$O3011,0)</f>
        <v>0</v>
      </c>
      <c r="K3011" s="48" t="str">
        <f aca="false">IF($H3011="","",购销流水!$E757)</f>
        <v/>
      </c>
      <c r="L3011" s="66" t="str">
        <f aca="false">IF(购销流水!$D757="","",IFERROR(INDEX(记账规则!$A$6:$N$9,MATCH(购销流水!$D757,记账规则!$A$6:$A$9,0),6),""))</f>
        <v/>
      </c>
      <c r="M3011" s="66" t="str">
        <f aca="false">IF($L3011="","",IFERROR(INDEX(记账规则!$A$6:$N$9,MATCH(购销流水!$D757,记账规则!$A$6:$A$9,0),7),""))</f>
        <v/>
      </c>
      <c r="N3011" s="66" t="str">
        <f aca="false">IF($L3011="","",IFERROR(INDEX(记账规则!$A$6:$N$9,MATCH(购销流水!$D757,记账规则!$A$6:$A$9,0),8),""))</f>
        <v/>
      </c>
      <c r="O3011" s="67" t="n">
        <f aca="false">IF($H3011="",0,ROUND(IF($N3011="成本金额",N(购销流水!$W757),IF($N3011="金额",N(购销流水!$Q757),0)),2))</f>
        <v>0</v>
      </c>
      <c r="P3011" s="64" t="str">
        <f aca="false">IF(AND($H3011&lt;&gt;"",ROUND($O3011,2)&lt;&gt;0),"有","")</f>
        <v/>
      </c>
    </row>
    <row r="3012" customFormat="false" ht="15" hidden="true" customHeight="false" outlineLevel="0" collapsed="false">
      <c r="A3012" s="53" t="str">
        <f aca="false">IF($H3012="","",ROW()-5)</f>
        <v/>
      </c>
      <c r="B3012" s="64" t="s">
        <v>36</v>
      </c>
      <c r="C3012" s="53" t="n">
        <v>757</v>
      </c>
      <c r="D3012" s="53" t="n">
        <v>3</v>
      </c>
      <c r="E3012" s="65" t="str">
        <f aca="false">IF($H3012="","",购销流水!$B757)</f>
        <v/>
      </c>
      <c r="F3012" s="55" t="str">
        <f aca="false">IF($H3012="","",购销流水!$C757)</f>
        <v/>
      </c>
      <c r="G3012" s="48" t="str">
        <f aca="false">IF($H3012="","",购销流水!$N757)</f>
        <v/>
      </c>
      <c r="H3012" s="10" t="str">
        <f aca="false">IF($L3012="","",IF($L3012="@成本",购销流水!$U757,IF($L3012="@收入",购销流水!$T757,IF($L3012="@存货",购销流水!$S757,IF($L3012="@结算",购销流水!$R757,$L3012)))))</f>
        <v/>
      </c>
      <c r="I3012" s="42" t="n">
        <f aca="false">IF($M3012="借",$O3012,0)</f>
        <v>0</v>
      </c>
      <c r="J3012" s="42" t="n">
        <f aca="false">IF($M3012="贷",$O3012,0)</f>
        <v>0</v>
      </c>
      <c r="K3012" s="48" t="str">
        <f aca="false">IF($H3012="","",购销流水!$E757)</f>
        <v/>
      </c>
      <c r="L3012" s="66" t="str">
        <f aca="false">IF(购销流水!$D757="","",IFERROR(INDEX(记账规则!$A$6:$N$9,MATCH(购销流水!$D757,记账规则!$A$6:$A$9,0),9),""))</f>
        <v/>
      </c>
      <c r="M3012" s="66" t="str">
        <f aca="false">IF($L3012="","",IFERROR(INDEX(记账规则!$A$6:$N$9,MATCH(购销流水!$D757,记账规则!$A$6:$A$9,0),10),""))</f>
        <v/>
      </c>
      <c r="N3012" s="66" t="str">
        <f aca="false">IF($L3012="","",IFERROR(INDEX(记账规则!$A$6:$N$9,MATCH(购销流水!$D757,记账规则!$A$6:$A$9,0),11),""))</f>
        <v/>
      </c>
      <c r="O3012" s="67" t="n">
        <f aca="false">IF($H3012="",0,ROUND(IF($N3012="成本金额",N(购销流水!$W757),IF($N3012="金额",N(购销流水!$Q757),0)),2))</f>
        <v>0</v>
      </c>
      <c r="P3012" s="64" t="str">
        <f aca="false">IF(AND($H3012&lt;&gt;"",ROUND($O3012,2)&lt;&gt;0),"有","")</f>
        <v/>
      </c>
    </row>
    <row r="3013" customFormat="false" ht="15" hidden="true" customHeight="false" outlineLevel="0" collapsed="false">
      <c r="A3013" s="53" t="str">
        <f aca="false">IF($H3013="","",ROW()-5)</f>
        <v/>
      </c>
      <c r="B3013" s="64" t="s">
        <v>36</v>
      </c>
      <c r="C3013" s="53" t="n">
        <v>757</v>
      </c>
      <c r="D3013" s="53" t="n">
        <v>4</v>
      </c>
      <c r="E3013" s="65" t="str">
        <f aca="false">IF($H3013="","",购销流水!$B757)</f>
        <v/>
      </c>
      <c r="F3013" s="55" t="str">
        <f aca="false">IF($H3013="","",购销流水!$C757)</f>
        <v/>
      </c>
      <c r="G3013" s="48" t="str">
        <f aca="false">IF($H3013="","",购销流水!$N757)</f>
        <v/>
      </c>
      <c r="H3013" s="10" t="str">
        <f aca="false">IF($L3013="","",IF($L3013="@成本",购销流水!$U757,IF($L3013="@收入",购销流水!$T757,IF($L3013="@存货",购销流水!$S757,IF($L3013="@结算",购销流水!$R757,$L3013)))))</f>
        <v/>
      </c>
      <c r="I3013" s="42" t="n">
        <f aca="false">IF($M3013="借",$O3013,0)</f>
        <v>0</v>
      </c>
      <c r="J3013" s="42" t="n">
        <f aca="false">IF($M3013="贷",$O3013,0)</f>
        <v>0</v>
      </c>
      <c r="K3013" s="48" t="str">
        <f aca="false">IF($H3013="","",购销流水!$E757)</f>
        <v/>
      </c>
      <c r="L3013" s="66" t="str">
        <f aca="false">IF(购销流水!$D757="","",IFERROR(INDEX(记账规则!$A$6:$N$9,MATCH(购销流水!$D757,记账规则!$A$6:$A$9,0),12),""))</f>
        <v/>
      </c>
      <c r="M3013" s="66" t="str">
        <f aca="false">IF($L3013="","",IFERROR(INDEX(记账规则!$A$6:$N$9,MATCH(购销流水!$D757,记账规则!$A$6:$A$9,0),13),""))</f>
        <v/>
      </c>
      <c r="N3013" s="66" t="str">
        <f aca="false">IF($L3013="","",IFERROR(INDEX(记账规则!$A$6:$N$9,MATCH(购销流水!$D757,记账规则!$A$6:$A$9,0),14),""))</f>
        <v/>
      </c>
      <c r="O3013" s="67" t="n">
        <f aca="false">IF($H3013="",0,ROUND(IF($N3013="成本金额",N(购销流水!$W757),IF($N3013="金额",N(购销流水!$Q757),0)),2))</f>
        <v>0</v>
      </c>
      <c r="P3013" s="64" t="str">
        <f aca="false">IF(AND($H3013&lt;&gt;"",ROUND($O3013,2)&lt;&gt;0),"有","")</f>
        <v/>
      </c>
    </row>
    <row r="3014" customFormat="false" ht="15" hidden="true" customHeight="false" outlineLevel="0" collapsed="false">
      <c r="A3014" s="53" t="str">
        <f aca="false">IF($H3014="","",ROW()-5)</f>
        <v/>
      </c>
      <c r="B3014" s="64" t="s">
        <v>36</v>
      </c>
      <c r="C3014" s="53" t="n">
        <v>758</v>
      </c>
      <c r="D3014" s="53" t="n">
        <v>1</v>
      </c>
      <c r="E3014" s="65" t="str">
        <f aca="false">IF($H3014="","",购销流水!$B758)</f>
        <v/>
      </c>
      <c r="F3014" s="55" t="str">
        <f aca="false">IF($H3014="","",购销流水!$C758)</f>
        <v/>
      </c>
      <c r="G3014" s="48" t="str">
        <f aca="false">IF($H3014="","",购销流水!$N758)</f>
        <v/>
      </c>
      <c r="H3014" s="10" t="str">
        <f aca="false">IF($L3014="","",IF($L3014="@成本",购销流水!$U758,IF($L3014="@收入",购销流水!$T758,IF($L3014="@存货",购销流水!$S758,IF($L3014="@结算",购销流水!$R758,$L3014)))))</f>
        <v/>
      </c>
      <c r="I3014" s="42" t="n">
        <f aca="false">IF($M3014="借",$O3014,0)</f>
        <v>0</v>
      </c>
      <c r="J3014" s="42" t="n">
        <f aca="false">IF($M3014="贷",$O3014,0)</f>
        <v>0</v>
      </c>
      <c r="K3014" s="48" t="str">
        <f aca="false">IF($H3014="","",购销流水!$E758)</f>
        <v/>
      </c>
      <c r="L3014" s="66" t="str">
        <f aca="false">IF(购销流水!$D758="","",IFERROR(INDEX(记账规则!$A$6:$N$9,MATCH(购销流水!$D758,记账规则!$A$6:$A$9,0),3),""))</f>
        <v/>
      </c>
      <c r="M3014" s="66" t="str">
        <f aca="false">IF($L3014="","",IFERROR(INDEX(记账规则!$A$6:$N$9,MATCH(购销流水!$D758,记账规则!$A$6:$A$9,0),4),""))</f>
        <v/>
      </c>
      <c r="N3014" s="66" t="str">
        <f aca="false">IF($L3014="","",IFERROR(INDEX(记账规则!$A$6:$N$9,MATCH(购销流水!$D758,记账规则!$A$6:$A$9,0),5),""))</f>
        <v/>
      </c>
      <c r="O3014" s="67" t="n">
        <f aca="false">IF($H3014="",0,ROUND(IF($N3014="成本金额",N(购销流水!$W758),IF($N3014="金额",N(购销流水!$Q758),0)),2))</f>
        <v>0</v>
      </c>
      <c r="P3014" s="64" t="str">
        <f aca="false">IF(AND($H3014&lt;&gt;"",ROUND($O3014,2)&lt;&gt;0),"有","")</f>
        <v/>
      </c>
    </row>
    <row r="3015" customFormat="false" ht="15" hidden="true" customHeight="false" outlineLevel="0" collapsed="false">
      <c r="A3015" s="53" t="str">
        <f aca="false">IF($H3015="","",ROW()-5)</f>
        <v/>
      </c>
      <c r="B3015" s="64" t="s">
        <v>36</v>
      </c>
      <c r="C3015" s="53" t="n">
        <v>758</v>
      </c>
      <c r="D3015" s="53" t="n">
        <v>2</v>
      </c>
      <c r="E3015" s="65" t="str">
        <f aca="false">IF($H3015="","",购销流水!$B758)</f>
        <v/>
      </c>
      <c r="F3015" s="55" t="str">
        <f aca="false">IF($H3015="","",购销流水!$C758)</f>
        <v/>
      </c>
      <c r="G3015" s="48" t="str">
        <f aca="false">IF($H3015="","",购销流水!$N758)</f>
        <v/>
      </c>
      <c r="H3015" s="10" t="str">
        <f aca="false">IF($L3015="","",IF($L3015="@成本",购销流水!$U758,IF($L3015="@收入",购销流水!$T758,IF($L3015="@存货",购销流水!$S758,IF($L3015="@结算",购销流水!$R758,$L3015)))))</f>
        <v/>
      </c>
      <c r="I3015" s="42" t="n">
        <f aca="false">IF($M3015="借",$O3015,0)</f>
        <v>0</v>
      </c>
      <c r="J3015" s="42" t="n">
        <f aca="false">IF($M3015="贷",$O3015,0)</f>
        <v>0</v>
      </c>
      <c r="K3015" s="48" t="str">
        <f aca="false">IF($H3015="","",购销流水!$E758)</f>
        <v/>
      </c>
      <c r="L3015" s="66" t="str">
        <f aca="false">IF(购销流水!$D758="","",IFERROR(INDEX(记账规则!$A$6:$N$9,MATCH(购销流水!$D758,记账规则!$A$6:$A$9,0),6),""))</f>
        <v/>
      </c>
      <c r="M3015" s="66" t="str">
        <f aca="false">IF($L3015="","",IFERROR(INDEX(记账规则!$A$6:$N$9,MATCH(购销流水!$D758,记账规则!$A$6:$A$9,0),7),""))</f>
        <v/>
      </c>
      <c r="N3015" s="66" t="str">
        <f aca="false">IF($L3015="","",IFERROR(INDEX(记账规则!$A$6:$N$9,MATCH(购销流水!$D758,记账规则!$A$6:$A$9,0),8),""))</f>
        <v/>
      </c>
      <c r="O3015" s="67" t="n">
        <f aca="false">IF($H3015="",0,ROUND(IF($N3015="成本金额",N(购销流水!$W758),IF($N3015="金额",N(购销流水!$Q758),0)),2))</f>
        <v>0</v>
      </c>
      <c r="P3015" s="64" t="str">
        <f aca="false">IF(AND($H3015&lt;&gt;"",ROUND($O3015,2)&lt;&gt;0),"有","")</f>
        <v/>
      </c>
    </row>
    <row r="3016" customFormat="false" ht="15" hidden="true" customHeight="false" outlineLevel="0" collapsed="false">
      <c r="A3016" s="53" t="str">
        <f aca="false">IF($H3016="","",ROW()-5)</f>
        <v/>
      </c>
      <c r="B3016" s="64" t="s">
        <v>36</v>
      </c>
      <c r="C3016" s="53" t="n">
        <v>758</v>
      </c>
      <c r="D3016" s="53" t="n">
        <v>3</v>
      </c>
      <c r="E3016" s="65" t="str">
        <f aca="false">IF($H3016="","",购销流水!$B758)</f>
        <v/>
      </c>
      <c r="F3016" s="55" t="str">
        <f aca="false">IF($H3016="","",购销流水!$C758)</f>
        <v/>
      </c>
      <c r="G3016" s="48" t="str">
        <f aca="false">IF($H3016="","",购销流水!$N758)</f>
        <v/>
      </c>
      <c r="H3016" s="10" t="str">
        <f aca="false">IF($L3016="","",IF($L3016="@成本",购销流水!$U758,IF($L3016="@收入",购销流水!$T758,IF($L3016="@存货",购销流水!$S758,IF($L3016="@结算",购销流水!$R758,$L3016)))))</f>
        <v/>
      </c>
      <c r="I3016" s="42" t="n">
        <f aca="false">IF($M3016="借",$O3016,0)</f>
        <v>0</v>
      </c>
      <c r="J3016" s="42" t="n">
        <f aca="false">IF($M3016="贷",$O3016,0)</f>
        <v>0</v>
      </c>
      <c r="K3016" s="48" t="str">
        <f aca="false">IF($H3016="","",购销流水!$E758)</f>
        <v/>
      </c>
      <c r="L3016" s="66" t="str">
        <f aca="false">IF(购销流水!$D758="","",IFERROR(INDEX(记账规则!$A$6:$N$9,MATCH(购销流水!$D758,记账规则!$A$6:$A$9,0),9),""))</f>
        <v/>
      </c>
      <c r="M3016" s="66" t="str">
        <f aca="false">IF($L3016="","",IFERROR(INDEX(记账规则!$A$6:$N$9,MATCH(购销流水!$D758,记账规则!$A$6:$A$9,0),10),""))</f>
        <v/>
      </c>
      <c r="N3016" s="66" t="str">
        <f aca="false">IF($L3016="","",IFERROR(INDEX(记账规则!$A$6:$N$9,MATCH(购销流水!$D758,记账规则!$A$6:$A$9,0),11),""))</f>
        <v/>
      </c>
      <c r="O3016" s="67" t="n">
        <f aca="false">IF($H3016="",0,ROUND(IF($N3016="成本金额",N(购销流水!$W758),IF($N3016="金额",N(购销流水!$Q758),0)),2))</f>
        <v>0</v>
      </c>
      <c r="P3016" s="64" t="str">
        <f aca="false">IF(AND($H3016&lt;&gt;"",ROUND($O3016,2)&lt;&gt;0),"有","")</f>
        <v/>
      </c>
    </row>
    <row r="3017" customFormat="false" ht="15" hidden="true" customHeight="false" outlineLevel="0" collapsed="false">
      <c r="A3017" s="53" t="str">
        <f aca="false">IF($H3017="","",ROW()-5)</f>
        <v/>
      </c>
      <c r="B3017" s="64" t="s">
        <v>36</v>
      </c>
      <c r="C3017" s="53" t="n">
        <v>758</v>
      </c>
      <c r="D3017" s="53" t="n">
        <v>4</v>
      </c>
      <c r="E3017" s="65" t="str">
        <f aca="false">IF($H3017="","",购销流水!$B758)</f>
        <v/>
      </c>
      <c r="F3017" s="55" t="str">
        <f aca="false">IF($H3017="","",购销流水!$C758)</f>
        <v/>
      </c>
      <c r="G3017" s="48" t="str">
        <f aca="false">IF($H3017="","",购销流水!$N758)</f>
        <v/>
      </c>
      <c r="H3017" s="10" t="str">
        <f aca="false">IF($L3017="","",IF($L3017="@成本",购销流水!$U758,IF($L3017="@收入",购销流水!$T758,IF($L3017="@存货",购销流水!$S758,IF($L3017="@结算",购销流水!$R758,$L3017)))))</f>
        <v/>
      </c>
      <c r="I3017" s="42" t="n">
        <f aca="false">IF($M3017="借",$O3017,0)</f>
        <v>0</v>
      </c>
      <c r="J3017" s="42" t="n">
        <f aca="false">IF($M3017="贷",$O3017,0)</f>
        <v>0</v>
      </c>
      <c r="K3017" s="48" t="str">
        <f aca="false">IF($H3017="","",购销流水!$E758)</f>
        <v/>
      </c>
      <c r="L3017" s="66" t="str">
        <f aca="false">IF(购销流水!$D758="","",IFERROR(INDEX(记账规则!$A$6:$N$9,MATCH(购销流水!$D758,记账规则!$A$6:$A$9,0),12),""))</f>
        <v/>
      </c>
      <c r="M3017" s="66" t="str">
        <f aca="false">IF($L3017="","",IFERROR(INDEX(记账规则!$A$6:$N$9,MATCH(购销流水!$D758,记账规则!$A$6:$A$9,0),13),""))</f>
        <v/>
      </c>
      <c r="N3017" s="66" t="str">
        <f aca="false">IF($L3017="","",IFERROR(INDEX(记账规则!$A$6:$N$9,MATCH(购销流水!$D758,记账规则!$A$6:$A$9,0),14),""))</f>
        <v/>
      </c>
      <c r="O3017" s="67" t="n">
        <f aca="false">IF($H3017="",0,ROUND(IF($N3017="成本金额",N(购销流水!$W758),IF($N3017="金额",N(购销流水!$Q758),0)),2))</f>
        <v>0</v>
      </c>
      <c r="P3017" s="64" t="str">
        <f aca="false">IF(AND($H3017&lt;&gt;"",ROUND($O3017,2)&lt;&gt;0),"有","")</f>
        <v/>
      </c>
    </row>
    <row r="3018" customFormat="false" ht="15" hidden="true" customHeight="false" outlineLevel="0" collapsed="false">
      <c r="A3018" s="53" t="str">
        <f aca="false">IF($H3018="","",ROW()-5)</f>
        <v/>
      </c>
      <c r="B3018" s="64" t="s">
        <v>36</v>
      </c>
      <c r="C3018" s="53" t="n">
        <v>759</v>
      </c>
      <c r="D3018" s="53" t="n">
        <v>1</v>
      </c>
      <c r="E3018" s="65" t="str">
        <f aca="false">IF($H3018="","",购销流水!$B759)</f>
        <v/>
      </c>
      <c r="F3018" s="55" t="str">
        <f aca="false">IF($H3018="","",购销流水!$C759)</f>
        <v/>
      </c>
      <c r="G3018" s="48" t="str">
        <f aca="false">IF($H3018="","",购销流水!$N759)</f>
        <v/>
      </c>
      <c r="H3018" s="10" t="str">
        <f aca="false">IF($L3018="","",IF($L3018="@成本",购销流水!$U759,IF($L3018="@收入",购销流水!$T759,IF($L3018="@存货",购销流水!$S759,IF($L3018="@结算",购销流水!$R759,$L3018)))))</f>
        <v/>
      </c>
      <c r="I3018" s="42" t="n">
        <f aca="false">IF($M3018="借",$O3018,0)</f>
        <v>0</v>
      </c>
      <c r="J3018" s="42" t="n">
        <f aca="false">IF($M3018="贷",$O3018,0)</f>
        <v>0</v>
      </c>
      <c r="K3018" s="48" t="str">
        <f aca="false">IF($H3018="","",购销流水!$E759)</f>
        <v/>
      </c>
      <c r="L3018" s="66" t="str">
        <f aca="false">IF(购销流水!$D759="","",IFERROR(INDEX(记账规则!$A$6:$N$9,MATCH(购销流水!$D759,记账规则!$A$6:$A$9,0),3),""))</f>
        <v/>
      </c>
      <c r="M3018" s="66" t="str">
        <f aca="false">IF($L3018="","",IFERROR(INDEX(记账规则!$A$6:$N$9,MATCH(购销流水!$D759,记账规则!$A$6:$A$9,0),4),""))</f>
        <v/>
      </c>
      <c r="N3018" s="66" t="str">
        <f aca="false">IF($L3018="","",IFERROR(INDEX(记账规则!$A$6:$N$9,MATCH(购销流水!$D759,记账规则!$A$6:$A$9,0),5),""))</f>
        <v/>
      </c>
      <c r="O3018" s="67" t="n">
        <f aca="false">IF($H3018="",0,ROUND(IF($N3018="成本金额",N(购销流水!$W759),IF($N3018="金额",N(购销流水!$Q759),0)),2))</f>
        <v>0</v>
      </c>
      <c r="P3018" s="64" t="str">
        <f aca="false">IF(AND($H3018&lt;&gt;"",ROUND($O3018,2)&lt;&gt;0),"有","")</f>
        <v/>
      </c>
    </row>
    <row r="3019" customFormat="false" ht="15" hidden="true" customHeight="false" outlineLevel="0" collapsed="false">
      <c r="A3019" s="53" t="str">
        <f aca="false">IF($H3019="","",ROW()-5)</f>
        <v/>
      </c>
      <c r="B3019" s="64" t="s">
        <v>36</v>
      </c>
      <c r="C3019" s="53" t="n">
        <v>759</v>
      </c>
      <c r="D3019" s="53" t="n">
        <v>2</v>
      </c>
      <c r="E3019" s="65" t="str">
        <f aca="false">IF($H3019="","",购销流水!$B759)</f>
        <v/>
      </c>
      <c r="F3019" s="55" t="str">
        <f aca="false">IF($H3019="","",购销流水!$C759)</f>
        <v/>
      </c>
      <c r="G3019" s="48" t="str">
        <f aca="false">IF($H3019="","",购销流水!$N759)</f>
        <v/>
      </c>
      <c r="H3019" s="10" t="str">
        <f aca="false">IF($L3019="","",IF($L3019="@成本",购销流水!$U759,IF($L3019="@收入",购销流水!$T759,IF($L3019="@存货",购销流水!$S759,IF($L3019="@结算",购销流水!$R759,$L3019)))))</f>
        <v/>
      </c>
      <c r="I3019" s="42" t="n">
        <f aca="false">IF($M3019="借",$O3019,0)</f>
        <v>0</v>
      </c>
      <c r="J3019" s="42" t="n">
        <f aca="false">IF($M3019="贷",$O3019,0)</f>
        <v>0</v>
      </c>
      <c r="K3019" s="48" t="str">
        <f aca="false">IF($H3019="","",购销流水!$E759)</f>
        <v/>
      </c>
      <c r="L3019" s="66" t="str">
        <f aca="false">IF(购销流水!$D759="","",IFERROR(INDEX(记账规则!$A$6:$N$9,MATCH(购销流水!$D759,记账规则!$A$6:$A$9,0),6),""))</f>
        <v/>
      </c>
      <c r="M3019" s="66" t="str">
        <f aca="false">IF($L3019="","",IFERROR(INDEX(记账规则!$A$6:$N$9,MATCH(购销流水!$D759,记账规则!$A$6:$A$9,0),7),""))</f>
        <v/>
      </c>
      <c r="N3019" s="66" t="str">
        <f aca="false">IF($L3019="","",IFERROR(INDEX(记账规则!$A$6:$N$9,MATCH(购销流水!$D759,记账规则!$A$6:$A$9,0),8),""))</f>
        <v/>
      </c>
      <c r="O3019" s="67" t="n">
        <f aca="false">IF($H3019="",0,ROUND(IF($N3019="成本金额",N(购销流水!$W759),IF($N3019="金额",N(购销流水!$Q759),0)),2))</f>
        <v>0</v>
      </c>
      <c r="P3019" s="64" t="str">
        <f aca="false">IF(AND($H3019&lt;&gt;"",ROUND($O3019,2)&lt;&gt;0),"有","")</f>
        <v/>
      </c>
    </row>
    <row r="3020" customFormat="false" ht="15" hidden="true" customHeight="false" outlineLevel="0" collapsed="false">
      <c r="A3020" s="53" t="str">
        <f aca="false">IF($H3020="","",ROW()-5)</f>
        <v/>
      </c>
      <c r="B3020" s="64" t="s">
        <v>36</v>
      </c>
      <c r="C3020" s="53" t="n">
        <v>759</v>
      </c>
      <c r="D3020" s="53" t="n">
        <v>3</v>
      </c>
      <c r="E3020" s="65" t="str">
        <f aca="false">IF($H3020="","",购销流水!$B759)</f>
        <v/>
      </c>
      <c r="F3020" s="55" t="str">
        <f aca="false">IF($H3020="","",购销流水!$C759)</f>
        <v/>
      </c>
      <c r="G3020" s="48" t="str">
        <f aca="false">IF($H3020="","",购销流水!$N759)</f>
        <v/>
      </c>
      <c r="H3020" s="10" t="str">
        <f aca="false">IF($L3020="","",IF($L3020="@成本",购销流水!$U759,IF($L3020="@收入",购销流水!$T759,IF($L3020="@存货",购销流水!$S759,IF($L3020="@结算",购销流水!$R759,$L3020)))))</f>
        <v/>
      </c>
      <c r="I3020" s="42" t="n">
        <f aca="false">IF($M3020="借",$O3020,0)</f>
        <v>0</v>
      </c>
      <c r="J3020" s="42" t="n">
        <f aca="false">IF($M3020="贷",$O3020,0)</f>
        <v>0</v>
      </c>
      <c r="K3020" s="48" t="str">
        <f aca="false">IF($H3020="","",购销流水!$E759)</f>
        <v/>
      </c>
      <c r="L3020" s="66" t="str">
        <f aca="false">IF(购销流水!$D759="","",IFERROR(INDEX(记账规则!$A$6:$N$9,MATCH(购销流水!$D759,记账规则!$A$6:$A$9,0),9),""))</f>
        <v/>
      </c>
      <c r="M3020" s="66" t="str">
        <f aca="false">IF($L3020="","",IFERROR(INDEX(记账规则!$A$6:$N$9,MATCH(购销流水!$D759,记账规则!$A$6:$A$9,0),10),""))</f>
        <v/>
      </c>
      <c r="N3020" s="66" t="str">
        <f aca="false">IF($L3020="","",IFERROR(INDEX(记账规则!$A$6:$N$9,MATCH(购销流水!$D759,记账规则!$A$6:$A$9,0),11),""))</f>
        <v/>
      </c>
      <c r="O3020" s="67" t="n">
        <f aca="false">IF($H3020="",0,ROUND(IF($N3020="成本金额",N(购销流水!$W759),IF($N3020="金额",N(购销流水!$Q759),0)),2))</f>
        <v>0</v>
      </c>
      <c r="P3020" s="64" t="str">
        <f aca="false">IF(AND($H3020&lt;&gt;"",ROUND($O3020,2)&lt;&gt;0),"有","")</f>
        <v/>
      </c>
    </row>
    <row r="3021" customFormat="false" ht="15" hidden="true" customHeight="false" outlineLevel="0" collapsed="false">
      <c r="A3021" s="53" t="str">
        <f aca="false">IF($H3021="","",ROW()-5)</f>
        <v/>
      </c>
      <c r="B3021" s="64" t="s">
        <v>36</v>
      </c>
      <c r="C3021" s="53" t="n">
        <v>759</v>
      </c>
      <c r="D3021" s="53" t="n">
        <v>4</v>
      </c>
      <c r="E3021" s="65" t="str">
        <f aca="false">IF($H3021="","",购销流水!$B759)</f>
        <v/>
      </c>
      <c r="F3021" s="55" t="str">
        <f aca="false">IF($H3021="","",购销流水!$C759)</f>
        <v/>
      </c>
      <c r="G3021" s="48" t="str">
        <f aca="false">IF($H3021="","",购销流水!$N759)</f>
        <v/>
      </c>
      <c r="H3021" s="10" t="str">
        <f aca="false">IF($L3021="","",IF($L3021="@成本",购销流水!$U759,IF($L3021="@收入",购销流水!$T759,IF($L3021="@存货",购销流水!$S759,IF($L3021="@结算",购销流水!$R759,$L3021)))))</f>
        <v/>
      </c>
      <c r="I3021" s="42" t="n">
        <f aca="false">IF($M3021="借",$O3021,0)</f>
        <v>0</v>
      </c>
      <c r="J3021" s="42" t="n">
        <f aca="false">IF($M3021="贷",$O3021,0)</f>
        <v>0</v>
      </c>
      <c r="K3021" s="48" t="str">
        <f aca="false">IF($H3021="","",购销流水!$E759)</f>
        <v/>
      </c>
      <c r="L3021" s="66" t="str">
        <f aca="false">IF(购销流水!$D759="","",IFERROR(INDEX(记账规则!$A$6:$N$9,MATCH(购销流水!$D759,记账规则!$A$6:$A$9,0),12),""))</f>
        <v/>
      </c>
      <c r="M3021" s="66" t="str">
        <f aca="false">IF($L3021="","",IFERROR(INDEX(记账规则!$A$6:$N$9,MATCH(购销流水!$D759,记账规则!$A$6:$A$9,0),13),""))</f>
        <v/>
      </c>
      <c r="N3021" s="66" t="str">
        <f aca="false">IF($L3021="","",IFERROR(INDEX(记账规则!$A$6:$N$9,MATCH(购销流水!$D759,记账规则!$A$6:$A$9,0),14),""))</f>
        <v/>
      </c>
      <c r="O3021" s="67" t="n">
        <f aca="false">IF($H3021="",0,ROUND(IF($N3021="成本金额",N(购销流水!$W759),IF($N3021="金额",N(购销流水!$Q759),0)),2))</f>
        <v>0</v>
      </c>
      <c r="P3021" s="64" t="str">
        <f aca="false">IF(AND($H3021&lt;&gt;"",ROUND($O3021,2)&lt;&gt;0),"有","")</f>
        <v/>
      </c>
    </row>
    <row r="3022" customFormat="false" ht="15" hidden="true" customHeight="false" outlineLevel="0" collapsed="false">
      <c r="A3022" s="53" t="str">
        <f aca="false">IF($H3022="","",ROW()-5)</f>
        <v/>
      </c>
      <c r="B3022" s="64" t="s">
        <v>36</v>
      </c>
      <c r="C3022" s="53" t="n">
        <v>760</v>
      </c>
      <c r="D3022" s="53" t="n">
        <v>1</v>
      </c>
      <c r="E3022" s="65" t="str">
        <f aca="false">IF($H3022="","",购销流水!$B760)</f>
        <v/>
      </c>
      <c r="F3022" s="55" t="str">
        <f aca="false">IF($H3022="","",购销流水!$C760)</f>
        <v/>
      </c>
      <c r="G3022" s="48" t="str">
        <f aca="false">IF($H3022="","",购销流水!$N760)</f>
        <v/>
      </c>
      <c r="H3022" s="10" t="str">
        <f aca="false">IF($L3022="","",IF($L3022="@成本",购销流水!$U760,IF($L3022="@收入",购销流水!$T760,IF($L3022="@存货",购销流水!$S760,IF($L3022="@结算",购销流水!$R760,$L3022)))))</f>
        <v/>
      </c>
      <c r="I3022" s="42" t="n">
        <f aca="false">IF($M3022="借",$O3022,0)</f>
        <v>0</v>
      </c>
      <c r="J3022" s="42" t="n">
        <f aca="false">IF($M3022="贷",$O3022,0)</f>
        <v>0</v>
      </c>
      <c r="K3022" s="48" t="str">
        <f aca="false">IF($H3022="","",购销流水!$E760)</f>
        <v/>
      </c>
      <c r="L3022" s="66" t="str">
        <f aca="false">IF(购销流水!$D760="","",IFERROR(INDEX(记账规则!$A$6:$N$9,MATCH(购销流水!$D760,记账规则!$A$6:$A$9,0),3),""))</f>
        <v/>
      </c>
      <c r="M3022" s="66" t="str">
        <f aca="false">IF($L3022="","",IFERROR(INDEX(记账规则!$A$6:$N$9,MATCH(购销流水!$D760,记账规则!$A$6:$A$9,0),4),""))</f>
        <v/>
      </c>
      <c r="N3022" s="66" t="str">
        <f aca="false">IF($L3022="","",IFERROR(INDEX(记账规则!$A$6:$N$9,MATCH(购销流水!$D760,记账规则!$A$6:$A$9,0),5),""))</f>
        <v/>
      </c>
      <c r="O3022" s="67" t="n">
        <f aca="false">IF($H3022="",0,ROUND(IF($N3022="成本金额",N(购销流水!$W760),IF($N3022="金额",N(购销流水!$Q760),0)),2))</f>
        <v>0</v>
      </c>
      <c r="P3022" s="64" t="str">
        <f aca="false">IF(AND($H3022&lt;&gt;"",ROUND($O3022,2)&lt;&gt;0),"有","")</f>
        <v/>
      </c>
    </row>
    <row r="3023" customFormat="false" ht="15" hidden="true" customHeight="false" outlineLevel="0" collapsed="false">
      <c r="A3023" s="53" t="str">
        <f aca="false">IF($H3023="","",ROW()-5)</f>
        <v/>
      </c>
      <c r="B3023" s="64" t="s">
        <v>36</v>
      </c>
      <c r="C3023" s="53" t="n">
        <v>760</v>
      </c>
      <c r="D3023" s="53" t="n">
        <v>2</v>
      </c>
      <c r="E3023" s="65" t="str">
        <f aca="false">IF($H3023="","",购销流水!$B760)</f>
        <v/>
      </c>
      <c r="F3023" s="55" t="str">
        <f aca="false">IF($H3023="","",购销流水!$C760)</f>
        <v/>
      </c>
      <c r="G3023" s="48" t="str">
        <f aca="false">IF($H3023="","",购销流水!$N760)</f>
        <v/>
      </c>
      <c r="H3023" s="10" t="str">
        <f aca="false">IF($L3023="","",IF($L3023="@成本",购销流水!$U760,IF($L3023="@收入",购销流水!$T760,IF($L3023="@存货",购销流水!$S760,IF($L3023="@结算",购销流水!$R760,$L3023)))))</f>
        <v/>
      </c>
      <c r="I3023" s="42" t="n">
        <f aca="false">IF($M3023="借",$O3023,0)</f>
        <v>0</v>
      </c>
      <c r="J3023" s="42" t="n">
        <f aca="false">IF($M3023="贷",$O3023,0)</f>
        <v>0</v>
      </c>
      <c r="K3023" s="48" t="str">
        <f aca="false">IF($H3023="","",购销流水!$E760)</f>
        <v/>
      </c>
      <c r="L3023" s="66" t="str">
        <f aca="false">IF(购销流水!$D760="","",IFERROR(INDEX(记账规则!$A$6:$N$9,MATCH(购销流水!$D760,记账规则!$A$6:$A$9,0),6),""))</f>
        <v/>
      </c>
      <c r="M3023" s="66" t="str">
        <f aca="false">IF($L3023="","",IFERROR(INDEX(记账规则!$A$6:$N$9,MATCH(购销流水!$D760,记账规则!$A$6:$A$9,0),7),""))</f>
        <v/>
      </c>
      <c r="N3023" s="66" t="str">
        <f aca="false">IF($L3023="","",IFERROR(INDEX(记账规则!$A$6:$N$9,MATCH(购销流水!$D760,记账规则!$A$6:$A$9,0),8),""))</f>
        <v/>
      </c>
      <c r="O3023" s="67" t="n">
        <f aca="false">IF($H3023="",0,ROUND(IF($N3023="成本金额",N(购销流水!$W760),IF($N3023="金额",N(购销流水!$Q760),0)),2))</f>
        <v>0</v>
      </c>
      <c r="P3023" s="64" t="str">
        <f aca="false">IF(AND($H3023&lt;&gt;"",ROUND($O3023,2)&lt;&gt;0),"有","")</f>
        <v/>
      </c>
    </row>
    <row r="3024" customFormat="false" ht="15" hidden="true" customHeight="false" outlineLevel="0" collapsed="false">
      <c r="A3024" s="53" t="str">
        <f aca="false">IF($H3024="","",ROW()-5)</f>
        <v/>
      </c>
      <c r="B3024" s="64" t="s">
        <v>36</v>
      </c>
      <c r="C3024" s="53" t="n">
        <v>760</v>
      </c>
      <c r="D3024" s="53" t="n">
        <v>3</v>
      </c>
      <c r="E3024" s="65" t="str">
        <f aca="false">IF($H3024="","",购销流水!$B760)</f>
        <v/>
      </c>
      <c r="F3024" s="55" t="str">
        <f aca="false">IF($H3024="","",购销流水!$C760)</f>
        <v/>
      </c>
      <c r="G3024" s="48" t="str">
        <f aca="false">IF($H3024="","",购销流水!$N760)</f>
        <v/>
      </c>
      <c r="H3024" s="10" t="str">
        <f aca="false">IF($L3024="","",IF($L3024="@成本",购销流水!$U760,IF($L3024="@收入",购销流水!$T760,IF($L3024="@存货",购销流水!$S760,IF($L3024="@结算",购销流水!$R760,$L3024)))))</f>
        <v/>
      </c>
      <c r="I3024" s="42" t="n">
        <f aca="false">IF($M3024="借",$O3024,0)</f>
        <v>0</v>
      </c>
      <c r="J3024" s="42" t="n">
        <f aca="false">IF($M3024="贷",$O3024,0)</f>
        <v>0</v>
      </c>
      <c r="K3024" s="48" t="str">
        <f aca="false">IF($H3024="","",购销流水!$E760)</f>
        <v/>
      </c>
      <c r="L3024" s="66" t="str">
        <f aca="false">IF(购销流水!$D760="","",IFERROR(INDEX(记账规则!$A$6:$N$9,MATCH(购销流水!$D760,记账规则!$A$6:$A$9,0),9),""))</f>
        <v/>
      </c>
      <c r="M3024" s="66" t="str">
        <f aca="false">IF($L3024="","",IFERROR(INDEX(记账规则!$A$6:$N$9,MATCH(购销流水!$D760,记账规则!$A$6:$A$9,0),10),""))</f>
        <v/>
      </c>
      <c r="N3024" s="66" t="str">
        <f aca="false">IF($L3024="","",IFERROR(INDEX(记账规则!$A$6:$N$9,MATCH(购销流水!$D760,记账规则!$A$6:$A$9,0),11),""))</f>
        <v/>
      </c>
      <c r="O3024" s="67" t="n">
        <f aca="false">IF($H3024="",0,ROUND(IF($N3024="成本金额",N(购销流水!$W760),IF($N3024="金额",N(购销流水!$Q760),0)),2))</f>
        <v>0</v>
      </c>
      <c r="P3024" s="64" t="str">
        <f aca="false">IF(AND($H3024&lt;&gt;"",ROUND($O3024,2)&lt;&gt;0),"有","")</f>
        <v/>
      </c>
    </row>
    <row r="3025" customFormat="false" ht="15" hidden="true" customHeight="false" outlineLevel="0" collapsed="false">
      <c r="A3025" s="53" t="str">
        <f aca="false">IF($H3025="","",ROW()-5)</f>
        <v/>
      </c>
      <c r="B3025" s="64" t="s">
        <v>36</v>
      </c>
      <c r="C3025" s="53" t="n">
        <v>760</v>
      </c>
      <c r="D3025" s="53" t="n">
        <v>4</v>
      </c>
      <c r="E3025" s="65" t="str">
        <f aca="false">IF($H3025="","",购销流水!$B760)</f>
        <v/>
      </c>
      <c r="F3025" s="55" t="str">
        <f aca="false">IF($H3025="","",购销流水!$C760)</f>
        <v/>
      </c>
      <c r="G3025" s="48" t="str">
        <f aca="false">IF($H3025="","",购销流水!$N760)</f>
        <v/>
      </c>
      <c r="H3025" s="10" t="str">
        <f aca="false">IF($L3025="","",IF($L3025="@成本",购销流水!$U760,IF($L3025="@收入",购销流水!$T760,IF($L3025="@存货",购销流水!$S760,IF($L3025="@结算",购销流水!$R760,$L3025)))))</f>
        <v/>
      </c>
      <c r="I3025" s="42" t="n">
        <f aca="false">IF($M3025="借",$O3025,0)</f>
        <v>0</v>
      </c>
      <c r="J3025" s="42" t="n">
        <f aca="false">IF($M3025="贷",$O3025,0)</f>
        <v>0</v>
      </c>
      <c r="K3025" s="48" t="str">
        <f aca="false">IF($H3025="","",购销流水!$E760)</f>
        <v/>
      </c>
      <c r="L3025" s="66" t="str">
        <f aca="false">IF(购销流水!$D760="","",IFERROR(INDEX(记账规则!$A$6:$N$9,MATCH(购销流水!$D760,记账规则!$A$6:$A$9,0),12),""))</f>
        <v/>
      </c>
      <c r="M3025" s="66" t="str">
        <f aca="false">IF($L3025="","",IFERROR(INDEX(记账规则!$A$6:$N$9,MATCH(购销流水!$D760,记账规则!$A$6:$A$9,0),13),""))</f>
        <v/>
      </c>
      <c r="N3025" s="66" t="str">
        <f aca="false">IF($L3025="","",IFERROR(INDEX(记账规则!$A$6:$N$9,MATCH(购销流水!$D760,记账规则!$A$6:$A$9,0),14),""))</f>
        <v/>
      </c>
      <c r="O3025" s="67" t="n">
        <f aca="false">IF($H3025="",0,ROUND(IF($N3025="成本金额",N(购销流水!$W760),IF($N3025="金额",N(购销流水!$Q760),0)),2))</f>
        <v>0</v>
      </c>
      <c r="P3025" s="64" t="str">
        <f aca="false">IF(AND($H3025&lt;&gt;"",ROUND($O3025,2)&lt;&gt;0),"有","")</f>
        <v/>
      </c>
    </row>
    <row r="3026" customFormat="false" ht="15" hidden="true" customHeight="false" outlineLevel="0" collapsed="false">
      <c r="A3026" s="53" t="str">
        <f aca="false">IF($H3026="","",ROW()-5)</f>
        <v/>
      </c>
      <c r="B3026" s="64" t="s">
        <v>36</v>
      </c>
      <c r="C3026" s="53" t="n">
        <v>761</v>
      </c>
      <c r="D3026" s="53" t="n">
        <v>1</v>
      </c>
      <c r="E3026" s="65" t="str">
        <f aca="false">IF($H3026="","",购销流水!$B761)</f>
        <v/>
      </c>
      <c r="F3026" s="55" t="str">
        <f aca="false">IF($H3026="","",购销流水!$C761)</f>
        <v/>
      </c>
      <c r="G3026" s="48" t="str">
        <f aca="false">IF($H3026="","",购销流水!$N761)</f>
        <v/>
      </c>
      <c r="H3026" s="10" t="str">
        <f aca="false">IF($L3026="","",IF($L3026="@成本",购销流水!$U761,IF($L3026="@收入",购销流水!$T761,IF($L3026="@存货",购销流水!$S761,IF($L3026="@结算",购销流水!$R761,$L3026)))))</f>
        <v/>
      </c>
      <c r="I3026" s="42" t="n">
        <f aca="false">IF($M3026="借",$O3026,0)</f>
        <v>0</v>
      </c>
      <c r="J3026" s="42" t="n">
        <f aca="false">IF($M3026="贷",$O3026,0)</f>
        <v>0</v>
      </c>
      <c r="K3026" s="48" t="str">
        <f aca="false">IF($H3026="","",购销流水!$E761)</f>
        <v/>
      </c>
      <c r="L3026" s="66" t="str">
        <f aca="false">IF(购销流水!$D761="","",IFERROR(INDEX(记账规则!$A$6:$N$9,MATCH(购销流水!$D761,记账规则!$A$6:$A$9,0),3),""))</f>
        <v/>
      </c>
      <c r="M3026" s="66" t="str">
        <f aca="false">IF($L3026="","",IFERROR(INDEX(记账规则!$A$6:$N$9,MATCH(购销流水!$D761,记账规则!$A$6:$A$9,0),4),""))</f>
        <v/>
      </c>
      <c r="N3026" s="66" t="str">
        <f aca="false">IF($L3026="","",IFERROR(INDEX(记账规则!$A$6:$N$9,MATCH(购销流水!$D761,记账规则!$A$6:$A$9,0),5),""))</f>
        <v/>
      </c>
      <c r="O3026" s="67" t="n">
        <f aca="false">IF($H3026="",0,ROUND(IF($N3026="成本金额",N(购销流水!$W761),IF($N3026="金额",N(购销流水!$Q761),0)),2))</f>
        <v>0</v>
      </c>
      <c r="P3026" s="64" t="str">
        <f aca="false">IF(AND($H3026&lt;&gt;"",ROUND($O3026,2)&lt;&gt;0),"有","")</f>
        <v/>
      </c>
    </row>
    <row r="3027" customFormat="false" ht="15" hidden="true" customHeight="false" outlineLevel="0" collapsed="false">
      <c r="A3027" s="53" t="str">
        <f aca="false">IF($H3027="","",ROW()-5)</f>
        <v/>
      </c>
      <c r="B3027" s="64" t="s">
        <v>36</v>
      </c>
      <c r="C3027" s="53" t="n">
        <v>761</v>
      </c>
      <c r="D3027" s="53" t="n">
        <v>2</v>
      </c>
      <c r="E3027" s="65" t="str">
        <f aca="false">IF($H3027="","",购销流水!$B761)</f>
        <v/>
      </c>
      <c r="F3027" s="55" t="str">
        <f aca="false">IF($H3027="","",购销流水!$C761)</f>
        <v/>
      </c>
      <c r="G3027" s="48" t="str">
        <f aca="false">IF($H3027="","",购销流水!$N761)</f>
        <v/>
      </c>
      <c r="H3027" s="10" t="str">
        <f aca="false">IF($L3027="","",IF($L3027="@成本",购销流水!$U761,IF($L3027="@收入",购销流水!$T761,IF($L3027="@存货",购销流水!$S761,IF($L3027="@结算",购销流水!$R761,$L3027)))))</f>
        <v/>
      </c>
      <c r="I3027" s="42" t="n">
        <f aca="false">IF($M3027="借",$O3027,0)</f>
        <v>0</v>
      </c>
      <c r="J3027" s="42" t="n">
        <f aca="false">IF($M3027="贷",$O3027,0)</f>
        <v>0</v>
      </c>
      <c r="K3027" s="48" t="str">
        <f aca="false">IF($H3027="","",购销流水!$E761)</f>
        <v/>
      </c>
      <c r="L3027" s="66" t="str">
        <f aca="false">IF(购销流水!$D761="","",IFERROR(INDEX(记账规则!$A$6:$N$9,MATCH(购销流水!$D761,记账规则!$A$6:$A$9,0),6),""))</f>
        <v/>
      </c>
      <c r="M3027" s="66" t="str">
        <f aca="false">IF($L3027="","",IFERROR(INDEX(记账规则!$A$6:$N$9,MATCH(购销流水!$D761,记账规则!$A$6:$A$9,0),7),""))</f>
        <v/>
      </c>
      <c r="N3027" s="66" t="str">
        <f aca="false">IF($L3027="","",IFERROR(INDEX(记账规则!$A$6:$N$9,MATCH(购销流水!$D761,记账规则!$A$6:$A$9,0),8),""))</f>
        <v/>
      </c>
      <c r="O3027" s="67" t="n">
        <f aca="false">IF($H3027="",0,ROUND(IF($N3027="成本金额",N(购销流水!$W761),IF($N3027="金额",N(购销流水!$Q761),0)),2))</f>
        <v>0</v>
      </c>
      <c r="P3027" s="64" t="str">
        <f aca="false">IF(AND($H3027&lt;&gt;"",ROUND($O3027,2)&lt;&gt;0),"有","")</f>
        <v/>
      </c>
    </row>
    <row r="3028" customFormat="false" ht="15" hidden="true" customHeight="false" outlineLevel="0" collapsed="false">
      <c r="A3028" s="53" t="str">
        <f aca="false">IF($H3028="","",ROW()-5)</f>
        <v/>
      </c>
      <c r="B3028" s="64" t="s">
        <v>36</v>
      </c>
      <c r="C3028" s="53" t="n">
        <v>761</v>
      </c>
      <c r="D3028" s="53" t="n">
        <v>3</v>
      </c>
      <c r="E3028" s="65" t="str">
        <f aca="false">IF($H3028="","",购销流水!$B761)</f>
        <v/>
      </c>
      <c r="F3028" s="55" t="str">
        <f aca="false">IF($H3028="","",购销流水!$C761)</f>
        <v/>
      </c>
      <c r="G3028" s="48" t="str">
        <f aca="false">IF($H3028="","",购销流水!$N761)</f>
        <v/>
      </c>
      <c r="H3028" s="10" t="str">
        <f aca="false">IF($L3028="","",IF($L3028="@成本",购销流水!$U761,IF($L3028="@收入",购销流水!$T761,IF($L3028="@存货",购销流水!$S761,IF($L3028="@结算",购销流水!$R761,$L3028)))))</f>
        <v/>
      </c>
      <c r="I3028" s="42" t="n">
        <f aca="false">IF($M3028="借",$O3028,0)</f>
        <v>0</v>
      </c>
      <c r="J3028" s="42" t="n">
        <f aca="false">IF($M3028="贷",$O3028,0)</f>
        <v>0</v>
      </c>
      <c r="K3028" s="48" t="str">
        <f aca="false">IF($H3028="","",购销流水!$E761)</f>
        <v/>
      </c>
      <c r="L3028" s="66" t="str">
        <f aca="false">IF(购销流水!$D761="","",IFERROR(INDEX(记账规则!$A$6:$N$9,MATCH(购销流水!$D761,记账规则!$A$6:$A$9,0),9),""))</f>
        <v/>
      </c>
      <c r="M3028" s="66" t="str">
        <f aca="false">IF($L3028="","",IFERROR(INDEX(记账规则!$A$6:$N$9,MATCH(购销流水!$D761,记账规则!$A$6:$A$9,0),10),""))</f>
        <v/>
      </c>
      <c r="N3028" s="66" t="str">
        <f aca="false">IF($L3028="","",IFERROR(INDEX(记账规则!$A$6:$N$9,MATCH(购销流水!$D761,记账规则!$A$6:$A$9,0),11),""))</f>
        <v/>
      </c>
      <c r="O3028" s="67" t="n">
        <f aca="false">IF($H3028="",0,ROUND(IF($N3028="成本金额",N(购销流水!$W761),IF($N3028="金额",N(购销流水!$Q761),0)),2))</f>
        <v>0</v>
      </c>
      <c r="P3028" s="64" t="str">
        <f aca="false">IF(AND($H3028&lt;&gt;"",ROUND($O3028,2)&lt;&gt;0),"有","")</f>
        <v/>
      </c>
    </row>
    <row r="3029" customFormat="false" ht="15" hidden="true" customHeight="false" outlineLevel="0" collapsed="false">
      <c r="A3029" s="53" t="str">
        <f aca="false">IF($H3029="","",ROW()-5)</f>
        <v/>
      </c>
      <c r="B3029" s="64" t="s">
        <v>36</v>
      </c>
      <c r="C3029" s="53" t="n">
        <v>761</v>
      </c>
      <c r="D3029" s="53" t="n">
        <v>4</v>
      </c>
      <c r="E3029" s="65" t="str">
        <f aca="false">IF($H3029="","",购销流水!$B761)</f>
        <v/>
      </c>
      <c r="F3029" s="55" t="str">
        <f aca="false">IF($H3029="","",购销流水!$C761)</f>
        <v/>
      </c>
      <c r="G3029" s="48" t="str">
        <f aca="false">IF($H3029="","",购销流水!$N761)</f>
        <v/>
      </c>
      <c r="H3029" s="10" t="str">
        <f aca="false">IF($L3029="","",IF($L3029="@成本",购销流水!$U761,IF($L3029="@收入",购销流水!$T761,IF($L3029="@存货",购销流水!$S761,IF($L3029="@结算",购销流水!$R761,$L3029)))))</f>
        <v/>
      </c>
      <c r="I3029" s="42" t="n">
        <f aca="false">IF($M3029="借",$O3029,0)</f>
        <v>0</v>
      </c>
      <c r="J3029" s="42" t="n">
        <f aca="false">IF($M3029="贷",$O3029,0)</f>
        <v>0</v>
      </c>
      <c r="K3029" s="48" t="str">
        <f aca="false">IF($H3029="","",购销流水!$E761)</f>
        <v/>
      </c>
      <c r="L3029" s="66" t="str">
        <f aca="false">IF(购销流水!$D761="","",IFERROR(INDEX(记账规则!$A$6:$N$9,MATCH(购销流水!$D761,记账规则!$A$6:$A$9,0),12),""))</f>
        <v/>
      </c>
      <c r="M3029" s="66" t="str">
        <f aca="false">IF($L3029="","",IFERROR(INDEX(记账规则!$A$6:$N$9,MATCH(购销流水!$D761,记账规则!$A$6:$A$9,0),13),""))</f>
        <v/>
      </c>
      <c r="N3029" s="66" t="str">
        <f aca="false">IF($L3029="","",IFERROR(INDEX(记账规则!$A$6:$N$9,MATCH(购销流水!$D761,记账规则!$A$6:$A$9,0),14),""))</f>
        <v/>
      </c>
      <c r="O3029" s="67" t="n">
        <f aca="false">IF($H3029="",0,ROUND(IF($N3029="成本金额",N(购销流水!$W761),IF($N3029="金额",N(购销流水!$Q761),0)),2))</f>
        <v>0</v>
      </c>
      <c r="P3029" s="64" t="str">
        <f aca="false">IF(AND($H3029&lt;&gt;"",ROUND($O3029,2)&lt;&gt;0),"有","")</f>
        <v/>
      </c>
    </row>
    <row r="3030" customFormat="false" ht="15" hidden="true" customHeight="false" outlineLevel="0" collapsed="false">
      <c r="A3030" s="53" t="str">
        <f aca="false">IF($H3030="","",ROW()-5)</f>
        <v/>
      </c>
      <c r="B3030" s="64" t="s">
        <v>36</v>
      </c>
      <c r="C3030" s="53" t="n">
        <v>762</v>
      </c>
      <c r="D3030" s="53" t="n">
        <v>1</v>
      </c>
      <c r="E3030" s="65" t="str">
        <f aca="false">IF($H3030="","",购销流水!$B762)</f>
        <v/>
      </c>
      <c r="F3030" s="55" t="str">
        <f aca="false">IF($H3030="","",购销流水!$C762)</f>
        <v/>
      </c>
      <c r="G3030" s="48" t="str">
        <f aca="false">IF($H3030="","",购销流水!$N762)</f>
        <v/>
      </c>
      <c r="H3030" s="10" t="str">
        <f aca="false">IF($L3030="","",IF($L3030="@成本",购销流水!$U762,IF($L3030="@收入",购销流水!$T762,IF($L3030="@存货",购销流水!$S762,IF($L3030="@结算",购销流水!$R762,$L3030)))))</f>
        <v/>
      </c>
      <c r="I3030" s="42" t="n">
        <f aca="false">IF($M3030="借",$O3030,0)</f>
        <v>0</v>
      </c>
      <c r="J3030" s="42" t="n">
        <f aca="false">IF($M3030="贷",$O3030,0)</f>
        <v>0</v>
      </c>
      <c r="K3030" s="48" t="str">
        <f aca="false">IF($H3030="","",购销流水!$E762)</f>
        <v/>
      </c>
      <c r="L3030" s="66" t="str">
        <f aca="false">IF(购销流水!$D762="","",IFERROR(INDEX(记账规则!$A$6:$N$9,MATCH(购销流水!$D762,记账规则!$A$6:$A$9,0),3),""))</f>
        <v/>
      </c>
      <c r="M3030" s="66" t="str">
        <f aca="false">IF($L3030="","",IFERROR(INDEX(记账规则!$A$6:$N$9,MATCH(购销流水!$D762,记账规则!$A$6:$A$9,0),4),""))</f>
        <v/>
      </c>
      <c r="N3030" s="66" t="str">
        <f aca="false">IF($L3030="","",IFERROR(INDEX(记账规则!$A$6:$N$9,MATCH(购销流水!$D762,记账规则!$A$6:$A$9,0),5),""))</f>
        <v/>
      </c>
      <c r="O3030" s="67" t="n">
        <f aca="false">IF($H3030="",0,ROUND(IF($N3030="成本金额",N(购销流水!$W762),IF($N3030="金额",N(购销流水!$Q762),0)),2))</f>
        <v>0</v>
      </c>
      <c r="P3030" s="64" t="str">
        <f aca="false">IF(AND($H3030&lt;&gt;"",ROUND($O3030,2)&lt;&gt;0),"有","")</f>
        <v/>
      </c>
    </row>
    <row r="3031" customFormat="false" ht="15" hidden="true" customHeight="false" outlineLevel="0" collapsed="false">
      <c r="A3031" s="53" t="str">
        <f aca="false">IF($H3031="","",ROW()-5)</f>
        <v/>
      </c>
      <c r="B3031" s="64" t="s">
        <v>36</v>
      </c>
      <c r="C3031" s="53" t="n">
        <v>762</v>
      </c>
      <c r="D3031" s="53" t="n">
        <v>2</v>
      </c>
      <c r="E3031" s="65" t="str">
        <f aca="false">IF($H3031="","",购销流水!$B762)</f>
        <v/>
      </c>
      <c r="F3031" s="55" t="str">
        <f aca="false">IF($H3031="","",购销流水!$C762)</f>
        <v/>
      </c>
      <c r="G3031" s="48" t="str">
        <f aca="false">IF($H3031="","",购销流水!$N762)</f>
        <v/>
      </c>
      <c r="H3031" s="10" t="str">
        <f aca="false">IF($L3031="","",IF($L3031="@成本",购销流水!$U762,IF($L3031="@收入",购销流水!$T762,IF($L3031="@存货",购销流水!$S762,IF($L3031="@结算",购销流水!$R762,$L3031)))))</f>
        <v/>
      </c>
      <c r="I3031" s="42" t="n">
        <f aca="false">IF($M3031="借",$O3031,0)</f>
        <v>0</v>
      </c>
      <c r="J3031" s="42" t="n">
        <f aca="false">IF($M3031="贷",$O3031,0)</f>
        <v>0</v>
      </c>
      <c r="K3031" s="48" t="str">
        <f aca="false">IF($H3031="","",购销流水!$E762)</f>
        <v/>
      </c>
      <c r="L3031" s="66" t="str">
        <f aca="false">IF(购销流水!$D762="","",IFERROR(INDEX(记账规则!$A$6:$N$9,MATCH(购销流水!$D762,记账规则!$A$6:$A$9,0),6),""))</f>
        <v/>
      </c>
      <c r="M3031" s="66" t="str">
        <f aca="false">IF($L3031="","",IFERROR(INDEX(记账规则!$A$6:$N$9,MATCH(购销流水!$D762,记账规则!$A$6:$A$9,0),7),""))</f>
        <v/>
      </c>
      <c r="N3031" s="66" t="str">
        <f aca="false">IF($L3031="","",IFERROR(INDEX(记账规则!$A$6:$N$9,MATCH(购销流水!$D762,记账规则!$A$6:$A$9,0),8),""))</f>
        <v/>
      </c>
      <c r="O3031" s="67" t="n">
        <f aca="false">IF($H3031="",0,ROUND(IF($N3031="成本金额",N(购销流水!$W762),IF($N3031="金额",N(购销流水!$Q762),0)),2))</f>
        <v>0</v>
      </c>
      <c r="P3031" s="64" t="str">
        <f aca="false">IF(AND($H3031&lt;&gt;"",ROUND($O3031,2)&lt;&gt;0),"有","")</f>
        <v/>
      </c>
    </row>
    <row r="3032" customFormat="false" ht="15" hidden="true" customHeight="false" outlineLevel="0" collapsed="false">
      <c r="A3032" s="53" t="str">
        <f aca="false">IF($H3032="","",ROW()-5)</f>
        <v/>
      </c>
      <c r="B3032" s="64" t="s">
        <v>36</v>
      </c>
      <c r="C3032" s="53" t="n">
        <v>762</v>
      </c>
      <c r="D3032" s="53" t="n">
        <v>3</v>
      </c>
      <c r="E3032" s="65" t="str">
        <f aca="false">IF($H3032="","",购销流水!$B762)</f>
        <v/>
      </c>
      <c r="F3032" s="55" t="str">
        <f aca="false">IF($H3032="","",购销流水!$C762)</f>
        <v/>
      </c>
      <c r="G3032" s="48" t="str">
        <f aca="false">IF($H3032="","",购销流水!$N762)</f>
        <v/>
      </c>
      <c r="H3032" s="10" t="str">
        <f aca="false">IF($L3032="","",IF($L3032="@成本",购销流水!$U762,IF($L3032="@收入",购销流水!$T762,IF($L3032="@存货",购销流水!$S762,IF($L3032="@结算",购销流水!$R762,$L3032)))))</f>
        <v/>
      </c>
      <c r="I3032" s="42" t="n">
        <f aca="false">IF($M3032="借",$O3032,0)</f>
        <v>0</v>
      </c>
      <c r="J3032" s="42" t="n">
        <f aca="false">IF($M3032="贷",$O3032,0)</f>
        <v>0</v>
      </c>
      <c r="K3032" s="48" t="str">
        <f aca="false">IF($H3032="","",购销流水!$E762)</f>
        <v/>
      </c>
      <c r="L3032" s="66" t="str">
        <f aca="false">IF(购销流水!$D762="","",IFERROR(INDEX(记账规则!$A$6:$N$9,MATCH(购销流水!$D762,记账规则!$A$6:$A$9,0),9),""))</f>
        <v/>
      </c>
      <c r="M3032" s="66" t="str">
        <f aca="false">IF($L3032="","",IFERROR(INDEX(记账规则!$A$6:$N$9,MATCH(购销流水!$D762,记账规则!$A$6:$A$9,0),10),""))</f>
        <v/>
      </c>
      <c r="N3032" s="66" t="str">
        <f aca="false">IF($L3032="","",IFERROR(INDEX(记账规则!$A$6:$N$9,MATCH(购销流水!$D762,记账规则!$A$6:$A$9,0),11),""))</f>
        <v/>
      </c>
      <c r="O3032" s="67" t="n">
        <f aca="false">IF($H3032="",0,ROUND(IF($N3032="成本金额",N(购销流水!$W762),IF($N3032="金额",N(购销流水!$Q762),0)),2))</f>
        <v>0</v>
      </c>
      <c r="P3032" s="64" t="str">
        <f aca="false">IF(AND($H3032&lt;&gt;"",ROUND($O3032,2)&lt;&gt;0),"有","")</f>
        <v/>
      </c>
    </row>
    <row r="3033" customFormat="false" ht="15" hidden="true" customHeight="false" outlineLevel="0" collapsed="false">
      <c r="A3033" s="53" t="str">
        <f aca="false">IF($H3033="","",ROW()-5)</f>
        <v/>
      </c>
      <c r="B3033" s="64" t="s">
        <v>36</v>
      </c>
      <c r="C3033" s="53" t="n">
        <v>762</v>
      </c>
      <c r="D3033" s="53" t="n">
        <v>4</v>
      </c>
      <c r="E3033" s="65" t="str">
        <f aca="false">IF($H3033="","",购销流水!$B762)</f>
        <v/>
      </c>
      <c r="F3033" s="55" t="str">
        <f aca="false">IF($H3033="","",购销流水!$C762)</f>
        <v/>
      </c>
      <c r="G3033" s="48" t="str">
        <f aca="false">IF($H3033="","",购销流水!$N762)</f>
        <v/>
      </c>
      <c r="H3033" s="10" t="str">
        <f aca="false">IF($L3033="","",IF($L3033="@成本",购销流水!$U762,IF($L3033="@收入",购销流水!$T762,IF($L3033="@存货",购销流水!$S762,IF($L3033="@结算",购销流水!$R762,$L3033)))))</f>
        <v/>
      </c>
      <c r="I3033" s="42" t="n">
        <f aca="false">IF($M3033="借",$O3033,0)</f>
        <v>0</v>
      </c>
      <c r="J3033" s="42" t="n">
        <f aca="false">IF($M3033="贷",$O3033,0)</f>
        <v>0</v>
      </c>
      <c r="K3033" s="48" t="str">
        <f aca="false">IF($H3033="","",购销流水!$E762)</f>
        <v/>
      </c>
      <c r="L3033" s="66" t="str">
        <f aca="false">IF(购销流水!$D762="","",IFERROR(INDEX(记账规则!$A$6:$N$9,MATCH(购销流水!$D762,记账规则!$A$6:$A$9,0),12),""))</f>
        <v/>
      </c>
      <c r="M3033" s="66" t="str">
        <f aca="false">IF($L3033="","",IFERROR(INDEX(记账规则!$A$6:$N$9,MATCH(购销流水!$D762,记账规则!$A$6:$A$9,0),13),""))</f>
        <v/>
      </c>
      <c r="N3033" s="66" t="str">
        <f aca="false">IF($L3033="","",IFERROR(INDEX(记账规则!$A$6:$N$9,MATCH(购销流水!$D762,记账规则!$A$6:$A$9,0),14),""))</f>
        <v/>
      </c>
      <c r="O3033" s="67" t="n">
        <f aca="false">IF($H3033="",0,ROUND(IF($N3033="成本金额",N(购销流水!$W762),IF($N3033="金额",N(购销流水!$Q762),0)),2))</f>
        <v>0</v>
      </c>
      <c r="P3033" s="64" t="str">
        <f aca="false">IF(AND($H3033&lt;&gt;"",ROUND($O3033,2)&lt;&gt;0),"有","")</f>
        <v/>
      </c>
    </row>
    <row r="3034" customFormat="false" ht="15" hidden="true" customHeight="false" outlineLevel="0" collapsed="false">
      <c r="A3034" s="53" t="str">
        <f aca="false">IF($H3034="","",ROW()-5)</f>
        <v/>
      </c>
      <c r="B3034" s="64" t="s">
        <v>36</v>
      </c>
      <c r="C3034" s="53" t="n">
        <v>763</v>
      </c>
      <c r="D3034" s="53" t="n">
        <v>1</v>
      </c>
      <c r="E3034" s="65" t="str">
        <f aca="false">IF($H3034="","",购销流水!$B763)</f>
        <v/>
      </c>
      <c r="F3034" s="55" t="str">
        <f aca="false">IF($H3034="","",购销流水!$C763)</f>
        <v/>
      </c>
      <c r="G3034" s="48" t="str">
        <f aca="false">IF($H3034="","",购销流水!$N763)</f>
        <v/>
      </c>
      <c r="H3034" s="10" t="str">
        <f aca="false">IF($L3034="","",IF($L3034="@成本",购销流水!$U763,IF($L3034="@收入",购销流水!$T763,IF($L3034="@存货",购销流水!$S763,IF($L3034="@结算",购销流水!$R763,$L3034)))))</f>
        <v/>
      </c>
      <c r="I3034" s="42" t="n">
        <f aca="false">IF($M3034="借",$O3034,0)</f>
        <v>0</v>
      </c>
      <c r="J3034" s="42" t="n">
        <f aca="false">IF($M3034="贷",$O3034,0)</f>
        <v>0</v>
      </c>
      <c r="K3034" s="48" t="str">
        <f aca="false">IF($H3034="","",购销流水!$E763)</f>
        <v/>
      </c>
      <c r="L3034" s="66" t="str">
        <f aca="false">IF(购销流水!$D763="","",IFERROR(INDEX(记账规则!$A$6:$N$9,MATCH(购销流水!$D763,记账规则!$A$6:$A$9,0),3),""))</f>
        <v/>
      </c>
      <c r="M3034" s="66" t="str">
        <f aca="false">IF($L3034="","",IFERROR(INDEX(记账规则!$A$6:$N$9,MATCH(购销流水!$D763,记账规则!$A$6:$A$9,0),4),""))</f>
        <v/>
      </c>
      <c r="N3034" s="66" t="str">
        <f aca="false">IF($L3034="","",IFERROR(INDEX(记账规则!$A$6:$N$9,MATCH(购销流水!$D763,记账规则!$A$6:$A$9,0),5),""))</f>
        <v/>
      </c>
      <c r="O3034" s="67" t="n">
        <f aca="false">IF($H3034="",0,ROUND(IF($N3034="成本金额",N(购销流水!$W763),IF($N3034="金额",N(购销流水!$Q763),0)),2))</f>
        <v>0</v>
      </c>
      <c r="P3034" s="64" t="str">
        <f aca="false">IF(AND($H3034&lt;&gt;"",ROUND($O3034,2)&lt;&gt;0),"有","")</f>
        <v/>
      </c>
    </row>
    <row r="3035" customFormat="false" ht="15" hidden="true" customHeight="false" outlineLevel="0" collapsed="false">
      <c r="A3035" s="53" t="str">
        <f aca="false">IF($H3035="","",ROW()-5)</f>
        <v/>
      </c>
      <c r="B3035" s="64" t="s">
        <v>36</v>
      </c>
      <c r="C3035" s="53" t="n">
        <v>763</v>
      </c>
      <c r="D3035" s="53" t="n">
        <v>2</v>
      </c>
      <c r="E3035" s="65" t="str">
        <f aca="false">IF($H3035="","",购销流水!$B763)</f>
        <v/>
      </c>
      <c r="F3035" s="55" t="str">
        <f aca="false">IF($H3035="","",购销流水!$C763)</f>
        <v/>
      </c>
      <c r="G3035" s="48" t="str">
        <f aca="false">IF($H3035="","",购销流水!$N763)</f>
        <v/>
      </c>
      <c r="H3035" s="10" t="str">
        <f aca="false">IF($L3035="","",IF($L3035="@成本",购销流水!$U763,IF($L3035="@收入",购销流水!$T763,IF($L3035="@存货",购销流水!$S763,IF($L3035="@结算",购销流水!$R763,$L3035)))))</f>
        <v/>
      </c>
      <c r="I3035" s="42" t="n">
        <f aca="false">IF($M3035="借",$O3035,0)</f>
        <v>0</v>
      </c>
      <c r="J3035" s="42" t="n">
        <f aca="false">IF($M3035="贷",$O3035,0)</f>
        <v>0</v>
      </c>
      <c r="K3035" s="48" t="str">
        <f aca="false">IF($H3035="","",购销流水!$E763)</f>
        <v/>
      </c>
      <c r="L3035" s="66" t="str">
        <f aca="false">IF(购销流水!$D763="","",IFERROR(INDEX(记账规则!$A$6:$N$9,MATCH(购销流水!$D763,记账规则!$A$6:$A$9,0),6),""))</f>
        <v/>
      </c>
      <c r="M3035" s="66" t="str">
        <f aca="false">IF($L3035="","",IFERROR(INDEX(记账规则!$A$6:$N$9,MATCH(购销流水!$D763,记账规则!$A$6:$A$9,0),7),""))</f>
        <v/>
      </c>
      <c r="N3035" s="66" t="str">
        <f aca="false">IF($L3035="","",IFERROR(INDEX(记账规则!$A$6:$N$9,MATCH(购销流水!$D763,记账规则!$A$6:$A$9,0),8),""))</f>
        <v/>
      </c>
      <c r="O3035" s="67" t="n">
        <f aca="false">IF($H3035="",0,ROUND(IF($N3035="成本金额",N(购销流水!$W763),IF($N3035="金额",N(购销流水!$Q763),0)),2))</f>
        <v>0</v>
      </c>
      <c r="P3035" s="64" t="str">
        <f aca="false">IF(AND($H3035&lt;&gt;"",ROUND($O3035,2)&lt;&gt;0),"有","")</f>
        <v/>
      </c>
    </row>
    <row r="3036" customFormat="false" ht="15" hidden="true" customHeight="false" outlineLevel="0" collapsed="false">
      <c r="A3036" s="53" t="str">
        <f aca="false">IF($H3036="","",ROW()-5)</f>
        <v/>
      </c>
      <c r="B3036" s="64" t="s">
        <v>36</v>
      </c>
      <c r="C3036" s="53" t="n">
        <v>763</v>
      </c>
      <c r="D3036" s="53" t="n">
        <v>3</v>
      </c>
      <c r="E3036" s="65" t="str">
        <f aca="false">IF($H3036="","",购销流水!$B763)</f>
        <v/>
      </c>
      <c r="F3036" s="55" t="str">
        <f aca="false">IF($H3036="","",购销流水!$C763)</f>
        <v/>
      </c>
      <c r="G3036" s="48" t="str">
        <f aca="false">IF($H3036="","",购销流水!$N763)</f>
        <v/>
      </c>
      <c r="H3036" s="10" t="str">
        <f aca="false">IF($L3036="","",IF($L3036="@成本",购销流水!$U763,IF($L3036="@收入",购销流水!$T763,IF($L3036="@存货",购销流水!$S763,IF($L3036="@结算",购销流水!$R763,$L3036)))))</f>
        <v/>
      </c>
      <c r="I3036" s="42" t="n">
        <f aca="false">IF($M3036="借",$O3036,0)</f>
        <v>0</v>
      </c>
      <c r="J3036" s="42" t="n">
        <f aca="false">IF($M3036="贷",$O3036,0)</f>
        <v>0</v>
      </c>
      <c r="K3036" s="48" t="str">
        <f aca="false">IF($H3036="","",购销流水!$E763)</f>
        <v/>
      </c>
      <c r="L3036" s="66" t="str">
        <f aca="false">IF(购销流水!$D763="","",IFERROR(INDEX(记账规则!$A$6:$N$9,MATCH(购销流水!$D763,记账规则!$A$6:$A$9,0),9),""))</f>
        <v/>
      </c>
      <c r="M3036" s="66" t="str">
        <f aca="false">IF($L3036="","",IFERROR(INDEX(记账规则!$A$6:$N$9,MATCH(购销流水!$D763,记账规则!$A$6:$A$9,0),10),""))</f>
        <v/>
      </c>
      <c r="N3036" s="66" t="str">
        <f aca="false">IF($L3036="","",IFERROR(INDEX(记账规则!$A$6:$N$9,MATCH(购销流水!$D763,记账规则!$A$6:$A$9,0),11),""))</f>
        <v/>
      </c>
      <c r="O3036" s="67" t="n">
        <f aca="false">IF($H3036="",0,ROUND(IF($N3036="成本金额",N(购销流水!$W763),IF($N3036="金额",N(购销流水!$Q763),0)),2))</f>
        <v>0</v>
      </c>
      <c r="P3036" s="64" t="str">
        <f aca="false">IF(AND($H3036&lt;&gt;"",ROUND($O3036,2)&lt;&gt;0),"有","")</f>
        <v/>
      </c>
    </row>
    <row r="3037" customFormat="false" ht="15" hidden="true" customHeight="false" outlineLevel="0" collapsed="false">
      <c r="A3037" s="53" t="str">
        <f aca="false">IF($H3037="","",ROW()-5)</f>
        <v/>
      </c>
      <c r="B3037" s="64" t="s">
        <v>36</v>
      </c>
      <c r="C3037" s="53" t="n">
        <v>763</v>
      </c>
      <c r="D3037" s="53" t="n">
        <v>4</v>
      </c>
      <c r="E3037" s="65" t="str">
        <f aca="false">IF($H3037="","",购销流水!$B763)</f>
        <v/>
      </c>
      <c r="F3037" s="55" t="str">
        <f aca="false">IF($H3037="","",购销流水!$C763)</f>
        <v/>
      </c>
      <c r="G3037" s="48" t="str">
        <f aca="false">IF($H3037="","",购销流水!$N763)</f>
        <v/>
      </c>
      <c r="H3037" s="10" t="str">
        <f aca="false">IF($L3037="","",IF($L3037="@成本",购销流水!$U763,IF($L3037="@收入",购销流水!$T763,IF($L3037="@存货",购销流水!$S763,IF($L3037="@结算",购销流水!$R763,$L3037)))))</f>
        <v/>
      </c>
      <c r="I3037" s="42" t="n">
        <f aca="false">IF($M3037="借",$O3037,0)</f>
        <v>0</v>
      </c>
      <c r="J3037" s="42" t="n">
        <f aca="false">IF($M3037="贷",$O3037,0)</f>
        <v>0</v>
      </c>
      <c r="K3037" s="48" t="str">
        <f aca="false">IF($H3037="","",购销流水!$E763)</f>
        <v/>
      </c>
      <c r="L3037" s="66" t="str">
        <f aca="false">IF(购销流水!$D763="","",IFERROR(INDEX(记账规则!$A$6:$N$9,MATCH(购销流水!$D763,记账规则!$A$6:$A$9,0),12),""))</f>
        <v/>
      </c>
      <c r="M3037" s="66" t="str">
        <f aca="false">IF($L3037="","",IFERROR(INDEX(记账规则!$A$6:$N$9,MATCH(购销流水!$D763,记账规则!$A$6:$A$9,0),13),""))</f>
        <v/>
      </c>
      <c r="N3037" s="66" t="str">
        <f aca="false">IF($L3037="","",IFERROR(INDEX(记账规则!$A$6:$N$9,MATCH(购销流水!$D763,记账规则!$A$6:$A$9,0),14),""))</f>
        <v/>
      </c>
      <c r="O3037" s="67" t="n">
        <f aca="false">IF($H3037="",0,ROUND(IF($N3037="成本金额",N(购销流水!$W763),IF($N3037="金额",N(购销流水!$Q763),0)),2))</f>
        <v>0</v>
      </c>
      <c r="P3037" s="64" t="str">
        <f aca="false">IF(AND($H3037&lt;&gt;"",ROUND($O3037,2)&lt;&gt;0),"有","")</f>
        <v/>
      </c>
    </row>
    <row r="3038" customFormat="false" ht="15" hidden="true" customHeight="false" outlineLevel="0" collapsed="false">
      <c r="A3038" s="53" t="str">
        <f aca="false">IF($H3038="","",ROW()-5)</f>
        <v/>
      </c>
      <c r="B3038" s="64" t="s">
        <v>36</v>
      </c>
      <c r="C3038" s="53" t="n">
        <v>764</v>
      </c>
      <c r="D3038" s="53" t="n">
        <v>1</v>
      </c>
      <c r="E3038" s="65" t="str">
        <f aca="false">IF($H3038="","",购销流水!$B764)</f>
        <v/>
      </c>
      <c r="F3038" s="55" t="str">
        <f aca="false">IF($H3038="","",购销流水!$C764)</f>
        <v/>
      </c>
      <c r="G3038" s="48" t="str">
        <f aca="false">IF($H3038="","",购销流水!$N764)</f>
        <v/>
      </c>
      <c r="H3038" s="10" t="str">
        <f aca="false">IF($L3038="","",IF($L3038="@成本",购销流水!$U764,IF($L3038="@收入",购销流水!$T764,IF($L3038="@存货",购销流水!$S764,IF($L3038="@结算",购销流水!$R764,$L3038)))))</f>
        <v/>
      </c>
      <c r="I3038" s="42" t="n">
        <f aca="false">IF($M3038="借",$O3038,0)</f>
        <v>0</v>
      </c>
      <c r="J3038" s="42" t="n">
        <f aca="false">IF($M3038="贷",$O3038,0)</f>
        <v>0</v>
      </c>
      <c r="K3038" s="48" t="str">
        <f aca="false">IF($H3038="","",购销流水!$E764)</f>
        <v/>
      </c>
      <c r="L3038" s="66" t="str">
        <f aca="false">IF(购销流水!$D764="","",IFERROR(INDEX(记账规则!$A$6:$N$9,MATCH(购销流水!$D764,记账规则!$A$6:$A$9,0),3),""))</f>
        <v/>
      </c>
      <c r="M3038" s="66" t="str">
        <f aca="false">IF($L3038="","",IFERROR(INDEX(记账规则!$A$6:$N$9,MATCH(购销流水!$D764,记账规则!$A$6:$A$9,0),4),""))</f>
        <v/>
      </c>
      <c r="N3038" s="66" t="str">
        <f aca="false">IF($L3038="","",IFERROR(INDEX(记账规则!$A$6:$N$9,MATCH(购销流水!$D764,记账规则!$A$6:$A$9,0),5),""))</f>
        <v/>
      </c>
      <c r="O3038" s="67" t="n">
        <f aca="false">IF($H3038="",0,ROUND(IF($N3038="成本金额",N(购销流水!$W764),IF($N3038="金额",N(购销流水!$Q764),0)),2))</f>
        <v>0</v>
      </c>
      <c r="P3038" s="64" t="str">
        <f aca="false">IF(AND($H3038&lt;&gt;"",ROUND($O3038,2)&lt;&gt;0),"有","")</f>
        <v/>
      </c>
    </row>
    <row r="3039" customFormat="false" ht="15" hidden="true" customHeight="false" outlineLevel="0" collapsed="false">
      <c r="A3039" s="53" t="str">
        <f aca="false">IF($H3039="","",ROW()-5)</f>
        <v/>
      </c>
      <c r="B3039" s="64" t="s">
        <v>36</v>
      </c>
      <c r="C3039" s="53" t="n">
        <v>764</v>
      </c>
      <c r="D3039" s="53" t="n">
        <v>2</v>
      </c>
      <c r="E3039" s="65" t="str">
        <f aca="false">IF($H3039="","",购销流水!$B764)</f>
        <v/>
      </c>
      <c r="F3039" s="55" t="str">
        <f aca="false">IF($H3039="","",购销流水!$C764)</f>
        <v/>
      </c>
      <c r="G3039" s="48" t="str">
        <f aca="false">IF($H3039="","",购销流水!$N764)</f>
        <v/>
      </c>
      <c r="H3039" s="10" t="str">
        <f aca="false">IF($L3039="","",IF($L3039="@成本",购销流水!$U764,IF($L3039="@收入",购销流水!$T764,IF($L3039="@存货",购销流水!$S764,IF($L3039="@结算",购销流水!$R764,$L3039)))))</f>
        <v/>
      </c>
      <c r="I3039" s="42" t="n">
        <f aca="false">IF($M3039="借",$O3039,0)</f>
        <v>0</v>
      </c>
      <c r="J3039" s="42" t="n">
        <f aca="false">IF($M3039="贷",$O3039,0)</f>
        <v>0</v>
      </c>
      <c r="K3039" s="48" t="str">
        <f aca="false">IF($H3039="","",购销流水!$E764)</f>
        <v/>
      </c>
      <c r="L3039" s="66" t="str">
        <f aca="false">IF(购销流水!$D764="","",IFERROR(INDEX(记账规则!$A$6:$N$9,MATCH(购销流水!$D764,记账规则!$A$6:$A$9,0),6),""))</f>
        <v/>
      </c>
      <c r="M3039" s="66" t="str">
        <f aca="false">IF($L3039="","",IFERROR(INDEX(记账规则!$A$6:$N$9,MATCH(购销流水!$D764,记账规则!$A$6:$A$9,0),7),""))</f>
        <v/>
      </c>
      <c r="N3039" s="66" t="str">
        <f aca="false">IF($L3039="","",IFERROR(INDEX(记账规则!$A$6:$N$9,MATCH(购销流水!$D764,记账规则!$A$6:$A$9,0),8),""))</f>
        <v/>
      </c>
      <c r="O3039" s="67" t="n">
        <f aca="false">IF($H3039="",0,ROUND(IF($N3039="成本金额",N(购销流水!$W764),IF($N3039="金额",N(购销流水!$Q764),0)),2))</f>
        <v>0</v>
      </c>
      <c r="P3039" s="64" t="str">
        <f aca="false">IF(AND($H3039&lt;&gt;"",ROUND($O3039,2)&lt;&gt;0),"有","")</f>
        <v/>
      </c>
    </row>
    <row r="3040" customFormat="false" ht="15" hidden="true" customHeight="false" outlineLevel="0" collapsed="false">
      <c r="A3040" s="53" t="str">
        <f aca="false">IF($H3040="","",ROW()-5)</f>
        <v/>
      </c>
      <c r="B3040" s="64" t="s">
        <v>36</v>
      </c>
      <c r="C3040" s="53" t="n">
        <v>764</v>
      </c>
      <c r="D3040" s="53" t="n">
        <v>3</v>
      </c>
      <c r="E3040" s="65" t="str">
        <f aca="false">IF($H3040="","",购销流水!$B764)</f>
        <v/>
      </c>
      <c r="F3040" s="55" t="str">
        <f aca="false">IF($H3040="","",购销流水!$C764)</f>
        <v/>
      </c>
      <c r="G3040" s="48" t="str">
        <f aca="false">IF($H3040="","",购销流水!$N764)</f>
        <v/>
      </c>
      <c r="H3040" s="10" t="str">
        <f aca="false">IF($L3040="","",IF($L3040="@成本",购销流水!$U764,IF($L3040="@收入",购销流水!$T764,IF($L3040="@存货",购销流水!$S764,IF($L3040="@结算",购销流水!$R764,$L3040)))))</f>
        <v/>
      </c>
      <c r="I3040" s="42" t="n">
        <f aca="false">IF($M3040="借",$O3040,0)</f>
        <v>0</v>
      </c>
      <c r="J3040" s="42" t="n">
        <f aca="false">IF($M3040="贷",$O3040,0)</f>
        <v>0</v>
      </c>
      <c r="K3040" s="48" t="str">
        <f aca="false">IF($H3040="","",购销流水!$E764)</f>
        <v/>
      </c>
      <c r="L3040" s="66" t="str">
        <f aca="false">IF(购销流水!$D764="","",IFERROR(INDEX(记账规则!$A$6:$N$9,MATCH(购销流水!$D764,记账规则!$A$6:$A$9,0),9),""))</f>
        <v/>
      </c>
      <c r="M3040" s="66" t="str">
        <f aca="false">IF($L3040="","",IFERROR(INDEX(记账规则!$A$6:$N$9,MATCH(购销流水!$D764,记账规则!$A$6:$A$9,0),10),""))</f>
        <v/>
      </c>
      <c r="N3040" s="66" t="str">
        <f aca="false">IF($L3040="","",IFERROR(INDEX(记账规则!$A$6:$N$9,MATCH(购销流水!$D764,记账规则!$A$6:$A$9,0),11),""))</f>
        <v/>
      </c>
      <c r="O3040" s="67" t="n">
        <f aca="false">IF($H3040="",0,ROUND(IF($N3040="成本金额",N(购销流水!$W764),IF($N3040="金额",N(购销流水!$Q764),0)),2))</f>
        <v>0</v>
      </c>
      <c r="P3040" s="64" t="str">
        <f aca="false">IF(AND($H3040&lt;&gt;"",ROUND($O3040,2)&lt;&gt;0),"有","")</f>
        <v/>
      </c>
    </row>
    <row r="3041" customFormat="false" ht="15" hidden="true" customHeight="false" outlineLevel="0" collapsed="false">
      <c r="A3041" s="53" t="str">
        <f aca="false">IF($H3041="","",ROW()-5)</f>
        <v/>
      </c>
      <c r="B3041" s="64" t="s">
        <v>36</v>
      </c>
      <c r="C3041" s="53" t="n">
        <v>764</v>
      </c>
      <c r="D3041" s="53" t="n">
        <v>4</v>
      </c>
      <c r="E3041" s="65" t="str">
        <f aca="false">IF($H3041="","",购销流水!$B764)</f>
        <v/>
      </c>
      <c r="F3041" s="55" t="str">
        <f aca="false">IF($H3041="","",购销流水!$C764)</f>
        <v/>
      </c>
      <c r="G3041" s="48" t="str">
        <f aca="false">IF($H3041="","",购销流水!$N764)</f>
        <v/>
      </c>
      <c r="H3041" s="10" t="str">
        <f aca="false">IF($L3041="","",IF($L3041="@成本",购销流水!$U764,IF($L3041="@收入",购销流水!$T764,IF($L3041="@存货",购销流水!$S764,IF($L3041="@结算",购销流水!$R764,$L3041)))))</f>
        <v/>
      </c>
      <c r="I3041" s="42" t="n">
        <f aca="false">IF($M3041="借",$O3041,0)</f>
        <v>0</v>
      </c>
      <c r="J3041" s="42" t="n">
        <f aca="false">IF($M3041="贷",$O3041,0)</f>
        <v>0</v>
      </c>
      <c r="K3041" s="48" t="str">
        <f aca="false">IF($H3041="","",购销流水!$E764)</f>
        <v/>
      </c>
      <c r="L3041" s="66" t="str">
        <f aca="false">IF(购销流水!$D764="","",IFERROR(INDEX(记账规则!$A$6:$N$9,MATCH(购销流水!$D764,记账规则!$A$6:$A$9,0),12),""))</f>
        <v/>
      </c>
      <c r="M3041" s="66" t="str">
        <f aca="false">IF($L3041="","",IFERROR(INDEX(记账规则!$A$6:$N$9,MATCH(购销流水!$D764,记账规则!$A$6:$A$9,0),13),""))</f>
        <v/>
      </c>
      <c r="N3041" s="66" t="str">
        <f aca="false">IF($L3041="","",IFERROR(INDEX(记账规则!$A$6:$N$9,MATCH(购销流水!$D764,记账规则!$A$6:$A$9,0),14),""))</f>
        <v/>
      </c>
      <c r="O3041" s="67" t="n">
        <f aca="false">IF($H3041="",0,ROUND(IF($N3041="成本金额",N(购销流水!$W764),IF($N3041="金额",N(购销流水!$Q764),0)),2))</f>
        <v>0</v>
      </c>
      <c r="P3041" s="64" t="str">
        <f aca="false">IF(AND($H3041&lt;&gt;"",ROUND($O3041,2)&lt;&gt;0),"有","")</f>
        <v/>
      </c>
    </row>
    <row r="3042" customFormat="false" ht="15" hidden="true" customHeight="false" outlineLevel="0" collapsed="false">
      <c r="A3042" s="53" t="str">
        <f aca="false">IF($H3042="","",ROW()-5)</f>
        <v/>
      </c>
      <c r="B3042" s="64" t="s">
        <v>36</v>
      </c>
      <c r="C3042" s="53" t="n">
        <v>765</v>
      </c>
      <c r="D3042" s="53" t="n">
        <v>1</v>
      </c>
      <c r="E3042" s="65" t="str">
        <f aca="false">IF($H3042="","",购销流水!$B765)</f>
        <v/>
      </c>
      <c r="F3042" s="55" t="str">
        <f aca="false">IF($H3042="","",购销流水!$C765)</f>
        <v/>
      </c>
      <c r="G3042" s="48" t="str">
        <f aca="false">IF($H3042="","",购销流水!$N765)</f>
        <v/>
      </c>
      <c r="H3042" s="10" t="str">
        <f aca="false">IF($L3042="","",IF($L3042="@成本",购销流水!$U765,IF($L3042="@收入",购销流水!$T765,IF($L3042="@存货",购销流水!$S765,IF($L3042="@结算",购销流水!$R765,$L3042)))))</f>
        <v/>
      </c>
      <c r="I3042" s="42" t="n">
        <f aca="false">IF($M3042="借",$O3042,0)</f>
        <v>0</v>
      </c>
      <c r="J3042" s="42" t="n">
        <f aca="false">IF($M3042="贷",$O3042,0)</f>
        <v>0</v>
      </c>
      <c r="K3042" s="48" t="str">
        <f aca="false">IF($H3042="","",购销流水!$E765)</f>
        <v/>
      </c>
      <c r="L3042" s="66" t="str">
        <f aca="false">IF(购销流水!$D765="","",IFERROR(INDEX(记账规则!$A$6:$N$9,MATCH(购销流水!$D765,记账规则!$A$6:$A$9,0),3),""))</f>
        <v/>
      </c>
      <c r="M3042" s="66" t="str">
        <f aca="false">IF($L3042="","",IFERROR(INDEX(记账规则!$A$6:$N$9,MATCH(购销流水!$D765,记账规则!$A$6:$A$9,0),4),""))</f>
        <v/>
      </c>
      <c r="N3042" s="66" t="str">
        <f aca="false">IF($L3042="","",IFERROR(INDEX(记账规则!$A$6:$N$9,MATCH(购销流水!$D765,记账规则!$A$6:$A$9,0),5),""))</f>
        <v/>
      </c>
      <c r="O3042" s="67" t="n">
        <f aca="false">IF($H3042="",0,ROUND(IF($N3042="成本金额",N(购销流水!$W765),IF($N3042="金额",N(购销流水!$Q765),0)),2))</f>
        <v>0</v>
      </c>
      <c r="P3042" s="64" t="str">
        <f aca="false">IF(AND($H3042&lt;&gt;"",ROUND($O3042,2)&lt;&gt;0),"有","")</f>
        <v/>
      </c>
    </row>
    <row r="3043" customFormat="false" ht="15" hidden="true" customHeight="false" outlineLevel="0" collapsed="false">
      <c r="A3043" s="53" t="str">
        <f aca="false">IF($H3043="","",ROW()-5)</f>
        <v/>
      </c>
      <c r="B3043" s="64" t="s">
        <v>36</v>
      </c>
      <c r="C3043" s="53" t="n">
        <v>765</v>
      </c>
      <c r="D3043" s="53" t="n">
        <v>2</v>
      </c>
      <c r="E3043" s="65" t="str">
        <f aca="false">IF($H3043="","",购销流水!$B765)</f>
        <v/>
      </c>
      <c r="F3043" s="55" t="str">
        <f aca="false">IF($H3043="","",购销流水!$C765)</f>
        <v/>
      </c>
      <c r="G3043" s="48" t="str">
        <f aca="false">IF($H3043="","",购销流水!$N765)</f>
        <v/>
      </c>
      <c r="H3043" s="10" t="str">
        <f aca="false">IF($L3043="","",IF($L3043="@成本",购销流水!$U765,IF($L3043="@收入",购销流水!$T765,IF($L3043="@存货",购销流水!$S765,IF($L3043="@结算",购销流水!$R765,$L3043)))))</f>
        <v/>
      </c>
      <c r="I3043" s="42" t="n">
        <f aca="false">IF($M3043="借",$O3043,0)</f>
        <v>0</v>
      </c>
      <c r="J3043" s="42" t="n">
        <f aca="false">IF($M3043="贷",$O3043,0)</f>
        <v>0</v>
      </c>
      <c r="K3043" s="48" t="str">
        <f aca="false">IF($H3043="","",购销流水!$E765)</f>
        <v/>
      </c>
      <c r="L3043" s="66" t="str">
        <f aca="false">IF(购销流水!$D765="","",IFERROR(INDEX(记账规则!$A$6:$N$9,MATCH(购销流水!$D765,记账规则!$A$6:$A$9,0),6),""))</f>
        <v/>
      </c>
      <c r="M3043" s="66" t="str">
        <f aca="false">IF($L3043="","",IFERROR(INDEX(记账规则!$A$6:$N$9,MATCH(购销流水!$D765,记账规则!$A$6:$A$9,0),7),""))</f>
        <v/>
      </c>
      <c r="N3043" s="66" t="str">
        <f aca="false">IF($L3043="","",IFERROR(INDEX(记账规则!$A$6:$N$9,MATCH(购销流水!$D765,记账规则!$A$6:$A$9,0),8),""))</f>
        <v/>
      </c>
      <c r="O3043" s="67" t="n">
        <f aca="false">IF($H3043="",0,ROUND(IF($N3043="成本金额",N(购销流水!$W765),IF($N3043="金额",N(购销流水!$Q765),0)),2))</f>
        <v>0</v>
      </c>
      <c r="P3043" s="64" t="str">
        <f aca="false">IF(AND($H3043&lt;&gt;"",ROUND($O3043,2)&lt;&gt;0),"有","")</f>
        <v/>
      </c>
    </row>
    <row r="3044" customFormat="false" ht="15" hidden="true" customHeight="false" outlineLevel="0" collapsed="false">
      <c r="A3044" s="53" t="str">
        <f aca="false">IF($H3044="","",ROW()-5)</f>
        <v/>
      </c>
      <c r="B3044" s="64" t="s">
        <v>36</v>
      </c>
      <c r="C3044" s="53" t="n">
        <v>765</v>
      </c>
      <c r="D3044" s="53" t="n">
        <v>3</v>
      </c>
      <c r="E3044" s="65" t="str">
        <f aca="false">IF($H3044="","",购销流水!$B765)</f>
        <v/>
      </c>
      <c r="F3044" s="55" t="str">
        <f aca="false">IF($H3044="","",购销流水!$C765)</f>
        <v/>
      </c>
      <c r="G3044" s="48" t="str">
        <f aca="false">IF($H3044="","",购销流水!$N765)</f>
        <v/>
      </c>
      <c r="H3044" s="10" t="str">
        <f aca="false">IF($L3044="","",IF($L3044="@成本",购销流水!$U765,IF($L3044="@收入",购销流水!$T765,IF($L3044="@存货",购销流水!$S765,IF($L3044="@结算",购销流水!$R765,$L3044)))))</f>
        <v/>
      </c>
      <c r="I3044" s="42" t="n">
        <f aca="false">IF($M3044="借",$O3044,0)</f>
        <v>0</v>
      </c>
      <c r="J3044" s="42" t="n">
        <f aca="false">IF($M3044="贷",$O3044,0)</f>
        <v>0</v>
      </c>
      <c r="K3044" s="48" t="str">
        <f aca="false">IF($H3044="","",购销流水!$E765)</f>
        <v/>
      </c>
      <c r="L3044" s="66" t="str">
        <f aca="false">IF(购销流水!$D765="","",IFERROR(INDEX(记账规则!$A$6:$N$9,MATCH(购销流水!$D765,记账规则!$A$6:$A$9,0),9),""))</f>
        <v/>
      </c>
      <c r="M3044" s="66" t="str">
        <f aca="false">IF($L3044="","",IFERROR(INDEX(记账规则!$A$6:$N$9,MATCH(购销流水!$D765,记账规则!$A$6:$A$9,0),10),""))</f>
        <v/>
      </c>
      <c r="N3044" s="66" t="str">
        <f aca="false">IF($L3044="","",IFERROR(INDEX(记账规则!$A$6:$N$9,MATCH(购销流水!$D765,记账规则!$A$6:$A$9,0),11),""))</f>
        <v/>
      </c>
      <c r="O3044" s="67" t="n">
        <f aca="false">IF($H3044="",0,ROUND(IF($N3044="成本金额",N(购销流水!$W765),IF($N3044="金额",N(购销流水!$Q765),0)),2))</f>
        <v>0</v>
      </c>
      <c r="P3044" s="64" t="str">
        <f aca="false">IF(AND($H3044&lt;&gt;"",ROUND($O3044,2)&lt;&gt;0),"有","")</f>
        <v/>
      </c>
    </row>
    <row r="3045" customFormat="false" ht="15" hidden="true" customHeight="false" outlineLevel="0" collapsed="false">
      <c r="A3045" s="53" t="str">
        <f aca="false">IF($H3045="","",ROW()-5)</f>
        <v/>
      </c>
      <c r="B3045" s="64" t="s">
        <v>36</v>
      </c>
      <c r="C3045" s="53" t="n">
        <v>765</v>
      </c>
      <c r="D3045" s="53" t="n">
        <v>4</v>
      </c>
      <c r="E3045" s="65" t="str">
        <f aca="false">IF($H3045="","",购销流水!$B765)</f>
        <v/>
      </c>
      <c r="F3045" s="55" t="str">
        <f aca="false">IF($H3045="","",购销流水!$C765)</f>
        <v/>
      </c>
      <c r="G3045" s="48" t="str">
        <f aca="false">IF($H3045="","",购销流水!$N765)</f>
        <v/>
      </c>
      <c r="H3045" s="10" t="str">
        <f aca="false">IF($L3045="","",IF($L3045="@成本",购销流水!$U765,IF($L3045="@收入",购销流水!$T765,IF($L3045="@存货",购销流水!$S765,IF($L3045="@结算",购销流水!$R765,$L3045)))))</f>
        <v/>
      </c>
      <c r="I3045" s="42" t="n">
        <f aca="false">IF($M3045="借",$O3045,0)</f>
        <v>0</v>
      </c>
      <c r="J3045" s="42" t="n">
        <f aca="false">IF($M3045="贷",$O3045,0)</f>
        <v>0</v>
      </c>
      <c r="K3045" s="48" t="str">
        <f aca="false">IF($H3045="","",购销流水!$E765)</f>
        <v/>
      </c>
      <c r="L3045" s="66" t="str">
        <f aca="false">IF(购销流水!$D765="","",IFERROR(INDEX(记账规则!$A$6:$N$9,MATCH(购销流水!$D765,记账规则!$A$6:$A$9,0),12),""))</f>
        <v/>
      </c>
      <c r="M3045" s="66" t="str">
        <f aca="false">IF($L3045="","",IFERROR(INDEX(记账规则!$A$6:$N$9,MATCH(购销流水!$D765,记账规则!$A$6:$A$9,0),13),""))</f>
        <v/>
      </c>
      <c r="N3045" s="66" t="str">
        <f aca="false">IF($L3045="","",IFERROR(INDEX(记账规则!$A$6:$N$9,MATCH(购销流水!$D765,记账规则!$A$6:$A$9,0),14),""))</f>
        <v/>
      </c>
      <c r="O3045" s="67" t="n">
        <f aca="false">IF($H3045="",0,ROUND(IF($N3045="成本金额",N(购销流水!$W765),IF($N3045="金额",N(购销流水!$Q765),0)),2))</f>
        <v>0</v>
      </c>
      <c r="P3045" s="64" t="str">
        <f aca="false">IF(AND($H3045&lt;&gt;"",ROUND($O3045,2)&lt;&gt;0),"有","")</f>
        <v/>
      </c>
    </row>
    <row r="3046" customFormat="false" ht="15" hidden="true" customHeight="false" outlineLevel="0" collapsed="false">
      <c r="A3046" s="53" t="str">
        <f aca="false">IF($H3046="","",ROW()-5)</f>
        <v/>
      </c>
      <c r="B3046" s="64" t="s">
        <v>36</v>
      </c>
      <c r="C3046" s="53" t="n">
        <v>766</v>
      </c>
      <c r="D3046" s="53" t="n">
        <v>1</v>
      </c>
      <c r="E3046" s="65" t="str">
        <f aca="false">IF($H3046="","",购销流水!$B766)</f>
        <v/>
      </c>
      <c r="F3046" s="55" t="str">
        <f aca="false">IF($H3046="","",购销流水!$C766)</f>
        <v/>
      </c>
      <c r="G3046" s="48" t="str">
        <f aca="false">IF($H3046="","",购销流水!$N766)</f>
        <v/>
      </c>
      <c r="H3046" s="10" t="str">
        <f aca="false">IF($L3046="","",IF($L3046="@成本",购销流水!$U766,IF($L3046="@收入",购销流水!$T766,IF($L3046="@存货",购销流水!$S766,IF($L3046="@结算",购销流水!$R766,$L3046)))))</f>
        <v/>
      </c>
      <c r="I3046" s="42" t="n">
        <f aca="false">IF($M3046="借",$O3046,0)</f>
        <v>0</v>
      </c>
      <c r="J3046" s="42" t="n">
        <f aca="false">IF($M3046="贷",$O3046,0)</f>
        <v>0</v>
      </c>
      <c r="K3046" s="48" t="str">
        <f aca="false">IF($H3046="","",购销流水!$E766)</f>
        <v/>
      </c>
      <c r="L3046" s="66" t="str">
        <f aca="false">IF(购销流水!$D766="","",IFERROR(INDEX(记账规则!$A$6:$N$9,MATCH(购销流水!$D766,记账规则!$A$6:$A$9,0),3),""))</f>
        <v/>
      </c>
      <c r="M3046" s="66" t="str">
        <f aca="false">IF($L3046="","",IFERROR(INDEX(记账规则!$A$6:$N$9,MATCH(购销流水!$D766,记账规则!$A$6:$A$9,0),4),""))</f>
        <v/>
      </c>
      <c r="N3046" s="66" t="str">
        <f aca="false">IF($L3046="","",IFERROR(INDEX(记账规则!$A$6:$N$9,MATCH(购销流水!$D766,记账规则!$A$6:$A$9,0),5),""))</f>
        <v/>
      </c>
      <c r="O3046" s="67" t="n">
        <f aca="false">IF($H3046="",0,ROUND(IF($N3046="成本金额",N(购销流水!$W766),IF($N3046="金额",N(购销流水!$Q766),0)),2))</f>
        <v>0</v>
      </c>
      <c r="P3046" s="64" t="str">
        <f aca="false">IF(AND($H3046&lt;&gt;"",ROUND($O3046,2)&lt;&gt;0),"有","")</f>
        <v/>
      </c>
    </row>
    <row r="3047" customFormat="false" ht="15" hidden="true" customHeight="false" outlineLevel="0" collapsed="false">
      <c r="A3047" s="53" t="str">
        <f aca="false">IF($H3047="","",ROW()-5)</f>
        <v/>
      </c>
      <c r="B3047" s="64" t="s">
        <v>36</v>
      </c>
      <c r="C3047" s="53" t="n">
        <v>766</v>
      </c>
      <c r="D3047" s="53" t="n">
        <v>2</v>
      </c>
      <c r="E3047" s="65" t="str">
        <f aca="false">IF($H3047="","",购销流水!$B766)</f>
        <v/>
      </c>
      <c r="F3047" s="55" t="str">
        <f aca="false">IF($H3047="","",购销流水!$C766)</f>
        <v/>
      </c>
      <c r="G3047" s="48" t="str">
        <f aca="false">IF($H3047="","",购销流水!$N766)</f>
        <v/>
      </c>
      <c r="H3047" s="10" t="str">
        <f aca="false">IF($L3047="","",IF($L3047="@成本",购销流水!$U766,IF($L3047="@收入",购销流水!$T766,IF($L3047="@存货",购销流水!$S766,IF($L3047="@结算",购销流水!$R766,$L3047)))))</f>
        <v/>
      </c>
      <c r="I3047" s="42" t="n">
        <f aca="false">IF($M3047="借",$O3047,0)</f>
        <v>0</v>
      </c>
      <c r="J3047" s="42" t="n">
        <f aca="false">IF($M3047="贷",$O3047,0)</f>
        <v>0</v>
      </c>
      <c r="K3047" s="48" t="str">
        <f aca="false">IF($H3047="","",购销流水!$E766)</f>
        <v/>
      </c>
      <c r="L3047" s="66" t="str">
        <f aca="false">IF(购销流水!$D766="","",IFERROR(INDEX(记账规则!$A$6:$N$9,MATCH(购销流水!$D766,记账规则!$A$6:$A$9,0),6),""))</f>
        <v/>
      </c>
      <c r="M3047" s="66" t="str">
        <f aca="false">IF($L3047="","",IFERROR(INDEX(记账规则!$A$6:$N$9,MATCH(购销流水!$D766,记账规则!$A$6:$A$9,0),7),""))</f>
        <v/>
      </c>
      <c r="N3047" s="66" t="str">
        <f aca="false">IF($L3047="","",IFERROR(INDEX(记账规则!$A$6:$N$9,MATCH(购销流水!$D766,记账规则!$A$6:$A$9,0),8),""))</f>
        <v/>
      </c>
      <c r="O3047" s="67" t="n">
        <f aca="false">IF($H3047="",0,ROUND(IF($N3047="成本金额",N(购销流水!$W766),IF($N3047="金额",N(购销流水!$Q766),0)),2))</f>
        <v>0</v>
      </c>
      <c r="P3047" s="64" t="str">
        <f aca="false">IF(AND($H3047&lt;&gt;"",ROUND($O3047,2)&lt;&gt;0),"有","")</f>
        <v/>
      </c>
    </row>
    <row r="3048" customFormat="false" ht="15" hidden="true" customHeight="false" outlineLevel="0" collapsed="false">
      <c r="A3048" s="53" t="str">
        <f aca="false">IF($H3048="","",ROW()-5)</f>
        <v/>
      </c>
      <c r="B3048" s="64" t="s">
        <v>36</v>
      </c>
      <c r="C3048" s="53" t="n">
        <v>766</v>
      </c>
      <c r="D3048" s="53" t="n">
        <v>3</v>
      </c>
      <c r="E3048" s="65" t="str">
        <f aca="false">IF($H3048="","",购销流水!$B766)</f>
        <v/>
      </c>
      <c r="F3048" s="55" t="str">
        <f aca="false">IF($H3048="","",购销流水!$C766)</f>
        <v/>
      </c>
      <c r="G3048" s="48" t="str">
        <f aca="false">IF($H3048="","",购销流水!$N766)</f>
        <v/>
      </c>
      <c r="H3048" s="10" t="str">
        <f aca="false">IF($L3048="","",IF($L3048="@成本",购销流水!$U766,IF($L3048="@收入",购销流水!$T766,IF($L3048="@存货",购销流水!$S766,IF($L3048="@结算",购销流水!$R766,$L3048)))))</f>
        <v/>
      </c>
      <c r="I3048" s="42" t="n">
        <f aca="false">IF($M3048="借",$O3048,0)</f>
        <v>0</v>
      </c>
      <c r="J3048" s="42" t="n">
        <f aca="false">IF($M3048="贷",$O3048,0)</f>
        <v>0</v>
      </c>
      <c r="K3048" s="48" t="str">
        <f aca="false">IF($H3048="","",购销流水!$E766)</f>
        <v/>
      </c>
      <c r="L3048" s="66" t="str">
        <f aca="false">IF(购销流水!$D766="","",IFERROR(INDEX(记账规则!$A$6:$N$9,MATCH(购销流水!$D766,记账规则!$A$6:$A$9,0),9),""))</f>
        <v/>
      </c>
      <c r="M3048" s="66" t="str">
        <f aca="false">IF($L3048="","",IFERROR(INDEX(记账规则!$A$6:$N$9,MATCH(购销流水!$D766,记账规则!$A$6:$A$9,0),10),""))</f>
        <v/>
      </c>
      <c r="N3048" s="66" t="str">
        <f aca="false">IF($L3048="","",IFERROR(INDEX(记账规则!$A$6:$N$9,MATCH(购销流水!$D766,记账规则!$A$6:$A$9,0),11),""))</f>
        <v/>
      </c>
      <c r="O3048" s="67" t="n">
        <f aca="false">IF($H3048="",0,ROUND(IF($N3048="成本金额",N(购销流水!$W766),IF($N3048="金额",N(购销流水!$Q766),0)),2))</f>
        <v>0</v>
      </c>
      <c r="P3048" s="64" t="str">
        <f aca="false">IF(AND($H3048&lt;&gt;"",ROUND($O3048,2)&lt;&gt;0),"有","")</f>
        <v/>
      </c>
    </row>
    <row r="3049" customFormat="false" ht="15" hidden="true" customHeight="false" outlineLevel="0" collapsed="false">
      <c r="A3049" s="53" t="str">
        <f aca="false">IF($H3049="","",ROW()-5)</f>
        <v/>
      </c>
      <c r="B3049" s="64" t="s">
        <v>36</v>
      </c>
      <c r="C3049" s="53" t="n">
        <v>766</v>
      </c>
      <c r="D3049" s="53" t="n">
        <v>4</v>
      </c>
      <c r="E3049" s="65" t="str">
        <f aca="false">IF($H3049="","",购销流水!$B766)</f>
        <v/>
      </c>
      <c r="F3049" s="55" t="str">
        <f aca="false">IF($H3049="","",购销流水!$C766)</f>
        <v/>
      </c>
      <c r="G3049" s="48" t="str">
        <f aca="false">IF($H3049="","",购销流水!$N766)</f>
        <v/>
      </c>
      <c r="H3049" s="10" t="str">
        <f aca="false">IF($L3049="","",IF($L3049="@成本",购销流水!$U766,IF($L3049="@收入",购销流水!$T766,IF($L3049="@存货",购销流水!$S766,IF($L3049="@结算",购销流水!$R766,$L3049)))))</f>
        <v/>
      </c>
      <c r="I3049" s="42" t="n">
        <f aca="false">IF($M3049="借",$O3049,0)</f>
        <v>0</v>
      </c>
      <c r="J3049" s="42" t="n">
        <f aca="false">IF($M3049="贷",$O3049,0)</f>
        <v>0</v>
      </c>
      <c r="K3049" s="48" t="str">
        <f aca="false">IF($H3049="","",购销流水!$E766)</f>
        <v/>
      </c>
      <c r="L3049" s="66" t="str">
        <f aca="false">IF(购销流水!$D766="","",IFERROR(INDEX(记账规则!$A$6:$N$9,MATCH(购销流水!$D766,记账规则!$A$6:$A$9,0),12),""))</f>
        <v/>
      </c>
      <c r="M3049" s="66" t="str">
        <f aca="false">IF($L3049="","",IFERROR(INDEX(记账规则!$A$6:$N$9,MATCH(购销流水!$D766,记账规则!$A$6:$A$9,0),13),""))</f>
        <v/>
      </c>
      <c r="N3049" s="66" t="str">
        <f aca="false">IF($L3049="","",IFERROR(INDEX(记账规则!$A$6:$N$9,MATCH(购销流水!$D766,记账规则!$A$6:$A$9,0),14),""))</f>
        <v/>
      </c>
      <c r="O3049" s="67" t="n">
        <f aca="false">IF($H3049="",0,ROUND(IF($N3049="成本金额",N(购销流水!$W766),IF($N3049="金额",N(购销流水!$Q766),0)),2))</f>
        <v>0</v>
      </c>
      <c r="P3049" s="64" t="str">
        <f aca="false">IF(AND($H3049&lt;&gt;"",ROUND($O3049,2)&lt;&gt;0),"有","")</f>
        <v/>
      </c>
    </row>
    <row r="3050" customFormat="false" ht="15" hidden="true" customHeight="false" outlineLevel="0" collapsed="false">
      <c r="A3050" s="53" t="str">
        <f aca="false">IF($H3050="","",ROW()-5)</f>
        <v/>
      </c>
      <c r="B3050" s="64" t="s">
        <v>36</v>
      </c>
      <c r="C3050" s="53" t="n">
        <v>767</v>
      </c>
      <c r="D3050" s="53" t="n">
        <v>1</v>
      </c>
      <c r="E3050" s="65" t="str">
        <f aca="false">IF($H3050="","",购销流水!$B767)</f>
        <v/>
      </c>
      <c r="F3050" s="55" t="str">
        <f aca="false">IF($H3050="","",购销流水!$C767)</f>
        <v/>
      </c>
      <c r="G3050" s="48" t="str">
        <f aca="false">IF($H3050="","",购销流水!$N767)</f>
        <v/>
      </c>
      <c r="H3050" s="10" t="str">
        <f aca="false">IF($L3050="","",IF($L3050="@成本",购销流水!$U767,IF($L3050="@收入",购销流水!$T767,IF($L3050="@存货",购销流水!$S767,IF($L3050="@结算",购销流水!$R767,$L3050)))))</f>
        <v/>
      </c>
      <c r="I3050" s="42" t="n">
        <f aca="false">IF($M3050="借",$O3050,0)</f>
        <v>0</v>
      </c>
      <c r="J3050" s="42" t="n">
        <f aca="false">IF($M3050="贷",$O3050,0)</f>
        <v>0</v>
      </c>
      <c r="K3050" s="48" t="str">
        <f aca="false">IF($H3050="","",购销流水!$E767)</f>
        <v/>
      </c>
      <c r="L3050" s="66" t="str">
        <f aca="false">IF(购销流水!$D767="","",IFERROR(INDEX(记账规则!$A$6:$N$9,MATCH(购销流水!$D767,记账规则!$A$6:$A$9,0),3),""))</f>
        <v/>
      </c>
      <c r="M3050" s="66" t="str">
        <f aca="false">IF($L3050="","",IFERROR(INDEX(记账规则!$A$6:$N$9,MATCH(购销流水!$D767,记账规则!$A$6:$A$9,0),4),""))</f>
        <v/>
      </c>
      <c r="N3050" s="66" t="str">
        <f aca="false">IF($L3050="","",IFERROR(INDEX(记账规则!$A$6:$N$9,MATCH(购销流水!$D767,记账规则!$A$6:$A$9,0),5),""))</f>
        <v/>
      </c>
      <c r="O3050" s="67" t="n">
        <f aca="false">IF($H3050="",0,ROUND(IF($N3050="成本金额",N(购销流水!$W767),IF($N3050="金额",N(购销流水!$Q767),0)),2))</f>
        <v>0</v>
      </c>
      <c r="P3050" s="64" t="str">
        <f aca="false">IF(AND($H3050&lt;&gt;"",ROUND($O3050,2)&lt;&gt;0),"有","")</f>
        <v/>
      </c>
    </row>
    <row r="3051" customFormat="false" ht="15" hidden="true" customHeight="false" outlineLevel="0" collapsed="false">
      <c r="A3051" s="53" t="str">
        <f aca="false">IF($H3051="","",ROW()-5)</f>
        <v/>
      </c>
      <c r="B3051" s="64" t="s">
        <v>36</v>
      </c>
      <c r="C3051" s="53" t="n">
        <v>767</v>
      </c>
      <c r="D3051" s="53" t="n">
        <v>2</v>
      </c>
      <c r="E3051" s="65" t="str">
        <f aca="false">IF($H3051="","",购销流水!$B767)</f>
        <v/>
      </c>
      <c r="F3051" s="55" t="str">
        <f aca="false">IF($H3051="","",购销流水!$C767)</f>
        <v/>
      </c>
      <c r="G3051" s="48" t="str">
        <f aca="false">IF($H3051="","",购销流水!$N767)</f>
        <v/>
      </c>
      <c r="H3051" s="10" t="str">
        <f aca="false">IF($L3051="","",IF($L3051="@成本",购销流水!$U767,IF($L3051="@收入",购销流水!$T767,IF($L3051="@存货",购销流水!$S767,IF($L3051="@结算",购销流水!$R767,$L3051)))))</f>
        <v/>
      </c>
      <c r="I3051" s="42" t="n">
        <f aca="false">IF($M3051="借",$O3051,0)</f>
        <v>0</v>
      </c>
      <c r="J3051" s="42" t="n">
        <f aca="false">IF($M3051="贷",$O3051,0)</f>
        <v>0</v>
      </c>
      <c r="K3051" s="48" t="str">
        <f aca="false">IF($H3051="","",购销流水!$E767)</f>
        <v/>
      </c>
      <c r="L3051" s="66" t="str">
        <f aca="false">IF(购销流水!$D767="","",IFERROR(INDEX(记账规则!$A$6:$N$9,MATCH(购销流水!$D767,记账规则!$A$6:$A$9,0),6),""))</f>
        <v/>
      </c>
      <c r="M3051" s="66" t="str">
        <f aca="false">IF($L3051="","",IFERROR(INDEX(记账规则!$A$6:$N$9,MATCH(购销流水!$D767,记账规则!$A$6:$A$9,0),7),""))</f>
        <v/>
      </c>
      <c r="N3051" s="66" t="str">
        <f aca="false">IF($L3051="","",IFERROR(INDEX(记账规则!$A$6:$N$9,MATCH(购销流水!$D767,记账规则!$A$6:$A$9,0),8),""))</f>
        <v/>
      </c>
      <c r="O3051" s="67" t="n">
        <f aca="false">IF($H3051="",0,ROUND(IF($N3051="成本金额",N(购销流水!$W767),IF($N3051="金额",N(购销流水!$Q767),0)),2))</f>
        <v>0</v>
      </c>
      <c r="P3051" s="64" t="str">
        <f aca="false">IF(AND($H3051&lt;&gt;"",ROUND($O3051,2)&lt;&gt;0),"有","")</f>
        <v/>
      </c>
    </row>
    <row r="3052" customFormat="false" ht="15" hidden="true" customHeight="false" outlineLevel="0" collapsed="false">
      <c r="A3052" s="53" t="str">
        <f aca="false">IF($H3052="","",ROW()-5)</f>
        <v/>
      </c>
      <c r="B3052" s="64" t="s">
        <v>36</v>
      </c>
      <c r="C3052" s="53" t="n">
        <v>767</v>
      </c>
      <c r="D3052" s="53" t="n">
        <v>3</v>
      </c>
      <c r="E3052" s="65" t="str">
        <f aca="false">IF($H3052="","",购销流水!$B767)</f>
        <v/>
      </c>
      <c r="F3052" s="55" t="str">
        <f aca="false">IF($H3052="","",购销流水!$C767)</f>
        <v/>
      </c>
      <c r="G3052" s="48" t="str">
        <f aca="false">IF($H3052="","",购销流水!$N767)</f>
        <v/>
      </c>
      <c r="H3052" s="10" t="str">
        <f aca="false">IF($L3052="","",IF($L3052="@成本",购销流水!$U767,IF($L3052="@收入",购销流水!$T767,IF($L3052="@存货",购销流水!$S767,IF($L3052="@结算",购销流水!$R767,$L3052)))))</f>
        <v/>
      </c>
      <c r="I3052" s="42" t="n">
        <f aca="false">IF($M3052="借",$O3052,0)</f>
        <v>0</v>
      </c>
      <c r="J3052" s="42" t="n">
        <f aca="false">IF($M3052="贷",$O3052,0)</f>
        <v>0</v>
      </c>
      <c r="K3052" s="48" t="str">
        <f aca="false">IF($H3052="","",购销流水!$E767)</f>
        <v/>
      </c>
      <c r="L3052" s="66" t="str">
        <f aca="false">IF(购销流水!$D767="","",IFERROR(INDEX(记账规则!$A$6:$N$9,MATCH(购销流水!$D767,记账规则!$A$6:$A$9,0),9),""))</f>
        <v/>
      </c>
      <c r="M3052" s="66" t="str">
        <f aca="false">IF($L3052="","",IFERROR(INDEX(记账规则!$A$6:$N$9,MATCH(购销流水!$D767,记账规则!$A$6:$A$9,0),10),""))</f>
        <v/>
      </c>
      <c r="N3052" s="66" t="str">
        <f aca="false">IF($L3052="","",IFERROR(INDEX(记账规则!$A$6:$N$9,MATCH(购销流水!$D767,记账规则!$A$6:$A$9,0),11),""))</f>
        <v/>
      </c>
      <c r="O3052" s="67" t="n">
        <f aca="false">IF($H3052="",0,ROUND(IF($N3052="成本金额",N(购销流水!$W767),IF($N3052="金额",N(购销流水!$Q767),0)),2))</f>
        <v>0</v>
      </c>
      <c r="P3052" s="64" t="str">
        <f aca="false">IF(AND($H3052&lt;&gt;"",ROUND($O3052,2)&lt;&gt;0),"有","")</f>
        <v/>
      </c>
    </row>
    <row r="3053" customFormat="false" ht="15" hidden="true" customHeight="false" outlineLevel="0" collapsed="false">
      <c r="A3053" s="53" t="str">
        <f aca="false">IF($H3053="","",ROW()-5)</f>
        <v/>
      </c>
      <c r="B3053" s="64" t="s">
        <v>36</v>
      </c>
      <c r="C3053" s="53" t="n">
        <v>767</v>
      </c>
      <c r="D3053" s="53" t="n">
        <v>4</v>
      </c>
      <c r="E3053" s="65" t="str">
        <f aca="false">IF($H3053="","",购销流水!$B767)</f>
        <v/>
      </c>
      <c r="F3053" s="55" t="str">
        <f aca="false">IF($H3053="","",购销流水!$C767)</f>
        <v/>
      </c>
      <c r="G3053" s="48" t="str">
        <f aca="false">IF($H3053="","",购销流水!$N767)</f>
        <v/>
      </c>
      <c r="H3053" s="10" t="str">
        <f aca="false">IF($L3053="","",IF($L3053="@成本",购销流水!$U767,IF($L3053="@收入",购销流水!$T767,IF($L3053="@存货",购销流水!$S767,IF($L3053="@结算",购销流水!$R767,$L3053)))))</f>
        <v/>
      </c>
      <c r="I3053" s="42" t="n">
        <f aca="false">IF($M3053="借",$O3053,0)</f>
        <v>0</v>
      </c>
      <c r="J3053" s="42" t="n">
        <f aca="false">IF($M3053="贷",$O3053,0)</f>
        <v>0</v>
      </c>
      <c r="K3053" s="48" t="str">
        <f aca="false">IF($H3053="","",购销流水!$E767)</f>
        <v/>
      </c>
      <c r="L3053" s="66" t="str">
        <f aca="false">IF(购销流水!$D767="","",IFERROR(INDEX(记账规则!$A$6:$N$9,MATCH(购销流水!$D767,记账规则!$A$6:$A$9,0),12),""))</f>
        <v/>
      </c>
      <c r="M3053" s="66" t="str">
        <f aca="false">IF($L3053="","",IFERROR(INDEX(记账规则!$A$6:$N$9,MATCH(购销流水!$D767,记账规则!$A$6:$A$9,0),13),""))</f>
        <v/>
      </c>
      <c r="N3053" s="66" t="str">
        <f aca="false">IF($L3053="","",IFERROR(INDEX(记账规则!$A$6:$N$9,MATCH(购销流水!$D767,记账规则!$A$6:$A$9,0),14),""))</f>
        <v/>
      </c>
      <c r="O3053" s="67" t="n">
        <f aca="false">IF($H3053="",0,ROUND(IF($N3053="成本金额",N(购销流水!$W767),IF($N3053="金额",N(购销流水!$Q767),0)),2))</f>
        <v>0</v>
      </c>
      <c r="P3053" s="64" t="str">
        <f aca="false">IF(AND($H3053&lt;&gt;"",ROUND($O3053,2)&lt;&gt;0),"有","")</f>
        <v/>
      </c>
    </row>
    <row r="3054" customFormat="false" ht="15" hidden="true" customHeight="false" outlineLevel="0" collapsed="false">
      <c r="A3054" s="53" t="str">
        <f aca="false">IF($H3054="","",ROW()-5)</f>
        <v/>
      </c>
      <c r="B3054" s="64" t="s">
        <v>36</v>
      </c>
      <c r="C3054" s="53" t="n">
        <v>768</v>
      </c>
      <c r="D3054" s="53" t="n">
        <v>1</v>
      </c>
      <c r="E3054" s="65" t="str">
        <f aca="false">IF($H3054="","",购销流水!$B768)</f>
        <v/>
      </c>
      <c r="F3054" s="55" t="str">
        <f aca="false">IF($H3054="","",购销流水!$C768)</f>
        <v/>
      </c>
      <c r="G3054" s="48" t="str">
        <f aca="false">IF($H3054="","",购销流水!$N768)</f>
        <v/>
      </c>
      <c r="H3054" s="10" t="str">
        <f aca="false">IF($L3054="","",IF($L3054="@成本",购销流水!$U768,IF($L3054="@收入",购销流水!$T768,IF($L3054="@存货",购销流水!$S768,IF($L3054="@结算",购销流水!$R768,$L3054)))))</f>
        <v/>
      </c>
      <c r="I3054" s="42" t="n">
        <f aca="false">IF($M3054="借",$O3054,0)</f>
        <v>0</v>
      </c>
      <c r="J3054" s="42" t="n">
        <f aca="false">IF($M3054="贷",$O3054,0)</f>
        <v>0</v>
      </c>
      <c r="K3054" s="48" t="str">
        <f aca="false">IF($H3054="","",购销流水!$E768)</f>
        <v/>
      </c>
      <c r="L3054" s="66" t="str">
        <f aca="false">IF(购销流水!$D768="","",IFERROR(INDEX(记账规则!$A$6:$N$9,MATCH(购销流水!$D768,记账规则!$A$6:$A$9,0),3),""))</f>
        <v/>
      </c>
      <c r="M3054" s="66" t="str">
        <f aca="false">IF($L3054="","",IFERROR(INDEX(记账规则!$A$6:$N$9,MATCH(购销流水!$D768,记账规则!$A$6:$A$9,0),4),""))</f>
        <v/>
      </c>
      <c r="N3054" s="66" t="str">
        <f aca="false">IF($L3054="","",IFERROR(INDEX(记账规则!$A$6:$N$9,MATCH(购销流水!$D768,记账规则!$A$6:$A$9,0),5),""))</f>
        <v/>
      </c>
      <c r="O3054" s="67" t="n">
        <f aca="false">IF($H3054="",0,ROUND(IF($N3054="成本金额",N(购销流水!$W768),IF($N3054="金额",N(购销流水!$Q768),0)),2))</f>
        <v>0</v>
      </c>
      <c r="P3054" s="64" t="str">
        <f aca="false">IF(AND($H3054&lt;&gt;"",ROUND($O3054,2)&lt;&gt;0),"有","")</f>
        <v/>
      </c>
    </row>
    <row r="3055" customFormat="false" ht="15" hidden="true" customHeight="false" outlineLevel="0" collapsed="false">
      <c r="A3055" s="53" t="str">
        <f aca="false">IF($H3055="","",ROW()-5)</f>
        <v/>
      </c>
      <c r="B3055" s="64" t="s">
        <v>36</v>
      </c>
      <c r="C3055" s="53" t="n">
        <v>768</v>
      </c>
      <c r="D3055" s="53" t="n">
        <v>2</v>
      </c>
      <c r="E3055" s="65" t="str">
        <f aca="false">IF($H3055="","",购销流水!$B768)</f>
        <v/>
      </c>
      <c r="F3055" s="55" t="str">
        <f aca="false">IF($H3055="","",购销流水!$C768)</f>
        <v/>
      </c>
      <c r="G3055" s="48" t="str">
        <f aca="false">IF($H3055="","",购销流水!$N768)</f>
        <v/>
      </c>
      <c r="H3055" s="10" t="str">
        <f aca="false">IF($L3055="","",IF($L3055="@成本",购销流水!$U768,IF($L3055="@收入",购销流水!$T768,IF($L3055="@存货",购销流水!$S768,IF($L3055="@结算",购销流水!$R768,$L3055)))))</f>
        <v/>
      </c>
      <c r="I3055" s="42" t="n">
        <f aca="false">IF($M3055="借",$O3055,0)</f>
        <v>0</v>
      </c>
      <c r="J3055" s="42" t="n">
        <f aca="false">IF($M3055="贷",$O3055,0)</f>
        <v>0</v>
      </c>
      <c r="K3055" s="48" t="str">
        <f aca="false">IF($H3055="","",购销流水!$E768)</f>
        <v/>
      </c>
      <c r="L3055" s="66" t="str">
        <f aca="false">IF(购销流水!$D768="","",IFERROR(INDEX(记账规则!$A$6:$N$9,MATCH(购销流水!$D768,记账规则!$A$6:$A$9,0),6),""))</f>
        <v/>
      </c>
      <c r="M3055" s="66" t="str">
        <f aca="false">IF($L3055="","",IFERROR(INDEX(记账规则!$A$6:$N$9,MATCH(购销流水!$D768,记账规则!$A$6:$A$9,0),7),""))</f>
        <v/>
      </c>
      <c r="N3055" s="66" t="str">
        <f aca="false">IF($L3055="","",IFERROR(INDEX(记账规则!$A$6:$N$9,MATCH(购销流水!$D768,记账规则!$A$6:$A$9,0),8),""))</f>
        <v/>
      </c>
      <c r="O3055" s="67" t="n">
        <f aca="false">IF($H3055="",0,ROUND(IF($N3055="成本金额",N(购销流水!$W768),IF($N3055="金额",N(购销流水!$Q768),0)),2))</f>
        <v>0</v>
      </c>
      <c r="P3055" s="64" t="str">
        <f aca="false">IF(AND($H3055&lt;&gt;"",ROUND($O3055,2)&lt;&gt;0),"有","")</f>
        <v/>
      </c>
    </row>
    <row r="3056" customFormat="false" ht="15" hidden="true" customHeight="false" outlineLevel="0" collapsed="false">
      <c r="A3056" s="53" t="str">
        <f aca="false">IF($H3056="","",ROW()-5)</f>
        <v/>
      </c>
      <c r="B3056" s="64" t="s">
        <v>36</v>
      </c>
      <c r="C3056" s="53" t="n">
        <v>768</v>
      </c>
      <c r="D3056" s="53" t="n">
        <v>3</v>
      </c>
      <c r="E3056" s="65" t="str">
        <f aca="false">IF($H3056="","",购销流水!$B768)</f>
        <v/>
      </c>
      <c r="F3056" s="55" t="str">
        <f aca="false">IF($H3056="","",购销流水!$C768)</f>
        <v/>
      </c>
      <c r="G3056" s="48" t="str">
        <f aca="false">IF($H3056="","",购销流水!$N768)</f>
        <v/>
      </c>
      <c r="H3056" s="10" t="str">
        <f aca="false">IF($L3056="","",IF($L3056="@成本",购销流水!$U768,IF($L3056="@收入",购销流水!$T768,IF($L3056="@存货",购销流水!$S768,IF($L3056="@结算",购销流水!$R768,$L3056)))))</f>
        <v/>
      </c>
      <c r="I3056" s="42" t="n">
        <f aca="false">IF($M3056="借",$O3056,0)</f>
        <v>0</v>
      </c>
      <c r="J3056" s="42" t="n">
        <f aca="false">IF($M3056="贷",$O3056,0)</f>
        <v>0</v>
      </c>
      <c r="K3056" s="48" t="str">
        <f aca="false">IF($H3056="","",购销流水!$E768)</f>
        <v/>
      </c>
      <c r="L3056" s="66" t="str">
        <f aca="false">IF(购销流水!$D768="","",IFERROR(INDEX(记账规则!$A$6:$N$9,MATCH(购销流水!$D768,记账规则!$A$6:$A$9,0),9),""))</f>
        <v/>
      </c>
      <c r="M3056" s="66" t="str">
        <f aca="false">IF($L3056="","",IFERROR(INDEX(记账规则!$A$6:$N$9,MATCH(购销流水!$D768,记账规则!$A$6:$A$9,0),10),""))</f>
        <v/>
      </c>
      <c r="N3056" s="66" t="str">
        <f aca="false">IF($L3056="","",IFERROR(INDEX(记账规则!$A$6:$N$9,MATCH(购销流水!$D768,记账规则!$A$6:$A$9,0),11),""))</f>
        <v/>
      </c>
      <c r="O3056" s="67" t="n">
        <f aca="false">IF($H3056="",0,ROUND(IF($N3056="成本金额",N(购销流水!$W768),IF($N3056="金额",N(购销流水!$Q768),0)),2))</f>
        <v>0</v>
      </c>
      <c r="P3056" s="64" t="str">
        <f aca="false">IF(AND($H3056&lt;&gt;"",ROUND($O3056,2)&lt;&gt;0),"有","")</f>
        <v/>
      </c>
    </row>
    <row r="3057" customFormat="false" ht="15" hidden="true" customHeight="false" outlineLevel="0" collapsed="false">
      <c r="A3057" s="53" t="str">
        <f aca="false">IF($H3057="","",ROW()-5)</f>
        <v/>
      </c>
      <c r="B3057" s="64" t="s">
        <v>36</v>
      </c>
      <c r="C3057" s="53" t="n">
        <v>768</v>
      </c>
      <c r="D3057" s="53" t="n">
        <v>4</v>
      </c>
      <c r="E3057" s="65" t="str">
        <f aca="false">IF($H3057="","",购销流水!$B768)</f>
        <v/>
      </c>
      <c r="F3057" s="55" t="str">
        <f aca="false">IF($H3057="","",购销流水!$C768)</f>
        <v/>
      </c>
      <c r="G3057" s="48" t="str">
        <f aca="false">IF($H3057="","",购销流水!$N768)</f>
        <v/>
      </c>
      <c r="H3057" s="10" t="str">
        <f aca="false">IF($L3057="","",IF($L3057="@成本",购销流水!$U768,IF($L3057="@收入",购销流水!$T768,IF($L3057="@存货",购销流水!$S768,IF($L3057="@结算",购销流水!$R768,$L3057)))))</f>
        <v/>
      </c>
      <c r="I3057" s="42" t="n">
        <f aca="false">IF($M3057="借",$O3057,0)</f>
        <v>0</v>
      </c>
      <c r="J3057" s="42" t="n">
        <f aca="false">IF($M3057="贷",$O3057,0)</f>
        <v>0</v>
      </c>
      <c r="K3057" s="48" t="str">
        <f aca="false">IF($H3057="","",购销流水!$E768)</f>
        <v/>
      </c>
      <c r="L3057" s="66" t="str">
        <f aca="false">IF(购销流水!$D768="","",IFERROR(INDEX(记账规则!$A$6:$N$9,MATCH(购销流水!$D768,记账规则!$A$6:$A$9,0),12),""))</f>
        <v/>
      </c>
      <c r="M3057" s="66" t="str">
        <f aca="false">IF($L3057="","",IFERROR(INDEX(记账规则!$A$6:$N$9,MATCH(购销流水!$D768,记账规则!$A$6:$A$9,0),13),""))</f>
        <v/>
      </c>
      <c r="N3057" s="66" t="str">
        <f aca="false">IF($L3057="","",IFERROR(INDEX(记账规则!$A$6:$N$9,MATCH(购销流水!$D768,记账规则!$A$6:$A$9,0),14),""))</f>
        <v/>
      </c>
      <c r="O3057" s="67" t="n">
        <f aca="false">IF($H3057="",0,ROUND(IF($N3057="成本金额",N(购销流水!$W768),IF($N3057="金额",N(购销流水!$Q768),0)),2))</f>
        <v>0</v>
      </c>
      <c r="P3057" s="64" t="str">
        <f aca="false">IF(AND($H3057&lt;&gt;"",ROUND($O3057,2)&lt;&gt;0),"有","")</f>
        <v/>
      </c>
    </row>
    <row r="3058" customFormat="false" ht="15" hidden="true" customHeight="false" outlineLevel="0" collapsed="false">
      <c r="A3058" s="53" t="str">
        <f aca="false">IF($H3058="","",ROW()-5)</f>
        <v/>
      </c>
      <c r="B3058" s="64" t="s">
        <v>36</v>
      </c>
      <c r="C3058" s="53" t="n">
        <v>769</v>
      </c>
      <c r="D3058" s="53" t="n">
        <v>1</v>
      </c>
      <c r="E3058" s="65" t="str">
        <f aca="false">IF($H3058="","",购销流水!$B769)</f>
        <v/>
      </c>
      <c r="F3058" s="55" t="str">
        <f aca="false">IF($H3058="","",购销流水!$C769)</f>
        <v/>
      </c>
      <c r="G3058" s="48" t="str">
        <f aca="false">IF($H3058="","",购销流水!$N769)</f>
        <v/>
      </c>
      <c r="H3058" s="10" t="str">
        <f aca="false">IF($L3058="","",IF($L3058="@成本",购销流水!$U769,IF($L3058="@收入",购销流水!$T769,IF($L3058="@存货",购销流水!$S769,IF($L3058="@结算",购销流水!$R769,$L3058)))))</f>
        <v/>
      </c>
      <c r="I3058" s="42" t="n">
        <f aca="false">IF($M3058="借",$O3058,0)</f>
        <v>0</v>
      </c>
      <c r="J3058" s="42" t="n">
        <f aca="false">IF($M3058="贷",$O3058,0)</f>
        <v>0</v>
      </c>
      <c r="K3058" s="48" t="str">
        <f aca="false">IF($H3058="","",购销流水!$E769)</f>
        <v/>
      </c>
      <c r="L3058" s="66" t="str">
        <f aca="false">IF(购销流水!$D769="","",IFERROR(INDEX(记账规则!$A$6:$N$9,MATCH(购销流水!$D769,记账规则!$A$6:$A$9,0),3),""))</f>
        <v/>
      </c>
      <c r="M3058" s="66" t="str">
        <f aca="false">IF($L3058="","",IFERROR(INDEX(记账规则!$A$6:$N$9,MATCH(购销流水!$D769,记账规则!$A$6:$A$9,0),4),""))</f>
        <v/>
      </c>
      <c r="N3058" s="66" t="str">
        <f aca="false">IF($L3058="","",IFERROR(INDEX(记账规则!$A$6:$N$9,MATCH(购销流水!$D769,记账规则!$A$6:$A$9,0),5),""))</f>
        <v/>
      </c>
      <c r="O3058" s="67" t="n">
        <f aca="false">IF($H3058="",0,ROUND(IF($N3058="成本金额",N(购销流水!$W769),IF($N3058="金额",N(购销流水!$Q769),0)),2))</f>
        <v>0</v>
      </c>
      <c r="P3058" s="64" t="str">
        <f aca="false">IF(AND($H3058&lt;&gt;"",ROUND($O3058,2)&lt;&gt;0),"有","")</f>
        <v/>
      </c>
    </row>
    <row r="3059" customFormat="false" ht="15" hidden="true" customHeight="false" outlineLevel="0" collapsed="false">
      <c r="A3059" s="53" t="str">
        <f aca="false">IF($H3059="","",ROW()-5)</f>
        <v/>
      </c>
      <c r="B3059" s="64" t="s">
        <v>36</v>
      </c>
      <c r="C3059" s="53" t="n">
        <v>769</v>
      </c>
      <c r="D3059" s="53" t="n">
        <v>2</v>
      </c>
      <c r="E3059" s="65" t="str">
        <f aca="false">IF($H3059="","",购销流水!$B769)</f>
        <v/>
      </c>
      <c r="F3059" s="55" t="str">
        <f aca="false">IF($H3059="","",购销流水!$C769)</f>
        <v/>
      </c>
      <c r="G3059" s="48" t="str">
        <f aca="false">IF($H3059="","",购销流水!$N769)</f>
        <v/>
      </c>
      <c r="H3059" s="10" t="str">
        <f aca="false">IF($L3059="","",IF($L3059="@成本",购销流水!$U769,IF($L3059="@收入",购销流水!$T769,IF($L3059="@存货",购销流水!$S769,IF($L3059="@结算",购销流水!$R769,$L3059)))))</f>
        <v/>
      </c>
      <c r="I3059" s="42" t="n">
        <f aca="false">IF($M3059="借",$O3059,0)</f>
        <v>0</v>
      </c>
      <c r="J3059" s="42" t="n">
        <f aca="false">IF($M3059="贷",$O3059,0)</f>
        <v>0</v>
      </c>
      <c r="K3059" s="48" t="str">
        <f aca="false">IF($H3059="","",购销流水!$E769)</f>
        <v/>
      </c>
      <c r="L3059" s="66" t="str">
        <f aca="false">IF(购销流水!$D769="","",IFERROR(INDEX(记账规则!$A$6:$N$9,MATCH(购销流水!$D769,记账规则!$A$6:$A$9,0),6),""))</f>
        <v/>
      </c>
      <c r="M3059" s="66" t="str">
        <f aca="false">IF($L3059="","",IFERROR(INDEX(记账规则!$A$6:$N$9,MATCH(购销流水!$D769,记账规则!$A$6:$A$9,0),7),""))</f>
        <v/>
      </c>
      <c r="N3059" s="66" t="str">
        <f aca="false">IF($L3059="","",IFERROR(INDEX(记账规则!$A$6:$N$9,MATCH(购销流水!$D769,记账规则!$A$6:$A$9,0),8),""))</f>
        <v/>
      </c>
      <c r="O3059" s="67" t="n">
        <f aca="false">IF($H3059="",0,ROUND(IF($N3059="成本金额",N(购销流水!$W769),IF($N3059="金额",N(购销流水!$Q769),0)),2))</f>
        <v>0</v>
      </c>
      <c r="P3059" s="64" t="str">
        <f aca="false">IF(AND($H3059&lt;&gt;"",ROUND($O3059,2)&lt;&gt;0),"有","")</f>
        <v/>
      </c>
    </row>
    <row r="3060" customFormat="false" ht="15" hidden="true" customHeight="false" outlineLevel="0" collapsed="false">
      <c r="A3060" s="53" t="str">
        <f aca="false">IF($H3060="","",ROW()-5)</f>
        <v/>
      </c>
      <c r="B3060" s="64" t="s">
        <v>36</v>
      </c>
      <c r="C3060" s="53" t="n">
        <v>769</v>
      </c>
      <c r="D3060" s="53" t="n">
        <v>3</v>
      </c>
      <c r="E3060" s="65" t="str">
        <f aca="false">IF($H3060="","",购销流水!$B769)</f>
        <v/>
      </c>
      <c r="F3060" s="55" t="str">
        <f aca="false">IF($H3060="","",购销流水!$C769)</f>
        <v/>
      </c>
      <c r="G3060" s="48" t="str">
        <f aca="false">IF($H3060="","",购销流水!$N769)</f>
        <v/>
      </c>
      <c r="H3060" s="10" t="str">
        <f aca="false">IF($L3060="","",IF($L3060="@成本",购销流水!$U769,IF($L3060="@收入",购销流水!$T769,IF($L3060="@存货",购销流水!$S769,IF($L3060="@结算",购销流水!$R769,$L3060)))))</f>
        <v/>
      </c>
      <c r="I3060" s="42" t="n">
        <f aca="false">IF($M3060="借",$O3060,0)</f>
        <v>0</v>
      </c>
      <c r="J3060" s="42" t="n">
        <f aca="false">IF($M3060="贷",$O3060,0)</f>
        <v>0</v>
      </c>
      <c r="K3060" s="48" t="str">
        <f aca="false">IF($H3060="","",购销流水!$E769)</f>
        <v/>
      </c>
      <c r="L3060" s="66" t="str">
        <f aca="false">IF(购销流水!$D769="","",IFERROR(INDEX(记账规则!$A$6:$N$9,MATCH(购销流水!$D769,记账规则!$A$6:$A$9,0),9),""))</f>
        <v/>
      </c>
      <c r="M3060" s="66" t="str">
        <f aca="false">IF($L3060="","",IFERROR(INDEX(记账规则!$A$6:$N$9,MATCH(购销流水!$D769,记账规则!$A$6:$A$9,0),10),""))</f>
        <v/>
      </c>
      <c r="N3060" s="66" t="str">
        <f aca="false">IF($L3060="","",IFERROR(INDEX(记账规则!$A$6:$N$9,MATCH(购销流水!$D769,记账规则!$A$6:$A$9,0),11),""))</f>
        <v/>
      </c>
      <c r="O3060" s="67" t="n">
        <f aca="false">IF($H3060="",0,ROUND(IF($N3060="成本金额",N(购销流水!$W769),IF($N3060="金额",N(购销流水!$Q769),0)),2))</f>
        <v>0</v>
      </c>
      <c r="P3060" s="64" t="str">
        <f aca="false">IF(AND($H3060&lt;&gt;"",ROUND($O3060,2)&lt;&gt;0),"有","")</f>
        <v/>
      </c>
    </row>
    <row r="3061" customFormat="false" ht="15" hidden="true" customHeight="false" outlineLevel="0" collapsed="false">
      <c r="A3061" s="53" t="str">
        <f aca="false">IF($H3061="","",ROW()-5)</f>
        <v/>
      </c>
      <c r="B3061" s="64" t="s">
        <v>36</v>
      </c>
      <c r="C3061" s="53" t="n">
        <v>769</v>
      </c>
      <c r="D3061" s="53" t="n">
        <v>4</v>
      </c>
      <c r="E3061" s="65" t="str">
        <f aca="false">IF($H3061="","",购销流水!$B769)</f>
        <v/>
      </c>
      <c r="F3061" s="55" t="str">
        <f aca="false">IF($H3061="","",购销流水!$C769)</f>
        <v/>
      </c>
      <c r="G3061" s="48" t="str">
        <f aca="false">IF($H3061="","",购销流水!$N769)</f>
        <v/>
      </c>
      <c r="H3061" s="10" t="str">
        <f aca="false">IF($L3061="","",IF($L3061="@成本",购销流水!$U769,IF($L3061="@收入",购销流水!$T769,IF($L3061="@存货",购销流水!$S769,IF($L3061="@结算",购销流水!$R769,$L3061)))))</f>
        <v/>
      </c>
      <c r="I3061" s="42" t="n">
        <f aca="false">IF($M3061="借",$O3061,0)</f>
        <v>0</v>
      </c>
      <c r="J3061" s="42" t="n">
        <f aca="false">IF($M3061="贷",$O3061,0)</f>
        <v>0</v>
      </c>
      <c r="K3061" s="48" t="str">
        <f aca="false">IF($H3061="","",购销流水!$E769)</f>
        <v/>
      </c>
      <c r="L3061" s="66" t="str">
        <f aca="false">IF(购销流水!$D769="","",IFERROR(INDEX(记账规则!$A$6:$N$9,MATCH(购销流水!$D769,记账规则!$A$6:$A$9,0),12),""))</f>
        <v/>
      </c>
      <c r="M3061" s="66" t="str">
        <f aca="false">IF($L3061="","",IFERROR(INDEX(记账规则!$A$6:$N$9,MATCH(购销流水!$D769,记账规则!$A$6:$A$9,0),13),""))</f>
        <v/>
      </c>
      <c r="N3061" s="66" t="str">
        <f aca="false">IF($L3061="","",IFERROR(INDEX(记账规则!$A$6:$N$9,MATCH(购销流水!$D769,记账规则!$A$6:$A$9,0),14),""))</f>
        <v/>
      </c>
      <c r="O3061" s="67" t="n">
        <f aca="false">IF($H3061="",0,ROUND(IF($N3061="成本金额",N(购销流水!$W769),IF($N3061="金额",N(购销流水!$Q769),0)),2))</f>
        <v>0</v>
      </c>
      <c r="P3061" s="64" t="str">
        <f aca="false">IF(AND($H3061&lt;&gt;"",ROUND($O3061,2)&lt;&gt;0),"有","")</f>
        <v/>
      </c>
    </row>
    <row r="3062" customFormat="false" ht="15" hidden="true" customHeight="false" outlineLevel="0" collapsed="false">
      <c r="A3062" s="53" t="str">
        <f aca="false">IF($H3062="","",ROW()-5)</f>
        <v/>
      </c>
      <c r="B3062" s="64" t="s">
        <v>36</v>
      </c>
      <c r="C3062" s="53" t="n">
        <v>770</v>
      </c>
      <c r="D3062" s="53" t="n">
        <v>1</v>
      </c>
      <c r="E3062" s="65" t="str">
        <f aca="false">IF($H3062="","",购销流水!$B770)</f>
        <v/>
      </c>
      <c r="F3062" s="55" t="str">
        <f aca="false">IF($H3062="","",购销流水!$C770)</f>
        <v/>
      </c>
      <c r="G3062" s="48" t="str">
        <f aca="false">IF($H3062="","",购销流水!$N770)</f>
        <v/>
      </c>
      <c r="H3062" s="10" t="str">
        <f aca="false">IF($L3062="","",IF($L3062="@成本",购销流水!$U770,IF($L3062="@收入",购销流水!$T770,IF($L3062="@存货",购销流水!$S770,IF($L3062="@结算",购销流水!$R770,$L3062)))))</f>
        <v/>
      </c>
      <c r="I3062" s="42" t="n">
        <f aca="false">IF($M3062="借",$O3062,0)</f>
        <v>0</v>
      </c>
      <c r="J3062" s="42" t="n">
        <f aca="false">IF($M3062="贷",$O3062,0)</f>
        <v>0</v>
      </c>
      <c r="K3062" s="48" t="str">
        <f aca="false">IF($H3062="","",购销流水!$E770)</f>
        <v/>
      </c>
      <c r="L3062" s="66" t="str">
        <f aca="false">IF(购销流水!$D770="","",IFERROR(INDEX(记账规则!$A$6:$N$9,MATCH(购销流水!$D770,记账规则!$A$6:$A$9,0),3),""))</f>
        <v/>
      </c>
      <c r="M3062" s="66" t="str">
        <f aca="false">IF($L3062="","",IFERROR(INDEX(记账规则!$A$6:$N$9,MATCH(购销流水!$D770,记账规则!$A$6:$A$9,0),4),""))</f>
        <v/>
      </c>
      <c r="N3062" s="66" t="str">
        <f aca="false">IF($L3062="","",IFERROR(INDEX(记账规则!$A$6:$N$9,MATCH(购销流水!$D770,记账规则!$A$6:$A$9,0),5),""))</f>
        <v/>
      </c>
      <c r="O3062" s="67" t="n">
        <f aca="false">IF($H3062="",0,ROUND(IF($N3062="成本金额",N(购销流水!$W770),IF($N3062="金额",N(购销流水!$Q770),0)),2))</f>
        <v>0</v>
      </c>
      <c r="P3062" s="64" t="str">
        <f aca="false">IF(AND($H3062&lt;&gt;"",ROUND($O3062,2)&lt;&gt;0),"有","")</f>
        <v/>
      </c>
    </row>
    <row r="3063" customFormat="false" ht="15" hidden="true" customHeight="false" outlineLevel="0" collapsed="false">
      <c r="A3063" s="53" t="str">
        <f aca="false">IF($H3063="","",ROW()-5)</f>
        <v/>
      </c>
      <c r="B3063" s="64" t="s">
        <v>36</v>
      </c>
      <c r="C3063" s="53" t="n">
        <v>770</v>
      </c>
      <c r="D3063" s="53" t="n">
        <v>2</v>
      </c>
      <c r="E3063" s="65" t="str">
        <f aca="false">IF($H3063="","",购销流水!$B770)</f>
        <v/>
      </c>
      <c r="F3063" s="55" t="str">
        <f aca="false">IF($H3063="","",购销流水!$C770)</f>
        <v/>
      </c>
      <c r="G3063" s="48" t="str">
        <f aca="false">IF($H3063="","",购销流水!$N770)</f>
        <v/>
      </c>
      <c r="H3063" s="10" t="str">
        <f aca="false">IF($L3063="","",IF($L3063="@成本",购销流水!$U770,IF($L3063="@收入",购销流水!$T770,IF($L3063="@存货",购销流水!$S770,IF($L3063="@结算",购销流水!$R770,$L3063)))))</f>
        <v/>
      </c>
      <c r="I3063" s="42" t="n">
        <f aca="false">IF($M3063="借",$O3063,0)</f>
        <v>0</v>
      </c>
      <c r="J3063" s="42" t="n">
        <f aca="false">IF($M3063="贷",$O3063,0)</f>
        <v>0</v>
      </c>
      <c r="K3063" s="48" t="str">
        <f aca="false">IF($H3063="","",购销流水!$E770)</f>
        <v/>
      </c>
      <c r="L3063" s="66" t="str">
        <f aca="false">IF(购销流水!$D770="","",IFERROR(INDEX(记账规则!$A$6:$N$9,MATCH(购销流水!$D770,记账规则!$A$6:$A$9,0),6),""))</f>
        <v/>
      </c>
      <c r="M3063" s="66" t="str">
        <f aca="false">IF($L3063="","",IFERROR(INDEX(记账规则!$A$6:$N$9,MATCH(购销流水!$D770,记账规则!$A$6:$A$9,0),7),""))</f>
        <v/>
      </c>
      <c r="N3063" s="66" t="str">
        <f aca="false">IF($L3063="","",IFERROR(INDEX(记账规则!$A$6:$N$9,MATCH(购销流水!$D770,记账规则!$A$6:$A$9,0),8),""))</f>
        <v/>
      </c>
      <c r="O3063" s="67" t="n">
        <f aca="false">IF($H3063="",0,ROUND(IF($N3063="成本金额",N(购销流水!$W770),IF($N3063="金额",N(购销流水!$Q770),0)),2))</f>
        <v>0</v>
      </c>
      <c r="P3063" s="64" t="str">
        <f aca="false">IF(AND($H3063&lt;&gt;"",ROUND($O3063,2)&lt;&gt;0),"有","")</f>
        <v/>
      </c>
    </row>
    <row r="3064" customFormat="false" ht="15" hidden="true" customHeight="false" outlineLevel="0" collapsed="false">
      <c r="A3064" s="53" t="str">
        <f aca="false">IF($H3064="","",ROW()-5)</f>
        <v/>
      </c>
      <c r="B3064" s="64" t="s">
        <v>36</v>
      </c>
      <c r="C3064" s="53" t="n">
        <v>770</v>
      </c>
      <c r="D3064" s="53" t="n">
        <v>3</v>
      </c>
      <c r="E3064" s="65" t="str">
        <f aca="false">IF($H3064="","",购销流水!$B770)</f>
        <v/>
      </c>
      <c r="F3064" s="55" t="str">
        <f aca="false">IF($H3064="","",购销流水!$C770)</f>
        <v/>
      </c>
      <c r="G3064" s="48" t="str">
        <f aca="false">IF($H3064="","",购销流水!$N770)</f>
        <v/>
      </c>
      <c r="H3064" s="10" t="str">
        <f aca="false">IF($L3064="","",IF($L3064="@成本",购销流水!$U770,IF($L3064="@收入",购销流水!$T770,IF($L3064="@存货",购销流水!$S770,IF($L3064="@结算",购销流水!$R770,$L3064)))))</f>
        <v/>
      </c>
      <c r="I3064" s="42" t="n">
        <f aca="false">IF($M3064="借",$O3064,0)</f>
        <v>0</v>
      </c>
      <c r="J3064" s="42" t="n">
        <f aca="false">IF($M3064="贷",$O3064,0)</f>
        <v>0</v>
      </c>
      <c r="K3064" s="48" t="str">
        <f aca="false">IF($H3064="","",购销流水!$E770)</f>
        <v/>
      </c>
      <c r="L3064" s="66" t="str">
        <f aca="false">IF(购销流水!$D770="","",IFERROR(INDEX(记账规则!$A$6:$N$9,MATCH(购销流水!$D770,记账规则!$A$6:$A$9,0),9),""))</f>
        <v/>
      </c>
      <c r="M3064" s="66" t="str">
        <f aca="false">IF($L3064="","",IFERROR(INDEX(记账规则!$A$6:$N$9,MATCH(购销流水!$D770,记账规则!$A$6:$A$9,0),10),""))</f>
        <v/>
      </c>
      <c r="N3064" s="66" t="str">
        <f aca="false">IF($L3064="","",IFERROR(INDEX(记账规则!$A$6:$N$9,MATCH(购销流水!$D770,记账规则!$A$6:$A$9,0),11),""))</f>
        <v/>
      </c>
      <c r="O3064" s="67" t="n">
        <f aca="false">IF($H3064="",0,ROUND(IF($N3064="成本金额",N(购销流水!$W770),IF($N3064="金额",N(购销流水!$Q770),0)),2))</f>
        <v>0</v>
      </c>
      <c r="P3064" s="64" t="str">
        <f aca="false">IF(AND($H3064&lt;&gt;"",ROUND($O3064,2)&lt;&gt;0),"有","")</f>
        <v/>
      </c>
    </row>
    <row r="3065" customFormat="false" ht="15" hidden="true" customHeight="false" outlineLevel="0" collapsed="false">
      <c r="A3065" s="53" t="str">
        <f aca="false">IF($H3065="","",ROW()-5)</f>
        <v/>
      </c>
      <c r="B3065" s="64" t="s">
        <v>36</v>
      </c>
      <c r="C3065" s="53" t="n">
        <v>770</v>
      </c>
      <c r="D3065" s="53" t="n">
        <v>4</v>
      </c>
      <c r="E3065" s="65" t="str">
        <f aca="false">IF($H3065="","",购销流水!$B770)</f>
        <v/>
      </c>
      <c r="F3065" s="55" t="str">
        <f aca="false">IF($H3065="","",购销流水!$C770)</f>
        <v/>
      </c>
      <c r="G3065" s="48" t="str">
        <f aca="false">IF($H3065="","",购销流水!$N770)</f>
        <v/>
      </c>
      <c r="H3065" s="10" t="str">
        <f aca="false">IF($L3065="","",IF($L3065="@成本",购销流水!$U770,IF($L3065="@收入",购销流水!$T770,IF($L3065="@存货",购销流水!$S770,IF($L3065="@结算",购销流水!$R770,$L3065)))))</f>
        <v/>
      </c>
      <c r="I3065" s="42" t="n">
        <f aca="false">IF($M3065="借",$O3065,0)</f>
        <v>0</v>
      </c>
      <c r="J3065" s="42" t="n">
        <f aca="false">IF($M3065="贷",$O3065,0)</f>
        <v>0</v>
      </c>
      <c r="K3065" s="48" t="str">
        <f aca="false">IF($H3065="","",购销流水!$E770)</f>
        <v/>
      </c>
      <c r="L3065" s="66" t="str">
        <f aca="false">IF(购销流水!$D770="","",IFERROR(INDEX(记账规则!$A$6:$N$9,MATCH(购销流水!$D770,记账规则!$A$6:$A$9,0),12),""))</f>
        <v/>
      </c>
      <c r="M3065" s="66" t="str">
        <f aca="false">IF($L3065="","",IFERROR(INDEX(记账规则!$A$6:$N$9,MATCH(购销流水!$D770,记账规则!$A$6:$A$9,0),13),""))</f>
        <v/>
      </c>
      <c r="N3065" s="66" t="str">
        <f aca="false">IF($L3065="","",IFERROR(INDEX(记账规则!$A$6:$N$9,MATCH(购销流水!$D770,记账规则!$A$6:$A$9,0),14),""))</f>
        <v/>
      </c>
      <c r="O3065" s="67" t="n">
        <f aca="false">IF($H3065="",0,ROUND(IF($N3065="成本金额",N(购销流水!$W770),IF($N3065="金额",N(购销流水!$Q770),0)),2))</f>
        <v>0</v>
      </c>
      <c r="P3065" s="64" t="str">
        <f aca="false">IF(AND($H3065&lt;&gt;"",ROUND($O3065,2)&lt;&gt;0),"有","")</f>
        <v/>
      </c>
    </row>
    <row r="3066" customFormat="false" ht="15" hidden="true" customHeight="false" outlineLevel="0" collapsed="false">
      <c r="A3066" s="53" t="str">
        <f aca="false">IF($H3066="","",ROW()-5)</f>
        <v/>
      </c>
      <c r="B3066" s="64" t="s">
        <v>36</v>
      </c>
      <c r="C3066" s="53" t="n">
        <v>771</v>
      </c>
      <c r="D3066" s="53" t="n">
        <v>1</v>
      </c>
      <c r="E3066" s="65" t="str">
        <f aca="false">IF($H3066="","",购销流水!$B771)</f>
        <v/>
      </c>
      <c r="F3066" s="55" t="str">
        <f aca="false">IF($H3066="","",购销流水!$C771)</f>
        <v/>
      </c>
      <c r="G3066" s="48" t="str">
        <f aca="false">IF($H3066="","",购销流水!$N771)</f>
        <v/>
      </c>
      <c r="H3066" s="10" t="str">
        <f aca="false">IF($L3066="","",IF($L3066="@成本",购销流水!$U771,IF($L3066="@收入",购销流水!$T771,IF($L3066="@存货",购销流水!$S771,IF($L3066="@结算",购销流水!$R771,$L3066)))))</f>
        <v/>
      </c>
      <c r="I3066" s="42" t="n">
        <f aca="false">IF($M3066="借",$O3066,0)</f>
        <v>0</v>
      </c>
      <c r="J3066" s="42" t="n">
        <f aca="false">IF($M3066="贷",$O3066,0)</f>
        <v>0</v>
      </c>
      <c r="K3066" s="48" t="str">
        <f aca="false">IF($H3066="","",购销流水!$E771)</f>
        <v/>
      </c>
      <c r="L3066" s="66" t="str">
        <f aca="false">IF(购销流水!$D771="","",IFERROR(INDEX(记账规则!$A$6:$N$9,MATCH(购销流水!$D771,记账规则!$A$6:$A$9,0),3),""))</f>
        <v/>
      </c>
      <c r="M3066" s="66" t="str">
        <f aca="false">IF($L3066="","",IFERROR(INDEX(记账规则!$A$6:$N$9,MATCH(购销流水!$D771,记账规则!$A$6:$A$9,0),4),""))</f>
        <v/>
      </c>
      <c r="N3066" s="66" t="str">
        <f aca="false">IF($L3066="","",IFERROR(INDEX(记账规则!$A$6:$N$9,MATCH(购销流水!$D771,记账规则!$A$6:$A$9,0),5),""))</f>
        <v/>
      </c>
      <c r="O3066" s="67" t="n">
        <f aca="false">IF($H3066="",0,ROUND(IF($N3066="成本金额",N(购销流水!$W771),IF($N3066="金额",N(购销流水!$Q771),0)),2))</f>
        <v>0</v>
      </c>
      <c r="P3066" s="64" t="str">
        <f aca="false">IF(AND($H3066&lt;&gt;"",ROUND($O3066,2)&lt;&gt;0),"有","")</f>
        <v/>
      </c>
    </row>
    <row r="3067" customFormat="false" ht="15" hidden="true" customHeight="false" outlineLevel="0" collapsed="false">
      <c r="A3067" s="53" t="str">
        <f aca="false">IF($H3067="","",ROW()-5)</f>
        <v/>
      </c>
      <c r="B3067" s="64" t="s">
        <v>36</v>
      </c>
      <c r="C3067" s="53" t="n">
        <v>771</v>
      </c>
      <c r="D3067" s="53" t="n">
        <v>2</v>
      </c>
      <c r="E3067" s="65" t="str">
        <f aca="false">IF($H3067="","",购销流水!$B771)</f>
        <v/>
      </c>
      <c r="F3067" s="55" t="str">
        <f aca="false">IF($H3067="","",购销流水!$C771)</f>
        <v/>
      </c>
      <c r="G3067" s="48" t="str">
        <f aca="false">IF($H3067="","",购销流水!$N771)</f>
        <v/>
      </c>
      <c r="H3067" s="10" t="str">
        <f aca="false">IF($L3067="","",IF($L3067="@成本",购销流水!$U771,IF($L3067="@收入",购销流水!$T771,IF($L3067="@存货",购销流水!$S771,IF($L3067="@结算",购销流水!$R771,$L3067)))))</f>
        <v/>
      </c>
      <c r="I3067" s="42" t="n">
        <f aca="false">IF($M3067="借",$O3067,0)</f>
        <v>0</v>
      </c>
      <c r="J3067" s="42" t="n">
        <f aca="false">IF($M3067="贷",$O3067,0)</f>
        <v>0</v>
      </c>
      <c r="K3067" s="48" t="str">
        <f aca="false">IF($H3067="","",购销流水!$E771)</f>
        <v/>
      </c>
      <c r="L3067" s="66" t="str">
        <f aca="false">IF(购销流水!$D771="","",IFERROR(INDEX(记账规则!$A$6:$N$9,MATCH(购销流水!$D771,记账规则!$A$6:$A$9,0),6),""))</f>
        <v/>
      </c>
      <c r="M3067" s="66" t="str">
        <f aca="false">IF($L3067="","",IFERROR(INDEX(记账规则!$A$6:$N$9,MATCH(购销流水!$D771,记账规则!$A$6:$A$9,0),7),""))</f>
        <v/>
      </c>
      <c r="N3067" s="66" t="str">
        <f aca="false">IF($L3067="","",IFERROR(INDEX(记账规则!$A$6:$N$9,MATCH(购销流水!$D771,记账规则!$A$6:$A$9,0),8),""))</f>
        <v/>
      </c>
      <c r="O3067" s="67" t="n">
        <f aca="false">IF($H3067="",0,ROUND(IF($N3067="成本金额",N(购销流水!$W771),IF($N3067="金额",N(购销流水!$Q771),0)),2))</f>
        <v>0</v>
      </c>
      <c r="P3067" s="64" t="str">
        <f aca="false">IF(AND($H3067&lt;&gt;"",ROUND($O3067,2)&lt;&gt;0),"有","")</f>
        <v/>
      </c>
    </row>
    <row r="3068" customFormat="false" ht="15" hidden="true" customHeight="false" outlineLevel="0" collapsed="false">
      <c r="A3068" s="53" t="str">
        <f aca="false">IF($H3068="","",ROW()-5)</f>
        <v/>
      </c>
      <c r="B3068" s="64" t="s">
        <v>36</v>
      </c>
      <c r="C3068" s="53" t="n">
        <v>771</v>
      </c>
      <c r="D3068" s="53" t="n">
        <v>3</v>
      </c>
      <c r="E3068" s="65" t="str">
        <f aca="false">IF($H3068="","",购销流水!$B771)</f>
        <v/>
      </c>
      <c r="F3068" s="55" t="str">
        <f aca="false">IF($H3068="","",购销流水!$C771)</f>
        <v/>
      </c>
      <c r="G3068" s="48" t="str">
        <f aca="false">IF($H3068="","",购销流水!$N771)</f>
        <v/>
      </c>
      <c r="H3068" s="10" t="str">
        <f aca="false">IF($L3068="","",IF($L3068="@成本",购销流水!$U771,IF($L3068="@收入",购销流水!$T771,IF($L3068="@存货",购销流水!$S771,IF($L3068="@结算",购销流水!$R771,$L3068)))))</f>
        <v/>
      </c>
      <c r="I3068" s="42" t="n">
        <f aca="false">IF($M3068="借",$O3068,0)</f>
        <v>0</v>
      </c>
      <c r="J3068" s="42" t="n">
        <f aca="false">IF($M3068="贷",$O3068,0)</f>
        <v>0</v>
      </c>
      <c r="K3068" s="48" t="str">
        <f aca="false">IF($H3068="","",购销流水!$E771)</f>
        <v/>
      </c>
      <c r="L3068" s="66" t="str">
        <f aca="false">IF(购销流水!$D771="","",IFERROR(INDEX(记账规则!$A$6:$N$9,MATCH(购销流水!$D771,记账规则!$A$6:$A$9,0),9),""))</f>
        <v/>
      </c>
      <c r="M3068" s="66" t="str">
        <f aca="false">IF($L3068="","",IFERROR(INDEX(记账规则!$A$6:$N$9,MATCH(购销流水!$D771,记账规则!$A$6:$A$9,0),10),""))</f>
        <v/>
      </c>
      <c r="N3068" s="66" t="str">
        <f aca="false">IF($L3068="","",IFERROR(INDEX(记账规则!$A$6:$N$9,MATCH(购销流水!$D771,记账规则!$A$6:$A$9,0),11),""))</f>
        <v/>
      </c>
      <c r="O3068" s="67" t="n">
        <f aca="false">IF($H3068="",0,ROUND(IF($N3068="成本金额",N(购销流水!$W771),IF($N3068="金额",N(购销流水!$Q771),0)),2))</f>
        <v>0</v>
      </c>
      <c r="P3068" s="64" t="str">
        <f aca="false">IF(AND($H3068&lt;&gt;"",ROUND($O3068,2)&lt;&gt;0),"有","")</f>
        <v/>
      </c>
    </row>
    <row r="3069" customFormat="false" ht="15" hidden="true" customHeight="false" outlineLevel="0" collapsed="false">
      <c r="A3069" s="53" t="str">
        <f aca="false">IF($H3069="","",ROW()-5)</f>
        <v/>
      </c>
      <c r="B3069" s="64" t="s">
        <v>36</v>
      </c>
      <c r="C3069" s="53" t="n">
        <v>771</v>
      </c>
      <c r="D3069" s="53" t="n">
        <v>4</v>
      </c>
      <c r="E3069" s="65" t="str">
        <f aca="false">IF($H3069="","",购销流水!$B771)</f>
        <v/>
      </c>
      <c r="F3069" s="55" t="str">
        <f aca="false">IF($H3069="","",购销流水!$C771)</f>
        <v/>
      </c>
      <c r="G3069" s="48" t="str">
        <f aca="false">IF($H3069="","",购销流水!$N771)</f>
        <v/>
      </c>
      <c r="H3069" s="10" t="str">
        <f aca="false">IF($L3069="","",IF($L3069="@成本",购销流水!$U771,IF($L3069="@收入",购销流水!$T771,IF($L3069="@存货",购销流水!$S771,IF($L3069="@结算",购销流水!$R771,$L3069)))))</f>
        <v/>
      </c>
      <c r="I3069" s="42" t="n">
        <f aca="false">IF($M3069="借",$O3069,0)</f>
        <v>0</v>
      </c>
      <c r="J3069" s="42" t="n">
        <f aca="false">IF($M3069="贷",$O3069,0)</f>
        <v>0</v>
      </c>
      <c r="K3069" s="48" t="str">
        <f aca="false">IF($H3069="","",购销流水!$E771)</f>
        <v/>
      </c>
      <c r="L3069" s="66" t="str">
        <f aca="false">IF(购销流水!$D771="","",IFERROR(INDEX(记账规则!$A$6:$N$9,MATCH(购销流水!$D771,记账规则!$A$6:$A$9,0),12),""))</f>
        <v/>
      </c>
      <c r="M3069" s="66" t="str">
        <f aca="false">IF($L3069="","",IFERROR(INDEX(记账规则!$A$6:$N$9,MATCH(购销流水!$D771,记账规则!$A$6:$A$9,0),13),""))</f>
        <v/>
      </c>
      <c r="N3069" s="66" t="str">
        <f aca="false">IF($L3069="","",IFERROR(INDEX(记账规则!$A$6:$N$9,MATCH(购销流水!$D771,记账规则!$A$6:$A$9,0),14),""))</f>
        <v/>
      </c>
      <c r="O3069" s="67" t="n">
        <f aca="false">IF($H3069="",0,ROUND(IF($N3069="成本金额",N(购销流水!$W771),IF($N3069="金额",N(购销流水!$Q771),0)),2))</f>
        <v>0</v>
      </c>
      <c r="P3069" s="64" t="str">
        <f aca="false">IF(AND($H3069&lt;&gt;"",ROUND($O3069,2)&lt;&gt;0),"有","")</f>
        <v/>
      </c>
    </row>
    <row r="3070" customFormat="false" ht="15" hidden="true" customHeight="false" outlineLevel="0" collapsed="false">
      <c r="A3070" s="53" t="str">
        <f aca="false">IF($H3070="","",ROW()-5)</f>
        <v/>
      </c>
      <c r="B3070" s="64" t="s">
        <v>36</v>
      </c>
      <c r="C3070" s="53" t="n">
        <v>772</v>
      </c>
      <c r="D3070" s="53" t="n">
        <v>1</v>
      </c>
      <c r="E3070" s="65" t="str">
        <f aca="false">IF($H3070="","",购销流水!$B772)</f>
        <v/>
      </c>
      <c r="F3070" s="55" t="str">
        <f aca="false">IF($H3070="","",购销流水!$C772)</f>
        <v/>
      </c>
      <c r="G3070" s="48" t="str">
        <f aca="false">IF($H3070="","",购销流水!$N772)</f>
        <v/>
      </c>
      <c r="H3070" s="10" t="str">
        <f aca="false">IF($L3070="","",IF($L3070="@成本",购销流水!$U772,IF($L3070="@收入",购销流水!$T772,IF($L3070="@存货",购销流水!$S772,IF($L3070="@结算",购销流水!$R772,$L3070)))))</f>
        <v/>
      </c>
      <c r="I3070" s="42" t="n">
        <f aca="false">IF($M3070="借",$O3070,0)</f>
        <v>0</v>
      </c>
      <c r="J3070" s="42" t="n">
        <f aca="false">IF($M3070="贷",$O3070,0)</f>
        <v>0</v>
      </c>
      <c r="K3070" s="48" t="str">
        <f aca="false">IF($H3070="","",购销流水!$E772)</f>
        <v/>
      </c>
      <c r="L3070" s="66" t="str">
        <f aca="false">IF(购销流水!$D772="","",IFERROR(INDEX(记账规则!$A$6:$N$9,MATCH(购销流水!$D772,记账规则!$A$6:$A$9,0),3),""))</f>
        <v/>
      </c>
      <c r="M3070" s="66" t="str">
        <f aca="false">IF($L3070="","",IFERROR(INDEX(记账规则!$A$6:$N$9,MATCH(购销流水!$D772,记账规则!$A$6:$A$9,0),4),""))</f>
        <v/>
      </c>
      <c r="N3070" s="66" t="str">
        <f aca="false">IF($L3070="","",IFERROR(INDEX(记账规则!$A$6:$N$9,MATCH(购销流水!$D772,记账规则!$A$6:$A$9,0),5),""))</f>
        <v/>
      </c>
      <c r="O3070" s="67" t="n">
        <f aca="false">IF($H3070="",0,ROUND(IF($N3070="成本金额",N(购销流水!$W772),IF($N3070="金额",N(购销流水!$Q772),0)),2))</f>
        <v>0</v>
      </c>
      <c r="P3070" s="64" t="str">
        <f aca="false">IF(AND($H3070&lt;&gt;"",ROUND($O3070,2)&lt;&gt;0),"有","")</f>
        <v/>
      </c>
    </row>
    <row r="3071" customFormat="false" ht="15" hidden="true" customHeight="false" outlineLevel="0" collapsed="false">
      <c r="A3071" s="53" t="str">
        <f aca="false">IF($H3071="","",ROW()-5)</f>
        <v/>
      </c>
      <c r="B3071" s="64" t="s">
        <v>36</v>
      </c>
      <c r="C3071" s="53" t="n">
        <v>772</v>
      </c>
      <c r="D3071" s="53" t="n">
        <v>2</v>
      </c>
      <c r="E3071" s="65" t="str">
        <f aca="false">IF($H3071="","",购销流水!$B772)</f>
        <v/>
      </c>
      <c r="F3071" s="55" t="str">
        <f aca="false">IF($H3071="","",购销流水!$C772)</f>
        <v/>
      </c>
      <c r="G3071" s="48" t="str">
        <f aca="false">IF($H3071="","",购销流水!$N772)</f>
        <v/>
      </c>
      <c r="H3071" s="10" t="str">
        <f aca="false">IF($L3071="","",IF($L3071="@成本",购销流水!$U772,IF($L3071="@收入",购销流水!$T772,IF($L3071="@存货",购销流水!$S772,IF($L3071="@结算",购销流水!$R772,$L3071)))))</f>
        <v/>
      </c>
      <c r="I3071" s="42" t="n">
        <f aca="false">IF($M3071="借",$O3071,0)</f>
        <v>0</v>
      </c>
      <c r="J3071" s="42" t="n">
        <f aca="false">IF($M3071="贷",$O3071,0)</f>
        <v>0</v>
      </c>
      <c r="K3071" s="48" t="str">
        <f aca="false">IF($H3071="","",购销流水!$E772)</f>
        <v/>
      </c>
      <c r="L3071" s="66" t="str">
        <f aca="false">IF(购销流水!$D772="","",IFERROR(INDEX(记账规则!$A$6:$N$9,MATCH(购销流水!$D772,记账规则!$A$6:$A$9,0),6),""))</f>
        <v/>
      </c>
      <c r="M3071" s="66" t="str">
        <f aca="false">IF($L3071="","",IFERROR(INDEX(记账规则!$A$6:$N$9,MATCH(购销流水!$D772,记账规则!$A$6:$A$9,0),7),""))</f>
        <v/>
      </c>
      <c r="N3071" s="66" t="str">
        <f aca="false">IF($L3071="","",IFERROR(INDEX(记账规则!$A$6:$N$9,MATCH(购销流水!$D772,记账规则!$A$6:$A$9,0),8),""))</f>
        <v/>
      </c>
      <c r="O3071" s="67" t="n">
        <f aca="false">IF($H3071="",0,ROUND(IF($N3071="成本金额",N(购销流水!$W772),IF($N3071="金额",N(购销流水!$Q772),0)),2))</f>
        <v>0</v>
      </c>
      <c r="P3071" s="64" t="str">
        <f aca="false">IF(AND($H3071&lt;&gt;"",ROUND($O3071,2)&lt;&gt;0),"有","")</f>
        <v/>
      </c>
    </row>
    <row r="3072" customFormat="false" ht="15" hidden="true" customHeight="false" outlineLevel="0" collapsed="false">
      <c r="A3072" s="53" t="str">
        <f aca="false">IF($H3072="","",ROW()-5)</f>
        <v/>
      </c>
      <c r="B3072" s="64" t="s">
        <v>36</v>
      </c>
      <c r="C3072" s="53" t="n">
        <v>772</v>
      </c>
      <c r="D3072" s="53" t="n">
        <v>3</v>
      </c>
      <c r="E3072" s="65" t="str">
        <f aca="false">IF($H3072="","",购销流水!$B772)</f>
        <v/>
      </c>
      <c r="F3072" s="55" t="str">
        <f aca="false">IF($H3072="","",购销流水!$C772)</f>
        <v/>
      </c>
      <c r="G3072" s="48" t="str">
        <f aca="false">IF($H3072="","",购销流水!$N772)</f>
        <v/>
      </c>
      <c r="H3072" s="10" t="str">
        <f aca="false">IF($L3072="","",IF($L3072="@成本",购销流水!$U772,IF($L3072="@收入",购销流水!$T772,IF($L3072="@存货",购销流水!$S772,IF($L3072="@结算",购销流水!$R772,$L3072)))))</f>
        <v/>
      </c>
      <c r="I3072" s="42" t="n">
        <f aca="false">IF($M3072="借",$O3072,0)</f>
        <v>0</v>
      </c>
      <c r="J3072" s="42" t="n">
        <f aca="false">IF($M3072="贷",$O3072,0)</f>
        <v>0</v>
      </c>
      <c r="K3072" s="48" t="str">
        <f aca="false">IF($H3072="","",购销流水!$E772)</f>
        <v/>
      </c>
      <c r="L3072" s="66" t="str">
        <f aca="false">IF(购销流水!$D772="","",IFERROR(INDEX(记账规则!$A$6:$N$9,MATCH(购销流水!$D772,记账规则!$A$6:$A$9,0),9),""))</f>
        <v/>
      </c>
      <c r="M3072" s="66" t="str">
        <f aca="false">IF($L3072="","",IFERROR(INDEX(记账规则!$A$6:$N$9,MATCH(购销流水!$D772,记账规则!$A$6:$A$9,0),10),""))</f>
        <v/>
      </c>
      <c r="N3072" s="66" t="str">
        <f aca="false">IF($L3072="","",IFERROR(INDEX(记账规则!$A$6:$N$9,MATCH(购销流水!$D772,记账规则!$A$6:$A$9,0),11),""))</f>
        <v/>
      </c>
      <c r="O3072" s="67" t="n">
        <f aca="false">IF($H3072="",0,ROUND(IF($N3072="成本金额",N(购销流水!$W772),IF($N3072="金额",N(购销流水!$Q772),0)),2))</f>
        <v>0</v>
      </c>
      <c r="P3072" s="64" t="str">
        <f aca="false">IF(AND($H3072&lt;&gt;"",ROUND($O3072,2)&lt;&gt;0),"有","")</f>
        <v/>
      </c>
    </row>
    <row r="3073" customFormat="false" ht="15" hidden="true" customHeight="false" outlineLevel="0" collapsed="false">
      <c r="A3073" s="53" t="str">
        <f aca="false">IF($H3073="","",ROW()-5)</f>
        <v/>
      </c>
      <c r="B3073" s="64" t="s">
        <v>36</v>
      </c>
      <c r="C3073" s="53" t="n">
        <v>772</v>
      </c>
      <c r="D3073" s="53" t="n">
        <v>4</v>
      </c>
      <c r="E3073" s="65" t="str">
        <f aca="false">IF($H3073="","",购销流水!$B772)</f>
        <v/>
      </c>
      <c r="F3073" s="55" t="str">
        <f aca="false">IF($H3073="","",购销流水!$C772)</f>
        <v/>
      </c>
      <c r="G3073" s="48" t="str">
        <f aca="false">IF($H3073="","",购销流水!$N772)</f>
        <v/>
      </c>
      <c r="H3073" s="10" t="str">
        <f aca="false">IF($L3073="","",IF($L3073="@成本",购销流水!$U772,IF($L3073="@收入",购销流水!$T772,IF($L3073="@存货",购销流水!$S772,IF($L3073="@结算",购销流水!$R772,$L3073)))))</f>
        <v/>
      </c>
      <c r="I3073" s="42" t="n">
        <f aca="false">IF($M3073="借",$O3073,0)</f>
        <v>0</v>
      </c>
      <c r="J3073" s="42" t="n">
        <f aca="false">IF($M3073="贷",$O3073,0)</f>
        <v>0</v>
      </c>
      <c r="K3073" s="48" t="str">
        <f aca="false">IF($H3073="","",购销流水!$E772)</f>
        <v/>
      </c>
      <c r="L3073" s="66" t="str">
        <f aca="false">IF(购销流水!$D772="","",IFERROR(INDEX(记账规则!$A$6:$N$9,MATCH(购销流水!$D772,记账规则!$A$6:$A$9,0),12),""))</f>
        <v/>
      </c>
      <c r="M3073" s="66" t="str">
        <f aca="false">IF($L3073="","",IFERROR(INDEX(记账规则!$A$6:$N$9,MATCH(购销流水!$D772,记账规则!$A$6:$A$9,0),13),""))</f>
        <v/>
      </c>
      <c r="N3073" s="66" t="str">
        <f aca="false">IF($L3073="","",IFERROR(INDEX(记账规则!$A$6:$N$9,MATCH(购销流水!$D772,记账规则!$A$6:$A$9,0),14),""))</f>
        <v/>
      </c>
      <c r="O3073" s="67" t="n">
        <f aca="false">IF($H3073="",0,ROUND(IF($N3073="成本金额",N(购销流水!$W772),IF($N3073="金额",N(购销流水!$Q772),0)),2))</f>
        <v>0</v>
      </c>
      <c r="P3073" s="64" t="str">
        <f aca="false">IF(AND($H3073&lt;&gt;"",ROUND($O3073,2)&lt;&gt;0),"有","")</f>
        <v/>
      </c>
    </row>
    <row r="3074" customFormat="false" ht="15" hidden="true" customHeight="false" outlineLevel="0" collapsed="false">
      <c r="A3074" s="53" t="str">
        <f aca="false">IF($H3074="","",ROW()-5)</f>
        <v/>
      </c>
      <c r="B3074" s="64" t="s">
        <v>36</v>
      </c>
      <c r="C3074" s="53" t="n">
        <v>773</v>
      </c>
      <c r="D3074" s="53" t="n">
        <v>1</v>
      </c>
      <c r="E3074" s="65" t="str">
        <f aca="false">IF($H3074="","",购销流水!$B773)</f>
        <v/>
      </c>
      <c r="F3074" s="55" t="str">
        <f aca="false">IF($H3074="","",购销流水!$C773)</f>
        <v/>
      </c>
      <c r="G3074" s="48" t="str">
        <f aca="false">IF($H3074="","",购销流水!$N773)</f>
        <v/>
      </c>
      <c r="H3074" s="10" t="str">
        <f aca="false">IF($L3074="","",IF($L3074="@成本",购销流水!$U773,IF($L3074="@收入",购销流水!$T773,IF($L3074="@存货",购销流水!$S773,IF($L3074="@结算",购销流水!$R773,$L3074)))))</f>
        <v/>
      </c>
      <c r="I3074" s="42" t="n">
        <f aca="false">IF($M3074="借",$O3074,0)</f>
        <v>0</v>
      </c>
      <c r="J3074" s="42" t="n">
        <f aca="false">IF($M3074="贷",$O3074,0)</f>
        <v>0</v>
      </c>
      <c r="K3074" s="48" t="str">
        <f aca="false">IF($H3074="","",购销流水!$E773)</f>
        <v/>
      </c>
      <c r="L3074" s="66" t="str">
        <f aca="false">IF(购销流水!$D773="","",IFERROR(INDEX(记账规则!$A$6:$N$9,MATCH(购销流水!$D773,记账规则!$A$6:$A$9,0),3),""))</f>
        <v/>
      </c>
      <c r="M3074" s="66" t="str">
        <f aca="false">IF($L3074="","",IFERROR(INDEX(记账规则!$A$6:$N$9,MATCH(购销流水!$D773,记账规则!$A$6:$A$9,0),4),""))</f>
        <v/>
      </c>
      <c r="N3074" s="66" t="str">
        <f aca="false">IF($L3074="","",IFERROR(INDEX(记账规则!$A$6:$N$9,MATCH(购销流水!$D773,记账规则!$A$6:$A$9,0),5),""))</f>
        <v/>
      </c>
      <c r="O3074" s="67" t="n">
        <f aca="false">IF($H3074="",0,ROUND(IF($N3074="成本金额",N(购销流水!$W773),IF($N3074="金额",N(购销流水!$Q773),0)),2))</f>
        <v>0</v>
      </c>
      <c r="P3074" s="64" t="str">
        <f aca="false">IF(AND($H3074&lt;&gt;"",ROUND($O3074,2)&lt;&gt;0),"有","")</f>
        <v/>
      </c>
    </row>
    <row r="3075" customFormat="false" ht="15" hidden="true" customHeight="false" outlineLevel="0" collapsed="false">
      <c r="A3075" s="53" t="str">
        <f aca="false">IF($H3075="","",ROW()-5)</f>
        <v/>
      </c>
      <c r="B3075" s="64" t="s">
        <v>36</v>
      </c>
      <c r="C3075" s="53" t="n">
        <v>773</v>
      </c>
      <c r="D3075" s="53" t="n">
        <v>2</v>
      </c>
      <c r="E3075" s="65" t="str">
        <f aca="false">IF($H3075="","",购销流水!$B773)</f>
        <v/>
      </c>
      <c r="F3075" s="55" t="str">
        <f aca="false">IF($H3075="","",购销流水!$C773)</f>
        <v/>
      </c>
      <c r="G3075" s="48" t="str">
        <f aca="false">IF($H3075="","",购销流水!$N773)</f>
        <v/>
      </c>
      <c r="H3075" s="10" t="str">
        <f aca="false">IF($L3075="","",IF($L3075="@成本",购销流水!$U773,IF($L3075="@收入",购销流水!$T773,IF($L3075="@存货",购销流水!$S773,IF($L3075="@结算",购销流水!$R773,$L3075)))))</f>
        <v/>
      </c>
      <c r="I3075" s="42" t="n">
        <f aca="false">IF($M3075="借",$O3075,0)</f>
        <v>0</v>
      </c>
      <c r="J3075" s="42" t="n">
        <f aca="false">IF($M3075="贷",$O3075,0)</f>
        <v>0</v>
      </c>
      <c r="K3075" s="48" t="str">
        <f aca="false">IF($H3075="","",购销流水!$E773)</f>
        <v/>
      </c>
      <c r="L3075" s="66" t="str">
        <f aca="false">IF(购销流水!$D773="","",IFERROR(INDEX(记账规则!$A$6:$N$9,MATCH(购销流水!$D773,记账规则!$A$6:$A$9,0),6),""))</f>
        <v/>
      </c>
      <c r="M3075" s="66" t="str">
        <f aca="false">IF($L3075="","",IFERROR(INDEX(记账规则!$A$6:$N$9,MATCH(购销流水!$D773,记账规则!$A$6:$A$9,0),7),""))</f>
        <v/>
      </c>
      <c r="N3075" s="66" t="str">
        <f aca="false">IF($L3075="","",IFERROR(INDEX(记账规则!$A$6:$N$9,MATCH(购销流水!$D773,记账规则!$A$6:$A$9,0),8),""))</f>
        <v/>
      </c>
      <c r="O3075" s="67" t="n">
        <f aca="false">IF($H3075="",0,ROUND(IF($N3075="成本金额",N(购销流水!$W773),IF($N3075="金额",N(购销流水!$Q773),0)),2))</f>
        <v>0</v>
      </c>
      <c r="P3075" s="64" t="str">
        <f aca="false">IF(AND($H3075&lt;&gt;"",ROUND($O3075,2)&lt;&gt;0),"有","")</f>
        <v/>
      </c>
    </row>
    <row r="3076" customFormat="false" ht="15" hidden="true" customHeight="false" outlineLevel="0" collapsed="false">
      <c r="A3076" s="53" t="str">
        <f aca="false">IF($H3076="","",ROW()-5)</f>
        <v/>
      </c>
      <c r="B3076" s="64" t="s">
        <v>36</v>
      </c>
      <c r="C3076" s="53" t="n">
        <v>773</v>
      </c>
      <c r="D3076" s="53" t="n">
        <v>3</v>
      </c>
      <c r="E3076" s="65" t="str">
        <f aca="false">IF($H3076="","",购销流水!$B773)</f>
        <v/>
      </c>
      <c r="F3076" s="55" t="str">
        <f aca="false">IF($H3076="","",购销流水!$C773)</f>
        <v/>
      </c>
      <c r="G3076" s="48" t="str">
        <f aca="false">IF($H3076="","",购销流水!$N773)</f>
        <v/>
      </c>
      <c r="H3076" s="10" t="str">
        <f aca="false">IF($L3076="","",IF($L3076="@成本",购销流水!$U773,IF($L3076="@收入",购销流水!$T773,IF($L3076="@存货",购销流水!$S773,IF($L3076="@结算",购销流水!$R773,$L3076)))))</f>
        <v/>
      </c>
      <c r="I3076" s="42" t="n">
        <f aca="false">IF($M3076="借",$O3076,0)</f>
        <v>0</v>
      </c>
      <c r="J3076" s="42" t="n">
        <f aca="false">IF($M3076="贷",$O3076,0)</f>
        <v>0</v>
      </c>
      <c r="K3076" s="48" t="str">
        <f aca="false">IF($H3076="","",购销流水!$E773)</f>
        <v/>
      </c>
      <c r="L3076" s="66" t="str">
        <f aca="false">IF(购销流水!$D773="","",IFERROR(INDEX(记账规则!$A$6:$N$9,MATCH(购销流水!$D773,记账规则!$A$6:$A$9,0),9),""))</f>
        <v/>
      </c>
      <c r="M3076" s="66" t="str">
        <f aca="false">IF($L3076="","",IFERROR(INDEX(记账规则!$A$6:$N$9,MATCH(购销流水!$D773,记账规则!$A$6:$A$9,0),10),""))</f>
        <v/>
      </c>
      <c r="N3076" s="66" t="str">
        <f aca="false">IF($L3076="","",IFERROR(INDEX(记账规则!$A$6:$N$9,MATCH(购销流水!$D773,记账规则!$A$6:$A$9,0),11),""))</f>
        <v/>
      </c>
      <c r="O3076" s="67" t="n">
        <f aca="false">IF($H3076="",0,ROUND(IF($N3076="成本金额",N(购销流水!$W773),IF($N3076="金额",N(购销流水!$Q773),0)),2))</f>
        <v>0</v>
      </c>
      <c r="P3076" s="64" t="str">
        <f aca="false">IF(AND($H3076&lt;&gt;"",ROUND($O3076,2)&lt;&gt;0),"有","")</f>
        <v/>
      </c>
    </row>
    <row r="3077" customFormat="false" ht="15" hidden="true" customHeight="false" outlineLevel="0" collapsed="false">
      <c r="A3077" s="53" t="str">
        <f aca="false">IF($H3077="","",ROW()-5)</f>
        <v/>
      </c>
      <c r="B3077" s="64" t="s">
        <v>36</v>
      </c>
      <c r="C3077" s="53" t="n">
        <v>773</v>
      </c>
      <c r="D3077" s="53" t="n">
        <v>4</v>
      </c>
      <c r="E3077" s="65" t="str">
        <f aca="false">IF($H3077="","",购销流水!$B773)</f>
        <v/>
      </c>
      <c r="F3077" s="55" t="str">
        <f aca="false">IF($H3077="","",购销流水!$C773)</f>
        <v/>
      </c>
      <c r="G3077" s="48" t="str">
        <f aca="false">IF($H3077="","",购销流水!$N773)</f>
        <v/>
      </c>
      <c r="H3077" s="10" t="str">
        <f aca="false">IF($L3077="","",IF($L3077="@成本",购销流水!$U773,IF($L3077="@收入",购销流水!$T773,IF($L3077="@存货",购销流水!$S773,IF($L3077="@结算",购销流水!$R773,$L3077)))))</f>
        <v/>
      </c>
      <c r="I3077" s="42" t="n">
        <f aca="false">IF($M3077="借",$O3077,0)</f>
        <v>0</v>
      </c>
      <c r="J3077" s="42" t="n">
        <f aca="false">IF($M3077="贷",$O3077,0)</f>
        <v>0</v>
      </c>
      <c r="K3077" s="48" t="str">
        <f aca="false">IF($H3077="","",购销流水!$E773)</f>
        <v/>
      </c>
      <c r="L3077" s="66" t="str">
        <f aca="false">IF(购销流水!$D773="","",IFERROR(INDEX(记账规则!$A$6:$N$9,MATCH(购销流水!$D773,记账规则!$A$6:$A$9,0),12),""))</f>
        <v/>
      </c>
      <c r="M3077" s="66" t="str">
        <f aca="false">IF($L3077="","",IFERROR(INDEX(记账规则!$A$6:$N$9,MATCH(购销流水!$D773,记账规则!$A$6:$A$9,0),13),""))</f>
        <v/>
      </c>
      <c r="N3077" s="66" t="str">
        <f aca="false">IF($L3077="","",IFERROR(INDEX(记账规则!$A$6:$N$9,MATCH(购销流水!$D773,记账规则!$A$6:$A$9,0),14),""))</f>
        <v/>
      </c>
      <c r="O3077" s="67" t="n">
        <f aca="false">IF($H3077="",0,ROUND(IF($N3077="成本金额",N(购销流水!$W773),IF($N3077="金额",N(购销流水!$Q773),0)),2))</f>
        <v>0</v>
      </c>
      <c r="P3077" s="64" t="str">
        <f aca="false">IF(AND($H3077&lt;&gt;"",ROUND($O3077,2)&lt;&gt;0),"有","")</f>
        <v/>
      </c>
    </row>
    <row r="3078" customFormat="false" ht="15" hidden="true" customHeight="false" outlineLevel="0" collapsed="false">
      <c r="A3078" s="53" t="str">
        <f aca="false">IF($H3078="","",ROW()-5)</f>
        <v/>
      </c>
      <c r="B3078" s="64" t="s">
        <v>36</v>
      </c>
      <c r="C3078" s="53" t="n">
        <v>774</v>
      </c>
      <c r="D3078" s="53" t="n">
        <v>1</v>
      </c>
      <c r="E3078" s="65" t="str">
        <f aca="false">IF($H3078="","",购销流水!$B774)</f>
        <v/>
      </c>
      <c r="F3078" s="55" t="str">
        <f aca="false">IF($H3078="","",购销流水!$C774)</f>
        <v/>
      </c>
      <c r="G3078" s="48" t="str">
        <f aca="false">IF($H3078="","",购销流水!$N774)</f>
        <v/>
      </c>
      <c r="H3078" s="10" t="str">
        <f aca="false">IF($L3078="","",IF($L3078="@成本",购销流水!$U774,IF($L3078="@收入",购销流水!$T774,IF($L3078="@存货",购销流水!$S774,IF($L3078="@结算",购销流水!$R774,$L3078)))))</f>
        <v/>
      </c>
      <c r="I3078" s="42" t="n">
        <f aca="false">IF($M3078="借",$O3078,0)</f>
        <v>0</v>
      </c>
      <c r="J3078" s="42" t="n">
        <f aca="false">IF($M3078="贷",$O3078,0)</f>
        <v>0</v>
      </c>
      <c r="K3078" s="48" t="str">
        <f aca="false">IF($H3078="","",购销流水!$E774)</f>
        <v/>
      </c>
      <c r="L3078" s="66" t="str">
        <f aca="false">IF(购销流水!$D774="","",IFERROR(INDEX(记账规则!$A$6:$N$9,MATCH(购销流水!$D774,记账规则!$A$6:$A$9,0),3),""))</f>
        <v/>
      </c>
      <c r="M3078" s="66" t="str">
        <f aca="false">IF($L3078="","",IFERROR(INDEX(记账规则!$A$6:$N$9,MATCH(购销流水!$D774,记账规则!$A$6:$A$9,0),4),""))</f>
        <v/>
      </c>
      <c r="N3078" s="66" t="str">
        <f aca="false">IF($L3078="","",IFERROR(INDEX(记账规则!$A$6:$N$9,MATCH(购销流水!$D774,记账规则!$A$6:$A$9,0),5),""))</f>
        <v/>
      </c>
      <c r="O3078" s="67" t="n">
        <f aca="false">IF($H3078="",0,ROUND(IF($N3078="成本金额",N(购销流水!$W774),IF($N3078="金额",N(购销流水!$Q774),0)),2))</f>
        <v>0</v>
      </c>
      <c r="P3078" s="64" t="str">
        <f aca="false">IF(AND($H3078&lt;&gt;"",ROUND($O3078,2)&lt;&gt;0),"有","")</f>
        <v/>
      </c>
    </row>
    <row r="3079" customFormat="false" ht="15" hidden="true" customHeight="false" outlineLevel="0" collapsed="false">
      <c r="A3079" s="53" t="str">
        <f aca="false">IF($H3079="","",ROW()-5)</f>
        <v/>
      </c>
      <c r="B3079" s="64" t="s">
        <v>36</v>
      </c>
      <c r="C3079" s="53" t="n">
        <v>774</v>
      </c>
      <c r="D3079" s="53" t="n">
        <v>2</v>
      </c>
      <c r="E3079" s="65" t="str">
        <f aca="false">IF($H3079="","",购销流水!$B774)</f>
        <v/>
      </c>
      <c r="F3079" s="55" t="str">
        <f aca="false">IF($H3079="","",购销流水!$C774)</f>
        <v/>
      </c>
      <c r="G3079" s="48" t="str">
        <f aca="false">IF($H3079="","",购销流水!$N774)</f>
        <v/>
      </c>
      <c r="H3079" s="10" t="str">
        <f aca="false">IF($L3079="","",IF($L3079="@成本",购销流水!$U774,IF($L3079="@收入",购销流水!$T774,IF($L3079="@存货",购销流水!$S774,IF($L3079="@结算",购销流水!$R774,$L3079)))))</f>
        <v/>
      </c>
      <c r="I3079" s="42" t="n">
        <f aca="false">IF($M3079="借",$O3079,0)</f>
        <v>0</v>
      </c>
      <c r="J3079" s="42" t="n">
        <f aca="false">IF($M3079="贷",$O3079,0)</f>
        <v>0</v>
      </c>
      <c r="K3079" s="48" t="str">
        <f aca="false">IF($H3079="","",购销流水!$E774)</f>
        <v/>
      </c>
      <c r="L3079" s="66" t="str">
        <f aca="false">IF(购销流水!$D774="","",IFERROR(INDEX(记账规则!$A$6:$N$9,MATCH(购销流水!$D774,记账规则!$A$6:$A$9,0),6),""))</f>
        <v/>
      </c>
      <c r="M3079" s="66" t="str">
        <f aca="false">IF($L3079="","",IFERROR(INDEX(记账规则!$A$6:$N$9,MATCH(购销流水!$D774,记账规则!$A$6:$A$9,0),7),""))</f>
        <v/>
      </c>
      <c r="N3079" s="66" t="str">
        <f aca="false">IF($L3079="","",IFERROR(INDEX(记账规则!$A$6:$N$9,MATCH(购销流水!$D774,记账规则!$A$6:$A$9,0),8),""))</f>
        <v/>
      </c>
      <c r="O3079" s="67" t="n">
        <f aca="false">IF($H3079="",0,ROUND(IF($N3079="成本金额",N(购销流水!$W774),IF($N3079="金额",N(购销流水!$Q774),0)),2))</f>
        <v>0</v>
      </c>
      <c r="P3079" s="64" t="str">
        <f aca="false">IF(AND($H3079&lt;&gt;"",ROUND($O3079,2)&lt;&gt;0),"有","")</f>
        <v/>
      </c>
    </row>
    <row r="3080" customFormat="false" ht="15" hidden="true" customHeight="false" outlineLevel="0" collapsed="false">
      <c r="A3080" s="53" t="str">
        <f aca="false">IF($H3080="","",ROW()-5)</f>
        <v/>
      </c>
      <c r="B3080" s="64" t="s">
        <v>36</v>
      </c>
      <c r="C3080" s="53" t="n">
        <v>774</v>
      </c>
      <c r="D3080" s="53" t="n">
        <v>3</v>
      </c>
      <c r="E3080" s="65" t="str">
        <f aca="false">IF($H3080="","",购销流水!$B774)</f>
        <v/>
      </c>
      <c r="F3080" s="55" t="str">
        <f aca="false">IF($H3080="","",购销流水!$C774)</f>
        <v/>
      </c>
      <c r="G3080" s="48" t="str">
        <f aca="false">IF($H3080="","",购销流水!$N774)</f>
        <v/>
      </c>
      <c r="H3080" s="10" t="str">
        <f aca="false">IF($L3080="","",IF($L3080="@成本",购销流水!$U774,IF($L3080="@收入",购销流水!$T774,IF($L3080="@存货",购销流水!$S774,IF($L3080="@结算",购销流水!$R774,$L3080)))))</f>
        <v/>
      </c>
      <c r="I3080" s="42" t="n">
        <f aca="false">IF($M3080="借",$O3080,0)</f>
        <v>0</v>
      </c>
      <c r="J3080" s="42" t="n">
        <f aca="false">IF($M3080="贷",$O3080,0)</f>
        <v>0</v>
      </c>
      <c r="K3080" s="48" t="str">
        <f aca="false">IF($H3080="","",购销流水!$E774)</f>
        <v/>
      </c>
      <c r="L3080" s="66" t="str">
        <f aca="false">IF(购销流水!$D774="","",IFERROR(INDEX(记账规则!$A$6:$N$9,MATCH(购销流水!$D774,记账规则!$A$6:$A$9,0),9),""))</f>
        <v/>
      </c>
      <c r="M3080" s="66" t="str">
        <f aca="false">IF($L3080="","",IFERROR(INDEX(记账规则!$A$6:$N$9,MATCH(购销流水!$D774,记账规则!$A$6:$A$9,0),10),""))</f>
        <v/>
      </c>
      <c r="N3080" s="66" t="str">
        <f aca="false">IF($L3080="","",IFERROR(INDEX(记账规则!$A$6:$N$9,MATCH(购销流水!$D774,记账规则!$A$6:$A$9,0),11),""))</f>
        <v/>
      </c>
      <c r="O3080" s="67" t="n">
        <f aca="false">IF($H3080="",0,ROUND(IF($N3080="成本金额",N(购销流水!$W774),IF($N3080="金额",N(购销流水!$Q774),0)),2))</f>
        <v>0</v>
      </c>
      <c r="P3080" s="64" t="str">
        <f aca="false">IF(AND($H3080&lt;&gt;"",ROUND($O3080,2)&lt;&gt;0),"有","")</f>
        <v/>
      </c>
    </row>
    <row r="3081" customFormat="false" ht="15" hidden="true" customHeight="false" outlineLevel="0" collapsed="false">
      <c r="A3081" s="53" t="str">
        <f aca="false">IF($H3081="","",ROW()-5)</f>
        <v/>
      </c>
      <c r="B3081" s="64" t="s">
        <v>36</v>
      </c>
      <c r="C3081" s="53" t="n">
        <v>774</v>
      </c>
      <c r="D3081" s="53" t="n">
        <v>4</v>
      </c>
      <c r="E3081" s="65" t="str">
        <f aca="false">IF($H3081="","",购销流水!$B774)</f>
        <v/>
      </c>
      <c r="F3081" s="55" t="str">
        <f aca="false">IF($H3081="","",购销流水!$C774)</f>
        <v/>
      </c>
      <c r="G3081" s="48" t="str">
        <f aca="false">IF($H3081="","",购销流水!$N774)</f>
        <v/>
      </c>
      <c r="H3081" s="10" t="str">
        <f aca="false">IF($L3081="","",IF($L3081="@成本",购销流水!$U774,IF($L3081="@收入",购销流水!$T774,IF($L3081="@存货",购销流水!$S774,IF($L3081="@结算",购销流水!$R774,$L3081)))))</f>
        <v/>
      </c>
      <c r="I3081" s="42" t="n">
        <f aca="false">IF($M3081="借",$O3081,0)</f>
        <v>0</v>
      </c>
      <c r="J3081" s="42" t="n">
        <f aca="false">IF($M3081="贷",$O3081,0)</f>
        <v>0</v>
      </c>
      <c r="K3081" s="48" t="str">
        <f aca="false">IF($H3081="","",购销流水!$E774)</f>
        <v/>
      </c>
      <c r="L3081" s="66" t="str">
        <f aca="false">IF(购销流水!$D774="","",IFERROR(INDEX(记账规则!$A$6:$N$9,MATCH(购销流水!$D774,记账规则!$A$6:$A$9,0),12),""))</f>
        <v/>
      </c>
      <c r="M3081" s="66" t="str">
        <f aca="false">IF($L3081="","",IFERROR(INDEX(记账规则!$A$6:$N$9,MATCH(购销流水!$D774,记账规则!$A$6:$A$9,0),13),""))</f>
        <v/>
      </c>
      <c r="N3081" s="66" t="str">
        <f aca="false">IF($L3081="","",IFERROR(INDEX(记账规则!$A$6:$N$9,MATCH(购销流水!$D774,记账规则!$A$6:$A$9,0),14),""))</f>
        <v/>
      </c>
      <c r="O3081" s="67" t="n">
        <f aca="false">IF($H3081="",0,ROUND(IF($N3081="成本金额",N(购销流水!$W774),IF($N3081="金额",N(购销流水!$Q774),0)),2))</f>
        <v>0</v>
      </c>
      <c r="P3081" s="64" t="str">
        <f aca="false">IF(AND($H3081&lt;&gt;"",ROUND($O3081,2)&lt;&gt;0),"有","")</f>
        <v/>
      </c>
    </row>
    <row r="3082" customFormat="false" ht="15" hidden="true" customHeight="false" outlineLevel="0" collapsed="false">
      <c r="A3082" s="53" t="str">
        <f aca="false">IF($H3082="","",ROW()-5)</f>
        <v/>
      </c>
      <c r="B3082" s="64" t="s">
        <v>36</v>
      </c>
      <c r="C3082" s="53" t="n">
        <v>775</v>
      </c>
      <c r="D3082" s="53" t="n">
        <v>1</v>
      </c>
      <c r="E3082" s="65" t="str">
        <f aca="false">IF($H3082="","",购销流水!$B775)</f>
        <v/>
      </c>
      <c r="F3082" s="55" t="str">
        <f aca="false">IF($H3082="","",购销流水!$C775)</f>
        <v/>
      </c>
      <c r="G3082" s="48" t="str">
        <f aca="false">IF($H3082="","",购销流水!$N775)</f>
        <v/>
      </c>
      <c r="H3082" s="10" t="str">
        <f aca="false">IF($L3082="","",IF($L3082="@成本",购销流水!$U775,IF($L3082="@收入",购销流水!$T775,IF($L3082="@存货",购销流水!$S775,IF($L3082="@结算",购销流水!$R775,$L3082)))))</f>
        <v/>
      </c>
      <c r="I3082" s="42" t="n">
        <f aca="false">IF($M3082="借",$O3082,0)</f>
        <v>0</v>
      </c>
      <c r="J3082" s="42" t="n">
        <f aca="false">IF($M3082="贷",$O3082,0)</f>
        <v>0</v>
      </c>
      <c r="K3082" s="48" t="str">
        <f aca="false">IF($H3082="","",购销流水!$E775)</f>
        <v/>
      </c>
      <c r="L3082" s="66" t="str">
        <f aca="false">IF(购销流水!$D775="","",IFERROR(INDEX(记账规则!$A$6:$N$9,MATCH(购销流水!$D775,记账规则!$A$6:$A$9,0),3),""))</f>
        <v/>
      </c>
      <c r="M3082" s="66" t="str">
        <f aca="false">IF($L3082="","",IFERROR(INDEX(记账规则!$A$6:$N$9,MATCH(购销流水!$D775,记账规则!$A$6:$A$9,0),4),""))</f>
        <v/>
      </c>
      <c r="N3082" s="66" t="str">
        <f aca="false">IF($L3082="","",IFERROR(INDEX(记账规则!$A$6:$N$9,MATCH(购销流水!$D775,记账规则!$A$6:$A$9,0),5),""))</f>
        <v/>
      </c>
      <c r="O3082" s="67" t="n">
        <f aca="false">IF($H3082="",0,ROUND(IF($N3082="成本金额",N(购销流水!$W775),IF($N3082="金额",N(购销流水!$Q775),0)),2))</f>
        <v>0</v>
      </c>
      <c r="P3082" s="64" t="str">
        <f aca="false">IF(AND($H3082&lt;&gt;"",ROUND($O3082,2)&lt;&gt;0),"有","")</f>
        <v/>
      </c>
    </row>
    <row r="3083" customFormat="false" ht="15" hidden="true" customHeight="false" outlineLevel="0" collapsed="false">
      <c r="A3083" s="53" t="str">
        <f aca="false">IF($H3083="","",ROW()-5)</f>
        <v/>
      </c>
      <c r="B3083" s="64" t="s">
        <v>36</v>
      </c>
      <c r="C3083" s="53" t="n">
        <v>775</v>
      </c>
      <c r="D3083" s="53" t="n">
        <v>2</v>
      </c>
      <c r="E3083" s="65" t="str">
        <f aca="false">IF($H3083="","",购销流水!$B775)</f>
        <v/>
      </c>
      <c r="F3083" s="55" t="str">
        <f aca="false">IF($H3083="","",购销流水!$C775)</f>
        <v/>
      </c>
      <c r="G3083" s="48" t="str">
        <f aca="false">IF($H3083="","",购销流水!$N775)</f>
        <v/>
      </c>
      <c r="H3083" s="10" t="str">
        <f aca="false">IF($L3083="","",IF($L3083="@成本",购销流水!$U775,IF($L3083="@收入",购销流水!$T775,IF($L3083="@存货",购销流水!$S775,IF($L3083="@结算",购销流水!$R775,$L3083)))))</f>
        <v/>
      </c>
      <c r="I3083" s="42" t="n">
        <f aca="false">IF($M3083="借",$O3083,0)</f>
        <v>0</v>
      </c>
      <c r="J3083" s="42" t="n">
        <f aca="false">IF($M3083="贷",$O3083,0)</f>
        <v>0</v>
      </c>
      <c r="K3083" s="48" t="str">
        <f aca="false">IF($H3083="","",购销流水!$E775)</f>
        <v/>
      </c>
      <c r="L3083" s="66" t="str">
        <f aca="false">IF(购销流水!$D775="","",IFERROR(INDEX(记账规则!$A$6:$N$9,MATCH(购销流水!$D775,记账规则!$A$6:$A$9,0),6),""))</f>
        <v/>
      </c>
      <c r="M3083" s="66" t="str">
        <f aca="false">IF($L3083="","",IFERROR(INDEX(记账规则!$A$6:$N$9,MATCH(购销流水!$D775,记账规则!$A$6:$A$9,0),7),""))</f>
        <v/>
      </c>
      <c r="N3083" s="66" t="str">
        <f aca="false">IF($L3083="","",IFERROR(INDEX(记账规则!$A$6:$N$9,MATCH(购销流水!$D775,记账规则!$A$6:$A$9,0),8),""))</f>
        <v/>
      </c>
      <c r="O3083" s="67" t="n">
        <f aca="false">IF($H3083="",0,ROUND(IF($N3083="成本金额",N(购销流水!$W775),IF($N3083="金额",N(购销流水!$Q775),0)),2))</f>
        <v>0</v>
      </c>
      <c r="P3083" s="64" t="str">
        <f aca="false">IF(AND($H3083&lt;&gt;"",ROUND($O3083,2)&lt;&gt;0),"有","")</f>
        <v/>
      </c>
    </row>
    <row r="3084" customFormat="false" ht="15" hidden="true" customHeight="false" outlineLevel="0" collapsed="false">
      <c r="A3084" s="53" t="str">
        <f aca="false">IF($H3084="","",ROW()-5)</f>
        <v/>
      </c>
      <c r="B3084" s="64" t="s">
        <v>36</v>
      </c>
      <c r="C3084" s="53" t="n">
        <v>775</v>
      </c>
      <c r="D3084" s="53" t="n">
        <v>3</v>
      </c>
      <c r="E3084" s="65" t="str">
        <f aca="false">IF($H3084="","",购销流水!$B775)</f>
        <v/>
      </c>
      <c r="F3084" s="55" t="str">
        <f aca="false">IF($H3084="","",购销流水!$C775)</f>
        <v/>
      </c>
      <c r="G3084" s="48" t="str">
        <f aca="false">IF($H3084="","",购销流水!$N775)</f>
        <v/>
      </c>
      <c r="H3084" s="10" t="str">
        <f aca="false">IF($L3084="","",IF($L3084="@成本",购销流水!$U775,IF($L3084="@收入",购销流水!$T775,IF($L3084="@存货",购销流水!$S775,IF($L3084="@结算",购销流水!$R775,$L3084)))))</f>
        <v/>
      </c>
      <c r="I3084" s="42" t="n">
        <f aca="false">IF($M3084="借",$O3084,0)</f>
        <v>0</v>
      </c>
      <c r="J3084" s="42" t="n">
        <f aca="false">IF($M3084="贷",$O3084,0)</f>
        <v>0</v>
      </c>
      <c r="K3084" s="48" t="str">
        <f aca="false">IF($H3084="","",购销流水!$E775)</f>
        <v/>
      </c>
      <c r="L3084" s="66" t="str">
        <f aca="false">IF(购销流水!$D775="","",IFERROR(INDEX(记账规则!$A$6:$N$9,MATCH(购销流水!$D775,记账规则!$A$6:$A$9,0),9),""))</f>
        <v/>
      </c>
      <c r="M3084" s="66" t="str">
        <f aca="false">IF($L3084="","",IFERROR(INDEX(记账规则!$A$6:$N$9,MATCH(购销流水!$D775,记账规则!$A$6:$A$9,0),10),""))</f>
        <v/>
      </c>
      <c r="N3084" s="66" t="str">
        <f aca="false">IF($L3084="","",IFERROR(INDEX(记账规则!$A$6:$N$9,MATCH(购销流水!$D775,记账规则!$A$6:$A$9,0),11),""))</f>
        <v/>
      </c>
      <c r="O3084" s="67" t="n">
        <f aca="false">IF($H3084="",0,ROUND(IF($N3084="成本金额",N(购销流水!$W775),IF($N3084="金额",N(购销流水!$Q775),0)),2))</f>
        <v>0</v>
      </c>
      <c r="P3084" s="64" t="str">
        <f aca="false">IF(AND($H3084&lt;&gt;"",ROUND($O3084,2)&lt;&gt;0),"有","")</f>
        <v/>
      </c>
    </row>
    <row r="3085" customFormat="false" ht="15" hidden="true" customHeight="false" outlineLevel="0" collapsed="false">
      <c r="A3085" s="53" t="str">
        <f aca="false">IF($H3085="","",ROW()-5)</f>
        <v/>
      </c>
      <c r="B3085" s="64" t="s">
        <v>36</v>
      </c>
      <c r="C3085" s="53" t="n">
        <v>775</v>
      </c>
      <c r="D3085" s="53" t="n">
        <v>4</v>
      </c>
      <c r="E3085" s="65" t="str">
        <f aca="false">IF($H3085="","",购销流水!$B775)</f>
        <v/>
      </c>
      <c r="F3085" s="55" t="str">
        <f aca="false">IF($H3085="","",购销流水!$C775)</f>
        <v/>
      </c>
      <c r="G3085" s="48" t="str">
        <f aca="false">IF($H3085="","",购销流水!$N775)</f>
        <v/>
      </c>
      <c r="H3085" s="10" t="str">
        <f aca="false">IF($L3085="","",IF($L3085="@成本",购销流水!$U775,IF($L3085="@收入",购销流水!$T775,IF($L3085="@存货",购销流水!$S775,IF($L3085="@结算",购销流水!$R775,$L3085)))))</f>
        <v/>
      </c>
      <c r="I3085" s="42" t="n">
        <f aca="false">IF($M3085="借",$O3085,0)</f>
        <v>0</v>
      </c>
      <c r="J3085" s="42" t="n">
        <f aca="false">IF($M3085="贷",$O3085,0)</f>
        <v>0</v>
      </c>
      <c r="K3085" s="48" t="str">
        <f aca="false">IF($H3085="","",购销流水!$E775)</f>
        <v/>
      </c>
      <c r="L3085" s="66" t="str">
        <f aca="false">IF(购销流水!$D775="","",IFERROR(INDEX(记账规则!$A$6:$N$9,MATCH(购销流水!$D775,记账规则!$A$6:$A$9,0),12),""))</f>
        <v/>
      </c>
      <c r="M3085" s="66" t="str">
        <f aca="false">IF($L3085="","",IFERROR(INDEX(记账规则!$A$6:$N$9,MATCH(购销流水!$D775,记账规则!$A$6:$A$9,0),13),""))</f>
        <v/>
      </c>
      <c r="N3085" s="66" t="str">
        <f aca="false">IF($L3085="","",IFERROR(INDEX(记账规则!$A$6:$N$9,MATCH(购销流水!$D775,记账规则!$A$6:$A$9,0),14),""))</f>
        <v/>
      </c>
      <c r="O3085" s="67" t="n">
        <f aca="false">IF($H3085="",0,ROUND(IF($N3085="成本金额",N(购销流水!$W775),IF($N3085="金额",N(购销流水!$Q775),0)),2))</f>
        <v>0</v>
      </c>
      <c r="P3085" s="64" t="str">
        <f aca="false">IF(AND($H3085&lt;&gt;"",ROUND($O3085,2)&lt;&gt;0),"有","")</f>
        <v/>
      </c>
    </row>
    <row r="3086" customFormat="false" ht="15" hidden="true" customHeight="false" outlineLevel="0" collapsed="false">
      <c r="A3086" s="53" t="str">
        <f aca="false">IF($H3086="","",ROW()-5)</f>
        <v/>
      </c>
      <c r="B3086" s="64" t="s">
        <v>36</v>
      </c>
      <c r="C3086" s="53" t="n">
        <v>776</v>
      </c>
      <c r="D3086" s="53" t="n">
        <v>1</v>
      </c>
      <c r="E3086" s="65" t="str">
        <f aca="false">IF($H3086="","",购销流水!$B776)</f>
        <v/>
      </c>
      <c r="F3086" s="55" t="str">
        <f aca="false">IF($H3086="","",购销流水!$C776)</f>
        <v/>
      </c>
      <c r="G3086" s="48" t="str">
        <f aca="false">IF($H3086="","",购销流水!$N776)</f>
        <v/>
      </c>
      <c r="H3086" s="10" t="str">
        <f aca="false">IF($L3086="","",IF($L3086="@成本",购销流水!$U776,IF($L3086="@收入",购销流水!$T776,IF($L3086="@存货",购销流水!$S776,IF($L3086="@结算",购销流水!$R776,$L3086)))))</f>
        <v/>
      </c>
      <c r="I3086" s="42" t="n">
        <f aca="false">IF($M3086="借",$O3086,0)</f>
        <v>0</v>
      </c>
      <c r="J3086" s="42" t="n">
        <f aca="false">IF($M3086="贷",$O3086,0)</f>
        <v>0</v>
      </c>
      <c r="K3086" s="48" t="str">
        <f aca="false">IF($H3086="","",购销流水!$E776)</f>
        <v/>
      </c>
      <c r="L3086" s="66" t="str">
        <f aca="false">IF(购销流水!$D776="","",IFERROR(INDEX(记账规则!$A$6:$N$9,MATCH(购销流水!$D776,记账规则!$A$6:$A$9,0),3),""))</f>
        <v/>
      </c>
      <c r="M3086" s="66" t="str">
        <f aca="false">IF($L3086="","",IFERROR(INDEX(记账规则!$A$6:$N$9,MATCH(购销流水!$D776,记账规则!$A$6:$A$9,0),4),""))</f>
        <v/>
      </c>
      <c r="N3086" s="66" t="str">
        <f aca="false">IF($L3086="","",IFERROR(INDEX(记账规则!$A$6:$N$9,MATCH(购销流水!$D776,记账规则!$A$6:$A$9,0),5),""))</f>
        <v/>
      </c>
      <c r="O3086" s="67" t="n">
        <f aca="false">IF($H3086="",0,ROUND(IF($N3086="成本金额",N(购销流水!$W776),IF($N3086="金额",N(购销流水!$Q776),0)),2))</f>
        <v>0</v>
      </c>
      <c r="P3086" s="64" t="str">
        <f aca="false">IF(AND($H3086&lt;&gt;"",ROUND($O3086,2)&lt;&gt;0),"有","")</f>
        <v/>
      </c>
    </row>
    <row r="3087" customFormat="false" ht="15" hidden="true" customHeight="false" outlineLevel="0" collapsed="false">
      <c r="A3087" s="53" t="str">
        <f aca="false">IF($H3087="","",ROW()-5)</f>
        <v/>
      </c>
      <c r="B3087" s="64" t="s">
        <v>36</v>
      </c>
      <c r="C3087" s="53" t="n">
        <v>776</v>
      </c>
      <c r="D3087" s="53" t="n">
        <v>2</v>
      </c>
      <c r="E3087" s="65" t="str">
        <f aca="false">IF($H3087="","",购销流水!$B776)</f>
        <v/>
      </c>
      <c r="F3087" s="55" t="str">
        <f aca="false">IF($H3087="","",购销流水!$C776)</f>
        <v/>
      </c>
      <c r="G3087" s="48" t="str">
        <f aca="false">IF($H3087="","",购销流水!$N776)</f>
        <v/>
      </c>
      <c r="H3087" s="10" t="str">
        <f aca="false">IF($L3087="","",IF($L3087="@成本",购销流水!$U776,IF($L3087="@收入",购销流水!$T776,IF($L3087="@存货",购销流水!$S776,IF($L3087="@结算",购销流水!$R776,$L3087)))))</f>
        <v/>
      </c>
      <c r="I3087" s="42" t="n">
        <f aca="false">IF($M3087="借",$O3087,0)</f>
        <v>0</v>
      </c>
      <c r="J3087" s="42" t="n">
        <f aca="false">IF($M3087="贷",$O3087,0)</f>
        <v>0</v>
      </c>
      <c r="K3087" s="48" t="str">
        <f aca="false">IF($H3087="","",购销流水!$E776)</f>
        <v/>
      </c>
      <c r="L3087" s="66" t="str">
        <f aca="false">IF(购销流水!$D776="","",IFERROR(INDEX(记账规则!$A$6:$N$9,MATCH(购销流水!$D776,记账规则!$A$6:$A$9,0),6),""))</f>
        <v/>
      </c>
      <c r="M3087" s="66" t="str">
        <f aca="false">IF($L3087="","",IFERROR(INDEX(记账规则!$A$6:$N$9,MATCH(购销流水!$D776,记账规则!$A$6:$A$9,0),7),""))</f>
        <v/>
      </c>
      <c r="N3087" s="66" t="str">
        <f aca="false">IF($L3087="","",IFERROR(INDEX(记账规则!$A$6:$N$9,MATCH(购销流水!$D776,记账规则!$A$6:$A$9,0),8),""))</f>
        <v/>
      </c>
      <c r="O3087" s="67" t="n">
        <f aca="false">IF($H3087="",0,ROUND(IF($N3087="成本金额",N(购销流水!$W776),IF($N3087="金额",N(购销流水!$Q776),0)),2))</f>
        <v>0</v>
      </c>
      <c r="P3087" s="64" t="str">
        <f aca="false">IF(AND($H3087&lt;&gt;"",ROUND($O3087,2)&lt;&gt;0),"有","")</f>
        <v/>
      </c>
    </row>
    <row r="3088" customFormat="false" ht="15" hidden="true" customHeight="false" outlineLevel="0" collapsed="false">
      <c r="A3088" s="53" t="str">
        <f aca="false">IF($H3088="","",ROW()-5)</f>
        <v/>
      </c>
      <c r="B3088" s="64" t="s">
        <v>36</v>
      </c>
      <c r="C3088" s="53" t="n">
        <v>776</v>
      </c>
      <c r="D3088" s="53" t="n">
        <v>3</v>
      </c>
      <c r="E3088" s="65" t="str">
        <f aca="false">IF($H3088="","",购销流水!$B776)</f>
        <v/>
      </c>
      <c r="F3088" s="55" t="str">
        <f aca="false">IF($H3088="","",购销流水!$C776)</f>
        <v/>
      </c>
      <c r="G3088" s="48" t="str">
        <f aca="false">IF($H3088="","",购销流水!$N776)</f>
        <v/>
      </c>
      <c r="H3088" s="10" t="str">
        <f aca="false">IF($L3088="","",IF($L3088="@成本",购销流水!$U776,IF($L3088="@收入",购销流水!$T776,IF($L3088="@存货",购销流水!$S776,IF($L3088="@结算",购销流水!$R776,$L3088)))))</f>
        <v/>
      </c>
      <c r="I3088" s="42" t="n">
        <f aca="false">IF($M3088="借",$O3088,0)</f>
        <v>0</v>
      </c>
      <c r="J3088" s="42" t="n">
        <f aca="false">IF($M3088="贷",$O3088,0)</f>
        <v>0</v>
      </c>
      <c r="K3088" s="48" t="str">
        <f aca="false">IF($H3088="","",购销流水!$E776)</f>
        <v/>
      </c>
      <c r="L3088" s="66" t="str">
        <f aca="false">IF(购销流水!$D776="","",IFERROR(INDEX(记账规则!$A$6:$N$9,MATCH(购销流水!$D776,记账规则!$A$6:$A$9,0),9),""))</f>
        <v/>
      </c>
      <c r="M3088" s="66" t="str">
        <f aca="false">IF($L3088="","",IFERROR(INDEX(记账规则!$A$6:$N$9,MATCH(购销流水!$D776,记账规则!$A$6:$A$9,0),10),""))</f>
        <v/>
      </c>
      <c r="N3088" s="66" t="str">
        <f aca="false">IF($L3088="","",IFERROR(INDEX(记账规则!$A$6:$N$9,MATCH(购销流水!$D776,记账规则!$A$6:$A$9,0),11),""))</f>
        <v/>
      </c>
      <c r="O3088" s="67" t="n">
        <f aca="false">IF($H3088="",0,ROUND(IF($N3088="成本金额",N(购销流水!$W776),IF($N3088="金额",N(购销流水!$Q776),0)),2))</f>
        <v>0</v>
      </c>
      <c r="P3088" s="64" t="str">
        <f aca="false">IF(AND($H3088&lt;&gt;"",ROUND($O3088,2)&lt;&gt;0),"有","")</f>
        <v/>
      </c>
    </row>
    <row r="3089" customFormat="false" ht="15" hidden="true" customHeight="false" outlineLevel="0" collapsed="false">
      <c r="A3089" s="53" t="str">
        <f aca="false">IF($H3089="","",ROW()-5)</f>
        <v/>
      </c>
      <c r="B3089" s="64" t="s">
        <v>36</v>
      </c>
      <c r="C3089" s="53" t="n">
        <v>776</v>
      </c>
      <c r="D3089" s="53" t="n">
        <v>4</v>
      </c>
      <c r="E3089" s="65" t="str">
        <f aca="false">IF($H3089="","",购销流水!$B776)</f>
        <v/>
      </c>
      <c r="F3089" s="55" t="str">
        <f aca="false">IF($H3089="","",购销流水!$C776)</f>
        <v/>
      </c>
      <c r="G3089" s="48" t="str">
        <f aca="false">IF($H3089="","",购销流水!$N776)</f>
        <v/>
      </c>
      <c r="H3089" s="10" t="str">
        <f aca="false">IF($L3089="","",IF($L3089="@成本",购销流水!$U776,IF($L3089="@收入",购销流水!$T776,IF($L3089="@存货",购销流水!$S776,IF($L3089="@结算",购销流水!$R776,$L3089)))))</f>
        <v/>
      </c>
      <c r="I3089" s="42" t="n">
        <f aca="false">IF($M3089="借",$O3089,0)</f>
        <v>0</v>
      </c>
      <c r="J3089" s="42" t="n">
        <f aca="false">IF($M3089="贷",$O3089,0)</f>
        <v>0</v>
      </c>
      <c r="K3089" s="48" t="str">
        <f aca="false">IF($H3089="","",购销流水!$E776)</f>
        <v/>
      </c>
      <c r="L3089" s="66" t="str">
        <f aca="false">IF(购销流水!$D776="","",IFERROR(INDEX(记账规则!$A$6:$N$9,MATCH(购销流水!$D776,记账规则!$A$6:$A$9,0),12),""))</f>
        <v/>
      </c>
      <c r="M3089" s="66" t="str">
        <f aca="false">IF($L3089="","",IFERROR(INDEX(记账规则!$A$6:$N$9,MATCH(购销流水!$D776,记账规则!$A$6:$A$9,0),13),""))</f>
        <v/>
      </c>
      <c r="N3089" s="66" t="str">
        <f aca="false">IF($L3089="","",IFERROR(INDEX(记账规则!$A$6:$N$9,MATCH(购销流水!$D776,记账规则!$A$6:$A$9,0),14),""))</f>
        <v/>
      </c>
      <c r="O3089" s="67" t="n">
        <f aca="false">IF($H3089="",0,ROUND(IF($N3089="成本金额",N(购销流水!$W776),IF($N3089="金额",N(购销流水!$Q776),0)),2))</f>
        <v>0</v>
      </c>
      <c r="P3089" s="64" t="str">
        <f aca="false">IF(AND($H3089&lt;&gt;"",ROUND($O3089,2)&lt;&gt;0),"有","")</f>
        <v/>
      </c>
    </row>
    <row r="3090" customFormat="false" ht="15" hidden="true" customHeight="false" outlineLevel="0" collapsed="false">
      <c r="A3090" s="53" t="str">
        <f aca="false">IF($H3090="","",ROW()-5)</f>
        <v/>
      </c>
      <c r="B3090" s="64" t="s">
        <v>36</v>
      </c>
      <c r="C3090" s="53" t="n">
        <v>777</v>
      </c>
      <c r="D3090" s="53" t="n">
        <v>1</v>
      </c>
      <c r="E3090" s="65" t="str">
        <f aca="false">IF($H3090="","",购销流水!$B777)</f>
        <v/>
      </c>
      <c r="F3090" s="55" t="str">
        <f aca="false">IF($H3090="","",购销流水!$C777)</f>
        <v/>
      </c>
      <c r="G3090" s="48" t="str">
        <f aca="false">IF($H3090="","",购销流水!$N777)</f>
        <v/>
      </c>
      <c r="H3090" s="10" t="str">
        <f aca="false">IF($L3090="","",IF($L3090="@成本",购销流水!$U777,IF($L3090="@收入",购销流水!$T777,IF($L3090="@存货",购销流水!$S777,IF($L3090="@结算",购销流水!$R777,$L3090)))))</f>
        <v/>
      </c>
      <c r="I3090" s="42" t="n">
        <f aca="false">IF($M3090="借",$O3090,0)</f>
        <v>0</v>
      </c>
      <c r="J3090" s="42" t="n">
        <f aca="false">IF($M3090="贷",$O3090,0)</f>
        <v>0</v>
      </c>
      <c r="K3090" s="48" t="str">
        <f aca="false">IF($H3090="","",购销流水!$E777)</f>
        <v/>
      </c>
      <c r="L3090" s="66" t="str">
        <f aca="false">IF(购销流水!$D777="","",IFERROR(INDEX(记账规则!$A$6:$N$9,MATCH(购销流水!$D777,记账规则!$A$6:$A$9,0),3),""))</f>
        <v/>
      </c>
      <c r="M3090" s="66" t="str">
        <f aca="false">IF($L3090="","",IFERROR(INDEX(记账规则!$A$6:$N$9,MATCH(购销流水!$D777,记账规则!$A$6:$A$9,0),4),""))</f>
        <v/>
      </c>
      <c r="N3090" s="66" t="str">
        <f aca="false">IF($L3090="","",IFERROR(INDEX(记账规则!$A$6:$N$9,MATCH(购销流水!$D777,记账规则!$A$6:$A$9,0),5),""))</f>
        <v/>
      </c>
      <c r="O3090" s="67" t="n">
        <f aca="false">IF($H3090="",0,ROUND(IF($N3090="成本金额",N(购销流水!$W777),IF($N3090="金额",N(购销流水!$Q777),0)),2))</f>
        <v>0</v>
      </c>
      <c r="P3090" s="64" t="str">
        <f aca="false">IF(AND($H3090&lt;&gt;"",ROUND($O3090,2)&lt;&gt;0),"有","")</f>
        <v/>
      </c>
    </row>
    <row r="3091" customFormat="false" ht="15" hidden="true" customHeight="false" outlineLevel="0" collapsed="false">
      <c r="A3091" s="53" t="str">
        <f aca="false">IF($H3091="","",ROW()-5)</f>
        <v/>
      </c>
      <c r="B3091" s="64" t="s">
        <v>36</v>
      </c>
      <c r="C3091" s="53" t="n">
        <v>777</v>
      </c>
      <c r="D3091" s="53" t="n">
        <v>2</v>
      </c>
      <c r="E3091" s="65" t="str">
        <f aca="false">IF($H3091="","",购销流水!$B777)</f>
        <v/>
      </c>
      <c r="F3091" s="55" t="str">
        <f aca="false">IF($H3091="","",购销流水!$C777)</f>
        <v/>
      </c>
      <c r="G3091" s="48" t="str">
        <f aca="false">IF($H3091="","",购销流水!$N777)</f>
        <v/>
      </c>
      <c r="H3091" s="10" t="str">
        <f aca="false">IF($L3091="","",IF($L3091="@成本",购销流水!$U777,IF($L3091="@收入",购销流水!$T777,IF($L3091="@存货",购销流水!$S777,IF($L3091="@结算",购销流水!$R777,$L3091)))))</f>
        <v/>
      </c>
      <c r="I3091" s="42" t="n">
        <f aca="false">IF($M3091="借",$O3091,0)</f>
        <v>0</v>
      </c>
      <c r="J3091" s="42" t="n">
        <f aca="false">IF($M3091="贷",$O3091,0)</f>
        <v>0</v>
      </c>
      <c r="K3091" s="48" t="str">
        <f aca="false">IF($H3091="","",购销流水!$E777)</f>
        <v/>
      </c>
      <c r="L3091" s="66" t="str">
        <f aca="false">IF(购销流水!$D777="","",IFERROR(INDEX(记账规则!$A$6:$N$9,MATCH(购销流水!$D777,记账规则!$A$6:$A$9,0),6),""))</f>
        <v/>
      </c>
      <c r="M3091" s="66" t="str">
        <f aca="false">IF($L3091="","",IFERROR(INDEX(记账规则!$A$6:$N$9,MATCH(购销流水!$D777,记账规则!$A$6:$A$9,0),7),""))</f>
        <v/>
      </c>
      <c r="N3091" s="66" t="str">
        <f aca="false">IF($L3091="","",IFERROR(INDEX(记账规则!$A$6:$N$9,MATCH(购销流水!$D777,记账规则!$A$6:$A$9,0),8),""))</f>
        <v/>
      </c>
      <c r="O3091" s="67" t="n">
        <f aca="false">IF($H3091="",0,ROUND(IF($N3091="成本金额",N(购销流水!$W777),IF($N3091="金额",N(购销流水!$Q777),0)),2))</f>
        <v>0</v>
      </c>
      <c r="P3091" s="64" t="str">
        <f aca="false">IF(AND($H3091&lt;&gt;"",ROUND($O3091,2)&lt;&gt;0),"有","")</f>
        <v/>
      </c>
    </row>
    <row r="3092" customFormat="false" ht="15" hidden="true" customHeight="false" outlineLevel="0" collapsed="false">
      <c r="A3092" s="53" t="str">
        <f aca="false">IF($H3092="","",ROW()-5)</f>
        <v/>
      </c>
      <c r="B3092" s="64" t="s">
        <v>36</v>
      </c>
      <c r="C3092" s="53" t="n">
        <v>777</v>
      </c>
      <c r="D3092" s="53" t="n">
        <v>3</v>
      </c>
      <c r="E3092" s="65" t="str">
        <f aca="false">IF($H3092="","",购销流水!$B777)</f>
        <v/>
      </c>
      <c r="F3092" s="55" t="str">
        <f aca="false">IF($H3092="","",购销流水!$C777)</f>
        <v/>
      </c>
      <c r="G3092" s="48" t="str">
        <f aca="false">IF($H3092="","",购销流水!$N777)</f>
        <v/>
      </c>
      <c r="H3092" s="10" t="str">
        <f aca="false">IF($L3092="","",IF($L3092="@成本",购销流水!$U777,IF($L3092="@收入",购销流水!$T777,IF($L3092="@存货",购销流水!$S777,IF($L3092="@结算",购销流水!$R777,$L3092)))))</f>
        <v/>
      </c>
      <c r="I3092" s="42" t="n">
        <f aca="false">IF($M3092="借",$O3092,0)</f>
        <v>0</v>
      </c>
      <c r="J3092" s="42" t="n">
        <f aca="false">IF($M3092="贷",$O3092,0)</f>
        <v>0</v>
      </c>
      <c r="K3092" s="48" t="str">
        <f aca="false">IF($H3092="","",购销流水!$E777)</f>
        <v/>
      </c>
      <c r="L3092" s="66" t="str">
        <f aca="false">IF(购销流水!$D777="","",IFERROR(INDEX(记账规则!$A$6:$N$9,MATCH(购销流水!$D777,记账规则!$A$6:$A$9,0),9),""))</f>
        <v/>
      </c>
      <c r="M3092" s="66" t="str">
        <f aca="false">IF($L3092="","",IFERROR(INDEX(记账规则!$A$6:$N$9,MATCH(购销流水!$D777,记账规则!$A$6:$A$9,0),10),""))</f>
        <v/>
      </c>
      <c r="N3092" s="66" t="str">
        <f aca="false">IF($L3092="","",IFERROR(INDEX(记账规则!$A$6:$N$9,MATCH(购销流水!$D777,记账规则!$A$6:$A$9,0),11),""))</f>
        <v/>
      </c>
      <c r="O3092" s="67" t="n">
        <f aca="false">IF($H3092="",0,ROUND(IF($N3092="成本金额",N(购销流水!$W777),IF($N3092="金额",N(购销流水!$Q777),0)),2))</f>
        <v>0</v>
      </c>
      <c r="P3092" s="64" t="str">
        <f aca="false">IF(AND($H3092&lt;&gt;"",ROUND($O3092,2)&lt;&gt;0),"有","")</f>
        <v/>
      </c>
    </row>
    <row r="3093" customFormat="false" ht="15" hidden="true" customHeight="false" outlineLevel="0" collapsed="false">
      <c r="A3093" s="53" t="str">
        <f aca="false">IF($H3093="","",ROW()-5)</f>
        <v/>
      </c>
      <c r="B3093" s="64" t="s">
        <v>36</v>
      </c>
      <c r="C3093" s="53" t="n">
        <v>777</v>
      </c>
      <c r="D3093" s="53" t="n">
        <v>4</v>
      </c>
      <c r="E3093" s="65" t="str">
        <f aca="false">IF($H3093="","",购销流水!$B777)</f>
        <v/>
      </c>
      <c r="F3093" s="55" t="str">
        <f aca="false">IF($H3093="","",购销流水!$C777)</f>
        <v/>
      </c>
      <c r="G3093" s="48" t="str">
        <f aca="false">IF($H3093="","",购销流水!$N777)</f>
        <v/>
      </c>
      <c r="H3093" s="10" t="str">
        <f aca="false">IF($L3093="","",IF($L3093="@成本",购销流水!$U777,IF($L3093="@收入",购销流水!$T777,IF($L3093="@存货",购销流水!$S777,IF($L3093="@结算",购销流水!$R777,$L3093)))))</f>
        <v/>
      </c>
      <c r="I3093" s="42" t="n">
        <f aca="false">IF($M3093="借",$O3093,0)</f>
        <v>0</v>
      </c>
      <c r="J3093" s="42" t="n">
        <f aca="false">IF($M3093="贷",$O3093,0)</f>
        <v>0</v>
      </c>
      <c r="K3093" s="48" t="str">
        <f aca="false">IF($H3093="","",购销流水!$E777)</f>
        <v/>
      </c>
      <c r="L3093" s="66" t="str">
        <f aca="false">IF(购销流水!$D777="","",IFERROR(INDEX(记账规则!$A$6:$N$9,MATCH(购销流水!$D777,记账规则!$A$6:$A$9,0),12),""))</f>
        <v/>
      </c>
      <c r="M3093" s="66" t="str">
        <f aca="false">IF($L3093="","",IFERROR(INDEX(记账规则!$A$6:$N$9,MATCH(购销流水!$D777,记账规则!$A$6:$A$9,0),13),""))</f>
        <v/>
      </c>
      <c r="N3093" s="66" t="str">
        <f aca="false">IF($L3093="","",IFERROR(INDEX(记账规则!$A$6:$N$9,MATCH(购销流水!$D777,记账规则!$A$6:$A$9,0),14),""))</f>
        <v/>
      </c>
      <c r="O3093" s="67" t="n">
        <f aca="false">IF($H3093="",0,ROUND(IF($N3093="成本金额",N(购销流水!$W777),IF($N3093="金额",N(购销流水!$Q777),0)),2))</f>
        <v>0</v>
      </c>
      <c r="P3093" s="64" t="str">
        <f aca="false">IF(AND($H3093&lt;&gt;"",ROUND($O3093,2)&lt;&gt;0),"有","")</f>
        <v/>
      </c>
    </row>
    <row r="3094" customFormat="false" ht="15" hidden="true" customHeight="false" outlineLevel="0" collapsed="false">
      <c r="A3094" s="53" t="str">
        <f aca="false">IF($H3094="","",ROW()-5)</f>
        <v/>
      </c>
      <c r="B3094" s="64" t="s">
        <v>36</v>
      </c>
      <c r="C3094" s="53" t="n">
        <v>778</v>
      </c>
      <c r="D3094" s="53" t="n">
        <v>1</v>
      </c>
      <c r="E3094" s="65" t="str">
        <f aca="false">IF($H3094="","",购销流水!$B778)</f>
        <v/>
      </c>
      <c r="F3094" s="55" t="str">
        <f aca="false">IF($H3094="","",购销流水!$C778)</f>
        <v/>
      </c>
      <c r="G3094" s="48" t="str">
        <f aca="false">IF($H3094="","",购销流水!$N778)</f>
        <v/>
      </c>
      <c r="H3094" s="10" t="str">
        <f aca="false">IF($L3094="","",IF($L3094="@成本",购销流水!$U778,IF($L3094="@收入",购销流水!$T778,IF($L3094="@存货",购销流水!$S778,IF($L3094="@结算",购销流水!$R778,$L3094)))))</f>
        <v/>
      </c>
      <c r="I3094" s="42" t="n">
        <f aca="false">IF($M3094="借",$O3094,0)</f>
        <v>0</v>
      </c>
      <c r="J3094" s="42" t="n">
        <f aca="false">IF($M3094="贷",$O3094,0)</f>
        <v>0</v>
      </c>
      <c r="K3094" s="48" t="str">
        <f aca="false">IF($H3094="","",购销流水!$E778)</f>
        <v/>
      </c>
      <c r="L3094" s="66" t="str">
        <f aca="false">IF(购销流水!$D778="","",IFERROR(INDEX(记账规则!$A$6:$N$9,MATCH(购销流水!$D778,记账规则!$A$6:$A$9,0),3),""))</f>
        <v/>
      </c>
      <c r="M3094" s="66" t="str">
        <f aca="false">IF($L3094="","",IFERROR(INDEX(记账规则!$A$6:$N$9,MATCH(购销流水!$D778,记账规则!$A$6:$A$9,0),4),""))</f>
        <v/>
      </c>
      <c r="N3094" s="66" t="str">
        <f aca="false">IF($L3094="","",IFERROR(INDEX(记账规则!$A$6:$N$9,MATCH(购销流水!$D778,记账规则!$A$6:$A$9,0),5),""))</f>
        <v/>
      </c>
      <c r="O3094" s="67" t="n">
        <f aca="false">IF($H3094="",0,ROUND(IF($N3094="成本金额",N(购销流水!$W778),IF($N3094="金额",N(购销流水!$Q778),0)),2))</f>
        <v>0</v>
      </c>
      <c r="P3094" s="64" t="str">
        <f aca="false">IF(AND($H3094&lt;&gt;"",ROUND($O3094,2)&lt;&gt;0),"有","")</f>
        <v/>
      </c>
    </row>
    <row r="3095" customFormat="false" ht="15" hidden="true" customHeight="false" outlineLevel="0" collapsed="false">
      <c r="A3095" s="53" t="str">
        <f aca="false">IF($H3095="","",ROW()-5)</f>
        <v/>
      </c>
      <c r="B3095" s="64" t="s">
        <v>36</v>
      </c>
      <c r="C3095" s="53" t="n">
        <v>778</v>
      </c>
      <c r="D3095" s="53" t="n">
        <v>2</v>
      </c>
      <c r="E3095" s="65" t="str">
        <f aca="false">IF($H3095="","",购销流水!$B778)</f>
        <v/>
      </c>
      <c r="F3095" s="55" t="str">
        <f aca="false">IF($H3095="","",购销流水!$C778)</f>
        <v/>
      </c>
      <c r="G3095" s="48" t="str">
        <f aca="false">IF($H3095="","",购销流水!$N778)</f>
        <v/>
      </c>
      <c r="H3095" s="10" t="str">
        <f aca="false">IF($L3095="","",IF($L3095="@成本",购销流水!$U778,IF($L3095="@收入",购销流水!$T778,IF($L3095="@存货",购销流水!$S778,IF($L3095="@结算",购销流水!$R778,$L3095)))))</f>
        <v/>
      </c>
      <c r="I3095" s="42" t="n">
        <f aca="false">IF($M3095="借",$O3095,0)</f>
        <v>0</v>
      </c>
      <c r="J3095" s="42" t="n">
        <f aca="false">IF($M3095="贷",$O3095,0)</f>
        <v>0</v>
      </c>
      <c r="K3095" s="48" t="str">
        <f aca="false">IF($H3095="","",购销流水!$E778)</f>
        <v/>
      </c>
      <c r="L3095" s="66" t="str">
        <f aca="false">IF(购销流水!$D778="","",IFERROR(INDEX(记账规则!$A$6:$N$9,MATCH(购销流水!$D778,记账规则!$A$6:$A$9,0),6),""))</f>
        <v/>
      </c>
      <c r="M3095" s="66" t="str">
        <f aca="false">IF($L3095="","",IFERROR(INDEX(记账规则!$A$6:$N$9,MATCH(购销流水!$D778,记账规则!$A$6:$A$9,0),7),""))</f>
        <v/>
      </c>
      <c r="N3095" s="66" t="str">
        <f aca="false">IF($L3095="","",IFERROR(INDEX(记账规则!$A$6:$N$9,MATCH(购销流水!$D778,记账规则!$A$6:$A$9,0),8),""))</f>
        <v/>
      </c>
      <c r="O3095" s="67" t="n">
        <f aca="false">IF($H3095="",0,ROUND(IF($N3095="成本金额",N(购销流水!$W778),IF($N3095="金额",N(购销流水!$Q778),0)),2))</f>
        <v>0</v>
      </c>
      <c r="P3095" s="64" t="str">
        <f aca="false">IF(AND($H3095&lt;&gt;"",ROUND($O3095,2)&lt;&gt;0),"有","")</f>
        <v/>
      </c>
    </row>
    <row r="3096" customFormat="false" ht="15" hidden="true" customHeight="false" outlineLevel="0" collapsed="false">
      <c r="A3096" s="53" t="str">
        <f aca="false">IF($H3096="","",ROW()-5)</f>
        <v/>
      </c>
      <c r="B3096" s="64" t="s">
        <v>36</v>
      </c>
      <c r="C3096" s="53" t="n">
        <v>778</v>
      </c>
      <c r="D3096" s="53" t="n">
        <v>3</v>
      </c>
      <c r="E3096" s="65" t="str">
        <f aca="false">IF($H3096="","",购销流水!$B778)</f>
        <v/>
      </c>
      <c r="F3096" s="55" t="str">
        <f aca="false">IF($H3096="","",购销流水!$C778)</f>
        <v/>
      </c>
      <c r="G3096" s="48" t="str">
        <f aca="false">IF($H3096="","",购销流水!$N778)</f>
        <v/>
      </c>
      <c r="H3096" s="10" t="str">
        <f aca="false">IF($L3096="","",IF($L3096="@成本",购销流水!$U778,IF($L3096="@收入",购销流水!$T778,IF($L3096="@存货",购销流水!$S778,IF($L3096="@结算",购销流水!$R778,$L3096)))))</f>
        <v/>
      </c>
      <c r="I3096" s="42" t="n">
        <f aca="false">IF($M3096="借",$O3096,0)</f>
        <v>0</v>
      </c>
      <c r="J3096" s="42" t="n">
        <f aca="false">IF($M3096="贷",$O3096,0)</f>
        <v>0</v>
      </c>
      <c r="K3096" s="48" t="str">
        <f aca="false">IF($H3096="","",购销流水!$E778)</f>
        <v/>
      </c>
      <c r="L3096" s="66" t="str">
        <f aca="false">IF(购销流水!$D778="","",IFERROR(INDEX(记账规则!$A$6:$N$9,MATCH(购销流水!$D778,记账规则!$A$6:$A$9,0),9),""))</f>
        <v/>
      </c>
      <c r="M3096" s="66" t="str">
        <f aca="false">IF($L3096="","",IFERROR(INDEX(记账规则!$A$6:$N$9,MATCH(购销流水!$D778,记账规则!$A$6:$A$9,0),10),""))</f>
        <v/>
      </c>
      <c r="N3096" s="66" t="str">
        <f aca="false">IF($L3096="","",IFERROR(INDEX(记账规则!$A$6:$N$9,MATCH(购销流水!$D778,记账规则!$A$6:$A$9,0),11),""))</f>
        <v/>
      </c>
      <c r="O3096" s="67" t="n">
        <f aca="false">IF($H3096="",0,ROUND(IF($N3096="成本金额",N(购销流水!$W778),IF($N3096="金额",N(购销流水!$Q778),0)),2))</f>
        <v>0</v>
      </c>
      <c r="P3096" s="64" t="str">
        <f aca="false">IF(AND($H3096&lt;&gt;"",ROUND($O3096,2)&lt;&gt;0),"有","")</f>
        <v/>
      </c>
    </row>
    <row r="3097" customFormat="false" ht="15" hidden="true" customHeight="false" outlineLevel="0" collapsed="false">
      <c r="A3097" s="53" t="str">
        <f aca="false">IF($H3097="","",ROW()-5)</f>
        <v/>
      </c>
      <c r="B3097" s="64" t="s">
        <v>36</v>
      </c>
      <c r="C3097" s="53" t="n">
        <v>778</v>
      </c>
      <c r="D3097" s="53" t="n">
        <v>4</v>
      </c>
      <c r="E3097" s="65" t="str">
        <f aca="false">IF($H3097="","",购销流水!$B778)</f>
        <v/>
      </c>
      <c r="F3097" s="55" t="str">
        <f aca="false">IF($H3097="","",购销流水!$C778)</f>
        <v/>
      </c>
      <c r="G3097" s="48" t="str">
        <f aca="false">IF($H3097="","",购销流水!$N778)</f>
        <v/>
      </c>
      <c r="H3097" s="10" t="str">
        <f aca="false">IF($L3097="","",IF($L3097="@成本",购销流水!$U778,IF($L3097="@收入",购销流水!$T778,IF($L3097="@存货",购销流水!$S778,IF($L3097="@结算",购销流水!$R778,$L3097)))))</f>
        <v/>
      </c>
      <c r="I3097" s="42" t="n">
        <f aca="false">IF($M3097="借",$O3097,0)</f>
        <v>0</v>
      </c>
      <c r="J3097" s="42" t="n">
        <f aca="false">IF($M3097="贷",$O3097,0)</f>
        <v>0</v>
      </c>
      <c r="K3097" s="48" t="str">
        <f aca="false">IF($H3097="","",购销流水!$E778)</f>
        <v/>
      </c>
      <c r="L3097" s="66" t="str">
        <f aca="false">IF(购销流水!$D778="","",IFERROR(INDEX(记账规则!$A$6:$N$9,MATCH(购销流水!$D778,记账规则!$A$6:$A$9,0),12),""))</f>
        <v/>
      </c>
      <c r="M3097" s="66" t="str">
        <f aca="false">IF($L3097="","",IFERROR(INDEX(记账规则!$A$6:$N$9,MATCH(购销流水!$D778,记账规则!$A$6:$A$9,0),13),""))</f>
        <v/>
      </c>
      <c r="N3097" s="66" t="str">
        <f aca="false">IF($L3097="","",IFERROR(INDEX(记账规则!$A$6:$N$9,MATCH(购销流水!$D778,记账规则!$A$6:$A$9,0),14),""))</f>
        <v/>
      </c>
      <c r="O3097" s="67" t="n">
        <f aca="false">IF($H3097="",0,ROUND(IF($N3097="成本金额",N(购销流水!$W778),IF($N3097="金额",N(购销流水!$Q778),0)),2))</f>
        <v>0</v>
      </c>
      <c r="P3097" s="64" t="str">
        <f aca="false">IF(AND($H3097&lt;&gt;"",ROUND($O3097,2)&lt;&gt;0),"有","")</f>
        <v/>
      </c>
    </row>
    <row r="3098" customFormat="false" ht="15" hidden="true" customHeight="false" outlineLevel="0" collapsed="false">
      <c r="A3098" s="53" t="str">
        <f aca="false">IF($H3098="","",ROW()-5)</f>
        <v/>
      </c>
      <c r="B3098" s="64" t="s">
        <v>36</v>
      </c>
      <c r="C3098" s="53" t="n">
        <v>779</v>
      </c>
      <c r="D3098" s="53" t="n">
        <v>1</v>
      </c>
      <c r="E3098" s="65" t="str">
        <f aca="false">IF($H3098="","",购销流水!$B779)</f>
        <v/>
      </c>
      <c r="F3098" s="55" t="str">
        <f aca="false">IF($H3098="","",购销流水!$C779)</f>
        <v/>
      </c>
      <c r="G3098" s="48" t="str">
        <f aca="false">IF($H3098="","",购销流水!$N779)</f>
        <v/>
      </c>
      <c r="H3098" s="10" t="str">
        <f aca="false">IF($L3098="","",IF($L3098="@成本",购销流水!$U779,IF($L3098="@收入",购销流水!$T779,IF($L3098="@存货",购销流水!$S779,IF($L3098="@结算",购销流水!$R779,$L3098)))))</f>
        <v/>
      </c>
      <c r="I3098" s="42" t="n">
        <f aca="false">IF($M3098="借",$O3098,0)</f>
        <v>0</v>
      </c>
      <c r="J3098" s="42" t="n">
        <f aca="false">IF($M3098="贷",$O3098,0)</f>
        <v>0</v>
      </c>
      <c r="K3098" s="48" t="str">
        <f aca="false">IF($H3098="","",购销流水!$E779)</f>
        <v/>
      </c>
      <c r="L3098" s="66" t="str">
        <f aca="false">IF(购销流水!$D779="","",IFERROR(INDEX(记账规则!$A$6:$N$9,MATCH(购销流水!$D779,记账规则!$A$6:$A$9,0),3),""))</f>
        <v/>
      </c>
      <c r="M3098" s="66" t="str">
        <f aca="false">IF($L3098="","",IFERROR(INDEX(记账规则!$A$6:$N$9,MATCH(购销流水!$D779,记账规则!$A$6:$A$9,0),4),""))</f>
        <v/>
      </c>
      <c r="N3098" s="66" t="str">
        <f aca="false">IF($L3098="","",IFERROR(INDEX(记账规则!$A$6:$N$9,MATCH(购销流水!$D779,记账规则!$A$6:$A$9,0),5),""))</f>
        <v/>
      </c>
      <c r="O3098" s="67" t="n">
        <f aca="false">IF($H3098="",0,ROUND(IF($N3098="成本金额",N(购销流水!$W779),IF($N3098="金额",N(购销流水!$Q779),0)),2))</f>
        <v>0</v>
      </c>
      <c r="P3098" s="64" t="str">
        <f aca="false">IF(AND($H3098&lt;&gt;"",ROUND($O3098,2)&lt;&gt;0),"有","")</f>
        <v/>
      </c>
    </row>
    <row r="3099" customFormat="false" ht="15" hidden="true" customHeight="false" outlineLevel="0" collapsed="false">
      <c r="A3099" s="53" t="str">
        <f aca="false">IF($H3099="","",ROW()-5)</f>
        <v/>
      </c>
      <c r="B3099" s="64" t="s">
        <v>36</v>
      </c>
      <c r="C3099" s="53" t="n">
        <v>779</v>
      </c>
      <c r="D3099" s="53" t="n">
        <v>2</v>
      </c>
      <c r="E3099" s="65" t="str">
        <f aca="false">IF($H3099="","",购销流水!$B779)</f>
        <v/>
      </c>
      <c r="F3099" s="55" t="str">
        <f aca="false">IF($H3099="","",购销流水!$C779)</f>
        <v/>
      </c>
      <c r="G3099" s="48" t="str">
        <f aca="false">IF($H3099="","",购销流水!$N779)</f>
        <v/>
      </c>
      <c r="H3099" s="10" t="str">
        <f aca="false">IF($L3099="","",IF($L3099="@成本",购销流水!$U779,IF($L3099="@收入",购销流水!$T779,IF($L3099="@存货",购销流水!$S779,IF($L3099="@结算",购销流水!$R779,$L3099)))))</f>
        <v/>
      </c>
      <c r="I3099" s="42" t="n">
        <f aca="false">IF($M3099="借",$O3099,0)</f>
        <v>0</v>
      </c>
      <c r="J3099" s="42" t="n">
        <f aca="false">IF($M3099="贷",$O3099,0)</f>
        <v>0</v>
      </c>
      <c r="K3099" s="48" t="str">
        <f aca="false">IF($H3099="","",购销流水!$E779)</f>
        <v/>
      </c>
      <c r="L3099" s="66" t="str">
        <f aca="false">IF(购销流水!$D779="","",IFERROR(INDEX(记账规则!$A$6:$N$9,MATCH(购销流水!$D779,记账规则!$A$6:$A$9,0),6),""))</f>
        <v/>
      </c>
      <c r="M3099" s="66" t="str">
        <f aca="false">IF($L3099="","",IFERROR(INDEX(记账规则!$A$6:$N$9,MATCH(购销流水!$D779,记账规则!$A$6:$A$9,0),7),""))</f>
        <v/>
      </c>
      <c r="N3099" s="66" t="str">
        <f aca="false">IF($L3099="","",IFERROR(INDEX(记账规则!$A$6:$N$9,MATCH(购销流水!$D779,记账规则!$A$6:$A$9,0),8),""))</f>
        <v/>
      </c>
      <c r="O3099" s="67" t="n">
        <f aca="false">IF($H3099="",0,ROUND(IF($N3099="成本金额",N(购销流水!$W779),IF($N3099="金额",N(购销流水!$Q779),0)),2))</f>
        <v>0</v>
      </c>
      <c r="P3099" s="64" t="str">
        <f aca="false">IF(AND($H3099&lt;&gt;"",ROUND($O3099,2)&lt;&gt;0),"有","")</f>
        <v/>
      </c>
    </row>
    <row r="3100" customFormat="false" ht="15" hidden="true" customHeight="false" outlineLevel="0" collapsed="false">
      <c r="A3100" s="53" t="str">
        <f aca="false">IF($H3100="","",ROW()-5)</f>
        <v/>
      </c>
      <c r="B3100" s="64" t="s">
        <v>36</v>
      </c>
      <c r="C3100" s="53" t="n">
        <v>779</v>
      </c>
      <c r="D3100" s="53" t="n">
        <v>3</v>
      </c>
      <c r="E3100" s="65" t="str">
        <f aca="false">IF($H3100="","",购销流水!$B779)</f>
        <v/>
      </c>
      <c r="F3100" s="55" t="str">
        <f aca="false">IF($H3100="","",购销流水!$C779)</f>
        <v/>
      </c>
      <c r="G3100" s="48" t="str">
        <f aca="false">IF($H3100="","",购销流水!$N779)</f>
        <v/>
      </c>
      <c r="H3100" s="10" t="str">
        <f aca="false">IF($L3100="","",IF($L3100="@成本",购销流水!$U779,IF($L3100="@收入",购销流水!$T779,IF($L3100="@存货",购销流水!$S779,IF($L3100="@结算",购销流水!$R779,$L3100)))))</f>
        <v/>
      </c>
      <c r="I3100" s="42" t="n">
        <f aca="false">IF($M3100="借",$O3100,0)</f>
        <v>0</v>
      </c>
      <c r="J3100" s="42" t="n">
        <f aca="false">IF($M3100="贷",$O3100,0)</f>
        <v>0</v>
      </c>
      <c r="K3100" s="48" t="str">
        <f aca="false">IF($H3100="","",购销流水!$E779)</f>
        <v/>
      </c>
      <c r="L3100" s="66" t="str">
        <f aca="false">IF(购销流水!$D779="","",IFERROR(INDEX(记账规则!$A$6:$N$9,MATCH(购销流水!$D779,记账规则!$A$6:$A$9,0),9),""))</f>
        <v/>
      </c>
      <c r="M3100" s="66" t="str">
        <f aca="false">IF($L3100="","",IFERROR(INDEX(记账规则!$A$6:$N$9,MATCH(购销流水!$D779,记账规则!$A$6:$A$9,0),10),""))</f>
        <v/>
      </c>
      <c r="N3100" s="66" t="str">
        <f aca="false">IF($L3100="","",IFERROR(INDEX(记账规则!$A$6:$N$9,MATCH(购销流水!$D779,记账规则!$A$6:$A$9,0),11),""))</f>
        <v/>
      </c>
      <c r="O3100" s="67" t="n">
        <f aca="false">IF($H3100="",0,ROUND(IF($N3100="成本金额",N(购销流水!$W779),IF($N3100="金额",N(购销流水!$Q779),0)),2))</f>
        <v>0</v>
      </c>
      <c r="P3100" s="64" t="str">
        <f aca="false">IF(AND($H3100&lt;&gt;"",ROUND($O3100,2)&lt;&gt;0),"有","")</f>
        <v/>
      </c>
    </row>
    <row r="3101" customFormat="false" ht="15" hidden="true" customHeight="false" outlineLevel="0" collapsed="false">
      <c r="A3101" s="53" t="str">
        <f aca="false">IF($H3101="","",ROW()-5)</f>
        <v/>
      </c>
      <c r="B3101" s="64" t="s">
        <v>36</v>
      </c>
      <c r="C3101" s="53" t="n">
        <v>779</v>
      </c>
      <c r="D3101" s="53" t="n">
        <v>4</v>
      </c>
      <c r="E3101" s="65" t="str">
        <f aca="false">IF($H3101="","",购销流水!$B779)</f>
        <v/>
      </c>
      <c r="F3101" s="55" t="str">
        <f aca="false">IF($H3101="","",购销流水!$C779)</f>
        <v/>
      </c>
      <c r="G3101" s="48" t="str">
        <f aca="false">IF($H3101="","",购销流水!$N779)</f>
        <v/>
      </c>
      <c r="H3101" s="10" t="str">
        <f aca="false">IF($L3101="","",IF($L3101="@成本",购销流水!$U779,IF($L3101="@收入",购销流水!$T779,IF($L3101="@存货",购销流水!$S779,IF($L3101="@结算",购销流水!$R779,$L3101)))))</f>
        <v/>
      </c>
      <c r="I3101" s="42" t="n">
        <f aca="false">IF($M3101="借",$O3101,0)</f>
        <v>0</v>
      </c>
      <c r="J3101" s="42" t="n">
        <f aca="false">IF($M3101="贷",$O3101,0)</f>
        <v>0</v>
      </c>
      <c r="K3101" s="48" t="str">
        <f aca="false">IF($H3101="","",购销流水!$E779)</f>
        <v/>
      </c>
      <c r="L3101" s="66" t="str">
        <f aca="false">IF(购销流水!$D779="","",IFERROR(INDEX(记账规则!$A$6:$N$9,MATCH(购销流水!$D779,记账规则!$A$6:$A$9,0),12),""))</f>
        <v/>
      </c>
      <c r="M3101" s="66" t="str">
        <f aca="false">IF($L3101="","",IFERROR(INDEX(记账规则!$A$6:$N$9,MATCH(购销流水!$D779,记账规则!$A$6:$A$9,0),13),""))</f>
        <v/>
      </c>
      <c r="N3101" s="66" t="str">
        <f aca="false">IF($L3101="","",IFERROR(INDEX(记账规则!$A$6:$N$9,MATCH(购销流水!$D779,记账规则!$A$6:$A$9,0),14),""))</f>
        <v/>
      </c>
      <c r="O3101" s="67" t="n">
        <f aca="false">IF($H3101="",0,ROUND(IF($N3101="成本金额",N(购销流水!$W779),IF($N3101="金额",N(购销流水!$Q779),0)),2))</f>
        <v>0</v>
      </c>
      <c r="P3101" s="64" t="str">
        <f aca="false">IF(AND($H3101&lt;&gt;"",ROUND($O3101,2)&lt;&gt;0),"有","")</f>
        <v/>
      </c>
    </row>
    <row r="3102" customFormat="false" ht="15" hidden="true" customHeight="false" outlineLevel="0" collapsed="false">
      <c r="A3102" s="53" t="str">
        <f aca="false">IF($H3102="","",ROW()-5)</f>
        <v/>
      </c>
      <c r="B3102" s="64" t="s">
        <v>36</v>
      </c>
      <c r="C3102" s="53" t="n">
        <v>780</v>
      </c>
      <c r="D3102" s="53" t="n">
        <v>1</v>
      </c>
      <c r="E3102" s="65" t="str">
        <f aca="false">IF($H3102="","",购销流水!$B780)</f>
        <v/>
      </c>
      <c r="F3102" s="55" t="str">
        <f aca="false">IF($H3102="","",购销流水!$C780)</f>
        <v/>
      </c>
      <c r="G3102" s="48" t="str">
        <f aca="false">IF($H3102="","",购销流水!$N780)</f>
        <v/>
      </c>
      <c r="H3102" s="10" t="str">
        <f aca="false">IF($L3102="","",IF($L3102="@成本",购销流水!$U780,IF($L3102="@收入",购销流水!$T780,IF($L3102="@存货",购销流水!$S780,IF($L3102="@结算",购销流水!$R780,$L3102)))))</f>
        <v/>
      </c>
      <c r="I3102" s="42" t="n">
        <f aca="false">IF($M3102="借",$O3102,0)</f>
        <v>0</v>
      </c>
      <c r="J3102" s="42" t="n">
        <f aca="false">IF($M3102="贷",$O3102,0)</f>
        <v>0</v>
      </c>
      <c r="K3102" s="48" t="str">
        <f aca="false">IF($H3102="","",购销流水!$E780)</f>
        <v/>
      </c>
      <c r="L3102" s="66" t="str">
        <f aca="false">IF(购销流水!$D780="","",IFERROR(INDEX(记账规则!$A$6:$N$9,MATCH(购销流水!$D780,记账规则!$A$6:$A$9,0),3),""))</f>
        <v/>
      </c>
      <c r="M3102" s="66" t="str">
        <f aca="false">IF($L3102="","",IFERROR(INDEX(记账规则!$A$6:$N$9,MATCH(购销流水!$D780,记账规则!$A$6:$A$9,0),4),""))</f>
        <v/>
      </c>
      <c r="N3102" s="66" t="str">
        <f aca="false">IF($L3102="","",IFERROR(INDEX(记账规则!$A$6:$N$9,MATCH(购销流水!$D780,记账规则!$A$6:$A$9,0),5),""))</f>
        <v/>
      </c>
      <c r="O3102" s="67" t="n">
        <f aca="false">IF($H3102="",0,ROUND(IF($N3102="成本金额",N(购销流水!$W780),IF($N3102="金额",N(购销流水!$Q780),0)),2))</f>
        <v>0</v>
      </c>
      <c r="P3102" s="64" t="str">
        <f aca="false">IF(AND($H3102&lt;&gt;"",ROUND($O3102,2)&lt;&gt;0),"有","")</f>
        <v/>
      </c>
    </row>
    <row r="3103" customFormat="false" ht="15" hidden="true" customHeight="false" outlineLevel="0" collapsed="false">
      <c r="A3103" s="53" t="str">
        <f aca="false">IF($H3103="","",ROW()-5)</f>
        <v/>
      </c>
      <c r="B3103" s="64" t="s">
        <v>36</v>
      </c>
      <c r="C3103" s="53" t="n">
        <v>780</v>
      </c>
      <c r="D3103" s="53" t="n">
        <v>2</v>
      </c>
      <c r="E3103" s="65" t="str">
        <f aca="false">IF($H3103="","",购销流水!$B780)</f>
        <v/>
      </c>
      <c r="F3103" s="55" t="str">
        <f aca="false">IF($H3103="","",购销流水!$C780)</f>
        <v/>
      </c>
      <c r="G3103" s="48" t="str">
        <f aca="false">IF($H3103="","",购销流水!$N780)</f>
        <v/>
      </c>
      <c r="H3103" s="10" t="str">
        <f aca="false">IF($L3103="","",IF($L3103="@成本",购销流水!$U780,IF($L3103="@收入",购销流水!$T780,IF($L3103="@存货",购销流水!$S780,IF($L3103="@结算",购销流水!$R780,$L3103)))))</f>
        <v/>
      </c>
      <c r="I3103" s="42" t="n">
        <f aca="false">IF($M3103="借",$O3103,0)</f>
        <v>0</v>
      </c>
      <c r="J3103" s="42" t="n">
        <f aca="false">IF($M3103="贷",$O3103,0)</f>
        <v>0</v>
      </c>
      <c r="K3103" s="48" t="str">
        <f aca="false">IF($H3103="","",购销流水!$E780)</f>
        <v/>
      </c>
      <c r="L3103" s="66" t="str">
        <f aca="false">IF(购销流水!$D780="","",IFERROR(INDEX(记账规则!$A$6:$N$9,MATCH(购销流水!$D780,记账规则!$A$6:$A$9,0),6),""))</f>
        <v/>
      </c>
      <c r="M3103" s="66" t="str">
        <f aca="false">IF($L3103="","",IFERROR(INDEX(记账规则!$A$6:$N$9,MATCH(购销流水!$D780,记账规则!$A$6:$A$9,0),7),""))</f>
        <v/>
      </c>
      <c r="N3103" s="66" t="str">
        <f aca="false">IF($L3103="","",IFERROR(INDEX(记账规则!$A$6:$N$9,MATCH(购销流水!$D780,记账规则!$A$6:$A$9,0),8),""))</f>
        <v/>
      </c>
      <c r="O3103" s="67" t="n">
        <f aca="false">IF($H3103="",0,ROUND(IF($N3103="成本金额",N(购销流水!$W780),IF($N3103="金额",N(购销流水!$Q780),0)),2))</f>
        <v>0</v>
      </c>
      <c r="P3103" s="64" t="str">
        <f aca="false">IF(AND($H3103&lt;&gt;"",ROUND($O3103,2)&lt;&gt;0),"有","")</f>
        <v/>
      </c>
    </row>
    <row r="3104" customFormat="false" ht="15" hidden="true" customHeight="false" outlineLevel="0" collapsed="false">
      <c r="A3104" s="53" t="str">
        <f aca="false">IF($H3104="","",ROW()-5)</f>
        <v/>
      </c>
      <c r="B3104" s="64" t="s">
        <v>36</v>
      </c>
      <c r="C3104" s="53" t="n">
        <v>780</v>
      </c>
      <c r="D3104" s="53" t="n">
        <v>3</v>
      </c>
      <c r="E3104" s="65" t="str">
        <f aca="false">IF($H3104="","",购销流水!$B780)</f>
        <v/>
      </c>
      <c r="F3104" s="55" t="str">
        <f aca="false">IF($H3104="","",购销流水!$C780)</f>
        <v/>
      </c>
      <c r="G3104" s="48" t="str">
        <f aca="false">IF($H3104="","",购销流水!$N780)</f>
        <v/>
      </c>
      <c r="H3104" s="10" t="str">
        <f aca="false">IF($L3104="","",IF($L3104="@成本",购销流水!$U780,IF($L3104="@收入",购销流水!$T780,IF($L3104="@存货",购销流水!$S780,IF($L3104="@结算",购销流水!$R780,$L3104)))))</f>
        <v/>
      </c>
      <c r="I3104" s="42" t="n">
        <f aca="false">IF($M3104="借",$O3104,0)</f>
        <v>0</v>
      </c>
      <c r="J3104" s="42" t="n">
        <f aca="false">IF($M3104="贷",$O3104,0)</f>
        <v>0</v>
      </c>
      <c r="K3104" s="48" t="str">
        <f aca="false">IF($H3104="","",购销流水!$E780)</f>
        <v/>
      </c>
      <c r="L3104" s="66" t="str">
        <f aca="false">IF(购销流水!$D780="","",IFERROR(INDEX(记账规则!$A$6:$N$9,MATCH(购销流水!$D780,记账规则!$A$6:$A$9,0),9),""))</f>
        <v/>
      </c>
      <c r="M3104" s="66" t="str">
        <f aca="false">IF($L3104="","",IFERROR(INDEX(记账规则!$A$6:$N$9,MATCH(购销流水!$D780,记账规则!$A$6:$A$9,0),10),""))</f>
        <v/>
      </c>
      <c r="N3104" s="66" t="str">
        <f aca="false">IF($L3104="","",IFERROR(INDEX(记账规则!$A$6:$N$9,MATCH(购销流水!$D780,记账规则!$A$6:$A$9,0),11),""))</f>
        <v/>
      </c>
      <c r="O3104" s="67" t="n">
        <f aca="false">IF($H3104="",0,ROUND(IF($N3104="成本金额",N(购销流水!$W780),IF($N3104="金额",N(购销流水!$Q780),0)),2))</f>
        <v>0</v>
      </c>
      <c r="P3104" s="64" t="str">
        <f aca="false">IF(AND($H3104&lt;&gt;"",ROUND($O3104,2)&lt;&gt;0),"有","")</f>
        <v/>
      </c>
    </row>
    <row r="3105" customFormat="false" ht="15" hidden="true" customHeight="false" outlineLevel="0" collapsed="false">
      <c r="A3105" s="53" t="str">
        <f aca="false">IF($H3105="","",ROW()-5)</f>
        <v/>
      </c>
      <c r="B3105" s="64" t="s">
        <v>36</v>
      </c>
      <c r="C3105" s="53" t="n">
        <v>780</v>
      </c>
      <c r="D3105" s="53" t="n">
        <v>4</v>
      </c>
      <c r="E3105" s="65" t="str">
        <f aca="false">IF($H3105="","",购销流水!$B780)</f>
        <v/>
      </c>
      <c r="F3105" s="55" t="str">
        <f aca="false">IF($H3105="","",购销流水!$C780)</f>
        <v/>
      </c>
      <c r="G3105" s="48" t="str">
        <f aca="false">IF($H3105="","",购销流水!$N780)</f>
        <v/>
      </c>
      <c r="H3105" s="10" t="str">
        <f aca="false">IF($L3105="","",IF($L3105="@成本",购销流水!$U780,IF($L3105="@收入",购销流水!$T780,IF($L3105="@存货",购销流水!$S780,IF($L3105="@结算",购销流水!$R780,$L3105)))))</f>
        <v/>
      </c>
      <c r="I3105" s="42" t="n">
        <f aca="false">IF($M3105="借",$O3105,0)</f>
        <v>0</v>
      </c>
      <c r="J3105" s="42" t="n">
        <f aca="false">IF($M3105="贷",$O3105,0)</f>
        <v>0</v>
      </c>
      <c r="K3105" s="48" t="str">
        <f aca="false">IF($H3105="","",购销流水!$E780)</f>
        <v/>
      </c>
      <c r="L3105" s="66" t="str">
        <f aca="false">IF(购销流水!$D780="","",IFERROR(INDEX(记账规则!$A$6:$N$9,MATCH(购销流水!$D780,记账规则!$A$6:$A$9,0),12),""))</f>
        <v/>
      </c>
      <c r="M3105" s="66" t="str">
        <f aca="false">IF($L3105="","",IFERROR(INDEX(记账规则!$A$6:$N$9,MATCH(购销流水!$D780,记账规则!$A$6:$A$9,0),13),""))</f>
        <v/>
      </c>
      <c r="N3105" s="66" t="str">
        <f aca="false">IF($L3105="","",IFERROR(INDEX(记账规则!$A$6:$N$9,MATCH(购销流水!$D780,记账规则!$A$6:$A$9,0),14),""))</f>
        <v/>
      </c>
      <c r="O3105" s="67" t="n">
        <f aca="false">IF($H3105="",0,ROUND(IF($N3105="成本金额",N(购销流水!$W780),IF($N3105="金额",N(购销流水!$Q780),0)),2))</f>
        <v>0</v>
      </c>
      <c r="P3105" s="64" t="str">
        <f aca="false">IF(AND($H3105&lt;&gt;"",ROUND($O3105,2)&lt;&gt;0),"有","")</f>
        <v/>
      </c>
    </row>
    <row r="3106" customFormat="false" ht="15" hidden="true" customHeight="false" outlineLevel="0" collapsed="false">
      <c r="A3106" s="53" t="str">
        <f aca="false">IF($H3106="","",ROW()-5)</f>
        <v/>
      </c>
      <c r="B3106" s="64" t="s">
        <v>36</v>
      </c>
      <c r="C3106" s="53" t="n">
        <v>781</v>
      </c>
      <c r="D3106" s="53" t="n">
        <v>1</v>
      </c>
      <c r="E3106" s="65" t="str">
        <f aca="false">IF($H3106="","",购销流水!$B781)</f>
        <v/>
      </c>
      <c r="F3106" s="55" t="str">
        <f aca="false">IF($H3106="","",购销流水!$C781)</f>
        <v/>
      </c>
      <c r="G3106" s="48" t="str">
        <f aca="false">IF($H3106="","",购销流水!$N781)</f>
        <v/>
      </c>
      <c r="H3106" s="10" t="str">
        <f aca="false">IF($L3106="","",IF($L3106="@成本",购销流水!$U781,IF($L3106="@收入",购销流水!$T781,IF($L3106="@存货",购销流水!$S781,IF($L3106="@结算",购销流水!$R781,$L3106)))))</f>
        <v/>
      </c>
      <c r="I3106" s="42" t="n">
        <f aca="false">IF($M3106="借",$O3106,0)</f>
        <v>0</v>
      </c>
      <c r="J3106" s="42" t="n">
        <f aca="false">IF($M3106="贷",$O3106,0)</f>
        <v>0</v>
      </c>
      <c r="K3106" s="48" t="str">
        <f aca="false">IF($H3106="","",购销流水!$E781)</f>
        <v/>
      </c>
      <c r="L3106" s="66" t="str">
        <f aca="false">IF(购销流水!$D781="","",IFERROR(INDEX(记账规则!$A$6:$N$9,MATCH(购销流水!$D781,记账规则!$A$6:$A$9,0),3),""))</f>
        <v/>
      </c>
      <c r="M3106" s="66" t="str">
        <f aca="false">IF($L3106="","",IFERROR(INDEX(记账规则!$A$6:$N$9,MATCH(购销流水!$D781,记账规则!$A$6:$A$9,0),4),""))</f>
        <v/>
      </c>
      <c r="N3106" s="66" t="str">
        <f aca="false">IF($L3106="","",IFERROR(INDEX(记账规则!$A$6:$N$9,MATCH(购销流水!$D781,记账规则!$A$6:$A$9,0),5),""))</f>
        <v/>
      </c>
      <c r="O3106" s="67" t="n">
        <f aca="false">IF($H3106="",0,ROUND(IF($N3106="成本金额",N(购销流水!$W781),IF($N3106="金额",N(购销流水!$Q781),0)),2))</f>
        <v>0</v>
      </c>
      <c r="P3106" s="64" t="str">
        <f aca="false">IF(AND($H3106&lt;&gt;"",ROUND($O3106,2)&lt;&gt;0),"有","")</f>
        <v/>
      </c>
    </row>
    <row r="3107" customFormat="false" ht="15" hidden="true" customHeight="false" outlineLevel="0" collapsed="false">
      <c r="A3107" s="53" t="str">
        <f aca="false">IF($H3107="","",ROW()-5)</f>
        <v/>
      </c>
      <c r="B3107" s="64" t="s">
        <v>36</v>
      </c>
      <c r="C3107" s="53" t="n">
        <v>781</v>
      </c>
      <c r="D3107" s="53" t="n">
        <v>2</v>
      </c>
      <c r="E3107" s="65" t="str">
        <f aca="false">IF($H3107="","",购销流水!$B781)</f>
        <v/>
      </c>
      <c r="F3107" s="55" t="str">
        <f aca="false">IF($H3107="","",购销流水!$C781)</f>
        <v/>
      </c>
      <c r="G3107" s="48" t="str">
        <f aca="false">IF($H3107="","",购销流水!$N781)</f>
        <v/>
      </c>
      <c r="H3107" s="10" t="str">
        <f aca="false">IF($L3107="","",IF($L3107="@成本",购销流水!$U781,IF($L3107="@收入",购销流水!$T781,IF($L3107="@存货",购销流水!$S781,IF($L3107="@结算",购销流水!$R781,$L3107)))))</f>
        <v/>
      </c>
      <c r="I3107" s="42" t="n">
        <f aca="false">IF($M3107="借",$O3107,0)</f>
        <v>0</v>
      </c>
      <c r="J3107" s="42" t="n">
        <f aca="false">IF($M3107="贷",$O3107,0)</f>
        <v>0</v>
      </c>
      <c r="K3107" s="48" t="str">
        <f aca="false">IF($H3107="","",购销流水!$E781)</f>
        <v/>
      </c>
      <c r="L3107" s="66" t="str">
        <f aca="false">IF(购销流水!$D781="","",IFERROR(INDEX(记账规则!$A$6:$N$9,MATCH(购销流水!$D781,记账规则!$A$6:$A$9,0),6),""))</f>
        <v/>
      </c>
      <c r="M3107" s="66" t="str">
        <f aca="false">IF($L3107="","",IFERROR(INDEX(记账规则!$A$6:$N$9,MATCH(购销流水!$D781,记账规则!$A$6:$A$9,0),7),""))</f>
        <v/>
      </c>
      <c r="N3107" s="66" t="str">
        <f aca="false">IF($L3107="","",IFERROR(INDEX(记账规则!$A$6:$N$9,MATCH(购销流水!$D781,记账规则!$A$6:$A$9,0),8),""))</f>
        <v/>
      </c>
      <c r="O3107" s="67" t="n">
        <f aca="false">IF($H3107="",0,ROUND(IF($N3107="成本金额",N(购销流水!$W781),IF($N3107="金额",N(购销流水!$Q781),0)),2))</f>
        <v>0</v>
      </c>
      <c r="P3107" s="64" t="str">
        <f aca="false">IF(AND($H3107&lt;&gt;"",ROUND($O3107,2)&lt;&gt;0),"有","")</f>
        <v/>
      </c>
    </row>
    <row r="3108" customFormat="false" ht="15" hidden="true" customHeight="false" outlineLevel="0" collapsed="false">
      <c r="A3108" s="53" t="str">
        <f aca="false">IF($H3108="","",ROW()-5)</f>
        <v/>
      </c>
      <c r="B3108" s="64" t="s">
        <v>36</v>
      </c>
      <c r="C3108" s="53" t="n">
        <v>781</v>
      </c>
      <c r="D3108" s="53" t="n">
        <v>3</v>
      </c>
      <c r="E3108" s="65" t="str">
        <f aca="false">IF($H3108="","",购销流水!$B781)</f>
        <v/>
      </c>
      <c r="F3108" s="55" t="str">
        <f aca="false">IF($H3108="","",购销流水!$C781)</f>
        <v/>
      </c>
      <c r="G3108" s="48" t="str">
        <f aca="false">IF($H3108="","",购销流水!$N781)</f>
        <v/>
      </c>
      <c r="H3108" s="10" t="str">
        <f aca="false">IF($L3108="","",IF($L3108="@成本",购销流水!$U781,IF($L3108="@收入",购销流水!$T781,IF($L3108="@存货",购销流水!$S781,IF($L3108="@结算",购销流水!$R781,$L3108)))))</f>
        <v/>
      </c>
      <c r="I3108" s="42" t="n">
        <f aca="false">IF($M3108="借",$O3108,0)</f>
        <v>0</v>
      </c>
      <c r="J3108" s="42" t="n">
        <f aca="false">IF($M3108="贷",$O3108,0)</f>
        <v>0</v>
      </c>
      <c r="K3108" s="48" t="str">
        <f aca="false">IF($H3108="","",购销流水!$E781)</f>
        <v/>
      </c>
      <c r="L3108" s="66" t="str">
        <f aca="false">IF(购销流水!$D781="","",IFERROR(INDEX(记账规则!$A$6:$N$9,MATCH(购销流水!$D781,记账规则!$A$6:$A$9,0),9),""))</f>
        <v/>
      </c>
      <c r="M3108" s="66" t="str">
        <f aca="false">IF($L3108="","",IFERROR(INDEX(记账规则!$A$6:$N$9,MATCH(购销流水!$D781,记账规则!$A$6:$A$9,0),10),""))</f>
        <v/>
      </c>
      <c r="N3108" s="66" t="str">
        <f aca="false">IF($L3108="","",IFERROR(INDEX(记账规则!$A$6:$N$9,MATCH(购销流水!$D781,记账规则!$A$6:$A$9,0),11),""))</f>
        <v/>
      </c>
      <c r="O3108" s="67" t="n">
        <f aca="false">IF($H3108="",0,ROUND(IF($N3108="成本金额",N(购销流水!$W781),IF($N3108="金额",N(购销流水!$Q781),0)),2))</f>
        <v>0</v>
      </c>
      <c r="P3108" s="64" t="str">
        <f aca="false">IF(AND($H3108&lt;&gt;"",ROUND($O3108,2)&lt;&gt;0),"有","")</f>
        <v/>
      </c>
    </row>
    <row r="3109" customFormat="false" ht="15" hidden="true" customHeight="false" outlineLevel="0" collapsed="false">
      <c r="A3109" s="53" t="str">
        <f aca="false">IF($H3109="","",ROW()-5)</f>
        <v/>
      </c>
      <c r="B3109" s="64" t="s">
        <v>36</v>
      </c>
      <c r="C3109" s="53" t="n">
        <v>781</v>
      </c>
      <c r="D3109" s="53" t="n">
        <v>4</v>
      </c>
      <c r="E3109" s="65" t="str">
        <f aca="false">IF($H3109="","",购销流水!$B781)</f>
        <v/>
      </c>
      <c r="F3109" s="55" t="str">
        <f aca="false">IF($H3109="","",购销流水!$C781)</f>
        <v/>
      </c>
      <c r="G3109" s="48" t="str">
        <f aca="false">IF($H3109="","",购销流水!$N781)</f>
        <v/>
      </c>
      <c r="H3109" s="10" t="str">
        <f aca="false">IF($L3109="","",IF($L3109="@成本",购销流水!$U781,IF($L3109="@收入",购销流水!$T781,IF($L3109="@存货",购销流水!$S781,IF($L3109="@结算",购销流水!$R781,$L3109)))))</f>
        <v/>
      </c>
      <c r="I3109" s="42" t="n">
        <f aca="false">IF($M3109="借",$O3109,0)</f>
        <v>0</v>
      </c>
      <c r="J3109" s="42" t="n">
        <f aca="false">IF($M3109="贷",$O3109,0)</f>
        <v>0</v>
      </c>
      <c r="K3109" s="48" t="str">
        <f aca="false">IF($H3109="","",购销流水!$E781)</f>
        <v/>
      </c>
      <c r="L3109" s="66" t="str">
        <f aca="false">IF(购销流水!$D781="","",IFERROR(INDEX(记账规则!$A$6:$N$9,MATCH(购销流水!$D781,记账规则!$A$6:$A$9,0),12),""))</f>
        <v/>
      </c>
      <c r="M3109" s="66" t="str">
        <f aca="false">IF($L3109="","",IFERROR(INDEX(记账规则!$A$6:$N$9,MATCH(购销流水!$D781,记账规则!$A$6:$A$9,0),13),""))</f>
        <v/>
      </c>
      <c r="N3109" s="66" t="str">
        <f aca="false">IF($L3109="","",IFERROR(INDEX(记账规则!$A$6:$N$9,MATCH(购销流水!$D781,记账规则!$A$6:$A$9,0),14),""))</f>
        <v/>
      </c>
      <c r="O3109" s="67" t="n">
        <f aca="false">IF($H3109="",0,ROUND(IF($N3109="成本金额",N(购销流水!$W781),IF($N3109="金额",N(购销流水!$Q781),0)),2))</f>
        <v>0</v>
      </c>
      <c r="P3109" s="64" t="str">
        <f aca="false">IF(AND($H3109&lt;&gt;"",ROUND($O3109,2)&lt;&gt;0),"有","")</f>
        <v/>
      </c>
    </row>
    <row r="3110" customFormat="false" ht="15" hidden="true" customHeight="false" outlineLevel="0" collapsed="false">
      <c r="A3110" s="53" t="str">
        <f aca="false">IF($H3110="","",ROW()-5)</f>
        <v/>
      </c>
      <c r="B3110" s="64" t="s">
        <v>36</v>
      </c>
      <c r="C3110" s="53" t="n">
        <v>782</v>
      </c>
      <c r="D3110" s="53" t="n">
        <v>1</v>
      </c>
      <c r="E3110" s="65" t="str">
        <f aca="false">IF($H3110="","",购销流水!$B782)</f>
        <v/>
      </c>
      <c r="F3110" s="55" t="str">
        <f aca="false">IF($H3110="","",购销流水!$C782)</f>
        <v/>
      </c>
      <c r="G3110" s="48" t="str">
        <f aca="false">IF($H3110="","",购销流水!$N782)</f>
        <v/>
      </c>
      <c r="H3110" s="10" t="str">
        <f aca="false">IF($L3110="","",IF($L3110="@成本",购销流水!$U782,IF($L3110="@收入",购销流水!$T782,IF($L3110="@存货",购销流水!$S782,IF($L3110="@结算",购销流水!$R782,$L3110)))))</f>
        <v/>
      </c>
      <c r="I3110" s="42" t="n">
        <f aca="false">IF($M3110="借",$O3110,0)</f>
        <v>0</v>
      </c>
      <c r="J3110" s="42" t="n">
        <f aca="false">IF($M3110="贷",$O3110,0)</f>
        <v>0</v>
      </c>
      <c r="K3110" s="48" t="str">
        <f aca="false">IF($H3110="","",购销流水!$E782)</f>
        <v/>
      </c>
      <c r="L3110" s="66" t="str">
        <f aca="false">IF(购销流水!$D782="","",IFERROR(INDEX(记账规则!$A$6:$N$9,MATCH(购销流水!$D782,记账规则!$A$6:$A$9,0),3),""))</f>
        <v/>
      </c>
      <c r="M3110" s="66" t="str">
        <f aca="false">IF($L3110="","",IFERROR(INDEX(记账规则!$A$6:$N$9,MATCH(购销流水!$D782,记账规则!$A$6:$A$9,0),4),""))</f>
        <v/>
      </c>
      <c r="N3110" s="66" t="str">
        <f aca="false">IF($L3110="","",IFERROR(INDEX(记账规则!$A$6:$N$9,MATCH(购销流水!$D782,记账规则!$A$6:$A$9,0),5),""))</f>
        <v/>
      </c>
      <c r="O3110" s="67" t="n">
        <f aca="false">IF($H3110="",0,ROUND(IF($N3110="成本金额",N(购销流水!$W782),IF($N3110="金额",N(购销流水!$Q782),0)),2))</f>
        <v>0</v>
      </c>
      <c r="P3110" s="64" t="str">
        <f aca="false">IF(AND($H3110&lt;&gt;"",ROUND($O3110,2)&lt;&gt;0),"有","")</f>
        <v/>
      </c>
    </row>
    <row r="3111" customFormat="false" ht="15" hidden="true" customHeight="false" outlineLevel="0" collapsed="false">
      <c r="A3111" s="53" t="str">
        <f aca="false">IF($H3111="","",ROW()-5)</f>
        <v/>
      </c>
      <c r="B3111" s="64" t="s">
        <v>36</v>
      </c>
      <c r="C3111" s="53" t="n">
        <v>782</v>
      </c>
      <c r="D3111" s="53" t="n">
        <v>2</v>
      </c>
      <c r="E3111" s="65" t="str">
        <f aca="false">IF($H3111="","",购销流水!$B782)</f>
        <v/>
      </c>
      <c r="F3111" s="55" t="str">
        <f aca="false">IF($H3111="","",购销流水!$C782)</f>
        <v/>
      </c>
      <c r="G3111" s="48" t="str">
        <f aca="false">IF($H3111="","",购销流水!$N782)</f>
        <v/>
      </c>
      <c r="H3111" s="10" t="str">
        <f aca="false">IF($L3111="","",IF($L3111="@成本",购销流水!$U782,IF($L3111="@收入",购销流水!$T782,IF($L3111="@存货",购销流水!$S782,IF($L3111="@结算",购销流水!$R782,$L3111)))))</f>
        <v/>
      </c>
      <c r="I3111" s="42" t="n">
        <f aca="false">IF($M3111="借",$O3111,0)</f>
        <v>0</v>
      </c>
      <c r="J3111" s="42" t="n">
        <f aca="false">IF($M3111="贷",$O3111,0)</f>
        <v>0</v>
      </c>
      <c r="K3111" s="48" t="str">
        <f aca="false">IF($H3111="","",购销流水!$E782)</f>
        <v/>
      </c>
      <c r="L3111" s="66" t="str">
        <f aca="false">IF(购销流水!$D782="","",IFERROR(INDEX(记账规则!$A$6:$N$9,MATCH(购销流水!$D782,记账规则!$A$6:$A$9,0),6),""))</f>
        <v/>
      </c>
      <c r="M3111" s="66" t="str">
        <f aca="false">IF($L3111="","",IFERROR(INDEX(记账规则!$A$6:$N$9,MATCH(购销流水!$D782,记账规则!$A$6:$A$9,0),7),""))</f>
        <v/>
      </c>
      <c r="N3111" s="66" t="str">
        <f aca="false">IF($L3111="","",IFERROR(INDEX(记账规则!$A$6:$N$9,MATCH(购销流水!$D782,记账规则!$A$6:$A$9,0),8),""))</f>
        <v/>
      </c>
      <c r="O3111" s="67" t="n">
        <f aca="false">IF($H3111="",0,ROUND(IF($N3111="成本金额",N(购销流水!$W782),IF($N3111="金额",N(购销流水!$Q782),0)),2))</f>
        <v>0</v>
      </c>
      <c r="P3111" s="64" t="str">
        <f aca="false">IF(AND($H3111&lt;&gt;"",ROUND($O3111,2)&lt;&gt;0),"有","")</f>
        <v/>
      </c>
    </row>
    <row r="3112" customFormat="false" ht="15" hidden="true" customHeight="false" outlineLevel="0" collapsed="false">
      <c r="A3112" s="53" t="str">
        <f aca="false">IF($H3112="","",ROW()-5)</f>
        <v/>
      </c>
      <c r="B3112" s="64" t="s">
        <v>36</v>
      </c>
      <c r="C3112" s="53" t="n">
        <v>782</v>
      </c>
      <c r="D3112" s="53" t="n">
        <v>3</v>
      </c>
      <c r="E3112" s="65" t="str">
        <f aca="false">IF($H3112="","",购销流水!$B782)</f>
        <v/>
      </c>
      <c r="F3112" s="55" t="str">
        <f aca="false">IF($H3112="","",购销流水!$C782)</f>
        <v/>
      </c>
      <c r="G3112" s="48" t="str">
        <f aca="false">IF($H3112="","",购销流水!$N782)</f>
        <v/>
      </c>
      <c r="H3112" s="10" t="str">
        <f aca="false">IF($L3112="","",IF($L3112="@成本",购销流水!$U782,IF($L3112="@收入",购销流水!$T782,IF($L3112="@存货",购销流水!$S782,IF($L3112="@结算",购销流水!$R782,$L3112)))))</f>
        <v/>
      </c>
      <c r="I3112" s="42" t="n">
        <f aca="false">IF($M3112="借",$O3112,0)</f>
        <v>0</v>
      </c>
      <c r="J3112" s="42" t="n">
        <f aca="false">IF($M3112="贷",$O3112,0)</f>
        <v>0</v>
      </c>
      <c r="K3112" s="48" t="str">
        <f aca="false">IF($H3112="","",购销流水!$E782)</f>
        <v/>
      </c>
      <c r="L3112" s="66" t="str">
        <f aca="false">IF(购销流水!$D782="","",IFERROR(INDEX(记账规则!$A$6:$N$9,MATCH(购销流水!$D782,记账规则!$A$6:$A$9,0),9),""))</f>
        <v/>
      </c>
      <c r="M3112" s="66" t="str">
        <f aca="false">IF($L3112="","",IFERROR(INDEX(记账规则!$A$6:$N$9,MATCH(购销流水!$D782,记账规则!$A$6:$A$9,0),10),""))</f>
        <v/>
      </c>
      <c r="N3112" s="66" t="str">
        <f aca="false">IF($L3112="","",IFERROR(INDEX(记账规则!$A$6:$N$9,MATCH(购销流水!$D782,记账规则!$A$6:$A$9,0),11),""))</f>
        <v/>
      </c>
      <c r="O3112" s="67" t="n">
        <f aca="false">IF($H3112="",0,ROUND(IF($N3112="成本金额",N(购销流水!$W782),IF($N3112="金额",N(购销流水!$Q782),0)),2))</f>
        <v>0</v>
      </c>
      <c r="P3112" s="64" t="str">
        <f aca="false">IF(AND($H3112&lt;&gt;"",ROUND($O3112,2)&lt;&gt;0),"有","")</f>
        <v/>
      </c>
    </row>
    <row r="3113" customFormat="false" ht="15" hidden="true" customHeight="false" outlineLevel="0" collapsed="false">
      <c r="A3113" s="53" t="str">
        <f aca="false">IF($H3113="","",ROW()-5)</f>
        <v/>
      </c>
      <c r="B3113" s="64" t="s">
        <v>36</v>
      </c>
      <c r="C3113" s="53" t="n">
        <v>782</v>
      </c>
      <c r="D3113" s="53" t="n">
        <v>4</v>
      </c>
      <c r="E3113" s="65" t="str">
        <f aca="false">IF($H3113="","",购销流水!$B782)</f>
        <v/>
      </c>
      <c r="F3113" s="55" t="str">
        <f aca="false">IF($H3113="","",购销流水!$C782)</f>
        <v/>
      </c>
      <c r="G3113" s="48" t="str">
        <f aca="false">IF($H3113="","",购销流水!$N782)</f>
        <v/>
      </c>
      <c r="H3113" s="10" t="str">
        <f aca="false">IF($L3113="","",IF($L3113="@成本",购销流水!$U782,IF($L3113="@收入",购销流水!$T782,IF($L3113="@存货",购销流水!$S782,IF($L3113="@结算",购销流水!$R782,$L3113)))))</f>
        <v/>
      </c>
      <c r="I3113" s="42" t="n">
        <f aca="false">IF($M3113="借",$O3113,0)</f>
        <v>0</v>
      </c>
      <c r="J3113" s="42" t="n">
        <f aca="false">IF($M3113="贷",$O3113,0)</f>
        <v>0</v>
      </c>
      <c r="K3113" s="48" t="str">
        <f aca="false">IF($H3113="","",购销流水!$E782)</f>
        <v/>
      </c>
      <c r="L3113" s="66" t="str">
        <f aca="false">IF(购销流水!$D782="","",IFERROR(INDEX(记账规则!$A$6:$N$9,MATCH(购销流水!$D782,记账规则!$A$6:$A$9,0),12),""))</f>
        <v/>
      </c>
      <c r="M3113" s="66" t="str">
        <f aca="false">IF($L3113="","",IFERROR(INDEX(记账规则!$A$6:$N$9,MATCH(购销流水!$D782,记账规则!$A$6:$A$9,0),13),""))</f>
        <v/>
      </c>
      <c r="N3113" s="66" t="str">
        <f aca="false">IF($L3113="","",IFERROR(INDEX(记账规则!$A$6:$N$9,MATCH(购销流水!$D782,记账规则!$A$6:$A$9,0),14),""))</f>
        <v/>
      </c>
      <c r="O3113" s="67" t="n">
        <f aca="false">IF($H3113="",0,ROUND(IF($N3113="成本金额",N(购销流水!$W782),IF($N3113="金额",N(购销流水!$Q782),0)),2))</f>
        <v>0</v>
      </c>
      <c r="P3113" s="64" t="str">
        <f aca="false">IF(AND($H3113&lt;&gt;"",ROUND($O3113,2)&lt;&gt;0),"有","")</f>
        <v/>
      </c>
    </row>
    <row r="3114" customFormat="false" ht="15" hidden="true" customHeight="false" outlineLevel="0" collapsed="false">
      <c r="A3114" s="53" t="str">
        <f aca="false">IF($H3114="","",ROW()-5)</f>
        <v/>
      </c>
      <c r="B3114" s="64" t="s">
        <v>36</v>
      </c>
      <c r="C3114" s="53" t="n">
        <v>783</v>
      </c>
      <c r="D3114" s="53" t="n">
        <v>1</v>
      </c>
      <c r="E3114" s="65" t="str">
        <f aca="false">IF($H3114="","",购销流水!$B783)</f>
        <v/>
      </c>
      <c r="F3114" s="55" t="str">
        <f aca="false">IF($H3114="","",购销流水!$C783)</f>
        <v/>
      </c>
      <c r="G3114" s="48" t="str">
        <f aca="false">IF($H3114="","",购销流水!$N783)</f>
        <v/>
      </c>
      <c r="H3114" s="10" t="str">
        <f aca="false">IF($L3114="","",IF($L3114="@成本",购销流水!$U783,IF($L3114="@收入",购销流水!$T783,IF($L3114="@存货",购销流水!$S783,IF($L3114="@结算",购销流水!$R783,$L3114)))))</f>
        <v/>
      </c>
      <c r="I3114" s="42" t="n">
        <f aca="false">IF($M3114="借",$O3114,0)</f>
        <v>0</v>
      </c>
      <c r="J3114" s="42" t="n">
        <f aca="false">IF($M3114="贷",$O3114,0)</f>
        <v>0</v>
      </c>
      <c r="K3114" s="48" t="str">
        <f aca="false">IF($H3114="","",购销流水!$E783)</f>
        <v/>
      </c>
      <c r="L3114" s="66" t="str">
        <f aca="false">IF(购销流水!$D783="","",IFERROR(INDEX(记账规则!$A$6:$N$9,MATCH(购销流水!$D783,记账规则!$A$6:$A$9,0),3),""))</f>
        <v/>
      </c>
      <c r="M3114" s="66" t="str">
        <f aca="false">IF($L3114="","",IFERROR(INDEX(记账规则!$A$6:$N$9,MATCH(购销流水!$D783,记账规则!$A$6:$A$9,0),4),""))</f>
        <v/>
      </c>
      <c r="N3114" s="66" t="str">
        <f aca="false">IF($L3114="","",IFERROR(INDEX(记账规则!$A$6:$N$9,MATCH(购销流水!$D783,记账规则!$A$6:$A$9,0),5),""))</f>
        <v/>
      </c>
      <c r="O3114" s="67" t="n">
        <f aca="false">IF($H3114="",0,ROUND(IF($N3114="成本金额",N(购销流水!$W783),IF($N3114="金额",N(购销流水!$Q783),0)),2))</f>
        <v>0</v>
      </c>
      <c r="P3114" s="64" t="str">
        <f aca="false">IF(AND($H3114&lt;&gt;"",ROUND($O3114,2)&lt;&gt;0),"有","")</f>
        <v/>
      </c>
    </row>
    <row r="3115" customFormat="false" ht="15" hidden="true" customHeight="false" outlineLevel="0" collapsed="false">
      <c r="A3115" s="53" t="str">
        <f aca="false">IF($H3115="","",ROW()-5)</f>
        <v/>
      </c>
      <c r="B3115" s="64" t="s">
        <v>36</v>
      </c>
      <c r="C3115" s="53" t="n">
        <v>783</v>
      </c>
      <c r="D3115" s="53" t="n">
        <v>2</v>
      </c>
      <c r="E3115" s="65" t="str">
        <f aca="false">IF($H3115="","",购销流水!$B783)</f>
        <v/>
      </c>
      <c r="F3115" s="55" t="str">
        <f aca="false">IF($H3115="","",购销流水!$C783)</f>
        <v/>
      </c>
      <c r="G3115" s="48" t="str">
        <f aca="false">IF($H3115="","",购销流水!$N783)</f>
        <v/>
      </c>
      <c r="H3115" s="10" t="str">
        <f aca="false">IF($L3115="","",IF($L3115="@成本",购销流水!$U783,IF($L3115="@收入",购销流水!$T783,IF($L3115="@存货",购销流水!$S783,IF($L3115="@结算",购销流水!$R783,$L3115)))))</f>
        <v/>
      </c>
      <c r="I3115" s="42" t="n">
        <f aca="false">IF($M3115="借",$O3115,0)</f>
        <v>0</v>
      </c>
      <c r="J3115" s="42" t="n">
        <f aca="false">IF($M3115="贷",$O3115,0)</f>
        <v>0</v>
      </c>
      <c r="K3115" s="48" t="str">
        <f aca="false">IF($H3115="","",购销流水!$E783)</f>
        <v/>
      </c>
      <c r="L3115" s="66" t="str">
        <f aca="false">IF(购销流水!$D783="","",IFERROR(INDEX(记账规则!$A$6:$N$9,MATCH(购销流水!$D783,记账规则!$A$6:$A$9,0),6),""))</f>
        <v/>
      </c>
      <c r="M3115" s="66" t="str">
        <f aca="false">IF($L3115="","",IFERROR(INDEX(记账规则!$A$6:$N$9,MATCH(购销流水!$D783,记账规则!$A$6:$A$9,0),7),""))</f>
        <v/>
      </c>
      <c r="N3115" s="66" t="str">
        <f aca="false">IF($L3115="","",IFERROR(INDEX(记账规则!$A$6:$N$9,MATCH(购销流水!$D783,记账规则!$A$6:$A$9,0),8),""))</f>
        <v/>
      </c>
      <c r="O3115" s="67" t="n">
        <f aca="false">IF($H3115="",0,ROUND(IF($N3115="成本金额",N(购销流水!$W783),IF($N3115="金额",N(购销流水!$Q783),0)),2))</f>
        <v>0</v>
      </c>
      <c r="P3115" s="64" t="str">
        <f aca="false">IF(AND($H3115&lt;&gt;"",ROUND($O3115,2)&lt;&gt;0),"有","")</f>
        <v/>
      </c>
    </row>
    <row r="3116" customFormat="false" ht="15" hidden="true" customHeight="false" outlineLevel="0" collapsed="false">
      <c r="A3116" s="53" t="str">
        <f aca="false">IF($H3116="","",ROW()-5)</f>
        <v/>
      </c>
      <c r="B3116" s="64" t="s">
        <v>36</v>
      </c>
      <c r="C3116" s="53" t="n">
        <v>783</v>
      </c>
      <c r="D3116" s="53" t="n">
        <v>3</v>
      </c>
      <c r="E3116" s="65" t="str">
        <f aca="false">IF($H3116="","",购销流水!$B783)</f>
        <v/>
      </c>
      <c r="F3116" s="55" t="str">
        <f aca="false">IF($H3116="","",购销流水!$C783)</f>
        <v/>
      </c>
      <c r="G3116" s="48" t="str">
        <f aca="false">IF($H3116="","",购销流水!$N783)</f>
        <v/>
      </c>
      <c r="H3116" s="10" t="str">
        <f aca="false">IF($L3116="","",IF($L3116="@成本",购销流水!$U783,IF($L3116="@收入",购销流水!$T783,IF($L3116="@存货",购销流水!$S783,IF($L3116="@结算",购销流水!$R783,$L3116)))))</f>
        <v/>
      </c>
      <c r="I3116" s="42" t="n">
        <f aca="false">IF($M3116="借",$O3116,0)</f>
        <v>0</v>
      </c>
      <c r="J3116" s="42" t="n">
        <f aca="false">IF($M3116="贷",$O3116,0)</f>
        <v>0</v>
      </c>
      <c r="K3116" s="48" t="str">
        <f aca="false">IF($H3116="","",购销流水!$E783)</f>
        <v/>
      </c>
      <c r="L3116" s="66" t="str">
        <f aca="false">IF(购销流水!$D783="","",IFERROR(INDEX(记账规则!$A$6:$N$9,MATCH(购销流水!$D783,记账规则!$A$6:$A$9,0),9),""))</f>
        <v/>
      </c>
      <c r="M3116" s="66" t="str">
        <f aca="false">IF($L3116="","",IFERROR(INDEX(记账规则!$A$6:$N$9,MATCH(购销流水!$D783,记账规则!$A$6:$A$9,0),10),""))</f>
        <v/>
      </c>
      <c r="N3116" s="66" t="str">
        <f aca="false">IF($L3116="","",IFERROR(INDEX(记账规则!$A$6:$N$9,MATCH(购销流水!$D783,记账规则!$A$6:$A$9,0),11),""))</f>
        <v/>
      </c>
      <c r="O3116" s="67" t="n">
        <f aca="false">IF($H3116="",0,ROUND(IF($N3116="成本金额",N(购销流水!$W783),IF($N3116="金额",N(购销流水!$Q783),0)),2))</f>
        <v>0</v>
      </c>
      <c r="P3116" s="64" t="str">
        <f aca="false">IF(AND($H3116&lt;&gt;"",ROUND($O3116,2)&lt;&gt;0),"有","")</f>
        <v/>
      </c>
    </row>
    <row r="3117" customFormat="false" ht="15" hidden="true" customHeight="false" outlineLevel="0" collapsed="false">
      <c r="A3117" s="53" t="str">
        <f aca="false">IF($H3117="","",ROW()-5)</f>
        <v/>
      </c>
      <c r="B3117" s="64" t="s">
        <v>36</v>
      </c>
      <c r="C3117" s="53" t="n">
        <v>783</v>
      </c>
      <c r="D3117" s="53" t="n">
        <v>4</v>
      </c>
      <c r="E3117" s="65" t="str">
        <f aca="false">IF($H3117="","",购销流水!$B783)</f>
        <v/>
      </c>
      <c r="F3117" s="55" t="str">
        <f aca="false">IF($H3117="","",购销流水!$C783)</f>
        <v/>
      </c>
      <c r="G3117" s="48" t="str">
        <f aca="false">IF($H3117="","",购销流水!$N783)</f>
        <v/>
      </c>
      <c r="H3117" s="10" t="str">
        <f aca="false">IF($L3117="","",IF($L3117="@成本",购销流水!$U783,IF($L3117="@收入",购销流水!$T783,IF($L3117="@存货",购销流水!$S783,IF($L3117="@结算",购销流水!$R783,$L3117)))))</f>
        <v/>
      </c>
      <c r="I3117" s="42" t="n">
        <f aca="false">IF($M3117="借",$O3117,0)</f>
        <v>0</v>
      </c>
      <c r="J3117" s="42" t="n">
        <f aca="false">IF($M3117="贷",$O3117,0)</f>
        <v>0</v>
      </c>
      <c r="K3117" s="48" t="str">
        <f aca="false">IF($H3117="","",购销流水!$E783)</f>
        <v/>
      </c>
      <c r="L3117" s="66" t="str">
        <f aca="false">IF(购销流水!$D783="","",IFERROR(INDEX(记账规则!$A$6:$N$9,MATCH(购销流水!$D783,记账规则!$A$6:$A$9,0),12),""))</f>
        <v/>
      </c>
      <c r="M3117" s="66" t="str">
        <f aca="false">IF($L3117="","",IFERROR(INDEX(记账规则!$A$6:$N$9,MATCH(购销流水!$D783,记账规则!$A$6:$A$9,0),13),""))</f>
        <v/>
      </c>
      <c r="N3117" s="66" t="str">
        <f aca="false">IF($L3117="","",IFERROR(INDEX(记账规则!$A$6:$N$9,MATCH(购销流水!$D783,记账规则!$A$6:$A$9,0),14),""))</f>
        <v/>
      </c>
      <c r="O3117" s="67" t="n">
        <f aca="false">IF($H3117="",0,ROUND(IF($N3117="成本金额",N(购销流水!$W783),IF($N3117="金额",N(购销流水!$Q783),0)),2))</f>
        <v>0</v>
      </c>
      <c r="P3117" s="64" t="str">
        <f aca="false">IF(AND($H3117&lt;&gt;"",ROUND($O3117,2)&lt;&gt;0),"有","")</f>
        <v/>
      </c>
    </row>
    <row r="3118" customFormat="false" ht="15" hidden="true" customHeight="false" outlineLevel="0" collapsed="false">
      <c r="A3118" s="53" t="str">
        <f aca="false">IF($H3118="","",ROW()-5)</f>
        <v/>
      </c>
      <c r="B3118" s="64" t="s">
        <v>36</v>
      </c>
      <c r="C3118" s="53" t="n">
        <v>784</v>
      </c>
      <c r="D3118" s="53" t="n">
        <v>1</v>
      </c>
      <c r="E3118" s="65" t="str">
        <f aca="false">IF($H3118="","",购销流水!$B784)</f>
        <v/>
      </c>
      <c r="F3118" s="55" t="str">
        <f aca="false">IF($H3118="","",购销流水!$C784)</f>
        <v/>
      </c>
      <c r="G3118" s="48" t="str">
        <f aca="false">IF($H3118="","",购销流水!$N784)</f>
        <v/>
      </c>
      <c r="H3118" s="10" t="str">
        <f aca="false">IF($L3118="","",IF($L3118="@成本",购销流水!$U784,IF($L3118="@收入",购销流水!$T784,IF($L3118="@存货",购销流水!$S784,IF($L3118="@结算",购销流水!$R784,$L3118)))))</f>
        <v/>
      </c>
      <c r="I3118" s="42" t="n">
        <f aca="false">IF($M3118="借",$O3118,0)</f>
        <v>0</v>
      </c>
      <c r="J3118" s="42" t="n">
        <f aca="false">IF($M3118="贷",$O3118,0)</f>
        <v>0</v>
      </c>
      <c r="K3118" s="48" t="str">
        <f aca="false">IF($H3118="","",购销流水!$E784)</f>
        <v/>
      </c>
      <c r="L3118" s="66" t="str">
        <f aca="false">IF(购销流水!$D784="","",IFERROR(INDEX(记账规则!$A$6:$N$9,MATCH(购销流水!$D784,记账规则!$A$6:$A$9,0),3),""))</f>
        <v/>
      </c>
      <c r="M3118" s="66" t="str">
        <f aca="false">IF($L3118="","",IFERROR(INDEX(记账规则!$A$6:$N$9,MATCH(购销流水!$D784,记账规则!$A$6:$A$9,0),4),""))</f>
        <v/>
      </c>
      <c r="N3118" s="66" t="str">
        <f aca="false">IF($L3118="","",IFERROR(INDEX(记账规则!$A$6:$N$9,MATCH(购销流水!$D784,记账规则!$A$6:$A$9,0),5),""))</f>
        <v/>
      </c>
      <c r="O3118" s="67" t="n">
        <f aca="false">IF($H3118="",0,ROUND(IF($N3118="成本金额",N(购销流水!$W784),IF($N3118="金额",N(购销流水!$Q784),0)),2))</f>
        <v>0</v>
      </c>
      <c r="P3118" s="64" t="str">
        <f aca="false">IF(AND($H3118&lt;&gt;"",ROUND($O3118,2)&lt;&gt;0),"有","")</f>
        <v/>
      </c>
    </row>
    <row r="3119" customFormat="false" ht="15" hidden="true" customHeight="false" outlineLevel="0" collapsed="false">
      <c r="A3119" s="53" t="str">
        <f aca="false">IF($H3119="","",ROW()-5)</f>
        <v/>
      </c>
      <c r="B3119" s="64" t="s">
        <v>36</v>
      </c>
      <c r="C3119" s="53" t="n">
        <v>784</v>
      </c>
      <c r="D3119" s="53" t="n">
        <v>2</v>
      </c>
      <c r="E3119" s="65" t="str">
        <f aca="false">IF($H3119="","",购销流水!$B784)</f>
        <v/>
      </c>
      <c r="F3119" s="55" t="str">
        <f aca="false">IF($H3119="","",购销流水!$C784)</f>
        <v/>
      </c>
      <c r="G3119" s="48" t="str">
        <f aca="false">IF($H3119="","",购销流水!$N784)</f>
        <v/>
      </c>
      <c r="H3119" s="10" t="str">
        <f aca="false">IF($L3119="","",IF($L3119="@成本",购销流水!$U784,IF($L3119="@收入",购销流水!$T784,IF($L3119="@存货",购销流水!$S784,IF($L3119="@结算",购销流水!$R784,$L3119)))))</f>
        <v/>
      </c>
      <c r="I3119" s="42" t="n">
        <f aca="false">IF($M3119="借",$O3119,0)</f>
        <v>0</v>
      </c>
      <c r="J3119" s="42" t="n">
        <f aca="false">IF($M3119="贷",$O3119,0)</f>
        <v>0</v>
      </c>
      <c r="K3119" s="48" t="str">
        <f aca="false">IF($H3119="","",购销流水!$E784)</f>
        <v/>
      </c>
      <c r="L3119" s="66" t="str">
        <f aca="false">IF(购销流水!$D784="","",IFERROR(INDEX(记账规则!$A$6:$N$9,MATCH(购销流水!$D784,记账规则!$A$6:$A$9,0),6),""))</f>
        <v/>
      </c>
      <c r="M3119" s="66" t="str">
        <f aca="false">IF($L3119="","",IFERROR(INDEX(记账规则!$A$6:$N$9,MATCH(购销流水!$D784,记账规则!$A$6:$A$9,0),7),""))</f>
        <v/>
      </c>
      <c r="N3119" s="66" t="str">
        <f aca="false">IF($L3119="","",IFERROR(INDEX(记账规则!$A$6:$N$9,MATCH(购销流水!$D784,记账规则!$A$6:$A$9,0),8),""))</f>
        <v/>
      </c>
      <c r="O3119" s="67" t="n">
        <f aca="false">IF($H3119="",0,ROUND(IF($N3119="成本金额",N(购销流水!$W784),IF($N3119="金额",N(购销流水!$Q784),0)),2))</f>
        <v>0</v>
      </c>
      <c r="P3119" s="64" t="str">
        <f aca="false">IF(AND($H3119&lt;&gt;"",ROUND($O3119,2)&lt;&gt;0),"有","")</f>
        <v/>
      </c>
    </row>
    <row r="3120" customFormat="false" ht="15" hidden="true" customHeight="false" outlineLevel="0" collapsed="false">
      <c r="A3120" s="53" t="str">
        <f aca="false">IF($H3120="","",ROW()-5)</f>
        <v/>
      </c>
      <c r="B3120" s="64" t="s">
        <v>36</v>
      </c>
      <c r="C3120" s="53" t="n">
        <v>784</v>
      </c>
      <c r="D3120" s="53" t="n">
        <v>3</v>
      </c>
      <c r="E3120" s="65" t="str">
        <f aca="false">IF($H3120="","",购销流水!$B784)</f>
        <v/>
      </c>
      <c r="F3120" s="55" t="str">
        <f aca="false">IF($H3120="","",购销流水!$C784)</f>
        <v/>
      </c>
      <c r="G3120" s="48" t="str">
        <f aca="false">IF($H3120="","",购销流水!$N784)</f>
        <v/>
      </c>
      <c r="H3120" s="10" t="str">
        <f aca="false">IF($L3120="","",IF($L3120="@成本",购销流水!$U784,IF($L3120="@收入",购销流水!$T784,IF($L3120="@存货",购销流水!$S784,IF($L3120="@结算",购销流水!$R784,$L3120)))))</f>
        <v/>
      </c>
      <c r="I3120" s="42" t="n">
        <f aca="false">IF($M3120="借",$O3120,0)</f>
        <v>0</v>
      </c>
      <c r="J3120" s="42" t="n">
        <f aca="false">IF($M3120="贷",$O3120,0)</f>
        <v>0</v>
      </c>
      <c r="K3120" s="48" t="str">
        <f aca="false">IF($H3120="","",购销流水!$E784)</f>
        <v/>
      </c>
      <c r="L3120" s="66" t="str">
        <f aca="false">IF(购销流水!$D784="","",IFERROR(INDEX(记账规则!$A$6:$N$9,MATCH(购销流水!$D784,记账规则!$A$6:$A$9,0),9),""))</f>
        <v/>
      </c>
      <c r="M3120" s="66" t="str">
        <f aca="false">IF($L3120="","",IFERROR(INDEX(记账规则!$A$6:$N$9,MATCH(购销流水!$D784,记账规则!$A$6:$A$9,0),10),""))</f>
        <v/>
      </c>
      <c r="N3120" s="66" t="str">
        <f aca="false">IF($L3120="","",IFERROR(INDEX(记账规则!$A$6:$N$9,MATCH(购销流水!$D784,记账规则!$A$6:$A$9,0),11),""))</f>
        <v/>
      </c>
      <c r="O3120" s="67" t="n">
        <f aca="false">IF($H3120="",0,ROUND(IF($N3120="成本金额",N(购销流水!$W784),IF($N3120="金额",N(购销流水!$Q784),0)),2))</f>
        <v>0</v>
      </c>
      <c r="P3120" s="64" t="str">
        <f aca="false">IF(AND($H3120&lt;&gt;"",ROUND($O3120,2)&lt;&gt;0),"有","")</f>
        <v/>
      </c>
    </row>
    <row r="3121" customFormat="false" ht="15" hidden="true" customHeight="false" outlineLevel="0" collapsed="false">
      <c r="A3121" s="53" t="str">
        <f aca="false">IF($H3121="","",ROW()-5)</f>
        <v/>
      </c>
      <c r="B3121" s="64" t="s">
        <v>36</v>
      </c>
      <c r="C3121" s="53" t="n">
        <v>784</v>
      </c>
      <c r="D3121" s="53" t="n">
        <v>4</v>
      </c>
      <c r="E3121" s="65" t="str">
        <f aca="false">IF($H3121="","",购销流水!$B784)</f>
        <v/>
      </c>
      <c r="F3121" s="55" t="str">
        <f aca="false">IF($H3121="","",购销流水!$C784)</f>
        <v/>
      </c>
      <c r="G3121" s="48" t="str">
        <f aca="false">IF($H3121="","",购销流水!$N784)</f>
        <v/>
      </c>
      <c r="H3121" s="10" t="str">
        <f aca="false">IF($L3121="","",IF($L3121="@成本",购销流水!$U784,IF($L3121="@收入",购销流水!$T784,IF($L3121="@存货",购销流水!$S784,IF($L3121="@结算",购销流水!$R784,$L3121)))))</f>
        <v/>
      </c>
      <c r="I3121" s="42" t="n">
        <f aca="false">IF($M3121="借",$O3121,0)</f>
        <v>0</v>
      </c>
      <c r="J3121" s="42" t="n">
        <f aca="false">IF($M3121="贷",$O3121,0)</f>
        <v>0</v>
      </c>
      <c r="K3121" s="48" t="str">
        <f aca="false">IF($H3121="","",购销流水!$E784)</f>
        <v/>
      </c>
      <c r="L3121" s="66" t="str">
        <f aca="false">IF(购销流水!$D784="","",IFERROR(INDEX(记账规则!$A$6:$N$9,MATCH(购销流水!$D784,记账规则!$A$6:$A$9,0),12),""))</f>
        <v/>
      </c>
      <c r="M3121" s="66" t="str">
        <f aca="false">IF($L3121="","",IFERROR(INDEX(记账规则!$A$6:$N$9,MATCH(购销流水!$D784,记账规则!$A$6:$A$9,0),13),""))</f>
        <v/>
      </c>
      <c r="N3121" s="66" t="str">
        <f aca="false">IF($L3121="","",IFERROR(INDEX(记账规则!$A$6:$N$9,MATCH(购销流水!$D784,记账规则!$A$6:$A$9,0),14),""))</f>
        <v/>
      </c>
      <c r="O3121" s="67" t="n">
        <f aca="false">IF($H3121="",0,ROUND(IF($N3121="成本金额",N(购销流水!$W784),IF($N3121="金额",N(购销流水!$Q784),0)),2))</f>
        <v>0</v>
      </c>
      <c r="P3121" s="64" t="str">
        <f aca="false">IF(AND($H3121&lt;&gt;"",ROUND($O3121,2)&lt;&gt;0),"有","")</f>
        <v/>
      </c>
    </row>
    <row r="3122" customFormat="false" ht="15" hidden="true" customHeight="false" outlineLevel="0" collapsed="false">
      <c r="A3122" s="53" t="str">
        <f aca="false">IF($H3122="","",ROW()-5)</f>
        <v/>
      </c>
      <c r="B3122" s="64" t="s">
        <v>36</v>
      </c>
      <c r="C3122" s="53" t="n">
        <v>785</v>
      </c>
      <c r="D3122" s="53" t="n">
        <v>1</v>
      </c>
      <c r="E3122" s="65" t="str">
        <f aca="false">IF($H3122="","",购销流水!$B785)</f>
        <v/>
      </c>
      <c r="F3122" s="55" t="str">
        <f aca="false">IF($H3122="","",购销流水!$C785)</f>
        <v/>
      </c>
      <c r="G3122" s="48" t="str">
        <f aca="false">IF($H3122="","",购销流水!$N785)</f>
        <v/>
      </c>
      <c r="H3122" s="10" t="str">
        <f aca="false">IF($L3122="","",IF($L3122="@成本",购销流水!$U785,IF($L3122="@收入",购销流水!$T785,IF($L3122="@存货",购销流水!$S785,IF($L3122="@结算",购销流水!$R785,$L3122)))))</f>
        <v/>
      </c>
      <c r="I3122" s="42" t="n">
        <f aca="false">IF($M3122="借",$O3122,0)</f>
        <v>0</v>
      </c>
      <c r="J3122" s="42" t="n">
        <f aca="false">IF($M3122="贷",$O3122,0)</f>
        <v>0</v>
      </c>
      <c r="K3122" s="48" t="str">
        <f aca="false">IF($H3122="","",购销流水!$E785)</f>
        <v/>
      </c>
      <c r="L3122" s="66" t="str">
        <f aca="false">IF(购销流水!$D785="","",IFERROR(INDEX(记账规则!$A$6:$N$9,MATCH(购销流水!$D785,记账规则!$A$6:$A$9,0),3),""))</f>
        <v/>
      </c>
      <c r="M3122" s="66" t="str">
        <f aca="false">IF($L3122="","",IFERROR(INDEX(记账规则!$A$6:$N$9,MATCH(购销流水!$D785,记账规则!$A$6:$A$9,0),4),""))</f>
        <v/>
      </c>
      <c r="N3122" s="66" t="str">
        <f aca="false">IF($L3122="","",IFERROR(INDEX(记账规则!$A$6:$N$9,MATCH(购销流水!$D785,记账规则!$A$6:$A$9,0),5),""))</f>
        <v/>
      </c>
      <c r="O3122" s="67" t="n">
        <f aca="false">IF($H3122="",0,ROUND(IF($N3122="成本金额",N(购销流水!$W785),IF($N3122="金额",N(购销流水!$Q785),0)),2))</f>
        <v>0</v>
      </c>
      <c r="P3122" s="64" t="str">
        <f aca="false">IF(AND($H3122&lt;&gt;"",ROUND($O3122,2)&lt;&gt;0),"有","")</f>
        <v/>
      </c>
    </row>
    <row r="3123" customFormat="false" ht="15" hidden="true" customHeight="false" outlineLevel="0" collapsed="false">
      <c r="A3123" s="53" t="str">
        <f aca="false">IF($H3123="","",ROW()-5)</f>
        <v/>
      </c>
      <c r="B3123" s="64" t="s">
        <v>36</v>
      </c>
      <c r="C3123" s="53" t="n">
        <v>785</v>
      </c>
      <c r="D3123" s="53" t="n">
        <v>2</v>
      </c>
      <c r="E3123" s="65" t="str">
        <f aca="false">IF($H3123="","",购销流水!$B785)</f>
        <v/>
      </c>
      <c r="F3123" s="55" t="str">
        <f aca="false">IF($H3123="","",购销流水!$C785)</f>
        <v/>
      </c>
      <c r="G3123" s="48" t="str">
        <f aca="false">IF($H3123="","",购销流水!$N785)</f>
        <v/>
      </c>
      <c r="H3123" s="10" t="str">
        <f aca="false">IF($L3123="","",IF($L3123="@成本",购销流水!$U785,IF($L3123="@收入",购销流水!$T785,IF($L3123="@存货",购销流水!$S785,IF($L3123="@结算",购销流水!$R785,$L3123)))))</f>
        <v/>
      </c>
      <c r="I3123" s="42" t="n">
        <f aca="false">IF($M3123="借",$O3123,0)</f>
        <v>0</v>
      </c>
      <c r="J3123" s="42" t="n">
        <f aca="false">IF($M3123="贷",$O3123,0)</f>
        <v>0</v>
      </c>
      <c r="K3123" s="48" t="str">
        <f aca="false">IF($H3123="","",购销流水!$E785)</f>
        <v/>
      </c>
      <c r="L3123" s="66" t="str">
        <f aca="false">IF(购销流水!$D785="","",IFERROR(INDEX(记账规则!$A$6:$N$9,MATCH(购销流水!$D785,记账规则!$A$6:$A$9,0),6),""))</f>
        <v/>
      </c>
      <c r="M3123" s="66" t="str">
        <f aca="false">IF($L3123="","",IFERROR(INDEX(记账规则!$A$6:$N$9,MATCH(购销流水!$D785,记账规则!$A$6:$A$9,0),7),""))</f>
        <v/>
      </c>
      <c r="N3123" s="66" t="str">
        <f aca="false">IF($L3123="","",IFERROR(INDEX(记账规则!$A$6:$N$9,MATCH(购销流水!$D785,记账规则!$A$6:$A$9,0),8),""))</f>
        <v/>
      </c>
      <c r="O3123" s="67" t="n">
        <f aca="false">IF($H3123="",0,ROUND(IF($N3123="成本金额",N(购销流水!$W785),IF($N3123="金额",N(购销流水!$Q785),0)),2))</f>
        <v>0</v>
      </c>
      <c r="P3123" s="64" t="str">
        <f aca="false">IF(AND($H3123&lt;&gt;"",ROUND($O3123,2)&lt;&gt;0),"有","")</f>
        <v/>
      </c>
    </row>
    <row r="3124" customFormat="false" ht="15" hidden="true" customHeight="false" outlineLevel="0" collapsed="false">
      <c r="A3124" s="53" t="str">
        <f aca="false">IF($H3124="","",ROW()-5)</f>
        <v/>
      </c>
      <c r="B3124" s="64" t="s">
        <v>36</v>
      </c>
      <c r="C3124" s="53" t="n">
        <v>785</v>
      </c>
      <c r="D3124" s="53" t="n">
        <v>3</v>
      </c>
      <c r="E3124" s="65" t="str">
        <f aca="false">IF($H3124="","",购销流水!$B785)</f>
        <v/>
      </c>
      <c r="F3124" s="55" t="str">
        <f aca="false">IF($H3124="","",购销流水!$C785)</f>
        <v/>
      </c>
      <c r="G3124" s="48" t="str">
        <f aca="false">IF($H3124="","",购销流水!$N785)</f>
        <v/>
      </c>
      <c r="H3124" s="10" t="str">
        <f aca="false">IF($L3124="","",IF($L3124="@成本",购销流水!$U785,IF($L3124="@收入",购销流水!$T785,IF($L3124="@存货",购销流水!$S785,IF($L3124="@结算",购销流水!$R785,$L3124)))))</f>
        <v/>
      </c>
      <c r="I3124" s="42" t="n">
        <f aca="false">IF($M3124="借",$O3124,0)</f>
        <v>0</v>
      </c>
      <c r="J3124" s="42" t="n">
        <f aca="false">IF($M3124="贷",$O3124,0)</f>
        <v>0</v>
      </c>
      <c r="K3124" s="48" t="str">
        <f aca="false">IF($H3124="","",购销流水!$E785)</f>
        <v/>
      </c>
      <c r="L3124" s="66" t="str">
        <f aca="false">IF(购销流水!$D785="","",IFERROR(INDEX(记账规则!$A$6:$N$9,MATCH(购销流水!$D785,记账规则!$A$6:$A$9,0),9),""))</f>
        <v/>
      </c>
      <c r="M3124" s="66" t="str">
        <f aca="false">IF($L3124="","",IFERROR(INDEX(记账规则!$A$6:$N$9,MATCH(购销流水!$D785,记账规则!$A$6:$A$9,0),10),""))</f>
        <v/>
      </c>
      <c r="N3124" s="66" t="str">
        <f aca="false">IF($L3124="","",IFERROR(INDEX(记账规则!$A$6:$N$9,MATCH(购销流水!$D785,记账规则!$A$6:$A$9,0),11),""))</f>
        <v/>
      </c>
      <c r="O3124" s="67" t="n">
        <f aca="false">IF($H3124="",0,ROUND(IF($N3124="成本金额",N(购销流水!$W785),IF($N3124="金额",N(购销流水!$Q785),0)),2))</f>
        <v>0</v>
      </c>
      <c r="P3124" s="64" t="str">
        <f aca="false">IF(AND($H3124&lt;&gt;"",ROUND($O3124,2)&lt;&gt;0),"有","")</f>
        <v/>
      </c>
    </row>
    <row r="3125" customFormat="false" ht="15" hidden="true" customHeight="false" outlineLevel="0" collapsed="false">
      <c r="A3125" s="53" t="str">
        <f aca="false">IF($H3125="","",ROW()-5)</f>
        <v/>
      </c>
      <c r="B3125" s="64" t="s">
        <v>36</v>
      </c>
      <c r="C3125" s="53" t="n">
        <v>785</v>
      </c>
      <c r="D3125" s="53" t="n">
        <v>4</v>
      </c>
      <c r="E3125" s="65" t="str">
        <f aca="false">IF($H3125="","",购销流水!$B785)</f>
        <v/>
      </c>
      <c r="F3125" s="55" t="str">
        <f aca="false">IF($H3125="","",购销流水!$C785)</f>
        <v/>
      </c>
      <c r="G3125" s="48" t="str">
        <f aca="false">IF($H3125="","",购销流水!$N785)</f>
        <v/>
      </c>
      <c r="H3125" s="10" t="str">
        <f aca="false">IF($L3125="","",IF($L3125="@成本",购销流水!$U785,IF($L3125="@收入",购销流水!$T785,IF($L3125="@存货",购销流水!$S785,IF($L3125="@结算",购销流水!$R785,$L3125)))))</f>
        <v/>
      </c>
      <c r="I3125" s="42" t="n">
        <f aca="false">IF($M3125="借",$O3125,0)</f>
        <v>0</v>
      </c>
      <c r="J3125" s="42" t="n">
        <f aca="false">IF($M3125="贷",$O3125,0)</f>
        <v>0</v>
      </c>
      <c r="K3125" s="48" t="str">
        <f aca="false">IF($H3125="","",购销流水!$E785)</f>
        <v/>
      </c>
      <c r="L3125" s="66" t="str">
        <f aca="false">IF(购销流水!$D785="","",IFERROR(INDEX(记账规则!$A$6:$N$9,MATCH(购销流水!$D785,记账规则!$A$6:$A$9,0),12),""))</f>
        <v/>
      </c>
      <c r="M3125" s="66" t="str">
        <f aca="false">IF($L3125="","",IFERROR(INDEX(记账规则!$A$6:$N$9,MATCH(购销流水!$D785,记账规则!$A$6:$A$9,0),13),""))</f>
        <v/>
      </c>
      <c r="N3125" s="66" t="str">
        <f aca="false">IF($L3125="","",IFERROR(INDEX(记账规则!$A$6:$N$9,MATCH(购销流水!$D785,记账规则!$A$6:$A$9,0),14),""))</f>
        <v/>
      </c>
      <c r="O3125" s="67" t="n">
        <f aca="false">IF($H3125="",0,ROUND(IF($N3125="成本金额",N(购销流水!$W785),IF($N3125="金额",N(购销流水!$Q785),0)),2))</f>
        <v>0</v>
      </c>
      <c r="P3125" s="64" t="str">
        <f aca="false">IF(AND($H3125&lt;&gt;"",ROUND($O3125,2)&lt;&gt;0),"有","")</f>
        <v/>
      </c>
    </row>
    <row r="3126" customFormat="false" ht="15" hidden="true" customHeight="false" outlineLevel="0" collapsed="false">
      <c r="A3126" s="53" t="str">
        <f aca="false">IF($H3126="","",ROW()-5)</f>
        <v/>
      </c>
      <c r="B3126" s="64" t="s">
        <v>36</v>
      </c>
      <c r="C3126" s="53" t="n">
        <v>786</v>
      </c>
      <c r="D3126" s="53" t="n">
        <v>1</v>
      </c>
      <c r="E3126" s="65" t="str">
        <f aca="false">IF($H3126="","",购销流水!$B786)</f>
        <v/>
      </c>
      <c r="F3126" s="55" t="str">
        <f aca="false">IF($H3126="","",购销流水!$C786)</f>
        <v/>
      </c>
      <c r="G3126" s="48" t="str">
        <f aca="false">IF($H3126="","",购销流水!$N786)</f>
        <v/>
      </c>
      <c r="H3126" s="10" t="str">
        <f aca="false">IF($L3126="","",IF($L3126="@成本",购销流水!$U786,IF($L3126="@收入",购销流水!$T786,IF($L3126="@存货",购销流水!$S786,IF($L3126="@结算",购销流水!$R786,$L3126)))))</f>
        <v/>
      </c>
      <c r="I3126" s="42" t="n">
        <f aca="false">IF($M3126="借",$O3126,0)</f>
        <v>0</v>
      </c>
      <c r="J3126" s="42" t="n">
        <f aca="false">IF($M3126="贷",$O3126,0)</f>
        <v>0</v>
      </c>
      <c r="K3126" s="48" t="str">
        <f aca="false">IF($H3126="","",购销流水!$E786)</f>
        <v/>
      </c>
      <c r="L3126" s="66" t="str">
        <f aca="false">IF(购销流水!$D786="","",IFERROR(INDEX(记账规则!$A$6:$N$9,MATCH(购销流水!$D786,记账规则!$A$6:$A$9,0),3),""))</f>
        <v/>
      </c>
      <c r="M3126" s="66" t="str">
        <f aca="false">IF($L3126="","",IFERROR(INDEX(记账规则!$A$6:$N$9,MATCH(购销流水!$D786,记账规则!$A$6:$A$9,0),4),""))</f>
        <v/>
      </c>
      <c r="N3126" s="66" t="str">
        <f aca="false">IF($L3126="","",IFERROR(INDEX(记账规则!$A$6:$N$9,MATCH(购销流水!$D786,记账规则!$A$6:$A$9,0),5),""))</f>
        <v/>
      </c>
      <c r="O3126" s="67" t="n">
        <f aca="false">IF($H3126="",0,ROUND(IF($N3126="成本金额",N(购销流水!$W786),IF($N3126="金额",N(购销流水!$Q786),0)),2))</f>
        <v>0</v>
      </c>
      <c r="P3126" s="64" t="str">
        <f aca="false">IF(AND($H3126&lt;&gt;"",ROUND($O3126,2)&lt;&gt;0),"有","")</f>
        <v/>
      </c>
    </row>
    <row r="3127" customFormat="false" ht="15" hidden="true" customHeight="false" outlineLevel="0" collapsed="false">
      <c r="A3127" s="53" t="str">
        <f aca="false">IF($H3127="","",ROW()-5)</f>
        <v/>
      </c>
      <c r="B3127" s="64" t="s">
        <v>36</v>
      </c>
      <c r="C3127" s="53" t="n">
        <v>786</v>
      </c>
      <c r="D3127" s="53" t="n">
        <v>2</v>
      </c>
      <c r="E3127" s="65" t="str">
        <f aca="false">IF($H3127="","",购销流水!$B786)</f>
        <v/>
      </c>
      <c r="F3127" s="55" t="str">
        <f aca="false">IF($H3127="","",购销流水!$C786)</f>
        <v/>
      </c>
      <c r="G3127" s="48" t="str">
        <f aca="false">IF($H3127="","",购销流水!$N786)</f>
        <v/>
      </c>
      <c r="H3127" s="10" t="str">
        <f aca="false">IF($L3127="","",IF($L3127="@成本",购销流水!$U786,IF($L3127="@收入",购销流水!$T786,IF($L3127="@存货",购销流水!$S786,IF($L3127="@结算",购销流水!$R786,$L3127)))))</f>
        <v/>
      </c>
      <c r="I3127" s="42" t="n">
        <f aca="false">IF($M3127="借",$O3127,0)</f>
        <v>0</v>
      </c>
      <c r="J3127" s="42" t="n">
        <f aca="false">IF($M3127="贷",$O3127,0)</f>
        <v>0</v>
      </c>
      <c r="K3127" s="48" t="str">
        <f aca="false">IF($H3127="","",购销流水!$E786)</f>
        <v/>
      </c>
      <c r="L3127" s="66" t="str">
        <f aca="false">IF(购销流水!$D786="","",IFERROR(INDEX(记账规则!$A$6:$N$9,MATCH(购销流水!$D786,记账规则!$A$6:$A$9,0),6),""))</f>
        <v/>
      </c>
      <c r="M3127" s="66" t="str">
        <f aca="false">IF($L3127="","",IFERROR(INDEX(记账规则!$A$6:$N$9,MATCH(购销流水!$D786,记账规则!$A$6:$A$9,0),7),""))</f>
        <v/>
      </c>
      <c r="N3127" s="66" t="str">
        <f aca="false">IF($L3127="","",IFERROR(INDEX(记账规则!$A$6:$N$9,MATCH(购销流水!$D786,记账规则!$A$6:$A$9,0),8),""))</f>
        <v/>
      </c>
      <c r="O3127" s="67" t="n">
        <f aca="false">IF($H3127="",0,ROUND(IF($N3127="成本金额",N(购销流水!$W786),IF($N3127="金额",N(购销流水!$Q786),0)),2))</f>
        <v>0</v>
      </c>
      <c r="P3127" s="64" t="str">
        <f aca="false">IF(AND($H3127&lt;&gt;"",ROUND($O3127,2)&lt;&gt;0),"有","")</f>
        <v/>
      </c>
    </row>
    <row r="3128" customFormat="false" ht="15" hidden="true" customHeight="false" outlineLevel="0" collapsed="false">
      <c r="A3128" s="53" t="str">
        <f aca="false">IF($H3128="","",ROW()-5)</f>
        <v/>
      </c>
      <c r="B3128" s="64" t="s">
        <v>36</v>
      </c>
      <c r="C3128" s="53" t="n">
        <v>786</v>
      </c>
      <c r="D3128" s="53" t="n">
        <v>3</v>
      </c>
      <c r="E3128" s="65" t="str">
        <f aca="false">IF($H3128="","",购销流水!$B786)</f>
        <v/>
      </c>
      <c r="F3128" s="55" t="str">
        <f aca="false">IF($H3128="","",购销流水!$C786)</f>
        <v/>
      </c>
      <c r="G3128" s="48" t="str">
        <f aca="false">IF($H3128="","",购销流水!$N786)</f>
        <v/>
      </c>
      <c r="H3128" s="10" t="str">
        <f aca="false">IF($L3128="","",IF($L3128="@成本",购销流水!$U786,IF($L3128="@收入",购销流水!$T786,IF($L3128="@存货",购销流水!$S786,IF($L3128="@结算",购销流水!$R786,$L3128)))))</f>
        <v/>
      </c>
      <c r="I3128" s="42" t="n">
        <f aca="false">IF($M3128="借",$O3128,0)</f>
        <v>0</v>
      </c>
      <c r="J3128" s="42" t="n">
        <f aca="false">IF($M3128="贷",$O3128,0)</f>
        <v>0</v>
      </c>
      <c r="K3128" s="48" t="str">
        <f aca="false">IF($H3128="","",购销流水!$E786)</f>
        <v/>
      </c>
      <c r="L3128" s="66" t="str">
        <f aca="false">IF(购销流水!$D786="","",IFERROR(INDEX(记账规则!$A$6:$N$9,MATCH(购销流水!$D786,记账规则!$A$6:$A$9,0),9),""))</f>
        <v/>
      </c>
      <c r="M3128" s="66" t="str">
        <f aca="false">IF($L3128="","",IFERROR(INDEX(记账规则!$A$6:$N$9,MATCH(购销流水!$D786,记账规则!$A$6:$A$9,0),10),""))</f>
        <v/>
      </c>
      <c r="N3128" s="66" t="str">
        <f aca="false">IF($L3128="","",IFERROR(INDEX(记账规则!$A$6:$N$9,MATCH(购销流水!$D786,记账规则!$A$6:$A$9,0),11),""))</f>
        <v/>
      </c>
      <c r="O3128" s="67" t="n">
        <f aca="false">IF($H3128="",0,ROUND(IF($N3128="成本金额",N(购销流水!$W786),IF($N3128="金额",N(购销流水!$Q786),0)),2))</f>
        <v>0</v>
      </c>
      <c r="P3128" s="64" t="str">
        <f aca="false">IF(AND($H3128&lt;&gt;"",ROUND($O3128,2)&lt;&gt;0),"有","")</f>
        <v/>
      </c>
    </row>
    <row r="3129" customFormat="false" ht="15" hidden="true" customHeight="false" outlineLevel="0" collapsed="false">
      <c r="A3129" s="53" t="str">
        <f aca="false">IF($H3129="","",ROW()-5)</f>
        <v/>
      </c>
      <c r="B3129" s="64" t="s">
        <v>36</v>
      </c>
      <c r="C3129" s="53" t="n">
        <v>786</v>
      </c>
      <c r="D3129" s="53" t="n">
        <v>4</v>
      </c>
      <c r="E3129" s="65" t="str">
        <f aca="false">IF($H3129="","",购销流水!$B786)</f>
        <v/>
      </c>
      <c r="F3129" s="55" t="str">
        <f aca="false">IF($H3129="","",购销流水!$C786)</f>
        <v/>
      </c>
      <c r="G3129" s="48" t="str">
        <f aca="false">IF($H3129="","",购销流水!$N786)</f>
        <v/>
      </c>
      <c r="H3129" s="10" t="str">
        <f aca="false">IF($L3129="","",IF($L3129="@成本",购销流水!$U786,IF($L3129="@收入",购销流水!$T786,IF($L3129="@存货",购销流水!$S786,IF($L3129="@结算",购销流水!$R786,$L3129)))))</f>
        <v/>
      </c>
      <c r="I3129" s="42" t="n">
        <f aca="false">IF($M3129="借",$O3129,0)</f>
        <v>0</v>
      </c>
      <c r="J3129" s="42" t="n">
        <f aca="false">IF($M3129="贷",$O3129,0)</f>
        <v>0</v>
      </c>
      <c r="K3129" s="48" t="str">
        <f aca="false">IF($H3129="","",购销流水!$E786)</f>
        <v/>
      </c>
      <c r="L3129" s="66" t="str">
        <f aca="false">IF(购销流水!$D786="","",IFERROR(INDEX(记账规则!$A$6:$N$9,MATCH(购销流水!$D786,记账规则!$A$6:$A$9,0),12),""))</f>
        <v/>
      </c>
      <c r="M3129" s="66" t="str">
        <f aca="false">IF($L3129="","",IFERROR(INDEX(记账规则!$A$6:$N$9,MATCH(购销流水!$D786,记账规则!$A$6:$A$9,0),13),""))</f>
        <v/>
      </c>
      <c r="N3129" s="66" t="str">
        <f aca="false">IF($L3129="","",IFERROR(INDEX(记账规则!$A$6:$N$9,MATCH(购销流水!$D786,记账规则!$A$6:$A$9,0),14),""))</f>
        <v/>
      </c>
      <c r="O3129" s="67" t="n">
        <f aca="false">IF($H3129="",0,ROUND(IF($N3129="成本金额",N(购销流水!$W786),IF($N3129="金额",N(购销流水!$Q786),0)),2))</f>
        <v>0</v>
      </c>
      <c r="P3129" s="64" t="str">
        <f aca="false">IF(AND($H3129&lt;&gt;"",ROUND($O3129,2)&lt;&gt;0),"有","")</f>
        <v/>
      </c>
    </row>
    <row r="3130" customFormat="false" ht="15" hidden="true" customHeight="false" outlineLevel="0" collapsed="false">
      <c r="A3130" s="53" t="str">
        <f aca="false">IF($H3130="","",ROW()-5)</f>
        <v/>
      </c>
      <c r="B3130" s="64" t="s">
        <v>36</v>
      </c>
      <c r="C3130" s="53" t="n">
        <v>787</v>
      </c>
      <c r="D3130" s="53" t="n">
        <v>1</v>
      </c>
      <c r="E3130" s="65" t="str">
        <f aca="false">IF($H3130="","",购销流水!$B787)</f>
        <v/>
      </c>
      <c r="F3130" s="55" t="str">
        <f aca="false">IF($H3130="","",购销流水!$C787)</f>
        <v/>
      </c>
      <c r="G3130" s="48" t="str">
        <f aca="false">IF($H3130="","",购销流水!$N787)</f>
        <v/>
      </c>
      <c r="H3130" s="10" t="str">
        <f aca="false">IF($L3130="","",IF($L3130="@成本",购销流水!$U787,IF($L3130="@收入",购销流水!$T787,IF($L3130="@存货",购销流水!$S787,IF($L3130="@结算",购销流水!$R787,$L3130)))))</f>
        <v/>
      </c>
      <c r="I3130" s="42" t="n">
        <f aca="false">IF($M3130="借",$O3130,0)</f>
        <v>0</v>
      </c>
      <c r="J3130" s="42" t="n">
        <f aca="false">IF($M3130="贷",$O3130,0)</f>
        <v>0</v>
      </c>
      <c r="K3130" s="48" t="str">
        <f aca="false">IF($H3130="","",购销流水!$E787)</f>
        <v/>
      </c>
      <c r="L3130" s="66" t="str">
        <f aca="false">IF(购销流水!$D787="","",IFERROR(INDEX(记账规则!$A$6:$N$9,MATCH(购销流水!$D787,记账规则!$A$6:$A$9,0),3),""))</f>
        <v/>
      </c>
      <c r="M3130" s="66" t="str">
        <f aca="false">IF($L3130="","",IFERROR(INDEX(记账规则!$A$6:$N$9,MATCH(购销流水!$D787,记账规则!$A$6:$A$9,0),4),""))</f>
        <v/>
      </c>
      <c r="N3130" s="66" t="str">
        <f aca="false">IF($L3130="","",IFERROR(INDEX(记账规则!$A$6:$N$9,MATCH(购销流水!$D787,记账规则!$A$6:$A$9,0),5),""))</f>
        <v/>
      </c>
      <c r="O3130" s="67" t="n">
        <f aca="false">IF($H3130="",0,ROUND(IF($N3130="成本金额",N(购销流水!$W787),IF($N3130="金额",N(购销流水!$Q787),0)),2))</f>
        <v>0</v>
      </c>
      <c r="P3130" s="64" t="str">
        <f aca="false">IF(AND($H3130&lt;&gt;"",ROUND($O3130,2)&lt;&gt;0),"有","")</f>
        <v/>
      </c>
    </row>
    <row r="3131" customFormat="false" ht="15" hidden="true" customHeight="false" outlineLevel="0" collapsed="false">
      <c r="A3131" s="53" t="str">
        <f aca="false">IF($H3131="","",ROW()-5)</f>
        <v/>
      </c>
      <c r="B3131" s="64" t="s">
        <v>36</v>
      </c>
      <c r="C3131" s="53" t="n">
        <v>787</v>
      </c>
      <c r="D3131" s="53" t="n">
        <v>2</v>
      </c>
      <c r="E3131" s="65" t="str">
        <f aca="false">IF($H3131="","",购销流水!$B787)</f>
        <v/>
      </c>
      <c r="F3131" s="55" t="str">
        <f aca="false">IF($H3131="","",购销流水!$C787)</f>
        <v/>
      </c>
      <c r="G3131" s="48" t="str">
        <f aca="false">IF($H3131="","",购销流水!$N787)</f>
        <v/>
      </c>
      <c r="H3131" s="10" t="str">
        <f aca="false">IF($L3131="","",IF($L3131="@成本",购销流水!$U787,IF($L3131="@收入",购销流水!$T787,IF($L3131="@存货",购销流水!$S787,IF($L3131="@结算",购销流水!$R787,$L3131)))))</f>
        <v/>
      </c>
      <c r="I3131" s="42" t="n">
        <f aca="false">IF($M3131="借",$O3131,0)</f>
        <v>0</v>
      </c>
      <c r="J3131" s="42" t="n">
        <f aca="false">IF($M3131="贷",$O3131,0)</f>
        <v>0</v>
      </c>
      <c r="K3131" s="48" t="str">
        <f aca="false">IF($H3131="","",购销流水!$E787)</f>
        <v/>
      </c>
      <c r="L3131" s="66" t="str">
        <f aca="false">IF(购销流水!$D787="","",IFERROR(INDEX(记账规则!$A$6:$N$9,MATCH(购销流水!$D787,记账规则!$A$6:$A$9,0),6),""))</f>
        <v/>
      </c>
      <c r="M3131" s="66" t="str">
        <f aca="false">IF($L3131="","",IFERROR(INDEX(记账规则!$A$6:$N$9,MATCH(购销流水!$D787,记账规则!$A$6:$A$9,0),7),""))</f>
        <v/>
      </c>
      <c r="N3131" s="66" t="str">
        <f aca="false">IF($L3131="","",IFERROR(INDEX(记账规则!$A$6:$N$9,MATCH(购销流水!$D787,记账规则!$A$6:$A$9,0),8),""))</f>
        <v/>
      </c>
      <c r="O3131" s="67" t="n">
        <f aca="false">IF($H3131="",0,ROUND(IF($N3131="成本金额",N(购销流水!$W787),IF($N3131="金额",N(购销流水!$Q787),0)),2))</f>
        <v>0</v>
      </c>
      <c r="P3131" s="64" t="str">
        <f aca="false">IF(AND($H3131&lt;&gt;"",ROUND($O3131,2)&lt;&gt;0),"有","")</f>
        <v/>
      </c>
    </row>
    <row r="3132" customFormat="false" ht="15" hidden="true" customHeight="false" outlineLevel="0" collapsed="false">
      <c r="A3132" s="53" t="str">
        <f aca="false">IF($H3132="","",ROW()-5)</f>
        <v/>
      </c>
      <c r="B3132" s="64" t="s">
        <v>36</v>
      </c>
      <c r="C3132" s="53" t="n">
        <v>787</v>
      </c>
      <c r="D3132" s="53" t="n">
        <v>3</v>
      </c>
      <c r="E3132" s="65" t="str">
        <f aca="false">IF($H3132="","",购销流水!$B787)</f>
        <v/>
      </c>
      <c r="F3132" s="55" t="str">
        <f aca="false">IF($H3132="","",购销流水!$C787)</f>
        <v/>
      </c>
      <c r="G3132" s="48" t="str">
        <f aca="false">IF($H3132="","",购销流水!$N787)</f>
        <v/>
      </c>
      <c r="H3132" s="10" t="str">
        <f aca="false">IF($L3132="","",IF($L3132="@成本",购销流水!$U787,IF($L3132="@收入",购销流水!$T787,IF($L3132="@存货",购销流水!$S787,IF($L3132="@结算",购销流水!$R787,$L3132)))))</f>
        <v/>
      </c>
      <c r="I3132" s="42" t="n">
        <f aca="false">IF($M3132="借",$O3132,0)</f>
        <v>0</v>
      </c>
      <c r="J3132" s="42" t="n">
        <f aca="false">IF($M3132="贷",$O3132,0)</f>
        <v>0</v>
      </c>
      <c r="K3132" s="48" t="str">
        <f aca="false">IF($H3132="","",购销流水!$E787)</f>
        <v/>
      </c>
      <c r="L3132" s="66" t="str">
        <f aca="false">IF(购销流水!$D787="","",IFERROR(INDEX(记账规则!$A$6:$N$9,MATCH(购销流水!$D787,记账规则!$A$6:$A$9,0),9),""))</f>
        <v/>
      </c>
      <c r="M3132" s="66" t="str">
        <f aca="false">IF($L3132="","",IFERROR(INDEX(记账规则!$A$6:$N$9,MATCH(购销流水!$D787,记账规则!$A$6:$A$9,0),10),""))</f>
        <v/>
      </c>
      <c r="N3132" s="66" t="str">
        <f aca="false">IF($L3132="","",IFERROR(INDEX(记账规则!$A$6:$N$9,MATCH(购销流水!$D787,记账规则!$A$6:$A$9,0),11),""))</f>
        <v/>
      </c>
      <c r="O3132" s="67" t="n">
        <f aca="false">IF($H3132="",0,ROUND(IF($N3132="成本金额",N(购销流水!$W787),IF($N3132="金额",N(购销流水!$Q787),0)),2))</f>
        <v>0</v>
      </c>
      <c r="P3132" s="64" t="str">
        <f aca="false">IF(AND($H3132&lt;&gt;"",ROUND($O3132,2)&lt;&gt;0),"有","")</f>
        <v/>
      </c>
    </row>
    <row r="3133" customFormat="false" ht="15" hidden="true" customHeight="false" outlineLevel="0" collapsed="false">
      <c r="A3133" s="53" t="str">
        <f aca="false">IF($H3133="","",ROW()-5)</f>
        <v/>
      </c>
      <c r="B3133" s="64" t="s">
        <v>36</v>
      </c>
      <c r="C3133" s="53" t="n">
        <v>787</v>
      </c>
      <c r="D3133" s="53" t="n">
        <v>4</v>
      </c>
      <c r="E3133" s="65" t="str">
        <f aca="false">IF($H3133="","",购销流水!$B787)</f>
        <v/>
      </c>
      <c r="F3133" s="55" t="str">
        <f aca="false">IF($H3133="","",购销流水!$C787)</f>
        <v/>
      </c>
      <c r="G3133" s="48" t="str">
        <f aca="false">IF($H3133="","",购销流水!$N787)</f>
        <v/>
      </c>
      <c r="H3133" s="10" t="str">
        <f aca="false">IF($L3133="","",IF($L3133="@成本",购销流水!$U787,IF($L3133="@收入",购销流水!$T787,IF($L3133="@存货",购销流水!$S787,IF($L3133="@结算",购销流水!$R787,$L3133)))))</f>
        <v/>
      </c>
      <c r="I3133" s="42" t="n">
        <f aca="false">IF($M3133="借",$O3133,0)</f>
        <v>0</v>
      </c>
      <c r="J3133" s="42" t="n">
        <f aca="false">IF($M3133="贷",$O3133,0)</f>
        <v>0</v>
      </c>
      <c r="K3133" s="48" t="str">
        <f aca="false">IF($H3133="","",购销流水!$E787)</f>
        <v/>
      </c>
      <c r="L3133" s="66" t="str">
        <f aca="false">IF(购销流水!$D787="","",IFERROR(INDEX(记账规则!$A$6:$N$9,MATCH(购销流水!$D787,记账规则!$A$6:$A$9,0),12),""))</f>
        <v/>
      </c>
      <c r="M3133" s="66" t="str">
        <f aca="false">IF($L3133="","",IFERROR(INDEX(记账规则!$A$6:$N$9,MATCH(购销流水!$D787,记账规则!$A$6:$A$9,0),13),""))</f>
        <v/>
      </c>
      <c r="N3133" s="66" t="str">
        <f aca="false">IF($L3133="","",IFERROR(INDEX(记账规则!$A$6:$N$9,MATCH(购销流水!$D787,记账规则!$A$6:$A$9,0),14),""))</f>
        <v/>
      </c>
      <c r="O3133" s="67" t="n">
        <f aca="false">IF($H3133="",0,ROUND(IF($N3133="成本金额",N(购销流水!$W787),IF($N3133="金额",N(购销流水!$Q787),0)),2))</f>
        <v>0</v>
      </c>
      <c r="P3133" s="64" t="str">
        <f aca="false">IF(AND($H3133&lt;&gt;"",ROUND($O3133,2)&lt;&gt;0),"有","")</f>
        <v/>
      </c>
    </row>
    <row r="3134" customFormat="false" ht="15" hidden="true" customHeight="false" outlineLevel="0" collapsed="false">
      <c r="A3134" s="53" t="str">
        <f aca="false">IF($H3134="","",ROW()-5)</f>
        <v/>
      </c>
      <c r="B3134" s="64" t="s">
        <v>36</v>
      </c>
      <c r="C3134" s="53" t="n">
        <v>788</v>
      </c>
      <c r="D3134" s="53" t="n">
        <v>1</v>
      </c>
      <c r="E3134" s="65" t="str">
        <f aca="false">IF($H3134="","",购销流水!$B788)</f>
        <v/>
      </c>
      <c r="F3134" s="55" t="str">
        <f aca="false">IF($H3134="","",购销流水!$C788)</f>
        <v/>
      </c>
      <c r="G3134" s="48" t="str">
        <f aca="false">IF($H3134="","",购销流水!$N788)</f>
        <v/>
      </c>
      <c r="H3134" s="10" t="str">
        <f aca="false">IF($L3134="","",IF($L3134="@成本",购销流水!$U788,IF($L3134="@收入",购销流水!$T788,IF($L3134="@存货",购销流水!$S788,IF($L3134="@结算",购销流水!$R788,$L3134)))))</f>
        <v/>
      </c>
      <c r="I3134" s="42" t="n">
        <f aca="false">IF($M3134="借",$O3134,0)</f>
        <v>0</v>
      </c>
      <c r="J3134" s="42" t="n">
        <f aca="false">IF($M3134="贷",$O3134,0)</f>
        <v>0</v>
      </c>
      <c r="K3134" s="48" t="str">
        <f aca="false">IF($H3134="","",购销流水!$E788)</f>
        <v/>
      </c>
      <c r="L3134" s="66" t="str">
        <f aca="false">IF(购销流水!$D788="","",IFERROR(INDEX(记账规则!$A$6:$N$9,MATCH(购销流水!$D788,记账规则!$A$6:$A$9,0),3),""))</f>
        <v/>
      </c>
      <c r="M3134" s="66" t="str">
        <f aca="false">IF($L3134="","",IFERROR(INDEX(记账规则!$A$6:$N$9,MATCH(购销流水!$D788,记账规则!$A$6:$A$9,0),4),""))</f>
        <v/>
      </c>
      <c r="N3134" s="66" t="str">
        <f aca="false">IF($L3134="","",IFERROR(INDEX(记账规则!$A$6:$N$9,MATCH(购销流水!$D788,记账规则!$A$6:$A$9,0),5),""))</f>
        <v/>
      </c>
      <c r="O3134" s="67" t="n">
        <f aca="false">IF($H3134="",0,ROUND(IF($N3134="成本金额",N(购销流水!$W788),IF($N3134="金额",N(购销流水!$Q788),0)),2))</f>
        <v>0</v>
      </c>
      <c r="P3134" s="64" t="str">
        <f aca="false">IF(AND($H3134&lt;&gt;"",ROUND($O3134,2)&lt;&gt;0),"有","")</f>
        <v/>
      </c>
    </row>
    <row r="3135" customFormat="false" ht="15" hidden="true" customHeight="false" outlineLevel="0" collapsed="false">
      <c r="A3135" s="53" t="str">
        <f aca="false">IF($H3135="","",ROW()-5)</f>
        <v/>
      </c>
      <c r="B3135" s="64" t="s">
        <v>36</v>
      </c>
      <c r="C3135" s="53" t="n">
        <v>788</v>
      </c>
      <c r="D3135" s="53" t="n">
        <v>2</v>
      </c>
      <c r="E3135" s="65" t="str">
        <f aca="false">IF($H3135="","",购销流水!$B788)</f>
        <v/>
      </c>
      <c r="F3135" s="55" t="str">
        <f aca="false">IF($H3135="","",购销流水!$C788)</f>
        <v/>
      </c>
      <c r="G3135" s="48" t="str">
        <f aca="false">IF($H3135="","",购销流水!$N788)</f>
        <v/>
      </c>
      <c r="H3135" s="10" t="str">
        <f aca="false">IF($L3135="","",IF($L3135="@成本",购销流水!$U788,IF($L3135="@收入",购销流水!$T788,IF($L3135="@存货",购销流水!$S788,IF($L3135="@结算",购销流水!$R788,$L3135)))))</f>
        <v/>
      </c>
      <c r="I3135" s="42" t="n">
        <f aca="false">IF($M3135="借",$O3135,0)</f>
        <v>0</v>
      </c>
      <c r="J3135" s="42" t="n">
        <f aca="false">IF($M3135="贷",$O3135,0)</f>
        <v>0</v>
      </c>
      <c r="K3135" s="48" t="str">
        <f aca="false">IF($H3135="","",购销流水!$E788)</f>
        <v/>
      </c>
      <c r="L3135" s="66" t="str">
        <f aca="false">IF(购销流水!$D788="","",IFERROR(INDEX(记账规则!$A$6:$N$9,MATCH(购销流水!$D788,记账规则!$A$6:$A$9,0),6),""))</f>
        <v/>
      </c>
      <c r="M3135" s="66" t="str">
        <f aca="false">IF($L3135="","",IFERROR(INDEX(记账规则!$A$6:$N$9,MATCH(购销流水!$D788,记账规则!$A$6:$A$9,0),7),""))</f>
        <v/>
      </c>
      <c r="N3135" s="66" t="str">
        <f aca="false">IF($L3135="","",IFERROR(INDEX(记账规则!$A$6:$N$9,MATCH(购销流水!$D788,记账规则!$A$6:$A$9,0),8),""))</f>
        <v/>
      </c>
      <c r="O3135" s="67" t="n">
        <f aca="false">IF($H3135="",0,ROUND(IF($N3135="成本金额",N(购销流水!$W788),IF($N3135="金额",N(购销流水!$Q788),0)),2))</f>
        <v>0</v>
      </c>
      <c r="P3135" s="64" t="str">
        <f aca="false">IF(AND($H3135&lt;&gt;"",ROUND($O3135,2)&lt;&gt;0),"有","")</f>
        <v/>
      </c>
    </row>
    <row r="3136" customFormat="false" ht="15" hidden="true" customHeight="false" outlineLevel="0" collapsed="false">
      <c r="A3136" s="53" t="str">
        <f aca="false">IF($H3136="","",ROW()-5)</f>
        <v/>
      </c>
      <c r="B3136" s="64" t="s">
        <v>36</v>
      </c>
      <c r="C3136" s="53" t="n">
        <v>788</v>
      </c>
      <c r="D3136" s="53" t="n">
        <v>3</v>
      </c>
      <c r="E3136" s="65" t="str">
        <f aca="false">IF($H3136="","",购销流水!$B788)</f>
        <v/>
      </c>
      <c r="F3136" s="55" t="str">
        <f aca="false">IF($H3136="","",购销流水!$C788)</f>
        <v/>
      </c>
      <c r="G3136" s="48" t="str">
        <f aca="false">IF($H3136="","",购销流水!$N788)</f>
        <v/>
      </c>
      <c r="H3136" s="10" t="str">
        <f aca="false">IF($L3136="","",IF($L3136="@成本",购销流水!$U788,IF($L3136="@收入",购销流水!$T788,IF($L3136="@存货",购销流水!$S788,IF($L3136="@结算",购销流水!$R788,$L3136)))))</f>
        <v/>
      </c>
      <c r="I3136" s="42" t="n">
        <f aca="false">IF($M3136="借",$O3136,0)</f>
        <v>0</v>
      </c>
      <c r="J3136" s="42" t="n">
        <f aca="false">IF($M3136="贷",$O3136,0)</f>
        <v>0</v>
      </c>
      <c r="K3136" s="48" t="str">
        <f aca="false">IF($H3136="","",购销流水!$E788)</f>
        <v/>
      </c>
      <c r="L3136" s="66" t="str">
        <f aca="false">IF(购销流水!$D788="","",IFERROR(INDEX(记账规则!$A$6:$N$9,MATCH(购销流水!$D788,记账规则!$A$6:$A$9,0),9),""))</f>
        <v/>
      </c>
      <c r="M3136" s="66" t="str">
        <f aca="false">IF($L3136="","",IFERROR(INDEX(记账规则!$A$6:$N$9,MATCH(购销流水!$D788,记账规则!$A$6:$A$9,0),10),""))</f>
        <v/>
      </c>
      <c r="N3136" s="66" t="str">
        <f aca="false">IF($L3136="","",IFERROR(INDEX(记账规则!$A$6:$N$9,MATCH(购销流水!$D788,记账规则!$A$6:$A$9,0),11),""))</f>
        <v/>
      </c>
      <c r="O3136" s="67" t="n">
        <f aca="false">IF($H3136="",0,ROUND(IF($N3136="成本金额",N(购销流水!$W788),IF($N3136="金额",N(购销流水!$Q788),0)),2))</f>
        <v>0</v>
      </c>
      <c r="P3136" s="64" t="str">
        <f aca="false">IF(AND($H3136&lt;&gt;"",ROUND($O3136,2)&lt;&gt;0),"有","")</f>
        <v/>
      </c>
    </row>
    <row r="3137" customFormat="false" ht="15" hidden="true" customHeight="false" outlineLevel="0" collapsed="false">
      <c r="A3137" s="53" t="str">
        <f aca="false">IF($H3137="","",ROW()-5)</f>
        <v/>
      </c>
      <c r="B3137" s="64" t="s">
        <v>36</v>
      </c>
      <c r="C3137" s="53" t="n">
        <v>788</v>
      </c>
      <c r="D3137" s="53" t="n">
        <v>4</v>
      </c>
      <c r="E3137" s="65" t="str">
        <f aca="false">IF($H3137="","",购销流水!$B788)</f>
        <v/>
      </c>
      <c r="F3137" s="55" t="str">
        <f aca="false">IF($H3137="","",购销流水!$C788)</f>
        <v/>
      </c>
      <c r="G3137" s="48" t="str">
        <f aca="false">IF($H3137="","",购销流水!$N788)</f>
        <v/>
      </c>
      <c r="H3137" s="10" t="str">
        <f aca="false">IF($L3137="","",IF($L3137="@成本",购销流水!$U788,IF($L3137="@收入",购销流水!$T788,IF($L3137="@存货",购销流水!$S788,IF($L3137="@结算",购销流水!$R788,$L3137)))))</f>
        <v/>
      </c>
      <c r="I3137" s="42" t="n">
        <f aca="false">IF($M3137="借",$O3137,0)</f>
        <v>0</v>
      </c>
      <c r="J3137" s="42" t="n">
        <f aca="false">IF($M3137="贷",$O3137,0)</f>
        <v>0</v>
      </c>
      <c r="K3137" s="48" t="str">
        <f aca="false">IF($H3137="","",购销流水!$E788)</f>
        <v/>
      </c>
      <c r="L3137" s="66" t="str">
        <f aca="false">IF(购销流水!$D788="","",IFERROR(INDEX(记账规则!$A$6:$N$9,MATCH(购销流水!$D788,记账规则!$A$6:$A$9,0),12),""))</f>
        <v/>
      </c>
      <c r="M3137" s="66" t="str">
        <f aca="false">IF($L3137="","",IFERROR(INDEX(记账规则!$A$6:$N$9,MATCH(购销流水!$D788,记账规则!$A$6:$A$9,0),13),""))</f>
        <v/>
      </c>
      <c r="N3137" s="66" t="str">
        <f aca="false">IF($L3137="","",IFERROR(INDEX(记账规则!$A$6:$N$9,MATCH(购销流水!$D788,记账规则!$A$6:$A$9,0),14),""))</f>
        <v/>
      </c>
      <c r="O3137" s="67" t="n">
        <f aca="false">IF($H3137="",0,ROUND(IF($N3137="成本金额",N(购销流水!$W788),IF($N3137="金额",N(购销流水!$Q788),0)),2))</f>
        <v>0</v>
      </c>
      <c r="P3137" s="64" t="str">
        <f aca="false">IF(AND($H3137&lt;&gt;"",ROUND($O3137,2)&lt;&gt;0),"有","")</f>
        <v/>
      </c>
    </row>
    <row r="3138" customFormat="false" ht="15" hidden="true" customHeight="false" outlineLevel="0" collapsed="false">
      <c r="A3138" s="53" t="str">
        <f aca="false">IF($H3138="","",ROW()-5)</f>
        <v/>
      </c>
      <c r="B3138" s="64" t="s">
        <v>36</v>
      </c>
      <c r="C3138" s="53" t="n">
        <v>789</v>
      </c>
      <c r="D3138" s="53" t="n">
        <v>1</v>
      </c>
      <c r="E3138" s="65" t="str">
        <f aca="false">IF($H3138="","",购销流水!$B789)</f>
        <v/>
      </c>
      <c r="F3138" s="55" t="str">
        <f aca="false">IF($H3138="","",购销流水!$C789)</f>
        <v/>
      </c>
      <c r="G3138" s="48" t="str">
        <f aca="false">IF($H3138="","",购销流水!$N789)</f>
        <v/>
      </c>
      <c r="H3138" s="10" t="str">
        <f aca="false">IF($L3138="","",IF($L3138="@成本",购销流水!$U789,IF($L3138="@收入",购销流水!$T789,IF($L3138="@存货",购销流水!$S789,IF($L3138="@结算",购销流水!$R789,$L3138)))))</f>
        <v/>
      </c>
      <c r="I3138" s="42" t="n">
        <f aca="false">IF($M3138="借",$O3138,0)</f>
        <v>0</v>
      </c>
      <c r="J3138" s="42" t="n">
        <f aca="false">IF($M3138="贷",$O3138,0)</f>
        <v>0</v>
      </c>
      <c r="K3138" s="48" t="str">
        <f aca="false">IF($H3138="","",购销流水!$E789)</f>
        <v/>
      </c>
      <c r="L3138" s="66" t="str">
        <f aca="false">IF(购销流水!$D789="","",IFERROR(INDEX(记账规则!$A$6:$N$9,MATCH(购销流水!$D789,记账规则!$A$6:$A$9,0),3),""))</f>
        <v/>
      </c>
      <c r="M3138" s="66" t="str">
        <f aca="false">IF($L3138="","",IFERROR(INDEX(记账规则!$A$6:$N$9,MATCH(购销流水!$D789,记账规则!$A$6:$A$9,0),4),""))</f>
        <v/>
      </c>
      <c r="N3138" s="66" t="str">
        <f aca="false">IF($L3138="","",IFERROR(INDEX(记账规则!$A$6:$N$9,MATCH(购销流水!$D789,记账规则!$A$6:$A$9,0),5),""))</f>
        <v/>
      </c>
      <c r="O3138" s="67" t="n">
        <f aca="false">IF($H3138="",0,ROUND(IF($N3138="成本金额",N(购销流水!$W789),IF($N3138="金额",N(购销流水!$Q789),0)),2))</f>
        <v>0</v>
      </c>
      <c r="P3138" s="64" t="str">
        <f aca="false">IF(AND($H3138&lt;&gt;"",ROUND($O3138,2)&lt;&gt;0),"有","")</f>
        <v/>
      </c>
    </row>
    <row r="3139" customFormat="false" ht="15" hidden="true" customHeight="false" outlineLevel="0" collapsed="false">
      <c r="A3139" s="53" t="str">
        <f aca="false">IF($H3139="","",ROW()-5)</f>
        <v/>
      </c>
      <c r="B3139" s="64" t="s">
        <v>36</v>
      </c>
      <c r="C3139" s="53" t="n">
        <v>789</v>
      </c>
      <c r="D3139" s="53" t="n">
        <v>2</v>
      </c>
      <c r="E3139" s="65" t="str">
        <f aca="false">IF($H3139="","",购销流水!$B789)</f>
        <v/>
      </c>
      <c r="F3139" s="55" t="str">
        <f aca="false">IF($H3139="","",购销流水!$C789)</f>
        <v/>
      </c>
      <c r="G3139" s="48" t="str">
        <f aca="false">IF($H3139="","",购销流水!$N789)</f>
        <v/>
      </c>
      <c r="H3139" s="10" t="str">
        <f aca="false">IF($L3139="","",IF($L3139="@成本",购销流水!$U789,IF($L3139="@收入",购销流水!$T789,IF($L3139="@存货",购销流水!$S789,IF($L3139="@结算",购销流水!$R789,$L3139)))))</f>
        <v/>
      </c>
      <c r="I3139" s="42" t="n">
        <f aca="false">IF($M3139="借",$O3139,0)</f>
        <v>0</v>
      </c>
      <c r="J3139" s="42" t="n">
        <f aca="false">IF($M3139="贷",$O3139,0)</f>
        <v>0</v>
      </c>
      <c r="K3139" s="48" t="str">
        <f aca="false">IF($H3139="","",购销流水!$E789)</f>
        <v/>
      </c>
      <c r="L3139" s="66" t="str">
        <f aca="false">IF(购销流水!$D789="","",IFERROR(INDEX(记账规则!$A$6:$N$9,MATCH(购销流水!$D789,记账规则!$A$6:$A$9,0),6),""))</f>
        <v/>
      </c>
      <c r="M3139" s="66" t="str">
        <f aca="false">IF($L3139="","",IFERROR(INDEX(记账规则!$A$6:$N$9,MATCH(购销流水!$D789,记账规则!$A$6:$A$9,0),7),""))</f>
        <v/>
      </c>
      <c r="N3139" s="66" t="str">
        <f aca="false">IF($L3139="","",IFERROR(INDEX(记账规则!$A$6:$N$9,MATCH(购销流水!$D789,记账规则!$A$6:$A$9,0),8),""))</f>
        <v/>
      </c>
      <c r="O3139" s="67" t="n">
        <f aca="false">IF($H3139="",0,ROUND(IF($N3139="成本金额",N(购销流水!$W789),IF($N3139="金额",N(购销流水!$Q789),0)),2))</f>
        <v>0</v>
      </c>
      <c r="P3139" s="64" t="str">
        <f aca="false">IF(AND($H3139&lt;&gt;"",ROUND($O3139,2)&lt;&gt;0),"有","")</f>
        <v/>
      </c>
    </row>
    <row r="3140" customFormat="false" ht="15" hidden="true" customHeight="false" outlineLevel="0" collapsed="false">
      <c r="A3140" s="53" t="str">
        <f aca="false">IF($H3140="","",ROW()-5)</f>
        <v/>
      </c>
      <c r="B3140" s="64" t="s">
        <v>36</v>
      </c>
      <c r="C3140" s="53" t="n">
        <v>789</v>
      </c>
      <c r="D3140" s="53" t="n">
        <v>3</v>
      </c>
      <c r="E3140" s="65" t="str">
        <f aca="false">IF($H3140="","",购销流水!$B789)</f>
        <v/>
      </c>
      <c r="F3140" s="55" t="str">
        <f aca="false">IF($H3140="","",购销流水!$C789)</f>
        <v/>
      </c>
      <c r="G3140" s="48" t="str">
        <f aca="false">IF($H3140="","",购销流水!$N789)</f>
        <v/>
      </c>
      <c r="H3140" s="10" t="str">
        <f aca="false">IF($L3140="","",IF($L3140="@成本",购销流水!$U789,IF($L3140="@收入",购销流水!$T789,IF($L3140="@存货",购销流水!$S789,IF($L3140="@结算",购销流水!$R789,$L3140)))))</f>
        <v/>
      </c>
      <c r="I3140" s="42" t="n">
        <f aca="false">IF($M3140="借",$O3140,0)</f>
        <v>0</v>
      </c>
      <c r="J3140" s="42" t="n">
        <f aca="false">IF($M3140="贷",$O3140,0)</f>
        <v>0</v>
      </c>
      <c r="K3140" s="48" t="str">
        <f aca="false">IF($H3140="","",购销流水!$E789)</f>
        <v/>
      </c>
      <c r="L3140" s="66" t="str">
        <f aca="false">IF(购销流水!$D789="","",IFERROR(INDEX(记账规则!$A$6:$N$9,MATCH(购销流水!$D789,记账规则!$A$6:$A$9,0),9),""))</f>
        <v/>
      </c>
      <c r="M3140" s="66" t="str">
        <f aca="false">IF($L3140="","",IFERROR(INDEX(记账规则!$A$6:$N$9,MATCH(购销流水!$D789,记账规则!$A$6:$A$9,0),10),""))</f>
        <v/>
      </c>
      <c r="N3140" s="66" t="str">
        <f aca="false">IF($L3140="","",IFERROR(INDEX(记账规则!$A$6:$N$9,MATCH(购销流水!$D789,记账规则!$A$6:$A$9,0),11),""))</f>
        <v/>
      </c>
      <c r="O3140" s="67" t="n">
        <f aca="false">IF($H3140="",0,ROUND(IF($N3140="成本金额",N(购销流水!$W789),IF($N3140="金额",N(购销流水!$Q789),0)),2))</f>
        <v>0</v>
      </c>
      <c r="P3140" s="64" t="str">
        <f aca="false">IF(AND($H3140&lt;&gt;"",ROUND($O3140,2)&lt;&gt;0),"有","")</f>
        <v/>
      </c>
    </row>
    <row r="3141" customFormat="false" ht="15" hidden="true" customHeight="false" outlineLevel="0" collapsed="false">
      <c r="A3141" s="53" t="str">
        <f aca="false">IF($H3141="","",ROW()-5)</f>
        <v/>
      </c>
      <c r="B3141" s="64" t="s">
        <v>36</v>
      </c>
      <c r="C3141" s="53" t="n">
        <v>789</v>
      </c>
      <c r="D3141" s="53" t="n">
        <v>4</v>
      </c>
      <c r="E3141" s="65" t="str">
        <f aca="false">IF($H3141="","",购销流水!$B789)</f>
        <v/>
      </c>
      <c r="F3141" s="55" t="str">
        <f aca="false">IF($H3141="","",购销流水!$C789)</f>
        <v/>
      </c>
      <c r="G3141" s="48" t="str">
        <f aca="false">IF($H3141="","",购销流水!$N789)</f>
        <v/>
      </c>
      <c r="H3141" s="10" t="str">
        <f aca="false">IF($L3141="","",IF($L3141="@成本",购销流水!$U789,IF($L3141="@收入",购销流水!$T789,IF($L3141="@存货",购销流水!$S789,IF($L3141="@结算",购销流水!$R789,$L3141)))))</f>
        <v/>
      </c>
      <c r="I3141" s="42" t="n">
        <f aca="false">IF($M3141="借",$O3141,0)</f>
        <v>0</v>
      </c>
      <c r="J3141" s="42" t="n">
        <f aca="false">IF($M3141="贷",$O3141,0)</f>
        <v>0</v>
      </c>
      <c r="K3141" s="48" t="str">
        <f aca="false">IF($H3141="","",购销流水!$E789)</f>
        <v/>
      </c>
      <c r="L3141" s="66" t="str">
        <f aca="false">IF(购销流水!$D789="","",IFERROR(INDEX(记账规则!$A$6:$N$9,MATCH(购销流水!$D789,记账规则!$A$6:$A$9,0),12),""))</f>
        <v/>
      </c>
      <c r="M3141" s="66" t="str">
        <f aca="false">IF($L3141="","",IFERROR(INDEX(记账规则!$A$6:$N$9,MATCH(购销流水!$D789,记账规则!$A$6:$A$9,0),13),""))</f>
        <v/>
      </c>
      <c r="N3141" s="66" t="str">
        <f aca="false">IF($L3141="","",IFERROR(INDEX(记账规则!$A$6:$N$9,MATCH(购销流水!$D789,记账规则!$A$6:$A$9,0),14),""))</f>
        <v/>
      </c>
      <c r="O3141" s="67" t="n">
        <f aca="false">IF($H3141="",0,ROUND(IF($N3141="成本金额",N(购销流水!$W789),IF($N3141="金额",N(购销流水!$Q789),0)),2))</f>
        <v>0</v>
      </c>
      <c r="P3141" s="64" t="str">
        <f aca="false">IF(AND($H3141&lt;&gt;"",ROUND($O3141,2)&lt;&gt;0),"有","")</f>
        <v/>
      </c>
    </row>
    <row r="3142" customFormat="false" ht="15" hidden="true" customHeight="false" outlineLevel="0" collapsed="false">
      <c r="A3142" s="53" t="str">
        <f aca="false">IF($H3142="","",ROW()-5)</f>
        <v/>
      </c>
      <c r="B3142" s="64" t="s">
        <v>36</v>
      </c>
      <c r="C3142" s="53" t="n">
        <v>790</v>
      </c>
      <c r="D3142" s="53" t="n">
        <v>1</v>
      </c>
      <c r="E3142" s="65" t="str">
        <f aca="false">IF($H3142="","",购销流水!$B790)</f>
        <v/>
      </c>
      <c r="F3142" s="55" t="str">
        <f aca="false">IF($H3142="","",购销流水!$C790)</f>
        <v/>
      </c>
      <c r="G3142" s="48" t="str">
        <f aca="false">IF($H3142="","",购销流水!$N790)</f>
        <v/>
      </c>
      <c r="H3142" s="10" t="str">
        <f aca="false">IF($L3142="","",IF($L3142="@成本",购销流水!$U790,IF($L3142="@收入",购销流水!$T790,IF($L3142="@存货",购销流水!$S790,IF($L3142="@结算",购销流水!$R790,$L3142)))))</f>
        <v/>
      </c>
      <c r="I3142" s="42" t="n">
        <f aca="false">IF($M3142="借",$O3142,0)</f>
        <v>0</v>
      </c>
      <c r="J3142" s="42" t="n">
        <f aca="false">IF($M3142="贷",$O3142,0)</f>
        <v>0</v>
      </c>
      <c r="K3142" s="48" t="str">
        <f aca="false">IF($H3142="","",购销流水!$E790)</f>
        <v/>
      </c>
      <c r="L3142" s="66" t="str">
        <f aca="false">IF(购销流水!$D790="","",IFERROR(INDEX(记账规则!$A$6:$N$9,MATCH(购销流水!$D790,记账规则!$A$6:$A$9,0),3),""))</f>
        <v/>
      </c>
      <c r="M3142" s="66" t="str">
        <f aca="false">IF($L3142="","",IFERROR(INDEX(记账规则!$A$6:$N$9,MATCH(购销流水!$D790,记账规则!$A$6:$A$9,0),4),""))</f>
        <v/>
      </c>
      <c r="N3142" s="66" t="str">
        <f aca="false">IF($L3142="","",IFERROR(INDEX(记账规则!$A$6:$N$9,MATCH(购销流水!$D790,记账规则!$A$6:$A$9,0),5),""))</f>
        <v/>
      </c>
      <c r="O3142" s="67" t="n">
        <f aca="false">IF($H3142="",0,ROUND(IF($N3142="成本金额",N(购销流水!$W790),IF($N3142="金额",N(购销流水!$Q790),0)),2))</f>
        <v>0</v>
      </c>
      <c r="P3142" s="64" t="str">
        <f aca="false">IF(AND($H3142&lt;&gt;"",ROUND($O3142,2)&lt;&gt;0),"有","")</f>
        <v/>
      </c>
    </row>
    <row r="3143" customFormat="false" ht="15" hidden="true" customHeight="false" outlineLevel="0" collapsed="false">
      <c r="A3143" s="53" t="str">
        <f aca="false">IF($H3143="","",ROW()-5)</f>
        <v/>
      </c>
      <c r="B3143" s="64" t="s">
        <v>36</v>
      </c>
      <c r="C3143" s="53" t="n">
        <v>790</v>
      </c>
      <c r="D3143" s="53" t="n">
        <v>2</v>
      </c>
      <c r="E3143" s="65" t="str">
        <f aca="false">IF($H3143="","",购销流水!$B790)</f>
        <v/>
      </c>
      <c r="F3143" s="55" t="str">
        <f aca="false">IF($H3143="","",购销流水!$C790)</f>
        <v/>
      </c>
      <c r="G3143" s="48" t="str">
        <f aca="false">IF($H3143="","",购销流水!$N790)</f>
        <v/>
      </c>
      <c r="H3143" s="10" t="str">
        <f aca="false">IF($L3143="","",IF($L3143="@成本",购销流水!$U790,IF($L3143="@收入",购销流水!$T790,IF($L3143="@存货",购销流水!$S790,IF($L3143="@结算",购销流水!$R790,$L3143)))))</f>
        <v/>
      </c>
      <c r="I3143" s="42" t="n">
        <f aca="false">IF($M3143="借",$O3143,0)</f>
        <v>0</v>
      </c>
      <c r="J3143" s="42" t="n">
        <f aca="false">IF($M3143="贷",$O3143,0)</f>
        <v>0</v>
      </c>
      <c r="K3143" s="48" t="str">
        <f aca="false">IF($H3143="","",购销流水!$E790)</f>
        <v/>
      </c>
      <c r="L3143" s="66" t="str">
        <f aca="false">IF(购销流水!$D790="","",IFERROR(INDEX(记账规则!$A$6:$N$9,MATCH(购销流水!$D790,记账规则!$A$6:$A$9,0),6),""))</f>
        <v/>
      </c>
      <c r="M3143" s="66" t="str">
        <f aca="false">IF($L3143="","",IFERROR(INDEX(记账规则!$A$6:$N$9,MATCH(购销流水!$D790,记账规则!$A$6:$A$9,0),7),""))</f>
        <v/>
      </c>
      <c r="N3143" s="66" t="str">
        <f aca="false">IF($L3143="","",IFERROR(INDEX(记账规则!$A$6:$N$9,MATCH(购销流水!$D790,记账规则!$A$6:$A$9,0),8),""))</f>
        <v/>
      </c>
      <c r="O3143" s="67" t="n">
        <f aca="false">IF($H3143="",0,ROUND(IF($N3143="成本金额",N(购销流水!$W790),IF($N3143="金额",N(购销流水!$Q790),0)),2))</f>
        <v>0</v>
      </c>
      <c r="P3143" s="64" t="str">
        <f aca="false">IF(AND($H3143&lt;&gt;"",ROUND($O3143,2)&lt;&gt;0),"有","")</f>
        <v/>
      </c>
    </row>
    <row r="3144" customFormat="false" ht="15" hidden="true" customHeight="false" outlineLevel="0" collapsed="false">
      <c r="A3144" s="53" t="str">
        <f aca="false">IF($H3144="","",ROW()-5)</f>
        <v/>
      </c>
      <c r="B3144" s="64" t="s">
        <v>36</v>
      </c>
      <c r="C3144" s="53" t="n">
        <v>790</v>
      </c>
      <c r="D3144" s="53" t="n">
        <v>3</v>
      </c>
      <c r="E3144" s="65" t="str">
        <f aca="false">IF($H3144="","",购销流水!$B790)</f>
        <v/>
      </c>
      <c r="F3144" s="55" t="str">
        <f aca="false">IF($H3144="","",购销流水!$C790)</f>
        <v/>
      </c>
      <c r="G3144" s="48" t="str">
        <f aca="false">IF($H3144="","",购销流水!$N790)</f>
        <v/>
      </c>
      <c r="H3144" s="10" t="str">
        <f aca="false">IF($L3144="","",IF($L3144="@成本",购销流水!$U790,IF($L3144="@收入",购销流水!$T790,IF($L3144="@存货",购销流水!$S790,IF($L3144="@结算",购销流水!$R790,$L3144)))))</f>
        <v/>
      </c>
      <c r="I3144" s="42" t="n">
        <f aca="false">IF($M3144="借",$O3144,0)</f>
        <v>0</v>
      </c>
      <c r="J3144" s="42" t="n">
        <f aca="false">IF($M3144="贷",$O3144,0)</f>
        <v>0</v>
      </c>
      <c r="K3144" s="48" t="str">
        <f aca="false">IF($H3144="","",购销流水!$E790)</f>
        <v/>
      </c>
      <c r="L3144" s="66" t="str">
        <f aca="false">IF(购销流水!$D790="","",IFERROR(INDEX(记账规则!$A$6:$N$9,MATCH(购销流水!$D790,记账规则!$A$6:$A$9,0),9),""))</f>
        <v/>
      </c>
      <c r="M3144" s="66" t="str">
        <f aca="false">IF($L3144="","",IFERROR(INDEX(记账规则!$A$6:$N$9,MATCH(购销流水!$D790,记账规则!$A$6:$A$9,0),10),""))</f>
        <v/>
      </c>
      <c r="N3144" s="66" t="str">
        <f aca="false">IF($L3144="","",IFERROR(INDEX(记账规则!$A$6:$N$9,MATCH(购销流水!$D790,记账规则!$A$6:$A$9,0),11),""))</f>
        <v/>
      </c>
      <c r="O3144" s="67" t="n">
        <f aca="false">IF($H3144="",0,ROUND(IF($N3144="成本金额",N(购销流水!$W790),IF($N3144="金额",N(购销流水!$Q790),0)),2))</f>
        <v>0</v>
      </c>
      <c r="P3144" s="64" t="str">
        <f aca="false">IF(AND($H3144&lt;&gt;"",ROUND($O3144,2)&lt;&gt;0),"有","")</f>
        <v/>
      </c>
    </row>
    <row r="3145" customFormat="false" ht="15" hidden="true" customHeight="false" outlineLevel="0" collapsed="false">
      <c r="A3145" s="53" t="str">
        <f aca="false">IF($H3145="","",ROW()-5)</f>
        <v/>
      </c>
      <c r="B3145" s="64" t="s">
        <v>36</v>
      </c>
      <c r="C3145" s="53" t="n">
        <v>790</v>
      </c>
      <c r="D3145" s="53" t="n">
        <v>4</v>
      </c>
      <c r="E3145" s="65" t="str">
        <f aca="false">IF($H3145="","",购销流水!$B790)</f>
        <v/>
      </c>
      <c r="F3145" s="55" t="str">
        <f aca="false">IF($H3145="","",购销流水!$C790)</f>
        <v/>
      </c>
      <c r="G3145" s="48" t="str">
        <f aca="false">IF($H3145="","",购销流水!$N790)</f>
        <v/>
      </c>
      <c r="H3145" s="10" t="str">
        <f aca="false">IF($L3145="","",IF($L3145="@成本",购销流水!$U790,IF($L3145="@收入",购销流水!$T790,IF($L3145="@存货",购销流水!$S790,IF($L3145="@结算",购销流水!$R790,$L3145)))))</f>
        <v/>
      </c>
      <c r="I3145" s="42" t="n">
        <f aca="false">IF($M3145="借",$O3145,0)</f>
        <v>0</v>
      </c>
      <c r="J3145" s="42" t="n">
        <f aca="false">IF($M3145="贷",$O3145,0)</f>
        <v>0</v>
      </c>
      <c r="K3145" s="48" t="str">
        <f aca="false">IF($H3145="","",购销流水!$E790)</f>
        <v/>
      </c>
      <c r="L3145" s="66" t="str">
        <f aca="false">IF(购销流水!$D790="","",IFERROR(INDEX(记账规则!$A$6:$N$9,MATCH(购销流水!$D790,记账规则!$A$6:$A$9,0),12),""))</f>
        <v/>
      </c>
      <c r="M3145" s="66" t="str">
        <f aca="false">IF($L3145="","",IFERROR(INDEX(记账规则!$A$6:$N$9,MATCH(购销流水!$D790,记账规则!$A$6:$A$9,0),13),""))</f>
        <v/>
      </c>
      <c r="N3145" s="66" t="str">
        <f aca="false">IF($L3145="","",IFERROR(INDEX(记账规则!$A$6:$N$9,MATCH(购销流水!$D790,记账规则!$A$6:$A$9,0),14),""))</f>
        <v/>
      </c>
      <c r="O3145" s="67" t="n">
        <f aca="false">IF($H3145="",0,ROUND(IF($N3145="成本金额",N(购销流水!$W790),IF($N3145="金额",N(购销流水!$Q790),0)),2))</f>
        <v>0</v>
      </c>
      <c r="P3145" s="64" t="str">
        <f aca="false">IF(AND($H3145&lt;&gt;"",ROUND($O3145,2)&lt;&gt;0),"有","")</f>
        <v/>
      </c>
    </row>
    <row r="3146" customFormat="false" ht="15" hidden="true" customHeight="false" outlineLevel="0" collapsed="false">
      <c r="A3146" s="53" t="str">
        <f aca="false">IF($H3146="","",ROW()-5)</f>
        <v/>
      </c>
      <c r="B3146" s="64" t="s">
        <v>36</v>
      </c>
      <c r="C3146" s="53" t="n">
        <v>791</v>
      </c>
      <c r="D3146" s="53" t="n">
        <v>1</v>
      </c>
      <c r="E3146" s="65" t="str">
        <f aca="false">IF($H3146="","",购销流水!$B791)</f>
        <v/>
      </c>
      <c r="F3146" s="55" t="str">
        <f aca="false">IF($H3146="","",购销流水!$C791)</f>
        <v/>
      </c>
      <c r="G3146" s="48" t="str">
        <f aca="false">IF($H3146="","",购销流水!$N791)</f>
        <v/>
      </c>
      <c r="H3146" s="10" t="str">
        <f aca="false">IF($L3146="","",IF($L3146="@成本",购销流水!$U791,IF($L3146="@收入",购销流水!$T791,IF($L3146="@存货",购销流水!$S791,IF($L3146="@结算",购销流水!$R791,$L3146)))))</f>
        <v/>
      </c>
      <c r="I3146" s="42" t="n">
        <f aca="false">IF($M3146="借",$O3146,0)</f>
        <v>0</v>
      </c>
      <c r="J3146" s="42" t="n">
        <f aca="false">IF($M3146="贷",$O3146,0)</f>
        <v>0</v>
      </c>
      <c r="K3146" s="48" t="str">
        <f aca="false">IF($H3146="","",购销流水!$E791)</f>
        <v/>
      </c>
      <c r="L3146" s="66" t="str">
        <f aca="false">IF(购销流水!$D791="","",IFERROR(INDEX(记账规则!$A$6:$N$9,MATCH(购销流水!$D791,记账规则!$A$6:$A$9,0),3),""))</f>
        <v/>
      </c>
      <c r="M3146" s="66" t="str">
        <f aca="false">IF($L3146="","",IFERROR(INDEX(记账规则!$A$6:$N$9,MATCH(购销流水!$D791,记账规则!$A$6:$A$9,0),4),""))</f>
        <v/>
      </c>
      <c r="N3146" s="66" t="str">
        <f aca="false">IF($L3146="","",IFERROR(INDEX(记账规则!$A$6:$N$9,MATCH(购销流水!$D791,记账规则!$A$6:$A$9,0),5),""))</f>
        <v/>
      </c>
      <c r="O3146" s="67" t="n">
        <f aca="false">IF($H3146="",0,ROUND(IF($N3146="成本金额",N(购销流水!$W791),IF($N3146="金额",N(购销流水!$Q791),0)),2))</f>
        <v>0</v>
      </c>
      <c r="P3146" s="64" t="str">
        <f aca="false">IF(AND($H3146&lt;&gt;"",ROUND($O3146,2)&lt;&gt;0),"有","")</f>
        <v/>
      </c>
    </row>
    <row r="3147" customFormat="false" ht="15" hidden="true" customHeight="false" outlineLevel="0" collapsed="false">
      <c r="A3147" s="53" t="str">
        <f aca="false">IF($H3147="","",ROW()-5)</f>
        <v/>
      </c>
      <c r="B3147" s="64" t="s">
        <v>36</v>
      </c>
      <c r="C3147" s="53" t="n">
        <v>791</v>
      </c>
      <c r="D3147" s="53" t="n">
        <v>2</v>
      </c>
      <c r="E3147" s="65" t="str">
        <f aca="false">IF($H3147="","",购销流水!$B791)</f>
        <v/>
      </c>
      <c r="F3147" s="55" t="str">
        <f aca="false">IF($H3147="","",购销流水!$C791)</f>
        <v/>
      </c>
      <c r="G3147" s="48" t="str">
        <f aca="false">IF($H3147="","",购销流水!$N791)</f>
        <v/>
      </c>
      <c r="H3147" s="10" t="str">
        <f aca="false">IF($L3147="","",IF($L3147="@成本",购销流水!$U791,IF($L3147="@收入",购销流水!$T791,IF($L3147="@存货",购销流水!$S791,IF($L3147="@结算",购销流水!$R791,$L3147)))))</f>
        <v/>
      </c>
      <c r="I3147" s="42" t="n">
        <f aca="false">IF($M3147="借",$O3147,0)</f>
        <v>0</v>
      </c>
      <c r="J3147" s="42" t="n">
        <f aca="false">IF($M3147="贷",$O3147,0)</f>
        <v>0</v>
      </c>
      <c r="K3147" s="48" t="str">
        <f aca="false">IF($H3147="","",购销流水!$E791)</f>
        <v/>
      </c>
      <c r="L3147" s="66" t="str">
        <f aca="false">IF(购销流水!$D791="","",IFERROR(INDEX(记账规则!$A$6:$N$9,MATCH(购销流水!$D791,记账规则!$A$6:$A$9,0),6),""))</f>
        <v/>
      </c>
      <c r="M3147" s="66" t="str">
        <f aca="false">IF($L3147="","",IFERROR(INDEX(记账规则!$A$6:$N$9,MATCH(购销流水!$D791,记账规则!$A$6:$A$9,0),7),""))</f>
        <v/>
      </c>
      <c r="N3147" s="66" t="str">
        <f aca="false">IF($L3147="","",IFERROR(INDEX(记账规则!$A$6:$N$9,MATCH(购销流水!$D791,记账规则!$A$6:$A$9,0),8),""))</f>
        <v/>
      </c>
      <c r="O3147" s="67" t="n">
        <f aca="false">IF($H3147="",0,ROUND(IF($N3147="成本金额",N(购销流水!$W791),IF($N3147="金额",N(购销流水!$Q791),0)),2))</f>
        <v>0</v>
      </c>
      <c r="P3147" s="64" t="str">
        <f aca="false">IF(AND($H3147&lt;&gt;"",ROUND($O3147,2)&lt;&gt;0),"有","")</f>
        <v/>
      </c>
    </row>
    <row r="3148" customFormat="false" ht="15" hidden="true" customHeight="false" outlineLevel="0" collapsed="false">
      <c r="A3148" s="53" t="str">
        <f aca="false">IF($H3148="","",ROW()-5)</f>
        <v/>
      </c>
      <c r="B3148" s="64" t="s">
        <v>36</v>
      </c>
      <c r="C3148" s="53" t="n">
        <v>791</v>
      </c>
      <c r="D3148" s="53" t="n">
        <v>3</v>
      </c>
      <c r="E3148" s="65" t="str">
        <f aca="false">IF($H3148="","",购销流水!$B791)</f>
        <v/>
      </c>
      <c r="F3148" s="55" t="str">
        <f aca="false">IF($H3148="","",购销流水!$C791)</f>
        <v/>
      </c>
      <c r="G3148" s="48" t="str">
        <f aca="false">IF($H3148="","",购销流水!$N791)</f>
        <v/>
      </c>
      <c r="H3148" s="10" t="str">
        <f aca="false">IF($L3148="","",IF($L3148="@成本",购销流水!$U791,IF($L3148="@收入",购销流水!$T791,IF($L3148="@存货",购销流水!$S791,IF($L3148="@结算",购销流水!$R791,$L3148)))))</f>
        <v/>
      </c>
      <c r="I3148" s="42" t="n">
        <f aca="false">IF($M3148="借",$O3148,0)</f>
        <v>0</v>
      </c>
      <c r="J3148" s="42" t="n">
        <f aca="false">IF($M3148="贷",$O3148,0)</f>
        <v>0</v>
      </c>
      <c r="K3148" s="48" t="str">
        <f aca="false">IF($H3148="","",购销流水!$E791)</f>
        <v/>
      </c>
      <c r="L3148" s="66" t="str">
        <f aca="false">IF(购销流水!$D791="","",IFERROR(INDEX(记账规则!$A$6:$N$9,MATCH(购销流水!$D791,记账规则!$A$6:$A$9,0),9),""))</f>
        <v/>
      </c>
      <c r="M3148" s="66" t="str">
        <f aca="false">IF($L3148="","",IFERROR(INDEX(记账规则!$A$6:$N$9,MATCH(购销流水!$D791,记账规则!$A$6:$A$9,0),10),""))</f>
        <v/>
      </c>
      <c r="N3148" s="66" t="str">
        <f aca="false">IF($L3148="","",IFERROR(INDEX(记账规则!$A$6:$N$9,MATCH(购销流水!$D791,记账规则!$A$6:$A$9,0),11),""))</f>
        <v/>
      </c>
      <c r="O3148" s="67" t="n">
        <f aca="false">IF($H3148="",0,ROUND(IF($N3148="成本金额",N(购销流水!$W791),IF($N3148="金额",N(购销流水!$Q791),0)),2))</f>
        <v>0</v>
      </c>
      <c r="P3148" s="64" t="str">
        <f aca="false">IF(AND($H3148&lt;&gt;"",ROUND($O3148,2)&lt;&gt;0),"有","")</f>
        <v/>
      </c>
    </row>
    <row r="3149" customFormat="false" ht="15" hidden="true" customHeight="false" outlineLevel="0" collapsed="false">
      <c r="A3149" s="53" t="str">
        <f aca="false">IF($H3149="","",ROW()-5)</f>
        <v/>
      </c>
      <c r="B3149" s="64" t="s">
        <v>36</v>
      </c>
      <c r="C3149" s="53" t="n">
        <v>791</v>
      </c>
      <c r="D3149" s="53" t="n">
        <v>4</v>
      </c>
      <c r="E3149" s="65" t="str">
        <f aca="false">IF($H3149="","",购销流水!$B791)</f>
        <v/>
      </c>
      <c r="F3149" s="55" t="str">
        <f aca="false">IF($H3149="","",购销流水!$C791)</f>
        <v/>
      </c>
      <c r="G3149" s="48" t="str">
        <f aca="false">IF($H3149="","",购销流水!$N791)</f>
        <v/>
      </c>
      <c r="H3149" s="10" t="str">
        <f aca="false">IF($L3149="","",IF($L3149="@成本",购销流水!$U791,IF($L3149="@收入",购销流水!$T791,IF($L3149="@存货",购销流水!$S791,IF($L3149="@结算",购销流水!$R791,$L3149)))))</f>
        <v/>
      </c>
      <c r="I3149" s="42" t="n">
        <f aca="false">IF($M3149="借",$O3149,0)</f>
        <v>0</v>
      </c>
      <c r="J3149" s="42" t="n">
        <f aca="false">IF($M3149="贷",$O3149,0)</f>
        <v>0</v>
      </c>
      <c r="K3149" s="48" t="str">
        <f aca="false">IF($H3149="","",购销流水!$E791)</f>
        <v/>
      </c>
      <c r="L3149" s="66" t="str">
        <f aca="false">IF(购销流水!$D791="","",IFERROR(INDEX(记账规则!$A$6:$N$9,MATCH(购销流水!$D791,记账规则!$A$6:$A$9,0),12),""))</f>
        <v/>
      </c>
      <c r="M3149" s="66" t="str">
        <f aca="false">IF($L3149="","",IFERROR(INDEX(记账规则!$A$6:$N$9,MATCH(购销流水!$D791,记账规则!$A$6:$A$9,0),13),""))</f>
        <v/>
      </c>
      <c r="N3149" s="66" t="str">
        <f aca="false">IF($L3149="","",IFERROR(INDEX(记账规则!$A$6:$N$9,MATCH(购销流水!$D791,记账规则!$A$6:$A$9,0),14),""))</f>
        <v/>
      </c>
      <c r="O3149" s="67" t="n">
        <f aca="false">IF($H3149="",0,ROUND(IF($N3149="成本金额",N(购销流水!$W791),IF($N3149="金额",N(购销流水!$Q791),0)),2))</f>
        <v>0</v>
      </c>
      <c r="P3149" s="64" t="str">
        <f aca="false">IF(AND($H3149&lt;&gt;"",ROUND($O3149,2)&lt;&gt;0),"有","")</f>
        <v/>
      </c>
    </row>
    <row r="3150" customFormat="false" ht="15" hidden="true" customHeight="false" outlineLevel="0" collapsed="false">
      <c r="A3150" s="53" t="str">
        <f aca="false">IF($H3150="","",ROW()-5)</f>
        <v/>
      </c>
      <c r="B3150" s="64" t="s">
        <v>36</v>
      </c>
      <c r="C3150" s="53" t="n">
        <v>792</v>
      </c>
      <c r="D3150" s="53" t="n">
        <v>1</v>
      </c>
      <c r="E3150" s="65" t="str">
        <f aca="false">IF($H3150="","",购销流水!$B792)</f>
        <v/>
      </c>
      <c r="F3150" s="55" t="str">
        <f aca="false">IF($H3150="","",购销流水!$C792)</f>
        <v/>
      </c>
      <c r="G3150" s="48" t="str">
        <f aca="false">IF($H3150="","",购销流水!$N792)</f>
        <v/>
      </c>
      <c r="H3150" s="10" t="str">
        <f aca="false">IF($L3150="","",IF($L3150="@成本",购销流水!$U792,IF($L3150="@收入",购销流水!$T792,IF($L3150="@存货",购销流水!$S792,IF($L3150="@结算",购销流水!$R792,$L3150)))))</f>
        <v/>
      </c>
      <c r="I3150" s="42" t="n">
        <f aca="false">IF($M3150="借",$O3150,0)</f>
        <v>0</v>
      </c>
      <c r="J3150" s="42" t="n">
        <f aca="false">IF($M3150="贷",$O3150,0)</f>
        <v>0</v>
      </c>
      <c r="K3150" s="48" t="str">
        <f aca="false">IF($H3150="","",购销流水!$E792)</f>
        <v/>
      </c>
      <c r="L3150" s="66" t="str">
        <f aca="false">IF(购销流水!$D792="","",IFERROR(INDEX(记账规则!$A$6:$N$9,MATCH(购销流水!$D792,记账规则!$A$6:$A$9,0),3),""))</f>
        <v/>
      </c>
      <c r="M3150" s="66" t="str">
        <f aca="false">IF($L3150="","",IFERROR(INDEX(记账规则!$A$6:$N$9,MATCH(购销流水!$D792,记账规则!$A$6:$A$9,0),4),""))</f>
        <v/>
      </c>
      <c r="N3150" s="66" t="str">
        <f aca="false">IF($L3150="","",IFERROR(INDEX(记账规则!$A$6:$N$9,MATCH(购销流水!$D792,记账规则!$A$6:$A$9,0),5),""))</f>
        <v/>
      </c>
      <c r="O3150" s="67" t="n">
        <f aca="false">IF($H3150="",0,ROUND(IF($N3150="成本金额",N(购销流水!$W792),IF($N3150="金额",N(购销流水!$Q792),0)),2))</f>
        <v>0</v>
      </c>
      <c r="P3150" s="64" t="str">
        <f aca="false">IF(AND($H3150&lt;&gt;"",ROUND($O3150,2)&lt;&gt;0),"有","")</f>
        <v/>
      </c>
    </row>
    <row r="3151" customFormat="false" ht="15" hidden="true" customHeight="false" outlineLevel="0" collapsed="false">
      <c r="A3151" s="53" t="str">
        <f aca="false">IF($H3151="","",ROW()-5)</f>
        <v/>
      </c>
      <c r="B3151" s="64" t="s">
        <v>36</v>
      </c>
      <c r="C3151" s="53" t="n">
        <v>792</v>
      </c>
      <c r="D3151" s="53" t="n">
        <v>2</v>
      </c>
      <c r="E3151" s="65" t="str">
        <f aca="false">IF($H3151="","",购销流水!$B792)</f>
        <v/>
      </c>
      <c r="F3151" s="55" t="str">
        <f aca="false">IF($H3151="","",购销流水!$C792)</f>
        <v/>
      </c>
      <c r="G3151" s="48" t="str">
        <f aca="false">IF($H3151="","",购销流水!$N792)</f>
        <v/>
      </c>
      <c r="H3151" s="10" t="str">
        <f aca="false">IF($L3151="","",IF($L3151="@成本",购销流水!$U792,IF($L3151="@收入",购销流水!$T792,IF($L3151="@存货",购销流水!$S792,IF($L3151="@结算",购销流水!$R792,$L3151)))))</f>
        <v/>
      </c>
      <c r="I3151" s="42" t="n">
        <f aca="false">IF($M3151="借",$O3151,0)</f>
        <v>0</v>
      </c>
      <c r="J3151" s="42" t="n">
        <f aca="false">IF($M3151="贷",$O3151,0)</f>
        <v>0</v>
      </c>
      <c r="K3151" s="48" t="str">
        <f aca="false">IF($H3151="","",购销流水!$E792)</f>
        <v/>
      </c>
      <c r="L3151" s="66" t="str">
        <f aca="false">IF(购销流水!$D792="","",IFERROR(INDEX(记账规则!$A$6:$N$9,MATCH(购销流水!$D792,记账规则!$A$6:$A$9,0),6),""))</f>
        <v/>
      </c>
      <c r="M3151" s="66" t="str">
        <f aca="false">IF($L3151="","",IFERROR(INDEX(记账规则!$A$6:$N$9,MATCH(购销流水!$D792,记账规则!$A$6:$A$9,0),7),""))</f>
        <v/>
      </c>
      <c r="N3151" s="66" t="str">
        <f aca="false">IF($L3151="","",IFERROR(INDEX(记账规则!$A$6:$N$9,MATCH(购销流水!$D792,记账规则!$A$6:$A$9,0),8),""))</f>
        <v/>
      </c>
      <c r="O3151" s="67" t="n">
        <f aca="false">IF($H3151="",0,ROUND(IF($N3151="成本金额",N(购销流水!$W792),IF($N3151="金额",N(购销流水!$Q792),0)),2))</f>
        <v>0</v>
      </c>
      <c r="P3151" s="64" t="str">
        <f aca="false">IF(AND($H3151&lt;&gt;"",ROUND($O3151,2)&lt;&gt;0),"有","")</f>
        <v/>
      </c>
    </row>
    <row r="3152" customFormat="false" ht="15" hidden="true" customHeight="false" outlineLevel="0" collapsed="false">
      <c r="A3152" s="53" t="str">
        <f aca="false">IF($H3152="","",ROW()-5)</f>
        <v/>
      </c>
      <c r="B3152" s="64" t="s">
        <v>36</v>
      </c>
      <c r="C3152" s="53" t="n">
        <v>792</v>
      </c>
      <c r="D3152" s="53" t="n">
        <v>3</v>
      </c>
      <c r="E3152" s="65" t="str">
        <f aca="false">IF($H3152="","",购销流水!$B792)</f>
        <v/>
      </c>
      <c r="F3152" s="55" t="str">
        <f aca="false">IF($H3152="","",购销流水!$C792)</f>
        <v/>
      </c>
      <c r="G3152" s="48" t="str">
        <f aca="false">IF($H3152="","",购销流水!$N792)</f>
        <v/>
      </c>
      <c r="H3152" s="10" t="str">
        <f aca="false">IF($L3152="","",IF($L3152="@成本",购销流水!$U792,IF($L3152="@收入",购销流水!$T792,IF($L3152="@存货",购销流水!$S792,IF($L3152="@结算",购销流水!$R792,$L3152)))))</f>
        <v/>
      </c>
      <c r="I3152" s="42" t="n">
        <f aca="false">IF($M3152="借",$O3152,0)</f>
        <v>0</v>
      </c>
      <c r="J3152" s="42" t="n">
        <f aca="false">IF($M3152="贷",$O3152,0)</f>
        <v>0</v>
      </c>
      <c r="K3152" s="48" t="str">
        <f aca="false">IF($H3152="","",购销流水!$E792)</f>
        <v/>
      </c>
      <c r="L3152" s="66" t="str">
        <f aca="false">IF(购销流水!$D792="","",IFERROR(INDEX(记账规则!$A$6:$N$9,MATCH(购销流水!$D792,记账规则!$A$6:$A$9,0),9),""))</f>
        <v/>
      </c>
      <c r="M3152" s="66" t="str">
        <f aca="false">IF($L3152="","",IFERROR(INDEX(记账规则!$A$6:$N$9,MATCH(购销流水!$D792,记账规则!$A$6:$A$9,0),10),""))</f>
        <v/>
      </c>
      <c r="N3152" s="66" t="str">
        <f aca="false">IF($L3152="","",IFERROR(INDEX(记账规则!$A$6:$N$9,MATCH(购销流水!$D792,记账规则!$A$6:$A$9,0),11),""))</f>
        <v/>
      </c>
      <c r="O3152" s="67" t="n">
        <f aca="false">IF($H3152="",0,ROUND(IF($N3152="成本金额",N(购销流水!$W792),IF($N3152="金额",N(购销流水!$Q792),0)),2))</f>
        <v>0</v>
      </c>
      <c r="P3152" s="64" t="str">
        <f aca="false">IF(AND($H3152&lt;&gt;"",ROUND($O3152,2)&lt;&gt;0),"有","")</f>
        <v/>
      </c>
    </row>
    <row r="3153" customFormat="false" ht="15" hidden="true" customHeight="false" outlineLevel="0" collapsed="false">
      <c r="A3153" s="53" t="str">
        <f aca="false">IF($H3153="","",ROW()-5)</f>
        <v/>
      </c>
      <c r="B3153" s="64" t="s">
        <v>36</v>
      </c>
      <c r="C3153" s="53" t="n">
        <v>792</v>
      </c>
      <c r="D3153" s="53" t="n">
        <v>4</v>
      </c>
      <c r="E3153" s="65" t="str">
        <f aca="false">IF($H3153="","",购销流水!$B792)</f>
        <v/>
      </c>
      <c r="F3153" s="55" t="str">
        <f aca="false">IF($H3153="","",购销流水!$C792)</f>
        <v/>
      </c>
      <c r="G3153" s="48" t="str">
        <f aca="false">IF($H3153="","",购销流水!$N792)</f>
        <v/>
      </c>
      <c r="H3153" s="10" t="str">
        <f aca="false">IF($L3153="","",IF($L3153="@成本",购销流水!$U792,IF($L3153="@收入",购销流水!$T792,IF($L3153="@存货",购销流水!$S792,IF($L3153="@结算",购销流水!$R792,$L3153)))))</f>
        <v/>
      </c>
      <c r="I3153" s="42" t="n">
        <f aca="false">IF($M3153="借",$O3153,0)</f>
        <v>0</v>
      </c>
      <c r="J3153" s="42" t="n">
        <f aca="false">IF($M3153="贷",$O3153,0)</f>
        <v>0</v>
      </c>
      <c r="K3153" s="48" t="str">
        <f aca="false">IF($H3153="","",购销流水!$E792)</f>
        <v/>
      </c>
      <c r="L3153" s="66" t="str">
        <f aca="false">IF(购销流水!$D792="","",IFERROR(INDEX(记账规则!$A$6:$N$9,MATCH(购销流水!$D792,记账规则!$A$6:$A$9,0),12),""))</f>
        <v/>
      </c>
      <c r="M3153" s="66" t="str">
        <f aca="false">IF($L3153="","",IFERROR(INDEX(记账规则!$A$6:$N$9,MATCH(购销流水!$D792,记账规则!$A$6:$A$9,0),13),""))</f>
        <v/>
      </c>
      <c r="N3153" s="66" t="str">
        <f aca="false">IF($L3153="","",IFERROR(INDEX(记账规则!$A$6:$N$9,MATCH(购销流水!$D792,记账规则!$A$6:$A$9,0),14),""))</f>
        <v/>
      </c>
      <c r="O3153" s="67" t="n">
        <f aca="false">IF($H3153="",0,ROUND(IF($N3153="成本金额",N(购销流水!$W792),IF($N3153="金额",N(购销流水!$Q792),0)),2))</f>
        <v>0</v>
      </c>
      <c r="P3153" s="64" t="str">
        <f aca="false">IF(AND($H3153&lt;&gt;"",ROUND($O3153,2)&lt;&gt;0),"有","")</f>
        <v/>
      </c>
    </row>
    <row r="3154" customFormat="false" ht="15" hidden="true" customHeight="false" outlineLevel="0" collapsed="false">
      <c r="A3154" s="53" t="str">
        <f aca="false">IF($H3154="","",ROW()-5)</f>
        <v/>
      </c>
      <c r="B3154" s="64" t="s">
        <v>36</v>
      </c>
      <c r="C3154" s="53" t="n">
        <v>793</v>
      </c>
      <c r="D3154" s="53" t="n">
        <v>1</v>
      </c>
      <c r="E3154" s="65" t="str">
        <f aca="false">IF($H3154="","",购销流水!$B793)</f>
        <v/>
      </c>
      <c r="F3154" s="55" t="str">
        <f aca="false">IF($H3154="","",购销流水!$C793)</f>
        <v/>
      </c>
      <c r="G3154" s="48" t="str">
        <f aca="false">IF($H3154="","",购销流水!$N793)</f>
        <v/>
      </c>
      <c r="H3154" s="10" t="str">
        <f aca="false">IF($L3154="","",IF($L3154="@成本",购销流水!$U793,IF($L3154="@收入",购销流水!$T793,IF($L3154="@存货",购销流水!$S793,IF($L3154="@结算",购销流水!$R793,$L3154)))))</f>
        <v/>
      </c>
      <c r="I3154" s="42" t="n">
        <f aca="false">IF($M3154="借",$O3154,0)</f>
        <v>0</v>
      </c>
      <c r="J3154" s="42" t="n">
        <f aca="false">IF($M3154="贷",$O3154,0)</f>
        <v>0</v>
      </c>
      <c r="K3154" s="48" t="str">
        <f aca="false">IF($H3154="","",购销流水!$E793)</f>
        <v/>
      </c>
      <c r="L3154" s="66" t="str">
        <f aca="false">IF(购销流水!$D793="","",IFERROR(INDEX(记账规则!$A$6:$N$9,MATCH(购销流水!$D793,记账规则!$A$6:$A$9,0),3),""))</f>
        <v/>
      </c>
      <c r="M3154" s="66" t="str">
        <f aca="false">IF($L3154="","",IFERROR(INDEX(记账规则!$A$6:$N$9,MATCH(购销流水!$D793,记账规则!$A$6:$A$9,0),4),""))</f>
        <v/>
      </c>
      <c r="N3154" s="66" t="str">
        <f aca="false">IF($L3154="","",IFERROR(INDEX(记账规则!$A$6:$N$9,MATCH(购销流水!$D793,记账规则!$A$6:$A$9,0),5),""))</f>
        <v/>
      </c>
      <c r="O3154" s="67" t="n">
        <f aca="false">IF($H3154="",0,ROUND(IF($N3154="成本金额",N(购销流水!$W793),IF($N3154="金额",N(购销流水!$Q793),0)),2))</f>
        <v>0</v>
      </c>
      <c r="P3154" s="64" t="str">
        <f aca="false">IF(AND($H3154&lt;&gt;"",ROUND($O3154,2)&lt;&gt;0),"有","")</f>
        <v/>
      </c>
    </row>
    <row r="3155" customFormat="false" ht="15" hidden="true" customHeight="false" outlineLevel="0" collapsed="false">
      <c r="A3155" s="53" t="str">
        <f aca="false">IF($H3155="","",ROW()-5)</f>
        <v/>
      </c>
      <c r="B3155" s="64" t="s">
        <v>36</v>
      </c>
      <c r="C3155" s="53" t="n">
        <v>793</v>
      </c>
      <c r="D3155" s="53" t="n">
        <v>2</v>
      </c>
      <c r="E3155" s="65" t="str">
        <f aca="false">IF($H3155="","",购销流水!$B793)</f>
        <v/>
      </c>
      <c r="F3155" s="55" t="str">
        <f aca="false">IF($H3155="","",购销流水!$C793)</f>
        <v/>
      </c>
      <c r="G3155" s="48" t="str">
        <f aca="false">IF($H3155="","",购销流水!$N793)</f>
        <v/>
      </c>
      <c r="H3155" s="10" t="str">
        <f aca="false">IF($L3155="","",IF($L3155="@成本",购销流水!$U793,IF($L3155="@收入",购销流水!$T793,IF($L3155="@存货",购销流水!$S793,IF($L3155="@结算",购销流水!$R793,$L3155)))))</f>
        <v/>
      </c>
      <c r="I3155" s="42" t="n">
        <f aca="false">IF($M3155="借",$O3155,0)</f>
        <v>0</v>
      </c>
      <c r="J3155" s="42" t="n">
        <f aca="false">IF($M3155="贷",$O3155,0)</f>
        <v>0</v>
      </c>
      <c r="K3155" s="48" t="str">
        <f aca="false">IF($H3155="","",购销流水!$E793)</f>
        <v/>
      </c>
      <c r="L3155" s="66" t="str">
        <f aca="false">IF(购销流水!$D793="","",IFERROR(INDEX(记账规则!$A$6:$N$9,MATCH(购销流水!$D793,记账规则!$A$6:$A$9,0),6),""))</f>
        <v/>
      </c>
      <c r="M3155" s="66" t="str">
        <f aca="false">IF($L3155="","",IFERROR(INDEX(记账规则!$A$6:$N$9,MATCH(购销流水!$D793,记账规则!$A$6:$A$9,0),7),""))</f>
        <v/>
      </c>
      <c r="N3155" s="66" t="str">
        <f aca="false">IF($L3155="","",IFERROR(INDEX(记账规则!$A$6:$N$9,MATCH(购销流水!$D793,记账规则!$A$6:$A$9,0),8),""))</f>
        <v/>
      </c>
      <c r="O3155" s="67" t="n">
        <f aca="false">IF($H3155="",0,ROUND(IF($N3155="成本金额",N(购销流水!$W793),IF($N3155="金额",N(购销流水!$Q793),0)),2))</f>
        <v>0</v>
      </c>
      <c r="P3155" s="64" t="str">
        <f aca="false">IF(AND($H3155&lt;&gt;"",ROUND($O3155,2)&lt;&gt;0),"有","")</f>
        <v/>
      </c>
    </row>
    <row r="3156" customFormat="false" ht="15" hidden="true" customHeight="false" outlineLevel="0" collapsed="false">
      <c r="A3156" s="53" t="str">
        <f aca="false">IF($H3156="","",ROW()-5)</f>
        <v/>
      </c>
      <c r="B3156" s="64" t="s">
        <v>36</v>
      </c>
      <c r="C3156" s="53" t="n">
        <v>793</v>
      </c>
      <c r="D3156" s="53" t="n">
        <v>3</v>
      </c>
      <c r="E3156" s="65" t="str">
        <f aca="false">IF($H3156="","",购销流水!$B793)</f>
        <v/>
      </c>
      <c r="F3156" s="55" t="str">
        <f aca="false">IF($H3156="","",购销流水!$C793)</f>
        <v/>
      </c>
      <c r="G3156" s="48" t="str">
        <f aca="false">IF($H3156="","",购销流水!$N793)</f>
        <v/>
      </c>
      <c r="H3156" s="10" t="str">
        <f aca="false">IF($L3156="","",IF($L3156="@成本",购销流水!$U793,IF($L3156="@收入",购销流水!$T793,IF($L3156="@存货",购销流水!$S793,IF($L3156="@结算",购销流水!$R793,$L3156)))))</f>
        <v/>
      </c>
      <c r="I3156" s="42" t="n">
        <f aca="false">IF($M3156="借",$O3156,0)</f>
        <v>0</v>
      </c>
      <c r="J3156" s="42" t="n">
        <f aca="false">IF($M3156="贷",$O3156,0)</f>
        <v>0</v>
      </c>
      <c r="K3156" s="48" t="str">
        <f aca="false">IF($H3156="","",购销流水!$E793)</f>
        <v/>
      </c>
      <c r="L3156" s="66" t="str">
        <f aca="false">IF(购销流水!$D793="","",IFERROR(INDEX(记账规则!$A$6:$N$9,MATCH(购销流水!$D793,记账规则!$A$6:$A$9,0),9),""))</f>
        <v/>
      </c>
      <c r="M3156" s="66" t="str">
        <f aca="false">IF($L3156="","",IFERROR(INDEX(记账规则!$A$6:$N$9,MATCH(购销流水!$D793,记账规则!$A$6:$A$9,0),10),""))</f>
        <v/>
      </c>
      <c r="N3156" s="66" t="str">
        <f aca="false">IF($L3156="","",IFERROR(INDEX(记账规则!$A$6:$N$9,MATCH(购销流水!$D793,记账规则!$A$6:$A$9,0),11),""))</f>
        <v/>
      </c>
      <c r="O3156" s="67" t="n">
        <f aca="false">IF($H3156="",0,ROUND(IF($N3156="成本金额",N(购销流水!$W793),IF($N3156="金额",N(购销流水!$Q793),0)),2))</f>
        <v>0</v>
      </c>
      <c r="P3156" s="64" t="str">
        <f aca="false">IF(AND($H3156&lt;&gt;"",ROUND($O3156,2)&lt;&gt;0),"有","")</f>
        <v/>
      </c>
    </row>
    <row r="3157" customFormat="false" ht="15" hidden="true" customHeight="false" outlineLevel="0" collapsed="false">
      <c r="A3157" s="53" t="str">
        <f aca="false">IF($H3157="","",ROW()-5)</f>
        <v/>
      </c>
      <c r="B3157" s="64" t="s">
        <v>36</v>
      </c>
      <c r="C3157" s="53" t="n">
        <v>793</v>
      </c>
      <c r="D3157" s="53" t="n">
        <v>4</v>
      </c>
      <c r="E3157" s="65" t="str">
        <f aca="false">IF($H3157="","",购销流水!$B793)</f>
        <v/>
      </c>
      <c r="F3157" s="55" t="str">
        <f aca="false">IF($H3157="","",购销流水!$C793)</f>
        <v/>
      </c>
      <c r="G3157" s="48" t="str">
        <f aca="false">IF($H3157="","",购销流水!$N793)</f>
        <v/>
      </c>
      <c r="H3157" s="10" t="str">
        <f aca="false">IF($L3157="","",IF($L3157="@成本",购销流水!$U793,IF($L3157="@收入",购销流水!$T793,IF($L3157="@存货",购销流水!$S793,IF($L3157="@结算",购销流水!$R793,$L3157)))))</f>
        <v/>
      </c>
      <c r="I3157" s="42" t="n">
        <f aca="false">IF($M3157="借",$O3157,0)</f>
        <v>0</v>
      </c>
      <c r="J3157" s="42" t="n">
        <f aca="false">IF($M3157="贷",$O3157,0)</f>
        <v>0</v>
      </c>
      <c r="K3157" s="48" t="str">
        <f aca="false">IF($H3157="","",购销流水!$E793)</f>
        <v/>
      </c>
      <c r="L3157" s="66" t="str">
        <f aca="false">IF(购销流水!$D793="","",IFERROR(INDEX(记账规则!$A$6:$N$9,MATCH(购销流水!$D793,记账规则!$A$6:$A$9,0),12),""))</f>
        <v/>
      </c>
      <c r="M3157" s="66" t="str">
        <f aca="false">IF($L3157="","",IFERROR(INDEX(记账规则!$A$6:$N$9,MATCH(购销流水!$D793,记账规则!$A$6:$A$9,0),13),""))</f>
        <v/>
      </c>
      <c r="N3157" s="66" t="str">
        <f aca="false">IF($L3157="","",IFERROR(INDEX(记账规则!$A$6:$N$9,MATCH(购销流水!$D793,记账规则!$A$6:$A$9,0),14),""))</f>
        <v/>
      </c>
      <c r="O3157" s="67" t="n">
        <f aca="false">IF($H3157="",0,ROUND(IF($N3157="成本金额",N(购销流水!$W793),IF($N3157="金额",N(购销流水!$Q793),0)),2))</f>
        <v>0</v>
      </c>
      <c r="P3157" s="64" t="str">
        <f aca="false">IF(AND($H3157&lt;&gt;"",ROUND($O3157,2)&lt;&gt;0),"有","")</f>
        <v/>
      </c>
    </row>
    <row r="3158" customFormat="false" ht="15" hidden="true" customHeight="false" outlineLevel="0" collapsed="false">
      <c r="A3158" s="53" t="str">
        <f aca="false">IF($H3158="","",ROW()-5)</f>
        <v/>
      </c>
      <c r="B3158" s="64" t="s">
        <v>36</v>
      </c>
      <c r="C3158" s="53" t="n">
        <v>794</v>
      </c>
      <c r="D3158" s="53" t="n">
        <v>1</v>
      </c>
      <c r="E3158" s="65" t="str">
        <f aca="false">IF($H3158="","",购销流水!$B794)</f>
        <v/>
      </c>
      <c r="F3158" s="55" t="str">
        <f aca="false">IF($H3158="","",购销流水!$C794)</f>
        <v/>
      </c>
      <c r="G3158" s="48" t="str">
        <f aca="false">IF($H3158="","",购销流水!$N794)</f>
        <v/>
      </c>
      <c r="H3158" s="10" t="str">
        <f aca="false">IF($L3158="","",IF($L3158="@成本",购销流水!$U794,IF($L3158="@收入",购销流水!$T794,IF($L3158="@存货",购销流水!$S794,IF($L3158="@结算",购销流水!$R794,$L3158)))))</f>
        <v/>
      </c>
      <c r="I3158" s="42" t="n">
        <f aca="false">IF($M3158="借",$O3158,0)</f>
        <v>0</v>
      </c>
      <c r="J3158" s="42" t="n">
        <f aca="false">IF($M3158="贷",$O3158,0)</f>
        <v>0</v>
      </c>
      <c r="K3158" s="48" t="str">
        <f aca="false">IF($H3158="","",购销流水!$E794)</f>
        <v/>
      </c>
      <c r="L3158" s="66" t="str">
        <f aca="false">IF(购销流水!$D794="","",IFERROR(INDEX(记账规则!$A$6:$N$9,MATCH(购销流水!$D794,记账规则!$A$6:$A$9,0),3),""))</f>
        <v/>
      </c>
      <c r="M3158" s="66" t="str">
        <f aca="false">IF($L3158="","",IFERROR(INDEX(记账规则!$A$6:$N$9,MATCH(购销流水!$D794,记账规则!$A$6:$A$9,0),4),""))</f>
        <v/>
      </c>
      <c r="N3158" s="66" t="str">
        <f aca="false">IF($L3158="","",IFERROR(INDEX(记账规则!$A$6:$N$9,MATCH(购销流水!$D794,记账规则!$A$6:$A$9,0),5),""))</f>
        <v/>
      </c>
      <c r="O3158" s="67" t="n">
        <f aca="false">IF($H3158="",0,ROUND(IF($N3158="成本金额",N(购销流水!$W794),IF($N3158="金额",N(购销流水!$Q794),0)),2))</f>
        <v>0</v>
      </c>
      <c r="P3158" s="64" t="str">
        <f aca="false">IF(AND($H3158&lt;&gt;"",ROUND($O3158,2)&lt;&gt;0),"有","")</f>
        <v/>
      </c>
    </row>
    <row r="3159" customFormat="false" ht="15" hidden="true" customHeight="false" outlineLevel="0" collapsed="false">
      <c r="A3159" s="53" t="str">
        <f aca="false">IF($H3159="","",ROW()-5)</f>
        <v/>
      </c>
      <c r="B3159" s="64" t="s">
        <v>36</v>
      </c>
      <c r="C3159" s="53" t="n">
        <v>794</v>
      </c>
      <c r="D3159" s="53" t="n">
        <v>2</v>
      </c>
      <c r="E3159" s="65" t="str">
        <f aca="false">IF($H3159="","",购销流水!$B794)</f>
        <v/>
      </c>
      <c r="F3159" s="55" t="str">
        <f aca="false">IF($H3159="","",购销流水!$C794)</f>
        <v/>
      </c>
      <c r="G3159" s="48" t="str">
        <f aca="false">IF($H3159="","",购销流水!$N794)</f>
        <v/>
      </c>
      <c r="H3159" s="10" t="str">
        <f aca="false">IF($L3159="","",IF($L3159="@成本",购销流水!$U794,IF($L3159="@收入",购销流水!$T794,IF($L3159="@存货",购销流水!$S794,IF($L3159="@结算",购销流水!$R794,$L3159)))))</f>
        <v/>
      </c>
      <c r="I3159" s="42" t="n">
        <f aca="false">IF($M3159="借",$O3159,0)</f>
        <v>0</v>
      </c>
      <c r="J3159" s="42" t="n">
        <f aca="false">IF($M3159="贷",$O3159,0)</f>
        <v>0</v>
      </c>
      <c r="K3159" s="48" t="str">
        <f aca="false">IF($H3159="","",购销流水!$E794)</f>
        <v/>
      </c>
      <c r="L3159" s="66" t="str">
        <f aca="false">IF(购销流水!$D794="","",IFERROR(INDEX(记账规则!$A$6:$N$9,MATCH(购销流水!$D794,记账规则!$A$6:$A$9,0),6),""))</f>
        <v/>
      </c>
      <c r="M3159" s="66" t="str">
        <f aca="false">IF($L3159="","",IFERROR(INDEX(记账规则!$A$6:$N$9,MATCH(购销流水!$D794,记账规则!$A$6:$A$9,0),7),""))</f>
        <v/>
      </c>
      <c r="N3159" s="66" t="str">
        <f aca="false">IF($L3159="","",IFERROR(INDEX(记账规则!$A$6:$N$9,MATCH(购销流水!$D794,记账规则!$A$6:$A$9,0),8),""))</f>
        <v/>
      </c>
      <c r="O3159" s="67" t="n">
        <f aca="false">IF($H3159="",0,ROUND(IF($N3159="成本金额",N(购销流水!$W794),IF($N3159="金额",N(购销流水!$Q794),0)),2))</f>
        <v>0</v>
      </c>
      <c r="P3159" s="64" t="str">
        <f aca="false">IF(AND($H3159&lt;&gt;"",ROUND($O3159,2)&lt;&gt;0),"有","")</f>
        <v/>
      </c>
    </row>
    <row r="3160" customFormat="false" ht="15" hidden="true" customHeight="false" outlineLevel="0" collapsed="false">
      <c r="A3160" s="53" t="str">
        <f aca="false">IF($H3160="","",ROW()-5)</f>
        <v/>
      </c>
      <c r="B3160" s="64" t="s">
        <v>36</v>
      </c>
      <c r="C3160" s="53" t="n">
        <v>794</v>
      </c>
      <c r="D3160" s="53" t="n">
        <v>3</v>
      </c>
      <c r="E3160" s="65" t="str">
        <f aca="false">IF($H3160="","",购销流水!$B794)</f>
        <v/>
      </c>
      <c r="F3160" s="55" t="str">
        <f aca="false">IF($H3160="","",购销流水!$C794)</f>
        <v/>
      </c>
      <c r="G3160" s="48" t="str">
        <f aca="false">IF($H3160="","",购销流水!$N794)</f>
        <v/>
      </c>
      <c r="H3160" s="10" t="str">
        <f aca="false">IF($L3160="","",IF($L3160="@成本",购销流水!$U794,IF($L3160="@收入",购销流水!$T794,IF($L3160="@存货",购销流水!$S794,IF($L3160="@结算",购销流水!$R794,$L3160)))))</f>
        <v/>
      </c>
      <c r="I3160" s="42" t="n">
        <f aca="false">IF($M3160="借",$O3160,0)</f>
        <v>0</v>
      </c>
      <c r="J3160" s="42" t="n">
        <f aca="false">IF($M3160="贷",$O3160,0)</f>
        <v>0</v>
      </c>
      <c r="K3160" s="48" t="str">
        <f aca="false">IF($H3160="","",购销流水!$E794)</f>
        <v/>
      </c>
      <c r="L3160" s="66" t="str">
        <f aca="false">IF(购销流水!$D794="","",IFERROR(INDEX(记账规则!$A$6:$N$9,MATCH(购销流水!$D794,记账规则!$A$6:$A$9,0),9),""))</f>
        <v/>
      </c>
      <c r="M3160" s="66" t="str">
        <f aca="false">IF($L3160="","",IFERROR(INDEX(记账规则!$A$6:$N$9,MATCH(购销流水!$D794,记账规则!$A$6:$A$9,0),10),""))</f>
        <v/>
      </c>
      <c r="N3160" s="66" t="str">
        <f aca="false">IF($L3160="","",IFERROR(INDEX(记账规则!$A$6:$N$9,MATCH(购销流水!$D794,记账规则!$A$6:$A$9,0),11),""))</f>
        <v/>
      </c>
      <c r="O3160" s="67" t="n">
        <f aca="false">IF($H3160="",0,ROUND(IF($N3160="成本金额",N(购销流水!$W794),IF($N3160="金额",N(购销流水!$Q794),0)),2))</f>
        <v>0</v>
      </c>
      <c r="P3160" s="64" t="str">
        <f aca="false">IF(AND($H3160&lt;&gt;"",ROUND($O3160,2)&lt;&gt;0),"有","")</f>
        <v/>
      </c>
    </row>
    <row r="3161" customFormat="false" ht="15" hidden="true" customHeight="false" outlineLevel="0" collapsed="false">
      <c r="A3161" s="53" t="str">
        <f aca="false">IF($H3161="","",ROW()-5)</f>
        <v/>
      </c>
      <c r="B3161" s="64" t="s">
        <v>36</v>
      </c>
      <c r="C3161" s="53" t="n">
        <v>794</v>
      </c>
      <c r="D3161" s="53" t="n">
        <v>4</v>
      </c>
      <c r="E3161" s="65" t="str">
        <f aca="false">IF($H3161="","",购销流水!$B794)</f>
        <v/>
      </c>
      <c r="F3161" s="55" t="str">
        <f aca="false">IF($H3161="","",购销流水!$C794)</f>
        <v/>
      </c>
      <c r="G3161" s="48" t="str">
        <f aca="false">IF($H3161="","",购销流水!$N794)</f>
        <v/>
      </c>
      <c r="H3161" s="10" t="str">
        <f aca="false">IF($L3161="","",IF($L3161="@成本",购销流水!$U794,IF($L3161="@收入",购销流水!$T794,IF($L3161="@存货",购销流水!$S794,IF($L3161="@结算",购销流水!$R794,$L3161)))))</f>
        <v/>
      </c>
      <c r="I3161" s="42" t="n">
        <f aca="false">IF($M3161="借",$O3161,0)</f>
        <v>0</v>
      </c>
      <c r="J3161" s="42" t="n">
        <f aca="false">IF($M3161="贷",$O3161,0)</f>
        <v>0</v>
      </c>
      <c r="K3161" s="48" t="str">
        <f aca="false">IF($H3161="","",购销流水!$E794)</f>
        <v/>
      </c>
      <c r="L3161" s="66" t="str">
        <f aca="false">IF(购销流水!$D794="","",IFERROR(INDEX(记账规则!$A$6:$N$9,MATCH(购销流水!$D794,记账规则!$A$6:$A$9,0),12),""))</f>
        <v/>
      </c>
      <c r="M3161" s="66" t="str">
        <f aca="false">IF($L3161="","",IFERROR(INDEX(记账规则!$A$6:$N$9,MATCH(购销流水!$D794,记账规则!$A$6:$A$9,0),13),""))</f>
        <v/>
      </c>
      <c r="N3161" s="66" t="str">
        <f aca="false">IF($L3161="","",IFERROR(INDEX(记账规则!$A$6:$N$9,MATCH(购销流水!$D794,记账规则!$A$6:$A$9,0),14),""))</f>
        <v/>
      </c>
      <c r="O3161" s="67" t="n">
        <f aca="false">IF($H3161="",0,ROUND(IF($N3161="成本金额",N(购销流水!$W794),IF($N3161="金额",N(购销流水!$Q794),0)),2))</f>
        <v>0</v>
      </c>
      <c r="P3161" s="64" t="str">
        <f aca="false">IF(AND($H3161&lt;&gt;"",ROUND($O3161,2)&lt;&gt;0),"有","")</f>
        <v/>
      </c>
    </row>
    <row r="3162" customFormat="false" ht="15" hidden="true" customHeight="false" outlineLevel="0" collapsed="false">
      <c r="A3162" s="53" t="str">
        <f aca="false">IF($H3162="","",ROW()-5)</f>
        <v/>
      </c>
      <c r="B3162" s="64" t="s">
        <v>36</v>
      </c>
      <c r="C3162" s="53" t="n">
        <v>795</v>
      </c>
      <c r="D3162" s="53" t="n">
        <v>1</v>
      </c>
      <c r="E3162" s="65" t="str">
        <f aca="false">IF($H3162="","",购销流水!$B795)</f>
        <v/>
      </c>
      <c r="F3162" s="55" t="str">
        <f aca="false">IF($H3162="","",购销流水!$C795)</f>
        <v/>
      </c>
      <c r="G3162" s="48" t="str">
        <f aca="false">IF($H3162="","",购销流水!$N795)</f>
        <v/>
      </c>
      <c r="H3162" s="10" t="str">
        <f aca="false">IF($L3162="","",IF($L3162="@成本",购销流水!$U795,IF($L3162="@收入",购销流水!$T795,IF($L3162="@存货",购销流水!$S795,IF($L3162="@结算",购销流水!$R795,$L3162)))))</f>
        <v/>
      </c>
      <c r="I3162" s="42" t="n">
        <f aca="false">IF($M3162="借",$O3162,0)</f>
        <v>0</v>
      </c>
      <c r="J3162" s="42" t="n">
        <f aca="false">IF($M3162="贷",$O3162,0)</f>
        <v>0</v>
      </c>
      <c r="K3162" s="48" t="str">
        <f aca="false">IF($H3162="","",购销流水!$E795)</f>
        <v/>
      </c>
      <c r="L3162" s="66" t="str">
        <f aca="false">IF(购销流水!$D795="","",IFERROR(INDEX(记账规则!$A$6:$N$9,MATCH(购销流水!$D795,记账规则!$A$6:$A$9,0),3),""))</f>
        <v/>
      </c>
      <c r="M3162" s="66" t="str">
        <f aca="false">IF($L3162="","",IFERROR(INDEX(记账规则!$A$6:$N$9,MATCH(购销流水!$D795,记账规则!$A$6:$A$9,0),4),""))</f>
        <v/>
      </c>
      <c r="N3162" s="66" t="str">
        <f aca="false">IF($L3162="","",IFERROR(INDEX(记账规则!$A$6:$N$9,MATCH(购销流水!$D795,记账规则!$A$6:$A$9,0),5),""))</f>
        <v/>
      </c>
      <c r="O3162" s="67" t="n">
        <f aca="false">IF($H3162="",0,ROUND(IF($N3162="成本金额",N(购销流水!$W795),IF($N3162="金额",N(购销流水!$Q795),0)),2))</f>
        <v>0</v>
      </c>
      <c r="P3162" s="64" t="str">
        <f aca="false">IF(AND($H3162&lt;&gt;"",ROUND($O3162,2)&lt;&gt;0),"有","")</f>
        <v/>
      </c>
    </row>
    <row r="3163" customFormat="false" ht="15" hidden="true" customHeight="false" outlineLevel="0" collapsed="false">
      <c r="A3163" s="53" t="str">
        <f aca="false">IF($H3163="","",ROW()-5)</f>
        <v/>
      </c>
      <c r="B3163" s="64" t="s">
        <v>36</v>
      </c>
      <c r="C3163" s="53" t="n">
        <v>795</v>
      </c>
      <c r="D3163" s="53" t="n">
        <v>2</v>
      </c>
      <c r="E3163" s="65" t="str">
        <f aca="false">IF($H3163="","",购销流水!$B795)</f>
        <v/>
      </c>
      <c r="F3163" s="55" t="str">
        <f aca="false">IF($H3163="","",购销流水!$C795)</f>
        <v/>
      </c>
      <c r="G3163" s="48" t="str">
        <f aca="false">IF($H3163="","",购销流水!$N795)</f>
        <v/>
      </c>
      <c r="H3163" s="10" t="str">
        <f aca="false">IF($L3163="","",IF($L3163="@成本",购销流水!$U795,IF($L3163="@收入",购销流水!$T795,IF($L3163="@存货",购销流水!$S795,IF($L3163="@结算",购销流水!$R795,$L3163)))))</f>
        <v/>
      </c>
      <c r="I3163" s="42" t="n">
        <f aca="false">IF($M3163="借",$O3163,0)</f>
        <v>0</v>
      </c>
      <c r="J3163" s="42" t="n">
        <f aca="false">IF($M3163="贷",$O3163,0)</f>
        <v>0</v>
      </c>
      <c r="K3163" s="48" t="str">
        <f aca="false">IF($H3163="","",购销流水!$E795)</f>
        <v/>
      </c>
      <c r="L3163" s="66" t="str">
        <f aca="false">IF(购销流水!$D795="","",IFERROR(INDEX(记账规则!$A$6:$N$9,MATCH(购销流水!$D795,记账规则!$A$6:$A$9,0),6),""))</f>
        <v/>
      </c>
      <c r="M3163" s="66" t="str">
        <f aca="false">IF($L3163="","",IFERROR(INDEX(记账规则!$A$6:$N$9,MATCH(购销流水!$D795,记账规则!$A$6:$A$9,0),7),""))</f>
        <v/>
      </c>
      <c r="N3163" s="66" t="str">
        <f aca="false">IF($L3163="","",IFERROR(INDEX(记账规则!$A$6:$N$9,MATCH(购销流水!$D795,记账规则!$A$6:$A$9,0),8),""))</f>
        <v/>
      </c>
      <c r="O3163" s="67" t="n">
        <f aca="false">IF($H3163="",0,ROUND(IF($N3163="成本金额",N(购销流水!$W795),IF($N3163="金额",N(购销流水!$Q795),0)),2))</f>
        <v>0</v>
      </c>
      <c r="P3163" s="64" t="str">
        <f aca="false">IF(AND($H3163&lt;&gt;"",ROUND($O3163,2)&lt;&gt;0),"有","")</f>
        <v/>
      </c>
    </row>
    <row r="3164" customFormat="false" ht="15" hidden="true" customHeight="false" outlineLevel="0" collapsed="false">
      <c r="A3164" s="53" t="str">
        <f aca="false">IF($H3164="","",ROW()-5)</f>
        <v/>
      </c>
      <c r="B3164" s="64" t="s">
        <v>36</v>
      </c>
      <c r="C3164" s="53" t="n">
        <v>795</v>
      </c>
      <c r="D3164" s="53" t="n">
        <v>3</v>
      </c>
      <c r="E3164" s="65" t="str">
        <f aca="false">IF($H3164="","",购销流水!$B795)</f>
        <v/>
      </c>
      <c r="F3164" s="55" t="str">
        <f aca="false">IF($H3164="","",购销流水!$C795)</f>
        <v/>
      </c>
      <c r="G3164" s="48" t="str">
        <f aca="false">IF($H3164="","",购销流水!$N795)</f>
        <v/>
      </c>
      <c r="H3164" s="10" t="str">
        <f aca="false">IF($L3164="","",IF($L3164="@成本",购销流水!$U795,IF($L3164="@收入",购销流水!$T795,IF($L3164="@存货",购销流水!$S795,IF($L3164="@结算",购销流水!$R795,$L3164)))))</f>
        <v/>
      </c>
      <c r="I3164" s="42" t="n">
        <f aca="false">IF($M3164="借",$O3164,0)</f>
        <v>0</v>
      </c>
      <c r="J3164" s="42" t="n">
        <f aca="false">IF($M3164="贷",$O3164,0)</f>
        <v>0</v>
      </c>
      <c r="K3164" s="48" t="str">
        <f aca="false">IF($H3164="","",购销流水!$E795)</f>
        <v/>
      </c>
      <c r="L3164" s="66" t="str">
        <f aca="false">IF(购销流水!$D795="","",IFERROR(INDEX(记账规则!$A$6:$N$9,MATCH(购销流水!$D795,记账规则!$A$6:$A$9,0),9),""))</f>
        <v/>
      </c>
      <c r="M3164" s="66" t="str">
        <f aca="false">IF($L3164="","",IFERROR(INDEX(记账规则!$A$6:$N$9,MATCH(购销流水!$D795,记账规则!$A$6:$A$9,0),10),""))</f>
        <v/>
      </c>
      <c r="N3164" s="66" t="str">
        <f aca="false">IF($L3164="","",IFERROR(INDEX(记账规则!$A$6:$N$9,MATCH(购销流水!$D795,记账规则!$A$6:$A$9,0),11),""))</f>
        <v/>
      </c>
      <c r="O3164" s="67" t="n">
        <f aca="false">IF($H3164="",0,ROUND(IF($N3164="成本金额",N(购销流水!$W795),IF($N3164="金额",N(购销流水!$Q795),0)),2))</f>
        <v>0</v>
      </c>
      <c r="P3164" s="64" t="str">
        <f aca="false">IF(AND($H3164&lt;&gt;"",ROUND($O3164,2)&lt;&gt;0),"有","")</f>
        <v/>
      </c>
    </row>
    <row r="3165" customFormat="false" ht="15" hidden="true" customHeight="false" outlineLevel="0" collapsed="false">
      <c r="A3165" s="53" t="str">
        <f aca="false">IF($H3165="","",ROW()-5)</f>
        <v/>
      </c>
      <c r="B3165" s="64" t="s">
        <v>36</v>
      </c>
      <c r="C3165" s="53" t="n">
        <v>795</v>
      </c>
      <c r="D3165" s="53" t="n">
        <v>4</v>
      </c>
      <c r="E3165" s="65" t="str">
        <f aca="false">IF($H3165="","",购销流水!$B795)</f>
        <v/>
      </c>
      <c r="F3165" s="55" t="str">
        <f aca="false">IF($H3165="","",购销流水!$C795)</f>
        <v/>
      </c>
      <c r="G3165" s="48" t="str">
        <f aca="false">IF($H3165="","",购销流水!$N795)</f>
        <v/>
      </c>
      <c r="H3165" s="10" t="str">
        <f aca="false">IF($L3165="","",IF($L3165="@成本",购销流水!$U795,IF($L3165="@收入",购销流水!$T795,IF($L3165="@存货",购销流水!$S795,IF($L3165="@结算",购销流水!$R795,$L3165)))))</f>
        <v/>
      </c>
      <c r="I3165" s="42" t="n">
        <f aca="false">IF($M3165="借",$O3165,0)</f>
        <v>0</v>
      </c>
      <c r="J3165" s="42" t="n">
        <f aca="false">IF($M3165="贷",$O3165,0)</f>
        <v>0</v>
      </c>
      <c r="K3165" s="48" t="str">
        <f aca="false">IF($H3165="","",购销流水!$E795)</f>
        <v/>
      </c>
      <c r="L3165" s="66" t="str">
        <f aca="false">IF(购销流水!$D795="","",IFERROR(INDEX(记账规则!$A$6:$N$9,MATCH(购销流水!$D795,记账规则!$A$6:$A$9,0),12),""))</f>
        <v/>
      </c>
      <c r="M3165" s="66" t="str">
        <f aca="false">IF($L3165="","",IFERROR(INDEX(记账规则!$A$6:$N$9,MATCH(购销流水!$D795,记账规则!$A$6:$A$9,0),13),""))</f>
        <v/>
      </c>
      <c r="N3165" s="66" t="str">
        <f aca="false">IF($L3165="","",IFERROR(INDEX(记账规则!$A$6:$N$9,MATCH(购销流水!$D795,记账规则!$A$6:$A$9,0),14),""))</f>
        <v/>
      </c>
      <c r="O3165" s="67" t="n">
        <f aca="false">IF($H3165="",0,ROUND(IF($N3165="成本金额",N(购销流水!$W795),IF($N3165="金额",N(购销流水!$Q795),0)),2))</f>
        <v>0</v>
      </c>
      <c r="P3165" s="64" t="str">
        <f aca="false">IF(AND($H3165&lt;&gt;"",ROUND($O3165,2)&lt;&gt;0),"有","")</f>
        <v/>
      </c>
    </row>
    <row r="3166" customFormat="false" ht="15" hidden="true" customHeight="false" outlineLevel="0" collapsed="false">
      <c r="A3166" s="53" t="str">
        <f aca="false">IF($H3166="","",ROW()-5)</f>
        <v/>
      </c>
      <c r="B3166" s="64" t="s">
        <v>36</v>
      </c>
      <c r="C3166" s="53" t="n">
        <v>796</v>
      </c>
      <c r="D3166" s="53" t="n">
        <v>1</v>
      </c>
      <c r="E3166" s="65" t="str">
        <f aca="false">IF($H3166="","",购销流水!$B796)</f>
        <v/>
      </c>
      <c r="F3166" s="55" t="str">
        <f aca="false">IF($H3166="","",购销流水!$C796)</f>
        <v/>
      </c>
      <c r="G3166" s="48" t="str">
        <f aca="false">IF($H3166="","",购销流水!$N796)</f>
        <v/>
      </c>
      <c r="H3166" s="10" t="str">
        <f aca="false">IF($L3166="","",IF($L3166="@成本",购销流水!$U796,IF($L3166="@收入",购销流水!$T796,IF($L3166="@存货",购销流水!$S796,IF($L3166="@结算",购销流水!$R796,$L3166)))))</f>
        <v/>
      </c>
      <c r="I3166" s="42" t="n">
        <f aca="false">IF($M3166="借",$O3166,0)</f>
        <v>0</v>
      </c>
      <c r="J3166" s="42" t="n">
        <f aca="false">IF($M3166="贷",$O3166,0)</f>
        <v>0</v>
      </c>
      <c r="K3166" s="48" t="str">
        <f aca="false">IF($H3166="","",购销流水!$E796)</f>
        <v/>
      </c>
      <c r="L3166" s="66" t="str">
        <f aca="false">IF(购销流水!$D796="","",IFERROR(INDEX(记账规则!$A$6:$N$9,MATCH(购销流水!$D796,记账规则!$A$6:$A$9,0),3),""))</f>
        <v/>
      </c>
      <c r="M3166" s="66" t="str">
        <f aca="false">IF($L3166="","",IFERROR(INDEX(记账规则!$A$6:$N$9,MATCH(购销流水!$D796,记账规则!$A$6:$A$9,0),4),""))</f>
        <v/>
      </c>
      <c r="N3166" s="66" t="str">
        <f aca="false">IF($L3166="","",IFERROR(INDEX(记账规则!$A$6:$N$9,MATCH(购销流水!$D796,记账规则!$A$6:$A$9,0),5),""))</f>
        <v/>
      </c>
      <c r="O3166" s="67" t="n">
        <f aca="false">IF($H3166="",0,ROUND(IF($N3166="成本金额",N(购销流水!$W796),IF($N3166="金额",N(购销流水!$Q796),0)),2))</f>
        <v>0</v>
      </c>
      <c r="P3166" s="64" t="str">
        <f aca="false">IF(AND($H3166&lt;&gt;"",ROUND($O3166,2)&lt;&gt;0),"有","")</f>
        <v/>
      </c>
    </row>
    <row r="3167" customFormat="false" ht="15" hidden="true" customHeight="false" outlineLevel="0" collapsed="false">
      <c r="A3167" s="53" t="str">
        <f aca="false">IF($H3167="","",ROW()-5)</f>
        <v/>
      </c>
      <c r="B3167" s="64" t="s">
        <v>36</v>
      </c>
      <c r="C3167" s="53" t="n">
        <v>796</v>
      </c>
      <c r="D3167" s="53" t="n">
        <v>2</v>
      </c>
      <c r="E3167" s="65" t="str">
        <f aca="false">IF($H3167="","",购销流水!$B796)</f>
        <v/>
      </c>
      <c r="F3167" s="55" t="str">
        <f aca="false">IF($H3167="","",购销流水!$C796)</f>
        <v/>
      </c>
      <c r="G3167" s="48" t="str">
        <f aca="false">IF($H3167="","",购销流水!$N796)</f>
        <v/>
      </c>
      <c r="H3167" s="10" t="str">
        <f aca="false">IF($L3167="","",IF($L3167="@成本",购销流水!$U796,IF($L3167="@收入",购销流水!$T796,IF($L3167="@存货",购销流水!$S796,IF($L3167="@结算",购销流水!$R796,$L3167)))))</f>
        <v/>
      </c>
      <c r="I3167" s="42" t="n">
        <f aca="false">IF($M3167="借",$O3167,0)</f>
        <v>0</v>
      </c>
      <c r="J3167" s="42" t="n">
        <f aca="false">IF($M3167="贷",$O3167,0)</f>
        <v>0</v>
      </c>
      <c r="K3167" s="48" t="str">
        <f aca="false">IF($H3167="","",购销流水!$E796)</f>
        <v/>
      </c>
      <c r="L3167" s="66" t="str">
        <f aca="false">IF(购销流水!$D796="","",IFERROR(INDEX(记账规则!$A$6:$N$9,MATCH(购销流水!$D796,记账规则!$A$6:$A$9,0),6),""))</f>
        <v/>
      </c>
      <c r="M3167" s="66" t="str">
        <f aca="false">IF($L3167="","",IFERROR(INDEX(记账规则!$A$6:$N$9,MATCH(购销流水!$D796,记账规则!$A$6:$A$9,0),7),""))</f>
        <v/>
      </c>
      <c r="N3167" s="66" t="str">
        <f aca="false">IF($L3167="","",IFERROR(INDEX(记账规则!$A$6:$N$9,MATCH(购销流水!$D796,记账规则!$A$6:$A$9,0),8),""))</f>
        <v/>
      </c>
      <c r="O3167" s="67" t="n">
        <f aca="false">IF($H3167="",0,ROUND(IF($N3167="成本金额",N(购销流水!$W796),IF($N3167="金额",N(购销流水!$Q796),0)),2))</f>
        <v>0</v>
      </c>
      <c r="P3167" s="64" t="str">
        <f aca="false">IF(AND($H3167&lt;&gt;"",ROUND($O3167,2)&lt;&gt;0),"有","")</f>
        <v/>
      </c>
    </row>
    <row r="3168" customFormat="false" ht="15" hidden="true" customHeight="false" outlineLevel="0" collapsed="false">
      <c r="A3168" s="53" t="str">
        <f aca="false">IF($H3168="","",ROW()-5)</f>
        <v/>
      </c>
      <c r="B3168" s="64" t="s">
        <v>36</v>
      </c>
      <c r="C3168" s="53" t="n">
        <v>796</v>
      </c>
      <c r="D3168" s="53" t="n">
        <v>3</v>
      </c>
      <c r="E3168" s="65" t="str">
        <f aca="false">IF($H3168="","",购销流水!$B796)</f>
        <v/>
      </c>
      <c r="F3168" s="55" t="str">
        <f aca="false">IF($H3168="","",购销流水!$C796)</f>
        <v/>
      </c>
      <c r="G3168" s="48" t="str">
        <f aca="false">IF($H3168="","",购销流水!$N796)</f>
        <v/>
      </c>
      <c r="H3168" s="10" t="str">
        <f aca="false">IF($L3168="","",IF($L3168="@成本",购销流水!$U796,IF($L3168="@收入",购销流水!$T796,IF($L3168="@存货",购销流水!$S796,IF($L3168="@结算",购销流水!$R796,$L3168)))))</f>
        <v/>
      </c>
      <c r="I3168" s="42" t="n">
        <f aca="false">IF($M3168="借",$O3168,0)</f>
        <v>0</v>
      </c>
      <c r="J3168" s="42" t="n">
        <f aca="false">IF($M3168="贷",$O3168,0)</f>
        <v>0</v>
      </c>
      <c r="K3168" s="48" t="str">
        <f aca="false">IF($H3168="","",购销流水!$E796)</f>
        <v/>
      </c>
      <c r="L3168" s="66" t="str">
        <f aca="false">IF(购销流水!$D796="","",IFERROR(INDEX(记账规则!$A$6:$N$9,MATCH(购销流水!$D796,记账规则!$A$6:$A$9,0),9),""))</f>
        <v/>
      </c>
      <c r="M3168" s="66" t="str">
        <f aca="false">IF($L3168="","",IFERROR(INDEX(记账规则!$A$6:$N$9,MATCH(购销流水!$D796,记账规则!$A$6:$A$9,0),10),""))</f>
        <v/>
      </c>
      <c r="N3168" s="66" t="str">
        <f aca="false">IF($L3168="","",IFERROR(INDEX(记账规则!$A$6:$N$9,MATCH(购销流水!$D796,记账规则!$A$6:$A$9,0),11),""))</f>
        <v/>
      </c>
      <c r="O3168" s="67" t="n">
        <f aca="false">IF($H3168="",0,ROUND(IF($N3168="成本金额",N(购销流水!$W796),IF($N3168="金额",N(购销流水!$Q796),0)),2))</f>
        <v>0</v>
      </c>
      <c r="P3168" s="64" t="str">
        <f aca="false">IF(AND($H3168&lt;&gt;"",ROUND($O3168,2)&lt;&gt;0),"有","")</f>
        <v/>
      </c>
    </row>
    <row r="3169" customFormat="false" ht="15" hidden="true" customHeight="false" outlineLevel="0" collapsed="false">
      <c r="A3169" s="53" t="str">
        <f aca="false">IF($H3169="","",ROW()-5)</f>
        <v/>
      </c>
      <c r="B3169" s="64" t="s">
        <v>36</v>
      </c>
      <c r="C3169" s="53" t="n">
        <v>796</v>
      </c>
      <c r="D3169" s="53" t="n">
        <v>4</v>
      </c>
      <c r="E3169" s="65" t="str">
        <f aca="false">IF($H3169="","",购销流水!$B796)</f>
        <v/>
      </c>
      <c r="F3169" s="55" t="str">
        <f aca="false">IF($H3169="","",购销流水!$C796)</f>
        <v/>
      </c>
      <c r="G3169" s="48" t="str">
        <f aca="false">IF($H3169="","",购销流水!$N796)</f>
        <v/>
      </c>
      <c r="H3169" s="10" t="str">
        <f aca="false">IF($L3169="","",IF($L3169="@成本",购销流水!$U796,IF($L3169="@收入",购销流水!$T796,IF($L3169="@存货",购销流水!$S796,IF($L3169="@结算",购销流水!$R796,$L3169)))))</f>
        <v/>
      </c>
      <c r="I3169" s="42" t="n">
        <f aca="false">IF($M3169="借",$O3169,0)</f>
        <v>0</v>
      </c>
      <c r="J3169" s="42" t="n">
        <f aca="false">IF($M3169="贷",$O3169,0)</f>
        <v>0</v>
      </c>
      <c r="K3169" s="48" t="str">
        <f aca="false">IF($H3169="","",购销流水!$E796)</f>
        <v/>
      </c>
      <c r="L3169" s="66" t="str">
        <f aca="false">IF(购销流水!$D796="","",IFERROR(INDEX(记账规则!$A$6:$N$9,MATCH(购销流水!$D796,记账规则!$A$6:$A$9,0),12),""))</f>
        <v/>
      </c>
      <c r="M3169" s="66" t="str">
        <f aca="false">IF($L3169="","",IFERROR(INDEX(记账规则!$A$6:$N$9,MATCH(购销流水!$D796,记账规则!$A$6:$A$9,0),13),""))</f>
        <v/>
      </c>
      <c r="N3169" s="66" t="str">
        <f aca="false">IF($L3169="","",IFERROR(INDEX(记账规则!$A$6:$N$9,MATCH(购销流水!$D796,记账规则!$A$6:$A$9,0),14),""))</f>
        <v/>
      </c>
      <c r="O3169" s="67" t="n">
        <f aca="false">IF($H3169="",0,ROUND(IF($N3169="成本金额",N(购销流水!$W796),IF($N3169="金额",N(购销流水!$Q796),0)),2))</f>
        <v>0</v>
      </c>
      <c r="P3169" s="64" t="str">
        <f aca="false">IF(AND($H3169&lt;&gt;"",ROUND($O3169,2)&lt;&gt;0),"有","")</f>
        <v/>
      </c>
    </row>
    <row r="3170" customFormat="false" ht="15" hidden="true" customHeight="false" outlineLevel="0" collapsed="false">
      <c r="A3170" s="53" t="str">
        <f aca="false">IF($H3170="","",ROW()-5)</f>
        <v/>
      </c>
      <c r="B3170" s="64" t="s">
        <v>36</v>
      </c>
      <c r="C3170" s="53" t="n">
        <v>797</v>
      </c>
      <c r="D3170" s="53" t="n">
        <v>1</v>
      </c>
      <c r="E3170" s="65" t="str">
        <f aca="false">IF($H3170="","",购销流水!$B797)</f>
        <v/>
      </c>
      <c r="F3170" s="55" t="str">
        <f aca="false">IF($H3170="","",购销流水!$C797)</f>
        <v/>
      </c>
      <c r="G3170" s="48" t="str">
        <f aca="false">IF($H3170="","",购销流水!$N797)</f>
        <v/>
      </c>
      <c r="H3170" s="10" t="str">
        <f aca="false">IF($L3170="","",IF($L3170="@成本",购销流水!$U797,IF($L3170="@收入",购销流水!$T797,IF($L3170="@存货",购销流水!$S797,IF($L3170="@结算",购销流水!$R797,$L3170)))))</f>
        <v/>
      </c>
      <c r="I3170" s="42" t="n">
        <f aca="false">IF($M3170="借",$O3170,0)</f>
        <v>0</v>
      </c>
      <c r="J3170" s="42" t="n">
        <f aca="false">IF($M3170="贷",$O3170,0)</f>
        <v>0</v>
      </c>
      <c r="K3170" s="48" t="str">
        <f aca="false">IF($H3170="","",购销流水!$E797)</f>
        <v/>
      </c>
      <c r="L3170" s="66" t="str">
        <f aca="false">IF(购销流水!$D797="","",IFERROR(INDEX(记账规则!$A$6:$N$9,MATCH(购销流水!$D797,记账规则!$A$6:$A$9,0),3),""))</f>
        <v/>
      </c>
      <c r="M3170" s="66" t="str">
        <f aca="false">IF($L3170="","",IFERROR(INDEX(记账规则!$A$6:$N$9,MATCH(购销流水!$D797,记账规则!$A$6:$A$9,0),4),""))</f>
        <v/>
      </c>
      <c r="N3170" s="66" t="str">
        <f aca="false">IF($L3170="","",IFERROR(INDEX(记账规则!$A$6:$N$9,MATCH(购销流水!$D797,记账规则!$A$6:$A$9,0),5),""))</f>
        <v/>
      </c>
      <c r="O3170" s="67" t="n">
        <f aca="false">IF($H3170="",0,ROUND(IF($N3170="成本金额",N(购销流水!$W797),IF($N3170="金额",N(购销流水!$Q797),0)),2))</f>
        <v>0</v>
      </c>
      <c r="P3170" s="64" t="str">
        <f aca="false">IF(AND($H3170&lt;&gt;"",ROUND($O3170,2)&lt;&gt;0),"有","")</f>
        <v/>
      </c>
    </row>
    <row r="3171" customFormat="false" ht="15" hidden="true" customHeight="false" outlineLevel="0" collapsed="false">
      <c r="A3171" s="53" t="str">
        <f aca="false">IF($H3171="","",ROW()-5)</f>
        <v/>
      </c>
      <c r="B3171" s="64" t="s">
        <v>36</v>
      </c>
      <c r="C3171" s="53" t="n">
        <v>797</v>
      </c>
      <c r="D3171" s="53" t="n">
        <v>2</v>
      </c>
      <c r="E3171" s="65" t="str">
        <f aca="false">IF($H3171="","",购销流水!$B797)</f>
        <v/>
      </c>
      <c r="F3171" s="55" t="str">
        <f aca="false">IF($H3171="","",购销流水!$C797)</f>
        <v/>
      </c>
      <c r="G3171" s="48" t="str">
        <f aca="false">IF($H3171="","",购销流水!$N797)</f>
        <v/>
      </c>
      <c r="H3171" s="10" t="str">
        <f aca="false">IF($L3171="","",IF($L3171="@成本",购销流水!$U797,IF($L3171="@收入",购销流水!$T797,IF($L3171="@存货",购销流水!$S797,IF($L3171="@结算",购销流水!$R797,$L3171)))))</f>
        <v/>
      </c>
      <c r="I3171" s="42" t="n">
        <f aca="false">IF($M3171="借",$O3171,0)</f>
        <v>0</v>
      </c>
      <c r="J3171" s="42" t="n">
        <f aca="false">IF($M3171="贷",$O3171,0)</f>
        <v>0</v>
      </c>
      <c r="K3171" s="48" t="str">
        <f aca="false">IF($H3171="","",购销流水!$E797)</f>
        <v/>
      </c>
      <c r="L3171" s="66" t="str">
        <f aca="false">IF(购销流水!$D797="","",IFERROR(INDEX(记账规则!$A$6:$N$9,MATCH(购销流水!$D797,记账规则!$A$6:$A$9,0),6),""))</f>
        <v/>
      </c>
      <c r="M3171" s="66" t="str">
        <f aca="false">IF($L3171="","",IFERROR(INDEX(记账规则!$A$6:$N$9,MATCH(购销流水!$D797,记账规则!$A$6:$A$9,0),7),""))</f>
        <v/>
      </c>
      <c r="N3171" s="66" t="str">
        <f aca="false">IF($L3171="","",IFERROR(INDEX(记账规则!$A$6:$N$9,MATCH(购销流水!$D797,记账规则!$A$6:$A$9,0),8),""))</f>
        <v/>
      </c>
      <c r="O3171" s="67" t="n">
        <f aca="false">IF($H3171="",0,ROUND(IF($N3171="成本金额",N(购销流水!$W797),IF($N3171="金额",N(购销流水!$Q797),0)),2))</f>
        <v>0</v>
      </c>
      <c r="P3171" s="64" t="str">
        <f aca="false">IF(AND($H3171&lt;&gt;"",ROUND($O3171,2)&lt;&gt;0),"有","")</f>
        <v/>
      </c>
    </row>
    <row r="3172" customFormat="false" ht="15" hidden="true" customHeight="false" outlineLevel="0" collapsed="false">
      <c r="A3172" s="53" t="str">
        <f aca="false">IF($H3172="","",ROW()-5)</f>
        <v/>
      </c>
      <c r="B3172" s="64" t="s">
        <v>36</v>
      </c>
      <c r="C3172" s="53" t="n">
        <v>797</v>
      </c>
      <c r="D3172" s="53" t="n">
        <v>3</v>
      </c>
      <c r="E3172" s="65" t="str">
        <f aca="false">IF($H3172="","",购销流水!$B797)</f>
        <v/>
      </c>
      <c r="F3172" s="55" t="str">
        <f aca="false">IF($H3172="","",购销流水!$C797)</f>
        <v/>
      </c>
      <c r="G3172" s="48" t="str">
        <f aca="false">IF($H3172="","",购销流水!$N797)</f>
        <v/>
      </c>
      <c r="H3172" s="10" t="str">
        <f aca="false">IF($L3172="","",IF($L3172="@成本",购销流水!$U797,IF($L3172="@收入",购销流水!$T797,IF($L3172="@存货",购销流水!$S797,IF($L3172="@结算",购销流水!$R797,$L3172)))))</f>
        <v/>
      </c>
      <c r="I3172" s="42" t="n">
        <f aca="false">IF($M3172="借",$O3172,0)</f>
        <v>0</v>
      </c>
      <c r="J3172" s="42" t="n">
        <f aca="false">IF($M3172="贷",$O3172,0)</f>
        <v>0</v>
      </c>
      <c r="K3172" s="48" t="str">
        <f aca="false">IF($H3172="","",购销流水!$E797)</f>
        <v/>
      </c>
      <c r="L3172" s="66" t="str">
        <f aca="false">IF(购销流水!$D797="","",IFERROR(INDEX(记账规则!$A$6:$N$9,MATCH(购销流水!$D797,记账规则!$A$6:$A$9,0),9),""))</f>
        <v/>
      </c>
      <c r="M3172" s="66" t="str">
        <f aca="false">IF($L3172="","",IFERROR(INDEX(记账规则!$A$6:$N$9,MATCH(购销流水!$D797,记账规则!$A$6:$A$9,0),10),""))</f>
        <v/>
      </c>
      <c r="N3172" s="66" t="str">
        <f aca="false">IF($L3172="","",IFERROR(INDEX(记账规则!$A$6:$N$9,MATCH(购销流水!$D797,记账规则!$A$6:$A$9,0),11),""))</f>
        <v/>
      </c>
      <c r="O3172" s="67" t="n">
        <f aca="false">IF($H3172="",0,ROUND(IF($N3172="成本金额",N(购销流水!$W797),IF($N3172="金额",N(购销流水!$Q797),0)),2))</f>
        <v>0</v>
      </c>
      <c r="P3172" s="64" t="str">
        <f aca="false">IF(AND($H3172&lt;&gt;"",ROUND($O3172,2)&lt;&gt;0),"有","")</f>
        <v/>
      </c>
    </row>
    <row r="3173" customFormat="false" ht="15" hidden="true" customHeight="false" outlineLevel="0" collapsed="false">
      <c r="A3173" s="53" t="str">
        <f aca="false">IF($H3173="","",ROW()-5)</f>
        <v/>
      </c>
      <c r="B3173" s="64" t="s">
        <v>36</v>
      </c>
      <c r="C3173" s="53" t="n">
        <v>797</v>
      </c>
      <c r="D3173" s="53" t="n">
        <v>4</v>
      </c>
      <c r="E3173" s="65" t="str">
        <f aca="false">IF($H3173="","",购销流水!$B797)</f>
        <v/>
      </c>
      <c r="F3173" s="55" t="str">
        <f aca="false">IF($H3173="","",购销流水!$C797)</f>
        <v/>
      </c>
      <c r="G3173" s="48" t="str">
        <f aca="false">IF($H3173="","",购销流水!$N797)</f>
        <v/>
      </c>
      <c r="H3173" s="10" t="str">
        <f aca="false">IF($L3173="","",IF($L3173="@成本",购销流水!$U797,IF($L3173="@收入",购销流水!$T797,IF($L3173="@存货",购销流水!$S797,IF($L3173="@结算",购销流水!$R797,$L3173)))))</f>
        <v/>
      </c>
      <c r="I3173" s="42" t="n">
        <f aca="false">IF($M3173="借",$O3173,0)</f>
        <v>0</v>
      </c>
      <c r="J3173" s="42" t="n">
        <f aca="false">IF($M3173="贷",$O3173,0)</f>
        <v>0</v>
      </c>
      <c r="K3173" s="48" t="str">
        <f aca="false">IF($H3173="","",购销流水!$E797)</f>
        <v/>
      </c>
      <c r="L3173" s="66" t="str">
        <f aca="false">IF(购销流水!$D797="","",IFERROR(INDEX(记账规则!$A$6:$N$9,MATCH(购销流水!$D797,记账规则!$A$6:$A$9,0),12),""))</f>
        <v/>
      </c>
      <c r="M3173" s="66" t="str">
        <f aca="false">IF($L3173="","",IFERROR(INDEX(记账规则!$A$6:$N$9,MATCH(购销流水!$D797,记账规则!$A$6:$A$9,0),13),""))</f>
        <v/>
      </c>
      <c r="N3173" s="66" t="str">
        <f aca="false">IF($L3173="","",IFERROR(INDEX(记账规则!$A$6:$N$9,MATCH(购销流水!$D797,记账规则!$A$6:$A$9,0),14),""))</f>
        <v/>
      </c>
      <c r="O3173" s="67" t="n">
        <f aca="false">IF($H3173="",0,ROUND(IF($N3173="成本金额",N(购销流水!$W797),IF($N3173="金额",N(购销流水!$Q797),0)),2))</f>
        <v>0</v>
      </c>
      <c r="P3173" s="64" t="str">
        <f aca="false">IF(AND($H3173&lt;&gt;"",ROUND($O3173,2)&lt;&gt;0),"有","")</f>
        <v/>
      </c>
    </row>
    <row r="3174" customFormat="false" ht="15" hidden="true" customHeight="false" outlineLevel="0" collapsed="false">
      <c r="A3174" s="53" t="str">
        <f aca="false">IF($H3174="","",ROW()-5)</f>
        <v/>
      </c>
      <c r="B3174" s="64" t="s">
        <v>36</v>
      </c>
      <c r="C3174" s="53" t="n">
        <v>798</v>
      </c>
      <c r="D3174" s="53" t="n">
        <v>1</v>
      </c>
      <c r="E3174" s="65" t="str">
        <f aca="false">IF($H3174="","",购销流水!$B798)</f>
        <v/>
      </c>
      <c r="F3174" s="55" t="str">
        <f aca="false">IF($H3174="","",购销流水!$C798)</f>
        <v/>
      </c>
      <c r="G3174" s="48" t="str">
        <f aca="false">IF($H3174="","",购销流水!$N798)</f>
        <v/>
      </c>
      <c r="H3174" s="10" t="str">
        <f aca="false">IF($L3174="","",IF($L3174="@成本",购销流水!$U798,IF($L3174="@收入",购销流水!$T798,IF($L3174="@存货",购销流水!$S798,IF($L3174="@结算",购销流水!$R798,$L3174)))))</f>
        <v/>
      </c>
      <c r="I3174" s="42" t="n">
        <f aca="false">IF($M3174="借",$O3174,0)</f>
        <v>0</v>
      </c>
      <c r="J3174" s="42" t="n">
        <f aca="false">IF($M3174="贷",$O3174,0)</f>
        <v>0</v>
      </c>
      <c r="K3174" s="48" t="str">
        <f aca="false">IF($H3174="","",购销流水!$E798)</f>
        <v/>
      </c>
      <c r="L3174" s="66" t="str">
        <f aca="false">IF(购销流水!$D798="","",IFERROR(INDEX(记账规则!$A$6:$N$9,MATCH(购销流水!$D798,记账规则!$A$6:$A$9,0),3),""))</f>
        <v/>
      </c>
      <c r="M3174" s="66" t="str">
        <f aca="false">IF($L3174="","",IFERROR(INDEX(记账规则!$A$6:$N$9,MATCH(购销流水!$D798,记账规则!$A$6:$A$9,0),4),""))</f>
        <v/>
      </c>
      <c r="N3174" s="66" t="str">
        <f aca="false">IF($L3174="","",IFERROR(INDEX(记账规则!$A$6:$N$9,MATCH(购销流水!$D798,记账规则!$A$6:$A$9,0),5),""))</f>
        <v/>
      </c>
      <c r="O3174" s="67" t="n">
        <f aca="false">IF($H3174="",0,ROUND(IF($N3174="成本金额",N(购销流水!$W798),IF($N3174="金额",N(购销流水!$Q798),0)),2))</f>
        <v>0</v>
      </c>
      <c r="P3174" s="64" t="str">
        <f aca="false">IF(AND($H3174&lt;&gt;"",ROUND($O3174,2)&lt;&gt;0),"有","")</f>
        <v/>
      </c>
    </row>
    <row r="3175" customFormat="false" ht="15" hidden="true" customHeight="false" outlineLevel="0" collapsed="false">
      <c r="A3175" s="53" t="str">
        <f aca="false">IF($H3175="","",ROW()-5)</f>
        <v/>
      </c>
      <c r="B3175" s="64" t="s">
        <v>36</v>
      </c>
      <c r="C3175" s="53" t="n">
        <v>798</v>
      </c>
      <c r="D3175" s="53" t="n">
        <v>2</v>
      </c>
      <c r="E3175" s="65" t="str">
        <f aca="false">IF($H3175="","",购销流水!$B798)</f>
        <v/>
      </c>
      <c r="F3175" s="55" t="str">
        <f aca="false">IF($H3175="","",购销流水!$C798)</f>
        <v/>
      </c>
      <c r="G3175" s="48" t="str">
        <f aca="false">IF($H3175="","",购销流水!$N798)</f>
        <v/>
      </c>
      <c r="H3175" s="10" t="str">
        <f aca="false">IF($L3175="","",IF($L3175="@成本",购销流水!$U798,IF($L3175="@收入",购销流水!$T798,IF($L3175="@存货",购销流水!$S798,IF($L3175="@结算",购销流水!$R798,$L3175)))))</f>
        <v/>
      </c>
      <c r="I3175" s="42" t="n">
        <f aca="false">IF($M3175="借",$O3175,0)</f>
        <v>0</v>
      </c>
      <c r="J3175" s="42" t="n">
        <f aca="false">IF($M3175="贷",$O3175,0)</f>
        <v>0</v>
      </c>
      <c r="K3175" s="48" t="str">
        <f aca="false">IF($H3175="","",购销流水!$E798)</f>
        <v/>
      </c>
      <c r="L3175" s="66" t="str">
        <f aca="false">IF(购销流水!$D798="","",IFERROR(INDEX(记账规则!$A$6:$N$9,MATCH(购销流水!$D798,记账规则!$A$6:$A$9,0),6),""))</f>
        <v/>
      </c>
      <c r="M3175" s="66" t="str">
        <f aca="false">IF($L3175="","",IFERROR(INDEX(记账规则!$A$6:$N$9,MATCH(购销流水!$D798,记账规则!$A$6:$A$9,0),7),""))</f>
        <v/>
      </c>
      <c r="N3175" s="66" t="str">
        <f aca="false">IF($L3175="","",IFERROR(INDEX(记账规则!$A$6:$N$9,MATCH(购销流水!$D798,记账规则!$A$6:$A$9,0),8),""))</f>
        <v/>
      </c>
      <c r="O3175" s="67" t="n">
        <f aca="false">IF($H3175="",0,ROUND(IF($N3175="成本金额",N(购销流水!$W798),IF($N3175="金额",N(购销流水!$Q798),0)),2))</f>
        <v>0</v>
      </c>
      <c r="P3175" s="64" t="str">
        <f aca="false">IF(AND($H3175&lt;&gt;"",ROUND($O3175,2)&lt;&gt;0),"有","")</f>
        <v/>
      </c>
    </row>
    <row r="3176" customFormat="false" ht="15" hidden="true" customHeight="false" outlineLevel="0" collapsed="false">
      <c r="A3176" s="53" t="str">
        <f aca="false">IF($H3176="","",ROW()-5)</f>
        <v/>
      </c>
      <c r="B3176" s="64" t="s">
        <v>36</v>
      </c>
      <c r="C3176" s="53" t="n">
        <v>798</v>
      </c>
      <c r="D3176" s="53" t="n">
        <v>3</v>
      </c>
      <c r="E3176" s="65" t="str">
        <f aca="false">IF($H3176="","",购销流水!$B798)</f>
        <v/>
      </c>
      <c r="F3176" s="55" t="str">
        <f aca="false">IF($H3176="","",购销流水!$C798)</f>
        <v/>
      </c>
      <c r="G3176" s="48" t="str">
        <f aca="false">IF($H3176="","",购销流水!$N798)</f>
        <v/>
      </c>
      <c r="H3176" s="10" t="str">
        <f aca="false">IF($L3176="","",IF($L3176="@成本",购销流水!$U798,IF($L3176="@收入",购销流水!$T798,IF($L3176="@存货",购销流水!$S798,IF($L3176="@结算",购销流水!$R798,$L3176)))))</f>
        <v/>
      </c>
      <c r="I3176" s="42" t="n">
        <f aca="false">IF($M3176="借",$O3176,0)</f>
        <v>0</v>
      </c>
      <c r="J3176" s="42" t="n">
        <f aca="false">IF($M3176="贷",$O3176,0)</f>
        <v>0</v>
      </c>
      <c r="K3176" s="48" t="str">
        <f aca="false">IF($H3176="","",购销流水!$E798)</f>
        <v/>
      </c>
      <c r="L3176" s="66" t="str">
        <f aca="false">IF(购销流水!$D798="","",IFERROR(INDEX(记账规则!$A$6:$N$9,MATCH(购销流水!$D798,记账规则!$A$6:$A$9,0),9),""))</f>
        <v/>
      </c>
      <c r="M3176" s="66" t="str">
        <f aca="false">IF($L3176="","",IFERROR(INDEX(记账规则!$A$6:$N$9,MATCH(购销流水!$D798,记账规则!$A$6:$A$9,0),10),""))</f>
        <v/>
      </c>
      <c r="N3176" s="66" t="str">
        <f aca="false">IF($L3176="","",IFERROR(INDEX(记账规则!$A$6:$N$9,MATCH(购销流水!$D798,记账规则!$A$6:$A$9,0),11),""))</f>
        <v/>
      </c>
      <c r="O3176" s="67" t="n">
        <f aca="false">IF($H3176="",0,ROUND(IF($N3176="成本金额",N(购销流水!$W798),IF($N3176="金额",N(购销流水!$Q798),0)),2))</f>
        <v>0</v>
      </c>
      <c r="P3176" s="64" t="str">
        <f aca="false">IF(AND($H3176&lt;&gt;"",ROUND($O3176,2)&lt;&gt;0),"有","")</f>
        <v/>
      </c>
    </row>
    <row r="3177" customFormat="false" ht="15" hidden="true" customHeight="false" outlineLevel="0" collapsed="false">
      <c r="A3177" s="53" t="str">
        <f aca="false">IF($H3177="","",ROW()-5)</f>
        <v/>
      </c>
      <c r="B3177" s="64" t="s">
        <v>36</v>
      </c>
      <c r="C3177" s="53" t="n">
        <v>798</v>
      </c>
      <c r="D3177" s="53" t="n">
        <v>4</v>
      </c>
      <c r="E3177" s="65" t="str">
        <f aca="false">IF($H3177="","",购销流水!$B798)</f>
        <v/>
      </c>
      <c r="F3177" s="55" t="str">
        <f aca="false">IF($H3177="","",购销流水!$C798)</f>
        <v/>
      </c>
      <c r="G3177" s="48" t="str">
        <f aca="false">IF($H3177="","",购销流水!$N798)</f>
        <v/>
      </c>
      <c r="H3177" s="10" t="str">
        <f aca="false">IF($L3177="","",IF($L3177="@成本",购销流水!$U798,IF($L3177="@收入",购销流水!$T798,IF($L3177="@存货",购销流水!$S798,IF($L3177="@结算",购销流水!$R798,$L3177)))))</f>
        <v/>
      </c>
      <c r="I3177" s="42" t="n">
        <f aca="false">IF($M3177="借",$O3177,0)</f>
        <v>0</v>
      </c>
      <c r="J3177" s="42" t="n">
        <f aca="false">IF($M3177="贷",$O3177,0)</f>
        <v>0</v>
      </c>
      <c r="K3177" s="48" t="str">
        <f aca="false">IF($H3177="","",购销流水!$E798)</f>
        <v/>
      </c>
      <c r="L3177" s="66" t="str">
        <f aca="false">IF(购销流水!$D798="","",IFERROR(INDEX(记账规则!$A$6:$N$9,MATCH(购销流水!$D798,记账规则!$A$6:$A$9,0),12),""))</f>
        <v/>
      </c>
      <c r="M3177" s="66" t="str">
        <f aca="false">IF($L3177="","",IFERROR(INDEX(记账规则!$A$6:$N$9,MATCH(购销流水!$D798,记账规则!$A$6:$A$9,0),13),""))</f>
        <v/>
      </c>
      <c r="N3177" s="66" t="str">
        <f aca="false">IF($L3177="","",IFERROR(INDEX(记账规则!$A$6:$N$9,MATCH(购销流水!$D798,记账规则!$A$6:$A$9,0),14),""))</f>
        <v/>
      </c>
      <c r="O3177" s="67" t="n">
        <f aca="false">IF($H3177="",0,ROUND(IF($N3177="成本金额",N(购销流水!$W798),IF($N3177="金额",N(购销流水!$Q798),0)),2))</f>
        <v>0</v>
      </c>
      <c r="P3177" s="64" t="str">
        <f aca="false">IF(AND($H3177&lt;&gt;"",ROUND($O3177,2)&lt;&gt;0),"有","")</f>
        <v/>
      </c>
    </row>
    <row r="3178" customFormat="false" ht="15" hidden="true" customHeight="false" outlineLevel="0" collapsed="false">
      <c r="A3178" s="53" t="str">
        <f aca="false">IF($H3178="","",ROW()-5)</f>
        <v/>
      </c>
      <c r="B3178" s="64" t="s">
        <v>36</v>
      </c>
      <c r="C3178" s="53" t="n">
        <v>799</v>
      </c>
      <c r="D3178" s="53" t="n">
        <v>1</v>
      </c>
      <c r="E3178" s="65" t="str">
        <f aca="false">IF($H3178="","",购销流水!$B799)</f>
        <v/>
      </c>
      <c r="F3178" s="55" t="str">
        <f aca="false">IF($H3178="","",购销流水!$C799)</f>
        <v/>
      </c>
      <c r="G3178" s="48" t="str">
        <f aca="false">IF($H3178="","",购销流水!$N799)</f>
        <v/>
      </c>
      <c r="H3178" s="10" t="str">
        <f aca="false">IF($L3178="","",IF($L3178="@成本",购销流水!$U799,IF($L3178="@收入",购销流水!$T799,IF($L3178="@存货",购销流水!$S799,IF($L3178="@结算",购销流水!$R799,$L3178)))))</f>
        <v/>
      </c>
      <c r="I3178" s="42" t="n">
        <f aca="false">IF($M3178="借",$O3178,0)</f>
        <v>0</v>
      </c>
      <c r="J3178" s="42" t="n">
        <f aca="false">IF($M3178="贷",$O3178,0)</f>
        <v>0</v>
      </c>
      <c r="K3178" s="48" t="str">
        <f aca="false">IF($H3178="","",购销流水!$E799)</f>
        <v/>
      </c>
      <c r="L3178" s="66" t="str">
        <f aca="false">IF(购销流水!$D799="","",IFERROR(INDEX(记账规则!$A$6:$N$9,MATCH(购销流水!$D799,记账规则!$A$6:$A$9,0),3),""))</f>
        <v/>
      </c>
      <c r="M3178" s="66" t="str">
        <f aca="false">IF($L3178="","",IFERROR(INDEX(记账规则!$A$6:$N$9,MATCH(购销流水!$D799,记账规则!$A$6:$A$9,0),4),""))</f>
        <v/>
      </c>
      <c r="N3178" s="66" t="str">
        <f aca="false">IF($L3178="","",IFERROR(INDEX(记账规则!$A$6:$N$9,MATCH(购销流水!$D799,记账规则!$A$6:$A$9,0),5),""))</f>
        <v/>
      </c>
      <c r="O3178" s="67" t="n">
        <f aca="false">IF($H3178="",0,ROUND(IF($N3178="成本金额",N(购销流水!$W799),IF($N3178="金额",N(购销流水!$Q799),0)),2))</f>
        <v>0</v>
      </c>
      <c r="P3178" s="64" t="str">
        <f aca="false">IF(AND($H3178&lt;&gt;"",ROUND($O3178,2)&lt;&gt;0),"有","")</f>
        <v/>
      </c>
    </row>
    <row r="3179" customFormat="false" ht="15" hidden="true" customHeight="false" outlineLevel="0" collapsed="false">
      <c r="A3179" s="53" t="str">
        <f aca="false">IF($H3179="","",ROW()-5)</f>
        <v/>
      </c>
      <c r="B3179" s="64" t="s">
        <v>36</v>
      </c>
      <c r="C3179" s="53" t="n">
        <v>799</v>
      </c>
      <c r="D3179" s="53" t="n">
        <v>2</v>
      </c>
      <c r="E3179" s="65" t="str">
        <f aca="false">IF($H3179="","",购销流水!$B799)</f>
        <v/>
      </c>
      <c r="F3179" s="55" t="str">
        <f aca="false">IF($H3179="","",购销流水!$C799)</f>
        <v/>
      </c>
      <c r="G3179" s="48" t="str">
        <f aca="false">IF($H3179="","",购销流水!$N799)</f>
        <v/>
      </c>
      <c r="H3179" s="10" t="str">
        <f aca="false">IF($L3179="","",IF($L3179="@成本",购销流水!$U799,IF($L3179="@收入",购销流水!$T799,IF($L3179="@存货",购销流水!$S799,IF($L3179="@结算",购销流水!$R799,$L3179)))))</f>
        <v/>
      </c>
      <c r="I3179" s="42" t="n">
        <f aca="false">IF($M3179="借",$O3179,0)</f>
        <v>0</v>
      </c>
      <c r="J3179" s="42" t="n">
        <f aca="false">IF($M3179="贷",$O3179,0)</f>
        <v>0</v>
      </c>
      <c r="K3179" s="48" t="str">
        <f aca="false">IF($H3179="","",购销流水!$E799)</f>
        <v/>
      </c>
      <c r="L3179" s="66" t="str">
        <f aca="false">IF(购销流水!$D799="","",IFERROR(INDEX(记账规则!$A$6:$N$9,MATCH(购销流水!$D799,记账规则!$A$6:$A$9,0),6),""))</f>
        <v/>
      </c>
      <c r="M3179" s="66" t="str">
        <f aca="false">IF($L3179="","",IFERROR(INDEX(记账规则!$A$6:$N$9,MATCH(购销流水!$D799,记账规则!$A$6:$A$9,0),7),""))</f>
        <v/>
      </c>
      <c r="N3179" s="66" t="str">
        <f aca="false">IF($L3179="","",IFERROR(INDEX(记账规则!$A$6:$N$9,MATCH(购销流水!$D799,记账规则!$A$6:$A$9,0),8),""))</f>
        <v/>
      </c>
      <c r="O3179" s="67" t="n">
        <f aca="false">IF($H3179="",0,ROUND(IF($N3179="成本金额",N(购销流水!$W799),IF($N3179="金额",N(购销流水!$Q799),0)),2))</f>
        <v>0</v>
      </c>
      <c r="P3179" s="64" t="str">
        <f aca="false">IF(AND($H3179&lt;&gt;"",ROUND($O3179,2)&lt;&gt;0),"有","")</f>
        <v/>
      </c>
    </row>
    <row r="3180" customFormat="false" ht="15" hidden="true" customHeight="false" outlineLevel="0" collapsed="false">
      <c r="A3180" s="53" t="str">
        <f aca="false">IF($H3180="","",ROW()-5)</f>
        <v/>
      </c>
      <c r="B3180" s="64" t="s">
        <v>36</v>
      </c>
      <c r="C3180" s="53" t="n">
        <v>799</v>
      </c>
      <c r="D3180" s="53" t="n">
        <v>3</v>
      </c>
      <c r="E3180" s="65" t="str">
        <f aca="false">IF($H3180="","",购销流水!$B799)</f>
        <v/>
      </c>
      <c r="F3180" s="55" t="str">
        <f aca="false">IF($H3180="","",购销流水!$C799)</f>
        <v/>
      </c>
      <c r="G3180" s="48" t="str">
        <f aca="false">IF($H3180="","",购销流水!$N799)</f>
        <v/>
      </c>
      <c r="H3180" s="10" t="str">
        <f aca="false">IF($L3180="","",IF($L3180="@成本",购销流水!$U799,IF($L3180="@收入",购销流水!$T799,IF($L3180="@存货",购销流水!$S799,IF($L3180="@结算",购销流水!$R799,$L3180)))))</f>
        <v/>
      </c>
      <c r="I3180" s="42" t="n">
        <f aca="false">IF($M3180="借",$O3180,0)</f>
        <v>0</v>
      </c>
      <c r="J3180" s="42" t="n">
        <f aca="false">IF($M3180="贷",$O3180,0)</f>
        <v>0</v>
      </c>
      <c r="K3180" s="48" t="str">
        <f aca="false">IF($H3180="","",购销流水!$E799)</f>
        <v/>
      </c>
      <c r="L3180" s="66" t="str">
        <f aca="false">IF(购销流水!$D799="","",IFERROR(INDEX(记账规则!$A$6:$N$9,MATCH(购销流水!$D799,记账规则!$A$6:$A$9,0),9),""))</f>
        <v/>
      </c>
      <c r="M3180" s="66" t="str">
        <f aca="false">IF($L3180="","",IFERROR(INDEX(记账规则!$A$6:$N$9,MATCH(购销流水!$D799,记账规则!$A$6:$A$9,0),10),""))</f>
        <v/>
      </c>
      <c r="N3180" s="66" t="str">
        <f aca="false">IF($L3180="","",IFERROR(INDEX(记账规则!$A$6:$N$9,MATCH(购销流水!$D799,记账规则!$A$6:$A$9,0),11),""))</f>
        <v/>
      </c>
      <c r="O3180" s="67" t="n">
        <f aca="false">IF($H3180="",0,ROUND(IF($N3180="成本金额",N(购销流水!$W799),IF($N3180="金额",N(购销流水!$Q799),0)),2))</f>
        <v>0</v>
      </c>
      <c r="P3180" s="64" t="str">
        <f aca="false">IF(AND($H3180&lt;&gt;"",ROUND($O3180,2)&lt;&gt;0),"有","")</f>
        <v/>
      </c>
    </row>
    <row r="3181" customFormat="false" ht="15" hidden="true" customHeight="false" outlineLevel="0" collapsed="false">
      <c r="A3181" s="53" t="str">
        <f aca="false">IF($H3181="","",ROW()-5)</f>
        <v/>
      </c>
      <c r="B3181" s="64" t="s">
        <v>36</v>
      </c>
      <c r="C3181" s="53" t="n">
        <v>799</v>
      </c>
      <c r="D3181" s="53" t="n">
        <v>4</v>
      </c>
      <c r="E3181" s="65" t="str">
        <f aca="false">IF($H3181="","",购销流水!$B799)</f>
        <v/>
      </c>
      <c r="F3181" s="55" t="str">
        <f aca="false">IF($H3181="","",购销流水!$C799)</f>
        <v/>
      </c>
      <c r="G3181" s="48" t="str">
        <f aca="false">IF($H3181="","",购销流水!$N799)</f>
        <v/>
      </c>
      <c r="H3181" s="10" t="str">
        <f aca="false">IF($L3181="","",IF($L3181="@成本",购销流水!$U799,IF($L3181="@收入",购销流水!$T799,IF($L3181="@存货",购销流水!$S799,IF($L3181="@结算",购销流水!$R799,$L3181)))))</f>
        <v/>
      </c>
      <c r="I3181" s="42" t="n">
        <f aca="false">IF($M3181="借",$O3181,0)</f>
        <v>0</v>
      </c>
      <c r="J3181" s="42" t="n">
        <f aca="false">IF($M3181="贷",$O3181,0)</f>
        <v>0</v>
      </c>
      <c r="K3181" s="48" t="str">
        <f aca="false">IF($H3181="","",购销流水!$E799)</f>
        <v/>
      </c>
      <c r="L3181" s="66" t="str">
        <f aca="false">IF(购销流水!$D799="","",IFERROR(INDEX(记账规则!$A$6:$N$9,MATCH(购销流水!$D799,记账规则!$A$6:$A$9,0),12),""))</f>
        <v/>
      </c>
      <c r="M3181" s="66" t="str">
        <f aca="false">IF($L3181="","",IFERROR(INDEX(记账规则!$A$6:$N$9,MATCH(购销流水!$D799,记账规则!$A$6:$A$9,0),13),""))</f>
        <v/>
      </c>
      <c r="N3181" s="66" t="str">
        <f aca="false">IF($L3181="","",IFERROR(INDEX(记账规则!$A$6:$N$9,MATCH(购销流水!$D799,记账规则!$A$6:$A$9,0),14),""))</f>
        <v/>
      </c>
      <c r="O3181" s="67" t="n">
        <f aca="false">IF($H3181="",0,ROUND(IF($N3181="成本金额",N(购销流水!$W799),IF($N3181="金额",N(购销流水!$Q799),0)),2))</f>
        <v>0</v>
      </c>
      <c r="P3181" s="64" t="str">
        <f aca="false">IF(AND($H3181&lt;&gt;"",ROUND($O3181,2)&lt;&gt;0),"有","")</f>
        <v/>
      </c>
    </row>
    <row r="3182" customFormat="false" ht="15" hidden="true" customHeight="false" outlineLevel="0" collapsed="false">
      <c r="A3182" s="53" t="str">
        <f aca="false">IF($H3182="","",ROW()-5)</f>
        <v/>
      </c>
      <c r="B3182" s="64" t="s">
        <v>36</v>
      </c>
      <c r="C3182" s="53" t="n">
        <v>800</v>
      </c>
      <c r="D3182" s="53" t="n">
        <v>1</v>
      </c>
      <c r="E3182" s="65" t="str">
        <f aca="false">IF($H3182="","",购销流水!$B800)</f>
        <v/>
      </c>
      <c r="F3182" s="55" t="str">
        <f aca="false">IF($H3182="","",购销流水!$C800)</f>
        <v/>
      </c>
      <c r="G3182" s="48" t="str">
        <f aca="false">IF($H3182="","",购销流水!$N800)</f>
        <v/>
      </c>
      <c r="H3182" s="10" t="str">
        <f aca="false">IF($L3182="","",IF($L3182="@成本",购销流水!$U800,IF($L3182="@收入",购销流水!$T800,IF($L3182="@存货",购销流水!$S800,IF($L3182="@结算",购销流水!$R800,$L3182)))))</f>
        <v/>
      </c>
      <c r="I3182" s="42" t="n">
        <f aca="false">IF($M3182="借",$O3182,0)</f>
        <v>0</v>
      </c>
      <c r="J3182" s="42" t="n">
        <f aca="false">IF($M3182="贷",$O3182,0)</f>
        <v>0</v>
      </c>
      <c r="K3182" s="48" t="str">
        <f aca="false">IF($H3182="","",购销流水!$E800)</f>
        <v/>
      </c>
      <c r="L3182" s="66" t="str">
        <f aca="false">IF(购销流水!$D800="","",IFERROR(INDEX(记账规则!$A$6:$N$9,MATCH(购销流水!$D800,记账规则!$A$6:$A$9,0),3),""))</f>
        <v/>
      </c>
      <c r="M3182" s="66" t="str">
        <f aca="false">IF($L3182="","",IFERROR(INDEX(记账规则!$A$6:$N$9,MATCH(购销流水!$D800,记账规则!$A$6:$A$9,0),4),""))</f>
        <v/>
      </c>
      <c r="N3182" s="66" t="str">
        <f aca="false">IF($L3182="","",IFERROR(INDEX(记账规则!$A$6:$N$9,MATCH(购销流水!$D800,记账规则!$A$6:$A$9,0),5),""))</f>
        <v/>
      </c>
      <c r="O3182" s="67" t="n">
        <f aca="false">IF($H3182="",0,ROUND(IF($N3182="成本金额",N(购销流水!$W800),IF($N3182="金额",N(购销流水!$Q800),0)),2))</f>
        <v>0</v>
      </c>
      <c r="P3182" s="64" t="str">
        <f aca="false">IF(AND($H3182&lt;&gt;"",ROUND($O3182,2)&lt;&gt;0),"有","")</f>
        <v/>
      </c>
    </row>
    <row r="3183" customFormat="false" ht="15" hidden="true" customHeight="false" outlineLevel="0" collapsed="false">
      <c r="A3183" s="53" t="str">
        <f aca="false">IF($H3183="","",ROW()-5)</f>
        <v/>
      </c>
      <c r="B3183" s="64" t="s">
        <v>36</v>
      </c>
      <c r="C3183" s="53" t="n">
        <v>800</v>
      </c>
      <c r="D3183" s="53" t="n">
        <v>2</v>
      </c>
      <c r="E3183" s="65" t="str">
        <f aca="false">IF($H3183="","",购销流水!$B800)</f>
        <v/>
      </c>
      <c r="F3183" s="55" t="str">
        <f aca="false">IF($H3183="","",购销流水!$C800)</f>
        <v/>
      </c>
      <c r="G3183" s="48" t="str">
        <f aca="false">IF($H3183="","",购销流水!$N800)</f>
        <v/>
      </c>
      <c r="H3183" s="10" t="str">
        <f aca="false">IF($L3183="","",IF($L3183="@成本",购销流水!$U800,IF($L3183="@收入",购销流水!$T800,IF($L3183="@存货",购销流水!$S800,IF($L3183="@结算",购销流水!$R800,$L3183)))))</f>
        <v/>
      </c>
      <c r="I3183" s="42" t="n">
        <f aca="false">IF($M3183="借",$O3183,0)</f>
        <v>0</v>
      </c>
      <c r="J3183" s="42" t="n">
        <f aca="false">IF($M3183="贷",$O3183,0)</f>
        <v>0</v>
      </c>
      <c r="K3183" s="48" t="str">
        <f aca="false">IF($H3183="","",购销流水!$E800)</f>
        <v/>
      </c>
      <c r="L3183" s="66" t="str">
        <f aca="false">IF(购销流水!$D800="","",IFERROR(INDEX(记账规则!$A$6:$N$9,MATCH(购销流水!$D800,记账规则!$A$6:$A$9,0),6),""))</f>
        <v/>
      </c>
      <c r="M3183" s="66" t="str">
        <f aca="false">IF($L3183="","",IFERROR(INDEX(记账规则!$A$6:$N$9,MATCH(购销流水!$D800,记账规则!$A$6:$A$9,0),7),""))</f>
        <v/>
      </c>
      <c r="N3183" s="66" t="str">
        <f aca="false">IF($L3183="","",IFERROR(INDEX(记账规则!$A$6:$N$9,MATCH(购销流水!$D800,记账规则!$A$6:$A$9,0),8),""))</f>
        <v/>
      </c>
      <c r="O3183" s="67" t="n">
        <f aca="false">IF($H3183="",0,ROUND(IF($N3183="成本金额",N(购销流水!$W800),IF($N3183="金额",N(购销流水!$Q800),0)),2))</f>
        <v>0</v>
      </c>
      <c r="P3183" s="64" t="str">
        <f aca="false">IF(AND($H3183&lt;&gt;"",ROUND($O3183,2)&lt;&gt;0),"有","")</f>
        <v/>
      </c>
    </row>
    <row r="3184" customFormat="false" ht="15" hidden="true" customHeight="false" outlineLevel="0" collapsed="false">
      <c r="A3184" s="53" t="str">
        <f aca="false">IF($H3184="","",ROW()-5)</f>
        <v/>
      </c>
      <c r="B3184" s="64" t="s">
        <v>36</v>
      </c>
      <c r="C3184" s="53" t="n">
        <v>800</v>
      </c>
      <c r="D3184" s="53" t="n">
        <v>3</v>
      </c>
      <c r="E3184" s="65" t="str">
        <f aca="false">IF($H3184="","",购销流水!$B800)</f>
        <v/>
      </c>
      <c r="F3184" s="55" t="str">
        <f aca="false">IF($H3184="","",购销流水!$C800)</f>
        <v/>
      </c>
      <c r="G3184" s="48" t="str">
        <f aca="false">IF($H3184="","",购销流水!$N800)</f>
        <v/>
      </c>
      <c r="H3184" s="10" t="str">
        <f aca="false">IF($L3184="","",IF($L3184="@成本",购销流水!$U800,IF($L3184="@收入",购销流水!$T800,IF($L3184="@存货",购销流水!$S800,IF($L3184="@结算",购销流水!$R800,$L3184)))))</f>
        <v/>
      </c>
      <c r="I3184" s="42" t="n">
        <f aca="false">IF($M3184="借",$O3184,0)</f>
        <v>0</v>
      </c>
      <c r="J3184" s="42" t="n">
        <f aca="false">IF($M3184="贷",$O3184,0)</f>
        <v>0</v>
      </c>
      <c r="K3184" s="48" t="str">
        <f aca="false">IF($H3184="","",购销流水!$E800)</f>
        <v/>
      </c>
      <c r="L3184" s="66" t="str">
        <f aca="false">IF(购销流水!$D800="","",IFERROR(INDEX(记账规则!$A$6:$N$9,MATCH(购销流水!$D800,记账规则!$A$6:$A$9,0),9),""))</f>
        <v/>
      </c>
      <c r="M3184" s="66" t="str">
        <f aca="false">IF($L3184="","",IFERROR(INDEX(记账规则!$A$6:$N$9,MATCH(购销流水!$D800,记账规则!$A$6:$A$9,0),10),""))</f>
        <v/>
      </c>
      <c r="N3184" s="66" t="str">
        <f aca="false">IF($L3184="","",IFERROR(INDEX(记账规则!$A$6:$N$9,MATCH(购销流水!$D800,记账规则!$A$6:$A$9,0),11),""))</f>
        <v/>
      </c>
      <c r="O3184" s="67" t="n">
        <f aca="false">IF($H3184="",0,ROUND(IF($N3184="成本金额",N(购销流水!$W800),IF($N3184="金额",N(购销流水!$Q800),0)),2))</f>
        <v>0</v>
      </c>
      <c r="P3184" s="64" t="str">
        <f aca="false">IF(AND($H3184&lt;&gt;"",ROUND($O3184,2)&lt;&gt;0),"有","")</f>
        <v/>
      </c>
    </row>
    <row r="3185" customFormat="false" ht="15" hidden="true" customHeight="false" outlineLevel="0" collapsed="false">
      <c r="A3185" s="53" t="str">
        <f aca="false">IF($H3185="","",ROW()-5)</f>
        <v/>
      </c>
      <c r="B3185" s="64" t="s">
        <v>36</v>
      </c>
      <c r="C3185" s="53" t="n">
        <v>800</v>
      </c>
      <c r="D3185" s="53" t="n">
        <v>4</v>
      </c>
      <c r="E3185" s="65" t="str">
        <f aca="false">IF($H3185="","",购销流水!$B800)</f>
        <v/>
      </c>
      <c r="F3185" s="55" t="str">
        <f aca="false">IF($H3185="","",购销流水!$C800)</f>
        <v/>
      </c>
      <c r="G3185" s="48" t="str">
        <f aca="false">IF($H3185="","",购销流水!$N800)</f>
        <v/>
      </c>
      <c r="H3185" s="10" t="str">
        <f aca="false">IF($L3185="","",IF($L3185="@成本",购销流水!$U800,IF($L3185="@收入",购销流水!$T800,IF($L3185="@存货",购销流水!$S800,IF($L3185="@结算",购销流水!$R800,$L3185)))))</f>
        <v/>
      </c>
      <c r="I3185" s="42" t="n">
        <f aca="false">IF($M3185="借",$O3185,0)</f>
        <v>0</v>
      </c>
      <c r="J3185" s="42" t="n">
        <f aca="false">IF($M3185="贷",$O3185,0)</f>
        <v>0</v>
      </c>
      <c r="K3185" s="48" t="str">
        <f aca="false">IF($H3185="","",购销流水!$E800)</f>
        <v/>
      </c>
      <c r="L3185" s="66" t="str">
        <f aca="false">IF(购销流水!$D800="","",IFERROR(INDEX(记账规则!$A$6:$N$9,MATCH(购销流水!$D800,记账规则!$A$6:$A$9,0),12),""))</f>
        <v/>
      </c>
      <c r="M3185" s="66" t="str">
        <f aca="false">IF($L3185="","",IFERROR(INDEX(记账规则!$A$6:$N$9,MATCH(购销流水!$D800,记账规则!$A$6:$A$9,0),13),""))</f>
        <v/>
      </c>
      <c r="N3185" s="66" t="str">
        <f aca="false">IF($L3185="","",IFERROR(INDEX(记账规则!$A$6:$N$9,MATCH(购销流水!$D800,记账规则!$A$6:$A$9,0),14),""))</f>
        <v/>
      </c>
      <c r="O3185" s="67" t="n">
        <f aca="false">IF($H3185="",0,ROUND(IF($N3185="成本金额",N(购销流水!$W800),IF($N3185="金额",N(购销流水!$Q800),0)),2))</f>
        <v>0</v>
      </c>
      <c r="P3185" s="64" t="str">
        <f aca="false">IF(AND($H3185&lt;&gt;"",ROUND($O3185,2)&lt;&gt;0),"有","")</f>
        <v/>
      </c>
    </row>
    <row r="3186" customFormat="false" ht="15" hidden="true" customHeight="false" outlineLevel="0" collapsed="false">
      <c r="A3186" s="53" t="str">
        <f aca="false">IF($H3186="","",ROW()-5)</f>
        <v/>
      </c>
      <c r="B3186" s="64" t="s">
        <v>36</v>
      </c>
      <c r="C3186" s="53" t="n">
        <v>801</v>
      </c>
      <c r="D3186" s="53" t="n">
        <v>1</v>
      </c>
      <c r="E3186" s="65" t="str">
        <f aca="false">IF($H3186="","",购销流水!$B801)</f>
        <v/>
      </c>
      <c r="F3186" s="55" t="str">
        <f aca="false">IF($H3186="","",购销流水!$C801)</f>
        <v/>
      </c>
      <c r="G3186" s="48" t="str">
        <f aca="false">IF($H3186="","",购销流水!$N801)</f>
        <v/>
      </c>
      <c r="H3186" s="10" t="str">
        <f aca="false">IF($L3186="","",IF($L3186="@成本",购销流水!$U801,IF($L3186="@收入",购销流水!$T801,IF($L3186="@存货",购销流水!$S801,IF($L3186="@结算",购销流水!$R801,$L3186)))))</f>
        <v/>
      </c>
      <c r="I3186" s="42" t="n">
        <f aca="false">IF($M3186="借",$O3186,0)</f>
        <v>0</v>
      </c>
      <c r="J3186" s="42" t="n">
        <f aca="false">IF($M3186="贷",$O3186,0)</f>
        <v>0</v>
      </c>
      <c r="K3186" s="48" t="str">
        <f aca="false">IF($H3186="","",购销流水!$E801)</f>
        <v/>
      </c>
      <c r="L3186" s="66" t="str">
        <f aca="false">IF(购销流水!$D801="","",IFERROR(INDEX(记账规则!$A$6:$N$9,MATCH(购销流水!$D801,记账规则!$A$6:$A$9,0),3),""))</f>
        <v/>
      </c>
      <c r="M3186" s="66" t="str">
        <f aca="false">IF($L3186="","",IFERROR(INDEX(记账规则!$A$6:$N$9,MATCH(购销流水!$D801,记账规则!$A$6:$A$9,0),4),""))</f>
        <v/>
      </c>
      <c r="N3186" s="66" t="str">
        <f aca="false">IF($L3186="","",IFERROR(INDEX(记账规则!$A$6:$N$9,MATCH(购销流水!$D801,记账规则!$A$6:$A$9,0),5),""))</f>
        <v/>
      </c>
      <c r="O3186" s="67" t="n">
        <f aca="false">IF($H3186="",0,ROUND(IF($N3186="成本金额",N(购销流水!$W801),IF($N3186="金额",N(购销流水!$Q801),0)),2))</f>
        <v>0</v>
      </c>
      <c r="P3186" s="64" t="str">
        <f aca="false">IF(AND($H3186&lt;&gt;"",ROUND($O3186,2)&lt;&gt;0),"有","")</f>
        <v/>
      </c>
    </row>
    <row r="3187" customFormat="false" ht="15" hidden="true" customHeight="false" outlineLevel="0" collapsed="false">
      <c r="A3187" s="53" t="str">
        <f aca="false">IF($H3187="","",ROW()-5)</f>
        <v/>
      </c>
      <c r="B3187" s="64" t="s">
        <v>36</v>
      </c>
      <c r="C3187" s="53" t="n">
        <v>801</v>
      </c>
      <c r="D3187" s="53" t="n">
        <v>2</v>
      </c>
      <c r="E3187" s="65" t="str">
        <f aca="false">IF($H3187="","",购销流水!$B801)</f>
        <v/>
      </c>
      <c r="F3187" s="55" t="str">
        <f aca="false">IF($H3187="","",购销流水!$C801)</f>
        <v/>
      </c>
      <c r="G3187" s="48" t="str">
        <f aca="false">IF($H3187="","",购销流水!$N801)</f>
        <v/>
      </c>
      <c r="H3187" s="10" t="str">
        <f aca="false">IF($L3187="","",IF($L3187="@成本",购销流水!$U801,IF($L3187="@收入",购销流水!$T801,IF($L3187="@存货",购销流水!$S801,IF($L3187="@结算",购销流水!$R801,$L3187)))))</f>
        <v/>
      </c>
      <c r="I3187" s="42" t="n">
        <f aca="false">IF($M3187="借",$O3187,0)</f>
        <v>0</v>
      </c>
      <c r="J3187" s="42" t="n">
        <f aca="false">IF($M3187="贷",$O3187,0)</f>
        <v>0</v>
      </c>
      <c r="K3187" s="48" t="str">
        <f aca="false">IF($H3187="","",购销流水!$E801)</f>
        <v/>
      </c>
      <c r="L3187" s="66" t="str">
        <f aca="false">IF(购销流水!$D801="","",IFERROR(INDEX(记账规则!$A$6:$N$9,MATCH(购销流水!$D801,记账规则!$A$6:$A$9,0),6),""))</f>
        <v/>
      </c>
      <c r="M3187" s="66" t="str">
        <f aca="false">IF($L3187="","",IFERROR(INDEX(记账规则!$A$6:$N$9,MATCH(购销流水!$D801,记账规则!$A$6:$A$9,0),7),""))</f>
        <v/>
      </c>
      <c r="N3187" s="66" t="str">
        <f aca="false">IF($L3187="","",IFERROR(INDEX(记账规则!$A$6:$N$9,MATCH(购销流水!$D801,记账规则!$A$6:$A$9,0),8),""))</f>
        <v/>
      </c>
      <c r="O3187" s="67" t="n">
        <f aca="false">IF($H3187="",0,ROUND(IF($N3187="成本金额",N(购销流水!$W801),IF($N3187="金额",N(购销流水!$Q801),0)),2))</f>
        <v>0</v>
      </c>
      <c r="P3187" s="64" t="str">
        <f aca="false">IF(AND($H3187&lt;&gt;"",ROUND($O3187,2)&lt;&gt;0),"有","")</f>
        <v/>
      </c>
    </row>
    <row r="3188" customFormat="false" ht="15" hidden="true" customHeight="false" outlineLevel="0" collapsed="false">
      <c r="A3188" s="53" t="str">
        <f aca="false">IF($H3188="","",ROW()-5)</f>
        <v/>
      </c>
      <c r="B3188" s="64" t="s">
        <v>36</v>
      </c>
      <c r="C3188" s="53" t="n">
        <v>801</v>
      </c>
      <c r="D3188" s="53" t="n">
        <v>3</v>
      </c>
      <c r="E3188" s="65" t="str">
        <f aca="false">IF($H3188="","",购销流水!$B801)</f>
        <v/>
      </c>
      <c r="F3188" s="55" t="str">
        <f aca="false">IF($H3188="","",购销流水!$C801)</f>
        <v/>
      </c>
      <c r="G3188" s="48" t="str">
        <f aca="false">IF($H3188="","",购销流水!$N801)</f>
        <v/>
      </c>
      <c r="H3188" s="10" t="str">
        <f aca="false">IF($L3188="","",IF($L3188="@成本",购销流水!$U801,IF($L3188="@收入",购销流水!$T801,IF($L3188="@存货",购销流水!$S801,IF($L3188="@结算",购销流水!$R801,$L3188)))))</f>
        <v/>
      </c>
      <c r="I3188" s="42" t="n">
        <f aca="false">IF($M3188="借",$O3188,0)</f>
        <v>0</v>
      </c>
      <c r="J3188" s="42" t="n">
        <f aca="false">IF($M3188="贷",$O3188,0)</f>
        <v>0</v>
      </c>
      <c r="K3188" s="48" t="str">
        <f aca="false">IF($H3188="","",购销流水!$E801)</f>
        <v/>
      </c>
      <c r="L3188" s="66" t="str">
        <f aca="false">IF(购销流水!$D801="","",IFERROR(INDEX(记账规则!$A$6:$N$9,MATCH(购销流水!$D801,记账规则!$A$6:$A$9,0),9),""))</f>
        <v/>
      </c>
      <c r="M3188" s="66" t="str">
        <f aca="false">IF($L3188="","",IFERROR(INDEX(记账规则!$A$6:$N$9,MATCH(购销流水!$D801,记账规则!$A$6:$A$9,0),10),""))</f>
        <v/>
      </c>
      <c r="N3188" s="66" t="str">
        <f aca="false">IF($L3188="","",IFERROR(INDEX(记账规则!$A$6:$N$9,MATCH(购销流水!$D801,记账规则!$A$6:$A$9,0),11),""))</f>
        <v/>
      </c>
      <c r="O3188" s="67" t="n">
        <f aca="false">IF($H3188="",0,ROUND(IF($N3188="成本金额",N(购销流水!$W801),IF($N3188="金额",N(购销流水!$Q801),0)),2))</f>
        <v>0</v>
      </c>
      <c r="P3188" s="64" t="str">
        <f aca="false">IF(AND($H3188&lt;&gt;"",ROUND($O3188,2)&lt;&gt;0),"有","")</f>
        <v/>
      </c>
    </row>
    <row r="3189" customFormat="false" ht="15" hidden="true" customHeight="false" outlineLevel="0" collapsed="false">
      <c r="A3189" s="53" t="str">
        <f aca="false">IF($H3189="","",ROW()-5)</f>
        <v/>
      </c>
      <c r="B3189" s="64" t="s">
        <v>36</v>
      </c>
      <c r="C3189" s="53" t="n">
        <v>801</v>
      </c>
      <c r="D3189" s="53" t="n">
        <v>4</v>
      </c>
      <c r="E3189" s="65" t="str">
        <f aca="false">IF($H3189="","",购销流水!$B801)</f>
        <v/>
      </c>
      <c r="F3189" s="55" t="str">
        <f aca="false">IF($H3189="","",购销流水!$C801)</f>
        <v/>
      </c>
      <c r="G3189" s="48" t="str">
        <f aca="false">IF($H3189="","",购销流水!$N801)</f>
        <v/>
      </c>
      <c r="H3189" s="10" t="str">
        <f aca="false">IF($L3189="","",IF($L3189="@成本",购销流水!$U801,IF($L3189="@收入",购销流水!$T801,IF($L3189="@存货",购销流水!$S801,IF($L3189="@结算",购销流水!$R801,$L3189)))))</f>
        <v/>
      </c>
      <c r="I3189" s="42" t="n">
        <f aca="false">IF($M3189="借",$O3189,0)</f>
        <v>0</v>
      </c>
      <c r="J3189" s="42" t="n">
        <f aca="false">IF($M3189="贷",$O3189,0)</f>
        <v>0</v>
      </c>
      <c r="K3189" s="48" t="str">
        <f aca="false">IF($H3189="","",购销流水!$E801)</f>
        <v/>
      </c>
      <c r="L3189" s="66" t="str">
        <f aca="false">IF(购销流水!$D801="","",IFERROR(INDEX(记账规则!$A$6:$N$9,MATCH(购销流水!$D801,记账规则!$A$6:$A$9,0),12),""))</f>
        <v/>
      </c>
      <c r="M3189" s="66" t="str">
        <f aca="false">IF($L3189="","",IFERROR(INDEX(记账规则!$A$6:$N$9,MATCH(购销流水!$D801,记账规则!$A$6:$A$9,0),13),""))</f>
        <v/>
      </c>
      <c r="N3189" s="66" t="str">
        <f aca="false">IF($L3189="","",IFERROR(INDEX(记账规则!$A$6:$N$9,MATCH(购销流水!$D801,记账规则!$A$6:$A$9,0),14),""))</f>
        <v/>
      </c>
      <c r="O3189" s="67" t="n">
        <f aca="false">IF($H3189="",0,ROUND(IF($N3189="成本金额",N(购销流水!$W801),IF($N3189="金额",N(购销流水!$Q801),0)),2))</f>
        <v>0</v>
      </c>
      <c r="P3189" s="64" t="str">
        <f aca="false">IF(AND($H3189&lt;&gt;"",ROUND($O3189,2)&lt;&gt;0),"有","")</f>
        <v/>
      </c>
    </row>
    <row r="3190" customFormat="false" ht="15" hidden="true" customHeight="false" outlineLevel="0" collapsed="false">
      <c r="A3190" s="53" t="str">
        <f aca="false">IF($H3190="","",ROW()-5)</f>
        <v/>
      </c>
      <c r="B3190" s="64" t="s">
        <v>36</v>
      </c>
      <c r="C3190" s="53" t="n">
        <v>802</v>
      </c>
      <c r="D3190" s="53" t="n">
        <v>1</v>
      </c>
      <c r="E3190" s="65" t="str">
        <f aca="false">IF($H3190="","",购销流水!$B802)</f>
        <v/>
      </c>
      <c r="F3190" s="55" t="str">
        <f aca="false">IF($H3190="","",购销流水!$C802)</f>
        <v/>
      </c>
      <c r="G3190" s="48" t="str">
        <f aca="false">IF($H3190="","",购销流水!$N802)</f>
        <v/>
      </c>
      <c r="H3190" s="10" t="str">
        <f aca="false">IF($L3190="","",IF($L3190="@成本",购销流水!$U802,IF($L3190="@收入",购销流水!$T802,IF($L3190="@存货",购销流水!$S802,IF($L3190="@结算",购销流水!$R802,$L3190)))))</f>
        <v/>
      </c>
      <c r="I3190" s="42" t="n">
        <f aca="false">IF($M3190="借",$O3190,0)</f>
        <v>0</v>
      </c>
      <c r="J3190" s="42" t="n">
        <f aca="false">IF($M3190="贷",$O3190,0)</f>
        <v>0</v>
      </c>
      <c r="K3190" s="48" t="str">
        <f aca="false">IF($H3190="","",购销流水!$E802)</f>
        <v/>
      </c>
      <c r="L3190" s="66" t="str">
        <f aca="false">IF(购销流水!$D802="","",IFERROR(INDEX(记账规则!$A$6:$N$9,MATCH(购销流水!$D802,记账规则!$A$6:$A$9,0),3),""))</f>
        <v/>
      </c>
      <c r="M3190" s="66" t="str">
        <f aca="false">IF($L3190="","",IFERROR(INDEX(记账规则!$A$6:$N$9,MATCH(购销流水!$D802,记账规则!$A$6:$A$9,0),4),""))</f>
        <v/>
      </c>
      <c r="N3190" s="66" t="str">
        <f aca="false">IF($L3190="","",IFERROR(INDEX(记账规则!$A$6:$N$9,MATCH(购销流水!$D802,记账规则!$A$6:$A$9,0),5),""))</f>
        <v/>
      </c>
      <c r="O3190" s="67" t="n">
        <f aca="false">IF($H3190="",0,ROUND(IF($N3190="成本金额",N(购销流水!$W802),IF($N3190="金额",N(购销流水!$Q802),0)),2))</f>
        <v>0</v>
      </c>
      <c r="P3190" s="64" t="str">
        <f aca="false">IF(AND($H3190&lt;&gt;"",ROUND($O3190,2)&lt;&gt;0),"有","")</f>
        <v/>
      </c>
    </row>
    <row r="3191" customFormat="false" ht="15" hidden="true" customHeight="false" outlineLevel="0" collapsed="false">
      <c r="A3191" s="53" t="str">
        <f aca="false">IF($H3191="","",ROW()-5)</f>
        <v/>
      </c>
      <c r="B3191" s="64" t="s">
        <v>36</v>
      </c>
      <c r="C3191" s="53" t="n">
        <v>802</v>
      </c>
      <c r="D3191" s="53" t="n">
        <v>2</v>
      </c>
      <c r="E3191" s="65" t="str">
        <f aca="false">IF($H3191="","",购销流水!$B802)</f>
        <v/>
      </c>
      <c r="F3191" s="55" t="str">
        <f aca="false">IF($H3191="","",购销流水!$C802)</f>
        <v/>
      </c>
      <c r="G3191" s="48" t="str">
        <f aca="false">IF($H3191="","",购销流水!$N802)</f>
        <v/>
      </c>
      <c r="H3191" s="10" t="str">
        <f aca="false">IF($L3191="","",IF($L3191="@成本",购销流水!$U802,IF($L3191="@收入",购销流水!$T802,IF($L3191="@存货",购销流水!$S802,IF($L3191="@结算",购销流水!$R802,$L3191)))))</f>
        <v/>
      </c>
      <c r="I3191" s="42" t="n">
        <f aca="false">IF($M3191="借",$O3191,0)</f>
        <v>0</v>
      </c>
      <c r="J3191" s="42" t="n">
        <f aca="false">IF($M3191="贷",$O3191,0)</f>
        <v>0</v>
      </c>
      <c r="K3191" s="48" t="str">
        <f aca="false">IF($H3191="","",购销流水!$E802)</f>
        <v/>
      </c>
      <c r="L3191" s="66" t="str">
        <f aca="false">IF(购销流水!$D802="","",IFERROR(INDEX(记账规则!$A$6:$N$9,MATCH(购销流水!$D802,记账规则!$A$6:$A$9,0),6),""))</f>
        <v/>
      </c>
      <c r="M3191" s="66" t="str">
        <f aca="false">IF($L3191="","",IFERROR(INDEX(记账规则!$A$6:$N$9,MATCH(购销流水!$D802,记账规则!$A$6:$A$9,0),7),""))</f>
        <v/>
      </c>
      <c r="N3191" s="66" t="str">
        <f aca="false">IF($L3191="","",IFERROR(INDEX(记账规则!$A$6:$N$9,MATCH(购销流水!$D802,记账规则!$A$6:$A$9,0),8),""))</f>
        <v/>
      </c>
      <c r="O3191" s="67" t="n">
        <f aca="false">IF($H3191="",0,ROUND(IF($N3191="成本金额",N(购销流水!$W802),IF($N3191="金额",N(购销流水!$Q802),0)),2))</f>
        <v>0</v>
      </c>
      <c r="P3191" s="64" t="str">
        <f aca="false">IF(AND($H3191&lt;&gt;"",ROUND($O3191,2)&lt;&gt;0),"有","")</f>
        <v/>
      </c>
    </row>
    <row r="3192" customFormat="false" ht="15" hidden="true" customHeight="false" outlineLevel="0" collapsed="false">
      <c r="A3192" s="53" t="str">
        <f aca="false">IF($H3192="","",ROW()-5)</f>
        <v/>
      </c>
      <c r="B3192" s="64" t="s">
        <v>36</v>
      </c>
      <c r="C3192" s="53" t="n">
        <v>802</v>
      </c>
      <c r="D3192" s="53" t="n">
        <v>3</v>
      </c>
      <c r="E3192" s="65" t="str">
        <f aca="false">IF($H3192="","",购销流水!$B802)</f>
        <v/>
      </c>
      <c r="F3192" s="55" t="str">
        <f aca="false">IF($H3192="","",购销流水!$C802)</f>
        <v/>
      </c>
      <c r="G3192" s="48" t="str">
        <f aca="false">IF($H3192="","",购销流水!$N802)</f>
        <v/>
      </c>
      <c r="H3192" s="10" t="str">
        <f aca="false">IF($L3192="","",IF($L3192="@成本",购销流水!$U802,IF($L3192="@收入",购销流水!$T802,IF($L3192="@存货",购销流水!$S802,IF($L3192="@结算",购销流水!$R802,$L3192)))))</f>
        <v/>
      </c>
      <c r="I3192" s="42" t="n">
        <f aca="false">IF($M3192="借",$O3192,0)</f>
        <v>0</v>
      </c>
      <c r="J3192" s="42" t="n">
        <f aca="false">IF($M3192="贷",$O3192,0)</f>
        <v>0</v>
      </c>
      <c r="K3192" s="48" t="str">
        <f aca="false">IF($H3192="","",购销流水!$E802)</f>
        <v/>
      </c>
      <c r="L3192" s="66" t="str">
        <f aca="false">IF(购销流水!$D802="","",IFERROR(INDEX(记账规则!$A$6:$N$9,MATCH(购销流水!$D802,记账规则!$A$6:$A$9,0),9),""))</f>
        <v/>
      </c>
      <c r="M3192" s="66" t="str">
        <f aca="false">IF($L3192="","",IFERROR(INDEX(记账规则!$A$6:$N$9,MATCH(购销流水!$D802,记账规则!$A$6:$A$9,0),10),""))</f>
        <v/>
      </c>
      <c r="N3192" s="66" t="str">
        <f aca="false">IF($L3192="","",IFERROR(INDEX(记账规则!$A$6:$N$9,MATCH(购销流水!$D802,记账规则!$A$6:$A$9,0),11),""))</f>
        <v/>
      </c>
      <c r="O3192" s="67" t="n">
        <f aca="false">IF($H3192="",0,ROUND(IF($N3192="成本金额",N(购销流水!$W802),IF($N3192="金额",N(购销流水!$Q802),0)),2))</f>
        <v>0</v>
      </c>
      <c r="P3192" s="64" t="str">
        <f aca="false">IF(AND($H3192&lt;&gt;"",ROUND($O3192,2)&lt;&gt;0),"有","")</f>
        <v/>
      </c>
    </row>
    <row r="3193" customFormat="false" ht="15" hidden="true" customHeight="false" outlineLevel="0" collapsed="false">
      <c r="A3193" s="53" t="str">
        <f aca="false">IF($H3193="","",ROW()-5)</f>
        <v/>
      </c>
      <c r="B3193" s="64" t="s">
        <v>36</v>
      </c>
      <c r="C3193" s="53" t="n">
        <v>802</v>
      </c>
      <c r="D3193" s="53" t="n">
        <v>4</v>
      </c>
      <c r="E3193" s="65" t="str">
        <f aca="false">IF($H3193="","",购销流水!$B802)</f>
        <v/>
      </c>
      <c r="F3193" s="55" t="str">
        <f aca="false">IF($H3193="","",购销流水!$C802)</f>
        <v/>
      </c>
      <c r="G3193" s="48" t="str">
        <f aca="false">IF($H3193="","",购销流水!$N802)</f>
        <v/>
      </c>
      <c r="H3193" s="10" t="str">
        <f aca="false">IF($L3193="","",IF($L3193="@成本",购销流水!$U802,IF($L3193="@收入",购销流水!$T802,IF($L3193="@存货",购销流水!$S802,IF($L3193="@结算",购销流水!$R802,$L3193)))))</f>
        <v/>
      </c>
      <c r="I3193" s="42" t="n">
        <f aca="false">IF($M3193="借",$O3193,0)</f>
        <v>0</v>
      </c>
      <c r="J3193" s="42" t="n">
        <f aca="false">IF($M3193="贷",$O3193,0)</f>
        <v>0</v>
      </c>
      <c r="K3193" s="48" t="str">
        <f aca="false">IF($H3193="","",购销流水!$E802)</f>
        <v/>
      </c>
      <c r="L3193" s="66" t="str">
        <f aca="false">IF(购销流水!$D802="","",IFERROR(INDEX(记账规则!$A$6:$N$9,MATCH(购销流水!$D802,记账规则!$A$6:$A$9,0),12),""))</f>
        <v/>
      </c>
      <c r="M3193" s="66" t="str">
        <f aca="false">IF($L3193="","",IFERROR(INDEX(记账规则!$A$6:$N$9,MATCH(购销流水!$D802,记账规则!$A$6:$A$9,0),13),""))</f>
        <v/>
      </c>
      <c r="N3193" s="66" t="str">
        <f aca="false">IF($L3193="","",IFERROR(INDEX(记账规则!$A$6:$N$9,MATCH(购销流水!$D802,记账规则!$A$6:$A$9,0),14),""))</f>
        <v/>
      </c>
      <c r="O3193" s="67" t="n">
        <f aca="false">IF($H3193="",0,ROUND(IF($N3193="成本金额",N(购销流水!$W802),IF($N3193="金额",N(购销流水!$Q802),0)),2))</f>
        <v>0</v>
      </c>
      <c r="P3193" s="64" t="str">
        <f aca="false">IF(AND($H3193&lt;&gt;"",ROUND($O3193,2)&lt;&gt;0),"有","")</f>
        <v/>
      </c>
    </row>
    <row r="3194" customFormat="false" ht="15" hidden="true" customHeight="false" outlineLevel="0" collapsed="false">
      <c r="A3194" s="53" t="str">
        <f aca="false">IF($H3194="","",ROW()-5)</f>
        <v/>
      </c>
      <c r="B3194" s="64" t="s">
        <v>36</v>
      </c>
      <c r="C3194" s="53" t="n">
        <v>803</v>
      </c>
      <c r="D3194" s="53" t="n">
        <v>1</v>
      </c>
      <c r="E3194" s="65" t="str">
        <f aca="false">IF($H3194="","",购销流水!$B803)</f>
        <v/>
      </c>
      <c r="F3194" s="55" t="str">
        <f aca="false">IF($H3194="","",购销流水!$C803)</f>
        <v/>
      </c>
      <c r="G3194" s="48" t="str">
        <f aca="false">IF($H3194="","",购销流水!$N803)</f>
        <v/>
      </c>
      <c r="H3194" s="10" t="str">
        <f aca="false">IF($L3194="","",IF($L3194="@成本",购销流水!$U803,IF($L3194="@收入",购销流水!$T803,IF($L3194="@存货",购销流水!$S803,IF($L3194="@结算",购销流水!$R803,$L3194)))))</f>
        <v/>
      </c>
      <c r="I3194" s="42" t="n">
        <f aca="false">IF($M3194="借",$O3194,0)</f>
        <v>0</v>
      </c>
      <c r="J3194" s="42" t="n">
        <f aca="false">IF($M3194="贷",$O3194,0)</f>
        <v>0</v>
      </c>
      <c r="K3194" s="48" t="str">
        <f aca="false">IF($H3194="","",购销流水!$E803)</f>
        <v/>
      </c>
      <c r="L3194" s="66" t="str">
        <f aca="false">IF(购销流水!$D803="","",IFERROR(INDEX(记账规则!$A$6:$N$9,MATCH(购销流水!$D803,记账规则!$A$6:$A$9,0),3),""))</f>
        <v/>
      </c>
      <c r="M3194" s="66" t="str">
        <f aca="false">IF($L3194="","",IFERROR(INDEX(记账规则!$A$6:$N$9,MATCH(购销流水!$D803,记账规则!$A$6:$A$9,0),4),""))</f>
        <v/>
      </c>
      <c r="N3194" s="66" t="str">
        <f aca="false">IF($L3194="","",IFERROR(INDEX(记账规则!$A$6:$N$9,MATCH(购销流水!$D803,记账规则!$A$6:$A$9,0),5),""))</f>
        <v/>
      </c>
      <c r="O3194" s="67" t="n">
        <f aca="false">IF($H3194="",0,ROUND(IF($N3194="成本金额",N(购销流水!$W803),IF($N3194="金额",N(购销流水!$Q803),0)),2))</f>
        <v>0</v>
      </c>
      <c r="P3194" s="64" t="str">
        <f aca="false">IF(AND($H3194&lt;&gt;"",ROUND($O3194,2)&lt;&gt;0),"有","")</f>
        <v/>
      </c>
    </row>
    <row r="3195" customFormat="false" ht="15" hidden="true" customHeight="false" outlineLevel="0" collapsed="false">
      <c r="A3195" s="53" t="str">
        <f aca="false">IF($H3195="","",ROW()-5)</f>
        <v/>
      </c>
      <c r="B3195" s="64" t="s">
        <v>36</v>
      </c>
      <c r="C3195" s="53" t="n">
        <v>803</v>
      </c>
      <c r="D3195" s="53" t="n">
        <v>2</v>
      </c>
      <c r="E3195" s="65" t="str">
        <f aca="false">IF($H3195="","",购销流水!$B803)</f>
        <v/>
      </c>
      <c r="F3195" s="55" t="str">
        <f aca="false">IF($H3195="","",购销流水!$C803)</f>
        <v/>
      </c>
      <c r="G3195" s="48" t="str">
        <f aca="false">IF($H3195="","",购销流水!$N803)</f>
        <v/>
      </c>
      <c r="H3195" s="10" t="str">
        <f aca="false">IF($L3195="","",IF($L3195="@成本",购销流水!$U803,IF($L3195="@收入",购销流水!$T803,IF($L3195="@存货",购销流水!$S803,IF($L3195="@结算",购销流水!$R803,$L3195)))))</f>
        <v/>
      </c>
      <c r="I3195" s="42" t="n">
        <f aca="false">IF($M3195="借",$O3195,0)</f>
        <v>0</v>
      </c>
      <c r="J3195" s="42" t="n">
        <f aca="false">IF($M3195="贷",$O3195,0)</f>
        <v>0</v>
      </c>
      <c r="K3195" s="48" t="str">
        <f aca="false">IF($H3195="","",购销流水!$E803)</f>
        <v/>
      </c>
      <c r="L3195" s="66" t="str">
        <f aca="false">IF(购销流水!$D803="","",IFERROR(INDEX(记账规则!$A$6:$N$9,MATCH(购销流水!$D803,记账规则!$A$6:$A$9,0),6),""))</f>
        <v/>
      </c>
      <c r="M3195" s="66" t="str">
        <f aca="false">IF($L3195="","",IFERROR(INDEX(记账规则!$A$6:$N$9,MATCH(购销流水!$D803,记账规则!$A$6:$A$9,0),7),""))</f>
        <v/>
      </c>
      <c r="N3195" s="66" t="str">
        <f aca="false">IF($L3195="","",IFERROR(INDEX(记账规则!$A$6:$N$9,MATCH(购销流水!$D803,记账规则!$A$6:$A$9,0),8),""))</f>
        <v/>
      </c>
      <c r="O3195" s="67" t="n">
        <f aca="false">IF($H3195="",0,ROUND(IF($N3195="成本金额",N(购销流水!$W803),IF($N3195="金额",N(购销流水!$Q803),0)),2))</f>
        <v>0</v>
      </c>
      <c r="P3195" s="64" t="str">
        <f aca="false">IF(AND($H3195&lt;&gt;"",ROUND($O3195,2)&lt;&gt;0),"有","")</f>
        <v/>
      </c>
    </row>
    <row r="3196" customFormat="false" ht="15" hidden="true" customHeight="false" outlineLevel="0" collapsed="false">
      <c r="A3196" s="53" t="str">
        <f aca="false">IF($H3196="","",ROW()-5)</f>
        <v/>
      </c>
      <c r="B3196" s="64" t="s">
        <v>36</v>
      </c>
      <c r="C3196" s="53" t="n">
        <v>803</v>
      </c>
      <c r="D3196" s="53" t="n">
        <v>3</v>
      </c>
      <c r="E3196" s="65" t="str">
        <f aca="false">IF($H3196="","",购销流水!$B803)</f>
        <v/>
      </c>
      <c r="F3196" s="55" t="str">
        <f aca="false">IF($H3196="","",购销流水!$C803)</f>
        <v/>
      </c>
      <c r="G3196" s="48" t="str">
        <f aca="false">IF($H3196="","",购销流水!$N803)</f>
        <v/>
      </c>
      <c r="H3196" s="10" t="str">
        <f aca="false">IF($L3196="","",IF($L3196="@成本",购销流水!$U803,IF($L3196="@收入",购销流水!$T803,IF($L3196="@存货",购销流水!$S803,IF($L3196="@结算",购销流水!$R803,$L3196)))))</f>
        <v/>
      </c>
      <c r="I3196" s="42" t="n">
        <f aca="false">IF($M3196="借",$O3196,0)</f>
        <v>0</v>
      </c>
      <c r="J3196" s="42" t="n">
        <f aca="false">IF($M3196="贷",$O3196,0)</f>
        <v>0</v>
      </c>
      <c r="K3196" s="48" t="str">
        <f aca="false">IF($H3196="","",购销流水!$E803)</f>
        <v/>
      </c>
      <c r="L3196" s="66" t="str">
        <f aca="false">IF(购销流水!$D803="","",IFERROR(INDEX(记账规则!$A$6:$N$9,MATCH(购销流水!$D803,记账规则!$A$6:$A$9,0),9),""))</f>
        <v/>
      </c>
      <c r="M3196" s="66" t="str">
        <f aca="false">IF($L3196="","",IFERROR(INDEX(记账规则!$A$6:$N$9,MATCH(购销流水!$D803,记账规则!$A$6:$A$9,0),10),""))</f>
        <v/>
      </c>
      <c r="N3196" s="66" t="str">
        <f aca="false">IF($L3196="","",IFERROR(INDEX(记账规则!$A$6:$N$9,MATCH(购销流水!$D803,记账规则!$A$6:$A$9,0),11),""))</f>
        <v/>
      </c>
      <c r="O3196" s="67" t="n">
        <f aca="false">IF($H3196="",0,ROUND(IF($N3196="成本金额",N(购销流水!$W803),IF($N3196="金额",N(购销流水!$Q803),0)),2))</f>
        <v>0</v>
      </c>
      <c r="P3196" s="64" t="str">
        <f aca="false">IF(AND($H3196&lt;&gt;"",ROUND($O3196,2)&lt;&gt;0),"有","")</f>
        <v/>
      </c>
    </row>
    <row r="3197" customFormat="false" ht="15" hidden="true" customHeight="false" outlineLevel="0" collapsed="false">
      <c r="A3197" s="53" t="str">
        <f aca="false">IF($H3197="","",ROW()-5)</f>
        <v/>
      </c>
      <c r="B3197" s="64" t="s">
        <v>36</v>
      </c>
      <c r="C3197" s="53" t="n">
        <v>803</v>
      </c>
      <c r="D3197" s="53" t="n">
        <v>4</v>
      </c>
      <c r="E3197" s="65" t="str">
        <f aca="false">IF($H3197="","",购销流水!$B803)</f>
        <v/>
      </c>
      <c r="F3197" s="55" t="str">
        <f aca="false">IF($H3197="","",购销流水!$C803)</f>
        <v/>
      </c>
      <c r="G3197" s="48" t="str">
        <f aca="false">IF($H3197="","",购销流水!$N803)</f>
        <v/>
      </c>
      <c r="H3197" s="10" t="str">
        <f aca="false">IF($L3197="","",IF($L3197="@成本",购销流水!$U803,IF($L3197="@收入",购销流水!$T803,IF($L3197="@存货",购销流水!$S803,IF($L3197="@结算",购销流水!$R803,$L3197)))))</f>
        <v/>
      </c>
      <c r="I3197" s="42" t="n">
        <f aca="false">IF($M3197="借",$O3197,0)</f>
        <v>0</v>
      </c>
      <c r="J3197" s="42" t="n">
        <f aca="false">IF($M3197="贷",$O3197,0)</f>
        <v>0</v>
      </c>
      <c r="K3197" s="48" t="str">
        <f aca="false">IF($H3197="","",购销流水!$E803)</f>
        <v/>
      </c>
      <c r="L3197" s="66" t="str">
        <f aca="false">IF(购销流水!$D803="","",IFERROR(INDEX(记账规则!$A$6:$N$9,MATCH(购销流水!$D803,记账规则!$A$6:$A$9,0),12),""))</f>
        <v/>
      </c>
      <c r="M3197" s="66" t="str">
        <f aca="false">IF($L3197="","",IFERROR(INDEX(记账规则!$A$6:$N$9,MATCH(购销流水!$D803,记账规则!$A$6:$A$9,0),13),""))</f>
        <v/>
      </c>
      <c r="N3197" s="66" t="str">
        <f aca="false">IF($L3197="","",IFERROR(INDEX(记账规则!$A$6:$N$9,MATCH(购销流水!$D803,记账规则!$A$6:$A$9,0),14),""))</f>
        <v/>
      </c>
      <c r="O3197" s="67" t="n">
        <f aca="false">IF($H3197="",0,ROUND(IF($N3197="成本金额",N(购销流水!$W803),IF($N3197="金额",N(购销流水!$Q803),0)),2))</f>
        <v>0</v>
      </c>
      <c r="P3197" s="64" t="str">
        <f aca="false">IF(AND($H3197&lt;&gt;"",ROUND($O3197,2)&lt;&gt;0),"有","")</f>
        <v/>
      </c>
    </row>
    <row r="3198" customFormat="false" ht="15" hidden="true" customHeight="false" outlineLevel="0" collapsed="false">
      <c r="A3198" s="53" t="str">
        <f aca="false">IF($H3198="","",ROW()-5)</f>
        <v/>
      </c>
      <c r="B3198" s="64" t="s">
        <v>36</v>
      </c>
      <c r="C3198" s="53" t="n">
        <v>804</v>
      </c>
      <c r="D3198" s="53" t="n">
        <v>1</v>
      </c>
      <c r="E3198" s="65" t="str">
        <f aca="false">IF($H3198="","",购销流水!$B804)</f>
        <v/>
      </c>
      <c r="F3198" s="55" t="str">
        <f aca="false">IF($H3198="","",购销流水!$C804)</f>
        <v/>
      </c>
      <c r="G3198" s="48" t="str">
        <f aca="false">IF($H3198="","",购销流水!$N804)</f>
        <v/>
      </c>
      <c r="H3198" s="10" t="str">
        <f aca="false">IF($L3198="","",IF($L3198="@成本",购销流水!$U804,IF($L3198="@收入",购销流水!$T804,IF($L3198="@存货",购销流水!$S804,IF($L3198="@结算",购销流水!$R804,$L3198)))))</f>
        <v/>
      </c>
      <c r="I3198" s="42" t="n">
        <f aca="false">IF($M3198="借",$O3198,0)</f>
        <v>0</v>
      </c>
      <c r="J3198" s="42" t="n">
        <f aca="false">IF($M3198="贷",$O3198,0)</f>
        <v>0</v>
      </c>
      <c r="K3198" s="48" t="str">
        <f aca="false">IF($H3198="","",购销流水!$E804)</f>
        <v/>
      </c>
      <c r="L3198" s="66" t="str">
        <f aca="false">IF(购销流水!$D804="","",IFERROR(INDEX(记账规则!$A$6:$N$9,MATCH(购销流水!$D804,记账规则!$A$6:$A$9,0),3),""))</f>
        <v/>
      </c>
      <c r="M3198" s="66" t="str">
        <f aca="false">IF($L3198="","",IFERROR(INDEX(记账规则!$A$6:$N$9,MATCH(购销流水!$D804,记账规则!$A$6:$A$9,0),4),""))</f>
        <v/>
      </c>
      <c r="N3198" s="66" t="str">
        <f aca="false">IF($L3198="","",IFERROR(INDEX(记账规则!$A$6:$N$9,MATCH(购销流水!$D804,记账规则!$A$6:$A$9,0),5),""))</f>
        <v/>
      </c>
      <c r="O3198" s="67" t="n">
        <f aca="false">IF($H3198="",0,ROUND(IF($N3198="成本金额",N(购销流水!$W804),IF($N3198="金额",N(购销流水!$Q804),0)),2))</f>
        <v>0</v>
      </c>
      <c r="P3198" s="64" t="str">
        <f aca="false">IF(AND($H3198&lt;&gt;"",ROUND($O3198,2)&lt;&gt;0),"有","")</f>
        <v/>
      </c>
    </row>
    <row r="3199" customFormat="false" ht="15" hidden="true" customHeight="false" outlineLevel="0" collapsed="false">
      <c r="A3199" s="53" t="str">
        <f aca="false">IF($H3199="","",ROW()-5)</f>
        <v/>
      </c>
      <c r="B3199" s="64" t="s">
        <v>36</v>
      </c>
      <c r="C3199" s="53" t="n">
        <v>804</v>
      </c>
      <c r="D3199" s="53" t="n">
        <v>2</v>
      </c>
      <c r="E3199" s="65" t="str">
        <f aca="false">IF($H3199="","",购销流水!$B804)</f>
        <v/>
      </c>
      <c r="F3199" s="55" t="str">
        <f aca="false">IF($H3199="","",购销流水!$C804)</f>
        <v/>
      </c>
      <c r="G3199" s="48" t="str">
        <f aca="false">IF($H3199="","",购销流水!$N804)</f>
        <v/>
      </c>
      <c r="H3199" s="10" t="str">
        <f aca="false">IF($L3199="","",IF($L3199="@成本",购销流水!$U804,IF($L3199="@收入",购销流水!$T804,IF($L3199="@存货",购销流水!$S804,IF($L3199="@结算",购销流水!$R804,$L3199)))))</f>
        <v/>
      </c>
      <c r="I3199" s="42" t="n">
        <f aca="false">IF($M3199="借",$O3199,0)</f>
        <v>0</v>
      </c>
      <c r="J3199" s="42" t="n">
        <f aca="false">IF($M3199="贷",$O3199,0)</f>
        <v>0</v>
      </c>
      <c r="K3199" s="48" t="str">
        <f aca="false">IF($H3199="","",购销流水!$E804)</f>
        <v/>
      </c>
      <c r="L3199" s="66" t="str">
        <f aca="false">IF(购销流水!$D804="","",IFERROR(INDEX(记账规则!$A$6:$N$9,MATCH(购销流水!$D804,记账规则!$A$6:$A$9,0),6),""))</f>
        <v/>
      </c>
      <c r="M3199" s="66" t="str">
        <f aca="false">IF($L3199="","",IFERROR(INDEX(记账规则!$A$6:$N$9,MATCH(购销流水!$D804,记账规则!$A$6:$A$9,0),7),""))</f>
        <v/>
      </c>
      <c r="N3199" s="66" t="str">
        <f aca="false">IF($L3199="","",IFERROR(INDEX(记账规则!$A$6:$N$9,MATCH(购销流水!$D804,记账规则!$A$6:$A$9,0),8),""))</f>
        <v/>
      </c>
      <c r="O3199" s="67" t="n">
        <f aca="false">IF($H3199="",0,ROUND(IF($N3199="成本金额",N(购销流水!$W804),IF($N3199="金额",N(购销流水!$Q804),0)),2))</f>
        <v>0</v>
      </c>
      <c r="P3199" s="64" t="str">
        <f aca="false">IF(AND($H3199&lt;&gt;"",ROUND($O3199,2)&lt;&gt;0),"有","")</f>
        <v/>
      </c>
    </row>
    <row r="3200" customFormat="false" ht="15" hidden="true" customHeight="false" outlineLevel="0" collapsed="false">
      <c r="A3200" s="53" t="str">
        <f aca="false">IF($H3200="","",ROW()-5)</f>
        <v/>
      </c>
      <c r="B3200" s="64" t="s">
        <v>36</v>
      </c>
      <c r="C3200" s="53" t="n">
        <v>804</v>
      </c>
      <c r="D3200" s="53" t="n">
        <v>3</v>
      </c>
      <c r="E3200" s="65" t="str">
        <f aca="false">IF($H3200="","",购销流水!$B804)</f>
        <v/>
      </c>
      <c r="F3200" s="55" t="str">
        <f aca="false">IF($H3200="","",购销流水!$C804)</f>
        <v/>
      </c>
      <c r="G3200" s="48" t="str">
        <f aca="false">IF($H3200="","",购销流水!$N804)</f>
        <v/>
      </c>
      <c r="H3200" s="10" t="str">
        <f aca="false">IF($L3200="","",IF($L3200="@成本",购销流水!$U804,IF($L3200="@收入",购销流水!$T804,IF($L3200="@存货",购销流水!$S804,IF($L3200="@结算",购销流水!$R804,$L3200)))))</f>
        <v/>
      </c>
      <c r="I3200" s="42" t="n">
        <f aca="false">IF($M3200="借",$O3200,0)</f>
        <v>0</v>
      </c>
      <c r="J3200" s="42" t="n">
        <f aca="false">IF($M3200="贷",$O3200,0)</f>
        <v>0</v>
      </c>
      <c r="K3200" s="48" t="str">
        <f aca="false">IF($H3200="","",购销流水!$E804)</f>
        <v/>
      </c>
      <c r="L3200" s="66" t="str">
        <f aca="false">IF(购销流水!$D804="","",IFERROR(INDEX(记账规则!$A$6:$N$9,MATCH(购销流水!$D804,记账规则!$A$6:$A$9,0),9),""))</f>
        <v/>
      </c>
      <c r="M3200" s="66" t="str">
        <f aca="false">IF($L3200="","",IFERROR(INDEX(记账规则!$A$6:$N$9,MATCH(购销流水!$D804,记账规则!$A$6:$A$9,0),10),""))</f>
        <v/>
      </c>
      <c r="N3200" s="66" t="str">
        <f aca="false">IF($L3200="","",IFERROR(INDEX(记账规则!$A$6:$N$9,MATCH(购销流水!$D804,记账规则!$A$6:$A$9,0),11),""))</f>
        <v/>
      </c>
      <c r="O3200" s="67" t="n">
        <f aca="false">IF($H3200="",0,ROUND(IF($N3200="成本金额",N(购销流水!$W804),IF($N3200="金额",N(购销流水!$Q804),0)),2))</f>
        <v>0</v>
      </c>
      <c r="P3200" s="64" t="str">
        <f aca="false">IF(AND($H3200&lt;&gt;"",ROUND($O3200,2)&lt;&gt;0),"有","")</f>
        <v/>
      </c>
    </row>
    <row r="3201" customFormat="false" ht="15" hidden="true" customHeight="false" outlineLevel="0" collapsed="false">
      <c r="A3201" s="53" t="str">
        <f aca="false">IF($H3201="","",ROW()-5)</f>
        <v/>
      </c>
      <c r="B3201" s="64" t="s">
        <v>36</v>
      </c>
      <c r="C3201" s="53" t="n">
        <v>804</v>
      </c>
      <c r="D3201" s="53" t="n">
        <v>4</v>
      </c>
      <c r="E3201" s="65" t="str">
        <f aca="false">IF($H3201="","",购销流水!$B804)</f>
        <v/>
      </c>
      <c r="F3201" s="55" t="str">
        <f aca="false">IF($H3201="","",购销流水!$C804)</f>
        <v/>
      </c>
      <c r="G3201" s="48" t="str">
        <f aca="false">IF($H3201="","",购销流水!$N804)</f>
        <v/>
      </c>
      <c r="H3201" s="10" t="str">
        <f aca="false">IF($L3201="","",IF($L3201="@成本",购销流水!$U804,IF($L3201="@收入",购销流水!$T804,IF($L3201="@存货",购销流水!$S804,IF($L3201="@结算",购销流水!$R804,$L3201)))))</f>
        <v/>
      </c>
      <c r="I3201" s="42" t="n">
        <f aca="false">IF($M3201="借",$O3201,0)</f>
        <v>0</v>
      </c>
      <c r="J3201" s="42" t="n">
        <f aca="false">IF($M3201="贷",$O3201,0)</f>
        <v>0</v>
      </c>
      <c r="K3201" s="48" t="str">
        <f aca="false">IF($H3201="","",购销流水!$E804)</f>
        <v/>
      </c>
      <c r="L3201" s="66" t="str">
        <f aca="false">IF(购销流水!$D804="","",IFERROR(INDEX(记账规则!$A$6:$N$9,MATCH(购销流水!$D804,记账规则!$A$6:$A$9,0),12),""))</f>
        <v/>
      </c>
      <c r="M3201" s="66" t="str">
        <f aca="false">IF($L3201="","",IFERROR(INDEX(记账规则!$A$6:$N$9,MATCH(购销流水!$D804,记账规则!$A$6:$A$9,0),13),""))</f>
        <v/>
      </c>
      <c r="N3201" s="66" t="str">
        <f aca="false">IF($L3201="","",IFERROR(INDEX(记账规则!$A$6:$N$9,MATCH(购销流水!$D804,记账规则!$A$6:$A$9,0),14),""))</f>
        <v/>
      </c>
      <c r="O3201" s="67" t="n">
        <f aca="false">IF($H3201="",0,ROUND(IF($N3201="成本金额",N(购销流水!$W804),IF($N3201="金额",N(购销流水!$Q804),0)),2))</f>
        <v>0</v>
      </c>
      <c r="P3201" s="64" t="str">
        <f aca="false">IF(AND($H3201&lt;&gt;"",ROUND($O3201,2)&lt;&gt;0),"有","")</f>
        <v/>
      </c>
    </row>
    <row r="3202" customFormat="false" ht="15" hidden="true" customHeight="false" outlineLevel="0" collapsed="false">
      <c r="A3202" s="53" t="str">
        <f aca="false">IF($H3202="","",ROW()-5)</f>
        <v/>
      </c>
      <c r="B3202" s="64" t="s">
        <v>36</v>
      </c>
      <c r="C3202" s="53" t="n">
        <v>805</v>
      </c>
      <c r="D3202" s="53" t="n">
        <v>1</v>
      </c>
      <c r="E3202" s="65" t="str">
        <f aca="false">IF($H3202="","",购销流水!$B805)</f>
        <v/>
      </c>
      <c r="F3202" s="55" t="str">
        <f aca="false">IF($H3202="","",购销流水!$C805)</f>
        <v/>
      </c>
      <c r="G3202" s="48" t="str">
        <f aca="false">IF($H3202="","",购销流水!$N805)</f>
        <v/>
      </c>
      <c r="H3202" s="10" t="str">
        <f aca="false">IF($L3202="","",IF($L3202="@成本",购销流水!$U805,IF($L3202="@收入",购销流水!$T805,IF($L3202="@存货",购销流水!$S805,IF($L3202="@结算",购销流水!$R805,$L3202)))))</f>
        <v/>
      </c>
      <c r="I3202" s="42" t="n">
        <f aca="false">IF($M3202="借",$O3202,0)</f>
        <v>0</v>
      </c>
      <c r="J3202" s="42" t="n">
        <f aca="false">IF($M3202="贷",$O3202,0)</f>
        <v>0</v>
      </c>
      <c r="K3202" s="48" t="str">
        <f aca="false">IF($H3202="","",购销流水!$E805)</f>
        <v/>
      </c>
      <c r="L3202" s="66" t="str">
        <f aca="false">IF(购销流水!$D805="","",IFERROR(INDEX(记账规则!$A$6:$N$9,MATCH(购销流水!$D805,记账规则!$A$6:$A$9,0),3),""))</f>
        <v/>
      </c>
      <c r="M3202" s="66" t="str">
        <f aca="false">IF($L3202="","",IFERROR(INDEX(记账规则!$A$6:$N$9,MATCH(购销流水!$D805,记账规则!$A$6:$A$9,0),4),""))</f>
        <v/>
      </c>
      <c r="N3202" s="66" t="str">
        <f aca="false">IF($L3202="","",IFERROR(INDEX(记账规则!$A$6:$N$9,MATCH(购销流水!$D805,记账规则!$A$6:$A$9,0),5),""))</f>
        <v/>
      </c>
      <c r="O3202" s="67" t="n">
        <f aca="false">IF($H3202="",0,ROUND(IF($N3202="成本金额",N(购销流水!$W805),IF($N3202="金额",N(购销流水!$Q805),0)),2))</f>
        <v>0</v>
      </c>
      <c r="P3202" s="64" t="str">
        <f aca="false">IF(AND($H3202&lt;&gt;"",ROUND($O3202,2)&lt;&gt;0),"有","")</f>
        <v/>
      </c>
    </row>
    <row r="3203" customFormat="false" ht="15" hidden="true" customHeight="false" outlineLevel="0" collapsed="false">
      <c r="A3203" s="53" t="str">
        <f aca="false">IF($H3203="","",ROW()-5)</f>
        <v/>
      </c>
      <c r="B3203" s="64" t="s">
        <v>36</v>
      </c>
      <c r="C3203" s="53" t="n">
        <v>805</v>
      </c>
      <c r="D3203" s="53" t="n">
        <v>2</v>
      </c>
      <c r="E3203" s="65" t="str">
        <f aca="false">IF($H3203="","",购销流水!$B805)</f>
        <v/>
      </c>
      <c r="F3203" s="55" t="str">
        <f aca="false">IF($H3203="","",购销流水!$C805)</f>
        <v/>
      </c>
      <c r="G3203" s="48" t="str">
        <f aca="false">IF($H3203="","",购销流水!$N805)</f>
        <v/>
      </c>
      <c r="H3203" s="10" t="str">
        <f aca="false">IF($L3203="","",IF($L3203="@成本",购销流水!$U805,IF($L3203="@收入",购销流水!$T805,IF($L3203="@存货",购销流水!$S805,IF($L3203="@结算",购销流水!$R805,$L3203)))))</f>
        <v/>
      </c>
      <c r="I3203" s="42" t="n">
        <f aca="false">IF($M3203="借",$O3203,0)</f>
        <v>0</v>
      </c>
      <c r="J3203" s="42" t="n">
        <f aca="false">IF($M3203="贷",$O3203,0)</f>
        <v>0</v>
      </c>
      <c r="K3203" s="48" t="str">
        <f aca="false">IF($H3203="","",购销流水!$E805)</f>
        <v/>
      </c>
      <c r="L3203" s="66" t="str">
        <f aca="false">IF(购销流水!$D805="","",IFERROR(INDEX(记账规则!$A$6:$N$9,MATCH(购销流水!$D805,记账规则!$A$6:$A$9,0),6),""))</f>
        <v/>
      </c>
      <c r="M3203" s="66" t="str">
        <f aca="false">IF($L3203="","",IFERROR(INDEX(记账规则!$A$6:$N$9,MATCH(购销流水!$D805,记账规则!$A$6:$A$9,0),7),""))</f>
        <v/>
      </c>
      <c r="N3203" s="66" t="str">
        <f aca="false">IF($L3203="","",IFERROR(INDEX(记账规则!$A$6:$N$9,MATCH(购销流水!$D805,记账规则!$A$6:$A$9,0),8),""))</f>
        <v/>
      </c>
      <c r="O3203" s="67" t="n">
        <f aca="false">IF($H3203="",0,ROUND(IF($N3203="成本金额",N(购销流水!$W805),IF($N3203="金额",N(购销流水!$Q805),0)),2))</f>
        <v>0</v>
      </c>
      <c r="P3203" s="64" t="str">
        <f aca="false">IF(AND($H3203&lt;&gt;"",ROUND($O3203,2)&lt;&gt;0),"有","")</f>
        <v/>
      </c>
    </row>
    <row r="3204" customFormat="false" ht="15" hidden="true" customHeight="false" outlineLevel="0" collapsed="false">
      <c r="A3204" s="53" t="str">
        <f aca="false">IF($H3204="","",ROW()-5)</f>
        <v/>
      </c>
      <c r="B3204" s="64" t="s">
        <v>36</v>
      </c>
      <c r="C3204" s="53" t="n">
        <v>805</v>
      </c>
      <c r="D3204" s="53" t="n">
        <v>3</v>
      </c>
      <c r="E3204" s="65" t="str">
        <f aca="false">IF($H3204="","",购销流水!$B805)</f>
        <v/>
      </c>
      <c r="F3204" s="55" t="str">
        <f aca="false">IF($H3204="","",购销流水!$C805)</f>
        <v/>
      </c>
      <c r="G3204" s="48" t="str">
        <f aca="false">IF($H3204="","",购销流水!$N805)</f>
        <v/>
      </c>
      <c r="H3204" s="10" t="str">
        <f aca="false">IF($L3204="","",IF($L3204="@成本",购销流水!$U805,IF($L3204="@收入",购销流水!$T805,IF($L3204="@存货",购销流水!$S805,IF($L3204="@结算",购销流水!$R805,$L3204)))))</f>
        <v/>
      </c>
      <c r="I3204" s="42" t="n">
        <f aca="false">IF($M3204="借",$O3204,0)</f>
        <v>0</v>
      </c>
      <c r="J3204" s="42" t="n">
        <f aca="false">IF($M3204="贷",$O3204,0)</f>
        <v>0</v>
      </c>
      <c r="K3204" s="48" t="str">
        <f aca="false">IF($H3204="","",购销流水!$E805)</f>
        <v/>
      </c>
      <c r="L3204" s="66" t="str">
        <f aca="false">IF(购销流水!$D805="","",IFERROR(INDEX(记账规则!$A$6:$N$9,MATCH(购销流水!$D805,记账规则!$A$6:$A$9,0),9),""))</f>
        <v/>
      </c>
      <c r="M3204" s="66" t="str">
        <f aca="false">IF($L3204="","",IFERROR(INDEX(记账规则!$A$6:$N$9,MATCH(购销流水!$D805,记账规则!$A$6:$A$9,0),10),""))</f>
        <v/>
      </c>
      <c r="N3204" s="66" t="str">
        <f aca="false">IF($L3204="","",IFERROR(INDEX(记账规则!$A$6:$N$9,MATCH(购销流水!$D805,记账规则!$A$6:$A$9,0),11),""))</f>
        <v/>
      </c>
      <c r="O3204" s="67" t="n">
        <f aca="false">IF($H3204="",0,ROUND(IF($N3204="成本金额",N(购销流水!$W805),IF($N3204="金额",N(购销流水!$Q805),0)),2))</f>
        <v>0</v>
      </c>
      <c r="P3204" s="64" t="str">
        <f aca="false">IF(AND($H3204&lt;&gt;"",ROUND($O3204,2)&lt;&gt;0),"有","")</f>
        <v/>
      </c>
    </row>
    <row r="3205" customFormat="false" ht="15" hidden="true" customHeight="false" outlineLevel="0" collapsed="false">
      <c r="A3205" s="53" t="str">
        <f aca="false">IF($H3205="","",ROW()-5)</f>
        <v/>
      </c>
      <c r="B3205" s="64" t="s">
        <v>36</v>
      </c>
      <c r="C3205" s="53" t="n">
        <v>805</v>
      </c>
      <c r="D3205" s="53" t="n">
        <v>4</v>
      </c>
      <c r="E3205" s="65" t="str">
        <f aca="false">IF($H3205="","",购销流水!$B805)</f>
        <v/>
      </c>
      <c r="F3205" s="55" t="str">
        <f aca="false">IF($H3205="","",购销流水!$C805)</f>
        <v/>
      </c>
      <c r="G3205" s="48" t="str">
        <f aca="false">IF($H3205="","",购销流水!$N805)</f>
        <v/>
      </c>
      <c r="H3205" s="10" t="str">
        <f aca="false">IF($L3205="","",IF($L3205="@成本",购销流水!$U805,IF($L3205="@收入",购销流水!$T805,IF($L3205="@存货",购销流水!$S805,IF($L3205="@结算",购销流水!$R805,$L3205)))))</f>
        <v/>
      </c>
      <c r="I3205" s="42" t="n">
        <f aca="false">IF($M3205="借",$O3205,0)</f>
        <v>0</v>
      </c>
      <c r="J3205" s="42" t="n">
        <f aca="false">IF($M3205="贷",$O3205,0)</f>
        <v>0</v>
      </c>
      <c r="K3205" s="48" t="str">
        <f aca="false">IF($H3205="","",购销流水!$E805)</f>
        <v/>
      </c>
      <c r="L3205" s="66" t="str">
        <f aca="false">IF(购销流水!$D805="","",IFERROR(INDEX(记账规则!$A$6:$N$9,MATCH(购销流水!$D805,记账规则!$A$6:$A$9,0),12),""))</f>
        <v/>
      </c>
      <c r="M3205" s="66" t="str">
        <f aca="false">IF($L3205="","",IFERROR(INDEX(记账规则!$A$6:$N$9,MATCH(购销流水!$D805,记账规则!$A$6:$A$9,0),13),""))</f>
        <v/>
      </c>
      <c r="N3205" s="66" t="str">
        <f aca="false">IF($L3205="","",IFERROR(INDEX(记账规则!$A$6:$N$9,MATCH(购销流水!$D805,记账规则!$A$6:$A$9,0),14),""))</f>
        <v/>
      </c>
      <c r="O3205" s="67" t="n">
        <f aca="false">IF($H3205="",0,ROUND(IF($N3205="成本金额",N(购销流水!$W805),IF($N3205="金额",N(购销流水!$Q805),0)),2))</f>
        <v>0</v>
      </c>
      <c r="P3205" s="64" t="str">
        <f aca="false">IF(AND($H3205&lt;&gt;"",ROUND($O3205,2)&lt;&gt;0),"有","")</f>
        <v/>
      </c>
    </row>
    <row r="3206" customFormat="false" ht="15" hidden="false" customHeight="false" outlineLevel="0" collapsed="false">
      <c r="A3206" s="53" t="n">
        <f aca="false">IF($H3206="","",ROW()-5)</f>
        <v>3201</v>
      </c>
      <c r="B3206" s="64" t="s">
        <v>37</v>
      </c>
      <c r="C3206" s="53" t="n">
        <v>6</v>
      </c>
      <c r="D3206" s="53" t="n">
        <v>1</v>
      </c>
      <c r="E3206" s="65" t="n">
        <f aca="false">IF($H3206="","",资金流水!$B6)</f>
        <v>46040</v>
      </c>
      <c r="F3206" s="55" t="str">
        <f aca="false">IF($H3206="","",资金流水!$C6)</f>
        <v>农业</v>
      </c>
      <c r="G3206" s="48" t="str">
        <f aca="false">IF($H3206="","",资金流水!$K6)</f>
        <v>支付上年结存货款</v>
      </c>
      <c r="H3206" s="10" t="str">
        <f aca="false">IF($L3206="","",IF($L3206="@对方",资金流水!$G6,IF($L3206="@账户",资金流水!$Q6,$L3206)))</f>
        <v>银行存款</v>
      </c>
      <c r="I3206" s="42" t="n">
        <f aca="false">IF($M3206="借",$O3206,0)</f>
        <v>0</v>
      </c>
      <c r="J3206" s="42" t="n">
        <f aca="false">IF($M3206="贷",$O3206,0)</f>
        <v>35000</v>
      </c>
      <c r="K3206" s="48" t="str">
        <f aca="false">IF($H3206="","",资金流水!$F6)</f>
        <v>县农资公司</v>
      </c>
      <c r="L3206" s="66" t="str">
        <f aca="false">IF(资金流水!$E6="","",IFERROR(INDEX(记账规则!$A$13:$H$32,MATCH(资金流水!$E6,记账规则!$A$13:$A$32,0),3),""))</f>
        <v>@账户</v>
      </c>
      <c r="M3206" s="66" t="str">
        <f aca="false">IF($L3206="","",IFERROR(INDEX(记账规则!$A$13:$H$32,MATCH(资金流水!$E6,记账规则!$A$13:$A$32,0),4),""))</f>
        <v>贷</v>
      </c>
      <c r="N3206" s="66" t="str">
        <f aca="false">IF($L3206="","",IFERROR(INDEX(记账规则!$A$13:$H$32,MATCH(资金流水!$E6,记账规则!$A$13:$A$32,0),5),""))</f>
        <v>金额</v>
      </c>
      <c r="O3206" s="67" t="n">
        <f aca="false">IF($H3206="",0,ROUND(IF($N3206="金额",N(资金流水!$P6),0),2))</f>
        <v>35000</v>
      </c>
      <c r="P3206" s="64" t="str">
        <f aca="false">IF(AND($H3206&lt;&gt;"",ROUND($O3206,2)&lt;&gt;0),"有","")</f>
        <v>有</v>
      </c>
    </row>
    <row r="3207" customFormat="false" ht="15" hidden="false" customHeight="false" outlineLevel="0" collapsed="false">
      <c r="A3207" s="53" t="n">
        <f aca="false">IF($H3207="","",ROW()-5)</f>
        <v>3202</v>
      </c>
      <c r="B3207" s="64" t="s">
        <v>37</v>
      </c>
      <c r="C3207" s="53" t="n">
        <v>6</v>
      </c>
      <c r="D3207" s="53" t="n">
        <v>2</v>
      </c>
      <c r="E3207" s="65" t="n">
        <f aca="false">IF($H3207="","",资金流水!$B6)</f>
        <v>46040</v>
      </c>
      <c r="F3207" s="55" t="str">
        <f aca="false">IF($H3207="","",资金流水!$C6)</f>
        <v>农业</v>
      </c>
      <c r="G3207" s="48" t="str">
        <f aca="false">IF($H3207="","",资金流水!$K6)</f>
        <v>支付上年结存货款</v>
      </c>
      <c r="H3207" s="10" t="str">
        <f aca="false">IF($L3207="","",IF($L3207="@对方",资金流水!$G6,IF($L3207="@账户",资金流水!$Q6,$L3207)))</f>
        <v>应付账款</v>
      </c>
      <c r="I3207" s="42" t="n">
        <f aca="false">IF($M3207="借",$O3207,0)</f>
        <v>35000</v>
      </c>
      <c r="J3207" s="42" t="n">
        <f aca="false">IF($M3207="贷",$O3207,0)</f>
        <v>0</v>
      </c>
      <c r="K3207" s="48" t="str">
        <f aca="false">IF($H3207="","",资金流水!$F6)</f>
        <v>县农资公司</v>
      </c>
      <c r="L3207" s="66" t="str">
        <f aca="false">IF(资金流水!$E6="","",IFERROR(INDEX(记账规则!$A$13:$H$32,MATCH(资金流水!$E6,记账规则!$A$13:$A$32,0),6),""))</f>
        <v>应付账款</v>
      </c>
      <c r="M3207" s="66" t="str">
        <f aca="false">IF($L3207="","",IFERROR(INDEX(记账规则!$A$13:$H$32,MATCH(资金流水!$E6,记账规则!$A$13:$A$32,0),7),""))</f>
        <v>借</v>
      </c>
      <c r="N3207" s="66" t="str">
        <f aca="false">IF($L3207="","",IFERROR(INDEX(记账规则!$A$13:$H$32,MATCH(资金流水!$E6,记账规则!$A$13:$A$32,0),8),""))</f>
        <v>金额</v>
      </c>
      <c r="O3207" s="67" t="n">
        <f aca="false">IF($H3207="",0,ROUND(IF($N3207="金额",N(资金流水!$P6),0),2))</f>
        <v>35000</v>
      </c>
      <c r="P3207" s="64" t="str">
        <f aca="false">IF(AND($H3207&lt;&gt;"",ROUND($O3207,2)&lt;&gt;0),"有","")</f>
        <v>有</v>
      </c>
    </row>
    <row r="3208" customFormat="false" ht="15" hidden="false" customHeight="false" outlineLevel="0" collapsed="false">
      <c r="A3208" s="53" t="n">
        <f aca="false">IF($H3208="","",ROW()-5)</f>
        <v>3203</v>
      </c>
      <c r="B3208" s="64" t="s">
        <v>37</v>
      </c>
      <c r="C3208" s="53" t="n">
        <v>7</v>
      </c>
      <c r="D3208" s="53" t="n">
        <v>1</v>
      </c>
      <c r="E3208" s="65" t="n">
        <f aca="false">IF($H3208="","",资金流水!$B7)</f>
        <v>46063</v>
      </c>
      <c r="F3208" s="55" t="str">
        <f aca="false">IF($H3208="","",资金流水!$C7)</f>
        <v>科技</v>
      </c>
      <c r="G3208" s="48" t="str">
        <f aca="false">IF($H3208="","",资金流水!$K7)</f>
        <v>股东增资</v>
      </c>
      <c r="H3208" s="10" t="str">
        <f aca="false">IF($L3208="","",IF($L3208="@对方",资金流水!$G7,IF($L3208="@账户",资金流水!$Q7,$L3208)))</f>
        <v>银行存款</v>
      </c>
      <c r="I3208" s="42" t="n">
        <f aca="false">IF($M3208="借",$O3208,0)</f>
        <v>100000</v>
      </c>
      <c r="J3208" s="42" t="n">
        <f aca="false">IF($M3208="贷",$O3208,0)</f>
        <v>0</v>
      </c>
      <c r="K3208" s="48" t="n">
        <f aca="false">IF($H3208="","",资金流水!$F7)</f>
        <v>0</v>
      </c>
      <c r="L3208" s="66" t="str">
        <f aca="false">IF(资金流水!$E7="","",IFERROR(INDEX(记账规则!$A$13:$H$32,MATCH(资金流水!$E7,记账规则!$A$13:$A$32,0),3),""))</f>
        <v>@账户</v>
      </c>
      <c r="M3208" s="66" t="str">
        <f aca="false">IF($L3208="","",IFERROR(INDEX(记账规则!$A$13:$H$32,MATCH(资金流水!$E7,记账规则!$A$13:$A$32,0),4),""))</f>
        <v>借</v>
      </c>
      <c r="N3208" s="66" t="str">
        <f aca="false">IF($L3208="","",IFERROR(INDEX(记账规则!$A$13:$H$32,MATCH(资金流水!$E7,记账规则!$A$13:$A$32,0),5),""))</f>
        <v>金额</v>
      </c>
      <c r="O3208" s="67" t="n">
        <f aca="false">IF($H3208="",0,ROUND(IF($N3208="金额",N(资金流水!$P7),0),2))</f>
        <v>100000</v>
      </c>
      <c r="P3208" s="64" t="str">
        <f aca="false">IF(AND($H3208&lt;&gt;"",ROUND($O3208,2)&lt;&gt;0),"有","")</f>
        <v>有</v>
      </c>
    </row>
    <row r="3209" customFormat="false" ht="15" hidden="false" customHeight="false" outlineLevel="0" collapsed="false">
      <c r="A3209" s="53" t="n">
        <f aca="false">IF($H3209="","",ROW()-5)</f>
        <v>3204</v>
      </c>
      <c r="B3209" s="64" t="s">
        <v>37</v>
      </c>
      <c r="C3209" s="53" t="n">
        <v>7</v>
      </c>
      <c r="D3209" s="53" t="n">
        <v>2</v>
      </c>
      <c r="E3209" s="65" t="n">
        <f aca="false">IF($H3209="","",资金流水!$B7)</f>
        <v>46063</v>
      </c>
      <c r="F3209" s="55" t="str">
        <f aca="false">IF($H3209="","",资金流水!$C7)</f>
        <v>科技</v>
      </c>
      <c r="G3209" s="48" t="str">
        <f aca="false">IF($H3209="","",资金流水!$K7)</f>
        <v>股东增资</v>
      </c>
      <c r="H3209" s="10" t="str">
        <f aca="false">IF($L3209="","",IF($L3209="@对方",资金流水!$G7,IF($L3209="@账户",资金流水!$Q7,$L3209)))</f>
        <v>实收资本</v>
      </c>
      <c r="I3209" s="42" t="n">
        <f aca="false">IF($M3209="借",$O3209,0)</f>
        <v>0</v>
      </c>
      <c r="J3209" s="42" t="n">
        <f aca="false">IF($M3209="贷",$O3209,0)</f>
        <v>100000</v>
      </c>
      <c r="K3209" s="48" t="n">
        <f aca="false">IF($H3209="","",资金流水!$F7)</f>
        <v>0</v>
      </c>
      <c r="L3209" s="66" t="str">
        <f aca="false">IF(资金流水!$E7="","",IFERROR(INDEX(记账规则!$A$13:$H$32,MATCH(资金流水!$E7,记账规则!$A$13:$A$32,0),6),""))</f>
        <v>实收资本</v>
      </c>
      <c r="M3209" s="66" t="str">
        <f aca="false">IF($L3209="","",IFERROR(INDEX(记账规则!$A$13:$H$32,MATCH(资金流水!$E7,记账规则!$A$13:$A$32,0),7),""))</f>
        <v>贷</v>
      </c>
      <c r="N3209" s="66" t="str">
        <f aca="false">IF($L3209="","",IFERROR(INDEX(记账规则!$A$13:$H$32,MATCH(资金流水!$E7,记账规则!$A$13:$A$32,0),8),""))</f>
        <v>金额</v>
      </c>
      <c r="O3209" s="67" t="n">
        <f aca="false">IF($H3209="",0,ROUND(IF($N3209="金额",N(资金流水!$P7),0),2))</f>
        <v>100000</v>
      </c>
      <c r="P3209" s="64" t="str">
        <f aca="false">IF(AND($H3209&lt;&gt;"",ROUND($O3209,2)&lt;&gt;0),"有","")</f>
        <v>有</v>
      </c>
    </row>
    <row r="3210" customFormat="false" ht="15" hidden="false" customHeight="false" outlineLevel="0" collapsed="false">
      <c r="A3210" s="53" t="n">
        <f aca="false">IF($H3210="","",ROW()-5)</f>
        <v>3205</v>
      </c>
      <c r="B3210" s="64" t="s">
        <v>37</v>
      </c>
      <c r="C3210" s="53" t="n">
        <v>8</v>
      </c>
      <c r="D3210" s="53" t="n">
        <v>1</v>
      </c>
      <c r="E3210" s="65" t="n">
        <f aca="false">IF($H3210="","",资金流水!$B8)</f>
        <v>46082</v>
      </c>
      <c r="F3210" s="55" t="str">
        <f aca="false">IF($H3210="","",资金流水!$C8)</f>
        <v>木业</v>
      </c>
      <c r="G3210" s="48" t="str">
        <f aca="false">IF($H3210="","",资金流水!$K8)</f>
        <v>流动资金借款</v>
      </c>
      <c r="H3210" s="10" t="str">
        <f aca="false">IF($L3210="","",IF($L3210="@对方",资金流水!$G8,IF($L3210="@账户",资金流水!$Q8,$L3210)))</f>
        <v>银行存款</v>
      </c>
      <c r="I3210" s="42" t="n">
        <f aca="false">IF($M3210="借",$O3210,0)</f>
        <v>150000</v>
      </c>
      <c r="J3210" s="42" t="n">
        <f aca="false">IF($M3210="贷",$O3210,0)</f>
        <v>0</v>
      </c>
      <c r="K3210" s="48" t="str">
        <f aca="false">IF($H3210="","",资金流水!$F8)</f>
        <v>农商银行</v>
      </c>
      <c r="L3210" s="66" t="str">
        <f aca="false">IF(资金流水!$E8="","",IFERROR(INDEX(记账规则!$A$13:$H$32,MATCH(资金流水!$E8,记账规则!$A$13:$A$32,0),3),""))</f>
        <v>@账户</v>
      </c>
      <c r="M3210" s="66" t="str">
        <f aca="false">IF($L3210="","",IFERROR(INDEX(记账规则!$A$13:$H$32,MATCH(资金流水!$E8,记账规则!$A$13:$A$32,0),4),""))</f>
        <v>借</v>
      </c>
      <c r="N3210" s="66" t="str">
        <f aca="false">IF($L3210="","",IFERROR(INDEX(记账规则!$A$13:$H$32,MATCH(资金流水!$E8,记账规则!$A$13:$A$32,0),5),""))</f>
        <v>金额</v>
      </c>
      <c r="O3210" s="67" t="n">
        <f aca="false">IF($H3210="",0,ROUND(IF($N3210="金额",N(资金流水!$P8),0),2))</f>
        <v>150000</v>
      </c>
      <c r="P3210" s="64" t="str">
        <f aca="false">IF(AND($H3210&lt;&gt;"",ROUND($O3210,2)&lt;&gt;0),"有","")</f>
        <v>有</v>
      </c>
    </row>
    <row r="3211" customFormat="false" ht="15" hidden="false" customHeight="false" outlineLevel="0" collapsed="false">
      <c r="A3211" s="53" t="n">
        <f aca="false">IF($H3211="","",ROW()-5)</f>
        <v>3206</v>
      </c>
      <c r="B3211" s="64" t="s">
        <v>37</v>
      </c>
      <c r="C3211" s="53" t="n">
        <v>8</v>
      </c>
      <c r="D3211" s="53" t="n">
        <v>2</v>
      </c>
      <c r="E3211" s="65" t="n">
        <f aca="false">IF($H3211="","",资金流水!$B8)</f>
        <v>46082</v>
      </c>
      <c r="F3211" s="55" t="str">
        <f aca="false">IF($H3211="","",资金流水!$C8)</f>
        <v>木业</v>
      </c>
      <c r="G3211" s="48" t="str">
        <f aca="false">IF($H3211="","",资金流水!$K8)</f>
        <v>流动资金借款</v>
      </c>
      <c r="H3211" s="10" t="str">
        <f aca="false">IF($L3211="","",IF($L3211="@对方",资金流水!$G8,IF($L3211="@账户",资金流水!$Q8,$L3211)))</f>
        <v>短期借款</v>
      </c>
      <c r="I3211" s="42" t="n">
        <f aca="false">IF($M3211="借",$O3211,0)</f>
        <v>0</v>
      </c>
      <c r="J3211" s="42" t="n">
        <f aca="false">IF($M3211="贷",$O3211,0)</f>
        <v>150000</v>
      </c>
      <c r="K3211" s="48" t="str">
        <f aca="false">IF($H3211="","",资金流水!$F8)</f>
        <v>农商银行</v>
      </c>
      <c r="L3211" s="66" t="str">
        <f aca="false">IF(资金流水!$E8="","",IFERROR(INDEX(记账规则!$A$13:$H$32,MATCH(资金流水!$E8,记账规则!$A$13:$A$32,0),6),""))</f>
        <v>@对方</v>
      </c>
      <c r="M3211" s="66" t="str">
        <f aca="false">IF($L3211="","",IFERROR(INDEX(记账规则!$A$13:$H$32,MATCH(资金流水!$E8,记账规则!$A$13:$A$32,0),7),""))</f>
        <v>贷</v>
      </c>
      <c r="N3211" s="66" t="str">
        <f aca="false">IF($L3211="","",IFERROR(INDEX(记账规则!$A$13:$H$32,MATCH(资金流水!$E8,记账规则!$A$13:$A$32,0),8),""))</f>
        <v>金额</v>
      </c>
      <c r="O3211" s="67" t="n">
        <f aca="false">IF($H3211="",0,ROUND(IF($N3211="金额",N(资金流水!$P8),0),2))</f>
        <v>150000</v>
      </c>
      <c r="P3211" s="64" t="str">
        <f aca="false">IF(AND($H3211&lt;&gt;"",ROUND($O3211,2)&lt;&gt;0),"有","")</f>
        <v>有</v>
      </c>
    </row>
    <row r="3212" customFormat="false" ht="15" hidden="false" customHeight="false" outlineLevel="0" collapsed="false">
      <c r="A3212" s="53" t="n">
        <f aca="false">IF($H3212="","",ROW()-5)</f>
        <v>3207</v>
      </c>
      <c r="B3212" s="64" t="s">
        <v>37</v>
      </c>
      <c r="C3212" s="53" t="n">
        <v>9</v>
      </c>
      <c r="D3212" s="53" t="n">
        <v>1</v>
      </c>
      <c r="E3212" s="65" t="n">
        <f aca="false">IF($H3212="","",资金流水!$B9)</f>
        <v>46086</v>
      </c>
      <c r="F3212" s="55" t="str">
        <f aca="false">IF($H3212="","",资金流水!$C9)</f>
        <v>农业</v>
      </c>
      <c r="G3212" s="48" t="str">
        <f aca="false">IF($H3212="","",资金流水!$K9)</f>
        <v>支付杉木苗款</v>
      </c>
      <c r="H3212" s="10" t="str">
        <f aca="false">IF($L3212="","",IF($L3212="@对方",资金流水!$G9,IF($L3212="@账户",资金流水!$Q9,$L3212)))</f>
        <v>银行存款</v>
      </c>
      <c r="I3212" s="42" t="n">
        <f aca="false">IF($M3212="借",$O3212,0)</f>
        <v>0</v>
      </c>
      <c r="J3212" s="42" t="n">
        <f aca="false">IF($M3212="贷",$O3212,0)</f>
        <v>7800</v>
      </c>
      <c r="K3212" s="48" t="str">
        <f aca="false">IF($H3212="","",资金流水!$F9)</f>
        <v>林业苗圃</v>
      </c>
      <c r="L3212" s="66" t="str">
        <f aca="false">IF(资金流水!$E9="","",IFERROR(INDEX(记账规则!$A$13:$H$32,MATCH(资金流水!$E9,记账规则!$A$13:$A$32,0),3),""))</f>
        <v>@账户</v>
      </c>
      <c r="M3212" s="66" t="str">
        <f aca="false">IF($L3212="","",IFERROR(INDEX(记账规则!$A$13:$H$32,MATCH(资金流水!$E9,记账规则!$A$13:$A$32,0),4),""))</f>
        <v>贷</v>
      </c>
      <c r="N3212" s="66" t="str">
        <f aca="false">IF($L3212="","",IFERROR(INDEX(记账规则!$A$13:$H$32,MATCH(资金流水!$E9,记账规则!$A$13:$A$32,0),5),""))</f>
        <v>金额</v>
      </c>
      <c r="O3212" s="67" t="n">
        <f aca="false">IF($H3212="",0,ROUND(IF($N3212="金额",N(资金流水!$P9),0),2))</f>
        <v>7800</v>
      </c>
      <c r="P3212" s="64" t="str">
        <f aca="false">IF(AND($H3212&lt;&gt;"",ROUND($O3212,2)&lt;&gt;0),"有","")</f>
        <v>有</v>
      </c>
    </row>
    <row r="3213" customFormat="false" ht="15" hidden="false" customHeight="false" outlineLevel="0" collapsed="false">
      <c r="A3213" s="53" t="n">
        <f aca="false">IF($H3213="","",ROW()-5)</f>
        <v>3208</v>
      </c>
      <c r="B3213" s="64" t="s">
        <v>37</v>
      </c>
      <c r="C3213" s="53" t="n">
        <v>9</v>
      </c>
      <c r="D3213" s="53" t="n">
        <v>2</v>
      </c>
      <c r="E3213" s="65" t="n">
        <f aca="false">IF($H3213="","",资金流水!$B9)</f>
        <v>46086</v>
      </c>
      <c r="F3213" s="55" t="str">
        <f aca="false">IF($H3213="","",资金流水!$C9)</f>
        <v>农业</v>
      </c>
      <c r="G3213" s="48" t="str">
        <f aca="false">IF($H3213="","",资金流水!$K9)</f>
        <v>支付杉木苗款</v>
      </c>
      <c r="H3213" s="10" t="str">
        <f aca="false">IF($L3213="","",IF($L3213="@对方",资金流水!$G9,IF($L3213="@账户",资金流水!$Q9,$L3213)))</f>
        <v>应付账款</v>
      </c>
      <c r="I3213" s="42" t="n">
        <f aca="false">IF($M3213="借",$O3213,0)</f>
        <v>7800</v>
      </c>
      <c r="J3213" s="42" t="n">
        <f aca="false">IF($M3213="贷",$O3213,0)</f>
        <v>0</v>
      </c>
      <c r="K3213" s="48" t="str">
        <f aca="false">IF($H3213="","",资金流水!$F9)</f>
        <v>林业苗圃</v>
      </c>
      <c r="L3213" s="66" t="str">
        <f aca="false">IF(资金流水!$E9="","",IFERROR(INDEX(记账规则!$A$13:$H$32,MATCH(资金流水!$E9,记账规则!$A$13:$A$32,0),6),""))</f>
        <v>应付账款</v>
      </c>
      <c r="M3213" s="66" t="str">
        <f aca="false">IF($L3213="","",IFERROR(INDEX(记账规则!$A$13:$H$32,MATCH(资金流水!$E9,记账规则!$A$13:$A$32,0),7),""))</f>
        <v>借</v>
      </c>
      <c r="N3213" s="66" t="str">
        <f aca="false">IF($L3213="","",IFERROR(INDEX(记账规则!$A$13:$H$32,MATCH(资金流水!$E9,记账规则!$A$13:$A$32,0),8),""))</f>
        <v>金额</v>
      </c>
      <c r="O3213" s="67" t="n">
        <f aca="false">IF($H3213="",0,ROUND(IF($N3213="金额",N(资金流水!$P9),0),2))</f>
        <v>7800</v>
      </c>
      <c r="P3213" s="64" t="str">
        <f aca="false">IF(AND($H3213&lt;&gt;"",ROUND($O3213,2)&lt;&gt;0),"有","")</f>
        <v>有</v>
      </c>
    </row>
    <row r="3214" customFormat="false" ht="15" hidden="false" customHeight="false" outlineLevel="0" collapsed="false">
      <c r="A3214" s="53" t="n">
        <f aca="false">IF($H3214="","",ROW()-5)</f>
        <v>3209</v>
      </c>
      <c r="B3214" s="64" t="s">
        <v>37</v>
      </c>
      <c r="C3214" s="53" t="n">
        <v>10</v>
      </c>
      <c r="D3214" s="53" t="n">
        <v>1</v>
      </c>
      <c r="E3214" s="65" t="n">
        <f aca="false">IF($H3214="","",资金流水!$B10)</f>
        <v>46101</v>
      </c>
      <c r="F3214" s="55" t="str">
        <f aca="false">IF($H3214="","",资金流水!$C10)</f>
        <v>农业</v>
      </c>
      <c r="G3214" s="48" t="str">
        <f aca="false">IF($H3214="","",资金流水!$K10)</f>
        <v>办公用品</v>
      </c>
      <c r="H3214" s="10" t="str">
        <f aca="false">IF($L3214="","",IF($L3214="@对方",资金流水!$G10,IF($L3214="@账户",资金流水!$Q10,$L3214)))</f>
        <v>银行存款</v>
      </c>
      <c r="I3214" s="42" t="n">
        <f aca="false">IF($M3214="借",$O3214,0)</f>
        <v>0</v>
      </c>
      <c r="J3214" s="42" t="n">
        <f aca="false">IF($M3214="贷",$O3214,0)</f>
        <v>3200</v>
      </c>
      <c r="K3214" s="48" t="n">
        <f aca="false">IF($H3214="","",资金流水!$F10)</f>
        <v>0</v>
      </c>
      <c r="L3214" s="66" t="str">
        <f aca="false">IF(资金流水!$E10="","",IFERROR(INDEX(记账规则!$A$13:$H$32,MATCH(资金流水!$E10,记账规则!$A$13:$A$32,0),3),""))</f>
        <v>@账户</v>
      </c>
      <c r="M3214" s="66" t="str">
        <f aca="false">IF($L3214="","",IFERROR(INDEX(记账规则!$A$13:$H$32,MATCH(资金流水!$E10,记账规则!$A$13:$A$32,0),4),""))</f>
        <v>贷</v>
      </c>
      <c r="N3214" s="66" t="str">
        <f aca="false">IF($L3214="","",IFERROR(INDEX(记账规则!$A$13:$H$32,MATCH(资金流水!$E10,记账规则!$A$13:$A$32,0),5),""))</f>
        <v>金额</v>
      </c>
      <c r="O3214" s="67" t="n">
        <f aca="false">IF($H3214="",0,ROUND(IF($N3214="金额",N(资金流水!$P10),0),2))</f>
        <v>3200</v>
      </c>
      <c r="P3214" s="64" t="str">
        <f aca="false">IF(AND($H3214&lt;&gt;"",ROUND($O3214,2)&lt;&gt;0),"有","")</f>
        <v>有</v>
      </c>
    </row>
    <row r="3215" customFormat="false" ht="15" hidden="false" customHeight="false" outlineLevel="0" collapsed="false">
      <c r="A3215" s="53" t="n">
        <f aca="false">IF($H3215="","",ROW()-5)</f>
        <v>3210</v>
      </c>
      <c r="B3215" s="64" t="s">
        <v>37</v>
      </c>
      <c r="C3215" s="53" t="n">
        <v>10</v>
      </c>
      <c r="D3215" s="53" t="n">
        <v>2</v>
      </c>
      <c r="E3215" s="65" t="n">
        <f aca="false">IF($H3215="","",资金流水!$B10)</f>
        <v>46101</v>
      </c>
      <c r="F3215" s="55" t="str">
        <f aca="false">IF($H3215="","",资金流水!$C10)</f>
        <v>农业</v>
      </c>
      <c r="G3215" s="48" t="str">
        <f aca="false">IF($H3215="","",资金流水!$K10)</f>
        <v>办公用品</v>
      </c>
      <c r="H3215" s="10" t="str">
        <f aca="false">IF($L3215="","",IF($L3215="@对方",资金流水!$G10,IF($L3215="@账户",资金流水!$Q10,$L3215)))</f>
        <v>管理费用</v>
      </c>
      <c r="I3215" s="42" t="n">
        <f aca="false">IF($M3215="借",$O3215,0)</f>
        <v>3200</v>
      </c>
      <c r="J3215" s="42" t="n">
        <f aca="false">IF($M3215="贷",$O3215,0)</f>
        <v>0</v>
      </c>
      <c r="K3215" s="48" t="n">
        <f aca="false">IF($H3215="","",资金流水!$F10)</f>
        <v>0</v>
      </c>
      <c r="L3215" s="66" t="str">
        <f aca="false">IF(资金流水!$E10="","",IFERROR(INDEX(记账规则!$A$13:$H$32,MATCH(资金流水!$E10,记账规则!$A$13:$A$32,0),6),""))</f>
        <v>@对方</v>
      </c>
      <c r="M3215" s="66" t="str">
        <f aca="false">IF($L3215="","",IFERROR(INDEX(记账规则!$A$13:$H$32,MATCH(资金流水!$E10,记账规则!$A$13:$A$32,0),7),""))</f>
        <v>借</v>
      </c>
      <c r="N3215" s="66" t="str">
        <f aca="false">IF($L3215="","",IFERROR(INDEX(记账规则!$A$13:$H$32,MATCH(资金流水!$E10,记账规则!$A$13:$A$32,0),8),""))</f>
        <v>金额</v>
      </c>
      <c r="O3215" s="67" t="n">
        <f aca="false">IF($H3215="",0,ROUND(IF($N3215="金额",N(资金流水!$P10),0),2))</f>
        <v>3200</v>
      </c>
      <c r="P3215" s="64" t="str">
        <f aca="false">IF(AND($H3215&lt;&gt;"",ROUND($O3215,2)&lt;&gt;0),"有","")</f>
        <v>有</v>
      </c>
    </row>
    <row r="3216" customFormat="false" ht="15" hidden="false" customHeight="false" outlineLevel="0" collapsed="false">
      <c r="A3216" s="53" t="n">
        <f aca="false">IF($H3216="","",ROW()-5)</f>
        <v>3211</v>
      </c>
      <c r="B3216" s="64" t="s">
        <v>37</v>
      </c>
      <c r="C3216" s="53" t="n">
        <v>11</v>
      </c>
      <c r="D3216" s="53" t="n">
        <v>1</v>
      </c>
      <c r="E3216" s="65" t="n">
        <f aca="false">IF($H3216="","",资金流水!$B11)</f>
        <v>46132</v>
      </c>
      <c r="F3216" s="55" t="str">
        <f aca="false">IF($H3216="","",资金流水!$C11)</f>
        <v>木业</v>
      </c>
      <c r="G3216" s="48" t="str">
        <f aca="false">IF($H3216="","",资金流水!$K11)</f>
        <v>支付胶水款</v>
      </c>
      <c r="H3216" s="10" t="str">
        <f aca="false">IF($L3216="","",IF($L3216="@对方",资金流水!$G11,IF($L3216="@账户",资金流水!$Q11,$L3216)))</f>
        <v>银行存款</v>
      </c>
      <c r="I3216" s="42" t="n">
        <f aca="false">IF($M3216="借",$O3216,0)</f>
        <v>0</v>
      </c>
      <c r="J3216" s="42" t="n">
        <f aca="false">IF($M3216="贷",$O3216,0)</f>
        <v>12000</v>
      </c>
      <c r="K3216" s="48" t="str">
        <f aca="false">IF($H3216="","",资金流水!$F11)</f>
        <v>华鑫化工</v>
      </c>
      <c r="L3216" s="66" t="str">
        <f aca="false">IF(资金流水!$E11="","",IFERROR(INDEX(记账规则!$A$13:$H$32,MATCH(资金流水!$E11,记账规则!$A$13:$A$32,0),3),""))</f>
        <v>@账户</v>
      </c>
      <c r="M3216" s="66" t="str">
        <f aca="false">IF($L3216="","",IFERROR(INDEX(记账规则!$A$13:$H$32,MATCH(资金流水!$E11,记账规则!$A$13:$A$32,0),4),""))</f>
        <v>贷</v>
      </c>
      <c r="N3216" s="66" t="str">
        <f aca="false">IF($L3216="","",IFERROR(INDEX(记账规则!$A$13:$H$32,MATCH(资金流水!$E11,记账规则!$A$13:$A$32,0),5),""))</f>
        <v>金额</v>
      </c>
      <c r="O3216" s="67" t="n">
        <f aca="false">IF($H3216="",0,ROUND(IF($N3216="金额",N(资金流水!$P11),0),2))</f>
        <v>12000</v>
      </c>
      <c r="P3216" s="64" t="str">
        <f aca="false">IF(AND($H3216&lt;&gt;"",ROUND($O3216,2)&lt;&gt;0),"有","")</f>
        <v>有</v>
      </c>
    </row>
    <row r="3217" customFormat="false" ht="15" hidden="false" customHeight="false" outlineLevel="0" collapsed="false">
      <c r="A3217" s="53" t="n">
        <f aca="false">IF($H3217="","",ROW()-5)</f>
        <v>3212</v>
      </c>
      <c r="B3217" s="64" t="s">
        <v>37</v>
      </c>
      <c r="C3217" s="53" t="n">
        <v>11</v>
      </c>
      <c r="D3217" s="53" t="n">
        <v>2</v>
      </c>
      <c r="E3217" s="65" t="n">
        <f aca="false">IF($H3217="","",资金流水!$B11)</f>
        <v>46132</v>
      </c>
      <c r="F3217" s="55" t="str">
        <f aca="false">IF($H3217="","",资金流水!$C11)</f>
        <v>木业</v>
      </c>
      <c r="G3217" s="48" t="str">
        <f aca="false">IF($H3217="","",资金流水!$K11)</f>
        <v>支付胶水款</v>
      </c>
      <c r="H3217" s="10" t="str">
        <f aca="false">IF($L3217="","",IF($L3217="@对方",资金流水!$G11,IF($L3217="@账户",资金流水!$Q11,$L3217)))</f>
        <v>应付账款</v>
      </c>
      <c r="I3217" s="42" t="n">
        <f aca="false">IF($M3217="借",$O3217,0)</f>
        <v>12000</v>
      </c>
      <c r="J3217" s="42" t="n">
        <f aca="false">IF($M3217="贷",$O3217,0)</f>
        <v>0</v>
      </c>
      <c r="K3217" s="48" t="str">
        <f aca="false">IF($H3217="","",资金流水!$F11)</f>
        <v>华鑫化工</v>
      </c>
      <c r="L3217" s="66" t="str">
        <f aca="false">IF(资金流水!$E11="","",IFERROR(INDEX(记账规则!$A$13:$H$32,MATCH(资金流水!$E11,记账规则!$A$13:$A$32,0),6),""))</f>
        <v>应付账款</v>
      </c>
      <c r="M3217" s="66" t="str">
        <f aca="false">IF($L3217="","",IFERROR(INDEX(记账规则!$A$13:$H$32,MATCH(资金流水!$E11,记账规则!$A$13:$A$32,0),7),""))</f>
        <v>借</v>
      </c>
      <c r="N3217" s="66" t="str">
        <f aca="false">IF($L3217="","",IFERROR(INDEX(记账规则!$A$13:$H$32,MATCH(资金流水!$E11,记账规则!$A$13:$A$32,0),8),""))</f>
        <v>金额</v>
      </c>
      <c r="O3217" s="67" t="n">
        <f aca="false">IF($H3217="",0,ROUND(IF($N3217="金额",N(资金流水!$P11),0),2))</f>
        <v>12000</v>
      </c>
      <c r="P3217" s="64" t="str">
        <f aca="false">IF(AND($H3217&lt;&gt;"",ROUND($O3217,2)&lt;&gt;0),"有","")</f>
        <v>有</v>
      </c>
    </row>
    <row r="3218" customFormat="false" ht="15" hidden="false" customHeight="false" outlineLevel="0" collapsed="false">
      <c r="A3218" s="53" t="n">
        <f aca="false">IF($H3218="","",ROW()-5)</f>
        <v>3213</v>
      </c>
      <c r="B3218" s="64" t="s">
        <v>37</v>
      </c>
      <c r="C3218" s="53" t="n">
        <v>12</v>
      </c>
      <c r="D3218" s="53" t="n">
        <v>1</v>
      </c>
      <c r="E3218" s="65" t="n">
        <f aca="false">IF($H3218="","",资金流水!$B12)</f>
        <v>46154</v>
      </c>
      <c r="F3218" s="55" t="str">
        <f aca="false">IF($H3218="","",资金流水!$C12)</f>
        <v>木业</v>
      </c>
      <c r="G3218" s="48" t="str">
        <f aca="false">IF($H3218="","",资金流水!$K12)</f>
        <v>付农户原木收购款</v>
      </c>
      <c r="H3218" s="10" t="str">
        <f aca="false">IF($L3218="","",IF($L3218="@对方",资金流水!$G12,IF($L3218="@账户",资金流水!$Q12,$L3218)))</f>
        <v>银行存款</v>
      </c>
      <c r="I3218" s="42" t="n">
        <f aca="false">IF($M3218="借",$O3218,0)</f>
        <v>0</v>
      </c>
      <c r="J3218" s="42" t="n">
        <f aca="false">IF($M3218="贷",$O3218,0)</f>
        <v>58800</v>
      </c>
      <c r="K3218" s="48" t="str">
        <f aca="false">IF($H3218="","",资金流水!$F12)</f>
        <v>张德富（农户）</v>
      </c>
      <c r="L3218" s="66" t="str">
        <f aca="false">IF(资金流水!$E12="","",IFERROR(INDEX(记账规则!$A$13:$H$32,MATCH(资金流水!$E12,记账规则!$A$13:$A$32,0),3),""))</f>
        <v>@账户</v>
      </c>
      <c r="M3218" s="66" t="str">
        <f aca="false">IF($L3218="","",IFERROR(INDEX(记账规则!$A$13:$H$32,MATCH(资金流水!$E12,记账规则!$A$13:$A$32,0),4),""))</f>
        <v>贷</v>
      </c>
      <c r="N3218" s="66" t="str">
        <f aca="false">IF($L3218="","",IFERROR(INDEX(记账规则!$A$13:$H$32,MATCH(资金流水!$E12,记账规则!$A$13:$A$32,0),5),""))</f>
        <v>金额</v>
      </c>
      <c r="O3218" s="67" t="n">
        <f aca="false">IF($H3218="",0,ROUND(IF($N3218="金额",N(资金流水!$P12),0),2))</f>
        <v>58800</v>
      </c>
      <c r="P3218" s="64" t="str">
        <f aca="false">IF(AND($H3218&lt;&gt;"",ROUND($O3218,2)&lt;&gt;0),"有","")</f>
        <v>有</v>
      </c>
    </row>
    <row r="3219" customFormat="false" ht="15" hidden="false" customHeight="false" outlineLevel="0" collapsed="false">
      <c r="A3219" s="53" t="n">
        <f aca="false">IF($H3219="","",ROW()-5)</f>
        <v>3214</v>
      </c>
      <c r="B3219" s="64" t="s">
        <v>37</v>
      </c>
      <c r="C3219" s="53" t="n">
        <v>12</v>
      </c>
      <c r="D3219" s="53" t="n">
        <v>2</v>
      </c>
      <c r="E3219" s="65" t="n">
        <f aca="false">IF($H3219="","",资金流水!$B12)</f>
        <v>46154</v>
      </c>
      <c r="F3219" s="55" t="str">
        <f aca="false">IF($H3219="","",资金流水!$C12)</f>
        <v>木业</v>
      </c>
      <c r="G3219" s="48" t="str">
        <f aca="false">IF($H3219="","",资金流水!$K12)</f>
        <v>付农户原木收购款</v>
      </c>
      <c r="H3219" s="10" t="str">
        <f aca="false">IF($L3219="","",IF($L3219="@对方",资金流水!$G12,IF($L3219="@账户",资金流水!$Q12,$L3219)))</f>
        <v>应付账款</v>
      </c>
      <c r="I3219" s="42" t="n">
        <f aca="false">IF($M3219="借",$O3219,0)</f>
        <v>58800</v>
      </c>
      <c r="J3219" s="42" t="n">
        <f aca="false">IF($M3219="贷",$O3219,0)</f>
        <v>0</v>
      </c>
      <c r="K3219" s="48" t="str">
        <f aca="false">IF($H3219="","",资金流水!$F12)</f>
        <v>张德富（农户）</v>
      </c>
      <c r="L3219" s="66" t="str">
        <f aca="false">IF(资金流水!$E12="","",IFERROR(INDEX(记账规则!$A$13:$H$32,MATCH(资金流水!$E12,记账规则!$A$13:$A$32,0),6),""))</f>
        <v>应付账款</v>
      </c>
      <c r="M3219" s="66" t="str">
        <f aca="false">IF($L3219="","",IFERROR(INDEX(记账规则!$A$13:$H$32,MATCH(资金流水!$E12,记账规则!$A$13:$A$32,0),7),""))</f>
        <v>借</v>
      </c>
      <c r="N3219" s="66" t="str">
        <f aca="false">IF($L3219="","",IFERROR(INDEX(记账规则!$A$13:$H$32,MATCH(资金流水!$E12,记账规则!$A$13:$A$32,0),8),""))</f>
        <v>金额</v>
      </c>
      <c r="O3219" s="67" t="n">
        <f aca="false">IF($H3219="",0,ROUND(IF($N3219="金额",N(资金流水!$P12),0),2))</f>
        <v>58800</v>
      </c>
      <c r="P3219" s="64" t="str">
        <f aca="false">IF(AND($H3219&lt;&gt;"",ROUND($O3219,2)&lt;&gt;0),"有","")</f>
        <v>有</v>
      </c>
    </row>
    <row r="3220" customFormat="false" ht="15" hidden="false" customHeight="false" outlineLevel="0" collapsed="false">
      <c r="A3220" s="53" t="n">
        <f aca="false">IF($H3220="","",ROW()-5)</f>
        <v>3215</v>
      </c>
      <c r="B3220" s="64" t="s">
        <v>37</v>
      </c>
      <c r="C3220" s="53" t="n">
        <v>13</v>
      </c>
      <c r="D3220" s="53" t="n">
        <v>1</v>
      </c>
      <c r="E3220" s="65" t="n">
        <f aca="false">IF($H3220="","",资金流水!$B13)</f>
        <v>46167</v>
      </c>
      <c r="F3220" s="55" t="str">
        <f aca="false">IF($H3220="","",资金流水!$C13)</f>
        <v>科技</v>
      </c>
      <c r="G3220" s="48" t="str">
        <f aca="false">IF($H3220="","",资金流水!$K13)</f>
        <v>支付包装瓶款</v>
      </c>
      <c r="H3220" s="10" t="str">
        <f aca="false">IF($L3220="","",IF($L3220="@对方",资金流水!$G13,IF($L3220="@账户",资金流水!$Q13,$L3220)))</f>
        <v>银行存款</v>
      </c>
      <c r="I3220" s="42" t="n">
        <f aca="false">IF($M3220="借",$O3220,0)</f>
        <v>0</v>
      </c>
      <c r="J3220" s="42" t="n">
        <f aca="false">IF($M3220="贷",$O3220,0)</f>
        <v>19200</v>
      </c>
      <c r="K3220" s="48" t="str">
        <f aca="false">IF($H3220="","",资金流水!$F13)</f>
        <v>晶诚玻璃</v>
      </c>
      <c r="L3220" s="66" t="str">
        <f aca="false">IF(资金流水!$E13="","",IFERROR(INDEX(记账规则!$A$13:$H$32,MATCH(资金流水!$E13,记账规则!$A$13:$A$32,0),3),""))</f>
        <v>@账户</v>
      </c>
      <c r="M3220" s="66" t="str">
        <f aca="false">IF($L3220="","",IFERROR(INDEX(记账规则!$A$13:$H$32,MATCH(资金流水!$E13,记账规则!$A$13:$A$32,0),4),""))</f>
        <v>贷</v>
      </c>
      <c r="N3220" s="66" t="str">
        <f aca="false">IF($L3220="","",IFERROR(INDEX(记账规则!$A$13:$H$32,MATCH(资金流水!$E13,记账规则!$A$13:$A$32,0),5),""))</f>
        <v>金额</v>
      </c>
      <c r="O3220" s="67" t="n">
        <f aca="false">IF($H3220="",0,ROUND(IF($N3220="金额",N(资金流水!$P13),0),2))</f>
        <v>19200</v>
      </c>
      <c r="P3220" s="64" t="str">
        <f aca="false">IF(AND($H3220&lt;&gt;"",ROUND($O3220,2)&lt;&gt;0),"有","")</f>
        <v>有</v>
      </c>
    </row>
    <row r="3221" customFormat="false" ht="15" hidden="false" customHeight="false" outlineLevel="0" collapsed="false">
      <c r="A3221" s="53" t="n">
        <f aca="false">IF($H3221="","",ROW()-5)</f>
        <v>3216</v>
      </c>
      <c r="B3221" s="64" t="s">
        <v>37</v>
      </c>
      <c r="C3221" s="53" t="n">
        <v>13</v>
      </c>
      <c r="D3221" s="53" t="n">
        <v>2</v>
      </c>
      <c r="E3221" s="65" t="n">
        <f aca="false">IF($H3221="","",资金流水!$B13)</f>
        <v>46167</v>
      </c>
      <c r="F3221" s="55" t="str">
        <f aca="false">IF($H3221="","",资金流水!$C13)</f>
        <v>科技</v>
      </c>
      <c r="G3221" s="48" t="str">
        <f aca="false">IF($H3221="","",资金流水!$K13)</f>
        <v>支付包装瓶款</v>
      </c>
      <c r="H3221" s="10" t="str">
        <f aca="false">IF($L3221="","",IF($L3221="@对方",资金流水!$G13,IF($L3221="@账户",资金流水!$Q13,$L3221)))</f>
        <v>应付账款</v>
      </c>
      <c r="I3221" s="42" t="n">
        <f aca="false">IF($M3221="借",$O3221,0)</f>
        <v>19200</v>
      </c>
      <c r="J3221" s="42" t="n">
        <f aca="false">IF($M3221="贷",$O3221,0)</f>
        <v>0</v>
      </c>
      <c r="K3221" s="48" t="str">
        <f aca="false">IF($H3221="","",资金流水!$F13)</f>
        <v>晶诚玻璃</v>
      </c>
      <c r="L3221" s="66" t="str">
        <f aca="false">IF(资金流水!$E13="","",IFERROR(INDEX(记账规则!$A$13:$H$32,MATCH(资金流水!$E13,记账规则!$A$13:$A$32,0),6),""))</f>
        <v>应付账款</v>
      </c>
      <c r="M3221" s="66" t="str">
        <f aca="false">IF($L3221="","",IFERROR(INDEX(记账规则!$A$13:$H$32,MATCH(资金流水!$E13,记账规则!$A$13:$A$32,0),7),""))</f>
        <v>借</v>
      </c>
      <c r="N3221" s="66" t="str">
        <f aca="false">IF($L3221="","",IFERROR(INDEX(记账规则!$A$13:$H$32,MATCH(资金流水!$E13,记账规则!$A$13:$A$32,0),8),""))</f>
        <v>金额</v>
      </c>
      <c r="O3221" s="67" t="n">
        <f aca="false">IF($H3221="",0,ROUND(IF($N3221="金额",N(资金流水!$P13),0),2))</f>
        <v>19200</v>
      </c>
      <c r="P3221" s="64" t="str">
        <f aca="false">IF(AND($H3221&lt;&gt;"",ROUND($O3221,2)&lt;&gt;0),"有","")</f>
        <v>有</v>
      </c>
    </row>
    <row r="3222" customFormat="false" ht="15" hidden="false" customHeight="false" outlineLevel="0" collapsed="false">
      <c r="A3222" s="53" t="n">
        <f aca="false">IF($H3222="","",ROW()-5)</f>
        <v>3217</v>
      </c>
      <c r="B3222" s="64" t="s">
        <v>37</v>
      </c>
      <c r="C3222" s="53" t="n">
        <v>14</v>
      </c>
      <c r="D3222" s="53" t="n">
        <v>1</v>
      </c>
      <c r="E3222" s="65" t="n">
        <f aca="false">IF($H3222="","",资金流水!$B14)</f>
        <v>46172</v>
      </c>
      <c r="F3222" s="55" t="str">
        <f aca="false">IF($H3222="","",资金流水!$C14)</f>
        <v>科技</v>
      </c>
      <c r="G3222" s="48" t="str">
        <f aca="false">IF($H3222="","",资金流水!$K14)</f>
        <v>支付纸盒款</v>
      </c>
      <c r="H3222" s="10" t="str">
        <f aca="false">IF($L3222="","",IF($L3222="@对方",资金流水!$G14,IF($L3222="@账户",资金流水!$Q14,$L3222)))</f>
        <v>银行存款</v>
      </c>
      <c r="I3222" s="42" t="n">
        <f aca="false">IF($M3222="借",$O3222,0)</f>
        <v>0</v>
      </c>
      <c r="J3222" s="42" t="n">
        <f aca="false">IF($M3222="贷",$O3222,0)</f>
        <v>4080</v>
      </c>
      <c r="K3222" s="48" t="str">
        <f aca="false">IF($H3222="","",资金流水!$F14)</f>
        <v>瑞丰纸品</v>
      </c>
      <c r="L3222" s="66" t="str">
        <f aca="false">IF(资金流水!$E14="","",IFERROR(INDEX(记账规则!$A$13:$H$32,MATCH(资金流水!$E14,记账规则!$A$13:$A$32,0),3),""))</f>
        <v>@账户</v>
      </c>
      <c r="M3222" s="66" t="str">
        <f aca="false">IF($L3222="","",IFERROR(INDEX(记账规则!$A$13:$H$32,MATCH(资金流水!$E14,记账规则!$A$13:$A$32,0),4),""))</f>
        <v>贷</v>
      </c>
      <c r="N3222" s="66" t="str">
        <f aca="false">IF($L3222="","",IFERROR(INDEX(记账规则!$A$13:$H$32,MATCH(资金流水!$E14,记账规则!$A$13:$A$32,0),5),""))</f>
        <v>金额</v>
      </c>
      <c r="O3222" s="67" t="n">
        <f aca="false">IF($H3222="",0,ROUND(IF($N3222="金额",N(资金流水!$P14),0),2))</f>
        <v>4080</v>
      </c>
      <c r="P3222" s="64" t="str">
        <f aca="false">IF(AND($H3222&lt;&gt;"",ROUND($O3222,2)&lt;&gt;0),"有","")</f>
        <v>有</v>
      </c>
    </row>
    <row r="3223" customFormat="false" ht="15" hidden="false" customHeight="false" outlineLevel="0" collapsed="false">
      <c r="A3223" s="53" t="n">
        <f aca="false">IF($H3223="","",ROW()-5)</f>
        <v>3218</v>
      </c>
      <c r="B3223" s="64" t="s">
        <v>37</v>
      </c>
      <c r="C3223" s="53" t="n">
        <v>14</v>
      </c>
      <c r="D3223" s="53" t="n">
        <v>2</v>
      </c>
      <c r="E3223" s="65" t="n">
        <f aca="false">IF($H3223="","",资金流水!$B14)</f>
        <v>46172</v>
      </c>
      <c r="F3223" s="55" t="str">
        <f aca="false">IF($H3223="","",资金流水!$C14)</f>
        <v>科技</v>
      </c>
      <c r="G3223" s="48" t="str">
        <f aca="false">IF($H3223="","",资金流水!$K14)</f>
        <v>支付纸盒款</v>
      </c>
      <c r="H3223" s="10" t="str">
        <f aca="false">IF($L3223="","",IF($L3223="@对方",资金流水!$G14,IF($L3223="@账户",资金流水!$Q14,$L3223)))</f>
        <v>应付账款</v>
      </c>
      <c r="I3223" s="42" t="n">
        <f aca="false">IF($M3223="借",$O3223,0)</f>
        <v>4080</v>
      </c>
      <c r="J3223" s="42" t="n">
        <f aca="false">IF($M3223="贷",$O3223,0)</f>
        <v>0</v>
      </c>
      <c r="K3223" s="48" t="str">
        <f aca="false">IF($H3223="","",资金流水!$F14)</f>
        <v>瑞丰纸品</v>
      </c>
      <c r="L3223" s="66" t="str">
        <f aca="false">IF(资金流水!$E14="","",IFERROR(INDEX(记账规则!$A$13:$H$32,MATCH(资金流水!$E14,记账规则!$A$13:$A$32,0),6),""))</f>
        <v>应付账款</v>
      </c>
      <c r="M3223" s="66" t="str">
        <f aca="false">IF($L3223="","",IFERROR(INDEX(记账规则!$A$13:$H$32,MATCH(资金流水!$E14,记账规则!$A$13:$A$32,0),7),""))</f>
        <v>借</v>
      </c>
      <c r="N3223" s="66" t="str">
        <f aca="false">IF($L3223="","",IFERROR(INDEX(记账规则!$A$13:$H$32,MATCH(资金流水!$E14,记账规则!$A$13:$A$32,0),8),""))</f>
        <v>金额</v>
      </c>
      <c r="O3223" s="67" t="n">
        <f aca="false">IF($H3223="",0,ROUND(IF($N3223="金额",N(资金流水!$P14),0),2))</f>
        <v>4080</v>
      </c>
      <c r="P3223" s="64" t="str">
        <f aca="false">IF(AND($H3223&lt;&gt;"",ROUND($O3223,2)&lt;&gt;0),"有","")</f>
        <v>有</v>
      </c>
    </row>
    <row r="3224" customFormat="false" ht="15" hidden="false" customHeight="false" outlineLevel="0" collapsed="false">
      <c r="A3224" s="53" t="n">
        <f aca="false">IF($H3224="","",ROW()-5)</f>
        <v>3219</v>
      </c>
      <c r="B3224" s="64" t="s">
        <v>37</v>
      </c>
      <c r="C3224" s="53" t="n">
        <v>15</v>
      </c>
      <c r="D3224" s="53" t="n">
        <v>1</v>
      </c>
      <c r="E3224" s="65" t="n">
        <f aca="false">IF($H3224="","",资金流水!$B15)</f>
        <v>46201</v>
      </c>
      <c r="F3224" s="55" t="str">
        <f aca="false">IF($H3224="","",资金流水!$C15)</f>
        <v>农业</v>
      </c>
      <c r="G3224" s="48" t="str">
        <f aca="false">IF($H3224="","",资金流水!$K15)</f>
        <v>收木业公司原木款（内部）</v>
      </c>
      <c r="H3224" s="10" t="str">
        <f aca="false">IF($L3224="","",IF($L3224="@对方",资金流水!$G15,IF($L3224="@账户",资金流水!$Q15,$L3224)))</f>
        <v>银行存款</v>
      </c>
      <c r="I3224" s="42" t="n">
        <f aca="false">IF($M3224="借",$O3224,0)</f>
        <v>150000</v>
      </c>
      <c r="J3224" s="42" t="n">
        <f aca="false">IF($M3224="贷",$O3224,0)</f>
        <v>0</v>
      </c>
      <c r="K3224" s="48" t="str">
        <f aca="false">IF($H3224="","",资金流水!$F15)</f>
        <v>木业公司</v>
      </c>
      <c r="L3224" s="66" t="str">
        <f aca="false">IF(资金流水!$E15="","",IFERROR(INDEX(记账规则!$A$13:$H$32,MATCH(资金流水!$E15,记账规则!$A$13:$A$32,0),3),""))</f>
        <v>@账户</v>
      </c>
      <c r="M3224" s="66" t="str">
        <f aca="false">IF($L3224="","",IFERROR(INDEX(记账规则!$A$13:$H$32,MATCH(资金流水!$E15,记账规则!$A$13:$A$32,0),4),""))</f>
        <v>借</v>
      </c>
      <c r="N3224" s="66" t="str">
        <f aca="false">IF($L3224="","",IFERROR(INDEX(记账规则!$A$13:$H$32,MATCH(资金流水!$E15,记账规则!$A$13:$A$32,0),5),""))</f>
        <v>金额</v>
      </c>
      <c r="O3224" s="67" t="n">
        <f aca="false">IF($H3224="",0,ROUND(IF($N3224="金额",N(资金流水!$P15),0),2))</f>
        <v>150000</v>
      </c>
      <c r="P3224" s="64" t="str">
        <f aca="false">IF(AND($H3224&lt;&gt;"",ROUND($O3224,2)&lt;&gt;0),"有","")</f>
        <v>有</v>
      </c>
    </row>
    <row r="3225" customFormat="false" ht="15" hidden="false" customHeight="false" outlineLevel="0" collapsed="false">
      <c r="A3225" s="53" t="n">
        <f aca="false">IF($H3225="","",ROW()-5)</f>
        <v>3220</v>
      </c>
      <c r="B3225" s="64" t="s">
        <v>37</v>
      </c>
      <c r="C3225" s="53" t="n">
        <v>15</v>
      </c>
      <c r="D3225" s="53" t="n">
        <v>2</v>
      </c>
      <c r="E3225" s="65" t="n">
        <f aca="false">IF($H3225="","",资金流水!$B15)</f>
        <v>46201</v>
      </c>
      <c r="F3225" s="55" t="str">
        <f aca="false">IF($H3225="","",资金流水!$C15)</f>
        <v>农业</v>
      </c>
      <c r="G3225" s="48" t="str">
        <f aca="false">IF($H3225="","",资金流水!$K15)</f>
        <v>收木业公司原木款（内部）</v>
      </c>
      <c r="H3225" s="10" t="str">
        <f aca="false">IF($L3225="","",IF($L3225="@对方",资金流水!$G15,IF($L3225="@账户",资金流水!$Q15,$L3225)))</f>
        <v>应收账款</v>
      </c>
      <c r="I3225" s="42" t="n">
        <f aca="false">IF($M3225="借",$O3225,0)</f>
        <v>0</v>
      </c>
      <c r="J3225" s="42" t="n">
        <f aca="false">IF($M3225="贷",$O3225,0)</f>
        <v>150000</v>
      </c>
      <c r="K3225" s="48" t="str">
        <f aca="false">IF($H3225="","",资金流水!$F15)</f>
        <v>木业公司</v>
      </c>
      <c r="L3225" s="66" t="str">
        <f aca="false">IF(资金流水!$E15="","",IFERROR(INDEX(记账规则!$A$13:$H$32,MATCH(资金流水!$E15,记账规则!$A$13:$A$32,0),6),""))</f>
        <v>应收账款</v>
      </c>
      <c r="M3225" s="66" t="str">
        <f aca="false">IF($L3225="","",IFERROR(INDEX(记账规则!$A$13:$H$32,MATCH(资金流水!$E15,记账规则!$A$13:$A$32,0),7),""))</f>
        <v>贷</v>
      </c>
      <c r="N3225" s="66" t="str">
        <f aca="false">IF($L3225="","",IFERROR(INDEX(记账规则!$A$13:$H$32,MATCH(资金流水!$E15,记账规则!$A$13:$A$32,0),8),""))</f>
        <v>金额</v>
      </c>
      <c r="O3225" s="67" t="n">
        <f aca="false">IF($H3225="",0,ROUND(IF($N3225="金额",N(资金流水!$P15),0),2))</f>
        <v>150000</v>
      </c>
      <c r="P3225" s="64" t="str">
        <f aca="false">IF(AND($H3225&lt;&gt;"",ROUND($O3225,2)&lt;&gt;0),"有","")</f>
        <v>有</v>
      </c>
    </row>
    <row r="3226" customFormat="false" ht="15" hidden="false" customHeight="false" outlineLevel="0" collapsed="false">
      <c r="A3226" s="53" t="n">
        <f aca="false">IF($H3226="","",ROW()-5)</f>
        <v>3221</v>
      </c>
      <c r="B3226" s="64" t="s">
        <v>37</v>
      </c>
      <c r="C3226" s="53" t="n">
        <v>16</v>
      </c>
      <c r="D3226" s="53" t="n">
        <v>1</v>
      </c>
      <c r="E3226" s="65" t="n">
        <f aca="false">IF($H3226="","",资金流水!$B16)</f>
        <v>46201</v>
      </c>
      <c r="F3226" s="55" t="str">
        <f aca="false">IF($H3226="","",资金流水!$C16)</f>
        <v>木业</v>
      </c>
      <c r="G3226" s="48" t="str">
        <f aca="false">IF($H3226="","",资金流水!$K16)</f>
        <v>付农业基地原木款（内部）</v>
      </c>
      <c r="H3226" s="10" t="str">
        <f aca="false">IF($L3226="","",IF($L3226="@对方",资金流水!$G16,IF($L3226="@账户",资金流水!$Q16,$L3226)))</f>
        <v>银行存款</v>
      </c>
      <c r="I3226" s="42" t="n">
        <f aca="false">IF($M3226="借",$O3226,0)</f>
        <v>0</v>
      </c>
      <c r="J3226" s="42" t="n">
        <f aca="false">IF($M3226="贷",$O3226,0)</f>
        <v>150000</v>
      </c>
      <c r="K3226" s="48" t="str">
        <f aca="false">IF($H3226="","",资金流水!$F16)</f>
        <v>农业基地公司</v>
      </c>
      <c r="L3226" s="66" t="str">
        <f aca="false">IF(资金流水!$E16="","",IFERROR(INDEX(记账规则!$A$13:$H$32,MATCH(资金流水!$E16,记账规则!$A$13:$A$32,0),3),""))</f>
        <v>@账户</v>
      </c>
      <c r="M3226" s="66" t="str">
        <f aca="false">IF($L3226="","",IFERROR(INDEX(记账规则!$A$13:$H$32,MATCH(资金流水!$E16,记账规则!$A$13:$A$32,0),4),""))</f>
        <v>贷</v>
      </c>
      <c r="N3226" s="66" t="str">
        <f aca="false">IF($L3226="","",IFERROR(INDEX(记账规则!$A$13:$H$32,MATCH(资金流水!$E16,记账规则!$A$13:$A$32,0),5),""))</f>
        <v>金额</v>
      </c>
      <c r="O3226" s="67" t="n">
        <f aca="false">IF($H3226="",0,ROUND(IF($N3226="金额",N(资金流水!$P16),0),2))</f>
        <v>150000</v>
      </c>
      <c r="P3226" s="64" t="str">
        <f aca="false">IF(AND($H3226&lt;&gt;"",ROUND($O3226,2)&lt;&gt;0),"有","")</f>
        <v>有</v>
      </c>
    </row>
    <row r="3227" customFormat="false" ht="15" hidden="false" customHeight="false" outlineLevel="0" collapsed="false">
      <c r="A3227" s="53" t="n">
        <f aca="false">IF($H3227="","",ROW()-5)</f>
        <v>3222</v>
      </c>
      <c r="B3227" s="64" t="s">
        <v>37</v>
      </c>
      <c r="C3227" s="53" t="n">
        <v>16</v>
      </c>
      <c r="D3227" s="53" t="n">
        <v>2</v>
      </c>
      <c r="E3227" s="65" t="n">
        <f aca="false">IF($H3227="","",资金流水!$B16)</f>
        <v>46201</v>
      </c>
      <c r="F3227" s="55" t="str">
        <f aca="false">IF($H3227="","",资金流水!$C16)</f>
        <v>木业</v>
      </c>
      <c r="G3227" s="48" t="str">
        <f aca="false">IF($H3227="","",资金流水!$K16)</f>
        <v>付农业基地原木款（内部）</v>
      </c>
      <c r="H3227" s="10" t="str">
        <f aca="false">IF($L3227="","",IF($L3227="@对方",资金流水!$G16,IF($L3227="@账户",资金流水!$Q16,$L3227)))</f>
        <v>应付账款</v>
      </c>
      <c r="I3227" s="42" t="n">
        <f aca="false">IF($M3227="借",$O3227,0)</f>
        <v>150000</v>
      </c>
      <c r="J3227" s="42" t="n">
        <f aca="false">IF($M3227="贷",$O3227,0)</f>
        <v>0</v>
      </c>
      <c r="K3227" s="48" t="str">
        <f aca="false">IF($H3227="","",资金流水!$F16)</f>
        <v>农业基地公司</v>
      </c>
      <c r="L3227" s="66" t="str">
        <f aca="false">IF(资金流水!$E16="","",IFERROR(INDEX(记账规则!$A$13:$H$32,MATCH(资金流水!$E16,记账规则!$A$13:$A$32,0),6),""))</f>
        <v>应付账款</v>
      </c>
      <c r="M3227" s="66" t="str">
        <f aca="false">IF($L3227="","",IFERROR(INDEX(记账规则!$A$13:$H$32,MATCH(资金流水!$E16,记账规则!$A$13:$A$32,0),7),""))</f>
        <v>借</v>
      </c>
      <c r="N3227" s="66" t="str">
        <f aca="false">IF($L3227="","",IFERROR(INDEX(记账规则!$A$13:$H$32,MATCH(资金流水!$E16,记账规则!$A$13:$A$32,0),8),""))</f>
        <v>金额</v>
      </c>
      <c r="O3227" s="67" t="n">
        <f aca="false">IF($H3227="",0,ROUND(IF($N3227="金额",N(资金流水!$P16),0),2))</f>
        <v>150000</v>
      </c>
      <c r="P3227" s="64" t="str">
        <f aca="false">IF(AND($H3227&lt;&gt;"",ROUND($O3227,2)&lt;&gt;0),"有","")</f>
        <v>有</v>
      </c>
    </row>
    <row r="3228" customFormat="false" ht="15" hidden="false" customHeight="false" outlineLevel="0" collapsed="false">
      <c r="A3228" s="53" t="n">
        <f aca="false">IF($H3228="","",ROW()-5)</f>
        <v>3223</v>
      </c>
      <c r="B3228" s="64" t="s">
        <v>37</v>
      </c>
      <c r="C3228" s="53" t="n">
        <v>17</v>
      </c>
      <c r="D3228" s="53" t="n">
        <v>1</v>
      </c>
      <c r="E3228" s="65" t="n">
        <f aca="false">IF($H3228="","",资金流水!$B17)</f>
        <v>46203</v>
      </c>
      <c r="F3228" s="55" t="str">
        <f aca="false">IF($H3228="","",资金流水!$C17)</f>
        <v>科技</v>
      </c>
      <c r="G3228" s="48" t="str">
        <f aca="false">IF($H3228="","",资金流水!$K17)</f>
        <v>电商推广</v>
      </c>
      <c r="H3228" s="10" t="str">
        <f aca="false">IF($L3228="","",IF($L3228="@对方",资金流水!$G17,IF($L3228="@账户",资金流水!$Q17,$L3228)))</f>
        <v>银行存款</v>
      </c>
      <c r="I3228" s="42" t="n">
        <f aca="false">IF($M3228="借",$O3228,0)</f>
        <v>0</v>
      </c>
      <c r="J3228" s="42" t="n">
        <f aca="false">IF($M3228="贷",$O3228,0)</f>
        <v>26500</v>
      </c>
      <c r="K3228" s="48" t="str">
        <f aca="false">IF($H3228="","",资金流水!$F17)</f>
        <v>天成广告</v>
      </c>
      <c r="L3228" s="66" t="str">
        <f aca="false">IF(资金流水!$E17="","",IFERROR(INDEX(记账规则!$A$13:$H$32,MATCH(资金流水!$E17,记账规则!$A$13:$A$32,0),3),""))</f>
        <v>@账户</v>
      </c>
      <c r="M3228" s="66" t="str">
        <f aca="false">IF($L3228="","",IFERROR(INDEX(记账规则!$A$13:$H$32,MATCH(资金流水!$E17,记账规则!$A$13:$A$32,0),4),""))</f>
        <v>贷</v>
      </c>
      <c r="N3228" s="66" t="str">
        <f aca="false">IF($L3228="","",IFERROR(INDEX(记账规则!$A$13:$H$32,MATCH(资金流水!$E17,记账规则!$A$13:$A$32,0),5),""))</f>
        <v>金额</v>
      </c>
      <c r="O3228" s="67" t="n">
        <f aca="false">IF($H3228="",0,ROUND(IF($N3228="金额",N(资金流水!$P17),0),2))</f>
        <v>26500</v>
      </c>
      <c r="P3228" s="64" t="str">
        <f aca="false">IF(AND($H3228&lt;&gt;"",ROUND($O3228,2)&lt;&gt;0),"有","")</f>
        <v>有</v>
      </c>
    </row>
    <row r="3229" customFormat="false" ht="15" hidden="false" customHeight="false" outlineLevel="0" collapsed="false">
      <c r="A3229" s="53" t="n">
        <f aca="false">IF($H3229="","",ROW()-5)</f>
        <v>3224</v>
      </c>
      <c r="B3229" s="64" t="s">
        <v>37</v>
      </c>
      <c r="C3229" s="53" t="n">
        <v>17</v>
      </c>
      <c r="D3229" s="53" t="n">
        <v>2</v>
      </c>
      <c r="E3229" s="65" t="n">
        <f aca="false">IF($H3229="","",资金流水!$B17)</f>
        <v>46203</v>
      </c>
      <c r="F3229" s="55" t="str">
        <f aca="false">IF($H3229="","",资金流水!$C17)</f>
        <v>科技</v>
      </c>
      <c r="G3229" s="48" t="str">
        <f aca="false">IF($H3229="","",资金流水!$K17)</f>
        <v>电商推广</v>
      </c>
      <c r="H3229" s="10" t="str">
        <f aca="false">IF($L3229="","",IF($L3229="@对方",资金流水!$G17,IF($L3229="@账户",资金流水!$Q17,$L3229)))</f>
        <v>销售费用</v>
      </c>
      <c r="I3229" s="42" t="n">
        <f aca="false">IF($M3229="借",$O3229,0)</f>
        <v>26500</v>
      </c>
      <c r="J3229" s="42" t="n">
        <f aca="false">IF($M3229="贷",$O3229,0)</f>
        <v>0</v>
      </c>
      <c r="K3229" s="48" t="str">
        <f aca="false">IF($H3229="","",资金流水!$F17)</f>
        <v>天成广告</v>
      </c>
      <c r="L3229" s="66" t="str">
        <f aca="false">IF(资金流水!$E17="","",IFERROR(INDEX(记账规则!$A$13:$H$32,MATCH(资金流水!$E17,记账规则!$A$13:$A$32,0),6),""))</f>
        <v>@对方</v>
      </c>
      <c r="M3229" s="66" t="str">
        <f aca="false">IF($L3229="","",IFERROR(INDEX(记账规则!$A$13:$H$32,MATCH(资金流水!$E17,记账规则!$A$13:$A$32,0),7),""))</f>
        <v>借</v>
      </c>
      <c r="N3229" s="66" t="str">
        <f aca="false">IF($L3229="","",IFERROR(INDEX(记账规则!$A$13:$H$32,MATCH(资金流水!$E17,记账规则!$A$13:$A$32,0),8),""))</f>
        <v>金额</v>
      </c>
      <c r="O3229" s="67" t="n">
        <f aca="false">IF($H3229="",0,ROUND(IF($N3229="金额",N(资金流水!$P17),0),2))</f>
        <v>26500</v>
      </c>
      <c r="P3229" s="64" t="str">
        <f aca="false">IF(AND($H3229&lt;&gt;"",ROUND($O3229,2)&lt;&gt;0),"有","")</f>
        <v>有</v>
      </c>
    </row>
    <row r="3230" customFormat="false" ht="15" hidden="false" customHeight="false" outlineLevel="0" collapsed="false">
      <c r="A3230" s="53" t="n">
        <f aca="false">IF($H3230="","",ROW()-5)</f>
        <v>3225</v>
      </c>
      <c r="B3230" s="64" t="s">
        <v>37</v>
      </c>
      <c r="C3230" s="53" t="n">
        <v>18</v>
      </c>
      <c r="D3230" s="53" t="n">
        <v>1</v>
      </c>
      <c r="E3230" s="65" t="n">
        <f aca="false">IF($H3230="","",资金流水!$B18)</f>
        <v>46223</v>
      </c>
      <c r="F3230" s="55" t="str">
        <f aca="false">IF($H3230="","",资金流水!$C18)</f>
        <v>木业</v>
      </c>
      <c r="G3230" s="48" t="str">
        <f aca="false">IF($H3230="","",资金流水!$K18)</f>
        <v>收木板货款（进共用户）</v>
      </c>
      <c r="H3230" s="10" t="str">
        <f aca="false">IF($L3230="","",IF($L3230="@对方",资金流水!$G18,IF($L3230="@账户",资金流水!$Q18,$L3230)))</f>
        <v>银行存款</v>
      </c>
      <c r="I3230" s="42" t="n">
        <f aca="false">IF($M3230="借",$O3230,0)</f>
        <v>300000</v>
      </c>
      <c r="J3230" s="42" t="n">
        <f aca="false">IF($M3230="贷",$O3230,0)</f>
        <v>0</v>
      </c>
      <c r="K3230" s="48" t="str">
        <f aca="false">IF($H3230="","",资金流水!$F18)</f>
        <v>鑫隆建材</v>
      </c>
      <c r="L3230" s="66" t="str">
        <f aca="false">IF(资金流水!$E18="","",IFERROR(INDEX(记账规则!$A$13:$H$32,MATCH(资金流水!$E18,记账规则!$A$13:$A$32,0),3),""))</f>
        <v>@账户</v>
      </c>
      <c r="M3230" s="66" t="str">
        <f aca="false">IF($L3230="","",IFERROR(INDEX(记账规则!$A$13:$H$32,MATCH(资金流水!$E18,记账规则!$A$13:$A$32,0),4),""))</f>
        <v>借</v>
      </c>
      <c r="N3230" s="66" t="str">
        <f aca="false">IF($L3230="","",IFERROR(INDEX(记账规则!$A$13:$H$32,MATCH(资金流水!$E18,记账规则!$A$13:$A$32,0),5),""))</f>
        <v>金额</v>
      </c>
      <c r="O3230" s="67" t="n">
        <f aca="false">IF($H3230="",0,ROUND(IF($N3230="金额",N(资金流水!$P18),0),2))</f>
        <v>300000</v>
      </c>
      <c r="P3230" s="64" t="str">
        <f aca="false">IF(AND($H3230&lt;&gt;"",ROUND($O3230,2)&lt;&gt;0),"有","")</f>
        <v>有</v>
      </c>
    </row>
    <row r="3231" customFormat="false" ht="15" hidden="false" customHeight="false" outlineLevel="0" collapsed="false">
      <c r="A3231" s="53" t="n">
        <f aca="false">IF($H3231="","",ROW()-5)</f>
        <v>3226</v>
      </c>
      <c r="B3231" s="64" t="s">
        <v>37</v>
      </c>
      <c r="C3231" s="53" t="n">
        <v>18</v>
      </c>
      <c r="D3231" s="53" t="n">
        <v>2</v>
      </c>
      <c r="E3231" s="65" t="n">
        <f aca="false">IF($H3231="","",资金流水!$B18)</f>
        <v>46223</v>
      </c>
      <c r="F3231" s="55" t="str">
        <f aca="false">IF($H3231="","",资金流水!$C18)</f>
        <v>木业</v>
      </c>
      <c r="G3231" s="48" t="str">
        <f aca="false">IF($H3231="","",资金流水!$K18)</f>
        <v>收木板货款（进共用户）</v>
      </c>
      <c r="H3231" s="10" t="str">
        <f aca="false">IF($L3231="","",IF($L3231="@对方",资金流水!$G18,IF($L3231="@账户",资金流水!$Q18,$L3231)))</f>
        <v>应收账款</v>
      </c>
      <c r="I3231" s="42" t="n">
        <f aca="false">IF($M3231="借",$O3231,0)</f>
        <v>0</v>
      </c>
      <c r="J3231" s="42" t="n">
        <f aca="false">IF($M3231="贷",$O3231,0)</f>
        <v>300000</v>
      </c>
      <c r="K3231" s="48" t="str">
        <f aca="false">IF($H3231="","",资金流水!$F18)</f>
        <v>鑫隆建材</v>
      </c>
      <c r="L3231" s="66" t="str">
        <f aca="false">IF(资金流水!$E18="","",IFERROR(INDEX(记账规则!$A$13:$H$32,MATCH(资金流水!$E18,记账规则!$A$13:$A$32,0),6),""))</f>
        <v>应收账款</v>
      </c>
      <c r="M3231" s="66" t="str">
        <f aca="false">IF($L3231="","",IFERROR(INDEX(记账规则!$A$13:$H$32,MATCH(资金流水!$E18,记账规则!$A$13:$A$32,0),7),""))</f>
        <v>贷</v>
      </c>
      <c r="N3231" s="66" t="str">
        <f aca="false">IF($L3231="","",IFERROR(INDEX(记账规则!$A$13:$H$32,MATCH(资金流水!$E18,记账规则!$A$13:$A$32,0),8),""))</f>
        <v>金额</v>
      </c>
      <c r="O3231" s="67" t="n">
        <f aca="false">IF($H3231="",0,ROUND(IF($N3231="金额",N(资金流水!$P18),0),2))</f>
        <v>300000</v>
      </c>
      <c r="P3231" s="64" t="str">
        <f aca="false">IF(AND($H3231&lt;&gt;"",ROUND($O3231,2)&lt;&gt;0),"有","")</f>
        <v>有</v>
      </c>
    </row>
    <row r="3232" customFormat="false" ht="15" hidden="false" customHeight="false" outlineLevel="0" collapsed="false">
      <c r="A3232" s="53" t="n">
        <f aca="false">IF($H3232="","",ROW()-5)</f>
        <v>3227</v>
      </c>
      <c r="B3232" s="64" t="s">
        <v>37</v>
      </c>
      <c r="C3232" s="53" t="n">
        <v>19</v>
      </c>
      <c r="D3232" s="53" t="n">
        <v>1</v>
      </c>
      <c r="E3232" s="65" t="n">
        <f aca="false">IF($H3232="","",资金流水!$B19)</f>
        <v>46233</v>
      </c>
      <c r="F3232" s="55" t="str">
        <f aca="false">IF($H3232="","",资金流水!$C19)</f>
        <v>农业</v>
      </c>
      <c r="G3232" s="48" t="str">
        <f aca="false">IF($H3232="","",资金流水!$K19)</f>
        <v>发放已计提工资</v>
      </c>
      <c r="H3232" s="10" t="str">
        <f aca="false">IF($L3232="","",IF($L3232="@对方",资金流水!$G19,IF($L3232="@账户",资金流水!$Q19,$L3232)))</f>
        <v>银行存款</v>
      </c>
      <c r="I3232" s="42" t="n">
        <f aca="false">IF($M3232="借",$O3232,0)</f>
        <v>0</v>
      </c>
      <c r="J3232" s="42" t="n">
        <f aca="false">IF($M3232="贷",$O3232,0)</f>
        <v>68000</v>
      </c>
      <c r="K3232" s="48" t="n">
        <f aca="false">IF($H3232="","",资金流水!$F19)</f>
        <v>0</v>
      </c>
      <c r="L3232" s="66" t="str">
        <f aca="false">IF(资金流水!$E19="","",IFERROR(INDEX(记账规则!$A$13:$H$32,MATCH(资金流水!$E19,记账规则!$A$13:$A$32,0),3),""))</f>
        <v>@账户</v>
      </c>
      <c r="M3232" s="66" t="str">
        <f aca="false">IF($L3232="","",IFERROR(INDEX(记账规则!$A$13:$H$32,MATCH(资金流水!$E19,记账规则!$A$13:$A$32,0),4),""))</f>
        <v>贷</v>
      </c>
      <c r="N3232" s="66" t="str">
        <f aca="false">IF($L3232="","",IFERROR(INDEX(记账规则!$A$13:$H$32,MATCH(资金流水!$E19,记账规则!$A$13:$A$32,0),5),""))</f>
        <v>金额</v>
      </c>
      <c r="O3232" s="67" t="n">
        <f aca="false">IF($H3232="",0,ROUND(IF($N3232="金额",N(资金流水!$P19),0),2))</f>
        <v>68000</v>
      </c>
      <c r="P3232" s="64" t="str">
        <f aca="false">IF(AND($H3232&lt;&gt;"",ROUND($O3232,2)&lt;&gt;0),"有","")</f>
        <v>有</v>
      </c>
    </row>
    <row r="3233" customFormat="false" ht="15" hidden="false" customHeight="false" outlineLevel="0" collapsed="false">
      <c r="A3233" s="53" t="n">
        <f aca="false">IF($H3233="","",ROW()-5)</f>
        <v>3228</v>
      </c>
      <c r="B3233" s="64" t="s">
        <v>37</v>
      </c>
      <c r="C3233" s="53" t="n">
        <v>19</v>
      </c>
      <c r="D3233" s="53" t="n">
        <v>2</v>
      </c>
      <c r="E3233" s="65" t="n">
        <f aca="false">IF($H3233="","",资金流水!$B19)</f>
        <v>46233</v>
      </c>
      <c r="F3233" s="55" t="str">
        <f aca="false">IF($H3233="","",资金流水!$C19)</f>
        <v>农业</v>
      </c>
      <c r="G3233" s="48" t="str">
        <f aca="false">IF($H3233="","",资金流水!$K19)</f>
        <v>发放已计提工资</v>
      </c>
      <c r="H3233" s="10" t="str">
        <f aca="false">IF($L3233="","",IF($L3233="@对方",资金流水!$G19,IF($L3233="@账户",资金流水!$Q19,$L3233)))</f>
        <v>应付职工薪酬</v>
      </c>
      <c r="I3233" s="42" t="n">
        <f aca="false">IF($M3233="借",$O3233,0)</f>
        <v>68000</v>
      </c>
      <c r="J3233" s="42" t="n">
        <f aca="false">IF($M3233="贷",$O3233,0)</f>
        <v>0</v>
      </c>
      <c r="K3233" s="48" t="n">
        <f aca="false">IF($H3233="","",资金流水!$F19)</f>
        <v>0</v>
      </c>
      <c r="L3233" s="66" t="str">
        <f aca="false">IF(资金流水!$E19="","",IFERROR(INDEX(记账规则!$A$13:$H$32,MATCH(资金流水!$E19,记账规则!$A$13:$A$32,0),6),""))</f>
        <v>应付职工薪酬</v>
      </c>
      <c r="M3233" s="66" t="str">
        <f aca="false">IF($L3233="","",IFERROR(INDEX(记账规则!$A$13:$H$32,MATCH(资金流水!$E19,记账规则!$A$13:$A$32,0),7),""))</f>
        <v>借</v>
      </c>
      <c r="N3233" s="66" t="str">
        <f aca="false">IF($L3233="","",IFERROR(INDEX(记账规则!$A$13:$H$32,MATCH(资金流水!$E19,记账规则!$A$13:$A$32,0),8),""))</f>
        <v>金额</v>
      </c>
      <c r="O3233" s="67" t="n">
        <f aca="false">IF($H3233="",0,ROUND(IF($N3233="金额",N(资金流水!$P19),0),2))</f>
        <v>68000</v>
      </c>
      <c r="P3233" s="64" t="str">
        <f aca="false">IF(AND($H3233&lt;&gt;"",ROUND($O3233,2)&lt;&gt;0),"有","")</f>
        <v>有</v>
      </c>
    </row>
    <row r="3234" customFormat="false" ht="15" hidden="false" customHeight="false" outlineLevel="0" collapsed="false">
      <c r="A3234" s="53" t="n">
        <f aca="false">IF($H3234="","",ROW()-5)</f>
        <v>3229</v>
      </c>
      <c r="B3234" s="64" t="s">
        <v>37</v>
      </c>
      <c r="C3234" s="53" t="n">
        <v>20</v>
      </c>
      <c r="D3234" s="53" t="n">
        <v>1</v>
      </c>
      <c r="E3234" s="65" t="n">
        <f aca="false">IF($H3234="","",资金流水!$B20)</f>
        <v>46244</v>
      </c>
      <c r="F3234" s="55" t="str">
        <f aca="false">IF($H3234="","",资金流水!$C20)</f>
        <v>农业</v>
      </c>
      <c r="G3234" s="48" t="str">
        <f aca="false">IF($H3234="","",资金流水!$K20)</f>
        <v>短期借款利息</v>
      </c>
      <c r="H3234" s="10" t="str">
        <f aca="false">IF($L3234="","",IF($L3234="@对方",资金流水!$G20,IF($L3234="@账户",资金流水!$Q20,$L3234)))</f>
        <v>银行存款</v>
      </c>
      <c r="I3234" s="42" t="n">
        <f aca="false">IF($M3234="借",$O3234,0)</f>
        <v>0</v>
      </c>
      <c r="J3234" s="42" t="n">
        <f aca="false">IF($M3234="贷",$O3234,0)</f>
        <v>6000</v>
      </c>
      <c r="K3234" s="48" t="str">
        <f aca="false">IF($H3234="","",资金流水!$F20)</f>
        <v>农商银行</v>
      </c>
      <c r="L3234" s="66" t="str">
        <f aca="false">IF(资金流水!$E20="","",IFERROR(INDEX(记账规则!$A$13:$H$32,MATCH(资金流水!$E20,记账规则!$A$13:$A$32,0),3),""))</f>
        <v>@账户</v>
      </c>
      <c r="M3234" s="66" t="str">
        <f aca="false">IF($L3234="","",IFERROR(INDEX(记账规则!$A$13:$H$32,MATCH(资金流水!$E20,记账规则!$A$13:$A$32,0),4),""))</f>
        <v>贷</v>
      </c>
      <c r="N3234" s="66" t="str">
        <f aca="false">IF($L3234="","",IFERROR(INDEX(记账规则!$A$13:$H$32,MATCH(资金流水!$E20,记账规则!$A$13:$A$32,0),5),""))</f>
        <v>金额</v>
      </c>
      <c r="O3234" s="67" t="n">
        <f aca="false">IF($H3234="",0,ROUND(IF($N3234="金额",N(资金流水!$P20),0),2))</f>
        <v>6000</v>
      </c>
      <c r="P3234" s="64" t="str">
        <f aca="false">IF(AND($H3234&lt;&gt;"",ROUND($O3234,2)&lt;&gt;0),"有","")</f>
        <v>有</v>
      </c>
    </row>
    <row r="3235" customFormat="false" ht="15" hidden="false" customHeight="false" outlineLevel="0" collapsed="false">
      <c r="A3235" s="53" t="n">
        <f aca="false">IF($H3235="","",ROW()-5)</f>
        <v>3230</v>
      </c>
      <c r="B3235" s="64" t="s">
        <v>37</v>
      </c>
      <c r="C3235" s="53" t="n">
        <v>20</v>
      </c>
      <c r="D3235" s="53" t="n">
        <v>2</v>
      </c>
      <c r="E3235" s="65" t="n">
        <f aca="false">IF($H3235="","",资金流水!$B20)</f>
        <v>46244</v>
      </c>
      <c r="F3235" s="55" t="str">
        <f aca="false">IF($H3235="","",资金流水!$C20)</f>
        <v>农业</v>
      </c>
      <c r="G3235" s="48" t="str">
        <f aca="false">IF($H3235="","",资金流水!$K20)</f>
        <v>短期借款利息</v>
      </c>
      <c r="H3235" s="10" t="str">
        <f aca="false">IF($L3235="","",IF($L3235="@对方",资金流水!$G20,IF($L3235="@账户",资金流水!$Q20,$L3235)))</f>
        <v>财务费用</v>
      </c>
      <c r="I3235" s="42" t="n">
        <f aca="false">IF($M3235="借",$O3235,0)</f>
        <v>6000</v>
      </c>
      <c r="J3235" s="42" t="n">
        <f aca="false">IF($M3235="贷",$O3235,0)</f>
        <v>0</v>
      </c>
      <c r="K3235" s="48" t="str">
        <f aca="false">IF($H3235="","",资金流水!$F20)</f>
        <v>农商银行</v>
      </c>
      <c r="L3235" s="66" t="str">
        <f aca="false">IF(资金流水!$E20="","",IFERROR(INDEX(记账规则!$A$13:$H$32,MATCH(资金流水!$E20,记账规则!$A$13:$A$32,0),6),""))</f>
        <v>财务费用</v>
      </c>
      <c r="M3235" s="66" t="str">
        <f aca="false">IF($L3235="","",IFERROR(INDEX(记账规则!$A$13:$H$32,MATCH(资金流水!$E20,记账规则!$A$13:$A$32,0),7),""))</f>
        <v>借</v>
      </c>
      <c r="N3235" s="66" t="str">
        <f aca="false">IF($L3235="","",IFERROR(INDEX(记账规则!$A$13:$H$32,MATCH(资金流水!$E20,记账规则!$A$13:$A$32,0),8),""))</f>
        <v>金额</v>
      </c>
      <c r="O3235" s="67" t="n">
        <f aca="false">IF($H3235="",0,ROUND(IF($N3235="金额",N(资金流水!$P20),0),2))</f>
        <v>6000</v>
      </c>
      <c r="P3235" s="64" t="str">
        <f aca="false">IF(AND($H3235&lt;&gt;"",ROUND($O3235,2)&lt;&gt;0),"有","")</f>
        <v>有</v>
      </c>
    </row>
    <row r="3236" customFormat="false" ht="15" hidden="false" customHeight="false" outlineLevel="0" collapsed="false">
      <c r="A3236" s="53" t="n">
        <f aca="false">IF($H3236="","",ROW()-5)</f>
        <v>3231</v>
      </c>
      <c r="B3236" s="64" t="s">
        <v>37</v>
      </c>
      <c r="C3236" s="53" t="n">
        <v>21</v>
      </c>
      <c r="D3236" s="53" t="n">
        <v>1</v>
      </c>
      <c r="E3236" s="65" t="n">
        <f aca="false">IF($H3236="","",资金流水!$B21)</f>
        <v>46249</v>
      </c>
      <c r="F3236" s="55" t="str">
        <f aca="false">IF($H3236="","",资金流水!$C21)</f>
        <v>木业</v>
      </c>
      <c r="G3236" s="48" t="str">
        <f aca="false">IF($H3236="","",资金流水!$K21)</f>
        <v>厂区水电</v>
      </c>
      <c r="H3236" s="10" t="str">
        <f aca="false">IF($L3236="","",IF($L3236="@对方",资金流水!$G21,IF($L3236="@账户",资金流水!$Q21,$L3236)))</f>
        <v>银行存款</v>
      </c>
      <c r="I3236" s="42" t="n">
        <f aca="false">IF($M3236="借",$O3236,0)</f>
        <v>0</v>
      </c>
      <c r="J3236" s="42" t="n">
        <f aca="false">IF($M3236="贷",$O3236,0)</f>
        <v>8600</v>
      </c>
      <c r="K3236" s="48" t="str">
        <f aca="false">IF($H3236="","",资金流水!$F21)</f>
        <v>国网供电所</v>
      </c>
      <c r="L3236" s="66" t="str">
        <f aca="false">IF(资金流水!$E21="","",IFERROR(INDEX(记账规则!$A$13:$H$32,MATCH(资金流水!$E21,记账规则!$A$13:$A$32,0),3),""))</f>
        <v>@账户</v>
      </c>
      <c r="M3236" s="66" t="str">
        <f aca="false">IF($L3236="","",IFERROR(INDEX(记账规则!$A$13:$H$32,MATCH(资金流水!$E21,记账规则!$A$13:$A$32,0),4),""))</f>
        <v>贷</v>
      </c>
      <c r="N3236" s="66" t="str">
        <f aca="false">IF($L3236="","",IFERROR(INDEX(记账规则!$A$13:$H$32,MATCH(资金流水!$E21,记账规则!$A$13:$A$32,0),5),""))</f>
        <v>金额</v>
      </c>
      <c r="O3236" s="67" t="n">
        <f aca="false">IF($H3236="",0,ROUND(IF($N3236="金额",N(资金流水!$P21),0),2))</f>
        <v>8600</v>
      </c>
      <c r="P3236" s="64" t="str">
        <f aca="false">IF(AND($H3236&lt;&gt;"",ROUND($O3236,2)&lt;&gt;0),"有","")</f>
        <v>有</v>
      </c>
    </row>
    <row r="3237" customFormat="false" ht="15" hidden="false" customHeight="false" outlineLevel="0" collapsed="false">
      <c r="A3237" s="53" t="n">
        <f aca="false">IF($H3237="","",ROW()-5)</f>
        <v>3232</v>
      </c>
      <c r="B3237" s="64" t="s">
        <v>37</v>
      </c>
      <c r="C3237" s="53" t="n">
        <v>21</v>
      </c>
      <c r="D3237" s="53" t="n">
        <v>2</v>
      </c>
      <c r="E3237" s="65" t="n">
        <f aca="false">IF($H3237="","",资金流水!$B21)</f>
        <v>46249</v>
      </c>
      <c r="F3237" s="55" t="str">
        <f aca="false">IF($H3237="","",资金流水!$C21)</f>
        <v>木业</v>
      </c>
      <c r="G3237" s="48" t="str">
        <f aca="false">IF($H3237="","",资金流水!$K21)</f>
        <v>厂区水电</v>
      </c>
      <c r="H3237" s="10" t="str">
        <f aca="false">IF($L3237="","",IF($L3237="@对方",资金流水!$G21,IF($L3237="@账户",资金流水!$Q21,$L3237)))</f>
        <v>管理费用</v>
      </c>
      <c r="I3237" s="42" t="n">
        <f aca="false">IF($M3237="借",$O3237,0)</f>
        <v>8600</v>
      </c>
      <c r="J3237" s="42" t="n">
        <f aca="false">IF($M3237="贷",$O3237,0)</f>
        <v>0</v>
      </c>
      <c r="K3237" s="48" t="str">
        <f aca="false">IF($H3237="","",资金流水!$F21)</f>
        <v>国网供电所</v>
      </c>
      <c r="L3237" s="66" t="str">
        <f aca="false">IF(资金流水!$E21="","",IFERROR(INDEX(记账规则!$A$13:$H$32,MATCH(资金流水!$E21,记账规则!$A$13:$A$32,0),6),""))</f>
        <v>@对方</v>
      </c>
      <c r="M3237" s="66" t="str">
        <f aca="false">IF($L3237="","",IFERROR(INDEX(记账规则!$A$13:$H$32,MATCH(资金流水!$E21,记账规则!$A$13:$A$32,0),7),""))</f>
        <v>借</v>
      </c>
      <c r="N3237" s="66" t="str">
        <f aca="false">IF($L3237="","",IFERROR(INDEX(记账规则!$A$13:$H$32,MATCH(资金流水!$E21,记账规则!$A$13:$A$32,0),8),""))</f>
        <v>金额</v>
      </c>
      <c r="O3237" s="67" t="n">
        <f aca="false">IF($H3237="",0,ROUND(IF($N3237="金额",N(资金流水!$P21),0),2))</f>
        <v>8600</v>
      </c>
      <c r="P3237" s="64" t="str">
        <f aca="false">IF(AND($H3237&lt;&gt;"",ROUND($O3237,2)&lt;&gt;0),"有","")</f>
        <v>有</v>
      </c>
    </row>
    <row r="3238" customFormat="false" ht="15" hidden="false" customHeight="false" outlineLevel="0" collapsed="false">
      <c r="A3238" s="53" t="n">
        <f aca="false">IF($H3238="","",ROW()-5)</f>
        <v>3233</v>
      </c>
      <c r="B3238" s="64" t="s">
        <v>37</v>
      </c>
      <c r="C3238" s="53" t="n">
        <v>22</v>
      </c>
      <c r="D3238" s="53" t="n">
        <v>1</v>
      </c>
      <c r="E3238" s="65" t="n">
        <f aca="false">IF($H3238="","",资金流水!$B22)</f>
        <v>46252</v>
      </c>
      <c r="F3238" s="55" t="str">
        <f aca="false">IF($H3238="","",资金流水!$C22)</f>
        <v>木业</v>
      </c>
      <c r="G3238" s="48" t="str">
        <f aca="false">IF($H3238="","",资金流水!$K22)</f>
        <v>付农户原木收购款</v>
      </c>
      <c r="H3238" s="10" t="str">
        <f aca="false">IF($L3238="","",IF($L3238="@对方",资金流水!$G22,IF($L3238="@账户",资金流水!$Q22,$L3238)))</f>
        <v>银行存款</v>
      </c>
      <c r="I3238" s="42" t="n">
        <f aca="false">IF($M3238="借",$O3238,0)</f>
        <v>0</v>
      </c>
      <c r="J3238" s="42" t="n">
        <f aca="false">IF($M3238="贷",$O3238,0)</f>
        <v>45000</v>
      </c>
      <c r="K3238" s="48" t="str">
        <f aca="false">IF($H3238="","",资金流水!$F22)</f>
        <v>李长生（农户）</v>
      </c>
      <c r="L3238" s="66" t="str">
        <f aca="false">IF(资金流水!$E22="","",IFERROR(INDEX(记账规则!$A$13:$H$32,MATCH(资金流水!$E22,记账规则!$A$13:$A$32,0),3),""))</f>
        <v>@账户</v>
      </c>
      <c r="M3238" s="66" t="str">
        <f aca="false">IF($L3238="","",IFERROR(INDEX(记账规则!$A$13:$H$32,MATCH(资金流水!$E22,记账规则!$A$13:$A$32,0),4),""))</f>
        <v>贷</v>
      </c>
      <c r="N3238" s="66" t="str">
        <f aca="false">IF($L3238="","",IFERROR(INDEX(记账规则!$A$13:$H$32,MATCH(资金流水!$E22,记账规则!$A$13:$A$32,0),5),""))</f>
        <v>金额</v>
      </c>
      <c r="O3238" s="67" t="n">
        <f aca="false">IF($H3238="",0,ROUND(IF($N3238="金额",N(资金流水!$P22),0),2))</f>
        <v>45000</v>
      </c>
      <c r="P3238" s="64" t="str">
        <f aca="false">IF(AND($H3238&lt;&gt;"",ROUND($O3238,2)&lt;&gt;0),"有","")</f>
        <v>有</v>
      </c>
    </row>
    <row r="3239" customFormat="false" ht="15" hidden="false" customHeight="false" outlineLevel="0" collapsed="false">
      <c r="A3239" s="53" t="n">
        <f aca="false">IF($H3239="","",ROW()-5)</f>
        <v>3234</v>
      </c>
      <c r="B3239" s="64" t="s">
        <v>37</v>
      </c>
      <c r="C3239" s="53" t="n">
        <v>22</v>
      </c>
      <c r="D3239" s="53" t="n">
        <v>2</v>
      </c>
      <c r="E3239" s="65" t="n">
        <f aca="false">IF($H3239="","",资金流水!$B22)</f>
        <v>46252</v>
      </c>
      <c r="F3239" s="55" t="str">
        <f aca="false">IF($H3239="","",资金流水!$C22)</f>
        <v>木业</v>
      </c>
      <c r="G3239" s="48" t="str">
        <f aca="false">IF($H3239="","",资金流水!$K22)</f>
        <v>付农户原木收购款</v>
      </c>
      <c r="H3239" s="10" t="str">
        <f aca="false">IF($L3239="","",IF($L3239="@对方",资金流水!$G22,IF($L3239="@账户",资金流水!$Q22,$L3239)))</f>
        <v>应付账款</v>
      </c>
      <c r="I3239" s="42" t="n">
        <f aca="false">IF($M3239="借",$O3239,0)</f>
        <v>45000</v>
      </c>
      <c r="J3239" s="42" t="n">
        <f aca="false">IF($M3239="贷",$O3239,0)</f>
        <v>0</v>
      </c>
      <c r="K3239" s="48" t="str">
        <f aca="false">IF($H3239="","",资金流水!$F22)</f>
        <v>李长生（农户）</v>
      </c>
      <c r="L3239" s="66" t="str">
        <f aca="false">IF(资金流水!$E22="","",IFERROR(INDEX(记账规则!$A$13:$H$32,MATCH(资金流水!$E22,记账规则!$A$13:$A$32,0),6),""))</f>
        <v>应付账款</v>
      </c>
      <c r="M3239" s="66" t="str">
        <f aca="false">IF($L3239="","",IFERROR(INDEX(记账规则!$A$13:$H$32,MATCH(资金流水!$E22,记账规则!$A$13:$A$32,0),7),""))</f>
        <v>借</v>
      </c>
      <c r="N3239" s="66" t="str">
        <f aca="false">IF($L3239="","",IFERROR(INDEX(记账规则!$A$13:$H$32,MATCH(资金流水!$E22,记账规则!$A$13:$A$32,0),8),""))</f>
        <v>金额</v>
      </c>
      <c r="O3239" s="67" t="n">
        <f aca="false">IF($H3239="",0,ROUND(IF($N3239="金额",N(资金流水!$P22),0),2))</f>
        <v>45000</v>
      </c>
      <c r="P3239" s="64" t="str">
        <f aca="false">IF(AND($H3239&lt;&gt;"",ROUND($O3239,2)&lt;&gt;0),"有","")</f>
        <v>有</v>
      </c>
    </row>
    <row r="3240" customFormat="false" ht="15" hidden="false" customHeight="false" outlineLevel="0" collapsed="false">
      <c r="A3240" s="53" t="n">
        <f aca="false">IF($H3240="","",ROW()-5)</f>
        <v>3235</v>
      </c>
      <c r="B3240" s="64" t="s">
        <v>37</v>
      </c>
      <c r="C3240" s="53" t="n">
        <v>23</v>
      </c>
      <c r="D3240" s="53" t="n">
        <v>1</v>
      </c>
      <c r="E3240" s="65" t="n">
        <f aca="false">IF($H3240="","",资金流水!$B23)</f>
        <v>46254</v>
      </c>
      <c r="F3240" s="55" t="str">
        <f aca="false">IF($H3240="","",资金流水!$C23)</f>
        <v>科技</v>
      </c>
      <c r="G3240" s="48" t="str">
        <f aca="false">IF($H3240="","",资金流水!$K23)</f>
        <v>收精油货款（进共用户）</v>
      </c>
      <c r="H3240" s="10" t="str">
        <f aca="false">IF($L3240="","",IF($L3240="@对方",资金流水!$G23,IF($L3240="@账户",资金流水!$Q23,$L3240)))</f>
        <v>银行存款</v>
      </c>
      <c r="I3240" s="42" t="n">
        <f aca="false">IF($M3240="借",$O3240,0)</f>
        <v>240000</v>
      </c>
      <c r="J3240" s="42" t="n">
        <f aca="false">IF($M3240="贷",$O3240,0)</f>
        <v>0</v>
      </c>
      <c r="K3240" s="48" t="str">
        <f aca="false">IF($H3240="","",资金流水!$F23)</f>
        <v>康养电商</v>
      </c>
      <c r="L3240" s="66" t="str">
        <f aca="false">IF(资金流水!$E23="","",IFERROR(INDEX(记账规则!$A$13:$H$32,MATCH(资金流水!$E23,记账规则!$A$13:$A$32,0),3),""))</f>
        <v>@账户</v>
      </c>
      <c r="M3240" s="66" t="str">
        <f aca="false">IF($L3240="","",IFERROR(INDEX(记账规则!$A$13:$H$32,MATCH(资金流水!$E23,记账规则!$A$13:$A$32,0),4),""))</f>
        <v>借</v>
      </c>
      <c r="N3240" s="66" t="str">
        <f aca="false">IF($L3240="","",IFERROR(INDEX(记账规则!$A$13:$H$32,MATCH(资金流水!$E23,记账规则!$A$13:$A$32,0),5),""))</f>
        <v>金额</v>
      </c>
      <c r="O3240" s="67" t="n">
        <f aca="false">IF($H3240="",0,ROUND(IF($N3240="金额",N(资金流水!$P23),0),2))</f>
        <v>240000</v>
      </c>
      <c r="P3240" s="64" t="str">
        <f aca="false">IF(AND($H3240&lt;&gt;"",ROUND($O3240,2)&lt;&gt;0),"有","")</f>
        <v>有</v>
      </c>
    </row>
    <row r="3241" customFormat="false" ht="15" hidden="false" customHeight="false" outlineLevel="0" collapsed="false">
      <c r="A3241" s="53" t="n">
        <f aca="false">IF($H3241="","",ROW()-5)</f>
        <v>3236</v>
      </c>
      <c r="B3241" s="64" t="s">
        <v>37</v>
      </c>
      <c r="C3241" s="53" t="n">
        <v>23</v>
      </c>
      <c r="D3241" s="53" t="n">
        <v>2</v>
      </c>
      <c r="E3241" s="65" t="n">
        <f aca="false">IF($H3241="","",资金流水!$B23)</f>
        <v>46254</v>
      </c>
      <c r="F3241" s="55" t="str">
        <f aca="false">IF($H3241="","",资金流水!$C23)</f>
        <v>科技</v>
      </c>
      <c r="G3241" s="48" t="str">
        <f aca="false">IF($H3241="","",资金流水!$K23)</f>
        <v>收精油货款（进共用户）</v>
      </c>
      <c r="H3241" s="10" t="str">
        <f aca="false">IF($L3241="","",IF($L3241="@对方",资金流水!$G23,IF($L3241="@账户",资金流水!$Q23,$L3241)))</f>
        <v>应收账款</v>
      </c>
      <c r="I3241" s="42" t="n">
        <f aca="false">IF($M3241="借",$O3241,0)</f>
        <v>0</v>
      </c>
      <c r="J3241" s="42" t="n">
        <f aca="false">IF($M3241="贷",$O3241,0)</f>
        <v>240000</v>
      </c>
      <c r="K3241" s="48" t="str">
        <f aca="false">IF($H3241="","",资金流水!$F23)</f>
        <v>康养电商</v>
      </c>
      <c r="L3241" s="66" t="str">
        <f aca="false">IF(资金流水!$E23="","",IFERROR(INDEX(记账规则!$A$13:$H$32,MATCH(资金流水!$E23,记账规则!$A$13:$A$32,0),6),""))</f>
        <v>应收账款</v>
      </c>
      <c r="M3241" s="66" t="str">
        <f aca="false">IF($L3241="","",IFERROR(INDEX(记账规则!$A$13:$H$32,MATCH(资金流水!$E23,记账规则!$A$13:$A$32,0),7),""))</f>
        <v>贷</v>
      </c>
      <c r="N3241" s="66" t="str">
        <f aca="false">IF($L3241="","",IFERROR(INDEX(记账规则!$A$13:$H$32,MATCH(资金流水!$E23,记账规则!$A$13:$A$32,0),8),""))</f>
        <v>金额</v>
      </c>
      <c r="O3241" s="67" t="n">
        <f aca="false">IF($H3241="",0,ROUND(IF($N3241="金额",N(资金流水!$P23),0),2))</f>
        <v>240000</v>
      </c>
      <c r="P3241" s="64" t="str">
        <f aca="false">IF(AND($H3241&lt;&gt;"",ROUND($O3241,2)&lt;&gt;0),"有","")</f>
        <v>有</v>
      </c>
    </row>
    <row r="3242" customFormat="false" ht="15" hidden="false" customHeight="false" outlineLevel="0" collapsed="false">
      <c r="A3242" s="53" t="n">
        <f aca="false">IF($H3242="","",ROW()-5)</f>
        <v>3237</v>
      </c>
      <c r="B3242" s="64" t="s">
        <v>37</v>
      </c>
      <c r="C3242" s="53" t="n">
        <v>24</v>
      </c>
      <c r="D3242" s="53" t="n">
        <v>1</v>
      </c>
      <c r="E3242" s="65" t="n">
        <f aca="false">IF($H3242="","",资金流水!$B24)</f>
        <v>46265</v>
      </c>
      <c r="F3242" s="55" t="str">
        <f aca="false">IF($H3242="","",资金流水!$C24)</f>
        <v>木业</v>
      </c>
      <c r="G3242" s="48" t="str">
        <f aca="false">IF($H3242="","",资金流水!$K24)</f>
        <v>发放车间及管理人员工资</v>
      </c>
      <c r="H3242" s="10" t="str">
        <f aca="false">IF($L3242="","",IF($L3242="@对方",资金流水!$G24,IF($L3242="@账户",资金流水!$Q24,$L3242)))</f>
        <v>银行存款</v>
      </c>
      <c r="I3242" s="42" t="n">
        <f aca="false">IF($M3242="借",$O3242,0)</f>
        <v>0</v>
      </c>
      <c r="J3242" s="42" t="n">
        <f aca="false">IF($M3242="贷",$O3242,0)</f>
        <v>50000</v>
      </c>
      <c r="K3242" s="48" t="n">
        <f aca="false">IF($H3242="","",资金流水!$F24)</f>
        <v>0</v>
      </c>
      <c r="L3242" s="66" t="str">
        <f aca="false">IF(资金流水!$E24="","",IFERROR(INDEX(记账规则!$A$13:$H$32,MATCH(资金流水!$E24,记账规则!$A$13:$A$32,0),3),""))</f>
        <v>@账户</v>
      </c>
      <c r="M3242" s="66" t="str">
        <f aca="false">IF($L3242="","",IFERROR(INDEX(记账规则!$A$13:$H$32,MATCH(资金流水!$E24,记账规则!$A$13:$A$32,0),4),""))</f>
        <v>贷</v>
      </c>
      <c r="N3242" s="66" t="str">
        <f aca="false">IF($L3242="","",IFERROR(INDEX(记账规则!$A$13:$H$32,MATCH(资金流水!$E24,记账规则!$A$13:$A$32,0),5),""))</f>
        <v>金额</v>
      </c>
      <c r="O3242" s="67" t="n">
        <f aca="false">IF($H3242="",0,ROUND(IF($N3242="金额",N(资金流水!$P24),0),2))</f>
        <v>50000</v>
      </c>
      <c r="P3242" s="64" t="str">
        <f aca="false">IF(AND($H3242&lt;&gt;"",ROUND($O3242,2)&lt;&gt;0),"有","")</f>
        <v>有</v>
      </c>
    </row>
    <row r="3243" customFormat="false" ht="15" hidden="false" customHeight="false" outlineLevel="0" collapsed="false">
      <c r="A3243" s="53" t="n">
        <f aca="false">IF($H3243="","",ROW()-5)</f>
        <v>3238</v>
      </c>
      <c r="B3243" s="64" t="s">
        <v>37</v>
      </c>
      <c r="C3243" s="53" t="n">
        <v>24</v>
      </c>
      <c r="D3243" s="53" t="n">
        <v>2</v>
      </c>
      <c r="E3243" s="65" t="n">
        <f aca="false">IF($H3243="","",资金流水!$B24)</f>
        <v>46265</v>
      </c>
      <c r="F3243" s="55" t="str">
        <f aca="false">IF($H3243="","",资金流水!$C24)</f>
        <v>木业</v>
      </c>
      <c r="G3243" s="48" t="str">
        <f aca="false">IF($H3243="","",资金流水!$K24)</f>
        <v>发放车间及管理人员工资</v>
      </c>
      <c r="H3243" s="10" t="str">
        <f aca="false">IF($L3243="","",IF($L3243="@对方",资金流水!$G24,IF($L3243="@账户",资金流水!$Q24,$L3243)))</f>
        <v>应付职工薪酬</v>
      </c>
      <c r="I3243" s="42" t="n">
        <f aca="false">IF($M3243="借",$O3243,0)</f>
        <v>50000</v>
      </c>
      <c r="J3243" s="42" t="n">
        <f aca="false">IF($M3243="贷",$O3243,0)</f>
        <v>0</v>
      </c>
      <c r="K3243" s="48" t="n">
        <f aca="false">IF($H3243="","",资金流水!$F24)</f>
        <v>0</v>
      </c>
      <c r="L3243" s="66" t="str">
        <f aca="false">IF(资金流水!$E24="","",IFERROR(INDEX(记账规则!$A$13:$H$32,MATCH(资金流水!$E24,记账规则!$A$13:$A$32,0),6),""))</f>
        <v>应付职工薪酬</v>
      </c>
      <c r="M3243" s="66" t="str">
        <f aca="false">IF($L3243="","",IFERROR(INDEX(记账规则!$A$13:$H$32,MATCH(资金流水!$E24,记账规则!$A$13:$A$32,0),7),""))</f>
        <v>借</v>
      </c>
      <c r="N3243" s="66" t="str">
        <f aca="false">IF($L3243="","",IFERROR(INDEX(记账规则!$A$13:$H$32,MATCH(资金流水!$E24,记账规则!$A$13:$A$32,0),8),""))</f>
        <v>金额</v>
      </c>
      <c r="O3243" s="67" t="n">
        <f aca="false">IF($H3243="",0,ROUND(IF($N3243="金额",N(资金流水!$P24),0),2))</f>
        <v>50000</v>
      </c>
      <c r="P3243" s="64" t="str">
        <f aca="false">IF(AND($H3243&lt;&gt;"",ROUND($O3243,2)&lt;&gt;0),"有","")</f>
        <v>有</v>
      </c>
    </row>
    <row r="3244" customFormat="false" ht="15" hidden="false" customHeight="false" outlineLevel="0" collapsed="false">
      <c r="A3244" s="53" t="n">
        <f aca="false">IF($H3244="","",ROW()-5)</f>
        <v>3239</v>
      </c>
      <c r="B3244" s="64" t="s">
        <v>37</v>
      </c>
      <c r="C3244" s="53" t="n">
        <v>25</v>
      </c>
      <c r="D3244" s="53" t="n">
        <v>1</v>
      </c>
      <c r="E3244" s="65" t="n">
        <f aca="false">IF($H3244="","",资金流水!$B25)</f>
        <v>46267</v>
      </c>
      <c r="F3244" s="55" t="str">
        <f aca="false">IF($H3244="","",资金流水!$C25)</f>
        <v>农业</v>
      </c>
      <c r="G3244" s="48" t="str">
        <f aca="false">IF($H3244="","",资金流水!$K25)</f>
        <v>收原木货款</v>
      </c>
      <c r="H3244" s="10" t="str">
        <f aca="false">IF($L3244="","",IF($L3244="@对方",资金流水!$G25,IF($L3244="@账户",资金流水!$Q25,$L3244)))</f>
        <v>银行存款</v>
      </c>
      <c r="I3244" s="42" t="n">
        <f aca="false">IF($M3244="借",$O3244,0)</f>
        <v>66000</v>
      </c>
      <c r="J3244" s="42" t="n">
        <f aca="false">IF($M3244="贷",$O3244,0)</f>
        <v>0</v>
      </c>
      <c r="K3244" s="48" t="str">
        <f aca="false">IF($H3244="","",资金流水!$F25)</f>
        <v>恒信木材行</v>
      </c>
      <c r="L3244" s="66" t="str">
        <f aca="false">IF(资金流水!$E25="","",IFERROR(INDEX(记账规则!$A$13:$H$32,MATCH(资金流水!$E25,记账规则!$A$13:$A$32,0),3),""))</f>
        <v>@账户</v>
      </c>
      <c r="M3244" s="66" t="str">
        <f aca="false">IF($L3244="","",IFERROR(INDEX(记账规则!$A$13:$H$32,MATCH(资金流水!$E25,记账规则!$A$13:$A$32,0),4),""))</f>
        <v>借</v>
      </c>
      <c r="N3244" s="66" t="str">
        <f aca="false">IF($L3244="","",IFERROR(INDEX(记账规则!$A$13:$H$32,MATCH(资金流水!$E25,记账规则!$A$13:$A$32,0),5),""))</f>
        <v>金额</v>
      </c>
      <c r="O3244" s="67" t="n">
        <f aca="false">IF($H3244="",0,ROUND(IF($N3244="金额",N(资金流水!$P25),0),2))</f>
        <v>66000</v>
      </c>
      <c r="P3244" s="64" t="str">
        <f aca="false">IF(AND($H3244&lt;&gt;"",ROUND($O3244,2)&lt;&gt;0),"有","")</f>
        <v>有</v>
      </c>
    </row>
    <row r="3245" customFormat="false" ht="15" hidden="false" customHeight="false" outlineLevel="0" collapsed="false">
      <c r="A3245" s="53" t="n">
        <f aca="false">IF($H3245="","",ROW()-5)</f>
        <v>3240</v>
      </c>
      <c r="B3245" s="64" t="s">
        <v>37</v>
      </c>
      <c r="C3245" s="53" t="n">
        <v>25</v>
      </c>
      <c r="D3245" s="53" t="n">
        <v>2</v>
      </c>
      <c r="E3245" s="65" t="n">
        <f aca="false">IF($H3245="","",资金流水!$B25)</f>
        <v>46267</v>
      </c>
      <c r="F3245" s="55" t="str">
        <f aca="false">IF($H3245="","",资金流水!$C25)</f>
        <v>农业</v>
      </c>
      <c r="G3245" s="48" t="str">
        <f aca="false">IF($H3245="","",资金流水!$K25)</f>
        <v>收原木货款</v>
      </c>
      <c r="H3245" s="10" t="str">
        <f aca="false">IF($L3245="","",IF($L3245="@对方",资金流水!$G25,IF($L3245="@账户",资金流水!$Q25,$L3245)))</f>
        <v>应收账款</v>
      </c>
      <c r="I3245" s="42" t="n">
        <f aca="false">IF($M3245="借",$O3245,0)</f>
        <v>0</v>
      </c>
      <c r="J3245" s="42" t="n">
        <f aca="false">IF($M3245="贷",$O3245,0)</f>
        <v>66000</v>
      </c>
      <c r="K3245" s="48" t="str">
        <f aca="false">IF($H3245="","",资金流水!$F25)</f>
        <v>恒信木材行</v>
      </c>
      <c r="L3245" s="66" t="str">
        <f aca="false">IF(资金流水!$E25="","",IFERROR(INDEX(记账规则!$A$13:$H$32,MATCH(资金流水!$E25,记账规则!$A$13:$A$32,0),6),""))</f>
        <v>应收账款</v>
      </c>
      <c r="M3245" s="66" t="str">
        <f aca="false">IF($L3245="","",IFERROR(INDEX(记账规则!$A$13:$H$32,MATCH(资金流水!$E25,记账规则!$A$13:$A$32,0),7),""))</f>
        <v>贷</v>
      </c>
      <c r="N3245" s="66" t="str">
        <f aca="false">IF($L3245="","",IFERROR(INDEX(记账规则!$A$13:$H$32,MATCH(资金流水!$E25,记账规则!$A$13:$A$32,0),8),""))</f>
        <v>金额</v>
      </c>
      <c r="O3245" s="67" t="n">
        <f aca="false">IF($H3245="",0,ROUND(IF($N3245="金额",N(资金流水!$P25),0),2))</f>
        <v>66000</v>
      </c>
      <c r="P3245" s="64" t="str">
        <f aca="false">IF(AND($H3245&lt;&gt;"",ROUND($O3245,2)&lt;&gt;0),"有","")</f>
        <v>有</v>
      </c>
    </row>
    <row r="3246" customFormat="false" ht="15" hidden="false" customHeight="false" outlineLevel="0" collapsed="false">
      <c r="A3246" s="53" t="n">
        <f aca="false">IF($H3246="","",ROW()-5)</f>
        <v>3241</v>
      </c>
      <c r="B3246" s="64" t="s">
        <v>37</v>
      </c>
      <c r="C3246" s="53" t="n">
        <v>26</v>
      </c>
      <c r="D3246" s="53" t="n">
        <v>1</v>
      </c>
      <c r="E3246" s="65" t="n">
        <f aca="false">IF($H3246="","",资金流水!$B26)</f>
        <v>46267</v>
      </c>
      <c r="F3246" s="55" t="str">
        <f aca="false">IF($H3246="","",资金流水!$C26)</f>
        <v>木业</v>
      </c>
      <c r="G3246" s="48" t="str">
        <f aca="false">IF($H3246="","",资金流水!$K26)</f>
        <v>收包装箱板材货款</v>
      </c>
      <c r="H3246" s="10" t="str">
        <f aca="false">IF($L3246="","",IF($L3246="@对方",资金流水!$G26,IF($L3246="@账户",资金流水!$Q26,$L3246)))</f>
        <v>银行存款</v>
      </c>
      <c r="I3246" s="42" t="n">
        <f aca="false">IF($M3246="借",$O3246,0)</f>
        <v>70000</v>
      </c>
      <c r="J3246" s="42" t="n">
        <f aca="false">IF($M3246="贷",$O3246,0)</f>
        <v>0</v>
      </c>
      <c r="K3246" s="48" t="str">
        <f aca="false">IF($H3246="","",资金流水!$F26)</f>
        <v>顺达包装</v>
      </c>
      <c r="L3246" s="66" t="str">
        <f aca="false">IF(资金流水!$E26="","",IFERROR(INDEX(记账规则!$A$13:$H$32,MATCH(资金流水!$E26,记账规则!$A$13:$A$32,0),3),""))</f>
        <v>@账户</v>
      </c>
      <c r="M3246" s="66" t="str">
        <f aca="false">IF($L3246="","",IFERROR(INDEX(记账规则!$A$13:$H$32,MATCH(资金流水!$E26,记账规则!$A$13:$A$32,0),4),""))</f>
        <v>借</v>
      </c>
      <c r="N3246" s="66" t="str">
        <f aca="false">IF($L3246="","",IFERROR(INDEX(记账规则!$A$13:$H$32,MATCH(资金流水!$E26,记账规则!$A$13:$A$32,0),5),""))</f>
        <v>金额</v>
      </c>
      <c r="O3246" s="67" t="n">
        <f aca="false">IF($H3246="",0,ROUND(IF($N3246="金额",N(资金流水!$P26),0),2))</f>
        <v>70000</v>
      </c>
      <c r="P3246" s="64" t="str">
        <f aca="false">IF(AND($H3246&lt;&gt;"",ROUND($O3246,2)&lt;&gt;0),"有","")</f>
        <v>有</v>
      </c>
    </row>
    <row r="3247" customFormat="false" ht="15" hidden="false" customHeight="false" outlineLevel="0" collapsed="false">
      <c r="A3247" s="53" t="n">
        <f aca="false">IF($H3247="","",ROW()-5)</f>
        <v>3242</v>
      </c>
      <c r="B3247" s="64" t="s">
        <v>37</v>
      </c>
      <c r="C3247" s="53" t="n">
        <v>26</v>
      </c>
      <c r="D3247" s="53" t="n">
        <v>2</v>
      </c>
      <c r="E3247" s="65" t="n">
        <f aca="false">IF($H3247="","",资金流水!$B26)</f>
        <v>46267</v>
      </c>
      <c r="F3247" s="55" t="str">
        <f aca="false">IF($H3247="","",资金流水!$C26)</f>
        <v>木业</v>
      </c>
      <c r="G3247" s="48" t="str">
        <f aca="false">IF($H3247="","",资金流水!$K26)</f>
        <v>收包装箱板材货款</v>
      </c>
      <c r="H3247" s="10" t="str">
        <f aca="false">IF($L3247="","",IF($L3247="@对方",资金流水!$G26,IF($L3247="@账户",资金流水!$Q26,$L3247)))</f>
        <v>应收账款</v>
      </c>
      <c r="I3247" s="42" t="n">
        <f aca="false">IF($M3247="借",$O3247,0)</f>
        <v>0</v>
      </c>
      <c r="J3247" s="42" t="n">
        <f aca="false">IF($M3247="贷",$O3247,0)</f>
        <v>70000</v>
      </c>
      <c r="K3247" s="48" t="str">
        <f aca="false">IF($H3247="","",资金流水!$F26)</f>
        <v>顺达包装</v>
      </c>
      <c r="L3247" s="66" t="str">
        <f aca="false">IF(资金流水!$E26="","",IFERROR(INDEX(记账规则!$A$13:$H$32,MATCH(资金流水!$E26,记账规则!$A$13:$A$32,0),6),""))</f>
        <v>应收账款</v>
      </c>
      <c r="M3247" s="66" t="str">
        <f aca="false">IF($L3247="","",IFERROR(INDEX(记账规则!$A$13:$H$32,MATCH(资金流水!$E26,记账规则!$A$13:$A$32,0),7),""))</f>
        <v>贷</v>
      </c>
      <c r="N3247" s="66" t="str">
        <f aca="false">IF($L3247="","",IFERROR(INDEX(记账规则!$A$13:$H$32,MATCH(资金流水!$E26,记账规则!$A$13:$A$32,0),8),""))</f>
        <v>金额</v>
      </c>
      <c r="O3247" s="67" t="n">
        <f aca="false">IF($H3247="",0,ROUND(IF($N3247="金额",N(资金流水!$P26),0),2))</f>
        <v>70000</v>
      </c>
      <c r="P3247" s="64" t="str">
        <f aca="false">IF(AND($H3247&lt;&gt;"",ROUND($O3247,2)&lt;&gt;0),"有","")</f>
        <v>有</v>
      </c>
    </row>
    <row r="3248" customFormat="false" ht="15" hidden="false" customHeight="false" outlineLevel="0" collapsed="false">
      <c r="A3248" s="53" t="n">
        <f aca="false">IF($H3248="","",ROW()-5)</f>
        <v>3243</v>
      </c>
      <c r="B3248" s="64" t="s">
        <v>37</v>
      </c>
      <c r="C3248" s="53" t="n">
        <v>27</v>
      </c>
      <c r="D3248" s="53" t="n">
        <v>1</v>
      </c>
      <c r="E3248" s="65" t="n">
        <f aca="false">IF($H3248="","",资金流水!$B27)</f>
        <v>46270</v>
      </c>
      <c r="F3248" s="55" t="str">
        <f aca="false">IF($H3248="","",资金流水!$C27)</f>
        <v>科技</v>
      </c>
      <c r="G3248" s="48" t="str">
        <f aca="false">IF($H3248="","",资金流水!$K27)</f>
        <v>发放上年计提工资</v>
      </c>
      <c r="H3248" s="10" t="str">
        <f aca="false">IF($L3248="","",IF($L3248="@对方",资金流水!$G27,IF($L3248="@账户",资金流水!$Q27,$L3248)))</f>
        <v>银行存款</v>
      </c>
      <c r="I3248" s="42" t="n">
        <f aca="false">IF($M3248="借",$O3248,0)</f>
        <v>0</v>
      </c>
      <c r="J3248" s="42" t="n">
        <f aca="false">IF($M3248="贷",$O3248,0)</f>
        <v>18000</v>
      </c>
      <c r="K3248" s="48" t="n">
        <f aca="false">IF($H3248="","",资金流水!$F27)</f>
        <v>0</v>
      </c>
      <c r="L3248" s="66" t="str">
        <f aca="false">IF(资金流水!$E27="","",IFERROR(INDEX(记账规则!$A$13:$H$32,MATCH(资金流水!$E27,记账规则!$A$13:$A$32,0),3),""))</f>
        <v>@账户</v>
      </c>
      <c r="M3248" s="66" t="str">
        <f aca="false">IF($L3248="","",IFERROR(INDEX(记账规则!$A$13:$H$32,MATCH(资金流水!$E27,记账规则!$A$13:$A$32,0),4),""))</f>
        <v>贷</v>
      </c>
      <c r="N3248" s="66" t="str">
        <f aca="false">IF($L3248="","",IFERROR(INDEX(记账规则!$A$13:$H$32,MATCH(资金流水!$E27,记账规则!$A$13:$A$32,0),5),""))</f>
        <v>金额</v>
      </c>
      <c r="O3248" s="67" t="n">
        <f aca="false">IF($H3248="",0,ROUND(IF($N3248="金额",N(资金流水!$P27),0),2))</f>
        <v>18000</v>
      </c>
      <c r="P3248" s="64" t="str">
        <f aca="false">IF(AND($H3248&lt;&gt;"",ROUND($O3248,2)&lt;&gt;0),"有","")</f>
        <v>有</v>
      </c>
    </row>
    <row r="3249" customFormat="false" ht="15" hidden="false" customHeight="false" outlineLevel="0" collapsed="false">
      <c r="A3249" s="53" t="n">
        <f aca="false">IF($H3249="","",ROW()-5)</f>
        <v>3244</v>
      </c>
      <c r="B3249" s="64" t="s">
        <v>37</v>
      </c>
      <c r="C3249" s="53" t="n">
        <v>27</v>
      </c>
      <c r="D3249" s="53" t="n">
        <v>2</v>
      </c>
      <c r="E3249" s="65" t="n">
        <f aca="false">IF($H3249="","",资金流水!$B27)</f>
        <v>46270</v>
      </c>
      <c r="F3249" s="55" t="str">
        <f aca="false">IF($H3249="","",资金流水!$C27)</f>
        <v>科技</v>
      </c>
      <c r="G3249" s="48" t="str">
        <f aca="false">IF($H3249="","",资金流水!$K27)</f>
        <v>发放上年计提工资</v>
      </c>
      <c r="H3249" s="10" t="str">
        <f aca="false">IF($L3249="","",IF($L3249="@对方",资金流水!$G27,IF($L3249="@账户",资金流水!$Q27,$L3249)))</f>
        <v>应付职工薪酬</v>
      </c>
      <c r="I3249" s="42" t="n">
        <f aca="false">IF($M3249="借",$O3249,0)</f>
        <v>18000</v>
      </c>
      <c r="J3249" s="42" t="n">
        <f aca="false">IF($M3249="贷",$O3249,0)</f>
        <v>0</v>
      </c>
      <c r="K3249" s="48" t="n">
        <f aca="false">IF($H3249="","",资金流水!$F27)</f>
        <v>0</v>
      </c>
      <c r="L3249" s="66" t="str">
        <f aca="false">IF(资金流水!$E27="","",IFERROR(INDEX(记账规则!$A$13:$H$32,MATCH(资金流水!$E27,记账规则!$A$13:$A$32,0),6),""))</f>
        <v>应付职工薪酬</v>
      </c>
      <c r="M3249" s="66" t="str">
        <f aca="false">IF($L3249="","",IFERROR(INDEX(记账规则!$A$13:$H$32,MATCH(资金流水!$E27,记账规则!$A$13:$A$32,0),7),""))</f>
        <v>借</v>
      </c>
      <c r="N3249" s="66" t="str">
        <f aca="false">IF($L3249="","",IFERROR(INDEX(记账规则!$A$13:$H$32,MATCH(资金流水!$E27,记账规则!$A$13:$A$32,0),8),""))</f>
        <v>金额</v>
      </c>
      <c r="O3249" s="67" t="n">
        <f aca="false">IF($H3249="",0,ROUND(IF($N3249="金额",N(资金流水!$P27),0),2))</f>
        <v>18000</v>
      </c>
      <c r="P3249" s="64" t="str">
        <f aca="false">IF(AND($H3249&lt;&gt;"",ROUND($O3249,2)&lt;&gt;0),"有","")</f>
        <v>有</v>
      </c>
    </row>
    <row r="3250" customFormat="false" ht="15" hidden="false" customHeight="false" outlineLevel="0" collapsed="false">
      <c r="A3250" s="53" t="n">
        <f aca="false">IF($H3250="","",ROW()-5)</f>
        <v>3245</v>
      </c>
      <c r="B3250" s="64" t="s">
        <v>37</v>
      </c>
      <c r="C3250" s="53" t="n">
        <v>28</v>
      </c>
      <c r="D3250" s="53" t="n">
        <v>1</v>
      </c>
      <c r="E3250" s="65" t="n">
        <f aca="false">IF($H3250="","",资金流水!$B28)</f>
        <v>46275</v>
      </c>
      <c r="F3250" s="55" t="str">
        <f aca="false">IF($H3250="","",资金流水!$C28)</f>
        <v>木业</v>
      </c>
      <c r="G3250" s="48" t="str">
        <f aca="false">IF($H3250="","",资金流水!$K28)</f>
        <v>申报缴纳增值税</v>
      </c>
      <c r="H3250" s="10" t="str">
        <f aca="false">IF($L3250="","",IF($L3250="@对方",资金流水!$G28,IF($L3250="@账户",资金流水!$Q28,$L3250)))</f>
        <v>银行存款</v>
      </c>
      <c r="I3250" s="42" t="n">
        <f aca="false">IF($M3250="借",$O3250,0)</f>
        <v>0</v>
      </c>
      <c r="J3250" s="42" t="n">
        <f aca="false">IF($M3250="贷",$O3250,0)</f>
        <v>28000</v>
      </c>
      <c r="K3250" s="48" t="str">
        <f aca="false">IF($H3250="","",资金流水!$F28)</f>
        <v>税务局</v>
      </c>
      <c r="L3250" s="66" t="str">
        <f aca="false">IF(资金流水!$E28="","",IFERROR(INDEX(记账规则!$A$13:$H$32,MATCH(资金流水!$E28,记账规则!$A$13:$A$32,0),3),""))</f>
        <v>@账户</v>
      </c>
      <c r="M3250" s="66" t="str">
        <f aca="false">IF($L3250="","",IFERROR(INDEX(记账规则!$A$13:$H$32,MATCH(资金流水!$E28,记账规则!$A$13:$A$32,0),4),""))</f>
        <v>贷</v>
      </c>
      <c r="N3250" s="66" t="str">
        <f aca="false">IF($L3250="","",IFERROR(INDEX(记账规则!$A$13:$H$32,MATCH(资金流水!$E28,记账规则!$A$13:$A$32,0),5),""))</f>
        <v>金额</v>
      </c>
      <c r="O3250" s="67" t="n">
        <f aca="false">IF($H3250="",0,ROUND(IF($N3250="金额",N(资金流水!$P28),0),2))</f>
        <v>28000</v>
      </c>
      <c r="P3250" s="64" t="str">
        <f aca="false">IF(AND($H3250&lt;&gt;"",ROUND($O3250,2)&lt;&gt;0),"有","")</f>
        <v>有</v>
      </c>
    </row>
    <row r="3251" customFormat="false" ht="15" hidden="false" customHeight="false" outlineLevel="0" collapsed="false">
      <c r="A3251" s="53" t="n">
        <f aca="false">IF($H3251="","",ROW()-5)</f>
        <v>3246</v>
      </c>
      <c r="B3251" s="64" t="s">
        <v>37</v>
      </c>
      <c r="C3251" s="53" t="n">
        <v>28</v>
      </c>
      <c r="D3251" s="53" t="n">
        <v>2</v>
      </c>
      <c r="E3251" s="65" t="n">
        <f aca="false">IF($H3251="","",资金流水!$B28)</f>
        <v>46275</v>
      </c>
      <c r="F3251" s="55" t="str">
        <f aca="false">IF($H3251="","",资金流水!$C28)</f>
        <v>木业</v>
      </c>
      <c r="G3251" s="48" t="str">
        <f aca="false">IF($H3251="","",资金流水!$K28)</f>
        <v>申报缴纳增值税</v>
      </c>
      <c r="H3251" s="10" t="str">
        <f aca="false">IF($L3251="","",IF($L3251="@对方",资金流水!$G28,IF($L3251="@账户",资金流水!$Q28,$L3251)))</f>
        <v>税金及附加</v>
      </c>
      <c r="I3251" s="42" t="n">
        <f aca="false">IF($M3251="借",$O3251,0)</f>
        <v>28000</v>
      </c>
      <c r="J3251" s="42" t="n">
        <f aca="false">IF($M3251="贷",$O3251,0)</f>
        <v>0</v>
      </c>
      <c r="K3251" s="48" t="str">
        <f aca="false">IF($H3251="","",资金流水!$F28)</f>
        <v>税务局</v>
      </c>
      <c r="L3251" s="66" t="str">
        <f aca="false">IF(资金流水!$E28="","",IFERROR(INDEX(记账规则!$A$13:$H$32,MATCH(资金流水!$E28,记账规则!$A$13:$A$32,0),6),""))</f>
        <v>@对方</v>
      </c>
      <c r="M3251" s="66" t="str">
        <f aca="false">IF($L3251="","",IFERROR(INDEX(记账规则!$A$13:$H$32,MATCH(资金流水!$E28,记账规则!$A$13:$A$32,0),7),""))</f>
        <v>借</v>
      </c>
      <c r="N3251" s="66" t="str">
        <f aca="false">IF($L3251="","",IFERROR(INDEX(记账规则!$A$13:$H$32,MATCH(资金流水!$E28,记账规则!$A$13:$A$32,0),8),""))</f>
        <v>金额</v>
      </c>
      <c r="O3251" s="67" t="n">
        <f aca="false">IF($H3251="",0,ROUND(IF($N3251="金额",N(资金流水!$P28),0),2))</f>
        <v>28000</v>
      </c>
      <c r="P3251" s="64" t="str">
        <f aca="false">IF(AND($H3251&lt;&gt;"",ROUND($O3251,2)&lt;&gt;0),"有","")</f>
        <v>有</v>
      </c>
    </row>
    <row r="3252" customFormat="false" ht="15" hidden="false" customHeight="false" outlineLevel="0" collapsed="false">
      <c r="A3252" s="53" t="n">
        <f aca="false">IF($H3252="","",ROW()-5)</f>
        <v>3247</v>
      </c>
      <c r="B3252" s="64" t="s">
        <v>37</v>
      </c>
      <c r="C3252" s="53" t="n">
        <v>29</v>
      </c>
      <c r="D3252" s="53" t="n">
        <v>1</v>
      </c>
      <c r="E3252" s="65" t="n">
        <f aca="false">IF($H3252="","",资金流水!$B29)</f>
        <v>46277</v>
      </c>
      <c r="F3252" s="55" t="str">
        <f aca="false">IF($H3252="","",资金流水!$C29)</f>
        <v>木业</v>
      </c>
      <c r="G3252" s="48" t="str">
        <f aca="false">IF($H3252="","",资金流水!$K29)</f>
        <v>零星用品</v>
      </c>
      <c r="H3252" s="10" t="str">
        <f aca="false">IF($L3252="","",IF($L3252="@对方",资金流水!$G29,IF($L3252="@账户",资金流水!$Q29,$L3252)))</f>
        <v>库存现金</v>
      </c>
      <c r="I3252" s="42" t="n">
        <f aca="false">IF($M3252="借",$O3252,0)</f>
        <v>0</v>
      </c>
      <c r="J3252" s="42" t="n">
        <f aca="false">IF($M3252="贷",$O3252,0)</f>
        <v>860</v>
      </c>
      <c r="K3252" s="48" t="n">
        <f aca="false">IF($H3252="","",资金流水!$F29)</f>
        <v>0</v>
      </c>
      <c r="L3252" s="66" t="str">
        <f aca="false">IF(资金流水!$E29="","",IFERROR(INDEX(记账规则!$A$13:$H$32,MATCH(资金流水!$E29,记账规则!$A$13:$A$32,0),3),""))</f>
        <v>@账户</v>
      </c>
      <c r="M3252" s="66" t="str">
        <f aca="false">IF($L3252="","",IFERROR(INDEX(记账规则!$A$13:$H$32,MATCH(资金流水!$E29,记账规则!$A$13:$A$32,0),4),""))</f>
        <v>贷</v>
      </c>
      <c r="N3252" s="66" t="str">
        <f aca="false">IF($L3252="","",IFERROR(INDEX(记账规则!$A$13:$H$32,MATCH(资金流水!$E29,记账规则!$A$13:$A$32,0),5),""))</f>
        <v>金额</v>
      </c>
      <c r="O3252" s="67" t="n">
        <f aca="false">IF($H3252="",0,ROUND(IF($N3252="金额",N(资金流水!$P29),0),2))</f>
        <v>860</v>
      </c>
      <c r="P3252" s="64" t="str">
        <f aca="false">IF(AND($H3252&lt;&gt;"",ROUND($O3252,2)&lt;&gt;0),"有","")</f>
        <v>有</v>
      </c>
    </row>
    <row r="3253" customFormat="false" ht="15" hidden="false" customHeight="false" outlineLevel="0" collapsed="false">
      <c r="A3253" s="53" t="n">
        <f aca="false">IF($H3253="","",ROW()-5)</f>
        <v>3248</v>
      </c>
      <c r="B3253" s="64" t="s">
        <v>37</v>
      </c>
      <c r="C3253" s="53" t="n">
        <v>29</v>
      </c>
      <c r="D3253" s="53" t="n">
        <v>2</v>
      </c>
      <c r="E3253" s="65" t="n">
        <f aca="false">IF($H3253="","",资金流水!$B29)</f>
        <v>46277</v>
      </c>
      <c r="F3253" s="55" t="str">
        <f aca="false">IF($H3253="","",资金流水!$C29)</f>
        <v>木业</v>
      </c>
      <c r="G3253" s="48" t="str">
        <f aca="false">IF($H3253="","",资金流水!$K29)</f>
        <v>零星用品</v>
      </c>
      <c r="H3253" s="10" t="str">
        <f aca="false">IF($L3253="","",IF($L3253="@对方",资金流水!$G29,IF($L3253="@账户",资金流水!$Q29,$L3253)))</f>
        <v>管理费用</v>
      </c>
      <c r="I3253" s="42" t="n">
        <f aca="false">IF($M3253="借",$O3253,0)</f>
        <v>860</v>
      </c>
      <c r="J3253" s="42" t="n">
        <f aca="false">IF($M3253="贷",$O3253,0)</f>
        <v>0</v>
      </c>
      <c r="K3253" s="48" t="n">
        <f aca="false">IF($H3253="","",资金流水!$F29)</f>
        <v>0</v>
      </c>
      <c r="L3253" s="66" t="str">
        <f aca="false">IF(资金流水!$E29="","",IFERROR(INDEX(记账规则!$A$13:$H$32,MATCH(资金流水!$E29,记账规则!$A$13:$A$32,0),6),""))</f>
        <v>@对方</v>
      </c>
      <c r="M3253" s="66" t="str">
        <f aca="false">IF($L3253="","",IFERROR(INDEX(记账规则!$A$13:$H$32,MATCH(资金流水!$E29,记账规则!$A$13:$A$32,0),7),""))</f>
        <v>借</v>
      </c>
      <c r="N3253" s="66" t="str">
        <f aca="false">IF($L3253="","",IFERROR(INDEX(记账规则!$A$13:$H$32,MATCH(资金流水!$E29,记账规则!$A$13:$A$32,0),8),""))</f>
        <v>金额</v>
      </c>
      <c r="O3253" s="67" t="n">
        <f aca="false">IF($H3253="",0,ROUND(IF($N3253="金额",N(资金流水!$P29),0),2))</f>
        <v>860</v>
      </c>
      <c r="P3253" s="64" t="str">
        <f aca="false">IF(AND($H3253&lt;&gt;"",ROUND($O3253,2)&lt;&gt;0),"有","")</f>
        <v>有</v>
      </c>
    </row>
    <row r="3254" customFormat="false" ht="15" hidden="false" customHeight="false" outlineLevel="0" collapsed="false">
      <c r="A3254" s="53" t="n">
        <f aca="false">IF($H3254="","",ROW()-5)</f>
        <v>3249</v>
      </c>
      <c r="B3254" s="64" t="s">
        <v>37</v>
      </c>
      <c r="C3254" s="53" t="n">
        <v>30</v>
      </c>
      <c r="D3254" s="53" t="n">
        <v>1</v>
      </c>
      <c r="E3254" s="65" t="n">
        <f aca="false">IF($H3254="","",资金流水!$B30)</f>
        <v>46285</v>
      </c>
      <c r="F3254" s="55" t="str">
        <f aca="false">IF($H3254="","",资金流水!$C30)</f>
        <v>农业</v>
      </c>
      <c r="G3254" s="48" t="str">
        <f aca="false">IF($H3254="","",资金流水!$K30)</f>
        <v>收科技公司干艾草款（内部）</v>
      </c>
      <c r="H3254" s="10" t="str">
        <f aca="false">IF($L3254="","",IF($L3254="@对方",资金流水!$G30,IF($L3254="@账户",资金流水!$Q30,$L3254)))</f>
        <v>银行存款</v>
      </c>
      <c r="I3254" s="42" t="n">
        <f aca="false">IF($M3254="借",$O3254,0)</f>
        <v>40000</v>
      </c>
      <c r="J3254" s="42" t="n">
        <f aca="false">IF($M3254="贷",$O3254,0)</f>
        <v>0</v>
      </c>
      <c r="K3254" s="48" t="str">
        <f aca="false">IF($H3254="","",资金流水!$F30)</f>
        <v>科技公司</v>
      </c>
      <c r="L3254" s="66" t="str">
        <f aca="false">IF(资金流水!$E30="","",IFERROR(INDEX(记账规则!$A$13:$H$32,MATCH(资金流水!$E30,记账规则!$A$13:$A$32,0),3),""))</f>
        <v>@账户</v>
      </c>
      <c r="M3254" s="66" t="str">
        <f aca="false">IF($L3254="","",IFERROR(INDEX(记账规则!$A$13:$H$32,MATCH(资金流水!$E30,记账规则!$A$13:$A$32,0),4),""))</f>
        <v>借</v>
      </c>
      <c r="N3254" s="66" t="str">
        <f aca="false">IF($L3254="","",IFERROR(INDEX(记账规则!$A$13:$H$32,MATCH(资金流水!$E30,记账规则!$A$13:$A$32,0),5),""))</f>
        <v>金额</v>
      </c>
      <c r="O3254" s="67" t="n">
        <f aca="false">IF($H3254="",0,ROUND(IF($N3254="金额",N(资金流水!$P30),0),2))</f>
        <v>40000</v>
      </c>
      <c r="P3254" s="64" t="str">
        <f aca="false">IF(AND($H3254&lt;&gt;"",ROUND($O3254,2)&lt;&gt;0),"有","")</f>
        <v>有</v>
      </c>
    </row>
    <row r="3255" customFormat="false" ht="15" hidden="false" customHeight="false" outlineLevel="0" collapsed="false">
      <c r="A3255" s="53" t="n">
        <f aca="false">IF($H3255="","",ROW()-5)</f>
        <v>3250</v>
      </c>
      <c r="B3255" s="64" t="s">
        <v>37</v>
      </c>
      <c r="C3255" s="53" t="n">
        <v>30</v>
      </c>
      <c r="D3255" s="53" t="n">
        <v>2</v>
      </c>
      <c r="E3255" s="65" t="n">
        <f aca="false">IF($H3255="","",资金流水!$B30)</f>
        <v>46285</v>
      </c>
      <c r="F3255" s="55" t="str">
        <f aca="false">IF($H3255="","",资金流水!$C30)</f>
        <v>农业</v>
      </c>
      <c r="G3255" s="48" t="str">
        <f aca="false">IF($H3255="","",资金流水!$K30)</f>
        <v>收科技公司干艾草款（内部）</v>
      </c>
      <c r="H3255" s="10" t="str">
        <f aca="false">IF($L3255="","",IF($L3255="@对方",资金流水!$G30,IF($L3255="@账户",资金流水!$Q30,$L3255)))</f>
        <v>应收账款</v>
      </c>
      <c r="I3255" s="42" t="n">
        <f aca="false">IF($M3255="借",$O3255,0)</f>
        <v>0</v>
      </c>
      <c r="J3255" s="42" t="n">
        <f aca="false">IF($M3255="贷",$O3255,0)</f>
        <v>40000</v>
      </c>
      <c r="K3255" s="48" t="str">
        <f aca="false">IF($H3255="","",资金流水!$F30)</f>
        <v>科技公司</v>
      </c>
      <c r="L3255" s="66" t="str">
        <f aca="false">IF(资金流水!$E30="","",IFERROR(INDEX(记账规则!$A$13:$H$32,MATCH(资金流水!$E30,记账规则!$A$13:$A$32,0),6),""))</f>
        <v>应收账款</v>
      </c>
      <c r="M3255" s="66" t="str">
        <f aca="false">IF($L3255="","",IFERROR(INDEX(记账规则!$A$13:$H$32,MATCH(资金流水!$E30,记账规则!$A$13:$A$32,0),7),""))</f>
        <v>贷</v>
      </c>
      <c r="N3255" s="66" t="str">
        <f aca="false">IF($L3255="","",IFERROR(INDEX(记账规则!$A$13:$H$32,MATCH(资金流水!$E30,记账规则!$A$13:$A$32,0),8),""))</f>
        <v>金额</v>
      </c>
      <c r="O3255" s="67" t="n">
        <f aca="false">IF($H3255="",0,ROUND(IF($N3255="金额",N(资金流水!$P30),0),2))</f>
        <v>40000</v>
      </c>
      <c r="P3255" s="64" t="str">
        <f aca="false">IF(AND($H3255&lt;&gt;"",ROUND($O3255,2)&lt;&gt;0),"有","")</f>
        <v>有</v>
      </c>
    </row>
    <row r="3256" customFormat="false" ht="15" hidden="false" customHeight="false" outlineLevel="0" collapsed="false">
      <c r="A3256" s="53" t="n">
        <f aca="false">IF($H3256="","",ROW()-5)</f>
        <v>3251</v>
      </c>
      <c r="B3256" s="64" t="s">
        <v>37</v>
      </c>
      <c r="C3256" s="53" t="n">
        <v>31</v>
      </c>
      <c r="D3256" s="53" t="n">
        <v>1</v>
      </c>
      <c r="E3256" s="65" t="n">
        <f aca="false">IF($H3256="","",资金流水!$B31)</f>
        <v>46285</v>
      </c>
      <c r="F3256" s="55" t="str">
        <f aca="false">IF($H3256="","",资金流水!$C31)</f>
        <v>科技</v>
      </c>
      <c r="G3256" s="48" t="str">
        <f aca="false">IF($H3256="","",资金流水!$K31)</f>
        <v>付农业基地干艾草款（内部）</v>
      </c>
      <c r="H3256" s="10" t="str">
        <f aca="false">IF($L3256="","",IF($L3256="@对方",资金流水!$G31,IF($L3256="@账户",资金流水!$Q31,$L3256)))</f>
        <v>银行存款</v>
      </c>
      <c r="I3256" s="42" t="n">
        <f aca="false">IF($M3256="借",$O3256,0)</f>
        <v>0</v>
      </c>
      <c r="J3256" s="42" t="n">
        <f aca="false">IF($M3256="贷",$O3256,0)</f>
        <v>40000</v>
      </c>
      <c r="K3256" s="48" t="str">
        <f aca="false">IF($H3256="","",资金流水!$F31)</f>
        <v>农业基地公司</v>
      </c>
      <c r="L3256" s="66" t="str">
        <f aca="false">IF(资金流水!$E31="","",IFERROR(INDEX(记账规则!$A$13:$H$32,MATCH(资金流水!$E31,记账规则!$A$13:$A$32,0),3),""))</f>
        <v>@账户</v>
      </c>
      <c r="M3256" s="66" t="str">
        <f aca="false">IF($L3256="","",IFERROR(INDEX(记账规则!$A$13:$H$32,MATCH(资金流水!$E31,记账规则!$A$13:$A$32,0),4),""))</f>
        <v>贷</v>
      </c>
      <c r="N3256" s="66" t="str">
        <f aca="false">IF($L3256="","",IFERROR(INDEX(记账规则!$A$13:$H$32,MATCH(资金流水!$E31,记账规则!$A$13:$A$32,0),5),""))</f>
        <v>金额</v>
      </c>
      <c r="O3256" s="67" t="n">
        <f aca="false">IF($H3256="",0,ROUND(IF($N3256="金额",N(资金流水!$P31),0),2))</f>
        <v>40000</v>
      </c>
      <c r="P3256" s="64" t="str">
        <f aca="false">IF(AND($H3256&lt;&gt;"",ROUND($O3256,2)&lt;&gt;0),"有","")</f>
        <v>有</v>
      </c>
    </row>
    <row r="3257" customFormat="false" ht="15" hidden="false" customHeight="false" outlineLevel="0" collapsed="false">
      <c r="A3257" s="53" t="n">
        <f aca="false">IF($H3257="","",ROW()-5)</f>
        <v>3252</v>
      </c>
      <c r="B3257" s="64" t="s">
        <v>37</v>
      </c>
      <c r="C3257" s="53" t="n">
        <v>31</v>
      </c>
      <c r="D3257" s="53" t="n">
        <v>2</v>
      </c>
      <c r="E3257" s="65" t="n">
        <f aca="false">IF($H3257="","",资金流水!$B31)</f>
        <v>46285</v>
      </c>
      <c r="F3257" s="55" t="str">
        <f aca="false">IF($H3257="","",资金流水!$C31)</f>
        <v>科技</v>
      </c>
      <c r="G3257" s="48" t="str">
        <f aca="false">IF($H3257="","",资金流水!$K31)</f>
        <v>付农业基地干艾草款（内部）</v>
      </c>
      <c r="H3257" s="10" t="str">
        <f aca="false">IF($L3257="","",IF($L3257="@对方",资金流水!$G31,IF($L3257="@账户",资金流水!$Q31,$L3257)))</f>
        <v>应付账款</v>
      </c>
      <c r="I3257" s="42" t="n">
        <f aca="false">IF($M3257="借",$O3257,0)</f>
        <v>40000</v>
      </c>
      <c r="J3257" s="42" t="n">
        <f aca="false">IF($M3257="贷",$O3257,0)</f>
        <v>0</v>
      </c>
      <c r="K3257" s="48" t="str">
        <f aca="false">IF($H3257="","",资金流水!$F31)</f>
        <v>农业基地公司</v>
      </c>
      <c r="L3257" s="66" t="str">
        <f aca="false">IF(资金流水!$E31="","",IFERROR(INDEX(记账规则!$A$13:$H$32,MATCH(资金流水!$E31,记账规则!$A$13:$A$32,0),6),""))</f>
        <v>应付账款</v>
      </c>
      <c r="M3257" s="66" t="str">
        <f aca="false">IF($L3257="","",IFERROR(INDEX(记账规则!$A$13:$H$32,MATCH(资金流水!$E31,记账规则!$A$13:$A$32,0),7),""))</f>
        <v>借</v>
      </c>
      <c r="N3257" s="66" t="str">
        <f aca="false">IF($L3257="","",IFERROR(INDEX(记账规则!$A$13:$H$32,MATCH(资金流水!$E31,记账规则!$A$13:$A$32,0),8),""))</f>
        <v>金额</v>
      </c>
      <c r="O3257" s="67" t="n">
        <f aca="false">IF($H3257="",0,ROUND(IF($N3257="金额",N(资金流水!$P31),0),2))</f>
        <v>40000</v>
      </c>
      <c r="P3257" s="64" t="str">
        <f aca="false">IF(AND($H3257&lt;&gt;"",ROUND($O3257,2)&lt;&gt;0),"有","")</f>
        <v>有</v>
      </c>
    </row>
    <row r="3258" customFormat="false" ht="15" hidden="false" customHeight="false" outlineLevel="0" collapsed="false">
      <c r="A3258" s="53" t="n">
        <f aca="false">IF($H3258="","",ROW()-5)</f>
        <v>3253</v>
      </c>
      <c r="B3258" s="64" t="s">
        <v>37</v>
      </c>
      <c r="C3258" s="53" t="n">
        <v>32</v>
      </c>
      <c r="D3258" s="53" t="n">
        <v>1</v>
      </c>
      <c r="E3258" s="65" t="n">
        <f aca="false">IF($H3258="","",资金流水!$B32)</f>
        <v>46295</v>
      </c>
      <c r="F3258" s="55" t="str">
        <f aca="false">IF($H3258="","",资金流水!$C32)</f>
        <v>科技</v>
      </c>
      <c r="G3258" s="48" t="str">
        <f aca="false">IF($H3258="","",资金流水!$K32)</f>
        <v>发放三季度工资</v>
      </c>
      <c r="H3258" s="10" t="str">
        <f aca="false">IF($L3258="","",IF($L3258="@对方",资金流水!$G32,IF($L3258="@账户",资金流水!$Q32,$L3258)))</f>
        <v>银行存款</v>
      </c>
      <c r="I3258" s="42" t="n">
        <f aca="false">IF($M3258="借",$O3258,0)</f>
        <v>0</v>
      </c>
      <c r="J3258" s="42" t="n">
        <f aca="false">IF($M3258="贷",$O3258,0)</f>
        <v>55000</v>
      </c>
      <c r="K3258" s="48" t="n">
        <f aca="false">IF($H3258="","",资金流水!$F32)</f>
        <v>0</v>
      </c>
      <c r="L3258" s="66" t="str">
        <f aca="false">IF(资金流水!$E32="","",IFERROR(INDEX(记账规则!$A$13:$H$32,MATCH(资金流水!$E32,记账规则!$A$13:$A$32,0),3),""))</f>
        <v>@账户</v>
      </c>
      <c r="M3258" s="66" t="str">
        <f aca="false">IF($L3258="","",IFERROR(INDEX(记账规则!$A$13:$H$32,MATCH(资金流水!$E32,记账规则!$A$13:$A$32,0),4),""))</f>
        <v>贷</v>
      </c>
      <c r="N3258" s="66" t="str">
        <f aca="false">IF($L3258="","",IFERROR(INDEX(记账规则!$A$13:$H$32,MATCH(资金流水!$E32,记账规则!$A$13:$A$32,0),5),""))</f>
        <v>金额</v>
      </c>
      <c r="O3258" s="67" t="n">
        <f aca="false">IF($H3258="",0,ROUND(IF($N3258="金额",N(资金流水!$P32),0),2))</f>
        <v>55000</v>
      </c>
      <c r="P3258" s="64" t="str">
        <f aca="false">IF(AND($H3258&lt;&gt;"",ROUND($O3258,2)&lt;&gt;0),"有","")</f>
        <v>有</v>
      </c>
    </row>
    <row r="3259" customFormat="false" ht="15" hidden="false" customHeight="false" outlineLevel="0" collapsed="false">
      <c r="A3259" s="53" t="n">
        <f aca="false">IF($H3259="","",ROW()-5)</f>
        <v>3254</v>
      </c>
      <c r="B3259" s="64" t="s">
        <v>37</v>
      </c>
      <c r="C3259" s="53" t="n">
        <v>32</v>
      </c>
      <c r="D3259" s="53" t="n">
        <v>2</v>
      </c>
      <c r="E3259" s="65" t="n">
        <f aca="false">IF($H3259="","",资金流水!$B32)</f>
        <v>46295</v>
      </c>
      <c r="F3259" s="55" t="str">
        <f aca="false">IF($H3259="","",资金流水!$C32)</f>
        <v>科技</v>
      </c>
      <c r="G3259" s="48" t="str">
        <f aca="false">IF($H3259="","",资金流水!$K32)</f>
        <v>发放三季度工资</v>
      </c>
      <c r="H3259" s="10" t="str">
        <f aca="false">IF($L3259="","",IF($L3259="@对方",资金流水!$G32,IF($L3259="@账户",资金流水!$Q32,$L3259)))</f>
        <v>应付职工薪酬</v>
      </c>
      <c r="I3259" s="42" t="n">
        <f aca="false">IF($M3259="借",$O3259,0)</f>
        <v>55000</v>
      </c>
      <c r="J3259" s="42" t="n">
        <f aca="false">IF($M3259="贷",$O3259,0)</f>
        <v>0</v>
      </c>
      <c r="K3259" s="48" t="n">
        <f aca="false">IF($H3259="","",资金流水!$F32)</f>
        <v>0</v>
      </c>
      <c r="L3259" s="66" t="str">
        <f aca="false">IF(资金流水!$E32="","",IFERROR(INDEX(记账规则!$A$13:$H$32,MATCH(资金流水!$E32,记账规则!$A$13:$A$32,0),6),""))</f>
        <v>应付职工薪酬</v>
      </c>
      <c r="M3259" s="66" t="str">
        <f aca="false">IF($L3259="","",IFERROR(INDEX(记账规则!$A$13:$H$32,MATCH(资金流水!$E32,记账规则!$A$13:$A$32,0),7),""))</f>
        <v>借</v>
      </c>
      <c r="N3259" s="66" t="str">
        <f aca="false">IF($L3259="","",IFERROR(INDEX(记账规则!$A$13:$H$32,MATCH(资金流水!$E32,记账规则!$A$13:$A$32,0),8),""))</f>
        <v>金额</v>
      </c>
      <c r="O3259" s="67" t="n">
        <f aca="false">IF($H3259="",0,ROUND(IF($N3259="金额",N(资金流水!$P32),0),2))</f>
        <v>55000</v>
      </c>
      <c r="P3259" s="64" t="str">
        <f aca="false">IF(AND($H3259&lt;&gt;"",ROUND($O3259,2)&lt;&gt;0),"有","")</f>
        <v>有</v>
      </c>
    </row>
    <row r="3260" customFormat="false" ht="15" hidden="false" customHeight="false" outlineLevel="0" collapsed="false">
      <c r="A3260" s="53" t="n">
        <f aca="false">IF($H3260="","",ROW()-5)</f>
        <v>3255</v>
      </c>
      <c r="B3260" s="64" t="s">
        <v>37</v>
      </c>
      <c r="C3260" s="53" t="n">
        <v>33</v>
      </c>
      <c r="D3260" s="53" t="n">
        <v>1</v>
      </c>
      <c r="E3260" s="65" t="n">
        <f aca="false">IF($H3260="","",资金流水!$B33)</f>
        <v>46305</v>
      </c>
      <c r="F3260" s="55" t="str">
        <f aca="false">IF($H3260="","",资金流水!$C33)</f>
        <v>科技</v>
      </c>
      <c r="G3260" s="48" t="str">
        <f aca="false">IF($H3260="","",资金流水!$K33)</f>
        <v>收纯露货款</v>
      </c>
      <c r="H3260" s="10" t="str">
        <f aca="false">IF($L3260="","",IF($L3260="@对方",资金流水!$G33,IF($L3260="@账户",资金流水!$Q33,$L3260)))</f>
        <v>银行存款</v>
      </c>
      <c r="I3260" s="42" t="n">
        <f aca="false">IF($M3260="借",$O3260,0)</f>
        <v>90000</v>
      </c>
      <c r="J3260" s="42" t="n">
        <f aca="false">IF($M3260="贷",$O3260,0)</f>
        <v>0</v>
      </c>
      <c r="K3260" s="48" t="str">
        <f aca="false">IF($H3260="","",资金流水!$F33)</f>
        <v>美悦日化</v>
      </c>
      <c r="L3260" s="66" t="str">
        <f aca="false">IF(资金流水!$E33="","",IFERROR(INDEX(记账规则!$A$13:$H$32,MATCH(资金流水!$E33,记账规则!$A$13:$A$32,0),3),""))</f>
        <v>@账户</v>
      </c>
      <c r="M3260" s="66" t="str">
        <f aca="false">IF($L3260="","",IFERROR(INDEX(记账规则!$A$13:$H$32,MATCH(资金流水!$E33,记账规则!$A$13:$A$32,0),4),""))</f>
        <v>借</v>
      </c>
      <c r="N3260" s="66" t="str">
        <f aca="false">IF($L3260="","",IFERROR(INDEX(记账规则!$A$13:$H$32,MATCH(资金流水!$E33,记账规则!$A$13:$A$32,0),5),""))</f>
        <v>金额</v>
      </c>
      <c r="O3260" s="67" t="n">
        <f aca="false">IF($H3260="",0,ROUND(IF($N3260="金额",N(资金流水!$P33),0),2))</f>
        <v>90000</v>
      </c>
      <c r="P3260" s="64" t="str">
        <f aca="false">IF(AND($H3260&lt;&gt;"",ROUND($O3260,2)&lt;&gt;0),"有","")</f>
        <v>有</v>
      </c>
    </row>
    <row r="3261" customFormat="false" ht="15" hidden="false" customHeight="false" outlineLevel="0" collapsed="false">
      <c r="A3261" s="53" t="n">
        <f aca="false">IF($H3261="","",ROW()-5)</f>
        <v>3256</v>
      </c>
      <c r="B3261" s="64" t="s">
        <v>37</v>
      </c>
      <c r="C3261" s="53" t="n">
        <v>33</v>
      </c>
      <c r="D3261" s="53" t="n">
        <v>2</v>
      </c>
      <c r="E3261" s="65" t="n">
        <f aca="false">IF($H3261="","",资金流水!$B33)</f>
        <v>46305</v>
      </c>
      <c r="F3261" s="55" t="str">
        <f aca="false">IF($H3261="","",资金流水!$C33)</f>
        <v>科技</v>
      </c>
      <c r="G3261" s="48" t="str">
        <f aca="false">IF($H3261="","",资金流水!$K33)</f>
        <v>收纯露货款</v>
      </c>
      <c r="H3261" s="10" t="str">
        <f aca="false">IF($L3261="","",IF($L3261="@对方",资金流水!$G33,IF($L3261="@账户",资金流水!$Q33,$L3261)))</f>
        <v>应收账款</v>
      </c>
      <c r="I3261" s="42" t="n">
        <f aca="false">IF($M3261="借",$O3261,0)</f>
        <v>0</v>
      </c>
      <c r="J3261" s="42" t="n">
        <f aca="false">IF($M3261="贷",$O3261,0)</f>
        <v>90000</v>
      </c>
      <c r="K3261" s="48" t="str">
        <f aca="false">IF($H3261="","",资金流水!$F33)</f>
        <v>美悦日化</v>
      </c>
      <c r="L3261" s="66" t="str">
        <f aca="false">IF(资金流水!$E33="","",IFERROR(INDEX(记账规则!$A$13:$H$32,MATCH(资金流水!$E33,记账规则!$A$13:$A$32,0),6),""))</f>
        <v>应收账款</v>
      </c>
      <c r="M3261" s="66" t="str">
        <f aca="false">IF($L3261="","",IFERROR(INDEX(记账规则!$A$13:$H$32,MATCH(资金流水!$E33,记账规则!$A$13:$A$32,0),7),""))</f>
        <v>贷</v>
      </c>
      <c r="N3261" s="66" t="str">
        <f aca="false">IF($L3261="","",IFERROR(INDEX(记账规则!$A$13:$H$32,MATCH(资金流水!$E33,记账规则!$A$13:$A$32,0),8),""))</f>
        <v>金额</v>
      </c>
      <c r="O3261" s="67" t="n">
        <f aca="false">IF($H3261="",0,ROUND(IF($N3261="金额",N(资金流水!$P33),0),2))</f>
        <v>90000</v>
      </c>
      <c r="P3261" s="64" t="str">
        <f aca="false">IF(AND($H3261&lt;&gt;"",ROUND($O3261,2)&lt;&gt;0),"有","")</f>
        <v>有</v>
      </c>
    </row>
    <row r="3262" customFormat="false" ht="15" hidden="false" customHeight="false" outlineLevel="0" collapsed="false">
      <c r="A3262" s="53" t="n">
        <f aca="false">IF($H3262="","",ROW()-5)</f>
        <v>3257</v>
      </c>
      <c r="B3262" s="64" t="s">
        <v>37</v>
      </c>
      <c r="C3262" s="53" t="n">
        <v>34</v>
      </c>
      <c r="D3262" s="53" t="n">
        <v>1</v>
      </c>
      <c r="E3262" s="65" t="n">
        <f aca="false">IF($H3262="","",资金流水!$B34)</f>
        <v>46310</v>
      </c>
      <c r="F3262" s="55" t="str">
        <f aca="false">IF($H3262="","",资金流水!$C34)</f>
        <v>农业</v>
      </c>
      <c r="G3262" s="48" t="str">
        <f aca="false">IF($H3262="","",资金流水!$K34)</f>
        <v>林区巡查差旅</v>
      </c>
      <c r="H3262" s="10" t="str">
        <f aca="false">IF($L3262="","",IF($L3262="@对方",资金流水!$G34,IF($L3262="@账户",资金流水!$Q34,$L3262)))</f>
        <v>库存现金</v>
      </c>
      <c r="I3262" s="42" t="n">
        <f aca="false">IF($M3262="借",$O3262,0)</f>
        <v>0</v>
      </c>
      <c r="J3262" s="42" t="n">
        <f aca="false">IF($M3262="贷",$O3262,0)</f>
        <v>1800</v>
      </c>
      <c r="K3262" s="48" t="n">
        <f aca="false">IF($H3262="","",资金流水!$F34)</f>
        <v>0</v>
      </c>
      <c r="L3262" s="66" t="str">
        <f aca="false">IF(资金流水!$E34="","",IFERROR(INDEX(记账规则!$A$13:$H$32,MATCH(资金流水!$E34,记账规则!$A$13:$A$32,0),3),""))</f>
        <v>@账户</v>
      </c>
      <c r="M3262" s="66" t="str">
        <f aca="false">IF($L3262="","",IFERROR(INDEX(记账规则!$A$13:$H$32,MATCH(资金流水!$E34,记账规则!$A$13:$A$32,0),4),""))</f>
        <v>贷</v>
      </c>
      <c r="N3262" s="66" t="str">
        <f aca="false">IF($L3262="","",IFERROR(INDEX(记账规则!$A$13:$H$32,MATCH(资金流水!$E34,记账规则!$A$13:$A$32,0),5),""))</f>
        <v>金额</v>
      </c>
      <c r="O3262" s="67" t="n">
        <f aca="false">IF($H3262="",0,ROUND(IF($N3262="金额",N(资金流水!$P34),0),2))</f>
        <v>1800</v>
      </c>
      <c r="P3262" s="64" t="str">
        <f aca="false">IF(AND($H3262&lt;&gt;"",ROUND($O3262,2)&lt;&gt;0),"有","")</f>
        <v>有</v>
      </c>
    </row>
    <row r="3263" customFormat="false" ht="15" hidden="false" customHeight="false" outlineLevel="0" collapsed="false">
      <c r="A3263" s="53" t="n">
        <f aca="false">IF($H3263="","",ROW()-5)</f>
        <v>3258</v>
      </c>
      <c r="B3263" s="64" t="s">
        <v>37</v>
      </c>
      <c r="C3263" s="53" t="n">
        <v>34</v>
      </c>
      <c r="D3263" s="53" t="n">
        <v>2</v>
      </c>
      <c r="E3263" s="65" t="n">
        <f aca="false">IF($H3263="","",资金流水!$B34)</f>
        <v>46310</v>
      </c>
      <c r="F3263" s="55" t="str">
        <f aca="false">IF($H3263="","",资金流水!$C34)</f>
        <v>农业</v>
      </c>
      <c r="G3263" s="48" t="str">
        <f aca="false">IF($H3263="","",资金流水!$K34)</f>
        <v>林区巡查差旅</v>
      </c>
      <c r="H3263" s="10" t="str">
        <f aca="false">IF($L3263="","",IF($L3263="@对方",资金流水!$G34,IF($L3263="@账户",资金流水!$Q34,$L3263)))</f>
        <v>管理费用</v>
      </c>
      <c r="I3263" s="42" t="n">
        <f aca="false">IF($M3263="借",$O3263,0)</f>
        <v>1800</v>
      </c>
      <c r="J3263" s="42" t="n">
        <f aca="false">IF($M3263="贷",$O3263,0)</f>
        <v>0</v>
      </c>
      <c r="K3263" s="48" t="n">
        <f aca="false">IF($H3263="","",资金流水!$F34)</f>
        <v>0</v>
      </c>
      <c r="L3263" s="66" t="str">
        <f aca="false">IF(资金流水!$E34="","",IFERROR(INDEX(记账规则!$A$13:$H$32,MATCH(资金流水!$E34,记账规则!$A$13:$A$32,0),6),""))</f>
        <v>@对方</v>
      </c>
      <c r="M3263" s="66" t="str">
        <f aca="false">IF($L3263="","",IFERROR(INDEX(记账规则!$A$13:$H$32,MATCH(资金流水!$E34,记账规则!$A$13:$A$32,0),7),""))</f>
        <v>借</v>
      </c>
      <c r="N3263" s="66" t="str">
        <f aca="false">IF($L3263="","",IFERROR(INDEX(记账规则!$A$13:$H$32,MATCH(资金流水!$E34,记账规则!$A$13:$A$32,0),8),""))</f>
        <v>金额</v>
      </c>
      <c r="O3263" s="67" t="n">
        <f aca="false">IF($H3263="",0,ROUND(IF($N3263="金额",N(资金流水!$P34),0),2))</f>
        <v>1800</v>
      </c>
      <c r="P3263" s="64" t="str">
        <f aca="false">IF(AND($H3263&lt;&gt;"",ROUND($O3263,2)&lt;&gt;0),"有","")</f>
        <v>有</v>
      </c>
    </row>
    <row r="3264" customFormat="false" ht="15" hidden="false" customHeight="false" outlineLevel="0" collapsed="false">
      <c r="A3264" s="53" t="n">
        <f aca="false">IF($H3264="","",ROW()-5)</f>
        <v>3259</v>
      </c>
      <c r="B3264" s="64" t="s">
        <v>37</v>
      </c>
      <c r="C3264" s="53" t="n">
        <v>35</v>
      </c>
      <c r="D3264" s="53" t="n">
        <v>1</v>
      </c>
      <c r="E3264" s="65" t="n">
        <f aca="false">IF($H3264="","",资金流水!$B35)</f>
        <v>46315</v>
      </c>
      <c r="F3264" s="55" t="str">
        <f aca="false">IF($H3264="","",资金流水!$C35)</f>
        <v>木业</v>
      </c>
      <c r="G3264" s="48" t="str">
        <f aca="false">IF($H3264="","",资金流水!$K35)</f>
        <v>缴纳城建税及教育费附加</v>
      </c>
      <c r="H3264" s="10" t="str">
        <f aca="false">IF($L3264="","",IF($L3264="@对方",资金流水!$G35,IF($L3264="@账户",资金流水!$Q35,$L3264)))</f>
        <v>银行存款</v>
      </c>
      <c r="I3264" s="42" t="n">
        <f aca="false">IF($M3264="借",$O3264,0)</f>
        <v>0</v>
      </c>
      <c r="J3264" s="42" t="n">
        <f aca="false">IF($M3264="贷",$O3264,0)</f>
        <v>3360</v>
      </c>
      <c r="K3264" s="48" t="str">
        <f aca="false">IF($H3264="","",资金流水!$F35)</f>
        <v>税务局</v>
      </c>
      <c r="L3264" s="66" t="str">
        <f aca="false">IF(资金流水!$E35="","",IFERROR(INDEX(记账规则!$A$13:$H$32,MATCH(资金流水!$E35,记账规则!$A$13:$A$32,0),3),""))</f>
        <v>@账户</v>
      </c>
      <c r="M3264" s="66" t="str">
        <f aca="false">IF($L3264="","",IFERROR(INDEX(记账规则!$A$13:$H$32,MATCH(资金流水!$E35,记账规则!$A$13:$A$32,0),4),""))</f>
        <v>贷</v>
      </c>
      <c r="N3264" s="66" t="str">
        <f aca="false">IF($L3264="","",IFERROR(INDEX(记账规则!$A$13:$H$32,MATCH(资金流水!$E35,记账规则!$A$13:$A$32,0),5),""))</f>
        <v>金额</v>
      </c>
      <c r="O3264" s="67" t="n">
        <f aca="false">IF($H3264="",0,ROUND(IF($N3264="金额",N(资金流水!$P35),0),2))</f>
        <v>3360</v>
      </c>
      <c r="P3264" s="64" t="str">
        <f aca="false">IF(AND($H3264&lt;&gt;"",ROUND($O3264,2)&lt;&gt;0),"有","")</f>
        <v>有</v>
      </c>
    </row>
    <row r="3265" customFormat="false" ht="15" hidden="false" customHeight="false" outlineLevel="0" collapsed="false">
      <c r="A3265" s="53" t="n">
        <f aca="false">IF($H3265="","",ROW()-5)</f>
        <v>3260</v>
      </c>
      <c r="B3265" s="64" t="s">
        <v>37</v>
      </c>
      <c r="C3265" s="53" t="n">
        <v>35</v>
      </c>
      <c r="D3265" s="53" t="n">
        <v>2</v>
      </c>
      <c r="E3265" s="65" t="n">
        <f aca="false">IF($H3265="","",资金流水!$B35)</f>
        <v>46315</v>
      </c>
      <c r="F3265" s="55" t="str">
        <f aca="false">IF($H3265="","",资金流水!$C35)</f>
        <v>木业</v>
      </c>
      <c r="G3265" s="48" t="str">
        <f aca="false">IF($H3265="","",资金流水!$K35)</f>
        <v>缴纳城建税及教育费附加</v>
      </c>
      <c r="H3265" s="10" t="str">
        <f aca="false">IF($L3265="","",IF($L3265="@对方",资金流水!$G35,IF($L3265="@账户",资金流水!$Q35,$L3265)))</f>
        <v>税金及附加</v>
      </c>
      <c r="I3265" s="42" t="n">
        <f aca="false">IF($M3265="借",$O3265,0)</f>
        <v>3360</v>
      </c>
      <c r="J3265" s="42" t="n">
        <f aca="false">IF($M3265="贷",$O3265,0)</f>
        <v>0</v>
      </c>
      <c r="K3265" s="48" t="str">
        <f aca="false">IF($H3265="","",资金流水!$F35)</f>
        <v>税务局</v>
      </c>
      <c r="L3265" s="66" t="str">
        <f aca="false">IF(资金流水!$E35="","",IFERROR(INDEX(记账规则!$A$13:$H$32,MATCH(资金流水!$E35,记账规则!$A$13:$A$32,0),6),""))</f>
        <v>@对方</v>
      </c>
      <c r="M3265" s="66" t="str">
        <f aca="false">IF($L3265="","",IFERROR(INDEX(记账规则!$A$13:$H$32,MATCH(资金流水!$E35,记账规则!$A$13:$A$32,0),7),""))</f>
        <v>借</v>
      </c>
      <c r="N3265" s="66" t="str">
        <f aca="false">IF($L3265="","",IFERROR(INDEX(记账规则!$A$13:$H$32,MATCH(资金流水!$E35,记账规则!$A$13:$A$32,0),8),""))</f>
        <v>金额</v>
      </c>
      <c r="O3265" s="67" t="n">
        <f aca="false">IF($H3265="",0,ROUND(IF($N3265="金额",N(资金流水!$P35),0),2))</f>
        <v>3360</v>
      </c>
      <c r="P3265" s="64" t="str">
        <f aca="false">IF(AND($H3265&lt;&gt;"",ROUND($O3265,2)&lt;&gt;0),"有","")</f>
        <v>有</v>
      </c>
    </row>
    <row r="3266" customFormat="false" ht="15" hidden="false" customHeight="false" outlineLevel="0" collapsed="false">
      <c r="A3266" s="53" t="n">
        <f aca="false">IF($H3266="","",ROW()-5)</f>
        <v>3261</v>
      </c>
      <c r="B3266" s="64" t="s">
        <v>37</v>
      </c>
      <c r="C3266" s="53" t="n">
        <v>36</v>
      </c>
      <c r="D3266" s="53" t="n">
        <v>1</v>
      </c>
      <c r="E3266" s="65" t="n">
        <f aca="false">IF($H3266="","",资金流水!$B36)</f>
        <v>46315</v>
      </c>
      <c r="F3266" s="55" t="str">
        <f aca="false">IF($H3266="","",资金流水!$C36)</f>
        <v>科技</v>
      </c>
      <c r="G3266" s="48" t="str">
        <f aca="false">IF($H3266="","",资金流水!$K36)</f>
        <v>申报缴纳增值税</v>
      </c>
      <c r="H3266" s="10" t="str">
        <f aca="false">IF($L3266="","",IF($L3266="@对方",资金流水!$G36,IF($L3266="@账户",资金流水!$Q36,$L3266)))</f>
        <v>银行存款</v>
      </c>
      <c r="I3266" s="42" t="n">
        <f aca="false">IF($M3266="借",$O3266,0)</f>
        <v>0</v>
      </c>
      <c r="J3266" s="42" t="n">
        <f aca="false">IF($M3266="贷",$O3266,0)</f>
        <v>38000</v>
      </c>
      <c r="K3266" s="48" t="str">
        <f aca="false">IF($H3266="","",资金流水!$F36)</f>
        <v>税务局</v>
      </c>
      <c r="L3266" s="66" t="str">
        <f aca="false">IF(资金流水!$E36="","",IFERROR(INDEX(记账规则!$A$13:$H$32,MATCH(资金流水!$E36,记账规则!$A$13:$A$32,0),3),""))</f>
        <v>@账户</v>
      </c>
      <c r="M3266" s="66" t="str">
        <f aca="false">IF($L3266="","",IFERROR(INDEX(记账规则!$A$13:$H$32,MATCH(资金流水!$E36,记账规则!$A$13:$A$32,0),4),""))</f>
        <v>贷</v>
      </c>
      <c r="N3266" s="66" t="str">
        <f aca="false">IF($L3266="","",IFERROR(INDEX(记账规则!$A$13:$H$32,MATCH(资金流水!$E36,记账规则!$A$13:$A$32,0),5),""))</f>
        <v>金额</v>
      </c>
      <c r="O3266" s="67" t="n">
        <f aca="false">IF($H3266="",0,ROUND(IF($N3266="金额",N(资金流水!$P36),0),2))</f>
        <v>38000</v>
      </c>
      <c r="P3266" s="64" t="str">
        <f aca="false">IF(AND($H3266&lt;&gt;"",ROUND($O3266,2)&lt;&gt;0),"有","")</f>
        <v>有</v>
      </c>
    </row>
    <row r="3267" customFormat="false" ht="15" hidden="false" customHeight="false" outlineLevel="0" collapsed="false">
      <c r="A3267" s="53" t="n">
        <f aca="false">IF($H3267="","",ROW()-5)</f>
        <v>3262</v>
      </c>
      <c r="B3267" s="64" t="s">
        <v>37</v>
      </c>
      <c r="C3267" s="53" t="n">
        <v>36</v>
      </c>
      <c r="D3267" s="53" t="n">
        <v>2</v>
      </c>
      <c r="E3267" s="65" t="n">
        <f aca="false">IF($H3267="","",资金流水!$B36)</f>
        <v>46315</v>
      </c>
      <c r="F3267" s="55" t="str">
        <f aca="false">IF($H3267="","",资金流水!$C36)</f>
        <v>科技</v>
      </c>
      <c r="G3267" s="48" t="str">
        <f aca="false">IF($H3267="","",资金流水!$K36)</f>
        <v>申报缴纳增值税</v>
      </c>
      <c r="H3267" s="10" t="str">
        <f aca="false">IF($L3267="","",IF($L3267="@对方",资金流水!$G36,IF($L3267="@账户",资金流水!$Q36,$L3267)))</f>
        <v>税金及附加</v>
      </c>
      <c r="I3267" s="42" t="n">
        <f aca="false">IF($M3267="借",$O3267,0)</f>
        <v>38000</v>
      </c>
      <c r="J3267" s="42" t="n">
        <f aca="false">IF($M3267="贷",$O3267,0)</f>
        <v>0</v>
      </c>
      <c r="K3267" s="48" t="str">
        <f aca="false">IF($H3267="","",资金流水!$F36)</f>
        <v>税务局</v>
      </c>
      <c r="L3267" s="66" t="str">
        <f aca="false">IF(资金流水!$E36="","",IFERROR(INDEX(记账规则!$A$13:$H$32,MATCH(资金流水!$E36,记账规则!$A$13:$A$32,0),6),""))</f>
        <v>@对方</v>
      </c>
      <c r="M3267" s="66" t="str">
        <f aca="false">IF($L3267="","",IFERROR(INDEX(记账规则!$A$13:$H$32,MATCH(资金流水!$E36,记账规则!$A$13:$A$32,0),7),""))</f>
        <v>借</v>
      </c>
      <c r="N3267" s="66" t="str">
        <f aca="false">IF($L3267="","",IFERROR(INDEX(记账规则!$A$13:$H$32,MATCH(资金流水!$E36,记账规则!$A$13:$A$32,0),8),""))</f>
        <v>金额</v>
      </c>
      <c r="O3267" s="67" t="n">
        <f aca="false">IF($H3267="",0,ROUND(IF($N3267="金额",N(资金流水!$P36),0),2))</f>
        <v>38000</v>
      </c>
      <c r="P3267" s="64" t="str">
        <f aca="false">IF(AND($H3267&lt;&gt;"",ROUND($O3267,2)&lt;&gt;0),"有","")</f>
        <v>有</v>
      </c>
    </row>
    <row r="3268" customFormat="false" ht="15" hidden="false" customHeight="false" outlineLevel="0" collapsed="false">
      <c r="A3268" s="53" t="n">
        <f aca="false">IF($H3268="","",ROW()-5)</f>
        <v>3263</v>
      </c>
      <c r="B3268" s="64" t="s">
        <v>37</v>
      </c>
      <c r="C3268" s="53" t="n">
        <v>37</v>
      </c>
      <c r="D3268" s="53" t="n">
        <v>1</v>
      </c>
      <c r="E3268" s="65" t="n">
        <f aca="false">IF($H3268="","",资金流水!$B37)</f>
        <v>46346</v>
      </c>
      <c r="F3268" s="55" t="str">
        <f aca="false">IF($H3268="","",资金流水!$C37)</f>
        <v>科技</v>
      </c>
      <c r="G3268" s="48" t="str">
        <f aca="false">IF($H3268="","",资金流水!$K37)</f>
        <v>缴纳城建税及教育费附加</v>
      </c>
      <c r="H3268" s="10" t="str">
        <f aca="false">IF($L3268="","",IF($L3268="@对方",资金流水!$G37,IF($L3268="@账户",资金流水!$Q37,$L3268)))</f>
        <v>银行存款</v>
      </c>
      <c r="I3268" s="42" t="n">
        <f aca="false">IF($M3268="借",$O3268,0)</f>
        <v>0</v>
      </c>
      <c r="J3268" s="42" t="n">
        <f aca="false">IF($M3268="贷",$O3268,0)</f>
        <v>4560</v>
      </c>
      <c r="K3268" s="48" t="str">
        <f aca="false">IF($H3268="","",资金流水!$F37)</f>
        <v>税务局</v>
      </c>
      <c r="L3268" s="66" t="str">
        <f aca="false">IF(资金流水!$E37="","",IFERROR(INDEX(记账规则!$A$13:$H$32,MATCH(资金流水!$E37,记账规则!$A$13:$A$32,0),3),""))</f>
        <v>@账户</v>
      </c>
      <c r="M3268" s="66" t="str">
        <f aca="false">IF($L3268="","",IFERROR(INDEX(记账规则!$A$13:$H$32,MATCH(资金流水!$E37,记账规则!$A$13:$A$32,0),4),""))</f>
        <v>贷</v>
      </c>
      <c r="N3268" s="66" t="str">
        <f aca="false">IF($L3268="","",IFERROR(INDEX(记账规则!$A$13:$H$32,MATCH(资金流水!$E37,记账规则!$A$13:$A$32,0),5),""))</f>
        <v>金额</v>
      </c>
      <c r="O3268" s="67" t="n">
        <f aca="false">IF($H3268="",0,ROUND(IF($N3268="金额",N(资金流水!$P37),0),2))</f>
        <v>4560</v>
      </c>
      <c r="P3268" s="64" t="str">
        <f aca="false">IF(AND($H3268&lt;&gt;"",ROUND($O3268,2)&lt;&gt;0),"有","")</f>
        <v>有</v>
      </c>
    </row>
    <row r="3269" customFormat="false" ht="15" hidden="false" customHeight="false" outlineLevel="0" collapsed="false">
      <c r="A3269" s="53" t="n">
        <f aca="false">IF($H3269="","",ROW()-5)</f>
        <v>3264</v>
      </c>
      <c r="B3269" s="64" t="s">
        <v>37</v>
      </c>
      <c r="C3269" s="53" t="n">
        <v>37</v>
      </c>
      <c r="D3269" s="53" t="n">
        <v>2</v>
      </c>
      <c r="E3269" s="65" t="n">
        <f aca="false">IF($H3269="","",资金流水!$B37)</f>
        <v>46346</v>
      </c>
      <c r="F3269" s="55" t="str">
        <f aca="false">IF($H3269="","",资金流水!$C37)</f>
        <v>科技</v>
      </c>
      <c r="G3269" s="48" t="str">
        <f aca="false">IF($H3269="","",资金流水!$K37)</f>
        <v>缴纳城建税及教育费附加</v>
      </c>
      <c r="H3269" s="10" t="str">
        <f aca="false">IF($L3269="","",IF($L3269="@对方",资金流水!$G37,IF($L3269="@账户",资金流水!$Q37,$L3269)))</f>
        <v>税金及附加</v>
      </c>
      <c r="I3269" s="42" t="n">
        <f aca="false">IF($M3269="借",$O3269,0)</f>
        <v>4560</v>
      </c>
      <c r="J3269" s="42" t="n">
        <f aca="false">IF($M3269="贷",$O3269,0)</f>
        <v>0</v>
      </c>
      <c r="K3269" s="48" t="str">
        <f aca="false">IF($H3269="","",资金流水!$F37)</f>
        <v>税务局</v>
      </c>
      <c r="L3269" s="66" t="str">
        <f aca="false">IF(资金流水!$E37="","",IFERROR(INDEX(记账规则!$A$13:$H$32,MATCH(资金流水!$E37,记账规则!$A$13:$A$32,0),6),""))</f>
        <v>@对方</v>
      </c>
      <c r="M3269" s="66" t="str">
        <f aca="false">IF($L3269="","",IFERROR(INDEX(记账规则!$A$13:$H$32,MATCH(资金流水!$E37,记账规则!$A$13:$A$32,0),7),""))</f>
        <v>借</v>
      </c>
      <c r="N3269" s="66" t="str">
        <f aca="false">IF($L3269="","",IFERROR(INDEX(记账规则!$A$13:$H$32,MATCH(资金流水!$E37,记账规则!$A$13:$A$32,0),8),""))</f>
        <v>金额</v>
      </c>
      <c r="O3269" s="67" t="n">
        <f aca="false">IF($H3269="",0,ROUND(IF($N3269="金额",N(资金流水!$P37),0),2))</f>
        <v>4560</v>
      </c>
      <c r="P3269" s="64" t="str">
        <f aca="false">IF(AND($H3269&lt;&gt;"",ROUND($O3269,2)&lt;&gt;0),"有","")</f>
        <v>有</v>
      </c>
    </row>
    <row r="3270" customFormat="false" ht="15" hidden="false" customHeight="false" outlineLevel="0" collapsed="false">
      <c r="A3270" s="53" t="n">
        <f aca="false">IF($H3270="","",ROW()-5)</f>
        <v>3265</v>
      </c>
      <c r="B3270" s="64" t="s">
        <v>37</v>
      </c>
      <c r="C3270" s="53" t="n">
        <v>38</v>
      </c>
      <c r="D3270" s="53" t="n">
        <v>1</v>
      </c>
      <c r="E3270" s="65" t="n">
        <f aca="false">IF($H3270="","",资金流水!$B38)</f>
        <v>46376</v>
      </c>
      <c r="F3270" s="55" t="str">
        <f aca="false">IF($H3270="","",资金流水!$C38)</f>
        <v>木业</v>
      </c>
      <c r="G3270" s="48" t="str">
        <f aca="false">IF($H3270="","",资金流水!$K38)</f>
        <v>预缴企业所得税</v>
      </c>
      <c r="H3270" s="10" t="str">
        <f aca="false">IF($L3270="","",IF($L3270="@对方",资金流水!$G38,IF($L3270="@账户",资金流水!$Q38,$L3270)))</f>
        <v>银行存款</v>
      </c>
      <c r="I3270" s="42" t="n">
        <f aca="false">IF($M3270="借",$O3270,0)</f>
        <v>0</v>
      </c>
      <c r="J3270" s="42" t="n">
        <f aca="false">IF($M3270="贷",$O3270,0)</f>
        <v>6000</v>
      </c>
      <c r="K3270" s="48" t="str">
        <f aca="false">IF($H3270="","",资金流水!$F38)</f>
        <v>税务局</v>
      </c>
      <c r="L3270" s="66" t="str">
        <f aca="false">IF(资金流水!$E38="","",IFERROR(INDEX(记账规则!$A$13:$H$32,MATCH(资金流水!$E38,记账规则!$A$13:$A$32,0),3),""))</f>
        <v>@账户</v>
      </c>
      <c r="M3270" s="66" t="str">
        <f aca="false">IF($L3270="","",IFERROR(INDEX(记账规则!$A$13:$H$32,MATCH(资金流水!$E38,记账规则!$A$13:$A$32,0),4),""))</f>
        <v>贷</v>
      </c>
      <c r="N3270" s="66" t="str">
        <f aca="false">IF($L3270="","",IFERROR(INDEX(记账规则!$A$13:$H$32,MATCH(资金流水!$E38,记账规则!$A$13:$A$32,0),5),""))</f>
        <v>金额</v>
      </c>
      <c r="O3270" s="67" t="n">
        <f aca="false">IF($H3270="",0,ROUND(IF($N3270="金额",N(资金流水!$P38),0),2))</f>
        <v>6000</v>
      </c>
      <c r="P3270" s="64" t="str">
        <f aca="false">IF(AND($H3270&lt;&gt;"",ROUND($O3270,2)&lt;&gt;0),"有","")</f>
        <v>有</v>
      </c>
    </row>
    <row r="3271" customFormat="false" ht="15" hidden="false" customHeight="false" outlineLevel="0" collapsed="false">
      <c r="A3271" s="53" t="n">
        <f aca="false">IF($H3271="","",ROW()-5)</f>
        <v>3266</v>
      </c>
      <c r="B3271" s="64" t="s">
        <v>37</v>
      </c>
      <c r="C3271" s="53" t="n">
        <v>38</v>
      </c>
      <c r="D3271" s="53" t="n">
        <v>2</v>
      </c>
      <c r="E3271" s="65" t="n">
        <f aca="false">IF($H3271="","",资金流水!$B38)</f>
        <v>46376</v>
      </c>
      <c r="F3271" s="55" t="str">
        <f aca="false">IF($H3271="","",资金流水!$C38)</f>
        <v>木业</v>
      </c>
      <c r="G3271" s="48" t="str">
        <f aca="false">IF($H3271="","",资金流水!$K38)</f>
        <v>预缴企业所得税</v>
      </c>
      <c r="H3271" s="10" t="str">
        <f aca="false">IF($L3271="","",IF($L3271="@对方",资金流水!$G38,IF($L3271="@账户",资金流水!$Q38,$L3271)))</f>
        <v>所得税费用</v>
      </c>
      <c r="I3271" s="42" t="n">
        <f aca="false">IF($M3271="借",$O3271,0)</f>
        <v>6000</v>
      </c>
      <c r="J3271" s="42" t="n">
        <f aca="false">IF($M3271="贷",$O3271,0)</f>
        <v>0</v>
      </c>
      <c r="K3271" s="48" t="str">
        <f aca="false">IF($H3271="","",资金流水!$F38)</f>
        <v>税务局</v>
      </c>
      <c r="L3271" s="66" t="str">
        <f aca="false">IF(资金流水!$E38="","",IFERROR(INDEX(记账规则!$A$13:$H$32,MATCH(资金流水!$E38,记账规则!$A$13:$A$32,0),6),""))</f>
        <v>@对方</v>
      </c>
      <c r="M3271" s="66" t="str">
        <f aca="false">IF($L3271="","",IFERROR(INDEX(记账规则!$A$13:$H$32,MATCH(资金流水!$E38,记账规则!$A$13:$A$32,0),7),""))</f>
        <v>借</v>
      </c>
      <c r="N3271" s="66" t="str">
        <f aca="false">IF($L3271="","",IFERROR(INDEX(记账规则!$A$13:$H$32,MATCH(资金流水!$E38,记账规则!$A$13:$A$32,0),8),""))</f>
        <v>金额</v>
      </c>
      <c r="O3271" s="67" t="n">
        <f aca="false">IF($H3271="",0,ROUND(IF($N3271="金额",N(资金流水!$P38),0),2))</f>
        <v>6000</v>
      </c>
      <c r="P3271" s="64" t="str">
        <f aca="false">IF(AND($H3271&lt;&gt;"",ROUND($O3271,2)&lt;&gt;0),"有","")</f>
        <v>有</v>
      </c>
    </row>
    <row r="3272" customFormat="false" ht="15" hidden="false" customHeight="false" outlineLevel="0" collapsed="false">
      <c r="A3272" s="53" t="n">
        <f aca="false">IF($H3272="","",ROW()-5)</f>
        <v>3267</v>
      </c>
      <c r="B3272" s="64" t="s">
        <v>37</v>
      </c>
      <c r="C3272" s="53" t="n">
        <v>39</v>
      </c>
      <c r="D3272" s="53" t="n">
        <v>1</v>
      </c>
      <c r="E3272" s="65" t="n">
        <f aca="false">IF($H3272="","",资金流水!$B39)</f>
        <v>46376</v>
      </c>
      <c r="F3272" s="55" t="str">
        <f aca="false">IF($H3272="","",资金流水!$C39)</f>
        <v>科技</v>
      </c>
      <c r="G3272" s="48" t="str">
        <f aca="false">IF($H3272="","",资金流水!$K39)</f>
        <v>预缴企业所得税</v>
      </c>
      <c r="H3272" s="10" t="str">
        <f aca="false">IF($L3272="","",IF($L3272="@对方",资金流水!$G39,IF($L3272="@账户",资金流水!$Q39,$L3272)))</f>
        <v>银行存款</v>
      </c>
      <c r="I3272" s="42" t="n">
        <f aca="false">IF($M3272="借",$O3272,0)</f>
        <v>0</v>
      </c>
      <c r="J3272" s="42" t="n">
        <f aca="false">IF($M3272="贷",$O3272,0)</f>
        <v>12000</v>
      </c>
      <c r="K3272" s="48" t="str">
        <f aca="false">IF($H3272="","",资金流水!$F39)</f>
        <v>税务局</v>
      </c>
      <c r="L3272" s="66" t="str">
        <f aca="false">IF(资金流水!$E39="","",IFERROR(INDEX(记账规则!$A$13:$H$32,MATCH(资金流水!$E39,记账规则!$A$13:$A$32,0),3),""))</f>
        <v>@账户</v>
      </c>
      <c r="M3272" s="66" t="str">
        <f aca="false">IF($L3272="","",IFERROR(INDEX(记账规则!$A$13:$H$32,MATCH(资金流水!$E39,记账规则!$A$13:$A$32,0),4),""))</f>
        <v>贷</v>
      </c>
      <c r="N3272" s="66" t="str">
        <f aca="false">IF($L3272="","",IFERROR(INDEX(记账规则!$A$13:$H$32,MATCH(资金流水!$E39,记账规则!$A$13:$A$32,0),5),""))</f>
        <v>金额</v>
      </c>
      <c r="O3272" s="67" t="n">
        <f aca="false">IF($H3272="",0,ROUND(IF($N3272="金额",N(资金流水!$P39),0),2))</f>
        <v>12000</v>
      </c>
      <c r="P3272" s="64" t="str">
        <f aca="false">IF(AND($H3272&lt;&gt;"",ROUND($O3272,2)&lt;&gt;0),"有","")</f>
        <v>有</v>
      </c>
    </row>
    <row r="3273" customFormat="false" ht="15" hidden="false" customHeight="false" outlineLevel="0" collapsed="false">
      <c r="A3273" s="53" t="n">
        <f aca="false">IF($H3273="","",ROW()-5)</f>
        <v>3268</v>
      </c>
      <c r="B3273" s="64" t="s">
        <v>37</v>
      </c>
      <c r="C3273" s="53" t="n">
        <v>39</v>
      </c>
      <c r="D3273" s="53" t="n">
        <v>2</v>
      </c>
      <c r="E3273" s="65" t="n">
        <f aca="false">IF($H3273="","",资金流水!$B39)</f>
        <v>46376</v>
      </c>
      <c r="F3273" s="55" t="str">
        <f aca="false">IF($H3273="","",资金流水!$C39)</f>
        <v>科技</v>
      </c>
      <c r="G3273" s="48" t="str">
        <f aca="false">IF($H3273="","",资金流水!$K39)</f>
        <v>预缴企业所得税</v>
      </c>
      <c r="H3273" s="10" t="str">
        <f aca="false">IF($L3273="","",IF($L3273="@对方",资金流水!$G39,IF($L3273="@账户",资金流水!$Q39,$L3273)))</f>
        <v>所得税费用</v>
      </c>
      <c r="I3273" s="42" t="n">
        <f aca="false">IF($M3273="借",$O3273,0)</f>
        <v>12000</v>
      </c>
      <c r="J3273" s="42" t="n">
        <f aca="false">IF($M3273="贷",$O3273,0)</f>
        <v>0</v>
      </c>
      <c r="K3273" s="48" t="str">
        <f aca="false">IF($H3273="","",资金流水!$F39)</f>
        <v>税务局</v>
      </c>
      <c r="L3273" s="66" t="str">
        <f aca="false">IF(资金流水!$E39="","",IFERROR(INDEX(记账规则!$A$13:$H$32,MATCH(资金流水!$E39,记账规则!$A$13:$A$32,0),6),""))</f>
        <v>@对方</v>
      </c>
      <c r="M3273" s="66" t="str">
        <f aca="false">IF($L3273="","",IFERROR(INDEX(记账规则!$A$13:$H$32,MATCH(资金流水!$E39,记账规则!$A$13:$A$32,0),7),""))</f>
        <v>借</v>
      </c>
      <c r="N3273" s="66" t="str">
        <f aca="false">IF($L3273="","",IFERROR(INDEX(记账规则!$A$13:$H$32,MATCH(资金流水!$E39,记账规则!$A$13:$A$32,0),8),""))</f>
        <v>金额</v>
      </c>
      <c r="O3273" s="67" t="n">
        <f aca="false">IF($H3273="",0,ROUND(IF($N3273="金额",N(资金流水!$P39),0),2))</f>
        <v>12000</v>
      </c>
      <c r="P3273" s="64" t="str">
        <f aca="false">IF(AND($H3273&lt;&gt;"",ROUND($O3273,2)&lt;&gt;0),"有","")</f>
        <v>有</v>
      </c>
    </row>
    <row r="3274" customFormat="false" ht="15" hidden="true" customHeight="false" outlineLevel="0" collapsed="false">
      <c r="A3274" s="53" t="str">
        <f aca="false">IF($H3274="","",ROW()-5)</f>
        <v/>
      </c>
      <c r="B3274" s="64" t="s">
        <v>37</v>
      </c>
      <c r="C3274" s="53" t="n">
        <v>40</v>
      </c>
      <c r="D3274" s="53" t="n">
        <v>1</v>
      </c>
      <c r="E3274" s="65" t="str">
        <f aca="false">IF($H3274="","",资金流水!$B40)</f>
        <v/>
      </c>
      <c r="F3274" s="55" t="str">
        <f aca="false">IF($H3274="","",资金流水!$C40)</f>
        <v/>
      </c>
      <c r="G3274" s="48" t="str">
        <f aca="false">IF($H3274="","",资金流水!$K40)</f>
        <v/>
      </c>
      <c r="H3274" s="10" t="str">
        <f aca="false">IF($L3274="","",IF($L3274="@对方",资金流水!$G40,IF($L3274="@账户",资金流水!$Q40,$L3274)))</f>
        <v/>
      </c>
      <c r="I3274" s="42" t="n">
        <f aca="false">IF($M3274="借",$O3274,0)</f>
        <v>0</v>
      </c>
      <c r="J3274" s="42" t="n">
        <f aca="false">IF($M3274="贷",$O3274,0)</f>
        <v>0</v>
      </c>
      <c r="K3274" s="48" t="str">
        <f aca="false">IF($H3274="","",资金流水!$F40)</f>
        <v/>
      </c>
      <c r="L3274" s="66" t="str">
        <f aca="false">IF(资金流水!$E40="","",IFERROR(INDEX(记账规则!$A$13:$H$32,MATCH(资金流水!$E40,记账规则!$A$13:$A$32,0),3),""))</f>
        <v/>
      </c>
      <c r="M3274" s="66" t="str">
        <f aca="false">IF($L3274="","",IFERROR(INDEX(记账规则!$A$13:$H$32,MATCH(资金流水!$E40,记账规则!$A$13:$A$32,0),4),""))</f>
        <v/>
      </c>
      <c r="N3274" s="66" t="str">
        <f aca="false">IF($L3274="","",IFERROR(INDEX(记账规则!$A$13:$H$32,MATCH(资金流水!$E40,记账规则!$A$13:$A$32,0),5),""))</f>
        <v/>
      </c>
      <c r="O3274" s="67" t="n">
        <f aca="false">IF($H3274="",0,ROUND(IF($N3274="金额",N(资金流水!$P40),0),2))</f>
        <v>0</v>
      </c>
      <c r="P3274" s="64" t="str">
        <f aca="false">IF(AND($H3274&lt;&gt;"",ROUND($O3274,2)&lt;&gt;0),"有","")</f>
        <v/>
      </c>
    </row>
    <row r="3275" customFormat="false" ht="15" hidden="true" customHeight="false" outlineLevel="0" collapsed="false">
      <c r="A3275" s="53" t="str">
        <f aca="false">IF($H3275="","",ROW()-5)</f>
        <v/>
      </c>
      <c r="B3275" s="64" t="s">
        <v>37</v>
      </c>
      <c r="C3275" s="53" t="n">
        <v>40</v>
      </c>
      <c r="D3275" s="53" t="n">
        <v>2</v>
      </c>
      <c r="E3275" s="65" t="str">
        <f aca="false">IF($H3275="","",资金流水!$B40)</f>
        <v/>
      </c>
      <c r="F3275" s="55" t="str">
        <f aca="false">IF($H3275="","",资金流水!$C40)</f>
        <v/>
      </c>
      <c r="G3275" s="48" t="str">
        <f aca="false">IF($H3275="","",资金流水!$K40)</f>
        <v/>
      </c>
      <c r="H3275" s="10" t="str">
        <f aca="false">IF($L3275="","",IF($L3275="@对方",资金流水!$G40,IF($L3275="@账户",资金流水!$Q40,$L3275)))</f>
        <v/>
      </c>
      <c r="I3275" s="42" t="n">
        <f aca="false">IF($M3275="借",$O3275,0)</f>
        <v>0</v>
      </c>
      <c r="J3275" s="42" t="n">
        <f aca="false">IF($M3275="贷",$O3275,0)</f>
        <v>0</v>
      </c>
      <c r="K3275" s="48" t="str">
        <f aca="false">IF($H3275="","",资金流水!$F40)</f>
        <v/>
      </c>
      <c r="L3275" s="66" t="str">
        <f aca="false">IF(资金流水!$E40="","",IFERROR(INDEX(记账规则!$A$13:$H$32,MATCH(资金流水!$E40,记账规则!$A$13:$A$32,0),6),""))</f>
        <v/>
      </c>
      <c r="M3275" s="66" t="str">
        <f aca="false">IF($L3275="","",IFERROR(INDEX(记账规则!$A$13:$H$32,MATCH(资金流水!$E40,记账规则!$A$13:$A$32,0),7),""))</f>
        <v/>
      </c>
      <c r="N3275" s="66" t="str">
        <f aca="false">IF($L3275="","",IFERROR(INDEX(记账规则!$A$13:$H$32,MATCH(资金流水!$E40,记账规则!$A$13:$A$32,0),8),""))</f>
        <v/>
      </c>
      <c r="O3275" s="67" t="n">
        <f aca="false">IF($H3275="",0,ROUND(IF($N3275="金额",N(资金流水!$P40),0),2))</f>
        <v>0</v>
      </c>
      <c r="P3275" s="64" t="str">
        <f aca="false">IF(AND($H3275&lt;&gt;"",ROUND($O3275,2)&lt;&gt;0),"有","")</f>
        <v/>
      </c>
    </row>
    <row r="3276" customFormat="false" ht="15" hidden="true" customHeight="false" outlineLevel="0" collapsed="false">
      <c r="A3276" s="53" t="str">
        <f aca="false">IF($H3276="","",ROW()-5)</f>
        <v/>
      </c>
      <c r="B3276" s="64" t="s">
        <v>37</v>
      </c>
      <c r="C3276" s="53" t="n">
        <v>41</v>
      </c>
      <c r="D3276" s="53" t="n">
        <v>1</v>
      </c>
      <c r="E3276" s="65" t="str">
        <f aca="false">IF($H3276="","",资金流水!$B41)</f>
        <v/>
      </c>
      <c r="F3276" s="55" t="str">
        <f aca="false">IF($H3276="","",资金流水!$C41)</f>
        <v/>
      </c>
      <c r="G3276" s="48" t="str">
        <f aca="false">IF($H3276="","",资金流水!$K41)</f>
        <v/>
      </c>
      <c r="H3276" s="10" t="str">
        <f aca="false">IF($L3276="","",IF($L3276="@对方",资金流水!$G41,IF($L3276="@账户",资金流水!$Q41,$L3276)))</f>
        <v/>
      </c>
      <c r="I3276" s="42" t="n">
        <f aca="false">IF($M3276="借",$O3276,0)</f>
        <v>0</v>
      </c>
      <c r="J3276" s="42" t="n">
        <f aca="false">IF($M3276="贷",$O3276,0)</f>
        <v>0</v>
      </c>
      <c r="K3276" s="48" t="str">
        <f aca="false">IF($H3276="","",资金流水!$F41)</f>
        <v/>
      </c>
      <c r="L3276" s="66" t="str">
        <f aca="false">IF(资金流水!$E41="","",IFERROR(INDEX(记账规则!$A$13:$H$32,MATCH(资金流水!$E41,记账规则!$A$13:$A$32,0),3),""))</f>
        <v/>
      </c>
      <c r="M3276" s="66" t="str">
        <f aca="false">IF($L3276="","",IFERROR(INDEX(记账规则!$A$13:$H$32,MATCH(资金流水!$E41,记账规则!$A$13:$A$32,0),4),""))</f>
        <v/>
      </c>
      <c r="N3276" s="66" t="str">
        <f aca="false">IF($L3276="","",IFERROR(INDEX(记账规则!$A$13:$H$32,MATCH(资金流水!$E41,记账规则!$A$13:$A$32,0),5),""))</f>
        <v/>
      </c>
      <c r="O3276" s="67" t="n">
        <f aca="false">IF($H3276="",0,ROUND(IF($N3276="金额",N(资金流水!$P41),0),2))</f>
        <v>0</v>
      </c>
      <c r="P3276" s="64" t="str">
        <f aca="false">IF(AND($H3276&lt;&gt;"",ROUND($O3276,2)&lt;&gt;0),"有","")</f>
        <v/>
      </c>
    </row>
    <row r="3277" customFormat="false" ht="15" hidden="true" customHeight="false" outlineLevel="0" collapsed="false">
      <c r="A3277" s="53" t="str">
        <f aca="false">IF($H3277="","",ROW()-5)</f>
        <v/>
      </c>
      <c r="B3277" s="64" t="s">
        <v>37</v>
      </c>
      <c r="C3277" s="53" t="n">
        <v>41</v>
      </c>
      <c r="D3277" s="53" t="n">
        <v>2</v>
      </c>
      <c r="E3277" s="65" t="str">
        <f aca="false">IF($H3277="","",资金流水!$B41)</f>
        <v/>
      </c>
      <c r="F3277" s="55" t="str">
        <f aca="false">IF($H3277="","",资金流水!$C41)</f>
        <v/>
      </c>
      <c r="G3277" s="48" t="str">
        <f aca="false">IF($H3277="","",资金流水!$K41)</f>
        <v/>
      </c>
      <c r="H3277" s="10" t="str">
        <f aca="false">IF($L3277="","",IF($L3277="@对方",资金流水!$G41,IF($L3277="@账户",资金流水!$Q41,$L3277)))</f>
        <v/>
      </c>
      <c r="I3277" s="42" t="n">
        <f aca="false">IF($M3277="借",$O3277,0)</f>
        <v>0</v>
      </c>
      <c r="J3277" s="42" t="n">
        <f aca="false">IF($M3277="贷",$O3277,0)</f>
        <v>0</v>
      </c>
      <c r="K3277" s="48" t="str">
        <f aca="false">IF($H3277="","",资金流水!$F41)</f>
        <v/>
      </c>
      <c r="L3277" s="66" t="str">
        <f aca="false">IF(资金流水!$E41="","",IFERROR(INDEX(记账规则!$A$13:$H$32,MATCH(资金流水!$E41,记账规则!$A$13:$A$32,0),6),""))</f>
        <v/>
      </c>
      <c r="M3277" s="66" t="str">
        <f aca="false">IF($L3277="","",IFERROR(INDEX(记账规则!$A$13:$H$32,MATCH(资金流水!$E41,记账规则!$A$13:$A$32,0),7),""))</f>
        <v/>
      </c>
      <c r="N3277" s="66" t="str">
        <f aca="false">IF($L3277="","",IFERROR(INDEX(记账规则!$A$13:$H$32,MATCH(资金流水!$E41,记账规则!$A$13:$A$32,0),8),""))</f>
        <v/>
      </c>
      <c r="O3277" s="67" t="n">
        <f aca="false">IF($H3277="",0,ROUND(IF($N3277="金额",N(资金流水!$P41),0),2))</f>
        <v>0</v>
      </c>
      <c r="P3277" s="64" t="str">
        <f aca="false">IF(AND($H3277&lt;&gt;"",ROUND($O3277,2)&lt;&gt;0),"有","")</f>
        <v/>
      </c>
    </row>
    <row r="3278" customFormat="false" ht="15" hidden="true" customHeight="false" outlineLevel="0" collapsed="false">
      <c r="A3278" s="53" t="str">
        <f aca="false">IF($H3278="","",ROW()-5)</f>
        <v/>
      </c>
      <c r="B3278" s="64" t="s">
        <v>37</v>
      </c>
      <c r="C3278" s="53" t="n">
        <v>42</v>
      </c>
      <c r="D3278" s="53" t="n">
        <v>1</v>
      </c>
      <c r="E3278" s="65" t="str">
        <f aca="false">IF($H3278="","",资金流水!$B42)</f>
        <v/>
      </c>
      <c r="F3278" s="55" t="str">
        <f aca="false">IF($H3278="","",资金流水!$C42)</f>
        <v/>
      </c>
      <c r="G3278" s="48" t="str">
        <f aca="false">IF($H3278="","",资金流水!$K42)</f>
        <v/>
      </c>
      <c r="H3278" s="10" t="str">
        <f aca="false">IF($L3278="","",IF($L3278="@对方",资金流水!$G42,IF($L3278="@账户",资金流水!$Q42,$L3278)))</f>
        <v/>
      </c>
      <c r="I3278" s="42" t="n">
        <f aca="false">IF($M3278="借",$O3278,0)</f>
        <v>0</v>
      </c>
      <c r="J3278" s="42" t="n">
        <f aca="false">IF($M3278="贷",$O3278,0)</f>
        <v>0</v>
      </c>
      <c r="K3278" s="48" t="str">
        <f aca="false">IF($H3278="","",资金流水!$F42)</f>
        <v/>
      </c>
      <c r="L3278" s="66" t="str">
        <f aca="false">IF(资金流水!$E42="","",IFERROR(INDEX(记账规则!$A$13:$H$32,MATCH(资金流水!$E42,记账规则!$A$13:$A$32,0),3),""))</f>
        <v/>
      </c>
      <c r="M3278" s="66" t="str">
        <f aca="false">IF($L3278="","",IFERROR(INDEX(记账规则!$A$13:$H$32,MATCH(资金流水!$E42,记账规则!$A$13:$A$32,0),4),""))</f>
        <v/>
      </c>
      <c r="N3278" s="66" t="str">
        <f aca="false">IF($L3278="","",IFERROR(INDEX(记账规则!$A$13:$H$32,MATCH(资金流水!$E42,记账规则!$A$13:$A$32,0),5),""))</f>
        <v/>
      </c>
      <c r="O3278" s="67" t="n">
        <f aca="false">IF($H3278="",0,ROUND(IF($N3278="金额",N(资金流水!$P42),0),2))</f>
        <v>0</v>
      </c>
      <c r="P3278" s="64" t="str">
        <f aca="false">IF(AND($H3278&lt;&gt;"",ROUND($O3278,2)&lt;&gt;0),"有","")</f>
        <v/>
      </c>
    </row>
    <row r="3279" customFormat="false" ht="15" hidden="true" customHeight="false" outlineLevel="0" collapsed="false">
      <c r="A3279" s="53" t="str">
        <f aca="false">IF($H3279="","",ROW()-5)</f>
        <v/>
      </c>
      <c r="B3279" s="64" t="s">
        <v>37</v>
      </c>
      <c r="C3279" s="53" t="n">
        <v>42</v>
      </c>
      <c r="D3279" s="53" t="n">
        <v>2</v>
      </c>
      <c r="E3279" s="65" t="str">
        <f aca="false">IF($H3279="","",资金流水!$B42)</f>
        <v/>
      </c>
      <c r="F3279" s="55" t="str">
        <f aca="false">IF($H3279="","",资金流水!$C42)</f>
        <v/>
      </c>
      <c r="G3279" s="48" t="str">
        <f aca="false">IF($H3279="","",资金流水!$K42)</f>
        <v/>
      </c>
      <c r="H3279" s="10" t="str">
        <f aca="false">IF($L3279="","",IF($L3279="@对方",资金流水!$G42,IF($L3279="@账户",资金流水!$Q42,$L3279)))</f>
        <v/>
      </c>
      <c r="I3279" s="42" t="n">
        <f aca="false">IF($M3279="借",$O3279,0)</f>
        <v>0</v>
      </c>
      <c r="J3279" s="42" t="n">
        <f aca="false">IF($M3279="贷",$O3279,0)</f>
        <v>0</v>
      </c>
      <c r="K3279" s="48" t="str">
        <f aca="false">IF($H3279="","",资金流水!$F42)</f>
        <v/>
      </c>
      <c r="L3279" s="66" t="str">
        <f aca="false">IF(资金流水!$E42="","",IFERROR(INDEX(记账规则!$A$13:$H$32,MATCH(资金流水!$E42,记账规则!$A$13:$A$32,0),6),""))</f>
        <v/>
      </c>
      <c r="M3279" s="66" t="str">
        <f aca="false">IF($L3279="","",IFERROR(INDEX(记账规则!$A$13:$H$32,MATCH(资金流水!$E42,记账规则!$A$13:$A$32,0),7),""))</f>
        <v/>
      </c>
      <c r="N3279" s="66" t="str">
        <f aca="false">IF($L3279="","",IFERROR(INDEX(记账规则!$A$13:$H$32,MATCH(资金流水!$E42,记账规则!$A$13:$A$32,0),8),""))</f>
        <v/>
      </c>
      <c r="O3279" s="67" t="n">
        <f aca="false">IF($H3279="",0,ROUND(IF($N3279="金额",N(资金流水!$P42),0),2))</f>
        <v>0</v>
      </c>
      <c r="P3279" s="64" t="str">
        <f aca="false">IF(AND($H3279&lt;&gt;"",ROUND($O3279,2)&lt;&gt;0),"有","")</f>
        <v/>
      </c>
    </row>
    <row r="3280" customFormat="false" ht="15" hidden="true" customHeight="false" outlineLevel="0" collapsed="false">
      <c r="A3280" s="53" t="str">
        <f aca="false">IF($H3280="","",ROW()-5)</f>
        <v/>
      </c>
      <c r="B3280" s="64" t="s">
        <v>37</v>
      </c>
      <c r="C3280" s="53" t="n">
        <v>43</v>
      </c>
      <c r="D3280" s="53" t="n">
        <v>1</v>
      </c>
      <c r="E3280" s="65" t="str">
        <f aca="false">IF($H3280="","",资金流水!$B43)</f>
        <v/>
      </c>
      <c r="F3280" s="55" t="str">
        <f aca="false">IF($H3280="","",资金流水!$C43)</f>
        <v/>
      </c>
      <c r="G3280" s="48" t="str">
        <f aca="false">IF($H3280="","",资金流水!$K43)</f>
        <v/>
      </c>
      <c r="H3280" s="10" t="str">
        <f aca="false">IF($L3280="","",IF($L3280="@对方",资金流水!$G43,IF($L3280="@账户",资金流水!$Q43,$L3280)))</f>
        <v/>
      </c>
      <c r="I3280" s="42" t="n">
        <f aca="false">IF($M3280="借",$O3280,0)</f>
        <v>0</v>
      </c>
      <c r="J3280" s="42" t="n">
        <f aca="false">IF($M3280="贷",$O3280,0)</f>
        <v>0</v>
      </c>
      <c r="K3280" s="48" t="str">
        <f aca="false">IF($H3280="","",资金流水!$F43)</f>
        <v/>
      </c>
      <c r="L3280" s="66" t="str">
        <f aca="false">IF(资金流水!$E43="","",IFERROR(INDEX(记账规则!$A$13:$H$32,MATCH(资金流水!$E43,记账规则!$A$13:$A$32,0),3),""))</f>
        <v/>
      </c>
      <c r="M3280" s="66" t="str">
        <f aca="false">IF($L3280="","",IFERROR(INDEX(记账规则!$A$13:$H$32,MATCH(资金流水!$E43,记账规则!$A$13:$A$32,0),4),""))</f>
        <v/>
      </c>
      <c r="N3280" s="66" t="str">
        <f aca="false">IF($L3280="","",IFERROR(INDEX(记账规则!$A$13:$H$32,MATCH(资金流水!$E43,记账规则!$A$13:$A$32,0),5),""))</f>
        <v/>
      </c>
      <c r="O3280" s="67" t="n">
        <f aca="false">IF($H3280="",0,ROUND(IF($N3280="金额",N(资金流水!$P43),0),2))</f>
        <v>0</v>
      </c>
      <c r="P3280" s="64" t="str">
        <f aca="false">IF(AND($H3280&lt;&gt;"",ROUND($O3280,2)&lt;&gt;0),"有","")</f>
        <v/>
      </c>
    </row>
    <row r="3281" customFormat="false" ht="15" hidden="true" customHeight="false" outlineLevel="0" collapsed="false">
      <c r="A3281" s="53" t="str">
        <f aca="false">IF($H3281="","",ROW()-5)</f>
        <v/>
      </c>
      <c r="B3281" s="64" t="s">
        <v>37</v>
      </c>
      <c r="C3281" s="53" t="n">
        <v>43</v>
      </c>
      <c r="D3281" s="53" t="n">
        <v>2</v>
      </c>
      <c r="E3281" s="65" t="str">
        <f aca="false">IF($H3281="","",资金流水!$B43)</f>
        <v/>
      </c>
      <c r="F3281" s="55" t="str">
        <f aca="false">IF($H3281="","",资金流水!$C43)</f>
        <v/>
      </c>
      <c r="G3281" s="48" t="str">
        <f aca="false">IF($H3281="","",资金流水!$K43)</f>
        <v/>
      </c>
      <c r="H3281" s="10" t="str">
        <f aca="false">IF($L3281="","",IF($L3281="@对方",资金流水!$G43,IF($L3281="@账户",资金流水!$Q43,$L3281)))</f>
        <v/>
      </c>
      <c r="I3281" s="42" t="n">
        <f aca="false">IF($M3281="借",$O3281,0)</f>
        <v>0</v>
      </c>
      <c r="J3281" s="42" t="n">
        <f aca="false">IF($M3281="贷",$O3281,0)</f>
        <v>0</v>
      </c>
      <c r="K3281" s="48" t="str">
        <f aca="false">IF($H3281="","",资金流水!$F43)</f>
        <v/>
      </c>
      <c r="L3281" s="66" t="str">
        <f aca="false">IF(资金流水!$E43="","",IFERROR(INDEX(记账规则!$A$13:$H$32,MATCH(资金流水!$E43,记账规则!$A$13:$A$32,0),6),""))</f>
        <v/>
      </c>
      <c r="M3281" s="66" t="str">
        <f aca="false">IF($L3281="","",IFERROR(INDEX(记账规则!$A$13:$H$32,MATCH(资金流水!$E43,记账规则!$A$13:$A$32,0),7),""))</f>
        <v/>
      </c>
      <c r="N3281" s="66" t="str">
        <f aca="false">IF($L3281="","",IFERROR(INDEX(记账规则!$A$13:$H$32,MATCH(资金流水!$E43,记账规则!$A$13:$A$32,0),8),""))</f>
        <v/>
      </c>
      <c r="O3281" s="67" t="n">
        <f aca="false">IF($H3281="",0,ROUND(IF($N3281="金额",N(资金流水!$P43),0),2))</f>
        <v>0</v>
      </c>
      <c r="P3281" s="64" t="str">
        <f aca="false">IF(AND($H3281&lt;&gt;"",ROUND($O3281,2)&lt;&gt;0),"有","")</f>
        <v/>
      </c>
    </row>
    <row r="3282" customFormat="false" ht="15" hidden="true" customHeight="false" outlineLevel="0" collapsed="false">
      <c r="A3282" s="53" t="str">
        <f aca="false">IF($H3282="","",ROW()-5)</f>
        <v/>
      </c>
      <c r="B3282" s="64" t="s">
        <v>37</v>
      </c>
      <c r="C3282" s="53" t="n">
        <v>44</v>
      </c>
      <c r="D3282" s="53" t="n">
        <v>1</v>
      </c>
      <c r="E3282" s="65" t="str">
        <f aca="false">IF($H3282="","",资金流水!$B44)</f>
        <v/>
      </c>
      <c r="F3282" s="55" t="str">
        <f aca="false">IF($H3282="","",资金流水!$C44)</f>
        <v/>
      </c>
      <c r="G3282" s="48" t="str">
        <f aca="false">IF($H3282="","",资金流水!$K44)</f>
        <v/>
      </c>
      <c r="H3282" s="10" t="str">
        <f aca="false">IF($L3282="","",IF($L3282="@对方",资金流水!$G44,IF($L3282="@账户",资金流水!$Q44,$L3282)))</f>
        <v/>
      </c>
      <c r="I3282" s="42" t="n">
        <f aca="false">IF($M3282="借",$O3282,0)</f>
        <v>0</v>
      </c>
      <c r="J3282" s="42" t="n">
        <f aca="false">IF($M3282="贷",$O3282,0)</f>
        <v>0</v>
      </c>
      <c r="K3282" s="48" t="str">
        <f aca="false">IF($H3282="","",资金流水!$F44)</f>
        <v/>
      </c>
      <c r="L3282" s="66" t="str">
        <f aca="false">IF(资金流水!$E44="","",IFERROR(INDEX(记账规则!$A$13:$H$32,MATCH(资金流水!$E44,记账规则!$A$13:$A$32,0),3),""))</f>
        <v/>
      </c>
      <c r="M3282" s="66" t="str">
        <f aca="false">IF($L3282="","",IFERROR(INDEX(记账规则!$A$13:$H$32,MATCH(资金流水!$E44,记账规则!$A$13:$A$32,0),4),""))</f>
        <v/>
      </c>
      <c r="N3282" s="66" t="str">
        <f aca="false">IF($L3282="","",IFERROR(INDEX(记账规则!$A$13:$H$32,MATCH(资金流水!$E44,记账规则!$A$13:$A$32,0),5),""))</f>
        <v/>
      </c>
      <c r="O3282" s="67" t="n">
        <f aca="false">IF($H3282="",0,ROUND(IF($N3282="金额",N(资金流水!$P44),0),2))</f>
        <v>0</v>
      </c>
      <c r="P3282" s="64" t="str">
        <f aca="false">IF(AND($H3282&lt;&gt;"",ROUND($O3282,2)&lt;&gt;0),"有","")</f>
        <v/>
      </c>
    </row>
    <row r="3283" customFormat="false" ht="15" hidden="true" customHeight="false" outlineLevel="0" collapsed="false">
      <c r="A3283" s="53" t="str">
        <f aca="false">IF($H3283="","",ROW()-5)</f>
        <v/>
      </c>
      <c r="B3283" s="64" t="s">
        <v>37</v>
      </c>
      <c r="C3283" s="53" t="n">
        <v>44</v>
      </c>
      <c r="D3283" s="53" t="n">
        <v>2</v>
      </c>
      <c r="E3283" s="65" t="str">
        <f aca="false">IF($H3283="","",资金流水!$B44)</f>
        <v/>
      </c>
      <c r="F3283" s="55" t="str">
        <f aca="false">IF($H3283="","",资金流水!$C44)</f>
        <v/>
      </c>
      <c r="G3283" s="48" t="str">
        <f aca="false">IF($H3283="","",资金流水!$K44)</f>
        <v/>
      </c>
      <c r="H3283" s="10" t="str">
        <f aca="false">IF($L3283="","",IF($L3283="@对方",资金流水!$G44,IF($L3283="@账户",资金流水!$Q44,$L3283)))</f>
        <v/>
      </c>
      <c r="I3283" s="42" t="n">
        <f aca="false">IF($M3283="借",$O3283,0)</f>
        <v>0</v>
      </c>
      <c r="J3283" s="42" t="n">
        <f aca="false">IF($M3283="贷",$O3283,0)</f>
        <v>0</v>
      </c>
      <c r="K3283" s="48" t="str">
        <f aca="false">IF($H3283="","",资金流水!$F44)</f>
        <v/>
      </c>
      <c r="L3283" s="66" t="str">
        <f aca="false">IF(资金流水!$E44="","",IFERROR(INDEX(记账规则!$A$13:$H$32,MATCH(资金流水!$E44,记账规则!$A$13:$A$32,0),6),""))</f>
        <v/>
      </c>
      <c r="M3283" s="66" t="str">
        <f aca="false">IF($L3283="","",IFERROR(INDEX(记账规则!$A$13:$H$32,MATCH(资金流水!$E44,记账规则!$A$13:$A$32,0),7),""))</f>
        <v/>
      </c>
      <c r="N3283" s="66" t="str">
        <f aca="false">IF($L3283="","",IFERROR(INDEX(记账规则!$A$13:$H$32,MATCH(资金流水!$E44,记账规则!$A$13:$A$32,0),8),""))</f>
        <v/>
      </c>
      <c r="O3283" s="67" t="n">
        <f aca="false">IF($H3283="",0,ROUND(IF($N3283="金额",N(资金流水!$P44),0),2))</f>
        <v>0</v>
      </c>
      <c r="P3283" s="64" t="str">
        <f aca="false">IF(AND($H3283&lt;&gt;"",ROUND($O3283,2)&lt;&gt;0),"有","")</f>
        <v/>
      </c>
    </row>
    <row r="3284" customFormat="false" ht="15" hidden="true" customHeight="false" outlineLevel="0" collapsed="false">
      <c r="A3284" s="53" t="str">
        <f aca="false">IF($H3284="","",ROW()-5)</f>
        <v/>
      </c>
      <c r="B3284" s="64" t="s">
        <v>37</v>
      </c>
      <c r="C3284" s="53" t="n">
        <v>45</v>
      </c>
      <c r="D3284" s="53" t="n">
        <v>1</v>
      </c>
      <c r="E3284" s="65" t="str">
        <f aca="false">IF($H3284="","",资金流水!$B45)</f>
        <v/>
      </c>
      <c r="F3284" s="55" t="str">
        <f aca="false">IF($H3284="","",资金流水!$C45)</f>
        <v/>
      </c>
      <c r="G3284" s="48" t="str">
        <f aca="false">IF($H3284="","",资金流水!$K45)</f>
        <v/>
      </c>
      <c r="H3284" s="10" t="str">
        <f aca="false">IF($L3284="","",IF($L3284="@对方",资金流水!$G45,IF($L3284="@账户",资金流水!$Q45,$L3284)))</f>
        <v/>
      </c>
      <c r="I3284" s="42" t="n">
        <f aca="false">IF($M3284="借",$O3284,0)</f>
        <v>0</v>
      </c>
      <c r="J3284" s="42" t="n">
        <f aca="false">IF($M3284="贷",$O3284,0)</f>
        <v>0</v>
      </c>
      <c r="K3284" s="48" t="str">
        <f aca="false">IF($H3284="","",资金流水!$F45)</f>
        <v/>
      </c>
      <c r="L3284" s="66" t="str">
        <f aca="false">IF(资金流水!$E45="","",IFERROR(INDEX(记账规则!$A$13:$H$32,MATCH(资金流水!$E45,记账规则!$A$13:$A$32,0),3),""))</f>
        <v/>
      </c>
      <c r="M3284" s="66" t="str">
        <f aca="false">IF($L3284="","",IFERROR(INDEX(记账规则!$A$13:$H$32,MATCH(资金流水!$E45,记账规则!$A$13:$A$32,0),4),""))</f>
        <v/>
      </c>
      <c r="N3284" s="66" t="str">
        <f aca="false">IF($L3284="","",IFERROR(INDEX(记账规则!$A$13:$H$32,MATCH(资金流水!$E45,记账规则!$A$13:$A$32,0),5),""))</f>
        <v/>
      </c>
      <c r="O3284" s="67" t="n">
        <f aca="false">IF($H3284="",0,ROUND(IF($N3284="金额",N(资金流水!$P45),0),2))</f>
        <v>0</v>
      </c>
      <c r="P3284" s="64" t="str">
        <f aca="false">IF(AND($H3284&lt;&gt;"",ROUND($O3284,2)&lt;&gt;0),"有","")</f>
        <v/>
      </c>
    </row>
    <row r="3285" customFormat="false" ht="15" hidden="true" customHeight="false" outlineLevel="0" collapsed="false">
      <c r="A3285" s="53" t="str">
        <f aca="false">IF($H3285="","",ROW()-5)</f>
        <v/>
      </c>
      <c r="B3285" s="64" t="s">
        <v>37</v>
      </c>
      <c r="C3285" s="53" t="n">
        <v>45</v>
      </c>
      <c r="D3285" s="53" t="n">
        <v>2</v>
      </c>
      <c r="E3285" s="65" t="str">
        <f aca="false">IF($H3285="","",资金流水!$B45)</f>
        <v/>
      </c>
      <c r="F3285" s="55" t="str">
        <f aca="false">IF($H3285="","",资金流水!$C45)</f>
        <v/>
      </c>
      <c r="G3285" s="48" t="str">
        <f aca="false">IF($H3285="","",资金流水!$K45)</f>
        <v/>
      </c>
      <c r="H3285" s="10" t="str">
        <f aca="false">IF($L3285="","",IF($L3285="@对方",资金流水!$G45,IF($L3285="@账户",资金流水!$Q45,$L3285)))</f>
        <v/>
      </c>
      <c r="I3285" s="42" t="n">
        <f aca="false">IF($M3285="借",$O3285,0)</f>
        <v>0</v>
      </c>
      <c r="J3285" s="42" t="n">
        <f aca="false">IF($M3285="贷",$O3285,0)</f>
        <v>0</v>
      </c>
      <c r="K3285" s="48" t="str">
        <f aca="false">IF($H3285="","",资金流水!$F45)</f>
        <v/>
      </c>
      <c r="L3285" s="66" t="str">
        <f aca="false">IF(资金流水!$E45="","",IFERROR(INDEX(记账规则!$A$13:$H$32,MATCH(资金流水!$E45,记账规则!$A$13:$A$32,0),6),""))</f>
        <v/>
      </c>
      <c r="M3285" s="66" t="str">
        <f aca="false">IF($L3285="","",IFERROR(INDEX(记账规则!$A$13:$H$32,MATCH(资金流水!$E45,记账规则!$A$13:$A$32,0),7),""))</f>
        <v/>
      </c>
      <c r="N3285" s="66" t="str">
        <f aca="false">IF($L3285="","",IFERROR(INDEX(记账规则!$A$13:$H$32,MATCH(资金流水!$E45,记账规则!$A$13:$A$32,0),8),""))</f>
        <v/>
      </c>
      <c r="O3285" s="67" t="n">
        <f aca="false">IF($H3285="",0,ROUND(IF($N3285="金额",N(资金流水!$P45),0),2))</f>
        <v>0</v>
      </c>
      <c r="P3285" s="64" t="str">
        <f aca="false">IF(AND($H3285&lt;&gt;"",ROUND($O3285,2)&lt;&gt;0),"有","")</f>
        <v/>
      </c>
    </row>
    <row r="3286" customFormat="false" ht="15" hidden="true" customHeight="false" outlineLevel="0" collapsed="false">
      <c r="A3286" s="53" t="str">
        <f aca="false">IF($H3286="","",ROW()-5)</f>
        <v/>
      </c>
      <c r="B3286" s="64" t="s">
        <v>37</v>
      </c>
      <c r="C3286" s="53" t="n">
        <v>46</v>
      </c>
      <c r="D3286" s="53" t="n">
        <v>1</v>
      </c>
      <c r="E3286" s="65" t="str">
        <f aca="false">IF($H3286="","",资金流水!$B46)</f>
        <v/>
      </c>
      <c r="F3286" s="55" t="str">
        <f aca="false">IF($H3286="","",资金流水!$C46)</f>
        <v/>
      </c>
      <c r="G3286" s="48" t="str">
        <f aca="false">IF($H3286="","",资金流水!$K46)</f>
        <v/>
      </c>
      <c r="H3286" s="10" t="str">
        <f aca="false">IF($L3286="","",IF($L3286="@对方",资金流水!$G46,IF($L3286="@账户",资金流水!$Q46,$L3286)))</f>
        <v/>
      </c>
      <c r="I3286" s="42" t="n">
        <f aca="false">IF($M3286="借",$O3286,0)</f>
        <v>0</v>
      </c>
      <c r="J3286" s="42" t="n">
        <f aca="false">IF($M3286="贷",$O3286,0)</f>
        <v>0</v>
      </c>
      <c r="K3286" s="48" t="str">
        <f aca="false">IF($H3286="","",资金流水!$F46)</f>
        <v/>
      </c>
      <c r="L3286" s="66" t="str">
        <f aca="false">IF(资金流水!$E46="","",IFERROR(INDEX(记账规则!$A$13:$H$32,MATCH(资金流水!$E46,记账规则!$A$13:$A$32,0),3),""))</f>
        <v/>
      </c>
      <c r="M3286" s="66" t="str">
        <f aca="false">IF($L3286="","",IFERROR(INDEX(记账规则!$A$13:$H$32,MATCH(资金流水!$E46,记账规则!$A$13:$A$32,0),4),""))</f>
        <v/>
      </c>
      <c r="N3286" s="66" t="str">
        <f aca="false">IF($L3286="","",IFERROR(INDEX(记账规则!$A$13:$H$32,MATCH(资金流水!$E46,记账规则!$A$13:$A$32,0),5),""))</f>
        <v/>
      </c>
      <c r="O3286" s="67" t="n">
        <f aca="false">IF($H3286="",0,ROUND(IF($N3286="金额",N(资金流水!$P46),0),2))</f>
        <v>0</v>
      </c>
      <c r="P3286" s="64" t="str">
        <f aca="false">IF(AND($H3286&lt;&gt;"",ROUND($O3286,2)&lt;&gt;0),"有","")</f>
        <v/>
      </c>
    </row>
    <row r="3287" customFormat="false" ht="15" hidden="true" customHeight="false" outlineLevel="0" collapsed="false">
      <c r="A3287" s="53" t="str">
        <f aca="false">IF($H3287="","",ROW()-5)</f>
        <v/>
      </c>
      <c r="B3287" s="64" t="s">
        <v>37</v>
      </c>
      <c r="C3287" s="53" t="n">
        <v>46</v>
      </c>
      <c r="D3287" s="53" t="n">
        <v>2</v>
      </c>
      <c r="E3287" s="65" t="str">
        <f aca="false">IF($H3287="","",资金流水!$B46)</f>
        <v/>
      </c>
      <c r="F3287" s="55" t="str">
        <f aca="false">IF($H3287="","",资金流水!$C46)</f>
        <v/>
      </c>
      <c r="G3287" s="48" t="str">
        <f aca="false">IF($H3287="","",资金流水!$K46)</f>
        <v/>
      </c>
      <c r="H3287" s="10" t="str">
        <f aca="false">IF($L3287="","",IF($L3287="@对方",资金流水!$G46,IF($L3287="@账户",资金流水!$Q46,$L3287)))</f>
        <v/>
      </c>
      <c r="I3287" s="42" t="n">
        <f aca="false">IF($M3287="借",$O3287,0)</f>
        <v>0</v>
      </c>
      <c r="J3287" s="42" t="n">
        <f aca="false">IF($M3287="贷",$O3287,0)</f>
        <v>0</v>
      </c>
      <c r="K3287" s="48" t="str">
        <f aca="false">IF($H3287="","",资金流水!$F46)</f>
        <v/>
      </c>
      <c r="L3287" s="66" t="str">
        <f aca="false">IF(资金流水!$E46="","",IFERROR(INDEX(记账规则!$A$13:$H$32,MATCH(资金流水!$E46,记账规则!$A$13:$A$32,0),6),""))</f>
        <v/>
      </c>
      <c r="M3287" s="66" t="str">
        <f aca="false">IF($L3287="","",IFERROR(INDEX(记账规则!$A$13:$H$32,MATCH(资金流水!$E46,记账规则!$A$13:$A$32,0),7),""))</f>
        <v/>
      </c>
      <c r="N3287" s="66" t="str">
        <f aca="false">IF($L3287="","",IFERROR(INDEX(记账规则!$A$13:$H$32,MATCH(资金流水!$E46,记账规则!$A$13:$A$32,0),8),""))</f>
        <v/>
      </c>
      <c r="O3287" s="67" t="n">
        <f aca="false">IF($H3287="",0,ROUND(IF($N3287="金额",N(资金流水!$P46),0),2))</f>
        <v>0</v>
      </c>
      <c r="P3287" s="64" t="str">
        <f aca="false">IF(AND($H3287&lt;&gt;"",ROUND($O3287,2)&lt;&gt;0),"有","")</f>
        <v/>
      </c>
    </row>
    <row r="3288" customFormat="false" ht="15" hidden="true" customHeight="false" outlineLevel="0" collapsed="false">
      <c r="A3288" s="53" t="str">
        <f aca="false">IF($H3288="","",ROW()-5)</f>
        <v/>
      </c>
      <c r="B3288" s="64" t="s">
        <v>37</v>
      </c>
      <c r="C3288" s="53" t="n">
        <v>47</v>
      </c>
      <c r="D3288" s="53" t="n">
        <v>1</v>
      </c>
      <c r="E3288" s="65" t="str">
        <f aca="false">IF($H3288="","",资金流水!$B47)</f>
        <v/>
      </c>
      <c r="F3288" s="55" t="str">
        <f aca="false">IF($H3288="","",资金流水!$C47)</f>
        <v/>
      </c>
      <c r="G3288" s="48" t="str">
        <f aca="false">IF($H3288="","",资金流水!$K47)</f>
        <v/>
      </c>
      <c r="H3288" s="10" t="str">
        <f aca="false">IF($L3288="","",IF($L3288="@对方",资金流水!$G47,IF($L3288="@账户",资金流水!$Q47,$L3288)))</f>
        <v/>
      </c>
      <c r="I3288" s="42" t="n">
        <f aca="false">IF($M3288="借",$O3288,0)</f>
        <v>0</v>
      </c>
      <c r="J3288" s="42" t="n">
        <f aca="false">IF($M3288="贷",$O3288,0)</f>
        <v>0</v>
      </c>
      <c r="K3288" s="48" t="str">
        <f aca="false">IF($H3288="","",资金流水!$F47)</f>
        <v/>
      </c>
      <c r="L3288" s="66" t="str">
        <f aca="false">IF(资金流水!$E47="","",IFERROR(INDEX(记账规则!$A$13:$H$32,MATCH(资金流水!$E47,记账规则!$A$13:$A$32,0),3),""))</f>
        <v/>
      </c>
      <c r="M3288" s="66" t="str">
        <f aca="false">IF($L3288="","",IFERROR(INDEX(记账规则!$A$13:$H$32,MATCH(资金流水!$E47,记账规则!$A$13:$A$32,0),4),""))</f>
        <v/>
      </c>
      <c r="N3288" s="66" t="str">
        <f aca="false">IF($L3288="","",IFERROR(INDEX(记账规则!$A$13:$H$32,MATCH(资金流水!$E47,记账规则!$A$13:$A$32,0),5),""))</f>
        <v/>
      </c>
      <c r="O3288" s="67" t="n">
        <f aca="false">IF($H3288="",0,ROUND(IF($N3288="金额",N(资金流水!$P47),0),2))</f>
        <v>0</v>
      </c>
      <c r="P3288" s="64" t="str">
        <f aca="false">IF(AND($H3288&lt;&gt;"",ROUND($O3288,2)&lt;&gt;0),"有","")</f>
        <v/>
      </c>
    </row>
    <row r="3289" customFormat="false" ht="15" hidden="true" customHeight="false" outlineLevel="0" collapsed="false">
      <c r="A3289" s="53" t="str">
        <f aca="false">IF($H3289="","",ROW()-5)</f>
        <v/>
      </c>
      <c r="B3289" s="64" t="s">
        <v>37</v>
      </c>
      <c r="C3289" s="53" t="n">
        <v>47</v>
      </c>
      <c r="D3289" s="53" t="n">
        <v>2</v>
      </c>
      <c r="E3289" s="65" t="str">
        <f aca="false">IF($H3289="","",资金流水!$B47)</f>
        <v/>
      </c>
      <c r="F3289" s="55" t="str">
        <f aca="false">IF($H3289="","",资金流水!$C47)</f>
        <v/>
      </c>
      <c r="G3289" s="48" t="str">
        <f aca="false">IF($H3289="","",资金流水!$K47)</f>
        <v/>
      </c>
      <c r="H3289" s="10" t="str">
        <f aca="false">IF($L3289="","",IF($L3289="@对方",资金流水!$G47,IF($L3289="@账户",资金流水!$Q47,$L3289)))</f>
        <v/>
      </c>
      <c r="I3289" s="42" t="n">
        <f aca="false">IF($M3289="借",$O3289,0)</f>
        <v>0</v>
      </c>
      <c r="J3289" s="42" t="n">
        <f aca="false">IF($M3289="贷",$O3289,0)</f>
        <v>0</v>
      </c>
      <c r="K3289" s="48" t="str">
        <f aca="false">IF($H3289="","",资金流水!$F47)</f>
        <v/>
      </c>
      <c r="L3289" s="66" t="str">
        <f aca="false">IF(资金流水!$E47="","",IFERROR(INDEX(记账规则!$A$13:$H$32,MATCH(资金流水!$E47,记账规则!$A$13:$A$32,0),6),""))</f>
        <v/>
      </c>
      <c r="M3289" s="66" t="str">
        <f aca="false">IF($L3289="","",IFERROR(INDEX(记账规则!$A$13:$H$32,MATCH(资金流水!$E47,记账规则!$A$13:$A$32,0),7),""))</f>
        <v/>
      </c>
      <c r="N3289" s="66" t="str">
        <f aca="false">IF($L3289="","",IFERROR(INDEX(记账规则!$A$13:$H$32,MATCH(资金流水!$E47,记账规则!$A$13:$A$32,0),8),""))</f>
        <v/>
      </c>
      <c r="O3289" s="67" t="n">
        <f aca="false">IF($H3289="",0,ROUND(IF($N3289="金额",N(资金流水!$P47),0),2))</f>
        <v>0</v>
      </c>
      <c r="P3289" s="64" t="str">
        <f aca="false">IF(AND($H3289&lt;&gt;"",ROUND($O3289,2)&lt;&gt;0),"有","")</f>
        <v/>
      </c>
    </row>
    <row r="3290" customFormat="false" ht="15" hidden="true" customHeight="false" outlineLevel="0" collapsed="false">
      <c r="A3290" s="53" t="str">
        <f aca="false">IF($H3290="","",ROW()-5)</f>
        <v/>
      </c>
      <c r="B3290" s="64" t="s">
        <v>37</v>
      </c>
      <c r="C3290" s="53" t="n">
        <v>48</v>
      </c>
      <c r="D3290" s="53" t="n">
        <v>1</v>
      </c>
      <c r="E3290" s="65" t="str">
        <f aca="false">IF($H3290="","",资金流水!$B48)</f>
        <v/>
      </c>
      <c r="F3290" s="55" t="str">
        <f aca="false">IF($H3290="","",资金流水!$C48)</f>
        <v/>
      </c>
      <c r="G3290" s="48" t="str">
        <f aca="false">IF($H3290="","",资金流水!$K48)</f>
        <v/>
      </c>
      <c r="H3290" s="10" t="str">
        <f aca="false">IF($L3290="","",IF($L3290="@对方",资金流水!$G48,IF($L3290="@账户",资金流水!$Q48,$L3290)))</f>
        <v/>
      </c>
      <c r="I3290" s="42" t="n">
        <f aca="false">IF($M3290="借",$O3290,0)</f>
        <v>0</v>
      </c>
      <c r="J3290" s="42" t="n">
        <f aca="false">IF($M3290="贷",$O3290,0)</f>
        <v>0</v>
      </c>
      <c r="K3290" s="48" t="str">
        <f aca="false">IF($H3290="","",资金流水!$F48)</f>
        <v/>
      </c>
      <c r="L3290" s="66" t="str">
        <f aca="false">IF(资金流水!$E48="","",IFERROR(INDEX(记账规则!$A$13:$H$32,MATCH(资金流水!$E48,记账规则!$A$13:$A$32,0),3),""))</f>
        <v/>
      </c>
      <c r="M3290" s="66" t="str">
        <f aca="false">IF($L3290="","",IFERROR(INDEX(记账规则!$A$13:$H$32,MATCH(资金流水!$E48,记账规则!$A$13:$A$32,0),4),""))</f>
        <v/>
      </c>
      <c r="N3290" s="66" t="str">
        <f aca="false">IF($L3290="","",IFERROR(INDEX(记账规则!$A$13:$H$32,MATCH(资金流水!$E48,记账规则!$A$13:$A$32,0),5),""))</f>
        <v/>
      </c>
      <c r="O3290" s="67" t="n">
        <f aca="false">IF($H3290="",0,ROUND(IF($N3290="金额",N(资金流水!$P48),0),2))</f>
        <v>0</v>
      </c>
      <c r="P3290" s="64" t="str">
        <f aca="false">IF(AND($H3290&lt;&gt;"",ROUND($O3290,2)&lt;&gt;0),"有","")</f>
        <v/>
      </c>
    </row>
    <row r="3291" customFormat="false" ht="15" hidden="true" customHeight="false" outlineLevel="0" collapsed="false">
      <c r="A3291" s="53" t="str">
        <f aca="false">IF($H3291="","",ROW()-5)</f>
        <v/>
      </c>
      <c r="B3291" s="64" t="s">
        <v>37</v>
      </c>
      <c r="C3291" s="53" t="n">
        <v>48</v>
      </c>
      <c r="D3291" s="53" t="n">
        <v>2</v>
      </c>
      <c r="E3291" s="65" t="str">
        <f aca="false">IF($H3291="","",资金流水!$B48)</f>
        <v/>
      </c>
      <c r="F3291" s="55" t="str">
        <f aca="false">IF($H3291="","",资金流水!$C48)</f>
        <v/>
      </c>
      <c r="G3291" s="48" t="str">
        <f aca="false">IF($H3291="","",资金流水!$K48)</f>
        <v/>
      </c>
      <c r="H3291" s="10" t="str">
        <f aca="false">IF($L3291="","",IF($L3291="@对方",资金流水!$G48,IF($L3291="@账户",资金流水!$Q48,$L3291)))</f>
        <v/>
      </c>
      <c r="I3291" s="42" t="n">
        <f aca="false">IF($M3291="借",$O3291,0)</f>
        <v>0</v>
      </c>
      <c r="J3291" s="42" t="n">
        <f aca="false">IF($M3291="贷",$O3291,0)</f>
        <v>0</v>
      </c>
      <c r="K3291" s="48" t="str">
        <f aca="false">IF($H3291="","",资金流水!$F48)</f>
        <v/>
      </c>
      <c r="L3291" s="66" t="str">
        <f aca="false">IF(资金流水!$E48="","",IFERROR(INDEX(记账规则!$A$13:$H$32,MATCH(资金流水!$E48,记账规则!$A$13:$A$32,0),6),""))</f>
        <v/>
      </c>
      <c r="M3291" s="66" t="str">
        <f aca="false">IF($L3291="","",IFERROR(INDEX(记账规则!$A$13:$H$32,MATCH(资金流水!$E48,记账规则!$A$13:$A$32,0),7),""))</f>
        <v/>
      </c>
      <c r="N3291" s="66" t="str">
        <f aca="false">IF($L3291="","",IFERROR(INDEX(记账规则!$A$13:$H$32,MATCH(资金流水!$E48,记账规则!$A$13:$A$32,0),8),""))</f>
        <v/>
      </c>
      <c r="O3291" s="67" t="n">
        <f aca="false">IF($H3291="",0,ROUND(IF($N3291="金额",N(资金流水!$P48),0),2))</f>
        <v>0</v>
      </c>
      <c r="P3291" s="64" t="str">
        <f aca="false">IF(AND($H3291&lt;&gt;"",ROUND($O3291,2)&lt;&gt;0),"有","")</f>
        <v/>
      </c>
    </row>
    <row r="3292" customFormat="false" ht="15" hidden="true" customHeight="false" outlineLevel="0" collapsed="false">
      <c r="A3292" s="53" t="str">
        <f aca="false">IF($H3292="","",ROW()-5)</f>
        <v/>
      </c>
      <c r="B3292" s="64" t="s">
        <v>37</v>
      </c>
      <c r="C3292" s="53" t="n">
        <v>49</v>
      </c>
      <c r="D3292" s="53" t="n">
        <v>1</v>
      </c>
      <c r="E3292" s="65" t="str">
        <f aca="false">IF($H3292="","",资金流水!$B49)</f>
        <v/>
      </c>
      <c r="F3292" s="55" t="str">
        <f aca="false">IF($H3292="","",资金流水!$C49)</f>
        <v/>
      </c>
      <c r="G3292" s="48" t="str">
        <f aca="false">IF($H3292="","",资金流水!$K49)</f>
        <v/>
      </c>
      <c r="H3292" s="10" t="str">
        <f aca="false">IF($L3292="","",IF($L3292="@对方",资金流水!$G49,IF($L3292="@账户",资金流水!$Q49,$L3292)))</f>
        <v/>
      </c>
      <c r="I3292" s="42" t="n">
        <f aca="false">IF($M3292="借",$O3292,0)</f>
        <v>0</v>
      </c>
      <c r="J3292" s="42" t="n">
        <f aca="false">IF($M3292="贷",$O3292,0)</f>
        <v>0</v>
      </c>
      <c r="K3292" s="48" t="str">
        <f aca="false">IF($H3292="","",资金流水!$F49)</f>
        <v/>
      </c>
      <c r="L3292" s="66" t="str">
        <f aca="false">IF(资金流水!$E49="","",IFERROR(INDEX(记账规则!$A$13:$H$32,MATCH(资金流水!$E49,记账规则!$A$13:$A$32,0),3),""))</f>
        <v/>
      </c>
      <c r="M3292" s="66" t="str">
        <f aca="false">IF($L3292="","",IFERROR(INDEX(记账规则!$A$13:$H$32,MATCH(资金流水!$E49,记账规则!$A$13:$A$32,0),4),""))</f>
        <v/>
      </c>
      <c r="N3292" s="66" t="str">
        <f aca="false">IF($L3292="","",IFERROR(INDEX(记账规则!$A$13:$H$32,MATCH(资金流水!$E49,记账规则!$A$13:$A$32,0),5),""))</f>
        <v/>
      </c>
      <c r="O3292" s="67" t="n">
        <f aca="false">IF($H3292="",0,ROUND(IF($N3292="金额",N(资金流水!$P49),0),2))</f>
        <v>0</v>
      </c>
      <c r="P3292" s="64" t="str">
        <f aca="false">IF(AND($H3292&lt;&gt;"",ROUND($O3292,2)&lt;&gt;0),"有","")</f>
        <v/>
      </c>
    </row>
    <row r="3293" customFormat="false" ht="15" hidden="true" customHeight="false" outlineLevel="0" collapsed="false">
      <c r="A3293" s="53" t="str">
        <f aca="false">IF($H3293="","",ROW()-5)</f>
        <v/>
      </c>
      <c r="B3293" s="64" t="s">
        <v>37</v>
      </c>
      <c r="C3293" s="53" t="n">
        <v>49</v>
      </c>
      <c r="D3293" s="53" t="n">
        <v>2</v>
      </c>
      <c r="E3293" s="65" t="str">
        <f aca="false">IF($H3293="","",资金流水!$B49)</f>
        <v/>
      </c>
      <c r="F3293" s="55" t="str">
        <f aca="false">IF($H3293="","",资金流水!$C49)</f>
        <v/>
      </c>
      <c r="G3293" s="48" t="str">
        <f aca="false">IF($H3293="","",资金流水!$K49)</f>
        <v/>
      </c>
      <c r="H3293" s="10" t="str">
        <f aca="false">IF($L3293="","",IF($L3293="@对方",资金流水!$G49,IF($L3293="@账户",资金流水!$Q49,$L3293)))</f>
        <v/>
      </c>
      <c r="I3293" s="42" t="n">
        <f aca="false">IF($M3293="借",$O3293,0)</f>
        <v>0</v>
      </c>
      <c r="J3293" s="42" t="n">
        <f aca="false">IF($M3293="贷",$O3293,0)</f>
        <v>0</v>
      </c>
      <c r="K3293" s="48" t="str">
        <f aca="false">IF($H3293="","",资金流水!$F49)</f>
        <v/>
      </c>
      <c r="L3293" s="66" t="str">
        <f aca="false">IF(资金流水!$E49="","",IFERROR(INDEX(记账规则!$A$13:$H$32,MATCH(资金流水!$E49,记账规则!$A$13:$A$32,0),6),""))</f>
        <v/>
      </c>
      <c r="M3293" s="66" t="str">
        <f aca="false">IF($L3293="","",IFERROR(INDEX(记账规则!$A$13:$H$32,MATCH(资金流水!$E49,记账规则!$A$13:$A$32,0),7),""))</f>
        <v/>
      </c>
      <c r="N3293" s="66" t="str">
        <f aca="false">IF($L3293="","",IFERROR(INDEX(记账规则!$A$13:$H$32,MATCH(资金流水!$E49,记账规则!$A$13:$A$32,0),8),""))</f>
        <v/>
      </c>
      <c r="O3293" s="67" t="n">
        <f aca="false">IF($H3293="",0,ROUND(IF($N3293="金额",N(资金流水!$P49),0),2))</f>
        <v>0</v>
      </c>
      <c r="P3293" s="64" t="str">
        <f aca="false">IF(AND($H3293&lt;&gt;"",ROUND($O3293,2)&lt;&gt;0),"有","")</f>
        <v/>
      </c>
    </row>
    <row r="3294" customFormat="false" ht="15" hidden="true" customHeight="false" outlineLevel="0" collapsed="false">
      <c r="A3294" s="53" t="str">
        <f aca="false">IF($H3294="","",ROW()-5)</f>
        <v/>
      </c>
      <c r="B3294" s="64" t="s">
        <v>37</v>
      </c>
      <c r="C3294" s="53" t="n">
        <v>50</v>
      </c>
      <c r="D3294" s="53" t="n">
        <v>1</v>
      </c>
      <c r="E3294" s="65" t="str">
        <f aca="false">IF($H3294="","",资金流水!$B50)</f>
        <v/>
      </c>
      <c r="F3294" s="55" t="str">
        <f aca="false">IF($H3294="","",资金流水!$C50)</f>
        <v/>
      </c>
      <c r="G3294" s="48" t="str">
        <f aca="false">IF($H3294="","",资金流水!$K50)</f>
        <v/>
      </c>
      <c r="H3294" s="10" t="str">
        <f aca="false">IF($L3294="","",IF($L3294="@对方",资金流水!$G50,IF($L3294="@账户",资金流水!$Q50,$L3294)))</f>
        <v/>
      </c>
      <c r="I3294" s="42" t="n">
        <f aca="false">IF($M3294="借",$O3294,0)</f>
        <v>0</v>
      </c>
      <c r="J3294" s="42" t="n">
        <f aca="false">IF($M3294="贷",$O3294,0)</f>
        <v>0</v>
      </c>
      <c r="K3294" s="48" t="str">
        <f aca="false">IF($H3294="","",资金流水!$F50)</f>
        <v/>
      </c>
      <c r="L3294" s="66" t="str">
        <f aca="false">IF(资金流水!$E50="","",IFERROR(INDEX(记账规则!$A$13:$H$32,MATCH(资金流水!$E50,记账规则!$A$13:$A$32,0),3),""))</f>
        <v/>
      </c>
      <c r="M3294" s="66" t="str">
        <f aca="false">IF($L3294="","",IFERROR(INDEX(记账规则!$A$13:$H$32,MATCH(资金流水!$E50,记账规则!$A$13:$A$32,0),4),""))</f>
        <v/>
      </c>
      <c r="N3294" s="66" t="str">
        <f aca="false">IF($L3294="","",IFERROR(INDEX(记账规则!$A$13:$H$32,MATCH(资金流水!$E50,记账规则!$A$13:$A$32,0),5),""))</f>
        <v/>
      </c>
      <c r="O3294" s="67" t="n">
        <f aca="false">IF($H3294="",0,ROUND(IF($N3294="金额",N(资金流水!$P50),0),2))</f>
        <v>0</v>
      </c>
      <c r="P3294" s="64" t="str">
        <f aca="false">IF(AND($H3294&lt;&gt;"",ROUND($O3294,2)&lt;&gt;0),"有","")</f>
        <v/>
      </c>
    </row>
    <row r="3295" customFormat="false" ht="15" hidden="true" customHeight="false" outlineLevel="0" collapsed="false">
      <c r="A3295" s="53" t="str">
        <f aca="false">IF($H3295="","",ROW()-5)</f>
        <v/>
      </c>
      <c r="B3295" s="64" t="s">
        <v>37</v>
      </c>
      <c r="C3295" s="53" t="n">
        <v>50</v>
      </c>
      <c r="D3295" s="53" t="n">
        <v>2</v>
      </c>
      <c r="E3295" s="65" t="str">
        <f aca="false">IF($H3295="","",资金流水!$B50)</f>
        <v/>
      </c>
      <c r="F3295" s="55" t="str">
        <f aca="false">IF($H3295="","",资金流水!$C50)</f>
        <v/>
      </c>
      <c r="G3295" s="48" t="str">
        <f aca="false">IF($H3295="","",资金流水!$K50)</f>
        <v/>
      </c>
      <c r="H3295" s="10" t="str">
        <f aca="false">IF($L3295="","",IF($L3295="@对方",资金流水!$G50,IF($L3295="@账户",资金流水!$Q50,$L3295)))</f>
        <v/>
      </c>
      <c r="I3295" s="42" t="n">
        <f aca="false">IF($M3295="借",$O3295,0)</f>
        <v>0</v>
      </c>
      <c r="J3295" s="42" t="n">
        <f aca="false">IF($M3295="贷",$O3295,0)</f>
        <v>0</v>
      </c>
      <c r="K3295" s="48" t="str">
        <f aca="false">IF($H3295="","",资金流水!$F50)</f>
        <v/>
      </c>
      <c r="L3295" s="66" t="str">
        <f aca="false">IF(资金流水!$E50="","",IFERROR(INDEX(记账规则!$A$13:$H$32,MATCH(资金流水!$E50,记账规则!$A$13:$A$32,0),6),""))</f>
        <v/>
      </c>
      <c r="M3295" s="66" t="str">
        <f aca="false">IF($L3295="","",IFERROR(INDEX(记账规则!$A$13:$H$32,MATCH(资金流水!$E50,记账规则!$A$13:$A$32,0),7),""))</f>
        <v/>
      </c>
      <c r="N3295" s="66" t="str">
        <f aca="false">IF($L3295="","",IFERROR(INDEX(记账规则!$A$13:$H$32,MATCH(资金流水!$E50,记账规则!$A$13:$A$32,0),8),""))</f>
        <v/>
      </c>
      <c r="O3295" s="67" t="n">
        <f aca="false">IF($H3295="",0,ROUND(IF($N3295="金额",N(资金流水!$P50),0),2))</f>
        <v>0</v>
      </c>
      <c r="P3295" s="64" t="str">
        <f aca="false">IF(AND($H3295&lt;&gt;"",ROUND($O3295,2)&lt;&gt;0),"有","")</f>
        <v/>
      </c>
    </row>
    <row r="3296" customFormat="false" ht="15" hidden="true" customHeight="false" outlineLevel="0" collapsed="false">
      <c r="A3296" s="53" t="str">
        <f aca="false">IF($H3296="","",ROW()-5)</f>
        <v/>
      </c>
      <c r="B3296" s="64" t="s">
        <v>37</v>
      </c>
      <c r="C3296" s="53" t="n">
        <v>51</v>
      </c>
      <c r="D3296" s="53" t="n">
        <v>1</v>
      </c>
      <c r="E3296" s="65" t="str">
        <f aca="false">IF($H3296="","",资金流水!$B51)</f>
        <v/>
      </c>
      <c r="F3296" s="55" t="str">
        <f aca="false">IF($H3296="","",资金流水!$C51)</f>
        <v/>
      </c>
      <c r="G3296" s="48" t="str">
        <f aca="false">IF($H3296="","",资金流水!$K51)</f>
        <v/>
      </c>
      <c r="H3296" s="10" t="str">
        <f aca="false">IF($L3296="","",IF($L3296="@对方",资金流水!$G51,IF($L3296="@账户",资金流水!$Q51,$L3296)))</f>
        <v/>
      </c>
      <c r="I3296" s="42" t="n">
        <f aca="false">IF($M3296="借",$O3296,0)</f>
        <v>0</v>
      </c>
      <c r="J3296" s="42" t="n">
        <f aca="false">IF($M3296="贷",$O3296,0)</f>
        <v>0</v>
      </c>
      <c r="K3296" s="48" t="str">
        <f aca="false">IF($H3296="","",资金流水!$F51)</f>
        <v/>
      </c>
      <c r="L3296" s="66" t="str">
        <f aca="false">IF(资金流水!$E51="","",IFERROR(INDEX(记账规则!$A$13:$H$32,MATCH(资金流水!$E51,记账规则!$A$13:$A$32,0),3),""))</f>
        <v/>
      </c>
      <c r="M3296" s="66" t="str">
        <f aca="false">IF($L3296="","",IFERROR(INDEX(记账规则!$A$13:$H$32,MATCH(资金流水!$E51,记账规则!$A$13:$A$32,0),4),""))</f>
        <v/>
      </c>
      <c r="N3296" s="66" t="str">
        <f aca="false">IF($L3296="","",IFERROR(INDEX(记账规则!$A$13:$H$32,MATCH(资金流水!$E51,记账规则!$A$13:$A$32,0),5),""))</f>
        <v/>
      </c>
      <c r="O3296" s="67" t="n">
        <f aca="false">IF($H3296="",0,ROUND(IF($N3296="金额",N(资金流水!$P51),0),2))</f>
        <v>0</v>
      </c>
      <c r="P3296" s="64" t="str">
        <f aca="false">IF(AND($H3296&lt;&gt;"",ROUND($O3296,2)&lt;&gt;0),"有","")</f>
        <v/>
      </c>
    </row>
    <row r="3297" customFormat="false" ht="15" hidden="true" customHeight="false" outlineLevel="0" collapsed="false">
      <c r="A3297" s="53" t="str">
        <f aca="false">IF($H3297="","",ROW()-5)</f>
        <v/>
      </c>
      <c r="B3297" s="64" t="s">
        <v>37</v>
      </c>
      <c r="C3297" s="53" t="n">
        <v>51</v>
      </c>
      <c r="D3297" s="53" t="n">
        <v>2</v>
      </c>
      <c r="E3297" s="65" t="str">
        <f aca="false">IF($H3297="","",资金流水!$B51)</f>
        <v/>
      </c>
      <c r="F3297" s="55" t="str">
        <f aca="false">IF($H3297="","",资金流水!$C51)</f>
        <v/>
      </c>
      <c r="G3297" s="48" t="str">
        <f aca="false">IF($H3297="","",资金流水!$K51)</f>
        <v/>
      </c>
      <c r="H3297" s="10" t="str">
        <f aca="false">IF($L3297="","",IF($L3297="@对方",资金流水!$G51,IF($L3297="@账户",资金流水!$Q51,$L3297)))</f>
        <v/>
      </c>
      <c r="I3297" s="42" t="n">
        <f aca="false">IF($M3297="借",$O3297,0)</f>
        <v>0</v>
      </c>
      <c r="J3297" s="42" t="n">
        <f aca="false">IF($M3297="贷",$O3297,0)</f>
        <v>0</v>
      </c>
      <c r="K3297" s="48" t="str">
        <f aca="false">IF($H3297="","",资金流水!$F51)</f>
        <v/>
      </c>
      <c r="L3297" s="66" t="str">
        <f aca="false">IF(资金流水!$E51="","",IFERROR(INDEX(记账规则!$A$13:$H$32,MATCH(资金流水!$E51,记账规则!$A$13:$A$32,0),6),""))</f>
        <v/>
      </c>
      <c r="M3297" s="66" t="str">
        <f aca="false">IF($L3297="","",IFERROR(INDEX(记账规则!$A$13:$H$32,MATCH(资金流水!$E51,记账规则!$A$13:$A$32,0),7),""))</f>
        <v/>
      </c>
      <c r="N3297" s="66" t="str">
        <f aca="false">IF($L3297="","",IFERROR(INDEX(记账规则!$A$13:$H$32,MATCH(资金流水!$E51,记账规则!$A$13:$A$32,0),8),""))</f>
        <v/>
      </c>
      <c r="O3297" s="67" t="n">
        <f aca="false">IF($H3297="",0,ROUND(IF($N3297="金额",N(资金流水!$P51),0),2))</f>
        <v>0</v>
      </c>
      <c r="P3297" s="64" t="str">
        <f aca="false">IF(AND($H3297&lt;&gt;"",ROUND($O3297,2)&lt;&gt;0),"有","")</f>
        <v/>
      </c>
    </row>
    <row r="3298" customFormat="false" ht="15" hidden="true" customHeight="false" outlineLevel="0" collapsed="false">
      <c r="A3298" s="53" t="str">
        <f aca="false">IF($H3298="","",ROW()-5)</f>
        <v/>
      </c>
      <c r="B3298" s="64" t="s">
        <v>37</v>
      </c>
      <c r="C3298" s="53" t="n">
        <v>52</v>
      </c>
      <c r="D3298" s="53" t="n">
        <v>1</v>
      </c>
      <c r="E3298" s="65" t="str">
        <f aca="false">IF($H3298="","",资金流水!$B52)</f>
        <v/>
      </c>
      <c r="F3298" s="55" t="str">
        <f aca="false">IF($H3298="","",资金流水!$C52)</f>
        <v/>
      </c>
      <c r="G3298" s="48" t="str">
        <f aca="false">IF($H3298="","",资金流水!$K52)</f>
        <v/>
      </c>
      <c r="H3298" s="10" t="str">
        <f aca="false">IF($L3298="","",IF($L3298="@对方",资金流水!$G52,IF($L3298="@账户",资金流水!$Q52,$L3298)))</f>
        <v/>
      </c>
      <c r="I3298" s="42" t="n">
        <f aca="false">IF($M3298="借",$O3298,0)</f>
        <v>0</v>
      </c>
      <c r="J3298" s="42" t="n">
        <f aca="false">IF($M3298="贷",$O3298,0)</f>
        <v>0</v>
      </c>
      <c r="K3298" s="48" t="str">
        <f aca="false">IF($H3298="","",资金流水!$F52)</f>
        <v/>
      </c>
      <c r="L3298" s="66" t="str">
        <f aca="false">IF(资金流水!$E52="","",IFERROR(INDEX(记账规则!$A$13:$H$32,MATCH(资金流水!$E52,记账规则!$A$13:$A$32,0),3),""))</f>
        <v/>
      </c>
      <c r="M3298" s="66" t="str">
        <f aca="false">IF($L3298="","",IFERROR(INDEX(记账规则!$A$13:$H$32,MATCH(资金流水!$E52,记账规则!$A$13:$A$32,0),4),""))</f>
        <v/>
      </c>
      <c r="N3298" s="66" t="str">
        <f aca="false">IF($L3298="","",IFERROR(INDEX(记账规则!$A$13:$H$32,MATCH(资金流水!$E52,记账规则!$A$13:$A$32,0),5),""))</f>
        <v/>
      </c>
      <c r="O3298" s="67" t="n">
        <f aca="false">IF($H3298="",0,ROUND(IF($N3298="金额",N(资金流水!$P52),0),2))</f>
        <v>0</v>
      </c>
      <c r="P3298" s="64" t="str">
        <f aca="false">IF(AND($H3298&lt;&gt;"",ROUND($O3298,2)&lt;&gt;0),"有","")</f>
        <v/>
      </c>
    </row>
    <row r="3299" customFormat="false" ht="15" hidden="true" customHeight="false" outlineLevel="0" collapsed="false">
      <c r="A3299" s="53" t="str">
        <f aca="false">IF($H3299="","",ROW()-5)</f>
        <v/>
      </c>
      <c r="B3299" s="64" t="s">
        <v>37</v>
      </c>
      <c r="C3299" s="53" t="n">
        <v>52</v>
      </c>
      <c r="D3299" s="53" t="n">
        <v>2</v>
      </c>
      <c r="E3299" s="65" t="str">
        <f aca="false">IF($H3299="","",资金流水!$B52)</f>
        <v/>
      </c>
      <c r="F3299" s="55" t="str">
        <f aca="false">IF($H3299="","",资金流水!$C52)</f>
        <v/>
      </c>
      <c r="G3299" s="48" t="str">
        <f aca="false">IF($H3299="","",资金流水!$K52)</f>
        <v/>
      </c>
      <c r="H3299" s="10" t="str">
        <f aca="false">IF($L3299="","",IF($L3299="@对方",资金流水!$G52,IF($L3299="@账户",资金流水!$Q52,$L3299)))</f>
        <v/>
      </c>
      <c r="I3299" s="42" t="n">
        <f aca="false">IF($M3299="借",$O3299,0)</f>
        <v>0</v>
      </c>
      <c r="J3299" s="42" t="n">
        <f aca="false">IF($M3299="贷",$O3299,0)</f>
        <v>0</v>
      </c>
      <c r="K3299" s="48" t="str">
        <f aca="false">IF($H3299="","",资金流水!$F52)</f>
        <v/>
      </c>
      <c r="L3299" s="66" t="str">
        <f aca="false">IF(资金流水!$E52="","",IFERROR(INDEX(记账规则!$A$13:$H$32,MATCH(资金流水!$E52,记账规则!$A$13:$A$32,0),6),""))</f>
        <v/>
      </c>
      <c r="M3299" s="66" t="str">
        <f aca="false">IF($L3299="","",IFERROR(INDEX(记账规则!$A$13:$H$32,MATCH(资金流水!$E52,记账规则!$A$13:$A$32,0),7),""))</f>
        <v/>
      </c>
      <c r="N3299" s="66" t="str">
        <f aca="false">IF($L3299="","",IFERROR(INDEX(记账规则!$A$13:$H$32,MATCH(资金流水!$E52,记账规则!$A$13:$A$32,0),8),""))</f>
        <v/>
      </c>
      <c r="O3299" s="67" t="n">
        <f aca="false">IF($H3299="",0,ROUND(IF($N3299="金额",N(资金流水!$P52),0),2))</f>
        <v>0</v>
      </c>
      <c r="P3299" s="64" t="str">
        <f aca="false">IF(AND($H3299&lt;&gt;"",ROUND($O3299,2)&lt;&gt;0),"有","")</f>
        <v/>
      </c>
    </row>
    <row r="3300" customFormat="false" ht="15" hidden="true" customHeight="false" outlineLevel="0" collapsed="false">
      <c r="A3300" s="53" t="str">
        <f aca="false">IF($H3300="","",ROW()-5)</f>
        <v/>
      </c>
      <c r="B3300" s="64" t="s">
        <v>37</v>
      </c>
      <c r="C3300" s="53" t="n">
        <v>53</v>
      </c>
      <c r="D3300" s="53" t="n">
        <v>1</v>
      </c>
      <c r="E3300" s="65" t="str">
        <f aca="false">IF($H3300="","",资金流水!$B53)</f>
        <v/>
      </c>
      <c r="F3300" s="55" t="str">
        <f aca="false">IF($H3300="","",资金流水!$C53)</f>
        <v/>
      </c>
      <c r="G3300" s="48" t="str">
        <f aca="false">IF($H3300="","",资金流水!$K53)</f>
        <v/>
      </c>
      <c r="H3300" s="10" t="str">
        <f aca="false">IF($L3300="","",IF($L3300="@对方",资金流水!$G53,IF($L3300="@账户",资金流水!$Q53,$L3300)))</f>
        <v/>
      </c>
      <c r="I3300" s="42" t="n">
        <f aca="false">IF($M3300="借",$O3300,0)</f>
        <v>0</v>
      </c>
      <c r="J3300" s="42" t="n">
        <f aca="false">IF($M3300="贷",$O3300,0)</f>
        <v>0</v>
      </c>
      <c r="K3300" s="48" t="str">
        <f aca="false">IF($H3300="","",资金流水!$F53)</f>
        <v/>
      </c>
      <c r="L3300" s="66" t="str">
        <f aca="false">IF(资金流水!$E53="","",IFERROR(INDEX(记账规则!$A$13:$H$32,MATCH(资金流水!$E53,记账规则!$A$13:$A$32,0),3),""))</f>
        <v/>
      </c>
      <c r="M3300" s="66" t="str">
        <f aca="false">IF($L3300="","",IFERROR(INDEX(记账规则!$A$13:$H$32,MATCH(资金流水!$E53,记账规则!$A$13:$A$32,0),4),""))</f>
        <v/>
      </c>
      <c r="N3300" s="66" t="str">
        <f aca="false">IF($L3300="","",IFERROR(INDEX(记账规则!$A$13:$H$32,MATCH(资金流水!$E53,记账规则!$A$13:$A$32,0),5),""))</f>
        <v/>
      </c>
      <c r="O3300" s="67" t="n">
        <f aca="false">IF($H3300="",0,ROUND(IF($N3300="金额",N(资金流水!$P53),0),2))</f>
        <v>0</v>
      </c>
      <c r="P3300" s="64" t="str">
        <f aca="false">IF(AND($H3300&lt;&gt;"",ROUND($O3300,2)&lt;&gt;0),"有","")</f>
        <v/>
      </c>
    </row>
    <row r="3301" customFormat="false" ht="15" hidden="true" customHeight="false" outlineLevel="0" collapsed="false">
      <c r="A3301" s="53" t="str">
        <f aca="false">IF($H3301="","",ROW()-5)</f>
        <v/>
      </c>
      <c r="B3301" s="64" t="s">
        <v>37</v>
      </c>
      <c r="C3301" s="53" t="n">
        <v>53</v>
      </c>
      <c r="D3301" s="53" t="n">
        <v>2</v>
      </c>
      <c r="E3301" s="65" t="str">
        <f aca="false">IF($H3301="","",资金流水!$B53)</f>
        <v/>
      </c>
      <c r="F3301" s="55" t="str">
        <f aca="false">IF($H3301="","",资金流水!$C53)</f>
        <v/>
      </c>
      <c r="G3301" s="48" t="str">
        <f aca="false">IF($H3301="","",资金流水!$K53)</f>
        <v/>
      </c>
      <c r="H3301" s="10" t="str">
        <f aca="false">IF($L3301="","",IF($L3301="@对方",资金流水!$G53,IF($L3301="@账户",资金流水!$Q53,$L3301)))</f>
        <v/>
      </c>
      <c r="I3301" s="42" t="n">
        <f aca="false">IF($M3301="借",$O3301,0)</f>
        <v>0</v>
      </c>
      <c r="J3301" s="42" t="n">
        <f aca="false">IF($M3301="贷",$O3301,0)</f>
        <v>0</v>
      </c>
      <c r="K3301" s="48" t="str">
        <f aca="false">IF($H3301="","",资金流水!$F53)</f>
        <v/>
      </c>
      <c r="L3301" s="66" t="str">
        <f aca="false">IF(资金流水!$E53="","",IFERROR(INDEX(记账规则!$A$13:$H$32,MATCH(资金流水!$E53,记账规则!$A$13:$A$32,0),6),""))</f>
        <v/>
      </c>
      <c r="M3301" s="66" t="str">
        <f aca="false">IF($L3301="","",IFERROR(INDEX(记账规则!$A$13:$H$32,MATCH(资金流水!$E53,记账规则!$A$13:$A$32,0),7),""))</f>
        <v/>
      </c>
      <c r="N3301" s="66" t="str">
        <f aca="false">IF($L3301="","",IFERROR(INDEX(记账规则!$A$13:$H$32,MATCH(资金流水!$E53,记账规则!$A$13:$A$32,0),8),""))</f>
        <v/>
      </c>
      <c r="O3301" s="67" t="n">
        <f aca="false">IF($H3301="",0,ROUND(IF($N3301="金额",N(资金流水!$P53),0),2))</f>
        <v>0</v>
      </c>
      <c r="P3301" s="64" t="str">
        <f aca="false">IF(AND($H3301&lt;&gt;"",ROUND($O3301,2)&lt;&gt;0),"有","")</f>
        <v/>
      </c>
    </row>
    <row r="3302" customFormat="false" ht="15" hidden="true" customHeight="false" outlineLevel="0" collapsed="false">
      <c r="A3302" s="53" t="str">
        <f aca="false">IF($H3302="","",ROW()-5)</f>
        <v/>
      </c>
      <c r="B3302" s="64" t="s">
        <v>37</v>
      </c>
      <c r="C3302" s="53" t="n">
        <v>54</v>
      </c>
      <c r="D3302" s="53" t="n">
        <v>1</v>
      </c>
      <c r="E3302" s="65" t="str">
        <f aca="false">IF($H3302="","",资金流水!$B54)</f>
        <v/>
      </c>
      <c r="F3302" s="55" t="str">
        <f aca="false">IF($H3302="","",资金流水!$C54)</f>
        <v/>
      </c>
      <c r="G3302" s="48" t="str">
        <f aca="false">IF($H3302="","",资金流水!$K54)</f>
        <v/>
      </c>
      <c r="H3302" s="10" t="str">
        <f aca="false">IF($L3302="","",IF($L3302="@对方",资金流水!$G54,IF($L3302="@账户",资金流水!$Q54,$L3302)))</f>
        <v/>
      </c>
      <c r="I3302" s="42" t="n">
        <f aca="false">IF($M3302="借",$O3302,0)</f>
        <v>0</v>
      </c>
      <c r="J3302" s="42" t="n">
        <f aca="false">IF($M3302="贷",$O3302,0)</f>
        <v>0</v>
      </c>
      <c r="K3302" s="48" t="str">
        <f aca="false">IF($H3302="","",资金流水!$F54)</f>
        <v/>
      </c>
      <c r="L3302" s="66" t="str">
        <f aca="false">IF(资金流水!$E54="","",IFERROR(INDEX(记账规则!$A$13:$H$32,MATCH(资金流水!$E54,记账规则!$A$13:$A$32,0),3),""))</f>
        <v/>
      </c>
      <c r="M3302" s="66" t="str">
        <f aca="false">IF($L3302="","",IFERROR(INDEX(记账规则!$A$13:$H$32,MATCH(资金流水!$E54,记账规则!$A$13:$A$32,0),4),""))</f>
        <v/>
      </c>
      <c r="N3302" s="66" t="str">
        <f aca="false">IF($L3302="","",IFERROR(INDEX(记账规则!$A$13:$H$32,MATCH(资金流水!$E54,记账规则!$A$13:$A$32,0),5),""))</f>
        <v/>
      </c>
      <c r="O3302" s="67" t="n">
        <f aca="false">IF($H3302="",0,ROUND(IF($N3302="金额",N(资金流水!$P54),0),2))</f>
        <v>0</v>
      </c>
      <c r="P3302" s="64" t="str">
        <f aca="false">IF(AND($H3302&lt;&gt;"",ROUND($O3302,2)&lt;&gt;0),"有","")</f>
        <v/>
      </c>
    </row>
    <row r="3303" customFormat="false" ht="15" hidden="true" customHeight="false" outlineLevel="0" collapsed="false">
      <c r="A3303" s="53" t="str">
        <f aca="false">IF($H3303="","",ROW()-5)</f>
        <v/>
      </c>
      <c r="B3303" s="64" t="s">
        <v>37</v>
      </c>
      <c r="C3303" s="53" t="n">
        <v>54</v>
      </c>
      <c r="D3303" s="53" t="n">
        <v>2</v>
      </c>
      <c r="E3303" s="65" t="str">
        <f aca="false">IF($H3303="","",资金流水!$B54)</f>
        <v/>
      </c>
      <c r="F3303" s="55" t="str">
        <f aca="false">IF($H3303="","",资金流水!$C54)</f>
        <v/>
      </c>
      <c r="G3303" s="48" t="str">
        <f aca="false">IF($H3303="","",资金流水!$K54)</f>
        <v/>
      </c>
      <c r="H3303" s="10" t="str">
        <f aca="false">IF($L3303="","",IF($L3303="@对方",资金流水!$G54,IF($L3303="@账户",资金流水!$Q54,$L3303)))</f>
        <v/>
      </c>
      <c r="I3303" s="42" t="n">
        <f aca="false">IF($M3303="借",$O3303,0)</f>
        <v>0</v>
      </c>
      <c r="J3303" s="42" t="n">
        <f aca="false">IF($M3303="贷",$O3303,0)</f>
        <v>0</v>
      </c>
      <c r="K3303" s="48" t="str">
        <f aca="false">IF($H3303="","",资金流水!$F54)</f>
        <v/>
      </c>
      <c r="L3303" s="66" t="str">
        <f aca="false">IF(资金流水!$E54="","",IFERROR(INDEX(记账规则!$A$13:$H$32,MATCH(资金流水!$E54,记账规则!$A$13:$A$32,0),6),""))</f>
        <v/>
      </c>
      <c r="M3303" s="66" t="str">
        <f aca="false">IF($L3303="","",IFERROR(INDEX(记账规则!$A$13:$H$32,MATCH(资金流水!$E54,记账规则!$A$13:$A$32,0),7),""))</f>
        <v/>
      </c>
      <c r="N3303" s="66" t="str">
        <f aca="false">IF($L3303="","",IFERROR(INDEX(记账规则!$A$13:$H$32,MATCH(资金流水!$E54,记账规则!$A$13:$A$32,0),8),""))</f>
        <v/>
      </c>
      <c r="O3303" s="67" t="n">
        <f aca="false">IF($H3303="",0,ROUND(IF($N3303="金额",N(资金流水!$P54),0),2))</f>
        <v>0</v>
      </c>
      <c r="P3303" s="64" t="str">
        <f aca="false">IF(AND($H3303&lt;&gt;"",ROUND($O3303,2)&lt;&gt;0),"有","")</f>
        <v/>
      </c>
    </row>
    <row r="3304" customFormat="false" ht="15" hidden="true" customHeight="false" outlineLevel="0" collapsed="false">
      <c r="A3304" s="53" t="str">
        <f aca="false">IF($H3304="","",ROW()-5)</f>
        <v/>
      </c>
      <c r="B3304" s="64" t="s">
        <v>37</v>
      </c>
      <c r="C3304" s="53" t="n">
        <v>55</v>
      </c>
      <c r="D3304" s="53" t="n">
        <v>1</v>
      </c>
      <c r="E3304" s="65" t="str">
        <f aca="false">IF($H3304="","",资金流水!$B55)</f>
        <v/>
      </c>
      <c r="F3304" s="55" t="str">
        <f aca="false">IF($H3304="","",资金流水!$C55)</f>
        <v/>
      </c>
      <c r="G3304" s="48" t="str">
        <f aca="false">IF($H3304="","",资金流水!$K55)</f>
        <v/>
      </c>
      <c r="H3304" s="10" t="str">
        <f aca="false">IF($L3304="","",IF($L3304="@对方",资金流水!$G55,IF($L3304="@账户",资金流水!$Q55,$L3304)))</f>
        <v/>
      </c>
      <c r="I3304" s="42" t="n">
        <f aca="false">IF($M3304="借",$O3304,0)</f>
        <v>0</v>
      </c>
      <c r="J3304" s="42" t="n">
        <f aca="false">IF($M3304="贷",$O3304,0)</f>
        <v>0</v>
      </c>
      <c r="K3304" s="48" t="str">
        <f aca="false">IF($H3304="","",资金流水!$F55)</f>
        <v/>
      </c>
      <c r="L3304" s="66" t="str">
        <f aca="false">IF(资金流水!$E55="","",IFERROR(INDEX(记账规则!$A$13:$H$32,MATCH(资金流水!$E55,记账规则!$A$13:$A$32,0),3),""))</f>
        <v/>
      </c>
      <c r="M3304" s="66" t="str">
        <f aca="false">IF($L3304="","",IFERROR(INDEX(记账规则!$A$13:$H$32,MATCH(资金流水!$E55,记账规则!$A$13:$A$32,0),4),""))</f>
        <v/>
      </c>
      <c r="N3304" s="66" t="str">
        <f aca="false">IF($L3304="","",IFERROR(INDEX(记账规则!$A$13:$H$32,MATCH(资金流水!$E55,记账规则!$A$13:$A$32,0),5),""))</f>
        <v/>
      </c>
      <c r="O3304" s="67" t="n">
        <f aca="false">IF($H3304="",0,ROUND(IF($N3304="金额",N(资金流水!$P55),0),2))</f>
        <v>0</v>
      </c>
      <c r="P3304" s="64" t="str">
        <f aca="false">IF(AND($H3304&lt;&gt;"",ROUND($O3304,2)&lt;&gt;0),"有","")</f>
        <v/>
      </c>
    </row>
    <row r="3305" customFormat="false" ht="15" hidden="true" customHeight="false" outlineLevel="0" collapsed="false">
      <c r="A3305" s="53" t="str">
        <f aca="false">IF($H3305="","",ROW()-5)</f>
        <v/>
      </c>
      <c r="B3305" s="64" t="s">
        <v>37</v>
      </c>
      <c r="C3305" s="53" t="n">
        <v>55</v>
      </c>
      <c r="D3305" s="53" t="n">
        <v>2</v>
      </c>
      <c r="E3305" s="65" t="str">
        <f aca="false">IF($H3305="","",资金流水!$B55)</f>
        <v/>
      </c>
      <c r="F3305" s="55" t="str">
        <f aca="false">IF($H3305="","",资金流水!$C55)</f>
        <v/>
      </c>
      <c r="G3305" s="48" t="str">
        <f aca="false">IF($H3305="","",资金流水!$K55)</f>
        <v/>
      </c>
      <c r="H3305" s="10" t="str">
        <f aca="false">IF($L3305="","",IF($L3305="@对方",资金流水!$G55,IF($L3305="@账户",资金流水!$Q55,$L3305)))</f>
        <v/>
      </c>
      <c r="I3305" s="42" t="n">
        <f aca="false">IF($M3305="借",$O3305,0)</f>
        <v>0</v>
      </c>
      <c r="J3305" s="42" t="n">
        <f aca="false">IF($M3305="贷",$O3305,0)</f>
        <v>0</v>
      </c>
      <c r="K3305" s="48" t="str">
        <f aca="false">IF($H3305="","",资金流水!$F55)</f>
        <v/>
      </c>
      <c r="L3305" s="66" t="str">
        <f aca="false">IF(资金流水!$E55="","",IFERROR(INDEX(记账规则!$A$13:$H$32,MATCH(资金流水!$E55,记账规则!$A$13:$A$32,0),6),""))</f>
        <v/>
      </c>
      <c r="M3305" s="66" t="str">
        <f aca="false">IF($L3305="","",IFERROR(INDEX(记账规则!$A$13:$H$32,MATCH(资金流水!$E55,记账规则!$A$13:$A$32,0),7),""))</f>
        <v/>
      </c>
      <c r="N3305" s="66" t="str">
        <f aca="false">IF($L3305="","",IFERROR(INDEX(记账规则!$A$13:$H$32,MATCH(资金流水!$E55,记账规则!$A$13:$A$32,0),8),""))</f>
        <v/>
      </c>
      <c r="O3305" s="67" t="n">
        <f aca="false">IF($H3305="",0,ROUND(IF($N3305="金额",N(资金流水!$P55),0),2))</f>
        <v>0</v>
      </c>
      <c r="P3305" s="64" t="str">
        <f aca="false">IF(AND($H3305&lt;&gt;"",ROUND($O3305,2)&lt;&gt;0),"有","")</f>
        <v/>
      </c>
    </row>
    <row r="3306" customFormat="false" ht="15" hidden="true" customHeight="false" outlineLevel="0" collapsed="false">
      <c r="A3306" s="53" t="str">
        <f aca="false">IF($H3306="","",ROW()-5)</f>
        <v/>
      </c>
      <c r="B3306" s="64" t="s">
        <v>37</v>
      </c>
      <c r="C3306" s="53" t="n">
        <v>56</v>
      </c>
      <c r="D3306" s="53" t="n">
        <v>1</v>
      </c>
      <c r="E3306" s="65" t="str">
        <f aca="false">IF($H3306="","",资金流水!$B56)</f>
        <v/>
      </c>
      <c r="F3306" s="55" t="str">
        <f aca="false">IF($H3306="","",资金流水!$C56)</f>
        <v/>
      </c>
      <c r="G3306" s="48" t="str">
        <f aca="false">IF($H3306="","",资金流水!$K56)</f>
        <v/>
      </c>
      <c r="H3306" s="10" t="str">
        <f aca="false">IF($L3306="","",IF($L3306="@对方",资金流水!$G56,IF($L3306="@账户",资金流水!$Q56,$L3306)))</f>
        <v/>
      </c>
      <c r="I3306" s="42" t="n">
        <f aca="false">IF($M3306="借",$O3306,0)</f>
        <v>0</v>
      </c>
      <c r="J3306" s="42" t="n">
        <f aca="false">IF($M3306="贷",$O3306,0)</f>
        <v>0</v>
      </c>
      <c r="K3306" s="48" t="str">
        <f aca="false">IF($H3306="","",资金流水!$F56)</f>
        <v/>
      </c>
      <c r="L3306" s="66" t="str">
        <f aca="false">IF(资金流水!$E56="","",IFERROR(INDEX(记账规则!$A$13:$H$32,MATCH(资金流水!$E56,记账规则!$A$13:$A$32,0),3),""))</f>
        <v/>
      </c>
      <c r="M3306" s="66" t="str">
        <f aca="false">IF($L3306="","",IFERROR(INDEX(记账规则!$A$13:$H$32,MATCH(资金流水!$E56,记账规则!$A$13:$A$32,0),4),""))</f>
        <v/>
      </c>
      <c r="N3306" s="66" t="str">
        <f aca="false">IF($L3306="","",IFERROR(INDEX(记账规则!$A$13:$H$32,MATCH(资金流水!$E56,记账规则!$A$13:$A$32,0),5),""))</f>
        <v/>
      </c>
      <c r="O3306" s="67" t="n">
        <f aca="false">IF($H3306="",0,ROUND(IF($N3306="金额",N(资金流水!$P56),0),2))</f>
        <v>0</v>
      </c>
      <c r="P3306" s="64" t="str">
        <f aca="false">IF(AND($H3306&lt;&gt;"",ROUND($O3306,2)&lt;&gt;0),"有","")</f>
        <v/>
      </c>
    </row>
    <row r="3307" customFormat="false" ht="15" hidden="true" customHeight="false" outlineLevel="0" collapsed="false">
      <c r="A3307" s="53" t="str">
        <f aca="false">IF($H3307="","",ROW()-5)</f>
        <v/>
      </c>
      <c r="B3307" s="64" t="s">
        <v>37</v>
      </c>
      <c r="C3307" s="53" t="n">
        <v>56</v>
      </c>
      <c r="D3307" s="53" t="n">
        <v>2</v>
      </c>
      <c r="E3307" s="65" t="str">
        <f aca="false">IF($H3307="","",资金流水!$B56)</f>
        <v/>
      </c>
      <c r="F3307" s="55" t="str">
        <f aca="false">IF($H3307="","",资金流水!$C56)</f>
        <v/>
      </c>
      <c r="G3307" s="48" t="str">
        <f aca="false">IF($H3307="","",资金流水!$K56)</f>
        <v/>
      </c>
      <c r="H3307" s="10" t="str">
        <f aca="false">IF($L3307="","",IF($L3307="@对方",资金流水!$G56,IF($L3307="@账户",资金流水!$Q56,$L3307)))</f>
        <v/>
      </c>
      <c r="I3307" s="42" t="n">
        <f aca="false">IF($M3307="借",$O3307,0)</f>
        <v>0</v>
      </c>
      <c r="J3307" s="42" t="n">
        <f aca="false">IF($M3307="贷",$O3307,0)</f>
        <v>0</v>
      </c>
      <c r="K3307" s="48" t="str">
        <f aca="false">IF($H3307="","",资金流水!$F56)</f>
        <v/>
      </c>
      <c r="L3307" s="66" t="str">
        <f aca="false">IF(资金流水!$E56="","",IFERROR(INDEX(记账规则!$A$13:$H$32,MATCH(资金流水!$E56,记账规则!$A$13:$A$32,0),6),""))</f>
        <v/>
      </c>
      <c r="M3307" s="66" t="str">
        <f aca="false">IF($L3307="","",IFERROR(INDEX(记账规则!$A$13:$H$32,MATCH(资金流水!$E56,记账规则!$A$13:$A$32,0),7),""))</f>
        <v/>
      </c>
      <c r="N3307" s="66" t="str">
        <f aca="false">IF($L3307="","",IFERROR(INDEX(记账规则!$A$13:$H$32,MATCH(资金流水!$E56,记账规则!$A$13:$A$32,0),8),""))</f>
        <v/>
      </c>
      <c r="O3307" s="67" t="n">
        <f aca="false">IF($H3307="",0,ROUND(IF($N3307="金额",N(资金流水!$P56),0),2))</f>
        <v>0</v>
      </c>
      <c r="P3307" s="64" t="str">
        <f aca="false">IF(AND($H3307&lt;&gt;"",ROUND($O3307,2)&lt;&gt;0),"有","")</f>
        <v/>
      </c>
    </row>
    <row r="3308" customFormat="false" ht="15" hidden="true" customHeight="false" outlineLevel="0" collapsed="false">
      <c r="A3308" s="53" t="str">
        <f aca="false">IF($H3308="","",ROW()-5)</f>
        <v/>
      </c>
      <c r="B3308" s="64" t="s">
        <v>37</v>
      </c>
      <c r="C3308" s="53" t="n">
        <v>57</v>
      </c>
      <c r="D3308" s="53" t="n">
        <v>1</v>
      </c>
      <c r="E3308" s="65" t="str">
        <f aca="false">IF($H3308="","",资金流水!$B57)</f>
        <v/>
      </c>
      <c r="F3308" s="55" t="str">
        <f aca="false">IF($H3308="","",资金流水!$C57)</f>
        <v/>
      </c>
      <c r="G3308" s="48" t="str">
        <f aca="false">IF($H3308="","",资金流水!$K57)</f>
        <v/>
      </c>
      <c r="H3308" s="10" t="str">
        <f aca="false">IF($L3308="","",IF($L3308="@对方",资金流水!$G57,IF($L3308="@账户",资金流水!$Q57,$L3308)))</f>
        <v/>
      </c>
      <c r="I3308" s="42" t="n">
        <f aca="false">IF($M3308="借",$O3308,0)</f>
        <v>0</v>
      </c>
      <c r="J3308" s="42" t="n">
        <f aca="false">IF($M3308="贷",$O3308,0)</f>
        <v>0</v>
      </c>
      <c r="K3308" s="48" t="str">
        <f aca="false">IF($H3308="","",资金流水!$F57)</f>
        <v/>
      </c>
      <c r="L3308" s="66" t="str">
        <f aca="false">IF(资金流水!$E57="","",IFERROR(INDEX(记账规则!$A$13:$H$32,MATCH(资金流水!$E57,记账规则!$A$13:$A$32,0),3),""))</f>
        <v/>
      </c>
      <c r="M3308" s="66" t="str">
        <f aca="false">IF($L3308="","",IFERROR(INDEX(记账规则!$A$13:$H$32,MATCH(资金流水!$E57,记账规则!$A$13:$A$32,0),4),""))</f>
        <v/>
      </c>
      <c r="N3308" s="66" t="str">
        <f aca="false">IF($L3308="","",IFERROR(INDEX(记账规则!$A$13:$H$32,MATCH(资金流水!$E57,记账规则!$A$13:$A$32,0),5),""))</f>
        <v/>
      </c>
      <c r="O3308" s="67" t="n">
        <f aca="false">IF($H3308="",0,ROUND(IF($N3308="金额",N(资金流水!$P57),0),2))</f>
        <v>0</v>
      </c>
      <c r="P3308" s="64" t="str">
        <f aca="false">IF(AND($H3308&lt;&gt;"",ROUND($O3308,2)&lt;&gt;0),"有","")</f>
        <v/>
      </c>
    </row>
    <row r="3309" customFormat="false" ht="15" hidden="true" customHeight="false" outlineLevel="0" collapsed="false">
      <c r="A3309" s="53" t="str">
        <f aca="false">IF($H3309="","",ROW()-5)</f>
        <v/>
      </c>
      <c r="B3309" s="64" t="s">
        <v>37</v>
      </c>
      <c r="C3309" s="53" t="n">
        <v>57</v>
      </c>
      <c r="D3309" s="53" t="n">
        <v>2</v>
      </c>
      <c r="E3309" s="65" t="str">
        <f aca="false">IF($H3309="","",资金流水!$B57)</f>
        <v/>
      </c>
      <c r="F3309" s="55" t="str">
        <f aca="false">IF($H3309="","",资金流水!$C57)</f>
        <v/>
      </c>
      <c r="G3309" s="48" t="str">
        <f aca="false">IF($H3309="","",资金流水!$K57)</f>
        <v/>
      </c>
      <c r="H3309" s="10" t="str">
        <f aca="false">IF($L3309="","",IF($L3309="@对方",资金流水!$G57,IF($L3309="@账户",资金流水!$Q57,$L3309)))</f>
        <v/>
      </c>
      <c r="I3309" s="42" t="n">
        <f aca="false">IF($M3309="借",$O3309,0)</f>
        <v>0</v>
      </c>
      <c r="J3309" s="42" t="n">
        <f aca="false">IF($M3309="贷",$O3309,0)</f>
        <v>0</v>
      </c>
      <c r="K3309" s="48" t="str">
        <f aca="false">IF($H3309="","",资金流水!$F57)</f>
        <v/>
      </c>
      <c r="L3309" s="66" t="str">
        <f aca="false">IF(资金流水!$E57="","",IFERROR(INDEX(记账规则!$A$13:$H$32,MATCH(资金流水!$E57,记账规则!$A$13:$A$32,0),6),""))</f>
        <v/>
      </c>
      <c r="M3309" s="66" t="str">
        <f aca="false">IF($L3309="","",IFERROR(INDEX(记账规则!$A$13:$H$32,MATCH(资金流水!$E57,记账规则!$A$13:$A$32,0),7),""))</f>
        <v/>
      </c>
      <c r="N3309" s="66" t="str">
        <f aca="false">IF($L3309="","",IFERROR(INDEX(记账规则!$A$13:$H$32,MATCH(资金流水!$E57,记账规则!$A$13:$A$32,0),8),""))</f>
        <v/>
      </c>
      <c r="O3309" s="67" t="n">
        <f aca="false">IF($H3309="",0,ROUND(IF($N3309="金额",N(资金流水!$P57),0),2))</f>
        <v>0</v>
      </c>
      <c r="P3309" s="64" t="str">
        <f aca="false">IF(AND($H3309&lt;&gt;"",ROUND($O3309,2)&lt;&gt;0),"有","")</f>
        <v/>
      </c>
    </row>
    <row r="3310" customFormat="false" ht="15" hidden="true" customHeight="false" outlineLevel="0" collapsed="false">
      <c r="A3310" s="53" t="str">
        <f aca="false">IF($H3310="","",ROW()-5)</f>
        <v/>
      </c>
      <c r="B3310" s="64" t="s">
        <v>37</v>
      </c>
      <c r="C3310" s="53" t="n">
        <v>58</v>
      </c>
      <c r="D3310" s="53" t="n">
        <v>1</v>
      </c>
      <c r="E3310" s="65" t="str">
        <f aca="false">IF($H3310="","",资金流水!$B58)</f>
        <v/>
      </c>
      <c r="F3310" s="55" t="str">
        <f aca="false">IF($H3310="","",资金流水!$C58)</f>
        <v/>
      </c>
      <c r="G3310" s="48" t="str">
        <f aca="false">IF($H3310="","",资金流水!$K58)</f>
        <v/>
      </c>
      <c r="H3310" s="10" t="str">
        <f aca="false">IF($L3310="","",IF($L3310="@对方",资金流水!$G58,IF($L3310="@账户",资金流水!$Q58,$L3310)))</f>
        <v/>
      </c>
      <c r="I3310" s="42" t="n">
        <f aca="false">IF($M3310="借",$O3310,0)</f>
        <v>0</v>
      </c>
      <c r="J3310" s="42" t="n">
        <f aca="false">IF($M3310="贷",$O3310,0)</f>
        <v>0</v>
      </c>
      <c r="K3310" s="48" t="str">
        <f aca="false">IF($H3310="","",资金流水!$F58)</f>
        <v/>
      </c>
      <c r="L3310" s="66" t="str">
        <f aca="false">IF(资金流水!$E58="","",IFERROR(INDEX(记账规则!$A$13:$H$32,MATCH(资金流水!$E58,记账规则!$A$13:$A$32,0),3),""))</f>
        <v/>
      </c>
      <c r="M3310" s="66" t="str">
        <f aca="false">IF($L3310="","",IFERROR(INDEX(记账规则!$A$13:$H$32,MATCH(资金流水!$E58,记账规则!$A$13:$A$32,0),4),""))</f>
        <v/>
      </c>
      <c r="N3310" s="66" t="str">
        <f aca="false">IF($L3310="","",IFERROR(INDEX(记账规则!$A$13:$H$32,MATCH(资金流水!$E58,记账规则!$A$13:$A$32,0),5),""))</f>
        <v/>
      </c>
      <c r="O3310" s="67" t="n">
        <f aca="false">IF($H3310="",0,ROUND(IF($N3310="金额",N(资金流水!$P58),0),2))</f>
        <v>0</v>
      </c>
      <c r="P3310" s="64" t="str">
        <f aca="false">IF(AND($H3310&lt;&gt;"",ROUND($O3310,2)&lt;&gt;0),"有","")</f>
        <v/>
      </c>
    </row>
    <row r="3311" customFormat="false" ht="15" hidden="true" customHeight="false" outlineLevel="0" collapsed="false">
      <c r="A3311" s="53" t="str">
        <f aca="false">IF($H3311="","",ROW()-5)</f>
        <v/>
      </c>
      <c r="B3311" s="64" t="s">
        <v>37</v>
      </c>
      <c r="C3311" s="53" t="n">
        <v>58</v>
      </c>
      <c r="D3311" s="53" t="n">
        <v>2</v>
      </c>
      <c r="E3311" s="65" t="str">
        <f aca="false">IF($H3311="","",资金流水!$B58)</f>
        <v/>
      </c>
      <c r="F3311" s="55" t="str">
        <f aca="false">IF($H3311="","",资金流水!$C58)</f>
        <v/>
      </c>
      <c r="G3311" s="48" t="str">
        <f aca="false">IF($H3311="","",资金流水!$K58)</f>
        <v/>
      </c>
      <c r="H3311" s="10" t="str">
        <f aca="false">IF($L3311="","",IF($L3311="@对方",资金流水!$G58,IF($L3311="@账户",资金流水!$Q58,$L3311)))</f>
        <v/>
      </c>
      <c r="I3311" s="42" t="n">
        <f aca="false">IF($M3311="借",$O3311,0)</f>
        <v>0</v>
      </c>
      <c r="J3311" s="42" t="n">
        <f aca="false">IF($M3311="贷",$O3311,0)</f>
        <v>0</v>
      </c>
      <c r="K3311" s="48" t="str">
        <f aca="false">IF($H3311="","",资金流水!$F58)</f>
        <v/>
      </c>
      <c r="L3311" s="66" t="str">
        <f aca="false">IF(资金流水!$E58="","",IFERROR(INDEX(记账规则!$A$13:$H$32,MATCH(资金流水!$E58,记账规则!$A$13:$A$32,0),6),""))</f>
        <v/>
      </c>
      <c r="M3311" s="66" t="str">
        <f aca="false">IF($L3311="","",IFERROR(INDEX(记账规则!$A$13:$H$32,MATCH(资金流水!$E58,记账规则!$A$13:$A$32,0),7),""))</f>
        <v/>
      </c>
      <c r="N3311" s="66" t="str">
        <f aca="false">IF($L3311="","",IFERROR(INDEX(记账规则!$A$13:$H$32,MATCH(资金流水!$E58,记账规则!$A$13:$A$32,0),8),""))</f>
        <v/>
      </c>
      <c r="O3311" s="67" t="n">
        <f aca="false">IF($H3311="",0,ROUND(IF($N3311="金额",N(资金流水!$P58),0),2))</f>
        <v>0</v>
      </c>
      <c r="P3311" s="64" t="str">
        <f aca="false">IF(AND($H3311&lt;&gt;"",ROUND($O3311,2)&lt;&gt;0),"有","")</f>
        <v/>
      </c>
    </row>
    <row r="3312" customFormat="false" ht="15" hidden="true" customHeight="false" outlineLevel="0" collapsed="false">
      <c r="A3312" s="53" t="str">
        <f aca="false">IF($H3312="","",ROW()-5)</f>
        <v/>
      </c>
      <c r="B3312" s="64" t="s">
        <v>37</v>
      </c>
      <c r="C3312" s="53" t="n">
        <v>59</v>
      </c>
      <c r="D3312" s="53" t="n">
        <v>1</v>
      </c>
      <c r="E3312" s="65" t="str">
        <f aca="false">IF($H3312="","",资金流水!$B59)</f>
        <v/>
      </c>
      <c r="F3312" s="55" t="str">
        <f aca="false">IF($H3312="","",资金流水!$C59)</f>
        <v/>
      </c>
      <c r="G3312" s="48" t="str">
        <f aca="false">IF($H3312="","",资金流水!$K59)</f>
        <v/>
      </c>
      <c r="H3312" s="10" t="str">
        <f aca="false">IF($L3312="","",IF($L3312="@对方",资金流水!$G59,IF($L3312="@账户",资金流水!$Q59,$L3312)))</f>
        <v/>
      </c>
      <c r="I3312" s="42" t="n">
        <f aca="false">IF($M3312="借",$O3312,0)</f>
        <v>0</v>
      </c>
      <c r="J3312" s="42" t="n">
        <f aca="false">IF($M3312="贷",$O3312,0)</f>
        <v>0</v>
      </c>
      <c r="K3312" s="48" t="str">
        <f aca="false">IF($H3312="","",资金流水!$F59)</f>
        <v/>
      </c>
      <c r="L3312" s="66" t="str">
        <f aca="false">IF(资金流水!$E59="","",IFERROR(INDEX(记账规则!$A$13:$H$32,MATCH(资金流水!$E59,记账规则!$A$13:$A$32,0),3),""))</f>
        <v/>
      </c>
      <c r="M3312" s="66" t="str">
        <f aca="false">IF($L3312="","",IFERROR(INDEX(记账规则!$A$13:$H$32,MATCH(资金流水!$E59,记账规则!$A$13:$A$32,0),4),""))</f>
        <v/>
      </c>
      <c r="N3312" s="66" t="str">
        <f aca="false">IF($L3312="","",IFERROR(INDEX(记账规则!$A$13:$H$32,MATCH(资金流水!$E59,记账规则!$A$13:$A$32,0),5),""))</f>
        <v/>
      </c>
      <c r="O3312" s="67" t="n">
        <f aca="false">IF($H3312="",0,ROUND(IF($N3312="金额",N(资金流水!$P59),0),2))</f>
        <v>0</v>
      </c>
      <c r="P3312" s="64" t="str">
        <f aca="false">IF(AND($H3312&lt;&gt;"",ROUND($O3312,2)&lt;&gt;0),"有","")</f>
        <v/>
      </c>
    </row>
    <row r="3313" customFormat="false" ht="15" hidden="true" customHeight="false" outlineLevel="0" collapsed="false">
      <c r="A3313" s="53" t="str">
        <f aca="false">IF($H3313="","",ROW()-5)</f>
        <v/>
      </c>
      <c r="B3313" s="64" t="s">
        <v>37</v>
      </c>
      <c r="C3313" s="53" t="n">
        <v>59</v>
      </c>
      <c r="D3313" s="53" t="n">
        <v>2</v>
      </c>
      <c r="E3313" s="65" t="str">
        <f aca="false">IF($H3313="","",资金流水!$B59)</f>
        <v/>
      </c>
      <c r="F3313" s="55" t="str">
        <f aca="false">IF($H3313="","",资金流水!$C59)</f>
        <v/>
      </c>
      <c r="G3313" s="48" t="str">
        <f aca="false">IF($H3313="","",资金流水!$K59)</f>
        <v/>
      </c>
      <c r="H3313" s="10" t="str">
        <f aca="false">IF($L3313="","",IF($L3313="@对方",资金流水!$G59,IF($L3313="@账户",资金流水!$Q59,$L3313)))</f>
        <v/>
      </c>
      <c r="I3313" s="42" t="n">
        <f aca="false">IF($M3313="借",$O3313,0)</f>
        <v>0</v>
      </c>
      <c r="J3313" s="42" t="n">
        <f aca="false">IF($M3313="贷",$O3313,0)</f>
        <v>0</v>
      </c>
      <c r="K3313" s="48" t="str">
        <f aca="false">IF($H3313="","",资金流水!$F59)</f>
        <v/>
      </c>
      <c r="L3313" s="66" t="str">
        <f aca="false">IF(资金流水!$E59="","",IFERROR(INDEX(记账规则!$A$13:$H$32,MATCH(资金流水!$E59,记账规则!$A$13:$A$32,0),6),""))</f>
        <v/>
      </c>
      <c r="M3313" s="66" t="str">
        <f aca="false">IF($L3313="","",IFERROR(INDEX(记账规则!$A$13:$H$32,MATCH(资金流水!$E59,记账规则!$A$13:$A$32,0),7),""))</f>
        <v/>
      </c>
      <c r="N3313" s="66" t="str">
        <f aca="false">IF($L3313="","",IFERROR(INDEX(记账规则!$A$13:$H$32,MATCH(资金流水!$E59,记账规则!$A$13:$A$32,0),8),""))</f>
        <v/>
      </c>
      <c r="O3313" s="67" t="n">
        <f aca="false">IF($H3313="",0,ROUND(IF($N3313="金额",N(资金流水!$P59),0),2))</f>
        <v>0</v>
      </c>
      <c r="P3313" s="64" t="str">
        <f aca="false">IF(AND($H3313&lt;&gt;"",ROUND($O3313,2)&lt;&gt;0),"有","")</f>
        <v/>
      </c>
    </row>
    <row r="3314" customFormat="false" ht="15" hidden="true" customHeight="false" outlineLevel="0" collapsed="false">
      <c r="A3314" s="53" t="str">
        <f aca="false">IF($H3314="","",ROW()-5)</f>
        <v/>
      </c>
      <c r="B3314" s="64" t="s">
        <v>37</v>
      </c>
      <c r="C3314" s="53" t="n">
        <v>60</v>
      </c>
      <c r="D3314" s="53" t="n">
        <v>1</v>
      </c>
      <c r="E3314" s="65" t="str">
        <f aca="false">IF($H3314="","",资金流水!$B60)</f>
        <v/>
      </c>
      <c r="F3314" s="55" t="str">
        <f aca="false">IF($H3314="","",资金流水!$C60)</f>
        <v/>
      </c>
      <c r="G3314" s="48" t="str">
        <f aca="false">IF($H3314="","",资金流水!$K60)</f>
        <v/>
      </c>
      <c r="H3314" s="10" t="str">
        <f aca="false">IF($L3314="","",IF($L3314="@对方",资金流水!$G60,IF($L3314="@账户",资金流水!$Q60,$L3314)))</f>
        <v/>
      </c>
      <c r="I3314" s="42" t="n">
        <f aca="false">IF($M3314="借",$O3314,0)</f>
        <v>0</v>
      </c>
      <c r="J3314" s="42" t="n">
        <f aca="false">IF($M3314="贷",$O3314,0)</f>
        <v>0</v>
      </c>
      <c r="K3314" s="48" t="str">
        <f aca="false">IF($H3314="","",资金流水!$F60)</f>
        <v/>
      </c>
      <c r="L3314" s="66" t="str">
        <f aca="false">IF(资金流水!$E60="","",IFERROR(INDEX(记账规则!$A$13:$H$32,MATCH(资金流水!$E60,记账规则!$A$13:$A$32,0),3),""))</f>
        <v/>
      </c>
      <c r="M3314" s="66" t="str">
        <f aca="false">IF($L3314="","",IFERROR(INDEX(记账规则!$A$13:$H$32,MATCH(资金流水!$E60,记账规则!$A$13:$A$32,0),4),""))</f>
        <v/>
      </c>
      <c r="N3314" s="66" t="str">
        <f aca="false">IF($L3314="","",IFERROR(INDEX(记账规则!$A$13:$H$32,MATCH(资金流水!$E60,记账规则!$A$13:$A$32,0),5),""))</f>
        <v/>
      </c>
      <c r="O3314" s="67" t="n">
        <f aca="false">IF($H3314="",0,ROUND(IF($N3314="金额",N(资金流水!$P60),0),2))</f>
        <v>0</v>
      </c>
      <c r="P3314" s="64" t="str">
        <f aca="false">IF(AND($H3314&lt;&gt;"",ROUND($O3314,2)&lt;&gt;0),"有","")</f>
        <v/>
      </c>
    </row>
    <row r="3315" customFormat="false" ht="15" hidden="true" customHeight="false" outlineLevel="0" collapsed="false">
      <c r="A3315" s="53" t="str">
        <f aca="false">IF($H3315="","",ROW()-5)</f>
        <v/>
      </c>
      <c r="B3315" s="64" t="s">
        <v>37</v>
      </c>
      <c r="C3315" s="53" t="n">
        <v>60</v>
      </c>
      <c r="D3315" s="53" t="n">
        <v>2</v>
      </c>
      <c r="E3315" s="65" t="str">
        <f aca="false">IF($H3315="","",资金流水!$B60)</f>
        <v/>
      </c>
      <c r="F3315" s="55" t="str">
        <f aca="false">IF($H3315="","",资金流水!$C60)</f>
        <v/>
      </c>
      <c r="G3315" s="48" t="str">
        <f aca="false">IF($H3315="","",资金流水!$K60)</f>
        <v/>
      </c>
      <c r="H3315" s="10" t="str">
        <f aca="false">IF($L3315="","",IF($L3315="@对方",资金流水!$G60,IF($L3315="@账户",资金流水!$Q60,$L3315)))</f>
        <v/>
      </c>
      <c r="I3315" s="42" t="n">
        <f aca="false">IF($M3315="借",$O3315,0)</f>
        <v>0</v>
      </c>
      <c r="J3315" s="42" t="n">
        <f aca="false">IF($M3315="贷",$O3315,0)</f>
        <v>0</v>
      </c>
      <c r="K3315" s="48" t="str">
        <f aca="false">IF($H3315="","",资金流水!$F60)</f>
        <v/>
      </c>
      <c r="L3315" s="66" t="str">
        <f aca="false">IF(资金流水!$E60="","",IFERROR(INDEX(记账规则!$A$13:$H$32,MATCH(资金流水!$E60,记账规则!$A$13:$A$32,0),6),""))</f>
        <v/>
      </c>
      <c r="M3315" s="66" t="str">
        <f aca="false">IF($L3315="","",IFERROR(INDEX(记账规则!$A$13:$H$32,MATCH(资金流水!$E60,记账规则!$A$13:$A$32,0),7),""))</f>
        <v/>
      </c>
      <c r="N3315" s="66" t="str">
        <f aca="false">IF($L3315="","",IFERROR(INDEX(记账规则!$A$13:$H$32,MATCH(资金流水!$E60,记账规则!$A$13:$A$32,0),8),""))</f>
        <v/>
      </c>
      <c r="O3315" s="67" t="n">
        <f aca="false">IF($H3315="",0,ROUND(IF($N3315="金额",N(资金流水!$P60),0),2))</f>
        <v>0</v>
      </c>
      <c r="P3315" s="64" t="str">
        <f aca="false">IF(AND($H3315&lt;&gt;"",ROUND($O3315,2)&lt;&gt;0),"有","")</f>
        <v/>
      </c>
    </row>
    <row r="3316" customFormat="false" ht="15" hidden="true" customHeight="false" outlineLevel="0" collapsed="false">
      <c r="A3316" s="53" t="str">
        <f aca="false">IF($H3316="","",ROW()-5)</f>
        <v/>
      </c>
      <c r="B3316" s="64" t="s">
        <v>37</v>
      </c>
      <c r="C3316" s="53" t="n">
        <v>61</v>
      </c>
      <c r="D3316" s="53" t="n">
        <v>1</v>
      </c>
      <c r="E3316" s="65" t="str">
        <f aca="false">IF($H3316="","",资金流水!$B61)</f>
        <v/>
      </c>
      <c r="F3316" s="55" t="str">
        <f aca="false">IF($H3316="","",资金流水!$C61)</f>
        <v/>
      </c>
      <c r="G3316" s="48" t="str">
        <f aca="false">IF($H3316="","",资金流水!$K61)</f>
        <v/>
      </c>
      <c r="H3316" s="10" t="str">
        <f aca="false">IF($L3316="","",IF($L3316="@对方",资金流水!$G61,IF($L3316="@账户",资金流水!$Q61,$L3316)))</f>
        <v/>
      </c>
      <c r="I3316" s="42" t="n">
        <f aca="false">IF($M3316="借",$O3316,0)</f>
        <v>0</v>
      </c>
      <c r="J3316" s="42" t="n">
        <f aca="false">IF($M3316="贷",$O3316,0)</f>
        <v>0</v>
      </c>
      <c r="K3316" s="48" t="str">
        <f aca="false">IF($H3316="","",资金流水!$F61)</f>
        <v/>
      </c>
      <c r="L3316" s="66" t="str">
        <f aca="false">IF(资金流水!$E61="","",IFERROR(INDEX(记账规则!$A$13:$H$32,MATCH(资金流水!$E61,记账规则!$A$13:$A$32,0),3),""))</f>
        <v/>
      </c>
      <c r="M3316" s="66" t="str">
        <f aca="false">IF($L3316="","",IFERROR(INDEX(记账规则!$A$13:$H$32,MATCH(资金流水!$E61,记账规则!$A$13:$A$32,0),4),""))</f>
        <v/>
      </c>
      <c r="N3316" s="66" t="str">
        <f aca="false">IF($L3316="","",IFERROR(INDEX(记账规则!$A$13:$H$32,MATCH(资金流水!$E61,记账规则!$A$13:$A$32,0),5),""))</f>
        <v/>
      </c>
      <c r="O3316" s="67" t="n">
        <f aca="false">IF($H3316="",0,ROUND(IF($N3316="金额",N(资金流水!$P61),0),2))</f>
        <v>0</v>
      </c>
      <c r="P3316" s="64" t="str">
        <f aca="false">IF(AND($H3316&lt;&gt;"",ROUND($O3316,2)&lt;&gt;0),"有","")</f>
        <v/>
      </c>
    </row>
    <row r="3317" customFormat="false" ht="15" hidden="true" customHeight="false" outlineLevel="0" collapsed="false">
      <c r="A3317" s="53" t="str">
        <f aca="false">IF($H3317="","",ROW()-5)</f>
        <v/>
      </c>
      <c r="B3317" s="64" t="s">
        <v>37</v>
      </c>
      <c r="C3317" s="53" t="n">
        <v>61</v>
      </c>
      <c r="D3317" s="53" t="n">
        <v>2</v>
      </c>
      <c r="E3317" s="65" t="str">
        <f aca="false">IF($H3317="","",资金流水!$B61)</f>
        <v/>
      </c>
      <c r="F3317" s="55" t="str">
        <f aca="false">IF($H3317="","",资金流水!$C61)</f>
        <v/>
      </c>
      <c r="G3317" s="48" t="str">
        <f aca="false">IF($H3317="","",资金流水!$K61)</f>
        <v/>
      </c>
      <c r="H3317" s="10" t="str">
        <f aca="false">IF($L3317="","",IF($L3317="@对方",资金流水!$G61,IF($L3317="@账户",资金流水!$Q61,$L3317)))</f>
        <v/>
      </c>
      <c r="I3317" s="42" t="n">
        <f aca="false">IF($M3317="借",$O3317,0)</f>
        <v>0</v>
      </c>
      <c r="J3317" s="42" t="n">
        <f aca="false">IF($M3317="贷",$O3317,0)</f>
        <v>0</v>
      </c>
      <c r="K3317" s="48" t="str">
        <f aca="false">IF($H3317="","",资金流水!$F61)</f>
        <v/>
      </c>
      <c r="L3317" s="66" t="str">
        <f aca="false">IF(资金流水!$E61="","",IFERROR(INDEX(记账规则!$A$13:$H$32,MATCH(资金流水!$E61,记账规则!$A$13:$A$32,0),6),""))</f>
        <v/>
      </c>
      <c r="M3317" s="66" t="str">
        <f aca="false">IF($L3317="","",IFERROR(INDEX(记账规则!$A$13:$H$32,MATCH(资金流水!$E61,记账规则!$A$13:$A$32,0),7),""))</f>
        <v/>
      </c>
      <c r="N3317" s="66" t="str">
        <f aca="false">IF($L3317="","",IFERROR(INDEX(记账规则!$A$13:$H$32,MATCH(资金流水!$E61,记账规则!$A$13:$A$32,0),8),""))</f>
        <v/>
      </c>
      <c r="O3317" s="67" t="n">
        <f aca="false">IF($H3317="",0,ROUND(IF($N3317="金额",N(资金流水!$P61),0),2))</f>
        <v>0</v>
      </c>
      <c r="P3317" s="64" t="str">
        <f aca="false">IF(AND($H3317&lt;&gt;"",ROUND($O3317,2)&lt;&gt;0),"有","")</f>
        <v/>
      </c>
    </row>
    <row r="3318" customFormat="false" ht="15" hidden="true" customHeight="false" outlineLevel="0" collapsed="false">
      <c r="A3318" s="53" t="str">
        <f aca="false">IF($H3318="","",ROW()-5)</f>
        <v/>
      </c>
      <c r="B3318" s="64" t="s">
        <v>37</v>
      </c>
      <c r="C3318" s="53" t="n">
        <v>62</v>
      </c>
      <c r="D3318" s="53" t="n">
        <v>1</v>
      </c>
      <c r="E3318" s="65" t="str">
        <f aca="false">IF($H3318="","",资金流水!$B62)</f>
        <v/>
      </c>
      <c r="F3318" s="55" t="str">
        <f aca="false">IF($H3318="","",资金流水!$C62)</f>
        <v/>
      </c>
      <c r="G3318" s="48" t="str">
        <f aca="false">IF($H3318="","",资金流水!$K62)</f>
        <v/>
      </c>
      <c r="H3318" s="10" t="str">
        <f aca="false">IF($L3318="","",IF($L3318="@对方",资金流水!$G62,IF($L3318="@账户",资金流水!$Q62,$L3318)))</f>
        <v/>
      </c>
      <c r="I3318" s="42" t="n">
        <f aca="false">IF($M3318="借",$O3318,0)</f>
        <v>0</v>
      </c>
      <c r="J3318" s="42" t="n">
        <f aca="false">IF($M3318="贷",$O3318,0)</f>
        <v>0</v>
      </c>
      <c r="K3318" s="48" t="str">
        <f aca="false">IF($H3318="","",资金流水!$F62)</f>
        <v/>
      </c>
      <c r="L3318" s="66" t="str">
        <f aca="false">IF(资金流水!$E62="","",IFERROR(INDEX(记账规则!$A$13:$H$32,MATCH(资金流水!$E62,记账规则!$A$13:$A$32,0),3),""))</f>
        <v/>
      </c>
      <c r="M3318" s="66" t="str">
        <f aca="false">IF($L3318="","",IFERROR(INDEX(记账规则!$A$13:$H$32,MATCH(资金流水!$E62,记账规则!$A$13:$A$32,0),4),""))</f>
        <v/>
      </c>
      <c r="N3318" s="66" t="str">
        <f aca="false">IF($L3318="","",IFERROR(INDEX(记账规则!$A$13:$H$32,MATCH(资金流水!$E62,记账规则!$A$13:$A$32,0),5),""))</f>
        <v/>
      </c>
      <c r="O3318" s="67" t="n">
        <f aca="false">IF($H3318="",0,ROUND(IF($N3318="金额",N(资金流水!$P62),0),2))</f>
        <v>0</v>
      </c>
      <c r="P3318" s="64" t="str">
        <f aca="false">IF(AND($H3318&lt;&gt;"",ROUND($O3318,2)&lt;&gt;0),"有","")</f>
        <v/>
      </c>
    </row>
    <row r="3319" customFormat="false" ht="15" hidden="true" customHeight="false" outlineLevel="0" collapsed="false">
      <c r="A3319" s="53" t="str">
        <f aca="false">IF($H3319="","",ROW()-5)</f>
        <v/>
      </c>
      <c r="B3319" s="64" t="s">
        <v>37</v>
      </c>
      <c r="C3319" s="53" t="n">
        <v>62</v>
      </c>
      <c r="D3319" s="53" t="n">
        <v>2</v>
      </c>
      <c r="E3319" s="65" t="str">
        <f aca="false">IF($H3319="","",资金流水!$B62)</f>
        <v/>
      </c>
      <c r="F3319" s="55" t="str">
        <f aca="false">IF($H3319="","",资金流水!$C62)</f>
        <v/>
      </c>
      <c r="G3319" s="48" t="str">
        <f aca="false">IF($H3319="","",资金流水!$K62)</f>
        <v/>
      </c>
      <c r="H3319" s="10" t="str">
        <f aca="false">IF($L3319="","",IF($L3319="@对方",资金流水!$G62,IF($L3319="@账户",资金流水!$Q62,$L3319)))</f>
        <v/>
      </c>
      <c r="I3319" s="42" t="n">
        <f aca="false">IF($M3319="借",$O3319,0)</f>
        <v>0</v>
      </c>
      <c r="J3319" s="42" t="n">
        <f aca="false">IF($M3319="贷",$O3319,0)</f>
        <v>0</v>
      </c>
      <c r="K3319" s="48" t="str">
        <f aca="false">IF($H3319="","",资金流水!$F62)</f>
        <v/>
      </c>
      <c r="L3319" s="66" t="str">
        <f aca="false">IF(资金流水!$E62="","",IFERROR(INDEX(记账规则!$A$13:$H$32,MATCH(资金流水!$E62,记账规则!$A$13:$A$32,0),6),""))</f>
        <v/>
      </c>
      <c r="M3319" s="66" t="str">
        <f aca="false">IF($L3319="","",IFERROR(INDEX(记账规则!$A$13:$H$32,MATCH(资金流水!$E62,记账规则!$A$13:$A$32,0),7),""))</f>
        <v/>
      </c>
      <c r="N3319" s="66" t="str">
        <f aca="false">IF($L3319="","",IFERROR(INDEX(记账规则!$A$13:$H$32,MATCH(资金流水!$E62,记账规则!$A$13:$A$32,0),8),""))</f>
        <v/>
      </c>
      <c r="O3319" s="67" t="n">
        <f aca="false">IF($H3319="",0,ROUND(IF($N3319="金额",N(资金流水!$P62),0),2))</f>
        <v>0</v>
      </c>
      <c r="P3319" s="64" t="str">
        <f aca="false">IF(AND($H3319&lt;&gt;"",ROUND($O3319,2)&lt;&gt;0),"有","")</f>
        <v/>
      </c>
    </row>
    <row r="3320" customFormat="false" ht="15" hidden="true" customHeight="false" outlineLevel="0" collapsed="false">
      <c r="A3320" s="53" t="str">
        <f aca="false">IF($H3320="","",ROW()-5)</f>
        <v/>
      </c>
      <c r="B3320" s="64" t="s">
        <v>37</v>
      </c>
      <c r="C3320" s="53" t="n">
        <v>63</v>
      </c>
      <c r="D3320" s="53" t="n">
        <v>1</v>
      </c>
      <c r="E3320" s="65" t="str">
        <f aca="false">IF($H3320="","",资金流水!$B63)</f>
        <v/>
      </c>
      <c r="F3320" s="55" t="str">
        <f aca="false">IF($H3320="","",资金流水!$C63)</f>
        <v/>
      </c>
      <c r="G3320" s="48" t="str">
        <f aca="false">IF($H3320="","",资金流水!$K63)</f>
        <v/>
      </c>
      <c r="H3320" s="10" t="str">
        <f aca="false">IF($L3320="","",IF($L3320="@对方",资金流水!$G63,IF($L3320="@账户",资金流水!$Q63,$L3320)))</f>
        <v/>
      </c>
      <c r="I3320" s="42" t="n">
        <f aca="false">IF($M3320="借",$O3320,0)</f>
        <v>0</v>
      </c>
      <c r="J3320" s="42" t="n">
        <f aca="false">IF($M3320="贷",$O3320,0)</f>
        <v>0</v>
      </c>
      <c r="K3320" s="48" t="str">
        <f aca="false">IF($H3320="","",资金流水!$F63)</f>
        <v/>
      </c>
      <c r="L3320" s="66" t="str">
        <f aca="false">IF(资金流水!$E63="","",IFERROR(INDEX(记账规则!$A$13:$H$32,MATCH(资金流水!$E63,记账规则!$A$13:$A$32,0),3),""))</f>
        <v/>
      </c>
      <c r="M3320" s="66" t="str">
        <f aca="false">IF($L3320="","",IFERROR(INDEX(记账规则!$A$13:$H$32,MATCH(资金流水!$E63,记账规则!$A$13:$A$32,0),4),""))</f>
        <v/>
      </c>
      <c r="N3320" s="66" t="str">
        <f aca="false">IF($L3320="","",IFERROR(INDEX(记账规则!$A$13:$H$32,MATCH(资金流水!$E63,记账规则!$A$13:$A$32,0),5),""))</f>
        <v/>
      </c>
      <c r="O3320" s="67" t="n">
        <f aca="false">IF($H3320="",0,ROUND(IF($N3320="金额",N(资金流水!$P63),0),2))</f>
        <v>0</v>
      </c>
      <c r="P3320" s="64" t="str">
        <f aca="false">IF(AND($H3320&lt;&gt;"",ROUND($O3320,2)&lt;&gt;0),"有","")</f>
        <v/>
      </c>
    </row>
    <row r="3321" customFormat="false" ht="15" hidden="true" customHeight="false" outlineLevel="0" collapsed="false">
      <c r="A3321" s="53" t="str">
        <f aca="false">IF($H3321="","",ROW()-5)</f>
        <v/>
      </c>
      <c r="B3321" s="64" t="s">
        <v>37</v>
      </c>
      <c r="C3321" s="53" t="n">
        <v>63</v>
      </c>
      <c r="D3321" s="53" t="n">
        <v>2</v>
      </c>
      <c r="E3321" s="65" t="str">
        <f aca="false">IF($H3321="","",资金流水!$B63)</f>
        <v/>
      </c>
      <c r="F3321" s="55" t="str">
        <f aca="false">IF($H3321="","",资金流水!$C63)</f>
        <v/>
      </c>
      <c r="G3321" s="48" t="str">
        <f aca="false">IF($H3321="","",资金流水!$K63)</f>
        <v/>
      </c>
      <c r="H3321" s="10" t="str">
        <f aca="false">IF($L3321="","",IF($L3321="@对方",资金流水!$G63,IF($L3321="@账户",资金流水!$Q63,$L3321)))</f>
        <v/>
      </c>
      <c r="I3321" s="42" t="n">
        <f aca="false">IF($M3321="借",$O3321,0)</f>
        <v>0</v>
      </c>
      <c r="J3321" s="42" t="n">
        <f aca="false">IF($M3321="贷",$O3321,0)</f>
        <v>0</v>
      </c>
      <c r="K3321" s="48" t="str">
        <f aca="false">IF($H3321="","",资金流水!$F63)</f>
        <v/>
      </c>
      <c r="L3321" s="66" t="str">
        <f aca="false">IF(资金流水!$E63="","",IFERROR(INDEX(记账规则!$A$13:$H$32,MATCH(资金流水!$E63,记账规则!$A$13:$A$32,0),6),""))</f>
        <v/>
      </c>
      <c r="M3321" s="66" t="str">
        <f aca="false">IF($L3321="","",IFERROR(INDEX(记账规则!$A$13:$H$32,MATCH(资金流水!$E63,记账规则!$A$13:$A$32,0),7),""))</f>
        <v/>
      </c>
      <c r="N3321" s="66" t="str">
        <f aca="false">IF($L3321="","",IFERROR(INDEX(记账规则!$A$13:$H$32,MATCH(资金流水!$E63,记账规则!$A$13:$A$32,0),8),""))</f>
        <v/>
      </c>
      <c r="O3321" s="67" t="n">
        <f aca="false">IF($H3321="",0,ROUND(IF($N3321="金额",N(资金流水!$P63),0),2))</f>
        <v>0</v>
      </c>
      <c r="P3321" s="64" t="str">
        <f aca="false">IF(AND($H3321&lt;&gt;"",ROUND($O3321,2)&lt;&gt;0),"有","")</f>
        <v/>
      </c>
    </row>
    <row r="3322" customFormat="false" ht="15" hidden="true" customHeight="false" outlineLevel="0" collapsed="false">
      <c r="A3322" s="53" t="str">
        <f aca="false">IF($H3322="","",ROW()-5)</f>
        <v/>
      </c>
      <c r="B3322" s="64" t="s">
        <v>37</v>
      </c>
      <c r="C3322" s="53" t="n">
        <v>64</v>
      </c>
      <c r="D3322" s="53" t="n">
        <v>1</v>
      </c>
      <c r="E3322" s="65" t="str">
        <f aca="false">IF($H3322="","",资金流水!$B64)</f>
        <v/>
      </c>
      <c r="F3322" s="55" t="str">
        <f aca="false">IF($H3322="","",资金流水!$C64)</f>
        <v/>
      </c>
      <c r="G3322" s="48" t="str">
        <f aca="false">IF($H3322="","",资金流水!$K64)</f>
        <v/>
      </c>
      <c r="H3322" s="10" t="str">
        <f aca="false">IF($L3322="","",IF($L3322="@对方",资金流水!$G64,IF($L3322="@账户",资金流水!$Q64,$L3322)))</f>
        <v/>
      </c>
      <c r="I3322" s="42" t="n">
        <f aca="false">IF($M3322="借",$O3322,0)</f>
        <v>0</v>
      </c>
      <c r="J3322" s="42" t="n">
        <f aca="false">IF($M3322="贷",$O3322,0)</f>
        <v>0</v>
      </c>
      <c r="K3322" s="48" t="str">
        <f aca="false">IF($H3322="","",资金流水!$F64)</f>
        <v/>
      </c>
      <c r="L3322" s="66" t="str">
        <f aca="false">IF(资金流水!$E64="","",IFERROR(INDEX(记账规则!$A$13:$H$32,MATCH(资金流水!$E64,记账规则!$A$13:$A$32,0),3),""))</f>
        <v/>
      </c>
      <c r="M3322" s="66" t="str">
        <f aca="false">IF($L3322="","",IFERROR(INDEX(记账规则!$A$13:$H$32,MATCH(资金流水!$E64,记账规则!$A$13:$A$32,0),4),""))</f>
        <v/>
      </c>
      <c r="N3322" s="66" t="str">
        <f aca="false">IF($L3322="","",IFERROR(INDEX(记账规则!$A$13:$H$32,MATCH(资金流水!$E64,记账规则!$A$13:$A$32,0),5),""))</f>
        <v/>
      </c>
      <c r="O3322" s="67" t="n">
        <f aca="false">IF($H3322="",0,ROUND(IF($N3322="金额",N(资金流水!$P64),0),2))</f>
        <v>0</v>
      </c>
      <c r="P3322" s="64" t="str">
        <f aca="false">IF(AND($H3322&lt;&gt;"",ROUND($O3322,2)&lt;&gt;0),"有","")</f>
        <v/>
      </c>
    </row>
    <row r="3323" customFormat="false" ht="15" hidden="true" customHeight="false" outlineLevel="0" collapsed="false">
      <c r="A3323" s="53" t="str">
        <f aca="false">IF($H3323="","",ROW()-5)</f>
        <v/>
      </c>
      <c r="B3323" s="64" t="s">
        <v>37</v>
      </c>
      <c r="C3323" s="53" t="n">
        <v>64</v>
      </c>
      <c r="D3323" s="53" t="n">
        <v>2</v>
      </c>
      <c r="E3323" s="65" t="str">
        <f aca="false">IF($H3323="","",资金流水!$B64)</f>
        <v/>
      </c>
      <c r="F3323" s="55" t="str">
        <f aca="false">IF($H3323="","",资金流水!$C64)</f>
        <v/>
      </c>
      <c r="G3323" s="48" t="str">
        <f aca="false">IF($H3323="","",资金流水!$K64)</f>
        <v/>
      </c>
      <c r="H3323" s="10" t="str">
        <f aca="false">IF($L3323="","",IF($L3323="@对方",资金流水!$G64,IF($L3323="@账户",资金流水!$Q64,$L3323)))</f>
        <v/>
      </c>
      <c r="I3323" s="42" t="n">
        <f aca="false">IF($M3323="借",$O3323,0)</f>
        <v>0</v>
      </c>
      <c r="J3323" s="42" t="n">
        <f aca="false">IF($M3323="贷",$O3323,0)</f>
        <v>0</v>
      </c>
      <c r="K3323" s="48" t="str">
        <f aca="false">IF($H3323="","",资金流水!$F64)</f>
        <v/>
      </c>
      <c r="L3323" s="66" t="str">
        <f aca="false">IF(资金流水!$E64="","",IFERROR(INDEX(记账规则!$A$13:$H$32,MATCH(资金流水!$E64,记账规则!$A$13:$A$32,0),6),""))</f>
        <v/>
      </c>
      <c r="M3323" s="66" t="str">
        <f aca="false">IF($L3323="","",IFERROR(INDEX(记账规则!$A$13:$H$32,MATCH(资金流水!$E64,记账规则!$A$13:$A$32,0),7),""))</f>
        <v/>
      </c>
      <c r="N3323" s="66" t="str">
        <f aca="false">IF($L3323="","",IFERROR(INDEX(记账规则!$A$13:$H$32,MATCH(资金流水!$E64,记账规则!$A$13:$A$32,0),8),""))</f>
        <v/>
      </c>
      <c r="O3323" s="67" t="n">
        <f aca="false">IF($H3323="",0,ROUND(IF($N3323="金额",N(资金流水!$P64),0),2))</f>
        <v>0</v>
      </c>
      <c r="P3323" s="64" t="str">
        <f aca="false">IF(AND($H3323&lt;&gt;"",ROUND($O3323,2)&lt;&gt;0),"有","")</f>
        <v/>
      </c>
    </row>
    <row r="3324" customFormat="false" ht="15" hidden="true" customHeight="false" outlineLevel="0" collapsed="false">
      <c r="A3324" s="53" t="str">
        <f aca="false">IF($H3324="","",ROW()-5)</f>
        <v/>
      </c>
      <c r="B3324" s="64" t="s">
        <v>37</v>
      </c>
      <c r="C3324" s="53" t="n">
        <v>65</v>
      </c>
      <c r="D3324" s="53" t="n">
        <v>1</v>
      </c>
      <c r="E3324" s="65" t="str">
        <f aca="false">IF($H3324="","",资金流水!$B65)</f>
        <v/>
      </c>
      <c r="F3324" s="55" t="str">
        <f aca="false">IF($H3324="","",资金流水!$C65)</f>
        <v/>
      </c>
      <c r="G3324" s="48" t="str">
        <f aca="false">IF($H3324="","",资金流水!$K65)</f>
        <v/>
      </c>
      <c r="H3324" s="10" t="str">
        <f aca="false">IF($L3324="","",IF($L3324="@对方",资金流水!$G65,IF($L3324="@账户",资金流水!$Q65,$L3324)))</f>
        <v/>
      </c>
      <c r="I3324" s="42" t="n">
        <f aca="false">IF($M3324="借",$O3324,0)</f>
        <v>0</v>
      </c>
      <c r="J3324" s="42" t="n">
        <f aca="false">IF($M3324="贷",$O3324,0)</f>
        <v>0</v>
      </c>
      <c r="K3324" s="48" t="str">
        <f aca="false">IF($H3324="","",资金流水!$F65)</f>
        <v/>
      </c>
      <c r="L3324" s="66" t="str">
        <f aca="false">IF(资金流水!$E65="","",IFERROR(INDEX(记账规则!$A$13:$H$32,MATCH(资金流水!$E65,记账规则!$A$13:$A$32,0),3),""))</f>
        <v/>
      </c>
      <c r="M3324" s="66" t="str">
        <f aca="false">IF($L3324="","",IFERROR(INDEX(记账规则!$A$13:$H$32,MATCH(资金流水!$E65,记账规则!$A$13:$A$32,0),4),""))</f>
        <v/>
      </c>
      <c r="N3324" s="66" t="str">
        <f aca="false">IF($L3324="","",IFERROR(INDEX(记账规则!$A$13:$H$32,MATCH(资金流水!$E65,记账规则!$A$13:$A$32,0),5),""))</f>
        <v/>
      </c>
      <c r="O3324" s="67" t="n">
        <f aca="false">IF($H3324="",0,ROUND(IF($N3324="金额",N(资金流水!$P65),0),2))</f>
        <v>0</v>
      </c>
      <c r="P3324" s="64" t="str">
        <f aca="false">IF(AND($H3324&lt;&gt;"",ROUND($O3324,2)&lt;&gt;0),"有","")</f>
        <v/>
      </c>
    </row>
    <row r="3325" customFormat="false" ht="15" hidden="true" customHeight="false" outlineLevel="0" collapsed="false">
      <c r="A3325" s="53" t="str">
        <f aca="false">IF($H3325="","",ROW()-5)</f>
        <v/>
      </c>
      <c r="B3325" s="64" t="s">
        <v>37</v>
      </c>
      <c r="C3325" s="53" t="n">
        <v>65</v>
      </c>
      <c r="D3325" s="53" t="n">
        <v>2</v>
      </c>
      <c r="E3325" s="65" t="str">
        <f aca="false">IF($H3325="","",资金流水!$B65)</f>
        <v/>
      </c>
      <c r="F3325" s="55" t="str">
        <f aca="false">IF($H3325="","",资金流水!$C65)</f>
        <v/>
      </c>
      <c r="G3325" s="48" t="str">
        <f aca="false">IF($H3325="","",资金流水!$K65)</f>
        <v/>
      </c>
      <c r="H3325" s="10" t="str">
        <f aca="false">IF($L3325="","",IF($L3325="@对方",资金流水!$G65,IF($L3325="@账户",资金流水!$Q65,$L3325)))</f>
        <v/>
      </c>
      <c r="I3325" s="42" t="n">
        <f aca="false">IF($M3325="借",$O3325,0)</f>
        <v>0</v>
      </c>
      <c r="J3325" s="42" t="n">
        <f aca="false">IF($M3325="贷",$O3325,0)</f>
        <v>0</v>
      </c>
      <c r="K3325" s="48" t="str">
        <f aca="false">IF($H3325="","",资金流水!$F65)</f>
        <v/>
      </c>
      <c r="L3325" s="66" t="str">
        <f aca="false">IF(资金流水!$E65="","",IFERROR(INDEX(记账规则!$A$13:$H$32,MATCH(资金流水!$E65,记账规则!$A$13:$A$32,0),6),""))</f>
        <v/>
      </c>
      <c r="M3325" s="66" t="str">
        <f aca="false">IF($L3325="","",IFERROR(INDEX(记账规则!$A$13:$H$32,MATCH(资金流水!$E65,记账规则!$A$13:$A$32,0),7),""))</f>
        <v/>
      </c>
      <c r="N3325" s="66" t="str">
        <f aca="false">IF($L3325="","",IFERROR(INDEX(记账规则!$A$13:$H$32,MATCH(资金流水!$E65,记账规则!$A$13:$A$32,0),8),""))</f>
        <v/>
      </c>
      <c r="O3325" s="67" t="n">
        <f aca="false">IF($H3325="",0,ROUND(IF($N3325="金额",N(资金流水!$P65),0),2))</f>
        <v>0</v>
      </c>
      <c r="P3325" s="64" t="str">
        <f aca="false">IF(AND($H3325&lt;&gt;"",ROUND($O3325,2)&lt;&gt;0),"有","")</f>
        <v/>
      </c>
    </row>
    <row r="3326" customFormat="false" ht="15" hidden="true" customHeight="false" outlineLevel="0" collapsed="false">
      <c r="A3326" s="53" t="str">
        <f aca="false">IF($H3326="","",ROW()-5)</f>
        <v/>
      </c>
      <c r="B3326" s="64" t="s">
        <v>37</v>
      </c>
      <c r="C3326" s="53" t="n">
        <v>66</v>
      </c>
      <c r="D3326" s="53" t="n">
        <v>1</v>
      </c>
      <c r="E3326" s="65" t="str">
        <f aca="false">IF($H3326="","",资金流水!$B66)</f>
        <v/>
      </c>
      <c r="F3326" s="55" t="str">
        <f aca="false">IF($H3326="","",资金流水!$C66)</f>
        <v/>
      </c>
      <c r="G3326" s="48" t="str">
        <f aca="false">IF($H3326="","",资金流水!$K66)</f>
        <v/>
      </c>
      <c r="H3326" s="10" t="str">
        <f aca="false">IF($L3326="","",IF($L3326="@对方",资金流水!$G66,IF($L3326="@账户",资金流水!$Q66,$L3326)))</f>
        <v/>
      </c>
      <c r="I3326" s="42" t="n">
        <f aca="false">IF($M3326="借",$O3326,0)</f>
        <v>0</v>
      </c>
      <c r="J3326" s="42" t="n">
        <f aca="false">IF($M3326="贷",$O3326,0)</f>
        <v>0</v>
      </c>
      <c r="K3326" s="48" t="str">
        <f aca="false">IF($H3326="","",资金流水!$F66)</f>
        <v/>
      </c>
      <c r="L3326" s="66" t="str">
        <f aca="false">IF(资金流水!$E66="","",IFERROR(INDEX(记账规则!$A$13:$H$32,MATCH(资金流水!$E66,记账规则!$A$13:$A$32,0),3),""))</f>
        <v/>
      </c>
      <c r="M3326" s="66" t="str">
        <f aca="false">IF($L3326="","",IFERROR(INDEX(记账规则!$A$13:$H$32,MATCH(资金流水!$E66,记账规则!$A$13:$A$32,0),4),""))</f>
        <v/>
      </c>
      <c r="N3326" s="66" t="str">
        <f aca="false">IF($L3326="","",IFERROR(INDEX(记账规则!$A$13:$H$32,MATCH(资金流水!$E66,记账规则!$A$13:$A$32,0),5),""))</f>
        <v/>
      </c>
      <c r="O3326" s="67" t="n">
        <f aca="false">IF($H3326="",0,ROUND(IF($N3326="金额",N(资金流水!$P66),0),2))</f>
        <v>0</v>
      </c>
      <c r="P3326" s="64" t="str">
        <f aca="false">IF(AND($H3326&lt;&gt;"",ROUND($O3326,2)&lt;&gt;0),"有","")</f>
        <v/>
      </c>
    </row>
    <row r="3327" customFormat="false" ht="15" hidden="true" customHeight="false" outlineLevel="0" collapsed="false">
      <c r="A3327" s="53" t="str">
        <f aca="false">IF($H3327="","",ROW()-5)</f>
        <v/>
      </c>
      <c r="B3327" s="64" t="s">
        <v>37</v>
      </c>
      <c r="C3327" s="53" t="n">
        <v>66</v>
      </c>
      <c r="D3327" s="53" t="n">
        <v>2</v>
      </c>
      <c r="E3327" s="65" t="str">
        <f aca="false">IF($H3327="","",资金流水!$B66)</f>
        <v/>
      </c>
      <c r="F3327" s="55" t="str">
        <f aca="false">IF($H3327="","",资金流水!$C66)</f>
        <v/>
      </c>
      <c r="G3327" s="48" t="str">
        <f aca="false">IF($H3327="","",资金流水!$K66)</f>
        <v/>
      </c>
      <c r="H3327" s="10" t="str">
        <f aca="false">IF($L3327="","",IF($L3327="@对方",资金流水!$G66,IF($L3327="@账户",资金流水!$Q66,$L3327)))</f>
        <v/>
      </c>
      <c r="I3327" s="42" t="n">
        <f aca="false">IF($M3327="借",$O3327,0)</f>
        <v>0</v>
      </c>
      <c r="J3327" s="42" t="n">
        <f aca="false">IF($M3327="贷",$O3327,0)</f>
        <v>0</v>
      </c>
      <c r="K3327" s="48" t="str">
        <f aca="false">IF($H3327="","",资金流水!$F66)</f>
        <v/>
      </c>
      <c r="L3327" s="66" t="str">
        <f aca="false">IF(资金流水!$E66="","",IFERROR(INDEX(记账规则!$A$13:$H$32,MATCH(资金流水!$E66,记账规则!$A$13:$A$32,0),6),""))</f>
        <v/>
      </c>
      <c r="M3327" s="66" t="str">
        <f aca="false">IF($L3327="","",IFERROR(INDEX(记账规则!$A$13:$H$32,MATCH(资金流水!$E66,记账规则!$A$13:$A$32,0),7),""))</f>
        <v/>
      </c>
      <c r="N3327" s="66" t="str">
        <f aca="false">IF($L3327="","",IFERROR(INDEX(记账规则!$A$13:$H$32,MATCH(资金流水!$E66,记账规则!$A$13:$A$32,0),8),""))</f>
        <v/>
      </c>
      <c r="O3327" s="67" t="n">
        <f aca="false">IF($H3327="",0,ROUND(IF($N3327="金额",N(资金流水!$P66),0),2))</f>
        <v>0</v>
      </c>
      <c r="P3327" s="64" t="str">
        <f aca="false">IF(AND($H3327&lt;&gt;"",ROUND($O3327,2)&lt;&gt;0),"有","")</f>
        <v/>
      </c>
    </row>
    <row r="3328" customFormat="false" ht="15" hidden="true" customHeight="false" outlineLevel="0" collapsed="false">
      <c r="A3328" s="53" t="str">
        <f aca="false">IF($H3328="","",ROW()-5)</f>
        <v/>
      </c>
      <c r="B3328" s="64" t="s">
        <v>37</v>
      </c>
      <c r="C3328" s="53" t="n">
        <v>67</v>
      </c>
      <c r="D3328" s="53" t="n">
        <v>1</v>
      </c>
      <c r="E3328" s="65" t="str">
        <f aca="false">IF($H3328="","",资金流水!$B67)</f>
        <v/>
      </c>
      <c r="F3328" s="55" t="str">
        <f aca="false">IF($H3328="","",资金流水!$C67)</f>
        <v/>
      </c>
      <c r="G3328" s="48" t="str">
        <f aca="false">IF($H3328="","",资金流水!$K67)</f>
        <v/>
      </c>
      <c r="H3328" s="10" t="str">
        <f aca="false">IF($L3328="","",IF($L3328="@对方",资金流水!$G67,IF($L3328="@账户",资金流水!$Q67,$L3328)))</f>
        <v/>
      </c>
      <c r="I3328" s="42" t="n">
        <f aca="false">IF($M3328="借",$O3328,0)</f>
        <v>0</v>
      </c>
      <c r="J3328" s="42" t="n">
        <f aca="false">IF($M3328="贷",$O3328,0)</f>
        <v>0</v>
      </c>
      <c r="K3328" s="48" t="str">
        <f aca="false">IF($H3328="","",资金流水!$F67)</f>
        <v/>
      </c>
      <c r="L3328" s="66" t="str">
        <f aca="false">IF(资金流水!$E67="","",IFERROR(INDEX(记账规则!$A$13:$H$32,MATCH(资金流水!$E67,记账规则!$A$13:$A$32,0),3),""))</f>
        <v/>
      </c>
      <c r="M3328" s="66" t="str">
        <f aca="false">IF($L3328="","",IFERROR(INDEX(记账规则!$A$13:$H$32,MATCH(资金流水!$E67,记账规则!$A$13:$A$32,0),4),""))</f>
        <v/>
      </c>
      <c r="N3328" s="66" t="str">
        <f aca="false">IF($L3328="","",IFERROR(INDEX(记账规则!$A$13:$H$32,MATCH(资金流水!$E67,记账规则!$A$13:$A$32,0),5),""))</f>
        <v/>
      </c>
      <c r="O3328" s="67" t="n">
        <f aca="false">IF($H3328="",0,ROUND(IF($N3328="金额",N(资金流水!$P67),0),2))</f>
        <v>0</v>
      </c>
      <c r="P3328" s="64" t="str">
        <f aca="false">IF(AND($H3328&lt;&gt;"",ROUND($O3328,2)&lt;&gt;0),"有","")</f>
        <v/>
      </c>
    </row>
    <row r="3329" customFormat="false" ht="15" hidden="true" customHeight="false" outlineLevel="0" collapsed="false">
      <c r="A3329" s="53" t="str">
        <f aca="false">IF($H3329="","",ROW()-5)</f>
        <v/>
      </c>
      <c r="B3329" s="64" t="s">
        <v>37</v>
      </c>
      <c r="C3329" s="53" t="n">
        <v>67</v>
      </c>
      <c r="D3329" s="53" t="n">
        <v>2</v>
      </c>
      <c r="E3329" s="65" t="str">
        <f aca="false">IF($H3329="","",资金流水!$B67)</f>
        <v/>
      </c>
      <c r="F3329" s="55" t="str">
        <f aca="false">IF($H3329="","",资金流水!$C67)</f>
        <v/>
      </c>
      <c r="G3329" s="48" t="str">
        <f aca="false">IF($H3329="","",资金流水!$K67)</f>
        <v/>
      </c>
      <c r="H3329" s="10" t="str">
        <f aca="false">IF($L3329="","",IF($L3329="@对方",资金流水!$G67,IF($L3329="@账户",资金流水!$Q67,$L3329)))</f>
        <v/>
      </c>
      <c r="I3329" s="42" t="n">
        <f aca="false">IF($M3329="借",$O3329,0)</f>
        <v>0</v>
      </c>
      <c r="J3329" s="42" t="n">
        <f aca="false">IF($M3329="贷",$O3329,0)</f>
        <v>0</v>
      </c>
      <c r="K3329" s="48" t="str">
        <f aca="false">IF($H3329="","",资金流水!$F67)</f>
        <v/>
      </c>
      <c r="L3329" s="66" t="str">
        <f aca="false">IF(资金流水!$E67="","",IFERROR(INDEX(记账规则!$A$13:$H$32,MATCH(资金流水!$E67,记账规则!$A$13:$A$32,0),6),""))</f>
        <v/>
      </c>
      <c r="M3329" s="66" t="str">
        <f aca="false">IF($L3329="","",IFERROR(INDEX(记账规则!$A$13:$H$32,MATCH(资金流水!$E67,记账规则!$A$13:$A$32,0),7),""))</f>
        <v/>
      </c>
      <c r="N3329" s="66" t="str">
        <f aca="false">IF($L3329="","",IFERROR(INDEX(记账规则!$A$13:$H$32,MATCH(资金流水!$E67,记账规则!$A$13:$A$32,0),8),""))</f>
        <v/>
      </c>
      <c r="O3329" s="67" t="n">
        <f aca="false">IF($H3329="",0,ROUND(IF($N3329="金额",N(资金流水!$P67),0),2))</f>
        <v>0</v>
      </c>
      <c r="P3329" s="64" t="str">
        <f aca="false">IF(AND($H3329&lt;&gt;"",ROUND($O3329,2)&lt;&gt;0),"有","")</f>
        <v/>
      </c>
    </row>
    <row r="3330" customFormat="false" ht="15" hidden="true" customHeight="false" outlineLevel="0" collapsed="false">
      <c r="A3330" s="53" t="str">
        <f aca="false">IF($H3330="","",ROW()-5)</f>
        <v/>
      </c>
      <c r="B3330" s="64" t="s">
        <v>37</v>
      </c>
      <c r="C3330" s="53" t="n">
        <v>68</v>
      </c>
      <c r="D3330" s="53" t="n">
        <v>1</v>
      </c>
      <c r="E3330" s="65" t="str">
        <f aca="false">IF($H3330="","",资金流水!$B68)</f>
        <v/>
      </c>
      <c r="F3330" s="55" t="str">
        <f aca="false">IF($H3330="","",资金流水!$C68)</f>
        <v/>
      </c>
      <c r="G3330" s="48" t="str">
        <f aca="false">IF($H3330="","",资金流水!$K68)</f>
        <v/>
      </c>
      <c r="H3330" s="10" t="str">
        <f aca="false">IF($L3330="","",IF($L3330="@对方",资金流水!$G68,IF($L3330="@账户",资金流水!$Q68,$L3330)))</f>
        <v/>
      </c>
      <c r="I3330" s="42" t="n">
        <f aca="false">IF($M3330="借",$O3330,0)</f>
        <v>0</v>
      </c>
      <c r="J3330" s="42" t="n">
        <f aca="false">IF($M3330="贷",$O3330,0)</f>
        <v>0</v>
      </c>
      <c r="K3330" s="48" t="str">
        <f aca="false">IF($H3330="","",资金流水!$F68)</f>
        <v/>
      </c>
      <c r="L3330" s="66" t="str">
        <f aca="false">IF(资金流水!$E68="","",IFERROR(INDEX(记账规则!$A$13:$H$32,MATCH(资金流水!$E68,记账规则!$A$13:$A$32,0),3),""))</f>
        <v/>
      </c>
      <c r="M3330" s="66" t="str">
        <f aca="false">IF($L3330="","",IFERROR(INDEX(记账规则!$A$13:$H$32,MATCH(资金流水!$E68,记账规则!$A$13:$A$32,0),4),""))</f>
        <v/>
      </c>
      <c r="N3330" s="66" t="str">
        <f aca="false">IF($L3330="","",IFERROR(INDEX(记账规则!$A$13:$H$32,MATCH(资金流水!$E68,记账规则!$A$13:$A$32,0),5),""))</f>
        <v/>
      </c>
      <c r="O3330" s="67" t="n">
        <f aca="false">IF($H3330="",0,ROUND(IF($N3330="金额",N(资金流水!$P68),0),2))</f>
        <v>0</v>
      </c>
      <c r="P3330" s="64" t="str">
        <f aca="false">IF(AND($H3330&lt;&gt;"",ROUND($O3330,2)&lt;&gt;0),"有","")</f>
        <v/>
      </c>
    </row>
    <row r="3331" customFormat="false" ht="15" hidden="true" customHeight="false" outlineLevel="0" collapsed="false">
      <c r="A3331" s="53" t="str">
        <f aca="false">IF($H3331="","",ROW()-5)</f>
        <v/>
      </c>
      <c r="B3331" s="64" t="s">
        <v>37</v>
      </c>
      <c r="C3331" s="53" t="n">
        <v>68</v>
      </c>
      <c r="D3331" s="53" t="n">
        <v>2</v>
      </c>
      <c r="E3331" s="65" t="str">
        <f aca="false">IF($H3331="","",资金流水!$B68)</f>
        <v/>
      </c>
      <c r="F3331" s="55" t="str">
        <f aca="false">IF($H3331="","",资金流水!$C68)</f>
        <v/>
      </c>
      <c r="G3331" s="48" t="str">
        <f aca="false">IF($H3331="","",资金流水!$K68)</f>
        <v/>
      </c>
      <c r="H3331" s="10" t="str">
        <f aca="false">IF($L3331="","",IF($L3331="@对方",资金流水!$G68,IF($L3331="@账户",资金流水!$Q68,$L3331)))</f>
        <v/>
      </c>
      <c r="I3331" s="42" t="n">
        <f aca="false">IF($M3331="借",$O3331,0)</f>
        <v>0</v>
      </c>
      <c r="J3331" s="42" t="n">
        <f aca="false">IF($M3331="贷",$O3331,0)</f>
        <v>0</v>
      </c>
      <c r="K3331" s="48" t="str">
        <f aca="false">IF($H3331="","",资金流水!$F68)</f>
        <v/>
      </c>
      <c r="L3331" s="66" t="str">
        <f aca="false">IF(资金流水!$E68="","",IFERROR(INDEX(记账规则!$A$13:$H$32,MATCH(资金流水!$E68,记账规则!$A$13:$A$32,0),6),""))</f>
        <v/>
      </c>
      <c r="M3331" s="66" t="str">
        <f aca="false">IF($L3331="","",IFERROR(INDEX(记账规则!$A$13:$H$32,MATCH(资金流水!$E68,记账规则!$A$13:$A$32,0),7),""))</f>
        <v/>
      </c>
      <c r="N3331" s="66" t="str">
        <f aca="false">IF($L3331="","",IFERROR(INDEX(记账规则!$A$13:$H$32,MATCH(资金流水!$E68,记账规则!$A$13:$A$32,0),8),""))</f>
        <v/>
      </c>
      <c r="O3331" s="67" t="n">
        <f aca="false">IF($H3331="",0,ROUND(IF($N3331="金额",N(资金流水!$P68),0),2))</f>
        <v>0</v>
      </c>
      <c r="P3331" s="64" t="str">
        <f aca="false">IF(AND($H3331&lt;&gt;"",ROUND($O3331,2)&lt;&gt;0),"有","")</f>
        <v/>
      </c>
    </row>
    <row r="3332" customFormat="false" ht="15" hidden="true" customHeight="false" outlineLevel="0" collapsed="false">
      <c r="A3332" s="53" t="str">
        <f aca="false">IF($H3332="","",ROW()-5)</f>
        <v/>
      </c>
      <c r="B3332" s="64" t="s">
        <v>37</v>
      </c>
      <c r="C3332" s="53" t="n">
        <v>69</v>
      </c>
      <c r="D3332" s="53" t="n">
        <v>1</v>
      </c>
      <c r="E3332" s="65" t="str">
        <f aca="false">IF($H3332="","",资金流水!$B69)</f>
        <v/>
      </c>
      <c r="F3332" s="55" t="str">
        <f aca="false">IF($H3332="","",资金流水!$C69)</f>
        <v/>
      </c>
      <c r="G3332" s="48" t="str">
        <f aca="false">IF($H3332="","",资金流水!$K69)</f>
        <v/>
      </c>
      <c r="H3332" s="10" t="str">
        <f aca="false">IF($L3332="","",IF($L3332="@对方",资金流水!$G69,IF($L3332="@账户",资金流水!$Q69,$L3332)))</f>
        <v/>
      </c>
      <c r="I3332" s="42" t="n">
        <f aca="false">IF($M3332="借",$O3332,0)</f>
        <v>0</v>
      </c>
      <c r="J3332" s="42" t="n">
        <f aca="false">IF($M3332="贷",$O3332,0)</f>
        <v>0</v>
      </c>
      <c r="K3332" s="48" t="str">
        <f aca="false">IF($H3332="","",资金流水!$F69)</f>
        <v/>
      </c>
      <c r="L3332" s="66" t="str">
        <f aca="false">IF(资金流水!$E69="","",IFERROR(INDEX(记账规则!$A$13:$H$32,MATCH(资金流水!$E69,记账规则!$A$13:$A$32,0),3),""))</f>
        <v/>
      </c>
      <c r="M3332" s="66" t="str">
        <f aca="false">IF($L3332="","",IFERROR(INDEX(记账规则!$A$13:$H$32,MATCH(资金流水!$E69,记账规则!$A$13:$A$32,0),4),""))</f>
        <v/>
      </c>
      <c r="N3332" s="66" t="str">
        <f aca="false">IF($L3332="","",IFERROR(INDEX(记账规则!$A$13:$H$32,MATCH(资金流水!$E69,记账规则!$A$13:$A$32,0),5),""))</f>
        <v/>
      </c>
      <c r="O3332" s="67" t="n">
        <f aca="false">IF($H3332="",0,ROUND(IF($N3332="金额",N(资金流水!$P69),0),2))</f>
        <v>0</v>
      </c>
      <c r="P3332" s="64" t="str">
        <f aca="false">IF(AND($H3332&lt;&gt;"",ROUND($O3332,2)&lt;&gt;0),"有","")</f>
        <v/>
      </c>
    </row>
    <row r="3333" customFormat="false" ht="15" hidden="true" customHeight="false" outlineLevel="0" collapsed="false">
      <c r="A3333" s="53" t="str">
        <f aca="false">IF($H3333="","",ROW()-5)</f>
        <v/>
      </c>
      <c r="B3333" s="64" t="s">
        <v>37</v>
      </c>
      <c r="C3333" s="53" t="n">
        <v>69</v>
      </c>
      <c r="D3333" s="53" t="n">
        <v>2</v>
      </c>
      <c r="E3333" s="65" t="str">
        <f aca="false">IF($H3333="","",资金流水!$B69)</f>
        <v/>
      </c>
      <c r="F3333" s="55" t="str">
        <f aca="false">IF($H3333="","",资金流水!$C69)</f>
        <v/>
      </c>
      <c r="G3333" s="48" t="str">
        <f aca="false">IF($H3333="","",资金流水!$K69)</f>
        <v/>
      </c>
      <c r="H3333" s="10" t="str">
        <f aca="false">IF($L3333="","",IF($L3333="@对方",资金流水!$G69,IF($L3333="@账户",资金流水!$Q69,$L3333)))</f>
        <v/>
      </c>
      <c r="I3333" s="42" t="n">
        <f aca="false">IF($M3333="借",$O3333,0)</f>
        <v>0</v>
      </c>
      <c r="J3333" s="42" t="n">
        <f aca="false">IF($M3333="贷",$O3333,0)</f>
        <v>0</v>
      </c>
      <c r="K3333" s="48" t="str">
        <f aca="false">IF($H3333="","",资金流水!$F69)</f>
        <v/>
      </c>
      <c r="L3333" s="66" t="str">
        <f aca="false">IF(资金流水!$E69="","",IFERROR(INDEX(记账规则!$A$13:$H$32,MATCH(资金流水!$E69,记账规则!$A$13:$A$32,0),6),""))</f>
        <v/>
      </c>
      <c r="M3333" s="66" t="str">
        <f aca="false">IF($L3333="","",IFERROR(INDEX(记账规则!$A$13:$H$32,MATCH(资金流水!$E69,记账规则!$A$13:$A$32,0),7),""))</f>
        <v/>
      </c>
      <c r="N3333" s="66" t="str">
        <f aca="false">IF($L3333="","",IFERROR(INDEX(记账规则!$A$13:$H$32,MATCH(资金流水!$E69,记账规则!$A$13:$A$32,0),8),""))</f>
        <v/>
      </c>
      <c r="O3333" s="67" t="n">
        <f aca="false">IF($H3333="",0,ROUND(IF($N3333="金额",N(资金流水!$P69),0),2))</f>
        <v>0</v>
      </c>
      <c r="P3333" s="64" t="str">
        <f aca="false">IF(AND($H3333&lt;&gt;"",ROUND($O3333,2)&lt;&gt;0),"有","")</f>
        <v/>
      </c>
    </row>
    <row r="3334" customFormat="false" ht="15" hidden="true" customHeight="false" outlineLevel="0" collapsed="false">
      <c r="A3334" s="53" t="str">
        <f aca="false">IF($H3334="","",ROW()-5)</f>
        <v/>
      </c>
      <c r="B3334" s="64" t="s">
        <v>37</v>
      </c>
      <c r="C3334" s="53" t="n">
        <v>70</v>
      </c>
      <c r="D3334" s="53" t="n">
        <v>1</v>
      </c>
      <c r="E3334" s="65" t="str">
        <f aca="false">IF($H3334="","",资金流水!$B70)</f>
        <v/>
      </c>
      <c r="F3334" s="55" t="str">
        <f aca="false">IF($H3334="","",资金流水!$C70)</f>
        <v/>
      </c>
      <c r="G3334" s="48" t="str">
        <f aca="false">IF($H3334="","",资金流水!$K70)</f>
        <v/>
      </c>
      <c r="H3334" s="10" t="str">
        <f aca="false">IF($L3334="","",IF($L3334="@对方",资金流水!$G70,IF($L3334="@账户",资金流水!$Q70,$L3334)))</f>
        <v/>
      </c>
      <c r="I3334" s="42" t="n">
        <f aca="false">IF($M3334="借",$O3334,0)</f>
        <v>0</v>
      </c>
      <c r="J3334" s="42" t="n">
        <f aca="false">IF($M3334="贷",$O3334,0)</f>
        <v>0</v>
      </c>
      <c r="K3334" s="48" t="str">
        <f aca="false">IF($H3334="","",资金流水!$F70)</f>
        <v/>
      </c>
      <c r="L3334" s="66" t="str">
        <f aca="false">IF(资金流水!$E70="","",IFERROR(INDEX(记账规则!$A$13:$H$32,MATCH(资金流水!$E70,记账规则!$A$13:$A$32,0),3),""))</f>
        <v/>
      </c>
      <c r="M3334" s="66" t="str">
        <f aca="false">IF($L3334="","",IFERROR(INDEX(记账规则!$A$13:$H$32,MATCH(资金流水!$E70,记账规则!$A$13:$A$32,0),4),""))</f>
        <v/>
      </c>
      <c r="N3334" s="66" t="str">
        <f aca="false">IF($L3334="","",IFERROR(INDEX(记账规则!$A$13:$H$32,MATCH(资金流水!$E70,记账规则!$A$13:$A$32,0),5),""))</f>
        <v/>
      </c>
      <c r="O3334" s="67" t="n">
        <f aca="false">IF($H3334="",0,ROUND(IF($N3334="金额",N(资金流水!$P70),0),2))</f>
        <v>0</v>
      </c>
      <c r="P3334" s="64" t="str">
        <f aca="false">IF(AND($H3334&lt;&gt;"",ROUND($O3334,2)&lt;&gt;0),"有","")</f>
        <v/>
      </c>
    </row>
    <row r="3335" customFormat="false" ht="15" hidden="true" customHeight="false" outlineLevel="0" collapsed="false">
      <c r="A3335" s="53" t="str">
        <f aca="false">IF($H3335="","",ROW()-5)</f>
        <v/>
      </c>
      <c r="B3335" s="64" t="s">
        <v>37</v>
      </c>
      <c r="C3335" s="53" t="n">
        <v>70</v>
      </c>
      <c r="D3335" s="53" t="n">
        <v>2</v>
      </c>
      <c r="E3335" s="65" t="str">
        <f aca="false">IF($H3335="","",资金流水!$B70)</f>
        <v/>
      </c>
      <c r="F3335" s="55" t="str">
        <f aca="false">IF($H3335="","",资金流水!$C70)</f>
        <v/>
      </c>
      <c r="G3335" s="48" t="str">
        <f aca="false">IF($H3335="","",资金流水!$K70)</f>
        <v/>
      </c>
      <c r="H3335" s="10" t="str">
        <f aca="false">IF($L3335="","",IF($L3335="@对方",资金流水!$G70,IF($L3335="@账户",资金流水!$Q70,$L3335)))</f>
        <v/>
      </c>
      <c r="I3335" s="42" t="n">
        <f aca="false">IF($M3335="借",$O3335,0)</f>
        <v>0</v>
      </c>
      <c r="J3335" s="42" t="n">
        <f aca="false">IF($M3335="贷",$O3335,0)</f>
        <v>0</v>
      </c>
      <c r="K3335" s="48" t="str">
        <f aca="false">IF($H3335="","",资金流水!$F70)</f>
        <v/>
      </c>
      <c r="L3335" s="66" t="str">
        <f aca="false">IF(资金流水!$E70="","",IFERROR(INDEX(记账规则!$A$13:$H$32,MATCH(资金流水!$E70,记账规则!$A$13:$A$32,0),6),""))</f>
        <v/>
      </c>
      <c r="M3335" s="66" t="str">
        <f aca="false">IF($L3335="","",IFERROR(INDEX(记账规则!$A$13:$H$32,MATCH(资金流水!$E70,记账规则!$A$13:$A$32,0),7),""))</f>
        <v/>
      </c>
      <c r="N3335" s="66" t="str">
        <f aca="false">IF($L3335="","",IFERROR(INDEX(记账规则!$A$13:$H$32,MATCH(资金流水!$E70,记账规则!$A$13:$A$32,0),8),""))</f>
        <v/>
      </c>
      <c r="O3335" s="67" t="n">
        <f aca="false">IF($H3335="",0,ROUND(IF($N3335="金额",N(资金流水!$P70),0),2))</f>
        <v>0</v>
      </c>
      <c r="P3335" s="64" t="str">
        <f aca="false">IF(AND($H3335&lt;&gt;"",ROUND($O3335,2)&lt;&gt;0),"有","")</f>
        <v/>
      </c>
    </row>
    <row r="3336" customFormat="false" ht="15" hidden="true" customHeight="false" outlineLevel="0" collapsed="false">
      <c r="A3336" s="53" t="str">
        <f aca="false">IF($H3336="","",ROW()-5)</f>
        <v/>
      </c>
      <c r="B3336" s="64" t="s">
        <v>37</v>
      </c>
      <c r="C3336" s="53" t="n">
        <v>71</v>
      </c>
      <c r="D3336" s="53" t="n">
        <v>1</v>
      </c>
      <c r="E3336" s="65" t="str">
        <f aca="false">IF($H3336="","",资金流水!$B71)</f>
        <v/>
      </c>
      <c r="F3336" s="55" t="str">
        <f aca="false">IF($H3336="","",资金流水!$C71)</f>
        <v/>
      </c>
      <c r="G3336" s="48" t="str">
        <f aca="false">IF($H3336="","",资金流水!$K71)</f>
        <v/>
      </c>
      <c r="H3336" s="10" t="str">
        <f aca="false">IF($L3336="","",IF($L3336="@对方",资金流水!$G71,IF($L3336="@账户",资金流水!$Q71,$L3336)))</f>
        <v/>
      </c>
      <c r="I3336" s="42" t="n">
        <f aca="false">IF($M3336="借",$O3336,0)</f>
        <v>0</v>
      </c>
      <c r="J3336" s="42" t="n">
        <f aca="false">IF($M3336="贷",$O3336,0)</f>
        <v>0</v>
      </c>
      <c r="K3336" s="48" t="str">
        <f aca="false">IF($H3336="","",资金流水!$F71)</f>
        <v/>
      </c>
      <c r="L3336" s="66" t="str">
        <f aca="false">IF(资金流水!$E71="","",IFERROR(INDEX(记账规则!$A$13:$H$32,MATCH(资金流水!$E71,记账规则!$A$13:$A$32,0),3),""))</f>
        <v/>
      </c>
      <c r="M3336" s="66" t="str">
        <f aca="false">IF($L3336="","",IFERROR(INDEX(记账规则!$A$13:$H$32,MATCH(资金流水!$E71,记账规则!$A$13:$A$32,0),4),""))</f>
        <v/>
      </c>
      <c r="N3336" s="66" t="str">
        <f aca="false">IF($L3336="","",IFERROR(INDEX(记账规则!$A$13:$H$32,MATCH(资金流水!$E71,记账规则!$A$13:$A$32,0),5),""))</f>
        <v/>
      </c>
      <c r="O3336" s="67" t="n">
        <f aca="false">IF($H3336="",0,ROUND(IF($N3336="金额",N(资金流水!$P71),0),2))</f>
        <v>0</v>
      </c>
      <c r="P3336" s="64" t="str">
        <f aca="false">IF(AND($H3336&lt;&gt;"",ROUND($O3336,2)&lt;&gt;0),"有","")</f>
        <v/>
      </c>
    </row>
    <row r="3337" customFormat="false" ht="15" hidden="true" customHeight="false" outlineLevel="0" collapsed="false">
      <c r="A3337" s="53" t="str">
        <f aca="false">IF($H3337="","",ROW()-5)</f>
        <v/>
      </c>
      <c r="B3337" s="64" t="s">
        <v>37</v>
      </c>
      <c r="C3337" s="53" t="n">
        <v>71</v>
      </c>
      <c r="D3337" s="53" t="n">
        <v>2</v>
      </c>
      <c r="E3337" s="65" t="str">
        <f aca="false">IF($H3337="","",资金流水!$B71)</f>
        <v/>
      </c>
      <c r="F3337" s="55" t="str">
        <f aca="false">IF($H3337="","",资金流水!$C71)</f>
        <v/>
      </c>
      <c r="G3337" s="48" t="str">
        <f aca="false">IF($H3337="","",资金流水!$K71)</f>
        <v/>
      </c>
      <c r="H3337" s="10" t="str">
        <f aca="false">IF($L3337="","",IF($L3337="@对方",资金流水!$G71,IF($L3337="@账户",资金流水!$Q71,$L3337)))</f>
        <v/>
      </c>
      <c r="I3337" s="42" t="n">
        <f aca="false">IF($M3337="借",$O3337,0)</f>
        <v>0</v>
      </c>
      <c r="J3337" s="42" t="n">
        <f aca="false">IF($M3337="贷",$O3337,0)</f>
        <v>0</v>
      </c>
      <c r="K3337" s="48" t="str">
        <f aca="false">IF($H3337="","",资金流水!$F71)</f>
        <v/>
      </c>
      <c r="L3337" s="66" t="str">
        <f aca="false">IF(资金流水!$E71="","",IFERROR(INDEX(记账规则!$A$13:$H$32,MATCH(资金流水!$E71,记账规则!$A$13:$A$32,0),6),""))</f>
        <v/>
      </c>
      <c r="M3337" s="66" t="str">
        <f aca="false">IF($L3337="","",IFERROR(INDEX(记账规则!$A$13:$H$32,MATCH(资金流水!$E71,记账规则!$A$13:$A$32,0),7),""))</f>
        <v/>
      </c>
      <c r="N3337" s="66" t="str">
        <f aca="false">IF($L3337="","",IFERROR(INDEX(记账规则!$A$13:$H$32,MATCH(资金流水!$E71,记账规则!$A$13:$A$32,0),8),""))</f>
        <v/>
      </c>
      <c r="O3337" s="67" t="n">
        <f aca="false">IF($H3337="",0,ROUND(IF($N3337="金额",N(资金流水!$P71),0),2))</f>
        <v>0</v>
      </c>
      <c r="P3337" s="64" t="str">
        <f aca="false">IF(AND($H3337&lt;&gt;"",ROUND($O3337,2)&lt;&gt;0),"有","")</f>
        <v/>
      </c>
    </row>
    <row r="3338" customFormat="false" ht="15" hidden="true" customHeight="false" outlineLevel="0" collapsed="false">
      <c r="A3338" s="53" t="str">
        <f aca="false">IF($H3338="","",ROW()-5)</f>
        <v/>
      </c>
      <c r="B3338" s="64" t="s">
        <v>37</v>
      </c>
      <c r="C3338" s="53" t="n">
        <v>72</v>
      </c>
      <c r="D3338" s="53" t="n">
        <v>1</v>
      </c>
      <c r="E3338" s="65" t="str">
        <f aca="false">IF($H3338="","",资金流水!$B72)</f>
        <v/>
      </c>
      <c r="F3338" s="55" t="str">
        <f aca="false">IF($H3338="","",资金流水!$C72)</f>
        <v/>
      </c>
      <c r="G3338" s="48" t="str">
        <f aca="false">IF($H3338="","",资金流水!$K72)</f>
        <v/>
      </c>
      <c r="H3338" s="10" t="str">
        <f aca="false">IF($L3338="","",IF($L3338="@对方",资金流水!$G72,IF($L3338="@账户",资金流水!$Q72,$L3338)))</f>
        <v/>
      </c>
      <c r="I3338" s="42" t="n">
        <f aca="false">IF($M3338="借",$O3338,0)</f>
        <v>0</v>
      </c>
      <c r="J3338" s="42" t="n">
        <f aca="false">IF($M3338="贷",$O3338,0)</f>
        <v>0</v>
      </c>
      <c r="K3338" s="48" t="str">
        <f aca="false">IF($H3338="","",资金流水!$F72)</f>
        <v/>
      </c>
      <c r="L3338" s="66" t="str">
        <f aca="false">IF(资金流水!$E72="","",IFERROR(INDEX(记账规则!$A$13:$H$32,MATCH(资金流水!$E72,记账规则!$A$13:$A$32,0),3),""))</f>
        <v/>
      </c>
      <c r="M3338" s="66" t="str">
        <f aca="false">IF($L3338="","",IFERROR(INDEX(记账规则!$A$13:$H$32,MATCH(资金流水!$E72,记账规则!$A$13:$A$32,0),4),""))</f>
        <v/>
      </c>
      <c r="N3338" s="66" t="str">
        <f aca="false">IF($L3338="","",IFERROR(INDEX(记账规则!$A$13:$H$32,MATCH(资金流水!$E72,记账规则!$A$13:$A$32,0),5),""))</f>
        <v/>
      </c>
      <c r="O3338" s="67" t="n">
        <f aca="false">IF($H3338="",0,ROUND(IF($N3338="金额",N(资金流水!$P72),0),2))</f>
        <v>0</v>
      </c>
      <c r="P3338" s="64" t="str">
        <f aca="false">IF(AND($H3338&lt;&gt;"",ROUND($O3338,2)&lt;&gt;0),"有","")</f>
        <v/>
      </c>
    </row>
    <row r="3339" customFormat="false" ht="15" hidden="true" customHeight="false" outlineLevel="0" collapsed="false">
      <c r="A3339" s="53" t="str">
        <f aca="false">IF($H3339="","",ROW()-5)</f>
        <v/>
      </c>
      <c r="B3339" s="64" t="s">
        <v>37</v>
      </c>
      <c r="C3339" s="53" t="n">
        <v>72</v>
      </c>
      <c r="D3339" s="53" t="n">
        <v>2</v>
      </c>
      <c r="E3339" s="65" t="str">
        <f aca="false">IF($H3339="","",资金流水!$B72)</f>
        <v/>
      </c>
      <c r="F3339" s="55" t="str">
        <f aca="false">IF($H3339="","",资金流水!$C72)</f>
        <v/>
      </c>
      <c r="G3339" s="48" t="str">
        <f aca="false">IF($H3339="","",资金流水!$K72)</f>
        <v/>
      </c>
      <c r="H3339" s="10" t="str">
        <f aca="false">IF($L3339="","",IF($L3339="@对方",资金流水!$G72,IF($L3339="@账户",资金流水!$Q72,$L3339)))</f>
        <v/>
      </c>
      <c r="I3339" s="42" t="n">
        <f aca="false">IF($M3339="借",$O3339,0)</f>
        <v>0</v>
      </c>
      <c r="J3339" s="42" t="n">
        <f aca="false">IF($M3339="贷",$O3339,0)</f>
        <v>0</v>
      </c>
      <c r="K3339" s="48" t="str">
        <f aca="false">IF($H3339="","",资金流水!$F72)</f>
        <v/>
      </c>
      <c r="L3339" s="66" t="str">
        <f aca="false">IF(资金流水!$E72="","",IFERROR(INDEX(记账规则!$A$13:$H$32,MATCH(资金流水!$E72,记账规则!$A$13:$A$32,0),6),""))</f>
        <v/>
      </c>
      <c r="M3339" s="66" t="str">
        <f aca="false">IF($L3339="","",IFERROR(INDEX(记账规则!$A$13:$H$32,MATCH(资金流水!$E72,记账规则!$A$13:$A$32,0),7),""))</f>
        <v/>
      </c>
      <c r="N3339" s="66" t="str">
        <f aca="false">IF($L3339="","",IFERROR(INDEX(记账规则!$A$13:$H$32,MATCH(资金流水!$E72,记账规则!$A$13:$A$32,0),8),""))</f>
        <v/>
      </c>
      <c r="O3339" s="67" t="n">
        <f aca="false">IF($H3339="",0,ROUND(IF($N3339="金额",N(资金流水!$P72),0),2))</f>
        <v>0</v>
      </c>
      <c r="P3339" s="64" t="str">
        <f aca="false">IF(AND($H3339&lt;&gt;"",ROUND($O3339,2)&lt;&gt;0),"有","")</f>
        <v/>
      </c>
    </row>
    <row r="3340" customFormat="false" ht="15" hidden="true" customHeight="false" outlineLevel="0" collapsed="false">
      <c r="A3340" s="53" t="str">
        <f aca="false">IF($H3340="","",ROW()-5)</f>
        <v/>
      </c>
      <c r="B3340" s="64" t="s">
        <v>37</v>
      </c>
      <c r="C3340" s="53" t="n">
        <v>73</v>
      </c>
      <c r="D3340" s="53" t="n">
        <v>1</v>
      </c>
      <c r="E3340" s="65" t="str">
        <f aca="false">IF($H3340="","",资金流水!$B73)</f>
        <v/>
      </c>
      <c r="F3340" s="55" t="str">
        <f aca="false">IF($H3340="","",资金流水!$C73)</f>
        <v/>
      </c>
      <c r="G3340" s="48" t="str">
        <f aca="false">IF($H3340="","",资金流水!$K73)</f>
        <v/>
      </c>
      <c r="H3340" s="10" t="str">
        <f aca="false">IF($L3340="","",IF($L3340="@对方",资金流水!$G73,IF($L3340="@账户",资金流水!$Q73,$L3340)))</f>
        <v/>
      </c>
      <c r="I3340" s="42" t="n">
        <f aca="false">IF($M3340="借",$O3340,0)</f>
        <v>0</v>
      </c>
      <c r="J3340" s="42" t="n">
        <f aca="false">IF($M3340="贷",$O3340,0)</f>
        <v>0</v>
      </c>
      <c r="K3340" s="48" t="str">
        <f aca="false">IF($H3340="","",资金流水!$F73)</f>
        <v/>
      </c>
      <c r="L3340" s="66" t="str">
        <f aca="false">IF(资金流水!$E73="","",IFERROR(INDEX(记账规则!$A$13:$H$32,MATCH(资金流水!$E73,记账规则!$A$13:$A$32,0),3),""))</f>
        <v/>
      </c>
      <c r="M3340" s="66" t="str">
        <f aca="false">IF($L3340="","",IFERROR(INDEX(记账规则!$A$13:$H$32,MATCH(资金流水!$E73,记账规则!$A$13:$A$32,0),4),""))</f>
        <v/>
      </c>
      <c r="N3340" s="66" t="str">
        <f aca="false">IF($L3340="","",IFERROR(INDEX(记账规则!$A$13:$H$32,MATCH(资金流水!$E73,记账规则!$A$13:$A$32,0),5),""))</f>
        <v/>
      </c>
      <c r="O3340" s="67" t="n">
        <f aca="false">IF($H3340="",0,ROUND(IF($N3340="金额",N(资金流水!$P73),0),2))</f>
        <v>0</v>
      </c>
      <c r="P3340" s="64" t="str">
        <f aca="false">IF(AND($H3340&lt;&gt;"",ROUND($O3340,2)&lt;&gt;0),"有","")</f>
        <v/>
      </c>
    </row>
    <row r="3341" customFormat="false" ht="15" hidden="true" customHeight="false" outlineLevel="0" collapsed="false">
      <c r="A3341" s="53" t="str">
        <f aca="false">IF($H3341="","",ROW()-5)</f>
        <v/>
      </c>
      <c r="B3341" s="64" t="s">
        <v>37</v>
      </c>
      <c r="C3341" s="53" t="n">
        <v>73</v>
      </c>
      <c r="D3341" s="53" t="n">
        <v>2</v>
      </c>
      <c r="E3341" s="65" t="str">
        <f aca="false">IF($H3341="","",资金流水!$B73)</f>
        <v/>
      </c>
      <c r="F3341" s="55" t="str">
        <f aca="false">IF($H3341="","",资金流水!$C73)</f>
        <v/>
      </c>
      <c r="G3341" s="48" t="str">
        <f aca="false">IF($H3341="","",资金流水!$K73)</f>
        <v/>
      </c>
      <c r="H3341" s="10" t="str">
        <f aca="false">IF($L3341="","",IF($L3341="@对方",资金流水!$G73,IF($L3341="@账户",资金流水!$Q73,$L3341)))</f>
        <v/>
      </c>
      <c r="I3341" s="42" t="n">
        <f aca="false">IF($M3341="借",$O3341,0)</f>
        <v>0</v>
      </c>
      <c r="J3341" s="42" t="n">
        <f aca="false">IF($M3341="贷",$O3341,0)</f>
        <v>0</v>
      </c>
      <c r="K3341" s="48" t="str">
        <f aca="false">IF($H3341="","",资金流水!$F73)</f>
        <v/>
      </c>
      <c r="L3341" s="66" t="str">
        <f aca="false">IF(资金流水!$E73="","",IFERROR(INDEX(记账规则!$A$13:$H$32,MATCH(资金流水!$E73,记账规则!$A$13:$A$32,0),6),""))</f>
        <v/>
      </c>
      <c r="M3341" s="66" t="str">
        <f aca="false">IF($L3341="","",IFERROR(INDEX(记账规则!$A$13:$H$32,MATCH(资金流水!$E73,记账规则!$A$13:$A$32,0),7),""))</f>
        <v/>
      </c>
      <c r="N3341" s="66" t="str">
        <f aca="false">IF($L3341="","",IFERROR(INDEX(记账规则!$A$13:$H$32,MATCH(资金流水!$E73,记账规则!$A$13:$A$32,0),8),""))</f>
        <v/>
      </c>
      <c r="O3341" s="67" t="n">
        <f aca="false">IF($H3341="",0,ROUND(IF($N3341="金额",N(资金流水!$P73),0),2))</f>
        <v>0</v>
      </c>
      <c r="P3341" s="64" t="str">
        <f aca="false">IF(AND($H3341&lt;&gt;"",ROUND($O3341,2)&lt;&gt;0),"有","")</f>
        <v/>
      </c>
    </row>
    <row r="3342" customFormat="false" ht="15" hidden="true" customHeight="false" outlineLevel="0" collapsed="false">
      <c r="A3342" s="53" t="str">
        <f aca="false">IF($H3342="","",ROW()-5)</f>
        <v/>
      </c>
      <c r="B3342" s="64" t="s">
        <v>37</v>
      </c>
      <c r="C3342" s="53" t="n">
        <v>74</v>
      </c>
      <c r="D3342" s="53" t="n">
        <v>1</v>
      </c>
      <c r="E3342" s="65" t="str">
        <f aca="false">IF($H3342="","",资金流水!$B74)</f>
        <v/>
      </c>
      <c r="F3342" s="55" t="str">
        <f aca="false">IF($H3342="","",资金流水!$C74)</f>
        <v/>
      </c>
      <c r="G3342" s="48" t="str">
        <f aca="false">IF($H3342="","",资金流水!$K74)</f>
        <v/>
      </c>
      <c r="H3342" s="10" t="str">
        <f aca="false">IF($L3342="","",IF($L3342="@对方",资金流水!$G74,IF($L3342="@账户",资金流水!$Q74,$L3342)))</f>
        <v/>
      </c>
      <c r="I3342" s="42" t="n">
        <f aca="false">IF($M3342="借",$O3342,0)</f>
        <v>0</v>
      </c>
      <c r="J3342" s="42" t="n">
        <f aca="false">IF($M3342="贷",$O3342,0)</f>
        <v>0</v>
      </c>
      <c r="K3342" s="48" t="str">
        <f aca="false">IF($H3342="","",资金流水!$F74)</f>
        <v/>
      </c>
      <c r="L3342" s="66" t="str">
        <f aca="false">IF(资金流水!$E74="","",IFERROR(INDEX(记账规则!$A$13:$H$32,MATCH(资金流水!$E74,记账规则!$A$13:$A$32,0),3),""))</f>
        <v/>
      </c>
      <c r="M3342" s="66" t="str">
        <f aca="false">IF($L3342="","",IFERROR(INDEX(记账规则!$A$13:$H$32,MATCH(资金流水!$E74,记账规则!$A$13:$A$32,0),4),""))</f>
        <v/>
      </c>
      <c r="N3342" s="66" t="str">
        <f aca="false">IF($L3342="","",IFERROR(INDEX(记账规则!$A$13:$H$32,MATCH(资金流水!$E74,记账规则!$A$13:$A$32,0),5),""))</f>
        <v/>
      </c>
      <c r="O3342" s="67" t="n">
        <f aca="false">IF($H3342="",0,ROUND(IF($N3342="金额",N(资金流水!$P74),0),2))</f>
        <v>0</v>
      </c>
      <c r="P3342" s="64" t="str">
        <f aca="false">IF(AND($H3342&lt;&gt;"",ROUND($O3342,2)&lt;&gt;0),"有","")</f>
        <v/>
      </c>
    </row>
    <row r="3343" customFormat="false" ht="15" hidden="true" customHeight="false" outlineLevel="0" collapsed="false">
      <c r="A3343" s="53" t="str">
        <f aca="false">IF($H3343="","",ROW()-5)</f>
        <v/>
      </c>
      <c r="B3343" s="64" t="s">
        <v>37</v>
      </c>
      <c r="C3343" s="53" t="n">
        <v>74</v>
      </c>
      <c r="D3343" s="53" t="n">
        <v>2</v>
      </c>
      <c r="E3343" s="65" t="str">
        <f aca="false">IF($H3343="","",资金流水!$B74)</f>
        <v/>
      </c>
      <c r="F3343" s="55" t="str">
        <f aca="false">IF($H3343="","",资金流水!$C74)</f>
        <v/>
      </c>
      <c r="G3343" s="48" t="str">
        <f aca="false">IF($H3343="","",资金流水!$K74)</f>
        <v/>
      </c>
      <c r="H3343" s="10" t="str">
        <f aca="false">IF($L3343="","",IF($L3343="@对方",资金流水!$G74,IF($L3343="@账户",资金流水!$Q74,$L3343)))</f>
        <v/>
      </c>
      <c r="I3343" s="42" t="n">
        <f aca="false">IF($M3343="借",$O3343,0)</f>
        <v>0</v>
      </c>
      <c r="J3343" s="42" t="n">
        <f aca="false">IF($M3343="贷",$O3343,0)</f>
        <v>0</v>
      </c>
      <c r="K3343" s="48" t="str">
        <f aca="false">IF($H3343="","",资金流水!$F74)</f>
        <v/>
      </c>
      <c r="L3343" s="66" t="str">
        <f aca="false">IF(资金流水!$E74="","",IFERROR(INDEX(记账规则!$A$13:$H$32,MATCH(资金流水!$E74,记账规则!$A$13:$A$32,0),6),""))</f>
        <v/>
      </c>
      <c r="M3343" s="66" t="str">
        <f aca="false">IF($L3343="","",IFERROR(INDEX(记账规则!$A$13:$H$32,MATCH(资金流水!$E74,记账规则!$A$13:$A$32,0),7),""))</f>
        <v/>
      </c>
      <c r="N3343" s="66" t="str">
        <f aca="false">IF($L3343="","",IFERROR(INDEX(记账规则!$A$13:$H$32,MATCH(资金流水!$E74,记账规则!$A$13:$A$32,0),8),""))</f>
        <v/>
      </c>
      <c r="O3343" s="67" t="n">
        <f aca="false">IF($H3343="",0,ROUND(IF($N3343="金额",N(资金流水!$P74),0),2))</f>
        <v>0</v>
      </c>
      <c r="P3343" s="64" t="str">
        <f aca="false">IF(AND($H3343&lt;&gt;"",ROUND($O3343,2)&lt;&gt;0),"有","")</f>
        <v/>
      </c>
    </row>
    <row r="3344" customFormat="false" ht="15" hidden="true" customHeight="false" outlineLevel="0" collapsed="false">
      <c r="A3344" s="53" t="str">
        <f aca="false">IF($H3344="","",ROW()-5)</f>
        <v/>
      </c>
      <c r="B3344" s="64" t="s">
        <v>37</v>
      </c>
      <c r="C3344" s="53" t="n">
        <v>75</v>
      </c>
      <c r="D3344" s="53" t="n">
        <v>1</v>
      </c>
      <c r="E3344" s="65" t="str">
        <f aca="false">IF($H3344="","",资金流水!$B75)</f>
        <v/>
      </c>
      <c r="F3344" s="55" t="str">
        <f aca="false">IF($H3344="","",资金流水!$C75)</f>
        <v/>
      </c>
      <c r="G3344" s="48" t="str">
        <f aca="false">IF($H3344="","",资金流水!$K75)</f>
        <v/>
      </c>
      <c r="H3344" s="10" t="str">
        <f aca="false">IF($L3344="","",IF($L3344="@对方",资金流水!$G75,IF($L3344="@账户",资金流水!$Q75,$L3344)))</f>
        <v/>
      </c>
      <c r="I3344" s="42" t="n">
        <f aca="false">IF($M3344="借",$O3344,0)</f>
        <v>0</v>
      </c>
      <c r="J3344" s="42" t="n">
        <f aca="false">IF($M3344="贷",$O3344,0)</f>
        <v>0</v>
      </c>
      <c r="K3344" s="48" t="str">
        <f aca="false">IF($H3344="","",资金流水!$F75)</f>
        <v/>
      </c>
      <c r="L3344" s="66" t="str">
        <f aca="false">IF(资金流水!$E75="","",IFERROR(INDEX(记账规则!$A$13:$H$32,MATCH(资金流水!$E75,记账规则!$A$13:$A$32,0),3),""))</f>
        <v/>
      </c>
      <c r="M3344" s="66" t="str">
        <f aca="false">IF($L3344="","",IFERROR(INDEX(记账规则!$A$13:$H$32,MATCH(资金流水!$E75,记账规则!$A$13:$A$32,0),4),""))</f>
        <v/>
      </c>
      <c r="N3344" s="66" t="str">
        <f aca="false">IF($L3344="","",IFERROR(INDEX(记账规则!$A$13:$H$32,MATCH(资金流水!$E75,记账规则!$A$13:$A$32,0),5),""))</f>
        <v/>
      </c>
      <c r="O3344" s="67" t="n">
        <f aca="false">IF($H3344="",0,ROUND(IF($N3344="金额",N(资金流水!$P75),0),2))</f>
        <v>0</v>
      </c>
      <c r="P3344" s="64" t="str">
        <f aca="false">IF(AND($H3344&lt;&gt;"",ROUND($O3344,2)&lt;&gt;0),"有","")</f>
        <v/>
      </c>
    </row>
    <row r="3345" customFormat="false" ht="15" hidden="true" customHeight="false" outlineLevel="0" collapsed="false">
      <c r="A3345" s="53" t="str">
        <f aca="false">IF($H3345="","",ROW()-5)</f>
        <v/>
      </c>
      <c r="B3345" s="64" t="s">
        <v>37</v>
      </c>
      <c r="C3345" s="53" t="n">
        <v>75</v>
      </c>
      <c r="D3345" s="53" t="n">
        <v>2</v>
      </c>
      <c r="E3345" s="65" t="str">
        <f aca="false">IF($H3345="","",资金流水!$B75)</f>
        <v/>
      </c>
      <c r="F3345" s="55" t="str">
        <f aca="false">IF($H3345="","",资金流水!$C75)</f>
        <v/>
      </c>
      <c r="G3345" s="48" t="str">
        <f aca="false">IF($H3345="","",资金流水!$K75)</f>
        <v/>
      </c>
      <c r="H3345" s="10" t="str">
        <f aca="false">IF($L3345="","",IF($L3345="@对方",资金流水!$G75,IF($L3345="@账户",资金流水!$Q75,$L3345)))</f>
        <v/>
      </c>
      <c r="I3345" s="42" t="n">
        <f aca="false">IF($M3345="借",$O3345,0)</f>
        <v>0</v>
      </c>
      <c r="J3345" s="42" t="n">
        <f aca="false">IF($M3345="贷",$O3345,0)</f>
        <v>0</v>
      </c>
      <c r="K3345" s="48" t="str">
        <f aca="false">IF($H3345="","",资金流水!$F75)</f>
        <v/>
      </c>
      <c r="L3345" s="66" t="str">
        <f aca="false">IF(资金流水!$E75="","",IFERROR(INDEX(记账规则!$A$13:$H$32,MATCH(资金流水!$E75,记账规则!$A$13:$A$32,0),6),""))</f>
        <v/>
      </c>
      <c r="M3345" s="66" t="str">
        <f aca="false">IF($L3345="","",IFERROR(INDEX(记账规则!$A$13:$H$32,MATCH(资金流水!$E75,记账规则!$A$13:$A$32,0),7),""))</f>
        <v/>
      </c>
      <c r="N3345" s="66" t="str">
        <f aca="false">IF($L3345="","",IFERROR(INDEX(记账规则!$A$13:$H$32,MATCH(资金流水!$E75,记账规则!$A$13:$A$32,0),8),""))</f>
        <v/>
      </c>
      <c r="O3345" s="67" t="n">
        <f aca="false">IF($H3345="",0,ROUND(IF($N3345="金额",N(资金流水!$P75),0),2))</f>
        <v>0</v>
      </c>
      <c r="P3345" s="64" t="str">
        <f aca="false">IF(AND($H3345&lt;&gt;"",ROUND($O3345,2)&lt;&gt;0),"有","")</f>
        <v/>
      </c>
    </row>
    <row r="3346" customFormat="false" ht="15" hidden="true" customHeight="false" outlineLevel="0" collapsed="false">
      <c r="A3346" s="53" t="str">
        <f aca="false">IF($H3346="","",ROW()-5)</f>
        <v/>
      </c>
      <c r="B3346" s="64" t="s">
        <v>37</v>
      </c>
      <c r="C3346" s="53" t="n">
        <v>76</v>
      </c>
      <c r="D3346" s="53" t="n">
        <v>1</v>
      </c>
      <c r="E3346" s="65" t="str">
        <f aca="false">IF($H3346="","",资金流水!$B76)</f>
        <v/>
      </c>
      <c r="F3346" s="55" t="str">
        <f aca="false">IF($H3346="","",资金流水!$C76)</f>
        <v/>
      </c>
      <c r="G3346" s="48" t="str">
        <f aca="false">IF($H3346="","",资金流水!$K76)</f>
        <v/>
      </c>
      <c r="H3346" s="10" t="str">
        <f aca="false">IF($L3346="","",IF($L3346="@对方",资金流水!$G76,IF($L3346="@账户",资金流水!$Q76,$L3346)))</f>
        <v/>
      </c>
      <c r="I3346" s="42" t="n">
        <f aca="false">IF($M3346="借",$O3346,0)</f>
        <v>0</v>
      </c>
      <c r="J3346" s="42" t="n">
        <f aca="false">IF($M3346="贷",$O3346,0)</f>
        <v>0</v>
      </c>
      <c r="K3346" s="48" t="str">
        <f aca="false">IF($H3346="","",资金流水!$F76)</f>
        <v/>
      </c>
      <c r="L3346" s="66" t="str">
        <f aca="false">IF(资金流水!$E76="","",IFERROR(INDEX(记账规则!$A$13:$H$32,MATCH(资金流水!$E76,记账规则!$A$13:$A$32,0),3),""))</f>
        <v/>
      </c>
      <c r="M3346" s="66" t="str">
        <f aca="false">IF($L3346="","",IFERROR(INDEX(记账规则!$A$13:$H$32,MATCH(资金流水!$E76,记账规则!$A$13:$A$32,0),4),""))</f>
        <v/>
      </c>
      <c r="N3346" s="66" t="str">
        <f aca="false">IF($L3346="","",IFERROR(INDEX(记账规则!$A$13:$H$32,MATCH(资金流水!$E76,记账规则!$A$13:$A$32,0),5),""))</f>
        <v/>
      </c>
      <c r="O3346" s="67" t="n">
        <f aca="false">IF($H3346="",0,ROUND(IF($N3346="金额",N(资金流水!$P76),0),2))</f>
        <v>0</v>
      </c>
      <c r="P3346" s="64" t="str">
        <f aca="false">IF(AND($H3346&lt;&gt;"",ROUND($O3346,2)&lt;&gt;0),"有","")</f>
        <v/>
      </c>
    </row>
    <row r="3347" customFormat="false" ht="15" hidden="true" customHeight="false" outlineLevel="0" collapsed="false">
      <c r="A3347" s="53" t="str">
        <f aca="false">IF($H3347="","",ROW()-5)</f>
        <v/>
      </c>
      <c r="B3347" s="64" t="s">
        <v>37</v>
      </c>
      <c r="C3347" s="53" t="n">
        <v>76</v>
      </c>
      <c r="D3347" s="53" t="n">
        <v>2</v>
      </c>
      <c r="E3347" s="65" t="str">
        <f aca="false">IF($H3347="","",资金流水!$B76)</f>
        <v/>
      </c>
      <c r="F3347" s="55" t="str">
        <f aca="false">IF($H3347="","",资金流水!$C76)</f>
        <v/>
      </c>
      <c r="G3347" s="48" t="str">
        <f aca="false">IF($H3347="","",资金流水!$K76)</f>
        <v/>
      </c>
      <c r="H3347" s="10" t="str">
        <f aca="false">IF($L3347="","",IF($L3347="@对方",资金流水!$G76,IF($L3347="@账户",资金流水!$Q76,$L3347)))</f>
        <v/>
      </c>
      <c r="I3347" s="42" t="n">
        <f aca="false">IF($M3347="借",$O3347,0)</f>
        <v>0</v>
      </c>
      <c r="J3347" s="42" t="n">
        <f aca="false">IF($M3347="贷",$O3347,0)</f>
        <v>0</v>
      </c>
      <c r="K3347" s="48" t="str">
        <f aca="false">IF($H3347="","",资金流水!$F76)</f>
        <v/>
      </c>
      <c r="L3347" s="66" t="str">
        <f aca="false">IF(资金流水!$E76="","",IFERROR(INDEX(记账规则!$A$13:$H$32,MATCH(资金流水!$E76,记账规则!$A$13:$A$32,0),6),""))</f>
        <v/>
      </c>
      <c r="M3347" s="66" t="str">
        <f aca="false">IF($L3347="","",IFERROR(INDEX(记账规则!$A$13:$H$32,MATCH(资金流水!$E76,记账规则!$A$13:$A$32,0),7),""))</f>
        <v/>
      </c>
      <c r="N3347" s="66" t="str">
        <f aca="false">IF($L3347="","",IFERROR(INDEX(记账规则!$A$13:$H$32,MATCH(资金流水!$E76,记账规则!$A$13:$A$32,0),8),""))</f>
        <v/>
      </c>
      <c r="O3347" s="67" t="n">
        <f aca="false">IF($H3347="",0,ROUND(IF($N3347="金额",N(资金流水!$P76),0),2))</f>
        <v>0</v>
      </c>
      <c r="P3347" s="64" t="str">
        <f aca="false">IF(AND($H3347&lt;&gt;"",ROUND($O3347,2)&lt;&gt;0),"有","")</f>
        <v/>
      </c>
    </row>
    <row r="3348" customFormat="false" ht="15" hidden="true" customHeight="false" outlineLevel="0" collapsed="false">
      <c r="A3348" s="53" t="str">
        <f aca="false">IF($H3348="","",ROW()-5)</f>
        <v/>
      </c>
      <c r="B3348" s="64" t="s">
        <v>37</v>
      </c>
      <c r="C3348" s="53" t="n">
        <v>77</v>
      </c>
      <c r="D3348" s="53" t="n">
        <v>1</v>
      </c>
      <c r="E3348" s="65" t="str">
        <f aca="false">IF($H3348="","",资金流水!$B77)</f>
        <v/>
      </c>
      <c r="F3348" s="55" t="str">
        <f aca="false">IF($H3348="","",资金流水!$C77)</f>
        <v/>
      </c>
      <c r="G3348" s="48" t="str">
        <f aca="false">IF($H3348="","",资金流水!$K77)</f>
        <v/>
      </c>
      <c r="H3348" s="10" t="str">
        <f aca="false">IF($L3348="","",IF($L3348="@对方",资金流水!$G77,IF($L3348="@账户",资金流水!$Q77,$L3348)))</f>
        <v/>
      </c>
      <c r="I3348" s="42" t="n">
        <f aca="false">IF($M3348="借",$O3348,0)</f>
        <v>0</v>
      </c>
      <c r="J3348" s="42" t="n">
        <f aca="false">IF($M3348="贷",$O3348,0)</f>
        <v>0</v>
      </c>
      <c r="K3348" s="48" t="str">
        <f aca="false">IF($H3348="","",资金流水!$F77)</f>
        <v/>
      </c>
      <c r="L3348" s="66" t="str">
        <f aca="false">IF(资金流水!$E77="","",IFERROR(INDEX(记账规则!$A$13:$H$32,MATCH(资金流水!$E77,记账规则!$A$13:$A$32,0),3),""))</f>
        <v/>
      </c>
      <c r="M3348" s="66" t="str">
        <f aca="false">IF($L3348="","",IFERROR(INDEX(记账规则!$A$13:$H$32,MATCH(资金流水!$E77,记账规则!$A$13:$A$32,0),4),""))</f>
        <v/>
      </c>
      <c r="N3348" s="66" t="str">
        <f aca="false">IF($L3348="","",IFERROR(INDEX(记账规则!$A$13:$H$32,MATCH(资金流水!$E77,记账规则!$A$13:$A$32,0),5),""))</f>
        <v/>
      </c>
      <c r="O3348" s="67" t="n">
        <f aca="false">IF($H3348="",0,ROUND(IF($N3348="金额",N(资金流水!$P77),0),2))</f>
        <v>0</v>
      </c>
      <c r="P3348" s="64" t="str">
        <f aca="false">IF(AND($H3348&lt;&gt;"",ROUND($O3348,2)&lt;&gt;0),"有","")</f>
        <v/>
      </c>
    </row>
    <row r="3349" customFormat="false" ht="15" hidden="true" customHeight="false" outlineLevel="0" collapsed="false">
      <c r="A3349" s="53" t="str">
        <f aca="false">IF($H3349="","",ROW()-5)</f>
        <v/>
      </c>
      <c r="B3349" s="64" t="s">
        <v>37</v>
      </c>
      <c r="C3349" s="53" t="n">
        <v>77</v>
      </c>
      <c r="D3349" s="53" t="n">
        <v>2</v>
      </c>
      <c r="E3349" s="65" t="str">
        <f aca="false">IF($H3349="","",资金流水!$B77)</f>
        <v/>
      </c>
      <c r="F3349" s="55" t="str">
        <f aca="false">IF($H3349="","",资金流水!$C77)</f>
        <v/>
      </c>
      <c r="G3349" s="48" t="str">
        <f aca="false">IF($H3349="","",资金流水!$K77)</f>
        <v/>
      </c>
      <c r="H3349" s="10" t="str">
        <f aca="false">IF($L3349="","",IF($L3349="@对方",资金流水!$G77,IF($L3349="@账户",资金流水!$Q77,$L3349)))</f>
        <v/>
      </c>
      <c r="I3349" s="42" t="n">
        <f aca="false">IF($M3349="借",$O3349,0)</f>
        <v>0</v>
      </c>
      <c r="J3349" s="42" t="n">
        <f aca="false">IF($M3349="贷",$O3349,0)</f>
        <v>0</v>
      </c>
      <c r="K3349" s="48" t="str">
        <f aca="false">IF($H3349="","",资金流水!$F77)</f>
        <v/>
      </c>
      <c r="L3349" s="66" t="str">
        <f aca="false">IF(资金流水!$E77="","",IFERROR(INDEX(记账规则!$A$13:$H$32,MATCH(资金流水!$E77,记账规则!$A$13:$A$32,0),6),""))</f>
        <v/>
      </c>
      <c r="M3349" s="66" t="str">
        <f aca="false">IF($L3349="","",IFERROR(INDEX(记账规则!$A$13:$H$32,MATCH(资金流水!$E77,记账规则!$A$13:$A$32,0),7),""))</f>
        <v/>
      </c>
      <c r="N3349" s="66" t="str">
        <f aca="false">IF($L3349="","",IFERROR(INDEX(记账规则!$A$13:$H$32,MATCH(资金流水!$E77,记账规则!$A$13:$A$32,0),8),""))</f>
        <v/>
      </c>
      <c r="O3349" s="67" t="n">
        <f aca="false">IF($H3349="",0,ROUND(IF($N3349="金额",N(资金流水!$P77),0),2))</f>
        <v>0</v>
      </c>
      <c r="P3349" s="64" t="str">
        <f aca="false">IF(AND($H3349&lt;&gt;"",ROUND($O3349,2)&lt;&gt;0),"有","")</f>
        <v/>
      </c>
    </row>
    <row r="3350" customFormat="false" ht="15" hidden="true" customHeight="false" outlineLevel="0" collapsed="false">
      <c r="A3350" s="53" t="str">
        <f aca="false">IF($H3350="","",ROW()-5)</f>
        <v/>
      </c>
      <c r="B3350" s="64" t="s">
        <v>37</v>
      </c>
      <c r="C3350" s="53" t="n">
        <v>78</v>
      </c>
      <c r="D3350" s="53" t="n">
        <v>1</v>
      </c>
      <c r="E3350" s="65" t="str">
        <f aca="false">IF($H3350="","",资金流水!$B78)</f>
        <v/>
      </c>
      <c r="F3350" s="55" t="str">
        <f aca="false">IF($H3350="","",资金流水!$C78)</f>
        <v/>
      </c>
      <c r="G3350" s="48" t="str">
        <f aca="false">IF($H3350="","",资金流水!$K78)</f>
        <v/>
      </c>
      <c r="H3350" s="10" t="str">
        <f aca="false">IF($L3350="","",IF($L3350="@对方",资金流水!$G78,IF($L3350="@账户",资金流水!$Q78,$L3350)))</f>
        <v/>
      </c>
      <c r="I3350" s="42" t="n">
        <f aca="false">IF($M3350="借",$O3350,0)</f>
        <v>0</v>
      </c>
      <c r="J3350" s="42" t="n">
        <f aca="false">IF($M3350="贷",$O3350,0)</f>
        <v>0</v>
      </c>
      <c r="K3350" s="48" t="str">
        <f aca="false">IF($H3350="","",资金流水!$F78)</f>
        <v/>
      </c>
      <c r="L3350" s="66" t="str">
        <f aca="false">IF(资金流水!$E78="","",IFERROR(INDEX(记账规则!$A$13:$H$32,MATCH(资金流水!$E78,记账规则!$A$13:$A$32,0),3),""))</f>
        <v/>
      </c>
      <c r="M3350" s="66" t="str">
        <f aca="false">IF($L3350="","",IFERROR(INDEX(记账规则!$A$13:$H$32,MATCH(资金流水!$E78,记账规则!$A$13:$A$32,0),4),""))</f>
        <v/>
      </c>
      <c r="N3350" s="66" t="str">
        <f aca="false">IF($L3350="","",IFERROR(INDEX(记账规则!$A$13:$H$32,MATCH(资金流水!$E78,记账规则!$A$13:$A$32,0),5),""))</f>
        <v/>
      </c>
      <c r="O3350" s="67" t="n">
        <f aca="false">IF($H3350="",0,ROUND(IF($N3350="金额",N(资金流水!$P78),0),2))</f>
        <v>0</v>
      </c>
      <c r="P3350" s="64" t="str">
        <f aca="false">IF(AND($H3350&lt;&gt;"",ROUND($O3350,2)&lt;&gt;0),"有","")</f>
        <v/>
      </c>
    </row>
    <row r="3351" customFormat="false" ht="15" hidden="true" customHeight="false" outlineLevel="0" collapsed="false">
      <c r="A3351" s="53" t="str">
        <f aca="false">IF($H3351="","",ROW()-5)</f>
        <v/>
      </c>
      <c r="B3351" s="64" t="s">
        <v>37</v>
      </c>
      <c r="C3351" s="53" t="n">
        <v>78</v>
      </c>
      <c r="D3351" s="53" t="n">
        <v>2</v>
      </c>
      <c r="E3351" s="65" t="str">
        <f aca="false">IF($H3351="","",资金流水!$B78)</f>
        <v/>
      </c>
      <c r="F3351" s="55" t="str">
        <f aca="false">IF($H3351="","",资金流水!$C78)</f>
        <v/>
      </c>
      <c r="G3351" s="48" t="str">
        <f aca="false">IF($H3351="","",资金流水!$K78)</f>
        <v/>
      </c>
      <c r="H3351" s="10" t="str">
        <f aca="false">IF($L3351="","",IF($L3351="@对方",资金流水!$G78,IF($L3351="@账户",资金流水!$Q78,$L3351)))</f>
        <v/>
      </c>
      <c r="I3351" s="42" t="n">
        <f aca="false">IF($M3351="借",$O3351,0)</f>
        <v>0</v>
      </c>
      <c r="J3351" s="42" t="n">
        <f aca="false">IF($M3351="贷",$O3351,0)</f>
        <v>0</v>
      </c>
      <c r="K3351" s="48" t="str">
        <f aca="false">IF($H3351="","",资金流水!$F78)</f>
        <v/>
      </c>
      <c r="L3351" s="66" t="str">
        <f aca="false">IF(资金流水!$E78="","",IFERROR(INDEX(记账规则!$A$13:$H$32,MATCH(资金流水!$E78,记账规则!$A$13:$A$32,0),6),""))</f>
        <v/>
      </c>
      <c r="M3351" s="66" t="str">
        <f aca="false">IF($L3351="","",IFERROR(INDEX(记账规则!$A$13:$H$32,MATCH(资金流水!$E78,记账规则!$A$13:$A$32,0),7),""))</f>
        <v/>
      </c>
      <c r="N3351" s="66" t="str">
        <f aca="false">IF($L3351="","",IFERROR(INDEX(记账规则!$A$13:$H$32,MATCH(资金流水!$E78,记账规则!$A$13:$A$32,0),8),""))</f>
        <v/>
      </c>
      <c r="O3351" s="67" t="n">
        <f aca="false">IF($H3351="",0,ROUND(IF($N3351="金额",N(资金流水!$P78),0),2))</f>
        <v>0</v>
      </c>
      <c r="P3351" s="64" t="str">
        <f aca="false">IF(AND($H3351&lt;&gt;"",ROUND($O3351,2)&lt;&gt;0),"有","")</f>
        <v/>
      </c>
    </row>
    <row r="3352" customFormat="false" ht="15" hidden="true" customHeight="false" outlineLevel="0" collapsed="false">
      <c r="A3352" s="53" t="str">
        <f aca="false">IF($H3352="","",ROW()-5)</f>
        <v/>
      </c>
      <c r="B3352" s="64" t="s">
        <v>37</v>
      </c>
      <c r="C3352" s="53" t="n">
        <v>79</v>
      </c>
      <c r="D3352" s="53" t="n">
        <v>1</v>
      </c>
      <c r="E3352" s="65" t="str">
        <f aca="false">IF($H3352="","",资金流水!$B79)</f>
        <v/>
      </c>
      <c r="F3352" s="55" t="str">
        <f aca="false">IF($H3352="","",资金流水!$C79)</f>
        <v/>
      </c>
      <c r="G3352" s="48" t="str">
        <f aca="false">IF($H3352="","",资金流水!$K79)</f>
        <v/>
      </c>
      <c r="H3352" s="10" t="str">
        <f aca="false">IF($L3352="","",IF($L3352="@对方",资金流水!$G79,IF($L3352="@账户",资金流水!$Q79,$L3352)))</f>
        <v/>
      </c>
      <c r="I3352" s="42" t="n">
        <f aca="false">IF($M3352="借",$O3352,0)</f>
        <v>0</v>
      </c>
      <c r="J3352" s="42" t="n">
        <f aca="false">IF($M3352="贷",$O3352,0)</f>
        <v>0</v>
      </c>
      <c r="K3352" s="48" t="str">
        <f aca="false">IF($H3352="","",资金流水!$F79)</f>
        <v/>
      </c>
      <c r="L3352" s="66" t="str">
        <f aca="false">IF(资金流水!$E79="","",IFERROR(INDEX(记账规则!$A$13:$H$32,MATCH(资金流水!$E79,记账规则!$A$13:$A$32,0),3),""))</f>
        <v/>
      </c>
      <c r="M3352" s="66" t="str">
        <f aca="false">IF($L3352="","",IFERROR(INDEX(记账规则!$A$13:$H$32,MATCH(资金流水!$E79,记账规则!$A$13:$A$32,0),4),""))</f>
        <v/>
      </c>
      <c r="N3352" s="66" t="str">
        <f aca="false">IF($L3352="","",IFERROR(INDEX(记账规则!$A$13:$H$32,MATCH(资金流水!$E79,记账规则!$A$13:$A$32,0),5),""))</f>
        <v/>
      </c>
      <c r="O3352" s="67" t="n">
        <f aca="false">IF($H3352="",0,ROUND(IF($N3352="金额",N(资金流水!$P79),0),2))</f>
        <v>0</v>
      </c>
      <c r="P3352" s="64" t="str">
        <f aca="false">IF(AND($H3352&lt;&gt;"",ROUND($O3352,2)&lt;&gt;0),"有","")</f>
        <v/>
      </c>
    </row>
    <row r="3353" customFormat="false" ht="15" hidden="true" customHeight="false" outlineLevel="0" collapsed="false">
      <c r="A3353" s="53" t="str">
        <f aca="false">IF($H3353="","",ROW()-5)</f>
        <v/>
      </c>
      <c r="B3353" s="64" t="s">
        <v>37</v>
      </c>
      <c r="C3353" s="53" t="n">
        <v>79</v>
      </c>
      <c r="D3353" s="53" t="n">
        <v>2</v>
      </c>
      <c r="E3353" s="65" t="str">
        <f aca="false">IF($H3353="","",资金流水!$B79)</f>
        <v/>
      </c>
      <c r="F3353" s="55" t="str">
        <f aca="false">IF($H3353="","",资金流水!$C79)</f>
        <v/>
      </c>
      <c r="G3353" s="48" t="str">
        <f aca="false">IF($H3353="","",资金流水!$K79)</f>
        <v/>
      </c>
      <c r="H3353" s="10" t="str">
        <f aca="false">IF($L3353="","",IF($L3353="@对方",资金流水!$G79,IF($L3353="@账户",资金流水!$Q79,$L3353)))</f>
        <v/>
      </c>
      <c r="I3353" s="42" t="n">
        <f aca="false">IF($M3353="借",$O3353,0)</f>
        <v>0</v>
      </c>
      <c r="J3353" s="42" t="n">
        <f aca="false">IF($M3353="贷",$O3353,0)</f>
        <v>0</v>
      </c>
      <c r="K3353" s="48" t="str">
        <f aca="false">IF($H3353="","",资金流水!$F79)</f>
        <v/>
      </c>
      <c r="L3353" s="66" t="str">
        <f aca="false">IF(资金流水!$E79="","",IFERROR(INDEX(记账规则!$A$13:$H$32,MATCH(资金流水!$E79,记账规则!$A$13:$A$32,0),6),""))</f>
        <v/>
      </c>
      <c r="M3353" s="66" t="str">
        <f aca="false">IF($L3353="","",IFERROR(INDEX(记账规则!$A$13:$H$32,MATCH(资金流水!$E79,记账规则!$A$13:$A$32,0),7),""))</f>
        <v/>
      </c>
      <c r="N3353" s="66" t="str">
        <f aca="false">IF($L3353="","",IFERROR(INDEX(记账规则!$A$13:$H$32,MATCH(资金流水!$E79,记账规则!$A$13:$A$32,0),8),""))</f>
        <v/>
      </c>
      <c r="O3353" s="67" t="n">
        <f aca="false">IF($H3353="",0,ROUND(IF($N3353="金额",N(资金流水!$P79),0),2))</f>
        <v>0</v>
      </c>
      <c r="P3353" s="64" t="str">
        <f aca="false">IF(AND($H3353&lt;&gt;"",ROUND($O3353,2)&lt;&gt;0),"有","")</f>
        <v/>
      </c>
    </row>
    <row r="3354" customFormat="false" ht="15" hidden="true" customHeight="false" outlineLevel="0" collapsed="false">
      <c r="A3354" s="53" t="str">
        <f aca="false">IF($H3354="","",ROW()-5)</f>
        <v/>
      </c>
      <c r="B3354" s="64" t="s">
        <v>37</v>
      </c>
      <c r="C3354" s="53" t="n">
        <v>80</v>
      </c>
      <c r="D3354" s="53" t="n">
        <v>1</v>
      </c>
      <c r="E3354" s="65" t="str">
        <f aca="false">IF($H3354="","",资金流水!$B80)</f>
        <v/>
      </c>
      <c r="F3354" s="55" t="str">
        <f aca="false">IF($H3354="","",资金流水!$C80)</f>
        <v/>
      </c>
      <c r="G3354" s="48" t="str">
        <f aca="false">IF($H3354="","",资金流水!$K80)</f>
        <v/>
      </c>
      <c r="H3354" s="10" t="str">
        <f aca="false">IF($L3354="","",IF($L3354="@对方",资金流水!$G80,IF($L3354="@账户",资金流水!$Q80,$L3354)))</f>
        <v/>
      </c>
      <c r="I3354" s="42" t="n">
        <f aca="false">IF($M3354="借",$O3354,0)</f>
        <v>0</v>
      </c>
      <c r="J3354" s="42" t="n">
        <f aca="false">IF($M3354="贷",$O3354,0)</f>
        <v>0</v>
      </c>
      <c r="K3354" s="48" t="str">
        <f aca="false">IF($H3354="","",资金流水!$F80)</f>
        <v/>
      </c>
      <c r="L3354" s="66" t="str">
        <f aca="false">IF(资金流水!$E80="","",IFERROR(INDEX(记账规则!$A$13:$H$32,MATCH(资金流水!$E80,记账规则!$A$13:$A$32,0),3),""))</f>
        <v/>
      </c>
      <c r="M3354" s="66" t="str">
        <f aca="false">IF($L3354="","",IFERROR(INDEX(记账规则!$A$13:$H$32,MATCH(资金流水!$E80,记账规则!$A$13:$A$32,0),4),""))</f>
        <v/>
      </c>
      <c r="N3354" s="66" t="str">
        <f aca="false">IF($L3354="","",IFERROR(INDEX(记账规则!$A$13:$H$32,MATCH(资金流水!$E80,记账规则!$A$13:$A$32,0),5),""))</f>
        <v/>
      </c>
      <c r="O3354" s="67" t="n">
        <f aca="false">IF($H3354="",0,ROUND(IF($N3354="金额",N(资金流水!$P80),0),2))</f>
        <v>0</v>
      </c>
      <c r="P3354" s="64" t="str">
        <f aca="false">IF(AND($H3354&lt;&gt;"",ROUND($O3354,2)&lt;&gt;0),"有","")</f>
        <v/>
      </c>
    </row>
    <row r="3355" customFormat="false" ht="15" hidden="true" customHeight="false" outlineLevel="0" collapsed="false">
      <c r="A3355" s="53" t="str">
        <f aca="false">IF($H3355="","",ROW()-5)</f>
        <v/>
      </c>
      <c r="B3355" s="64" t="s">
        <v>37</v>
      </c>
      <c r="C3355" s="53" t="n">
        <v>80</v>
      </c>
      <c r="D3355" s="53" t="n">
        <v>2</v>
      </c>
      <c r="E3355" s="65" t="str">
        <f aca="false">IF($H3355="","",资金流水!$B80)</f>
        <v/>
      </c>
      <c r="F3355" s="55" t="str">
        <f aca="false">IF($H3355="","",资金流水!$C80)</f>
        <v/>
      </c>
      <c r="G3355" s="48" t="str">
        <f aca="false">IF($H3355="","",资金流水!$K80)</f>
        <v/>
      </c>
      <c r="H3355" s="10" t="str">
        <f aca="false">IF($L3355="","",IF($L3355="@对方",资金流水!$G80,IF($L3355="@账户",资金流水!$Q80,$L3355)))</f>
        <v/>
      </c>
      <c r="I3355" s="42" t="n">
        <f aca="false">IF($M3355="借",$O3355,0)</f>
        <v>0</v>
      </c>
      <c r="J3355" s="42" t="n">
        <f aca="false">IF($M3355="贷",$O3355,0)</f>
        <v>0</v>
      </c>
      <c r="K3355" s="48" t="str">
        <f aca="false">IF($H3355="","",资金流水!$F80)</f>
        <v/>
      </c>
      <c r="L3355" s="66" t="str">
        <f aca="false">IF(资金流水!$E80="","",IFERROR(INDEX(记账规则!$A$13:$H$32,MATCH(资金流水!$E80,记账规则!$A$13:$A$32,0),6),""))</f>
        <v/>
      </c>
      <c r="M3355" s="66" t="str">
        <f aca="false">IF($L3355="","",IFERROR(INDEX(记账规则!$A$13:$H$32,MATCH(资金流水!$E80,记账规则!$A$13:$A$32,0),7),""))</f>
        <v/>
      </c>
      <c r="N3355" s="66" t="str">
        <f aca="false">IF($L3355="","",IFERROR(INDEX(记账规则!$A$13:$H$32,MATCH(资金流水!$E80,记账规则!$A$13:$A$32,0),8),""))</f>
        <v/>
      </c>
      <c r="O3355" s="67" t="n">
        <f aca="false">IF($H3355="",0,ROUND(IF($N3355="金额",N(资金流水!$P80),0),2))</f>
        <v>0</v>
      </c>
      <c r="P3355" s="64" t="str">
        <f aca="false">IF(AND($H3355&lt;&gt;"",ROUND($O3355,2)&lt;&gt;0),"有","")</f>
        <v/>
      </c>
    </row>
    <row r="3356" customFormat="false" ht="15" hidden="true" customHeight="false" outlineLevel="0" collapsed="false">
      <c r="A3356" s="53" t="str">
        <f aca="false">IF($H3356="","",ROW()-5)</f>
        <v/>
      </c>
      <c r="B3356" s="64" t="s">
        <v>37</v>
      </c>
      <c r="C3356" s="53" t="n">
        <v>81</v>
      </c>
      <c r="D3356" s="53" t="n">
        <v>1</v>
      </c>
      <c r="E3356" s="65" t="str">
        <f aca="false">IF($H3356="","",资金流水!$B81)</f>
        <v/>
      </c>
      <c r="F3356" s="55" t="str">
        <f aca="false">IF($H3356="","",资金流水!$C81)</f>
        <v/>
      </c>
      <c r="G3356" s="48" t="str">
        <f aca="false">IF($H3356="","",资金流水!$K81)</f>
        <v/>
      </c>
      <c r="H3356" s="10" t="str">
        <f aca="false">IF($L3356="","",IF($L3356="@对方",资金流水!$G81,IF($L3356="@账户",资金流水!$Q81,$L3356)))</f>
        <v/>
      </c>
      <c r="I3356" s="42" t="n">
        <f aca="false">IF($M3356="借",$O3356,0)</f>
        <v>0</v>
      </c>
      <c r="J3356" s="42" t="n">
        <f aca="false">IF($M3356="贷",$O3356,0)</f>
        <v>0</v>
      </c>
      <c r="K3356" s="48" t="str">
        <f aca="false">IF($H3356="","",资金流水!$F81)</f>
        <v/>
      </c>
      <c r="L3356" s="66" t="str">
        <f aca="false">IF(资金流水!$E81="","",IFERROR(INDEX(记账规则!$A$13:$H$32,MATCH(资金流水!$E81,记账规则!$A$13:$A$32,0),3),""))</f>
        <v/>
      </c>
      <c r="M3356" s="66" t="str">
        <f aca="false">IF($L3356="","",IFERROR(INDEX(记账规则!$A$13:$H$32,MATCH(资金流水!$E81,记账规则!$A$13:$A$32,0),4),""))</f>
        <v/>
      </c>
      <c r="N3356" s="66" t="str">
        <f aca="false">IF($L3356="","",IFERROR(INDEX(记账规则!$A$13:$H$32,MATCH(资金流水!$E81,记账规则!$A$13:$A$32,0),5),""))</f>
        <v/>
      </c>
      <c r="O3356" s="67" t="n">
        <f aca="false">IF($H3356="",0,ROUND(IF($N3356="金额",N(资金流水!$P81),0),2))</f>
        <v>0</v>
      </c>
      <c r="P3356" s="64" t="str">
        <f aca="false">IF(AND($H3356&lt;&gt;"",ROUND($O3356,2)&lt;&gt;0),"有","")</f>
        <v/>
      </c>
    </row>
    <row r="3357" customFormat="false" ht="15" hidden="true" customHeight="false" outlineLevel="0" collapsed="false">
      <c r="A3357" s="53" t="str">
        <f aca="false">IF($H3357="","",ROW()-5)</f>
        <v/>
      </c>
      <c r="B3357" s="64" t="s">
        <v>37</v>
      </c>
      <c r="C3357" s="53" t="n">
        <v>81</v>
      </c>
      <c r="D3357" s="53" t="n">
        <v>2</v>
      </c>
      <c r="E3357" s="65" t="str">
        <f aca="false">IF($H3357="","",资金流水!$B81)</f>
        <v/>
      </c>
      <c r="F3357" s="55" t="str">
        <f aca="false">IF($H3357="","",资金流水!$C81)</f>
        <v/>
      </c>
      <c r="G3357" s="48" t="str">
        <f aca="false">IF($H3357="","",资金流水!$K81)</f>
        <v/>
      </c>
      <c r="H3357" s="10" t="str">
        <f aca="false">IF($L3357="","",IF($L3357="@对方",资金流水!$G81,IF($L3357="@账户",资金流水!$Q81,$L3357)))</f>
        <v/>
      </c>
      <c r="I3357" s="42" t="n">
        <f aca="false">IF($M3357="借",$O3357,0)</f>
        <v>0</v>
      </c>
      <c r="J3357" s="42" t="n">
        <f aca="false">IF($M3357="贷",$O3357,0)</f>
        <v>0</v>
      </c>
      <c r="K3357" s="48" t="str">
        <f aca="false">IF($H3357="","",资金流水!$F81)</f>
        <v/>
      </c>
      <c r="L3357" s="66" t="str">
        <f aca="false">IF(资金流水!$E81="","",IFERROR(INDEX(记账规则!$A$13:$H$32,MATCH(资金流水!$E81,记账规则!$A$13:$A$32,0),6),""))</f>
        <v/>
      </c>
      <c r="M3357" s="66" t="str">
        <f aca="false">IF($L3357="","",IFERROR(INDEX(记账规则!$A$13:$H$32,MATCH(资金流水!$E81,记账规则!$A$13:$A$32,0),7),""))</f>
        <v/>
      </c>
      <c r="N3357" s="66" t="str">
        <f aca="false">IF($L3357="","",IFERROR(INDEX(记账规则!$A$13:$H$32,MATCH(资金流水!$E81,记账规则!$A$13:$A$32,0),8),""))</f>
        <v/>
      </c>
      <c r="O3357" s="67" t="n">
        <f aca="false">IF($H3357="",0,ROUND(IF($N3357="金额",N(资金流水!$P81),0),2))</f>
        <v>0</v>
      </c>
      <c r="P3357" s="64" t="str">
        <f aca="false">IF(AND($H3357&lt;&gt;"",ROUND($O3357,2)&lt;&gt;0),"有","")</f>
        <v/>
      </c>
    </row>
    <row r="3358" customFormat="false" ht="15" hidden="true" customHeight="false" outlineLevel="0" collapsed="false">
      <c r="A3358" s="53" t="str">
        <f aca="false">IF($H3358="","",ROW()-5)</f>
        <v/>
      </c>
      <c r="B3358" s="64" t="s">
        <v>37</v>
      </c>
      <c r="C3358" s="53" t="n">
        <v>82</v>
      </c>
      <c r="D3358" s="53" t="n">
        <v>1</v>
      </c>
      <c r="E3358" s="65" t="str">
        <f aca="false">IF($H3358="","",资金流水!$B82)</f>
        <v/>
      </c>
      <c r="F3358" s="55" t="str">
        <f aca="false">IF($H3358="","",资金流水!$C82)</f>
        <v/>
      </c>
      <c r="G3358" s="48" t="str">
        <f aca="false">IF($H3358="","",资金流水!$K82)</f>
        <v/>
      </c>
      <c r="H3358" s="10" t="str">
        <f aca="false">IF($L3358="","",IF($L3358="@对方",资金流水!$G82,IF($L3358="@账户",资金流水!$Q82,$L3358)))</f>
        <v/>
      </c>
      <c r="I3358" s="42" t="n">
        <f aca="false">IF($M3358="借",$O3358,0)</f>
        <v>0</v>
      </c>
      <c r="J3358" s="42" t="n">
        <f aca="false">IF($M3358="贷",$O3358,0)</f>
        <v>0</v>
      </c>
      <c r="K3358" s="48" t="str">
        <f aca="false">IF($H3358="","",资金流水!$F82)</f>
        <v/>
      </c>
      <c r="L3358" s="66" t="str">
        <f aca="false">IF(资金流水!$E82="","",IFERROR(INDEX(记账规则!$A$13:$H$32,MATCH(资金流水!$E82,记账规则!$A$13:$A$32,0),3),""))</f>
        <v/>
      </c>
      <c r="M3358" s="66" t="str">
        <f aca="false">IF($L3358="","",IFERROR(INDEX(记账规则!$A$13:$H$32,MATCH(资金流水!$E82,记账规则!$A$13:$A$32,0),4),""))</f>
        <v/>
      </c>
      <c r="N3358" s="66" t="str">
        <f aca="false">IF($L3358="","",IFERROR(INDEX(记账规则!$A$13:$H$32,MATCH(资金流水!$E82,记账规则!$A$13:$A$32,0),5),""))</f>
        <v/>
      </c>
      <c r="O3358" s="67" t="n">
        <f aca="false">IF($H3358="",0,ROUND(IF($N3358="金额",N(资金流水!$P82),0),2))</f>
        <v>0</v>
      </c>
      <c r="P3358" s="64" t="str">
        <f aca="false">IF(AND($H3358&lt;&gt;"",ROUND($O3358,2)&lt;&gt;0),"有","")</f>
        <v/>
      </c>
    </row>
    <row r="3359" customFormat="false" ht="15" hidden="true" customHeight="false" outlineLevel="0" collapsed="false">
      <c r="A3359" s="53" t="str">
        <f aca="false">IF($H3359="","",ROW()-5)</f>
        <v/>
      </c>
      <c r="B3359" s="64" t="s">
        <v>37</v>
      </c>
      <c r="C3359" s="53" t="n">
        <v>82</v>
      </c>
      <c r="D3359" s="53" t="n">
        <v>2</v>
      </c>
      <c r="E3359" s="65" t="str">
        <f aca="false">IF($H3359="","",资金流水!$B82)</f>
        <v/>
      </c>
      <c r="F3359" s="55" t="str">
        <f aca="false">IF($H3359="","",资金流水!$C82)</f>
        <v/>
      </c>
      <c r="G3359" s="48" t="str">
        <f aca="false">IF($H3359="","",资金流水!$K82)</f>
        <v/>
      </c>
      <c r="H3359" s="10" t="str">
        <f aca="false">IF($L3359="","",IF($L3359="@对方",资金流水!$G82,IF($L3359="@账户",资金流水!$Q82,$L3359)))</f>
        <v/>
      </c>
      <c r="I3359" s="42" t="n">
        <f aca="false">IF($M3359="借",$O3359,0)</f>
        <v>0</v>
      </c>
      <c r="J3359" s="42" t="n">
        <f aca="false">IF($M3359="贷",$O3359,0)</f>
        <v>0</v>
      </c>
      <c r="K3359" s="48" t="str">
        <f aca="false">IF($H3359="","",资金流水!$F82)</f>
        <v/>
      </c>
      <c r="L3359" s="66" t="str">
        <f aca="false">IF(资金流水!$E82="","",IFERROR(INDEX(记账规则!$A$13:$H$32,MATCH(资金流水!$E82,记账规则!$A$13:$A$32,0),6),""))</f>
        <v/>
      </c>
      <c r="M3359" s="66" t="str">
        <f aca="false">IF($L3359="","",IFERROR(INDEX(记账规则!$A$13:$H$32,MATCH(资金流水!$E82,记账规则!$A$13:$A$32,0),7),""))</f>
        <v/>
      </c>
      <c r="N3359" s="66" t="str">
        <f aca="false">IF($L3359="","",IFERROR(INDEX(记账规则!$A$13:$H$32,MATCH(资金流水!$E82,记账规则!$A$13:$A$32,0),8),""))</f>
        <v/>
      </c>
      <c r="O3359" s="67" t="n">
        <f aca="false">IF($H3359="",0,ROUND(IF($N3359="金额",N(资金流水!$P82),0),2))</f>
        <v>0</v>
      </c>
      <c r="P3359" s="64" t="str">
        <f aca="false">IF(AND($H3359&lt;&gt;"",ROUND($O3359,2)&lt;&gt;0),"有","")</f>
        <v/>
      </c>
    </row>
    <row r="3360" customFormat="false" ht="15" hidden="true" customHeight="false" outlineLevel="0" collapsed="false">
      <c r="A3360" s="53" t="str">
        <f aca="false">IF($H3360="","",ROW()-5)</f>
        <v/>
      </c>
      <c r="B3360" s="64" t="s">
        <v>37</v>
      </c>
      <c r="C3360" s="53" t="n">
        <v>83</v>
      </c>
      <c r="D3360" s="53" t="n">
        <v>1</v>
      </c>
      <c r="E3360" s="65" t="str">
        <f aca="false">IF($H3360="","",资金流水!$B83)</f>
        <v/>
      </c>
      <c r="F3360" s="55" t="str">
        <f aca="false">IF($H3360="","",资金流水!$C83)</f>
        <v/>
      </c>
      <c r="G3360" s="48" t="str">
        <f aca="false">IF($H3360="","",资金流水!$K83)</f>
        <v/>
      </c>
      <c r="H3360" s="10" t="str">
        <f aca="false">IF($L3360="","",IF($L3360="@对方",资金流水!$G83,IF($L3360="@账户",资金流水!$Q83,$L3360)))</f>
        <v/>
      </c>
      <c r="I3360" s="42" t="n">
        <f aca="false">IF($M3360="借",$O3360,0)</f>
        <v>0</v>
      </c>
      <c r="J3360" s="42" t="n">
        <f aca="false">IF($M3360="贷",$O3360,0)</f>
        <v>0</v>
      </c>
      <c r="K3360" s="48" t="str">
        <f aca="false">IF($H3360="","",资金流水!$F83)</f>
        <v/>
      </c>
      <c r="L3360" s="66" t="str">
        <f aca="false">IF(资金流水!$E83="","",IFERROR(INDEX(记账规则!$A$13:$H$32,MATCH(资金流水!$E83,记账规则!$A$13:$A$32,0),3),""))</f>
        <v/>
      </c>
      <c r="M3360" s="66" t="str">
        <f aca="false">IF($L3360="","",IFERROR(INDEX(记账规则!$A$13:$H$32,MATCH(资金流水!$E83,记账规则!$A$13:$A$32,0),4),""))</f>
        <v/>
      </c>
      <c r="N3360" s="66" t="str">
        <f aca="false">IF($L3360="","",IFERROR(INDEX(记账规则!$A$13:$H$32,MATCH(资金流水!$E83,记账规则!$A$13:$A$32,0),5),""))</f>
        <v/>
      </c>
      <c r="O3360" s="67" t="n">
        <f aca="false">IF($H3360="",0,ROUND(IF($N3360="金额",N(资金流水!$P83),0),2))</f>
        <v>0</v>
      </c>
      <c r="P3360" s="64" t="str">
        <f aca="false">IF(AND($H3360&lt;&gt;"",ROUND($O3360,2)&lt;&gt;0),"有","")</f>
        <v/>
      </c>
    </row>
    <row r="3361" customFormat="false" ht="15" hidden="true" customHeight="false" outlineLevel="0" collapsed="false">
      <c r="A3361" s="53" t="str">
        <f aca="false">IF($H3361="","",ROW()-5)</f>
        <v/>
      </c>
      <c r="B3361" s="64" t="s">
        <v>37</v>
      </c>
      <c r="C3361" s="53" t="n">
        <v>83</v>
      </c>
      <c r="D3361" s="53" t="n">
        <v>2</v>
      </c>
      <c r="E3361" s="65" t="str">
        <f aca="false">IF($H3361="","",资金流水!$B83)</f>
        <v/>
      </c>
      <c r="F3361" s="55" t="str">
        <f aca="false">IF($H3361="","",资金流水!$C83)</f>
        <v/>
      </c>
      <c r="G3361" s="48" t="str">
        <f aca="false">IF($H3361="","",资金流水!$K83)</f>
        <v/>
      </c>
      <c r="H3361" s="10" t="str">
        <f aca="false">IF($L3361="","",IF($L3361="@对方",资金流水!$G83,IF($L3361="@账户",资金流水!$Q83,$L3361)))</f>
        <v/>
      </c>
      <c r="I3361" s="42" t="n">
        <f aca="false">IF($M3361="借",$O3361,0)</f>
        <v>0</v>
      </c>
      <c r="J3361" s="42" t="n">
        <f aca="false">IF($M3361="贷",$O3361,0)</f>
        <v>0</v>
      </c>
      <c r="K3361" s="48" t="str">
        <f aca="false">IF($H3361="","",资金流水!$F83)</f>
        <v/>
      </c>
      <c r="L3361" s="66" t="str">
        <f aca="false">IF(资金流水!$E83="","",IFERROR(INDEX(记账规则!$A$13:$H$32,MATCH(资金流水!$E83,记账规则!$A$13:$A$32,0),6),""))</f>
        <v/>
      </c>
      <c r="M3361" s="66" t="str">
        <f aca="false">IF($L3361="","",IFERROR(INDEX(记账规则!$A$13:$H$32,MATCH(资金流水!$E83,记账规则!$A$13:$A$32,0),7),""))</f>
        <v/>
      </c>
      <c r="N3361" s="66" t="str">
        <f aca="false">IF($L3361="","",IFERROR(INDEX(记账规则!$A$13:$H$32,MATCH(资金流水!$E83,记账规则!$A$13:$A$32,0),8),""))</f>
        <v/>
      </c>
      <c r="O3361" s="67" t="n">
        <f aca="false">IF($H3361="",0,ROUND(IF($N3361="金额",N(资金流水!$P83),0),2))</f>
        <v>0</v>
      </c>
      <c r="P3361" s="64" t="str">
        <f aca="false">IF(AND($H3361&lt;&gt;"",ROUND($O3361,2)&lt;&gt;0),"有","")</f>
        <v/>
      </c>
    </row>
    <row r="3362" customFormat="false" ht="15" hidden="true" customHeight="false" outlineLevel="0" collapsed="false">
      <c r="A3362" s="53" t="str">
        <f aca="false">IF($H3362="","",ROW()-5)</f>
        <v/>
      </c>
      <c r="B3362" s="64" t="s">
        <v>37</v>
      </c>
      <c r="C3362" s="53" t="n">
        <v>84</v>
      </c>
      <c r="D3362" s="53" t="n">
        <v>1</v>
      </c>
      <c r="E3362" s="65" t="str">
        <f aca="false">IF($H3362="","",资金流水!$B84)</f>
        <v/>
      </c>
      <c r="F3362" s="55" t="str">
        <f aca="false">IF($H3362="","",资金流水!$C84)</f>
        <v/>
      </c>
      <c r="G3362" s="48" t="str">
        <f aca="false">IF($H3362="","",资金流水!$K84)</f>
        <v/>
      </c>
      <c r="H3362" s="10" t="str">
        <f aca="false">IF($L3362="","",IF($L3362="@对方",资金流水!$G84,IF($L3362="@账户",资金流水!$Q84,$L3362)))</f>
        <v/>
      </c>
      <c r="I3362" s="42" t="n">
        <f aca="false">IF($M3362="借",$O3362,0)</f>
        <v>0</v>
      </c>
      <c r="J3362" s="42" t="n">
        <f aca="false">IF($M3362="贷",$O3362,0)</f>
        <v>0</v>
      </c>
      <c r="K3362" s="48" t="str">
        <f aca="false">IF($H3362="","",资金流水!$F84)</f>
        <v/>
      </c>
      <c r="L3362" s="66" t="str">
        <f aca="false">IF(资金流水!$E84="","",IFERROR(INDEX(记账规则!$A$13:$H$32,MATCH(资金流水!$E84,记账规则!$A$13:$A$32,0),3),""))</f>
        <v/>
      </c>
      <c r="M3362" s="66" t="str">
        <f aca="false">IF($L3362="","",IFERROR(INDEX(记账规则!$A$13:$H$32,MATCH(资金流水!$E84,记账规则!$A$13:$A$32,0),4),""))</f>
        <v/>
      </c>
      <c r="N3362" s="66" t="str">
        <f aca="false">IF($L3362="","",IFERROR(INDEX(记账规则!$A$13:$H$32,MATCH(资金流水!$E84,记账规则!$A$13:$A$32,0),5),""))</f>
        <v/>
      </c>
      <c r="O3362" s="67" t="n">
        <f aca="false">IF($H3362="",0,ROUND(IF($N3362="金额",N(资金流水!$P84),0),2))</f>
        <v>0</v>
      </c>
      <c r="P3362" s="64" t="str">
        <f aca="false">IF(AND($H3362&lt;&gt;"",ROUND($O3362,2)&lt;&gt;0),"有","")</f>
        <v/>
      </c>
    </row>
    <row r="3363" customFormat="false" ht="15" hidden="true" customHeight="false" outlineLevel="0" collapsed="false">
      <c r="A3363" s="53" t="str">
        <f aca="false">IF($H3363="","",ROW()-5)</f>
        <v/>
      </c>
      <c r="B3363" s="64" t="s">
        <v>37</v>
      </c>
      <c r="C3363" s="53" t="n">
        <v>84</v>
      </c>
      <c r="D3363" s="53" t="n">
        <v>2</v>
      </c>
      <c r="E3363" s="65" t="str">
        <f aca="false">IF($H3363="","",资金流水!$B84)</f>
        <v/>
      </c>
      <c r="F3363" s="55" t="str">
        <f aca="false">IF($H3363="","",资金流水!$C84)</f>
        <v/>
      </c>
      <c r="G3363" s="48" t="str">
        <f aca="false">IF($H3363="","",资金流水!$K84)</f>
        <v/>
      </c>
      <c r="H3363" s="10" t="str">
        <f aca="false">IF($L3363="","",IF($L3363="@对方",资金流水!$G84,IF($L3363="@账户",资金流水!$Q84,$L3363)))</f>
        <v/>
      </c>
      <c r="I3363" s="42" t="n">
        <f aca="false">IF($M3363="借",$O3363,0)</f>
        <v>0</v>
      </c>
      <c r="J3363" s="42" t="n">
        <f aca="false">IF($M3363="贷",$O3363,0)</f>
        <v>0</v>
      </c>
      <c r="K3363" s="48" t="str">
        <f aca="false">IF($H3363="","",资金流水!$F84)</f>
        <v/>
      </c>
      <c r="L3363" s="66" t="str">
        <f aca="false">IF(资金流水!$E84="","",IFERROR(INDEX(记账规则!$A$13:$H$32,MATCH(资金流水!$E84,记账规则!$A$13:$A$32,0),6),""))</f>
        <v/>
      </c>
      <c r="M3363" s="66" t="str">
        <f aca="false">IF($L3363="","",IFERROR(INDEX(记账规则!$A$13:$H$32,MATCH(资金流水!$E84,记账规则!$A$13:$A$32,0),7),""))</f>
        <v/>
      </c>
      <c r="N3363" s="66" t="str">
        <f aca="false">IF($L3363="","",IFERROR(INDEX(记账规则!$A$13:$H$32,MATCH(资金流水!$E84,记账规则!$A$13:$A$32,0),8),""))</f>
        <v/>
      </c>
      <c r="O3363" s="67" t="n">
        <f aca="false">IF($H3363="",0,ROUND(IF($N3363="金额",N(资金流水!$P84),0),2))</f>
        <v>0</v>
      </c>
      <c r="P3363" s="64" t="str">
        <f aca="false">IF(AND($H3363&lt;&gt;"",ROUND($O3363,2)&lt;&gt;0),"有","")</f>
        <v/>
      </c>
    </row>
    <row r="3364" customFormat="false" ht="15" hidden="true" customHeight="false" outlineLevel="0" collapsed="false">
      <c r="A3364" s="53" t="str">
        <f aca="false">IF($H3364="","",ROW()-5)</f>
        <v/>
      </c>
      <c r="B3364" s="64" t="s">
        <v>37</v>
      </c>
      <c r="C3364" s="53" t="n">
        <v>85</v>
      </c>
      <c r="D3364" s="53" t="n">
        <v>1</v>
      </c>
      <c r="E3364" s="65" t="str">
        <f aca="false">IF($H3364="","",资金流水!$B85)</f>
        <v/>
      </c>
      <c r="F3364" s="55" t="str">
        <f aca="false">IF($H3364="","",资金流水!$C85)</f>
        <v/>
      </c>
      <c r="G3364" s="48" t="str">
        <f aca="false">IF($H3364="","",资金流水!$K85)</f>
        <v/>
      </c>
      <c r="H3364" s="10" t="str">
        <f aca="false">IF($L3364="","",IF($L3364="@对方",资金流水!$G85,IF($L3364="@账户",资金流水!$Q85,$L3364)))</f>
        <v/>
      </c>
      <c r="I3364" s="42" t="n">
        <f aca="false">IF($M3364="借",$O3364,0)</f>
        <v>0</v>
      </c>
      <c r="J3364" s="42" t="n">
        <f aca="false">IF($M3364="贷",$O3364,0)</f>
        <v>0</v>
      </c>
      <c r="K3364" s="48" t="str">
        <f aca="false">IF($H3364="","",资金流水!$F85)</f>
        <v/>
      </c>
      <c r="L3364" s="66" t="str">
        <f aca="false">IF(资金流水!$E85="","",IFERROR(INDEX(记账规则!$A$13:$H$32,MATCH(资金流水!$E85,记账规则!$A$13:$A$32,0),3),""))</f>
        <v/>
      </c>
      <c r="M3364" s="66" t="str">
        <f aca="false">IF($L3364="","",IFERROR(INDEX(记账规则!$A$13:$H$32,MATCH(资金流水!$E85,记账规则!$A$13:$A$32,0),4),""))</f>
        <v/>
      </c>
      <c r="N3364" s="66" t="str">
        <f aca="false">IF($L3364="","",IFERROR(INDEX(记账规则!$A$13:$H$32,MATCH(资金流水!$E85,记账规则!$A$13:$A$32,0),5),""))</f>
        <v/>
      </c>
      <c r="O3364" s="67" t="n">
        <f aca="false">IF($H3364="",0,ROUND(IF($N3364="金额",N(资金流水!$P85),0),2))</f>
        <v>0</v>
      </c>
      <c r="P3364" s="64" t="str">
        <f aca="false">IF(AND($H3364&lt;&gt;"",ROUND($O3364,2)&lt;&gt;0),"有","")</f>
        <v/>
      </c>
    </row>
    <row r="3365" customFormat="false" ht="15" hidden="true" customHeight="false" outlineLevel="0" collapsed="false">
      <c r="A3365" s="53" t="str">
        <f aca="false">IF($H3365="","",ROW()-5)</f>
        <v/>
      </c>
      <c r="B3365" s="64" t="s">
        <v>37</v>
      </c>
      <c r="C3365" s="53" t="n">
        <v>85</v>
      </c>
      <c r="D3365" s="53" t="n">
        <v>2</v>
      </c>
      <c r="E3365" s="65" t="str">
        <f aca="false">IF($H3365="","",资金流水!$B85)</f>
        <v/>
      </c>
      <c r="F3365" s="55" t="str">
        <f aca="false">IF($H3365="","",资金流水!$C85)</f>
        <v/>
      </c>
      <c r="G3365" s="48" t="str">
        <f aca="false">IF($H3365="","",资金流水!$K85)</f>
        <v/>
      </c>
      <c r="H3365" s="10" t="str">
        <f aca="false">IF($L3365="","",IF($L3365="@对方",资金流水!$G85,IF($L3365="@账户",资金流水!$Q85,$L3365)))</f>
        <v/>
      </c>
      <c r="I3365" s="42" t="n">
        <f aca="false">IF($M3365="借",$O3365,0)</f>
        <v>0</v>
      </c>
      <c r="J3365" s="42" t="n">
        <f aca="false">IF($M3365="贷",$O3365,0)</f>
        <v>0</v>
      </c>
      <c r="K3365" s="48" t="str">
        <f aca="false">IF($H3365="","",资金流水!$F85)</f>
        <v/>
      </c>
      <c r="L3365" s="66" t="str">
        <f aca="false">IF(资金流水!$E85="","",IFERROR(INDEX(记账规则!$A$13:$H$32,MATCH(资金流水!$E85,记账规则!$A$13:$A$32,0),6),""))</f>
        <v/>
      </c>
      <c r="M3365" s="66" t="str">
        <f aca="false">IF($L3365="","",IFERROR(INDEX(记账规则!$A$13:$H$32,MATCH(资金流水!$E85,记账规则!$A$13:$A$32,0),7),""))</f>
        <v/>
      </c>
      <c r="N3365" s="66" t="str">
        <f aca="false">IF($L3365="","",IFERROR(INDEX(记账规则!$A$13:$H$32,MATCH(资金流水!$E85,记账规则!$A$13:$A$32,0),8),""))</f>
        <v/>
      </c>
      <c r="O3365" s="67" t="n">
        <f aca="false">IF($H3365="",0,ROUND(IF($N3365="金额",N(资金流水!$P85),0),2))</f>
        <v>0</v>
      </c>
      <c r="P3365" s="64" t="str">
        <f aca="false">IF(AND($H3365&lt;&gt;"",ROUND($O3365,2)&lt;&gt;0),"有","")</f>
        <v/>
      </c>
    </row>
    <row r="3366" customFormat="false" ht="15" hidden="true" customHeight="false" outlineLevel="0" collapsed="false">
      <c r="A3366" s="53" t="str">
        <f aca="false">IF($H3366="","",ROW()-5)</f>
        <v/>
      </c>
      <c r="B3366" s="64" t="s">
        <v>37</v>
      </c>
      <c r="C3366" s="53" t="n">
        <v>86</v>
      </c>
      <c r="D3366" s="53" t="n">
        <v>1</v>
      </c>
      <c r="E3366" s="65" t="str">
        <f aca="false">IF($H3366="","",资金流水!$B86)</f>
        <v/>
      </c>
      <c r="F3366" s="55" t="str">
        <f aca="false">IF($H3366="","",资金流水!$C86)</f>
        <v/>
      </c>
      <c r="G3366" s="48" t="str">
        <f aca="false">IF($H3366="","",资金流水!$K86)</f>
        <v/>
      </c>
      <c r="H3366" s="10" t="str">
        <f aca="false">IF($L3366="","",IF($L3366="@对方",资金流水!$G86,IF($L3366="@账户",资金流水!$Q86,$L3366)))</f>
        <v/>
      </c>
      <c r="I3366" s="42" t="n">
        <f aca="false">IF($M3366="借",$O3366,0)</f>
        <v>0</v>
      </c>
      <c r="J3366" s="42" t="n">
        <f aca="false">IF($M3366="贷",$O3366,0)</f>
        <v>0</v>
      </c>
      <c r="K3366" s="48" t="str">
        <f aca="false">IF($H3366="","",资金流水!$F86)</f>
        <v/>
      </c>
      <c r="L3366" s="66" t="str">
        <f aca="false">IF(资金流水!$E86="","",IFERROR(INDEX(记账规则!$A$13:$H$32,MATCH(资金流水!$E86,记账规则!$A$13:$A$32,0),3),""))</f>
        <v/>
      </c>
      <c r="M3366" s="66" t="str">
        <f aca="false">IF($L3366="","",IFERROR(INDEX(记账规则!$A$13:$H$32,MATCH(资金流水!$E86,记账规则!$A$13:$A$32,0),4),""))</f>
        <v/>
      </c>
      <c r="N3366" s="66" t="str">
        <f aca="false">IF($L3366="","",IFERROR(INDEX(记账规则!$A$13:$H$32,MATCH(资金流水!$E86,记账规则!$A$13:$A$32,0),5),""))</f>
        <v/>
      </c>
      <c r="O3366" s="67" t="n">
        <f aca="false">IF($H3366="",0,ROUND(IF($N3366="金额",N(资金流水!$P86),0),2))</f>
        <v>0</v>
      </c>
      <c r="P3366" s="64" t="str">
        <f aca="false">IF(AND($H3366&lt;&gt;"",ROUND($O3366,2)&lt;&gt;0),"有","")</f>
        <v/>
      </c>
    </row>
    <row r="3367" customFormat="false" ht="15" hidden="true" customHeight="false" outlineLevel="0" collapsed="false">
      <c r="A3367" s="53" t="str">
        <f aca="false">IF($H3367="","",ROW()-5)</f>
        <v/>
      </c>
      <c r="B3367" s="64" t="s">
        <v>37</v>
      </c>
      <c r="C3367" s="53" t="n">
        <v>86</v>
      </c>
      <c r="D3367" s="53" t="n">
        <v>2</v>
      </c>
      <c r="E3367" s="65" t="str">
        <f aca="false">IF($H3367="","",资金流水!$B86)</f>
        <v/>
      </c>
      <c r="F3367" s="55" t="str">
        <f aca="false">IF($H3367="","",资金流水!$C86)</f>
        <v/>
      </c>
      <c r="G3367" s="48" t="str">
        <f aca="false">IF($H3367="","",资金流水!$K86)</f>
        <v/>
      </c>
      <c r="H3367" s="10" t="str">
        <f aca="false">IF($L3367="","",IF($L3367="@对方",资金流水!$G86,IF($L3367="@账户",资金流水!$Q86,$L3367)))</f>
        <v/>
      </c>
      <c r="I3367" s="42" t="n">
        <f aca="false">IF($M3367="借",$O3367,0)</f>
        <v>0</v>
      </c>
      <c r="J3367" s="42" t="n">
        <f aca="false">IF($M3367="贷",$O3367,0)</f>
        <v>0</v>
      </c>
      <c r="K3367" s="48" t="str">
        <f aca="false">IF($H3367="","",资金流水!$F86)</f>
        <v/>
      </c>
      <c r="L3367" s="66" t="str">
        <f aca="false">IF(资金流水!$E86="","",IFERROR(INDEX(记账规则!$A$13:$H$32,MATCH(资金流水!$E86,记账规则!$A$13:$A$32,0),6),""))</f>
        <v/>
      </c>
      <c r="M3367" s="66" t="str">
        <f aca="false">IF($L3367="","",IFERROR(INDEX(记账规则!$A$13:$H$32,MATCH(资金流水!$E86,记账规则!$A$13:$A$32,0),7),""))</f>
        <v/>
      </c>
      <c r="N3367" s="66" t="str">
        <f aca="false">IF($L3367="","",IFERROR(INDEX(记账规则!$A$13:$H$32,MATCH(资金流水!$E86,记账规则!$A$13:$A$32,0),8),""))</f>
        <v/>
      </c>
      <c r="O3367" s="67" t="n">
        <f aca="false">IF($H3367="",0,ROUND(IF($N3367="金额",N(资金流水!$P86),0),2))</f>
        <v>0</v>
      </c>
      <c r="P3367" s="64" t="str">
        <f aca="false">IF(AND($H3367&lt;&gt;"",ROUND($O3367,2)&lt;&gt;0),"有","")</f>
        <v/>
      </c>
    </row>
    <row r="3368" customFormat="false" ht="15" hidden="true" customHeight="false" outlineLevel="0" collapsed="false">
      <c r="A3368" s="53" t="str">
        <f aca="false">IF($H3368="","",ROW()-5)</f>
        <v/>
      </c>
      <c r="B3368" s="64" t="s">
        <v>37</v>
      </c>
      <c r="C3368" s="53" t="n">
        <v>87</v>
      </c>
      <c r="D3368" s="53" t="n">
        <v>1</v>
      </c>
      <c r="E3368" s="65" t="str">
        <f aca="false">IF($H3368="","",资金流水!$B87)</f>
        <v/>
      </c>
      <c r="F3368" s="55" t="str">
        <f aca="false">IF($H3368="","",资金流水!$C87)</f>
        <v/>
      </c>
      <c r="G3368" s="48" t="str">
        <f aca="false">IF($H3368="","",资金流水!$K87)</f>
        <v/>
      </c>
      <c r="H3368" s="10" t="str">
        <f aca="false">IF($L3368="","",IF($L3368="@对方",资金流水!$G87,IF($L3368="@账户",资金流水!$Q87,$L3368)))</f>
        <v/>
      </c>
      <c r="I3368" s="42" t="n">
        <f aca="false">IF($M3368="借",$O3368,0)</f>
        <v>0</v>
      </c>
      <c r="J3368" s="42" t="n">
        <f aca="false">IF($M3368="贷",$O3368,0)</f>
        <v>0</v>
      </c>
      <c r="K3368" s="48" t="str">
        <f aca="false">IF($H3368="","",资金流水!$F87)</f>
        <v/>
      </c>
      <c r="L3368" s="66" t="str">
        <f aca="false">IF(资金流水!$E87="","",IFERROR(INDEX(记账规则!$A$13:$H$32,MATCH(资金流水!$E87,记账规则!$A$13:$A$32,0),3),""))</f>
        <v/>
      </c>
      <c r="M3368" s="66" t="str">
        <f aca="false">IF($L3368="","",IFERROR(INDEX(记账规则!$A$13:$H$32,MATCH(资金流水!$E87,记账规则!$A$13:$A$32,0),4),""))</f>
        <v/>
      </c>
      <c r="N3368" s="66" t="str">
        <f aca="false">IF($L3368="","",IFERROR(INDEX(记账规则!$A$13:$H$32,MATCH(资金流水!$E87,记账规则!$A$13:$A$32,0),5),""))</f>
        <v/>
      </c>
      <c r="O3368" s="67" t="n">
        <f aca="false">IF($H3368="",0,ROUND(IF($N3368="金额",N(资金流水!$P87),0),2))</f>
        <v>0</v>
      </c>
      <c r="P3368" s="64" t="str">
        <f aca="false">IF(AND($H3368&lt;&gt;"",ROUND($O3368,2)&lt;&gt;0),"有","")</f>
        <v/>
      </c>
    </row>
    <row r="3369" customFormat="false" ht="15" hidden="true" customHeight="false" outlineLevel="0" collapsed="false">
      <c r="A3369" s="53" t="str">
        <f aca="false">IF($H3369="","",ROW()-5)</f>
        <v/>
      </c>
      <c r="B3369" s="64" t="s">
        <v>37</v>
      </c>
      <c r="C3369" s="53" t="n">
        <v>87</v>
      </c>
      <c r="D3369" s="53" t="n">
        <v>2</v>
      </c>
      <c r="E3369" s="65" t="str">
        <f aca="false">IF($H3369="","",资金流水!$B87)</f>
        <v/>
      </c>
      <c r="F3369" s="55" t="str">
        <f aca="false">IF($H3369="","",资金流水!$C87)</f>
        <v/>
      </c>
      <c r="G3369" s="48" t="str">
        <f aca="false">IF($H3369="","",资金流水!$K87)</f>
        <v/>
      </c>
      <c r="H3369" s="10" t="str">
        <f aca="false">IF($L3369="","",IF($L3369="@对方",资金流水!$G87,IF($L3369="@账户",资金流水!$Q87,$L3369)))</f>
        <v/>
      </c>
      <c r="I3369" s="42" t="n">
        <f aca="false">IF($M3369="借",$O3369,0)</f>
        <v>0</v>
      </c>
      <c r="J3369" s="42" t="n">
        <f aca="false">IF($M3369="贷",$O3369,0)</f>
        <v>0</v>
      </c>
      <c r="K3369" s="48" t="str">
        <f aca="false">IF($H3369="","",资金流水!$F87)</f>
        <v/>
      </c>
      <c r="L3369" s="66" t="str">
        <f aca="false">IF(资金流水!$E87="","",IFERROR(INDEX(记账规则!$A$13:$H$32,MATCH(资金流水!$E87,记账规则!$A$13:$A$32,0),6),""))</f>
        <v/>
      </c>
      <c r="M3369" s="66" t="str">
        <f aca="false">IF($L3369="","",IFERROR(INDEX(记账规则!$A$13:$H$32,MATCH(资金流水!$E87,记账规则!$A$13:$A$32,0),7),""))</f>
        <v/>
      </c>
      <c r="N3369" s="66" t="str">
        <f aca="false">IF($L3369="","",IFERROR(INDEX(记账规则!$A$13:$H$32,MATCH(资金流水!$E87,记账规则!$A$13:$A$32,0),8),""))</f>
        <v/>
      </c>
      <c r="O3369" s="67" t="n">
        <f aca="false">IF($H3369="",0,ROUND(IF($N3369="金额",N(资金流水!$P87),0),2))</f>
        <v>0</v>
      </c>
      <c r="P3369" s="64" t="str">
        <f aca="false">IF(AND($H3369&lt;&gt;"",ROUND($O3369,2)&lt;&gt;0),"有","")</f>
        <v/>
      </c>
    </row>
    <row r="3370" customFormat="false" ht="15" hidden="true" customHeight="false" outlineLevel="0" collapsed="false">
      <c r="A3370" s="53" t="str">
        <f aca="false">IF($H3370="","",ROW()-5)</f>
        <v/>
      </c>
      <c r="B3370" s="64" t="s">
        <v>37</v>
      </c>
      <c r="C3370" s="53" t="n">
        <v>88</v>
      </c>
      <c r="D3370" s="53" t="n">
        <v>1</v>
      </c>
      <c r="E3370" s="65" t="str">
        <f aca="false">IF($H3370="","",资金流水!$B88)</f>
        <v/>
      </c>
      <c r="F3370" s="55" t="str">
        <f aca="false">IF($H3370="","",资金流水!$C88)</f>
        <v/>
      </c>
      <c r="G3370" s="48" t="str">
        <f aca="false">IF($H3370="","",资金流水!$K88)</f>
        <v/>
      </c>
      <c r="H3370" s="10" t="str">
        <f aca="false">IF($L3370="","",IF($L3370="@对方",资金流水!$G88,IF($L3370="@账户",资金流水!$Q88,$L3370)))</f>
        <v/>
      </c>
      <c r="I3370" s="42" t="n">
        <f aca="false">IF($M3370="借",$O3370,0)</f>
        <v>0</v>
      </c>
      <c r="J3370" s="42" t="n">
        <f aca="false">IF($M3370="贷",$O3370,0)</f>
        <v>0</v>
      </c>
      <c r="K3370" s="48" t="str">
        <f aca="false">IF($H3370="","",资金流水!$F88)</f>
        <v/>
      </c>
      <c r="L3370" s="66" t="str">
        <f aca="false">IF(资金流水!$E88="","",IFERROR(INDEX(记账规则!$A$13:$H$32,MATCH(资金流水!$E88,记账规则!$A$13:$A$32,0),3),""))</f>
        <v/>
      </c>
      <c r="M3370" s="66" t="str">
        <f aca="false">IF($L3370="","",IFERROR(INDEX(记账规则!$A$13:$H$32,MATCH(资金流水!$E88,记账规则!$A$13:$A$32,0),4),""))</f>
        <v/>
      </c>
      <c r="N3370" s="66" t="str">
        <f aca="false">IF($L3370="","",IFERROR(INDEX(记账规则!$A$13:$H$32,MATCH(资金流水!$E88,记账规则!$A$13:$A$32,0),5),""))</f>
        <v/>
      </c>
      <c r="O3370" s="67" t="n">
        <f aca="false">IF($H3370="",0,ROUND(IF($N3370="金额",N(资金流水!$P88),0),2))</f>
        <v>0</v>
      </c>
      <c r="P3370" s="64" t="str">
        <f aca="false">IF(AND($H3370&lt;&gt;"",ROUND($O3370,2)&lt;&gt;0),"有","")</f>
        <v/>
      </c>
    </row>
    <row r="3371" customFormat="false" ht="15" hidden="true" customHeight="false" outlineLevel="0" collapsed="false">
      <c r="A3371" s="53" t="str">
        <f aca="false">IF($H3371="","",ROW()-5)</f>
        <v/>
      </c>
      <c r="B3371" s="64" t="s">
        <v>37</v>
      </c>
      <c r="C3371" s="53" t="n">
        <v>88</v>
      </c>
      <c r="D3371" s="53" t="n">
        <v>2</v>
      </c>
      <c r="E3371" s="65" t="str">
        <f aca="false">IF($H3371="","",资金流水!$B88)</f>
        <v/>
      </c>
      <c r="F3371" s="55" t="str">
        <f aca="false">IF($H3371="","",资金流水!$C88)</f>
        <v/>
      </c>
      <c r="G3371" s="48" t="str">
        <f aca="false">IF($H3371="","",资金流水!$K88)</f>
        <v/>
      </c>
      <c r="H3371" s="10" t="str">
        <f aca="false">IF($L3371="","",IF($L3371="@对方",资金流水!$G88,IF($L3371="@账户",资金流水!$Q88,$L3371)))</f>
        <v/>
      </c>
      <c r="I3371" s="42" t="n">
        <f aca="false">IF($M3371="借",$O3371,0)</f>
        <v>0</v>
      </c>
      <c r="J3371" s="42" t="n">
        <f aca="false">IF($M3371="贷",$O3371,0)</f>
        <v>0</v>
      </c>
      <c r="K3371" s="48" t="str">
        <f aca="false">IF($H3371="","",资金流水!$F88)</f>
        <v/>
      </c>
      <c r="L3371" s="66" t="str">
        <f aca="false">IF(资金流水!$E88="","",IFERROR(INDEX(记账规则!$A$13:$H$32,MATCH(资金流水!$E88,记账规则!$A$13:$A$32,0),6),""))</f>
        <v/>
      </c>
      <c r="M3371" s="66" t="str">
        <f aca="false">IF($L3371="","",IFERROR(INDEX(记账规则!$A$13:$H$32,MATCH(资金流水!$E88,记账规则!$A$13:$A$32,0),7),""))</f>
        <v/>
      </c>
      <c r="N3371" s="66" t="str">
        <f aca="false">IF($L3371="","",IFERROR(INDEX(记账规则!$A$13:$H$32,MATCH(资金流水!$E88,记账规则!$A$13:$A$32,0),8),""))</f>
        <v/>
      </c>
      <c r="O3371" s="67" t="n">
        <f aca="false">IF($H3371="",0,ROUND(IF($N3371="金额",N(资金流水!$P88),0),2))</f>
        <v>0</v>
      </c>
      <c r="P3371" s="64" t="str">
        <f aca="false">IF(AND($H3371&lt;&gt;"",ROUND($O3371,2)&lt;&gt;0),"有","")</f>
        <v/>
      </c>
    </row>
    <row r="3372" customFormat="false" ht="15" hidden="true" customHeight="false" outlineLevel="0" collapsed="false">
      <c r="A3372" s="53" t="str">
        <f aca="false">IF($H3372="","",ROW()-5)</f>
        <v/>
      </c>
      <c r="B3372" s="64" t="s">
        <v>37</v>
      </c>
      <c r="C3372" s="53" t="n">
        <v>89</v>
      </c>
      <c r="D3372" s="53" t="n">
        <v>1</v>
      </c>
      <c r="E3372" s="65" t="str">
        <f aca="false">IF($H3372="","",资金流水!$B89)</f>
        <v/>
      </c>
      <c r="F3372" s="55" t="str">
        <f aca="false">IF($H3372="","",资金流水!$C89)</f>
        <v/>
      </c>
      <c r="G3372" s="48" t="str">
        <f aca="false">IF($H3372="","",资金流水!$K89)</f>
        <v/>
      </c>
      <c r="H3372" s="10" t="str">
        <f aca="false">IF($L3372="","",IF($L3372="@对方",资金流水!$G89,IF($L3372="@账户",资金流水!$Q89,$L3372)))</f>
        <v/>
      </c>
      <c r="I3372" s="42" t="n">
        <f aca="false">IF($M3372="借",$O3372,0)</f>
        <v>0</v>
      </c>
      <c r="J3372" s="42" t="n">
        <f aca="false">IF($M3372="贷",$O3372,0)</f>
        <v>0</v>
      </c>
      <c r="K3372" s="48" t="str">
        <f aca="false">IF($H3372="","",资金流水!$F89)</f>
        <v/>
      </c>
      <c r="L3372" s="66" t="str">
        <f aca="false">IF(资金流水!$E89="","",IFERROR(INDEX(记账规则!$A$13:$H$32,MATCH(资金流水!$E89,记账规则!$A$13:$A$32,0),3),""))</f>
        <v/>
      </c>
      <c r="M3372" s="66" t="str">
        <f aca="false">IF($L3372="","",IFERROR(INDEX(记账规则!$A$13:$H$32,MATCH(资金流水!$E89,记账规则!$A$13:$A$32,0),4),""))</f>
        <v/>
      </c>
      <c r="N3372" s="66" t="str">
        <f aca="false">IF($L3372="","",IFERROR(INDEX(记账规则!$A$13:$H$32,MATCH(资金流水!$E89,记账规则!$A$13:$A$32,0),5),""))</f>
        <v/>
      </c>
      <c r="O3372" s="67" t="n">
        <f aca="false">IF($H3372="",0,ROUND(IF($N3372="金额",N(资金流水!$P89),0),2))</f>
        <v>0</v>
      </c>
      <c r="P3372" s="64" t="str">
        <f aca="false">IF(AND($H3372&lt;&gt;"",ROUND($O3372,2)&lt;&gt;0),"有","")</f>
        <v/>
      </c>
    </row>
    <row r="3373" customFormat="false" ht="15" hidden="true" customHeight="false" outlineLevel="0" collapsed="false">
      <c r="A3373" s="53" t="str">
        <f aca="false">IF($H3373="","",ROW()-5)</f>
        <v/>
      </c>
      <c r="B3373" s="64" t="s">
        <v>37</v>
      </c>
      <c r="C3373" s="53" t="n">
        <v>89</v>
      </c>
      <c r="D3373" s="53" t="n">
        <v>2</v>
      </c>
      <c r="E3373" s="65" t="str">
        <f aca="false">IF($H3373="","",资金流水!$B89)</f>
        <v/>
      </c>
      <c r="F3373" s="55" t="str">
        <f aca="false">IF($H3373="","",资金流水!$C89)</f>
        <v/>
      </c>
      <c r="G3373" s="48" t="str">
        <f aca="false">IF($H3373="","",资金流水!$K89)</f>
        <v/>
      </c>
      <c r="H3373" s="10" t="str">
        <f aca="false">IF($L3373="","",IF($L3373="@对方",资金流水!$G89,IF($L3373="@账户",资金流水!$Q89,$L3373)))</f>
        <v/>
      </c>
      <c r="I3373" s="42" t="n">
        <f aca="false">IF($M3373="借",$O3373,0)</f>
        <v>0</v>
      </c>
      <c r="J3373" s="42" t="n">
        <f aca="false">IF($M3373="贷",$O3373,0)</f>
        <v>0</v>
      </c>
      <c r="K3373" s="48" t="str">
        <f aca="false">IF($H3373="","",资金流水!$F89)</f>
        <v/>
      </c>
      <c r="L3373" s="66" t="str">
        <f aca="false">IF(资金流水!$E89="","",IFERROR(INDEX(记账规则!$A$13:$H$32,MATCH(资金流水!$E89,记账规则!$A$13:$A$32,0),6),""))</f>
        <v/>
      </c>
      <c r="M3373" s="66" t="str">
        <f aca="false">IF($L3373="","",IFERROR(INDEX(记账规则!$A$13:$H$32,MATCH(资金流水!$E89,记账规则!$A$13:$A$32,0),7),""))</f>
        <v/>
      </c>
      <c r="N3373" s="66" t="str">
        <f aca="false">IF($L3373="","",IFERROR(INDEX(记账规则!$A$13:$H$32,MATCH(资金流水!$E89,记账规则!$A$13:$A$32,0),8),""))</f>
        <v/>
      </c>
      <c r="O3373" s="67" t="n">
        <f aca="false">IF($H3373="",0,ROUND(IF($N3373="金额",N(资金流水!$P89),0),2))</f>
        <v>0</v>
      </c>
      <c r="P3373" s="64" t="str">
        <f aca="false">IF(AND($H3373&lt;&gt;"",ROUND($O3373,2)&lt;&gt;0),"有","")</f>
        <v/>
      </c>
    </row>
    <row r="3374" customFormat="false" ht="15" hidden="true" customHeight="false" outlineLevel="0" collapsed="false">
      <c r="A3374" s="53" t="str">
        <f aca="false">IF($H3374="","",ROW()-5)</f>
        <v/>
      </c>
      <c r="B3374" s="64" t="s">
        <v>37</v>
      </c>
      <c r="C3374" s="53" t="n">
        <v>90</v>
      </c>
      <c r="D3374" s="53" t="n">
        <v>1</v>
      </c>
      <c r="E3374" s="65" t="str">
        <f aca="false">IF($H3374="","",资金流水!$B90)</f>
        <v/>
      </c>
      <c r="F3374" s="55" t="str">
        <f aca="false">IF($H3374="","",资金流水!$C90)</f>
        <v/>
      </c>
      <c r="G3374" s="48" t="str">
        <f aca="false">IF($H3374="","",资金流水!$K90)</f>
        <v/>
      </c>
      <c r="H3374" s="10" t="str">
        <f aca="false">IF($L3374="","",IF($L3374="@对方",资金流水!$G90,IF($L3374="@账户",资金流水!$Q90,$L3374)))</f>
        <v/>
      </c>
      <c r="I3374" s="42" t="n">
        <f aca="false">IF($M3374="借",$O3374,0)</f>
        <v>0</v>
      </c>
      <c r="J3374" s="42" t="n">
        <f aca="false">IF($M3374="贷",$O3374,0)</f>
        <v>0</v>
      </c>
      <c r="K3374" s="48" t="str">
        <f aca="false">IF($H3374="","",资金流水!$F90)</f>
        <v/>
      </c>
      <c r="L3374" s="66" t="str">
        <f aca="false">IF(资金流水!$E90="","",IFERROR(INDEX(记账规则!$A$13:$H$32,MATCH(资金流水!$E90,记账规则!$A$13:$A$32,0),3),""))</f>
        <v/>
      </c>
      <c r="M3374" s="66" t="str">
        <f aca="false">IF($L3374="","",IFERROR(INDEX(记账规则!$A$13:$H$32,MATCH(资金流水!$E90,记账规则!$A$13:$A$32,0),4),""))</f>
        <v/>
      </c>
      <c r="N3374" s="66" t="str">
        <f aca="false">IF($L3374="","",IFERROR(INDEX(记账规则!$A$13:$H$32,MATCH(资金流水!$E90,记账规则!$A$13:$A$32,0),5),""))</f>
        <v/>
      </c>
      <c r="O3374" s="67" t="n">
        <f aca="false">IF($H3374="",0,ROUND(IF($N3374="金额",N(资金流水!$P90),0),2))</f>
        <v>0</v>
      </c>
      <c r="P3374" s="64" t="str">
        <f aca="false">IF(AND($H3374&lt;&gt;"",ROUND($O3374,2)&lt;&gt;0),"有","")</f>
        <v/>
      </c>
    </row>
    <row r="3375" customFormat="false" ht="15" hidden="true" customHeight="false" outlineLevel="0" collapsed="false">
      <c r="A3375" s="53" t="str">
        <f aca="false">IF($H3375="","",ROW()-5)</f>
        <v/>
      </c>
      <c r="B3375" s="64" t="s">
        <v>37</v>
      </c>
      <c r="C3375" s="53" t="n">
        <v>90</v>
      </c>
      <c r="D3375" s="53" t="n">
        <v>2</v>
      </c>
      <c r="E3375" s="65" t="str">
        <f aca="false">IF($H3375="","",资金流水!$B90)</f>
        <v/>
      </c>
      <c r="F3375" s="55" t="str">
        <f aca="false">IF($H3375="","",资金流水!$C90)</f>
        <v/>
      </c>
      <c r="G3375" s="48" t="str">
        <f aca="false">IF($H3375="","",资金流水!$K90)</f>
        <v/>
      </c>
      <c r="H3375" s="10" t="str">
        <f aca="false">IF($L3375="","",IF($L3375="@对方",资金流水!$G90,IF($L3375="@账户",资金流水!$Q90,$L3375)))</f>
        <v/>
      </c>
      <c r="I3375" s="42" t="n">
        <f aca="false">IF($M3375="借",$O3375,0)</f>
        <v>0</v>
      </c>
      <c r="J3375" s="42" t="n">
        <f aca="false">IF($M3375="贷",$O3375,0)</f>
        <v>0</v>
      </c>
      <c r="K3375" s="48" t="str">
        <f aca="false">IF($H3375="","",资金流水!$F90)</f>
        <v/>
      </c>
      <c r="L3375" s="66" t="str">
        <f aca="false">IF(资金流水!$E90="","",IFERROR(INDEX(记账规则!$A$13:$H$32,MATCH(资金流水!$E90,记账规则!$A$13:$A$32,0),6),""))</f>
        <v/>
      </c>
      <c r="M3375" s="66" t="str">
        <f aca="false">IF($L3375="","",IFERROR(INDEX(记账规则!$A$13:$H$32,MATCH(资金流水!$E90,记账规则!$A$13:$A$32,0),7),""))</f>
        <v/>
      </c>
      <c r="N3375" s="66" t="str">
        <f aca="false">IF($L3375="","",IFERROR(INDEX(记账规则!$A$13:$H$32,MATCH(资金流水!$E90,记账规则!$A$13:$A$32,0),8),""))</f>
        <v/>
      </c>
      <c r="O3375" s="67" t="n">
        <f aca="false">IF($H3375="",0,ROUND(IF($N3375="金额",N(资金流水!$P90),0),2))</f>
        <v>0</v>
      </c>
      <c r="P3375" s="64" t="str">
        <f aca="false">IF(AND($H3375&lt;&gt;"",ROUND($O3375,2)&lt;&gt;0),"有","")</f>
        <v/>
      </c>
    </row>
    <row r="3376" customFormat="false" ht="15" hidden="true" customHeight="false" outlineLevel="0" collapsed="false">
      <c r="A3376" s="53" t="str">
        <f aca="false">IF($H3376="","",ROW()-5)</f>
        <v/>
      </c>
      <c r="B3376" s="64" t="s">
        <v>37</v>
      </c>
      <c r="C3376" s="53" t="n">
        <v>91</v>
      </c>
      <c r="D3376" s="53" t="n">
        <v>1</v>
      </c>
      <c r="E3376" s="65" t="str">
        <f aca="false">IF($H3376="","",资金流水!$B91)</f>
        <v/>
      </c>
      <c r="F3376" s="55" t="str">
        <f aca="false">IF($H3376="","",资金流水!$C91)</f>
        <v/>
      </c>
      <c r="G3376" s="48" t="str">
        <f aca="false">IF($H3376="","",资金流水!$K91)</f>
        <v/>
      </c>
      <c r="H3376" s="10" t="str">
        <f aca="false">IF($L3376="","",IF($L3376="@对方",资金流水!$G91,IF($L3376="@账户",资金流水!$Q91,$L3376)))</f>
        <v/>
      </c>
      <c r="I3376" s="42" t="n">
        <f aca="false">IF($M3376="借",$O3376,0)</f>
        <v>0</v>
      </c>
      <c r="J3376" s="42" t="n">
        <f aca="false">IF($M3376="贷",$O3376,0)</f>
        <v>0</v>
      </c>
      <c r="K3376" s="48" t="str">
        <f aca="false">IF($H3376="","",资金流水!$F91)</f>
        <v/>
      </c>
      <c r="L3376" s="66" t="str">
        <f aca="false">IF(资金流水!$E91="","",IFERROR(INDEX(记账规则!$A$13:$H$32,MATCH(资金流水!$E91,记账规则!$A$13:$A$32,0),3),""))</f>
        <v/>
      </c>
      <c r="M3376" s="66" t="str">
        <f aca="false">IF($L3376="","",IFERROR(INDEX(记账规则!$A$13:$H$32,MATCH(资金流水!$E91,记账规则!$A$13:$A$32,0),4),""))</f>
        <v/>
      </c>
      <c r="N3376" s="66" t="str">
        <f aca="false">IF($L3376="","",IFERROR(INDEX(记账规则!$A$13:$H$32,MATCH(资金流水!$E91,记账规则!$A$13:$A$32,0),5),""))</f>
        <v/>
      </c>
      <c r="O3376" s="67" t="n">
        <f aca="false">IF($H3376="",0,ROUND(IF($N3376="金额",N(资金流水!$P91),0),2))</f>
        <v>0</v>
      </c>
      <c r="P3376" s="64" t="str">
        <f aca="false">IF(AND($H3376&lt;&gt;"",ROUND($O3376,2)&lt;&gt;0),"有","")</f>
        <v/>
      </c>
    </row>
    <row r="3377" customFormat="false" ht="15" hidden="true" customHeight="false" outlineLevel="0" collapsed="false">
      <c r="A3377" s="53" t="str">
        <f aca="false">IF($H3377="","",ROW()-5)</f>
        <v/>
      </c>
      <c r="B3377" s="64" t="s">
        <v>37</v>
      </c>
      <c r="C3377" s="53" t="n">
        <v>91</v>
      </c>
      <c r="D3377" s="53" t="n">
        <v>2</v>
      </c>
      <c r="E3377" s="65" t="str">
        <f aca="false">IF($H3377="","",资金流水!$B91)</f>
        <v/>
      </c>
      <c r="F3377" s="55" t="str">
        <f aca="false">IF($H3377="","",资金流水!$C91)</f>
        <v/>
      </c>
      <c r="G3377" s="48" t="str">
        <f aca="false">IF($H3377="","",资金流水!$K91)</f>
        <v/>
      </c>
      <c r="H3377" s="10" t="str">
        <f aca="false">IF($L3377="","",IF($L3377="@对方",资金流水!$G91,IF($L3377="@账户",资金流水!$Q91,$L3377)))</f>
        <v/>
      </c>
      <c r="I3377" s="42" t="n">
        <f aca="false">IF($M3377="借",$O3377,0)</f>
        <v>0</v>
      </c>
      <c r="J3377" s="42" t="n">
        <f aca="false">IF($M3377="贷",$O3377,0)</f>
        <v>0</v>
      </c>
      <c r="K3377" s="48" t="str">
        <f aca="false">IF($H3377="","",资金流水!$F91)</f>
        <v/>
      </c>
      <c r="L3377" s="66" t="str">
        <f aca="false">IF(资金流水!$E91="","",IFERROR(INDEX(记账规则!$A$13:$H$32,MATCH(资金流水!$E91,记账规则!$A$13:$A$32,0),6),""))</f>
        <v/>
      </c>
      <c r="M3377" s="66" t="str">
        <f aca="false">IF($L3377="","",IFERROR(INDEX(记账规则!$A$13:$H$32,MATCH(资金流水!$E91,记账规则!$A$13:$A$32,0),7),""))</f>
        <v/>
      </c>
      <c r="N3377" s="66" t="str">
        <f aca="false">IF($L3377="","",IFERROR(INDEX(记账规则!$A$13:$H$32,MATCH(资金流水!$E91,记账规则!$A$13:$A$32,0),8),""))</f>
        <v/>
      </c>
      <c r="O3377" s="67" t="n">
        <f aca="false">IF($H3377="",0,ROUND(IF($N3377="金额",N(资金流水!$P91),0),2))</f>
        <v>0</v>
      </c>
      <c r="P3377" s="64" t="str">
        <f aca="false">IF(AND($H3377&lt;&gt;"",ROUND($O3377,2)&lt;&gt;0),"有","")</f>
        <v/>
      </c>
    </row>
    <row r="3378" customFormat="false" ht="15" hidden="true" customHeight="false" outlineLevel="0" collapsed="false">
      <c r="A3378" s="53" t="str">
        <f aca="false">IF($H3378="","",ROW()-5)</f>
        <v/>
      </c>
      <c r="B3378" s="64" t="s">
        <v>37</v>
      </c>
      <c r="C3378" s="53" t="n">
        <v>92</v>
      </c>
      <c r="D3378" s="53" t="n">
        <v>1</v>
      </c>
      <c r="E3378" s="65" t="str">
        <f aca="false">IF($H3378="","",资金流水!$B92)</f>
        <v/>
      </c>
      <c r="F3378" s="55" t="str">
        <f aca="false">IF($H3378="","",资金流水!$C92)</f>
        <v/>
      </c>
      <c r="G3378" s="48" t="str">
        <f aca="false">IF($H3378="","",资金流水!$K92)</f>
        <v/>
      </c>
      <c r="H3378" s="10" t="str">
        <f aca="false">IF($L3378="","",IF($L3378="@对方",资金流水!$G92,IF($L3378="@账户",资金流水!$Q92,$L3378)))</f>
        <v/>
      </c>
      <c r="I3378" s="42" t="n">
        <f aca="false">IF($M3378="借",$O3378,0)</f>
        <v>0</v>
      </c>
      <c r="J3378" s="42" t="n">
        <f aca="false">IF($M3378="贷",$O3378,0)</f>
        <v>0</v>
      </c>
      <c r="K3378" s="48" t="str">
        <f aca="false">IF($H3378="","",资金流水!$F92)</f>
        <v/>
      </c>
      <c r="L3378" s="66" t="str">
        <f aca="false">IF(资金流水!$E92="","",IFERROR(INDEX(记账规则!$A$13:$H$32,MATCH(资金流水!$E92,记账规则!$A$13:$A$32,0),3),""))</f>
        <v/>
      </c>
      <c r="M3378" s="66" t="str">
        <f aca="false">IF($L3378="","",IFERROR(INDEX(记账规则!$A$13:$H$32,MATCH(资金流水!$E92,记账规则!$A$13:$A$32,0),4),""))</f>
        <v/>
      </c>
      <c r="N3378" s="66" t="str">
        <f aca="false">IF($L3378="","",IFERROR(INDEX(记账规则!$A$13:$H$32,MATCH(资金流水!$E92,记账规则!$A$13:$A$32,0),5),""))</f>
        <v/>
      </c>
      <c r="O3378" s="67" t="n">
        <f aca="false">IF($H3378="",0,ROUND(IF($N3378="金额",N(资金流水!$P92),0),2))</f>
        <v>0</v>
      </c>
      <c r="P3378" s="64" t="str">
        <f aca="false">IF(AND($H3378&lt;&gt;"",ROUND($O3378,2)&lt;&gt;0),"有","")</f>
        <v/>
      </c>
    </row>
    <row r="3379" customFormat="false" ht="15" hidden="true" customHeight="false" outlineLevel="0" collapsed="false">
      <c r="A3379" s="53" t="str">
        <f aca="false">IF($H3379="","",ROW()-5)</f>
        <v/>
      </c>
      <c r="B3379" s="64" t="s">
        <v>37</v>
      </c>
      <c r="C3379" s="53" t="n">
        <v>92</v>
      </c>
      <c r="D3379" s="53" t="n">
        <v>2</v>
      </c>
      <c r="E3379" s="65" t="str">
        <f aca="false">IF($H3379="","",资金流水!$B92)</f>
        <v/>
      </c>
      <c r="F3379" s="55" t="str">
        <f aca="false">IF($H3379="","",资金流水!$C92)</f>
        <v/>
      </c>
      <c r="G3379" s="48" t="str">
        <f aca="false">IF($H3379="","",资金流水!$K92)</f>
        <v/>
      </c>
      <c r="H3379" s="10" t="str">
        <f aca="false">IF($L3379="","",IF($L3379="@对方",资金流水!$G92,IF($L3379="@账户",资金流水!$Q92,$L3379)))</f>
        <v/>
      </c>
      <c r="I3379" s="42" t="n">
        <f aca="false">IF($M3379="借",$O3379,0)</f>
        <v>0</v>
      </c>
      <c r="J3379" s="42" t="n">
        <f aca="false">IF($M3379="贷",$O3379,0)</f>
        <v>0</v>
      </c>
      <c r="K3379" s="48" t="str">
        <f aca="false">IF($H3379="","",资金流水!$F92)</f>
        <v/>
      </c>
      <c r="L3379" s="66" t="str">
        <f aca="false">IF(资金流水!$E92="","",IFERROR(INDEX(记账规则!$A$13:$H$32,MATCH(资金流水!$E92,记账规则!$A$13:$A$32,0),6),""))</f>
        <v/>
      </c>
      <c r="M3379" s="66" t="str">
        <f aca="false">IF($L3379="","",IFERROR(INDEX(记账规则!$A$13:$H$32,MATCH(资金流水!$E92,记账规则!$A$13:$A$32,0),7),""))</f>
        <v/>
      </c>
      <c r="N3379" s="66" t="str">
        <f aca="false">IF($L3379="","",IFERROR(INDEX(记账规则!$A$13:$H$32,MATCH(资金流水!$E92,记账规则!$A$13:$A$32,0),8),""))</f>
        <v/>
      </c>
      <c r="O3379" s="67" t="n">
        <f aca="false">IF($H3379="",0,ROUND(IF($N3379="金额",N(资金流水!$P92),0),2))</f>
        <v>0</v>
      </c>
      <c r="P3379" s="64" t="str">
        <f aca="false">IF(AND($H3379&lt;&gt;"",ROUND($O3379,2)&lt;&gt;0),"有","")</f>
        <v/>
      </c>
    </row>
    <row r="3380" customFormat="false" ht="15" hidden="true" customHeight="false" outlineLevel="0" collapsed="false">
      <c r="A3380" s="53" t="str">
        <f aca="false">IF($H3380="","",ROW()-5)</f>
        <v/>
      </c>
      <c r="B3380" s="64" t="s">
        <v>37</v>
      </c>
      <c r="C3380" s="53" t="n">
        <v>93</v>
      </c>
      <c r="D3380" s="53" t="n">
        <v>1</v>
      </c>
      <c r="E3380" s="65" t="str">
        <f aca="false">IF($H3380="","",资金流水!$B93)</f>
        <v/>
      </c>
      <c r="F3380" s="55" t="str">
        <f aca="false">IF($H3380="","",资金流水!$C93)</f>
        <v/>
      </c>
      <c r="G3380" s="48" t="str">
        <f aca="false">IF($H3380="","",资金流水!$K93)</f>
        <v/>
      </c>
      <c r="H3380" s="10" t="str">
        <f aca="false">IF($L3380="","",IF($L3380="@对方",资金流水!$G93,IF($L3380="@账户",资金流水!$Q93,$L3380)))</f>
        <v/>
      </c>
      <c r="I3380" s="42" t="n">
        <f aca="false">IF($M3380="借",$O3380,0)</f>
        <v>0</v>
      </c>
      <c r="J3380" s="42" t="n">
        <f aca="false">IF($M3380="贷",$O3380,0)</f>
        <v>0</v>
      </c>
      <c r="K3380" s="48" t="str">
        <f aca="false">IF($H3380="","",资金流水!$F93)</f>
        <v/>
      </c>
      <c r="L3380" s="66" t="str">
        <f aca="false">IF(资金流水!$E93="","",IFERROR(INDEX(记账规则!$A$13:$H$32,MATCH(资金流水!$E93,记账规则!$A$13:$A$32,0),3),""))</f>
        <v/>
      </c>
      <c r="M3380" s="66" t="str">
        <f aca="false">IF($L3380="","",IFERROR(INDEX(记账规则!$A$13:$H$32,MATCH(资金流水!$E93,记账规则!$A$13:$A$32,0),4),""))</f>
        <v/>
      </c>
      <c r="N3380" s="66" t="str">
        <f aca="false">IF($L3380="","",IFERROR(INDEX(记账规则!$A$13:$H$32,MATCH(资金流水!$E93,记账规则!$A$13:$A$32,0),5),""))</f>
        <v/>
      </c>
      <c r="O3380" s="67" t="n">
        <f aca="false">IF($H3380="",0,ROUND(IF($N3380="金额",N(资金流水!$P93),0),2))</f>
        <v>0</v>
      </c>
      <c r="P3380" s="64" t="str">
        <f aca="false">IF(AND($H3380&lt;&gt;"",ROUND($O3380,2)&lt;&gt;0),"有","")</f>
        <v/>
      </c>
    </row>
    <row r="3381" customFormat="false" ht="15" hidden="true" customHeight="false" outlineLevel="0" collapsed="false">
      <c r="A3381" s="53" t="str">
        <f aca="false">IF($H3381="","",ROW()-5)</f>
        <v/>
      </c>
      <c r="B3381" s="64" t="s">
        <v>37</v>
      </c>
      <c r="C3381" s="53" t="n">
        <v>93</v>
      </c>
      <c r="D3381" s="53" t="n">
        <v>2</v>
      </c>
      <c r="E3381" s="65" t="str">
        <f aca="false">IF($H3381="","",资金流水!$B93)</f>
        <v/>
      </c>
      <c r="F3381" s="55" t="str">
        <f aca="false">IF($H3381="","",资金流水!$C93)</f>
        <v/>
      </c>
      <c r="G3381" s="48" t="str">
        <f aca="false">IF($H3381="","",资金流水!$K93)</f>
        <v/>
      </c>
      <c r="H3381" s="10" t="str">
        <f aca="false">IF($L3381="","",IF($L3381="@对方",资金流水!$G93,IF($L3381="@账户",资金流水!$Q93,$L3381)))</f>
        <v/>
      </c>
      <c r="I3381" s="42" t="n">
        <f aca="false">IF($M3381="借",$O3381,0)</f>
        <v>0</v>
      </c>
      <c r="J3381" s="42" t="n">
        <f aca="false">IF($M3381="贷",$O3381,0)</f>
        <v>0</v>
      </c>
      <c r="K3381" s="48" t="str">
        <f aca="false">IF($H3381="","",资金流水!$F93)</f>
        <v/>
      </c>
      <c r="L3381" s="66" t="str">
        <f aca="false">IF(资金流水!$E93="","",IFERROR(INDEX(记账规则!$A$13:$H$32,MATCH(资金流水!$E93,记账规则!$A$13:$A$32,0),6),""))</f>
        <v/>
      </c>
      <c r="M3381" s="66" t="str">
        <f aca="false">IF($L3381="","",IFERROR(INDEX(记账规则!$A$13:$H$32,MATCH(资金流水!$E93,记账规则!$A$13:$A$32,0),7),""))</f>
        <v/>
      </c>
      <c r="N3381" s="66" t="str">
        <f aca="false">IF($L3381="","",IFERROR(INDEX(记账规则!$A$13:$H$32,MATCH(资金流水!$E93,记账规则!$A$13:$A$32,0),8),""))</f>
        <v/>
      </c>
      <c r="O3381" s="67" t="n">
        <f aca="false">IF($H3381="",0,ROUND(IF($N3381="金额",N(资金流水!$P93),0),2))</f>
        <v>0</v>
      </c>
      <c r="P3381" s="64" t="str">
        <f aca="false">IF(AND($H3381&lt;&gt;"",ROUND($O3381,2)&lt;&gt;0),"有","")</f>
        <v/>
      </c>
    </row>
    <row r="3382" customFormat="false" ht="15" hidden="true" customHeight="false" outlineLevel="0" collapsed="false">
      <c r="A3382" s="53" t="str">
        <f aca="false">IF($H3382="","",ROW()-5)</f>
        <v/>
      </c>
      <c r="B3382" s="64" t="s">
        <v>37</v>
      </c>
      <c r="C3382" s="53" t="n">
        <v>94</v>
      </c>
      <c r="D3382" s="53" t="n">
        <v>1</v>
      </c>
      <c r="E3382" s="65" t="str">
        <f aca="false">IF($H3382="","",资金流水!$B94)</f>
        <v/>
      </c>
      <c r="F3382" s="55" t="str">
        <f aca="false">IF($H3382="","",资金流水!$C94)</f>
        <v/>
      </c>
      <c r="G3382" s="48" t="str">
        <f aca="false">IF($H3382="","",资金流水!$K94)</f>
        <v/>
      </c>
      <c r="H3382" s="10" t="str">
        <f aca="false">IF($L3382="","",IF($L3382="@对方",资金流水!$G94,IF($L3382="@账户",资金流水!$Q94,$L3382)))</f>
        <v/>
      </c>
      <c r="I3382" s="42" t="n">
        <f aca="false">IF($M3382="借",$O3382,0)</f>
        <v>0</v>
      </c>
      <c r="J3382" s="42" t="n">
        <f aca="false">IF($M3382="贷",$O3382,0)</f>
        <v>0</v>
      </c>
      <c r="K3382" s="48" t="str">
        <f aca="false">IF($H3382="","",资金流水!$F94)</f>
        <v/>
      </c>
      <c r="L3382" s="66" t="str">
        <f aca="false">IF(资金流水!$E94="","",IFERROR(INDEX(记账规则!$A$13:$H$32,MATCH(资金流水!$E94,记账规则!$A$13:$A$32,0),3),""))</f>
        <v/>
      </c>
      <c r="M3382" s="66" t="str">
        <f aca="false">IF($L3382="","",IFERROR(INDEX(记账规则!$A$13:$H$32,MATCH(资金流水!$E94,记账规则!$A$13:$A$32,0),4),""))</f>
        <v/>
      </c>
      <c r="N3382" s="66" t="str">
        <f aca="false">IF($L3382="","",IFERROR(INDEX(记账规则!$A$13:$H$32,MATCH(资金流水!$E94,记账规则!$A$13:$A$32,0),5),""))</f>
        <v/>
      </c>
      <c r="O3382" s="67" t="n">
        <f aca="false">IF($H3382="",0,ROUND(IF($N3382="金额",N(资金流水!$P94),0),2))</f>
        <v>0</v>
      </c>
      <c r="P3382" s="64" t="str">
        <f aca="false">IF(AND($H3382&lt;&gt;"",ROUND($O3382,2)&lt;&gt;0),"有","")</f>
        <v/>
      </c>
    </row>
    <row r="3383" customFormat="false" ht="15" hidden="true" customHeight="false" outlineLevel="0" collapsed="false">
      <c r="A3383" s="53" t="str">
        <f aca="false">IF($H3383="","",ROW()-5)</f>
        <v/>
      </c>
      <c r="B3383" s="64" t="s">
        <v>37</v>
      </c>
      <c r="C3383" s="53" t="n">
        <v>94</v>
      </c>
      <c r="D3383" s="53" t="n">
        <v>2</v>
      </c>
      <c r="E3383" s="65" t="str">
        <f aca="false">IF($H3383="","",资金流水!$B94)</f>
        <v/>
      </c>
      <c r="F3383" s="55" t="str">
        <f aca="false">IF($H3383="","",资金流水!$C94)</f>
        <v/>
      </c>
      <c r="G3383" s="48" t="str">
        <f aca="false">IF($H3383="","",资金流水!$K94)</f>
        <v/>
      </c>
      <c r="H3383" s="10" t="str">
        <f aca="false">IF($L3383="","",IF($L3383="@对方",资金流水!$G94,IF($L3383="@账户",资金流水!$Q94,$L3383)))</f>
        <v/>
      </c>
      <c r="I3383" s="42" t="n">
        <f aca="false">IF($M3383="借",$O3383,0)</f>
        <v>0</v>
      </c>
      <c r="J3383" s="42" t="n">
        <f aca="false">IF($M3383="贷",$O3383,0)</f>
        <v>0</v>
      </c>
      <c r="K3383" s="48" t="str">
        <f aca="false">IF($H3383="","",资金流水!$F94)</f>
        <v/>
      </c>
      <c r="L3383" s="66" t="str">
        <f aca="false">IF(资金流水!$E94="","",IFERROR(INDEX(记账规则!$A$13:$H$32,MATCH(资金流水!$E94,记账规则!$A$13:$A$32,0),6),""))</f>
        <v/>
      </c>
      <c r="M3383" s="66" t="str">
        <f aca="false">IF($L3383="","",IFERROR(INDEX(记账规则!$A$13:$H$32,MATCH(资金流水!$E94,记账规则!$A$13:$A$32,0),7),""))</f>
        <v/>
      </c>
      <c r="N3383" s="66" t="str">
        <f aca="false">IF($L3383="","",IFERROR(INDEX(记账规则!$A$13:$H$32,MATCH(资金流水!$E94,记账规则!$A$13:$A$32,0),8),""))</f>
        <v/>
      </c>
      <c r="O3383" s="67" t="n">
        <f aca="false">IF($H3383="",0,ROUND(IF($N3383="金额",N(资金流水!$P94),0),2))</f>
        <v>0</v>
      </c>
      <c r="P3383" s="64" t="str">
        <f aca="false">IF(AND($H3383&lt;&gt;"",ROUND($O3383,2)&lt;&gt;0),"有","")</f>
        <v/>
      </c>
    </row>
    <row r="3384" customFormat="false" ht="15" hidden="true" customHeight="false" outlineLevel="0" collapsed="false">
      <c r="A3384" s="53" t="str">
        <f aca="false">IF($H3384="","",ROW()-5)</f>
        <v/>
      </c>
      <c r="B3384" s="64" t="s">
        <v>37</v>
      </c>
      <c r="C3384" s="53" t="n">
        <v>95</v>
      </c>
      <c r="D3384" s="53" t="n">
        <v>1</v>
      </c>
      <c r="E3384" s="65" t="str">
        <f aca="false">IF($H3384="","",资金流水!$B95)</f>
        <v/>
      </c>
      <c r="F3384" s="55" t="str">
        <f aca="false">IF($H3384="","",资金流水!$C95)</f>
        <v/>
      </c>
      <c r="G3384" s="48" t="str">
        <f aca="false">IF($H3384="","",资金流水!$K95)</f>
        <v/>
      </c>
      <c r="H3384" s="10" t="str">
        <f aca="false">IF($L3384="","",IF($L3384="@对方",资金流水!$G95,IF($L3384="@账户",资金流水!$Q95,$L3384)))</f>
        <v/>
      </c>
      <c r="I3384" s="42" t="n">
        <f aca="false">IF($M3384="借",$O3384,0)</f>
        <v>0</v>
      </c>
      <c r="J3384" s="42" t="n">
        <f aca="false">IF($M3384="贷",$O3384,0)</f>
        <v>0</v>
      </c>
      <c r="K3384" s="48" t="str">
        <f aca="false">IF($H3384="","",资金流水!$F95)</f>
        <v/>
      </c>
      <c r="L3384" s="66" t="str">
        <f aca="false">IF(资金流水!$E95="","",IFERROR(INDEX(记账规则!$A$13:$H$32,MATCH(资金流水!$E95,记账规则!$A$13:$A$32,0),3),""))</f>
        <v/>
      </c>
      <c r="M3384" s="66" t="str">
        <f aca="false">IF($L3384="","",IFERROR(INDEX(记账规则!$A$13:$H$32,MATCH(资金流水!$E95,记账规则!$A$13:$A$32,0),4),""))</f>
        <v/>
      </c>
      <c r="N3384" s="66" t="str">
        <f aca="false">IF($L3384="","",IFERROR(INDEX(记账规则!$A$13:$H$32,MATCH(资金流水!$E95,记账规则!$A$13:$A$32,0),5),""))</f>
        <v/>
      </c>
      <c r="O3384" s="67" t="n">
        <f aca="false">IF($H3384="",0,ROUND(IF($N3384="金额",N(资金流水!$P95),0),2))</f>
        <v>0</v>
      </c>
      <c r="P3384" s="64" t="str">
        <f aca="false">IF(AND($H3384&lt;&gt;"",ROUND($O3384,2)&lt;&gt;0),"有","")</f>
        <v/>
      </c>
    </row>
    <row r="3385" customFormat="false" ht="15" hidden="true" customHeight="false" outlineLevel="0" collapsed="false">
      <c r="A3385" s="53" t="str">
        <f aca="false">IF($H3385="","",ROW()-5)</f>
        <v/>
      </c>
      <c r="B3385" s="64" t="s">
        <v>37</v>
      </c>
      <c r="C3385" s="53" t="n">
        <v>95</v>
      </c>
      <c r="D3385" s="53" t="n">
        <v>2</v>
      </c>
      <c r="E3385" s="65" t="str">
        <f aca="false">IF($H3385="","",资金流水!$B95)</f>
        <v/>
      </c>
      <c r="F3385" s="55" t="str">
        <f aca="false">IF($H3385="","",资金流水!$C95)</f>
        <v/>
      </c>
      <c r="G3385" s="48" t="str">
        <f aca="false">IF($H3385="","",资金流水!$K95)</f>
        <v/>
      </c>
      <c r="H3385" s="10" t="str">
        <f aca="false">IF($L3385="","",IF($L3385="@对方",资金流水!$G95,IF($L3385="@账户",资金流水!$Q95,$L3385)))</f>
        <v/>
      </c>
      <c r="I3385" s="42" t="n">
        <f aca="false">IF($M3385="借",$O3385,0)</f>
        <v>0</v>
      </c>
      <c r="J3385" s="42" t="n">
        <f aca="false">IF($M3385="贷",$O3385,0)</f>
        <v>0</v>
      </c>
      <c r="K3385" s="48" t="str">
        <f aca="false">IF($H3385="","",资金流水!$F95)</f>
        <v/>
      </c>
      <c r="L3385" s="66" t="str">
        <f aca="false">IF(资金流水!$E95="","",IFERROR(INDEX(记账规则!$A$13:$H$32,MATCH(资金流水!$E95,记账规则!$A$13:$A$32,0),6),""))</f>
        <v/>
      </c>
      <c r="M3385" s="66" t="str">
        <f aca="false">IF($L3385="","",IFERROR(INDEX(记账规则!$A$13:$H$32,MATCH(资金流水!$E95,记账规则!$A$13:$A$32,0),7),""))</f>
        <v/>
      </c>
      <c r="N3385" s="66" t="str">
        <f aca="false">IF($L3385="","",IFERROR(INDEX(记账规则!$A$13:$H$32,MATCH(资金流水!$E95,记账规则!$A$13:$A$32,0),8),""))</f>
        <v/>
      </c>
      <c r="O3385" s="67" t="n">
        <f aca="false">IF($H3385="",0,ROUND(IF($N3385="金额",N(资金流水!$P95),0),2))</f>
        <v>0</v>
      </c>
      <c r="P3385" s="64" t="str">
        <f aca="false">IF(AND($H3385&lt;&gt;"",ROUND($O3385,2)&lt;&gt;0),"有","")</f>
        <v/>
      </c>
    </row>
    <row r="3386" customFormat="false" ht="15" hidden="true" customHeight="false" outlineLevel="0" collapsed="false">
      <c r="A3386" s="53" t="str">
        <f aca="false">IF($H3386="","",ROW()-5)</f>
        <v/>
      </c>
      <c r="B3386" s="64" t="s">
        <v>37</v>
      </c>
      <c r="C3386" s="53" t="n">
        <v>96</v>
      </c>
      <c r="D3386" s="53" t="n">
        <v>1</v>
      </c>
      <c r="E3386" s="65" t="str">
        <f aca="false">IF($H3386="","",资金流水!$B96)</f>
        <v/>
      </c>
      <c r="F3386" s="55" t="str">
        <f aca="false">IF($H3386="","",资金流水!$C96)</f>
        <v/>
      </c>
      <c r="G3386" s="48" t="str">
        <f aca="false">IF($H3386="","",资金流水!$K96)</f>
        <v/>
      </c>
      <c r="H3386" s="10" t="str">
        <f aca="false">IF($L3386="","",IF($L3386="@对方",资金流水!$G96,IF($L3386="@账户",资金流水!$Q96,$L3386)))</f>
        <v/>
      </c>
      <c r="I3386" s="42" t="n">
        <f aca="false">IF($M3386="借",$O3386,0)</f>
        <v>0</v>
      </c>
      <c r="J3386" s="42" t="n">
        <f aca="false">IF($M3386="贷",$O3386,0)</f>
        <v>0</v>
      </c>
      <c r="K3386" s="48" t="str">
        <f aca="false">IF($H3386="","",资金流水!$F96)</f>
        <v/>
      </c>
      <c r="L3386" s="66" t="str">
        <f aca="false">IF(资金流水!$E96="","",IFERROR(INDEX(记账规则!$A$13:$H$32,MATCH(资金流水!$E96,记账规则!$A$13:$A$32,0),3),""))</f>
        <v/>
      </c>
      <c r="M3386" s="66" t="str">
        <f aca="false">IF($L3386="","",IFERROR(INDEX(记账规则!$A$13:$H$32,MATCH(资金流水!$E96,记账规则!$A$13:$A$32,0),4),""))</f>
        <v/>
      </c>
      <c r="N3386" s="66" t="str">
        <f aca="false">IF($L3386="","",IFERROR(INDEX(记账规则!$A$13:$H$32,MATCH(资金流水!$E96,记账规则!$A$13:$A$32,0),5),""))</f>
        <v/>
      </c>
      <c r="O3386" s="67" t="n">
        <f aca="false">IF($H3386="",0,ROUND(IF($N3386="金额",N(资金流水!$P96),0),2))</f>
        <v>0</v>
      </c>
      <c r="P3386" s="64" t="str">
        <f aca="false">IF(AND($H3386&lt;&gt;"",ROUND($O3386,2)&lt;&gt;0),"有","")</f>
        <v/>
      </c>
    </row>
    <row r="3387" customFormat="false" ht="15" hidden="true" customHeight="false" outlineLevel="0" collapsed="false">
      <c r="A3387" s="53" t="str">
        <f aca="false">IF($H3387="","",ROW()-5)</f>
        <v/>
      </c>
      <c r="B3387" s="64" t="s">
        <v>37</v>
      </c>
      <c r="C3387" s="53" t="n">
        <v>96</v>
      </c>
      <c r="D3387" s="53" t="n">
        <v>2</v>
      </c>
      <c r="E3387" s="65" t="str">
        <f aca="false">IF($H3387="","",资金流水!$B96)</f>
        <v/>
      </c>
      <c r="F3387" s="55" t="str">
        <f aca="false">IF($H3387="","",资金流水!$C96)</f>
        <v/>
      </c>
      <c r="G3387" s="48" t="str">
        <f aca="false">IF($H3387="","",资金流水!$K96)</f>
        <v/>
      </c>
      <c r="H3387" s="10" t="str">
        <f aca="false">IF($L3387="","",IF($L3387="@对方",资金流水!$G96,IF($L3387="@账户",资金流水!$Q96,$L3387)))</f>
        <v/>
      </c>
      <c r="I3387" s="42" t="n">
        <f aca="false">IF($M3387="借",$O3387,0)</f>
        <v>0</v>
      </c>
      <c r="J3387" s="42" t="n">
        <f aca="false">IF($M3387="贷",$O3387,0)</f>
        <v>0</v>
      </c>
      <c r="K3387" s="48" t="str">
        <f aca="false">IF($H3387="","",资金流水!$F96)</f>
        <v/>
      </c>
      <c r="L3387" s="66" t="str">
        <f aca="false">IF(资金流水!$E96="","",IFERROR(INDEX(记账规则!$A$13:$H$32,MATCH(资金流水!$E96,记账规则!$A$13:$A$32,0),6),""))</f>
        <v/>
      </c>
      <c r="M3387" s="66" t="str">
        <f aca="false">IF($L3387="","",IFERROR(INDEX(记账规则!$A$13:$H$32,MATCH(资金流水!$E96,记账规则!$A$13:$A$32,0),7),""))</f>
        <v/>
      </c>
      <c r="N3387" s="66" t="str">
        <f aca="false">IF($L3387="","",IFERROR(INDEX(记账规则!$A$13:$H$32,MATCH(资金流水!$E96,记账规则!$A$13:$A$32,0),8),""))</f>
        <v/>
      </c>
      <c r="O3387" s="67" t="n">
        <f aca="false">IF($H3387="",0,ROUND(IF($N3387="金额",N(资金流水!$P96),0),2))</f>
        <v>0</v>
      </c>
      <c r="P3387" s="64" t="str">
        <f aca="false">IF(AND($H3387&lt;&gt;"",ROUND($O3387,2)&lt;&gt;0),"有","")</f>
        <v/>
      </c>
    </row>
    <row r="3388" customFormat="false" ht="15" hidden="true" customHeight="false" outlineLevel="0" collapsed="false">
      <c r="A3388" s="53" t="str">
        <f aca="false">IF($H3388="","",ROW()-5)</f>
        <v/>
      </c>
      <c r="B3388" s="64" t="s">
        <v>37</v>
      </c>
      <c r="C3388" s="53" t="n">
        <v>97</v>
      </c>
      <c r="D3388" s="53" t="n">
        <v>1</v>
      </c>
      <c r="E3388" s="65" t="str">
        <f aca="false">IF($H3388="","",资金流水!$B97)</f>
        <v/>
      </c>
      <c r="F3388" s="55" t="str">
        <f aca="false">IF($H3388="","",资金流水!$C97)</f>
        <v/>
      </c>
      <c r="G3388" s="48" t="str">
        <f aca="false">IF($H3388="","",资金流水!$K97)</f>
        <v/>
      </c>
      <c r="H3388" s="10" t="str">
        <f aca="false">IF($L3388="","",IF($L3388="@对方",资金流水!$G97,IF($L3388="@账户",资金流水!$Q97,$L3388)))</f>
        <v/>
      </c>
      <c r="I3388" s="42" t="n">
        <f aca="false">IF($M3388="借",$O3388,0)</f>
        <v>0</v>
      </c>
      <c r="J3388" s="42" t="n">
        <f aca="false">IF($M3388="贷",$O3388,0)</f>
        <v>0</v>
      </c>
      <c r="K3388" s="48" t="str">
        <f aca="false">IF($H3388="","",资金流水!$F97)</f>
        <v/>
      </c>
      <c r="L3388" s="66" t="str">
        <f aca="false">IF(资金流水!$E97="","",IFERROR(INDEX(记账规则!$A$13:$H$32,MATCH(资金流水!$E97,记账规则!$A$13:$A$32,0),3),""))</f>
        <v/>
      </c>
      <c r="M3388" s="66" t="str">
        <f aca="false">IF($L3388="","",IFERROR(INDEX(记账规则!$A$13:$H$32,MATCH(资金流水!$E97,记账规则!$A$13:$A$32,0),4),""))</f>
        <v/>
      </c>
      <c r="N3388" s="66" t="str">
        <f aca="false">IF($L3388="","",IFERROR(INDEX(记账规则!$A$13:$H$32,MATCH(资金流水!$E97,记账规则!$A$13:$A$32,0),5),""))</f>
        <v/>
      </c>
      <c r="O3388" s="67" t="n">
        <f aca="false">IF($H3388="",0,ROUND(IF($N3388="金额",N(资金流水!$P97),0),2))</f>
        <v>0</v>
      </c>
      <c r="P3388" s="64" t="str">
        <f aca="false">IF(AND($H3388&lt;&gt;"",ROUND($O3388,2)&lt;&gt;0),"有","")</f>
        <v/>
      </c>
    </row>
    <row r="3389" customFormat="false" ht="15" hidden="true" customHeight="false" outlineLevel="0" collapsed="false">
      <c r="A3389" s="53" t="str">
        <f aca="false">IF($H3389="","",ROW()-5)</f>
        <v/>
      </c>
      <c r="B3389" s="64" t="s">
        <v>37</v>
      </c>
      <c r="C3389" s="53" t="n">
        <v>97</v>
      </c>
      <c r="D3389" s="53" t="n">
        <v>2</v>
      </c>
      <c r="E3389" s="65" t="str">
        <f aca="false">IF($H3389="","",资金流水!$B97)</f>
        <v/>
      </c>
      <c r="F3389" s="55" t="str">
        <f aca="false">IF($H3389="","",资金流水!$C97)</f>
        <v/>
      </c>
      <c r="G3389" s="48" t="str">
        <f aca="false">IF($H3389="","",资金流水!$K97)</f>
        <v/>
      </c>
      <c r="H3389" s="10" t="str">
        <f aca="false">IF($L3389="","",IF($L3389="@对方",资金流水!$G97,IF($L3389="@账户",资金流水!$Q97,$L3389)))</f>
        <v/>
      </c>
      <c r="I3389" s="42" t="n">
        <f aca="false">IF($M3389="借",$O3389,0)</f>
        <v>0</v>
      </c>
      <c r="J3389" s="42" t="n">
        <f aca="false">IF($M3389="贷",$O3389,0)</f>
        <v>0</v>
      </c>
      <c r="K3389" s="48" t="str">
        <f aca="false">IF($H3389="","",资金流水!$F97)</f>
        <v/>
      </c>
      <c r="L3389" s="66" t="str">
        <f aca="false">IF(资金流水!$E97="","",IFERROR(INDEX(记账规则!$A$13:$H$32,MATCH(资金流水!$E97,记账规则!$A$13:$A$32,0),6),""))</f>
        <v/>
      </c>
      <c r="M3389" s="66" t="str">
        <f aca="false">IF($L3389="","",IFERROR(INDEX(记账规则!$A$13:$H$32,MATCH(资金流水!$E97,记账规则!$A$13:$A$32,0),7),""))</f>
        <v/>
      </c>
      <c r="N3389" s="66" t="str">
        <f aca="false">IF($L3389="","",IFERROR(INDEX(记账规则!$A$13:$H$32,MATCH(资金流水!$E97,记账规则!$A$13:$A$32,0),8),""))</f>
        <v/>
      </c>
      <c r="O3389" s="67" t="n">
        <f aca="false">IF($H3389="",0,ROUND(IF($N3389="金额",N(资金流水!$P97),0),2))</f>
        <v>0</v>
      </c>
      <c r="P3389" s="64" t="str">
        <f aca="false">IF(AND($H3389&lt;&gt;"",ROUND($O3389,2)&lt;&gt;0),"有","")</f>
        <v/>
      </c>
    </row>
    <row r="3390" customFormat="false" ht="15" hidden="true" customHeight="false" outlineLevel="0" collapsed="false">
      <c r="A3390" s="53" t="str">
        <f aca="false">IF($H3390="","",ROW()-5)</f>
        <v/>
      </c>
      <c r="B3390" s="64" t="s">
        <v>37</v>
      </c>
      <c r="C3390" s="53" t="n">
        <v>98</v>
      </c>
      <c r="D3390" s="53" t="n">
        <v>1</v>
      </c>
      <c r="E3390" s="65" t="str">
        <f aca="false">IF($H3390="","",资金流水!$B98)</f>
        <v/>
      </c>
      <c r="F3390" s="55" t="str">
        <f aca="false">IF($H3390="","",资金流水!$C98)</f>
        <v/>
      </c>
      <c r="G3390" s="48" t="str">
        <f aca="false">IF($H3390="","",资金流水!$K98)</f>
        <v/>
      </c>
      <c r="H3390" s="10" t="str">
        <f aca="false">IF($L3390="","",IF($L3390="@对方",资金流水!$G98,IF($L3390="@账户",资金流水!$Q98,$L3390)))</f>
        <v/>
      </c>
      <c r="I3390" s="42" t="n">
        <f aca="false">IF($M3390="借",$O3390,0)</f>
        <v>0</v>
      </c>
      <c r="J3390" s="42" t="n">
        <f aca="false">IF($M3390="贷",$O3390,0)</f>
        <v>0</v>
      </c>
      <c r="K3390" s="48" t="str">
        <f aca="false">IF($H3390="","",资金流水!$F98)</f>
        <v/>
      </c>
      <c r="L3390" s="66" t="str">
        <f aca="false">IF(资金流水!$E98="","",IFERROR(INDEX(记账规则!$A$13:$H$32,MATCH(资金流水!$E98,记账规则!$A$13:$A$32,0),3),""))</f>
        <v/>
      </c>
      <c r="M3390" s="66" t="str">
        <f aca="false">IF($L3390="","",IFERROR(INDEX(记账规则!$A$13:$H$32,MATCH(资金流水!$E98,记账规则!$A$13:$A$32,0),4),""))</f>
        <v/>
      </c>
      <c r="N3390" s="66" t="str">
        <f aca="false">IF($L3390="","",IFERROR(INDEX(记账规则!$A$13:$H$32,MATCH(资金流水!$E98,记账规则!$A$13:$A$32,0),5),""))</f>
        <v/>
      </c>
      <c r="O3390" s="67" t="n">
        <f aca="false">IF($H3390="",0,ROUND(IF($N3390="金额",N(资金流水!$P98),0),2))</f>
        <v>0</v>
      </c>
      <c r="P3390" s="64" t="str">
        <f aca="false">IF(AND($H3390&lt;&gt;"",ROUND($O3390,2)&lt;&gt;0),"有","")</f>
        <v/>
      </c>
    </row>
    <row r="3391" customFormat="false" ht="15" hidden="true" customHeight="false" outlineLevel="0" collapsed="false">
      <c r="A3391" s="53" t="str">
        <f aca="false">IF($H3391="","",ROW()-5)</f>
        <v/>
      </c>
      <c r="B3391" s="64" t="s">
        <v>37</v>
      </c>
      <c r="C3391" s="53" t="n">
        <v>98</v>
      </c>
      <c r="D3391" s="53" t="n">
        <v>2</v>
      </c>
      <c r="E3391" s="65" t="str">
        <f aca="false">IF($H3391="","",资金流水!$B98)</f>
        <v/>
      </c>
      <c r="F3391" s="55" t="str">
        <f aca="false">IF($H3391="","",资金流水!$C98)</f>
        <v/>
      </c>
      <c r="G3391" s="48" t="str">
        <f aca="false">IF($H3391="","",资金流水!$K98)</f>
        <v/>
      </c>
      <c r="H3391" s="10" t="str">
        <f aca="false">IF($L3391="","",IF($L3391="@对方",资金流水!$G98,IF($L3391="@账户",资金流水!$Q98,$L3391)))</f>
        <v/>
      </c>
      <c r="I3391" s="42" t="n">
        <f aca="false">IF($M3391="借",$O3391,0)</f>
        <v>0</v>
      </c>
      <c r="J3391" s="42" t="n">
        <f aca="false">IF($M3391="贷",$O3391,0)</f>
        <v>0</v>
      </c>
      <c r="K3391" s="48" t="str">
        <f aca="false">IF($H3391="","",资金流水!$F98)</f>
        <v/>
      </c>
      <c r="L3391" s="66" t="str">
        <f aca="false">IF(资金流水!$E98="","",IFERROR(INDEX(记账规则!$A$13:$H$32,MATCH(资金流水!$E98,记账规则!$A$13:$A$32,0),6),""))</f>
        <v/>
      </c>
      <c r="M3391" s="66" t="str">
        <f aca="false">IF($L3391="","",IFERROR(INDEX(记账规则!$A$13:$H$32,MATCH(资金流水!$E98,记账规则!$A$13:$A$32,0),7),""))</f>
        <v/>
      </c>
      <c r="N3391" s="66" t="str">
        <f aca="false">IF($L3391="","",IFERROR(INDEX(记账规则!$A$13:$H$32,MATCH(资金流水!$E98,记账规则!$A$13:$A$32,0),8),""))</f>
        <v/>
      </c>
      <c r="O3391" s="67" t="n">
        <f aca="false">IF($H3391="",0,ROUND(IF($N3391="金额",N(资金流水!$P98),0),2))</f>
        <v>0</v>
      </c>
      <c r="P3391" s="64" t="str">
        <f aca="false">IF(AND($H3391&lt;&gt;"",ROUND($O3391,2)&lt;&gt;0),"有","")</f>
        <v/>
      </c>
    </row>
    <row r="3392" customFormat="false" ht="15" hidden="true" customHeight="false" outlineLevel="0" collapsed="false">
      <c r="A3392" s="53" t="str">
        <f aca="false">IF($H3392="","",ROW()-5)</f>
        <v/>
      </c>
      <c r="B3392" s="64" t="s">
        <v>37</v>
      </c>
      <c r="C3392" s="53" t="n">
        <v>99</v>
      </c>
      <c r="D3392" s="53" t="n">
        <v>1</v>
      </c>
      <c r="E3392" s="65" t="str">
        <f aca="false">IF($H3392="","",资金流水!$B99)</f>
        <v/>
      </c>
      <c r="F3392" s="55" t="str">
        <f aca="false">IF($H3392="","",资金流水!$C99)</f>
        <v/>
      </c>
      <c r="G3392" s="48" t="str">
        <f aca="false">IF($H3392="","",资金流水!$K99)</f>
        <v/>
      </c>
      <c r="H3392" s="10" t="str">
        <f aca="false">IF($L3392="","",IF($L3392="@对方",资金流水!$G99,IF($L3392="@账户",资金流水!$Q99,$L3392)))</f>
        <v/>
      </c>
      <c r="I3392" s="42" t="n">
        <f aca="false">IF($M3392="借",$O3392,0)</f>
        <v>0</v>
      </c>
      <c r="J3392" s="42" t="n">
        <f aca="false">IF($M3392="贷",$O3392,0)</f>
        <v>0</v>
      </c>
      <c r="K3392" s="48" t="str">
        <f aca="false">IF($H3392="","",资金流水!$F99)</f>
        <v/>
      </c>
      <c r="L3392" s="66" t="str">
        <f aca="false">IF(资金流水!$E99="","",IFERROR(INDEX(记账规则!$A$13:$H$32,MATCH(资金流水!$E99,记账规则!$A$13:$A$32,0),3),""))</f>
        <v/>
      </c>
      <c r="M3392" s="66" t="str">
        <f aca="false">IF($L3392="","",IFERROR(INDEX(记账规则!$A$13:$H$32,MATCH(资金流水!$E99,记账规则!$A$13:$A$32,0),4),""))</f>
        <v/>
      </c>
      <c r="N3392" s="66" t="str">
        <f aca="false">IF($L3392="","",IFERROR(INDEX(记账规则!$A$13:$H$32,MATCH(资金流水!$E99,记账规则!$A$13:$A$32,0),5),""))</f>
        <v/>
      </c>
      <c r="O3392" s="67" t="n">
        <f aca="false">IF($H3392="",0,ROUND(IF($N3392="金额",N(资金流水!$P99),0),2))</f>
        <v>0</v>
      </c>
      <c r="P3392" s="64" t="str">
        <f aca="false">IF(AND($H3392&lt;&gt;"",ROUND($O3392,2)&lt;&gt;0),"有","")</f>
        <v/>
      </c>
    </row>
    <row r="3393" customFormat="false" ht="15" hidden="true" customHeight="false" outlineLevel="0" collapsed="false">
      <c r="A3393" s="53" t="str">
        <f aca="false">IF($H3393="","",ROW()-5)</f>
        <v/>
      </c>
      <c r="B3393" s="64" t="s">
        <v>37</v>
      </c>
      <c r="C3393" s="53" t="n">
        <v>99</v>
      </c>
      <c r="D3393" s="53" t="n">
        <v>2</v>
      </c>
      <c r="E3393" s="65" t="str">
        <f aca="false">IF($H3393="","",资金流水!$B99)</f>
        <v/>
      </c>
      <c r="F3393" s="55" t="str">
        <f aca="false">IF($H3393="","",资金流水!$C99)</f>
        <v/>
      </c>
      <c r="G3393" s="48" t="str">
        <f aca="false">IF($H3393="","",资金流水!$K99)</f>
        <v/>
      </c>
      <c r="H3393" s="10" t="str">
        <f aca="false">IF($L3393="","",IF($L3393="@对方",资金流水!$G99,IF($L3393="@账户",资金流水!$Q99,$L3393)))</f>
        <v/>
      </c>
      <c r="I3393" s="42" t="n">
        <f aca="false">IF($M3393="借",$O3393,0)</f>
        <v>0</v>
      </c>
      <c r="J3393" s="42" t="n">
        <f aca="false">IF($M3393="贷",$O3393,0)</f>
        <v>0</v>
      </c>
      <c r="K3393" s="48" t="str">
        <f aca="false">IF($H3393="","",资金流水!$F99)</f>
        <v/>
      </c>
      <c r="L3393" s="66" t="str">
        <f aca="false">IF(资金流水!$E99="","",IFERROR(INDEX(记账规则!$A$13:$H$32,MATCH(资金流水!$E99,记账规则!$A$13:$A$32,0),6),""))</f>
        <v/>
      </c>
      <c r="M3393" s="66" t="str">
        <f aca="false">IF($L3393="","",IFERROR(INDEX(记账规则!$A$13:$H$32,MATCH(资金流水!$E99,记账规则!$A$13:$A$32,0),7),""))</f>
        <v/>
      </c>
      <c r="N3393" s="66" t="str">
        <f aca="false">IF($L3393="","",IFERROR(INDEX(记账规则!$A$13:$H$32,MATCH(资金流水!$E99,记账规则!$A$13:$A$32,0),8),""))</f>
        <v/>
      </c>
      <c r="O3393" s="67" t="n">
        <f aca="false">IF($H3393="",0,ROUND(IF($N3393="金额",N(资金流水!$P99),0),2))</f>
        <v>0</v>
      </c>
      <c r="P3393" s="64" t="str">
        <f aca="false">IF(AND($H3393&lt;&gt;"",ROUND($O3393,2)&lt;&gt;0),"有","")</f>
        <v/>
      </c>
    </row>
    <row r="3394" customFormat="false" ht="15" hidden="true" customHeight="false" outlineLevel="0" collapsed="false">
      <c r="A3394" s="53" t="str">
        <f aca="false">IF($H3394="","",ROW()-5)</f>
        <v/>
      </c>
      <c r="B3394" s="64" t="s">
        <v>37</v>
      </c>
      <c r="C3394" s="53" t="n">
        <v>100</v>
      </c>
      <c r="D3394" s="53" t="n">
        <v>1</v>
      </c>
      <c r="E3394" s="65" t="str">
        <f aca="false">IF($H3394="","",资金流水!$B100)</f>
        <v/>
      </c>
      <c r="F3394" s="55" t="str">
        <f aca="false">IF($H3394="","",资金流水!$C100)</f>
        <v/>
      </c>
      <c r="G3394" s="48" t="str">
        <f aca="false">IF($H3394="","",资金流水!$K100)</f>
        <v/>
      </c>
      <c r="H3394" s="10" t="str">
        <f aca="false">IF($L3394="","",IF($L3394="@对方",资金流水!$G100,IF($L3394="@账户",资金流水!$Q100,$L3394)))</f>
        <v/>
      </c>
      <c r="I3394" s="42" t="n">
        <f aca="false">IF($M3394="借",$O3394,0)</f>
        <v>0</v>
      </c>
      <c r="J3394" s="42" t="n">
        <f aca="false">IF($M3394="贷",$O3394,0)</f>
        <v>0</v>
      </c>
      <c r="K3394" s="48" t="str">
        <f aca="false">IF($H3394="","",资金流水!$F100)</f>
        <v/>
      </c>
      <c r="L3394" s="66" t="str">
        <f aca="false">IF(资金流水!$E100="","",IFERROR(INDEX(记账规则!$A$13:$H$32,MATCH(资金流水!$E100,记账规则!$A$13:$A$32,0),3),""))</f>
        <v/>
      </c>
      <c r="M3394" s="66" t="str">
        <f aca="false">IF($L3394="","",IFERROR(INDEX(记账规则!$A$13:$H$32,MATCH(资金流水!$E100,记账规则!$A$13:$A$32,0),4),""))</f>
        <v/>
      </c>
      <c r="N3394" s="66" t="str">
        <f aca="false">IF($L3394="","",IFERROR(INDEX(记账规则!$A$13:$H$32,MATCH(资金流水!$E100,记账规则!$A$13:$A$32,0),5),""))</f>
        <v/>
      </c>
      <c r="O3394" s="67" t="n">
        <f aca="false">IF($H3394="",0,ROUND(IF($N3394="金额",N(资金流水!$P100),0),2))</f>
        <v>0</v>
      </c>
      <c r="P3394" s="64" t="str">
        <f aca="false">IF(AND($H3394&lt;&gt;"",ROUND($O3394,2)&lt;&gt;0),"有","")</f>
        <v/>
      </c>
    </row>
    <row r="3395" customFormat="false" ht="15" hidden="true" customHeight="false" outlineLevel="0" collapsed="false">
      <c r="A3395" s="53" t="str">
        <f aca="false">IF($H3395="","",ROW()-5)</f>
        <v/>
      </c>
      <c r="B3395" s="64" t="s">
        <v>37</v>
      </c>
      <c r="C3395" s="53" t="n">
        <v>100</v>
      </c>
      <c r="D3395" s="53" t="n">
        <v>2</v>
      </c>
      <c r="E3395" s="65" t="str">
        <f aca="false">IF($H3395="","",资金流水!$B100)</f>
        <v/>
      </c>
      <c r="F3395" s="55" t="str">
        <f aca="false">IF($H3395="","",资金流水!$C100)</f>
        <v/>
      </c>
      <c r="G3395" s="48" t="str">
        <f aca="false">IF($H3395="","",资金流水!$K100)</f>
        <v/>
      </c>
      <c r="H3395" s="10" t="str">
        <f aca="false">IF($L3395="","",IF($L3395="@对方",资金流水!$G100,IF($L3395="@账户",资金流水!$Q100,$L3395)))</f>
        <v/>
      </c>
      <c r="I3395" s="42" t="n">
        <f aca="false">IF($M3395="借",$O3395,0)</f>
        <v>0</v>
      </c>
      <c r="J3395" s="42" t="n">
        <f aca="false">IF($M3395="贷",$O3395,0)</f>
        <v>0</v>
      </c>
      <c r="K3395" s="48" t="str">
        <f aca="false">IF($H3395="","",资金流水!$F100)</f>
        <v/>
      </c>
      <c r="L3395" s="66" t="str">
        <f aca="false">IF(资金流水!$E100="","",IFERROR(INDEX(记账规则!$A$13:$H$32,MATCH(资金流水!$E100,记账规则!$A$13:$A$32,0),6),""))</f>
        <v/>
      </c>
      <c r="M3395" s="66" t="str">
        <f aca="false">IF($L3395="","",IFERROR(INDEX(记账规则!$A$13:$H$32,MATCH(资金流水!$E100,记账规则!$A$13:$A$32,0),7),""))</f>
        <v/>
      </c>
      <c r="N3395" s="66" t="str">
        <f aca="false">IF($L3395="","",IFERROR(INDEX(记账规则!$A$13:$H$32,MATCH(资金流水!$E100,记账规则!$A$13:$A$32,0),8),""))</f>
        <v/>
      </c>
      <c r="O3395" s="67" t="n">
        <f aca="false">IF($H3395="",0,ROUND(IF($N3395="金额",N(资金流水!$P100),0),2))</f>
        <v>0</v>
      </c>
      <c r="P3395" s="64" t="str">
        <f aca="false">IF(AND($H3395&lt;&gt;"",ROUND($O3395,2)&lt;&gt;0),"有","")</f>
        <v/>
      </c>
    </row>
    <row r="3396" customFormat="false" ht="15" hidden="true" customHeight="false" outlineLevel="0" collapsed="false">
      <c r="A3396" s="53" t="str">
        <f aca="false">IF($H3396="","",ROW()-5)</f>
        <v/>
      </c>
      <c r="B3396" s="64" t="s">
        <v>37</v>
      </c>
      <c r="C3396" s="53" t="n">
        <v>101</v>
      </c>
      <c r="D3396" s="53" t="n">
        <v>1</v>
      </c>
      <c r="E3396" s="65" t="str">
        <f aca="false">IF($H3396="","",资金流水!$B101)</f>
        <v/>
      </c>
      <c r="F3396" s="55" t="str">
        <f aca="false">IF($H3396="","",资金流水!$C101)</f>
        <v/>
      </c>
      <c r="G3396" s="48" t="str">
        <f aca="false">IF($H3396="","",资金流水!$K101)</f>
        <v/>
      </c>
      <c r="H3396" s="10" t="str">
        <f aca="false">IF($L3396="","",IF($L3396="@对方",资金流水!$G101,IF($L3396="@账户",资金流水!$Q101,$L3396)))</f>
        <v/>
      </c>
      <c r="I3396" s="42" t="n">
        <f aca="false">IF($M3396="借",$O3396,0)</f>
        <v>0</v>
      </c>
      <c r="J3396" s="42" t="n">
        <f aca="false">IF($M3396="贷",$O3396,0)</f>
        <v>0</v>
      </c>
      <c r="K3396" s="48" t="str">
        <f aca="false">IF($H3396="","",资金流水!$F101)</f>
        <v/>
      </c>
      <c r="L3396" s="66" t="str">
        <f aca="false">IF(资金流水!$E101="","",IFERROR(INDEX(记账规则!$A$13:$H$32,MATCH(资金流水!$E101,记账规则!$A$13:$A$32,0),3),""))</f>
        <v/>
      </c>
      <c r="M3396" s="66" t="str">
        <f aca="false">IF($L3396="","",IFERROR(INDEX(记账规则!$A$13:$H$32,MATCH(资金流水!$E101,记账规则!$A$13:$A$32,0),4),""))</f>
        <v/>
      </c>
      <c r="N3396" s="66" t="str">
        <f aca="false">IF($L3396="","",IFERROR(INDEX(记账规则!$A$13:$H$32,MATCH(资金流水!$E101,记账规则!$A$13:$A$32,0),5),""))</f>
        <v/>
      </c>
      <c r="O3396" s="67" t="n">
        <f aca="false">IF($H3396="",0,ROUND(IF($N3396="金额",N(资金流水!$P101),0),2))</f>
        <v>0</v>
      </c>
      <c r="P3396" s="64" t="str">
        <f aca="false">IF(AND($H3396&lt;&gt;"",ROUND($O3396,2)&lt;&gt;0),"有","")</f>
        <v/>
      </c>
    </row>
    <row r="3397" customFormat="false" ht="15" hidden="true" customHeight="false" outlineLevel="0" collapsed="false">
      <c r="A3397" s="53" t="str">
        <f aca="false">IF($H3397="","",ROW()-5)</f>
        <v/>
      </c>
      <c r="B3397" s="64" t="s">
        <v>37</v>
      </c>
      <c r="C3397" s="53" t="n">
        <v>101</v>
      </c>
      <c r="D3397" s="53" t="n">
        <v>2</v>
      </c>
      <c r="E3397" s="65" t="str">
        <f aca="false">IF($H3397="","",资金流水!$B101)</f>
        <v/>
      </c>
      <c r="F3397" s="55" t="str">
        <f aca="false">IF($H3397="","",资金流水!$C101)</f>
        <v/>
      </c>
      <c r="G3397" s="48" t="str">
        <f aca="false">IF($H3397="","",资金流水!$K101)</f>
        <v/>
      </c>
      <c r="H3397" s="10" t="str">
        <f aca="false">IF($L3397="","",IF($L3397="@对方",资金流水!$G101,IF($L3397="@账户",资金流水!$Q101,$L3397)))</f>
        <v/>
      </c>
      <c r="I3397" s="42" t="n">
        <f aca="false">IF($M3397="借",$O3397,0)</f>
        <v>0</v>
      </c>
      <c r="J3397" s="42" t="n">
        <f aca="false">IF($M3397="贷",$O3397,0)</f>
        <v>0</v>
      </c>
      <c r="K3397" s="48" t="str">
        <f aca="false">IF($H3397="","",资金流水!$F101)</f>
        <v/>
      </c>
      <c r="L3397" s="66" t="str">
        <f aca="false">IF(资金流水!$E101="","",IFERROR(INDEX(记账规则!$A$13:$H$32,MATCH(资金流水!$E101,记账规则!$A$13:$A$32,0),6),""))</f>
        <v/>
      </c>
      <c r="M3397" s="66" t="str">
        <f aca="false">IF($L3397="","",IFERROR(INDEX(记账规则!$A$13:$H$32,MATCH(资金流水!$E101,记账规则!$A$13:$A$32,0),7),""))</f>
        <v/>
      </c>
      <c r="N3397" s="66" t="str">
        <f aca="false">IF($L3397="","",IFERROR(INDEX(记账规则!$A$13:$H$32,MATCH(资金流水!$E101,记账规则!$A$13:$A$32,0),8),""))</f>
        <v/>
      </c>
      <c r="O3397" s="67" t="n">
        <f aca="false">IF($H3397="",0,ROUND(IF($N3397="金额",N(资金流水!$P101),0),2))</f>
        <v>0</v>
      </c>
      <c r="P3397" s="64" t="str">
        <f aca="false">IF(AND($H3397&lt;&gt;"",ROUND($O3397,2)&lt;&gt;0),"有","")</f>
        <v/>
      </c>
    </row>
    <row r="3398" customFormat="false" ht="15" hidden="true" customHeight="false" outlineLevel="0" collapsed="false">
      <c r="A3398" s="53" t="str">
        <f aca="false">IF($H3398="","",ROW()-5)</f>
        <v/>
      </c>
      <c r="B3398" s="64" t="s">
        <v>37</v>
      </c>
      <c r="C3398" s="53" t="n">
        <v>102</v>
      </c>
      <c r="D3398" s="53" t="n">
        <v>1</v>
      </c>
      <c r="E3398" s="65" t="str">
        <f aca="false">IF($H3398="","",资金流水!$B102)</f>
        <v/>
      </c>
      <c r="F3398" s="55" t="str">
        <f aca="false">IF($H3398="","",资金流水!$C102)</f>
        <v/>
      </c>
      <c r="G3398" s="48" t="str">
        <f aca="false">IF($H3398="","",资金流水!$K102)</f>
        <v/>
      </c>
      <c r="H3398" s="10" t="str">
        <f aca="false">IF($L3398="","",IF($L3398="@对方",资金流水!$G102,IF($L3398="@账户",资金流水!$Q102,$L3398)))</f>
        <v/>
      </c>
      <c r="I3398" s="42" t="n">
        <f aca="false">IF($M3398="借",$O3398,0)</f>
        <v>0</v>
      </c>
      <c r="J3398" s="42" t="n">
        <f aca="false">IF($M3398="贷",$O3398,0)</f>
        <v>0</v>
      </c>
      <c r="K3398" s="48" t="str">
        <f aca="false">IF($H3398="","",资金流水!$F102)</f>
        <v/>
      </c>
      <c r="L3398" s="66" t="str">
        <f aca="false">IF(资金流水!$E102="","",IFERROR(INDEX(记账规则!$A$13:$H$32,MATCH(资金流水!$E102,记账规则!$A$13:$A$32,0),3),""))</f>
        <v/>
      </c>
      <c r="M3398" s="66" t="str">
        <f aca="false">IF($L3398="","",IFERROR(INDEX(记账规则!$A$13:$H$32,MATCH(资金流水!$E102,记账规则!$A$13:$A$32,0),4),""))</f>
        <v/>
      </c>
      <c r="N3398" s="66" t="str">
        <f aca="false">IF($L3398="","",IFERROR(INDEX(记账规则!$A$13:$H$32,MATCH(资金流水!$E102,记账规则!$A$13:$A$32,0),5),""))</f>
        <v/>
      </c>
      <c r="O3398" s="67" t="n">
        <f aca="false">IF($H3398="",0,ROUND(IF($N3398="金额",N(资金流水!$P102),0),2))</f>
        <v>0</v>
      </c>
      <c r="P3398" s="64" t="str">
        <f aca="false">IF(AND($H3398&lt;&gt;"",ROUND($O3398,2)&lt;&gt;0),"有","")</f>
        <v/>
      </c>
    </row>
    <row r="3399" customFormat="false" ht="15" hidden="true" customHeight="false" outlineLevel="0" collapsed="false">
      <c r="A3399" s="53" t="str">
        <f aca="false">IF($H3399="","",ROW()-5)</f>
        <v/>
      </c>
      <c r="B3399" s="64" t="s">
        <v>37</v>
      </c>
      <c r="C3399" s="53" t="n">
        <v>102</v>
      </c>
      <c r="D3399" s="53" t="n">
        <v>2</v>
      </c>
      <c r="E3399" s="65" t="str">
        <f aca="false">IF($H3399="","",资金流水!$B102)</f>
        <v/>
      </c>
      <c r="F3399" s="55" t="str">
        <f aca="false">IF($H3399="","",资金流水!$C102)</f>
        <v/>
      </c>
      <c r="G3399" s="48" t="str">
        <f aca="false">IF($H3399="","",资金流水!$K102)</f>
        <v/>
      </c>
      <c r="H3399" s="10" t="str">
        <f aca="false">IF($L3399="","",IF($L3399="@对方",资金流水!$G102,IF($L3399="@账户",资金流水!$Q102,$L3399)))</f>
        <v/>
      </c>
      <c r="I3399" s="42" t="n">
        <f aca="false">IF($M3399="借",$O3399,0)</f>
        <v>0</v>
      </c>
      <c r="J3399" s="42" t="n">
        <f aca="false">IF($M3399="贷",$O3399,0)</f>
        <v>0</v>
      </c>
      <c r="K3399" s="48" t="str">
        <f aca="false">IF($H3399="","",资金流水!$F102)</f>
        <v/>
      </c>
      <c r="L3399" s="66" t="str">
        <f aca="false">IF(资金流水!$E102="","",IFERROR(INDEX(记账规则!$A$13:$H$32,MATCH(资金流水!$E102,记账规则!$A$13:$A$32,0),6),""))</f>
        <v/>
      </c>
      <c r="M3399" s="66" t="str">
        <f aca="false">IF($L3399="","",IFERROR(INDEX(记账规则!$A$13:$H$32,MATCH(资金流水!$E102,记账规则!$A$13:$A$32,0),7),""))</f>
        <v/>
      </c>
      <c r="N3399" s="66" t="str">
        <f aca="false">IF($L3399="","",IFERROR(INDEX(记账规则!$A$13:$H$32,MATCH(资金流水!$E102,记账规则!$A$13:$A$32,0),8),""))</f>
        <v/>
      </c>
      <c r="O3399" s="67" t="n">
        <f aca="false">IF($H3399="",0,ROUND(IF($N3399="金额",N(资金流水!$P102),0),2))</f>
        <v>0</v>
      </c>
      <c r="P3399" s="64" t="str">
        <f aca="false">IF(AND($H3399&lt;&gt;"",ROUND($O3399,2)&lt;&gt;0),"有","")</f>
        <v/>
      </c>
    </row>
    <row r="3400" customFormat="false" ht="15" hidden="true" customHeight="false" outlineLevel="0" collapsed="false">
      <c r="A3400" s="53" t="str">
        <f aca="false">IF($H3400="","",ROW()-5)</f>
        <v/>
      </c>
      <c r="B3400" s="64" t="s">
        <v>37</v>
      </c>
      <c r="C3400" s="53" t="n">
        <v>103</v>
      </c>
      <c r="D3400" s="53" t="n">
        <v>1</v>
      </c>
      <c r="E3400" s="65" t="str">
        <f aca="false">IF($H3400="","",资金流水!$B103)</f>
        <v/>
      </c>
      <c r="F3400" s="55" t="str">
        <f aca="false">IF($H3400="","",资金流水!$C103)</f>
        <v/>
      </c>
      <c r="G3400" s="48" t="str">
        <f aca="false">IF($H3400="","",资金流水!$K103)</f>
        <v/>
      </c>
      <c r="H3400" s="10" t="str">
        <f aca="false">IF($L3400="","",IF($L3400="@对方",资金流水!$G103,IF($L3400="@账户",资金流水!$Q103,$L3400)))</f>
        <v/>
      </c>
      <c r="I3400" s="42" t="n">
        <f aca="false">IF($M3400="借",$O3400,0)</f>
        <v>0</v>
      </c>
      <c r="J3400" s="42" t="n">
        <f aca="false">IF($M3400="贷",$O3400,0)</f>
        <v>0</v>
      </c>
      <c r="K3400" s="48" t="str">
        <f aca="false">IF($H3400="","",资金流水!$F103)</f>
        <v/>
      </c>
      <c r="L3400" s="66" t="str">
        <f aca="false">IF(资金流水!$E103="","",IFERROR(INDEX(记账规则!$A$13:$H$32,MATCH(资金流水!$E103,记账规则!$A$13:$A$32,0),3),""))</f>
        <v/>
      </c>
      <c r="M3400" s="66" t="str">
        <f aca="false">IF($L3400="","",IFERROR(INDEX(记账规则!$A$13:$H$32,MATCH(资金流水!$E103,记账规则!$A$13:$A$32,0),4),""))</f>
        <v/>
      </c>
      <c r="N3400" s="66" t="str">
        <f aca="false">IF($L3400="","",IFERROR(INDEX(记账规则!$A$13:$H$32,MATCH(资金流水!$E103,记账规则!$A$13:$A$32,0),5),""))</f>
        <v/>
      </c>
      <c r="O3400" s="67" t="n">
        <f aca="false">IF($H3400="",0,ROUND(IF($N3400="金额",N(资金流水!$P103),0),2))</f>
        <v>0</v>
      </c>
      <c r="P3400" s="64" t="str">
        <f aca="false">IF(AND($H3400&lt;&gt;"",ROUND($O3400,2)&lt;&gt;0),"有","")</f>
        <v/>
      </c>
    </row>
    <row r="3401" customFormat="false" ht="15" hidden="true" customHeight="false" outlineLevel="0" collapsed="false">
      <c r="A3401" s="53" t="str">
        <f aca="false">IF($H3401="","",ROW()-5)</f>
        <v/>
      </c>
      <c r="B3401" s="64" t="s">
        <v>37</v>
      </c>
      <c r="C3401" s="53" t="n">
        <v>103</v>
      </c>
      <c r="D3401" s="53" t="n">
        <v>2</v>
      </c>
      <c r="E3401" s="65" t="str">
        <f aca="false">IF($H3401="","",资金流水!$B103)</f>
        <v/>
      </c>
      <c r="F3401" s="55" t="str">
        <f aca="false">IF($H3401="","",资金流水!$C103)</f>
        <v/>
      </c>
      <c r="G3401" s="48" t="str">
        <f aca="false">IF($H3401="","",资金流水!$K103)</f>
        <v/>
      </c>
      <c r="H3401" s="10" t="str">
        <f aca="false">IF($L3401="","",IF($L3401="@对方",资金流水!$G103,IF($L3401="@账户",资金流水!$Q103,$L3401)))</f>
        <v/>
      </c>
      <c r="I3401" s="42" t="n">
        <f aca="false">IF($M3401="借",$O3401,0)</f>
        <v>0</v>
      </c>
      <c r="J3401" s="42" t="n">
        <f aca="false">IF($M3401="贷",$O3401,0)</f>
        <v>0</v>
      </c>
      <c r="K3401" s="48" t="str">
        <f aca="false">IF($H3401="","",资金流水!$F103)</f>
        <v/>
      </c>
      <c r="L3401" s="66" t="str">
        <f aca="false">IF(资金流水!$E103="","",IFERROR(INDEX(记账规则!$A$13:$H$32,MATCH(资金流水!$E103,记账规则!$A$13:$A$32,0),6),""))</f>
        <v/>
      </c>
      <c r="M3401" s="66" t="str">
        <f aca="false">IF($L3401="","",IFERROR(INDEX(记账规则!$A$13:$H$32,MATCH(资金流水!$E103,记账规则!$A$13:$A$32,0),7),""))</f>
        <v/>
      </c>
      <c r="N3401" s="66" t="str">
        <f aca="false">IF($L3401="","",IFERROR(INDEX(记账规则!$A$13:$H$32,MATCH(资金流水!$E103,记账规则!$A$13:$A$32,0),8),""))</f>
        <v/>
      </c>
      <c r="O3401" s="67" t="n">
        <f aca="false">IF($H3401="",0,ROUND(IF($N3401="金额",N(资金流水!$P103),0),2))</f>
        <v>0</v>
      </c>
      <c r="P3401" s="64" t="str">
        <f aca="false">IF(AND($H3401&lt;&gt;"",ROUND($O3401,2)&lt;&gt;0),"有","")</f>
        <v/>
      </c>
    </row>
    <row r="3402" customFormat="false" ht="15" hidden="true" customHeight="false" outlineLevel="0" collapsed="false">
      <c r="A3402" s="53" t="str">
        <f aca="false">IF($H3402="","",ROW()-5)</f>
        <v/>
      </c>
      <c r="B3402" s="64" t="s">
        <v>37</v>
      </c>
      <c r="C3402" s="53" t="n">
        <v>104</v>
      </c>
      <c r="D3402" s="53" t="n">
        <v>1</v>
      </c>
      <c r="E3402" s="65" t="str">
        <f aca="false">IF($H3402="","",资金流水!$B104)</f>
        <v/>
      </c>
      <c r="F3402" s="55" t="str">
        <f aca="false">IF($H3402="","",资金流水!$C104)</f>
        <v/>
      </c>
      <c r="G3402" s="48" t="str">
        <f aca="false">IF($H3402="","",资金流水!$K104)</f>
        <v/>
      </c>
      <c r="H3402" s="10" t="str">
        <f aca="false">IF($L3402="","",IF($L3402="@对方",资金流水!$G104,IF($L3402="@账户",资金流水!$Q104,$L3402)))</f>
        <v/>
      </c>
      <c r="I3402" s="42" t="n">
        <f aca="false">IF($M3402="借",$O3402,0)</f>
        <v>0</v>
      </c>
      <c r="J3402" s="42" t="n">
        <f aca="false">IF($M3402="贷",$O3402,0)</f>
        <v>0</v>
      </c>
      <c r="K3402" s="48" t="str">
        <f aca="false">IF($H3402="","",资金流水!$F104)</f>
        <v/>
      </c>
      <c r="L3402" s="66" t="str">
        <f aca="false">IF(资金流水!$E104="","",IFERROR(INDEX(记账规则!$A$13:$H$32,MATCH(资金流水!$E104,记账规则!$A$13:$A$32,0),3),""))</f>
        <v/>
      </c>
      <c r="M3402" s="66" t="str">
        <f aca="false">IF($L3402="","",IFERROR(INDEX(记账规则!$A$13:$H$32,MATCH(资金流水!$E104,记账规则!$A$13:$A$32,0),4),""))</f>
        <v/>
      </c>
      <c r="N3402" s="66" t="str">
        <f aca="false">IF($L3402="","",IFERROR(INDEX(记账规则!$A$13:$H$32,MATCH(资金流水!$E104,记账规则!$A$13:$A$32,0),5),""))</f>
        <v/>
      </c>
      <c r="O3402" s="67" t="n">
        <f aca="false">IF($H3402="",0,ROUND(IF($N3402="金额",N(资金流水!$P104),0),2))</f>
        <v>0</v>
      </c>
      <c r="P3402" s="64" t="str">
        <f aca="false">IF(AND($H3402&lt;&gt;"",ROUND($O3402,2)&lt;&gt;0),"有","")</f>
        <v/>
      </c>
    </row>
    <row r="3403" customFormat="false" ht="15" hidden="true" customHeight="false" outlineLevel="0" collapsed="false">
      <c r="A3403" s="53" t="str">
        <f aca="false">IF($H3403="","",ROW()-5)</f>
        <v/>
      </c>
      <c r="B3403" s="64" t="s">
        <v>37</v>
      </c>
      <c r="C3403" s="53" t="n">
        <v>104</v>
      </c>
      <c r="D3403" s="53" t="n">
        <v>2</v>
      </c>
      <c r="E3403" s="65" t="str">
        <f aca="false">IF($H3403="","",资金流水!$B104)</f>
        <v/>
      </c>
      <c r="F3403" s="55" t="str">
        <f aca="false">IF($H3403="","",资金流水!$C104)</f>
        <v/>
      </c>
      <c r="G3403" s="48" t="str">
        <f aca="false">IF($H3403="","",资金流水!$K104)</f>
        <v/>
      </c>
      <c r="H3403" s="10" t="str">
        <f aca="false">IF($L3403="","",IF($L3403="@对方",资金流水!$G104,IF($L3403="@账户",资金流水!$Q104,$L3403)))</f>
        <v/>
      </c>
      <c r="I3403" s="42" t="n">
        <f aca="false">IF($M3403="借",$O3403,0)</f>
        <v>0</v>
      </c>
      <c r="J3403" s="42" t="n">
        <f aca="false">IF($M3403="贷",$O3403,0)</f>
        <v>0</v>
      </c>
      <c r="K3403" s="48" t="str">
        <f aca="false">IF($H3403="","",资金流水!$F104)</f>
        <v/>
      </c>
      <c r="L3403" s="66" t="str">
        <f aca="false">IF(资金流水!$E104="","",IFERROR(INDEX(记账规则!$A$13:$H$32,MATCH(资金流水!$E104,记账规则!$A$13:$A$32,0),6),""))</f>
        <v/>
      </c>
      <c r="M3403" s="66" t="str">
        <f aca="false">IF($L3403="","",IFERROR(INDEX(记账规则!$A$13:$H$32,MATCH(资金流水!$E104,记账规则!$A$13:$A$32,0),7),""))</f>
        <v/>
      </c>
      <c r="N3403" s="66" t="str">
        <f aca="false">IF($L3403="","",IFERROR(INDEX(记账规则!$A$13:$H$32,MATCH(资金流水!$E104,记账规则!$A$13:$A$32,0),8),""))</f>
        <v/>
      </c>
      <c r="O3403" s="67" t="n">
        <f aca="false">IF($H3403="",0,ROUND(IF($N3403="金额",N(资金流水!$P104),0),2))</f>
        <v>0</v>
      </c>
      <c r="P3403" s="64" t="str">
        <f aca="false">IF(AND($H3403&lt;&gt;"",ROUND($O3403,2)&lt;&gt;0),"有","")</f>
        <v/>
      </c>
    </row>
    <row r="3404" customFormat="false" ht="15" hidden="true" customHeight="false" outlineLevel="0" collapsed="false">
      <c r="A3404" s="53" t="str">
        <f aca="false">IF($H3404="","",ROW()-5)</f>
        <v/>
      </c>
      <c r="B3404" s="64" t="s">
        <v>37</v>
      </c>
      <c r="C3404" s="53" t="n">
        <v>105</v>
      </c>
      <c r="D3404" s="53" t="n">
        <v>1</v>
      </c>
      <c r="E3404" s="65" t="str">
        <f aca="false">IF($H3404="","",资金流水!$B105)</f>
        <v/>
      </c>
      <c r="F3404" s="55" t="str">
        <f aca="false">IF($H3404="","",资金流水!$C105)</f>
        <v/>
      </c>
      <c r="G3404" s="48" t="str">
        <f aca="false">IF($H3404="","",资金流水!$K105)</f>
        <v/>
      </c>
      <c r="H3404" s="10" t="str">
        <f aca="false">IF($L3404="","",IF($L3404="@对方",资金流水!$G105,IF($L3404="@账户",资金流水!$Q105,$L3404)))</f>
        <v/>
      </c>
      <c r="I3404" s="42" t="n">
        <f aca="false">IF($M3404="借",$O3404,0)</f>
        <v>0</v>
      </c>
      <c r="J3404" s="42" t="n">
        <f aca="false">IF($M3404="贷",$O3404,0)</f>
        <v>0</v>
      </c>
      <c r="K3404" s="48" t="str">
        <f aca="false">IF($H3404="","",资金流水!$F105)</f>
        <v/>
      </c>
      <c r="L3404" s="66" t="str">
        <f aca="false">IF(资金流水!$E105="","",IFERROR(INDEX(记账规则!$A$13:$H$32,MATCH(资金流水!$E105,记账规则!$A$13:$A$32,0),3),""))</f>
        <v/>
      </c>
      <c r="M3404" s="66" t="str">
        <f aca="false">IF($L3404="","",IFERROR(INDEX(记账规则!$A$13:$H$32,MATCH(资金流水!$E105,记账规则!$A$13:$A$32,0),4),""))</f>
        <v/>
      </c>
      <c r="N3404" s="66" t="str">
        <f aca="false">IF($L3404="","",IFERROR(INDEX(记账规则!$A$13:$H$32,MATCH(资金流水!$E105,记账规则!$A$13:$A$32,0),5),""))</f>
        <v/>
      </c>
      <c r="O3404" s="67" t="n">
        <f aca="false">IF($H3404="",0,ROUND(IF($N3404="金额",N(资金流水!$P105),0),2))</f>
        <v>0</v>
      </c>
      <c r="P3404" s="64" t="str">
        <f aca="false">IF(AND($H3404&lt;&gt;"",ROUND($O3404,2)&lt;&gt;0),"有","")</f>
        <v/>
      </c>
    </row>
    <row r="3405" customFormat="false" ht="15" hidden="true" customHeight="false" outlineLevel="0" collapsed="false">
      <c r="A3405" s="53" t="str">
        <f aca="false">IF($H3405="","",ROW()-5)</f>
        <v/>
      </c>
      <c r="B3405" s="64" t="s">
        <v>37</v>
      </c>
      <c r="C3405" s="53" t="n">
        <v>105</v>
      </c>
      <c r="D3405" s="53" t="n">
        <v>2</v>
      </c>
      <c r="E3405" s="65" t="str">
        <f aca="false">IF($H3405="","",资金流水!$B105)</f>
        <v/>
      </c>
      <c r="F3405" s="55" t="str">
        <f aca="false">IF($H3405="","",资金流水!$C105)</f>
        <v/>
      </c>
      <c r="G3405" s="48" t="str">
        <f aca="false">IF($H3405="","",资金流水!$K105)</f>
        <v/>
      </c>
      <c r="H3405" s="10" t="str">
        <f aca="false">IF($L3405="","",IF($L3405="@对方",资金流水!$G105,IF($L3405="@账户",资金流水!$Q105,$L3405)))</f>
        <v/>
      </c>
      <c r="I3405" s="42" t="n">
        <f aca="false">IF($M3405="借",$O3405,0)</f>
        <v>0</v>
      </c>
      <c r="J3405" s="42" t="n">
        <f aca="false">IF($M3405="贷",$O3405,0)</f>
        <v>0</v>
      </c>
      <c r="K3405" s="48" t="str">
        <f aca="false">IF($H3405="","",资金流水!$F105)</f>
        <v/>
      </c>
      <c r="L3405" s="66" t="str">
        <f aca="false">IF(资金流水!$E105="","",IFERROR(INDEX(记账规则!$A$13:$H$32,MATCH(资金流水!$E105,记账规则!$A$13:$A$32,0),6),""))</f>
        <v/>
      </c>
      <c r="M3405" s="66" t="str">
        <f aca="false">IF($L3405="","",IFERROR(INDEX(记账规则!$A$13:$H$32,MATCH(资金流水!$E105,记账规则!$A$13:$A$32,0),7),""))</f>
        <v/>
      </c>
      <c r="N3405" s="66" t="str">
        <f aca="false">IF($L3405="","",IFERROR(INDEX(记账规则!$A$13:$H$32,MATCH(资金流水!$E105,记账规则!$A$13:$A$32,0),8),""))</f>
        <v/>
      </c>
      <c r="O3405" s="67" t="n">
        <f aca="false">IF($H3405="",0,ROUND(IF($N3405="金额",N(资金流水!$P105),0),2))</f>
        <v>0</v>
      </c>
      <c r="P3405" s="64" t="str">
        <f aca="false">IF(AND($H3405&lt;&gt;"",ROUND($O3405,2)&lt;&gt;0),"有","")</f>
        <v/>
      </c>
    </row>
    <row r="3406" customFormat="false" ht="15" hidden="true" customHeight="false" outlineLevel="0" collapsed="false">
      <c r="A3406" s="53" t="str">
        <f aca="false">IF($H3406="","",ROW()-5)</f>
        <v/>
      </c>
      <c r="B3406" s="64" t="s">
        <v>37</v>
      </c>
      <c r="C3406" s="53" t="n">
        <v>106</v>
      </c>
      <c r="D3406" s="53" t="n">
        <v>1</v>
      </c>
      <c r="E3406" s="65" t="str">
        <f aca="false">IF($H3406="","",资金流水!$B106)</f>
        <v/>
      </c>
      <c r="F3406" s="55" t="str">
        <f aca="false">IF($H3406="","",资金流水!$C106)</f>
        <v/>
      </c>
      <c r="G3406" s="48" t="str">
        <f aca="false">IF($H3406="","",资金流水!$K106)</f>
        <v/>
      </c>
      <c r="H3406" s="10" t="str">
        <f aca="false">IF($L3406="","",IF($L3406="@对方",资金流水!$G106,IF($L3406="@账户",资金流水!$Q106,$L3406)))</f>
        <v/>
      </c>
      <c r="I3406" s="42" t="n">
        <f aca="false">IF($M3406="借",$O3406,0)</f>
        <v>0</v>
      </c>
      <c r="J3406" s="42" t="n">
        <f aca="false">IF($M3406="贷",$O3406,0)</f>
        <v>0</v>
      </c>
      <c r="K3406" s="48" t="str">
        <f aca="false">IF($H3406="","",资金流水!$F106)</f>
        <v/>
      </c>
      <c r="L3406" s="66" t="str">
        <f aca="false">IF(资金流水!$E106="","",IFERROR(INDEX(记账规则!$A$13:$H$32,MATCH(资金流水!$E106,记账规则!$A$13:$A$32,0),3),""))</f>
        <v/>
      </c>
      <c r="M3406" s="66" t="str">
        <f aca="false">IF($L3406="","",IFERROR(INDEX(记账规则!$A$13:$H$32,MATCH(资金流水!$E106,记账规则!$A$13:$A$32,0),4),""))</f>
        <v/>
      </c>
      <c r="N3406" s="66" t="str">
        <f aca="false">IF($L3406="","",IFERROR(INDEX(记账规则!$A$13:$H$32,MATCH(资金流水!$E106,记账规则!$A$13:$A$32,0),5),""))</f>
        <v/>
      </c>
      <c r="O3406" s="67" t="n">
        <f aca="false">IF($H3406="",0,ROUND(IF($N3406="金额",N(资金流水!$P106),0),2))</f>
        <v>0</v>
      </c>
      <c r="P3406" s="64" t="str">
        <f aca="false">IF(AND($H3406&lt;&gt;"",ROUND($O3406,2)&lt;&gt;0),"有","")</f>
        <v/>
      </c>
    </row>
    <row r="3407" customFormat="false" ht="15" hidden="true" customHeight="false" outlineLevel="0" collapsed="false">
      <c r="A3407" s="53" t="str">
        <f aca="false">IF($H3407="","",ROW()-5)</f>
        <v/>
      </c>
      <c r="B3407" s="64" t="s">
        <v>37</v>
      </c>
      <c r="C3407" s="53" t="n">
        <v>106</v>
      </c>
      <c r="D3407" s="53" t="n">
        <v>2</v>
      </c>
      <c r="E3407" s="65" t="str">
        <f aca="false">IF($H3407="","",资金流水!$B106)</f>
        <v/>
      </c>
      <c r="F3407" s="55" t="str">
        <f aca="false">IF($H3407="","",资金流水!$C106)</f>
        <v/>
      </c>
      <c r="G3407" s="48" t="str">
        <f aca="false">IF($H3407="","",资金流水!$K106)</f>
        <v/>
      </c>
      <c r="H3407" s="10" t="str">
        <f aca="false">IF($L3407="","",IF($L3407="@对方",资金流水!$G106,IF($L3407="@账户",资金流水!$Q106,$L3407)))</f>
        <v/>
      </c>
      <c r="I3407" s="42" t="n">
        <f aca="false">IF($M3407="借",$O3407,0)</f>
        <v>0</v>
      </c>
      <c r="J3407" s="42" t="n">
        <f aca="false">IF($M3407="贷",$O3407,0)</f>
        <v>0</v>
      </c>
      <c r="K3407" s="48" t="str">
        <f aca="false">IF($H3407="","",资金流水!$F106)</f>
        <v/>
      </c>
      <c r="L3407" s="66" t="str">
        <f aca="false">IF(资金流水!$E106="","",IFERROR(INDEX(记账规则!$A$13:$H$32,MATCH(资金流水!$E106,记账规则!$A$13:$A$32,0),6),""))</f>
        <v/>
      </c>
      <c r="M3407" s="66" t="str">
        <f aca="false">IF($L3407="","",IFERROR(INDEX(记账规则!$A$13:$H$32,MATCH(资金流水!$E106,记账规则!$A$13:$A$32,0),7),""))</f>
        <v/>
      </c>
      <c r="N3407" s="66" t="str">
        <f aca="false">IF($L3407="","",IFERROR(INDEX(记账规则!$A$13:$H$32,MATCH(资金流水!$E106,记账规则!$A$13:$A$32,0),8),""))</f>
        <v/>
      </c>
      <c r="O3407" s="67" t="n">
        <f aca="false">IF($H3407="",0,ROUND(IF($N3407="金额",N(资金流水!$P106),0),2))</f>
        <v>0</v>
      </c>
      <c r="P3407" s="64" t="str">
        <f aca="false">IF(AND($H3407&lt;&gt;"",ROUND($O3407,2)&lt;&gt;0),"有","")</f>
        <v/>
      </c>
    </row>
    <row r="3408" customFormat="false" ht="15" hidden="true" customHeight="false" outlineLevel="0" collapsed="false">
      <c r="A3408" s="53" t="str">
        <f aca="false">IF($H3408="","",ROW()-5)</f>
        <v/>
      </c>
      <c r="B3408" s="64" t="s">
        <v>37</v>
      </c>
      <c r="C3408" s="53" t="n">
        <v>107</v>
      </c>
      <c r="D3408" s="53" t="n">
        <v>1</v>
      </c>
      <c r="E3408" s="65" t="str">
        <f aca="false">IF($H3408="","",资金流水!$B107)</f>
        <v/>
      </c>
      <c r="F3408" s="55" t="str">
        <f aca="false">IF($H3408="","",资金流水!$C107)</f>
        <v/>
      </c>
      <c r="G3408" s="48" t="str">
        <f aca="false">IF($H3408="","",资金流水!$K107)</f>
        <v/>
      </c>
      <c r="H3408" s="10" t="str">
        <f aca="false">IF($L3408="","",IF($L3408="@对方",资金流水!$G107,IF($L3408="@账户",资金流水!$Q107,$L3408)))</f>
        <v/>
      </c>
      <c r="I3408" s="42" t="n">
        <f aca="false">IF($M3408="借",$O3408,0)</f>
        <v>0</v>
      </c>
      <c r="J3408" s="42" t="n">
        <f aca="false">IF($M3408="贷",$O3408,0)</f>
        <v>0</v>
      </c>
      <c r="K3408" s="48" t="str">
        <f aca="false">IF($H3408="","",资金流水!$F107)</f>
        <v/>
      </c>
      <c r="L3408" s="66" t="str">
        <f aca="false">IF(资金流水!$E107="","",IFERROR(INDEX(记账规则!$A$13:$H$32,MATCH(资金流水!$E107,记账规则!$A$13:$A$32,0),3),""))</f>
        <v/>
      </c>
      <c r="M3408" s="66" t="str">
        <f aca="false">IF($L3408="","",IFERROR(INDEX(记账规则!$A$13:$H$32,MATCH(资金流水!$E107,记账规则!$A$13:$A$32,0),4),""))</f>
        <v/>
      </c>
      <c r="N3408" s="66" t="str">
        <f aca="false">IF($L3408="","",IFERROR(INDEX(记账规则!$A$13:$H$32,MATCH(资金流水!$E107,记账规则!$A$13:$A$32,0),5),""))</f>
        <v/>
      </c>
      <c r="O3408" s="67" t="n">
        <f aca="false">IF($H3408="",0,ROUND(IF($N3408="金额",N(资金流水!$P107),0),2))</f>
        <v>0</v>
      </c>
      <c r="P3408" s="64" t="str">
        <f aca="false">IF(AND($H3408&lt;&gt;"",ROUND($O3408,2)&lt;&gt;0),"有","")</f>
        <v/>
      </c>
    </row>
    <row r="3409" customFormat="false" ht="15" hidden="true" customHeight="false" outlineLevel="0" collapsed="false">
      <c r="A3409" s="53" t="str">
        <f aca="false">IF($H3409="","",ROW()-5)</f>
        <v/>
      </c>
      <c r="B3409" s="64" t="s">
        <v>37</v>
      </c>
      <c r="C3409" s="53" t="n">
        <v>107</v>
      </c>
      <c r="D3409" s="53" t="n">
        <v>2</v>
      </c>
      <c r="E3409" s="65" t="str">
        <f aca="false">IF($H3409="","",资金流水!$B107)</f>
        <v/>
      </c>
      <c r="F3409" s="55" t="str">
        <f aca="false">IF($H3409="","",资金流水!$C107)</f>
        <v/>
      </c>
      <c r="G3409" s="48" t="str">
        <f aca="false">IF($H3409="","",资金流水!$K107)</f>
        <v/>
      </c>
      <c r="H3409" s="10" t="str">
        <f aca="false">IF($L3409="","",IF($L3409="@对方",资金流水!$G107,IF($L3409="@账户",资金流水!$Q107,$L3409)))</f>
        <v/>
      </c>
      <c r="I3409" s="42" t="n">
        <f aca="false">IF($M3409="借",$O3409,0)</f>
        <v>0</v>
      </c>
      <c r="J3409" s="42" t="n">
        <f aca="false">IF($M3409="贷",$O3409,0)</f>
        <v>0</v>
      </c>
      <c r="K3409" s="48" t="str">
        <f aca="false">IF($H3409="","",资金流水!$F107)</f>
        <v/>
      </c>
      <c r="L3409" s="66" t="str">
        <f aca="false">IF(资金流水!$E107="","",IFERROR(INDEX(记账规则!$A$13:$H$32,MATCH(资金流水!$E107,记账规则!$A$13:$A$32,0),6),""))</f>
        <v/>
      </c>
      <c r="M3409" s="66" t="str">
        <f aca="false">IF($L3409="","",IFERROR(INDEX(记账规则!$A$13:$H$32,MATCH(资金流水!$E107,记账规则!$A$13:$A$32,0),7),""))</f>
        <v/>
      </c>
      <c r="N3409" s="66" t="str">
        <f aca="false">IF($L3409="","",IFERROR(INDEX(记账规则!$A$13:$H$32,MATCH(资金流水!$E107,记账规则!$A$13:$A$32,0),8),""))</f>
        <v/>
      </c>
      <c r="O3409" s="67" t="n">
        <f aca="false">IF($H3409="",0,ROUND(IF($N3409="金额",N(资金流水!$P107),0),2))</f>
        <v>0</v>
      </c>
      <c r="P3409" s="64" t="str">
        <f aca="false">IF(AND($H3409&lt;&gt;"",ROUND($O3409,2)&lt;&gt;0),"有","")</f>
        <v/>
      </c>
    </row>
    <row r="3410" customFormat="false" ht="15" hidden="true" customHeight="false" outlineLevel="0" collapsed="false">
      <c r="A3410" s="53" t="str">
        <f aca="false">IF($H3410="","",ROW()-5)</f>
        <v/>
      </c>
      <c r="B3410" s="64" t="s">
        <v>37</v>
      </c>
      <c r="C3410" s="53" t="n">
        <v>108</v>
      </c>
      <c r="D3410" s="53" t="n">
        <v>1</v>
      </c>
      <c r="E3410" s="65" t="str">
        <f aca="false">IF($H3410="","",资金流水!$B108)</f>
        <v/>
      </c>
      <c r="F3410" s="55" t="str">
        <f aca="false">IF($H3410="","",资金流水!$C108)</f>
        <v/>
      </c>
      <c r="G3410" s="48" t="str">
        <f aca="false">IF($H3410="","",资金流水!$K108)</f>
        <v/>
      </c>
      <c r="H3410" s="10" t="str">
        <f aca="false">IF($L3410="","",IF($L3410="@对方",资金流水!$G108,IF($L3410="@账户",资金流水!$Q108,$L3410)))</f>
        <v/>
      </c>
      <c r="I3410" s="42" t="n">
        <f aca="false">IF($M3410="借",$O3410,0)</f>
        <v>0</v>
      </c>
      <c r="J3410" s="42" t="n">
        <f aca="false">IF($M3410="贷",$O3410,0)</f>
        <v>0</v>
      </c>
      <c r="K3410" s="48" t="str">
        <f aca="false">IF($H3410="","",资金流水!$F108)</f>
        <v/>
      </c>
      <c r="L3410" s="66" t="str">
        <f aca="false">IF(资金流水!$E108="","",IFERROR(INDEX(记账规则!$A$13:$H$32,MATCH(资金流水!$E108,记账规则!$A$13:$A$32,0),3),""))</f>
        <v/>
      </c>
      <c r="M3410" s="66" t="str">
        <f aca="false">IF($L3410="","",IFERROR(INDEX(记账规则!$A$13:$H$32,MATCH(资金流水!$E108,记账规则!$A$13:$A$32,0),4),""))</f>
        <v/>
      </c>
      <c r="N3410" s="66" t="str">
        <f aca="false">IF($L3410="","",IFERROR(INDEX(记账规则!$A$13:$H$32,MATCH(资金流水!$E108,记账规则!$A$13:$A$32,0),5),""))</f>
        <v/>
      </c>
      <c r="O3410" s="67" t="n">
        <f aca="false">IF($H3410="",0,ROUND(IF($N3410="金额",N(资金流水!$P108),0),2))</f>
        <v>0</v>
      </c>
      <c r="P3410" s="64" t="str">
        <f aca="false">IF(AND($H3410&lt;&gt;"",ROUND($O3410,2)&lt;&gt;0),"有","")</f>
        <v/>
      </c>
    </row>
    <row r="3411" customFormat="false" ht="15" hidden="true" customHeight="false" outlineLevel="0" collapsed="false">
      <c r="A3411" s="53" t="str">
        <f aca="false">IF($H3411="","",ROW()-5)</f>
        <v/>
      </c>
      <c r="B3411" s="64" t="s">
        <v>37</v>
      </c>
      <c r="C3411" s="53" t="n">
        <v>108</v>
      </c>
      <c r="D3411" s="53" t="n">
        <v>2</v>
      </c>
      <c r="E3411" s="65" t="str">
        <f aca="false">IF($H3411="","",资金流水!$B108)</f>
        <v/>
      </c>
      <c r="F3411" s="55" t="str">
        <f aca="false">IF($H3411="","",资金流水!$C108)</f>
        <v/>
      </c>
      <c r="G3411" s="48" t="str">
        <f aca="false">IF($H3411="","",资金流水!$K108)</f>
        <v/>
      </c>
      <c r="H3411" s="10" t="str">
        <f aca="false">IF($L3411="","",IF($L3411="@对方",资金流水!$G108,IF($L3411="@账户",资金流水!$Q108,$L3411)))</f>
        <v/>
      </c>
      <c r="I3411" s="42" t="n">
        <f aca="false">IF($M3411="借",$O3411,0)</f>
        <v>0</v>
      </c>
      <c r="J3411" s="42" t="n">
        <f aca="false">IF($M3411="贷",$O3411,0)</f>
        <v>0</v>
      </c>
      <c r="K3411" s="48" t="str">
        <f aca="false">IF($H3411="","",资金流水!$F108)</f>
        <v/>
      </c>
      <c r="L3411" s="66" t="str">
        <f aca="false">IF(资金流水!$E108="","",IFERROR(INDEX(记账规则!$A$13:$H$32,MATCH(资金流水!$E108,记账规则!$A$13:$A$32,0),6),""))</f>
        <v/>
      </c>
      <c r="M3411" s="66" t="str">
        <f aca="false">IF($L3411="","",IFERROR(INDEX(记账规则!$A$13:$H$32,MATCH(资金流水!$E108,记账规则!$A$13:$A$32,0),7),""))</f>
        <v/>
      </c>
      <c r="N3411" s="66" t="str">
        <f aca="false">IF($L3411="","",IFERROR(INDEX(记账规则!$A$13:$H$32,MATCH(资金流水!$E108,记账规则!$A$13:$A$32,0),8),""))</f>
        <v/>
      </c>
      <c r="O3411" s="67" t="n">
        <f aca="false">IF($H3411="",0,ROUND(IF($N3411="金额",N(资金流水!$P108),0),2))</f>
        <v>0</v>
      </c>
      <c r="P3411" s="64" t="str">
        <f aca="false">IF(AND($H3411&lt;&gt;"",ROUND($O3411,2)&lt;&gt;0),"有","")</f>
        <v/>
      </c>
    </row>
    <row r="3412" customFormat="false" ht="15" hidden="true" customHeight="false" outlineLevel="0" collapsed="false">
      <c r="A3412" s="53" t="str">
        <f aca="false">IF($H3412="","",ROW()-5)</f>
        <v/>
      </c>
      <c r="B3412" s="64" t="s">
        <v>37</v>
      </c>
      <c r="C3412" s="53" t="n">
        <v>109</v>
      </c>
      <c r="D3412" s="53" t="n">
        <v>1</v>
      </c>
      <c r="E3412" s="65" t="str">
        <f aca="false">IF($H3412="","",资金流水!$B109)</f>
        <v/>
      </c>
      <c r="F3412" s="55" t="str">
        <f aca="false">IF($H3412="","",资金流水!$C109)</f>
        <v/>
      </c>
      <c r="G3412" s="48" t="str">
        <f aca="false">IF($H3412="","",资金流水!$K109)</f>
        <v/>
      </c>
      <c r="H3412" s="10" t="str">
        <f aca="false">IF($L3412="","",IF($L3412="@对方",资金流水!$G109,IF($L3412="@账户",资金流水!$Q109,$L3412)))</f>
        <v/>
      </c>
      <c r="I3412" s="42" t="n">
        <f aca="false">IF($M3412="借",$O3412,0)</f>
        <v>0</v>
      </c>
      <c r="J3412" s="42" t="n">
        <f aca="false">IF($M3412="贷",$O3412,0)</f>
        <v>0</v>
      </c>
      <c r="K3412" s="48" t="str">
        <f aca="false">IF($H3412="","",资金流水!$F109)</f>
        <v/>
      </c>
      <c r="L3412" s="66" t="str">
        <f aca="false">IF(资金流水!$E109="","",IFERROR(INDEX(记账规则!$A$13:$H$32,MATCH(资金流水!$E109,记账规则!$A$13:$A$32,0),3),""))</f>
        <v/>
      </c>
      <c r="M3412" s="66" t="str">
        <f aca="false">IF($L3412="","",IFERROR(INDEX(记账规则!$A$13:$H$32,MATCH(资金流水!$E109,记账规则!$A$13:$A$32,0),4),""))</f>
        <v/>
      </c>
      <c r="N3412" s="66" t="str">
        <f aca="false">IF($L3412="","",IFERROR(INDEX(记账规则!$A$13:$H$32,MATCH(资金流水!$E109,记账规则!$A$13:$A$32,0),5),""))</f>
        <v/>
      </c>
      <c r="O3412" s="67" t="n">
        <f aca="false">IF($H3412="",0,ROUND(IF($N3412="金额",N(资金流水!$P109),0),2))</f>
        <v>0</v>
      </c>
      <c r="P3412" s="64" t="str">
        <f aca="false">IF(AND($H3412&lt;&gt;"",ROUND($O3412,2)&lt;&gt;0),"有","")</f>
        <v/>
      </c>
    </row>
    <row r="3413" customFormat="false" ht="15" hidden="true" customHeight="false" outlineLevel="0" collapsed="false">
      <c r="A3413" s="53" t="str">
        <f aca="false">IF($H3413="","",ROW()-5)</f>
        <v/>
      </c>
      <c r="B3413" s="64" t="s">
        <v>37</v>
      </c>
      <c r="C3413" s="53" t="n">
        <v>109</v>
      </c>
      <c r="D3413" s="53" t="n">
        <v>2</v>
      </c>
      <c r="E3413" s="65" t="str">
        <f aca="false">IF($H3413="","",资金流水!$B109)</f>
        <v/>
      </c>
      <c r="F3413" s="55" t="str">
        <f aca="false">IF($H3413="","",资金流水!$C109)</f>
        <v/>
      </c>
      <c r="G3413" s="48" t="str">
        <f aca="false">IF($H3413="","",资金流水!$K109)</f>
        <v/>
      </c>
      <c r="H3413" s="10" t="str">
        <f aca="false">IF($L3413="","",IF($L3413="@对方",资金流水!$G109,IF($L3413="@账户",资金流水!$Q109,$L3413)))</f>
        <v/>
      </c>
      <c r="I3413" s="42" t="n">
        <f aca="false">IF($M3413="借",$O3413,0)</f>
        <v>0</v>
      </c>
      <c r="J3413" s="42" t="n">
        <f aca="false">IF($M3413="贷",$O3413,0)</f>
        <v>0</v>
      </c>
      <c r="K3413" s="48" t="str">
        <f aca="false">IF($H3413="","",资金流水!$F109)</f>
        <v/>
      </c>
      <c r="L3413" s="66" t="str">
        <f aca="false">IF(资金流水!$E109="","",IFERROR(INDEX(记账规则!$A$13:$H$32,MATCH(资金流水!$E109,记账规则!$A$13:$A$32,0),6),""))</f>
        <v/>
      </c>
      <c r="M3413" s="66" t="str">
        <f aca="false">IF($L3413="","",IFERROR(INDEX(记账规则!$A$13:$H$32,MATCH(资金流水!$E109,记账规则!$A$13:$A$32,0),7),""))</f>
        <v/>
      </c>
      <c r="N3413" s="66" t="str">
        <f aca="false">IF($L3413="","",IFERROR(INDEX(记账规则!$A$13:$H$32,MATCH(资金流水!$E109,记账规则!$A$13:$A$32,0),8),""))</f>
        <v/>
      </c>
      <c r="O3413" s="67" t="n">
        <f aca="false">IF($H3413="",0,ROUND(IF($N3413="金额",N(资金流水!$P109),0),2))</f>
        <v>0</v>
      </c>
      <c r="P3413" s="64" t="str">
        <f aca="false">IF(AND($H3413&lt;&gt;"",ROUND($O3413,2)&lt;&gt;0),"有","")</f>
        <v/>
      </c>
    </row>
    <row r="3414" customFormat="false" ht="15" hidden="true" customHeight="false" outlineLevel="0" collapsed="false">
      <c r="A3414" s="53" t="str">
        <f aca="false">IF($H3414="","",ROW()-5)</f>
        <v/>
      </c>
      <c r="B3414" s="64" t="s">
        <v>37</v>
      </c>
      <c r="C3414" s="53" t="n">
        <v>110</v>
      </c>
      <c r="D3414" s="53" t="n">
        <v>1</v>
      </c>
      <c r="E3414" s="65" t="str">
        <f aca="false">IF($H3414="","",资金流水!$B110)</f>
        <v/>
      </c>
      <c r="F3414" s="55" t="str">
        <f aca="false">IF($H3414="","",资金流水!$C110)</f>
        <v/>
      </c>
      <c r="G3414" s="48" t="str">
        <f aca="false">IF($H3414="","",资金流水!$K110)</f>
        <v/>
      </c>
      <c r="H3414" s="10" t="str">
        <f aca="false">IF($L3414="","",IF($L3414="@对方",资金流水!$G110,IF($L3414="@账户",资金流水!$Q110,$L3414)))</f>
        <v/>
      </c>
      <c r="I3414" s="42" t="n">
        <f aca="false">IF($M3414="借",$O3414,0)</f>
        <v>0</v>
      </c>
      <c r="J3414" s="42" t="n">
        <f aca="false">IF($M3414="贷",$O3414,0)</f>
        <v>0</v>
      </c>
      <c r="K3414" s="48" t="str">
        <f aca="false">IF($H3414="","",资金流水!$F110)</f>
        <v/>
      </c>
      <c r="L3414" s="66" t="str">
        <f aca="false">IF(资金流水!$E110="","",IFERROR(INDEX(记账规则!$A$13:$H$32,MATCH(资金流水!$E110,记账规则!$A$13:$A$32,0),3),""))</f>
        <v/>
      </c>
      <c r="M3414" s="66" t="str">
        <f aca="false">IF($L3414="","",IFERROR(INDEX(记账规则!$A$13:$H$32,MATCH(资金流水!$E110,记账规则!$A$13:$A$32,0),4),""))</f>
        <v/>
      </c>
      <c r="N3414" s="66" t="str">
        <f aca="false">IF($L3414="","",IFERROR(INDEX(记账规则!$A$13:$H$32,MATCH(资金流水!$E110,记账规则!$A$13:$A$32,0),5),""))</f>
        <v/>
      </c>
      <c r="O3414" s="67" t="n">
        <f aca="false">IF($H3414="",0,ROUND(IF($N3414="金额",N(资金流水!$P110),0),2))</f>
        <v>0</v>
      </c>
      <c r="P3414" s="64" t="str">
        <f aca="false">IF(AND($H3414&lt;&gt;"",ROUND($O3414,2)&lt;&gt;0),"有","")</f>
        <v/>
      </c>
    </row>
    <row r="3415" customFormat="false" ht="15" hidden="true" customHeight="false" outlineLevel="0" collapsed="false">
      <c r="A3415" s="53" t="str">
        <f aca="false">IF($H3415="","",ROW()-5)</f>
        <v/>
      </c>
      <c r="B3415" s="64" t="s">
        <v>37</v>
      </c>
      <c r="C3415" s="53" t="n">
        <v>110</v>
      </c>
      <c r="D3415" s="53" t="n">
        <v>2</v>
      </c>
      <c r="E3415" s="65" t="str">
        <f aca="false">IF($H3415="","",资金流水!$B110)</f>
        <v/>
      </c>
      <c r="F3415" s="55" t="str">
        <f aca="false">IF($H3415="","",资金流水!$C110)</f>
        <v/>
      </c>
      <c r="G3415" s="48" t="str">
        <f aca="false">IF($H3415="","",资金流水!$K110)</f>
        <v/>
      </c>
      <c r="H3415" s="10" t="str">
        <f aca="false">IF($L3415="","",IF($L3415="@对方",资金流水!$G110,IF($L3415="@账户",资金流水!$Q110,$L3415)))</f>
        <v/>
      </c>
      <c r="I3415" s="42" t="n">
        <f aca="false">IF($M3415="借",$O3415,0)</f>
        <v>0</v>
      </c>
      <c r="J3415" s="42" t="n">
        <f aca="false">IF($M3415="贷",$O3415,0)</f>
        <v>0</v>
      </c>
      <c r="K3415" s="48" t="str">
        <f aca="false">IF($H3415="","",资金流水!$F110)</f>
        <v/>
      </c>
      <c r="L3415" s="66" t="str">
        <f aca="false">IF(资金流水!$E110="","",IFERROR(INDEX(记账规则!$A$13:$H$32,MATCH(资金流水!$E110,记账规则!$A$13:$A$32,0),6),""))</f>
        <v/>
      </c>
      <c r="M3415" s="66" t="str">
        <f aca="false">IF($L3415="","",IFERROR(INDEX(记账规则!$A$13:$H$32,MATCH(资金流水!$E110,记账规则!$A$13:$A$32,0),7),""))</f>
        <v/>
      </c>
      <c r="N3415" s="66" t="str">
        <f aca="false">IF($L3415="","",IFERROR(INDEX(记账规则!$A$13:$H$32,MATCH(资金流水!$E110,记账规则!$A$13:$A$32,0),8),""))</f>
        <v/>
      </c>
      <c r="O3415" s="67" t="n">
        <f aca="false">IF($H3415="",0,ROUND(IF($N3415="金额",N(资金流水!$P110),0),2))</f>
        <v>0</v>
      </c>
      <c r="P3415" s="64" t="str">
        <f aca="false">IF(AND($H3415&lt;&gt;"",ROUND($O3415,2)&lt;&gt;0),"有","")</f>
        <v/>
      </c>
    </row>
    <row r="3416" customFormat="false" ht="15" hidden="true" customHeight="false" outlineLevel="0" collapsed="false">
      <c r="A3416" s="53" t="str">
        <f aca="false">IF($H3416="","",ROW()-5)</f>
        <v/>
      </c>
      <c r="B3416" s="64" t="s">
        <v>37</v>
      </c>
      <c r="C3416" s="53" t="n">
        <v>111</v>
      </c>
      <c r="D3416" s="53" t="n">
        <v>1</v>
      </c>
      <c r="E3416" s="65" t="str">
        <f aca="false">IF($H3416="","",资金流水!$B111)</f>
        <v/>
      </c>
      <c r="F3416" s="55" t="str">
        <f aca="false">IF($H3416="","",资金流水!$C111)</f>
        <v/>
      </c>
      <c r="G3416" s="48" t="str">
        <f aca="false">IF($H3416="","",资金流水!$K111)</f>
        <v/>
      </c>
      <c r="H3416" s="10" t="str">
        <f aca="false">IF($L3416="","",IF($L3416="@对方",资金流水!$G111,IF($L3416="@账户",资金流水!$Q111,$L3416)))</f>
        <v/>
      </c>
      <c r="I3416" s="42" t="n">
        <f aca="false">IF($M3416="借",$O3416,0)</f>
        <v>0</v>
      </c>
      <c r="J3416" s="42" t="n">
        <f aca="false">IF($M3416="贷",$O3416,0)</f>
        <v>0</v>
      </c>
      <c r="K3416" s="48" t="str">
        <f aca="false">IF($H3416="","",资金流水!$F111)</f>
        <v/>
      </c>
      <c r="L3416" s="66" t="str">
        <f aca="false">IF(资金流水!$E111="","",IFERROR(INDEX(记账规则!$A$13:$H$32,MATCH(资金流水!$E111,记账规则!$A$13:$A$32,0),3),""))</f>
        <v/>
      </c>
      <c r="M3416" s="66" t="str">
        <f aca="false">IF($L3416="","",IFERROR(INDEX(记账规则!$A$13:$H$32,MATCH(资金流水!$E111,记账规则!$A$13:$A$32,0),4),""))</f>
        <v/>
      </c>
      <c r="N3416" s="66" t="str">
        <f aca="false">IF($L3416="","",IFERROR(INDEX(记账规则!$A$13:$H$32,MATCH(资金流水!$E111,记账规则!$A$13:$A$32,0),5),""))</f>
        <v/>
      </c>
      <c r="O3416" s="67" t="n">
        <f aca="false">IF($H3416="",0,ROUND(IF($N3416="金额",N(资金流水!$P111),0),2))</f>
        <v>0</v>
      </c>
      <c r="P3416" s="64" t="str">
        <f aca="false">IF(AND($H3416&lt;&gt;"",ROUND($O3416,2)&lt;&gt;0),"有","")</f>
        <v/>
      </c>
    </row>
    <row r="3417" customFormat="false" ht="15" hidden="true" customHeight="false" outlineLevel="0" collapsed="false">
      <c r="A3417" s="53" t="str">
        <f aca="false">IF($H3417="","",ROW()-5)</f>
        <v/>
      </c>
      <c r="B3417" s="64" t="s">
        <v>37</v>
      </c>
      <c r="C3417" s="53" t="n">
        <v>111</v>
      </c>
      <c r="D3417" s="53" t="n">
        <v>2</v>
      </c>
      <c r="E3417" s="65" t="str">
        <f aca="false">IF($H3417="","",资金流水!$B111)</f>
        <v/>
      </c>
      <c r="F3417" s="55" t="str">
        <f aca="false">IF($H3417="","",资金流水!$C111)</f>
        <v/>
      </c>
      <c r="G3417" s="48" t="str">
        <f aca="false">IF($H3417="","",资金流水!$K111)</f>
        <v/>
      </c>
      <c r="H3417" s="10" t="str">
        <f aca="false">IF($L3417="","",IF($L3417="@对方",资金流水!$G111,IF($L3417="@账户",资金流水!$Q111,$L3417)))</f>
        <v/>
      </c>
      <c r="I3417" s="42" t="n">
        <f aca="false">IF($M3417="借",$O3417,0)</f>
        <v>0</v>
      </c>
      <c r="J3417" s="42" t="n">
        <f aca="false">IF($M3417="贷",$O3417,0)</f>
        <v>0</v>
      </c>
      <c r="K3417" s="48" t="str">
        <f aca="false">IF($H3417="","",资金流水!$F111)</f>
        <v/>
      </c>
      <c r="L3417" s="66" t="str">
        <f aca="false">IF(资金流水!$E111="","",IFERROR(INDEX(记账规则!$A$13:$H$32,MATCH(资金流水!$E111,记账规则!$A$13:$A$32,0),6),""))</f>
        <v/>
      </c>
      <c r="M3417" s="66" t="str">
        <f aca="false">IF($L3417="","",IFERROR(INDEX(记账规则!$A$13:$H$32,MATCH(资金流水!$E111,记账规则!$A$13:$A$32,0),7),""))</f>
        <v/>
      </c>
      <c r="N3417" s="66" t="str">
        <f aca="false">IF($L3417="","",IFERROR(INDEX(记账规则!$A$13:$H$32,MATCH(资金流水!$E111,记账规则!$A$13:$A$32,0),8),""))</f>
        <v/>
      </c>
      <c r="O3417" s="67" t="n">
        <f aca="false">IF($H3417="",0,ROUND(IF($N3417="金额",N(资金流水!$P111),0),2))</f>
        <v>0</v>
      </c>
      <c r="P3417" s="64" t="str">
        <f aca="false">IF(AND($H3417&lt;&gt;"",ROUND($O3417,2)&lt;&gt;0),"有","")</f>
        <v/>
      </c>
    </row>
    <row r="3418" customFormat="false" ht="15" hidden="true" customHeight="false" outlineLevel="0" collapsed="false">
      <c r="A3418" s="53" t="str">
        <f aca="false">IF($H3418="","",ROW()-5)</f>
        <v/>
      </c>
      <c r="B3418" s="64" t="s">
        <v>37</v>
      </c>
      <c r="C3418" s="53" t="n">
        <v>112</v>
      </c>
      <c r="D3418" s="53" t="n">
        <v>1</v>
      </c>
      <c r="E3418" s="65" t="str">
        <f aca="false">IF($H3418="","",资金流水!$B112)</f>
        <v/>
      </c>
      <c r="F3418" s="55" t="str">
        <f aca="false">IF($H3418="","",资金流水!$C112)</f>
        <v/>
      </c>
      <c r="G3418" s="48" t="str">
        <f aca="false">IF($H3418="","",资金流水!$K112)</f>
        <v/>
      </c>
      <c r="H3418" s="10" t="str">
        <f aca="false">IF($L3418="","",IF($L3418="@对方",资金流水!$G112,IF($L3418="@账户",资金流水!$Q112,$L3418)))</f>
        <v/>
      </c>
      <c r="I3418" s="42" t="n">
        <f aca="false">IF($M3418="借",$O3418,0)</f>
        <v>0</v>
      </c>
      <c r="J3418" s="42" t="n">
        <f aca="false">IF($M3418="贷",$O3418,0)</f>
        <v>0</v>
      </c>
      <c r="K3418" s="48" t="str">
        <f aca="false">IF($H3418="","",资金流水!$F112)</f>
        <v/>
      </c>
      <c r="L3418" s="66" t="str">
        <f aca="false">IF(资金流水!$E112="","",IFERROR(INDEX(记账规则!$A$13:$H$32,MATCH(资金流水!$E112,记账规则!$A$13:$A$32,0),3),""))</f>
        <v/>
      </c>
      <c r="M3418" s="66" t="str">
        <f aca="false">IF($L3418="","",IFERROR(INDEX(记账规则!$A$13:$H$32,MATCH(资金流水!$E112,记账规则!$A$13:$A$32,0),4),""))</f>
        <v/>
      </c>
      <c r="N3418" s="66" t="str">
        <f aca="false">IF($L3418="","",IFERROR(INDEX(记账规则!$A$13:$H$32,MATCH(资金流水!$E112,记账规则!$A$13:$A$32,0),5),""))</f>
        <v/>
      </c>
      <c r="O3418" s="67" t="n">
        <f aca="false">IF($H3418="",0,ROUND(IF($N3418="金额",N(资金流水!$P112),0),2))</f>
        <v>0</v>
      </c>
      <c r="P3418" s="64" t="str">
        <f aca="false">IF(AND($H3418&lt;&gt;"",ROUND($O3418,2)&lt;&gt;0),"有","")</f>
        <v/>
      </c>
    </row>
    <row r="3419" customFormat="false" ht="15" hidden="true" customHeight="false" outlineLevel="0" collapsed="false">
      <c r="A3419" s="53" t="str">
        <f aca="false">IF($H3419="","",ROW()-5)</f>
        <v/>
      </c>
      <c r="B3419" s="64" t="s">
        <v>37</v>
      </c>
      <c r="C3419" s="53" t="n">
        <v>112</v>
      </c>
      <c r="D3419" s="53" t="n">
        <v>2</v>
      </c>
      <c r="E3419" s="65" t="str">
        <f aca="false">IF($H3419="","",资金流水!$B112)</f>
        <v/>
      </c>
      <c r="F3419" s="55" t="str">
        <f aca="false">IF($H3419="","",资金流水!$C112)</f>
        <v/>
      </c>
      <c r="G3419" s="48" t="str">
        <f aca="false">IF($H3419="","",资金流水!$K112)</f>
        <v/>
      </c>
      <c r="H3419" s="10" t="str">
        <f aca="false">IF($L3419="","",IF($L3419="@对方",资金流水!$G112,IF($L3419="@账户",资金流水!$Q112,$L3419)))</f>
        <v/>
      </c>
      <c r="I3419" s="42" t="n">
        <f aca="false">IF($M3419="借",$O3419,0)</f>
        <v>0</v>
      </c>
      <c r="J3419" s="42" t="n">
        <f aca="false">IF($M3419="贷",$O3419,0)</f>
        <v>0</v>
      </c>
      <c r="K3419" s="48" t="str">
        <f aca="false">IF($H3419="","",资金流水!$F112)</f>
        <v/>
      </c>
      <c r="L3419" s="66" t="str">
        <f aca="false">IF(资金流水!$E112="","",IFERROR(INDEX(记账规则!$A$13:$H$32,MATCH(资金流水!$E112,记账规则!$A$13:$A$32,0),6),""))</f>
        <v/>
      </c>
      <c r="M3419" s="66" t="str">
        <f aca="false">IF($L3419="","",IFERROR(INDEX(记账规则!$A$13:$H$32,MATCH(资金流水!$E112,记账规则!$A$13:$A$32,0),7),""))</f>
        <v/>
      </c>
      <c r="N3419" s="66" t="str">
        <f aca="false">IF($L3419="","",IFERROR(INDEX(记账规则!$A$13:$H$32,MATCH(资金流水!$E112,记账规则!$A$13:$A$32,0),8),""))</f>
        <v/>
      </c>
      <c r="O3419" s="67" t="n">
        <f aca="false">IF($H3419="",0,ROUND(IF($N3419="金额",N(资金流水!$P112),0),2))</f>
        <v>0</v>
      </c>
      <c r="P3419" s="64" t="str">
        <f aca="false">IF(AND($H3419&lt;&gt;"",ROUND($O3419,2)&lt;&gt;0),"有","")</f>
        <v/>
      </c>
    </row>
    <row r="3420" customFormat="false" ht="15" hidden="true" customHeight="false" outlineLevel="0" collapsed="false">
      <c r="A3420" s="53" t="str">
        <f aca="false">IF($H3420="","",ROW()-5)</f>
        <v/>
      </c>
      <c r="B3420" s="64" t="s">
        <v>37</v>
      </c>
      <c r="C3420" s="53" t="n">
        <v>113</v>
      </c>
      <c r="D3420" s="53" t="n">
        <v>1</v>
      </c>
      <c r="E3420" s="65" t="str">
        <f aca="false">IF($H3420="","",资金流水!$B113)</f>
        <v/>
      </c>
      <c r="F3420" s="55" t="str">
        <f aca="false">IF($H3420="","",资金流水!$C113)</f>
        <v/>
      </c>
      <c r="G3420" s="48" t="str">
        <f aca="false">IF($H3420="","",资金流水!$K113)</f>
        <v/>
      </c>
      <c r="H3420" s="10" t="str">
        <f aca="false">IF($L3420="","",IF($L3420="@对方",资金流水!$G113,IF($L3420="@账户",资金流水!$Q113,$L3420)))</f>
        <v/>
      </c>
      <c r="I3420" s="42" t="n">
        <f aca="false">IF($M3420="借",$O3420,0)</f>
        <v>0</v>
      </c>
      <c r="J3420" s="42" t="n">
        <f aca="false">IF($M3420="贷",$O3420,0)</f>
        <v>0</v>
      </c>
      <c r="K3420" s="48" t="str">
        <f aca="false">IF($H3420="","",资金流水!$F113)</f>
        <v/>
      </c>
      <c r="L3420" s="66" t="str">
        <f aca="false">IF(资金流水!$E113="","",IFERROR(INDEX(记账规则!$A$13:$H$32,MATCH(资金流水!$E113,记账规则!$A$13:$A$32,0),3),""))</f>
        <v/>
      </c>
      <c r="M3420" s="66" t="str">
        <f aca="false">IF($L3420="","",IFERROR(INDEX(记账规则!$A$13:$H$32,MATCH(资金流水!$E113,记账规则!$A$13:$A$32,0),4),""))</f>
        <v/>
      </c>
      <c r="N3420" s="66" t="str">
        <f aca="false">IF($L3420="","",IFERROR(INDEX(记账规则!$A$13:$H$32,MATCH(资金流水!$E113,记账规则!$A$13:$A$32,0),5),""))</f>
        <v/>
      </c>
      <c r="O3420" s="67" t="n">
        <f aca="false">IF($H3420="",0,ROUND(IF($N3420="金额",N(资金流水!$P113),0),2))</f>
        <v>0</v>
      </c>
      <c r="P3420" s="64" t="str">
        <f aca="false">IF(AND($H3420&lt;&gt;"",ROUND($O3420,2)&lt;&gt;0),"有","")</f>
        <v/>
      </c>
    </row>
    <row r="3421" customFormat="false" ht="15" hidden="true" customHeight="false" outlineLevel="0" collapsed="false">
      <c r="A3421" s="53" t="str">
        <f aca="false">IF($H3421="","",ROW()-5)</f>
        <v/>
      </c>
      <c r="B3421" s="64" t="s">
        <v>37</v>
      </c>
      <c r="C3421" s="53" t="n">
        <v>113</v>
      </c>
      <c r="D3421" s="53" t="n">
        <v>2</v>
      </c>
      <c r="E3421" s="65" t="str">
        <f aca="false">IF($H3421="","",资金流水!$B113)</f>
        <v/>
      </c>
      <c r="F3421" s="55" t="str">
        <f aca="false">IF($H3421="","",资金流水!$C113)</f>
        <v/>
      </c>
      <c r="G3421" s="48" t="str">
        <f aca="false">IF($H3421="","",资金流水!$K113)</f>
        <v/>
      </c>
      <c r="H3421" s="10" t="str">
        <f aca="false">IF($L3421="","",IF($L3421="@对方",资金流水!$G113,IF($L3421="@账户",资金流水!$Q113,$L3421)))</f>
        <v/>
      </c>
      <c r="I3421" s="42" t="n">
        <f aca="false">IF($M3421="借",$O3421,0)</f>
        <v>0</v>
      </c>
      <c r="J3421" s="42" t="n">
        <f aca="false">IF($M3421="贷",$O3421,0)</f>
        <v>0</v>
      </c>
      <c r="K3421" s="48" t="str">
        <f aca="false">IF($H3421="","",资金流水!$F113)</f>
        <v/>
      </c>
      <c r="L3421" s="66" t="str">
        <f aca="false">IF(资金流水!$E113="","",IFERROR(INDEX(记账规则!$A$13:$H$32,MATCH(资金流水!$E113,记账规则!$A$13:$A$32,0),6),""))</f>
        <v/>
      </c>
      <c r="M3421" s="66" t="str">
        <f aca="false">IF($L3421="","",IFERROR(INDEX(记账规则!$A$13:$H$32,MATCH(资金流水!$E113,记账规则!$A$13:$A$32,0),7),""))</f>
        <v/>
      </c>
      <c r="N3421" s="66" t="str">
        <f aca="false">IF($L3421="","",IFERROR(INDEX(记账规则!$A$13:$H$32,MATCH(资金流水!$E113,记账规则!$A$13:$A$32,0),8),""))</f>
        <v/>
      </c>
      <c r="O3421" s="67" t="n">
        <f aca="false">IF($H3421="",0,ROUND(IF($N3421="金额",N(资金流水!$P113),0),2))</f>
        <v>0</v>
      </c>
      <c r="P3421" s="64" t="str">
        <f aca="false">IF(AND($H3421&lt;&gt;"",ROUND($O3421,2)&lt;&gt;0),"有","")</f>
        <v/>
      </c>
    </row>
    <row r="3422" customFormat="false" ht="15" hidden="true" customHeight="false" outlineLevel="0" collapsed="false">
      <c r="A3422" s="53" t="str">
        <f aca="false">IF($H3422="","",ROW()-5)</f>
        <v/>
      </c>
      <c r="B3422" s="64" t="s">
        <v>37</v>
      </c>
      <c r="C3422" s="53" t="n">
        <v>114</v>
      </c>
      <c r="D3422" s="53" t="n">
        <v>1</v>
      </c>
      <c r="E3422" s="65" t="str">
        <f aca="false">IF($H3422="","",资金流水!$B114)</f>
        <v/>
      </c>
      <c r="F3422" s="55" t="str">
        <f aca="false">IF($H3422="","",资金流水!$C114)</f>
        <v/>
      </c>
      <c r="G3422" s="48" t="str">
        <f aca="false">IF($H3422="","",资金流水!$K114)</f>
        <v/>
      </c>
      <c r="H3422" s="10" t="str">
        <f aca="false">IF($L3422="","",IF($L3422="@对方",资金流水!$G114,IF($L3422="@账户",资金流水!$Q114,$L3422)))</f>
        <v/>
      </c>
      <c r="I3422" s="42" t="n">
        <f aca="false">IF($M3422="借",$O3422,0)</f>
        <v>0</v>
      </c>
      <c r="J3422" s="42" t="n">
        <f aca="false">IF($M3422="贷",$O3422,0)</f>
        <v>0</v>
      </c>
      <c r="K3422" s="48" t="str">
        <f aca="false">IF($H3422="","",资金流水!$F114)</f>
        <v/>
      </c>
      <c r="L3422" s="66" t="str">
        <f aca="false">IF(资金流水!$E114="","",IFERROR(INDEX(记账规则!$A$13:$H$32,MATCH(资金流水!$E114,记账规则!$A$13:$A$32,0),3),""))</f>
        <v/>
      </c>
      <c r="M3422" s="66" t="str">
        <f aca="false">IF($L3422="","",IFERROR(INDEX(记账规则!$A$13:$H$32,MATCH(资金流水!$E114,记账规则!$A$13:$A$32,0),4),""))</f>
        <v/>
      </c>
      <c r="N3422" s="66" t="str">
        <f aca="false">IF($L3422="","",IFERROR(INDEX(记账规则!$A$13:$H$32,MATCH(资金流水!$E114,记账规则!$A$13:$A$32,0),5),""))</f>
        <v/>
      </c>
      <c r="O3422" s="67" t="n">
        <f aca="false">IF($H3422="",0,ROUND(IF($N3422="金额",N(资金流水!$P114),0),2))</f>
        <v>0</v>
      </c>
      <c r="P3422" s="64" t="str">
        <f aca="false">IF(AND($H3422&lt;&gt;"",ROUND($O3422,2)&lt;&gt;0),"有","")</f>
        <v/>
      </c>
    </row>
    <row r="3423" customFormat="false" ht="15" hidden="true" customHeight="false" outlineLevel="0" collapsed="false">
      <c r="A3423" s="53" t="str">
        <f aca="false">IF($H3423="","",ROW()-5)</f>
        <v/>
      </c>
      <c r="B3423" s="64" t="s">
        <v>37</v>
      </c>
      <c r="C3423" s="53" t="n">
        <v>114</v>
      </c>
      <c r="D3423" s="53" t="n">
        <v>2</v>
      </c>
      <c r="E3423" s="65" t="str">
        <f aca="false">IF($H3423="","",资金流水!$B114)</f>
        <v/>
      </c>
      <c r="F3423" s="55" t="str">
        <f aca="false">IF($H3423="","",资金流水!$C114)</f>
        <v/>
      </c>
      <c r="G3423" s="48" t="str">
        <f aca="false">IF($H3423="","",资金流水!$K114)</f>
        <v/>
      </c>
      <c r="H3423" s="10" t="str">
        <f aca="false">IF($L3423="","",IF($L3423="@对方",资金流水!$G114,IF($L3423="@账户",资金流水!$Q114,$L3423)))</f>
        <v/>
      </c>
      <c r="I3423" s="42" t="n">
        <f aca="false">IF($M3423="借",$O3423,0)</f>
        <v>0</v>
      </c>
      <c r="J3423" s="42" t="n">
        <f aca="false">IF($M3423="贷",$O3423,0)</f>
        <v>0</v>
      </c>
      <c r="K3423" s="48" t="str">
        <f aca="false">IF($H3423="","",资金流水!$F114)</f>
        <v/>
      </c>
      <c r="L3423" s="66" t="str">
        <f aca="false">IF(资金流水!$E114="","",IFERROR(INDEX(记账规则!$A$13:$H$32,MATCH(资金流水!$E114,记账规则!$A$13:$A$32,0),6),""))</f>
        <v/>
      </c>
      <c r="M3423" s="66" t="str">
        <f aca="false">IF($L3423="","",IFERROR(INDEX(记账规则!$A$13:$H$32,MATCH(资金流水!$E114,记账规则!$A$13:$A$32,0),7),""))</f>
        <v/>
      </c>
      <c r="N3423" s="66" t="str">
        <f aca="false">IF($L3423="","",IFERROR(INDEX(记账规则!$A$13:$H$32,MATCH(资金流水!$E114,记账规则!$A$13:$A$32,0),8),""))</f>
        <v/>
      </c>
      <c r="O3423" s="67" t="n">
        <f aca="false">IF($H3423="",0,ROUND(IF($N3423="金额",N(资金流水!$P114),0),2))</f>
        <v>0</v>
      </c>
      <c r="P3423" s="64" t="str">
        <f aca="false">IF(AND($H3423&lt;&gt;"",ROUND($O3423,2)&lt;&gt;0),"有","")</f>
        <v/>
      </c>
    </row>
    <row r="3424" customFormat="false" ht="15" hidden="true" customHeight="false" outlineLevel="0" collapsed="false">
      <c r="A3424" s="53" t="str">
        <f aca="false">IF($H3424="","",ROW()-5)</f>
        <v/>
      </c>
      <c r="B3424" s="64" t="s">
        <v>37</v>
      </c>
      <c r="C3424" s="53" t="n">
        <v>115</v>
      </c>
      <c r="D3424" s="53" t="n">
        <v>1</v>
      </c>
      <c r="E3424" s="65" t="str">
        <f aca="false">IF($H3424="","",资金流水!$B115)</f>
        <v/>
      </c>
      <c r="F3424" s="55" t="str">
        <f aca="false">IF($H3424="","",资金流水!$C115)</f>
        <v/>
      </c>
      <c r="G3424" s="48" t="str">
        <f aca="false">IF($H3424="","",资金流水!$K115)</f>
        <v/>
      </c>
      <c r="H3424" s="10" t="str">
        <f aca="false">IF($L3424="","",IF($L3424="@对方",资金流水!$G115,IF($L3424="@账户",资金流水!$Q115,$L3424)))</f>
        <v/>
      </c>
      <c r="I3424" s="42" t="n">
        <f aca="false">IF($M3424="借",$O3424,0)</f>
        <v>0</v>
      </c>
      <c r="J3424" s="42" t="n">
        <f aca="false">IF($M3424="贷",$O3424,0)</f>
        <v>0</v>
      </c>
      <c r="K3424" s="48" t="str">
        <f aca="false">IF($H3424="","",资金流水!$F115)</f>
        <v/>
      </c>
      <c r="L3424" s="66" t="str">
        <f aca="false">IF(资金流水!$E115="","",IFERROR(INDEX(记账规则!$A$13:$H$32,MATCH(资金流水!$E115,记账规则!$A$13:$A$32,0),3),""))</f>
        <v/>
      </c>
      <c r="M3424" s="66" t="str">
        <f aca="false">IF($L3424="","",IFERROR(INDEX(记账规则!$A$13:$H$32,MATCH(资金流水!$E115,记账规则!$A$13:$A$32,0),4),""))</f>
        <v/>
      </c>
      <c r="N3424" s="66" t="str">
        <f aca="false">IF($L3424="","",IFERROR(INDEX(记账规则!$A$13:$H$32,MATCH(资金流水!$E115,记账规则!$A$13:$A$32,0),5),""))</f>
        <v/>
      </c>
      <c r="O3424" s="67" t="n">
        <f aca="false">IF($H3424="",0,ROUND(IF($N3424="金额",N(资金流水!$P115),0),2))</f>
        <v>0</v>
      </c>
      <c r="P3424" s="64" t="str">
        <f aca="false">IF(AND($H3424&lt;&gt;"",ROUND($O3424,2)&lt;&gt;0),"有","")</f>
        <v/>
      </c>
    </row>
    <row r="3425" customFormat="false" ht="15" hidden="true" customHeight="false" outlineLevel="0" collapsed="false">
      <c r="A3425" s="53" t="str">
        <f aca="false">IF($H3425="","",ROW()-5)</f>
        <v/>
      </c>
      <c r="B3425" s="64" t="s">
        <v>37</v>
      </c>
      <c r="C3425" s="53" t="n">
        <v>115</v>
      </c>
      <c r="D3425" s="53" t="n">
        <v>2</v>
      </c>
      <c r="E3425" s="65" t="str">
        <f aca="false">IF($H3425="","",资金流水!$B115)</f>
        <v/>
      </c>
      <c r="F3425" s="55" t="str">
        <f aca="false">IF($H3425="","",资金流水!$C115)</f>
        <v/>
      </c>
      <c r="G3425" s="48" t="str">
        <f aca="false">IF($H3425="","",资金流水!$K115)</f>
        <v/>
      </c>
      <c r="H3425" s="10" t="str">
        <f aca="false">IF($L3425="","",IF($L3425="@对方",资金流水!$G115,IF($L3425="@账户",资金流水!$Q115,$L3425)))</f>
        <v/>
      </c>
      <c r="I3425" s="42" t="n">
        <f aca="false">IF($M3425="借",$O3425,0)</f>
        <v>0</v>
      </c>
      <c r="J3425" s="42" t="n">
        <f aca="false">IF($M3425="贷",$O3425,0)</f>
        <v>0</v>
      </c>
      <c r="K3425" s="48" t="str">
        <f aca="false">IF($H3425="","",资金流水!$F115)</f>
        <v/>
      </c>
      <c r="L3425" s="66" t="str">
        <f aca="false">IF(资金流水!$E115="","",IFERROR(INDEX(记账规则!$A$13:$H$32,MATCH(资金流水!$E115,记账规则!$A$13:$A$32,0),6),""))</f>
        <v/>
      </c>
      <c r="M3425" s="66" t="str">
        <f aca="false">IF($L3425="","",IFERROR(INDEX(记账规则!$A$13:$H$32,MATCH(资金流水!$E115,记账规则!$A$13:$A$32,0),7),""))</f>
        <v/>
      </c>
      <c r="N3425" s="66" t="str">
        <f aca="false">IF($L3425="","",IFERROR(INDEX(记账规则!$A$13:$H$32,MATCH(资金流水!$E115,记账规则!$A$13:$A$32,0),8),""))</f>
        <v/>
      </c>
      <c r="O3425" s="67" t="n">
        <f aca="false">IF($H3425="",0,ROUND(IF($N3425="金额",N(资金流水!$P115),0),2))</f>
        <v>0</v>
      </c>
      <c r="P3425" s="64" t="str">
        <f aca="false">IF(AND($H3425&lt;&gt;"",ROUND($O3425,2)&lt;&gt;0),"有","")</f>
        <v/>
      </c>
    </row>
    <row r="3426" customFormat="false" ht="15" hidden="true" customHeight="false" outlineLevel="0" collapsed="false">
      <c r="A3426" s="53" t="str">
        <f aca="false">IF($H3426="","",ROW()-5)</f>
        <v/>
      </c>
      <c r="B3426" s="64" t="s">
        <v>37</v>
      </c>
      <c r="C3426" s="53" t="n">
        <v>116</v>
      </c>
      <c r="D3426" s="53" t="n">
        <v>1</v>
      </c>
      <c r="E3426" s="65" t="str">
        <f aca="false">IF($H3426="","",资金流水!$B116)</f>
        <v/>
      </c>
      <c r="F3426" s="55" t="str">
        <f aca="false">IF($H3426="","",资金流水!$C116)</f>
        <v/>
      </c>
      <c r="G3426" s="48" t="str">
        <f aca="false">IF($H3426="","",资金流水!$K116)</f>
        <v/>
      </c>
      <c r="H3426" s="10" t="str">
        <f aca="false">IF($L3426="","",IF($L3426="@对方",资金流水!$G116,IF($L3426="@账户",资金流水!$Q116,$L3426)))</f>
        <v/>
      </c>
      <c r="I3426" s="42" t="n">
        <f aca="false">IF($M3426="借",$O3426,0)</f>
        <v>0</v>
      </c>
      <c r="J3426" s="42" t="n">
        <f aca="false">IF($M3426="贷",$O3426,0)</f>
        <v>0</v>
      </c>
      <c r="K3426" s="48" t="str">
        <f aca="false">IF($H3426="","",资金流水!$F116)</f>
        <v/>
      </c>
      <c r="L3426" s="66" t="str">
        <f aca="false">IF(资金流水!$E116="","",IFERROR(INDEX(记账规则!$A$13:$H$32,MATCH(资金流水!$E116,记账规则!$A$13:$A$32,0),3),""))</f>
        <v/>
      </c>
      <c r="M3426" s="66" t="str">
        <f aca="false">IF($L3426="","",IFERROR(INDEX(记账规则!$A$13:$H$32,MATCH(资金流水!$E116,记账规则!$A$13:$A$32,0),4),""))</f>
        <v/>
      </c>
      <c r="N3426" s="66" t="str">
        <f aca="false">IF($L3426="","",IFERROR(INDEX(记账规则!$A$13:$H$32,MATCH(资金流水!$E116,记账规则!$A$13:$A$32,0),5),""))</f>
        <v/>
      </c>
      <c r="O3426" s="67" t="n">
        <f aca="false">IF($H3426="",0,ROUND(IF($N3426="金额",N(资金流水!$P116),0),2))</f>
        <v>0</v>
      </c>
      <c r="P3426" s="64" t="str">
        <f aca="false">IF(AND($H3426&lt;&gt;"",ROUND($O3426,2)&lt;&gt;0),"有","")</f>
        <v/>
      </c>
    </row>
    <row r="3427" customFormat="false" ht="15" hidden="true" customHeight="false" outlineLevel="0" collapsed="false">
      <c r="A3427" s="53" t="str">
        <f aca="false">IF($H3427="","",ROW()-5)</f>
        <v/>
      </c>
      <c r="B3427" s="64" t="s">
        <v>37</v>
      </c>
      <c r="C3427" s="53" t="n">
        <v>116</v>
      </c>
      <c r="D3427" s="53" t="n">
        <v>2</v>
      </c>
      <c r="E3427" s="65" t="str">
        <f aca="false">IF($H3427="","",资金流水!$B116)</f>
        <v/>
      </c>
      <c r="F3427" s="55" t="str">
        <f aca="false">IF($H3427="","",资金流水!$C116)</f>
        <v/>
      </c>
      <c r="G3427" s="48" t="str">
        <f aca="false">IF($H3427="","",资金流水!$K116)</f>
        <v/>
      </c>
      <c r="H3427" s="10" t="str">
        <f aca="false">IF($L3427="","",IF($L3427="@对方",资金流水!$G116,IF($L3427="@账户",资金流水!$Q116,$L3427)))</f>
        <v/>
      </c>
      <c r="I3427" s="42" t="n">
        <f aca="false">IF($M3427="借",$O3427,0)</f>
        <v>0</v>
      </c>
      <c r="J3427" s="42" t="n">
        <f aca="false">IF($M3427="贷",$O3427,0)</f>
        <v>0</v>
      </c>
      <c r="K3427" s="48" t="str">
        <f aca="false">IF($H3427="","",资金流水!$F116)</f>
        <v/>
      </c>
      <c r="L3427" s="66" t="str">
        <f aca="false">IF(资金流水!$E116="","",IFERROR(INDEX(记账规则!$A$13:$H$32,MATCH(资金流水!$E116,记账规则!$A$13:$A$32,0),6),""))</f>
        <v/>
      </c>
      <c r="M3427" s="66" t="str">
        <f aca="false">IF($L3427="","",IFERROR(INDEX(记账规则!$A$13:$H$32,MATCH(资金流水!$E116,记账规则!$A$13:$A$32,0),7),""))</f>
        <v/>
      </c>
      <c r="N3427" s="66" t="str">
        <f aca="false">IF($L3427="","",IFERROR(INDEX(记账规则!$A$13:$H$32,MATCH(资金流水!$E116,记账规则!$A$13:$A$32,0),8),""))</f>
        <v/>
      </c>
      <c r="O3427" s="67" t="n">
        <f aca="false">IF($H3427="",0,ROUND(IF($N3427="金额",N(资金流水!$P116),0),2))</f>
        <v>0</v>
      </c>
      <c r="P3427" s="64" t="str">
        <f aca="false">IF(AND($H3427&lt;&gt;"",ROUND($O3427,2)&lt;&gt;0),"有","")</f>
        <v/>
      </c>
    </row>
    <row r="3428" customFormat="false" ht="15" hidden="true" customHeight="false" outlineLevel="0" collapsed="false">
      <c r="A3428" s="53" t="str">
        <f aca="false">IF($H3428="","",ROW()-5)</f>
        <v/>
      </c>
      <c r="B3428" s="64" t="s">
        <v>37</v>
      </c>
      <c r="C3428" s="53" t="n">
        <v>117</v>
      </c>
      <c r="D3428" s="53" t="n">
        <v>1</v>
      </c>
      <c r="E3428" s="65" t="str">
        <f aca="false">IF($H3428="","",资金流水!$B117)</f>
        <v/>
      </c>
      <c r="F3428" s="55" t="str">
        <f aca="false">IF($H3428="","",资金流水!$C117)</f>
        <v/>
      </c>
      <c r="G3428" s="48" t="str">
        <f aca="false">IF($H3428="","",资金流水!$K117)</f>
        <v/>
      </c>
      <c r="H3428" s="10" t="str">
        <f aca="false">IF($L3428="","",IF($L3428="@对方",资金流水!$G117,IF($L3428="@账户",资金流水!$Q117,$L3428)))</f>
        <v/>
      </c>
      <c r="I3428" s="42" t="n">
        <f aca="false">IF($M3428="借",$O3428,0)</f>
        <v>0</v>
      </c>
      <c r="J3428" s="42" t="n">
        <f aca="false">IF($M3428="贷",$O3428,0)</f>
        <v>0</v>
      </c>
      <c r="K3428" s="48" t="str">
        <f aca="false">IF($H3428="","",资金流水!$F117)</f>
        <v/>
      </c>
      <c r="L3428" s="66" t="str">
        <f aca="false">IF(资金流水!$E117="","",IFERROR(INDEX(记账规则!$A$13:$H$32,MATCH(资金流水!$E117,记账规则!$A$13:$A$32,0),3),""))</f>
        <v/>
      </c>
      <c r="M3428" s="66" t="str">
        <f aca="false">IF($L3428="","",IFERROR(INDEX(记账规则!$A$13:$H$32,MATCH(资金流水!$E117,记账规则!$A$13:$A$32,0),4),""))</f>
        <v/>
      </c>
      <c r="N3428" s="66" t="str">
        <f aca="false">IF($L3428="","",IFERROR(INDEX(记账规则!$A$13:$H$32,MATCH(资金流水!$E117,记账规则!$A$13:$A$32,0),5),""))</f>
        <v/>
      </c>
      <c r="O3428" s="67" t="n">
        <f aca="false">IF($H3428="",0,ROUND(IF($N3428="金额",N(资金流水!$P117),0),2))</f>
        <v>0</v>
      </c>
      <c r="P3428" s="64" t="str">
        <f aca="false">IF(AND($H3428&lt;&gt;"",ROUND($O3428,2)&lt;&gt;0),"有","")</f>
        <v/>
      </c>
    </row>
    <row r="3429" customFormat="false" ht="15" hidden="true" customHeight="false" outlineLevel="0" collapsed="false">
      <c r="A3429" s="53" t="str">
        <f aca="false">IF($H3429="","",ROW()-5)</f>
        <v/>
      </c>
      <c r="B3429" s="64" t="s">
        <v>37</v>
      </c>
      <c r="C3429" s="53" t="n">
        <v>117</v>
      </c>
      <c r="D3429" s="53" t="n">
        <v>2</v>
      </c>
      <c r="E3429" s="65" t="str">
        <f aca="false">IF($H3429="","",资金流水!$B117)</f>
        <v/>
      </c>
      <c r="F3429" s="55" t="str">
        <f aca="false">IF($H3429="","",资金流水!$C117)</f>
        <v/>
      </c>
      <c r="G3429" s="48" t="str">
        <f aca="false">IF($H3429="","",资金流水!$K117)</f>
        <v/>
      </c>
      <c r="H3429" s="10" t="str">
        <f aca="false">IF($L3429="","",IF($L3429="@对方",资金流水!$G117,IF($L3429="@账户",资金流水!$Q117,$L3429)))</f>
        <v/>
      </c>
      <c r="I3429" s="42" t="n">
        <f aca="false">IF($M3429="借",$O3429,0)</f>
        <v>0</v>
      </c>
      <c r="J3429" s="42" t="n">
        <f aca="false">IF($M3429="贷",$O3429,0)</f>
        <v>0</v>
      </c>
      <c r="K3429" s="48" t="str">
        <f aca="false">IF($H3429="","",资金流水!$F117)</f>
        <v/>
      </c>
      <c r="L3429" s="66" t="str">
        <f aca="false">IF(资金流水!$E117="","",IFERROR(INDEX(记账规则!$A$13:$H$32,MATCH(资金流水!$E117,记账规则!$A$13:$A$32,0),6),""))</f>
        <v/>
      </c>
      <c r="M3429" s="66" t="str">
        <f aca="false">IF($L3429="","",IFERROR(INDEX(记账规则!$A$13:$H$32,MATCH(资金流水!$E117,记账规则!$A$13:$A$32,0),7),""))</f>
        <v/>
      </c>
      <c r="N3429" s="66" t="str">
        <f aca="false">IF($L3429="","",IFERROR(INDEX(记账规则!$A$13:$H$32,MATCH(资金流水!$E117,记账规则!$A$13:$A$32,0),8),""))</f>
        <v/>
      </c>
      <c r="O3429" s="67" t="n">
        <f aca="false">IF($H3429="",0,ROUND(IF($N3429="金额",N(资金流水!$P117),0),2))</f>
        <v>0</v>
      </c>
      <c r="P3429" s="64" t="str">
        <f aca="false">IF(AND($H3429&lt;&gt;"",ROUND($O3429,2)&lt;&gt;0),"有","")</f>
        <v/>
      </c>
    </row>
    <row r="3430" customFormat="false" ht="15" hidden="true" customHeight="false" outlineLevel="0" collapsed="false">
      <c r="A3430" s="53" t="str">
        <f aca="false">IF($H3430="","",ROW()-5)</f>
        <v/>
      </c>
      <c r="B3430" s="64" t="s">
        <v>37</v>
      </c>
      <c r="C3430" s="53" t="n">
        <v>118</v>
      </c>
      <c r="D3430" s="53" t="n">
        <v>1</v>
      </c>
      <c r="E3430" s="65" t="str">
        <f aca="false">IF($H3430="","",资金流水!$B118)</f>
        <v/>
      </c>
      <c r="F3430" s="55" t="str">
        <f aca="false">IF($H3430="","",资金流水!$C118)</f>
        <v/>
      </c>
      <c r="G3430" s="48" t="str">
        <f aca="false">IF($H3430="","",资金流水!$K118)</f>
        <v/>
      </c>
      <c r="H3430" s="10" t="str">
        <f aca="false">IF($L3430="","",IF($L3430="@对方",资金流水!$G118,IF($L3430="@账户",资金流水!$Q118,$L3430)))</f>
        <v/>
      </c>
      <c r="I3430" s="42" t="n">
        <f aca="false">IF($M3430="借",$O3430,0)</f>
        <v>0</v>
      </c>
      <c r="J3430" s="42" t="n">
        <f aca="false">IF($M3430="贷",$O3430,0)</f>
        <v>0</v>
      </c>
      <c r="K3430" s="48" t="str">
        <f aca="false">IF($H3430="","",资金流水!$F118)</f>
        <v/>
      </c>
      <c r="L3430" s="66" t="str">
        <f aca="false">IF(资金流水!$E118="","",IFERROR(INDEX(记账规则!$A$13:$H$32,MATCH(资金流水!$E118,记账规则!$A$13:$A$32,0),3),""))</f>
        <v/>
      </c>
      <c r="M3430" s="66" t="str">
        <f aca="false">IF($L3430="","",IFERROR(INDEX(记账规则!$A$13:$H$32,MATCH(资金流水!$E118,记账规则!$A$13:$A$32,0),4),""))</f>
        <v/>
      </c>
      <c r="N3430" s="66" t="str">
        <f aca="false">IF($L3430="","",IFERROR(INDEX(记账规则!$A$13:$H$32,MATCH(资金流水!$E118,记账规则!$A$13:$A$32,0),5),""))</f>
        <v/>
      </c>
      <c r="O3430" s="67" t="n">
        <f aca="false">IF($H3430="",0,ROUND(IF($N3430="金额",N(资金流水!$P118),0),2))</f>
        <v>0</v>
      </c>
      <c r="P3430" s="64" t="str">
        <f aca="false">IF(AND($H3430&lt;&gt;"",ROUND($O3430,2)&lt;&gt;0),"有","")</f>
        <v/>
      </c>
    </row>
    <row r="3431" customFormat="false" ht="15" hidden="true" customHeight="false" outlineLevel="0" collapsed="false">
      <c r="A3431" s="53" t="str">
        <f aca="false">IF($H3431="","",ROW()-5)</f>
        <v/>
      </c>
      <c r="B3431" s="64" t="s">
        <v>37</v>
      </c>
      <c r="C3431" s="53" t="n">
        <v>118</v>
      </c>
      <c r="D3431" s="53" t="n">
        <v>2</v>
      </c>
      <c r="E3431" s="65" t="str">
        <f aca="false">IF($H3431="","",资金流水!$B118)</f>
        <v/>
      </c>
      <c r="F3431" s="55" t="str">
        <f aca="false">IF($H3431="","",资金流水!$C118)</f>
        <v/>
      </c>
      <c r="G3431" s="48" t="str">
        <f aca="false">IF($H3431="","",资金流水!$K118)</f>
        <v/>
      </c>
      <c r="H3431" s="10" t="str">
        <f aca="false">IF($L3431="","",IF($L3431="@对方",资金流水!$G118,IF($L3431="@账户",资金流水!$Q118,$L3431)))</f>
        <v/>
      </c>
      <c r="I3431" s="42" t="n">
        <f aca="false">IF($M3431="借",$O3431,0)</f>
        <v>0</v>
      </c>
      <c r="J3431" s="42" t="n">
        <f aca="false">IF($M3431="贷",$O3431,0)</f>
        <v>0</v>
      </c>
      <c r="K3431" s="48" t="str">
        <f aca="false">IF($H3431="","",资金流水!$F118)</f>
        <v/>
      </c>
      <c r="L3431" s="66" t="str">
        <f aca="false">IF(资金流水!$E118="","",IFERROR(INDEX(记账规则!$A$13:$H$32,MATCH(资金流水!$E118,记账规则!$A$13:$A$32,0),6),""))</f>
        <v/>
      </c>
      <c r="M3431" s="66" t="str">
        <f aca="false">IF($L3431="","",IFERROR(INDEX(记账规则!$A$13:$H$32,MATCH(资金流水!$E118,记账规则!$A$13:$A$32,0),7),""))</f>
        <v/>
      </c>
      <c r="N3431" s="66" t="str">
        <f aca="false">IF($L3431="","",IFERROR(INDEX(记账规则!$A$13:$H$32,MATCH(资金流水!$E118,记账规则!$A$13:$A$32,0),8),""))</f>
        <v/>
      </c>
      <c r="O3431" s="67" t="n">
        <f aca="false">IF($H3431="",0,ROUND(IF($N3431="金额",N(资金流水!$P118),0),2))</f>
        <v>0</v>
      </c>
      <c r="P3431" s="64" t="str">
        <f aca="false">IF(AND($H3431&lt;&gt;"",ROUND($O3431,2)&lt;&gt;0),"有","")</f>
        <v/>
      </c>
    </row>
    <row r="3432" customFormat="false" ht="15" hidden="true" customHeight="false" outlineLevel="0" collapsed="false">
      <c r="A3432" s="53" t="str">
        <f aca="false">IF($H3432="","",ROW()-5)</f>
        <v/>
      </c>
      <c r="B3432" s="64" t="s">
        <v>37</v>
      </c>
      <c r="C3432" s="53" t="n">
        <v>119</v>
      </c>
      <c r="D3432" s="53" t="n">
        <v>1</v>
      </c>
      <c r="E3432" s="65" t="str">
        <f aca="false">IF($H3432="","",资金流水!$B119)</f>
        <v/>
      </c>
      <c r="F3432" s="55" t="str">
        <f aca="false">IF($H3432="","",资金流水!$C119)</f>
        <v/>
      </c>
      <c r="G3432" s="48" t="str">
        <f aca="false">IF($H3432="","",资金流水!$K119)</f>
        <v/>
      </c>
      <c r="H3432" s="10" t="str">
        <f aca="false">IF($L3432="","",IF($L3432="@对方",资金流水!$G119,IF($L3432="@账户",资金流水!$Q119,$L3432)))</f>
        <v/>
      </c>
      <c r="I3432" s="42" t="n">
        <f aca="false">IF($M3432="借",$O3432,0)</f>
        <v>0</v>
      </c>
      <c r="J3432" s="42" t="n">
        <f aca="false">IF($M3432="贷",$O3432,0)</f>
        <v>0</v>
      </c>
      <c r="K3432" s="48" t="str">
        <f aca="false">IF($H3432="","",资金流水!$F119)</f>
        <v/>
      </c>
      <c r="L3432" s="66" t="str">
        <f aca="false">IF(资金流水!$E119="","",IFERROR(INDEX(记账规则!$A$13:$H$32,MATCH(资金流水!$E119,记账规则!$A$13:$A$32,0),3),""))</f>
        <v/>
      </c>
      <c r="M3432" s="66" t="str">
        <f aca="false">IF($L3432="","",IFERROR(INDEX(记账规则!$A$13:$H$32,MATCH(资金流水!$E119,记账规则!$A$13:$A$32,0),4),""))</f>
        <v/>
      </c>
      <c r="N3432" s="66" t="str">
        <f aca="false">IF($L3432="","",IFERROR(INDEX(记账规则!$A$13:$H$32,MATCH(资金流水!$E119,记账规则!$A$13:$A$32,0),5),""))</f>
        <v/>
      </c>
      <c r="O3432" s="67" t="n">
        <f aca="false">IF($H3432="",0,ROUND(IF($N3432="金额",N(资金流水!$P119),0),2))</f>
        <v>0</v>
      </c>
      <c r="P3432" s="64" t="str">
        <f aca="false">IF(AND($H3432&lt;&gt;"",ROUND($O3432,2)&lt;&gt;0),"有","")</f>
        <v/>
      </c>
    </row>
    <row r="3433" customFormat="false" ht="15" hidden="true" customHeight="false" outlineLevel="0" collapsed="false">
      <c r="A3433" s="53" t="str">
        <f aca="false">IF($H3433="","",ROW()-5)</f>
        <v/>
      </c>
      <c r="B3433" s="64" t="s">
        <v>37</v>
      </c>
      <c r="C3433" s="53" t="n">
        <v>119</v>
      </c>
      <c r="D3433" s="53" t="n">
        <v>2</v>
      </c>
      <c r="E3433" s="65" t="str">
        <f aca="false">IF($H3433="","",资金流水!$B119)</f>
        <v/>
      </c>
      <c r="F3433" s="55" t="str">
        <f aca="false">IF($H3433="","",资金流水!$C119)</f>
        <v/>
      </c>
      <c r="G3433" s="48" t="str">
        <f aca="false">IF($H3433="","",资金流水!$K119)</f>
        <v/>
      </c>
      <c r="H3433" s="10" t="str">
        <f aca="false">IF($L3433="","",IF($L3433="@对方",资金流水!$G119,IF($L3433="@账户",资金流水!$Q119,$L3433)))</f>
        <v/>
      </c>
      <c r="I3433" s="42" t="n">
        <f aca="false">IF($M3433="借",$O3433,0)</f>
        <v>0</v>
      </c>
      <c r="J3433" s="42" t="n">
        <f aca="false">IF($M3433="贷",$O3433,0)</f>
        <v>0</v>
      </c>
      <c r="K3433" s="48" t="str">
        <f aca="false">IF($H3433="","",资金流水!$F119)</f>
        <v/>
      </c>
      <c r="L3433" s="66" t="str">
        <f aca="false">IF(资金流水!$E119="","",IFERROR(INDEX(记账规则!$A$13:$H$32,MATCH(资金流水!$E119,记账规则!$A$13:$A$32,0),6),""))</f>
        <v/>
      </c>
      <c r="M3433" s="66" t="str">
        <f aca="false">IF($L3433="","",IFERROR(INDEX(记账规则!$A$13:$H$32,MATCH(资金流水!$E119,记账规则!$A$13:$A$32,0),7),""))</f>
        <v/>
      </c>
      <c r="N3433" s="66" t="str">
        <f aca="false">IF($L3433="","",IFERROR(INDEX(记账规则!$A$13:$H$32,MATCH(资金流水!$E119,记账规则!$A$13:$A$32,0),8),""))</f>
        <v/>
      </c>
      <c r="O3433" s="67" t="n">
        <f aca="false">IF($H3433="",0,ROUND(IF($N3433="金额",N(资金流水!$P119),0),2))</f>
        <v>0</v>
      </c>
      <c r="P3433" s="64" t="str">
        <f aca="false">IF(AND($H3433&lt;&gt;"",ROUND($O3433,2)&lt;&gt;0),"有","")</f>
        <v/>
      </c>
    </row>
    <row r="3434" customFormat="false" ht="15" hidden="true" customHeight="false" outlineLevel="0" collapsed="false">
      <c r="A3434" s="53" t="str">
        <f aca="false">IF($H3434="","",ROW()-5)</f>
        <v/>
      </c>
      <c r="B3434" s="64" t="s">
        <v>37</v>
      </c>
      <c r="C3434" s="53" t="n">
        <v>120</v>
      </c>
      <c r="D3434" s="53" t="n">
        <v>1</v>
      </c>
      <c r="E3434" s="65" t="str">
        <f aca="false">IF($H3434="","",资金流水!$B120)</f>
        <v/>
      </c>
      <c r="F3434" s="55" t="str">
        <f aca="false">IF($H3434="","",资金流水!$C120)</f>
        <v/>
      </c>
      <c r="G3434" s="48" t="str">
        <f aca="false">IF($H3434="","",资金流水!$K120)</f>
        <v/>
      </c>
      <c r="H3434" s="10" t="str">
        <f aca="false">IF($L3434="","",IF($L3434="@对方",资金流水!$G120,IF($L3434="@账户",资金流水!$Q120,$L3434)))</f>
        <v/>
      </c>
      <c r="I3434" s="42" t="n">
        <f aca="false">IF($M3434="借",$O3434,0)</f>
        <v>0</v>
      </c>
      <c r="J3434" s="42" t="n">
        <f aca="false">IF($M3434="贷",$O3434,0)</f>
        <v>0</v>
      </c>
      <c r="K3434" s="48" t="str">
        <f aca="false">IF($H3434="","",资金流水!$F120)</f>
        <v/>
      </c>
      <c r="L3434" s="66" t="str">
        <f aca="false">IF(资金流水!$E120="","",IFERROR(INDEX(记账规则!$A$13:$H$32,MATCH(资金流水!$E120,记账规则!$A$13:$A$32,0),3),""))</f>
        <v/>
      </c>
      <c r="M3434" s="66" t="str">
        <f aca="false">IF($L3434="","",IFERROR(INDEX(记账规则!$A$13:$H$32,MATCH(资金流水!$E120,记账规则!$A$13:$A$32,0),4),""))</f>
        <v/>
      </c>
      <c r="N3434" s="66" t="str">
        <f aca="false">IF($L3434="","",IFERROR(INDEX(记账规则!$A$13:$H$32,MATCH(资金流水!$E120,记账规则!$A$13:$A$32,0),5),""))</f>
        <v/>
      </c>
      <c r="O3434" s="67" t="n">
        <f aca="false">IF($H3434="",0,ROUND(IF($N3434="金额",N(资金流水!$P120),0),2))</f>
        <v>0</v>
      </c>
      <c r="P3434" s="64" t="str">
        <f aca="false">IF(AND($H3434&lt;&gt;"",ROUND($O3434,2)&lt;&gt;0),"有","")</f>
        <v/>
      </c>
    </row>
    <row r="3435" customFormat="false" ht="15" hidden="true" customHeight="false" outlineLevel="0" collapsed="false">
      <c r="A3435" s="53" t="str">
        <f aca="false">IF($H3435="","",ROW()-5)</f>
        <v/>
      </c>
      <c r="B3435" s="64" t="s">
        <v>37</v>
      </c>
      <c r="C3435" s="53" t="n">
        <v>120</v>
      </c>
      <c r="D3435" s="53" t="n">
        <v>2</v>
      </c>
      <c r="E3435" s="65" t="str">
        <f aca="false">IF($H3435="","",资金流水!$B120)</f>
        <v/>
      </c>
      <c r="F3435" s="55" t="str">
        <f aca="false">IF($H3435="","",资金流水!$C120)</f>
        <v/>
      </c>
      <c r="G3435" s="48" t="str">
        <f aca="false">IF($H3435="","",资金流水!$K120)</f>
        <v/>
      </c>
      <c r="H3435" s="10" t="str">
        <f aca="false">IF($L3435="","",IF($L3435="@对方",资金流水!$G120,IF($L3435="@账户",资金流水!$Q120,$L3435)))</f>
        <v/>
      </c>
      <c r="I3435" s="42" t="n">
        <f aca="false">IF($M3435="借",$O3435,0)</f>
        <v>0</v>
      </c>
      <c r="J3435" s="42" t="n">
        <f aca="false">IF($M3435="贷",$O3435,0)</f>
        <v>0</v>
      </c>
      <c r="K3435" s="48" t="str">
        <f aca="false">IF($H3435="","",资金流水!$F120)</f>
        <v/>
      </c>
      <c r="L3435" s="66" t="str">
        <f aca="false">IF(资金流水!$E120="","",IFERROR(INDEX(记账规则!$A$13:$H$32,MATCH(资金流水!$E120,记账规则!$A$13:$A$32,0),6),""))</f>
        <v/>
      </c>
      <c r="M3435" s="66" t="str">
        <f aca="false">IF($L3435="","",IFERROR(INDEX(记账规则!$A$13:$H$32,MATCH(资金流水!$E120,记账规则!$A$13:$A$32,0),7),""))</f>
        <v/>
      </c>
      <c r="N3435" s="66" t="str">
        <f aca="false">IF($L3435="","",IFERROR(INDEX(记账规则!$A$13:$H$32,MATCH(资金流水!$E120,记账规则!$A$13:$A$32,0),8),""))</f>
        <v/>
      </c>
      <c r="O3435" s="67" t="n">
        <f aca="false">IF($H3435="",0,ROUND(IF($N3435="金额",N(资金流水!$P120),0),2))</f>
        <v>0</v>
      </c>
      <c r="P3435" s="64" t="str">
        <f aca="false">IF(AND($H3435&lt;&gt;"",ROUND($O3435,2)&lt;&gt;0),"有","")</f>
        <v/>
      </c>
    </row>
    <row r="3436" customFormat="false" ht="15" hidden="true" customHeight="false" outlineLevel="0" collapsed="false">
      <c r="A3436" s="53" t="str">
        <f aca="false">IF($H3436="","",ROW()-5)</f>
        <v/>
      </c>
      <c r="B3436" s="64" t="s">
        <v>37</v>
      </c>
      <c r="C3436" s="53" t="n">
        <v>121</v>
      </c>
      <c r="D3436" s="53" t="n">
        <v>1</v>
      </c>
      <c r="E3436" s="65" t="str">
        <f aca="false">IF($H3436="","",资金流水!$B121)</f>
        <v/>
      </c>
      <c r="F3436" s="55" t="str">
        <f aca="false">IF($H3436="","",资金流水!$C121)</f>
        <v/>
      </c>
      <c r="G3436" s="48" t="str">
        <f aca="false">IF($H3436="","",资金流水!$K121)</f>
        <v/>
      </c>
      <c r="H3436" s="10" t="str">
        <f aca="false">IF($L3436="","",IF($L3436="@对方",资金流水!$G121,IF($L3436="@账户",资金流水!$Q121,$L3436)))</f>
        <v/>
      </c>
      <c r="I3436" s="42" t="n">
        <f aca="false">IF($M3436="借",$O3436,0)</f>
        <v>0</v>
      </c>
      <c r="J3436" s="42" t="n">
        <f aca="false">IF($M3436="贷",$O3436,0)</f>
        <v>0</v>
      </c>
      <c r="K3436" s="48" t="str">
        <f aca="false">IF($H3436="","",资金流水!$F121)</f>
        <v/>
      </c>
      <c r="L3436" s="66" t="str">
        <f aca="false">IF(资金流水!$E121="","",IFERROR(INDEX(记账规则!$A$13:$H$32,MATCH(资金流水!$E121,记账规则!$A$13:$A$32,0),3),""))</f>
        <v/>
      </c>
      <c r="M3436" s="66" t="str">
        <f aca="false">IF($L3436="","",IFERROR(INDEX(记账规则!$A$13:$H$32,MATCH(资金流水!$E121,记账规则!$A$13:$A$32,0),4),""))</f>
        <v/>
      </c>
      <c r="N3436" s="66" t="str">
        <f aca="false">IF($L3436="","",IFERROR(INDEX(记账规则!$A$13:$H$32,MATCH(资金流水!$E121,记账规则!$A$13:$A$32,0),5),""))</f>
        <v/>
      </c>
      <c r="O3436" s="67" t="n">
        <f aca="false">IF($H3436="",0,ROUND(IF($N3436="金额",N(资金流水!$P121),0),2))</f>
        <v>0</v>
      </c>
      <c r="P3436" s="64" t="str">
        <f aca="false">IF(AND($H3436&lt;&gt;"",ROUND($O3436,2)&lt;&gt;0),"有","")</f>
        <v/>
      </c>
    </row>
    <row r="3437" customFormat="false" ht="15" hidden="true" customHeight="false" outlineLevel="0" collapsed="false">
      <c r="A3437" s="53" t="str">
        <f aca="false">IF($H3437="","",ROW()-5)</f>
        <v/>
      </c>
      <c r="B3437" s="64" t="s">
        <v>37</v>
      </c>
      <c r="C3437" s="53" t="n">
        <v>121</v>
      </c>
      <c r="D3437" s="53" t="n">
        <v>2</v>
      </c>
      <c r="E3437" s="65" t="str">
        <f aca="false">IF($H3437="","",资金流水!$B121)</f>
        <v/>
      </c>
      <c r="F3437" s="55" t="str">
        <f aca="false">IF($H3437="","",资金流水!$C121)</f>
        <v/>
      </c>
      <c r="G3437" s="48" t="str">
        <f aca="false">IF($H3437="","",资金流水!$K121)</f>
        <v/>
      </c>
      <c r="H3437" s="10" t="str">
        <f aca="false">IF($L3437="","",IF($L3437="@对方",资金流水!$G121,IF($L3437="@账户",资金流水!$Q121,$L3437)))</f>
        <v/>
      </c>
      <c r="I3437" s="42" t="n">
        <f aca="false">IF($M3437="借",$O3437,0)</f>
        <v>0</v>
      </c>
      <c r="J3437" s="42" t="n">
        <f aca="false">IF($M3437="贷",$O3437,0)</f>
        <v>0</v>
      </c>
      <c r="K3437" s="48" t="str">
        <f aca="false">IF($H3437="","",资金流水!$F121)</f>
        <v/>
      </c>
      <c r="L3437" s="66" t="str">
        <f aca="false">IF(资金流水!$E121="","",IFERROR(INDEX(记账规则!$A$13:$H$32,MATCH(资金流水!$E121,记账规则!$A$13:$A$32,0),6),""))</f>
        <v/>
      </c>
      <c r="M3437" s="66" t="str">
        <f aca="false">IF($L3437="","",IFERROR(INDEX(记账规则!$A$13:$H$32,MATCH(资金流水!$E121,记账规则!$A$13:$A$32,0),7),""))</f>
        <v/>
      </c>
      <c r="N3437" s="66" t="str">
        <f aca="false">IF($L3437="","",IFERROR(INDEX(记账规则!$A$13:$H$32,MATCH(资金流水!$E121,记账规则!$A$13:$A$32,0),8),""))</f>
        <v/>
      </c>
      <c r="O3437" s="67" t="n">
        <f aca="false">IF($H3437="",0,ROUND(IF($N3437="金额",N(资金流水!$P121),0),2))</f>
        <v>0</v>
      </c>
      <c r="P3437" s="64" t="str">
        <f aca="false">IF(AND($H3437&lt;&gt;"",ROUND($O3437,2)&lt;&gt;0),"有","")</f>
        <v/>
      </c>
    </row>
    <row r="3438" customFormat="false" ht="15" hidden="true" customHeight="false" outlineLevel="0" collapsed="false">
      <c r="A3438" s="53" t="str">
        <f aca="false">IF($H3438="","",ROW()-5)</f>
        <v/>
      </c>
      <c r="B3438" s="64" t="s">
        <v>37</v>
      </c>
      <c r="C3438" s="53" t="n">
        <v>122</v>
      </c>
      <c r="D3438" s="53" t="n">
        <v>1</v>
      </c>
      <c r="E3438" s="65" t="str">
        <f aca="false">IF($H3438="","",资金流水!$B122)</f>
        <v/>
      </c>
      <c r="F3438" s="55" t="str">
        <f aca="false">IF($H3438="","",资金流水!$C122)</f>
        <v/>
      </c>
      <c r="G3438" s="48" t="str">
        <f aca="false">IF($H3438="","",资金流水!$K122)</f>
        <v/>
      </c>
      <c r="H3438" s="10" t="str">
        <f aca="false">IF($L3438="","",IF($L3438="@对方",资金流水!$G122,IF($L3438="@账户",资金流水!$Q122,$L3438)))</f>
        <v/>
      </c>
      <c r="I3438" s="42" t="n">
        <f aca="false">IF($M3438="借",$O3438,0)</f>
        <v>0</v>
      </c>
      <c r="J3438" s="42" t="n">
        <f aca="false">IF($M3438="贷",$O3438,0)</f>
        <v>0</v>
      </c>
      <c r="K3438" s="48" t="str">
        <f aca="false">IF($H3438="","",资金流水!$F122)</f>
        <v/>
      </c>
      <c r="L3438" s="66" t="str">
        <f aca="false">IF(资金流水!$E122="","",IFERROR(INDEX(记账规则!$A$13:$H$32,MATCH(资金流水!$E122,记账规则!$A$13:$A$32,0),3),""))</f>
        <v/>
      </c>
      <c r="M3438" s="66" t="str">
        <f aca="false">IF($L3438="","",IFERROR(INDEX(记账规则!$A$13:$H$32,MATCH(资金流水!$E122,记账规则!$A$13:$A$32,0),4),""))</f>
        <v/>
      </c>
      <c r="N3438" s="66" t="str">
        <f aca="false">IF($L3438="","",IFERROR(INDEX(记账规则!$A$13:$H$32,MATCH(资金流水!$E122,记账规则!$A$13:$A$32,0),5),""))</f>
        <v/>
      </c>
      <c r="O3438" s="67" t="n">
        <f aca="false">IF($H3438="",0,ROUND(IF($N3438="金额",N(资金流水!$P122),0),2))</f>
        <v>0</v>
      </c>
      <c r="P3438" s="64" t="str">
        <f aca="false">IF(AND($H3438&lt;&gt;"",ROUND($O3438,2)&lt;&gt;0),"有","")</f>
        <v/>
      </c>
    </row>
    <row r="3439" customFormat="false" ht="15" hidden="true" customHeight="false" outlineLevel="0" collapsed="false">
      <c r="A3439" s="53" t="str">
        <f aca="false">IF($H3439="","",ROW()-5)</f>
        <v/>
      </c>
      <c r="B3439" s="64" t="s">
        <v>37</v>
      </c>
      <c r="C3439" s="53" t="n">
        <v>122</v>
      </c>
      <c r="D3439" s="53" t="n">
        <v>2</v>
      </c>
      <c r="E3439" s="65" t="str">
        <f aca="false">IF($H3439="","",资金流水!$B122)</f>
        <v/>
      </c>
      <c r="F3439" s="55" t="str">
        <f aca="false">IF($H3439="","",资金流水!$C122)</f>
        <v/>
      </c>
      <c r="G3439" s="48" t="str">
        <f aca="false">IF($H3439="","",资金流水!$K122)</f>
        <v/>
      </c>
      <c r="H3439" s="10" t="str">
        <f aca="false">IF($L3439="","",IF($L3439="@对方",资金流水!$G122,IF($L3439="@账户",资金流水!$Q122,$L3439)))</f>
        <v/>
      </c>
      <c r="I3439" s="42" t="n">
        <f aca="false">IF($M3439="借",$O3439,0)</f>
        <v>0</v>
      </c>
      <c r="J3439" s="42" t="n">
        <f aca="false">IF($M3439="贷",$O3439,0)</f>
        <v>0</v>
      </c>
      <c r="K3439" s="48" t="str">
        <f aca="false">IF($H3439="","",资金流水!$F122)</f>
        <v/>
      </c>
      <c r="L3439" s="66" t="str">
        <f aca="false">IF(资金流水!$E122="","",IFERROR(INDEX(记账规则!$A$13:$H$32,MATCH(资金流水!$E122,记账规则!$A$13:$A$32,0),6),""))</f>
        <v/>
      </c>
      <c r="M3439" s="66" t="str">
        <f aca="false">IF($L3439="","",IFERROR(INDEX(记账规则!$A$13:$H$32,MATCH(资金流水!$E122,记账规则!$A$13:$A$32,0),7),""))</f>
        <v/>
      </c>
      <c r="N3439" s="66" t="str">
        <f aca="false">IF($L3439="","",IFERROR(INDEX(记账规则!$A$13:$H$32,MATCH(资金流水!$E122,记账规则!$A$13:$A$32,0),8),""))</f>
        <v/>
      </c>
      <c r="O3439" s="67" t="n">
        <f aca="false">IF($H3439="",0,ROUND(IF($N3439="金额",N(资金流水!$P122),0),2))</f>
        <v>0</v>
      </c>
      <c r="P3439" s="64" t="str">
        <f aca="false">IF(AND($H3439&lt;&gt;"",ROUND($O3439,2)&lt;&gt;0),"有","")</f>
        <v/>
      </c>
    </row>
    <row r="3440" customFormat="false" ht="15" hidden="true" customHeight="false" outlineLevel="0" collapsed="false">
      <c r="A3440" s="53" t="str">
        <f aca="false">IF($H3440="","",ROW()-5)</f>
        <v/>
      </c>
      <c r="B3440" s="64" t="s">
        <v>37</v>
      </c>
      <c r="C3440" s="53" t="n">
        <v>123</v>
      </c>
      <c r="D3440" s="53" t="n">
        <v>1</v>
      </c>
      <c r="E3440" s="65" t="str">
        <f aca="false">IF($H3440="","",资金流水!$B123)</f>
        <v/>
      </c>
      <c r="F3440" s="55" t="str">
        <f aca="false">IF($H3440="","",资金流水!$C123)</f>
        <v/>
      </c>
      <c r="G3440" s="48" t="str">
        <f aca="false">IF($H3440="","",资金流水!$K123)</f>
        <v/>
      </c>
      <c r="H3440" s="10" t="str">
        <f aca="false">IF($L3440="","",IF($L3440="@对方",资金流水!$G123,IF($L3440="@账户",资金流水!$Q123,$L3440)))</f>
        <v/>
      </c>
      <c r="I3440" s="42" t="n">
        <f aca="false">IF($M3440="借",$O3440,0)</f>
        <v>0</v>
      </c>
      <c r="J3440" s="42" t="n">
        <f aca="false">IF($M3440="贷",$O3440,0)</f>
        <v>0</v>
      </c>
      <c r="K3440" s="48" t="str">
        <f aca="false">IF($H3440="","",资金流水!$F123)</f>
        <v/>
      </c>
      <c r="L3440" s="66" t="str">
        <f aca="false">IF(资金流水!$E123="","",IFERROR(INDEX(记账规则!$A$13:$H$32,MATCH(资金流水!$E123,记账规则!$A$13:$A$32,0),3),""))</f>
        <v/>
      </c>
      <c r="M3440" s="66" t="str">
        <f aca="false">IF($L3440="","",IFERROR(INDEX(记账规则!$A$13:$H$32,MATCH(资金流水!$E123,记账规则!$A$13:$A$32,0),4),""))</f>
        <v/>
      </c>
      <c r="N3440" s="66" t="str">
        <f aca="false">IF($L3440="","",IFERROR(INDEX(记账规则!$A$13:$H$32,MATCH(资金流水!$E123,记账规则!$A$13:$A$32,0),5),""))</f>
        <v/>
      </c>
      <c r="O3440" s="67" t="n">
        <f aca="false">IF($H3440="",0,ROUND(IF($N3440="金额",N(资金流水!$P123),0),2))</f>
        <v>0</v>
      </c>
      <c r="P3440" s="64" t="str">
        <f aca="false">IF(AND($H3440&lt;&gt;"",ROUND($O3440,2)&lt;&gt;0),"有","")</f>
        <v/>
      </c>
    </row>
    <row r="3441" customFormat="false" ht="15" hidden="true" customHeight="false" outlineLevel="0" collapsed="false">
      <c r="A3441" s="53" t="str">
        <f aca="false">IF($H3441="","",ROW()-5)</f>
        <v/>
      </c>
      <c r="B3441" s="64" t="s">
        <v>37</v>
      </c>
      <c r="C3441" s="53" t="n">
        <v>123</v>
      </c>
      <c r="D3441" s="53" t="n">
        <v>2</v>
      </c>
      <c r="E3441" s="65" t="str">
        <f aca="false">IF($H3441="","",资金流水!$B123)</f>
        <v/>
      </c>
      <c r="F3441" s="55" t="str">
        <f aca="false">IF($H3441="","",资金流水!$C123)</f>
        <v/>
      </c>
      <c r="G3441" s="48" t="str">
        <f aca="false">IF($H3441="","",资金流水!$K123)</f>
        <v/>
      </c>
      <c r="H3441" s="10" t="str">
        <f aca="false">IF($L3441="","",IF($L3441="@对方",资金流水!$G123,IF($L3441="@账户",资金流水!$Q123,$L3441)))</f>
        <v/>
      </c>
      <c r="I3441" s="42" t="n">
        <f aca="false">IF($M3441="借",$O3441,0)</f>
        <v>0</v>
      </c>
      <c r="J3441" s="42" t="n">
        <f aca="false">IF($M3441="贷",$O3441,0)</f>
        <v>0</v>
      </c>
      <c r="K3441" s="48" t="str">
        <f aca="false">IF($H3441="","",资金流水!$F123)</f>
        <v/>
      </c>
      <c r="L3441" s="66" t="str">
        <f aca="false">IF(资金流水!$E123="","",IFERROR(INDEX(记账规则!$A$13:$H$32,MATCH(资金流水!$E123,记账规则!$A$13:$A$32,0),6),""))</f>
        <v/>
      </c>
      <c r="M3441" s="66" t="str">
        <f aca="false">IF($L3441="","",IFERROR(INDEX(记账规则!$A$13:$H$32,MATCH(资金流水!$E123,记账规则!$A$13:$A$32,0),7),""))</f>
        <v/>
      </c>
      <c r="N3441" s="66" t="str">
        <f aca="false">IF($L3441="","",IFERROR(INDEX(记账规则!$A$13:$H$32,MATCH(资金流水!$E123,记账规则!$A$13:$A$32,0),8),""))</f>
        <v/>
      </c>
      <c r="O3441" s="67" t="n">
        <f aca="false">IF($H3441="",0,ROUND(IF($N3441="金额",N(资金流水!$P123),0),2))</f>
        <v>0</v>
      </c>
      <c r="P3441" s="64" t="str">
        <f aca="false">IF(AND($H3441&lt;&gt;"",ROUND($O3441,2)&lt;&gt;0),"有","")</f>
        <v/>
      </c>
    </row>
    <row r="3442" customFormat="false" ht="15" hidden="true" customHeight="false" outlineLevel="0" collapsed="false">
      <c r="A3442" s="53" t="str">
        <f aca="false">IF($H3442="","",ROW()-5)</f>
        <v/>
      </c>
      <c r="B3442" s="64" t="s">
        <v>37</v>
      </c>
      <c r="C3442" s="53" t="n">
        <v>124</v>
      </c>
      <c r="D3442" s="53" t="n">
        <v>1</v>
      </c>
      <c r="E3442" s="65" t="str">
        <f aca="false">IF($H3442="","",资金流水!$B124)</f>
        <v/>
      </c>
      <c r="F3442" s="55" t="str">
        <f aca="false">IF($H3442="","",资金流水!$C124)</f>
        <v/>
      </c>
      <c r="G3442" s="48" t="str">
        <f aca="false">IF($H3442="","",资金流水!$K124)</f>
        <v/>
      </c>
      <c r="H3442" s="10" t="str">
        <f aca="false">IF($L3442="","",IF($L3442="@对方",资金流水!$G124,IF($L3442="@账户",资金流水!$Q124,$L3442)))</f>
        <v/>
      </c>
      <c r="I3442" s="42" t="n">
        <f aca="false">IF($M3442="借",$O3442,0)</f>
        <v>0</v>
      </c>
      <c r="J3442" s="42" t="n">
        <f aca="false">IF($M3442="贷",$O3442,0)</f>
        <v>0</v>
      </c>
      <c r="K3442" s="48" t="str">
        <f aca="false">IF($H3442="","",资金流水!$F124)</f>
        <v/>
      </c>
      <c r="L3442" s="66" t="str">
        <f aca="false">IF(资金流水!$E124="","",IFERROR(INDEX(记账规则!$A$13:$H$32,MATCH(资金流水!$E124,记账规则!$A$13:$A$32,0),3),""))</f>
        <v/>
      </c>
      <c r="M3442" s="66" t="str">
        <f aca="false">IF($L3442="","",IFERROR(INDEX(记账规则!$A$13:$H$32,MATCH(资金流水!$E124,记账规则!$A$13:$A$32,0),4),""))</f>
        <v/>
      </c>
      <c r="N3442" s="66" t="str">
        <f aca="false">IF($L3442="","",IFERROR(INDEX(记账规则!$A$13:$H$32,MATCH(资金流水!$E124,记账规则!$A$13:$A$32,0),5),""))</f>
        <v/>
      </c>
      <c r="O3442" s="67" t="n">
        <f aca="false">IF($H3442="",0,ROUND(IF($N3442="金额",N(资金流水!$P124),0),2))</f>
        <v>0</v>
      </c>
      <c r="P3442" s="64" t="str">
        <f aca="false">IF(AND($H3442&lt;&gt;"",ROUND($O3442,2)&lt;&gt;0),"有","")</f>
        <v/>
      </c>
    </row>
    <row r="3443" customFormat="false" ht="15" hidden="true" customHeight="false" outlineLevel="0" collapsed="false">
      <c r="A3443" s="53" t="str">
        <f aca="false">IF($H3443="","",ROW()-5)</f>
        <v/>
      </c>
      <c r="B3443" s="64" t="s">
        <v>37</v>
      </c>
      <c r="C3443" s="53" t="n">
        <v>124</v>
      </c>
      <c r="D3443" s="53" t="n">
        <v>2</v>
      </c>
      <c r="E3443" s="65" t="str">
        <f aca="false">IF($H3443="","",资金流水!$B124)</f>
        <v/>
      </c>
      <c r="F3443" s="55" t="str">
        <f aca="false">IF($H3443="","",资金流水!$C124)</f>
        <v/>
      </c>
      <c r="G3443" s="48" t="str">
        <f aca="false">IF($H3443="","",资金流水!$K124)</f>
        <v/>
      </c>
      <c r="H3443" s="10" t="str">
        <f aca="false">IF($L3443="","",IF($L3443="@对方",资金流水!$G124,IF($L3443="@账户",资金流水!$Q124,$L3443)))</f>
        <v/>
      </c>
      <c r="I3443" s="42" t="n">
        <f aca="false">IF($M3443="借",$O3443,0)</f>
        <v>0</v>
      </c>
      <c r="J3443" s="42" t="n">
        <f aca="false">IF($M3443="贷",$O3443,0)</f>
        <v>0</v>
      </c>
      <c r="K3443" s="48" t="str">
        <f aca="false">IF($H3443="","",资金流水!$F124)</f>
        <v/>
      </c>
      <c r="L3443" s="66" t="str">
        <f aca="false">IF(资金流水!$E124="","",IFERROR(INDEX(记账规则!$A$13:$H$32,MATCH(资金流水!$E124,记账规则!$A$13:$A$32,0),6),""))</f>
        <v/>
      </c>
      <c r="M3443" s="66" t="str">
        <f aca="false">IF($L3443="","",IFERROR(INDEX(记账规则!$A$13:$H$32,MATCH(资金流水!$E124,记账规则!$A$13:$A$32,0),7),""))</f>
        <v/>
      </c>
      <c r="N3443" s="66" t="str">
        <f aca="false">IF($L3443="","",IFERROR(INDEX(记账规则!$A$13:$H$32,MATCH(资金流水!$E124,记账规则!$A$13:$A$32,0),8),""))</f>
        <v/>
      </c>
      <c r="O3443" s="67" t="n">
        <f aca="false">IF($H3443="",0,ROUND(IF($N3443="金额",N(资金流水!$P124),0),2))</f>
        <v>0</v>
      </c>
      <c r="P3443" s="64" t="str">
        <f aca="false">IF(AND($H3443&lt;&gt;"",ROUND($O3443,2)&lt;&gt;0),"有","")</f>
        <v/>
      </c>
    </row>
    <row r="3444" customFormat="false" ht="15" hidden="true" customHeight="false" outlineLevel="0" collapsed="false">
      <c r="A3444" s="53" t="str">
        <f aca="false">IF($H3444="","",ROW()-5)</f>
        <v/>
      </c>
      <c r="B3444" s="64" t="s">
        <v>37</v>
      </c>
      <c r="C3444" s="53" t="n">
        <v>125</v>
      </c>
      <c r="D3444" s="53" t="n">
        <v>1</v>
      </c>
      <c r="E3444" s="65" t="str">
        <f aca="false">IF($H3444="","",资金流水!$B125)</f>
        <v/>
      </c>
      <c r="F3444" s="55" t="str">
        <f aca="false">IF($H3444="","",资金流水!$C125)</f>
        <v/>
      </c>
      <c r="G3444" s="48" t="str">
        <f aca="false">IF($H3444="","",资金流水!$K125)</f>
        <v/>
      </c>
      <c r="H3444" s="10" t="str">
        <f aca="false">IF($L3444="","",IF($L3444="@对方",资金流水!$G125,IF($L3444="@账户",资金流水!$Q125,$L3444)))</f>
        <v/>
      </c>
      <c r="I3444" s="42" t="n">
        <f aca="false">IF($M3444="借",$O3444,0)</f>
        <v>0</v>
      </c>
      <c r="J3444" s="42" t="n">
        <f aca="false">IF($M3444="贷",$O3444,0)</f>
        <v>0</v>
      </c>
      <c r="K3444" s="48" t="str">
        <f aca="false">IF($H3444="","",资金流水!$F125)</f>
        <v/>
      </c>
      <c r="L3444" s="66" t="str">
        <f aca="false">IF(资金流水!$E125="","",IFERROR(INDEX(记账规则!$A$13:$H$32,MATCH(资金流水!$E125,记账规则!$A$13:$A$32,0),3),""))</f>
        <v/>
      </c>
      <c r="M3444" s="66" t="str">
        <f aca="false">IF($L3444="","",IFERROR(INDEX(记账规则!$A$13:$H$32,MATCH(资金流水!$E125,记账规则!$A$13:$A$32,0),4),""))</f>
        <v/>
      </c>
      <c r="N3444" s="66" t="str">
        <f aca="false">IF($L3444="","",IFERROR(INDEX(记账规则!$A$13:$H$32,MATCH(资金流水!$E125,记账规则!$A$13:$A$32,0),5),""))</f>
        <v/>
      </c>
      <c r="O3444" s="67" t="n">
        <f aca="false">IF($H3444="",0,ROUND(IF($N3444="金额",N(资金流水!$P125),0),2))</f>
        <v>0</v>
      </c>
      <c r="P3444" s="64" t="str">
        <f aca="false">IF(AND($H3444&lt;&gt;"",ROUND($O3444,2)&lt;&gt;0),"有","")</f>
        <v/>
      </c>
    </row>
    <row r="3445" customFormat="false" ht="15" hidden="true" customHeight="false" outlineLevel="0" collapsed="false">
      <c r="A3445" s="53" t="str">
        <f aca="false">IF($H3445="","",ROW()-5)</f>
        <v/>
      </c>
      <c r="B3445" s="64" t="s">
        <v>37</v>
      </c>
      <c r="C3445" s="53" t="n">
        <v>125</v>
      </c>
      <c r="D3445" s="53" t="n">
        <v>2</v>
      </c>
      <c r="E3445" s="65" t="str">
        <f aca="false">IF($H3445="","",资金流水!$B125)</f>
        <v/>
      </c>
      <c r="F3445" s="55" t="str">
        <f aca="false">IF($H3445="","",资金流水!$C125)</f>
        <v/>
      </c>
      <c r="G3445" s="48" t="str">
        <f aca="false">IF($H3445="","",资金流水!$K125)</f>
        <v/>
      </c>
      <c r="H3445" s="10" t="str">
        <f aca="false">IF($L3445="","",IF($L3445="@对方",资金流水!$G125,IF($L3445="@账户",资金流水!$Q125,$L3445)))</f>
        <v/>
      </c>
      <c r="I3445" s="42" t="n">
        <f aca="false">IF($M3445="借",$O3445,0)</f>
        <v>0</v>
      </c>
      <c r="J3445" s="42" t="n">
        <f aca="false">IF($M3445="贷",$O3445,0)</f>
        <v>0</v>
      </c>
      <c r="K3445" s="48" t="str">
        <f aca="false">IF($H3445="","",资金流水!$F125)</f>
        <v/>
      </c>
      <c r="L3445" s="66" t="str">
        <f aca="false">IF(资金流水!$E125="","",IFERROR(INDEX(记账规则!$A$13:$H$32,MATCH(资金流水!$E125,记账规则!$A$13:$A$32,0),6),""))</f>
        <v/>
      </c>
      <c r="M3445" s="66" t="str">
        <f aca="false">IF($L3445="","",IFERROR(INDEX(记账规则!$A$13:$H$32,MATCH(资金流水!$E125,记账规则!$A$13:$A$32,0),7),""))</f>
        <v/>
      </c>
      <c r="N3445" s="66" t="str">
        <f aca="false">IF($L3445="","",IFERROR(INDEX(记账规则!$A$13:$H$32,MATCH(资金流水!$E125,记账规则!$A$13:$A$32,0),8),""))</f>
        <v/>
      </c>
      <c r="O3445" s="67" t="n">
        <f aca="false">IF($H3445="",0,ROUND(IF($N3445="金额",N(资金流水!$P125),0),2))</f>
        <v>0</v>
      </c>
      <c r="P3445" s="64" t="str">
        <f aca="false">IF(AND($H3445&lt;&gt;"",ROUND($O3445,2)&lt;&gt;0),"有","")</f>
        <v/>
      </c>
    </row>
    <row r="3446" customFormat="false" ht="15" hidden="true" customHeight="false" outlineLevel="0" collapsed="false">
      <c r="A3446" s="53" t="str">
        <f aca="false">IF($H3446="","",ROW()-5)</f>
        <v/>
      </c>
      <c r="B3446" s="64" t="s">
        <v>37</v>
      </c>
      <c r="C3446" s="53" t="n">
        <v>126</v>
      </c>
      <c r="D3446" s="53" t="n">
        <v>1</v>
      </c>
      <c r="E3446" s="65" t="str">
        <f aca="false">IF($H3446="","",资金流水!$B126)</f>
        <v/>
      </c>
      <c r="F3446" s="55" t="str">
        <f aca="false">IF($H3446="","",资金流水!$C126)</f>
        <v/>
      </c>
      <c r="G3446" s="48" t="str">
        <f aca="false">IF($H3446="","",资金流水!$K126)</f>
        <v/>
      </c>
      <c r="H3446" s="10" t="str">
        <f aca="false">IF($L3446="","",IF($L3446="@对方",资金流水!$G126,IF($L3446="@账户",资金流水!$Q126,$L3446)))</f>
        <v/>
      </c>
      <c r="I3446" s="42" t="n">
        <f aca="false">IF($M3446="借",$O3446,0)</f>
        <v>0</v>
      </c>
      <c r="J3446" s="42" t="n">
        <f aca="false">IF($M3446="贷",$O3446,0)</f>
        <v>0</v>
      </c>
      <c r="K3446" s="48" t="str">
        <f aca="false">IF($H3446="","",资金流水!$F126)</f>
        <v/>
      </c>
      <c r="L3446" s="66" t="str">
        <f aca="false">IF(资金流水!$E126="","",IFERROR(INDEX(记账规则!$A$13:$H$32,MATCH(资金流水!$E126,记账规则!$A$13:$A$32,0),3),""))</f>
        <v/>
      </c>
      <c r="M3446" s="66" t="str">
        <f aca="false">IF($L3446="","",IFERROR(INDEX(记账规则!$A$13:$H$32,MATCH(资金流水!$E126,记账规则!$A$13:$A$32,0),4),""))</f>
        <v/>
      </c>
      <c r="N3446" s="66" t="str">
        <f aca="false">IF($L3446="","",IFERROR(INDEX(记账规则!$A$13:$H$32,MATCH(资金流水!$E126,记账规则!$A$13:$A$32,0),5),""))</f>
        <v/>
      </c>
      <c r="O3446" s="67" t="n">
        <f aca="false">IF($H3446="",0,ROUND(IF($N3446="金额",N(资金流水!$P126),0),2))</f>
        <v>0</v>
      </c>
      <c r="P3446" s="64" t="str">
        <f aca="false">IF(AND($H3446&lt;&gt;"",ROUND($O3446,2)&lt;&gt;0),"有","")</f>
        <v/>
      </c>
    </row>
    <row r="3447" customFormat="false" ht="15" hidden="true" customHeight="false" outlineLevel="0" collapsed="false">
      <c r="A3447" s="53" t="str">
        <f aca="false">IF($H3447="","",ROW()-5)</f>
        <v/>
      </c>
      <c r="B3447" s="64" t="s">
        <v>37</v>
      </c>
      <c r="C3447" s="53" t="n">
        <v>126</v>
      </c>
      <c r="D3447" s="53" t="n">
        <v>2</v>
      </c>
      <c r="E3447" s="65" t="str">
        <f aca="false">IF($H3447="","",资金流水!$B126)</f>
        <v/>
      </c>
      <c r="F3447" s="55" t="str">
        <f aca="false">IF($H3447="","",资金流水!$C126)</f>
        <v/>
      </c>
      <c r="G3447" s="48" t="str">
        <f aca="false">IF($H3447="","",资金流水!$K126)</f>
        <v/>
      </c>
      <c r="H3447" s="10" t="str">
        <f aca="false">IF($L3447="","",IF($L3447="@对方",资金流水!$G126,IF($L3447="@账户",资金流水!$Q126,$L3447)))</f>
        <v/>
      </c>
      <c r="I3447" s="42" t="n">
        <f aca="false">IF($M3447="借",$O3447,0)</f>
        <v>0</v>
      </c>
      <c r="J3447" s="42" t="n">
        <f aca="false">IF($M3447="贷",$O3447,0)</f>
        <v>0</v>
      </c>
      <c r="K3447" s="48" t="str">
        <f aca="false">IF($H3447="","",资金流水!$F126)</f>
        <v/>
      </c>
      <c r="L3447" s="66" t="str">
        <f aca="false">IF(资金流水!$E126="","",IFERROR(INDEX(记账规则!$A$13:$H$32,MATCH(资金流水!$E126,记账规则!$A$13:$A$32,0),6),""))</f>
        <v/>
      </c>
      <c r="M3447" s="66" t="str">
        <f aca="false">IF($L3447="","",IFERROR(INDEX(记账规则!$A$13:$H$32,MATCH(资金流水!$E126,记账规则!$A$13:$A$32,0),7),""))</f>
        <v/>
      </c>
      <c r="N3447" s="66" t="str">
        <f aca="false">IF($L3447="","",IFERROR(INDEX(记账规则!$A$13:$H$32,MATCH(资金流水!$E126,记账规则!$A$13:$A$32,0),8),""))</f>
        <v/>
      </c>
      <c r="O3447" s="67" t="n">
        <f aca="false">IF($H3447="",0,ROUND(IF($N3447="金额",N(资金流水!$P126),0),2))</f>
        <v>0</v>
      </c>
      <c r="P3447" s="64" t="str">
        <f aca="false">IF(AND($H3447&lt;&gt;"",ROUND($O3447,2)&lt;&gt;0),"有","")</f>
        <v/>
      </c>
    </row>
    <row r="3448" customFormat="false" ht="15" hidden="true" customHeight="false" outlineLevel="0" collapsed="false">
      <c r="A3448" s="53" t="str">
        <f aca="false">IF($H3448="","",ROW()-5)</f>
        <v/>
      </c>
      <c r="B3448" s="64" t="s">
        <v>37</v>
      </c>
      <c r="C3448" s="53" t="n">
        <v>127</v>
      </c>
      <c r="D3448" s="53" t="n">
        <v>1</v>
      </c>
      <c r="E3448" s="65" t="str">
        <f aca="false">IF($H3448="","",资金流水!$B127)</f>
        <v/>
      </c>
      <c r="F3448" s="55" t="str">
        <f aca="false">IF($H3448="","",资金流水!$C127)</f>
        <v/>
      </c>
      <c r="G3448" s="48" t="str">
        <f aca="false">IF($H3448="","",资金流水!$K127)</f>
        <v/>
      </c>
      <c r="H3448" s="10" t="str">
        <f aca="false">IF($L3448="","",IF($L3448="@对方",资金流水!$G127,IF($L3448="@账户",资金流水!$Q127,$L3448)))</f>
        <v/>
      </c>
      <c r="I3448" s="42" t="n">
        <f aca="false">IF($M3448="借",$O3448,0)</f>
        <v>0</v>
      </c>
      <c r="J3448" s="42" t="n">
        <f aca="false">IF($M3448="贷",$O3448,0)</f>
        <v>0</v>
      </c>
      <c r="K3448" s="48" t="str">
        <f aca="false">IF($H3448="","",资金流水!$F127)</f>
        <v/>
      </c>
      <c r="L3448" s="66" t="str">
        <f aca="false">IF(资金流水!$E127="","",IFERROR(INDEX(记账规则!$A$13:$H$32,MATCH(资金流水!$E127,记账规则!$A$13:$A$32,0),3),""))</f>
        <v/>
      </c>
      <c r="M3448" s="66" t="str">
        <f aca="false">IF($L3448="","",IFERROR(INDEX(记账规则!$A$13:$H$32,MATCH(资金流水!$E127,记账规则!$A$13:$A$32,0),4),""))</f>
        <v/>
      </c>
      <c r="N3448" s="66" t="str">
        <f aca="false">IF($L3448="","",IFERROR(INDEX(记账规则!$A$13:$H$32,MATCH(资金流水!$E127,记账规则!$A$13:$A$32,0),5),""))</f>
        <v/>
      </c>
      <c r="O3448" s="67" t="n">
        <f aca="false">IF($H3448="",0,ROUND(IF($N3448="金额",N(资金流水!$P127),0),2))</f>
        <v>0</v>
      </c>
      <c r="P3448" s="64" t="str">
        <f aca="false">IF(AND($H3448&lt;&gt;"",ROUND($O3448,2)&lt;&gt;0),"有","")</f>
        <v/>
      </c>
    </row>
    <row r="3449" customFormat="false" ht="15" hidden="true" customHeight="false" outlineLevel="0" collapsed="false">
      <c r="A3449" s="53" t="str">
        <f aca="false">IF($H3449="","",ROW()-5)</f>
        <v/>
      </c>
      <c r="B3449" s="64" t="s">
        <v>37</v>
      </c>
      <c r="C3449" s="53" t="n">
        <v>127</v>
      </c>
      <c r="D3449" s="53" t="n">
        <v>2</v>
      </c>
      <c r="E3449" s="65" t="str">
        <f aca="false">IF($H3449="","",资金流水!$B127)</f>
        <v/>
      </c>
      <c r="F3449" s="55" t="str">
        <f aca="false">IF($H3449="","",资金流水!$C127)</f>
        <v/>
      </c>
      <c r="G3449" s="48" t="str">
        <f aca="false">IF($H3449="","",资金流水!$K127)</f>
        <v/>
      </c>
      <c r="H3449" s="10" t="str">
        <f aca="false">IF($L3449="","",IF($L3449="@对方",资金流水!$G127,IF($L3449="@账户",资金流水!$Q127,$L3449)))</f>
        <v/>
      </c>
      <c r="I3449" s="42" t="n">
        <f aca="false">IF($M3449="借",$O3449,0)</f>
        <v>0</v>
      </c>
      <c r="J3449" s="42" t="n">
        <f aca="false">IF($M3449="贷",$O3449,0)</f>
        <v>0</v>
      </c>
      <c r="K3449" s="48" t="str">
        <f aca="false">IF($H3449="","",资金流水!$F127)</f>
        <v/>
      </c>
      <c r="L3449" s="66" t="str">
        <f aca="false">IF(资金流水!$E127="","",IFERROR(INDEX(记账规则!$A$13:$H$32,MATCH(资金流水!$E127,记账规则!$A$13:$A$32,0),6),""))</f>
        <v/>
      </c>
      <c r="M3449" s="66" t="str">
        <f aca="false">IF($L3449="","",IFERROR(INDEX(记账规则!$A$13:$H$32,MATCH(资金流水!$E127,记账规则!$A$13:$A$32,0),7),""))</f>
        <v/>
      </c>
      <c r="N3449" s="66" t="str">
        <f aca="false">IF($L3449="","",IFERROR(INDEX(记账规则!$A$13:$H$32,MATCH(资金流水!$E127,记账规则!$A$13:$A$32,0),8),""))</f>
        <v/>
      </c>
      <c r="O3449" s="67" t="n">
        <f aca="false">IF($H3449="",0,ROUND(IF($N3449="金额",N(资金流水!$P127),0),2))</f>
        <v>0</v>
      </c>
      <c r="P3449" s="64" t="str">
        <f aca="false">IF(AND($H3449&lt;&gt;"",ROUND($O3449,2)&lt;&gt;0),"有","")</f>
        <v/>
      </c>
    </row>
    <row r="3450" customFormat="false" ht="15" hidden="true" customHeight="false" outlineLevel="0" collapsed="false">
      <c r="A3450" s="53" t="str">
        <f aca="false">IF($H3450="","",ROW()-5)</f>
        <v/>
      </c>
      <c r="B3450" s="64" t="s">
        <v>37</v>
      </c>
      <c r="C3450" s="53" t="n">
        <v>128</v>
      </c>
      <c r="D3450" s="53" t="n">
        <v>1</v>
      </c>
      <c r="E3450" s="65" t="str">
        <f aca="false">IF($H3450="","",资金流水!$B128)</f>
        <v/>
      </c>
      <c r="F3450" s="55" t="str">
        <f aca="false">IF($H3450="","",资金流水!$C128)</f>
        <v/>
      </c>
      <c r="G3450" s="48" t="str">
        <f aca="false">IF($H3450="","",资金流水!$K128)</f>
        <v/>
      </c>
      <c r="H3450" s="10" t="str">
        <f aca="false">IF($L3450="","",IF($L3450="@对方",资金流水!$G128,IF($L3450="@账户",资金流水!$Q128,$L3450)))</f>
        <v/>
      </c>
      <c r="I3450" s="42" t="n">
        <f aca="false">IF($M3450="借",$O3450,0)</f>
        <v>0</v>
      </c>
      <c r="J3450" s="42" t="n">
        <f aca="false">IF($M3450="贷",$O3450,0)</f>
        <v>0</v>
      </c>
      <c r="K3450" s="48" t="str">
        <f aca="false">IF($H3450="","",资金流水!$F128)</f>
        <v/>
      </c>
      <c r="L3450" s="66" t="str">
        <f aca="false">IF(资金流水!$E128="","",IFERROR(INDEX(记账规则!$A$13:$H$32,MATCH(资金流水!$E128,记账规则!$A$13:$A$32,0),3),""))</f>
        <v/>
      </c>
      <c r="M3450" s="66" t="str">
        <f aca="false">IF($L3450="","",IFERROR(INDEX(记账规则!$A$13:$H$32,MATCH(资金流水!$E128,记账规则!$A$13:$A$32,0),4),""))</f>
        <v/>
      </c>
      <c r="N3450" s="66" t="str">
        <f aca="false">IF($L3450="","",IFERROR(INDEX(记账规则!$A$13:$H$32,MATCH(资金流水!$E128,记账规则!$A$13:$A$32,0),5),""))</f>
        <v/>
      </c>
      <c r="O3450" s="67" t="n">
        <f aca="false">IF($H3450="",0,ROUND(IF($N3450="金额",N(资金流水!$P128),0),2))</f>
        <v>0</v>
      </c>
      <c r="P3450" s="64" t="str">
        <f aca="false">IF(AND($H3450&lt;&gt;"",ROUND($O3450,2)&lt;&gt;0),"有","")</f>
        <v/>
      </c>
    </row>
    <row r="3451" customFormat="false" ht="15" hidden="true" customHeight="false" outlineLevel="0" collapsed="false">
      <c r="A3451" s="53" t="str">
        <f aca="false">IF($H3451="","",ROW()-5)</f>
        <v/>
      </c>
      <c r="B3451" s="64" t="s">
        <v>37</v>
      </c>
      <c r="C3451" s="53" t="n">
        <v>128</v>
      </c>
      <c r="D3451" s="53" t="n">
        <v>2</v>
      </c>
      <c r="E3451" s="65" t="str">
        <f aca="false">IF($H3451="","",资金流水!$B128)</f>
        <v/>
      </c>
      <c r="F3451" s="55" t="str">
        <f aca="false">IF($H3451="","",资金流水!$C128)</f>
        <v/>
      </c>
      <c r="G3451" s="48" t="str">
        <f aca="false">IF($H3451="","",资金流水!$K128)</f>
        <v/>
      </c>
      <c r="H3451" s="10" t="str">
        <f aca="false">IF($L3451="","",IF($L3451="@对方",资金流水!$G128,IF($L3451="@账户",资金流水!$Q128,$L3451)))</f>
        <v/>
      </c>
      <c r="I3451" s="42" t="n">
        <f aca="false">IF($M3451="借",$O3451,0)</f>
        <v>0</v>
      </c>
      <c r="J3451" s="42" t="n">
        <f aca="false">IF($M3451="贷",$O3451,0)</f>
        <v>0</v>
      </c>
      <c r="K3451" s="48" t="str">
        <f aca="false">IF($H3451="","",资金流水!$F128)</f>
        <v/>
      </c>
      <c r="L3451" s="66" t="str">
        <f aca="false">IF(资金流水!$E128="","",IFERROR(INDEX(记账规则!$A$13:$H$32,MATCH(资金流水!$E128,记账规则!$A$13:$A$32,0),6),""))</f>
        <v/>
      </c>
      <c r="M3451" s="66" t="str">
        <f aca="false">IF($L3451="","",IFERROR(INDEX(记账规则!$A$13:$H$32,MATCH(资金流水!$E128,记账规则!$A$13:$A$32,0),7),""))</f>
        <v/>
      </c>
      <c r="N3451" s="66" t="str">
        <f aca="false">IF($L3451="","",IFERROR(INDEX(记账规则!$A$13:$H$32,MATCH(资金流水!$E128,记账规则!$A$13:$A$32,0),8),""))</f>
        <v/>
      </c>
      <c r="O3451" s="67" t="n">
        <f aca="false">IF($H3451="",0,ROUND(IF($N3451="金额",N(资金流水!$P128),0),2))</f>
        <v>0</v>
      </c>
      <c r="P3451" s="64" t="str">
        <f aca="false">IF(AND($H3451&lt;&gt;"",ROUND($O3451,2)&lt;&gt;0),"有","")</f>
        <v/>
      </c>
    </row>
    <row r="3452" customFormat="false" ht="15" hidden="true" customHeight="false" outlineLevel="0" collapsed="false">
      <c r="A3452" s="53" t="str">
        <f aca="false">IF($H3452="","",ROW()-5)</f>
        <v/>
      </c>
      <c r="B3452" s="64" t="s">
        <v>37</v>
      </c>
      <c r="C3452" s="53" t="n">
        <v>129</v>
      </c>
      <c r="D3452" s="53" t="n">
        <v>1</v>
      </c>
      <c r="E3452" s="65" t="str">
        <f aca="false">IF($H3452="","",资金流水!$B129)</f>
        <v/>
      </c>
      <c r="F3452" s="55" t="str">
        <f aca="false">IF($H3452="","",资金流水!$C129)</f>
        <v/>
      </c>
      <c r="G3452" s="48" t="str">
        <f aca="false">IF($H3452="","",资金流水!$K129)</f>
        <v/>
      </c>
      <c r="H3452" s="10" t="str">
        <f aca="false">IF($L3452="","",IF($L3452="@对方",资金流水!$G129,IF($L3452="@账户",资金流水!$Q129,$L3452)))</f>
        <v/>
      </c>
      <c r="I3452" s="42" t="n">
        <f aca="false">IF($M3452="借",$O3452,0)</f>
        <v>0</v>
      </c>
      <c r="J3452" s="42" t="n">
        <f aca="false">IF($M3452="贷",$O3452,0)</f>
        <v>0</v>
      </c>
      <c r="K3452" s="48" t="str">
        <f aca="false">IF($H3452="","",资金流水!$F129)</f>
        <v/>
      </c>
      <c r="L3452" s="66" t="str">
        <f aca="false">IF(资金流水!$E129="","",IFERROR(INDEX(记账规则!$A$13:$H$32,MATCH(资金流水!$E129,记账规则!$A$13:$A$32,0),3),""))</f>
        <v/>
      </c>
      <c r="M3452" s="66" t="str">
        <f aca="false">IF($L3452="","",IFERROR(INDEX(记账规则!$A$13:$H$32,MATCH(资金流水!$E129,记账规则!$A$13:$A$32,0),4),""))</f>
        <v/>
      </c>
      <c r="N3452" s="66" t="str">
        <f aca="false">IF($L3452="","",IFERROR(INDEX(记账规则!$A$13:$H$32,MATCH(资金流水!$E129,记账规则!$A$13:$A$32,0),5),""))</f>
        <v/>
      </c>
      <c r="O3452" s="67" t="n">
        <f aca="false">IF($H3452="",0,ROUND(IF($N3452="金额",N(资金流水!$P129),0),2))</f>
        <v>0</v>
      </c>
      <c r="P3452" s="64" t="str">
        <f aca="false">IF(AND($H3452&lt;&gt;"",ROUND($O3452,2)&lt;&gt;0),"有","")</f>
        <v/>
      </c>
    </row>
    <row r="3453" customFormat="false" ht="15" hidden="true" customHeight="false" outlineLevel="0" collapsed="false">
      <c r="A3453" s="53" t="str">
        <f aca="false">IF($H3453="","",ROW()-5)</f>
        <v/>
      </c>
      <c r="B3453" s="64" t="s">
        <v>37</v>
      </c>
      <c r="C3453" s="53" t="n">
        <v>129</v>
      </c>
      <c r="D3453" s="53" t="n">
        <v>2</v>
      </c>
      <c r="E3453" s="65" t="str">
        <f aca="false">IF($H3453="","",资金流水!$B129)</f>
        <v/>
      </c>
      <c r="F3453" s="55" t="str">
        <f aca="false">IF($H3453="","",资金流水!$C129)</f>
        <v/>
      </c>
      <c r="G3453" s="48" t="str">
        <f aca="false">IF($H3453="","",资金流水!$K129)</f>
        <v/>
      </c>
      <c r="H3453" s="10" t="str">
        <f aca="false">IF($L3453="","",IF($L3453="@对方",资金流水!$G129,IF($L3453="@账户",资金流水!$Q129,$L3453)))</f>
        <v/>
      </c>
      <c r="I3453" s="42" t="n">
        <f aca="false">IF($M3453="借",$O3453,0)</f>
        <v>0</v>
      </c>
      <c r="J3453" s="42" t="n">
        <f aca="false">IF($M3453="贷",$O3453,0)</f>
        <v>0</v>
      </c>
      <c r="K3453" s="48" t="str">
        <f aca="false">IF($H3453="","",资金流水!$F129)</f>
        <v/>
      </c>
      <c r="L3453" s="66" t="str">
        <f aca="false">IF(资金流水!$E129="","",IFERROR(INDEX(记账规则!$A$13:$H$32,MATCH(资金流水!$E129,记账规则!$A$13:$A$32,0),6),""))</f>
        <v/>
      </c>
      <c r="M3453" s="66" t="str">
        <f aca="false">IF($L3453="","",IFERROR(INDEX(记账规则!$A$13:$H$32,MATCH(资金流水!$E129,记账规则!$A$13:$A$32,0),7),""))</f>
        <v/>
      </c>
      <c r="N3453" s="66" t="str">
        <f aca="false">IF($L3453="","",IFERROR(INDEX(记账规则!$A$13:$H$32,MATCH(资金流水!$E129,记账规则!$A$13:$A$32,0),8),""))</f>
        <v/>
      </c>
      <c r="O3453" s="67" t="n">
        <f aca="false">IF($H3453="",0,ROUND(IF($N3453="金额",N(资金流水!$P129),0),2))</f>
        <v>0</v>
      </c>
      <c r="P3453" s="64" t="str">
        <f aca="false">IF(AND($H3453&lt;&gt;"",ROUND($O3453,2)&lt;&gt;0),"有","")</f>
        <v/>
      </c>
    </row>
    <row r="3454" customFormat="false" ht="15" hidden="true" customHeight="false" outlineLevel="0" collapsed="false">
      <c r="A3454" s="53" t="str">
        <f aca="false">IF($H3454="","",ROW()-5)</f>
        <v/>
      </c>
      <c r="B3454" s="64" t="s">
        <v>37</v>
      </c>
      <c r="C3454" s="53" t="n">
        <v>130</v>
      </c>
      <c r="D3454" s="53" t="n">
        <v>1</v>
      </c>
      <c r="E3454" s="65" t="str">
        <f aca="false">IF($H3454="","",资金流水!$B130)</f>
        <v/>
      </c>
      <c r="F3454" s="55" t="str">
        <f aca="false">IF($H3454="","",资金流水!$C130)</f>
        <v/>
      </c>
      <c r="G3454" s="48" t="str">
        <f aca="false">IF($H3454="","",资金流水!$K130)</f>
        <v/>
      </c>
      <c r="H3454" s="10" t="str">
        <f aca="false">IF($L3454="","",IF($L3454="@对方",资金流水!$G130,IF($L3454="@账户",资金流水!$Q130,$L3454)))</f>
        <v/>
      </c>
      <c r="I3454" s="42" t="n">
        <f aca="false">IF($M3454="借",$O3454,0)</f>
        <v>0</v>
      </c>
      <c r="J3454" s="42" t="n">
        <f aca="false">IF($M3454="贷",$O3454,0)</f>
        <v>0</v>
      </c>
      <c r="K3454" s="48" t="str">
        <f aca="false">IF($H3454="","",资金流水!$F130)</f>
        <v/>
      </c>
      <c r="L3454" s="66" t="str">
        <f aca="false">IF(资金流水!$E130="","",IFERROR(INDEX(记账规则!$A$13:$H$32,MATCH(资金流水!$E130,记账规则!$A$13:$A$32,0),3),""))</f>
        <v/>
      </c>
      <c r="M3454" s="66" t="str">
        <f aca="false">IF($L3454="","",IFERROR(INDEX(记账规则!$A$13:$H$32,MATCH(资金流水!$E130,记账规则!$A$13:$A$32,0),4),""))</f>
        <v/>
      </c>
      <c r="N3454" s="66" t="str">
        <f aca="false">IF($L3454="","",IFERROR(INDEX(记账规则!$A$13:$H$32,MATCH(资金流水!$E130,记账规则!$A$13:$A$32,0),5),""))</f>
        <v/>
      </c>
      <c r="O3454" s="67" t="n">
        <f aca="false">IF($H3454="",0,ROUND(IF($N3454="金额",N(资金流水!$P130),0),2))</f>
        <v>0</v>
      </c>
      <c r="P3454" s="64" t="str">
        <f aca="false">IF(AND($H3454&lt;&gt;"",ROUND($O3454,2)&lt;&gt;0),"有","")</f>
        <v/>
      </c>
    </row>
    <row r="3455" customFormat="false" ht="15" hidden="true" customHeight="false" outlineLevel="0" collapsed="false">
      <c r="A3455" s="53" t="str">
        <f aca="false">IF($H3455="","",ROW()-5)</f>
        <v/>
      </c>
      <c r="B3455" s="64" t="s">
        <v>37</v>
      </c>
      <c r="C3455" s="53" t="n">
        <v>130</v>
      </c>
      <c r="D3455" s="53" t="n">
        <v>2</v>
      </c>
      <c r="E3455" s="65" t="str">
        <f aca="false">IF($H3455="","",资金流水!$B130)</f>
        <v/>
      </c>
      <c r="F3455" s="55" t="str">
        <f aca="false">IF($H3455="","",资金流水!$C130)</f>
        <v/>
      </c>
      <c r="G3455" s="48" t="str">
        <f aca="false">IF($H3455="","",资金流水!$K130)</f>
        <v/>
      </c>
      <c r="H3455" s="10" t="str">
        <f aca="false">IF($L3455="","",IF($L3455="@对方",资金流水!$G130,IF($L3455="@账户",资金流水!$Q130,$L3455)))</f>
        <v/>
      </c>
      <c r="I3455" s="42" t="n">
        <f aca="false">IF($M3455="借",$O3455,0)</f>
        <v>0</v>
      </c>
      <c r="J3455" s="42" t="n">
        <f aca="false">IF($M3455="贷",$O3455,0)</f>
        <v>0</v>
      </c>
      <c r="K3455" s="48" t="str">
        <f aca="false">IF($H3455="","",资金流水!$F130)</f>
        <v/>
      </c>
      <c r="L3455" s="66" t="str">
        <f aca="false">IF(资金流水!$E130="","",IFERROR(INDEX(记账规则!$A$13:$H$32,MATCH(资金流水!$E130,记账规则!$A$13:$A$32,0),6),""))</f>
        <v/>
      </c>
      <c r="M3455" s="66" t="str">
        <f aca="false">IF($L3455="","",IFERROR(INDEX(记账规则!$A$13:$H$32,MATCH(资金流水!$E130,记账规则!$A$13:$A$32,0),7),""))</f>
        <v/>
      </c>
      <c r="N3455" s="66" t="str">
        <f aca="false">IF($L3455="","",IFERROR(INDEX(记账规则!$A$13:$H$32,MATCH(资金流水!$E130,记账规则!$A$13:$A$32,0),8),""))</f>
        <v/>
      </c>
      <c r="O3455" s="67" t="n">
        <f aca="false">IF($H3455="",0,ROUND(IF($N3455="金额",N(资金流水!$P130),0),2))</f>
        <v>0</v>
      </c>
      <c r="P3455" s="64" t="str">
        <f aca="false">IF(AND($H3455&lt;&gt;"",ROUND($O3455,2)&lt;&gt;0),"有","")</f>
        <v/>
      </c>
    </row>
    <row r="3456" customFormat="false" ht="15" hidden="true" customHeight="false" outlineLevel="0" collapsed="false">
      <c r="A3456" s="53" t="str">
        <f aca="false">IF($H3456="","",ROW()-5)</f>
        <v/>
      </c>
      <c r="B3456" s="64" t="s">
        <v>37</v>
      </c>
      <c r="C3456" s="53" t="n">
        <v>131</v>
      </c>
      <c r="D3456" s="53" t="n">
        <v>1</v>
      </c>
      <c r="E3456" s="65" t="str">
        <f aca="false">IF($H3456="","",资金流水!$B131)</f>
        <v/>
      </c>
      <c r="F3456" s="55" t="str">
        <f aca="false">IF($H3456="","",资金流水!$C131)</f>
        <v/>
      </c>
      <c r="G3456" s="48" t="str">
        <f aca="false">IF($H3456="","",资金流水!$K131)</f>
        <v/>
      </c>
      <c r="H3456" s="10" t="str">
        <f aca="false">IF($L3456="","",IF($L3456="@对方",资金流水!$G131,IF($L3456="@账户",资金流水!$Q131,$L3456)))</f>
        <v/>
      </c>
      <c r="I3456" s="42" t="n">
        <f aca="false">IF($M3456="借",$O3456,0)</f>
        <v>0</v>
      </c>
      <c r="J3456" s="42" t="n">
        <f aca="false">IF($M3456="贷",$O3456,0)</f>
        <v>0</v>
      </c>
      <c r="K3456" s="48" t="str">
        <f aca="false">IF($H3456="","",资金流水!$F131)</f>
        <v/>
      </c>
      <c r="L3456" s="66" t="str">
        <f aca="false">IF(资金流水!$E131="","",IFERROR(INDEX(记账规则!$A$13:$H$32,MATCH(资金流水!$E131,记账规则!$A$13:$A$32,0),3),""))</f>
        <v/>
      </c>
      <c r="M3456" s="66" t="str">
        <f aca="false">IF($L3456="","",IFERROR(INDEX(记账规则!$A$13:$H$32,MATCH(资金流水!$E131,记账规则!$A$13:$A$32,0),4),""))</f>
        <v/>
      </c>
      <c r="N3456" s="66" t="str">
        <f aca="false">IF($L3456="","",IFERROR(INDEX(记账规则!$A$13:$H$32,MATCH(资金流水!$E131,记账规则!$A$13:$A$32,0),5),""))</f>
        <v/>
      </c>
      <c r="O3456" s="67" t="n">
        <f aca="false">IF($H3456="",0,ROUND(IF($N3456="金额",N(资金流水!$P131),0),2))</f>
        <v>0</v>
      </c>
      <c r="P3456" s="64" t="str">
        <f aca="false">IF(AND($H3456&lt;&gt;"",ROUND($O3456,2)&lt;&gt;0),"有","")</f>
        <v/>
      </c>
    </row>
    <row r="3457" customFormat="false" ht="15" hidden="true" customHeight="false" outlineLevel="0" collapsed="false">
      <c r="A3457" s="53" t="str">
        <f aca="false">IF($H3457="","",ROW()-5)</f>
        <v/>
      </c>
      <c r="B3457" s="64" t="s">
        <v>37</v>
      </c>
      <c r="C3457" s="53" t="n">
        <v>131</v>
      </c>
      <c r="D3457" s="53" t="n">
        <v>2</v>
      </c>
      <c r="E3457" s="65" t="str">
        <f aca="false">IF($H3457="","",资金流水!$B131)</f>
        <v/>
      </c>
      <c r="F3457" s="55" t="str">
        <f aca="false">IF($H3457="","",资金流水!$C131)</f>
        <v/>
      </c>
      <c r="G3457" s="48" t="str">
        <f aca="false">IF($H3457="","",资金流水!$K131)</f>
        <v/>
      </c>
      <c r="H3457" s="10" t="str">
        <f aca="false">IF($L3457="","",IF($L3457="@对方",资金流水!$G131,IF($L3457="@账户",资金流水!$Q131,$L3457)))</f>
        <v/>
      </c>
      <c r="I3457" s="42" t="n">
        <f aca="false">IF($M3457="借",$O3457,0)</f>
        <v>0</v>
      </c>
      <c r="J3457" s="42" t="n">
        <f aca="false">IF($M3457="贷",$O3457,0)</f>
        <v>0</v>
      </c>
      <c r="K3457" s="48" t="str">
        <f aca="false">IF($H3457="","",资金流水!$F131)</f>
        <v/>
      </c>
      <c r="L3457" s="66" t="str">
        <f aca="false">IF(资金流水!$E131="","",IFERROR(INDEX(记账规则!$A$13:$H$32,MATCH(资金流水!$E131,记账规则!$A$13:$A$32,0),6),""))</f>
        <v/>
      </c>
      <c r="M3457" s="66" t="str">
        <f aca="false">IF($L3457="","",IFERROR(INDEX(记账规则!$A$13:$H$32,MATCH(资金流水!$E131,记账规则!$A$13:$A$32,0),7),""))</f>
        <v/>
      </c>
      <c r="N3457" s="66" t="str">
        <f aca="false">IF($L3457="","",IFERROR(INDEX(记账规则!$A$13:$H$32,MATCH(资金流水!$E131,记账规则!$A$13:$A$32,0),8),""))</f>
        <v/>
      </c>
      <c r="O3457" s="67" t="n">
        <f aca="false">IF($H3457="",0,ROUND(IF($N3457="金额",N(资金流水!$P131),0),2))</f>
        <v>0</v>
      </c>
      <c r="P3457" s="64" t="str">
        <f aca="false">IF(AND($H3457&lt;&gt;"",ROUND($O3457,2)&lt;&gt;0),"有","")</f>
        <v/>
      </c>
    </row>
    <row r="3458" customFormat="false" ht="15" hidden="true" customHeight="false" outlineLevel="0" collapsed="false">
      <c r="A3458" s="53" t="str">
        <f aca="false">IF($H3458="","",ROW()-5)</f>
        <v/>
      </c>
      <c r="B3458" s="64" t="s">
        <v>37</v>
      </c>
      <c r="C3458" s="53" t="n">
        <v>132</v>
      </c>
      <c r="D3458" s="53" t="n">
        <v>1</v>
      </c>
      <c r="E3458" s="65" t="str">
        <f aca="false">IF($H3458="","",资金流水!$B132)</f>
        <v/>
      </c>
      <c r="F3458" s="55" t="str">
        <f aca="false">IF($H3458="","",资金流水!$C132)</f>
        <v/>
      </c>
      <c r="G3458" s="48" t="str">
        <f aca="false">IF($H3458="","",资金流水!$K132)</f>
        <v/>
      </c>
      <c r="H3458" s="10" t="str">
        <f aca="false">IF($L3458="","",IF($L3458="@对方",资金流水!$G132,IF($L3458="@账户",资金流水!$Q132,$L3458)))</f>
        <v/>
      </c>
      <c r="I3458" s="42" t="n">
        <f aca="false">IF($M3458="借",$O3458,0)</f>
        <v>0</v>
      </c>
      <c r="J3458" s="42" t="n">
        <f aca="false">IF($M3458="贷",$O3458,0)</f>
        <v>0</v>
      </c>
      <c r="K3458" s="48" t="str">
        <f aca="false">IF($H3458="","",资金流水!$F132)</f>
        <v/>
      </c>
      <c r="L3458" s="66" t="str">
        <f aca="false">IF(资金流水!$E132="","",IFERROR(INDEX(记账规则!$A$13:$H$32,MATCH(资金流水!$E132,记账规则!$A$13:$A$32,0),3),""))</f>
        <v/>
      </c>
      <c r="M3458" s="66" t="str">
        <f aca="false">IF($L3458="","",IFERROR(INDEX(记账规则!$A$13:$H$32,MATCH(资金流水!$E132,记账规则!$A$13:$A$32,0),4),""))</f>
        <v/>
      </c>
      <c r="N3458" s="66" t="str">
        <f aca="false">IF($L3458="","",IFERROR(INDEX(记账规则!$A$13:$H$32,MATCH(资金流水!$E132,记账规则!$A$13:$A$32,0),5),""))</f>
        <v/>
      </c>
      <c r="O3458" s="67" t="n">
        <f aca="false">IF($H3458="",0,ROUND(IF($N3458="金额",N(资金流水!$P132),0),2))</f>
        <v>0</v>
      </c>
      <c r="P3458" s="64" t="str">
        <f aca="false">IF(AND($H3458&lt;&gt;"",ROUND($O3458,2)&lt;&gt;0),"有","")</f>
        <v/>
      </c>
    </row>
    <row r="3459" customFormat="false" ht="15" hidden="true" customHeight="false" outlineLevel="0" collapsed="false">
      <c r="A3459" s="53" t="str">
        <f aca="false">IF($H3459="","",ROW()-5)</f>
        <v/>
      </c>
      <c r="B3459" s="64" t="s">
        <v>37</v>
      </c>
      <c r="C3459" s="53" t="n">
        <v>132</v>
      </c>
      <c r="D3459" s="53" t="n">
        <v>2</v>
      </c>
      <c r="E3459" s="65" t="str">
        <f aca="false">IF($H3459="","",资金流水!$B132)</f>
        <v/>
      </c>
      <c r="F3459" s="55" t="str">
        <f aca="false">IF($H3459="","",资金流水!$C132)</f>
        <v/>
      </c>
      <c r="G3459" s="48" t="str">
        <f aca="false">IF($H3459="","",资金流水!$K132)</f>
        <v/>
      </c>
      <c r="H3459" s="10" t="str">
        <f aca="false">IF($L3459="","",IF($L3459="@对方",资金流水!$G132,IF($L3459="@账户",资金流水!$Q132,$L3459)))</f>
        <v/>
      </c>
      <c r="I3459" s="42" t="n">
        <f aca="false">IF($M3459="借",$O3459,0)</f>
        <v>0</v>
      </c>
      <c r="J3459" s="42" t="n">
        <f aca="false">IF($M3459="贷",$O3459,0)</f>
        <v>0</v>
      </c>
      <c r="K3459" s="48" t="str">
        <f aca="false">IF($H3459="","",资金流水!$F132)</f>
        <v/>
      </c>
      <c r="L3459" s="66" t="str">
        <f aca="false">IF(资金流水!$E132="","",IFERROR(INDEX(记账规则!$A$13:$H$32,MATCH(资金流水!$E132,记账规则!$A$13:$A$32,0),6),""))</f>
        <v/>
      </c>
      <c r="M3459" s="66" t="str">
        <f aca="false">IF($L3459="","",IFERROR(INDEX(记账规则!$A$13:$H$32,MATCH(资金流水!$E132,记账规则!$A$13:$A$32,0),7),""))</f>
        <v/>
      </c>
      <c r="N3459" s="66" t="str">
        <f aca="false">IF($L3459="","",IFERROR(INDEX(记账规则!$A$13:$H$32,MATCH(资金流水!$E132,记账规则!$A$13:$A$32,0),8),""))</f>
        <v/>
      </c>
      <c r="O3459" s="67" t="n">
        <f aca="false">IF($H3459="",0,ROUND(IF($N3459="金额",N(资金流水!$P132),0),2))</f>
        <v>0</v>
      </c>
      <c r="P3459" s="64" t="str">
        <f aca="false">IF(AND($H3459&lt;&gt;"",ROUND($O3459,2)&lt;&gt;0),"有","")</f>
        <v/>
      </c>
    </row>
    <row r="3460" customFormat="false" ht="15" hidden="true" customHeight="false" outlineLevel="0" collapsed="false">
      <c r="A3460" s="53" t="str">
        <f aca="false">IF($H3460="","",ROW()-5)</f>
        <v/>
      </c>
      <c r="B3460" s="64" t="s">
        <v>37</v>
      </c>
      <c r="C3460" s="53" t="n">
        <v>133</v>
      </c>
      <c r="D3460" s="53" t="n">
        <v>1</v>
      </c>
      <c r="E3460" s="65" t="str">
        <f aca="false">IF($H3460="","",资金流水!$B133)</f>
        <v/>
      </c>
      <c r="F3460" s="55" t="str">
        <f aca="false">IF($H3460="","",资金流水!$C133)</f>
        <v/>
      </c>
      <c r="G3460" s="48" t="str">
        <f aca="false">IF($H3460="","",资金流水!$K133)</f>
        <v/>
      </c>
      <c r="H3460" s="10" t="str">
        <f aca="false">IF($L3460="","",IF($L3460="@对方",资金流水!$G133,IF($L3460="@账户",资金流水!$Q133,$L3460)))</f>
        <v/>
      </c>
      <c r="I3460" s="42" t="n">
        <f aca="false">IF($M3460="借",$O3460,0)</f>
        <v>0</v>
      </c>
      <c r="J3460" s="42" t="n">
        <f aca="false">IF($M3460="贷",$O3460,0)</f>
        <v>0</v>
      </c>
      <c r="K3460" s="48" t="str">
        <f aca="false">IF($H3460="","",资金流水!$F133)</f>
        <v/>
      </c>
      <c r="L3460" s="66" t="str">
        <f aca="false">IF(资金流水!$E133="","",IFERROR(INDEX(记账规则!$A$13:$H$32,MATCH(资金流水!$E133,记账规则!$A$13:$A$32,0),3),""))</f>
        <v/>
      </c>
      <c r="M3460" s="66" t="str">
        <f aca="false">IF($L3460="","",IFERROR(INDEX(记账规则!$A$13:$H$32,MATCH(资金流水!$E133,记账规则!$A$13:$A$32,0),4),""))</f>
        <v/>
      </c>
      <c r="N3460" s="66" t="str">
        <f aca="false">IF($L3460="","",IFERROR(INDEX(记账规则!$A$13:$H$32,MATCH(资金流水!$E133,记账规则!$A$13:$A$32,0),5),""))</f>
        <v/>
      </c>
      <c r="O3460" s="67" t="n">
        <f aca="false">IF($H3460="",0,ROUND(IF($N3460="金额",N(资金流水!$P133),0),2))</f>
        <v>0</v>
      </c>
      <c r="P3460" s="64" t="str">
        <f aca="false">IF(AND($H3460&lt;&gt;"",ROUND($O3460,2)&lt;&gt;0),"有","")</f>
        <v/>
      </c>
    </row>
    <row r="3461" customFormat="false" ht="15" hidden="true" customHeight="false" outlineLevel="0" collapsed="false">
      <c r="A3461" s="53" t="str">
        <f aca="false">IF($H3461="","",ROW()-5)</f>
        <v/>
      </c>
      <c r="B3461" s="64" t="s">
        <v>37</v>
      </c>
      <c r="C3461" s="53" t="n">
        <v>133</v>
      </c>
      <c r="D3461" s="53" t="n">
        <v>2</v>
      </c>
      <c r="E3461" s="65" t="str">
        <f aca="false">IF($H3461="","",资金流水!$B133)</f>
        <v/>
      </c>
      <c r="F3461" s="55" t="str">
        <f aca="false">IF($H3461="","",资金流水!$C133)</f>
        <v/>
      </c>
      <c r="G3461" s="48" t="str">
        <f aca="false">IF($H3461="","",资金流水!$K133)</f>
        <v/>
      </c>
      <c r="H3461" s="10" t="str">
        <f aca="false">IF($L3461="","",IF($L3461="@对方",资金流水!$G133,IF($L3461="@账户",资金流水!$Q133,$L3461)))</f>
        <v/>
      </c>
      <c r="I3461" s="42" t="n">
        <f aca="false">IF($M3461="借",$O3461,0)</f>
        <v>0</v>
      </c>
      <c r="J3461" s="42" t="n">
        <f aca="false">IF($M3461="贷",$O3461,0)</f>
        <v>0</v>
      </c>
      <c r="K3461" s="48" t="str">
        <f aca="false">IF($H3461="","",资金流水!$F133)</f>
        <v/>
      </c>
      <c r="L3461" s="66" t="str">
        <f aca="false">IF(资金流水!$E133="","",IFERROR(INDEX(记账规则!$A$13:$H$32,MATCH(资金流水!$E133,记账规则!$A$13:$A$32,0),6),""))</f>
        <v/>
      </c>
      <c r="M3461" s="66" t="str">
        <f aca="false">IF($L3461="","",IFERROR(INDEX(记账规则!$A$13:$H$32,MATCH(资金流水!$E133,记账规则!$A$13:$A$32,0),7),""))</f>
        <v/>
      </c>
      <c r="N3461" s="66" t="str">
        <f aca="false">IF($L3461="","",IFERROR(INDEX(记账规则!$A$13:$H$32,MATCH(资金流水!$E133,记账规则!$A$13:$A$32,0),8),""))</f>
        <v/>
      </c>
      <c r="O3461" s="67" t="n">
        <f aca="false">IF($H3461="",0,ROUND(IF($N3461="金额",N(资金流水!$P133),0),2))</f>
        <v>0</v>
      </c>
      <c r="P3461" s="64" t="str">
        <f aca="false">IF(AND($H3461&lt;&gt;"",ROUND($O3461,2)&lt;&gt;0),"有","")</f>
        <v/>
      </c>
    </row>
    <row r="3462" customFormat="false" ht="15" hidden="true" customHeight="false" outlineLevel="0" collapsed="false">
      <c r="A3462" s="53" t="str">
        <f aca="false">IF($H3462="","",ROW()-5)</f>
        <v/>
      </c>
      <c r="B3462" s="64" t="s">
        <v>37</v>
      </c>
      <c r="C3462" s="53" t="n">
        <v>134</v>
      </c>
      <c r="D3462" s="53" t="n">
        <v>1</v>
      </c>
      <c r="E3462" s="65" t="str">
        <f aca="false">IF($H3462="","",资金流水!$B134)</f>
        <v/>
      </c>
      <c r="F3462" s="55" t="str">
        <f aca="false">IF($H3462="","",资金流水!$C134)</f>
        <v/>
      </c>
      <c r="G3462" s="48" t="str">
        <f aca="false">IF($H3462="","",资金流水!$K134)</f>
        <v/>
      </c>
      <c r="H3462" s="10" t="str">
        <f aca="false">IF($L3462="","",IF($L3462="@对方",资金流水!$G134,IF($L3462="@账户",资金流水!$Q134,$L3462)))</f>
        <v/>
      </c>
      <c r="I3462" s="42" t="n">
        <f aca="false">IF($M3462="借",$O3462,0)</f>
        <v>0</v>
      </c>
      <c r="J3462" s="42" t="n">
        <f aca="false">IF($M3462="贷",$O3462,0)</f>
        <v>0</v>
      </c>
      <c r="K3462" s="48" t="str">
        <f aca="false">IF($H3462="","",资金流水!$F134)</f>
        <v/>
      </c>
      <c r="L3462" s="66" t="str">
        <f aca="false">IF(资金流水!$E134="","",IFERROR(INDEX(记账规则!$A$13:$H$32,MATCH(资金流水!$E134,记账规则!$A$13:$A$32,0),3),""))</f>
        <v/>
      </c>
      <c r="M3462" s="66" t="str">
        <f aca="false">IF($L3462="","",IFERROR(INDEX(记账规则!$A$13:$H$32,MATCH(资金流水!$E134,记账规则!$A$13:$A$32,0),4),""))</f>
        <v/>
      </c>
      <c r="N3462" s="66" t="str">
        <f aca="false">IF($L3462="","",IFERROR(INDEX(记账规则!$A$13:$H$32,MATCH(资金流水!$E134,记账规则!$A$13:$A$32,0),5),""))</f>
        <v/>
      </c>
      <c r="O3462" s="67" t="n">
        <f aca="false">IF($H3462="",0,ROUND(IF($N3462="金额",N(资金流水!$P134),0),2))</f>
        <v>0</v>
      </c>
      <c r="P3462" s="64" t="str">
        <f aca="false">IF(AND($H3462&lt;&gt;"",ROUND($O3462,2)&lt;&gt;0),"有","")</f>
        <v/>
      </c>
    </row>
    <row r="3463" customFormat="false" ht="15" hidden="true" customHeight="false" outlineLevel="0" collapsed="false">
      <c r="A3463" s="53" t="str">
        <f aca="false">IF($H3463="","",ROW()-5)</f>
        <v/>
      </c>
      <c r="B3463" s="64" t="s">
        <v>37</v>
      </c>
      <c r="C3463" s="53" t="n">
        <v>134</v>
      </c>
      <c r="D3463" s="53" t="n">
        <v>2</v>
      </c>
      <c r="E3463" s="65" t="str">
        <f aca="false">IF($H3463="","",资金流水!$B134)</f>
        <v/>
      </c>
      <c r="F3463" s="55" t="str">
        <f aca="false">IF($H3463="","",资金流水!$C134)</f>
        <v/>
      </c>
      <c r="G3463" s="48" t="str">
        <f aca="false">IF($H3463="","",资金流水!$K134)</f>
        <v/>
      </c>
      <c r="H3463" s="10" t="str">
        <f aca="false">IF($L3463="","",IF($L3463="@对方",资金流水!$G134,IF($L3463="@账户",资金流水!$Q134,$L3463)))</f>
        <v/>
      </c>
      <c r="I3463" s="42" t="n">
        <f aca="false">IF($M3463="借",$O3463,0)</f>
        <v>0</v>
      </c>
      <c r="J3463" s="42" t="n">
        <f aca="false">IF($M3463="贷",$O3463,0)</f>
        <v>0</v>
      </c>
      <c r="K3463" s="48" t="str">
        <f aca="false">IF($H3463="","",资金流水!$F134)</f>
        <v/>
      </c>
      <c r="L3463" s="66" t="str">
        <f aca="false">IF(资金流水!$E134="","",IFERROR(INDEX(记账规则!$A$13:$H$32,MATCH(资金流水!$E134,记账规则!$A$13:$A$32,0),6),""))</f>
        <v/>
      </c>
      <c r="M3463" s="66" t="str">
        <f aca="false">IF($L3463="","",IFERROR(INDEX(记账规则!$A$13:$H$32,MATCH(资金流水!$E134,记账规则!$A$13:$A$32,0),7),""))</f>
        <v/>
      </c>
      <c r="N3463" s="66" t="str">
        <f aca="false">IF($L3463="","",IFERROR(INDEX(记账规则!$A$13:$H$32,MATCH(资金流水!$E134,记账规则!$A$13:$A$32,0),8),""))</f>
        <v/>
      </c>
      <c r="O3463" s="67" t="n">
        <f aca="false">IF($H3463="",0,ROUND(IF($N3463="金额",N(资金流水!$P134),0),2))</f>
        <v>0</v>
      </c>
      <c r="P3463" s="64" t="str">
        <f aca="false">IF(AND($H3463&lt;&gt;"",ROUND($O3463,2)&lt;&gt;0),"有","")</f>
        <v/>
      </c>
    </row>
    <row r="3464" customFormat="false" ht="15" hidden="true" customHeight="false" outlineLevel="0" collapsed="false">
      <c r="A3464" s="53" t="str">
        <f aca="false">IF($H3464="","",ROW()-5)</f>
        <v/>
      </c>
      <c r="B3464" s="64" t="s">
        <v>37</v>
      </c>
      <c r="C3464" s="53" t="n">
        <v>135</v>
      </c>
      <c r="D3464" s="53" t="n">
        <v>1</v>
      </c>
      <c r="E3464" s="65" t="str">
        <f aca="false">IF($H3464="","",资金流水!$B135)</f>
        <v/>
      </c>
      <c r="F3464" s="55" t="str">
        <f aca="false">IF($H3464="","",资金流水!$C135)</f>
        <v/>
      </c>
      <c r="G3464" s="48" t="str">
        <f aca="false">IF($H3464="","",资金流水!$K135)</f>
        <v/>
      </c>
      <c r="H3464" s="10" t="str">
        <f aca="false">IF($L3464="","",IF($L3464="@对方",资金流水!$G135,IF($L3464="@账户",资金流水!$Q135,$L3464)))</f>
        <v/>
      </c>
      <c r="I3464" s="42" t="n">
        <f aca="false">IF($M3464="借",$O3464,0)</f>
        <v>0</v>
      </c>
      <c r="J3464" s="42" t="n">
        <f aca="false">IF($M3464="贷",$O3464,0)</f>
        <v>0</v>
      </c>
      <c r="K3464" s="48" t="str">
        <f aca="false">IF($H3464="","",资金流水!$F135)</f>
        <v/>
      </c>
      <c r="L3464" s="66" t="str">
        <f aca="false">IF(资金流水!$E135="","",IFERROR(INDEX(记账规则!$A$13:$H$32,MATCH(资金流水!$E135,记账规则!$A$13:$A$32,0),3),""))</f>
        <v/>
      </c>
      <c r="M3464" s="66" t="str">
        <f aca="false">IF($L3464="","",IFERROR(INDEX(记账规则!$A$13:$H$32,MATCH(资金流水!$E135,记账规则!$A$13:$A$32,0),4),""))</f>
        <v/>
      </c>
      <c r="N3464" s="66" t="str">
        <f aca="false">IF($L3464="","",IFERROR(INDEX(记账规则!$A$13:$H$32,MATCH(资金流水!$E135,记账规则!$A$13:$A$32,0),5),""))</f>
        <v/>
      </c>
      <c r="O3464" s="67" t="n">
        <f aca="false">IF($H3464="",0,ROUND(IF($N3464="金额",N(资金流水!$P135),0),2))</f>
        <v>0</v>
      </c>
      <c r="P3464" s="64" t="str">
        <f aca="false">IF(AND($H3464&lt;&gt;"",ROUND($O3464,2)&lt;&gt;0),"有","")</f>
        <v/>
      </c>
    </row>
    <row r="3465" customFormat="false" ht="15" hidden="true" customHeight="false" outlineLevel="0" collapsed="false">
      <c r="A3465" s="53" t="str">
        <f aca="false">IF($H3465="","",ROW()-5)</f>
        <v/>
      </c>
      <c r="B3465" s="64" t="s">
        <v>37</v>
      </c>
      <c r="C3465" s="53" t="n">
        <v>135</v>
      </c>
      <c r="D3465" s="53" t="n">
        <v>2</v>
      </c>
      <c r="E3465" s="65" t="str">
        <f aca="false">IF($H3465="","",资金流水!$B135)</f>
        <v/>
      </c>
      <c r="F3465" s="55" t="str">
        <f aca="false">IF($H3465="","",资金流水!$C135)</f>
        <v/>
      </c>
      <c r="G3465" s="48" t="str">
        <f aca="false">IF($H3465="","",资金流水!$K135)</f>
        <v/>
      </c>
      <c r="H3465" s="10" t="str">
        <f aca="false">IF($L3465="","",IF($L3465="@对方",资金流水!$G135,IF($L3465="@账户",资金流水!$Q135,$L3465)))</f>
        <v/>
      </c>
      <c r="I3465" s="42" t="n">
        <f aca="false">IF($M3465="借",$O3465,0)</f>
        <v>0</v>
      </c>
      <c r="J3465" s="42" t="n">
        <f aca="false">IF($M3465="贷",$O3465,0)</f>
        <v>0</v>
      </c>
      <c r="K3465" s="48" t="str">
        <f aca="false">IF($H3465="","",资金流水!$F135)</f>
        <v/>
      </c>
      <c r="L3465" s="66" t="str">
        <f aca="false">IF(资金流水!$E135="","",IFERROR(INDEX(记账规则!$A$13:$H$32,MATCH(资金流水!$E135,记账规则!$A$13:$A$32,0),6),""))</f>
        <v/>
      </c>
      <c r="M3465" s="66" t="str">
        <f aca="false">IF($L3465="","",IFERROR(INDEX(记账规则!$A$13:$H$32,MATCH(资金流水!$E135,记账规则!$A$13:$A$32,0),7),""))</f>
        <v/>
      </c>
      <c r="N3465" s="66" t="str">
        <f aca="false">IF($L3465="","",IFERROR(INDEX(记账规则!$A$13:$H$32,MATCH(资金流水!$E135,记账规则!$A$13:$A$32,0),8),""))</f>
        <v/>
      </c>
      <c r="O3465" s="67" t="n">
        <f aca="false">IF($H3465="",0,ROUND(IF($N3465="金额",N(资金流水!$P135),0),2))</f>
        <v>0</v>
      </c>
      <c r="P3465" s="64" t="str">
        <f aca="false">IF(AND($H3465&lt;&gt;"",ROUND($O3465,2)&lt;&gt;0),"有","")</f>
        <v/>
      </c>
    </row>
    <row r="3466" customFormat="false" ht="15" hidden="true" customHeight="false" outlineLevel="0" collapsed="false">
      <c r="A3466" s="53" t="str">
        <f aca="false">IF($H3466="","",ROW()-5)</f>
        <v/>
      </c>
      <c r="B3466" s="64" t="s">
        <v>37</v>
      </c>
      <c r="C3466" s="53" t="n">
        <v>136</v>
      </c>
      <c r="D3466" s="53" t="n">
        <v>1</v>
      </c>
      <c r="E3466" s="65" t="str">
        <f aca="false">IF($H3466="","",资金流水!$B136)</f>
        <v/>
      </c>
      <c r="F3466" s="55" t="str">
        <f aca="false">IF($H3466="","",资金流水!$C136)</f>
        <v/>
      </c>
      <c r="G3466" s="48" t="str">
        <f aca="false">IF($H3466="","",资金流水!$K136)</f>
        <v/>
      </c>
      <c r="H3466" s="10" t="str">
        <f aca="false">IF($L3466="","",IF($L3466="@对方",资金流水!$G136,IF($L3466="@账户",资金流水!$Q136,$L3466)))</f>
        <v/>
      </c>
      <c r="I3466" s="42" t="n">
        <f aca="false">IF($M3466="借",$O3466,0)</f>
        <v>0</v>
      </c>
      <c r="J3466" s="42" t="n">
        <f aca="false">IF($M3466="贷",$O3466,0)</f>
        <v>0</v>
      </c>
      <c r="K3466" s="48" t="str">
        <f aca="false">IF($H3466="","",资金流水!$F136)</f>
        <v/>
      </c>
      <c r="L3466" s="66" t="str">
        <f aca="false">IF(资金流水!$E136="","",IFERROR(INDEX(记账规则!$A$13:$H$32,MATCH(资金流水!$E136,记账规则!$A$13:$A$32,0),3),""))</f>
        <v/>
      </c>
      <c r="M3466" s="66" t="str">
        <f aca="false">IF($L3466="","",IFERROR(INDEX(记账规则!$A$13:$H$32,MATCH(资金流水!$E136,记账规则!$A$13:$A$32,0),4),""))</f>
        <v/>
      </c>
      <c r="N3466" s="66" t="str">
        <f aca="false">IF($L3466="","",IFERROR(INDEX(记账规则!$A$13:$H$32,MATCH(资金流水!$E136,记账规则!$A$13:$A$32,0),5),""))</f>
        <v/>
      </c>
      <c r="O3466" s="67" t="n">
        <f aca="false">IF($H3466="",0,ROUND(IF($N3466="金额",N(资金流水!$P136),0),2))</f>
        <v>0</v>
      </c>
      <c r="P3466" s="64" t="str">
        <f aca="false">IF(AND($H3466&lt;&gt;"",ROUND($O3466,2)&lt;&gt;0),"有","")</f>
        <v/>
      </c>
    </row>
    <row r="3467" customFormat="false" ht="15" hidden="true" customHeight="false" outlineLevel="0" collapsed="false">
      <c r="A3467" s="53" t="str">
        <f aca="false">IF($H3467="","",ROW()-5)</f>
        <v/>
      </c>
      <c r="B3467" s="64" t="s">
        <v>37</v>
      </c>
      <c r="C3467" s="53" t="n">
        <v>136</v>
      </c>
      <c r="D3467" s="53" t="n">
        <v>2</v>
      </c>
      <c r="E3467" s="65" t="str">
        <f aca="false">IF($H3467="","",资金流水!$B136)</f>
        <v/>
      </c>
      <c r="F3467" s="55" t="str">
        <f aca="false">IF($H3467="","",资金流水!$C136)</f>
        <v/>
      </c>
      <c r="G3467" s="48" t="str">
        <f aca="false">IF($H3467="","",资金流水!$K136)</f>
        <v/>
      </c>
      <c r="H3467" s="10" t="str">
        <f aca="false">IF($L3467="","",IF($L3467="@对方",资金流水!$G136,IF($L3467="@账户",资金流水!$Q136,$L3467)))</f>
        <v/>
      </c>
      <c r="I3467" s="42" t="n">
        <f aca="false">IF($M3467="借",$O3467,0)</f>
        <v>0</v>
      </c>
      <c r="J3467" s="42" t="n">
        <f aca="false">IF($M3467="贷",$O3467,0)</f>
        <v>0</v>
      </c>
      <c r="K3467" s="48" t="str">
        <f aca="false">IF($H3467="","",资金流水!$F136)</f>
        <v/>
      </c>
      <c r="L3467" s="66" t="str">
        <f aca="false">IF(资金流水!$E136="","",IFERROR(INDEX(记账规则!$A$13:$H$32,MATCH(资金流水!$E136,记账规则!$A$13:$A$32,0),6),""))</f>
        <v/>
      </c>
      <c r="M3467" s="66" t="str">
        <f aca="false">IF($L3467="","",IFERROR(INDEX(记账规则!$A$13:$H$32,MATCH(资金流水!$E136,记账规则!$A$13:$A$32,0),7),""))</f>
        <v/>
      </c>
      <c r="N3467" s="66" t="str">
        <f aca="false">IF($L3467="","",IFERROR(INDEX(记账规则!$A$13:$H$32,MATCH(资金流水!$E136,记账规则!$A$13:$A$32,0),8),""))</f>
        <v/>
      </c>
      <c r="O3467" s="67" t="n">
        <f aca="false">IF($H3467="",0,ROUND(IF($N3467="金额",N(资金流水!$P136),0),2))</f>
        <v>0</v>
      </c>
      <c r="P3467" s="64" t="str">
        <f aca="false">IF(AND($H3467&lt;&gt;"",ROUND($O3467,2)&lt;&gt;0),"有","")</f>
        <v/>
      </c>
    </row>
    <row r="3468" customFormat="false" ht="15" hidden="true" customHeight="false" outlineLevel="0" collapsed="false">
      <c r="A3468" s="53" t="str">
        <f aca="false">IF($H3468="","",ROW()-5)</f>
        <v/>
      </c>
      <c r="B3468" s="64" t="s">
        <v>37</v>
      </c>
      <c r="C3468" s="53" t="n">
        <v>137</v>
      </c>
      <c r="D3468" s="53" t="n">
        <v>1</v>
      </c>
      <c r="E3468" s="65" t="str">
        <f aca="false">IF($H3468="","",资金流水!$B137)</f>
        <v/>
      </c>
      <c r="F3468" s="55" t="str">
        <f aca="false">IF($H3468="","",资金流水!$C137)</f>
        <v/>
      </c>
      <c r="G3468" s="48" t="str">
        <f aca="false">IF($H3468="","",资金流水!$K137)</f>
        <v/>
      </c>
      <c r="H3468" s="10" t="str">
        <f aca="false">IF($L3468="","",IF($L3468="@对方",资金流水!$G137,IF($L3468="@账户",资金流水!$Q137,$L3468)))</f>
        <v/>
      </c>
      <c r="I3468" s="42" t="n">
        <f aca="false">IF($M3468="借",$O3468,0)</f>
        <v>0</v>
      </c>
      <c r="J3468" s="42" t="n">
        <f aca="false">IF($M3468="贷",$O3468,0)</f>
        <v>0</v>
      </c>
      <c r="K3468" s="48" t="str">
        <f aca="false">IF($H3468="","",资金流水!$F137)</f>
        <v/>
      </c>
      <c r="L3468" s="66" t="str">
        <f aca="false">IF(资金流水!$E137="","",IFERROR(INDEX(记账规则!$A$13:$H$32,MATCH(资金流水!$E137,记账规则!$A$13:$A$32,0),3),""))</f>
        <v/>
      </c>
      <c r="M3468" s="66" t="str">
        <f aca="false">IF($L3468="","",IFERROR(INDEX(记账规则!$A$13:$H$32,MATCH(资金流水!$E137,记账规则!$A$13:$A$32,0),4),""))</f>
        <v/>
      </c>
      <c r="N3468" s="66" t="str">
        <f aca="false">IF($L3468="","",IFERROR(INDEX(记账规则!$A$13:$H$32,MATCH(资金流水!$E137,记账规则!$A$13:$A$32,0),5),""))</f>
        <v/>
      </c>
      <c r="O3468" s="67" t="n">
        <f aca="false">IF($H3468="",0,ROUND(IF($N3468="金额",N(资金流水!$P137),0),2))</f>
        <v>0</v>
      </c>
      <c r="P3468" s="64" t="str">
        <f aca="false">IF(AND($H3468&lt;&gt;"",ROUND($O3468,2)&lt;&gt;0),"有","")</f>
        <v/>
      </c>
    </row>
    <row r="3469" customFormat="false" ht="15" hidden="true" customHeight="false" outlineLevel="0" collapsed="false">
      <c r="A3469" s="53" t="str">
        <f aca="false">IF($H3469="","",ROW()-5)</f>
        <v/>
      </c>
      <c r="B3469" s="64" t="s">
        <v>37</v>
      </c>
      <c r="C3469" s="53" t="n">
        <v>137</v>
      </c>
      <c r="D3469" s="53" t="n">
        <v>2</v>
      </c>
      <c r="E3469" s="65" t="str">
        <f aca="false">IF($H3469="","",资金流水!$B137)</f>
        <v/>
      </c>
      <c r="F3469" s="55" t="str">
        <f aca="false">IF($H3469="","",资金流水!$C137)</f>
        <v/>
      </c>
      <c r="G3469" s="48" t="str">
        <f aca="false">IF($H3469="","",资金流水!$K137)</f>
        <v/>
      </c>
      <c r="H3469" s="10" t="str">
        <f aca="false">IF($L3469="","",IF($L3469="@对方",资金流水!$G137,IF($L3469="@账户",资金流水!$Q137,$L3469)))</f>
        <v/>
      </c>
      <c r="I3469" s="42" t="n">
        <f aca="false">IF($M3469="借",$O3469,0)</f>
        <v>0</v>
      </c>
      <c r="J3469" s="42" t="n">
        <f aca="false">IF($M3469="贷",$O3469,0)</f>
        <v>0</v>
      </c>
      <c r="K3469" s="48" t="str">
        <f aca="false">IF($H3469="","",资金流水!$F137)</f>
        <v/>
      </c>
      <c r="L3469" s="66" t="str">
        <f aca="false">IF(资金流水!$E137="","",IFERROR(INDEX(记账规则!$A$13:$H$32,MATCH(资金流水!$E137,记账规则!$A$13:$A$32,0),6),""))</f>
        <v/>
      </c>
      <c r="M3469" s="66" t="str">
        <f aca="false">IF($L3469="","",IFERROR(INDEX(记账规则!$A$13:$H$32,MATCH(资金流水!$E137,记账规则!$A$13:$A$32,0),7),""))</f>
        <v/>
      </c>
      <c r="N3469" s="66" t="str">
        <f aca="false">IF($L3469="","",IFERROR(INDEX(记账规则!$A$13:$H$32,MATCH(资金流水!$E137,记账规则!$A$13:$A$32,0),8),""))</f>
        <v/>
      </c>
      <c r="O3469" s="67" t="n">
        <f aca="false">IF($H3469="",0,ROUND(IF($N3469="金额",N(资金流水!$P137),0),2))</f>
        <v>0</v>
      </c>
      <c r="P3469" s="64" t="str">
        <f aca="false">IF(AND($H3469&lt;&gt;"",ROUND($O3469,2)&lt;&gt;0),"有","")</f>
        <v/>
      </c>
    </row>
    <row r="3470" customFormat="false" ht="15" hidden="true" customHeight="false" outlineLevel="0" collapsed="false">
      <c r="A3470" s="53" t="str">
        <f aca="false">IF($H3470="","",ROW()-5)</f>
        <v/>
      </c>
      <c r="B3470" s="64" t="s">
        <v>37</v>
      </c>
      <c r="C3470" s="53" t="n">
        <v>138</v>
      </c>
      <c r="D3470" s="53" t="n">
        <v>1</v>
      </c>
      <c r="E3470" s="65" t="str">
        <f aca="false">IF($H3470="","",资金流水!$B138)</f>
        <v/>
      </c>
      <c r="F3470" s="55" t="str">
        <f aca="false">IF($H3470="","",资金流水!$C138)</f>
        <v/>
      </c>
      <c r="G3470" s="48" t="str">
        <f aca="false">IF($H3470="","",资金流水!$K138)</f>
        <v/>
      </c>
      <c r="H3470" s="10" t="str">
        <f aca="false">IF($L3470="","",IF($L3470="@对方",资金流水!$G138,IF($L3470="@账户",资金流水!$Q138,$L3470)))</f>
        <v/>
      </c>
      <c r="I3470" s="42" t="n">
        <f aca="false">IF($M3470="借",$O3470,0)</f>
        <v>0</v>
      </c>
      <c r="J3470" s="42" t="n">
        <f aca="false">IF($M3470="贷",$O3470,0)</f>
        <v>0</v>
      </c>
      <c r="K3470" s="48" t="str">
        <f aca="false">IF($H3470="","",资金流水!$F138)</f>
        <v/>
      </c>
      <c r="L3470" s="66" t="str">
        <f aca="false">IF(资金流水!$E138="","",IFERROR(INDEX(记账规则!$A$13:$H$32,MATCH(资金流水!$E138,记账规则!$A$13:$A$32,0),3),""))</f>
        <v/>
      </c>
      <c r="M3470" s="66" t="str">
        <f aca="false">IF($L3470="","",IFERROR(INDEX(记账规则!$A$13:$H$32,MATCH(资金流水!$E138,记账规则!$A$13:$A$32,0),4),""))</f>
        <v/>
      </c>
      <c r="N3470" s="66" t="str">
        <f aca="false">IF($L3470="","",IFERROR(INDEX(记账规则!$A$13:$H$32,MATCH(资金流水!$E138,记账规则!$A$13:$A$32,0),5),""))</f>
        <v/>
      </c>
      <c r="O3470" s="67" t="n">
        <f aca="false">IF($H3470="",0,ROUND(IF($N3470="金额",N(资金流水!$P138),0),2))</f>
        <v>0</v>
      </c>
      <c r="P3470" s="64" t="str">
        <f aca="false">IF(AND($H3470&lt;&gt;"",ROUND($O3470,2)&lt;&gt;0),"有","")</f>
        <v/>
      </c>
    </row>
    <row r="3471" customFormat="false" ht="15" hidden="true" customHeight="false" outlineLevel="0" collapsed="false">
      <c r="A3471" s="53" t="str">
        <f aca="false">IF($H3471="","",ROW()-5)</f>
        <v/>
      </c>
      <c r="B3471" s="64" t="s">
        <v>37</v>
      </c>
      <c r="C3471" s="53" t="n">
        <v>138</v>
      </c>
      <c r="D3471" s="53" t="n">
        <v>2</v>
      </c>
      <c r="E3471" s="65" t="str">
        <f aca="false">IF($H3471="","",资金流水!$B138)</f>
        <v/>
      </c>
      <c r="F3471" s="55" t="str">
        <f aca="false">IF($H3471="","",资金流水!$C138)</f>
        <v/>
      </c>
      <c r="G3471" s="48" t="str">
        <f aca="false">IF($H3471="","",资金流水!$K138)</f>
        <v/>
      </c>
      <c r="H3471" s="10" t="str">
        <f aca="false">IF($L3471="","",IF($L3471="@对方",资金流水!$G138,IF($L3471="@账户",资金流水!$Q138,$L3471)))</f>
        <v/>
      </c>
      <c r="I3471" s="42" t="n">
        <f aca="false">IF($M3471="借",$O3471,0)</f>
        <v>0</v>
      </c>
      <c r="J3471" s="42" t="n">
        <f aca="false">IF($M3471="贷",$O3471,0)</f>
        <v>0</v>
      </c>
      <c r="K3471" s="48" t="str">
        <f aca="false">IF($H3471="","",资金流水!$F138)</f>
        <v/>
      </c>
      <c r="L3471" s="66" t="str">
        <f aca="false">IF(资金流水!$E138="","",IFERROR(INDEX(记账规则!$A$13:$H$32,MATCH(资金流水!$E138,记账规则!$A$13:$A$32,0),6),""))</f>
        <v/>
      </c>
      <c r="M3471" s="66" t="str">
        <f aca="false">IF($L3471="","",IFERROR(INDEX(记账规则!$A$13:$H$32,MATCH(资金流水!$E138,记账规则!$A$13:$A$32,0),7),""))</f>
        <v/>
      </c>
      <c r="N3471" s="66" t="str">
        <f aca="false">IF($L3471="","",IFERROR(INDEX(记账规则!$A$13:$H$32,MATCH(资金流水!$E138,记账规则!$A$13:$A$32,0),8),""))</f>
        <v/>
      </c>
      <c r="O3471" s="67" t="n">
        <f aca="false">IF($H3471="",0,ROUND(IF($N3471="金额",N(资金流水!$P138),0),2))</f>
        <v>0</v>
      </c>
      <c r="P3471" s="64" t="str">
        <f aca="false">IF(AND($H3471&lt;&gt;"",ROUND($O3471,2)&lt;&gt;0),"有","")</f>
        <v/>
      </c>
    </row>
    <row r="3472" customFormat="false" ht="15" hidden="true" customHeight="false" outlineLevel="0" collapsed="false">
      <c r="A3472" s="53" t="str">
        <f aca="false">IF($H3472="","",ROW()-5)</f>
        <v/>
      </c>
      <c r="B3472" s="64" t="s">
        <v>37</v>
      </c>
      <c r="C3472" s="53" t="n">
        <v>139</v>
      </c>
      <c r="D3472" s="53" t="n">
        <v>1</v>
      </c>
      <c r="E3472" s="65" t="str">
        <f aca="false">IF($H3472="","",资金流水!$B139)</f>
        <v/>
      </c>
      <c r="F3472" s="55" t="str">
        <f aca="false">IF($H3472="","",资金流水!$C139)</f>
        <v/>
      </c>
      <c r="G3472" s="48" t="str">
        <f aca="false">IF($H3472="","",资金流水!$K139)</f>
        <v/>
      </c>
      <c r="H3472" s="10" t="str">
        <f aca="false">IF($L3472="","",IF($L3472="@对方",资金流水!$G139,IF($L3472="@账户",资金流水!$Q139,$L3472)))</f>
        <v/>
      </c>
      <c r="I3472" s="42" t="n">
        <f aca="false">IF($M3472="借",$O3472,0)</f>
        <v>0</v>
      </c>
      <c r="J3472" s="42" t="n">
        <f aca="false">IF($M3472="贷",$O3472,0)</f>
        <v>0</v>
      </c>
      <c r="K3472" s="48" t="str">
        <f aca="false">IF($H3472="","",资金流水!$F139)</f>
        <v/>
      </c>
      <c r="L3472" s="66" t="str">
        <f aca="false">IF(资金流水!$E139="","",IFERROR(INDEX(记账规则!$A$13:$H$32,MATCH(资金流水!$E139,记账规则!$A$13:$A$32,0),3),""))</f>
        <v/>
      </c>
      <c r="M3472" s="66" t="str">
        <f aca="false">IF($L3472="","",IFERROR(INDEX(记账规则!$A$13:$H$32,MATCH(资金流水!$E139,记账规则!$A$13:$A$32,0),4),""))</f>
        <v/>
      </c>
      <c r="N3472" s="66" t="str">
        <f aca="false">IF($L3472="","",IFERROR(INDEX(记账规则!$A$13:$H$32,MATCH(资金流水!$E139,记账规则!$A$13:$A$32,0),5),""))</f>
        <v/>
      </c>
      <c r="O3472" s="67" t="n">
        <f aca="false">IF($H3472="",0,ROUND(IF($N3472="金额",N(资金流水!$P139),0),2))</f>
        <v>0</v>
      </c>
      <c r="P3472" s="64" t="str">
        <f aca="false">IF(AND($H3472&lt;&gt;"",ROUND($O3472,2)&lt;&gt;0),"有","")</f>
        <v/>
      </c>
    </row>
    <row r="3473" customFormat="false" ht="15" hidden="true" customHeight="false" outlineLevel="0" collapsed="false">
      <c r="A3473" s="53" t="str">
        <f aca="false">IF($H3473="","",ROW()-5)</f>
        <v/>
      </c>
      <c r="B3473" s="64" t="s">
        <v>37</v>
      </c>
      <c r="C3473" s="53" t="n">
        <v>139</v>
      </c>
      <c r="D3473" s="53" t="n">
        <v>2</v>
      </c>
      <c r="E3473" s="65" t="str">
        <f aca="false">IF($H3473="","",资金流水!$B139)</f>
        <v/>
      </c>
      <c r="F3473" s="55" t="str">
        <f aca="false">IF($H3473="","",资金流水!$C139)</f>
        <v/>
      </c>
      <c r="G3473" s="48" t="str">
        <f aca="false">IF($H3473="","",资金流水!$K139)</f>
        <v/>
      </c>
      <c r="H3473" s="10" t="str">
        <f aca="false">IF($L3473="","",IF($L3473="@对方",资金流水!$G139,IF($L3473="@账户",资金流水!$Q139,$L3473)))</f>
        <v/>
      </c>
      <c r="I3473" s="42" t="n">
        <f aca="false">IF($M3473="借",$O3473,0)</f>
        <v>0</v>
      </c>
      <c r="J3473" s="42" t="n">
        <f aca="false">IF($M3473="贷",$O3473,0)</f>
        <v>0</v>
      </c>
      <c r="K3473" s="48" t="str">
        <f aca="false">IF($H3473="","",资金流水!$F139)</f>
        <v/>
      </c>
      <c r="L3473" s="66" t="str">
        <f aca="false">IF(资金流水!$E139="","",IFERROR(INDEX(记账规则!$A$13:$H$32,MATCH(资金流水!$E139,记账规则!$A$13:$A$32,0),6),""))</f>
        <v/>
      </c>
      <c r="M3473" s="66" t="str">
        <f aca="false">IF($L3473="","",IFERROR(INDEX(记账规则!$A$13:$H$32,MATCH(资金流水!$E139,记账规则!$A$13:$A$32,0),7),""))</f>
        <v/>
      </c>
      <c r="N3473" s="66" t="str">
        <f aca="false">IF($L3473="","",IFERROR(INDEX(记账规则!$A$13:$H$32,MATCH(资金流水!$E139,记账规则!$A$13:$A$32,0),8),""))</f>
        <v/>
      </c>
      <c r="O3473" s="67" t="n">
        <f aca="false">IF($H3473="",0,ROUND(IF($N3473="金额",N(资金流水!$P139),0),2))</f>
        <v>0</v>
      </c>
      <c r="P3473" s="64" t="str">
        <f aca="false">IF(AND($H3473&lt;&gt;"",ROUND($O3473,2)&lt;&gt;0),"有","")</f>
        <v/>
      </c>
    </row>
    <row r="3474" customFormat="false" ht="15" hidden="true" customHeight="false" outlineLevel="0" collapsed="false">
      <c r="A3474" s="53" t="str">
        <f aca="false">IF($H3474="","",ROW()-5)</f>
        <v/>
      </c>
      <c r="B3474" s="64" t="s">
        <v>37</v>
      </c>
      <c r="C3474" s="53" t="n">
        <v>140</v>
      </c>
      <c r="D3474" s="53" t="n">
        <v>1</v>
      </c>
      <c r="E3474" s="65" t="str">
        <f aca="false">IF($H3474="","",资金流水!$B140)</f>
        <v/>
      </c>
      <c r="F3474" s="55" t="str">
        <f aca="false">IF($H3474="","",资金流水!$C140)</f>
        <v/>
      </c>
      <c r="G3474" s="48" t="str">
        <f aca="false">IF($H3474="","",资金流水!$K140)</f>
        <v/>
      </c>
      <c r="H3474" s="10" t="str">
        <f aca="false">IF($L3474="","",IF($L3474="@对方",资金流水!$G140,IF($L3474="@账户",资金流水!$Q140,$L3474)))</f>
        <v/>
      </c>
      <c r="I3474" s="42" t="n">
        <f aca="false">IF($M3474="借",$O3474,0)</f>
        <v>0</v>
      </c>
      <c r="J3474" s="42" t="n">
        <f aca="false">IF($M3474="贷",$O3474,0)</f>
        <v>0</v>
      </c>
      <c r="K3474" s="48" t="str">
        <f aca="false">IF($H3474="","",资金流水!$F140)</f>
        <v/>
      </c>
      <c r="L3474" s="66" t="str">
        <f aca="false">IF(资金流水!$E140="","",IFERROR(INDEX(记账规则!$A$13:$H$32,MATCH(资金流水!$E140,记账规则!$A$13:$A$32,0),3),""))</f>
        <v/>
      </c>
      <c r="M3474" s="66" t="str">
        <f aca="false">IF($L3474="","",IFERROR(INDEX(记账规则!$A$13:$H$32,MATCH(资金流水!$E140,记账规则!$A$13:$A$32,0),4),""))</f>
        <v/>
      </c>
      <c r="N3474" s="66" t="str">
        <f aca="false">IF($L3474="","",IFERROR(INDEX(记账规则!$A$13:$H$32,MATCH(资金流水!$E140,记账规则!$A$13:$A$32,0),5),""))</f>
        <v/>
      </c>
      <c r="O3474" s="67" t="n">
        <f aca="false">IF($H3474="",0,ROUND(IF($N3474="金额",N(资金流水!$P140),0),2))</f>
        <v>0</v>
      </c>
      <c r="P3474" s="64" t="str">
        <f aca="false">IF(AND($H3474&lt;&gt;"",ROUND($O3474,2)&lt;&gt;0),"有","")</f>
        <v/>
      </c>
    </row>
    <row r="3475" customFormat="false" ht="15" hidden="true" customHeight="false" outlineLevel="0" collapsed="false">
      <c r="A3475" s="53" t="str">
        <f aca="false">IF($H3475="","",ROW()-5)</f>
        <v/>
      </c>
      <c r="B3475" s="64" t="s">
        <v>37</v>
      </c>
      <c r="C3475" s="53" t="n">
        <v>140</v>
      </c>
      <c r="D3475" s="53" t="n">
        <v>2</v>
      </c>
      <c r="E3475" s="65" t="str">
        <f aca="false">IF($H3475="","",资金流水!$B140)</f>
        <v/>
      </c>
      <c r="F3475" s="55" t="str">
        <f aca="false">IF($H3475="","",资金流水!$C140)</f>
        <v/>
      </c>
      <c r="G3475" s="48" t="str">
        <f aca="false">IF($H3475="","",资金流水!$K140)</f>
        <v/>
      </c>
      <c r="H3475" s="10" t="str">
        <f aca="false">IF($L3475="","",IF($L3475="@对方",资金流水!$G140,IF($L3475="@账户",资金流水!$Q140,$L3475)))</f>
        <v/>
      </c>
      <c r="I3475" s="42" t="n">
        <f aca="false">IF($M3475="借",$O3475,0)</f>
        <v>0</v>
      </c>
      <c r="J3475" s="42" t="n">
        <f aca="false">IF($M3475="贷",$O3475,0)</f>
        <v>0</v>
      </c>
      <c r="K3475" s="48" t="str">
        <f aca="false">IF($H3475="","",资金流水!$F140)</f>
        <v/>
      </c>
      <c r="L3475" s="66" t="str">
        <f aca="false">IF(资金流水!$E140="","",IFERROR(INDEX(记账规则!$A$13:$H$32,MATCH(资金流水!$E140,记账规则!$A$13:$A$32,0),6),""))</f>
        <v/>
      </c>
      <c r="M3475" s="66" t="str">
        <f aca="false">IF($L3475="","",IFERROR(INDEX(记账规则!$A$13:$H$32,MATCH(资金流水!$E140,记账规则!$A$13:$A$32,0),7),""))</f>
        <v/>
      </c>
      <c r="N3475" s="66" t="str">
        <f aca="false">IF($L3475="","",IFERROR(INDEX(记账规则!$A$13:$H$32,MATCH(资金流水!$E140,记账规则!$A$13:$A$32,0),8),""))</f>
        <v/>
      </c>
      <c r="O3475" s="67" t="n">
        <f aca="false">IF($H3475="",0,ROUND(IF($N3475="金额",N(资金流水!$P140),0),2))</f>
        <v>0</v>
      </c>
      <c r="P3475" s="64" t="str">
        <f aca="false">IF(AND($H3475&lt;&gt;"",ROUND($O3475,2)&lt;&gt;0),"有","")</f>
        <v/>
      </c>
    </row>
    <row r="3476" customFormat="false" ht="15" hidden="true" customHeight="false" outlineLevel="0" collapsed="false">
      <c r="A3476" s="53" t="str">
        <f aca="false">IF($H3476="","",ROW()-5)</f>
        <v/>
      </c>
      <c r="B3476" s="64" t="s">
        <v>37</v>
      </c>
      <c r="C3476" s="53" t="n">
        <v>141</v>
      </c>
      <c r="D3476" s="53" t="n">
        <v>1</v>
      </c>
      <c r="E3476" s="65" t="str">
        <f aca="false">IF($H3476="","",资金流水!$B141)</f>
        <v/>
      </c>
      <c r="F3476" s="55" t="str">
        <f aca="false">IF($H3476="","",资金流水!$C141)</f>
        <v/>
      </c>
      <c r="G3476" s="48" t="str">
        <f aca="false">IF($H3476="","",资金流水!$K141)</f>
        <v/>
      </c>
      <c r="H3476" s="10" t="str">
        <f aca="false">IF($L3476="","",IF($L3476="@对方",资金流水!$G141,IF($L3476="@账户",资金流水!$Q141,$L3476)))</f>
        <v/>
      </c>
      <c r="I3476" s="42" t="n">
        <f aca="false">IF($M3476="借",$O3476,0)</f>
        <v>0</v>
      </c>
      <c r="J3476" s="42" t="n">
        <f aca="false">IF($M3476="贷",$O3476,0)</f>
        <v>0</v>
      </c>
      <c r="K3476" s="48" t="str">
        <f aca="false">IF($H3476="","",资金流水!$F141)</f>
        <v/>
      </c>
      <c r="L3476" s="66" t="str">
        <f aca="false">IF(资金流水!$E141="","",IFERROR(INDEX(记账规则!$A$13:$H$32,MATCH(资金流水!$E141,记账规则!$A$13:$A$32,0),3),""))</f>
        <v/>
      </c>
      <c r="M3476" s="66" t="str">
        <f aca="false">IF($L3476="","",IFERROR(INDEX(记账规则!$A$13:$H$32,MATCH(资金流水!$E141,记账规则!$A$13:$A$32,0),4),""))</f>
        <v/>
      </c>
      <c r="N3476" s="66" t="str">
        <f aca="false">IF($L3476="","",IFERROR(INDEX(记账规则!$A$13:$H$32,MATCH(资金流水!$E141,记账规则!$A$13:$A$32,0),5),""))</f>
        <v/>
      </c>
      <c r="O3476" s="67" t="n">
        <f aca="false">IF($H3476="",0,ROUND(IF($N3476="金额",N(资金流水!$P141),0),2))</f>
        <v>0</v>
      </c>
      <c r="P3476" s="64" t="str">
        <f aca="false">IF(AND($H3476&lt;&gt;"",ROUND($O3476,2)&lt;&gt;0),"有","")</f>
        <v/>
      </c>
    </row>
    <row r="3477" customFormat="false" ht="15" hidden="true" customHeight="false" outlineLevel="0" collapsed="false">
      <c r="A3477" s="53" t="str">
        <f aca="false">IF($H3477="","",ROW()-5)</f>
        <v/>
      </c>
      <c r="B3477" s="64" t="s">
        <v>37</v>
      </c>
      <c r="C3477" s="53" t="n">
        <v>141</v>
      </c>
      <c r="D3477" s="53" t="n">
        <v>2</v>
      </c>
      <c r="E3477" s="65" t="str">
        <f aca="false">IF($H3477="","",资金流水!$B141)</f>
        <v/>
      </c>
      <c r="F3477" s="55" t="str">
        <f aca="false">IF($H3477="","",资金流水!$C141)</f>
        <v/>
      </c>
      <c r="G3477" s="48" t="str">
        <f aca="false">IF($H3477="","",资金流水!$K141)</f>
        <v/>
      </c>
      <c r="H3477" s="10" t="str">
        <f aca="false">IF($L3477="","",IF($L3477="@对方",资金流水!$G141,IF($L3477="@账户",资金流水!$Q141,$L3477)))</f>
        <v/>
      </c>
      <c r="I3477" s="42" t="n">
        <f aca="false">IF($M3477="借",$O3477,0)</f>
        <v>0</v>
      </c>
      <c r="J3477" s="42" t="n">
        <f aca="false">IF($M3477="贷",$O3477,0)</f>
        <v>0</v>
      </c>
      <c r="K3477" s="48" t="str">
        <f aca="false">IF($H3477="","",资金流水!$F141)</f>
        <v/>
      </c>
      <c r="L3477" s="66" t="str">
        <f aca="false">IF(资金流水!$E141="","",IFERROR(INDEX(记账规则!$A$13:$H$32,MATCH(资金流水!$E141,记账规则!$A$13:$A$32,0),6),""))</f>
        <v/>
      </c>
      <c r="M3477" s="66" t="str">
        <f aca="false">IF($L3477="","",IFERROR(INDEX(记账规则!$A$13:$H$32,MATCH(资金流水!$E141,记账规则!$A$13:$A$32,0),7),""))</f>
        <v/>
      </c>
      <c r="N3477" s="66" t="str">
        <f aca="false">IF($L3477="","",IFERROR(INDEX(记账规则!$A$13:$H$32,MATCH(资金流水!$E141,记账规则!$A$13:$A$32,0),8),""))</f>
        <v/>
      </c>
      <c r="O3477" s="67" t="n">
        <f aca="false">IF($H3477="",0,ROUND(IF($N3477="金额",N(资金流水!$P141),0),2))</f>
        <v>0</v>
      </c>
      <c r="P3477" s="64" t="str">
        <f aca="false">IF(AND($H3477&lt;&gt;"",ROUND($O3477,2)&lt;&gt;0),"有","")</f>
        <v/>
      </c>
    </row>
    <row r="3478" customFormat="false" ht="15" hidden="true" customHeight="false" outlineLevel="0" collapsed="false">
      <c r="A3478" s="53" t="str">
        <f aca="false">IF($H3478="","",ROW()-5)</f>
        <v/>
      </c>
      <c r="B3478" s="64" t="s">
        <v>37</v>
      </c>
      <c r="C3478" s="53" t="n">
        <v>142</v>
      </c>
      <c r="D3478" s="53" t="n">
        <v>1</v>
      </c>
      <c r="E3478" s="65" t="str">
        <f aca="false">IF($H3478="","",资金流水!$B142)</f>
        <v/>
      </c>
      <c r="F3478" s="55" t="str">
        <f aca="false">IF($H3478="","",资金流水!$C142)</f>
        <v/>
      </c>
      <c r="G3478" s="48" t="str">
        <f aca="false">IF($H3478="","",资金流水!$K142)</f>
        <v/>
      </c>
      <c r="H3478" s="10" t="str">
        <f aca="false">IF($L3478="","",IF($L3478="@对方",资金流水!$G142,IF($L3478="@账户",资金流水!$Q142,$L3478)))</f>
        <v/>
      </c>
      <c r="I3478" s="42" t="n">
        <f aca="false">IF($M3478="借",$O3478,0)</f>
        <v>0</v>
      </c>
      <c r="J3478" s="42" t="n">
        <f aca="false">IF($M3478="贷",$O3478,0)</f>
        <v>0</v>
      </c>
      <c r="K3478" s="48" t="str">
        <f aca="false">IF($H3478="","",资金流水!$F142)</f>
        <v/>
      </c>
      <c r="L3478" s="66" t="str">
        <f aca="false">IF(资金流水!$E142="","",IFERROR(INDEX(记账规则!$A$13:$H$32,MATCH(资金流水!$E142,记账规则!$A$13:$A$32,0),3),""))</f>
        <v/>
      </c>
      <c r="M3478" s="66" t="str">
        <f aca="false">IF($L3478="","",IFERROR(INDEX(记账规则!$A$13:$H$32,MATCH(资金流水!$E142,记账规则!$A$13:$A$32,0),4),""))</f>
        <v/>
      </c>
      <c r="N3478" s="66" t="str">
        <f aca="false">IF($L3478="","",IFERROR(INDEX(记账规则!$A$13:$H$32,MATCH(资金流水!$E142,记账规则!$A$13:$A$32,0),5),""))</f>
        <v/>
      </c>
      <c r="O3478" s="67" t="n">
        <f aca="false">IF($H3478="",0,ROUND(IF($N3478="金额",N(资金流水!$P142),0),2))</f>
        <v>0</v>
      </c>
      <c r="P3478" s="64" t="str">
        <f aca="false">IF(AND($H3478&lt;&gt;"",ROUND($O3478,2)&lt;&gt;0),"有","")</f>
        <v/>
      </c>
    </row>
    <row r="3479" customFormat="false" ht="15" hidden="true" customHeight="false" outlineLevel="0" collapsed="false">
      <c r="A3479" s="53" t="str">
        <f aca="false">IF($H3479="","",ROW()-5)</f>
        <v/>
      </c>
      <c r="B3479" s="64" t="s">
        <v>37</v>
      </c>
      <c r="C3479" s="53" t="n">
        <v>142</v>
      </c>
      <c r="D3479" s="53" t="n">
        <v>2</v>
      </c>
      <c r="E3479" s="65" t="str">
        <f aca="false">IF($H3479="","",资金流水!$B142)</f>
        <v/>
      </c>
      <c r="F3479" s="55" t="str">
        <f aca="false">IF($H3479="","",资金流水!$C142)</f>
        <v/>
      </c>
      <c r="G3479" s="48" t="str">
        <f aca="false">IF($H3479="","",资金流水!$K142)</f>
        <v/>
      </c>
      <c r="H3479" s="10" t="str">
        <f aca="false">IF($L3479="","",IF($L3479="@对方",资金流水!$G142,IF($L3479="@账户",资金流水!$Q142,$L3479)))</f>
        <v/>
      </c>
      <c r="I3479" s="42" t="n">
        <f aca="false">IF($M3479="借",$O3479,0)</f>
        <v>0</v>
      </c>
      <c r="J3479" s="42" t="n">
        <f aca="false">IF($M3479="贷",$O3479,0)</f>
        <v>0</v>
      </c>
      <c r="K3479" s="48" t="str">
        <f aca="false">IF($H3479="","",资金流水!$F142)</f>
        <v/>
      </c>
      <c r="L3479" s="66" t="str">
        <f aca="false">IF(资金流水!$E142="","",IFERROR(INDEX(记账规则!$A$13:$H$32,MATCH(资金流水!$E142,记账规则!$A$13:$A$32,0),6),""))</f>
        <v/>
      </c>
      <c r="M3479" s="66" t="str">
        <f aca="false">IF($L3479="","",IFERROR(INDEX(记账规则!$A$13:$H$32,MATCH(资金流水!$E142,记账规则!$A$13:$A$32,0),7),""))</f>
        <v/>
      </c>
      <c r="N3479" s="66" t="str">
        <f aca="false">IF($L3479="","",IFERROR(INDEX(记账规则!$A$13:$H$32,MATCH(资金流水!$E142,记账规则!$A$13:$A$32,0),8),""))</f>
        <v/>
      </c>
      <c r="O3479" s="67" t="n">
        <f aca="false">IF($H3479="",0,ROUND(IF($N3479="金额",N(资金流水!$P142),0),2))</f>
        <v>0</v>
      </c>
      <c r="P3479" s="64" t="str">
        <f aca="false">IF(AND($H3479&lt;&gt;"",ROUND($O3479,2)&lt;&gt;0),"有","")</f>
        <v/>
      </c>
    </row>
    <row r="3480" customFormat="false" ht="15" hidden="true" customHeight="false" outlineLevel="0" collapsed="false">
      <c r="A3480" s="53" t="str">
        <f aca="false">IF($H3480="","",ROW()-5)</f>
        <v/>
      </c>
      <c r="B3480" s="64" t="s">
        <v>37</v>
      </c>
      <c r="C3480" s="53" t="n">
        <v>143</v>
      </c>
      <c r="D3480" s="53" t="n">
        <v>1</v>
      </c>
      <c r="E3480" s="65" t="str">
        <f aca="false">IF($H3480="","",资金流水!$B143)</f>
        <v/>
      </c>
      <c r="F3480" s="55" t="str">
        <f aca="false">IF($H3480="","",资金流水!$C143)</f>
        <v/>
      </c>
      <c r="G3480" s="48" t="str">
        <f aca="false">IF($H3480="","",资金流水!$K143)</f>
        <v/>
      </c>
      <c r="H3480" s="10" t="str">
        <f aca="false">IF($L3480="","",IF($L3480="@对方",资金流水!$G143,IF($L3480="@账户",资金流水!$Q143,$L3480)))</f>
        <v/>
      </c>
      <c r="I3480" s="42" t="n">
        <f aca="false">IF($M3480="借",$O3480,0)</f>
        <v>0</v>
      </c>
      <c r="J3480" s="42" t="n">
        <f aca="false">IF($M3480="贷",$O3480,0)</f>
        <v>0</v>
      </c>
      <c r="K3480" s="48" t="str">
        <f aca="false">IF($H3480="","",资金流水!$F143)</f>
        <v/>
      </c>
      <c r="L3480" s="66" t="str">
        <f aca="false">IF(资金流水!$E143="","",IFERROR(INDEX(记账规则!$A$13:$H$32,MATCH(资金流水!$E143,记账规则!$A$13:$A$32,0),3),""))</f>
        <v/>
      </c>
      <c r="M3480" s="66" t="str">
        <f aca="false">IF($L3480="","",IFERROR(INDEX(记账规则!$A$13:$H$32,MATCH(资金流水!$E143,记账规则!$A$13:$A$32,0),4),""))</f>
        <v/>
      </c>
      <c r="N3480" s="66" t="str">
        <f aca="false">IF($L3480="","",IFERROR(INDEX(记账规则!$A$13:$H$32,MATCH(资金流水!$E143,记账规则!$A$13:$A$32,0),5),""))</f>
        <v/>
      </c>
      <c r="O3480" s="67" t="n">
        <f aca="false">IF($H3480="",0,ROUND(IF($N3480="金额",N(资金流水!$P143),0),2))</f>
        <v>0</v>
      </c>
      <c r="P3480" s="64" t="str">
        <f aca="false">IF(AND($H3480&lt;&gt;"",ROUND($O3480,2)&lt;&gt;0),"有","")</f>
        <v/>
      </c>
    </row>
    <row r="3481" customFormat="false" ht="15" hidden="true" customHeight="false" outlineLevel="0" collapsed="false">
      <c r="A3481" s="53" t="str">
        <f aca="false">IF($H3481="","",ROW()-5)</f>
        <v/>
      </c>
      <c r="B3481" s="64" t="s">
        <v>37</v>
      </c>
      <c r="C3481" s="53" t="n">
        <v>143</v>
      </c>
      <c r="D3481" s="53" t="n">
        <v>2</v>
      </c>
      <c r="E3481" s="65" t="str">
        <f aca="false">IF($H3481="","",资金流水!$B143)</f>
        <v/>
      </c>
      <c r="F3481" s="55" t="str">
        <f aca="false">IF($H3481="","",资金流水!$C143)</f>
        <v/>
      </c>
      <c r="G3481" s="48" t="str">
        <f aca="false">IF($H3481="","",资金流水!$K143)</f>
        <v/>
      </c>
      <c r="H3481" s="10" t="str">
        <f aca="false">IF($L3481="","",IF($L3481="@对方",资金流水!$G143,IF($L3481="@账户",资金流水!$Q143,$L3481)))</f>
        <v/>
      </c>
      <c r="I3481" s="42" t="n">
        <f aca="false">IF($M3481="借",$O3481,0)</f>
        <v>0</v>
      </c>
      <c r="J3481" s="42" t="n">
        <f aca="false">IF($M3481="贷",$O3481,0)</f>
        <v>0</v>
      </c>
      <c r="K3481" s="48" t="str">
        <f aca="false">IF($H3481="","",资金流水!$F143)</f>
        <v/>
      </c>
      <c r="L3481" s="66" t="str">
        <f aca="false">IF(资金流水!$E143="","",IFERROR(INDEX(记账规则!$A$13:$H$32,MATCH(资金流水!$E143,记账规则!$A$13:$A$32,0),6),""))</f>
        <v/>
      </c>
      <c r="M3481" s="66" t="str">
        <f aca="false">IF($L3481="","",IFERROR(INDEX(记账规则!$A$13:$H$32,MATCH(资金流水!$E143,记账规则!$A$13:$A$32,0),7),""))</f>
        <v/>
      </c>
      <c r="N3481" s="66" t="str">
        <f aca="false">IF($L3481="","",IFERROR(INDEX(记账规则!$A$13:$H$32,MATCH(资金流水!$E143,记账规则!$A$13:$A$32,0),8),""))</f>
        <v/>
      </c>
      <c r="O3481" s="67" t="n">
        <f aca="false">IF($H3481="",0,ROUND(IF($N3481="金额",N(资金流水!$P143),0),2))</f>
        <v>0</v>
      </c>
      <c r="P3481" s="64" t="str">
        <f aca="false">IF(AND($H3481&lt;&gt;"",ROUND($O3481,2)&lt;&gt;0),"有","")</f>
        <v/>
      </c>
    </row>
    <row r="3482" customFormat="false" ht="15" hidden="true" customHeight="false" outlineLevel="0" collapsed="false">
      <c r="A3482" s="53" t="str">
        <f aca="false">IF($H3482="","",ROW()-5)</f>
        <v/>
      </c>
      <c r="B3482" s="64" t="s">
        <v>37</v>
      </c>
      <c r="C3482" s="53" t="n">
        <v>144</v>
      </c>
      <c r="D3482" s="53" t="n">
        <v>1</v>
      </c>
      <c r="E3482" s="65" t="str">
        <f aca="false">IF($H3482="","",资金流水!$B144)</f>
        <v/>
      </c>
      <c r="F3482" s="55" t="str">
        <f aca="false">IF($H3482="","",资金流水!$C144)</f>
        <v/>
      </c>
      <c r="G3482" s="48" t="str">
        <f aca="false">IF($H3482="","",资金流水!$K144)</f>
        <v/>
      </c>
      <c r="H3482" s="10" t="str">
        <f aca="false">IF($L3482="","",IF($L3482="@对方",资金流水!$G144,IF($L3482="@账户",资金流水!$Q144,$L3482)))</f>
        <v/>
      </c>
      <c r="I3482" s="42" t="n">
        <f aca="false">IF($M3482="借",$O3482,0)</f>
        <v>0</v>
      </c>
      <c r="J3482" s="42" t="n">
        <f aca="false">IF($M3482="贷",$O3482,0)</f>
        <v>0</v>
      </c>
      <c r="K3482" s="48" t="str">
        <f aca="false">IF($H3482="","",资金流水!$F144)</f>
        <v/>
      </c>
      <c r="L3482" s="66" t="str">
        <f aca="false">IF(资金流水!$E144="","",IFERROR(INDEX(记账规则!$A$13:$H$32,MATCH(资金流水!$E144,记账规则!$A$13:$A$32,0),3),""))</f>
        <v/>
      </c>
      <c r="M3482" s="66" t="str">
        <f aca="false">IF($L3482="","",IFERROR(INDEX(记账规则!$A$13:$H$32,MATCH(资金流水!$E144,记账规则!$A$13:$A$32,0),4),""))</f>
        <v/>
      </c>
      <c r="N3482" s="66" t="str">
        <f aca="false">IF($L3482="","",IFERROR(INDEX(记账规则!$A$13:$H$32,MATCH(资金流水!$E144,记账规则!$A$13:$A$32,0),5),""))</f>
        <v/>
      </c>
      <c r="O3482" s="67" t="n">
        <f aca="false">IF($H3482="",0,ROUND(IF($N3482="金额",N(资金流水!$P144),0),2))</f>
        <v>0</v>
      </c>
      <c r="P3482" s="64" t="str">
        <f aca="false">IF(AND($H3482&lt;&gt;"",ROUND($O3482,2)&lt;&gt;0),"有","")</f>
        <v/>
      </c>
    </row>
    <row r="3483" customFormat="false" ht="15" hidden="true" customHeight="false" outlineLevel="0" collapsed="false">
      <c r="A3483" s="53" t="str">
        <f aca="false">IF($H3483="","",ROW()-5)</f>
        <v/>
      </c>
      <c r="B3483" s="64" t="s">
        <v>37</v>
      </c>
      <c r="C3483" s="53" t="n">
        <v>144</v>
      </c>
      <c r="D3483" s="53" t="n">
        <v>2</v>
      </c>
      <c r="E3483" s="65" t="str">
        <f aca="false">IF($H3483="","",资金流水!$B144)</f>
        <v/>
      </c>
      <c r="F3483" s="55" t="str">
        <f aca="false">IF($H3483="","",资金流水!$C144)</f>
        <v/>
      </c>
      <c r="G3483" s="48" t="str">
        <f aca="false">IF($H3483="","",资金流水!$K144)</f>
        <v/>
      </c>
      <c r="H3483" s="10" t="str">
        <f aca="false">IF($L3483="","",IF($L3483="@对方",资金流水!$G144,IF($L3483="@账户",资金流水!$Q144,$L3483)))</f>
        <v/>
      </c>
      <c r="I3483" s="42" t="n">
        <f aca="false">IF($M3483="借",$O3483,0)</f>
        <v>0</v>
      </c>
      <c r="J3483" s="42" t="n">
        <f aca="false">IF($M3483="贷",$O3483,0)</f>
        <v>0</v>
      </c>
      <c r="K3483" s="48" t="str">
        <f aca="false">IF($H3483="","",资金流水!$F144)</f>
        <v/>
      </c>
      <c r="L3483" s="66" t="str">
        <f aca="false">IF(资金流水!$E144="","",IFERROR(INDEX(记账规则!$A$13:$H$32,MATCH(资金流水!$E144,记账规则!$A$13:$A$32,0),6),""))</f>
        <v/>
      </c>
      <c r="M3483" s="66" t="str">
        <f aca="false">IF($L3483="","",IFERROR(INDEX(记账规则!$A$13:$H$32,MATCH(资金流水!$E144,记账规则!$A$13:$A$32,0),7),""))</f>
        <v/>
      </c>
      <c r="N3483" s="66" t="str">
        <f aca="false">IF($L3483="","",IFERROR(INDEX(记账规则!$A$13:$H$32,MATCH(资金流水!$E144,记账规则!$A$13:$A$32,0),8),""))</f>
        <v/>
      </c>
      <c r="O3483" s="67" t="n">
        <f aca="false">IF($H3483="",0,ROUND(IF($N3483="金额",N(资金流水!$P144),0),2))</f>
        <v>0</v>
      </c>
      <c r="P3483" s="64" t="str">
        <f aca="false">IF(AND($H3483&lt;&gt;"",ROUND($O3483,2)&lt;&gt;0),"有","")</f>
        <v/>
      </c>
    </row>
    <row r="3484" customFormat="false" ht="15" hidden="true" customHeight="false" outlineLevel="0" collapsed="false">
      <c r="A3484" s="53" t="str">
        <f aca="false">IF($H3484="","",ROW()-5)</f>
        <v/>
      </c>
      <c r="B3484" s="64" t="s">
        <v>37</v>
      </c>
      <c r="C3484" s="53" t="n">
        <v>145</v>
      </c>
      <c r="D3484" s="53" t="n">
        <v>1</v>
      </c>
      <c r="E3484" s="65" t="str">
        <f aca="false">IF($H3484="","",资金流水!$B145)</f>
        <v/>
      </c>
      <c r="F3484" s="55" t="str">
        <f aca="false">IF($H3484="","",资金流水!$C145)</f>
        <v/>
      </c>
      <c r="G3484" s="48" t="str">
        <f aca="false">IF($H3484="","",资金流水!$K145)</f>
        <v/>
      </c>
      <c r="H3484" s="10" t="str">
        <f aca="false">IF($L3484="","",IF($L3484="@对方",资金流水!$G145,IF($L3484="@账户",资金流水!$Q145,$L3484)))</f>
        <v/>
      </c>
      <c r="I3484" s="42" t="n">
        <f aca="false">IF($M3484="借",$O3484,0)</f>
        <v>0</v>
      </c>
      <c r="J3484" s="42" t="n">
        <f aca="false">IF($M3484="贷",$O3484,0)</f>
        <v>0</v>
      </c>
      <c r="K3484" s="48" t="str">
        <f aca="false">IF($H3484="","",资金流水!$F145)</f>
        <v/>
      </c>
      <c r="L3484" s="66" t="str">
        <f aca="false">IF(资金流水!$E145="","",IFERROR(INDEX(记账规则!$A$13:$H$32,MATCH(资金流水!$E145,记账规则!$A$13:$A$32,0),3),""))</f>
        <v/>
      </c>
      <c r="M3484" s="66" t="str">
        <f aca="false">IF($L3484="","",IFERROR(INDEX(记账规则!$A$13:$H$32,MATCH(资金流水!$E145,记账规则!$A$13:$A$32,0),4),""))</f>
        <v/>
      </c>
      <c r="N3484" s="66" t="str">
        <f aca="false">IF($L3484="","",IFERROR(INDEX(记账规则!$A$13:$H$32,MATCH(资金流水!$E145,记账规则!$A$13:$A$32,0),5),""))</f>
        <v/>
      </c>
      <c r="O3484" s="67" t="n">
        <f aca="false">IF($H3484="",0,ROUND(IF($N3484="金额",N(资金流水!$P145),0),2))</f>
        <v>0</v>
      </c>
      <c r="P3484" s="64" t="str">
        <f aca="false">IF(AND($H3484&lt;&gt;"",ROUND($O3484,2)&lt;&gt;0),"有","")</f>
        <v/>
      </c>
    </row>
    <row r="3485" customFormat="false" ht="15" hidden="true" customHeight="false" outlineLevel="0" collapsed="false">
      <c r="A3485" s="53" t="str">
        <f aca="false">IF($H3485="","",ROW()-5)</f>
        <v/>
      </c>
      <c r="B3485" s="64" t="s">
        <v>37</v>
      </c>
      <c r="C3485" s="53" t="n">
        <v>145</v>
      </c>
      <c r="D3485" s="53" t="n">
        <v>2</v>
      </c>
      <c r="E3485" s="65" t="str">
        <f aca="false">IF($H3485="","",资金流水!$B145)</f>
        <v/>
      </c>
      <c r="F3485" s="55" t="str">
        <f aca="false">IF($H3485="","",资金流水!$C145)</f>
        <v/>
      </c>
      <c r="G3485" s="48" t="str">
        <f aca="false">IF($H3485="","",资金流水!$K145)</f>
        <v/>
      </c>
      <c r="H3485" s="10" t="str">
        <f aca="false">IF($L3485="","",IF($L3485="@对方",资金流水!$G145,IF($L3485="@账户",资金流水!$Q145,$L3485)))</f>
        <v/>
      </c>
      <c r="I3485" s="42" t="n">
        <f aca="false">IF($M3485="借",$O3485,0)</f>
        <v>0</v>
      </c>
      <c r="J3485" s="42" t="n">
        <f aca="false">IF($M3485="贷",$O3485,0)</f>
        <v>0</v>
      </c>
      <c r="K3485" s="48" t="str">
        <f aca="false">IF($H3485="","",资金流水!$F145)</f>
        <v/>
      </c>
      <c r="L3485" s="66" t="str">
        <f aca="false">IF(资金流水!$E145="","",IFERROR(INDEX(记账规则!$A$13:$H$32,MATCH(资金流水!$E145,记账规则!$A$13:$A$32,0),6),""))</f>
        <v/>
      </c>
      <c r="M3485" s="66" t="str">
        <f aca="false">IF($L3485="","",IFERROR(INDEX(记账规则!$A$13:$H$32,MATCH(资金流水!$E145,记账规则!$A$13:$A$32,0),7),""))</f>
        <v/>
      </c>
      <c r="N3485" s="66" t="str">
        <f aca="false">IF($L3485="","",IFERROR(INDEX(记账规则!$A$13:$H$32,MATCH(资金流水!$E145,记账规则!$A$13:$A$32,0),8),""))</f>
        <v/>
      </c>
      <c r="O3485" s="67" t="n">
        <f aca="false">IF($H3485="",0,ROUND(IF($N3485="金额",N(资金流水!$P145),0),2))</f>
        <v>0</v>
      </c>
      <c r="P3485" s="64" t="str">
        <f aca="false">IF(AND($H3485&lt;&gt;"",ROUND($O3485,2)&lt;&gt;0),"有","")</f>
        <v/>
      </c>
    </row>
    <row r="3486" customFormat="false" ht="15" hidden="true" customHeight="false" outlineLevel="0" collapsed="false">
      <c r="A3486" s="53" t="str">
        <f aca="false">IF($H3486="","",ROW()-5)</f>
        <v/>
      </c>
      <c r="B3486" s="64" t="s">
        <v>37</v>
      </c>
      <c r="C3486" s="53" t="n">
        <v>146</v>
      </c>
      <c r="D3486" s="53" t="n">
        <v>1</v>
      </c>
      <c r="E3486" s="65" t="str">
        <f aca="false">IF($H3486="","",资金流水!$B146)</f>
        <v/>
      </c>
      <c r="F3486" s="55" t="str">
        <f aca="false">IF($H3486="","",资金流水!$C146)</f>
        <v/>
      </c>
      <c r="G3486" s="48" t="str">
        <f aca="false">IF($H3486="","",资金流水!$K146)</f>
        <v/>
      </c>
      <c r="H3486" s="10" t="str">
        <f aca="false">IF($L3486="","",IF($L3486="@对方",资金流水!$G146,IF($L3486="@账户",资金流水!$Q146,$L3486)))</f>
        <v/>
      </c>
      <c r="I3486" s="42" t="n">
        <f aca="false">IF($M3486="借",$O3486,0)</f>
        <v>0</v>
      </c>
      <c r="J3486" s="42" t="n">
        <f aca="false">IF($M3486="贷",$O3486,0)</f>
        <v>0</v>
      </c>
      <c r="K3486" s="48" t="str">
        <f aca="false">IF($H3486="","",资金流水!$F146)</f>
        <v/>
      </c>
      <c r="L3486" s="66" t="str">
        <f aca="false">IF(资金流水!$E146="","",IFERROR(INDEX(记账规则!$A$13:$H$32,MATCH(资金流水!$E146,记账规则!$A$13:$A$32,0),3),""))</f>
        <v/>
      </c>
      <c r="M3486" s="66" t="str">
        <f aca="false">IF($L3486="","",IFERROR(INDEX(记账规则!$A$13:$H$32,MATCH(资金流水!$E146,记账规则!$A$13:$A$32,0),4),""))</f>
        <v/>
      </c>
      <c r="N3486" s="66" t="str">
        <f aca="false">IF($L3486="","",IFERROR(INDEX(记账规则!$A$13:$H$32,MATCH(资金流水!$E146,记账规则!$A$13:$A$32,0),5),""))</f>
        <v/>
      </c>
      <c r="O3486" s="67" t="n">
        <f aca="false">IF($H3486="",0,ROUND(IF($N3486="金额",N(资金流水!$P146),0),2))</f>
        <v>0</v>
      </c>
      <c r="P3486" s="64" t="str">
        <f aca="false">IF(AND($H3486&lt;&gt;"",ROUND($O3486,2)&lt;&gt;0),"有","")</f>
        <v/>
      </c>
    </row>
    <row r="3487" customFormat="false" ht="15" hidden="true" customHeight="false" outlineLevel="0" collapsed="false">
      <c r="A3487" s="53" t="str">
        <f aca="false">IF($H3487="","",ROW()-5)</f>
        <v/>
      </c>
      <c r="B3487" s="64" t="s">
        <v>37</v>
      </c>
      <c r="C3487" s="53" t="n">
        <v>146</v>
      </c>
      <c r="D3487" s="53" t="n">
        <v>2</v>
      </c>
      <c r="E3487" s="65" t="str">
        <f aca="false">IF($H3487="","",资金流水!$B146)</f>
        <v/>
      </c>
      <c r="F3487" s="55" t="str">
        <f aca="false">IF($H3487="","",资金流水!$C146)</f>
        <v/>
      </c>
      <c r="G3487" s="48" t="str">
        <f aca="false">IF($H3487="","",资金流水!$K146)</f>
        <v/>
      </c>
      <c r="H3487" s="10" t="str">
        <f aca="false">IF($L3487="","",IF($L3487="@对方",资金流水!$G146,IF($L3487="@账户",资金流水!$Q146,$L3487)))</f>
        <v/>
      </c>
      <c r="I3487" s="42" t="n">
        <f aca="false">IF($M3487="借",$O3487,0)</f>
        <v>0</v>
      </c>
      <c r="J3487" s="42" t="n">
        <f aca="false">IF($M3487="贷",$O3487,0)</f>
        <v>0</v>
      </c>
      <c r="K3487" s="48" t="str">
        <f aca="false">IF($H3487="","",资金流水!$F146)</f>
        <v/>
      </c>
      <c r="L3487" s="66" t="str">
        <f aca="false">IF(资金流水!$E146="","",IFERROR(INDEX(记账规则!$A$13:$H$32,MATCH(资金流水!$E146,记账规则!$A$13:$A$32,0),6),""))</f>
        <v/>
      </c>
      <c r="M3487" s="66" t="str">
        <f aca="false">IF($L3487="","",IFERROR(INDEX(记账规则!$A$13:$H$32,MATCH(资金流水!$E146,记账规则!$A$13:$A$32,0),7),""))</f>
        <v/>
      </c>
      <c r="N3487" s="66" t="str">
        <f aca="false">IF($L3487="","",IFERROR(INDEX(记账规则!$A$13:$H$32,MATCH(资金流水!$E146,记账规则!$A$13:$A$32,0),8),""))</f>
        <v/>
      </c>
      <c r="O3487" s="67" t="n">
        <f aca="false">IF($H3487="",0,ROUND(IF($N3487="金额",N(资金流水!$P146),0),2))</f>
        <v>0</v>
      </c>
      <c r="P3487" s="64" t="str">
        <f aca="false">IF(AND($H3487&lt;&gt;"",ROUND($O3487,2)&lt;&gt;0),"有","")</f>
        <v/>
      </c>
    </row>
    <row r="3488" customFormat="false" ht="15" hidden="true" customHeight="false" outlineLevel="0" collapsed="false">
      <c r="A3488" s="53" t="str">
        <f aca="false">IF($H3488="","",ROW()-5)</f>
        <v/>
      </c>
      <c r="B3488" s="64" t="s">
        <v>37</v>
      </c>
      <c r="C3488" s="53" t="n">
        <v>147</v>
      </c>
      <c r="D3488" s="53" t="n">
        <v>1</v>
      </c>
      <c r="E3488" s="65" t="str">
        <f aca="false">IF($H3488="","",资金流水!$B147)</f>
        <v/>
      </c>
      <c r="F3488" s="55" t="str">
        <f aca="false">IF($H3488="","",资金流水!$C147)</f>
        <v/>
      </c>
      <c r="G3488" s="48" t="str">
        <f aca="false">IF($H3488="","",资金流水!$K147)</f>
        <v/>
      </c>
      <c r="H3488" s="10" t="str">
        <f aca="false">IF($L3488="","",IF($L3488="@对方",资金流水!$G147,IF($L3488="@账户",资金流水!$Q147,$L3488)))</f>
        <v/>
      </c>
      <c r="I3488" s="42" t="n">
        <f aca="false">IF($M3488="借",$O3488,0)</f>
        <v>0</v>
      </c>
      <c r="J3488" s="42" t="n">
        <f aca="false">IF($M3488="贷",$O3488,0)</f>
        <v>0</v>
      </c>
      <c r="K3488" s="48" t="str">
        <f aca="false">IF($H3488="","",资金流水!$F147)</f>
        <v/>
      </c>
      <c r="L3488" s="66" t="str">
        <f aca="false">IF(资金流水!$E147="","",IFERROR(INDEX(记账规则!$A$13:$H$32,MATCH(资金流水!$E147,记账规则!$A$13:$A$32,0),3),""))</f>
        <v/>
      </c>
      <c r="M3488" s="66" t="str">
        <f aca="false">IF($L3488="","",IFERROR(INDEX(记账规则!$A$13:$H$32,MATCH(资金流水!$E147,记账规则!$A$13:$A$32,0),4),""))</f>
        <v/>
      </c>
      <c r="N3488" s="66" t="str">
        <f aca="false">IF($L3488="","",IFERROR(INDEX(记账规则!$A$13:$H$32,MATCH(资金流水!$E147,记账规则!$A$13:$A$32,0),5),""))</f>
        <v/>
      </c>
      <c r="O3488" s="67" t="n">
        <f aca="false">IF($H3488="",0,ROUND(IF($N3488="金额",N(资金流水!$P147),0),2))</f>
        <v>0</v>
      </c>
      <c r="P3488" s="64" t="str">
        <f aca="false">IF(AND($H3488&lt;&gt;"",ROUND($O3488,2)&lt;&gt;0),"有","")</f>
        <v/>
      </c>
    </row>
    <row r="3489" customFormat="false" ht="15" hidden="true" customHeight="false" outlineLevel="0" collapsed="false">
      <c r="A3489" s="53" t="str">
        <f aca="false">IF($H3489="","",ROW()-5)</f>
        <v/>
      </c>
      <c r="B3489" s="64" t="s">
        <v>37</v>
      </c>
      <c r="C3489" s="53" t="n">
        <v>147</v>
      </c>
      <c r="D3489" s="53" t="n">
        <v>2</v>
      </c>
      <c r="E3489" s="65" t="str">
        <f aca="false">IF($H3489="","",资金流水!$B147)</f>
        <v/>
      </c>
      <c r="F3489" s="55" t="str">
        <f aca="false">IF($H3489="","",资金流水!$C147)</f>
        <v/>
      </c>
      <c r="G3489" s="48" t="str">
        <f aca="false">IF($H3489="","",资金流水!$K147)</f>
        <v/>
      </c>
      <c r="H3489" s="10" t="str">
        <f aca="false">IF($L3489="","",IF($L3489="@对方",资金流水!$G147,IF($L3489="@账户",资金流水!$Q147,$L3489)))</f>
        <v/>
      </c>
      <c r="I3489" s="42" t="n">
        <f aca="false">IF($M3489="借",$O3489,0)</f>
        <v>0</v>
      </c>
      <c r="J3489" s="42" t="n">
        <f aca="false">IF($M3489="贷",$O3489,0)</f>
        <v>0</v>
      </c>
      <c r="K3489" s="48" t="str">
        <f aca="false">IF($H3489="","",资金流水!$F147)</f>
        <v/>
      </c>
      <c r="L3489" s="66" t="str">
        <f aca="false">IF(资金流水!$E147="","",IFERROR(INDEX(记账规则!$A$13:$H$32,MATCH(资金流水!$E147,记账规则!$A$13:$A$32,0),6),""))</f>
        <v/>
      </c>
      <c r="M3489" s="66" t="str">
        <f aca="false">IF($L3489="","",IFERROR(INDEX(记账规则!$A$13:$H$32,MATCH(资金流水!$E147,记账规则!$A$13:$A$32,0),7),""))</f>
        <v/>
      </c>
      <c r="N3489" s="66" t="str">
        <f aca="false">IF($L3489="","",IFERROR(INDEX(记账规则!$A$13:$H$32,MATCH(资金流水!$E147,记账规则!$A$13:$A$32,0),8),""))</f>
        <v/>
      </c>
      <c r="O3489" s="67" t="n">
        <f aca="false">IF($H3489="",0,ROUND(IF($N3489="金额",N(资金流水!$P147),0),2))</f>
        <v>0</v>
      </c>
      <c r="P3489" s="64" t="str">
        <f aca="false">IF(AND($H3489&lt;&gt;"",ROUND($O3489,2)&lt;&gt;0),"有","")</f>
        <v/>
      </c>
    </row>
    <row r="3490" customFormat="false" ht="15" hidden="true" customHeight="false" outlineLevel="0" collapsed="false">
      <c r="A3490" s="53" t="str">
        <f aca="false">IF($H3490="","",ROW()-5)</f>
        <v/>
      </c>
      <c r="B3490" s="64" t="s">
        <v>37</v>
      </c>
      <c r="C3490" s="53" t="n">
        <v>148</v>
      </c>
      <c r="D3490" s="53" t="n">
        <v>1</v>
      </c>
      <c r="E3490" s="65" t="str">
        <f aca="false">IF($H3490="","",资金流水!$B148)</f>
        <v/>
      </c>
      <c r="F3490" s="55" t="str">
        <f aca="false">IF($H3490="","",资金流水!$C148)</f>
        <v/>
      </c>
      <c r="G3490" s="48" t="str">
        <f aca="false">IF($H3490="","",资金流水!$K148)</f>
        <v/>
      </c>
      <c r="H3490" s="10" t="str">
        <f aca="false">IF($L3490="","",IF($L3490="@对方",资金流水!$G148,IF($L3490="@账户",资金流水!$Q148,$L3490)))</f>
        <v/>
      </c>
      <c r="I3490" s="42" t="n">
        <f aca="false">IF($M3490="借",$O3490,0)</f>
        <v>0</v>
      </c>
      <c r="J3490" s="42" t="n">
        <f aca="false">IF($M3490="贷",$O3490,0)</f>
        <v>0</v>
      </c>
      <c r="K3490" s="48" t="str">
        <f aca="false">IF($H3490="","",资金流水!$F148)</f>
        <v/>
      </c>
      <c r="L3490" s="66" t="str">
        <f aca="false">IF(资金流水!$E148="","",IFERROR(INDEX(记账规则!$A$13:$H$32,MATCH(资金流水!$E148,记账规则!$A$13:$A$32,0),3),""))</f>
        <v/>
      </c>
      <c r="M3490" s="66" t="str">
        <f aca="false">IF($L3490="","",IFERROR(INDEX(记账规则!$A$13:$H$32,MATCH(资金流水!$E148,记账规则!$A$13:$A$32,0),4),""))</f>
        <v/>
      </c>
      <c r="N3490" s="66" t="str">
        <f aca="false">IF($L3490="","",IFERROR(INDEX(记账规则!$A$13:$H$32,MATCH(资金流水!$E148,记账规则!$A$13:$A$32,0),5),""))</f>
        <v/>
      </c>
      <c r="O3490" s="67" t="n">
        <f aca="false">IF($H3490="",0,ROUND(IF($N3490="金额",N(资金流水!$P148),0),2))</f>
        <v>0</v>
      </c>
      <c r="P3490" s="64" t="str">
        <f aca="false">IF(AND($H3490&lt;&gt;"",ROUND($O3490,2)&lt;&gt;0),"有","")</f>
        <v/>
      </c>
    </row>
    <row r="3491" customFormat="false" ht="15" hidden="true" customHeight="false" outlineLevel="0" collapsed="false">
      <c r="A3491" s="53" t="str">
        <f aca="false">IF($H3491="","",ROW()-5)</f>
        <v/>
      </c>
      <c r="B3491" s="64" t="s">
        <v>37</v>
      </c>
      <c r="C3491" s="53" t="n">
        <v>148</v>
      </c>
      <c r="D3491" s="53" t="n">
        <v>2</v>
      </c>
      <c r="E3491" s="65" t="str">
        <f aca="false">IF($H3491="","",资金流水!$B148)</f>
        <v/>
      </c>
      <c r="F3491" s="55" t="str">
        <f aca="false">IF($H3491="","",资金流水!$C148)</f>
        <v/>
      </c>
      <c r="G3491" s="48" t="str">
        <f aca="false">IF($H3491="","",资金流水!$K148)</f>
        <v/>
      </c>
      <c r="H3491" s="10" t="str">
        <f aca="false">IF($L3491="","",IF($L3491="@对方",资金流水!$G148,IF($L3491="@账户",资金流水!$Q148,$L3491)))</f>
        <v/>
      </c>
      <c r="I3491" s="42" t="n">
        <f aca="false">IF($M3491="借",$O3491,0)</f>
        <v>0</v>
      </c>
      <c r="J3491" s="42" t="n">
        <f aca="false">IF($M3491="贷",$O3491,0)</f>
        <v>0</v>
      </c>
      <c r="K3491" s="48" t="str">
        <f aca="false">IF($H3491="","",资金流水!$F148)</f>
        <v/>
      </c>
      <c r="L3491" s="66" t="str">
        <f aca="false">IF(资金流水!$E148="","",IFERROR(INDEX(记账规则!$A$13:$H$32,MATCH(资金流水!$E148,记账规则!$A$13:$A$32,0),6),""))</f>
        <v/>
      </c>
      <c r="M3491" s="66" t="str">
        <f aca="false">IF($L3491="","",IFERROR(INDEX(记账规则!$A$13:$H$32,MATCH(资金流水!$E148,记账规则!$A$13:$A$32,0),7),""))</f>
        <v/>
      </c>
      <c r="N3491" s="66" t="str">
        <f aca="false">IF($L3491="","",IFERROR(INDEX(记账规则!$A$13:$H$32,MATCH(资金流水!$E148,记账规则!$A$13:$A$32,0),8),""))</f>
        <v/>
      </c>
      <c r="O3491" s="67" t="n">
        <f aca="false">IF($H3491="",0,ROUND(IF($N3491="金额",N(资金流水!$P148),0),2))</f>
        <v>0</v>
      </c>
      <c r="P3491" s="64" t="str">
        <f aca="false">IF(AND($H3491&lt;&gt;"",ROUND($O3491,2)&lt;&gt;0),"有","")</f>
        <v/>
      </c>
    </row>
    <row r="3492" customFormat="false" ht="15" hidden="true" customHeight="false" outlineLevel="0" collapsed="false">
      <c r="A3492" s="53" t="str">
        <f aca="false">IF($H3492="","",ROW()-5)</f>
        <v/>
      </c>
      <c r="B3492" s="64" t="s">
        <v>37</v>
      </c>
      <c r="C3492" s="53" t="n">
        <v>149</v>
      </c>
      <c r="D3492" s="53" t="n">
        <v>1</v>
      </c>
      <c r="E3492" s="65" t="str">
        <f aca="false">IF($H3492="","",资金流水!$B149)</f>
        <v/>
      </c>
      <c r="F3492" s="55" t="str">
        <f aca="false">IF($H3492="","",资金流水!$C149)</f>
        <v/>
      </c>
      <c r="G3492" s="48" t="str">
        <f aca="false">IF($H3492="","",资金流水!$K149)</f>
        <v/>
      </c>
      <c r="H3492" s="10" t="str">
        <f aca="false">IF($L3492="","",IF($L3492="@对方",资金流水!$G149,IF($L3492="@账户",资金流水!$Q149,$L3492)))</f>
        <v/>
      </c>
      <c r="I3492" s="42" t="n">
        <f aca="false">IF($M3492="借",$O3492,0)</f>
        <v>0</v>
      </c>
      <c r="J3492" s="42" t="n">
        <f aca="false">IF($M3492="贷",$O3492,0)</f>
        <v>0</v>
      </c>
      <c r="K3492" s="48" t="str">
        <f aca="false">IF($H3492="","",资金流水!$F149)</f>
        <v/>
      </c>
      <c r="L3492" s="66" t="str">
        <f aca="false">IF(资金流水!$E149="","",IFERROR(INDEX(记账规则!$A$13:$H$32,MATCH(资金流水!$E149,记账规则!$A$13:$A$32,0),3),""))</f>
        <v/>
      </c>
      <c r="M3492" s="66" t="str">
        <f aca="false">IF($L3492="","",IFERROR(INDEX(记账规则!$A$13:$H$32,MATCH(资金流水!$E149,记账规则!$A$13:$A$32,0),4),""))</f>
        <v/>
      </c>
      <c r="N3492" s="66" t="str">
        <f aca="false">IF($L3492="","",IFERROR(INDEX(记账规则!$A$13:$H$32,MATCH(资金流水!$E149,记账规则!$A$13:$A$32,0),5),""))</f>
        <v/>
      </c>
      <c r="O3492" s="67" t="n">
        <f aca="false">IF($H3492="",0,ROUND(IF($N3492="金额",N(资金流水!$P149),0),2))</f>
        <v>0</v>
      </c>
      <c r="P3492" s="64" t="str">
        <f aca="false">IF(AND($H3492&lt;&gt;"",ROUND($O3492,2)&lt;&gt;0),"有","")</f>
        <v/>
      </c>
    </row>
    <row r="3493" customFormat="false" ht="15" hidden="true" customHeight="false" outlineLevel="0" collapsed="false">
      <c r="A3493" s="53" t="str">
        <f aca="false">IF($H3493="","",ROW()-5)</f>
        <v/>
      </c>
      <c r="B3493" s="64" t="s">
        <v>37</v>
      </c>
      <c r="C3493" s="53" t="n">
        <v>149</v>
      </c>
      <c r="D3493" s="53" t="n">
        <v>2</v>
      </c>
      <c r="E3493" s="65" t="str">
        <f aca="false">IF($H3493="","",资金流水!$B149)</f>
        <v/>
      </c>
      <c r="F3493" s="55" t="str">
        <f aca="false">IF($H3493="","",资金流水!$C149)</f>
        <v/>
      </c>
      <c r="G3493" s="48" t="str">
        <f aca="false">IF($H3493="","",资金流水!$K149)</f>
        <v/>
      </c>
      <c r="H3493" s="10" t="str">
        <f aca="false">IF($L3493="","",IF($L3493="@对方",资金流水!$G149,IF($L3493="@账户",资金流水!$Q149,$L3493)))</f>
        <v/>
      </c>
      <c r="I3493" s="42" t="n">
        <f aca="false">IF($M3493="借",$O3493,0)</f>
        <v>0</v>
      </c>
      <c r="J3493" s="42" t="n">
        <f aca="false">IF($M3493="贷",$O3493,0)</f>
        <v>0</v>
      </c>
      <c r="K3493" s="48" t="str">
        <f aca="false">IF($H3493="","",资金流水!$F149)</f>
        <v/>
      </c>
      <c r="L3493" s="66" t="str">
        <f aca="false">IF(资金流水!$E149="","",IFERROR(INDEX(记账规则!$A$13:$H$32,MATCH(资金流水!$E149,记账规则!$A$13:$A$32,0),6),""))</f>
        <v/>
      </c>
      <c r="M3493" s="66" t="str">
        <f aca="false">IF($L3493="","",IFERROR(INDEX(记账规则!$A$13:$H$32,MATCH(资金流水!$E149,记账规则!$A$13:$A$32,0),7),""))</f>
        <v/>
      </c>
      <c r="N3493" s="66" t="str">
        <f aca="false">IF($L3493="","",IFERROR(INDEX(记账规则!$A$13:$H$32,MATCH(资金流水!$E149,记账规则!$A$13:$A$32,0),8),""))</f>
        <v/>
      </c>
      <c r="O3493" s="67" t="n">
        <f aca="false">IF($H3493="",0,ROUND(IF($N3493="金额",N(资金流水!$P149),0),2))</f>
        <v>0</v>
      </c>
      <c r="P3493" s="64" t="str">
        <f aca="false">IF(AND($H3493&lt;&gt;"",ROUND($O3493,2)&lt;&gt;0),"有","")</f>
        <v/>
      </c>
    </row>
    <row r="3494" customFormat="false" ht="15" hidden="true" customHeight="false" outlineLevel="0" collapsed="false">
      <c r="A3494" s="53" t="str">
        <f aca="false">IF($H3494="","",ROW()-5)</f>
        <v/>
      </c>
      <c r="B3494" s="64" t="s">
        <v>37</v>
      </c>
      <c r="C3494" s="53" t="n">
        <v>150</v>
      </c>
      <c r="D3494" s="53" t="n">
        <v>1</v>
      </c>
      <c r="E3494" s="65" t="str">
        <f aca="false">IF($H3494="","",资金流水!$B150)</f>
        <v/>
      </c>
      <c r="F3494" s="55" t="str">
        <f aca="false">IF($H3494="","",资金流水!$C150)</f>
        <v/>
      </c>
      <c r="G3494" s="48" t="str">
        <f aca="false">IF($H3494="","",资金流水!$K150)</f>
        <v/>
      </c>
      <c r="H3494" s="10" t="str">
        <f aca="false">IF($L3494="","",IF($L3494="@对方",资金流水!$G150,IF($L3494="@账户",资金流水!$Q150,$L3494)))</f>
        <v/>
      </c>
      <c r="I3494" s="42" t="n">
        <f aca="false">IF($M3494="借",$O3494,0)</f>
        <v>0</v>
      </c>
      <c r="J3494" s="42" t="n">
        <f aca="false">IF($M3494="贷",$O3494,0)</f>
        <v>0</v>
      </c>
      <c r="K3494" s="48" t="str">
        <f aca="false">IF($H3494="","",资金流水!$F150)</f>
        <v/>
      </c>
      <c r="L3494" s="66" t="str">
        <f aca="false">IF(资金流水!$E150="","",IFERROR(INDEX(记账规则!$A$13:$H$32,MATCH(资金流水!$E150,记账规则!$A$13:$A$32,0),3),""))</f>
        <v/>
      </c>
      <c r="M3494" s="66" t="str">
        <f aca="false">IF($L3494="","",IFERROR(INDEX(记账规则!$A$13:$H$32,MATCH(资金流水!$E150,记账规则!$A$13:$A$32,0),4),""))</f>
        <v/>
      </c>
      <c r="N3494" s="66" t="str">
        <f aca="false">IF($L3494="","",IFERROR(INDEX(记账规则!$A$13:$H$32,MATCH(资金流水!$E150,记账规则!$A$13:$A$32,0),5),""))</f>
        <v/>
      </c>
      <c r="O3494" s="67" t="n">
        <f aca="false">IF($H3494="",0,ROUND(IF($N3494="金额",N(资金流水!$P150),0),2))</f>
        <v>0</v>
      </c>
      <c r="P3494" s="64" t="str">
        <f aca="false">IF(AND($H3494&lt;&gt;"",ROUND($O3494,2)&lt;&gt;0),"有","")</f>
        <v/>
      </c>
    </row>
    <row r="3495" customFormat="false" ht="15" hidden="true" customHeight="false" outlineLevel="0" collapsed="false">
      <c r="A3495" s="53" t="str">
        <f aca="false">IF($H3495="","",ROW()-5)</f>
        <v/>
      </c>
      <c r="B3495" s="64" t="s">
        <v>37</v>
      </c>
      <c r="C3495" s="53" t="n">
        <v>150</v>
      </c>
      <c r="D3495" s="53" t="n">
        <v>2</v>
      </c>
      <c r="E3495" s="65" t="str">
        <f aca="false">IF($H3495="","",资金流水!$B150)</f>
        <v/>
      </c>
      <c r="F3495" s="55" t="str">
        <f aca="false">IF($H3495="","",资金流水!$C150)</f>
        <v/>
      </c>
      <c r="G3495" s="48" t="str">
        <f aca="false">IF($H3495="","",资金流水!$K150)</f>
        <v/>
      </c>
      <c r="H3495" s="10" t="str">
        <f aca="false">IF($L3495="","",IF($L3495="@对方",资金流水!$G150,IF($L3495="@账户",资金流水!$Q150,$L3495)))</f>
        <v/>
      </c>
      <c r="I3495" s="42" t="n">
        <f aca="false">IF($M3495="借",$O3495,0)</f>
        <v>0</v>
      </c>
      <c r="J3495" s="42" t="n">
        <f aca="false">IF($M3495="贷",$O3495,0)</f>
        <v>0</v>
      </c>
      <c r="K3495" s="48" t="str">
        <f aca="false">IF($H3495="","",资金流水!$F150)</f>
        <v/>
      </c>
      <c r="L3495" s="66" t="str">
        <f aca="false">IF(资金流水!$E150="","",IFERROR(INDEX(记账规则!$A$13:$H$32,MATCH(资金流水!$E150,记账规则!$A$13:$A$32,0),6),""))</f>
        <v/>
      </c>
      <c r="M3495" s="66" t="str">
        <f aca="false">IF($L3495="","",IFERROR(INDEX(记账规则!$A$13:$H$32,MATCH(资金流水!$E150,记账规则!$A$13:$A$32,0),7),""))</f>
        <v/>
      </c>
      <c r="N3495" s="66" t="str">
        <f aca="false">IF($L3495="","",IFERROR(INDEX(记账规则!$A$13:$H$32,MATCH(资金流水!$E150,记账规则!$A$13:$A$32,0),8),""))</f>
        <v/>
      </c>
      <c r="O3495" s="67" t="n">
        <f aca="false">IF($H3495="",0,ROUND(IF($N3495="金额",N(资金流水!$P150),0),2))</f>
        <v>0</v>
      </c>
      <c r="P3495" s="64" t="str">
        <f aca="false">IF(AND($H3495&lt;&gt;"",ROUND($O3495,2)&lt;&gt;0),"有","")</f>
        <v/>
      </c>
    </row>
    <row r="3496" customFormat="false" ht="15" hidden="true" customHeight="false" outlineLevel="0" collapsed="false">
      <c r="A3496" s="53" t="str">
        <f aca="false">IF($H3496="","",ROW()-5)</f>
        <v/>
      </c>
      <c r="B3496" s="64" t="s">
        <v>37</v>
      </c>
      <c r="C3496" s="53" t="n">
        <v>151</v>
      </c>
      <c r="D3496" s="53" t="n">
        <v>1</v>
      </c>
      <c r="E3496" s="65" t="str">
        <f aca="false">IF($H3496="","",资金流水!$B151)</f>
        <v/>
      </c>
      <c r="F3496" s="55" t="str">
        <f aca="false">IF($H3496="","",资金流水!$C151)</f>
        <v/>
      </c>
      <c r="G3496" s="48" t="str">
        <f aca="false">IF($H3496="","",资金流水!$K151)</f>
        <v/>
      </c>
      <c r="H3496" s="10" t="str">
        <f aca="false">IF($L3496="","",IF($L3496="@对方",资金流水!$G151,IF($L3496="@账户",资金流水!$Q151,$L3496)))</f>
        <v/>
      </c>
      <c r="I3496" s="42" t="n">
        <f aca="false">IF($M3496="借",$O3496,0)</f>
        <v>0</v>
      </c>
      <c r="J3496" s="42" t="n">
        <f aca="false">IF($M3496="贷",$O3496,0)</f>
        <v>0</v>
      </c>
      <c r="K3496" s="48" t="str">
        <f aca="false">IF($H3496="","",资金流水!$F151)</f>
        <v/>
      </c>
      <c r="L3496" s="66" t="str">
        <f aca="false">IF(资金流水!$E151="","",IFERROR(INDEX(记账规则!$A$13:$H$32,MATCH(资金流水!$E151,记账规则!$A$13:$A$32,0),3),""))</f>
        <v/>
      </c>
      <c r="M3496" s="66" t="str">
        <f aca="false">IF($L3496="","",IFERROR(INDEX(记账规则!$A$13:$H$32,MATCH(资金流水!$E151,记账规则!$A$13:$A$32,0),4),""))</f>
        <v/>
      </c>
      <c r="N3496" s="66" t="str">
        <f aca="false">IF($L3496="","",IFERROR(INDEX(记账规则!$A$13:$H$32,MATCH(资金流水!$E151,记账规则!$A$13:$A$32,0),5),""))</f>
        <v/>
      </c>
      <c r="O3496" s="67" t="n">
        <f aca="false">IF($H3496="",0,ROUND(IF($N3496="金额",N(资金流水!$P151),0),2))</f>
        <v>0</v>
      </c>
      <c r="P3496" s="64" t="str">
        <f aca="false">IF(AND($H3496&lt;&gt;"",ROUND($O3496,2)&lt;&gt;0),"有","")</f>
        <v/>
      </c>
    </row>
    <row r="3497" customFormat="false" ht="15" hidden="true" customHeight="false" outlineLevel="0" collapsed="false">
      <c r="A3497" s="53" t="str">
        <f aca="false">IF($H3497="","",ROW()-5)</f>
        <v/>
      </c>
      <c r="B3497" s="64" t="s">
        <v>37</v>
      </c>
      <c r="C3497" s="53" t="n">
        <v>151</v>
      </c>
      <c r="D3497" s="53" t="n">
        <v>2</v>
      </c>
      <c r="E3497" s="65" t="str">
        <f aca="false">IF($H3497="","",资金流水!$B151)</f>
        <v/>
      </c>
      <c r="F3497" s="55" t="str">
        <f aca="false">IF($H3497="","",资金流水!$C151)</f>
        <v/>
      </c>
      <c r="G3497" s="48" t="str">
        <f aca="false">IF($H3497="","",资金流水!$K151)</f>
        <v/>
      </c>
      <c r="H3497" s="10" t="str">
        <f aca="false">IF($L3497="","",IF($L3497="@对方",资金流水!$G151,IF($L3497="@账户",资金流水!$Q151,$L3497)))</f>
        <v/>
      </c>
      <c r="I3497" s="42" t="n">
        <f aca="false">IF($M3497="借",$O3497,0)</f>
        <v>0</v>
      </c>
      <c r="J3497" s="42" t="n">
        <f aca="false">IF($M3497="贷",$O3497,0)</f>
        <v>0</v>
      </c>
      <c r="K3497" s="48" t="str">
        <f aca="false">IF($H3497="","",资金流水!$F151)</f>
        <v/>
      </c>
      <c r="L3497" s="66" t="str">
        <f aca="false">IF(资金流水!$E151="","",IFERROR(INDEX(记账规则!$A$13:$H$32,MATCH(资金流水!$E151,记账规则!$A$13:$A$32,0),6),""))</f>
        <v/>
      </c>
      <c r="M3497" s="66" t="str">
        <f aca="false">IF($L3497="","",IFERROR(INDEX(记账规则!$A$13:$H$32,MATCH(资金流水!$E151,记账规则!$A$13:$A$32,0),7),""))</f>
        <v/>
      </c>
      <c r="N3497" s="66" t="str">
        <f aca="false">IF($L3497="","",IFERROR(INDEX(记账规则!$A$13:$H$32,MATCH(资金流水!$E151,记账规则!$A$13:$A$32,0),8),""))</f>
        <v/>
      </c>
      <c r="O3497" s="67" t="n">
        <f aca="false">IF($H3497="",0,ROUND(IF($N3497="金额",N(资金流水!$P151),0),2))</f>
        <v>0</v>
      </c>
      <c r="P3497" s="64" t="str">
        <f aca="false">IF(AND($H3497&lt;&gt;"",ROUND($O3497,2)&lt;&gt;0),"有","")</f>
        <v/>
      </c>
    </row>
    <row r="3498" customFormat="false" ht="15" hidden="true" customHeight="false" outlineLevel="0" collapsed="false">
      <c r="A3498" s="53" t="str">
        <f aca="false">IF($H3498="","",ROW()-5)</f>
        <v/>
      </c>
      <c r="B3498" s="64" t="s">
        <v>37</v>
      </c>
      <c r="C3498" s="53" t="n">
        <v>152</v>
      </c>
      <c r="D3498" s="53" t="n">
        <v>1</v>
      </c>
      <c r="E3498" s="65" t="str">
        <f aca="false">IF($H3498="","",资金流水!$B152)</f>
        <v/>
      </c>
      <c r="F3498" s="55" t="str">
        <f aca="false">IF($H3498="","",资金流水!$C152)</f>
        <v/>
      </c>
      <c r="G3498" s="48" t="str">
        <f aca="false">IF($H3498="","",资金流水!$K152)</f>
        <v/>
      </c>
      <c r="H3498" s="10" t="str">
        <f aca="false">IF($L3498="","",IF($L3498="@对方",资金流水!$G152,IF($L3498="@账户",资金流水!$Q152,$L3498)))</f>
        <v/>
      </c>
      <c r="I3498" s="42" t="n">
        <f aca="false">IF($M3498="借",$O3498,0)</f>
        <v>0</v>
      </c>
      <c r="J3498" s="42" t="n">
        <f aca="false">IF($M3498="贷",$O3498,0)</f>
        <v>0</v>
      </c>
      <c r="K3498" s="48" t="str">
        <f aca="false">IF($H3498="","",资金流水!$F152)</f>
        <v/>
      </c>
      <c r="L3498" s="66" t="str">
        <f aca="false">IF(资金流水!$E152="","",IFERROR(INDEX(记账规则!$A$13:$H$32,MATCH(资金流水!$E152,记账规则!$A$13:$A$32,0),3),""))</f>
        <v/>
      </c>
      <c r="M3498" s="66" t="str">
        <f aca="false">IF($L3498="","",IFERROR(INDEX(记账规则!$A$13:$H$32,MATCH(资金流水!$E152,记账规则!$A$13:$A$32,0),4),""))</f>
        <v/>
      </c>
      <c r="N3498" s="66" t="str">
        <f aca="false">IF($L3498="","",IFERROR(INDEX(记账规则!$A$13:$H$32,MATCH(资金流水!$E152,记账规则!$A$13:$A$32,0),5),""))</f>
        <v/>
      </c>
      <c r="O3498" s="67" t="n">
        <f aca="false">IF($H3498="",0,ROUND(IF($N3498="金额",N(资金流水!$P152),0),2))</f>
        <v>0</v>
      </c>
      <c r="P3498" s="64" t="str">
        <f aca="false">IF(AND($H3498&lt;&gt;"",ROUND($O3498,2)&lt;&gt;0),"有","")</f>
        <v/>
      </c>
    </row>
    <row r="3499" customFormat="false" ht="15" hidden="true" customHeight="false" outlineLevel="0" collapsed="false">
      <c r="A3499" s="53" t="str">
        <f aca="false">IF($H3499="","",ROW()-5)</f>
        <v/>
      </c>
      <c r="B3499" s="64" t="s">
        <v>37</v>
      </c>
      <c r="C3499" s="53" t="n">
        <v>152</v>
      </c>
      <c r="D3499" s="53" t="n">
        <v>2</v>
      </c>
      <c r="E3499" s="65" t="str">
        <f aca="false">IF($H3499="","",资金流水!$B152)</f>
        <v/>
      </c>
      <c r="F3499" s="55" t="str">
        <f aca="false">IF($H3499="","",资金流水!$C152)</f>
        <v/>
      </c>
      <c r="G3499" s="48" t="str">
        <f aca="false">IF($H3499="","",资金流水!$K152)</f>
        <v/>
      </c>
      <c r="H3499" s="10" t="str">
        <f aca="false">IF($L3499="","",IF($L3499="@对方",资金流水!$G152,IF($L3499="@账户",资金流水!$Q152,$L3499)))</f>
        <v/>
      </c>
      <c r="I3499" s="42" t="n">
        <f aca="false">IF($M3499="借",$O3499,0)</f>
        <v>0</v>
      </c>
      <c r="J3499" s="42" t="n">
        <f aca="false">IF($M3499="贷",$O3499,0)</f>
        <v>0</v>
      </c>
      <c r="K3499" s="48" t="str">
        <f aca="false">IF($H3499="","",资金流水!$F152)</f>
        <v/>
      </c>
      <c r="L3499" s="66" t="str">
        <f aca="false">IF(资金流水!$E152="","",IFERROR(INDEX(记账规则!$A$13:$H$32,MATCH(资金流水!$E152,记账规则!$A$13:$A$32,0),6),""))</f>
        <v/>
      </c>
      <c r="M3499" s="66" t="str">
        <f aca="false">IF($L3499="","",IFERROR(INDEX(记账规则!$A$13:$H$32,MATCH(资金流水!$E152,记账规则!$A$13:$A$32,0),7),""))</f>
        <v/>
      </c>
      <c r="N3499" s="66" t="str">
        <f aca="false">IF($L3499="","",IFERROR(INDEX(记账规则!$A$13:$H$32,MATCH(资金流水!$E152,记账规则!$A$13:$A$32,0),8),""))</f>
        <v/>
      </c>
      <c r="O3499" s="67" t="n">
        <f aca="false">IF($H3499="",0,ROUND(IF($N3499="金额",N(资金流水!$P152),0),2))</f>
        <v>0</v>
      </c>
      <c r="P3499" s="64" t="str">
        <f aca="false">IF(AND($H3499&lt;&gt;"",ROUND($O3499,2)&lt;&gt;0),"有","")</f>
        <v/>
      </c>
    </row>
    <row r="3500" customFormat="false" ht="15" hidden="true" customHeight="false" outlineLevel="0" collapsed="false">
      <c r="A3500" s="53" t="str">
        <f aca="false">IF($H3500="","",ROW()-5)</f>
        <v/>
      </c>
      <c r="B3500" s="64" t="s">
        <v>37</v>
      </c>
      <c r="C3500" s="53" t="n">
        <v>153</v>
      </c>
      <c r="D3500" s="53" t="n">
        <v>1</v>
      </c>
      <c r="E3500" s="65" t="str">
        <f aca="false">IF($H3500="","",资金流水!$B153)</f>
        <v/>
      </c>
      <c r="F3500" s="55" t="str">
        <f aca="false">IF($H3500="","",资金流水!$C153)</f>
        <v/>
      </c>
      <c r="G3500" s="48" t="str">
        <f aca="false">IF($H3500="","",资金流水!$K153)</f>
        <v/>
      </c>
      <c r="H3500" s="10" t="str">
        <f aca="false">IF($L3500="","",IF($L3500="@对方",资金流水!$G153,IF($L3500="@账户",资金流水!$Q153,$L3500)))</f>
        <v/>
      </c>
      <c r="I3500" s="42" t="n">
        <f aca="false">IF($M3500="借",$O3500,0)</f>
        <v>0</v>
      </c>
      <c r="J3500" s="42" t="n">
        <f aca="false">IF($M3500="贷",$O3500,0)</f>
        <v>0</v>
      </c>
      <c r="K3500" s="48" t="str">
        <f aca="false">IF($H3500="","",资金流水!$F153)</f>
        <v/>
      </c>
      <c r="L3500" s="66" t="str">
        <f aca="false">IF(资金流水!$E153="","",IFERROR(INDEX(记账规则!$A$13:$H$32,MATCH(资金流水!$E153,记账规则!$A$13:$A$32,0),3),""))</f>
        <v/>
      </c>
      <c r="M3500" s="66" t="str">
        <f aca="false">IF($L3500="","",IFERROR(INDEX(记账规则!$A$13:$H$32,MATCH(资金流水!$E153,记账规则!$A$13:$A$32,0),4),""))</f>
        <v/>
      </c>
      <c r="N3500" s="66" t="str">
        <f aca="false">IF($L3500="","",IFERROR(INDEX(记账规则!$A$13:$H$32,MATCH(资金流水!$E153,记账规则!$A$13:$A$32,0),5),""))</f>
        <v/>
      </c>
      <c r="O3500" s="67" t="n">
        <f aca="false">IF($H3500="",0,ROUND(IF($N3500="金额",N(资金流水!$P153),0),2))</f>
        <v>0</v>
      </c>
      <c r="P3500" s="64" t="str">
        <f aca="false">IF(AND($H3500&lt;&gt;"",ROUND($O3500,2)&lt;&gt;0),"有","")</f>
        <v/>
      </c>
    </row>
    <row r="3501" customFormat="false" ht="15" hidden="true" customHeight="false" outlineLevel="0" collapsed="false">
      <c r="A3501" s="53" t="str">
        <f aca="false">IF($H3501="","",ROW()-5)</f>
        <v/>
      </c>
      <c r="B3501" s="64" t="s">
        <v>37</v>
      </c>
      <c r="C3501" s="53" t="n">
        <v>153</v>
      </c>
      <c r="D3501" s="53" t="n">
        <v>2</v>
      </c>
      <c r="E3501" s="65" t="str">
        <f aca="false">IF($H3501="","",资金流水!$B153)</f>
        <v/>
      </c>
      <c r="F3501" s="55" t="str">
        <f aca="false">IF($H3501="","",资金流水!$C153)</f>
        <v/>
      </c>
      <c r="G3501" s="48" t="str">
        <f aca="false">IF($H3501="","",资金流水!$K153)</f>
        <v/>
      </c>
      <c r="H3501" s="10" t="str">
        <f aca="false">IF($L3501="","",IF($L3501="@对方",资金流水!$G153,IF($L3501="@账户",资金流水!$Q153,$L3501)))</f>
        <v/>
      </c>
      <c r="I3501" s="42" t="n">
        <f aca="false">IF($M3501="借",$O3501,0)</f>
        <v>0</v>
      </c>
      <c r="J3501" s="42" t="n">
        <f aca="false">IF($M3501="贷",$O3501,0)</f>
        <v>0</v>
      </c>
      <c r="K3501" s="48" t="str">
        <f aca="false">IF($H3501="","",资金流水!$F153)</f>
        <v/>
      </c>
      <c r="L3501" s="66" t="str">
        <f aca="false">IF(资金流水!$E153="","",IFERROR(INDEX(记账规则!$A$13:$H$32,MATCH(资金流水!$E153,记账规则!$A$13:$A$32,0),6),""))</f>
        <v/>
      </c>
      <c r="M3501" s="66" t="str">
        <f aca="false">IF($L3501="","",IFERROR(INDEX(记账规则!$A$13:$H$32,MATCH(资金流水!$E153,记账规则!$A$13:$A$32,0),7),""))</f>
        <v/>
      </c>
      <c r="N3501" s="66" t="str">
        <f aca="false">IF($L3501="","",IFERROR(INDEX(记账规则!$A$13:$H$32,MATCH(资金流水!$E153,记账规则!$A$13:$A$32,0),8),""))</f>
        <v/>
      </c>
      <c r="O3501" s="67" t="n">
        <f aca="false">IF($H3501="",0,ROUND(IF($N3501="金额",N(资金流水!$P153),0),2))</f>
        <v>0</v>
      </c>
      <c r="P3501" s="64" t="str">
        <f aca="false">IF(AND($H3501&lt;&gt;"",ROUND($O3501,2)&lt;&gt;0),"有","")</f>
        <v/>
      </c>
    </row>
    <row r="3502" customFormat="false" ht="15" hidden="true" customHeight="false" outlineLevel="0" collapsed="false">
      <c r="A3502" s="53" t="str">
        <f aca="false">IF($H3502="","",ROW()-5)</f>
        <v/>
      </c>
      <c r="B3502" s="64" t="s">
        <v>37</v>
      </c>
      <c r="C3502" s="53" t="n">
        <v>154</v>
      </c>
      <c r="D3502" s="53" t="n">
        <v>1</v>
      </c>
      <c r="E3502" s="65" t="str">
        <f aca="false">IF($H3502="","",资金流水!$B154)</f>
        <v/>
      </c>
      <c r="F3502" s="55" t="str">
        <f aca="false">IF($H3502="","",资金流水!$C154)</f>
        <v/>
      </c>
      <c r="G3502" s="48" t="str">
        <f aca="false">IF($H3502="","",资金流水!$K154)</f>
        <v/>
      </c>
      <c r="H3502" s="10" t="str">
        <f aca="false">IF($L3502="","",IF($L3502="@对方",资金流水!$G154,IF($L3502="@账户",资金流水!$Q154,$L3502)))</f>
        <v/>
      </c>
      <c r="I3502" s="42" t="n">
        <f aca="false">IF($M3502="借",$O3502,0)</f>
        <v>0</v>
      </c>
      <c r="J3502" s="42" t="n">
        <f aca="false">IF($M3502="贷",$O3502,0)</f>
        <v>0</v>
      </c>
      <c r="K3502" s="48" t="str">
        <f aca="false">IF($H3502="","",资金流水!$F154)</f>
        <v/>
      </c>
      <c r="L3502" s="66" t="str">
        <f aca="false">IF(资金流水!$E154="","",IFERROR(INDEX(记账规则!$A$13:$H$32,MATCH(资金流水!$E154,记账规则!$A$13:$A$32,0),3),""))</f>
        <v/>
      </c>
      <c r="M3502" s="66" t="str">
        <f aca="false">IF($L3502="","",IFERROR(INDEX(记账规则!$A$13:$H$32,MATCH(资金流水!$E154,记账规则!$A$13:$A$32,0),4),""))</f>
        <v/>
      </c>
      <c r="N3502" s="66" t="str">
        <f aca="false">IF($L3502="","",IFERROR(INDEX(记账规则!$A$13:$H$32,MATCH(资金流水!$E154,记账规则!$A$13:$A$32,0),5),""))</f>
        <v/>
      </c>
      <c r="O3502" s="67" t="n">
        <f aca="false">IF($H3502="",0,ROUND(IF($N3502="金额",N(资金流水!$P154),0),2))</f>
        <v>0</v>
      </c>
      <c r="P3502" s="64" t="str">
        <f aca="false">IF(AND($H3502&lt;&gt;"",ROUND($O3502,2)&lt;&gt;0),"有","")</f>
        <v/>
      </c>
    </row>
    <row r="3503" customFormat="false" ht="15" hidden="true" customHeight="false" outlineLevel="0" collapsed="false">
      <c r="A3503" s="53" t="str">
        <f aca="false">IF($H3503="","",ROW()-5)</f>
        <v/>
      </c>
      <c r="B3503" s="64" t="s">
        <v>37</v>
      </c>
      <c r="C3503" s="53" t="n">
        <v>154</v>
      </c>
      <c r="D3503" s="53" t="n">
        <v>2</v>
      </c>
      <c r="E3503" s="65" t="str">
        <f aca="false">IF($H3503="","",资金流水!$B154)</f>
        <v/>
      </c>
      <c r="F3503" s="55" t="str">
        <f aca="false">IF($H3503="","",资金流水!$C154)</f>
        <v/>
      </c>
      <c r="G3503" s="48" t="str">
        <f aca="false">IF($H3503="","",资金流水!$K154)</f>
        <v/>
      </c>
      <c r="H3503" s="10" t="str">
        <f aca="false">IF($L3503="","",IF($L3503="@对方",资金流水!$G154,IF($L3503="@账户",资金流水!$Q154,$L3503)))</f>
        <v/>
      </c>
      <c r="I3503" s="42" t="n">
        <f aca="false">IF($M3503="借",$O3503,0)</f>
        <v>0</v>
      </c>
      <c r="J3503" s="42" t="n">
        <f aca="false">IF($M3503="贷",$O3503,0)</f>
        <v>0</v>
      </c>
      <c r="K3503" s="48" t="str">
        <f aca="false">IF($H3503="","",资金流水!$F154)</f>
        <v/>
      </c>
      <c r="L3503" s="66" t="str">
        <f aca="false">IF(资金流水!$E154="","",IFERROR(INDEX(记账规则!$A$13:$H$32,MATCH(资金流水!$E154,记账规则!$A$13:$A$32,0),6),""))</f>
        <v/>
      </c>
      <c r="M3503" s="66" t="str">
        <f aca="false">IF($L3503="","",IFERROR(INDEX(记账规则!$A$13:$H$32,MATCH(资金流水!$E154,记账规则!$A$13:$A$32,0),7),""))</f>
        <v/>
      </c>
      <c r="N3503" s="66" t="str">
        <f aca="false">IF($L3503="","",IFERROR(INDEX(记账规则!$A$13:$H$32,MATCH(资金流水!$E154,记账规则!$A$13:$A$32,0),8),""))</f>
        <v/>
      </c>
      <c r="O3503" s="67" t="n">
        <f aca="false">IF($H3503="",0,ROUND(IF($N3503="金额",N(资金流水!$P154),0),2))</f>
        <v>0</v>
      </c>
      <c r="P3503" s="64" t="str">
        <f aca="false">IF(AND($H3503&lt;&gt;"",ROUND($O3503,2)&lt;&gt;0),"有","")</f>
        <v/>
      </c>
    </row>
    <row r="3504" customFormat="false" ht="15" hidden="true" customHeight="false" outlineLevel="0" collapsed="false">
      <c r="A3504" s="53" t="str">
        <f aca="false">IF($H3504="","",ROW()-5)</f>
        <v/>
      </c>
      <c r="B3504" s="64" t="s">
        <v>37</v>
      </c>
      <c r="C3504" s="53" t="n">
        <v>155</v>
      </c>
      <c r="D3504" s="53" t="n">
        <v>1</v>
      </c>
      <c r="E3504" s="65" t="str">
        <f aca="false">IF($H3504="","",资金流水!$B155)</f>
        <v/>
      </c>
      <c r="F3504" s="55" t="str">
        <f aca="false">IF($H3504="","",资金流水!$C155)</f>
        <v/>
      </c>
      <c r="G3504" s="48" t="str">
        <f aca="false">IF($H3504="","",资金流水!$K155)</f>
        <v/>
      </c>
      <c r="H3504" s="10" t="str">
        <f aca="false">IF($L3504="","",IF($L3504="@对方",资金流水!$G155,IF($L3504="@账户",资金流水!$Q155,$L3504)))</f>
        <v/>
      </c>
      <c r="I3504" s="42" t="n">
        <f aca="false">IF($M3504="借",$O3504,0)</f>
        <v>0</v>
      </c>
      <c r="J3504" s="42" t="n">
        <f aca="false">IF($M3504="贷",$O3504,0)</f>
        <v>0</v>
      </c>
      <c r="K3504" s="48" t="str">
        <f aca="false">IF($H3504="","",资金流水!$F155)</f>
        <v/>
      </c>
      <c r="L3504" s="66" t="str">
        <f aca="false">IF(资金流水!$E155="","",IFERROR(INDEX(记账规则!$A$13:$H$32,MATCH(资金流水!$E155,记账规则!$A$13:$A$32,0),3),""))</f>
        <v/>
      </c>
      <c r="M3504" s="66" t="str">
        <f aca="false">IF($L3504="","",IFERROR(INDEX(记账规则!$A$13:$H$32,MATCH(资金流水!$E155,记账规则!$A$13:$A$32,0),4),""))</f>
        <v/>
      </c>
      <c r="N3504" s="66" t="str">
        <f aca="false">IF($L3504="","",IFERROR(INDEX(记账规则!$A$13:$H$32,MATCH(资金流水!$E155,记账规则!$A$13:$A$32,0),5),""))</f>
        <v/>
      </c>
      <c r="O3504" s="67" t="n">
        <f aca="false">IF($H3504="",0,ROUND(IF($N3504="金额",N(资金流水!$P155),0),2))</f>
        <v>0</v>
      </c>
      <c r="P3504" s="64" t="str">
        <f aca="false">IF(AND($H3504&lt;&gt;"",ROUND($O3504,2)&lt;&gt;0),"有","")</f>
        <v/>
      </c>
    </row>
    <row r="3505" customFormat="false" ht="15" hidden="true" customHeight="false" outlineLevel="0" collapsed="false">
      <c r="A3505" s="53" t="str">
        <f aca="false">IF($H3505="","",ROW()-5)</f>
        <v/>
      </c>
      <c r="B3505" s="64" t="s">
        <v>37</v>
      </c>
      <c r="C3505" s="53" t="n">
        <v>155</v>
      </c>
      <c r="D3505" s="53" t="n">
        <v>2</v>
      </c>
      <c r="E3505" s="65" t="str">
        <f aca="false">IF($H3505="","",资金流水!$B155)</f>
        <v/>
      </c>
      <c r="F3505" s="55" t="str">
        <f aca="false">IF($H3505="","",资金流水!$C155)</f>
        <v/>
      </c>
      <c r="G3505" s="48" t="str">
        <f aca="false">IF($H3505="","",资金流水!$K155)</f>
        <v/>
      </c>
      <c r="H3505" s="10" t="str">
        <f aca="false">IF($L3505="","",IF($L3505="@对方",资金流水!$G155,IF($L3505="@账户",资金流水!$Q155,$L3505)))</f>
        <v/>
      </c>
      <c r="I3505" s="42" t="n">
        <f aca="false">IF($M3505="借",$O3505,0)</f>
        <v>0</v>
      </c>
      <c r="J3505" s="42" t="n">
        <f aca="false">IF($M3505="贷",$O3505,0)</f>
        <v>0</v>
      </c>
      <c r="K3505" s="48" t="str">
        <f aca="false">IF($H3505="","",资金流水!$F155)</f>
        <v/>
      </c>
      <c r="L3505" s="66" t="str">
        <f aca="false">IF(资金流水!$E155="","",IFERROR(INDEX(记账规则!$A$13:$H$32,MATCH(资金流水!$E155,记账规则!$A$13:$A$32,0),6),""))</f>
        <v/>
      </c>
      <c r="M3505" s="66" t="str">
        <f aca="false">IF($L3505="","",IFERROR(INDEX(记账规则!$A$13:$H$32,MATCH(资金流水!$E155,记账规则!$A$13:$A$32,0),7),""))</f>
        <v/>
      </c>
      <c r="N3505" s="66" t="str">
        <f aca="false">IF($L3505="","",IFERROR(INDEX(记账规则!$A$13:$H$32,MATCH(资金流水!$E155,记账规则!$A$13:$A$32,0),8),""))</f>
        <v/>
      </c>
      <c r="O3505" s="67" t="n">
        <f aca="false">IF($H3505="",0,ROUND(IF($N3505="金额",N(资金流水!$P155),0),2))</f>
        <v>0</v>
      </c>
      <c r="P3505" s="64" t="str">
        <f aca="false">IF(AND($H3505&lt;&gt;"",ROUND($O3505,2)&lt;&gt;0),"有","")</f>
        <v/>
      </c>
    </row>
    <row r="3506" customFormat="false" ht="15" hidden="true" customHeight="false" outlineLevel="0" collapsed="false">
      <c r="A3506" s="53" t="str">
        <f aca="false">IF($H3506="","",ROW()-5)</f>
        <v/>
      </c>
      <c r="B3506" s="64" t="s">
        <v>37</v>
      </c>
      <c r="C3506" s="53" t="n">
        <v>156</v>
      </c>
      <c r="D3506" s="53" t="n">
        <v>1</v>
      </c>
      <c r="E3506" s="65" t="str">
        <f aca="false">IF($H3506="","",资金流水!$B156)</f>
        <v/>
      </c>
      <c r="F3506" s="55" t="str">
        <f aca="false">IF($H3506="","",资金流水!$C156)</f>
        <v/>
      </c>
      <c r="G3506" s="48" t="str">
        <f aca="false">IF($H3506="","",资金流水!$K156)</f>
        <v/>
      </c>
      <c r="H3506" s="10" t="str">
        <f aca="false">IF($L3506="","",IF($L3506="@对方",资金流水!$G156,IF($L3506="@账户",资金流水!$Q156,$L3506)))</f>
        <v/>
      </c>
      <c r="I3506" s="42" t="n">
        <f aca="false">IF($M3506="借",$O3506,0)</f>
        <v>0</v>
      </c>
      <c r="J3506" s="42" t="n">
        <f aca="false">IF($M3506="贷",$O3506,0)</f>
        <v>0</v>
      </c>
      <c r="K3506" s="48" t="str">
        <f aca="false">IF($H3506="","",资金流水!$F156)</f>
        <v/>
      </c>
      <c r="L3506" s="66" t="str">
        <f aca="false">IF(资金流水!$E156="","",IFERROR(INDEX(记账规则!$A$13:$H$32,MATCH(资金流水!$E156,记账规则!$A$13:$A$32,0),3),""))</f>
        <v/>
      </c>
      <c r="M3506" s="66" t="str">
        <f aca="false">IF($L3506="","",IFERROR(INDEX(记账规则!$A$13:$H$32,MATCH(资金流水!$E156,记账规则!$A$13:$A$32,0),4),""))</f>
        <v/>
      </c>
      <c r="N3506" s="66" t="str">
        <f aca="false">IF($L3506="","",IFERROR(INDEX(记账规则!$A$13:$H$32,MATCH(资金流水!$E156,记账规则!$A$13:$A$32,0),5),""))</f>
        <v/>
      </c>
      <c r="O3506" s="67" t="n">
        <f aca="false">IF($H3506="",0,ROUND(IF($N3506="金额",N(资金流水!$P156),0),2))</f>
        <v>0</v>
      </c>
      <c r="P3506" s="64" t="str">
        <f aca="false">IF(AND($H3506&lt;&gt;"",ROUND($O3506,2)&lt;&gt;0),"有","")</f>
        <v/>
      </c>
    </row>
    <row r="3507" customFormat="false" ht="15" hidden="true" customHeight="false" outlineLevel="0" collapsed="false">
      <c r="A3507" s="53" t="str">
        <f aca="false">IF($H3507="","",ROW()-5)</f>
        <v/>
      </c>
      <c r="B3507" s="64" t="s">
        <v>37</v>
      </c>
      <c r="C3507" s="53" t="n">
        <v>156</v>
      </c>
      <c r="D3507" s="53" t="n">
        <v>2</v>
      </c>
      <c r="E3507" s="65" t="str">
        <f aca="false">IF($H3507="","",资金流水!$B156)</f>
        <v/>
      </c>
      <c r="F3507" s="55" t="str">
        <f aca="false">IF($H3507="","",资金流水!$C156)</f>
        <v/>
      </c>
      <c r="G3507" s="48" t="str">
        <f aca="false">IF($H3507="","",资金流水!$K156)</f>
        <v/>
      </c>
      <c r="H3507" s="10" t="str">
        <f aca="false">IF($L3507="","",IF($L3507="@对方",资金流水!$G156,IF($L3507="@账户",资金流水!$Q156,$L3507)))</f>
        <v/>
      </c>
      <c r="I3507" s="42" t="n">
        <f aca="false">IF($M3507="借",$O3507,0)</f>
        <v>0</v>
      </c>
      <c r="J3507" s="42" t="n">
        <f aca="false">IF($M3507="贷",$O3507,0)</f>
        <v>0</v>
      </c>
      <c r="K3507" s="48" t="str">
        <f aca="false">IF($H3507="","",资金流水!$F156)</f>
        <v/>
      </c>
      <c r="L3507" s="66" t="str">
        <f aca="false">IF(资金流水!$E156="","",IFERROR(INDEX(记账规则!$A$13:$H$32,MATCH(资金流水!$E156,记账规则!$A$13:$A$32,0),6),""))</f>
        <v/>
      </c>
      <c r="M3507" s="66" t="str">
        <f aca="false">IF($L3507="","",IFERROR(INDEX(记账规则!$A$13:$H$32,MATCH(资金流水!$E156,记账规则!$A$13:$A$32,0),7),""))</f>
        <v/>
      </c>
      <c r="N3507" s="66" t="str">
        <f aca="false">IF($L3507="","",IFERROR(INDEX(记账规则!$A$13:$H$32,MATCH(资金流水!$E156,记账规则!$A$13:$A$32,0),8),""))</f>
        <v/>
      </c>
      <c r="O3507" s="67" t="n">
        <f aca="false">IF($H3507="",0,ROUND(IF($N3507="金额",N(资金流水!$P156),0),2))</f>
        <v>0</v>
      </c>
      <c r="P3507" s="64" t="str">
        <f aca="false">IF(AND($H3507&lt;&gt;"",ROUND($O3507,2)&lt;&gt;0),"有","")</f>
        <v/>
      </c>
    </row>
    <row r="3508" customFormat="false" ht="15" hidden="true" customHeight="false" outlineLevel="0" collapsed="false">
      <c r="A3508" s="53" t="str">
        <f aca="false">IF($H3508="","",ROW()-5)</f>
        <v/>
      </c>
      <c r="B3508" s="64" t="s">
        <v>37</v>
      </c>
      <c r="C3508" s="53" t="n">
        <v>157</v>
      </c>
      <c r="D3508" s="53" t="n">
        <v>1</v>
      </c>
      <c r="E3508" s="65" t="str">
        <f aca="false">IF($H3508="","",资金流水!$B157)</f>
        <v/>
      </c>
      <c r="F3508" s="55" t="str">
        <f aca="false">IF($H3508="","",资金流水!$C157)</f>
        <v/>
      </c>
      <c r="G3508" s="48" t="str">
        <f aca="false">IF($H3508="","",资金流水!$K157)</f>
        <v/>
      </c>
      <c r="H3508" s="10" t="str">
        <f aca="false">IF($L3508="","",IF($L3508="@对方",资金流水!$G157,IF($L3508="@账户",资金流水!$Q157,$L3508)))</f>
        <v/>
      </c>
      <c r="I3508" s="42" t="n">
        <f aca="false">IF($M3508="借",$O3508,0)</f>
        <v>0</v>
      </c>
      <c r="J3508" s="42" t="n">
        <f aca="false">IF($M3508="贷",$O3508,0)</f>
        <v>0</v>
      </c>
      <c r="K3508" s="48" t="str">
        <f aca="false">IF($H3508="","",资金流水!$F157)</f>
        <v/>
      </c>
      <c r="L3508" s="66" t="str">
        <f aca="false">IF(资金流水!$E157="","",IFERROR(INDEX(记账规则!$A$13:$H$32,MATCH(资金流水!$E157,记账规则!$A$13:$A$32,0),3),""))</f>
        <v/>
      </c>
      <c r="M3508" s="66" t="str">
        <f aca="false">IF($L3508="","",IFERROR(INDEX(记账规则!$A$13:$H$32,MATCH(资金流水!$E157,记账规则!$A$13:$A$32,0),4),""))</f>
        <v/>
      </c>
      <c r="N3508" s="66" t="str">
        <f aca="false">IF($L3508="","",IFERROR(INDEX(记账规则!$A$13:$H$32,MATCH(资金流水!$E157,记账规则!$A$13:$A$32,0),5),""))</f>
        <v/>
      </c>
      <c r="O3508" s="67" t="n">
        <f aca="false">IF($H3508="",0,ROUND(IF($N3508="金额",N(资金流水!$P157),0),2))</f>
        <v>0</v>
      </c>
      <c r="P3508" s="64" t="str">
        <f aca="false">IF(AND($H3508&lt;&gt;"",ROUND($O3508,2)&lt;&gt;0),"有","")</f>
        <v/>
      </c>
    </row>
    <row r="3509" customFormat="false" ht="15" hidden="true" customHeight="false" outlineLevel="0" collapsed="false">
      <c r="A3509" s="53" t="str">
        <f aca="false">IF($H3509="","",ROW()-5)</f>
        <v/>
      </c>
      <c r="B3509" s="64" t="s">
        <v>37</v>
      </c>
      <c r="C3509" s="53" t="n">
        <v>157</v>
      </c>
      <c r="D3509" s="53" t="n">
        <v>2</v>
      </c>
      <c r="E3509" s="65" t="str">
        <f aca="false">IF($H3509="","",资金流水!$B157)</f>
        <v/>
      </c>
      <c r="F3509" s="55" t="str">
        <f aca="false">IF($H3509="","",资金流水!$C157)</f>
        <v/>
      </c>
      <c r="G3509" s="48" t="str">
        <f aca="false">IF($H3509="","",资金流水!$K157)</f>
        <v/>
      </c>
      <c r="H3509" s="10" t="str">
        <f aca="false">IF($L3509="","",IF($L3509="@对方",资金流水!$G157,IF($L3509="@账户",资金流水!$Q157,$L3509)))</f>
        <v/>
      </c>
      <c r="I3509" s="42" t="n">
        <f aca="false">IF($M3509="借",$O3509,0)</f>
        <v>0</v>
      </c>
      <c r="J3509" s="42" t="n">
        <f aca="false">IF($M3509="贷",$O3509,0)</f>
        <v>0</v>
      </c>
      <c r="K3509" s="48" t="str">
        <f aca="false">IF($H3509="","",资金流水!$F157)</f>
        <v/>
      </c>
      <c r="L3509" s="66" t="str">
        <f aca="false">IF(资金流水!$E157="","",IFERROR(INDEX(记账规则!$A$13:$H$32,MATCH(资金流水!$E157,记账规则!$A$13:$A$32,0),6),""))</f>
        <v/>
      </c>
      <c r="M3509" s="66" t="str">
        <f aca="false">IF($L3509="","",IFERROR(INDEX(记账规则!$A$13:$H$32,MATCH(资金流水!$E157,记账规则!$A$13:$A$32,0),7),""))</f>
        <v/>
      </c>
      <c r="N3509" s="66" t="str">
        <f aca="false">IF($L3509="","",IFERROR(INDEX(记账规则!$A$13:$H$32,MATCH(资金流水!$E157,记账规则!$A$13:$A$32,0),8),""))</f>
        <v/>
      </c>
      <c r="O3509" s="67" t="n">
        <f aca="false">IF($H3509="",0,ROUND(IF($N3509="金额",N(资金流水!$P157),0),2))</f>
        <v>0</v>
      </c>
      <c r="P3509" s="64" t="str">
        <f aca="false">IF(AND($H3509&lt;&gt;"",ROUND($O3509,2)&lt;&gt;0),"有","")</f>
        <v/>
      </c>
    </row>
    <row r="3510" customFormat="false" ht="15" hidden="true" customHeight="false" outlineLevel="0" collapsed="false">
      <c r="A3510" s="53" t="str">
        <f aca="false">IF($H3510="","",ROW()-5)</f>
        <v/>
      </c>
      <c r="B3510" s="64" t="s">
        <v>37</v>
      </c>
      <c r="C3510" s="53" t="n">
        <v>158</v>
      </c>
      <c r="D3510" s="53" t="n">
        <v>1</v>
      </c>
      <c r="E3510" s="65" t="str">
        <f aca="false">IF($H3510="","",资金流水!$B158)</f>
        <v/>
      </c>
      <c r="F3510" s="55" t="str">
        <f aca="false">IF($H3510="","",资金流水!$C158)</f>
        <v/>
      </c>
      <c r="G3510" s="48" t="str">
        <f aca="false">IF($H3510="","",资金流水!$K158)</f>
        <v/>
      </c>
      <c r="H3510" s="10" t="str">
        <f aca="false">IF($L3510="","",IF($L3510="@对方",资金流水!$G158,IF($L3510="@账户",资金流水!$Q158,$L3510)))</f>
        <v/>
      </c>
      <c r="I3510" s="42" t="n">
        <f aca="false">IF($M3510="借",$O3510,0)</f>
        <v>0</v>
      </c>
      <c r="J3510" s="42" t="n">
        <f aca="false">IF($M3510="贷",$O3510,0)</f>
        <v>0</v>
      </c>
      <c r="K3510" s="48" t="str">
        <f aca="false">IF($H3510="","",资金流水!$F158)</f>
        <v/>
      </c>
      <c r="L3510" s="66" t="str">
        <f aca="false">IF(资金流水!$E158="","",IFERROR(INDEX(记账规则!$A$13:$H$32,MATCH(资金流水!$E158,记账规则!$A$13:$A$32,0),3),""))</f>
        <v/>
      </c>
      <c r="M3510" s="66" t="str">
        <f aca="false">IF($L3510="","",IFERROR(INDEX(记账规则!$A$13:$H$32,MATCH(资金流水!$E158,记账规则!$A$13:$A$32,0),4),""))</f>
        <v/>
      </c>
      <c r="N3510" s="66" t="str">
        <f aca="false">IF($L3510="","",IFERROR(INDEX(记账规则!$A$13:$H$32,MATCH(资金流水!$E158,记账规则!$A$13:$A$32,0),5),""))</f>
        <v/>
      </c>
      <c r="O3510" s="67" t="n">
        <f aca="false">IF($H3510="",0,ROUND(IF($N3510="金额",N(资金流水!$P158),0),2))</f>
        <v>0</v>
      </c>
      <c r="P3510" s="64" t="str">
        <f aca="false">IF(AND($H3510&lt;&gt;"",ROUND($O3510,2)&lt;&gt;0),"有","")</f>
        <v/>
      </c>
    </row>
    <row r="3511" customFormat="false" ht="15" hidden="true" customHeight="false" outlineLevel="0" collapsed="false">
      <c r="A3511" s="53" t="str">
        <f aca="false">IF($H3511="","",ROW()-5)</f>
        <v/>
      </c>
      <c r="B3511" s="64" t="s">
        <v>37</v>
      </c>
      <c r="C3511" s="53" t="n">
        <v>158</v>
      </c>
      <c r="D3511" s="53" t="n">
        <v>2</v>
      </c>
      <c r="E3511" s="65" t="str">
        <f aca="false">IF($H3511="","",资金流水!$B158)</f>
        <v/>
      </c>
      <c r="F3511" s="55" t="str">
        <f aca="false">IF($H3511="","",资金流水!$C158)</f>
        <v/>
      </c>
      <c r="G3511" s="48" t="str">
        <f aca="false">IF($H3511="","",资金流水!$K158)</f>
        <v/>
      </c>
      <c r="H3511" s="10" t="str">
        <f aca="false">IF($L3511="","",IF($L3511="@对方",资金流水!$G158,IF($L3511="@账户",资金流水!$Q158,$L3511)))</f>
        <v/>
      </c>
      <c r="I3511" s="42" t="n">
        <f aca="false">IF($M3511="借",$O3511,0)</f>
        <v>0</v>
      </c>
      <c r="J3511" s="42" t="n">
        <f aca="false">IF($M3511="贷",$O3511,0)</f>
        <v>0</v>
      </c>
      <c r="K3511" s="48" t="str">
        <f aca="false">IF($H3511="","",资金流水!$F158)</f>
        <v/>
      </c>
      <c r="L3511" s="66" t="str">
        <f aca="false">IF(资金流水!$E158="","",IFERROR(INDEX(记账规则!$A$13:$H$32,MATCH(资金流水!$E158,记账规则!$A$13:$A$32,0),6),""))</f>
        <v/>
      </c>
      <c r="M3511" s="66" t="str">
        <f aca="false">IF($L3511="","",IFERROR(INDEX(记账规则!$A$13:$H$32,MATCH(资金流水!$E158,记账规则!$A$13:$A$32,0),7),""))</f>
        <v/>
      </c>
      <c r="N3511" s="66" t="str">
        <f aca="false">IF($L3511="","",IFERROR(INDEX(记账规则!$A$13:$H$32,MATCH(资金流水!$E158,记账规则!$A$13:$A$32,0),8),""))</f>
        <v/>
      </c>
      <c r="O3511" s="67" t="n">
        <f aca="false">IF($H3511="",0,ROUND(IF($N3511="金额",N(资金流水!$P158),0),2))</f>
        <v>0</v>
      </c>
      <c r="P3511" s="64" t="str">
        <f aca="false">IF(AND($H3511&lt;&gt;"",ROUND($O3511,2)&lt;&gt;0),"有","")</f>
        <v/>
      </c>
    </row>
    <row r="3512" customFormat="false" ht="15" hidden="true" customHeight="false" outlineLevel="0" collapsed="false">
      <c r="A3512" s="53" t="str">
        <f aca="false">IF($H3512="","",ROW()-5)</f>
        <v/>
      </c>
      <c r="B3512" s="64" t="s">
        <v>37</v>
      </c>
      <c r="C3512" s="53" t="n">
        <v>159</v>
      </c>
      <c r="D3512" s="53" t="n">
        <v>1</v>
      </c>
      <c r="E3512" s="65" t="str">
        <f aca="false">IF($H3512="","",资金流水!$B159)</f>
        <v/>
      </c>
      <c r="F3512" s="55" t="str">
        <f aca="false">IF($H3512="","",资金流水!$C159)</f>
        <v/>
      </c>
      <c r="G3512" s="48" t="str">
        <f aca="false">IF($H3512="","",资金流水!$K159)</f>
        <v/>
      </c>
      <c r="H3512" s="10" t="str">
        <f aca="false">IF($L3512="","",IF($L3512="@对方",资金流水!$G159,IF($L3512="@账户",资金流水!$Q159,$L3512)))</f>
        <v/>
      </c>
      <c r="I3512" s="42" t="n">
        <f aca="false">IF($M3512="借",$O3512,0)</f>
        <v>0</v>
      </c>
      <c r="J3512" s="42" t="n">
        <f aca="false">IF($M3512="贷",$O3512,0)</f>
        <v>0</v>
      </c>
      <c r="K3512" s="48" t="str">
        <f aca="false">IF($H3512="","",资金流水!$F159)</f>
        <v/>
      </c>
      <c r="L3512" s="66" t="str">
        <f aca="false">IF(资金流水!$E159="","",IFERROR(INDEX(记账规则!$A$13:$H$32,MATCH(资金流水!$E159,记账规则!$A$13:$A$32,0),3),""))</f>
        <v/>
      </c>
      <c r="M3512" s="66" t="str">
        <f aca="false">IF($L3512="","",IFERROR(INDEX(记账规则!$A$13:$H$32,MATCH(资金流水!$E159,记账规则!$A$13:$A$32,0),4),""))</f>
        <v/>
      </c>
      <c r="N3512" s="66" t="str">
        <f aca="false">IF($L3512="","",IFERROR(INDEX(记账规则!$A$13:$H$32,MATCH(资金流水!$E159,记账规则!$A$13:$A$32,0),5),""))</f>
        <v/>
      </c>
      <c r="O3512" s="67" t="n">
        <f aca="false">IF($H3512="",0,ROUND(IF($N3512="金额",N(资金流水!$P159),0),2))</f>
        <v>0</v>
      </c>
      <c r="P3512" s="64" t="str">
        <f aca="false">IF(AND($H3512&lt;&gt;"",ROUND($O3512,2)&lt;&gt;0),"有","")</f>
        <v/>
      </c>
    </row>
    <row r="3513" customFormat="false" ht="15" hidden="true" customHeight="false" outlineLevel="0" collapsed="false">
      <c r="A3513" s="53" t="str">
        <f aca="false">IF($H3513="","",ROW()-5)</f>
        <v/>
      </c>
      <c r="B3513" s="64" t="s">
        <v>37</v>
      </c>
      <c r="C3513" s="53" t="n">
        <v>159</v>
      </c>
      <c r="D3513" s="53" t="n">
        <v>2</v>
      </c>
      <c r="E3513" s="65" t="str">
        <f aca="false">IF($H3513="","",资金流水!$B159)</f>
        <v/>
      </c>
      <c r="F3513" s="55" t="str">
        <f aca="false">IF($H3513="","",资金流水!$C159)</f>
        <v/>
      </c>
      <c r="G3513" s="48" t="str">
        <f aca="false">IF($H3513="","",资金流水!$K159)</f>
        <v/>
      </c>
      <c r="H3513" s="10" t="str">
        <f aca="false">IF($L3513="","",IF($L3513="@对方",资金流水!$G159,IF($L3513="@账户",资金流水!$Q159,$L3513)))</f>
        <v/>
      </c>
      <c r="I3513" s="42" t="n">
        <f aca="false">IF($M3513="借",$O3513,0)</f>
        <v>0</v>
      </c>
      <c r="J3513" s="42" t="n">
        <f aca="false">IF($M3513="贷",$O3513,0)</f>
        <v>0</v>
      </c>
      <c r="K3513" s="48" t="str">
        <f aca="false">IF($H3513="","",资金流水!$F159)</f>
        <v/>
      </c>
      <c r="L3513" s="66" t="str">
        <f aca="false">IF(资金流水!$E159="","",IFERROR(INDEX(记账规则!$A$13:$H$32,MATCH(资金流水!$E159,记账规则!$A$13:$A$32,0),6),""))</f>
        <v/>
      </c>
      <c r="M3513" s="66" t="str">
        <f aca="false">IF($L3513="","",IFERROR(INDEX(记账规则!$A$13:$H$32,MATCH(资金流水!$E159,记账规则!$A$13:$A$32,0),7),""))</f>
        <v/>
      </c>
      <c r="N3513" s="66" t="str">
        <f aca="false">IF($L3513="","",IFERROR(INDEX(记账规则!$A$13:$H$32,MATCH(资金流水!$E159,记账规则!$A$13:$A$32,0),8),""))</f>
        <v/>
      </c>
      <c r="O3513" s="67" t="n">
        <f aca="false">IF($H3513="",0,ROUND(IF($N3513="金额",N(资金流水!$P159),0),2))</f>
        <v>0</v>
      </c>
      <c r="P3513" s="64" t="str">
        <f aca="false">IF(AND($H3513&lt;&gt;"",ROUND($O3513,2)&lt;&gt;0),"有","")</f>
        <v/>
      </c>
    </row>
    <row r="3514" customFormat="false" ht="15" hidden="true" customHeight="false" outlineLevel="0" collapsed="false">
      <c r="A3514" s="53" t="str">
        <f aca="false">IF($H3514="","",ROW()-5)</f>
        <v/>
      </c>
      <c r="B3514" s="64" t="s">
        <v>37</v>
      </c>
      <c r="C3514" s="53" t="n">
        <v>160</v>
      </c>
      <c r="D3514" s="53" t="n">
        <v>1</v>
      </c>
      <c r="E3514" s="65" t="str">
        <f aca="false">IF($H3514="","",资金流水!$B160)</f>
        <v/>
      </c>
      <c r="F3514" s="55" t="str">
        <f aca="false">IF($H3514="","",资金流水!$C160)</f>
        <v/>
      </c>
      <c r="G3514" s="48" t="str">
        <f aca="false">IF($H3514="","",资金流水!$K160)</f>
        <v/>
      </c>
      <c r="H3514" s="10" t="str">
        <f aca="false">IF($L3514="","",IF($L3514="@对方",资金流水!$G160,IF($L3514="@账户",资金流水!$Q160,$L3514)))</f>
        <v/>
      </c>
      <c r="I3514" s="42" t="n">
        <f aca="false">IF($M3514="借",$O3514,0)</f>
        <v>0</v>
      </c>
      <c r="J3514" s="42" t="n">
        <f aca="false">IF($M3514="贷",$O3514,0)</f>
        <v>0</v>
      </c>
      <c r="K3514" s="48" t="str">
        <f aca="false">IF($H3514="","",资金流水!$F160)</f>
        <v/>
      </c>
      <c r="L3514" s="66" t="str">
        <f aca="false">IF(资金流水!$E160="","",IFERROR(INDEX(记账规则!$A$13:$H$32,MATCH(资金流水!$E160,记账规则!$A$13:$A$32,0),3),""))</f>
        <v/>
      </c>
      <c r="M3514" s="66" t="str">
        <f aca="false">IF($L3514="","",IFERROR(INDEX(记账规则!$A$13:$H$32,MATCH(资金流水!$E160,记账规则!$A$13:$A$32,0),4),""))</f>
        <v/>
      </c>
      <c r="N3514" s="66" t="str">
        <f aca="false">IF($L3514="","",IFERROR(INDEX(记账规则!$A$13:$H$32,MATCH(资金流水!$E160,记账规则!$A$13:$A$32,0),5),""))</f>
        <v/>
      </c>
      <c r="O3514" s="67" t="n">
        <f aca="false">IF($H3514="",0,ROUND(IF($N3514="金额",N(资金流水!$P160),0),2))</f>
        <v>0</v>
      </c>
      <c r="P3514" s="64" t="str">
        <f aca="false">IF(AND($H3514&lt;&gt;"",ROUND($O3514,2)&lt;&gt;0),"有","")</f>
        <v/>
      </c>
    </row>
    <row r="3515" customFormat="false" ht="15" hidden="true" customHeight="false" outlineLevel="0" collapsed="false">
      <c r="A3515" s="53" t="str">
        <f aca="false">IF($H3515="","",ROW()-5)</f>
        <v/>
      </c>
      <c r="B3515" s="64" t="s">
        <v>37</v>
      </c>
      <c r="C3515" s="53" t="n">
        <v>160</v>
      </c>
      <c r="D3515" s="53" t="n">
        <v>2</v>
      </c>
      <c r="E3515" s="65" t="str">
        <f aca="false">IF($H3515="","",资金流水!$B160)</f>
        <v/>
      </c>
      <c r="F3515" s="55" t="str">
        <f aca="false">IF($H3515="","",资金流水!$C160)</f>
        <v/>
      </c>
      <c r="G3515" s="48" t="str">
        <f aca="false">IF($H3515="","",资金流水!$K160)</f>
        <v/>
      </c>
      <c r="H3515" s="10" t="str">
        <f aca="false">IF($L3515="","",IF($L3515="@对方",资金流水!$G160,IF($L3515="@账户",资金流水!$Q160,$L3515)))</f>
        <v/>
      </c>
      <c r="I3515" s="42" t="n">
        <f aca="false">IF($M3515="借",$O3515,0)</f>
        <v>0</v>
      </c>
      <c r="J3515" s="42" t="n">
        <f aca="false">IF($M3515="贷",$O3515,0)</f>
        <v>0</v>
      </c>
      <c r="K3515" s="48" t="str">
        <f aca="false">IF($H3515="","",资金流水!$F160)</f>
        <v/>
      </c>
      <c r="L3515" s="66" t="str">
        <f aca="false">IF(资金流水!$E160="","",IFERROR(INDEX(记账规则!$A$13:$H$32,MATCH(资金流水!$E160,记账规则!$A$13:$A$32,0),6),""))</f>
        <v/>
      </c>
      <c r="M3515" s="66" t="str">
        <f aca="false">IF($L3515="","",IFERROR(INDEX(记账规则!$A$13:$H$32,MATCH(资金流水!$E160,记账规则!$A$13:$A$32,0),7),""))</f>
        <v/>
      </c>
      <c r="N3515" s="66" t="str">
        <f aca="false">IF($L3515="","",IFERROR(INDEX(记账规则!$A$13:$H$32,MATCH(资金流水!$E160,记账规则!$A$13:$A$32,0),8),""))</f>
        <v/>
      </c>
      <c r="O3515" s="67" t="n">
        <f aca="false">IF($H3515="",0,ROUND(IF($N3515="金额",N(资金流水!$P160),0),2))</f>
        <v>0</v>
      </c>
      <c r="P3515" s="64" t="str">
        <f aca="false">IF(AND($H3515&lt;&gt;"",ROUND($O3515,2)&lt;&gt;0),"有","")</f>
        <v/>
      </c>
    </row>
    <row r="3516" customFormat="false" ht="15" hidden="true" customHeight="false" outlineLevel="0" collapsed="false">
      <c r="A3516" s="53" t="str">
        <f aca="false">IF($H3516="","",ROW()-5)</f>
        <v/>
      </c>
      <c r="B3516" s="64" t="s">
        <v>37</v>
      </c>
      <c r="C3516" s="53" t="n">
        <v>161</v>
      </c>
      <c r="D3516" s="53" t="n">
        <v>1</v>
      </c>
      <c r="E3516" s="65" t="str">
        <f aca="false">IF($H3516="","",资金流水!$B161)</f>
        <v/>
      </c>
      <c r="F3516" s="55" t="str">
        <f aca="false">IF($H3516="","",资金流水!$C161)</f>
        <v/>
      </c>
      <c r="G3516" s="48" t="str">
        <f aca="false">IF($H3516="","",资金流水!$K161)</f>
        <v/>
      </c>
      <c r="H3516" s="10" t="str">
        <f aca="false">IF($L3516="","",IF($L3516="@对方",资金流水!$G161,IF($L3516="@账户",资金流水!$Q161,$L3516)))</f>
        <v/>
      </c>
      <c r="I3516" s="42" t="n">
        <f aca="false">IF($M3516="借",$O3516,0)</f>
        <v>0</v>
      </c>
      <c r="J3516" s="42" t="n">
        <f aca="false">IF($M3516="贷",$O3516,0)</f>
        <v>0</v>
      </c>
      <c r="K3516" s="48" t="str">
        <f aca="false">IF($H3516="","",资金流水!$F161)</f>
        <v/>
      </c>
      <c r="L3516" s="66" t="str">
        <f aca="false">IF(资金流水!$E161="","",IFERROR(INDEX(记账规则!$A$13:$H$32,MATCH(资金流水!$E161,记账规则!$A$13:$A$32,0),3),""))</f>
        <v/>
      </c>
      <c r="M3516" s="66" t="str">
        <f aca="false">IF($L3516="","",IFERROR(INDEX(记账规则!$A$13:$H$32,MATCH(资金流水!$E161,记账规则!$A$13:$A$32,0),4),""))</f>
        <v/>
      </c>
      <c r="N3516" s="66" t="str">
        <f aca="false">IF($L3516="","",IFERROR(INDEX(记账规则!$A$13:$H$32,MATCH(资金流水!$E161,记账规则!$A$13:$A$32,0),5),""))</f>
        <v/>
      </c>
      <c r="O3516" s="67" t="n">
        <f aca="false">IF($H3516="",0,ROUND(IF($N3516="金额",N(资金流水!$P161),0),2))</f>
        <v>0</v>
      </c>
      <c r="P3516" s="64" t="str">
        <f aca="false">IF(AND($H3516&lt;&gt;"",ROUND($O3516,2)&lt;&gt;0),"有","")</f>
        <v/>
      </c>
    </row>
    <row r="3517" customFormat="false" ht="15" hidden="true" customHeight="false" outlineLevel="0" collapsed="false">
      <c r="A3517" s="53" t="str">
        <f aca="false">IF($H3517="","",ROW()-5)</f>
        <v/>
      </c>
      <c r="B3517" s="64" t="s">
        <v>37</v>
      </c>
      <c r="C3517" s="53" t="n">
        <v>161</v>
      </c>
      <c r="D3517" s="53" t="n">
        <v>2</v>
      </c>
      <c r="E3517" s="65" t="str">
        <f aca="false">IF($H3517="","",资金流水!$B161)</f>
        <v/>
      </c>
      <c r="F3517" s="55" t="str">
        <f aca="false">IF($H3517="","",资金流水!$C161)</f>
        <v/>
      </c>
      <c r="G3517" s="48" t="str">
        <f aca="false">IF($H3517="","",资金流水!$K161)</f>
        <v/>
      </c>
      <c r="H3517" s="10" t="str">
        <f aca="false">IF($L3517="","",IF($L3517="@对方",资金流水!$G161,IF($L3517="@账户",资金流水!$Q161,$L3517)))</f>
        <v/>
      </c>
      <c r="I3517" s="42" t="n">
        <f aca="false">IF($M3517="借",$O3517,0)</f>
        <v>0</v>
      </c>
      <c r="J3517" s="42" t="n">
        <f aca="false">IF($M3517="贷",$O3517,0)</f>
        <v>0</v>
      </c>
      <c r="K3517" s="48" t="str">
        <f aca="false">IF($H3517="","",资金流水!$F161)</f>
        <v/>
      </c>
      <c r="L3517" s="66" t="str">
        <f aca="false">IF(资金流水!$E161="","",IFERROR(INDEX(记账规则!$A$13:$H$32,MATCH(资金流水!$E161,记账规则!$A$13:$A$32,0),6),""))</f>
        <v/>
      </c>
      <c r="M3517" s="66" t="str">
        <f aca="false">IF($L3517="","",IFERROR(INDEX(记账规则!$A$13:$H$32,MATCH(资金流水!$E161,记账规则!$A$13:$A$32,0),7),""))</f>
        <v/>
      </c>
      <c r="N3517" s="66" t="str">
        <f aca="false">IF($L3517="","",IFERROR(INDEX(记账规则!$A$13:$H$32,MATCH(资金流水!$E161,记账规则!$A$13:$A$32,0),8),""))</f>
        <v/>
      </c>
      <c r="O3517" s="67" t="n">
        <f aca="false">IF($H3517="",0,ROUND(IF($N3517="金额",N(资金流水!$P161),0),2))</f>
        <v>0</v>
      </c>
      <c r="P3517" s="64" t="str">
        <f aca="false">IF(AND($H3517&lt;&gt;"",ROUND($O3517,2)&lt;&gt;0),"有","")</f>
        <v/>
      </c>
    </row>
    <row r="3518" customFormat="false" ht="15" hidden="true" customHeight="false" outlineLevel="0" collapsed="false">
      <c r="A3518" s="53" t="str">
        <f aca="false">IF($H3518="","",ROW()-5)</f>
        <v/>
      </c>
      <c r="B3518" s="64" t="s">
        <v>37</v>
      </c>
      <c r="C3518" s="53" t="n">
        <v>162</v>
      </c>
      <c r="D3518" s="53" t="n">
        <v>1</v>
      </c>
      <c r="E3518" s="65" t="str">
        <f aca="false">IF($H3518="","",资金流水!$B162)</f>
        <v/>
      </c>
      <c r="F3518" s="55" t="str">
        <f aca="false">IF($H3518="","",资金流水!$C162)</f>
        <v/>
      </c>
      <c r="G3518" s="48" t="str">
        <f aca="false">IF($H3518="","",资金流水!$K162)</f>
        <v/>
      </c>
      <c r="H3518" s="10" t="str">
        <f aca="false">IF($L3518="","",IF($L3518="@对方",资金流水!$G162,IF($L3518="@账户",资金流水!$Q162,$L3518)))</f>
        <v/>
      </c>
      <c r="I3518" s="42" t="n">
        <f aca="false">IF($M3518="借",$O3518,0)</f>
        <v>0</v>
      </c>
      <c r="J3518" s="42" t="n">
        <f aca="false">IF($M3518="贷",$O3518,0)</f>
        <v>0</v>
      </c>
      <c r="K3518" s="48" t="str">
        <f aca="false">IF($H3518="","",资金流水!$F162)</f>
        <v/>
      </c>
      <c r="L3518" s="66" t="str">
        <f aca="false">IF(资金流水!$E162="","",IFERROR(INDEX(记账规则!$A$13:$H$32,MATCH(资金流水!$E162,记账规则!$A$13:$A$32,0),3),""))</f>
        <v/>
      </c>
      <c r="M3518" s="66" t="str">
        <f aca="false">IF($L3518="","",IFERROR(INDEX(记账规则!$A$13:$H$32,MATCH(资金流水!$E162,记账规则!$A$13:$A$32,0),4),""))</f>
        <v/>
      </c>
      <c r="N3518" s="66" t="str">
        <f aca="false">IF($L3518="","",IFERROR(INDEX(记账规则!$A$13:$H$32,MATCH(资金流水!$E162,记账规则!$A$13:$A$32,0),5),""))</f>
        <v/>
      </c>
      <c r="O3518" s="67" t="n">
        <f aca="false">IF($H3518="",0,ROUND(IF($N3518="金额",N(资金流水!$P162),0),2))</f>
        <v>0</v>
      </c>
      <c r="P3518" s="64" t="str">
        <f aca="false">IF(AND($H3518&lt;&gt;"",ROUND($O3518,2)&lt;&gt;0),"有","")</f>
        <v/>
      </c>
    </row>
    <row r="3519" customFormat="false" ht="15" hidden="true" customHeight="false" outlineLevel="0" collapsed="false">
      <c r="A3519" s="53" t="str">
        <f aca="false">IF($H3519="","",ROW()-5)</f>
        <v/>
      </c>
      <c r="B3519" s="64" t="s">
        <v>37</v>
      </c>
      <c r="C3519" s="53" t="n">
        <v>162</v>
      </c>
      <c r="D3519" s="53" t="n">
        <v>2</v>
      </c>
      <c r="E3519" s="65" t="str">
        <f aca="false">IF($H3519="","",资金流水!$B162)</f>
        <v/>
      </c>
      <c r="F3519" s="55" t="str">
        <f aca="false">IF($H3519="","",资金流水!$C162)</f>
        <v/>
      </c>
      <c r="G3519" s="48" t="str">
        <f aca="false">IF($H3519="","",资金流水!$K162)</f>
        <v/>
      </c>
      <c r="H3519" s="10" t="str">
        <f aca="false">IF($L3519="","",IF($L3519="@对方",资金流水!$G162,IF($L3519="@账户",资金流水!$Q162,$L3519)))</f>
        <v/>
      </c>
      <c r="I3519" s="42" t="n">
        <f aca="false">IF($M3519="借",$O3519,0)</f>
        <v>0</v>
      </c>
      <c r="J3519" s="42" t="n">
        <f aca="false">IF($M3519="贷",$O3519,0)</f>
        <v>0</v>
      </c>
      <c r="K3519" s="48" t="str">
        <f aca="false">IF($H3519="","",资金流水!$F162)</f>
        <v/>
      </c>
      <c r="L3519" s="66" t="str">
        <f aca="false">IF(资金流水!$E162="","",IFERROR(INDEX(记账规则!$A$13:$H$32,MATCH(资金流水!$E162,记账规则!$A$13:$A$32,0),6),""))</f>
        <v/>
      </c>
      <c r="M3519" s="66" t="str">
        <f aca="false">IF($L3519="","",IFERROR(INDEX(记账规则!$A$13:$H$32,MATCH(资金流水!$E162,记账规则!$A$13:$A$32,0),7),""))</f>
        <v/>
      </c>
      <c r="N3519" s="66" t="str">
        <f aca="false">IF($L3519="","",IFERROR(INDEX(记账规则!$A$13:$H$32,MATCH(资金流水!$E162,记账规则!$A$13:$A$32,0),8),""))</f>
        <v/>
      </c>
      <c r="O3519" s="67" t="n">
        <f aca="false">IF($H3519="",0,ROUND(IF($N3519="金额",N(资金流水!$P162),0),2))</f>
        <v>0</v>
      </c>
      <c r="P3519" s="64" t="str">
        <f aca="false">IF(AND($H3519&lt;&gt;"",ROUND($O3519,2)&lt;&gt;0),"有","")</f>
        <v/>
      </c>
    </row>
    <row r="3520" customFormat="false" ht="15" hidden="true" customHeight="false" outlineLevel="0" collapsed="false">
      <c r="A3520" s="53" t="str">
        <f aca="false">IF($H3520="","",ROW()-5)</f>
        <v/>
      </c>
      <c r="B3520" s="64" t="s">
        <v>37</v>
      </c>
      <c r="C3520" s="53" t="n">
        <v>163</v>
      </c>
      <c r="D3520" s="53" t="n">
        <v>1</v>
      </c>
      <c r="E3520" s="65" t="str">
        <f aca="false">IF($H3520="","",资金流水!$B163)</f>
        <v/>
      </c>
      <c r="F3520" s="55" t="str">
        <f aca="false">IF($H3520="","",资金流水!$C163)</f>
        <v/>
      </c>
      <c r="G3520" s="48" t="str">
        <f aca="false">IF($H3520="","",资金流水!$K163)</f>
        <v/>
      </c>
      <c r="H3520" s="10" t="str">
        <f aca="false">IF($L3520="","",IF($L3520="@对方",资金流水!$G163,IF($L3520="@账户",资金流水!$Q163,$L3520)))</f>
        <v/>
      </c>
      <c r="I3520" s="42" t="n">
        <f aca="false">IF($M3520="借",$O3520,0)</f>
        <v>0</v>
      </c>
      <c r="J3520" s="42" t="n">
        <f aca="false">IF($M3520="贷",$O3520,0)</f>
        <v>0</v>
      </c>
      <c r="K3520" s="48" t="str">
        <f aca="false">IF($H3520="","",资金流水!$F163)</f>
        <v/>
      </c>
      <c r="L3520" s="66" t="str">
        <f aca="false">IF(资金流水!$E163="","",IFERROR(INDEX(记账规则!$A$13:$H$32,MATCH(资金流水!$E163,记账规则!$A$13:$A$32,0),3),""))</f>
        <v/>
      </c>
      <c r="M3520" s="66" t="str">
        <f aca="false">IF($L3520="","",IFERROR(INDEX(记账规则!$A$13:$H$32,MATCH(资金流水!$E163,记账规则!$A$13:$A$32,0),4),""))</f>
        <v/>
      </c>
      <c r="N3520" s="66" t="str">
        <f aca="false">IF($L3520="","",IFERROR(INDEX(记账规则!$A$13:$H$32,MATCH(资金流水!$E163,记账规则!$A$13:$A$32,0),5),""))</f>
        <v/>
      </c>
      <c r="O3520" s="67" t="n">
        <f aca="false">IF($H3520="",0,ROUND(IF($N3520="金额",N(资金流水!$P163),0),2))</f>
        <v>0</v>
      </c>
      <c r="P3520" s="64" t="str">
        <f aca="false">IF(AND($H3520&lt;&gt;"",ROUND($O3520,2)&lt;&gt;0),"有","")</f>
        <v/>
      </c>
    </row>
    <row r="3521" customFormat="false" ht="15" hidden="true" customHeight="false" outlineLevel="0" collapsed="false">
      <c r="A3521" s="53" t="str">
        <f aca="false">IF($H3521="","",ROW()-5)</f>
        <v/>
      </c>
      <c r="B3521" s="64" t="s">
        <v>37</v>
      </c>
      <c r="C3521" s="53" t="n">
        <v>163</v>
      </c>
      <c r="D3521" s="53" t="n">
        <v>2</v>
      </c>
      <c r="E3521" s="65" t="str">
        <f aca="false">IF($H3521="","",资金流水!$B163)</f>
        <v/>
      </c>
      <c r="F3521" s="55" t="str">
        <f aca="false">IF($H3521="","",资金流水!$C163)</f>
        <v/>
      </c>
      <c r="G3521" s="48" t="str">
        <f aca="false">IF($H3521="","",资金流水!$K163)</f>
        <v/>
      </c>
      <c r="H3521" s="10" t="str">
        <f aca="false">IF($L3521="","",IF($L3521="@对方",资金流水!$G163,IF($L3521="@账户",资金流水!$Q163,$L3521)))</f>
        <v/>
      </c>
      <c r="I3521" s="42" t="n">
        <f aca="false">IF($M3521="借",$O3521,0)</f>
        <v>0</v>
      </c>
      <c r="J3521" s="42" t="n">
        <f aca="false">IF($M3521="贷",$O3521,0)</f>
        <v>0</v>
      </c>
      <c r="K3521" s="48" t="str">
        <f aca="false">IF($H3521="","",资金流水!$F163)</f>
        <v/>
      </c>
      <c r="L3521" s="66" t="str">
        <f aca="false">IF(资金流水!$E163="","",IFERROR(INDEX(记账规则!$A$13:$H$32,MATCH(资金流水!$E163,记账规则!$A$13:$A$32,0),6),""))</f>
        <v/>
      </c>
      <c r="M3521" s="66" t="str">
        <f aca="false">IF($L3521="","",IFERROR(INDEX(记账规则!$A$13:$H$32,MATCH(资金流水!$E163,记账规则!$A$13:$A$32,0),7),""))</f>
        <v/>
      </c>
      <c r="N3521" s="66" t="str">
        <f aca="false">IF($L3521="","",IFERROR(INDEX(记账规则!$A$13:$H$32,MATCH(资金流水!$E163,记账规则!$A$13:$A$32,0),8),""))</f>
        <v/>
      </c>
      <c r="O3521" s="67" t="n">
        <f aca="false">IF($H3521="",0,ROUND(IF($N3521="金额",N(资金流水!$P163),0),2))</f>
        <v>0</v>
      </c>
      <c r="P3521" s="64" t="str">
        <f aca="false">IF(AND($H3521&lt;&gt;"",ROUND($O3521,2)&lt;&gt;0),"有","")</f>
        <v/>
      </c>
    </row>
    <row r="3522" customFormat="false" ht="15" hidden="true" customHeight="false" outlineLevel="0" collapsed="false">
      <c r="A3522" s="53" t="str">
        <f aca="false">IF($H3522="","",ROW()-5)</f>
        <v/>
      </c>
      <c r="B3522" s="64" t="s">
        <v>37</v>
      </c>
      <c r="C3522" s="53" t="n">
        <v>164</v>
      </c>
      <c r="D3522" s="53" t="n">
        <v>1</v>
      </c>
      <c r="E3522" s="65" t="str">
        <f aca="false">IF($H3522="","",资金流水!$B164)</f>
        <v/>
      </c>
      <c r="F3522" s="55" t="str">
        <f aca="false">IF($H3522="","",资金流水!$C164)</f>
        <v/>
      </c>
      <c r="G3522" s="48" t="str">
        <f aca="false">IF($H3522="","",资金流水!$K164)</f>
        <v/>
      </c>
      <c r="H3522" s="10" t="str">
        <f aca="false">IF($L3522="","",IF($L3522="@对方",资金流水!$G164,IF($L3522="@账户",资金流水!$Q164,$L3522)))</f>
        <v/>
      </c>
      <c r="I3522" s="42" t="n">
        <f aca="false">IF($M3522="借",$O3522,0)</f>
        <v>0</v>
      </c>
      <c r="J3522" s="42" t="n">
        <f aca="false">IF($M3522="贷",$O3522,0)</f>
        <v>0</v>
      </c>
      <c r="K3522" s="48" t="str">
        <f aca="false">IF($H3522="","",资金流水!$F164)</f>
        <v/>
      </c>
      <c r="L3522" s="66" t="str">
        <f aca="false">IF(资金流水!$E164="","",IFERROR(INDEX(记账规则!$A$13:$H$32,MATCH(资金流水!$E164,记账规则!$A$13:$A$32,0),3),""))</f>
        <v/>
      </c>
      <c r="M3522" s="66" t="str">
        <f aca="false">IF($L3522="","",IFERROR(INDEX(记账规则!$A$13:$H$32,MATCH(资金流水!$E164,记账规则!$A$13:$A$32,0),4),""))</f>
        <v/>
      </c>
      <c r="N3522" s="66" t="str">
        <f aca="false">IF($L3522="","",IFERROR(INDEX(记账规则!$A$13:$H$32,MATCH(资金流水!$E164,记账规则!$A$13:$A$32,0),5),""))</f>
        <v/>
      </c>
      <c r="O3522" s="67" t="n">
        <f aca="false">IF($H3522="",0,ROUND(IF($N3522="金额",N(资金流水!$P164),0),2))</f>
        <v>0</v>
      </c>
      <c r="P3522" s="64" t="str">
        <f aca="false">IF(AND($H3522&lt;&gt;"",ROUND($O3522,2)&lt;&gt;0),"有","")</f>
        <v/>
      </c>
    </row>
    <row r="3523" customFormat="false" ht="15" hidden="true" customHeight="false" outlineLevel="0" collapsed="false">
      <c r="A3523" s="53" t="str">
        <f aca="false">IF($H3523="","",ROW()-5)</f>
        <v/>
      </c>
      <c r="B3523" s="64" t="s">
        <v>37</v>
      </c>
      <c r="C3523" s="53" t="n">
        <v>164</v>
      </c>
      <c r="D3523" s="53" t="n">
        <v>2</v>
      </c>
      <c r="E3523" s="65" t="str">
        <f aca="false">IF($H3523="","",资金流水!$B164)</f>
        <v/>
      </c>
      <c r="F3523" s="55" t="str">
        <f aca="false">IF($H3523="","",资金流水!$C164)</f>
        <v/>
      </c>
      <c r="G3523" s="48" t="str">
        <f aca="false">IF($H3523="","",资金流水!$K164)</f>
        <v/>
      </c>
      <c r="H3523" s="10" t="str">
        <f aca="false">IF($L3523="","",IF($L3523="@对方",资金流水!$G164,IF($L3523="@账户",资金流水!$Q164,$L3523)))</f>
        <v/>
      </c>
      <c r="I3523" s="42" t="n">
        <f aca="false">IF($M3523="借",$O3523,0)</f>
        <v>0</v>
      </c>
      <c r="J3523" s="42" t="n">
        <f aca="false">IF($M3523="贷",$O3523,0)</f>
        <v>0</v>
      </c>
      <c r="K3523" s="48" t="str">
        <f aca="false">IF($H3523="","",资金流水!$F164)</f>
        <v/>
      </c>
      <c r="L3523" s="66" t="str">
        <f aca="false">IF(资金流水!$E164="","",IFERROR(INDEX(记账规则!$A$13:$H$32,MATCH(资金流水!$E164,记账规则!$A$13:$A$32,0),6),""))</f>
        <v/>
      </c>
      <c r="M3523" s="66" t="str">
        <f aca="false">IF($L3523="","",IFERROR(INDEX(记账规则!$A$13:$H$32,MATCH(资金流水!$E164,记账规则!$A$13:$A$32,0),7),""))</f>
        <v/>
      </c>
      <c r="N3523" s="66" t="str">
        <f aca="false">IF($L3523="","",IFERROR(INDEX(记账规则!$A$13:$H$32,MATCH(资金流水!$E164,记账规则!$A$13:$A$32,0),8),""))</f>
        <v/>
      </c>
      <c r="O3523" s="67" t="n">
        <f aca="false">IF($H3523="",0,ROUND(IF($N3523="金额",N(资金流水!$P164),0),2))</f>
        <v>0</v>
      </c>
      <c r="P3523" s="64" t="str">
        <f aca="false">IF(AND($H3523&lt;&gt;"",ROUND($O3523,2)&lt;&gt;0),"有","")</f>
        <v/>
      </c>
    </row>
    <row r="3524" customFormat="false" ht="15" hidden="true" customHeight="false" outlineLevel="0" collapsed="false">
      <c r="A3524" s="53" t="str">
        <f aca="false">IF($H3524="","",ROW()-5)</f>
        <v/>
      </c>
      <c r="B3524" s="64" t="s">
        <v>37</v>
      </c>
      <c r="C3524" s="53" t="n">
        <v>165</v>
      </c>
      <c r="D3524" s="53" t="n">
        <v>1</v>
      </c>
      <c r="E3524" s="65" t="str">
        <f aca="false">IF($H3524="","",资金流水!$B165)</f>
        <v/>
      </c>
      <c r="F3524" s="55" t="str">
        <f aca="false">IF($H3524="","",资金流水!$C165)</f>
        <v/>
      </c>
      <c r="G3524" s="48" t="str">
        <f aca="false">IF($H3524="","",资金流水!$K165)</f>
        <v/>
      </c>
      <c r="H3524" s="10" t="str">
        <f aca="false">IF($L3524="","",IF($L3524="@对方",资金流水!$G165,IF($L3524="@账户",资金流水!$Q165,$L3524)))</f>
        <v/>
      </c>
      <c r="I3524" s="42" t="n">
        <f aca="false">IF($M3524="借",$O3524,0)</f>
        <v>0</v>
      </c>
      <c r="J3524" s="42" t="n">
        <f aca="false">IF($M3524="贷",$O3524,0)</f>
        <v>0</v>
      </c>
      <c r="K3524" s="48" t="str">
        <f aca="false">IF($H3524="","",资金流水!$F165)</f>
        <v/>
      </c>
      <c r="L3524" s="66" t="str">
        <f aca="false">IF(资金流水!$E165="","",IFERROR(INDEX(记账规则!$A$13:$H$32,MATCH(资金流水!$E165,记账规则!$A$13:$A$32,0),3),""))</f>
        <v/>
      </c>
      <c r="M3524" s="66" t="str">
        <f aca="false">IF($L3524="","",IFERROR(INDEX(记账规则!$A$13:$H$32,MATCH(资金流水!$E165,记账规则!$A$13:$A$32,0),4),""))</f>
        <v/>
      </c>
      <c r="N3524" s="66" t="str">
        <f aca="false">IF($L3524="","",IFERROR(INDEX(记账规则!$A$13:$H$32,MATCH(资金流水!$E165,记账规则!$A$13:$A$32,0),5),""))</f>
        <v/>
      </c>
      <c r="O3524" s="67" t="n">
        <f aca="false">IF($H3524="",0,ROUND(IF($N3524="金额",N(资金流水!$P165),0),2))</f>
        <v>0</v>
      </c>
      <c r="P3524" s="64" t="str">
        <f aca="false">IF(AND($H3524&lt;&gt;"",ROUND($O3524,2)&lt;&gt;0),"有","")</f>
        <v/>
      </c>
    </row>
    <row r="3525" customFormat="false" ht="15" hidden="true" customHeight="false" outlineLevel="0" collapsed="false">
      <c r="A3525" s="53" t="str">
        <f aca="false">IF($H3525="","",ROW()-5)</f>
        <v/>
      </c>
      <c r="B3525" s="64" t="s">
        <v>37</v>
      </c>
      <c r="C3525" s="53" t="n">
        <v>165</v>
      </c>
      <c r="D3525" s="53" t="n">
        <v>2</v>
      </c>
      <c r="E3525" s="65" t="str">
        <f aca="false">IF($H3525="","",资金流水!$B165)</f>
        <v/>
      </c>
      <c r="F3525" s="55" t="str">
        <f aca="false">IF($H3525="","",资金流水!$C165)</f>
        <v/>
      </c>
      <c r="G3525" s="48" t="str">
        <f aca="false">IF($H3525="","",资金流水!$K165)</f>
        <v/>
      </c>
      <c r="H3525" s="10" t="str">
        <f aca="false">IF($L3525="","",IF($L3525="@对方",资金流水!$G165,IF($L3525="@账户",资金流水!$Q165,$L3525)))</f>
        <v/>
      </c>
      <c r="I3525" s="42" t="n">
        <f aca="false">IF($M3525="借",$O3525,0)</f>
        <v>0</v>
      </c>
      <c r="J3525" s="42" t="n">
        <f aca="false">IF($M3525="贷",$O3525,0)</f>
        <v>0</v>
      </c>
      <c r="K3525" s="48" t="str">
        <f aca="false">IF($H3525="","",资金流水!$F165)</f>
        <v/>
      </c>
      <c r="L3525" s="66" t="str">
        <f aca="false">IF(资金流水!$E165="","",IFERROR(INDEX(记账规则!$A$13:$H$32,MATCH(资金流水!$E165,记账规则!$A$13:$A$32,0),6),""))</f>
        <v/>
      </c>
      <c r="M3525" s="66" t="str">
        <f aca="false">IF($L3525="","",IFERROR(INDEX(记账规则!$A$13:$H$32,MATCH(资金流水!$E165,记账规则!$A$13:$A$32,0),7),""))</f>
        <v/>
      </c>
      <c r="N3525" s="66" t="str">
        <f aca="false">IF($L3525="","",IFERROR(INDEX(记账规则!$A$13:$H$32,MATCH(资金流水!$E165,记账规则!$A$13:$A$32,0),8),""))</f>
        <v/>
      </c>
      <c r="O3525" s="67" t="n">
        <f aca="false">IF($H3525="",0,ROUND(IF($N3525="金额",N(资金流水!$P165),0),2))</f>
        <v>0</v>
      </c>
      <c r="P3525" s="64" t="str">
        <f aca="false">IF(AND($H3525&lt;&gt;"",ROUND($O3525,2)&lt;&gt;0),"有","")</f>
        <v/>
      </c>
    </row>
    <row r="3526" customFormat="false" ht="15" hidden="true" customHeight="false" outlineLevel="0" collapsed="false">
      <c r="A3526" s="53" t="str">
        <f aca="false">IF($H3526="","",ROW()-5)</f>
        <v/>
      </c>
      <c r="B3526" s="64" t="s">
        <v>37</v>
      </c>
      <c r="C3526" s="53" t="n">
        <v>166</v>
      </c>
      <c r="D3526" s="53" t="n">
        <v>1</v>
      </c>
      <c r="E3526" s="65" t="str">
        <f aca="false">IF($H3526="","",资金流水!$B166)</f>
        <v/>
      </c>
      <c r="F3526" s="55" t="str">
        <f aca="false">IF($H3526="","",资金流水!$C166)</f>
        <v/>
      </c>
      <c r="G3526" s="48" t="str">
        <f aca="false">IF($H3526="","",资金流水!$K166)</f>
        <v/>
      </c>
      <c r="H3526" s="10" t="str">
        <f aca="false">IF($L3526="","",IF($L3526="@对方",资金流水!$G166,IF($L3526="@账户",资金流水!$Q166,$L3526)))</f>
        <v/>
      </c>
      <c r="I3526" s="42" t="n">
        <f aca="false">IF($M3526="借",$O3526,0)</f>
        <v>0</v>
      </c>
      <c r="J3526" s="42" t="n">
        <f aca="false">IF($M3526="贷",$O3526,0)</f>
        <v>0</v>
      </c>
      <c r="K3526" s="48" t="str">
        <f aca="false">IF($H3526="","",资金流水!$F166)</f>
        <v/>
      </c>
      <c r="L3526" s="66" t="str">
        <f aca="false">IF(资金流水!$E166="","",IFERROR(INDEX(记账规则!$A$13:$H$32,MATCH(资金流水!$E166,记账规则!$A$13:$A$32,0),3),""))</f>
        <v/>
      </c>
      <c r="M3526" s="66" t="str">
        <f aca="false">IF($L3526="","",IFERROR(INDEX(记账规则!$A$13:$H$32,MATCH(资金流水!$E166,记账规则!$A$13:$A$32,0),4),""))</f>
        <v/>
      </c>
      <c r="N3526" s="66" t="str">
        <f aca="false">IF($L3526="","",IFERROR(INDEX(记账规则!$A$13:$H$32,MATCH(资金流水!$E166,记账规则!$A$13:$A$32,0),5),""))</f>
        <v/>
      </c>
      <c r="O3526" s="67" t="n">
        <f aca="false">IF($H3526="",0,ROUND(IF($N3526="金额",N(资金流水!$P166),0),2))</f>
        <v>0</v>
      </c>
      <c r="P3526" s="64" t="str">
        <f aca="false">IF(AND($H3526&lt;&gt;"",ROUND($O3526,2)&lt;&gt;0),"有","")</f>
        <v/>
      </c>
    </row>
    <row r="3527" customFormat="false" ht="15" hidden="true" customHeight="false" outlineLevel="0" collapsed="false">
      <c r="A3527" s="53" t="str">
        <f aca="false">IF($H3527="","",ROW()-5)</f>
        <v/>
      </c>
      <c r="B3527" s="64" t="s">
        <v>37</v>
      </c>
      <c r="C3527" s="53" t="n">
        <v>166</v>
      </c>
      <c r="D3527" s="53" t="n">
        <v>2</v>
      </c>
      <c r="E3527" s="65" t="str">
        <f aca="false">IF($H3527="","",资金流水!$B166)</f>
        <v/>
      </c>
      <c r="F3527" s="55" t="str">
        <f aca="false">IF($H3527="","",资金流水!$C166)</f>
        <v/>
      </c>
      <c r="G3527" s="48" t="str">
        <f aca="false">IF($H3527="","",资金流水!$K166)</f>
        <v/>
      </c>
      <c r="H3527" s="10" t="str">
        <f aca="false">IF($L3527="","",IF($L3527="@对方",资金流水!$G166,IF($L3527="@账户",资金流水!$Q166,$L3527)))</f>
        <v/>
      </c>
      <c r="I3527" s="42" t="n">
        <f aca="false">IF($M3527="借",$O3527,0)</f>
        <v>0</v>
      </c>
      <c r="J3527" s="42" t="n">
        <f aca="false">IF($M3527="贷",$O3527,0)</f>
        <v>0</v>
      </c>
      <c r="K3527" s="48" t="str">
        <f aca="false">IF($H3527="","",资金流水!$F166)</f>
        <v/>
      </c>
      <c r="L3527" s="66" t="str">
        <f aca="false">IF(资金流水!$E166="","",IFERROR(INDEX(记账规则!$A$13:$H$32,MATCH(资金流水!$E166,记账规则!$A$13:$A$32,0),6),""))</f>
        <v/>
      </c>
      <c r="M3527" s="66" t="str">
        <f aca="false">IF($L3527="","",IFERROR(INDEX(记账规则!$A$13:$H$32,MATCH(资金流水!$E166,记账规则!$A$13:$A$32,0),7),""))</f>
        <v/>
      </c>
      <c r="N3527" s="66" t="str">
        <f aca="false">IF($L3527="","",IFERROR(INDEX(记账规则!$A$13:$H$32,MATCH(资金流水!$E166,记账规则!$A$13:$A$32,0),8),""))</f>
        <v/>
      </c>
      <c r="O3527" s="67" t="n">
        <f aca="false">IF($H3527="",0,ROUND(IF($N3527="金额",N(资金流水!$P166),0),2))</f>
        <v>0</v>
      </c>
      <c r="P3527" s="64" t="str">
        <f aca="false">IF(AND($H3527&lt;&gt;"",ROUND($O3527,2)&lt;&gt;0),"有","")</f>
        <v/>
      </c>
    </row>
    <row r="3528" customFormat="false" ht="15" hidden="true" customHeight="false" outlineLevel="0" collapsed="false">
      <c r="A3528" s="53" t="str">
        <f aca="false">IF($H3528="","",ROW()-5)</f>
        <v/>
      </c>
      <c r="B3528" s="64" t="s">
        <v>37</v>
      </c>
      <c r="C3528" s="53" t="n">
        <v>167</v>
      </c>
      <c r="D3528" s="53" t="n">
        <v>1</v>
      </c>
      <c r="E3528" s="65" t="str">
        <f aca="false">IF($H3528="","",资金流水!$B167)</f>
        <v/>
      </c>
      <c r="F3528" s="55" t="str">
        <f aca="false">IF($H3528="","",资金流水!$C167)</f>
        <v/>
      </c>
      <c r="G3528" s="48" t="str">
        <f aca="false">IF($H3528="","",资金流水!$K167)</f>
        <v/>
      </c>
      <c r="H3528" s="10" t="str">
        <f aca="false">IF($L3528="","",IF($L3528="@对方",资金流水!$G167,IF($L3528="@账户",资金流水!$Q167,$L3528)))</f>
        <v/>
      </c>
      <c r="I3528" s="42" t="n">
        <f aca="false">IF($M3528="借",$O3528,0)</f>
        <v>0</v>
      </c>
      <c r="J3528" s="42" t="n">
        <f aca="false">IF($M3528="贷",$O3528,0)</f>
        <v>0</v>
      </c>
      <c r="K3528" s="48" t="str">
        <f aca="false">IF($H3528="","",资金流水!$F167)</f>
        <v/>
      </c>
      <c r="L3528" s="66" t="str">
        <f aca="false">IF(资金流水!$E167="","",IFERROR(INDEX(记账规则!$A$13:$H$32,MATCH(资金流水!$E167,记账规则!$A$13:$A$32,0),3),""))</f>
        <v/>
      </c>
      <c r="M3528" s="66" t="str">
        <f aca="false">IF($L3528="","",IFERROR(INDEX(记账规则!$A$13:$H$32,MATCH(资金流水!$E167,记账规则!$A$13:$A$32,0),4),""))</f>
        <v/>
      </c>
      <c r="N3528" s="66" t="str">
        <f aca="false">IF($L3528="","",IFERROR(INDEX(记账规则!$A$13:$H$32,MATCH(资金流水!$E167,记账规则!$A$13:$A$32,0),5),""))</f>
        <v/>
      </c>
      <c r="O3528" s="67" t="n">
        <f aca="false">IF($H3528="",0,ROUND(IF($N3528="金额",N(资金流水!$P167),0),2))</f>
        <v>0</v>
      </c>
      <c r="P3528" s="64" t="str">
        <f aca="false">IF(AND($H3528&lt;&gt;"",ROUND($O3528,2)&lt;&gt;0),"有","")</f>
        <v/>
      </c>
    </row>
    <row r="3529" customFormat="false" ht="15" hidden="true" customHeight="false" outlineLevel="0" collapsed="false">
      <c r="A3529" s="53" t="str">
        <f aca="false">IF($H3529="","",ROW()-5)</f>
        <v/>
      </c>
      <c r="B3529" s="64" t="s">
        <v>37</v>
      </c>
      <c r="C3529" s="53" t="n">
        <v>167</v>
      </c>
      <c r="D3529" s="53" t="n">
        <v>2</v>
      </c>
      <c r="E3529" s="65" t="str">
        <f aca="false">IF($H3529="","",资金流水!$B167)</f>
        <v/>
      </c>
      <c r="F3529" s="55" t="str">
        <f aca="false">IF($H3529="","",资金流水!$C167)</f>
        <v/>
      </c>
      <c r="G3529" s="48" t="str">
        <f aca="false">IF($H3529="","",资金流水!$K167)</f>
        <v/>
      </c>
      <c r="H3529" s="10" t="str">
        <f aca="false">IF($L3529="","",IF($L3529="@对方",资金流水!$G167,IF($L3529="@账户",资金流水!$Q167,$L3529)))</f>
        <v/>
      </c>
      <c r="I3529" s="42" t="n">
        <f aca="false">IF($M3529="借",$O3529,0)</f>
        <v>0</v>
      </c>
      <c r="J3529" s="42" t="n">
        <f aca="false">IF($M3529="贷",$O3529,0)</f>
        <v>0</v>
      </c>
      <c r="K3529" s="48" t="str">
        <f aca="false">IF($H3529="","",资金流水!$F167)</f>
        <v/>
      </c>
      <c r="L3529" s="66" t="str">
        <f aca="false">IF(资金流水!$E167="","",IFERROR(INDEX(记账规则!$A$13:$H$32,MATCH(资金流水!$E167,记账规则!$A$13:$A$32,0),6),""))</f>
        <v/>
      </c>
      <c r="M3529" s="66" t="str">
        <f aca="false">IF($L3529="","",IFERROR(INDEX(记账规则!$A$13:$H$32,MATCH(资金流水!$E167,记账规则!$A$13:$A$32,0),7),""))</f>
        <v/>
      </c>
      <c r="N3529" s="66" t="str">
        <f aca="false">IF($L3529="","",IFERROR(INDEX(记账规则!$A$13:$H$32,MATCH(资金流水!$E167,记账规则!$A$13:$A$32,0),8),""))</f>
        <v/>
      </c>
      <c r="O3529" s="67" t="n">
        <f aca="false">IF($H3529="",0,ROUND(IF($N3529="金额",N(资金流水!$P167),0),2))</f>
        <v>0</v>
      </c>
      <c r="P3529" s="64" t="str">
        <f aca="false">IF(AND($H3529&lt;&gt;"",ROUND($O3529,2)&lt;&gt;0),"有","")</f>
        <v/>
      </c>
    </row>
    <row r="3530" customFormat="false" ht="15" hidden="true" customHeight="false" outlineLevel="0" collapsed="false">
      <c r="A3530" s="53" t="str">
        <f aca="false">IF($H3530="","",ROW()-5)</f>
        <v/>
      </c>
      <c r="B3530" s="64" t="s">
        <v>37</v>
      </c>
      <c r="C3530" s="53" t="n">
        <v>168</v>
      </c>
      <c r="D3530" s="53" t="n">
        <v>1</v>
      </c>
      <c r="E3530" s="65" t="str">
        <f aca="false">IF($H3530="","",资金流水!$B168)</f>
        <v/>
      </c>
      <c r="F3530" s="55" t="str">
        <f aca="false">IF($H3530="","",资金流水!$C168)</f>
        <v/>
      </c>
      <c r="G3530" s="48" t="str">
        <f aca="false">IF($H3530="","",资金流水!$K168)</f>
        <v/>
      </c>
      <c r="H3530" s="10" t="str">
        <f aca="false">IF($L3530="","",IF($L3530="@对方",资金流水!$G168,IF($L3530="@账户",资金流水!$Q168,$L3530)))</f>
        <v/>
      </c>
      <c r="I3530" s="42" t="n">
        <f aca="false">IF($M3530="借",$O3530,0)</f>
        <v>0</v>
      </c>
      <c r="J3530" s="42" t="n">
        <f aca="false">IF($M3530="贷",$O3530,0)</f>
        <v>0</v>
      </c>
      <c r="K3530" s="48" t="str">
        <f aca="false">IF($H3530="","",资金流水!$F168)</f>
        <v/>
      </c>
      <c r="L3530" s="66" t="str">
        <f aca="false">IF(资金流水!$E168="","",IFERROR(INDEX(记账规则!$A$13:$H$32,MATCH(资金流水!$E168,记账规则!$A$13:$A$32,0),3),""))</f>
        <v/>
      </c>
      <c r="M3530" s="66" t="str">
        <f aca="false">IF($L3530="","",IFERROR(INDEX(记账规则!$A$13:$H$32,MATCH(资金流水!$E168,记账规则!$A$13:$A$32,0),4),""))</f>
        <v/>
      </c>
      <c r="N3530" s="66" t="str">
        <f aca="false">IF($L3530="","",IFERROR(INDEX(记账规则!$A$13:$H$32,MATCH(资金流水!$E168,记账规则!$A$13:$A$32,0),5),""))</f>
        <v/>
      </c>
      <c r="O3530" s="67" t="n">
        <f aca="false">IF($H3530="",0,ROUND(IF($N3530="金额",N(资金流水!$P168),0),2))</f>
        <v>0</v>
      </c>
      <c r="P3530" s="64" t="str">
        <f aca="false">IF(AND($H3530&lt;&gt;"",ROUND($O3530,2)&lt;&gt;0),"有","")</f>
        <v/>
      </c>
    </row>
    <row r="3531" customFormat="false" ht="15" hidden="true" customHeight="false" outlineLevel="0" collapsed="false">
      <c r="A3531" s="53" t="str">
        <f aca="false">IF($H3531="","",ROW()-5)</f>
        <v/>
      </c>
      <c r="B3531" s="64" t="s">
        <v>37</v>
      </c>
      <c r="C3531" s="53" t="n">
        <v>168</v>
      </c>
      <c r="D3531" s="53" t="n">
        <v>2</v>
      </c>
      <c r="E3531" s="65" t="str">
        <f aca="false">IF($H3531="","",资金流水!$B168)</f>
        <v/>
      </c>
      <c r="F3531" s="55" t="str">
        <f aca="false">IF($H3531="","",资金流水!$C168)</f>
        <v/>
      </c>
      <c r="G3531" s="48" t="str">
        <f aca="false">IF($H3531="","",资金流水!$K168)</f>
        <v/>
      </c>
      <c r="H3531" s="10" t="str">
        <f aca="false">IF($L3531="","",IF($L3531="@对方",资金流水!$G168,IF($L3531="@账户",资金流水!$Q168,$L3531)))</f>
        <v/>
      </c>
      <c r="I3531" s="42" t="n">
        <f aca="false">IF($M3531="借",$O3531,0)</f>
        <v>0</v>
      </c>
      <c r="J3531" s="42" t="n">
        <f aca="false">IF($M3531="贷",$O3531,0)</f>
        <v>0</v>
      </c>
      <c r="K3531" s="48" t="str">
        <f aca="false">IF($H3531="","",资金流水!$F168)</f>
        <v/>
      </c>
      <c r="L3531" s="66" t="str">
        <f aca="false">IF(资金流水!$E168="","",IFERROR(INDEX(记账规则!$A$13:$H$32,MATCH(资金流水!$E168,记账规则!$A$13:$A$32,0),6),""))</f>
        <v/>
      </c>
      <c r="M3531" s="66" t="str">
        <f aca="false">IF($L3531="","",IFERROR(INDEX(记账规则!$A$13:$H$32,MATCH(资金流水!$E168,记账规则!$A$13:$A$32,0),7),""))</f>
        <v/>
      </c>
      <c r="N3531" s="66" t="str">
        <f aca="false">IF($L3531="","",IFERROR(INDEX(记账规则!$A$13:$H$32,MATCH(资金流水!$E168,记账规则!$A$13:$A$32,0),8),""))</f>
        <v/>
      </c>
      <c r="O3531" s="67" t="n">
        <f aca="false">IF($H3531="",0,ROUND(IF($N3531="金额",N(资金流水!$P168),0),2))</f>
        <v>0</v>
      </c>
      <c r="P3531" s="64" t="str">
        <f aca="false">IF(AND($H3531&lt;&gt;"",ROUND($O3531,2)&lt;&gt;0),"有","")</f>
        <v/>
      </c>
    </row>
    <row r="3532" customFormat="false" ht="15" hidden="true" customHeight="false" outlineLevel="0" collapsed="false">
      <c r="A3532" s="53" t="str">
        <f aca="false">IF($H3532="","",ROW()-5)</f>
        <v/>
      </c>
      <c r="B3532" s="64" t="s">
        <v>37</v>
      </c>
      <c r="C3532" s="53" t="n">
        <v>169</v>
      </c>
      <c r="D3532" s="53" t="n">
        <v>1</v>
      </c>
      <c r="E3532" s="65" t="str">
        <f aca="false">IF($H3532="","",资金流水!$B169)</f>
        <v/>
      </c>
      <c r="F3532" s="55" t="str">
        <f aca="false">IF($H3532="","",资金流水!$C169)</f>
        <v/>
      </c>
      <c r="G3532" s="48" t="str">
        <f aca="false">IF($H3532="","",资金流水!$K169)</f>
        <v/>
      </c>
      <c r="H3532" s="10" t="str">
        <f aca="false">IF($L3532="","",IF($L3532="@对方",资金流水!$G169,IF($L3532="@账户",资金流水!$Q169,$L3532)))</f>
        <v/>
      </c>
      <c r="I3532" s="42" t="n">
        <f aca="false">IF($M3532="借",$O3532,0)</f>
        <v>0</v>
      </c>
      <c r="J3532" s="42" t="n">
        <f aca="false">IF($M3532="贷",$O3532,0)</f>
        <v>0</v>
      </c>
      <c r="K3532" s="48" t="str">
        <f aca="false">IF($H3532="","",资金流水!$F169)</f>
        <v/>
      </c>
      <c r="L3532" s="66" t="str">
        <f aca="false">IF(资金流水!$E169="","",IFERROR(INDEX(记账规则!$A$13:$H$32,MATCH(资金流水!$E169,记账规则!$A$13:$A$32,0),3),""))</f>
        <v/>
      </c>
      <c r="M3532" s="66" t="str">
        <f aca="false">IF($L3532="","",IFERROR(INDEX(记账规则!$A$13:$H$32,MATCH(资金流水!$E169,记账规则!$A$13:$A$32,0),4),""))</f>
        <v/>
      </c>
      <c r="N3532" s="66" t="str">
        <f aca="false">IF($L3532="","",IFERROR(INDEX(记账规则!$A$13:$H$32,MATCH(资金流水!$E169,记账规则!$A$13:$A$32,0),5),""))</f>
        <v/>
      </c>
      <c r="O3532" s="67" t="n">
        <f aca="false">IF($H3532="",0,ROUND(IF($N3532="金额",N(资金流水!$P169),0),2))</f>
        <v>0</v>
      </c>
      <c r="P3532" s="64" t="str">
        <f aca="false">IF(AND($H3532&lt;&gt;"",ROUND($O3532,2)&lt;&gt;0),"有","")</f>
        <v/>
      </c>
    </row>
    <row r="3533" customFormat="false" ht="15" hidden="true" customHeight="false" outlineLevel="0" collapsed="false">
      <c r="A3533" s="53" t="str">
        <f aca="false">IF($H3533="","",ROW()-5)</f>
        <v/>
      </c>
      <c r="B3533" s="64" t="s">
        <v>37</v>
      </c>
      <c r="C3533" s="53" t="n">
        <v>169</v>
      </c>
      <c r="D3533" s="53" t="n">
        <v>2</v>
      </c>
      <c r="E3533" s="65" t="str">
        <f aca="false">IF($H3533="","",资金流水!$B169)</f>
        <v/>
      </c>
      <c r="F3533" s="55" t="str">
        <f aca="false">IF($H3533="","",资金流水!$C169)</f>
        <v/>
      </c>
      <c r="G3533" s="48" t="str">
        <f aca="false">IF($H3533="","",资金流水!$K169)</f>
        <v/>
      </c>
      <c r="H3533" s="10" t="str">
        <f aca="false">IF($L3533="","",IF($L3533="@对方",资金流水!$G169,IF($L3533="@账户",资金流水!$Q169,$L3533)))</f>
        <v/>
      </c>
      <c r="I3533" s="42" t="n">
        <f aca="false">IF($M3533="借",$O3533,0)</f>
        <v>0</v>
      </c>
      <c r="J3533" s="42" t="n">
        <f aca="false">IF($M3533="贷",$O3533,0)</f>
        <v>0</v>
      </c>
      <c r="K3533" s="48" t="str">
        <f aca="false">IF($H3533="","",资金流水!$F169)</f>
        <v/>
      </c>
      <c r="L3533" s="66" t="str">
        <f aca="false">IF(资金流水!$E169="","",IFERROR(INDEX(记账规则!$A$13:$H$32,MATCH(资金流水!$E169,记账规则!$A$13:$A$32,0),6),""))</f>
        <v/>
      </c>
      <c r="M3533" s="66" t="str">
        <f aca="false">IF($L3533="","",IFERROR(INDEX(记账规则!$A$13:$H$32,MATCH(资金流水!$E169,记账规则!$A$13:$A$32,0),7),""))</f>
        <v/>
      </c>
      <c r="N3533" s="66" t="str">
        <f aca="false">IF($L3533="","",IFERROR(INDEX(记账规则!$A$13:$H$32,MATCH(资金流水!$E169,记账规则!$A$13:$A$32,0),8),""))</f>
        <v/>
      </c>
      <c r="O3533" s="67" t="n">
        <f aca="false">IF($H3533="",0,ROUND(IF($N3533="金额",N(资金流水!$P169),0),2))</f>
        <v>0</v>
      </c>
      <c r="P3533" s="64" t="str">
        <f aca="false">IF(AND($H3533&lt;&gt;"",ROUND($O3533,2)&lt;&gt;0),"有","")</f>
        <v/>
      </c>
    </row>
    <row r="3534" customFormat="false" ht="15" hidden="true" customHeight="false" outlineLevel="0" collapsed="false">
      <c r="A3534" s="53" t="str">
        <f aca="false">IF($H3534="","",ROW()-5)</f>
        <v/>
      </c>
      <c r="B3534" s="64" t="s">
        <v>37</v>
      </c>
      <c r="C3534" s="53" t="n">
        <v>170</v>
      </c>
      <c r="D3534" s="53" t="n">
        <v>1</v>
      </c>
      <c r="E3534" s="65" t="str">
        <f aca="false">IF($H3534="","",资金流水!$B170)</f>
        <v/>
      </c>
      <c r="F3534" s="55" t="str">
        <f aca="false">IF($H3534="","",资金流水!$C170)</f>
        <v/>
      </c>
      <c r="G3534" s="48" t="str">
        <f aca="false">IF($H3534="","",资金流水!$K170)</f>
        <v/>
      </c>
      <c r="H3534" s="10" t="str">
        <f aca="false">IF($L3534="","",IF($L3534="@对方",资金流水!$G170,IF($L3534="@账户",资金流水!$Q170,$L3534)))</f>
        <v/>
      </c>
      <c r="I3534" s="42" t="n">
        <f aca="false">IF($M3534="借",$O3534,0)</f>
        <v>0</v>
      </c>
      <c r="J3534" s="42" t="n">
        <f aca="false">IF($M3534="贷",$O3534,0)</f>
        <v>0</v>
      </c>
      <c r="K3534" s="48" t="str">
        <f aca="false">IF($H3534="","",资金流水!$F170)</f>
        <v/>
      </c>
      <c r="L3534" s="66" t="str">
        <f aca="false">IF(资金流水!$E170="","",IFERROR(INDEX(记账规则!$A$13:$H$32,MATCH(资金流水!$E170,记账规则!$A$13:$A$32,0),3),""))</f>
        <v/>
      </c>
      <c r="M3534" s="66" t="str">
        <f aca="false">IF($L3534="","",IFERROR(INDEX(记账规则!$A$13:$H$32,MATCH(资金流水!$E170,记账规则!$A$13:$A$32,0),4),""))</f>
        <v/>
      </c>
      <c r="N3534" s="66" t="str">
        <f aca="false">IF($L3534="","",IFERROR(INDEX(记账规则!$A$13:$H$32,MATCH(资金流水!$E170,记账规则!$A$13:$A$32,0),5),""))</f>
        <v/>
      </c>
      <c r="O3534" s="67" t="n">
        <f aca="false">IF($H3534="",0,ROUND(IF($N3534="金额",N(资金流水!$P170),0),2))</f>
        <v>0</v>
      </c>
      <c r="P3534" s="64" t="str">
        <f aca="false">IF(AND($H3534&lt;&gt;"",ROUND($O3534,2)&lt;&gt;0),"有","")</f>
        <v/>
      </c>
    </row>
    <row r="3535" customFormat="false" ht="15" hidden="true" customHeight="false" outlineLevel="0" collapsed="false">
      <c r="A3535" s="53" t="str">
        <f aca="false">IF($H3535="","",ROW()-5)</f>
        <v/>
      </c>
      <c r="B3535" s="64" t="s">
        <v>37</v>
      </c>
      <c r="C3535" s="53" t="n">
        <v>170</v>
      </c>
      <c r="D3535" s="53" t="n">
        <v>2</v>
      </c>
      <c r="E3535" s="65" t="str">
        <f aca="false">IF($H3535="","",资金流水!$B170)</f>
        <v/>
      </c>
      <c r="F3535" s="55" t="str">
        <f aca="false">IF($H3535="","",资金流水!$C170)</f>
        <v/>
      </c>
      <c r="G3535" s="48" t="str">
        <f aca="false">IF($H3535="","",资金流水!$K170)</f>
        <v/>
      </c>
      <c r="H3535" s="10" t="str">
        <f aca="false">IF($L3535="","",IF($L3535="@对方",资金流水!$G170,IF($L3535="@账户",资金流水!$Q170,$L3535)))</f>
        <v/>
      </c>
      <c r="I3535" s="42" t="n">
        <f aca="false">IF($M3535="借",$O3535,0)</f>
        <v>0</v>
      </c>
      <c r="J3535" s="42" t="n">
        <f aca="false">IF($M3535="贷",$O3535,0)</f>
        <v>0</v>
      </c>
      <c r="K3535" s="48" t="str">
        <f aca="false">IF($H3535="","",资金流水!$F170)</f>
        <v/>
      </c>
      <c r="L3535" s="66" t="str">
        <f aca="false">IF(资金流水!$E170="","",IFERROR(INDEX(记账规则!$A$13:$H$32,MATCH(资金流水!$E170,记账规则!$A$13:$A$32,0),6),""))</f>
        <v/>
      </c>
      <c r="M3535" s="66" t="str">
        <f aca="false">IF($L3535="","",IFERROR(INDEX(记账规则!$A$13:$H$32,MATCH(资金流水!$E170,记账规则!$A$13:$A$32,0),7),""))</f>
        <v/>
      </c>
      <c r="N3535" s="66" t="str">
        <f aca="false">IF($L3535="","",IFERROR(INDEX(记账规则!$A$13:$H$32,MATCH(资金流水!$E170,记账规则!$A$13:$A$32,0),8),""))</f>
        <v/>
      </c>
      <c r="O3535" s="67" t="n">
        <f aca="false">IF($H3535="",0,ROUND(IF($N3535="金额",N(资金流水!$P170),0),2))</f>
        <v>0</v>
      </c>
      <c r="P3535" s="64" t="str">
        <f aca="false">IF(AND($H3535&lt;&gt;"",ROUND($O3535,2)&lt;&gt;0),"有","")</f>
        <v/>
      </c>
    </row>
    <row r="3536" customFormat="false" ht="15" hidden="true" customHeight="false" outlineLevel="0" collapsed="false">
      <c r="A3536" s="53" t="str">
        <f aca="false">IF($H3536="","",ROW()-5)</f>
        <v/>
      </c>
      <c r="B3536" s="64" t="s">
        <v>37</v>
      </c>
      <c r="C3536" s="53" t="n">
        <v>171</v>
      </c>
      <c r="D3536" s="53" t="n">
        <v>1</v>
      </c>
      <c r="E3536" s="65" t="str">
        <f aca="false">IF($H3536="","",资金流水!$B171)</f>
        <v/>
      </c>
      <c r="F3536" s="55" t="str">
        <f aca="false">IF($H3536="","",资金流水!$C171)</f>
        <v/>
      </c>
      <c r="G3536" s="48" t="str">
        <f aca="false">IF($H3536="","",资金流水!$K171)</f>
        <v/>
      </c>
      <c r="H3536" s="10" t="str">
        <f aca="false">IF($L3536="","",IF($L3536="@对方",资金流水!$G171,IF($L3536="@账户",资金流水!$Q171,$L3536)))</f>
        <v/>
      </c>
      <c r="I3536" s="42" t="n">
        <f aca="false">IF($M3536="借",$O3536,0)</f>
        <v>0</v>
      </c>
      <c r="J3536" s="42" t="n">
        <f aca="false">IF($M3536="贷",$O3536,0)</f>
        <v>0</v>
      </c>
      <c r="K3536" s="48" t="str">
        <f aca="false">IF($H3536="","",资金流水!$F171)</f>
        <v/>
      </c>
      <c r="L3536" s="66" t="str">
        <f aca="false">IF(资金流水!$E171="","",IFERROR(INDEX(记账规则!$A$13:$H$32,MATCH(资金流水!$E171,记账规则!$A$13:$A$32,0),3),""))</f>
        <v/>
      </c>
      <c r="M3536" s="66" t="str">
        <f aca="false">IF($L3536="","",IFERROR(INDEX(记账规则!$A$13:$H$32,MATCH(资金流水!$E171,记账规则!$A$13:$A$32,0),4),""))</f>
        <v/>
      </c>
      <c r="N3536" s="66" t="str">
        <f aca="false">IF($L3536="","",IFERROR(INDEX(记账规则!$A$13:$H$32,MATCH(资金流水!$E171,记账规则!$A$13:$A$32,0),5),""))</f>
        <v/>
      </c>
      <c r="O3536" s="67" t="n">
        <f aca="false">IF($H3536="",0,ROUND(IF($N3536="金额",N(资金流水!$P171),0),2))</f>
        <v>0</v>
      </c>
      <c r="P3536" s="64" t="str">
        <f aca="false">IF(AND($H3536&lt;&gt;"",ROUND($O3536,2)&lt;&gt;0),"有","")</f>
        <v/>
      </c>
    </row>
    <row r="3537" customFormat="false" ht="15" hidden="true" customHeight="false" outlineLevel="0" collapsed="false">
      <c r="A3537" s="53" t="str">
        <f aca="false">IF($H3537="","",ROW()-5)</f>
        <v/>
      </c>
      <c r="B3537" s="64" t="s">
        <v>37</v>
      </c>
      <c r="C3537" s="53" t="n">
        <v>171</v>
      </c>
      <c r="D3537" s="53" t="n">
        <v>2</v>
      </c>
      <c r="E3537" s="65" t="str">
        <f aca="false">IF($H3537="","",资金流水!$B171)</f>
        <v/>
      </c>
      <c r="F3537" s="55" t="str">
        <f aca="false">IF($H3537="","",资金流水!$C171)</f>
        <v/>
      </c>
      <c r="G3537" s="48" t="str">
        <f aca="false">IF($H3537="","",资金流水!$K171)</f>
        <v/>
      </c>
      <c r="H3537" s="10" t="str">
        <f aca="false">IF($L3537="","",IF($L3537="@对方",资金流水!$G171,IF($L3537="@账户",资金流水!$Q171,$L3537)))</f>
        <v/>
      </c>
      <c r="I3537" s="42" t="n">
        <f aca="false">IF($M3537="借",$O3537,0)</f>
        <v>0</v>
      </c>
      <c r="J3537" s="42" t="n">
        <f aca="false">IF($M3537="贷",$O3537,0)</f>
        <v>0</v>
      </c>
      <c r="K3537" s="48" t="str">
        <f aca="false">IF($H3537="","",资金流水!$F171)</f>
        <v/>
      </c>
      <c r="L3537" s="66" t="str">
        <f aca="false">IF(资金流水!$E171="","",IFERROR(INDEX(记账规则!$A$13:$H$32,MATCH(资金流水!$E171,记账规则!$A$13:$A$32,0),6),""))</f>
        <v/>
      </c>
      <c r="M3537" s="66" t="str">
        <f aca="false">IF($L3537="","",IFERROR(INDEX(记账规则!$A$13:$H$32,MATCH(资金流水!$E171,记账规则!$A$13:$A$32,0),7),""))</f>
        <v/>
      </c>
      <c r="N3537" s="66" t="str">
        <f aca="false">IF($L3537="","",IFERROR(INDEX(记账规则!$A$13:$H$32,MATCH(资金流水!$E171,记账规则!$A$13:$A$32,0),8),""))</f>
        <v/>
      </c>
      <c r="O3537" s="67" t="n">
        <f aca="false">IF($H3537="",0,ROUND(IF($N3537="金额",N(资金流水!$P171),0),2))</f>
        <v>0</v>
      </c>
      <c r="P3537" s="64" t="str">
        <f aca="false">IF(AND($H3537&lt;&gt;"",ROUND($O3537,2)&lt;&gt;0),"有","")</f>
        <v/>
      </c>
    </row>
    <row r="3538" customFormat="false" ht="15" hidden="true" customHeight="false" outlineLevel="0" collapsed="false">
      <c r="A3538" s="53" t="str">
        <f aca="false">IF($H3538="","",ROW()-5)</f>
        <v/>
      </c>
      <c r="B3538" s="64" t="s">
        <v>37</v>
      </c>
      <c r="C3538" s="53" t="n">
        <v>172</v>
      </c>
      <c r="D3538" s="53" t="n">
        <v>1</v>
      </c>
      <c r="E3538" s="65" t="str">
        <f aca="false">IF($H3538="","",资金流水!$B172)</f>
        <v/>
      </c>
      <c r="F3538" s="55" t="str">
        <f aca="false">IF($H3538="","",资金流水!$C172)</f>
        <v/>
      </c>
      <c r="G3538" s="48" t="str">
        <f aca="false">IF($H3538="","",资金流水!$K172)</f>
        <v/>
      </c>
      <c r="H3538" s="10" t="str">
        <f aca="false">IF($L3538="","",IF($L3538="@对方",资金流水!$G172,IF($L3538="@账户",资金流水!$Q172,$L3538)))</f>
        <v/>
      </c>
      <c r="I3538" s="42" t="n">
        <f aca="false">IF($M3538="借",$O3538,0)</f>
        <v>0</v>
      </c>
      <c r="J3538" s="42" t="n">
        <f aca="false">IF($M3538="贷",$O3538,0)</f>
        <v>0</v>
      </c>
      <c r="K3538" s="48" t="str">
        <f aca="false">IF($H3538="","",资金流水!$F172)</f>
        <v/>
      </c>
      <c r="L3538" s="66" t="str">
        <f aca="false">IF(资金流水!$E172="","",IFERROR(INDEX(记账规则!$A$13:$H$32,MATCH(资金流水!$E172,记账规则!$A$13:$A$32,0),3),""))</f>
        <v/>
      </c>
      <c r="M3538" s="66" t="str">
        <f aca="false">IF($L3538="","",IFERROR(INDEX(记账规则!$A$13:$H$32,MATCH(资金流水!$E172,记账规则!$A$13:$A$32,0),4),""))</f>
        <v/>
      </c>
      <c r="N3538" s="66" t="str">
        <f aca="false">IF($L3538="","",IFERROR(INDEX(记账规则!$A$13:$H$32,MATCH(资金流水!$E172,记账规则!$A$13:$A$32,0),5),""))</f>
        <v/>
      </c>
      <c r="O3538" s="67" t="n">
        <f aca="false">IF($H3538="",0,ROUND(IF($N3538="金额",N(资金流水!$P172),0),2))</f>
        <v>0</v>
      </c>
      <c r="P3538" s="64" t="str">
        <f aca="false">IF(AND($H3538&lt;&gt;"",ROUND($O3538,2)&lt;&gt;0),"有","")</f>
        <v/>
      </c>
    </row>
    <row r="3539" customFormat="false" ht="15" hidden="true" customHeight="false" outlineLevel="0" collapsed="false">
      <c r="A3539" s="53" t="str">
        <f aca="false">IF($H3539="","",ROW()-5)</f>
        <v/>
      </c>
      <c r="B3539" s="64" t="s">
        <v>37</v>
      </c>
      <c r="C3539" s="53" t="n">
        <v>172</v>
      </c>
      <c r="D3539" s="53" t="n">
        <v>2</v>
      </c>
      <c r="E3539" s="65" t="str">
        <f aca="false">IF($H3539="","",资金流水!$B172)</f>
        <v/>
      </c>
      <c r="F3539" s="55" t="str">
        <f aca="false">IF($H3539="","",资金流水!$C172)</f>
        <v/>
      </c>
      <c r="G3539" s="48" t="str">
        <f aca="false">IF($H3539="","",资金流水!$K172)</f>
        <v/>
      </c>
      <c r="H3539" s="10" t="str">
        <f aca="false">IF($L3539="","",IF($L3539="@对方",资金流水!$G172,IF($L3539="@账户",资金流水!$Q172,$L3539)))</f>
        <v/>
      </c>
      <c r="I3539" s="42" t="n">
        <f aca="false">IF($M3539="借",$O3539,0)</f>
        <v>0</v>
      </c>
      <c r="J3539" s="42" t="n">
        <f aca="false">IF($M3539="贷",$O3539,0)</f>
        <v>0</v>
      </c>
      <c r="K3539" s="48" t="str">
        <f aca="false">IF($H3539="","",资金流水!$F172)</f>
        <v/>
      </c>
      <c r="L3539" s="66" t="str">
        <f aca="false">IF(资金流水!$E172="","",IFERROR(INDEX(记账规则!$A$13:$H$32,MATCH(资金流水!$E172,记账规则!$A$13:$A$32,0),6),""))</f>
        <v/>
      </c>
      <c r="M3539" s="66" t="str">
        <f aca="false">IF($L3539="","",IFERROR(INDEX(记账规则!$A$13:$H$32,MATCH(资金流水!$E172,记账规则!$A$13:$A$32,0),7),""))</f>
        <v/>
      </c>
      <c r="N3539" s="66" t="str">
        <f aca="false">IF($L3539="","",IFERROR(INDEX(记账规则!$A$13:$H$32,MATCH(资金流水!$E172,记账规则!$A$13:$A$32,0),8),""))</f>
        <v/>
      </c>
      <c r="O3539" s="67" t="n">
        <f aca="false">IF($H3539="",0,ROUND(IF($N3539="金额",N(资金流水!$P172),0),2))</f>
        <v>0</v>
      </c>
      <c r="P3539" s="64" t="str">
        <f aca="false">IF(AND($H3539&lt;&gt;"",ROUND($O3539,2)&lt;&gt;0),"有","")</f>
        <v/>
      </c>
    </row>
    <row r="3540" customFormat="false" ht="15" hidden="true" customHeight="false" outlineLevel="0" collapsed="false">
      <c r="A3540" s="53" t="str">
        <f aca="false">IF($H3540="","",ROW()-5)</f>
        <v/>
      </c>
      <c r="B3540" s="64" t="s">
        <v>37</v>
      </c>
      <c r="C3540" s="53" t="n">
        <v>173</v>
      </c>
      <c r="D3540" s="53" t="n">
        <v>1</v>
      </c>
      <c r="E3540" s="65" t="str">
        <f aca="false">IF($H3540="","",资金流水!$B173)</f>
        <v/>
      </c>
      <c r="F3540" s="55" t="str">
        <f aca="false">IF($H3540="","",资金流水!$C173)</f>
        <v/>
      </c>
      <c r="G3540" s="48" t="str">
        <f aca="false">IF($H3540="","",资金流水!$K173)</f>
        <v/>
      </c>
      <c r="H3540" s="10" t="str">
        <f aca="false">IF($L3540="","",IF($L3540="@对方",资金流水!$G173,IF($L3540="@账户",资金流水!$Q173,$L3540)))</f>
        <v/>
      </c>
      <c r="I3540" s="42" t="n">
        <f aca="false">IF($M3540="借",$O3540,0)</f>
        <v>0</v>
      </c>
      <c r="J3540" s="42" t="n">
        <f aca="false">IF($M3540="贷",$O3540,0)</f>
        <v>0</v>
      </c>
      <c r="K3540" s="48" t="str">
        <f aca="false">IF($H3540="","",资金流水!$F173)</f>
        <v/>
      </c>
      <c r="L3540" s="66" t="str">
        <f aca="false">IF(资金流水!$E173="","",IFERROR(INDEX(记账规则!$A$13:$H$32,MATCH(资金流水!$E173,记账规则!$A$13:$A$32,0),3),""))</f>
        <v/>
      </c>
      <c r="M3540" s="66" t="str">
        <f aca="false">IF($L3540="","",IFERROR(INDEX(记账规则!$A$13:$H$32,MATCH(资金流水!$E173,记账规则!$A$13:$A$32,0),4),""))</f>
        <v/>
      </c>
      <c r="N3540" s="66" t="str">
        <f aca="false">IF($L3540="","",IFERROR(INDEX(记账规则!$A$13:$H$32,MATCH(资金流水!$E173,记账规则!$A$13:$A$32,0),5),""))</f>
        <v/>
      </c>
      <c r="O3540" s="67" t="n">
        <f aca="false">IF($H3540="",0,ROUND(IF($N3540="金额",N(资金流水!$P173),0),2))</f>
        <v>0</v>
      </c>
      <c r="P3540" s="64" t="str">
        <f aca="false">IF(AND($H3540&lt;&gt;"",ROUND($O3540,2)&lt;&gt;0),"有","")</f>
        <v/>
      </c>
    </row>
    <row r="3541" customFormat="false" ht="15" hidden="true" customHeight="false" outlineLevel="0" collapsed="false">
      <c r="A3541" s="53" t="str">
        <f aca="false">IF($H3541="","",ROW()-5)</f>
        <v/>
      </c>
      <c r="B3541" s="64" t="s">
        <v>37</v>
      </c>
      <c r="C3541" s="53" t="n">
        <v>173</v>
      </c>
      <c r="D3541" s="53" t="n">
        <v>2</v>
      </c>
      <c r="E3541" s="65" t="str">
        <f aca="false">IF($H3541="","",资金流水!$B173)</f>
        <v/>
      </c>
      <c r="F3541" s="55" t="str">
        <f aca="false">IF($H3541="","",资金流水!$C173)</f>
        <v/>
      </c>
      <c r="G3541" s="48" t="str">
        <f aca="false">IF($H3541="","",资金流水!$K173)</f>
        <v/>
      </c>
      <c r="H3541" s="10" t="str">
        <f aca="false">IF($L3541="","",IF($L3541="@对方",资金流水!$G173,IF($L3541="@账户",资金流水!$Q173,$L3541)))</f>
        <v/>
      </c>
      <c r="I3541" s="42" t="n">
        <f aca="false">IF($M3541="借",$O3541,0)</f>
        <v>0</v>
      </c>
      <c r="J3541" s="42" t="n">
        <f aca="false">IF($M3541="贷",$O3541,0)</f>
        <v>0</v>
      </c>
      <c r="K3541" s="48" t="str">
        <f aca="false">IF($H3541="","",资金流水!$F173)</f>
        <v/>
      </c>
      <c r="L3541" s="66" t="str">
        <f aca="false">IF(资金流水!$E173="","",IFERROR(INDEX(记账规则!$A$13:$H$32,MATCH(资金流水!$E173,记账规则!$A$13:$A$32,0),6),""))</f>
        <v/>
      </c>
      <c r="M3541" s="66" t="str">
        <f aca="false">IF($L3541="","",IFERROR(INDEX(记账规则!$A$13:$H$32,MATCH(资金流水!$E173,记账规则!$A$13:$A$32,0),7),""))</f>
        <v/>
      </c>
      <c r="N3541" s="66" t="str">
        <f aca="false">IF($L3541="","",IFERROR(INDEX(记账规则!$A$13:$H$32,MATCH(资金流水!$E173,记账规则!$A$13:$A$32,0),8),""))</f>
        <v/>
      </c>
      <c r="O3541" s="67" t="n">
        <f aca="false">IF($H3541="",0,ROUND(IF($N3541="金额",N(资金流水!$P173),0),2))</f>
        <v>0</v>
      </c>
      <c r="P3541" s="64" t="str">
        <f aca="false">IF(AND($H3541&lt;&gt;"",ROUND($O3541,2)&lt;&gt;0),"有","")</f>
        <v/>
      </c>
    </row>
    <row r="3542" customFormat="false" ht="15" hidden="true" customHeight="false" outlineLevel="0" collapsed="false">
      <c r="A3542" s="53" t="str">
        <f aca="false">IF($H3542="","",ROW()-5)</f>
        <v/>
      </c>
      <c r="B3542" s="64" t="s">
        <v>37</v>
      </c>
      <c r="C3542" s="53" t="n">
        <v>174</v>
      </c>
      <c r="D3542" s="53" t="n">
        <v>1</v>
      </c>
      <c r="E3542" s="65" t="str">
        <f aca="false">IF($H3542="","",资金流水!$B174)</f>
        <v/>
      </c>
      <c r="F3542" s="55" t="str">
        <f aca="false">IF($H3542="","",资金流水!$C174)</f>
        <v/>
      </c>
      <c r="G3542" s="48" t="str">
        <f aca="false">IF($H3542="","",资金流水!$K174)</f>
        <v/>
      </c>
      <c r="H3542" s="10" t="str">
        <f aca="false">IF($L3542="","",IF($L3542="@对方",资金流水!$G174,IF($L3542="@账户",资金流水!$Q174,$L3542)))</f>
        <v/>
      </c>
      <c r="I3542" s="42" t="n">
        <f aca="false">IF($M3542="借",$O3542,0)</f>
        <v>0</v>
      </c>
      <c r="J3542" s="42" t="n">
        <f aca="false">IF($M3542="贷",$O3542,0)</f>
        <v>0</v>
      </c>
      <c r="K3542" s="48" t="str">
        <f aca="false">IF($H3542="","",资金流水!$F174)</f>
        <v/>
      </c>
      <c r="L3542" s="66" t="str">
        <f aca="false">IF(资金流水!$E174="","",IFERROR(INDEX(记账规则!$A$13:$H$32,MATCH(资金流水!$E174,记账规则!$A$13:$A$32,0),3),""))</f>
        <v/>
      </c>
      <c r="M3542" s="66" t="str">
        <f aca="false">IF($L3542="","",IFERROR(INDEX(记账规则!$A$13:$H$32,MATCH(资金流水!$E174,记账规则!$A$13:$A$32,0),4),""))</f>
        <v/>
      </c>
      <c r="N3542" s="66" t="str">
        <f aca="false">IF($L3542="","",IFERROR(INDEX(记账规则!$A$13:$H$32,MATCH(资金流水!$E174,记账规则!$A$13:$A$32,0),5),""))</f>
        <v/>
      </c>
      <c r="O3542" s="67" t="n">
        <f aca="false">IF($H3542="",0,ROUND(IF($N3542="金额",N(资金流水!$P174),0),2))</f>
        <v>0</v>
      </c>
      <c r="P3542" s="64" t="str">
        <f aca="false">IF(AND($H3542&lt;&gt;"",ROUND($O3542,2)&lt;&gt;0),"有","")</f>
        <v/>
      </c>
    </row>
    <row r="3543" customFormat="false" ht="15" hidden="true" customHeight="false" outlineLevel="0" collapsed="false">
      <c r="A3543" s="53" t="str">
        <f aca="false">IF($H3543="","",ROW()-5)</f>
        <v/>
      </c>
      <c r="B3543" s="64" t="s">
        <v>37</v>
      </c>
      <c r="C3543" s="53" t="n">
        <v>174</v>
      </c>
      <c r="D3543" s="53" t="n">
        <v>2</v>
      </c>
      <c r="E3543" s="65" t="str">
        <f aca="false">IF($H3543="","",资金流水!$B174)</f>
        <v/>
      </c>
      <c r="F3543" s="55" t="str">
        <f aca="false">IF($H3543="","",资金流水!$C174)</f>
        <v/>
      </c>
      <c r="G3543" s="48" t="str">
        <f aca="false">IF($H3543="","",资金流水!$K174)</f>
        <v/>
      </c>
      <c r="H3543" s="10" t="str">
        <f aca="false">IF($L3543="","",IF($L3543="@对方",资金流水!$G174,IF($L3543="@账户",资金流水!$Q174,$L3543)))</f>
        <v/>
      </c>
      <c r="I3543" s="42" t="n">
        <f aca="false">IF($M3543="借",$O3543,0)</f>
        <v>0</v>
      </c>
      <c r="J3543" s="42" t="n">
        <f aca="false">IF($M3543="贷",$O3543,0)</f>
        <v>0</v>
      </c>
      <c r="K3543" s="48" t="str">
        <f aca="false">IF($H3543="","",资金流水!$F174)</f>
        <v/>
      </c>
      <c r="L3543" s="66" t="str">
        <f aca="false">IF(资金流水!$E174="","",IFERROR(INDEX(记账规则!$A$13:$H$32,MATCH(资金流水!$E174,记账规则!$A$13:$A$32,0),6),""))</f>
        <v/>
      </c>
      <c r="M3543" s="66" t="str">
        <f aca="false">IF($L3543="","",IFERROR(INDEX(记账规则!$A$13:$H$32,MATCH(资金流水!$E174,记账规则!$A$13:$A$32,0),7),""))</f>
        <v/>
      </c>
      <c r="N3543" s="66" t="str">
        <f aca="false">IF($L3543="","",IFERROR(INDEX(记账规则!$A$13:$H$32,MATCH(资金流水!$E174,记账规则!$A$13:$A$32,0),8),""))</f>
        <v/>
      </c>
      <c r="O3543" s="67" t="n">
        <f aca="false">IF($H3543="",0,ROUND(IF($N3543="金额",N(资金流水!$P174),0),2))</f>
        <v>0</v>
      </c>
      <c r="P3543" s="64" t="str">
        <f aca="false">IF(AND($H3543&lt;&gt;"",ROUND($O3543,2)&lt;&gt;0),"有","")</f>
        <v/>
      </c>
    </row>
    <row r="3544" customFormat="false" ht="15" hidden="true" customHeight="false" outlineLevel="0" collapsed="false">
      <c r="A3544" s="53" t="str">
        <f aca="false">IF($H3544="","",ROW()-5)</f>
        <v/>
      </c>
      <c r="B3544" s="64" t="s">
        <v>37</v>
      </c>
      <c r="C3544" s="53" t="n">
        <v>175</v>
      </c>
      <c r="D3544" s="53" t="n">
        <v>1</v>
      </c>
      <c r="E3544" s="65" t="str">
        <f aca="false">IF($H3544="","",资金流水!$B175)</f>
        <v/>
      </c>
      <c r="F3544" s="55" t="str">
        <f aca="false">IF($H3544="","",资金流水!$C175)</f>
        <v/>
      </c>
      <c r="G3544" s="48" t="str">
        <f aca="false">IF($H3544="","",资金流水!$K175)</f>
        <v/>
      </c>
      <c r="H3544" s="10" t="str">
        <f aca="false">IF($L3544="","",IF($L3544="@对方",资金流水!$G175,IF($L3544="@账户",资金流水!$Q175,$L3544)))</f>
        <v/>
      </c>
      <c r="I3544" s="42" t="n">
        <f aca="false">IF($M3544="借",$O3544,0)</f>
        <v>0</v>
      </c>
      <c r="J3544" s="42" t="n">
        <f aca="false">IF($M3544="贷",$O3544,0)</f>
        <v>0</v>
      </c>
      <c r="K3544" s="48" t="str">
        <f aca="false">IF($H3544="","",资金流水!$F175)</f>
        <v/>
      </c>
      <c r="L3544" s="66" t="str">
        <f aca="false">IF(资金流水!$E175="","",IFERROR(INDEX(记账规则!$A$13:$H$32,MATCH(资金流水!$E175,记账规则!$A$13:$A$32,0),3),""))</f>
        <v/>
      </c>
      <c r="M3544" s="66" t="str">
        <f aca="false">IF($L3544="","",IFERROR(INDEX(记账规则!$A$13:$H$32,MATCH(资金流水!$E175,记账规则!$A$13:$A$32,0),4),""))</f>
        <v/>
      </c>
      <c r="N3544" s="66" t="str">
        <f aca="false">IF($L3544="","",IFERROR(INDEX(记账规则!$A$13:$H$32,MATCH(资金流水!$E175,记账规则!$A$13:$A$32,0),5),""))</f>
        <v/>
      </c>
      <c r="O3544" s="67" t="n">
        <f aca="false">IF($H3544="",0,ROUND(IF($N3544="金额",N(资金流水!$P175),0),2))</f>
        <v>0</v>
      </c>
      <c r="P3544" s="64" t="str">
        <f aca="false">IF(AND($H3544&lt;&gt;"",ROUND($O3544,2)&lt;&gt;0),"有","")</f>
        <v/>
      </c>
    </row>
    <row r="3545" customFormat="false" ht="15" hidden="true" customHeight="false" outlineLevel="0" collapsed="false">
      <c r="A3545" s="53" t="str">
        <f aca="false">IF($H3545="","",ROW()-5)</f>
        <v/>
      </c>
      <c r="B3545" s="64" t="s">
        <v>37</v>
      </c>
      <c r="C3545" s="53" t="n">
        <v>175</v>
      </c>
      <c r="D3545" s="53" t="n">
        <v>2</v>
      </c>
      <c r="E3545" s="65" t="str">
        <f aca="false">IF($H3545="","",资金流水!$B175)</f>
        <v/>
      </c>
      <c r="F3545" s="55" t="str">
        <f aca="false">IF($H3545="","",资金流水!$C175)</f>
        <v/>
      </c>
      <c r="G3545" s="48" t="str">
        <f aca="false">IF($H3545="","",资金流水!$K175)</f>
        <v/>
      </c>
      <c r="H3545" s="10" t="str">
        <f aca="false">IF($L3545="","",IF($L3545="@对方",资金流水!$G175,IF($L3545="@账户",资金流水!$Q175,$L3545)))</f>
        <v/>
      </c>
      <c r="I3545" s="42" t="n">
        <f aca="false">IF($M3545="借",$O3545,0)</f>
        <v>0</v>
      </c>
      <c r="J3545" s="42" t="n">
        <f aca="false">IF($M3545="贷",$O3545,0)</f>
        <v>0</v>
      </c>
      <c r="K3545" s="48" t="str">
        <f aca="false">IF($H3545="","",资金流水!$F175)</f>
        <v/>
      </c>
      <c r="L3545" s="66" t="str">
        <f aca="false">IF(资金流水!$E175="","",IFERROR(INDEX(记账规则!$A$13:$H$32,MATCH(资金流水!$E175,记账规则!$A$13:$A$32,0),6),""))</f>
        <v/>
      </c>
      <c r="M3545" s="66" t="str">
        <f aca="false">IF($L3545="","",IFERROR(INDEX(记账规则!$A$13:$H$32,MATCH(资金流水!$E175,记账规则!$A$13:$A$32,0),7),""))</f>
        <v/>
      </c>
      <c r="N3545" s="66" t="str">
        <f aca="false">IF($L3545="","",IFERROR(INDEX(记账规则!$A$13:$H$32,MATCH(资金流水!$E175,记账规则!$A$13:$A$32,0),8),""))</f>
        <v/>
      </c>
      <c r="O3545" s="67" t="n">
        <f aca="false">IF($H3545="",0,ROUND(IF($N3545="金额",N(资金流水!$P175),0),2))</f>
        <v>0</v>
      </c>
      <c r="P3545" s="64" t="str">
        <f aca="false">IF(AND($H3545&lt;&gt;"",ROUND($O3545,2)&lt;&gt;0),"有","")</f>
        <v/>
      </c>
    </row>
    <row r="3546" customFormat="false" ht="15" hidden="true" customHeight="false" outlineLevel="0" collapsed="false">
      <c r="A3546" s="53" t="str">
        <f aca="false">IF($H3546="","",ROW()-5)</f>
        <v/>
      </c>
      <c r="B3546" s="64" t="s">
        <v>37</v>
      </c>
      <c r="C3546" s="53" t="n">
        <v>176</v>
      </c>
      <c r="D3546" s="53" t="n">
        <v>1</v>
      </c>
      <c r="E3546" s="65" t="str">
        <f aca="false">IF($H3546="","",资金流水!$B176)</f>
        <v/>
      </c>
      <c r="F3546" s="55" t="str">
        <f aca="false">IF($H3546="","",资金流水!$C176)</f>
        <v/>
      </c>
      <c r="G3546" s="48" t="str">
        <f aca="false">IF($H3546="","",资金流水!$K176)</f>
        <v/>
      </c>
      <c r="H3546" s="10" t="str">
        <f aca="false">IF($L3546="","",IF($L3546="@对方",资金流水!$G176,IF($L3546="@账户",资金流水!$Q176,$L3546)))</f>
        <v/>
      </c>
      <c r="I3546" s="42" t="n">
        <f aca="false">IF($M3546="借",$O3546,0)</f>
        <v>0</v>
      </c>
      <c r="J3546" s="42" t="n">
        <f aca="false">IF($M3546="贷",$O3546,0)</f>
        <v>0</v>
      </c>
      <c r="K3546" s="48" t="str">
        <f aca="false">IF($H3546="","",资金流水!$F176)</f>
        <v/>
      </c>
      <c r="L3546" s="66" t="str">
        <f aca="false">IF(资金流水!$E176="","",IFERROR(INDEX(记账规则!$A$13:$H$32,MATCH(资金流水!$E176,记账规则!$A$13:$A$32,0),3),""))</f>
        <v/>
      </c>
      <c r="M3546" s="66" t="str">
        <f aca="false">IF($L3546="","",IFERROR(INDEX(记账规则!$A$13:$H$32,MATCH(资金流水!$E176,记账规则!$A$13:$A$32,0),4),""))</f>
        <v/>
      </c>
      <c r="N3546" s="66" t="str">
        <f aca="false">IF($L3546="","",IFERROR(INDEX(记账规则!$A$13:$H$32,MATCH(资金流水!$E176,记账规则!$A$13:$A$32,0),5),""))</f>
        <v/>
      </c>
      <c r="O3546" s="67" t="n">
        <f aca="false">IF($H3546="",0,ROUND(IF($N3546="金额",N(资金流水!$P176),0),2))</f>
        <v>0</v>
      </c>
      <c r="P3546" s="64" t="str">
        <f aca="false">IF(AND($H3546&lt;&gt;"",ROUND($O3546,2)&lt;&gt;0),"有","")</f>
        <v/>
      </c>
    </row>
    <row r="3547" customFormat="false" ht="15" hidden="true" customHeight="false" outlineLevel="0" collapsed="false">
      <c r="A3547" s="53" t="str">
        <f aca="false">IF($H3547="","",ROW()-5)</f>
        <v/>
      </c>
      <c r="B3547" s="64" t="s">
        <v>37</v>
      </c>
      <c r="C3547" s="53" t="n">
        <v>176</v>
      </c>
      <c r="D3547" s="53" t="n">
        <v>2</v>
      </c>
      <c r="E3547" s="65" t="str">
        <f aca="false">IF($H3547="","",资金流水!$B176)</f>
        <v/>
      </c>
      <c r="F3547" s="55" t="str">
        <f aca="false">IF($H3547="","",资金流水!$C176)</f>
        <v/>
      </c>
      <c r="G3547" s="48" t="str">
        <f aca="false">IF($H3547="","",资金流水!$K176)</f>
        <v/>
      </c>
      <c r="H3547" s="10" t="str">
        <f aca="false">IF($L3547="","",IF($L3547="@对方",资金流水!$G176,IF($L3547="@账户",资金流水!$Q176,$L3547)))</f>
        <v/>
      </c>
      <c r="I3547" s="42" t="n">
        <f aca="false">IF($M3547="借",$O3547,0)</f>
        <v>0</v>
      </c>
      <c r="J3547" s="42" t="n">
        <f aca="false">IF($M3547="贷",$O3547,0)</f>
        <v>0</v>
      </c>
      <c r="K3547" s="48" t="str">
        <f aca="false">IF($H3547="","",资金流水!$F176)</f>
        <v/>
      </c>
      <c r="L3547" s="66" t="str">
        <f aca="false">IF(资金流水!$E176="","",IFERROR(INDEX(记账规则!$A$13:$H$32,MATCH(资金流水!$E176,记账规则!$A$13:$A$32,0),6),""))</f>
        <v/>
      </c>
      <c r="M3547" s="66" t="str">
        <f aca="false">IF($L3547="","",IFERROR(INDEX(记账规则!$A$13:$H$32,MATCH(资金流水!$E176,记账规则!$A$13:$A$32,0),7),""))</f>
        <v/>
      </c>
      <c r="N3547" s="66" t="str">
        <f aca="false">IF($L3547="","",IFERROR(INDEX(记账规则!$A$13:$H$32,MATCH(资金流水!$E176,记账规则!$A$13:$A$32,0),8),""))</f>
        <v/>
      </c>
      <c r="O3547" s="67" t="n">
        <f aca="false">IF($H3547="",0,ROUND(IF($N3547="金额",N(资金流水!$P176),0),2))</f>
        <v>0</v>
      </c>
      <c r="P3547" s="64" t="str">
        <f aca="false">IF(AND($H3547&lt;&gt;"",ROUND($O3547,2)&lt;&gt;0),"有","")</f>
        <v/>
      </c>
    </row>
    <row r="3548" customFormat="false" ht="15" hidden="true" customHeight="false" outlineLevel="0" collapsed="false">
      <c r="A3548" s="53" t="str">
        <f aca="false">IF($H3548="","",ROW()-5)</f>
        <v/>
      </c>
      <c r="B3548" s="64" t="s">
        <v>37</v>
      </c>
      <c r="C3548" s="53" t="n">
        <v>177</v>
      </c>
      <c r="D3548" s="53" t="n">
        <v>1</v>
      </c>
      <c r="E3548" s="65" t="str">
        <f aca="false">IF($H3548="","",资金流水!$B177)</f>
        <v/>
      </c>
      <c r="F3548" s="55" t="str">
        <f aca="false">IF($H3548="","",资金流水!$C177)</f>
        <v/>
      </c>
      <c r="G3548" s="48" t="str">
        <f aca="false">IF($H3548="","",资金流水!$K177)</f>
        <v/>
      </c>
      <c r="H3548" s="10" t="str">
        <f aca="false">IF($L3548="","",IF($L3548="@对方",资金流水!$G177,IF($L3548="@账户",资金流水!$Q177,$L3548)))</f>
        <v/>
      </c>
      <c r="I3548" s="42" t="n">
        <f aca="false">IF($M3548="借",$O3548,0)</f>
        <v>0</v>
      </c>
      <c r="J3548" s="42" t="n">
        <f aca="false">IF($M3548="贷",$O3548,0)</f>
        <v>0</v>
      </c>
      <c r="K3548" s="48" t="str">
        <f aca="false">IF($H3548="","",资金流水!$F177)</f>
        <v/>
      </c>
      <c r="L3548" s="66" t="str">
        <f aca="false">IF(资金流水!$E177="","",IFERROR(INDEX(记账规则!$A$13:$H$32,MATCH(资金流水!$E177,记账规则!$A$13:$A$32,0),3),""))</f>
        <v/>
      </c>
      <c r="M3548" s="66" t="str">
        <f aca="false">IF($L3548="","",IFERROR(INDEX(记账规则!$A$13:$H$32,MATCH(资金流水!$E177,记账规则!$A$13:$A$32,0),4),""))</f>
        <v/>
      </c>
      <c r="N3548" s="66" t="str">
        <f aca="false">IF($L3548="","",IFERROR(INDEX(记账规则!$A$13:$H$32,MATCH(资金流水!$E177,记账规则!$A$13:$A$32,0),5),""))</f>
        <v/>
      </c>
      <c r="O3548" s="67" t="n">
        <f aca="false">IF($H3548="",0,ROUND(IF($N3548="金额",N(资金流水!$P177),0),2))</f>
        <v>0</v>
      </c>
      <c r="P3548" s="64" t="str">
        <f aca="false">IF(AND($H3548&lt;&gt;"",ROUND($O3548,2)&lt;&gt;0),"有","")</f>
        <v/>
      </c>
    </row>
    <row r="3549" customFormat="false" ht="15" hidden="true" customHeight="false" outlineLevel="0" collapsed="false">
      <c r="A3549" s="53" t="str">
        <f aca="false">IF($H3549="","",ROW()-5)</f>
        <v/>
      </c>
      <c r="B3549" s="64" t="s">
        <v>37</v>
      </c>
      <c r="C3549" s="53" t="n">
        <v>177</v>
      </c>
      <c r="D3549" s="53" t="n">
        <v>2</v>
      </c>
      <c r="E3549" s="65" t="str">
        <f aca="false">IF($H3549="","",资金流水!$B177)</f>
        <v/>
      </c>
      <c r="F3549" s="55" t="str">
        <f aca="false">IF($H3549="","",资金流水!$C177)</f>
        <v/>
      </c>
      <c r="G3549" s="48" t="str">
        <f aca="false">IF($H3549="","",资金流水!$K177)</f>
        <v/>
      </c>
      <c r="H3549" s="10" t="str">
        <f aca="false">IF($L3549="","",IF($L3549="@对方",资金流水!$G177,IF($L3549="@账户",资金流水!$Q177,$L3549)))</f>
        <v/>
      </c>
      <c r="I3549" s="42" t="n">
        <f aca="false">IF($M3549="借",$O3549,0)</f>
        <v>0</v>
      </c>
      <c r="J3549" s="42" t="n">
        <f aca="false">IF($M3549="贷",$O3549,0)</f>
        <v>0</v>
      </c>
      <c r="K3549" s="48" t="str">
        <f aca="false">IF($H3549="","",资金流水!$F177)</f>
        <v/>
      </c>
      <c r="L3549" s="66" t="str">
        <f aca="false">IF(资金流水!$E177="","",IFERROR(INDEX(记账规则!$A$13:$H$32,MATCH(资金流水!$E177,记账规则!$A$13:$A$32,0),6),""))</f>
        <v/>
      </c>
      <c r="M3549" s="66" t="str">
        <f aca="false">IF($L3549="","",IFERROR(INDEX(记账规则!$A$13:$H$32,MATCH(资金流水!$E177,记账规则!$A$13:$A$32,0),7),""))</f>
        <v/>
      </c>
      <c r="N3549" s="66" t="str">
        <f aca="false">IF($L3549="","",IFERROR(INDEX(记账规则!$A$13:$H$32,MATCH(资金流水!$E177,记账规则!$A$13:$A$32,0),8),""))</f>
        <v/>
      </c>
      <c r="O3549" s="67" t="n">
        <f aca="false">IF($H3549="",0,ROUND(IF($N3549="金额",N(资金流水!$P177),0),2))</f>
        <v>0</v>
      </c>
      <c r="P3549" s="64" t="str">
        <f aca="false">IF(AND($H3549&lt;&gt;"",ROUND($O3549,2)&lt;&gt;0),"有","")</f>
        <v/>
      </c>
    </row>
    <row r="3550" customFormat="false" ht="15" hidden="true" customHeight="false" outlineLevel="0" collapsed="false">
      <c r="A3550" s="53" t="str">
        <f aca="false">IF($H3550="","",ROW()-5)</f>
        <v/>
      </c>
      <c r="B3550" s="64" t="s">
        <v>37</v>
      </c>
      <c r="C3550" s="53" t="n">
        <v>178</v>
      </c>
      <c r="D3550" s="53" t="n">
        <v>1</v>
      </c>
      <c r="E3550" s="65" t="str">
        <f aca="false">IF($H3550="","",资金流水!$B178)</f>
        <v/>
      </c>
      <c r="F3550" s="55" t="str">
        <f aca="false">IF($H3550="","",资金流水!$C178)</f>
        <v/>
      </c>
      <c r="G3550" s="48" t="str">
        <f aca="false">IF($H3550="","",资金流水!$K178)</f>
        <v/>
      </c>
      <c r="H3550" s="10" t="str">
        <f aca="false">IF($L3550="","",IF($L3550="@对方",资金流水!$G178,IF($L3550="@账户",资金流水!$Q178,$L3550)))</f>
        <v/>
      </c>
      <c r="I3550" s="42" t="n">
        <f aca="false">IF($M3550="借",$O3550,0)</f>
        <v>0</v>
      </c>
      <c r="J3550" s="42" t="n">
        <f aca="false">IF($M3550="贷",$O3550,0)</f>
        <v>0</v>
      </c>
      <c r="K3550" s="48" t="str">
        <f aca="false">IF($H3550="","",资金流水!$F178)</f>
        <v/>
      </c>
      <c r="L3550" s="66" t="str">
        <f aca="false">IF(资金流水!$E178="","",IFERROR(INDEX(记账规则!$A$13:$H$32,MATCH(资金流水!$E178,记账规则!$A$13:$A$32,0),3),""))</f>
        <v/>
      </c>
      <c r="M3550" s="66" t="str">
        <f aca="false">IF($L3550="","",IFERROR(INDEX(记账规则!$A$13:$H$32,MATCH(资金流水!$E178,记账规则!$A$13:$A$32,0),4),""))</f>
        <v/>
      </c>
      <c r="N3550" s="66" t="str">
        <f aca="false">IF($L3550="","",IFERROR(INDEX(记账规则!$A$13:$H$32,MATCH(资金流水!$E178,记账规则!$A$13:$A$32,0),5),""))</f>
        <v/>
      </c>
      <c r="O3550" s="67" t="n">
        <f aca="false">IF($H3550="",0,ROUND(IF($N3550="金额",N(资金流水!$P178),0),2))</f>
        <v>0</v>
      </c>
      <c r="P3550" s="64" t="str">
        <f aca="false">IF(AND($H3550&lt;&gt;"",ROUND($O3550,2)&lt;&gt;0),"有","")</f>
        <v/>
      </c>
    </row>
    <row r="3551" customFormat="false" ht="15" hidden="true" customHeight="false" outlineLevel="0" collapsed="false">
      <c r="A3551" s="53" t="str">
        <f aca="false">IF($H3551="","",ROW()-5)</f>
        <v/>
      </c>
      <c r="B3551" s="64" t="s">
        <v>37</v>
      </c>
      <c r="C3551" s="53" t="n">
        <v>178</v>
      </c>
      <c r="D3551" s="53" t="n">
        <v>2</v>
      </c>
      <c r="E3551" s="65" t="str">
        <f aca="false">IF($H3551="","",资金流水!$B178)</f>
        <v/>
      </c>
      <c r="F3551" s="55" t="str">
        <f aca="false">IF($H3551="","",资金流水!$C178)</f>
        <v/>
      </c>
      <c r="G3551" s="48" t="str">
        <f aca="false">IF($H3551="","",资金流水!$K178)</f>
        <v/>
      </c>
      <c r="H3551" s="10" t="str">
        <f aca="false">IF($L3551="","",IF($L3551="@对方",资金流水!$G178,IF($L3551="@账户",资金流水!$Q178,$L3551)))</f>
        <v/>
      </c>
      <c r="I3551" s="42" t="n">
        <f aca="false">IF($M3551="借",$O3551,0)</f>
        <v>0</v>
      </c>
      <c r="J3551" s="42" t="n">
        <f aca="false">IF($M3551="贷",$O3551,0)</f>
        <v>0</v>
      </c>
      <c r="K3551" s="48" t="str">
        <f aca="false">IF($H3551="","",资金流水!$F178)</f>
        <v/>
      </c>
      <c r="L3551" s="66" t="str">
        <f aca="false">IF(资金流水!$E178="","",IFERROR(INDEX(记账规则!$A$13:$H$32,MATCH(资金流水!$E178,记账规则!$A$13:$A$32,0),6),""))</f>
        <v/>
      </c>
      <c r="M3551" s="66" t="str">
        <f aca="false">IF($L3551="","",IFERROR(INDEX(记账规则!$A$13:$H$32,MATCH(资金流水!$E178,记账规则!$A$13:$A$32,0),7),""))</f>
        <v/>
      </c>
      <c r="N3551" s="66" t="str">
        <f aca="false">IF($L3551="","",IFERROR(INDEX(记账规则!$A$13:$H$32,MATCH(资金流水!$E178,记账规则!$A$13:$A$32,0),8),""))</f>
        <v/>
      </c>
      <c r="O3551" s="67" t="n">
        <f aca="false">IF($H3551="",0,ROUND(IF($N3551="金额",N(资金流水!$P178),0),2))</f>
        <v>0</v>
      </c>
      <c r="P3551" s="64" t="str">
        <f aca="false">IF(AND($H3551&lt;&gt;"",ROUND($O3551,2)&lt;&gt;0),"有","")</f>
        <v/>
      </c>
    </row>
    <row r="3552" customFormat="false" ht="15" hidden="true" customHeight="false" outlineLevel="0" collapsed="false">
      <c r="A3552" s="53" t="str">
        <f aca="false">IF($H3552="","",ROW()-5)</f>
        <v/>
      </c>
      <c r="B3552" s="64" t="s">
        <v>37</v>
      </c>
      <c r="C3552" s="53" t="n">
        <v>179</v>
      </c>
      <c r="D3552" s="53" t="n">
        <v>1</v>
      </c>
      <c r="E3552" s="65" t="str">
        <f aca="false">IF($H3552="","",资金流水!$B179)</f>
        <v/>
      </c>
      <c r="F3552" s="55" t="str">
        <f aca="false">IF($H3552="","",资金流水!$C179)</f>
        <v/>
      </c>
      <c r="G3552" s="48" t="str">
        <f aca="false">IF($H3552="","",资金流水!$K179)</f>
        <v/>
      </c>
      <c r="H3552" s="10" t="str">
        <f aca="false">IF($L3552="","",IF($L3552="@对方",资金流水!$G179,IF($L3552="@账户",资金流水!$Q179,$L3552)))</f>
        <v/>
      </c>
      <c r="I3552" s="42" t="n">
        <f aca="false">IF($M3552="借",$O3552,0)</f>
        <v>0</v>
      </c>
      <c r="J3552" s="42" t="n">
        <f aca="false">IF($M3552="贷",$O3552,0)</f>
        <v>0</v>
      </c>
      <c r="K3552" s="48" t="str">
        <f aca="false">IF($H3552="","",资金流水!$F179)</f>
        <v/>
      </c>
      <c r="L3552" s="66" t="str">
        <f aca="false">IF(资金流水!$E179="","",IFERROR(INDEX(记账规则!$A$13:$H$32,MATCH(资金流水!$E179,记账规则!$A$13:$A$32,0),3),""))</f>
        <v/>
      </c>
      <c r="M3552" s="66" t="str">
        <f aca="false">IF($L3552="","",IFERROR(INDEX(记账规则!$A$13:$H$32,MATCH(资金流水!$E179,记账规则!$A$13:$A$32,0),4),""))</f>
        <v/>
      </c>
      <c r="N3552" s="66" t="str">
        <f aca="false">IF($L3552="","",IFERROR(INDEX(记账规则!$A$13:$H$32,MATCH(资金流水!$E179,记账规则!$A$13:$A$32,0),5),""))</f>
        <v/>
      </c>
      <c r="O3552" s="67" t="n">
        <f aca="false">IF($H3552="",0,ROUND(IF($N3552="金额",N(资金流水!$P179),0),2))</f>
        <v>0</v>
      </c>
      <c r="P3552" s="64" t="str">
        <f aca="false">IF(AND($H3552&lt;&gt;"",ROUND($O3552,2)&lt;&gt;0),"有","")</f>
        <v/>
      </c>
    </row>
    <row r="3553" customFormat="false" ht="15" hidden="true" customHeight="false" outlineLevel="0" collapsed="false">
      <c r="A3553" s="53" t="str">
        <f aca="false">IF($H3553="","",ROW()-5)</f>
        <v/>
      </c>
      <c r="B3553" s="64" t="s">
        <v>37</v>
      </c>
      <c r="C3553" s="53" t="n">
        <v>179</v>
      </c>
      <c r="D3553" s="53" t="n">
        <v>2</v>
      </c>
      <c r="E3553" s="65" t="str">
        <f aca="false">IF($H3553="","",资金流水!$B179)</f>
        <v/>
      </c>
      <c r="F3553" s="55" t="str">
        <f aca="false">IF($H3553="","",资金流水!$C179)</f>
        <v/>
      </c>
      <c r="G3553" s="48" t="str">
        <f aca="false">IF($H3553="","",资金流水!$K179)</f>
        <v/>
      </c>
      <c r="H3553" s="10" t="str">
        <f aca="false">IF($L3553="","",IF($L3553="@对方",资金流水!$G179,IF($L3553="@账户",资金流水!$Q179,$L3553)))</f>
        <v/>
      </c>
      <c r="I3553" s="42" t="n">
        <f aca="false">IF($M3553="借",$O3553,0)</f>
        <v>0</v>
      </c>
      <c r="J3553" s="42" t="n">
        <f aca="false">IF($M3553="贷",$O3553,0)</f>
        <v>0</v>
      </c>
      <c r="K3553" s="48" t="str">
        <f aca="false">IF($H3553="","",资金流水!$F179)</f>
        <v/>
      </c>
      <c r="L3553" s="66" t="str">
        <f aca="false">IF(资金流水!$E179="","",IFERROR(INDEX(记账规则!$A$13:$H$32,MATCH(资金流水!$E179,记账规则!$A$13:$A$32,0),6),""))</f>
        <v/>
      </c>
      <c r="M3553" s="66" t="str">
        <f aca="false">IF($L3553="","",IFERROR(INDEX(记账规则!$A$13:$H$32,MATCH(资金流水!$E179,记账规则!$A$13:$A$32,0),7),""))</f>
        <v/>
      </c>
      <c r="N3553" s="66" t="str">
        <f aca="false">IF($L3553="","",IFERROR(INDEX(记账规则!$A$13:$H$32,MATCH(资金流水!$E179,记账规则!$A$13:$A$32,0),8),""))</f>
        <v/>
      </c>
      <c r="O3553" s="67" t="n">
        <f aca="false">IF($H3553="",0,ROUND(IF($N3553="金额",N(资金流水!$P179),0),2))</f>
        <v>0</v>
      </c>
      <c r="P3553" s="64" t="str">
        <f aca="false">IF(AND($H3553&lt;&gt;"",ROUND($O3553,2)&lt;&gt;0),"有","")</f>
        <v/>
      </c>
    </row>
    <row r="3554" customFormat="false" ht="15" hidden="true" customHeight="false" outlineLevel="0" collapsed="false">
      <c r="A3554" s="53" t="str">
        <f aca="false">IF($H3554="","",ROW()-5)</f>
        <v/>
      </c>
      <c r="B3554" s="64" t="s">
        <v>37</v>
      </c>
      <c r="C3554" s="53" t="n">
        <v>180</v>
      </c>
      <c r="D3554" s="53" t="n">
        <v>1</v>
      </c>
      <c r="E3554" s="65" t="str">
        <f aca="false">IF($H3554="","",资金流水!$B180)</f>
        <v/>
      </c>
      <c r="F3554" s="55" t="str">
        <f aca="false">IF($H3554="","",资金流水!$C180)</f>
        <v/>
      </c>
      <c r="G3554" s="48" t="str">
        <f aca="false">IF($H3554="","",资金流水!$K180)</f>
        <v/>
      </c>
      <c r="H3554" s="10" t="str">
        <f aca="false">IF($L3554="","",IF($L3554="@对方",资金流水!$G180,IF($L3554="@账户",资金流水!$Q180,$L3554)))</f>
        <v/>
      </c>
      <c r="I3554" s="42" t="n">
        <f aca="false">IF($M3554="借",$O3554,0)</f>
        <v>0</v>
      </c>
      <c r="J3554" s="42" t="n">
        <f aca="false">IF($M3554="贷",$O3554,0)</f>
        <v>0</v>
      </c>
      <c r="K3554" s="48" t="str">
        <f aca="false">IF($H3554="","",资金流水!$F180)</f>
        <v/>
      </c>
      <c r="L3554" s="66" t="str">
        <f aca="false">IF(资金流水!$E180="","",IFERROR(INDEX(记账规则!$A$13:$H$32,MATCH(资金流水!$E180,记账规则!$A$13:$A$32,0),3),""))</f>
        <v/>
      </c>
      <c r="M3554" s="66" t="str">
        <f aca="false">IF($L3554="","",IFERROR(INDEX(记账规则!$A$13:$H$32,MATCH(资金流水!$E180,记账规则!$A$13:$A$32,0),4),""))</f>
        <v/>
      </c>
      <c r="N3554" s="66" t="str">
        <f aca="false">IF($L3554="","",IFERROR(INDEX(记账规则!$A$13:$H$32,MATCH(资金流水!$E180,记账规则!$A$13:$A$32,0),5),""))</f>
        <v/>
      </c>
      <c r="O3554" s="67" t="n">
        <f aca="false">IF($H3554="",0,ROUND(IF($N3554="金额",N(资金流水!$P180),0),2))</f>
        <v>0</v>
      </c>
      <c r="P3554" s="64" t="str">
        <f aca="false">IF(AND($H3554&lt;&gt;"",ROUND($O3554,2)&lt;&gt;0),"有","")</f>
        <v/>
      </c>
    </row>
    <row r="3555" customFormat="false" ht="15" hidden="true" customHeight="false" outlineLevel="0" collapsed="false">
      <c r="A3555" s="53" t="str">
        <f aca="false">IF($H3555="","",ROW()-5)</f>
        <v/>
      </c>
      <c r="B3555" s="64" t="s">
        <v>37</v>
      </c>
      <c r="C3555" s="53" t="n">
        <v>180</v>
      </c>
      <c r="D3555" s="53" t="n">
        <v>2</v>
      </c>
      <c r="E3555" s="65" t="str">
        <f aca="false">IF($H3555="","",资金流水!$B180)</f>
        <v/>
      </c>
      <c r="F3555" s="55" t="str">
        <f aca="false">IF($H3555="","",资金流水!$C180)</f>
        <v/>
      </c>
      <c r="G3555" s="48" t="str">
        <f aca="false">IF($H3555="","",资金流水!$K180)</f>
        <v/>
      </c>
      <c r="H3555" s="10" t="str">
        <f aca="false">IF($L3555="","",IF($L3555="@对方",资金流水!$G180,IF($L3555="@账户",资金流水!$Q180,$L3555)))</f>
        <v/>
      </c>
      <c r="I3555" s="42" t="n">
        <f aca="false">IF($M3555="借",$O3555,0)</f>
        <v>0</v>
      </c>
      <c r="J3555" s="42" t="n">
        <f aca="false">IF($M3555="贷",$O3555,0)</f>
        <v>0</v>
      </c>
      <c r="K3555" s="48" t="str">
        <f aca="false">IF($H3555="","",资金流水!$F180)</f>
        <v/>
      </c>
      <c r="L3555" s="66" t="str">
        <f aca="false">IF(资金流水!$E180="","",IFERROR(INDEX(记账规则!$A$13:$H$32,MATCH(资金流水!$E180,记账规则!$A$13:$A$32,0),6),""))</f>
        <v/>
      </c>
      <c r="M3555" s="66" t="str">
        <f aca="false">IF($L3555="","",IFERROR(INDEX(记账规则!$A$13:$H$32,MATCH(资金流水!$E180,记账规则!$A$13:$A$32,0),7),""))</f>
        <v/>
      </c>
      <c r="N3555" s="66" t="str">
        <f aca="false">IF($L3555="","",IFERROR(INDEX(记账规则!$A$13:$H$32,MATCH(资金流水!$E180,记账规则!$A$13:$A$32,0),8),""))</f>
        <v/>
      </c>
      <c r="O3555" s="67" t="n">
        <f aca="false">IF($H3555="",0,ROUND(IF($N3555="金额",N(资金流水!$P180),0),2))</f>
        <v>0</v>
      </c>
      <c r="P3555" s="64" t="str">
        <f aca="false">IF(AND($H3555&lt;&gt;"",ROUND($O3555,2)&lt;&gt;0),"有","")</f>
        <v/>
      </c>
    </row>
    <row r="3556" customFormat="false" ht="15" hidden="true" customHeight="false" outlineLevel="0" collapsed="false">
      <c r="A3556" s="53" t="str">
        <f aca="false">IF($H3556="","",ROW()-5)</f>
        <v/>
      </c>
      <c r="B3556" s="64" t="s">
        <v>37</v>
      </c>
      <c r="C3556" s="53" t="n">
        <v>181</v>
      </c>
      <c r="D3556" s="53" t="n">
        <v>1</v>
      </c>
      <c r="E3556" s="65" t="str">
        <f aca="false">IF($H3556="","",资金流水!$B181)</f>
        <v/>
      </c>
      <c r="F3556" s="55" t="str">
        <f aca="false">IF($H3556="","",资金流水!$C181)</f>
        <v/>
      </c>
      <c r="G3556" s="48" t="str">
        <f aca="false">IF($H3556="","",资金流水!$K181)</f>
        <v/>
      </c>
      <c r="H3556" s="10" t="str">
        <f aca="false">IF($L3556="","",IF($L3556="@对方",资金流水!$G181,IF($L3556="@账户",资金流水!$Q181,$L3556)))</f>
        <v/>
      </c>
      <c r="I3556" s="42" t="n">
        <f aca="false">IF($M3556="借",$O3556,0)</f>
        <v>0</v>
      </c>
      <c r="J3556" s="42" t="n">
        <f aca="false">IF($M3556="贷",$O3556,0)</f>
        <v>0</v>
      </c>
      <c r="K3556" s="48" t="str">
        <f aca="false">IF($H3556="","",资金流水!$F181)</f>
        <v/>
      </c>
      <c r="L3556" s="66" t="str">
        <f aca="false">IF(资金流水!$E181="","",IFERROR(INDEX(记账规则!$A$13:$H$32,MATCH(资金流水!$E181,记账规则!$A$13:$A$32,0),3),""))</f>
        <v/>
      </c>
      <c r="M3556" s="66" t="str">
        <f aca="false">IF($L3556="","",IFERROR(INDEX(记账规则!$A$13:$H$32,MATCH(资金流水!$E181,记账规则!$A$13:$A$32,0),4),""))</f>
        <v/>
      </c>
      <c r="N3556" s="66" t="str">
        <f aca="false">IF($L3556="","",IFERROR(INDEX(记账规则!$A$13:$H$32,MATCH(资金流水!$E181,记账规则!$A$13:$A$32,0),5),""))</f>
        <v/>
      </c>
      <c r="O3556" s="67" t="n">
        <f aca="false">IF($H3556="",0,ROUND(IF($N3556="金额",N(资金流水!$P181),0),2))</f>
        <v>0</v>
      </c>
      <c r="P3556" s="64" t="str">
        <f aca="false">IF(AND($H3556&lt;&gt;"",ROUND($O3556,2)&lt;&gt;0),"有","")</f>
        <v/>
      </c>
    </row>
    <row r="3557" customFormat="false" ht="15" hidden="true" customHeight="false" outlineLevel="0" collapsed="false">
      <c r="A3557" s="53" t="str">
        <f aca="false">IF($H3557="","",ROW()-5)</f>
        <v/>
      </c>
      <c r="B3557" s="64" t="s">
        <v>37</v>
      </c>
      <c r="C3557" s="53" t="n">
        <v>181</v>
      </c>
      <c r="D3557" s="53" t="n">
        <v>2</v>
      </c>
      <c r="E3557" s="65" t="str">
        <f aca="false">IF($H3557="","",资金流水!$B181)</f>
        <v/>
      </c>
      <c r="F3557" s="55" t="str">
        <f aca="false">IF($H3557="","",资金流水!$C181)</f>
        <v/>
      </c>
      <c r="G3557" s="48" t="str">
        <f aca="false">IF($H3557="","",资金流水!$K181)</f>
        <v/>
      </c>
      <c r="H3557" s="10" t="str">
        <f aca="false">IF($L3557="","",IF($L3557="@对方",资金流水!$G181,IF($L3557="@账户",资金流水!$Q181,$L3557)))</f>
        <v/>
      </c>
      <c r="I3557" s="42" t="n">
        <f aca="false">IF($M3557="借",$O3557,0)</f>
        <v>0</v>
      </c>
      <c r="J3557" s="42" t="n">
        <f aca="false">IF($M3557="贷",$O3557,0)</f>
        <v>0</v>
      </c>
      <c r="K3557" s="48" t="str">
        <f aca="false">IF($H3557="","",资金流水!$F181)</f>
        <v/>
      </c>
      <c r="L3557" s="66" t="str">
        <f aca="false">IF(资金流水!$E181="","",IFERROR(INDEX(记账规则!$A$13:$H$32,MATCH(资金流水!$E181,记账规则!$A$13:$A$32,0),6),""))</f>
        <v/>
      </c>
      <c r="M3557" s="66" t="str">
        <f aca="false">IF($L3557="","",IFERROR(INDEX(记账规则!$A$13:$H$32,MATCH(资金流水!$E181,记账规则!$A$13:$A$32,0),7),""))</f>
        <v/>
      </c>
      <c r="N3557" s="66" t="str">
        <f aca="false">IF($L3557="","",IFERROR(INDEX(记账规则!$A$13:$H$32,MATCH(资金流水!$E181,记账规则!$A$13:$A$32,0),8),""))</f>
        <v/>
      </c>
      <c r="O3557" s="67" t="n">
        <f aca="false">IF($H3557="",0,ROUND(IF($N3557="金额",N(资金流水!$P181),0),2))</f>
        <v>0</v>
      </c>
      <c r="P3557" s="64" t="str">
        <f aca="false">IF(AND($H3557&lt;&gt;"",ROUND($O3557,2)&lt;&gt;0),"有","")</f>
        <v/>
      </c>
    </row>
    <row r="3558" customFormat="false" ht="15" hidden="true" customHeight="false" outlineLevel="0" collapsed="false">
      <c r="A3558" s="53" t="str">
        <f aca="false">IF($H3558="","",ROW()-5)</f>
        <v/>
      </c>
      <c r="B3558" s="64" t="s">
        <v>37</v>
      </c>
      <c r="C3558" s="53" t="n">
        <v>182</v>
      </c>
      <c r="D3558" s="53" t="n">
        <v>1</v>
      </c>
      <c r="E3558" s="65" t="str">
        <f aca="false">IF($H3558="","",资金流水!$B182)</f>
        <v/>
      </c>
      <c r="F3558" s="55" t="str">
        <f aca="false">IF($H3558="","",资金流水!$C182)</f>
        <v/>
      </c>
      <c r="G3558" s="48" t="str">
        <f aca="false">IF($H3558="","",资金流水!$K182)</f>
        <v/>
      </c>
      <c r="H3558" s="10" t="str">
        <f aca="false">IF($L3558="","",IF($L3558="@对方",资金流水!$G182,IF($L3558="@账户",资金流水!$Q182,$L3558)))</f>
        <v/>
      </c>
      <c r="I3558" s="42" t="n">
        <f aca="false">IF($M3558="借",$O3558,0)</f>
        <v>0</v>
      </c>
      <c r="J3558" s="42" t="n">
        <f aca="false">IF($M3558="贷",$O3558,0)</f>
        <v>0</v>
      </c>
      <c r="K3558" s="48" t="str">
        <f aca="false">IF($H3558="","",资金流水!$F182)</f>
        <v/>
      </c>
      <c r="L3558" s="66" t="str">
        <f aca="false">IF(资金流水!$E182="","",IFERROR(INDEX(记账规则!$A$13:$H$32,MATCH(资金流水!$E182,记账规则!$A$13:$A$32,0),3),""))</f>
        <v/>
      </c>
      <c r="M3558" s="66" t="str">
        <f aca="false">IF($L3558="","",IFERROR(INDEX(记账规则!$A$13:$H$32,MATCH(资金流水!$E182,记账规则!$A$13:$A$32,0),4),""))</f>
        <v/>
      </c>
      <c r="N3558" s="66" t="str">
        <f aca="false">IF($L3558="","",IFERROR(INDEX(记账规则!$A$13:$H$32,MATCH(资金流水!$E182,记账规则!$A$13:$A$32,0),5),""))</f>
        <v/>
      </c>
      <c r="O3558" s="67" t="n">
        <f aca="false">IF($H3558="",0,ROUND(IF($N3558="金额",N(资金流水!$P182),0),2))</f>
        <v>0</v>
      </c>
      <c r="P3558" s="64" t="str">
        <f aca="false">IF(AND($H3558&lt;&gt;"",ROUND($O3558,2)&lt;&gt;0),"有","")</f>
        <v/>
      </c>
    </row>
    <row r="3559" customFormat="false" ht="15" hidden="true" customHeight="false" outlineLevel="0" collapsed="false">
      <c r="A3559" s="53" t="str">
        <f aca="false">IF($H3559="","",ROW()-5)</f>
        <v/>
      </c>
      <c r="B3559" s="64" t="s">
        <v>37</v>
      </c>
      <c r="C3559" s="53" t="n">
        <v>182</v>
      </c>
      <c r="D3559" s="53" t="n">
        <v>2</v>
      </c>
      <c r="E3559" s="65" t="str">
        <f aca="false">IF($H3559="","",资金流水!$B182)</f>
        <v/>
      </c>
      <c r="F3559" s="55" t="str">
        <f aca="false">IF($H3559="","",资金流水!$C182)</f>
        <v/>
      </c>
      <c r="G3559" s="48" t="str">
        <f aca="false">IF($H3559="","",资金流水!$K182)</f>
        <v/>
      </c>
      <c r="H3559" s="10" t="str">
        <f aca="false">IF($L3559="","",IF($L3559="@对方",资金流水!$G182,IF($L3559="@账户",资金流水!$Q182,$L3559)))</f>
        <v/>
      </c>
      <c r="I3559" s="42" t="n">
        <f aca="false">IF($M3559="借",$O3559,0)</f>
        <v>0</v>
      </c>
      <c r="J3559" s="42" t="n">
        <f aca="false">IF($M3559="贷",$O3559,0)</f>
        <v>0</v>
      </c>
      <c r="K3559" s="48" t="str">
        <f aca="false">IF($H3559="","",资金流水!$F182)</f>
        <v/>
      </c>
      <c r="L3559" s="66" t="str">
        <f aca="false">IF(资金流水!$E182="","",IFERROR(INDEX(记账规则!$A$13:$H$32,MATCH(资金流水!$E182,记账规则!$A$13:$A$32,0),6),""))</f>
        <v/>
      </c>
      <c r="M3559" s="66" t="str">
        <f aca="false">IF($L3559="","",IFERROR(INDEX(记账规则!$A$13:$H$32,MATCH(资金流水!$E182,记账规则!$A$13:$A$32,0),7),""))</f>
        <v/>
      </c>
      <c r="N3559" s="66" t="str">
        <f aca="false">IF($L3559="","",IFERROR(INDEX(记账规则!$A$13:$H$32,MATCH(资金流水!$E182,记账规则!$A$13:$A$32,0),8),""))</f>
        <v/>
      </c>
      <c r="O3559" s="67" t="n">
        <f aca="false">IF($H3559="",0,ROUND(IF($N3559="金额",N(资金流水!$P182),0),2))</f>
        <v>0</v>
      </c>
      <c r="P3559" s="64" t="str">
        <f aca="false">IF(AND($H3559&lt;&gt;"",ROUND($O3559,2)&lt;&gt;0),"有","")</f>
        <v/>
      </c>
    </row>
    <row r="3560" customFormat="false" ht="15" hidden="true" customHeight="false" outlineLevel="0" collapsed="false">
      <c r="A3560" s="53" t="str">
        <f aca="false">IF($H3560="","",ROW()-5)</f>
        <v/>
      </c>
      <c r="B3560" s="64" t="s">
        <v>37</v>
      </c>
      <c r="C3560" s="53" t="n">
        <v>183</v>
      </c>
      <c r="D3560" s="53" t="n">
        <v>1</v>
      </c>
      <c r="E3560" s="65" t="str">
        <f aca="false">IF($H3560="","",资金流水!$B183)</f>
        <v/>
      </c>
      <c r="F3560" s="55" t="str">
        <f aca="false">IF($H3560="","",资金流水!$C183)</f>
        <v/>
      </c>
      <c r="G3560" s="48" t="str">
        <f aca="false">IF($H3560="","",资金流水!$K183)</f>
        <v/>
      </c>
      <c r="H3560" s="10" t="str">
        <f aca="false">IF($L3560="","",IF($L3560="@对方",资金流水!$G183,IF($L3560="@账户",资金流水!$Q183,$L3560)))</f>
        <v/>
      </c>
      <c r="I3560" s="42" t="n">
        <f aca="false">IF($M3560="借",$O3560,0)</f>
        <v>0</v>
      </c>
      <c r="J3560" s="42" t="n">
        <f aca="false">IF($M3560="贷",$O3560,0)</f>
        <v>0</v>
      </c>
      <c r="K3560" s="48" t="str">
        <f aca="false">IF($H3560="","",资金流水!$F183)</f>
        <v/>
      </c>
      <c r="L3560" s="66" t="str">
        <f aca="false">IF(资金流水!$E183="","",IFERROR(INDEX(记账规则!$A$13:$H$32,MATCH(资金流水!$E183,记账规则!$A$13:$A$32,0),3),""))</f>
        <v/>
      </c>
      <c r="M3560" s="66" t="str">
        <f aca="false">IF($L3560="","",IFERROR(INDEX(记账规则!$A$13:$H$32,MATCH(资金流水!$E183,记账规则!$A$13:$A$32,0),4),""))</f>
        <v/>
      </c>
      <c r="N3560" s="66" t="str">
        <f aca="false">IF($L3560="","",IFERROR(INDEX(记账规则!$A$13:$H$32,MATCH(资金流水!$E183,记账规则!$A$13:$A$32,0),5),""))</f>
        <v/>
      </c>
      <c r="O3560" s="67" t="n">
        <f aca="false">IF($H3560="",0,ROUND(IF($N3560="金额",N(资金流水!$P183),0),2))</f>
        <v>0</v>
      </c>
      <c r="P3560" s="64" t="str">
        <f aca="false">IF(AND($H3560&lt;&gt;"",ROUND($O3560,2)&lt;&gt;0),"有","")</f>
        <v/>
      </c>
    </row>
    <row r="3561" customFormat="false" ht="15" hidden="true" customHeight="false" outlineLevel="0" collapsed="false">
      <c r="A3561" s="53" t="str">
        <f aca="false">IF($H3561="","",ROW()-5)</f>
        <v/>
      </c>
      <c r="B3561" s="64" t="s">
        <v>37</v>
      </c>
      <c r="C3561" s="53" t="n">
        <v>183</v>
      </c>
      <c r="D3561" s="53" t="n">
        <v>2</v>
      </c>
      <c r="E3561" s="65" t="str">
        <f aca="false">IF($H3561="","",资金流水!$B183)</f>
        <v/>
      </c>
      <c r="F3561" s="55" t="str">
        <f aca="false">IF($H3561="","",资金流水!$C183)</f>
        <v/>
      </c>
      <c r="G3561" s="48" t="str">
        <f aca="false">IF($H3561="","",资金流水!$K183)</f>
        <v/>
      </c>
      <c r="H3561" s="10" t="str">
        <f aca="false">IF($L3561="","",IF($L3561="@对方",资金流水!$G183,IF($L3561="@账户",资金流水!$Q183,$L3561)))</f>
        <v/>
      </c>
      <c r="I3561" s="42" t="n">
        <f aca="false">IF($M3561="借",$O3561,0)</f>
        <v>0</v>
      </c>
      <c r="J3561" s="42" t="n">
        <f aca="false">IF($M3561="贷",$O3561,0)</f>
        <v>0</v>
      </c>
      <c r="K3561" s="48" t="str">
        <f aca="false">IF($H3561="","",资金流水!$F183)</f>
        <v/>
      </c>
      <c r="L3561" s="66" t="str">
        <f aca="false">IF(资金流水!$E183="","",IFERROR(INDEX(记账规则!$A$13:$H$32,MATCH(资金流水!$E183,记账规则!$A$13:$A$32,0),6),""))</f>
        <v/>
      </c>
      <c r="M3561" s="66" t="str">
        <f aca="false">IF($L3561="","",IFERROR(INDEX(记账规则!$A$13:$H$32,MATCH(资金流水!$E183,记账规则!$A$13:$A$32,0),7),""))</f>
        <v/>
      </c>
      <c r="N3561" s="66" t="str">
        <f aca="false">IF($L3561="","",IFERROR(INDEX(记账规则!$A$13:$H$32,MATCH(资金流水!$E183,记账规则!$A$13:$A$32,0),8),""))</f>
        <v/>
      </c>
      <c r="O3561" s="67" t="n">
        <f aca="false">IF($H3561="",0,ROUND(IF($N3561="金额",N(资金流水!$P183),0),2))</f>
        <v>0</v>
      </c>
      <c r="P3561" s="64" t="str">
        <f aca="false">IF(AND($H3561&lt;&gt;"",ROUND($O3561,2)&lt;&gt;0),"有","")</f>
        <v/>
      </c>
    </row>
    <row r="3562" customFormat="false" ht="15" hidden="true" customHeight="false" outlineLevel="0" collapsed="false">
      <c r="A3562" s="53" t="str">
        <f aca="false">IF($H3562="","",ROW()-5)</f>
        <v/>
      </c>
      <c r="B3562" s="64" t="s">
        <v>37</v>
      </c>
      <c r="C3562" s="53" t="n">
        <v>184</v>
      </c>
      <c r="D3562" s="53" t="n">
        <v>1</v>
      </c>
      <c r="E3562" s="65" t="str">
        <f aca="false">IF($H3562="","",资金流水!$B184)</f>
        <v/>
      </c>
      <c r="F3562" s="55" t="str">
        <f aca="false">IF($H3562="","",资金流水!$C184)</f>
        <v/>
      </c>
      <c r="G3562" s="48" t="str">
        <f aca="false">IF($H3562="","",资金流水!$K184)</f>
        <v/>
      </c>
      <c r="H3562" s="10" t="str">
        <f aca="false">IF($L3562="","",IF($L3562="@对方",资金流水!$G184,IF($L3562="@账户",资金流水!$Q184,$L3562)))</f>
        <v/>
      </c>
      <c r="I3562" s="42" t="n">
        <f aca="false">IF($M3562="借",$O3562,0)</f>
        <v>0</v>
      </c>
      <c r="J3562" s="42" t="n">
        <f aca="false">IF($M3562="贷",$O3562,0)</f>
        <v>0</v>
      </c>
      <c r="K3562" s="48" t="str">
        <f aca="false">IF($H3562="","",资金流水!$F184)</f>
        <v/>
      </c>
      <c r="L3562" s="66" t="str">
        <f aca="false">IF(资金流水!$E184="","",IFERROR(INDEX(记账规则!$A$13:$H$32,MATCH(资金流水!$E184,记账规则!$A$13:$A$32,0),3),""))</f>
        <v/>
      </c>
      <c r="M3562" s="66" t="str">
        <f aca="false">IF($L3562="","",IFERROR(INDEX(记账规则!$A$13:$H$32,MATCH(资金流水!$E184,记账规则!$A$13:$A$32,0),4),""))</f>
        <v/>
      </c>
      <c r="N3562" s="66" t="str">
        <f aca="false">IF($L3562="","",IFERROR(INDEX(记账规则!$A$13:$H$32,MATCH(资金流水!$E184,记账规则!$A$13:$A$32,0),5),""))</f>
        <v/>
      </c>
      <c r="O3562" s="67" t="n">
        <f aca="false">IF($H3562="",0,ROUND(IF($N3562="金额",N(资金流水!$P184),0),2))</f>
        <v>0</v>
      </c>
      <c r="P3562" s="64" t="str">
        <f aca="false">IF(AND($H3562&lt;&gt;"",ROUND($O3562,2)&lt;&gt;0),"有","")</f>
        <v/>
      </c>
    </row>
    <row r="3563" customFormat="false" ht="15" hidden="true" customHeight="false" outlineLevel="0" collapsed="false">
      <c r="A3563" s="53" t="str">
        <f aca="false">IF($H3563="","",ROW()-5)</f>
        <v/>
      </c>
      <c r="B3563" s="64" t="s">
        <v>37</v>
      </c>
      <c r="C3563" s="53" t="n">
        <v>184</v>
      </c>
      <c r="D3563" s="53" t="n">
        <v>2</v>
      </c>
      <c r="E3563" s="65" t="str">
        <f aca="false">IF($H3563="","",资金流水!$B184)</f>
        <v/>
      </c>
      <c r="F3563" s="55" t="str">
        <f aca="false">IF($H3563="","",资金流水!$C184)</f>
        <v/>
      </c>
      <c r="G3563" s="48" t="str">
        <f aca="false">IF($H3563="","",资金流水!$K184)</f>
        <v/>
      </c>
      <c r="H3563" s="10" t="str">
        <f aca="false">IF($L3563="","",IF($L3563="@对方",资金流水!$G184,IF($L3563="@账户",资金流水!$Q184,$L3563)))</f>
        <v/>
      </c>
      <c r="I3563" s="42" t="n">
        <f aca="false">IF($M3563="借",$O3563,0)</f>
        <v>0</v>
      </c>
      <c r="J3563" s="42" t="n">
        <f aca="false">IF($M3563="贷",$O3563,0)</f>
        <v>0</v>
      </c>
      <c r="K3563" s="48" t="str">
        <f aca="false">IF($H3563="","",资金流水!$F184)</f>
        <v/>
      </c>
      <c r="L3563" s="66" t="str">
        <f aca="false">IF(资金流水!$E184="","",IFERROR(INDEX(记账规则!$A$13:$H$32,MATCH(资金流水!$E184,记账规则!$A$13:$A$32,0),6),""))</f>
        <v/>
      </c>
      <c r="M3563" s="66" t="str">
        <f aca="false">IF($L3563="","",IFERROR(INDEX(记账规则!$A$13:$H$32,MATCH(资金流水!$E184,记账规则!$A$13:$A$32,0),7),""))</f>
        <v/>
      </c>
      <c r="N3563" s="66" t="str">
        <f aca="false">IF($L3563="","",IFERROR(INDEX(记账规则!$A$13:$H$32,MATCH(资金流水!$E184,记账规则!$A$13:$A$32,0),8),""))</f>
        <v/>
      </c>
      <c r="O3563" s="67" t="n">
        <f aca="false">IF($H3563="",0,ROUND(IF($N3563="金额",N(资金流水!$P184),0),2))</f>
        <v>0</v>
      </c>
      <c r="P3563" s="64" t="str">
        <f aca="false">IF(AND($H3563&lt;&gt;"",ROUND($O3563,2)&lt;&gt;0),"有","")</f>
        <v/>
      </c>
    </row>
    <row r="3564" customFormat="false" ht="15" hidden="true" customHeight="false" outlineLevel="0" collapsed="false">
      <c r="A3564" s="53" t="str">
        <f aca="false">IF($H3564="","",ROW()-5)</f>
        <v/>
      </c>
      <c r="B3564" s="64" t="s">
        <v>37</v>
      </c>
      <c r="C3564" s="53" t="n">
        <v>185</v>
      </c>
      <c r="D3564" s="53" t="n">
        <v>1</v>
      </c>
      <c r="E3564" s="65" t="str">
        <f aca="false">IF($H3564="","",资金流水!$B185)</f>
        <v/>
      </c>
      <c r="F3564" s="55" t="str">
        <f aca="false">IF($H3564="","",资金流水!$C185)</f>
        <v/>
      </c>
      <c r="G3564" s="48" t="str">
        <f aca="false">IF($H3564="","",资金流水!$K185)</f>
        <v/>
      </c>
      <c r="H3564" s="10" t="str">
        <f aca="false">IF($L3564="","",IF($L3564="@对方",资金流水!$G185,IF($L3564="@账户",资金流水!$Q185,$L3564)))</f>
        <v/>
      </c>
      <c r="I3564" s="42" t="n">
        <f aca="false">IF($M3564="借",$O3564,0)</f>
        <v>0</v>
      </c>
      <c r="J3564" s="42" t="n">
        <f aca="false">IF($M3564="贷",$O3564,0)</f>
        <v>0</v>
      </c>
      <c r="K3564" s="48" t="str">
        <f aca="false">IF($H3564="","",资金流水!$F185)</f>
        <v/>
      </c>
      <c r="L3564" s="66" t="str">
        <f aca="false">IF(资金流水!$E185="","",IFERROR(INDEX(记账规则!$A$13:$H$32,MATCH(资金流水!$E185,记账规则!$A$13:$A$32,0),3),""))</f>
        <v/>
      </c>
      <c r="M3564" s="66" t="str">
        <f aca="false">IF($L3564="","",IFERROR(INDEX(记账规则!$A$13:$H$32,MATCH(资金流水!$E185,记账规则!$A$13:$A$32,0),4),""))</f>
        <v/>
      </c>
      <c r="N3564" s="66" t="str">
        <f aca="false">IF($L3564="","",IFERROR(INDEX(记账规则!$A$13:$H$32,MATCH(资金流水!$E185,记账规则!$A$13:$A$32,0),5),""))</f>
        <v/>
      </c>
      <c r="O3564" s="67" t="n">
        <f aca="false">IF($H3564="",0,ROUND(IF($N3564="金额",N(资金流水!$P185),0),2))</f>
        <v>0</v>
      </c>
      <c r="P3564" s="64" t="str">
        <f aca="false">IF(AND($H3564&lt;&gt;"",ROUND($O3564,2)&lt;&gt;0),"有","")</f>
        <v/>
      </c>
    </row>
    <row r="3565" customFormat="false" ht="15" hidden="true" customHeight="false" outlineLevel="0" collapsed="false">
      <c r="A3565" s="53" t="str">
        <f aca="false">IF($H3565="","",ROW()-5)</f>
        <v/>
      </c>
      <c r="B3565" s="64" t="s">
        <v>37</v>
      </c>
      <c r="C3565" s="53" t="n">
        <v>185</v>
      </c>
      <c r="D3565" s="53" t="n">
        <v>2</v>
      </c>
      <c r="E3565" s="65" t="str">
        <f aca="false">IF($H3565="","",资金流水!$B185)</f>
        <v/>
      </c>
      <c r="F3565" s="55" t="str">
        <f aca="false">IF($H3565="","",资金流水!$C185)</f>
        <v/>
      </c>
      <c r="G3565" s="48" t="str">
        <f aca="false">IF($H3565="","",资金流水!$K185)</f>
        <v/>
      </c>
      <c r="H3565" s="10" t="str">
        <f aca="false">IF($L3565="","",IF($L3565="@对方",资金流水!$G185,IF($L3565="@账户",资金流水!$Q185,$L3565)))</f>
        <v/>
      </c>
      <c r="I3565" s="42" t="n">
        <f aca="false">IF($M3565="借",$O3565,0)</f>
        <v>0</v>
      </c>
      <c r="J3565" s="42" t="n">
        <f aca="false">IF($M3565="贷",$O3565,0)</f>
        <v>0</v>
      </c>
      <c r="K3565" s="48" t="str">
        <f aca="false">IF($H3565="","",资金流水!$F185)</f>
        <v/>
      </c>
      <c r="L3565" s="66" t="str">
        <f aca="false">IF(资金流水!$E185="","",IFERROR(INDEX(记账规则!$A$13:$H$32,MATCH(资金流水!$E185,记账规则!$A$13:$A$32,0),6),""))</f>
        <v/>
      </c>
      <c r="M3565" s="66" t="str">
        <f aca="false">IF($L3565="","",IFERROR(INDEX(记账规则!$A$13:$H$32,MATCH(资金流水!$E185,记账规则!$A$13:$A$32,0),7),""))</f>
        <v/>
      </c>
      <c r="N3565" s="66" t="str">
        <f aca="false">IF($L3565="","",IFERROR(INDEX(记账规则!$A$13:$H$32,MATCH(资金流水!$E185,记账规则!$A$13:$A$32,0),8),""))</f>
        <v/>
      </c>
      <c r="O3565" s="67" t="n">
        <f aca="false">IF($H3565="",0,ROUND(IF($N3565="金额",N(资金流水!$P185),0),2))</f>
        <v>0</v>
      </c>
      <c r="P3565" s="64" t="str">
        <f aca="false">IF(AND($H3565&lt;&gt;"",ROUND($O3565,2)&lt;&gt;0),"有","")</f>
        <v/>
      </c>
    </row>
    <row r="3566" customFormat="false" ht="15" hidden="true" customHeight="false" outlineLevel="0" collapsed="false">
      <c r="A3566" s="53" t="str">
        <f aca="false">IF($H3566="","",ROW()-5)</f>
        <v/>
      </c>
      <c r="B3566" s="64" t="s">
        <v>37</v>
      </c>
      <c r="C3566" s="53" t="n">
        <v>186</v>
      </c>
      <c r="D3566" s="53" t="n">
        <v>1</v>
      </c>
      <c r="E3566" s="65" t="str">
        <f aca="false">IF($H3566="","",资金流水!$B186)</f>
        <v/>
      </c>
      <c r="F3566" s="55" t="str">
        <f aca="false">IF($H3566="","",资金流水!$C186)</f>
        <v/>
      </c>
      <c r="G3566" s="48" t="str">
        <f aca="false">IF($H3566="","",资金流水!$K186)</f>
        <v/>
      </c>
      <c r="H3566" s="10" t="str">
        <f aca="false">IF($L3566="","",IF($L3566="@对方",资金流水!$G186,IF($L3566="@账户",资金流水!$Q186,$L3566)))</f>
        <v/>
      </c>
      <c r="I3566" s="42" t="n">
        <f aca="false">IF($M3566="借",$O3566,0)</f>
        <v>0</v>
      </c>
      <c r="J3566" s="42" t="n">
        <f aca="false">IF($M3566="贷",$O3566,0)</f>
        <v>0</v>
      </c>
      <c r="K3566" s="48" t="str">
        <f aca="false">IF($H3566="","",资金流水!$F186)</f>
        <v/>
      </c>
      <c r="L3566" s="66" t="str">
        <f aca="false">IF(资金流水!$E186="","",IFERROR(INDEX(记账规则!$A$13:$H$32,MATCH(资金流水!$E186,记账规则!$A$13:$A$32,0),3),""))</f>
        <v/>
      </c>
      <c r="M3566" s="66" t="str">
        <f aca="false">IF($L3566="","",IFERROR(INDEX(记账规则!$A$13:$H$32,MATCH(资金流水!$E186,记账规则!$A$13:$A$32,0),4),""))</f>
        <v/>
      </c>
      <c r="N3566" s="66" t="str">
        <f aca="false">IF($L3566="","",IFERROR(INDEX(记账规则!$A$13:$H$32,MATCH(资金流水!$E186,记账规则!$A$13:$A$32,0),5),""))</f>
        <v/>
      </c>
      <c r="O3566" s="67" t="n">
        <f aca="false">IF($H3566="",0,ROUND(IF($N3566="金额",N(资金流水!$P186),0),2))</f>
        <v>0</v>
      </c>
      <c r="P3566" s="64" t="str">
        <f aca="false">IF(AND($H3566&lt;&gt;"",ROUND($O3566,2)&lt;&gt;0),"有","")</f>
        <v/>
      </c>
    </row>
    <row r="3567" customFormat="false" ht="15" hidden="true" customHeight="false" outlineLevel="0" collapsed="false">
      <c r="A3567" s="53" t="str">
        <f aca="false">IF($H3567="","",ROW()-5)</f>
        <v/>
      </c>
      <c r="B3567" s="64" t="s">
        <v>37</v>
      </c>
      <c r="C3567" s="53" t="n">
        <v>186</v>
      </c>
      <c r="D3567" s="53" t="n">
        <v>2</v>
      </c>
      <c r="E3567" s="65" t="str">
        <f aca="false">IF($H3567="","",资金流水!$B186)</f>
        <v/>
      </c>
      <c r="F3567" s="55" t="str">
        <f aca="false">IF($H3567="","",资金流水!$C186)</f>
        <v/>
      </c>
      <c r="G3567" s="48" t="str">
        <f aca="false">IF($H3567="","",资金流水!$K186)</f>
        <v/>
      </c>
      <c r="H3567" s="10" t="str">
        <f aca="false">IF($L3567="","",IF($L3567="@对方",资金流水!$G186,IF($L3567="@账户",资金流水!$Q186,$L3567)))</f>
        <v/>
      </c>
      <c r="I3567" s="42" t="n">
        <f aca="false">IF($M3567="借",$O3567,0)</f>
        <v>0</v>
      </c>
      <c r="J3567" s="42" t="n">
        <f aca="false">IF($M3567="贷",$O3567,0)</f>
        <v>0</v>
      </c>
      <c r="K3567" s="48" t="str">
        <f aca="false">IF($H3567="","",资金流水!$F186)</f>
        <v/>
      </c>
      <c r="L3567" s="66" t="str">
        <f aca="false">IF(资金流水!$E186="","",IFERROR(INDEX(记账规则!$A$13:$H$32,MATCH(资金流水!$E186,记账规则!$A$13:$A$32,0),6),""))</f>
        <v/>
      </c>
      <c r="M3567" s="66" t="str">
        <f aca="false">IF($L3567="","",IFERROR(INDEX(记账规则!$A$13:$H$32,MATCH(资金流水!$E186,记账规则!$A$13:$A$32,0),7),""))</f>
        <v/>
      </c>
      <c r="N3567" s="66" t="str">
        <f aca="false">IF($L3567="","",IFERROR(INDEX(记账规则!$A$13:$H$32,MATCH(资金流水!$E186,记账规则!$A$13:$A$32,0),8),""))</f>
        <v/>
      </c>
      <c r="O3567" s="67" t="n">
        <f aca="false">IF($H3567="",0,ROUND(IF($N3567="金额",N(资金流水!$P186),0),2))</f>
        <v>0</v>
      </c>
      <c r="P3567" s="64" t="str">
        <f aca="false">IF(AND($H3567&lt;&gt;"",ROUND($O3567,2)&lt;&gt;0),"有","")</f>
        <v/>
      </c>
    </row>
    <row r="3568" customFormat="false" ht="15" hidden="true" customHeight="false" outlineLevel="0" collapsed="false">
      <c r="A3568" s="53" t="str">
        <f aca="false">IF($H3568="","",ROW()-5)</f>
        <v/>
      </c>
      <c r="B3568" s="64" t="s">
        <v>37</v>
      </c>
      <c r="C3568" s="53" t="n">
        <v>187</v>
      </c>
      <c r="D3568" s="53" t="n">
        <v>1</v>
      </c>
      <c r="E3568" s="65" t="str">
        <f aca="false">IF($H3568="","",资金流水!$B187)</f>
        <v/>
      </c>
      <c r="F3568" s="55" t="str">
        <f aca="false">IF($H3568="","",资金流水!$C187)</f>
        <v/>
      </c>
      <c r="G3568" s="48" t="str">
        <f aca="false">IF($H3568="","",资金流水!$K187)</f>
        <v/>
      </c>
      <c r="H3568" s="10" t="str">
        <f aca="false">IF($L3568="","",IF($L3568="@对方",资金流水!$G187,IF($L3568="@账户",资金流水!$Q187,$L3568)))</f>
        <v/>
      </c>
      <c r="I3568" s="42" t="n">
        <f aca="false">IF($M3568="借",$O3568,0)</f>
        <v>0</v>
      </c>
      <c r="J3568" s="42" t="n">
        <f aca="false">IF($M3568="贷",$O3568,0)</f>
        <v>0</v>
      </c>
      <c r="K3568" s="48" t="str">
        <f aca="false">IF($H3568="","",资金流水!$F187)</f>
        <v/>
      </c>
      <c r="L3568" s="66" t="str">
        <f aca="false">IF(资金流水!$E187="","",IFERROR(INDEX(记账规则!$A$13:$H$32,MATCH(资金流水!$E187,记账规则!$A$13:$A$32,0),3),""))</f>
        <v/>
      </c>
      <c r="M3568" s="66" t="str">
        <f aca="false">IF($L3568="","",IFERROR(INDEX(记账规则!$A$13:$H$32,MATCH(资金流水!$E187,记账规则!$A$13:$A$32,0),4),""))</f>
        <v/>
      </c>
      <c r="N3568" s="66" t="str">
        <f aca="false">IF($L3568="","",IFERROR(INDEX(记账规则!$A$13:$H$32,MATCH(资金流水!$E187,记账规则!$A$13:$A$32,0),5),""))</f>
        <v/>
      </c>
      <c r="O3568" s="67" t="n">
        <f aca="false">IF($H3568="",0,ROUND(IF($N3568="金额",N(资金流水!$P187),0),2))</f>
        <v>0</v>
      </c>
      <c r="P3568" s="64" t="str">
        <f aca="false">IF(AND($H3568&lt;&gt;"",ROUND($O3568,2)&lt;&gt;0),"有","")</f>
        <v/>
      </c>
    </row>
    <row r="3569" customFormat="false" ht="15" hidden="true" customHeight="false" outlineLevel="0" collapsed="false">
      <c r="A3569" s="53" t="str">
        <f aca="false">IF($H3569="","",ROW()-5)</f>
        <v/>
      </c>
      <c r="B3569" s="64" t="s">
        <v>37</v>
      </c>
      <c r="C3569" s="53" t="n">
        <v>187</v>
      </c>
      <c r="D3569" s="53" t="n">
        <v>2</v>
      </c>
      <c r="E3569" s="65" t="str">
        <f aca="false">IF($H3569="","",资金流水!$B187)</f>
        <v/>
      </c>
      <c r="F3569" s="55" t="str">
        <f aca="false">IF($H3569="","",资金流水!$C187)</f>
        <v/>
      </c>
      <c r="G3569" s="48" t="str">
        <f aca="false">IF($H3569="","",资金流水!$K187)</f>
        <v/>
      </c>
      <c r="H3569" s="10" t="str">
        <f aca="false">IF($L3569="","",IF($L3569="@对方",资金流水!$G187,IF($L3569="@账户",资金流水!$Q187,$L3569)))</f>
        <v/>
      </c>
      <c r="I3569" s="42" t="n">
        <f aca="false">IF($M3569="借",$O3569,0)</f>
        <v>0</v>
      </c>
      <c r="J3569" s="42" t="n">
        <f aca="false">IF($M3569="贷",$O3569,0)</f>
        <v>0</v>
      </c>
      <c r="K3569" s="48" t="str">
        <f aca="false">IF($H3569="","",资金流水!$F187)</f>
        <v/>
      </c>
      <c r="L3569" s="66" t="str">
        <f aca="false">IF(资金流水!$E187="","",IFERROR(INDEX(记账规则!$A$13:$H$32,MATCH(资金流水!$E187,记账规则!$A$13:$A$32,0),6),""))</f>
        <v/>
      </c>
      <c r="M3569" s="66" t="str">
        <f aca="false">IF($L3569="","",IFERROR(INDEX(记账规则!$A$13:$H$32,MATCH(资金流水!$E187,记账规则!$A$13:$A$32,0),7),""))</f>
        <v/>
      </c>
      <c r="N3569" s="66" t="str">
        <f aca="false">IF($L3569="","",IFERROR(INDEX(记账规则!$A$13:$H$32,MATCH(资金流水!$E187,记账规则!$A$13:$A$32,0),8),""))</f>
        <v/>
      </c>
      <c r="O3569" s="67" t="n">
        <f aca="false">IF($H3569="",0,ROUND(IF($N3569="金额",N(资金流水!$P187),0),2))</f>
        <v>0</v>
      </c>
      <c r="P3569" s="64" t="str">
        <f aca="false">IF(AND($H3569&lt;&gt;"",ROUND($O3569,2)&lt;&gt;0),"有","")</f>
        <v/>
      </c>
    </row>
    <row r="3570" customFormat="false" ht="15" hidden="true" customHeight="false" outlineLevel="0" collapsed="false">
      <c r="A3570" s="53" t="str">
        <f aca="false">IF($H3570="","",ROW()-5)</f>
        <v/>
      </c>
      <c r="B3570" s="64" t="s">
        <v>37</v>
      </c>
      <c r="C3570" s="53" t="n">
        <v>188</v>
      </c>
      <c r="D3570" s="53" t="n">
        <v>1</v>
      </c>
      <c r="E3570" s="65" t="str">
        <f aca="false">IF($H3570="","",资金流水!$B188)</f>
        <v/>
      </c>
      <c r="F3570" s="55" t="str">
        <f aca="false">IF($H3570="","",资金流水!$C188)</f>
        <v/>
      </c>
      <c r="G3570" s="48" t="str">
        <f aca="false">IF($H3570="","",资金流水!$K188)</f>
        <v/>
      </c>
      <c r="H3570" s="10" t="str">
        <f aca="false">IF($L3570="","",IF($L3570="@对方",资金流水!$G188,IF($L3570="@账户",资金流水!$Q188,$L3570)))</f>
        <v/>
      </c>
      <c r="I3570" s="42" t="n">
        <f aca="false">IF($M3570="借",$O3570,0)</f>
        <v>0</v>
      </c>
      <c r="J3570" s="42" t="n">
        <f aca="false">IF($M3570="贷",$O3570,0)</f>
        <v>0</v>
      </c>
      <c r="K3570" s="48" t="str">
        <f aca="false">IF($H3570="","",资金流水!$F188)</f>
        <v/>
      </c>
      <c r="L3570" s="66" t="str">
        <f aca="false">IF(资金流水!$E188="","",IFERROR(INDEX(记账规则!$A$13:$H$32,MATCH(资金流水!$E188,记账规则!$A$13:$A$32,0),3),""))</f>
        <v/>
      </c>
      <c r="M3570" s="66" t="str">
        <f aca="false">IF($L3570="","",IFERROR(INDEX(记账规则!$A$13:$H$32,MATCH(资金流水!$E188,记账规则!$A$13:$A$32,0),4),""))</f>
        <v/>
      </c>
      <c r="N3570" s="66" t="str">
        <f aca="false">IF($L3570="","",IFERROR(INDEX(记账规则!$A$13:$H$32,MATCH(资金流水!$E188,记账规则!$A$13:$A$32,0),5),""))</f>
        <v/>
      </c>
      <c r="O3570" s="67" t="n">
        <f aca="false">IF($H3570="",0,ROUND(IF($N3570="金额",N(资金流水!$P188),0),2))</f>
        <v>0</v>
      </c>
      <c r="P3570" s="64" t="str">
        <f aca="false">IF(AND($H3570&lt;&gt;"",ROUND($O3570,2)&lt;&gt;0),"有","")</f>
        <v/>
      </c>
    </row>
    <row r="3571" customFormat="false" ht="15" hidden="true" customHeight="false" outlineLevel="0" collapsed="false">
      <c r="A3571" s="53" t="str">
        <f aca="false">IF($H3571="","",ROW()-5)</f>
        <v/>
      </c>
      <c r="B3571" s="64" t="s">
        <v>37</v>
      </c>
      <c r="C3571" s="53" t="n">
        <v>188</v>
      </c>
      <c r="D3571" s="53" t="n">
        <v>2</v>
      </c>
      <c r="E3571" s="65" t="str">
        <f aca="false">IF($H3571="","",资金流水!$B188)</f>
        <v/>
      </c>
      <c r="F3571" s="55" t="str">
        <f aca="false">IF($H3571="","",资金流水!$C188)</f>
        <v/>
      </c>
      <c r="G3571" s="48" t="str">
        <f aca="false">IF($H3571="","",资金流水!$K188)</f>
        <v/>
      </c>
      <c r="H3571" s="10" t="str">
        <f aca="false">IF($L3571="","",IF($L3571="@对方",资金流水!$G188,IF($L3571="@账户",资金流水!$Q188,$L3571)))</f>
        <v/>
      </c>
      <c r="I3571" s="42" t="n">
        <f aca="false">IF($M3571="借",$O3571,0)</f>
        <v>0</v>
      </c>
      <c r="J3571" s="42" t="n">
        <f aca="false">IF($M3571="贷",$O3571,0)</f>
        <v>0</v>
      </c>
      <c r="K3571" s="48" t="str">
        <f aca="false">IF($H3571="","",资金流水!$F188)</f>
        <v/>
      </c>
      <c r="L3571" s="66" t="str">
        <f aca="false">IF(资金流水!$E188="","",IFERROR(INDEX(记账规则!$A$13:$H$32,MATCH(资金流水!$E188,记账规则!$A$13:$A$32,0),6),""))</f>
        <v/>
      </c>
      <c r="M3571" s="66" t="str">
        <f aca="false">IF($L3571="","",IFERROR(INDEX(记账规则!$A$13:$H$32,MATCH(资金流水!$E188,记账规则!$A$13:$A$32,0),7),""))</f>
        <v/>
      </c>
      <c r="N3571" s="66" t="str">
        <f aca="false">IF($L3571="","",IFERROR(INDEX(记账规则!$A$13:$H$32,MATCH(资金流水!$E188,记账规则!$A$13:$A$32,0),8),""))</f>
        <v/>
      </c>
      <c r="O3571" s="67" t="n">
        <f aca="false">IF($H3571="",0,ROUND(IF($N3571="金额",N(资金流水!$P188),0),2))</f>
        <v>0</v>
      </c>
      <c r="P3571" s="64" t="str">
        <f aca="false">IF(AND($H3571&lt;&gt;"",ROUND($O3571,2)&lt;&gt;0),"有","")</f>
        <v/>
      </c>
    </row>
    <row r="3572" customFormat="false" ht="15" hidden="true" customHeight="false" outlineLevel="0" collapsed="false">
      <c r="A3572" s="53" t="str">
        <f aca="false">IF($H3572="","",ROW()-5)</f>
        <v/>
      </c>
      <c r="B3572" s="64" t="s">
        <v>37</v>
      </c>
      <c r="C3572" s="53" t="n">
        <v>189</v>
      </c>
      <c r="D3572" s="53" t="n">
        <v>1</v>
      </c>
      <c r="E3572" s="65" t="str">
        <f aca="false">IF($H3572="","",资金流水!$B189)</f>
        <v/>
      </c>
      <c r="F3572" s="55" t="str">
        <f aca="false">IF($H3572="","",资金流水!$C189)</f>
        <v/>
      </c>
      <c r="G3572" s="48" t="str">
        <f aca="false">IF($H3572="","",资金流水!$K189)</f>
        <v/>
      </c>
      <c r="H3572" s="10" t="str">
        <f aca="false">IF($L3572="","",IF($L3572="@对方",资金流水!$G189,IF($L3572="@账户",资金流水!$Q189,$L3572)))</f>
        <v/>
      </c>
      <c r="I3572" s="42" t="n">
        <f aca="false">IF($M3572="借",$O3572,0)</f>
        <v>0</v>
      </c>
      <c r="J3572" s="42" t="n">
        <f aca="false">IF($M3572="贷",$O3572,0)</f>
        <v>0</v>
      </c>
      <c r="K3572" s="48" t="str">
        <f aca="false">IF($H3572="","",资金流水!$F189)</f>
        <v/>
      </c>
      <c r="L3572" s="66" t="str">
        <f aca="false">IF(资金流水!$E189="","",IFERROR(INDEX(记账规则!$A$13:$H$32,MATCH(资金流水!$E189,记账规则!$A$13:$A$32,0),3),""))</f>
        <v/>
      </c>
      <c r="M3572" s="66" t="str">
        <f aca="false">IF($L3572="","",IFERROR(INDEX(记账规则!$A$13:$H$32,MATCH(资金流水!$E189,记账规则!$A$13:$A$32,0),4),""))</f>
        <v/>
      </c>
      <c r="N3572" s="66" t="str">
        <f aca="false">IF($L3572="","",IFERROR(INDEX(记账规则!$A$13:$H$32,MATCH(资金流水!$E189,记账规则!$A$13:$A$32,0),5),""))</f>
        <v/>
      </c>
      <c r="O3572" s="67" t="n">
        <f aca="false">IF($H3572="",0,ROUND(IF($N3572="金额",N(资金流水!$P189),0),2))</f>
        <v>0</v>
      </c>
      <c r="P3572" s="64" t="str">
        <f aca="false">IF(AND($H3572&lt;&gt;"",ROUND($O3572,2)&lt;&gt;0),"有","")</f>
        <v/>
      </c>
    </row>
    <row r="3573" customFormat="false" ht="15" hidden="true" customHeight="false" outlineLevel="0" collapsed="false">
      <c r="A3573" s="53" t="str">
        <f aca="false">IF($H3573="","",ROW()-5)</f>
        <v/>
      </c>
      <c r="B3573" s="64" t="s">
        <v>37</v>
      </c>
      <c r="C3573" s="53" t="n">
        <v>189</v>
      </c>
      <c r="D3573" s="53" t="n">
        <v>2</v>
      </c>
      <c r="E3573" s="65" t="str">
        <f aca="false">IF($H3573="","",资金流水!$B189)</f>
        <v/>
      </c>
      <c r="F3573" s="55" t="str">
        <f aca="false">IF($H3573="","",资金流水!$C189)</f>
        <v/>
      </c>
      <c r="G3573" s="48" t="str">
        <f aca="false">IF($H3573="","",资金流水!$K189)</f>
        <v/>
      </c>
      <c r="H3573" s="10" t="str">
        <f aca="false">IF($L3573="","",IF($L3573="@对方",资金流水!$G189,IF($L3573="@账户",资金流水!$Q189,$L3573)))</f>
        <v/>
      </c>
      <c r="I3573" s="42" t="n">
        <f aca="false">IF($M3573="借",$O3573,0)</f>
        <v>0</v>
      </c>
      <c r="J3573" s="42" t="n">
        <f aca="false">IF($M3573="贷",$O3573,0)</f>
        <v>0</v>
      </c>
      <c r="K3573" s="48" t="str">
        <f aca="false">IF($H3573="","",资金流水!$F189)</f>
        <v/>
      </c>
      <c r="L3573" s="66" t="str">
        <f aca="false">IF(资金流水!$E189="","",IFERROR(INDEX(记账规则!$A$13:$H$32,MATCH(资金流水!$E189,记账规则!$A$13:$A$32,0),6),""))</f>
        <v/>
      </c>
      <c r="M3573" s="66" t="str">
        <f aca="false">IF($L3573="","",IFERROR(INDEX(记账规则!$A$13:$H$32,MATCH(资金流水!$E189,记账规则!$A$13:$A$32,0),7),""))</f>
        <v/>
      </c>
      <c r="N3573" s="66" t="str">
        <f aca="false">IF($L3573="","",IFERROR(INDEX(记账规则!$A$13:$H$32,MATCH(资金流水!$E189,记账规则!$A$13:$A$32,0),8),""))</f>
        <v/>
      </c>
      <c r="O3573" s="67" t="n">
        <f aca="false">IF($H3573="",0,ROUND(IF($N3573="金额",N(资金流水!$P189),0),2))</f>
        <v>0</v>
      </c>
      <c r="P3573" s="64" t="str">
        <f aca="false">IF(AND($H3573&lt;&gt;"",ROUND($O3573,2)&lt;&gt;0),"有","")</f>
        <v/>
      </c>
    </row>
    <row r="3574" customFormat="false" ht="15" hidden="true" customHeight="false" outlineLevel="0" collapsed="false">
      <c r="A3574" s="53" t="str">
        <f aca="false">IF($H3574="","",ROW()-5)</f>
        <v/>
      </c>
      <c r="B3574" s="64" t="s">
        <v>37</v>
      </c>
      <c r="C3574" s="53" t="n">
        <v>190</v>
      </c>
      <c r="D3574" s="53" t="n">
        <v>1</v>
      </c>
      <c r="E3574" s="65" t="str">
        <f aca="false">IF($H3574="","",资金流水!$B190)</f>
        <v/>
      </c>
      <c r="F3574" s="55" t="str">
        <f aca="false">IF($H3574="","",资金流水!$C190)</f>
        <v/>
      </c>
      <c r="G3574" s="48" t="str">
        <f aca="false">IF($H3574="","",资金流水!$K190)</f>
        <v/>
      </c>
      <c r="H3574" s="10" t="str">
        <f aca="false">IF($L3574="","",IF($L3574="@对方",资金流水!$G190,IF($L3574="@账户",资金流水!$Q190,$L3574)))</f>
        <v/>
      </c>
      <c r="I3574" s="42" t="n">
        <f aca="false">IF($M3574="借",$O3574,0)</f>
        <v>0</v>
      </c>
      <c r="J3574" s="42" t="n">
        <f aca="false">IF($M3574="贷",$O3574,0)</f>
        <v>0</v>
      </c>
      <c r="K3574" s="48" t="str">
        <f aca="false">IF($H3574="","",资金流水!$F190)</f>
        <v/>
      </c>
      <c r="L3574" s="66" t="str">
        <f aca="false">IF(资金流水!$E190="","",IFERROR(INDEX(记账规则!$A$13:$H$32,MATCH(资金流水!$E190,记账规则!$A$13:$A$32,0),3),""))</f>
        <v/>
      </c>
      <c r="M3574" s="66" t="str">
        <f aca="false">IF($L3574="","",IFERROR(INDEX(记账规则!$A$13:$H$32,MATCH(资金流水!$E190,记账规则!$A$13:$A$32,0),4),""))</f>
        <v/>
      </c>
      <c r="N3574" s="66" t="str">
        <f aca="false">IF($L3574="","",IFERROR(INDEX(记账规则!$A$13:$H$32,MATCH(资金流水!$E190,记账规则!$A$13:$A$32,0),5),""))</f>
        <v/>
      </c>
      <c r="O3574" s="67" t="n">
        <f aca="false">IF($H3574="",0,ROUND(IF($N3574="金额",N(资金流水!$P190),0),2))</f>
        <v>0</v>
      </c>
      <c r="P3574" s="64" t="str">
        <f aca="false">IF(AND($H3574&lt;&gt;"",ROUND($O3574,2)&lt;&gt;0),"有","")</f>
        <v/>
      </c>
    </row>
    <row r="3575" customFormat="false" ht="15" hidden="true" customHeight="false" outlineLevel="0" collapsed="false">
      <c r="A3575" s="53" t="str">
        <f aca="false">IF($H3575="","",ROW()-5)</f>
        <v/>
      </c>
      <c r="B3575" s="64" t="s">
        <v>37</v>
      </c>
      <c r="C3575" s="53" t="n">
        <v>190</v>
      </c>
      <c r="D3575" s="53" t="n">
        <v>2</v>
      </c>
      <c r="E3575" s="65" t="str">
        <f aca="false">IF($H3575="","",资金流水!$B190)</f>
        <v/>
      </c>
      <c r="F3575" s="55" t="str">
        <f aca="false">IF($H3575="","",资金流水!$C190)</f>
        <v/>
      </c>
      <c r="G3575" s="48" t="str">
        <f aca="false">IF($H3575="","",资金流水!$K190)</f>
        <v/>
      </c>
      <c r="H3575" s="10" t="str">
        <f aca="false">IF($L3575="","",IF($L3575="@对方",资金流水!$G190,IF($L3575="@账户",资金流水!$Q190,$L3575)))</f>
        <v/>
      </c>
      <c r="I3575" s="42" t="n">
        <f aca="false">IF($M3575="借",$O3575,0)</f>
        <v>0</v>
      </c>
      <c r="J3575" s="42" t="n">
        <f aca="false">IF($M3575="贷",$O3575,0)</f>
        <v>0</v>
      </c>
      <c r="K3575" s="48" t="str">
        <f aca="false">IF($H3575="","",资金流水!$F190)</f>
        <v/>
      </c>
      <c r="L3575" s="66" t="str">
        <f aca="false">IF(资金流水!$E190="","",IFERROR(INDEX(记账规则!$A$13:$H$32,MATCH(资金流水!$E190,记账规则!$A$13:$A$32,0),6),""))</f>
        <v/>
      </c>
      <c r="M3575" s="66" t="str">
        <f aca="false">IF($L3575="","",IFERROR(INDEX(记账规则!$A$13:$H$32,MATCH(资金流水!$E190,记账规则!$A$13:$A$32,0),7),""))</f>
        <v/>
      </c>
      <c r="N3575" s="66" t="str">
        <f aca="false">IF($L3575="","",IFERROR(INDEX(记账规则!$A$13:$H$32,MATCH(资金流水!$E190,记账规则!$A$13:$A$32,0),8),""))</f>
        <v/>
      </c>
      <c r="O3575" s="67" t="n">
        <f aca="false">IF($H3575="",0,ROUND(IF($N3575="金额",N(资金流水!$P190),0),2))</f>
        <v>0</v>
      </c>
      <c r="P3575" s="64" t="str">
        <f aca="false">IF(AND($H3575&lt;&gt;"",ROUND($O3575,2)&lt;&gt;0),"有","")</f>
        <v/>
      </c>
    </row>
    <row r="3576" customFormat="false" ht="15" hidden="true" customHeight="false" outlineLevel="0" collapsed="false">
      <c r="A3576" s="53" t="str">
        <f aca="false">IF($H3576="","",ROW()-5)</f>
        <v/>
      </c>
      <c r="B3576" s="64" t="s">
        <v>37</v>
      </c>
      <c r="C3576" s="53" t="n">
        <v>191</v>
      </c>
      <c r="D3576" s="53" t="n">
        <v>1</v>
      </c>
      <c r="E3576" s="65" t="str">
        <f aca="false">IF($H3576="","",资金流水!$B191)</f>
        <v/>
      </c>
      <c r="F3576" s="55" t="str">
        <f aca="false">IF($H3576="","",资金流水!$C191)</f>
        <v/>
      </c>
      <c r="G3576" s="48" t="str">
        <f aca="false">IF($H3576="","",资金流水!$K191)</f>
        <v/>
      </c>
      <c r="H3576" s="10" t="str">
        <f aca="false">IF($L3576="","",IF($L3576="@对方",资金流水!$G191,IF($L3576="@账户",资金流水!$Q191,$L3576)))</f>
        <v/>
      </c>
      <c r="I3576" s="42" t="n">
        <f aca="false">IF($M3576="借",$O3576,0)</f>
        <v>0</v>
      </c>
      <c r="J3576" s="42" t="n">
        <f aca="false">IF($M3576="贷",$O3576,0)</f>
        <v>0</v>
      </c>
      <c r="K3576" s="48" t="str">
        <f aca="false">IF($H3576="","",资金流水!$F191)</f>
        <v/>
      </c>
      <c r="L3576" s="66" t="str">
        <f aca="false">IF(资金流水!$E191="","",IFERROR(INDEX(记账规则!$A$13:$H$32,MATCH(资金流水!$E191,记账规则!$A$13:$A$32,0),3),""))</f>
        <v/>
      </c>
      <c r="M3576" s="66" t="str">
        <f aca="false">IF($L3576="","",IFERROR(INDEX(记账规则!$A$13:$H$32,MATCH(资金流水!$E191,记账规则!$A$13:$A$32,0),4),""))</f>
        <v/>
      </c>
      <c r="N3576" s="66" t="str">
        <f aca="false">IF($L3576="","",IFERROR(INDEX(记账规则!$A$13:$H$32,MATCH(资金流水!$E191,记账规则!$A$13:$A$32,0),5),""))</f>
        <v/>
      </c>
      <c r="O3576" s="67" t="n">
        <f aca="false">IF($H3576="",0,ROUND(IF($N3576="金额",N(资金流水!$P191),0),2))</f>
        <v>0</v>
      </c>
      <c r="P3576" s="64" t="str">
        <f aca="false">IF(AND($H3576&lt;&gt;"",ROUND($O3576,2)&lt;&gt;0),"有","")</f>
        <v/>
      </c>
    </row>
    <row r="3577" customFormat="false" ht="15" hidden="true" customHeight="false" outlineLevel="0" collapsed="false">
      <c r="A3577" s="53" t="str">
        <f aca="false">IF($H3577="","",ROW()-5)</f>
        <v/>
      </c>
      <c r="B3577" s="64" t="s">
        <v>37</v>
      </c>
      <c r="C3577" s="53" t="n">
        <v>191</v>
      </c>
      <c r="D3577" s="53" t="n">
        <v>2</v>
      </c>
      <c r="E3577" s="65" t="str">
        <f aca="false">IF($H3577="","",资金流水!$B191)</f>
        <v/>
      </c>
      <c r="F3577" s="55" t="str">
        <f aca="false">IF($H3577="","",资金流水!$C191)</f>
        <v/>
      </c>
      <c r="G3577" s="48" t="str">
        <f aca="false">IF($H3577="","",资金流水!$K191)</f>
        <v/>
      </c>
      <c r="H3577" s="10" t="str">
        <f aca="false">IF($L3577="","",IF($L3577="@对方",资金流水!$G191,IF($L3577="@账户",资金流水!$Q191,$L3577)))</f>
        <v/>
      </c>
      <c r="I3577" s="42" t="n">
        <f aca="false">IF($M3577="借",$O3577,0)</f>
        <v>0</v>
      </c>
      <c r="J3577" s="42" t="n">
        <f aca="false">IF($M3577="贷",$O3577,0)</f>
        <v>0</v>
      </c>
      <c r="K3577" s="48" t="str">
        <f aca="false">IF($H3577="","",资金流水!$F191)</f>
        <v/>
      </c>
      <c r="L3577" s="66" t="str">
        <f aca="false">IF(资金流水!$E191="","",IFERROR(INDEX(记账规则!$A$13:$H$32,MATCH(资金流水!$E191,记账规则!$A$13:$A$32,0),6),""))</f>
        <v/>
      </c>
      <c r="M3577" s="66" t="str">
        <f aca="false">IF($L3577="","",IFERROR(INDEX(记账规则!$A$13:$H$32,MATCH(资金流水!$E191,记账规则!$A$13:$A$32,0),7),""))</f>
        <v/>
      </c>
      <c r="N3577" s="66" t="str">
        <f aca="false">IF($L3577="","",IFERROR(INDEX(记账规则!$A$13:$H$32,MATCH(资金流水!$E191,记账规则!$A$13:$A$32,0),8),""))</f>
        <v/>
      </c>
      <c r="O3577" s="67" t="n">
        <f aca="false">IF($H3577="",0,ROUND(IF($N3577="金额",N(资金流水!$P191),0),2))</f>
        <v>0</v>
      </c>
      <c r="P3577" s="64" t="str">
        <f aca="false">IF(AND($H3577&lt;&gt;"",ROUND($O3577,2)&lt;&gt;0),"有","")</f>
        <v/>
      </c>
    </row>
    <row r="3578" customFormat="false" ht="15" hidden="true" customHeight="false" outlineLevel="0" collapsed="false">
      <c r="A3578" s="53" t="str">
        <f aca="false">IF($H3578="","",ROW()-5)</f>
        <v/>
      </c>
      <c r="B3578" s="64" t="s">
        <v>37</v>
      </c>
      <c r="C3578" s="53" t="n">
        <v>192</v>
      </c>
      <c r="D3578" s="53" t="n">
        <v>1</v>
      </c>
      <c r="E3578" s="65" t="str">
        <f aca="false">IF($H3578="","",资金流水!$B192)</f>
        <v/>
      </c>
      <c r="F3578" s="55" t="str">
        <f aca="false">IF($H3578="","",资金流水!$C192)</f>
        <v/>
      </c>
      <c r="G3578" s="48" t="str">
        <f aca="false">IF($H3578="","",资金流水!$K192)</f>
        <v/>
      </c>
      <c r="H3578" s="10" t="str">
        <f aca="false">IF($L3578="","",IF($L3578="@对方",资金流水!$G192,IF($L3578="@账户",资金流水!$Q192,$L3578)))</f>
        <v/>
      </c>
      <c r="I3578" s="42" t="n">
        <f aca="false">IF($M3578="借",$O3578,0)</f>
        <v>0</v>
      </c>
      <c r="J3578" s="42" t="n">
        <f aca="false">IF($M3578="贷",$O3578,0)</f>
        <v>0</v>
      </c>
      <c r="K3578" s="48" t="str">
        <f aca="false">IF($H3578="","",资金流水!$F192)</f>
        <v/>
      </c>
      <c r="L3578" s="66" t="str">
        <f aca="false">IF(资金流水!$E192="","",IFERROR(INDEX(记账规则!$A$13:$H$32,MATCH(资金流水!$E192,记账规则!$A$13:$A$32,0),3),""))</f>
        <v/>
      </c>
      <c r="M3578" s="66" t="str">
        <f aca="false">IF($L3578="","",IFERROR(INDEX(记账规则!$A$13:$H$32,MATCH(资金流水!$E192,记账规则!$A$13:$A$32,0),4),""))</f>
        <v/>
      </c>
      <c r="N3578" s="66" t="str">
        <f aca="false">IF($L3578="","",IFERROR(INDEX(记账规则!$A$13:$H$32,MATCH(资金流水!$E192,记账规则!$A$13:$A$32,0),5),""))</f>
        <v/>
      </c>
      <c r="O3578" s="67" t="n">
        <f aca="false">IF($H3578="",0,ROUND(IF($N3578="金额",N(资金流水!$P192),0),2))</f>
        <v>0</v>
      </c>
      <c r="P3578" s="64" t="str">
        <f aca="false">IF(AND($H3578&lt;&gt;"",ROUND($O3578,2)&lt;&gt;0),"有","")</f>
        <v/>
      </c>
    </row>
    <row r="3579" customFormat="false" ht="15" hidden="true" customHeight="false" outlineLevel="0" collapsed="false">
      <c r="A3579" s="53" t="str">
        <f aca="false">IF($H3579="","",ROW()-5)</f>
        <v/>
      </c>
      <c r="B3579" s="64" t="s">
        <v>37</v>
      </c>
      <c r="C3579" s="53" t="n">
        <v>192</v>
      </c>
      <c r="D3579" s="53" t="n">
        <v>2</v>
      </c>
      <c r="E3579" s="65" t="str">
        <f aca="false">IF($H3579="","",资金流水!$B192)</f>
        <v/>
      </c>
      <c r="F3579" s="55" t="str">
        <f aca="false">IF($H3579="","",资金流水!$C192)</f>
        <v/>
      </c>
      <c r="G3579" s="48" t="str">
        <f aca="false">IF($H3579="","",资金流水!$K192)</f>
        <v/>
      </c>
      <c r="H3579" s="10" t="str">
        <f aca="false">IF($L3579="","",IF($L3579="@对方",资金流水!$G192,IF($L3579="@账户",资金流水!$Q192,$L3579)))</f>
        <v/>
      </c>
      <c r="I3579" s="42" t="n">
        <f aca="false">IF($M3579="借",$O3579,0)</f>
        <v>0</v>
      </c>
      <c r="J3579" s="42" t="n">
        <f aca="false">IF($M3579="贷",$O3579,0)</f>
        <v>0</v>
      </c>
      <c r="K3579" s="48" t="str">
        <f aca="false">IF($H3579="","",资金流水!$F192)</f>
        <v/>
      </c>
      <c r="L3579" s="66" t="str">
        <f aca="false">IF(资金流水!$E192="","",IFERROR(INDEX(记账规则!$A$13:$H$32,MATCH(资金流水!$E192,记账规则!$A$13:$A$32,0),6),""))</f>
        <v/>
      </c>
      <c r="M3579" s="66" t="str">
        <f aca="false">IF($L3579="","",IFERROR(INDEX(记账规则!$A$13:$H$32,MATCH(资金流水!$E192,记账规则!$A$13:$A$32,0),7),""))</f>
        <v/>
      </c>
      <c r="N3579" s="66" t="str">
        <f aca="false">IF($L3579="","",IFERROR(INDEX(记账规则!$A$13:$H$32,MATCH(资金流水!$E192,记账规则!$A$13:$A$32,0),8),""))</f>
        <v/>
      </c>
      <c r="O3579" s="67" t="n">
        <f aca="false">IF($H3579="",0,ROUND(IF($N3579="金额",N(资金流水!$P192),0),2))</f>
        <v>0</v>
      </c>
      <c r="P3579" s="64" t="str">
        <f aca="false">IF(AND($H3579&lt;&gt;"",ROUND($O3579,2)&lt;&gt;0),"有","")</f>
        <v/>
      </c>
    </row>
    <row r="3580" customFormat="false" ht="15" hidden="true" customHeight="false" outlineLevel="0" collapsed="false">
      <c r="A3580" s="53" t="str">
        <f aca="false">IF($H3580="","",ROW()-5)</f>
        <v/>
      </c>
      <c r="B3580" s="64" t="s">
        <v>37</v>
      </c>
      <c r="C3580" s="53" t="n">
        <v>193</v>
      </c>
      <c r="D3580" s="53" t="n">
        <v>1</v>
      </c>
      <c r="E3580" s="65" t="str">
        <f aca="false">IF($H3580="","",资金流水!$B193)</f>
        <v/>
      </c>
      <c r="F3580" s="55" t="str">
        <f aca="false">IF($H3580="","",资金流水!$C193)</f>
        <v/>
      </c>
      <c r="G3580" s="48" t="str">
        <f aca="false">IF($H3580="","",资金流水!$K193)</f>
        <v/>
      </c>
      <c r="H3580" s="10" t="str">
        <f aca="false">IF($L3580="","",IF($L3580="@对方",资金流水!$G193,IF($L3580="@账户",资金流水!$Q193,$L3580)))</f>
        <v/>
      </c>
      <c r="I3580" s="42" t="n">
        <f aca="false">IF($M3580="借",$O3580,0)</f>
        <v>0</v>
      </c>
      <c r="J3580" s="42" t="n">
        <f aca="false">IF($M3580="贷",$O3580,0)</f>
        <v>0</v>
      </c>
      <c r="K3580" s="48" t="str">
        <f aca="false">IF($H3580="","",资金流水!$F193)</f>
        <v/>
      </c>
      <c r="L3580" s="66" t="str">
        <f aca="false">IF(资金流水!$E193="","",IFERROR(INDEX(记账规则!$A$13:$H$32,MATCH(资金流水!$E193,记账规则!$A$13:$A$32,0),3),""))</f>
        <v/>
      </c>
      <c r="M3580" s="66" t="str">
        <f aca="false">IF($L3580="","",IFERROR(INDEX(记账规则!$A$13:$H$32,MATCH(资金流水!$E193,记账规则!$A$13:$A$32,0),4),""))</f>
        <v/>
      </c>
      <c r="N3580" s="66" t="str">
        <f aca="false">IF($L3580="","",IFERROR(INDEX(记账规则!$A$13:$H$32,MATCH(资金流水!$E193,记账规则!$A$13:$A$32,0),5),""))</f>
        <v/>
      </c>
      <c r="O3580" s="67" t="n">
        <f aca="false">IF($H3580="",0,ROUND(IF($N3580="金额",N(资金流水!$P193),0),2))</f>
        <v>0</v>
      </c>
      <c r="P3580" s="64" t="str">
        <f aca="false">IF(AND($H3580&lt;&gt;"",ROUND($O3580,2)&lt;&gt;0),"有","")</f>
        <v/>
      </c>
    </row>
    <row r="3581" customFormat="false" ht="15" hidden="true" customHeight="false" outlineLevel="0" collapsed="false">
      <c r="A3581" s="53" t="str">
        <f aca="false">IF($H3581="","",ROW()-5)</f>
        <v/>
      </c>
      <c r="B3581" s="64" t="s">
        <v>37</v>
      </c>
      <c r="C3581" s="53" t="n">
        <v>193</v>
      </c>
      <c r="D3581" s="53" t="n">
        <v>2</v>
      </c>
      <c r="E3581" s="65" t="str">
        <f aca="false">IF($H3581="","",资金流水!$B193)</f>
        <v/>
      </c>
      <c r="F3581" s="55" t="str">
        <f aca="false">IF($H3581="","",资金流水!$C193)</f>
        <v/>
      </c>
      <c r="G3581" s="48" t="str">
        <f aca="false">IF($H3581="","",资金流水!$K193)</f>
        <v/>
      </c>
      <c r="H3581" s="10" t="str">
        <f aca="false">IF($L3581="","",IF($L3581="@对方",资金流水!$G193,IF($L3581="@账户",资金流水!$Q193,$L3581)))</f>
        <v/>
      </c>
      <c r="I3581" s="42" t="n">
        <f aca="false">IF($M3581="借",$O3581,0)</f>
        <v>0</v>
      </c>
      <c r="J3581" s="42" t="n">
        <f aca="false">IF($M3581="贷",$O3581,0)</f>
        <v>0</v>
      </c>
      <c r="K3581" s="48" t="str">
        <f aca="false">IF($H3581="","",资金流水!$F193)</f>
        <v/>
      </c>
      <c r="L3581" s="66" t="str">
        <f aca="false">IF(资金流水!$E193="","",IFERROR(INDEX(记账规则!$A$13:$H$32,MATCH(资金流水!$E193,记账规则!$A$13:$A$32,0),6),""))</f>
        <v/>
      </c>
      <c r="M3581" s="66" t="str">
        <f aca="false">IF($L3581="","",IFERROR(INDEX(记账规则!$A$13:$H$32,MATCH(资金流水!$E193,记账规则!$A$13:$A$32,0),7),""))</f>
        <v/>
      </c>
      <c r="N3581" s="66" t="str">
        <f aca="false">IF($L3581="","",IFERROR(INDEX(记账规则!$A$13:$H$32,MATCH(资金流水!$E193,记账规则!$A$13:$A$32,0),8),""))</f>
        <v/>
      </c>
      <c r="O3581" s="67" t="n">
        <f aca="false">IF($H3581="",0,ROUND(IF($N3581="金额",N(资金流水!$P193),0),2))</f>
        <v>0</v>
      </c>
      <c r="P3581" s="64" t="str">
        <f aca="false">IF(AND($H3581&lt;&gt;"",ROUND($O3581,2)&lt;&gt;0),"有","")</f>
        <v/>
      </c>
    </row>
    <row r="3582" customFormat="false" ht="15" hidden="true" customHeight="false" outlineLevel="0" collapsed="false">
      <c r="A3582" s="53" t="str">
        <f aca="false">IF($H3582="","",ROW()-5)</f>
        <v/>
      </c>
      <c r="B3582" s="64" t="s">
        <v>37</v>
      </c>
      <c r="C3582" s="53" t="n">
        <v>194</v>
      </c>
      <c r="D3582" s="53" t="n">
        <v>1</v>
      </c>
      <c r="E3582" s="65" t="str">
        <f aca="false">IF($H3582="","",资金流水!$B194)</f>
        <v/>
      </c>
      <c r="F3582" s="55" t="str">
        <f aca="false">IF($H3582="","",资金流水!$C194)</f>
        <v/>
      </c>
      <c r="G3582" s="48" t="str">
        <f aca="false">IF($H3582="","",资金流水!$K194)</f>
        <v/>
      </c>
      <c r="H3582" s="10" t="str">
        <f aca="false">IF($L3582="","",IF($L3582="@对方",资金流水!$G194,IF($L3582="@账户",资金流水!$Q194,$L3582)))</f>
        <v/>
      </c>
      <c r="I3582" s="42" t="n">
        <f aca="false">IF($M3582="借",$O3582,0)</f>
        <v>0</v>
      </c>
      <c r="J3582" s="42" t="n">
        <f aca="false">IF($M3582="贷",$O3582,0)</f>
        <v>0</v>
      </c>
      <c r="K3582" s="48" t="str">
        <f aca="false">IF($H3582="","",资金流水!$F194)</f>
        <v/>
      </c>
      <c r="L3582" s="66" t="str">
        <f aca="false">IF(资金流水!$E194="","",IFERROR(INDEX(记账规则!$A$13:$H$32,MATCH(资金流水!$E194,记账规则!$A$13:$A$32,0),3),""))</f>
        <v/>
      </c>
      <c r="M3582" s="66" t="str">
        <f aca="false">IF($L3582="","",IFERROR(INDEX(记账规则!$A$13:$H$32,MATCH(资金流水!$E194,记账规则!$A$13:$A$32,0),4),""))</f>
        <v/>
      </c>
      <c r="N3582" s="66" t="str">
        <f aca="false">IF($L3582="","",IFERROR(INDEX(记账规则!$A$13:$H$32,MATCH(资金流水!$E194,记账规则!$A$13:$A$32,0),5),""))</f>
        <v/>
      </c>
      <c r="O3582" s="67" t="n">
        <f aca="false">IF($H3582="",0,ROUND(IF($N3582="金额",N(资金流水!$P194),0),2))</f>
        <v>0</v>
      </c>
      <c r="P3582" s="64" t="str">
        <f aca="false">IF(AND($H3582&lt;&gt;"",ROUND($O3582,2)&lt;&gt;0),"有","")</f>
        <v/>
      </c>
    </row>
    <row r="3583" customFormat="false" ht="15" hidden="true" customHeight="false" outlineLevel="0" collapsed="false">
      <c r="A3583" s="53" t="str">
        <f aca="false">IF($H3583="","",ROW()-5)</f>
        <v/>
      </c>
      <c r="B3583" s="64" t="s">
        <v>37</v>
      </c>
      <c r="C3583" s="53" t="n">
        <v>194</v>
      </c>
      <c r="D3583" s="53" t="n">
        <v>2</v>
      </c>
      <c r="E3583" s="65" t="str">
        <f aca="false">IF($H3583="","",资金流水!$B194)</f>
        <v/>
      </c>
      <c r="F3583" s="55" t="str">
        <f aca="false">IF($H3583="","",资金流水!$C194)</f>
        <v/>
      </c>
      <c r="G3583" s="48" t="str">
        <f aca="false">IF($H3583="","",资金流水!$K194)</f>
        <v/>
      </c>
      <c r="H3583" s="10" t="str">
        <f aca="false">IF($L3583="","",IF($L3583="@对方",资金流水!$G194,IF($L3583="@账户",资金流水!$Q194,$L3583)))</f>
        <v/>
      </c>
      <c r="I3583" s="42" t="n">
        <f aca="false">IF($M3583="借",$O3583,0)</f>
        <v>0</v>
      </c>
      <c r="J3583" s="42" t="n">
        <f aca="false">IF($M3583="贷",$O3583,0)</f>
        <v>0</v>
      </c>
      <c r="K3583" s="48" t="str">
        <f aca="false">IF($H3583="","",资金流水!$F194)</f>
        <v/>
      </c>
      <c r="L3583" s="66" t="str">
        <f aca="false">IF(资金流水!$E194="","",IFERROR(INDEX(记账规则!$A$13:$H$32,MATCH(资金流水!$E194,记账规则!$A$13:$A$32,0),6),""))</f>
        <v/>
      </c>
      <c r="M3583" s="66" t="str">
        <f aca="false">IF($L3583="","",IFERROR(INDEX(记账规则!$A$13:$H$32,MATCH(资金流水!$E194,记账规则!$A$13:$A$32,0),7),""))</f>
        <v/>
      </c>
      <c r="N3583" s="66" t="str">
        <f aca="false">IF($L3583="","",IFERROR(INDEX(记账规则!$A$13:$H$32,MATCH(资金流水!$E194,记账规则!$A$13:$A$32,0),8),""))</f>
        <v/>
      </c>
      <c r="O3583" s="67" t="n">
        <f aca="false">IF($H3583="",0,ROUND(IF($N3583="金额",N(资金流水!$P194),0),2))</f>
        <v>0</v>
      </c>
      <c r="P3583" s="64" t="str">
        <f aca="false">IF(AND($H3583&lt;&gt;"",ROUND($O3583,2)&lt;&gt;0),"有","")</f>
        <v/>
      </c>
    </row>
    <row r="3584" customFormat="false" ht="15" hidden="true" customHeight="false" outlineLevel="0" collapsed="false">
      <c r="A3584" s="53" t="str">
        <f aca="false">IF($H3584="","",ROW()-5)</f>
        <v/>
      </c>
      <c r="B3584" s="64" t="s">
        <v>37</v>
      </c>
      <c r="C3584" s="53" t="n">
        <v>195</v>
      </c>
      <c r="D3584" s="53" t="n">
        <v>1</v>
      </c>
      <c r="E3584" s="65" t="str">
        <f aca="false">IF($H3584="","",资金流水!$B195)</f>
        <v/>
      </c>
      <c r="F3584" s="55" t="str">
        <f aca="false">IF($H3584="","",资金流水!$C195)</f>
        <v/>
      </c>
      <c r="G3584" s="48" t="str">
        <f aca="false">IF($H3584="","",资金流水!$K195)</f>
        <v/>
      </c>
      <c r="H3584" s="10" t="str">
        <f aca="false">IF($L3584="","",IF($L3584="@对方",资金流水!$G195,IF($L3584="@账户",资金流水!$Q195,$L3584)))</f>
        <v/>
      </c>
      <c r="I3584" s="42" t="n">
        <f aca="false">IF($M3584="借",$O3584,0)</f>
        <v>0</v>
      </c>
      <c r="J3584" s="42" t="n">
        <f aca="false">IF($M3584="贷",$O3584,0)</f>
        <v>0</v>
      </c>
      <c r="K3584" s="48" t="str">
        <f aca="false">IF($H3584="","",资金流水!$F195)</f>
        <v/>
      </c>
      <c r="L3584" s="66" t="str">
        <f aca="false">IF(资金流水!$E195="","",IFERROR(INDEX(记账规则!$A$13:$H$32,MATCH(资金流水!$E195,记账规则!$A$13:$A$32,0),3),""))</f>
        <v/>
      </c>
      <c r="M3584" s="66" t="str">
        <f aca="false">IF($L3584="","",IFERROR(INDEX(记账规则!$A$13:$H$32,MATCH(资金流水!$E195,记账规则!$A$13:$A$32,0),4),""))</f>
        <v/>
      </c>
      <c r="N3584" s="66" t="str">
        <f aca="false">IF($L3584="","",IFERROR(INDEX(记账规则!$A$13:$H$32,MATCH(资金流水!$E195,记账规则!$A$13:$A$32,0),5),""))</f>
        <v/>
      </c>
      <c r="O3584" s="67" t="n">
        <f aca="false">IF($H3584="",0,ROUND(IF($N3584="金额",N(资金流水!$P195),0),2))</f>
        <v>0</v>
      </c>
      <c r="P3584" s="64" t="str">
        <f aca="false">IF(AND($H3584&lt;&gt;"",ROUND($O3584,2)&lt;&gt;0),"有","")</f>
        <v/>
      </c>
    </row>
    <row r="3585" customFormat="false" ht="15" hidden="true" customHeight="false" outlineLevel="0" collapsed="false">
      <c r="A3585" s="53" t="str">
        <f aca="false">IF($H3585="","",ROW()-5)</f>
        <v/>
      </c>
      <c r="B3585" s="64" t="s">
        <v>37</v>
      </c>
      <c r="C3585" s="53" t="n">
        <v>195</v>
      </c>
      <c r="D3585" s="53" t="n">
        <v>2</v>
      </c>
      <c r="E3585" s="65" t="str">
        <f aca="false">IF($H3585="","",资金流水!$B195)</f>
        <v/>
      </c>
      <c r="F3585" s="55" t="str">
        <f aca="false">IF($H3585="","",资金流水!$C195)</f>
        <v/>
      </c>
      <c r="G3585" s="48" t="str">
        <f aca="false">IF($H3585="","",资金流水!$K195)</f>
        <v/>
      </c>
      <c r="H3585" s="10" t="str">
        <f aca="false">IF($L3585="","",IF($L3585="@对方",资金流水!$G195,IF($L3585="@账户",资金流水!$Q195,$L3585)))</f>
        <v/>
      </c>
      <c r="I3585" s="42" t="n">
        <f aca="false">IF($M3585="借",$O3585,0)</f>
        <v>0</v>
      </c>
      <c r="J3585" s="42" t="n">
        <f aca="false">IF($M3585="贷",$O3585,0)</f>
        <v>0</v>
      </c>
      <c r="K3585" s="48" t="str">
        <f aca="false">IF($H3585="","",资金流水!$F195)</f>
        <v/>
      </c>
      <c r="L3585" s="66" t="str">
        <f aca="false">IF(资金流水!$E195="","",IFERROR(INDEX(记账规则!$A$13:$H$32,MATCH(资金流水!$E195,记账规则!$A$13:$A$32,0),6),""))</f>
        <v/>
      </c>
      <c r="M3585" s="66" t="str">
        <f aca="false">IF($L3585="","",IFERROR(INDEX(记账规则!$A$13:$H$32,MATCH(资金流水!$E195,记账规则!$A$13:$A$32,0),7),""))</f>
        <v/>
      </c>
      <c r="N3585" s="66" t="str">
        <f aca="false">IF($L3585="","",IFERROR(INDEX(记账规则!$A$13:$H$32,MATCH(资金流水!$E195,记账规则!$A$13:$A$32,0),8),""))</f>
        <v/>
      </c>
      <c r="O3585" s="67" t="n">
        <f aca="false">IF($H3585="",0,ROUND(IF($N3585="金额",N(资金流水!$P195),0),2))</f>
        <v>0</v>
      </c>
      <c r="P3585" s="64" t="str">
        <f aca="false">IF(AND($H3585&lt;&gt;"",ROUND($O3585,2)&lt;&gt;0),"有","")</f>
        <v/>
      </c>
    </row>
    <row r="3586" customFormat="false" ht="15" hidden="true" customHeight="false" outlineLevel="0" collapsed="false">
      <c r="A3586" s="53" t="str">
        <f aca="false">IF($H3586="","",ROW()-5)</f>
        <v/>
      </c>
      <c r="B3586" s="64" t="s">
        <v>37</v>
      </c>
      <c r="C3586" s="53" t="n">
        <v>196</v>
      </c>
      <c r="D3586" s="53" t="n">
        <v>1</v>
      </c>
      <c r="E3586" s="65" t="str">
        <f aca="false">IF($H3586="","",资金流水!$B196)</f>
        <v/>
      </c>
      <c r="F3586" s="55" t="str">
        <f aca="false">IF($H3586="","",资金流水!$C196)</f>
        <v/>
      </c>
      <c r="G3586" s="48" t="str">
        <f aca="false">IF($H3586="","",资金流水!$K196)</f>
        <v/>
      </c>
      <c r="H3586" s="10" t="str">
        <f aca="false">IF($L3586="","",IF($L3586="@对方",资金流水!$G196,IF($L3586="@账户",资金流水!$Q196,$L3586)))</f>
        <v/>
      </c>
      <c r="I3586" s="42" t="n">
        <f aca="false">IF($M3586="借",$O3586,0)</f>
        <v>0</v>
      </c>
      <c r="J3586" s="42" t="n">
        <f aca="false">IF($M3586="贷",$O3586,0)</f>
        <v>0</v>
      </c>
      <c r="K3586" s="48" t="str">
        <f aca="false">IF($H3586="","",资金流水!$F196)</f>
        <v/>
      </c>
      <c r="L3586" s="66" t="str">
        <f aca="false">IF(资金流水!$E196="","",IFERROR(INDEX(记账规则!$A$13:$H$32,MATCH(资金流水!$E196,记账规则!$A$13:$A$32,0),3),""))</f>
        <v/>
      </c>
      <c r="M3586" s="66" t="str">
        <f aca="false">IF($L3586="","",IFERROR(INDEX(记账规则!$A$13:$H$32,MATCH(资金流水!$E196,记账规则!$A$13:$A$32,0),4),""))</f>
        <v/>
      </c>
      <c r="N3586" s="66" t="str">
        <f aca="false">IF($L3586="","",IFERROR(INDEX(记账规则!$A$13:$H$32,MATCH(资金流水!$E196,记账规则!$A$13:$A$32,0),5),""))</f>
        <v/>
      </c>
      <c r="O3586" s="67" t="n">
        <f aca="false">IF($H3586="",0,ROUND(IF($N3586="金额",N(资金流水!$P196),0),2))</f>
        <v>0</v>
      </c>
      <c r="P3586" s="64" t="str">
        <f aca="false">IF(AND($H3586&lt;&gt;"",ROUND($O3586,2)&lt;&gt;0),"有","")</f>
        <v/>
      </c>
    </row>
    <row r="3587" customFormat="false" ht="15" hidden="true" customHeight="false" outlineLevel="0" collapsed="false">
      <c r="A3587" s="53" t="str">
        <f aca="false">IF($H3587="","",ROW()-5)</f>
        <v/>
      </c>
      <c r="B3587" s="64" t="s">
        <v>37</v>
      </c>
      <c r="C3587" s="53" t="n">
        <v>196</v>
      </c>
      <c r="D3587" s="53" t="n">
        <v>2</v>
      </c>
      <c r="E3587" s="65" t="str">
        <f aca="false">IF($H3587="","",资金流水!$B196)</f>
        <v/>
      </c>
      <c r="F3587" s="55" t="str">
        <f aca="false">IF($H3587="","",资金流水!$C196)</f>
        <v/>
      </c>
      <c r="G3587" s="48" t="str">
        <f aca="false">IF($H3587="","",资金流水!$K196)</f>
        <v/>
      </c>
      <c r="H3587" s="10" t="str">
        <f aca="false">IF($L3587="","",IF($L3587="@对方",资金流水!$G196,IF($L3587="@账户",资金流水!$Q196,$L3587)))</f>
        <v/>
      </c>
      <c r="I3587" s="42" t="n">
        <f aca="false">IF($M3587="借",$O3587,0)</f>
        <v>0</v>
      </c>
      <c r="J3587" s="42" t="n">
        <f aca="false">IF($M3587="贷",$O3587,0)</f>
        <v>0</v>
      </c>
      <c r="K3587" s="48" t="str">
        <f aca="false">IF($H3587="","",资金流水!$F196)</f>
        <v/>
      </c>
      <c r="L3587" s="66" t="str">
        <f aca="false">IF(资金流水!$E196="","",IFERROR(INDEX(记账规则!$A$13:$H$32,MATCH(资金流水!$E196,记账规则!$A$13:$A$32,0),6),""))</f>
        <v/>
      </c>
      <c r="M3587" s="66" t="str">
        <f aca="false">IF($L3587="","",IFERROR(INDEX(记账规则!$A$13:$H$32,MATCH(资金流水!$E196,记账规则!$A$13:$A$32,0),7),""))</f>
        <v/>
      </c>
      <c r="N3587" s="66" t="str">
        <f aca="false">IF($L3587="","",IFERROR(INDEX(记账规则!$A$13:$H$32,MATCH(资金流水!$E196,记账规则!$A$13:$A$32,0),8),""))</f>
        <v/>
      </c>
      <c r="O3587" s="67" t="n">
        <f aca="false">IF($H3587="",0,ROUND(IF($N3587="金额",N(资金流水!$P196),0),2))</f>
        <v>0</v>
      </c>
      <c r="P3587" s="64" t="str">
        <f aca="false">IF(AND($H3587&lt;&gt;"",ROUND($O3587,2)&lt;&gt;0),"有","")</f>
        <v/>
      </c>
    </row>
    <row r="3588" customFormat="false" ht="15" hidden="true" customHeight="false" outlineLevel="0" collapsed="false">
      <c r="A3588" s="53" t="str">
        <f aca="false">IF($H3588="","",ROW()-5)</f>
        <v/>
      </c>
      <c r="B3588" s="64" t="s">
        <v>37</v>
      </c>
      <c r="C3588" s="53" t="n">
        <v>197</v>
      </c>
      <c r="D3588" s="53" t="n">
        <v>1</v>
      </c>
      <c r="E3588" s="65" t="str">
        <f aca="false">IF($H3588="","",资金流水!$B197)</f>
        <v/>
      </c>
      <c r="F3588" s="55" t="str">
        <f aca="false">IF($H3588="","",资金流水!$C197)</f>
        <v/>
      </c>
      <c r="G3588" s="48" t="str">
        <f aca="false">IF($H3588="","",资金流水!$K197)</f>
        <v/>
      </c>
      <c r="H3588" s="10" t="str">
        <f aca="false">IF($L3588="","",IF($L3588="@对方",资金流水!$G197,IF($L3588="@账户",资金流水!$Q197,$L3588)))</f>
        <v/>
      </c>
      <c r="I3588" s="42" t="n">
        <f aca="false">IF($M3588="借",$O3588,0)</f>
        <v>0</v>
      </c>
      <c r="J3588" s="42" t="n">
        <f aca="false">IF($M3588="贷",$O3588,0)</f>
        <v>0</v>
      </c>
      <c r="K3588" s="48" t="str">
        <f aca="false">IF($H3588="","",资金流水!$F197)</f>
        <v/>
      </c>
      <c r="L3588" s="66" t="str">
        <f aca="false">IF(资金流水!$E197="","",IFERROR(INDEX(记账规则!$A$13:$H$32,MATCH(资金流水!$E197,记账规则!$A$13:$A$32,0),3),""))</f>
        <v/>
      </c>
      <c r="M3588" s="66" t="str">
        <f aca="false">IF($L3588="","",IFERROR(INDEX(记账规则!$A$13:$H$32,MATCH(资金流水!$E197,记账规则!$A$13:$A$32,0),4),""))</f>
        <v/>
      </c>
      <c r="N3588" s="66" t="str">
        <f aca="false">IF($L3588="","",IFERROR(INDEX(记账规则!$A$13:$H$32,MATCH(资金流水!$E197,记账规则!$A$13:$A$32,0),5),""))</f>
        <v/>
      </c>
      <c r="O3588" s="67" t="n">
        <f aca="false">IF($H3588="",0,ROUND(IF($N3588="金额",N(资金流水!$P197),0),2))</f>
        <v>0</v>
      </c>
      <c r="P3588" s="64" t="str">
        <f aca="false">IF(AND($H3588&lt;&gt;"",ROUND($O3588,2)&lt;&gt;0),"有","")</f>
        <v/>
      </c>
    </row>
    <row r="3589" customFormat="false" ht="15" hidden="true" customHeight="false" outlineLevel="0" collapsed="false">
      <c r="A3589" s="53" t="str">
        <f aca="false">IF($H3589="","",ROW()-5)</f>
        <v/>
      </c>
      <c r="B3589" s="64" t="s">
        <v>37</v>
      </c>
      <c r="C3589" s="53" t="n">
        <v>197</v>
      </c>
      <c r="D3589" s="53" t="n">
        <v>2</v>
      </c>
      <c r="E3589" s="65" t="str">
        <f aca="false">IF($H3589="","",资金流水!$B197)</f>
        <v/>
      </c>
      <c r="F3589" s="55" t="str">
        <f aca="false">IF($H3589="","",资金流水!$C197)</f>
        <v/>
      </c>
      <c r="G3589" s="48" t="str">
        <f aca="false">IF($H3589="","",资金流水!$K197)</f>
        <v/>
      </c>
      <c r="H3589" s="10" t="str">
        <f aca="false">IF($L3589="","",IF($L3589="@对方",资金流水!$G197,IF($L3589="@账户",资金流水!$Q197,$L3589)))</f>
        <v/>
      </c>
      <c r="I3589" s="42" t="n">
        <f aca="false">IF($M3589="借",$O3589,0)</f>
        <v>0</v>
      </c>
      <c r="J3589" s="42" t="n">
        <f aca="false">IF($M3589="贷",$O3589,0)</f>
        <v>0</v>
      </c>
      <c r="K3589" s="48" t="str">
        <f aca="false">IF($H3589="","",资金流水!$F197)</f>
        <v/>
      </c>
      <c r="L3589" s="66" t="str">
        <f aca="false">IF(资金流水!$E197="","",IFERROR(INDEX(记账规则!$A$13:$H$32,MATCH(资金流水!$E197,记账规则!$A$13:$A$32,0),6),""))</f>
        <v/>
      </c>
      <c r="M3589" s="66" t="str">
        <f aca="false">IF($L3589="","",IFERROR(INDEX(记账规则!$A$13:$H$32,MATCH(资金流水!$E197,记账规则!$A$13:$A$32,0),7),""))</f>
        <v/>
      </c>
      <c r="N3589" s="66" t="str">
        <f aca="false">IF($L3589="","",IFERROR(INDEX(记账规则!$A$13:$H$32,MATCH(资金流水!$E197,记账规则!$A$13:$A$32,0),8),""))</f>
        <v/>
      </c>
      <c r="O3589" s="67" t="n">
        <f aca="false">IF($H3589="",0,ROUND(IF($N3589="金额",N(资金流水!$P197),0),2))</f>
        <v>0</v>
      </c>
      <c r="P3589" s="64" t="str">
        <f aca="false">IF(AND($H3589&lt;&gt;"",ROUND($O3589,2)&lt;&gt;0),"有","")</f>
        <v/>
      </c>
    </row>
    <row r="3590" customFormat="false" ht="15" hidden="true" customHeight="false" outlineLevel="0" collapsed="false">
      <c r="A3590" s="53" t="str">
        <f aca="false">IF($H3590="","",ROW()-5)</f>
        <v/>
      </c>
      <c r="B3590" s="64" t="s">
        <v>37</v>
      </c>
      <c r="C3590" s="53" t="n">
        <v>198</v>
      </c>
      <c r="D3590" s="53" t="n">
        <v>1</v>
      </c>
      <c r="E3590" s="65" t="str">
        <f aca="false">IF($H3590="","",资金流水!$B198)</f>
        <v/>
      </c>
      <c r="F3590" s="55" t="str">
        <f aca="false">IF($H3590="","",资金流水!$C198)</f>
        <v/>
      </c>
      <c r="G3590" s="48" t="str">
        <f aca="false">IF($H3590="","",资金流水!$K198)</f>
        <v/>
      </c>
      <c r="H3590" s="10" t="str">
        <f aca="false">IF($L3590="","",IF($L3590="@对方",资金流水!$G198,IF($L3590="@账户",资金流水!$Q198,$L3590)))</f>
        <v/>
      </c>
      <c r="I3590" s="42" t="n">
        <f aca="false">IF($M3590="借",$O3590,0)</f>
        <v>0</v>
      </c>
      <c r="J3590" s="42" t="n">
        <f aca="false">IF($M3590="贷",$O3590,0)</f>
        <v>0</v>
      </c>
      <c r="K3590" s="48" t="str">
        <f aca="false">IF($H3590="","",资金流水!$F198)</f>
        <v/>
      </c>
      <c r="L3590" s="66" t="str">
        <f aca="false">IF(资金流水!$E198="","",IFERROR(INDEX(记账规则!$A$13:$H$32,MATCH(资金流水!$E198,记账规则!$A$13:$A$32,0),3),""))</f>
        <v/>
      </c>
      <c r="M3590" s="66" t="str">
        <f aca="false">IF($L3590="","",IFERROR(INDEX(记账规则!$A$13:$H$32,MATCH(资金流水!$E198,记账规则!$A$13:$A$32,0),4),""))</f>
        <v/>
      </c>
      <c r="N3590" s="66" t="str">
        <f aca="false">IF($L3590="","",IFERROR(INDEX(记账规则!$A$13:$H$32,MATCH(资金流水!$E198,记账规则!$A$13:$A$32,0),5),""))</f>
        <v/>
      </c>
      <c r="O3590" s="67" t="n">
        <f aca="false">IF($H3590="",0,ROUND(IF($N3590="金额",N(资金流水!$P198),0),2))</f>
        <v>0</v>
      </c>
      <c r="P3590" s="64" t="str">
        <f aca="false">IF(AND($H3590&lt;&gt;"",ROUND($O3590,2)&lt;&gt;0),"有","")</f>
        <v/>
      </c>
    </row>
    <row r="3591" customFormat="false" ht="15" hidden="true" customHeight="false" outlineLevel="0" collapsed="false">
      <c r="A3591" s="53" t="str">
        <f aca="false">IF($H3591="","",ROW()-5)</f>
        <v/>
      </c>
      <c r="B3591" s="64" t="s">
        <v>37</v>
      </c>
      <c r="C3591" s="53" t="n">
        <v>198</v>
      </c>
      <c r="D3591" s="53" t="n">
        <v>2</v>
      </c>
      <c r="E3591" s="65" t="str">
        <f aca="false">IF($H3591="","",资金流水!$B198)</f>
        <v/>
      </c>
      <c r="F3591" s="55" t="str">
        <f aca="false">IF($H3591="","",资金流水!$C198)</f>
        <v/>
      </c>
      <c r="G3591" s="48" t="str">
        <f aca="false">IF($H3591="","",资金流水!$K198)</f>
        <v/>
      </c>
      <c r="H3591" s="10" t="str">
        <f aca="false">IF($L3591="","",IF($L3591="@对方",资金流水!$G198,IF($L3591="@账户",资金流水!$Q198,$L3591)))</f>
        <v/>
      </c>
      <c r="I3591" s="42" t="n">
        <f aca="false">IF($M3591="借",$O3591,0)</f>
        <v>0</v>
      </c>
      <c r="J3591" s="42" t="n">
        <f aca="false">IF($M3591="贷",$O3591,0)</f>
        <v>0</v>
      </c>
      <c r="K3591" s="48" t="str">
        <f aca="false">IF($H3591="","",资金流水!$F198)</f>
        <v/>
      </c>
      <c r="L3591" s="66" t="str">
        <f aca="false">IF(资金流水!$E198="","",IFERROR(INDEX(记账规则!$A$13:$H$32,MATCH(资金流水!$E198,记账规则!$A$13:$A$32,0),6),""))</f>
        <v/>
      </c>
      <c r="M3591" s="66" t="str">
        <f aca="false">IF($L3591="","",IFERROR(INDEX(记账规则!$A$13:$H$32,MATCH(资金流水!$E198,记账规则!$A$13:$A$32,0),7),""))</f>
        <v/>
      </c>
      <c r="N3591" s="66" t="str">
        <f aca="false">IF($L3591="","",IFERROR(INDEX(记账规则!$A$13:$H$32,MATCH(资金流水!$E198,记账规则!$A$13:$A$32,0),8),""))</f>
        <v/>
      </c>
      <c r="O3591" s="67" t="n">
        <f aca="false">IF($H3591="",0,ROUND(IF($N3591="金额",N(资金流水!$P198),0),2))</f>
        <v>0</v>
      </c>
      <c r="P3591" s="64" t="str">
        <f aca="false">IF(AND($H3591&lt;&gt;"",ROUND($O3591,2)&lt;&gt;0),"有","")</f>
        <v/>
      </c>
    </row>
    <row r="3592" customFormat="false" ht="15" hidden="true" customHeight="false" outlineLevel="0" collapsed="false">
      <c r="A3592" s="53" t="str">
        <f aca="false">IF($H3592="","",ROW()-5)</f>
        <v/>
      </c>
      <c r="B3592" s="64" t="s">
        <v>37</v>
      </c>
      <c r="C3592" s="53" t="n">
        <v>199</v>
      </c>
      <c r="D3592" s="53" t="n">
        <v>1</v>
      </c>
      <c r="E3592" s="65" t="str">
        <f aca="false">IF($H3592="","",资金流水!$B199)</f>
        <v/>
      </c>
      <c r="F3592" s="55" t="str">
        <f aca="false">IF($H3592="","",资金流水!$C199)</f>
        <v/>
      </c>
      <c r="G3592" s="48" t="str">
        <f aca="false">IF($H3592="","",资金流水!$K199)</f>
        <v/>
      </c>
      <c r="H3592" s="10" t="str">
        <f aca="false">IF($L3592="","",IF($L3592="@对方",资金流水!$G199,IF($L3592="@账户",资金流水!$Q199,$L3592)))</f>
        <v/>
      </c>
      <c r="I3592" s="42" t="n">
        <f aca="false">IF($M3592="借",$O3592,0)</f>
        <v>0</v>
      </c>
      <c r="J3592" s="42" t="n">
        <f aca="false">IF($M3592="贷",$O3592,0)</f>
        <v>0</v>
      </c>
      <c r="K3592" s="48" t="str">
        <f aca="false">IF($H3592="","",资金流水!$F199)</f>
        <v/>
      </c>
      <c r="L3592" s="66" t="str">
        <f aca="false">IF(资金流水!$E199="","",IFERROR(INDEX(记账规则!$A$13:$H$32,MATCH(资金流水!$E199,记账规则!$A$13:$A$32,0),3),""))</f>
        <v/>
      </c>
      <c r="M3592" s="66" t="str">
        <f aca="false">IF($L3592="","",IFERROR(INDEX(记账规则!$A$13:$H$32,MATCH(资金流水!$E199,记账规则!$A$13:$A$32,0),4),""))</f>
        <v/>
      </c>
      <c r="N3592" s="66" t="str">
        <f aca="false">IF($L3592="","",IFERROR(INDEX(记账规则!$A$13:$H$32,MATCH(资金流水!$E199,记账规则!$A$13:$A$32,0),5),""))</f>
        <v/>
      </c>
      <c r="O3592" s="67" t="n">
        <f aca="false">IF($H3592="",0,ROUND(IF($N3592="金额",N(资金流水!$P199),0),2))</f>
        <v>0</v>
      </c>
      <c r="P3592" s="64" t="str">
        <f aca="false">IF(AND($H3592&lt;&gt;"",ROUND($O3592,2)&lt;&gt;0),"有","")</f>
        <v/>
      </c>
    </row>
    <row r="3593" customFormat="false" ht="15" hidden="true" customHeight="false" outlineLevel="0" collapsed="false">
      <c r="A3593" s="53" t="str">
        <f aca="false">IF($H3593="","",ROW()-5)</f>
        <v/>
      </c>
      <c r="B3593" s="64" t="s">
        <v>37</v>
      </c>
      <c r="C3593" s="53" t="n">
        <v>199</v>
      </c>
      <c r="D3593" s="53" t="n">
        <v>2</v>
      </c>
      <c r="E3593" s="65" t="str">
        <f aca="false">IF($H3593="","",资金流水!$B199)</f>
        <v/>
      </c>
      <c r="F3593" s="55" t="str">
        <f aca="false">IF($H3593="","",资金流水!$C199)</f>
        <v/>
      </c>
      <c r="G3593" s="48" t="str">
        <f aca="false">IF($H3593="","",资金流水!$K199)</f>
        <v/>
      </c>
      <c r="H3593" s="10" t="str">
        <f aca="false">IF($L3593="","",IF($L3593="@对方",资金流水!$G199,IF($L3593="@账户",资金流水!$Q199,$L3593)))</f>
        <v/>
      </c>
      <c r="I3593" s="42" t="n">
        <f aca="false">IF($M3593="借",$O3593,0)</f>
        <v>0</v>
      </c>
      <c r="J3593" s="42" t="n">
        <f aca="false">IF($M3593="贷",$O3593,0)</f>
        <v>0</v>
      </c>
      <c r="K3593" s="48" t="str">
        <f aca="false">IF($H3593="","",资金流水!$F199)</f>
        <v/>
      </c>
      <c r="L3593" s="66" t="str">
        <f aca="false">IF(资金流水!$E199="","",IFERROR(INDEX(记账规则!$A$13:$H$32,MATCH(资金流水!$E199,记账规则!$A$13:$A$32,0),6),""))</f>
        <v/>
      </c>
      <c r="M3593" s="66" t="str">
        <f aca="false">IF($L3593="","",IFERROR(INDEX(记账规则!$A$13:$H$32,MATCH(资金流水!$E199,记账规则!$A$13:$A$32,0),7),""))</f>
        <v/>
      </c>
      <c r="N3593" s="66" t="str">
        <f aca="false">IF($L3593="","",IFERROR(INDEX(记账规则!$A$13:$H$32,MATCH(资金流水!$E199,记账规则!$A$13:$A$32,0),8),""))</f>
        <v/>
      </c>
      <c r="O3593" s="67" t="n">
        <f aca="false">IF($H3593="",0,ROUND(IF($N3593="金额",N(资金流水!$P199),0),2))</f>
        <v>0</v>
      </c>
      <c r="P3593" s="64" t="str">
        <f aca="false">IF(AND($H3593&lt;&gt;"",ROUND($O3593,2)&lt;&gt;0),"有","")</f>
        <v/>
      </c>
    </row>
    <row r="3594" customFormat="false" ht="15" hidden="true" customHeight="false" outlineLevel="0" collapsed="false">
      <c r="A3594" s="53" t="str">
        <f aca="false">IF($H3594="","",ROW()-5)</f>
        <v/>
      </c>
      <c r="B3594" s="64" t="s">
        <v>37</v>
      </c>
      <c r="C3594" s="53" t="n">
        <v>200</v>
      </c>
      <c r="D3594" s="53" t="n">
        <v>1</v>
      </c>
      <c r="E3594" s="65" t="str">
        <f aca="false">IF($H3594="","",资金流水!$B200)</f>
        <v/>
      </c>
      <c r="F3594" s="55" t="str">
        <f aca="false">IF($H3594="","",资金流水!$C200)</f>
        <v/>
      </c>
      <c r="G3594" s="48" t="str">
        <f aca="false">IF($H3594="","",资金流水!$K200)</f>
        <v/>
      </c>
      <c r="H3594" s="10" t="str">
        <f aca="false">IF($L3594="","",IF($L3594="@对方",资金流水!$G200,IF($L3594="@账户",资金流水!$Q200,$L3594)))</f>
        <v/>
      </c>
      <c r="I3594" s="42" t="n">
        <f aca="false">IF($M3594="借",$O3594,0)</f>
        <v>0</v>
      </c>
      <c r="J3594" s="42" t="n">
        <f aca="false">IF($M3594="贷",$O3594,0)</f>
        <v>0</v>
      </c>
      <c r="K3594" s="48" t="str">
        <f aca="false">IF($H3594="","",资金流水!$F200)</f>
        <v/>
      </c>
      <c r="L3594" s="66" t="str">
        <f aca="false">IF(资金流水!$E200="","",IFERROR(INDEX(记账规则!$A$13:$H$32,MATCH(资金流水!$E200,记账规则!$A$13:$A$32,0),3),""))</f>
        <v/>
      </c>
      <c r="M3594" s="66" t="str">
        <f aca="false">IF($L3594="","",IFERROR(INDEX(记账规则!$A$13:$H$32,MATCH(资金流水!$E200,记账规则!$A$13:$A$32,0),4),""))</f>
        <v/>
      </c>
      <c r="N3594" s="66" t="str">
        <f aca="false">IF($L3594="","",IFERROR(INDEX(记账规则!$A$13:$H$32,MATCH(资金流水!$E200,记账规则!$A$13:$A$32,0),5),""))</f>
        <v/>
      </c>
      <c r="O3594" s="67" t="n">
        <f aca="false">IF($H3594="",0,ROUND(IF($N3594="金额",N(资金流水!$P200),0),2))</f>
        <v>0</v>
      </c>
      <c r="P3594" s="64" t="str">
        <f aca="false">IF(AND($H3594&lt;&gt;"",ROUND($O3594,2)&lt;&gt;0),"有","")</f>
        <v/>
      </c>
    </row>
    <row r="3595" customFormat="false" ht="15" hidden="true" customHeight="false" outlineLevel="0" collapsed="false">
      <c r="A3595" s="53" t="str">
        <f aca="false">IF($H3595="","",ROW()-5)</f>
        <v/>
      </c>
      <c r="B3595" s="64" t="s">
        <v>37</v>
      </c>
      <c r="C3595" s="53" t="n">
        <v>200</v>
      </c>
      <c r="D3595" s="53" t="n">
        <v>2</v>
      </c>
      <c r="E3595" s="65" t="str">
        <f aca="false">IF($H3595="","",资金流水!$B200)</f>
        <v/>
      </c>
      <c r="F3595" s="55" t="str">
        <f aca="false">IF($H3595="","",资金流水!$C200)</f>
        <v/>
      </c>
      <c r="G3595" s="48" t="str">
        <f aca="false">IF($H3595="","",资金流水!$K200)</f>
        <v/>
      </c>
      <c r="H3595" s="10" t="str">
        <f aca="false">IF($L3595="","",IF($L3595="@对方",资金流水!$G200,IF($L3595="@账户",资金流水!$Q200,$L3595)))</f>
        <v/>
      </c>
      <c r="I3595" s="42" t="n">
        <f aca="false">IF($M3595="借",$O3595,0)</f>
        <v>0</v>
      </c>
      <c r="J3595" s="42" t="n">
        <f aca="false">IF($M3595="贷",$O3595,0)</f>
        <v>0</v>
      </c>
      <c r="K3595" s="48" t="str">
        <f aca="false">IF($H3595="","",资金流水!$F200)</f>
        <v/>
      </c>
      <c r="L3595" s="66" t="str">
        <f aca="false">IF(资金流水!$E200="","",IFERROR(INDEX(记账规则!$A$13:$H$32,MATCH(资金流水!$E200,记账规则!$A$13:$A$32,0),6),""))</f>
        <v/>
      </c>
      <c r="M3595" s="66" t="str">
        <f aca="false">IF($L3595="","",IFERROR(INDEX(记账规则!$A$13:$H$32,MATCH(资金流水!$E200,记账规则!$A$13:$A$32,0),7),""))</f>
        <v/>
      </c>
      <c r="N3595" s="66" t="str">
        <f aca="false">IF($L3595="","",IFERROR(INDEX(记账规则!$A$13:$H$32,MATCH(资金流水!$E200,记账规则!$A$13:$A$32,0),8),""))</f>
        <v/>
      </c>
      <c r="O3595" s="67" t="n">
        <f aca="false">IF($H3595="",0,ROUND(IF($N3595="金额",N(资金流水!$P200),0),2))</f>
        <v>0</v>
      </c>
      <c r="P3595" s="64" t="str">
        <f aca="false">IF(AND($H3595&lt;&gt;"",ROUND($O3595,2)&lt;&gt;0),"有","")</f>
        <v/>
      </c>
    </row>
    <row r="3596" customFormat="false" ht="15" hidden="true" customHeight="false" outlineLevel="0" collapsed="false">
      <c r="A3596" s="53" t="str">
        <f aca="false">IF($H3596="","",ROW()-5)</f>
        <v/>
      </c>
      <c r="B3596" s="64" t="s">
        <v>37</v>
      </c>
      <c r="C3596" s="53" t="n">
        <v>201</v>
      </c>
      <c r="D3596" s="53" t="n">
        <v>1</v>
      </c>
      <c r="E3596" s="65" t="str">
        <f aca="false">IF($H3596="","",资金流水!$B201)</f>
        <v/>
      </c>
      <c r="F3596" s="55" t="str">
        <f aca="false">IF($H3596="","",资金流水!$C201)</f>
        <v/>
      </c>
      <c r="G3596" s="48" t="str">
        <f aca="false">IF($H3596="","",资金流水!$K201)</f>
        <v/>
      </c>
      <c r="H3596" s="10" t="str">
        <f aca="false">IF($L3596="","",IF($L3596="@对方",资金流水!$G201,IF($L3596="@账户",资金流水!$Q201,$L3596)))</f>
        <v/>
      </c>
      <c r="I3596" s="42" t="n">
        <f aca="false">IF($M3596="借",$O3596,0)</f>
        <v>0</v>
      </c>
      <c r="J3596" s="42" t="n">
        <f aca="false">IF($M3596="贷",$O3596,0)</f>
        <v>0</v>
      </c>
      <c r="K3596" s="48" t="str">
        <f aca="false">IF($H3596="","",资金流水!$F201)</f>
        <v/>
      </c>
      <c r="L3596" s="66" t="str">
        <f aca="false">IF(资金流水!$E201="","",IFERROR(INDEX(记账规则!$A$13:$H$32,MATCH(资金流水!$E201,记账规则!$A$13:$A$32,0),3),""))</f>
        <v/>
      </c>
      <c r="M3596" s="66" t="str">
        <f aca="false">IF($L3596="","",IFERROR(INDEX(记账规则!$A$13:$H$32,MATCH(资金流水!$E201,记账规则!$A$13:$A$32,0),4),""))</f>
        <v/>
      </c>
      <c r="N3596" s="66" t="str">
        <f aca="false">IF($L3596="","",IFERROR(INDEX(记账规则!$A$13:$H$32,MATCH(资金流水!$E201,记账规则!$A$13:$A$32,0),5),""))</f>
        <v/>
      </c>
      <c r="O3596" s="67" t="n">
        <f aca="false">IF($H3596="",0,ROUND(IF($N3596="金额",N(资金流水!$P201),0),2))</f>
        <v>0</v>
      </c>
      <c r="P3596" s="64" t="str">
        <f aca="false">IF(AND($H3596&lt;&gt;"",ROUND($O3596,2)&lt;&gt;0),"有","")</f>
        <v/>
      </c>
    </row>
    <row r="3597" customFormat="false" ht="15" hidden="true" customHeight="false" outlineLevel="0" collapsed="false">
      <c r="A3597" s="53" t="str">
        <f aca="false">IF($H3597="","",ROW()-5)</f>
        <v/>
      </c>
      <c r="B3597" s="64" t="s">
        <v>37</v>
      </c>
      <c r="C3597" s="53" t="n">
        <v>201</v>
      </c>
      <c r="D3597" s="53" t="n">
        <v>2</v>
      </c>
      <c r="E3597" s="65" t="str">
        <f aca="false">IF($H3597="","",资金流水!$B201)</f>
        <v/>
      </c>
      <c r="F3597" s="55" t="str">
        <f aca="false">IF($H3597="","",资金流水!$C201)</f>
        <v/>
      </c>
      <c r="G3597" s="48" t="str">
        <f aca="false">IF($H3597="","",资金流水!$K201)</f>
        <v/>
      </c>
      <c r="H3597" s="10" t="str">
        <f aca="false">IF($L3597="","",IF($L3597="@对方",资金流水!$G201,IF($L3597="@账户",资金流水!$Q201,$L3597)))</f>
        <v/>
      </c>
      <c r="I3597" s="42" t="n">
        <f aca="false">IF($M3597="借",$O3597,0)</f>
        <v>0</v>
      </c>
      <c r="J3597" s="42" t="n">
        <f aca="false">IF($M3597="贷",$O3597,0)</f>
        <v>0</v>
      </c>
      <c r="K3597" s="48" t="str">
        <f aca="false">IF($H3597="","",资金流水!$F201)</f>
        <v/>
      </c>
      <c r="L3597" s="66" t="str">
        <f aca="false">IF(资金流水!$E201="","",IFERROR(INDEX(记账规则!$A$13:$H$32,MATCH(资金流水!$E201,记账规则!$A$13:$A$32,0),6),""))</f>
        <v/>
      </c>
      <c r="M3597" s="66" t="str">
        <f aca="false">IF($L3597="","",IFERROR(INDEX(记账规则!$A$13:$H$32,MATCH(资金流水!$E201,记账规则!$A$13:$A$32,0),7),""))</f>
        <v/>
      </c>
      <c r="N3597" s="66" t="str">
        <f aca="false">IF($L3597="","",IFERROR(INDEX(记账规则!$A$13:$H$32,MATCH(资金流水!$E201,记账规则!$A$13:$A$32,0),8),""))</f>
        <v/>
      </c>
      <c r="O3597" s="67" t="n">
        <f aca="false">IF($H3597="",0,ROUND(IF($N3597="金额",N(资金流水!$P201),0),2))</f>
        <v>0</v>
      </c>
      <c r="P3597" s="64" t="str">
        <f aca="false">IF(AND($H3597&lt;&gt;"",ROUND($O3597,2)&lt;&gt;0),"有","")</f>
        <v/>
      </c>
    </row>
    <row r="3598" customFormat="false" ht="15" hidden="true" customHeight="false" outlineLevel="0" collapsed="false">
      <c r="A3598" s="53" t="str">
        <f aca="false">IF($H3598="","",ROW()-5)</f>
        <v/>
      </c>
      <c r="B3598" s="64" t="s">
        <v>37</v>
      </c>
      <c r="C3598" s="53" t="n">
        <v>202</v>
      </c>
      <c r="D3598" s="53" t="n">
        <v>1</v>
      </c>
      <c r="E3598" s="65" t="str">
        <f aca="false">IF($H3598="","",资金流水!$B202)</f>
        <v/>
      </c>
      <c r="F3598" s="55" t="str">
        <f aca="false">IF($H3598="","",资金流水!$C202)</f>
        <v/>
      </c>
      <c r="G3598" s="48" t="str">
        <f aca="false">IF($H3598="","",资金流水!$K202)</f>
        <v/>
      </c>
      <c r="H3598" s="10" t="str">
        <f aca="false">IF($L3598="","",IF($L3598="@对方",资金流水!$G202,IF($L3598="@账户",资金流水!$Q202,$L3598)))</f>
        <v/>
      </c>
      <c r="I3598" s="42" t="n">
        <f aca="false">IF($M3598="借",$O3598,0)</f>
        <v>0</v>
      </c>
      <c r="J3598" s="42" t="n">
        <f aca="false">IF($M3598="贷",$O3598,0)</f>
        <v>0</v>
      </c>
      <c r="K3598" s="48" t="str">
        <f aca="false">IF($H3598="","",资金流水!$F202)</f>
        <v/>
      </c>
      <c r="L3598" s="66" t="str">
        <f aca="false">IF(资金流水!$E202="","",IFERROR(INDEX(记账规则!$A$13:$H$32,MATCH(资金流水!$E202,记账规则!$A$13:$A$32,0),3),""))</f>
        <v/>
      </c>
      <c r="M3598" s="66" t="str">
        <f aca="false">IF($L3598="","",IFERROR(INDEX(记账规则!$A$13:$H$32,MATCH(资金流水!$E202,记账规则!$A$13:$A$32,0),4),""))</f>
        <v/>
      </c>
      <c r="N3598" s="66" t="str">
        <f aca="false">IF($L3598="","",IFERROR(INDEX(记账规则!$A$13:$H$32,MATCH(资金流水!$E202,记账规则!$A$13:$A$32,0),5),""))</f>
        <v/>
      </c>
      <c r="O3598" s="67" t="n">
        <f aca="false">IF($H3598="",0,ROUND(IF($N3598="金额",N(资金流水!$P202),0),2))</f>
        <v>0</v>
      </c>
      <c r="P3598" s="64" t="str">
        <f aca="false">IF(AND($H3598&lt;&gt;"",ROUND($O3598,2)&lt;&gt;0),"有","")</f>
        <v/>
      </c>
    </row>
    <row r="3599" customFormat="false" ht="15" hidden="true" customHeight="false" outlineLevel="0" collapsed="false">
      <c r="A3599" s="53" t="str">
        <f aca="false">IF($H3599="","",ROW()-5)</f>
        <v/>
      </c>
      <c r="B3599" s="64" t="s">
        <v>37</v>
      </c>
      <c r="C3599" s="53" t="n">
        <v>202</v>
      </c>
      <c r="D3599" s="53" t="n">
        <v>2</v>
      </c>
      <c r="E3599" s="65" t="str">
        <f aca="false">IF($H3599="","",资金流水!$B202)</f>
        <v/>
      </c>
      <c r="F3599" s="55" t="str">
        <f aca="false">IF($H3599="","",资金流水!$C202)</f>
        <v/>
      </c>
      <c r="G3599" s="48" t="str">
        <f aca="false">IF($H3599="","",资金流水!$K202)</f>
        <v/>
      </c>
      <c r="H3599" s="10" t="str">
        <f aca="false">IF($L3599="","",IF($L3599="@对方",资金流水!$G202,IF($L3599="@账户",资金流水!$Q202,$L3599)))</f>
        <v/>
      </c>
      <c r="I3599" s="42" t="n">
        <f aca="false">IF($M3599="借",$O3599,0)</f>
        <v>0</v>
      </c>
      <c r="J3599" s="42" t="n">
        <f aca="false">IF($M3599="贷",$O3599,0)</f>
        <v>0</v>
      </c>
      <c r="K3599" s="48" t="str">
        <f aca="false">IF($H3599="","",资金流水!$F202)</f>
        <v/>
      </c>
      <c r="L3599" s="66" t="str">
        <f aca="false">IF(资金流水!$E202="","",IFERROR(INDEX(记账规则!$A$13:$H$32,MATCH(资金流水!$E202,记账规则!$A$13:$A$32,0),6),""))</f>
        <v/>
      </c>
      <c r="M3599" s="66" t="str">
        <f aca="false">IF($L3599="","",IFERROR(INDEX(记账规则!$A$13:$H$32,MATCH(资金流水!$E202,记账规则!$A$13:$A$32,0),7),""))</f>
        <v/>
      </c>
      <c r="N3599" s="66" t="str">
        <f aca="false">IF($L3599="","",IFERROR(INDEX(记账规则!$A$13:$H$32,MATCH(资金流水!$E202,记账规则!$A$13:$A$32,0),8),""))</f>
        <v/>
      </c>
      <c r="O3599" s="67" t="n">
        <f aca="false">IF($H3599="",0,ROUND(IF($N3599="金额",N(资金流水!$P202),0),2))</f>
        <v>0</v>
      </c>
      <c r="P3599" s="64" t="str">
        <f aca="false">IF(AND($H3599&lt;&gt;"",ROUND($O3599,2)&lt;&gt;0),"有","")</f>
        <v/>
      </c>
    </row>
    <row r="3600" customFormat="false" ht="15" hidden="true" customHeight="false" outlineLevel="0" collapsed="false">
      <c r="A3600" s="53" t="str">
        <f aca="false">IF($H3600="","",ROW()-5)</f>
        <v/>
      </c>
      <c r="B3600" s="64" t="s">
        <v>37</v>
      </c>
      <c r="C3600" s="53" t="n">
        <v>203</v>
      </c>
      <c r="D3600" s="53" t="n">
        <v>1</v>
      </c>
      <c r="E3600" s="65" t="str">
        <f aca="false">IF($H3600="","",资金流水!$B203)</f>
        <v/>
      </c>
      <c r="F3600" s="55" t="str">
        <f aca="false">IF($H3600="","",资金流水!$C203)</f>
        <v/>
      </c>
      <c r="G3600" s="48" t="str">
        <f aca="false">IF($H3600="","",资金流水!$K203)</f>
        <v/>
      </c>
      <c r="H3600" s="10" t="str">
        <f aca="false">IF($L3600="","",IF($L3600="@对方",资金流水!$G203,IF($L3600="@账户",资金流水!$Q203,$L3600)))</f>
        <v/>
      </c>
      <c r="I3600" s="42" t="n">
        <f aca="false">IF($M3600="借",$O3600,0)</f>
        <v>0</v>
      </c>
      <c r="J3600" s="42" t="n">
        <f aca="false">IF($M3600="贷",$O3600,0)</f>
        <v>0</v>
      </c>
      <c r="K3600" s="48" t="str">
        <f aca="false">IF($H3600="","",资金流水!$F203)</f>
        <v/>
      </c>
      <c r="L3600" s="66" t="str">
        <f aca="false">IF(资金流水!$E203="","",IFERROR(INDEX(记账规则!$A$13:$H$32,MATCH(资金流水!$E203,记账规则!$A$13:$A$32,0),3),""))</f>
        <v/>
      </c>
      <c r="M3600" s="66" t="str">
        <f aca="false">IF($L3600="","",IFERROR(INDEX(记账规则!$A$13:$H$32,MATCH(资金流水!$E203,记账规则!$A$13:$A$32,0),4),""))</f>
        <v/>
      </c>
      <c r="N3600" s="66" t="str">
        <f aca="false">IF($L3600="","",IFERROR(INDEX(记账规则!$A$13:$H$32,MATCH(资金流水!$E203,记账规则!$A$13:$A$32,0),5),""))</f>
        <v/>
      </c>
      <c r="O3600" s="67" t="n">
        <f aca="false">IF($H3600="",0,ROUND(IF($N3600="金额",N(资金流水!$P203),0),2))</f>
        <v>0</v>
      </c>
      <c r="P3600" s="64" t="str">
        <f aca="false">IF(AND($H3600&lt;&gt;"",ROUND($O3600,2)&lt;&gt;0),"有","")</f>
        <v/>
      </c>
    </row>
    <row r="3601" customFormat="false" ht="15" hidden="true" customHeight="false" outlineLevel="0" collapsed="false">
      <c r="A3601" s="53" t="str">
        <f aca="false">IF($H3601="","",ROW()-5)</f>
        <v/>
      </c>
      <c r="B3601" s="64" t="s">
        <v>37</v>
      </c>
      <c r="C3601" s="53" t="n">
        <v>203</v>
      </c>
      <c r="D3601" s="53" t="n">
        <v>2</v>
      </c>
      <c r="E3601" s="65" t="str">
        <f aca="false">IF($H3601="","",资金流水!$B203)</f>
        <v/>
      </c>
      <c r="F3601" s="55" t="str">
        <f aca="false">IF($H3601="","",资金流水!$C203)</f>
        <v/>
      </c>
      <c r="G3601" s="48" t="str">
        <f aca="false">IF($H3601="","",资金流水!$K203)</f>
        <v/>
      </c>
      <c r="H3601" s="10" t="str">
        <f aca="false">IF($L3601="","",IF($L3601="@对方",资金流水!$G203,IF($L3601="@账户",资金流水!$Q203,$L3601)))</f>
        <v/>
      </c>
      <c r="I3601" s="42" t="n">
        <f aca="false">IF($M3601="借",$O3601,0)</f>
        <v>0</v>
      </c>
      <c r="J3601" s="42" t="n">
        <f aca="false">IF($M3601="贷",$O3601,0)</f>
        <v>0</v>
      </c>
      <c r="K3601" s="48" t="str">
        <f aca="false">IF($H3601="","",资金流水!$F203)</f>
        <v/>
      </c>
      <c r="L3601" s="66" t="str">
        <f aca="false">IF(资金流水!$E203="","",IFERROR(INDEX(记账规则!$A$13:$H$32,MATCH(资金流水!$E203,记账规则!$A$13:$A$32,0),6),""))</f>
        <v/>
      </c>
      <c r="M3601" s="66" t="str">
        <f aca="false">IF($L3601="","",IFERROR(INDEX(记账规则!$A$13:$H$32,MATCH(资金流水!$E203,记账规则!$A$13:$A$32,0),7),""))</f>
        <v/>
      </c>
      <c r="N3601" s="66" t="str">
        <f aca="false">IF($L3601="","",IFERROR(INDEX(记账规则!$A$13:$H$32,MATCH(资金流水!$E203,记账规则!$A$13:$A$32,0),8),""))</f>
        <v/>
      </c>
      <c r="O3601" s="67" t="n">
        <f aca="false">IF($H3601="",0,ROUND(IF($N3601="金额",N(资金流水!$P203),0),2))</f>
        <v>0</v>
      </c>
      <c r="P3601" s="64" t="str">
        <f aca="false">IF(AND($H3601&lt;&gt;"",ROUND($O3601,2)&lt;&gt;0),"有","")</f>
        <v/>
      </c>
    </row>
    <row r="3602" customFormat="false" ht="15" hidden="true" customHeight="false" outlineLevel="0" collapsed="false">
      <c r="A3602" s="53" t="str">
        <f aca="false">IF($H3602="","",ROW()-5)</f>
        <v/>
      </c>
      <c r="B3602" s="64" t="s">
        <v>37</v>
      </c>
      <c r="C3602" s="53" t="n">
        <v>204</v>
      </c>
      <c r="D3602" s="53" t="n">
        <v>1</v>
      </c>
      <c r="E3602" s="65" t="str">
        <f aca="false">IF($H3602="","",资金流水!$B204)</f>
        <v/>
      </c>
      <c r="F3602" s="55" t="str">
        <f aca="false">IF($H3602="","",资金流水!$C204)</f>
        <v/>
      </c>
      <c r="G3602" s="48" t="str">
        <f aca="false">IF($H3602="","",资金流水!$K204)</f>
        <v/>
      </c>
      <c r="H3602" s="10" t="str">
        <f aca="false">IF($L3602="","",IF($L3602="@对方",资金流水!$G204,IF($L3602="@账户",资金流水!$Q204,$L3602)))</f>
        <v/>
      </c>
      <c r="I3602" s="42" t="n">
        <f aca="false">IF($M3602="借",$O3602,0)</f>
        <v>0</v>
      </c>
      <c r="J3602" s="42" t="n">
        <f aca="false">IF($M3602="贷",$O3602,0)</f>
        <v>0</v>
      </c>
      <c r="K3602" s="48" t="str">
        <f aca="false">IF($H3602="","",资金流水!$F204)</f>
        <v/>
      </c>
      <c r="L3602" s="66" t="str">
        <f aca="false">IF(资金流水!$E204="","",IFERROR(INDEX(记账规则!$A$13:$H$32,MATCH(资金流水!$E204,记账规则!$A$13:$A$32,0),3),""))</f>
        <v/>
      </c>
      <c r="M3602" s="66" t="str">
        <f aca="false">IF($L3602="","",IFERROR(INDEX(记账规则!$A$13:$H$32,MATCH(资金流水!$E204,记账规则!$A$13:$A$32,0),4),""))</f>
        <v/>
      </c>
      <c r="N3602" s="66" t="str">
        <f aca="false">IF($L3602="","",IFERROR(INDEX(记账规则!$A$13:$H$32,MATCH(资金流水!$E204,记账规则!$A$13:$A$32,0),5),""))</f>
        <v/>
      </c>
      <c r="O3602" s="67" t="n">
        <f aca="false">IF($H3602="",0,ROUND(IF($N3602="金额",N(资金流水!$P204),0),2))</f>
        <v>0</v>
      </c>
      <c r="P3602" s="64" t="str">
        <f aca="false">IF(AND($H3602&lt;&gt;"",ROUND($O3602,2)&lt;&gt;0),"有","")</f>
        <v/>
      </c>
    </row>
    <row r="3603" customFormat="false" ht="15" hidden="true" customHeight="false" outlineLevel="0" collapsed="false">
      <c r="A3603" s="53" t="str">
        <f aca="false">IF($H3603="","",ROW()-5)</f>
        <v/>
      </c>
      <c r="B3603" s="64" t="s">
        <v>37</v>
      </c>
      <c r="C3603" s="53" t="n">
        <v>204</v>
      </c>
      <c r="D3603" s="53" t="n">
        <v>2</v>
      </c>
      <c r="E3603" s="65" t="str">
        <f aca="false">IF($H3603="","",资金流水!$B204)</f>
        <v/>
      </c>
      <c r="F3603" s="55" t="str">
        <f aca="false">IF($H3603="","",资金流水!$C204)</f>
        <v/>
      </c>
      <c r="G3603" s="48" t="str">
        <f aca="false">IF($H3603="","",资金流水!$K204)</f>
        <v/>
      </c>
      <c r="H3603" s="10" t="str">
        <f aca="false">IF($L3603="","",IF($L3603="@对方",资金流水!$G204,IF($L3603="@账户",资金流水!$Q204,$L3603)))</f>
        <v/>
      </c>
      <c r="I3603" s="42" t="n">
        <f aca="false">IF($M3603="借",$O3603,0)</f>
        <v>0</v>
      </c>
      <c r="J3603" s="42" t="n">
        <f aca="false">IF($M3603="贷",$O3603,0)</f>
        <v>0</v>
      </c>
      <c r="K3603" s="48" t="str">
        <f aca="false">IF($H3603="","",资金流水!$F204)</f>
        <v/>
      </c>
      <c r="L3603" s="66" t="str">
        <f aca="false">IF(资金流水!$E204="","",IFERROR(INDEX(记账规则!$A$13:$H$32,MATCH(资金流水!$E204,记账规则!$A$13:$A$32,0),6),""))</f>
        <v/>
      </c>
      <c r="M3603" s="66" t="str">
        <f aca="false">IF($L3603="","",IFERROR(INDEX(记账规则!$A$13:$H$32,MATCH(资金流水!$E204,记账规则!$A$13:$A$32,0),7),""))</f>
        <v/>
      </c>
      <c r="N3603" s="66" t="str">
        <f aca="false">IF($L3603="","",IFERROR(INDEX(记账规则!$A$13:$H$32,MATCH(资金流水!$E204,记账规则!$A$13:$A$32,0),8),""))</f>
        <v/>
      </c>
      <c r="O3603" s="67" t="n">
        <f aca="false">IF($H3603="",0,ROUND(IF($N3603="金额",N(资金流水!$P204),0),2))</f>
        <v>0</v>
      </c>
      <c r="P3603" s="64" t="str">
        <f aca="false">IF(AND($H3603&lt;&gt;"",ROUND($O3603,2)&lt;&gt;0),"有","")</f>
        <v/>
      </c>
    </row>
    <row r="3604" customFormat="false" ht="15" hidden="true" customHeight="false" outlineLevel="0" collapsed="false">
      <c r="A3604" s="53" t="str">
        <f aca="false">IF($H3604="","",ROW()-5)</f>
        <v/>
      </c>
      <c r="B3604" s="64" t="s">
        <v>37</v>
      </c>
      <c r="C3604" s="53" t="n">
        <v>205</v>
      </c>
      <c r="D3604" s="53" t="n">
        <v>1</v>
      </c>
      <c r="E3604" s="65" t="str">
        <f aca="false">IF($H3604="","",资金流水!$B205)</f>
        <v/>
      </c>
      <c r="F3604" s="55" t="str">
        <f aca="false">IF($H3604="","",资金流水!$C205)</f>
        <v/>
      </c>
      <c r="G3604" s="48" t="str">
        <f aca="false">IF($H3604="","",资金流水!$K205)</f>
        <v/>
      </c>
      <c r="H3604" s="10" t="str">
        <f aca="false">IF($L3604="","",IF($L3604="@对方",资金流水!$G205,IF($L3604="@账户",资金流水!$Q205,$L3604)))</f>
        <v/>
      </c>
      <c r="I3604" s="42" t="n">
        <f aca="false">IF($M3604="借",$O3604,0)</f>
        <v>0</v>
      </c>
      <c r="J3604" s="42" t="n">
        <f aca="false">IF($M3604="贷",$O3604,0)</f>
        <v>0</v>
      </c>
      <c r="K3604" s="48" t="str">
        <f aca="false">IF($H3604="","",资金流水!$F205)</f>
        <v/>
      </c>
      <c r="L3604" s="66" t="str">
        <f aca="false">IF(资金流水!$E205="","",IFERROR(INDEX(记账规则!$A$13:$H$32,MATCH(资金流水!$E205,记账规则!$A$13:$A$32,0),3),""))</f>
        <v/>
      </c>
      <c r="M3604" s="66" t="str">
        <f aca="false">IF($L3604="","",IFERROR(INDEX(记账规则!$A$13:$H$32,MATCH(资金流水!$E205,记账规则!$A$13:$A$32,0),4),""))</f>
        <v/>
      </c>
      <c r="N3604" s="66" t="str">
        <f aca="false">IF($L3604="","",IFERROR(INDEX(记账规则!$A$13:$H$32,MATCH(资金流水!$E205,记账规则!$A$13:$A$32,0),5),""))</f>
        <v/>
      </c>
      <c r="O3604" s="67" t="n">
        <f aca="false">IF($H3604="",0,ROUND(IF($N3604="金额",N(资金流水!$P205),0),2))</f>
        <v>0</v>
      </c>
      <c r="P3604" s="64" t="str">
        <f aca="false">IF(AND($H3604&lt;&gt;"",ROUND($O3604,2)&lt;&gt;0),"有","")</f>
        <v/>
      </c>
    </row>
    <row r="3605" customFormat="false" ht="15" hidden="true" customHeight="false" outlineLevel="0" collapsed="false">
      <c r="A3605" s="53" t="str">
        <f aca="false">IF($H3605="","",ROW()-5)</f>
        <v/>
      </c>
      <c r="B3605" s="64" t="s">
        <v>37</v>
      </c>
      <c r="C3605" s="53" t="n">
        <v>205</v>
      </c>
      <c r="D3605" s="53" t="n">
        <v>2</v>
      </c>
      <c r="E3605" s="65" t="str">
        <f aca="false">IF($H3605="","",资金流水!$B205)</f>
        <v/>
      </c>
      <c r="F3605" s="55" t="str">
        <f aca="false">IF($H3605="","",资金流水!$C205)</f>
        <v/>
      </c>
      <c r="G3605" s="48" t="str">
        <f aca="false">IF($H3605="","",资金流水!$K205)</f>
        <v/>
      </c>
      <c r="H3605" s="10" t="str">
        <f aca="false">IF($L3605="","",IF($L3605="@对方",资金流水!$G205,IF($L3605="@账户",资金流水!$Q205,$L3605)))</f>
        <v/>
      </c>
      <c r="I3605" s="42" t="n">
        <f aca="false">IF($M3605="借",$O3605,0)</f>
        <v>0</v>
      </c>
      <c r="J3605" s="42" t="n">
        <f aca="false">IF($M3605="贷",$O3605,0)</f>
        <v>0</v>
      </c>
      <c r="K3605" s="48" t="str">
        <f aca="false">IF($H3605="","",资金流水!$F205)</f>
        <v/>
      </c>
      <c r="L3605" s="66" t="str">
        <f aca="false">IF(资金流水!$E205="","",IFERROR(INDEX(记账规则!$A$13:$H$32,MATCH(资金流水!$E205,记账规则!$A$13:$A$32,0),6),""))</f>
        <v/>
      </c>
      <c r="M3605" s="66" t="str">
        <f aca="false">IF($L3605="","",IFERROR(INDEX(记账规则!$A$13:$H$32,MATCH(资金流水!$E205,记账规则!$A$13:$A$32,0),7),""))</f>
        <v/>
      </c>
      <c r="N3605" s="66" t="str">
        <f aca="false">IF($L3605="","",IFERROR(INDEX(记账规则!$A$13:$H$32,MATCH(资金流水!$E205,记账规则!$A$13:$A$32,0),8),""))</f>
        <v/>
      </c>
      <c r="O3605" s="67" t="n">
        <f aca="false">IF($H3605="",0,ROUND(IF($N3605="金额",N(资金流水!$P205),0),2))</f>
        <v>0</v>
      </c>
      <c r="P3605" s="64" t="str">
        <f aca="false">IF(AND($H3605&lt;&gt;"",ROUND($O3605,2)&lt;&gt;0),"有","")</f>
        <v/>
      </c>
    </row>
    <row r="3606" customFormat="false" ht="15" hidden="true" customHeight="false" outlineLevel="0" collapsed="false">
      <c r="A3606" s="53" t="str">
        <f aca="false">IF($H3606="","",ROW()-5)</f>
        <v/>
      </c>
      <c r="B3606" s="64" t="s">
        <v>37</v>
      </c>
      <c r="C3606" s="53" t="n">
        <v>206</v>
      </c>
      <c r="D3606" s="53" t="n">
        <v>1</v>
      </c>
      <c r="E3606" s="65" t="str">
        <f aca="false">IF($H3606="","",资金流水!$B206)</f>
        <v/>
      </c>
      <c r="F3606" s="55" t="str">
        <f aca="false">IF($H3606="","",资金流水!$C206)</f>
        <v/>
      </c>
      <c r="G3606" s="48" t="str">
        <f aca="false">IF($H3606="","",资金流水!$K206)</f>
        <v/>
      </c>
      <c r="H3606" s="10" t="str">
        <f aca="false">IF($L3606="","",IF($L3606="@对方",资金流水!$G206,IF($L3606="@账户",资金流水!$Q206,$L3606)))</f>
        <v/>
      </c>
      <c r="I3606" s="42" t="n">
        <f aca="false">IF($M3606="借",$O3606,0)</f>
        <v>0</v>
      </c>
      <c r="J3606" s="42" t="n">
        <f aca="false">IF($M3606="贷",$O3606,0)</f>
        <v>0</v>
      </c>
      <c r="K3606" s="48" t="str">
        <f aca="false">IF($H3606="","",资金流水!$F206)</f>
        <v/>
      </c>
      <c r="L3606" s="66" t="str">
        <f aca="false">IF(资金流水!$E206="","",IFERROR(INDEX(记账规则!$A$13:$H$32,MATCH(资金流水!$E206,记账规则!$A$13:$A$32,0),3),""))</f>
        <v/>
      </c>
      <c r="M3606" s="66" t="str">
        <f aca="false">IF($L3606="","",IFERROR(INDEX(记账规则!$A$13:$H$32,MATCH(资金流水!$E206,记账规则!$A$13:$A$32,0),4),""))</f>
        <v/>
      </c>
      <c r="N3606" s="66" t="str">
        <f aca="false">IF($L3606="","",IFERROR(INDEX(记账规则!$A$13:$H$32,MATCH(资金流水!$E206,记账规则!$A$13:$A$32,0),5),""))</f>
        <v/>
      </c>
      <c r="O3606" s="67" t="n">
        <f aca="false">IF($H3606="",0,ROUND(IF($N3606="金额",N(资金流水!$P206),0),2))</f>
        <v>0</v>
      </c>
      <c r="P3606" s="64" t="str">
        <f aca="false">IF(AND($H3606&lt;&gt;"",ROUND($O3606,2)&lt;&gt;0),"有","")</f>
        <v/>
      </c>
    </row>
    <row r="3607" customFormat="false" ht="15" hidden="true" customHeight="false" outlineLevel="0" collapsed="false">
      <c r="A3607" s="53" t="str">
        <f aca="false">IF($H3607="","",ROW()-5)</f>
        <v/>
      </c>
      <c r="B3607" s="64" t="s">
        <v>37</v>
      </c>
      <c r="C3607" s="53" t="n">
        <v>206</v>
      </c>
      <c r="D3607" s="53" t="n">
        <v>2</v>
      </c>
      <c r="E3607" s="65" t="str">
        <f aca="false">IF($H3607="","",资金流水!$B206)</f>
        <v/>
      </c>
      <c r="F3607" s="55" t="str">
        <f aca="false">IF($H3607="","",资金流水!$C206)</f>
        <v/>
      </c>
      <c r="G3607" s="48" t="str">
        <f aca="false">IF($H3607="","",资金流水!$K206)</f>
        <v/>
      </c>
      <c r="H3607" s="10" t="str">
        <f aca="false">IF($L3607="","",IF($L3607="@对方",资金流水!$G206,IF($L3607="@账户",资金流水!$Q206,$L3607)))</f>
        <v/>
      </c>
      <c r="I3607" s="42" t="n">
        <f aca="false">IF($M3607="借",$O3607,0)</f>
        <v>0</v>
      </c>
      <c r="J3607" s="42" t="n">
        <f aca="false">IF($M3607="贷",$O3607,0)</f>
        <v>0</v>
      </c>
      <c r="K3607" s="48" t="str">
        <f aca="false">IF($H3607="","",资金流水!$F206)</f>
        <v/>
      </c>
      <c r="L3607" s="66" t="str">
        <f aca="false">IF(资金流水!$E206="","",IFERROR(INDEX(记账规则!$A$13:$H$32,MATCH(资金流水!$E206,记账规则!$A$13:$A$32,0),6),""))</f>
        <v/>
      </c>
      <c r="M3607" s="66" t="str">
        <f aca="false">IF($L3607="","",IFERROR(INDEX(记账规则!$A$13:$H$32,MATCH(资金流水!$E206,记账规则!$A$13:$A$32,0),7),""))</f>
        <v/>
      </c>
      <c r="N3607" s="66" t="str">
        <f aca="false">IF($L3607="","",IFERROR(INDEX(记账规则!$A$13:$H$32,MATCH(资金流水!$E206,记账规则!$A$13:$A$32,0),8),""))</f>
        <v/>
      </c>
      <c r="O3607" s="67" t="n">
        <f aca="false">IF($H3607="",0,ROUND(IF($N3607="金额",N(资金流水!$P206),0),2))</f>
        <v>0</v>
      </c>
      <c r="P3607" s="64" t="str">
        <f aca="false">IF(AND($H3607&lt;&gt;"",ROUND($O3607,2)&lt;&gt;0),"有","")</f>
        <v/>
      </c>
    </row>
    <row r="3608" customFormat="false" ht="15" hidden="true" customHeight="false" outlineLevel="0" collapsed="false">
      <c r="A3608" s="53" t="str">
        <f aca="false">IF($H3608="","",ROW()-5)</f>
        <v/>
      </c>
      <c r="B3608" s="64" t="s">
        <v>37</v>
      </c>
      <c r="C3608" s="53" t="n">
        <v>207</v>
      </c>
      <c r="D3608" s="53" t="n">
        <v>1</v>
      </c>
      <c r="E3608" s="65" t="str">
        <f aca="false">IF($H3608="","",资金流水!$B207)</f>
        <v/>
      </c>
      <c r="F3608" s="55" t="str">
        <f aca="false">IF($H3608="","",资金流水!$C207)</f>
        <v/>
      </c>
      <c r="G3608" s="48" t="str">
        <f aca="false">IF($H3608="","",资金流水!$K207)</f>
        <v/>
      </c>
      <c r="H3608" s="10" t="str">
        <f aca="false">IF($L3608="","",IF($L3608="@对方",资金流水!$G207,IF($L3608="@账户",资金流水!$Q207,$L3608)))</f>
        <v/>
      </c>
      <c r="I3608" s="42" t="n">
        <f aca="false">IF($M3608="借",$O3608,0)</f>
        <v>0</v>
      </c>
      <c r="J3608" s="42" t="n">
        <f aca="false">IF($M3608="贷",$O3608,0)</f>
        <v>0</v>
      </c>
      <c r="K3608" s="48" t="str">
        <f aca="false">IF($H3608="","",资金流水!$F207)</f>
        <v/>
      </c>
      <c r="L3608" s="66" t="str">
        <f aca="false">IF(资金流水!$E207="","",IFERROR(INDEX(记账规则!$A$13:$H$32,MATCH(资金流水!$E207,记账规则!$A$13:$A$32,0),3),""))</f>
        <v/>
      </c>
      <c r="M3608" s="66" t="str">
        <f aca="false">IF($L3608="","",IFERROR(INDEX(记账规则!$A$13:$H$32,MATCH(资金流水!$E207,记账规则!$A$13:$A$32,0),4),""))</f>
        <v/>
      </c>
      <c r="N3608" s="66" t="str">
        <f aca="false">IF($L3608="","",IFERROR(INDEX(记账规则!$A$13:$H$32,MATCH(资金流水!$E207,记账规则!$A$13:$A$32,0),5),""))</f>
        <v/>
      </c>
      <c r="O3608" s="67" t="n">
        <f aca="false">IF($H3608="",0,ROUND(IF($N3608="金额",N(资金流水!$P207),0),2))</f>
        <v>0</v>
      </c>
      <c r="P3608" s="64" t="str">
        <f aca="false">IF(AND($H3608&lt;&gt;"",ROUND($O3608,2)&lt;&gt;0),"有","")</f>
        <v/>
      </c>
    </row>
    <row r="3609" customFormat="false" ht="15" hidden="true" customHeight="false" outlineLevel="0" collapsed="false">
      <c r="A3609" s="53" t="str">
        <f aca="false">IF($H3609="","",ROW()-5)</f>
        <v/>
      </c>
      <c r="B3609" s="64" t="s">
        <v>37</v>
      </c>
      <c r="C3609" s="53" t="n">
        <v>207</v>
      </c>
      <c r="D3609" s="53" t="n">
        <v>2</v>
      </c>
      <c r="E3609" s="65" t="str">
        <f aca="false">IF($H3609="","",资金流水!$B207)</f>
        <v/>
      </c>
      <c r="F3609" s="55" t="str">
        <f aca="false">IF($H3609="","",资金流水!$C207)</f>
        <v/>
      </c>
      <c r="G3609" s="48" t="str">
        <f aca="false">IF($H3609="","",资金流水!$K207)</f>
        <v/>
      </c>
      <c r="H3609" s="10" t="str">
        <f aca="false">IF($L3609="","",IF($L3609="@对方",资金流水!$G207,IF($L3609="@账户",资金流水!$Q207,$L3609)))</f>
        <v/>
      </c>
      <c r="I3609" s="42" t="n">
        <f aca="false">IF($M3609="借",$O3609,0)</f>
        <v>0</v>
      </c>
      <c r="J3609" s="42" t="n">
        <f aca="false">IF($M3609="贷",$O3609,0)</f>
        <v>0</v>
      </c>
      <c r="K3609" s="48" t="str">
        <f aca="false">IF($H3609="","",资金流水!$F207)</f>
        <v/>
      </c>
      <c r="L3609" s="66" t="str">
        <f aca="false">IF(资金流水!$E207="","",IFERROR(INDEX(记账规则!$A$13:$H$32,MATCH(资金流水!$E207,记账规则!$A$13:$A$32,0),6),""))</f>
        <v/>
      </c>
      <c r="M3609" s="66" t="str">
        <f aca="false">IF($L3609="","",IFERROR(INDEX(记账规则!$A$13:$H$32,MATCH(资金流水!$E207,记账规则!$A$13:$A$32,0),7),""))</f>
        <v/>
      </c>
      <c r="N3609" s="66" t="str">
        <f aca="false">IF($L3609="","",IFERROR(INDEX(记账规则!$A$13:$H$32,MATCH(资金流水!$E207,记账规则!$A$13:$A$32,0),8),""))</f>
        <v/>
      </c>
      <c r="O3609" s="67" t="n">
        <f aca="false">IF($H3609="",0,ROUND(IF($N3609="金额",N(资金流水!$P207),0),2))</f>
        <v>0</v>
      </c>
      <c r="P3609" s="64" t="str">
        <f aca="false">IF(AND($H3609&lt;&gt;"",ROUND($O3609,2)&lt;&gt;0),"有","")</f>
        <v/>
      </c>
    </row>
    <row r="3610" customFormat="false" ht="15" hidden="true" customHeight="false" outlineLevel="0" collapsed="false">
      <c r="A3610" s="53" t="str">
        <f aca="false">IF($H3610="","",ROW()-5)</f>
        <v/>
      </c>
      <c r="B3610" s="64" t="s">
        <v>37</v>
      </c>
      <c r="C3610" s="53" t="n">
        <v>208</v>
      </c>
      <c r="D3610" s="53" t="n">
        <v>1</v>
      </c>
      <c r="E3610" s="65" t="str">
        <f aca="false">IF($H3610="","",资金流水!$B208)</f>
        <v/>
      </c>
      <c r="F3610" s="55" t="str">
        <f aca="false">IF($H3610="","",资金流水!$C208)</f>
        <v/>
      </c>
      <c r="G3610" s="48" t="str">
        <f aca="false">IF($H3610="","",资金流水!$K208)</f>
        <v/>
      </c>
      <c r="H3610" s="10" t="str">
        <f aca="false">IF($L3610="","",IF($L3610="@对方",资金流水!$G208,IF($L3610="@账户",资金流水!$Q208,$L3610)))</f>
        <v/>
      </c>
      <c r="I3610" s="42" t="n">
        <f aca="false">IF($M3610="借",$O3610,0)</f>
        <v>0</v>
      </c>
      <c r="J3610" s="42" t="n">
        <f aca="false">IF($M3610="贷",$O3610,0)</f>
        <v>0</v>
      </c>
      <c r="K3610" s="48" t="str">
        <f aca="false">IF($H3610="","",资金流水!$F208)</f>
        <v/>
      </c>
      <c r="L3610" s="66" t="str">
        <f aca="false">IF(资金流水!$E208="","",IFERROR(INDEX(记账规则!$A$13:$H$32,MATCH(资金流水!$E208,记账规则!$A$13:$A$32,0),3),""))</f>
        <v/>
      </c>
      <c r="M3610" s="66" t="str">
        <f aca="false">IF($L3610="","",IFERROR(INDEX(记账规则!$A$13:$H$32,MATCH(资金流水!$E208,记账规则!$A$13:$A$32,0),4),""))</f>
        <v/>
      </c>
      <c r="N3610" s="66" t="str">
        <f aca="false">IF($L3610="","",IFERROR(INDEX(记账规则!$A$13:$H$32,MATCH(资金流水!$E208,记账规则!$A$13:$A$32,0),5),""))</f>
        <v/>
      </c>
      <c r="O3610" s="67" t="n">
        <f aca="false">IF($H3610="",0,ROUND(IF($N3610="金额",N(资金流水!$P208),0),2))</f>
        <v>0</v>
      </c>
      <c r="P3610" s="64" t="str">
        <f aca="false">IF(AND($H3610&lt;&gt;"",ROUND($O3610,2)&lt;&gt;0),"有","")</f>
        <v/>
      </c>
    </row>
    <row r="3611" customFormat="false" ht="15" hidden="true" customHeight="false" outlineLevel="0" collapsed="false">
      <c r="A3611" s="53" t="str">
        <f aca="false">IF($H3611="","",ROW()-5)</f>
        <v/>
      </c>
      <c r="B3611" s="64" t="s">
        <v>37</v>
      </c>
      <c r="C3611" s="53" t="n">
        <v>208</v>
      </c>
      <c r="D3611" s="53" t="n">
        <v>2</v>
      </c>
      <c r="E3611" s="65" t="str">
        <f aca="false">IF($H3611="","",资金流水!$B208)</f>
        <v/>
      </c>
      <c r="F3611" s="55" t="str">
        <f aca="false">IF($H3611="","",资金流水!$C208)</f>
        <v/>
      </c>
      <c r="G3611" s="48" t="str">
        <f aca="false">IF($H3611="","",资金流水!$K208)</f>
        <v/>
      </c>
      <c r="H3611" s="10" t="str">
        <f aca="false">IF($L3611="","",IF($L3611="@对方",资金流水!$G208,IF($L3611="@账户",资金流水!$Q208,$L3611)))</f>
        <v/>
      </c>
      <c r="I3611" s="42" t="n">
        <f aca="false">IF($M3611="借",$O3611,0)</f>
        <v>0</v>
      </c>
      <c r="J3611" s="42" t="n">
        <f aca="false">IF($M3611="贷",$O3611,0)</f>
        <v>0</v>
      </c>
      <c r="K3611" s="48" t="str">
        <f aca="false">IF($H3611="","",资金流水!$F208)</f>
        <v/>
      </c>
      <c r="L3611" s="66" t="str">
        <f aca="false">IF(资金流水!$E208="","",IFERROR(INDEX(记账规则!$A$13:$H$32,MATCH(资金流水!$E208,记账规则!$A$13:$A$32,0),6),""))</f>
        <v/>
      </c>
      <c r="M3611" s="66" t="str">
        <f aca="false">IF($L3611="","",IFERROR(INDEX(记账规则!$A$13:$H$32,MATCH(资金流水!$E208,记账规则!$A$13:$A$32,0),7),""))</f>
        <v/>
      </c>
      <c r="N3611" s="66" t="str">
        <f aca="false">IF($L3611="","",IFERROR(INDEX(记账规则!$A$13:$H$32,MATCH(资金流水!$E208,记账规则!$A$13:$A$32,0),8),""))</f>
        <v/>
      </c>
      <c r="O3611" s="67" t="n">
        <f aca="false">IF($H3611="",0,ROUND(IF($N3611="金额",N(资金流水!$P208),0),2))</f>
        <v>0</v>
      </c>
      <c r="P3611" s="64" t="str">
        <f aca="false">IF(AND($H3611&lt;&gt;"",ROUND($O3611,2)&lt;&gt;0),"有","")</f>
        <v/>
      </c>
    </row>
    <row r="3612" customFormat="false" ht="15" hidden="true" customHeight="false" outlineLevel="0" collapsed="false">
      <c r="A3612" s="53" t="str">
        <f aca="false">IF($H3612="","",ROW()-5)</f>
        <v/>
      </c>
      <c r="B3612" s="64" t="s">
        <v>37</v>
      </c>
      <c r="C3612" s="53" t="n">
        <v>209</v>
      </c>
      <c r="D3612" s="53" t="n">
        <v>1</v>
      </c>
      <c r="E3612" s="65" t="str">
        <f aca="false">IF($H3612="","",资金流水!$B209)</f>
        <v/>
      </c>
      <c r="F3612" s="55" t="str">
        <f aca="false">IF($H3612="","",资金流水!$C209)</f>
        <v/>
      </c>
      <c r="G3612" s="48" t="str">
        <f aca="false">IF($H3612="","",资金流水!$K209)</f>
        <v/>
      </c>
      <c r="H3612" s="10" t="str">
        <f aca="false">IF($L3612="","",IF($L3612="@对方",资金流水!$G209,IF($L3612="@账户",资金流水!$Q209,$L3612)))</f>
        <v/>
      </c>
      <c r="I3612" s="42" t="n">
        <f aca="false">IF($M3612="借",$O3612,0)</f>
        <v>0</v>
      </c>
      <c r="J3612" s="42" t="n">
        <f aca="false">IF($M3612="贷",$O3612,0)</f>
        <v>0</v>
      </c>
      <c r="K3612" s="48" t="str">
        <f aca="false">IF($H3612="","",资金流水!$F209)</f>
        <v/>
      </c>
      <c r="L3612" s="66" t="str">
        <f aca="false">IF(资金流水!$E209="","",IFERROR(INDEX(记账规则!$A$13:$H$32,MATCH(资金流水!$E209,记账规则!$A$13:$A$32,0),3),""))</f>
        <v/>
      </c>
      <c r="M3612" s="66" t="str">
        <f aca="false">IF($L3612="","",IFERROR(INDEX(记账规则!$A$13:$H$32,MATCH(资金流水!$E209,记账规则!$A$13:$A$32,0),4),""))</f>
        <v/>
      </c>
      <c r="N3612" s="66" t="str">
        <f aca="false">IF($L3612="","",IFERROR(INDEX(记账规则!$A$13:$H$32,MATCH(资金流水!$E209,记账规则!$A$13:$A$32,0),5),""))</f>
        <v/>
      </c>
      <c r="O3612" s="67" t="n">
        <f aca="false">IF($H3612="",0,ROUND(IF($N3612="金额",N(资金流水!$P209),0),2))</f>
        <v>0</v>
      </c>
      <c r="P3612" s="64" t="str">
        <f aca="false">IF(AND($H3612&lt;&gt;"",ROUND($O3612,2)&lt;&gt;0),"有","")</f>
        <v/>
      </c>
    </row>
    <row r="3613" customFormat="false" ht="15" hidden="true" customHeight="false" outlineLevel="0" collapsed="false">
      <c r="A3613" s="53" t="str">
        <f aca="false">IF($H3613="","",ROW()-5)</f>
        <v/>
      </c>
      <c r="B3613" s="64" t="s">
        <v>37</v>
      </c>
      <c r="C3613" s="53" t="n">
        <v>209</v>
      </c>
      <c r="D3613" s="53" t="n">
        <v>2</v>
      </c>
      <c r="E3613" s="65" t="str">
        <f aca="false">IF($H3613="","",资金流水!$B209)</f>
        <v/>
      </c>
      <c r="F3613" s="55" t="str">
        <f aca="false">IF($H3613="","",资金流水!$C209)</f>
        <v/>
      </c>
      <c r="G3613" s="48" t="str">
        <f aca="false">IF($H3613="","",资金流水!$K209)</f>
        <v/>
      </c>
      <c r="H3613" s="10" t="str">
        <f aca="false">IF($L3613="","",IF($L3613="@对方",资金流水!$G209,IF($L3613="@账户",资金流水!$Q209,$L3613)))</f>
        <v/>
      </c>
      <c r="I3613" s="42" t="n">
        <f aca="false">IF($M3613="借",$O3613,0)</f>
        <v>0</v>
      </c>
      <c r="J3613" s="42" t="n">
        <f aca="false">IF($M3613="贷",$O3613,0)</f>
        <v>0</v>
      </c>
      <c r="K3613" s="48" t="str">
        <f aca="false">IF($H3613="","",资金流水!$F209)</f>
        <v/>
      </c>
      <c r="L3613" s="66" t="str">
        <f aca="false">IF(资金流水!$E209="","",IFERROR(INDEX(记账规则!$A$13:$H$32,MATCH(资金流水!$E209,记账规则!$A$13:$A$32,0),6),""))</f>
        <v/>
      </c>
      <c r="M3613" s="66" t="str">
        <f aca="false">IF($L3613="","",IFERROR(INDEX(记账规则!$A$13:$H$32,MATCH(资金流水!$E209,记账规则!$A$13:$A$32,0),7),""))</f>
        <v/>
      </c>
      <c r="N3613" s="66" t="str">
        <f aca="false">IF($L3613="","",IFERROR(INDEX(记账规则!$A$13:$H$32,MATCH(资金流水!$E209,记账规则!$A$13:$A$32,0),8),""))</f>
        <v/>
      </c>
      <c r="O3613" s="67" t="n">
        <f aca="false">IF($H3613="",0,ROUND(IF($N3613="金额",N(资金流水!$P209),0),2))</f>
        <v>0</v>
      </c>
      <c r="P3613" s="64" t="str">
        <f aca="false">IF(AND($H3613&lt;&gt;"",ROUND($O3613,2)&lt;&gt;0),"有","")</f>
        <v/>
      </c>
    </row>
    <row r="3614" customFormat="false" ht="15" hidden="true" customHeight="false" outlineLevel="0" collapsed="false">
      <c r="A3614" s="53" t="str">
        <f aca="false">IF($H3614="","",ROW()-5)</f>
        <v/>
      </c>
      <c r="B3614" s="64" t="s">
        <v>37</v>
      </c>
      <c r="C3614" s="53" t="n">
        <v>210</v>
      </c>
      <c r="D3614" s="53" t="n">
        <v>1</v>
      </c>
      <c r="E3614" s="65" t="str">
        <f aca="false">IF($H3614="","",资金流水!$B210)</f>
        <v/>
      </c>
      <c r="F3614" s="55" t="str">
        <f aca="false">IF($H3614="","",资金流水!$C210)</f>
        <v/>
      </c>
      <c r="G3614" s="48" t="str">
        <f aca="false">IF($H3614="","",资金流水!$K210)</f>
        <v/>
      </c>
      <c r="H3614" s="10" t="str">
        <f aca="false">IF($L3614="","",IF($L3614="@对方",资金流水!$G210,IF($L3614="@账户",资金流水!$Q210,$L3614)))</f>
        <v/>
      </c>
      <c r="I3614" s="42" t="n">
        <f aca="false">IF($M3614="借",$O3614,0)</f>
        <v>0</v>
      </c>
      <c r="J3614" s="42" t="n">
        <f aca="false">IF($M3614="贷",$O3614,0)</f>
        <v>0</v>
      </c>
      <c r="K3614" s="48" t="str">
        <f aca="false">IF($H3614="","",资金流水!$F210)</f>
        <v/>
      </c>
      <c r="L3614" s="66" t="str">
        <f aca="false">IF(资金流水!$E210="","",IFERROR(INDEX(记账规则!$A$13:$H$32,MATCH(资金流水!$E210,记账规则!$A$13:$A$32,0),3),""))</f>
        <v/>
      </c>
      <c r="M3614" s="66" t="str">
        <f aca="false">IF($L3614="","",IFERROR(INDEX(记账规则!$A$13:$H$32,MATCH(资金流水!$E210,记账规则!$A$13:$A$32,0),4),""))</f>
        <v/>
      </c>
      <c r="N3614" s="66" t="str">
        <f aca="false">IF($L3614="","",IFERROR(INDEX(记账规则!$A$13:$H$32,MATCH(资金流水!$E210,记账规则!$A$13:$A$32,0),5),""))</f>
        <v/>
      </c>
      <c r="O3614" s="67" t="n">
        <f aca="false">IF($H3614="",0,ROUND(IF($N3614="金额",N(资金流水!$P210),0),2))</f>
        <v>0</v>
      </c>
      <c r="P3614" s="64" t="str">
        <f aca="false">IF(AND($H3614&lt;&gt;"",ROUND($O3614,2)&lt;&gt;0),"有","")</f>
        <v/>
      </c>
    </row>
    <row r="3615" customFormat="false" ht="15" hidden="true" customHeight="false" outlineLevel="0" collapsed="false">
      <c r="A3615" s="53" t="str">
        <f aca="false">IF($H3615="","",ROW()-5)</f>
        <v/>
      </c>
      <c r="B3615" s="64" t="s">
        <v>37</v>
      </c>
      <c r="C3615" s="53" t="n">
        <v>210</v>
      </c>
      <c r="D3615" s="53" t="n">
        <v>2</v>
      </c>
      <c r="E3615" s="65" t="str">
        <f aca="false">IF($H3615="","",资金流水!$B210)</f>
        <v/>
      </c>
      <c r="F3615" s="55" t="str">
        <f aca="false">IF($H3615="","",资金流水!$C210)</f>
        <v/>
      </c>
      <c r="G3615" s="48" t="str">
        <f aca="false">IF($H3615="","",资金流水!$K210)</f>
        <v/>
      </c>
      <c r="H3615" s="10" t="str">
        <f aca="false">IF($L3615="","",IF($L3615="@对方",资金流水!$G210,IF($L3615="@账户",资金流水!$Q210,$L3615)))</f>
        <v/>
      </c>
      <c r="I3615" s="42" t="n">
        <f aca="false">IF($M3615="借",$O3615,0)</f>
        <v>0</v>
      </c>
      <c r="J3615" s="42" t="n">
        <f aca="false">IF($M3615="贷",$O3615,0)</f>
        <v>0</v>
      </c>
      <c r="K3615" s="48" t="str">
        <f aca="false">IF($H3615="","",资金流水!$F210)</f>
        <v/>
      </c>
      <c r="L3615" s="66" t="str">
        <f aca="false">IF(资金流水!$E210="","",IFERROR(INDEX(记账规则!$A$13:$H$32,MATCH(资金流水!$E210,记账规则!$A$13:$A$32,0),6),""))</f>
        <v/>
      </c>
      <c r="M3615" s="66" t="str">
        <f aca="false">IF($L3615="","",IFERROR(INDEX(记账规则!$A$13:$H$32,MATCH(资金流水!$E210,记账规则!$A$13:$A$32,0),7),""))</f>
        <v/>
      </c>
      <c r="N3615" s="66" t="str">
        <f aca="false">IF($L3615="","",IFERROR(INDEX(记账规则!$A$13:$H$32,MATCH(资金流水!$E210,记账规则!$A$13:$A$32,0),8),""))</f>
        <v/>
      </c>
      <c r="O3615" s="67" t="n">
        <f aca="false">IF($H3615="",0,ROUND(IF($N3615="金额",N(资金流水!$P210),0),2))</f>
        <v>0</v>
      </c>
      <c r="P3615" s="64" t="str">
        <f aca="false">IF(AND($H3615&lt;&gt;"",ROUND($O3615,2)&lt;&gt;0),"有","")</f>
        <v/>
      </c>
    </row>
    <row r="3616" customFormat="false" ht="15" hidden="true" customHeight="false" outlineLevel="0" collapsed="false">
      <c r="A3616" s="53" t="str">
        <f aca="false">IF($H3616="","",ROW()-5)</f>
        <v/>
      </c>
      <c r="B3616" s="64" t="s">
        <v>37</v>
      </c>
      <c r="C3616" s="53" t="n">
        <v>211</v>
      </c>
      <c r="D3616" s="53" t="n">
        <v>1</v>
      </c>
      <c r="E3616" s="65" t="str">
        <f aca="false">IF($H3616="","",资金流水!$B211)</f>
        <v/>
      </c>
      <c r="F3616" s="55" t="str">
        <f aca="false">IF($H3616="","",资金流水!$C211)</f>
        <v/>
      </c>
      <c r="G3616" s="48" t="str">
        <f aca="false">IF($H3616="","",资金流水!$K211)</f>
        <v/>
      </c>
      <c r="H3616" s="10" t="str">
        <f aca="false">IF($L3616="","",IF($L3616="@对方",资金流水!$G211,IF($L3616="@账户",资金流水!$Q211,$L3616)))</f>
        <v/>
      </c>
      <c r="I3616" s="42" t="n">
        <f aca="false">IF($M3616="借",$O3616,0)</f>
        <v>0</v>
      </c>
      <c r="J3616" s="42" t="n">
        <f aca="false">IF($M3616="贷",$O3616,0)</f>
        <v>0</v>
      </c>
      <c r="K3616" s="48" t="str">
        <f aca="false">IF($H3616="","",资金流水!$F211)</f>
        <v/>
      </c>
      <c r="L3616" s="66" t="str">
        <f aca="false">IF(资金流水!$E211="","",IFERROR(INDEX(记账规则!$A$13:$H$32,MATCH(资金流水!$E211,记账规则!$A$13:$A$32,0),3),""))</f>
        <v/>
      </c>
      <c r="M3616" s="66" t="str">
        <f aca="false">IF($L3616="","",IFERROR(INDEX(记账规则!$A$13:$H$32,MATCH(资金流水!$E211,记账规则!$A$13:$A$32,0),4),""))</f>
        <v/>
      </c>
      <c r="N3616" s="66" t="str">
        <f aca="false">IF($L3616="","",IFERROR(INDEX(记账规则!$A$13:$H$32,MATCH(资金流水!$E211,记账规则!$A$13:$A$32,0),5),""))</f>
        <v/>
      </c>
      <c r="O3616" s="67" t="n">
        <f aca="false">IF($H3616="",0,ROUND(IF($N3616="金额",N(资金流水!$P211),0),2))</f>
        <v>0</v>
      </c>
      <c r="P3616" s="64" t="str">
        <f aca="false">IF(AND($H3616&lt;&gt;"",ROUND($O3616,2)&lt;&gt;0),"有","")</f>
        <v/>
      </c>
    </row>
    <row r="3617" customFormat="false" ht="15" hidden="true" customHeight="false" outlineLevel="0" collapsed="false">
      <c r="A3617" s="53" t="str">
        <f aca="false">IF($H3617="","",ROW()-5)</f>
        <v/>
      </c>
      <c r="B3617" s="64" t="s">
        <v>37</v>
      </c>
      <c r="C3617" s="53" t="n">
        <v>211</v>
      </c>
      <c r="D3617" s="53" t="n">
        <v>2</v>
      </c>
      <c r="E3617" s="65" t="str">
        <f aca="false">IF($H3617="","",资金流水!$B211)</f>
        <v/>
      </c>
      <c r="F3617" s="55" t="str">
        <f aca="false">IF($H3617="","",资金流水!$C211)</f>
        <v/>
      </c>
      <c r="G3617" s="48" t="str">
        <f aca="false">IF($H3617="","",资金流水!$K211)</f>
        <v/>
      </c>
      <c r="H3617" s="10" t="str">
        <f aca="false">IF($L3617="","",IF($L3617="@对方",资金流水!$G211,IF($L3617="@账户",资金流水!$Q211,$L3617)))</f>
        <v/>
      </c>
      <c r="I3617" s="42" t="n">
        <f aca="false">IF($M3617="借",$O3617,0)</f>
        <v>0</v>
      </c>
      <c r="J3617" s="42" t="n">
        <f aca="false">IF($M3617="贷",$O3617,0)</f>
        <v>0</v>
      </c>
      <c r="K3617" s="48" t="str">
        <f aca="false">IF($H3617="","",资金流水!$F211)</f>
        <v/>
      </c>
      <c r="L3617" s="66" t="str">
        <f aca="false">IF(资金流水!$E211="","",IFERROR(INDEX(记账规则!$A$13:$H$32,MATCH(资金流水!$E211,记账规则!$A$13:$A$32,0),6),""))</f>
        <v/>
      </c>
      <c r="M3617" s="66" t="str">
        <f aca="false">IF($L3617="","",IFERROR(INDEX(记账规则!$A$13:$H$32,MATCH(资金流水!$E211,记账规则!$A$13:$A$32,0),7),""))</f>
        <v/>
      </c>
      <c r="N3617" s="66" t="str">
        <f aca="false">IF($L3617="","",IFERROR(INDEX(记账规则!$A$13:$H$32,MATCH(资金流水!$E211,记账规则!$A$13:$A$32,0),8),""))</f>
        <v/>
      </c>
      <c r="O3617" s="67" t="n">
        <f aca="false">IF($H3617="",0,ROUND(IF($N3617="金额",N(资金流水!$P211),0),2))</f>
        <v>0</v>
      </c>
      <c r="P3617" s="64" t="str">
        <f aca="false">IF(AND($H3617&lt;&gt;"",ROUND($O3617,2)&lt;&gt;0),"有","")</f>
        <v/>
      </c>
    </row>
    <row r="3618" customFormat="false" ht="15" hidden="true" customHeight="false" outlineLevel="0" collapsed="false">
      <c r="A3618" s="53" t="str">
        <f aca="false">IF($H3618="","",ROW()-5)</f>
        <v/>
      </c>
      <c r="B3618" s="64" t="s">
        <v>37</v>
      </c>
      <c r="C3618" s="53" t="n">
        <v>212</v>
      </c>
      <c r="D3618" s="53" t="n">
        <v>1</v>
      </c>
      <c r="E3618" s="65" t="str">
        <f aca="false">IF($H3618="","",资金流水!$B212)</f>
        <v/>
      </c>
      <c r="F3618" s="55" t="str">
        <f aca="false">IF($H3618="","",资金流水!$C212)</f>
        <v/>
      </c>
      <c r="G3618" s="48" t="str">
        <f aca="false">IF($H3618="","",资金流水!$K212)</f>
        <v/>
      </c>
      <c r="H3618" s="10" t="str">
        <f aca="false">IF($L3618="","",IF($L3618="@对方",资金流水!$G212,IF($L3618="@账户",资金流水!$Q212,$L3618)))</f>
        <v/>
      </c>
      <c r="I3618" s="42" t="n">
        <f aca="false">IF($M3618="借",$O3618,0)</f>
        <v>0</v>
      </c>
      <c r="J3618" s="42" t="n">
        <f aca="false">IF($M3618="贷",$O3618,0)</f>
        <v>0</v>
      </c>
      <c r="K3618" s="48" t="str">
        <f aca="false">IF($H3618="","",资金流水!$F212)</f>
        <v/>
      </c>
      <c r="L3618" s="66" t="str">
        <f aca="false">IF(资金流水!$E212="","",IFERROR(INDEX(记账规则!$A$13:$H$32,MATCH(资金流水!$E212,记账规则!$A$13:$A$32,0),3),""))</f>
        <v/>
      </c>
      <c r="M3618" s="66" t="str">
        <f aca="false">IF($L3618="","",IFERROR(INDEX(记账规则!$A$13:$H$32,MATCH(资金流水!$E212,记账规则!$A$13:$A$32,0),4),""))</f>
        <v/>
      </c>
      <c r="N3618" s="66" t="str">
        <f aca="false">IF($L3618="","",IFERROR(INDEX(记账规则!$A$13:$H$32,MATCH(资金流水!$E212,记账规则!$A$13:$A$32,0),5),""))</f>
        <v/>
      </c>
      <c r="O3618" s="67" t="n">
        <f aca="false">IF($H3618="",0,ROUND(IF($N3618="金额",N(资金流水!$P212),0),2))</f>
        <v>0</v>
      </c>
      <c r="P3618" s="64" t="str">
        <f aca="false">IF(AND($H3618&lt;&gt;"",ROUND($O3618,2)&lt;&gt;0),"有","")</f>
        <v/>
      </c>
    </row>
    <row r="3619" customFormat="false" ht="15" hidden="true" customHeight="false" outlineLevel="0" collapsed="false">
      <c r="A3619" s="53" t="str">
        <f aca="false">IF($H3619="","",ROW()-5)</f>
        <v/>
      </c>
      <c r="B3619" s="64" t="s">
        <v>37</v>
      </c>
      <c r="C3619" s="53" t="n">
        <v>212</v>
      </c>
      <c r="D3619" s="53" t="n">
        <v>2</v>
      </c>
      <c r="E3619" s="65" t="str">
        <f aca="false">IF($H3619="","",资金流水!$B212)</f>
        <v/>
      </c>
      <c r="F3619" s="55" t="str">
        <f aca="false">IF($H3619="","",资金流水!$C212)</f>
        <v/>
      </c>
      <c r="G3619" s="48" t="str">
        <f aca="false">IF($H3619="","",资金流水!$K212)</f>
        <v/>
      </c>
      <c r="H3619" s="10" t="str">
        <f aca="false">IF($L3619="","",IF($L3619="@对方",资金流水!$G212,IF($L3619="@账户",资金流水!$Q212,$L3619)))</f>
        <v/>
      </c>
      <c r="I3619" s="42" t="n">
        <f aca="false">IF($M3619="借",$O3619,0)</f>
        <v>0</v>
      </c>
      <c r="J3619" s="42" t="n">
        <f aca="false">IF($M3619="贷",$O3619,0)</f>
        <v>0</v>
      </c>
      <c r="K3619" s="48" t="str">
        <f aca="false">IF($H3619="","",资金流水!$F212)</f>
        <v/>
      </c>
      <c r="L3619" s="66" t="str">
        <f aca="false">IF(资金流水!$E212="","",IFERROR(INDEX(记账规则!$A$13:$H$32,MATCH(资金流水!$E212,记账规则!$A$13:$A$32,0),6),""))</f>
        <v/>
      </c>
      <c r="M3619" s="66" t="str">
        <f aca="false">IF($L3619="","",IFERROR(INDEX(记账规则!$A$13:$H$32,MATCH(资金流水!$E212,记账规则!$A$13:$A$32,0),7),""))</f>
        <v/>
      </c>
      <c r="N3619" s="66" t="str">
        <f aca="false">IF($L3619="","",IFERROR(INDEX(记账规则!$A$13:$H$32,MATCH(资金流水!$E212,记账规则!$A$13:$A$32,0),8),""))</f>
        <v/>
      </c>
      <c r="O3619" s="67" t="n">
        <f aca="false">IF($H3619="",0,ROUND(IF($N3619="金额",N(资金流水!$P212),0),2))</f>
        <v>0</v>
      </c>
      <c r="P3619" s="64" t="str">
        <f aca="false">IF(AND($H3619&lt;&gt;"",ROUND($O3619,2)&lt;&gt;0),"有","")</f>
        <v/>
      </c>
    </row>
    <row r="3620" customFormat="false" ht="15" hidden="true" customHeight="false" outlineLevel="0" collapsed="false">
      <c r="A3620" s="53" t="str">
        <f aca="false">IF($H3620="","",ROW()-5)</f>
        <v/>
      </c>
      <c r="B3620" s="64" t="s">
        <v>37</v>
      </c>
      <c r="C3620" s="53" t="n">
        <v>213</v>
      </c>
      <c r="D3620" s="53" t="n">
        <v>1</v>
      </c>
      <c r="E3620" s="65" t="str">
        <f aca="false">IF($H3620="","",资金流水!$B213)</f>
        <v/>
      </c>
      <c r="F3620" s="55" t="str">
        <f aca="false">IF($H3620="","",资金流水!$C213)</f>
        <v/>
      </c>
      <c r="G3620" s="48" t="str">
        <f aca="false">IF($H3620="","",资金流水!$K213)</f>
        <v/>
      </c>
      <c r="H3620" s="10" t="str">
        <f aca="false">IF($L3620="","",IF($L3620="@对方",资金流水!$G213,IF($L3620="@账户",资金流水!$Q213,$L3620)))</f>
        <v/>
      </c>
      <c r="I3620" s="42" t="n">
        <f aca="false">IF($M3620="借",$O3620,0)</f>
        <v>0</v>
      </c>
      <c r="J3620" s="42" t="n">
        <f aca="false">IF($M3620="贷",$O3620,0)</f>
        <v>0</v>
      </c>
      <c r="K3620" s="48" t="str">
        <f aca="false">IF($H3620="","",资金流水!$F213)</f>
        <v/>
      </c>
      <c r="L3620" s="66" t="str">
        <f aca="false">IF(资金流水!$E213="","",IFERROR(INDEX(记账规则!$A$13:$H$32,MATCH(资金流水!$E213,记账规则!$A$13:$A$32,0),3),""))</f>
        <v/>
      </c>
      <c r="M3620" s="66" t="str">
        <f aca="false">IF($L3620="","",IFERROR(INDEX(记账规则!$A$13:$H$32,MATCH(资金流水!$E213,记账规则!$A$13:$A$32,0),4),""))</f>
        <v/>
      </c>
      <c r="N3620" s="66" t="str">
        <f aca="false">IF($L3620="","",IFERROR(INDEX(记账规则!$A$13:$H$32,MATCH(资金流水!$E213,记账规则!$A$13:$A$32,0),5),""))</f>
        <v/>
      </c>
      <c r="O3620" s="67" t="n">
        <f aca="false">IF($H3620="",0,ROUND(IF($N3620="金额",N(资金流水!$P213),0),2))</f>
        <v>0</v>
      </c>
      <c r="P3620" s="64" t="str">
        <f aca="false">IF(AND($H3620&lt;&gt;"",ROUND($O3620,2)&lt;&gt;0),"有","")</f>
        <v/>
      </c>
    </row>
    <row r="3621" customFormat="false" ht="15" hidden="true" customHeight="false" outlineLevel="0" collapsed="false">
      <c r="A3621" s="53" t="str">
        <f aca="false">IF($H3621="","",ROW()-5)</f>
        <v/>
      </c>
      <c r="B3621" s="64" t="s">
        <v>37</v>
      </c>
      <c r="C3621" s="53" t="n">
        <v>213</v>
      </c>
      <c r="D3621" s="53" t="n">
        <v>2</v>
      </c>
      <c r="E3621" s="65" t="str">
        <f aca="false">IF($H3621="","",资金流水!$B213)</f>
        <v/>
      </c>
      <c r="F3621" s="55" t="str">
        <f aca="false">IF($H3621="","",资金流水!$C213)</f>
        <v/>
      </c>
      <c r="G3621" s="48" t="str">
        <f aca="false">IF($H3621="","",资金流水!$K213)</f>
        <v/>
      </c>
      <c r="H3621" s="10" t="str">
        <f aca="false">IF($L3621="","",IF($L3621="@对方",资金流水!$G213,IF($L3621="@账户",资金流水!$Q213,$L3621)))</f>
        <v/>
      </c>
      <c r="I3621" s="42" t="n">
        <f aca="false">IF($M3621="借",$O3621,0)</f>
        <v>0</v>
      </c>
      <c r="J3621" s="42" t="n">
        <f aca="false">IF($M3621="贷",$O3621,0)</f>
        <v>0</v>
      </c>
      <c r="K3621" s="48" t="str">
        <f aca="false">IF($H3621="","",资金流水!$F213)</f>
        <v/>
      </c>
      <c r="L3621" s="66" t="str">
        <f aca="false">IF(资金流水!$E213="","",IFERROR(INDEX(记账规则!$A$13:$H$32,MATCH(资金流水!$E213,记账规则!$A$13:$A$32,0),6),""))</f>
        <v/>
      </c>
      <c r="M3621" s="66" t="str">
        <f aca="false">IF($L3621="","",IFERROR(INDEX(记账规则!$A$13:$H$32,MATCH(资金流水!$E213,记账规则!$A$13:$A$32,0),7),""))</f>
        <v/>
      </c>
      <c r="N3621" s="66" t="str">
        <f aca="false">IF($L3621="","",IFERROR(INDEX(记账规则!$A$13:$H$32,MATCH(资金流水!$E213,记账规则!$A$13:$A$32,0),8),""))</f>
        <v/>
      </c>
      <c r="O3621" s="67" t="n">
        <f aca="false">IF($H3621="",0,ROUND(IF($N3621="金额",N(资金流水!$P213),0),2))</f>
        <v>0</v>
      </c>
      <c r="P3621" s="64" t="str">
        <f aca="false">IF(AND($H3621&lt;&gt;"",ROUND($O3621,2)&lt;&gt;0),"有","")</f>
        <v/>
      </c>
    </row>
    <row r="3622" customFormat="false" ht="15" hidden="true" customHeight="false" outlineLevel="0" collapsed="false">
      <c r="A3622" s="53" t="str">
        <f aca="false">IF($H3622="","",ROW()-5)</f>
        <v/>
      </c>
      <c r="B3622" s="64" t="s">
        <v>37</v>
      </c>
      <c r="C3622" s="53" t="n">
        <v>214</v>
      </c>
      <c r="D3622" s="53" t="n">
        <v>1</v>
      </c>
      <c r="E3622" s="65" t="str">
        <f aca="false">IF($H3622="","",资金流水!$B214)</f>
        <v/>
      </c>
      <c r="F3622" s="55" t="str">
        <f aca="false">IF($H3622="","",资金流水!$C214)</f>
        <v/>
      </c>
      <c r="G3622" s="48" t="str">
        <f aca="false">IF($H3622="","",资金流水!$K214)</f>
        <v/>
      </c>
      <c r="H3622" s="10" t="str">
        <f aca="false">IF($L3622="","",IF($L3622="@对方",资金流水!$G214,IF($L3622="@账户",资金流水!$Q214,$L3622)))</f>
        <v/>
      </c>
      <c r="I3622" s="42" t="n">
        <f aca="false">IF($M3622="借",$O3622,0)</f>
        <v>0</v>
      </c>
      <c r="J3622" s="42" t="n">
        <f aca="false">IF($M3622="贷",$O3622,0)</f>
        <v>0</v>
      </c>
      <c r="K3622" s="48" t="str">
        <f aca="false">IF($H3622="","",资金流水!$F214)</f>
        <v/>
      </c>
      <c r="L3622" s="66" t="str">
        <f aca="false">IF(资金流水!$E214="","",IFERROR(INDEX(记账规则!$A$13:$H$32,MATCH(资金流水!$E214,记账规则!$A$13:$A$32,0),3),""))</f>
        <v/>
      </c>
      <c r="M3622" s="66" t="str">
        <f aca="false">IF($L3622="","",IFERROR(INDEX(记账规则!$A$13:$H$32,MATCH(资金流水!$E214,记账规则!$A$13:$A$32,0),4),""))</f>
        <v/>
      </c>
      <c r="N3622" s="66" t="str">
        <f aca="false">IF($L3622="","",IFERROR(INDEX(记账规则!$A$13:$H$32,MATCH(资金流水!$E214,记账规则!$A$13:$A$32,0),5),""))</f>
        <v/>
      </c>
      <c r="O3622" s="67" t="n">
        <f aca="false">IF($H3622="",0,ROUND(IF($N3622="金额",N(资金流水!$P214),0),2))</f>
        <v>0</v>
      </c>
      <c r="P3622" s="64" t="str">
        <f aca="false">IF(AND($H3622&lt;&gt;"",ROUND($O3622,2)&lt;&gt;0),"有","")</f>
        <v/>
      </c>
    </row>
    <row r="3623" customFormat="false" ht="15" hidden="true" customHeight="false" outlineLevel="0" collapsed="false">
      <c r="A3623" s="53" t="str">
        <f aca="false">IF($H3623="","",ROW()-5)</f>
        <v/>
      </c>
      <c r="B3623" s="64" t="s">
        <v>37</v>
      </c>
      <c r="C3623" s="53" t="n">
        <v>214</v>
      </c>
      <c r="D3623" s="53" t="n">
        <v>2</v>
      </c>
      <c r="E3623" s="65" t="str">
        <f aca="false">IF($H3623="","",资金流水!$B214)</f>
        <v/>
      </c>
      <c r="F3623" s="55" t="str">
        <f aca="false">IF($H3623="","",资金流水!$C214)</f>
        <v/>
      </c>
      <c r="G3623" s="48" t="str">
        <f aca="false">IF($H3623="","",资金流水!$K214)</f>
        <v/>
      </c>
      <c r="H3623" s="10" t="str">
        <f aca="false">IF($L3623="","",IF($L3623="@对方",资金流水!$G214,IF($L3623="@账户",资金流水!$Q214,$L3623)))</f>
        <v/>
      </c>
      <c r="I3623" s="42" t="n">
        <f aca="false">IF($M3623="借",$O3623,0)</f>
        <v>0</v>
      </c>
      <c r="J3623" s="42" t="n">
        <f aca="false">IF($M3623="贷",$O3623,0)</f>
        <v>0</v>
      </c>
      <c r="K3623" s="48" t="str">
        <f aca="false">IF($H3623="","",资金流水!$F214)</f>
        <v/>
      </c>
      <c r="L3623" s="66" t="str">
        <f aca="false">IF(资金流水!$E214="","",IFERROR(INDEX(记账规则!$A$13:$H$32,MATCH(资金流水!$E214,记账规则!$A$13:$A$32,0),6),""))</f>
        <v/>
      </c>
      <c r="M3623" s="66" t="str">
        <f aca="false">IF($L3623="","",IFERROR(INDEX(记账规则!$A$13:$H$32,MATCH(资金流水!$E214,记账规则!$A$13:$A$32,0),7),""))</f>
        <v/>
      </c>
      <c r="N3623" s="66" t="str">
        <f aca="false">IF($L3623="","",IFERROR(INDEX(记账规则!$A$13:$H$32,MATCH(资金流水!$E214,记账规则!$A$13:$A$32,0),8),""))</f>
        <v/>
      </c>
      <c r="O3623" s="67" t="n">
        <f aca="false">IF($H3623="",0,ROUND(IF($N3623="金额",N(资金流水!$P214),0),2))</f>
        <v>0</v>
      </c>
      <c r="P3623" s="64" t="str">
        <f aca="false">IF(AND($H3623&lt;&gt;"",ROUND($O3623,2)&lt;&gt;0),"有","")</f>
        <v/>
      </c>
    </row>
    <row r="3624" customFormat="false" ht="15" hidden="true" customHeight="false" outlineLevel="0" collapsed="false">
      <c r="A3624" s="53" t="str">
        <f aca="false">IF($H3624="","",ROW()-5)</f>
        <v/>
      </c>
      <c r="B3624" s="64" t="s">
        <v>37</v>
      </c>
      <c r="C3624" s="53" t="n">
        <v>215</v>
      </c>
      <c r="D3624" s="53" t="n">
        <v>1</v>
      </c>
      <c r="E3624" s="65" t="str">
        <f aca="false">IF($H3624="","",资金流水!$B215)</f>
        <v/>
      </c>
      <c r="F3624" s="55" t="str">
        <f aca="false">IF($H3624="","",资金流水!$C215)</f>
        <v/>
      </c>
      <c r="G3624" s="48" t="str">
        <f aca="false">IF($H3624="","",资金流水!$K215)</f>
        <v/>
      </c>
      <c r="H3624" s="10" t="str">
        <f aca="false">IF($L3624="","",IF($L3624="@对方",资金流水!$G215,IF($L3624="@账户",资金流水!$Q215,$L3624)))</f>
        <v/>
      </c>
      <c r="I3624" s="42" t="n">
        <f aca="false">IF($M3624="借",$O3624,0)</f>
        <v>0</v>
      </c>
      <c r="J3624" s="42" t="n">
        <f aca="false">IF($M3624="贷",$O3624,0)</f>
        <v>0</v>
      </c>
      <c r="K3624" s="48" t="str">
        <f aca="false">IF($H3624="","",资金流水!$F215)</f>
        <v/>
      </c>
      <c r="L3624" s="66" t="str">
        <f aca="false">IF(资金流水!$E215="","",IFERROR(INDEX(记账规则!$A$13:$H$32,MATCH(资金流水!$E215,记账规则!$A$13:$A$32,0),3),""))</f>
        <v/>
      </c>
      <c r="M3624" s="66" t="str">
        <f aca="false">IF($L3624="","",IFERROR(INDEX(记账规则!$A$13:$H$32,MATCH(资金流水!$E215,记账规则!$A$13:$A$32,0),4),""))</f>
        <v/>
      </c>
      <c r="N3624" s="66" t="str">
        <f aca="false">IF($L3624="","",IFERROR(INDEX(记账规则!$A$13:$H$32,MATCH(资金流水!$E215,记账规则!$A$13:$A$32,0),5),""))</f>
        <v/>
      </c>
      <c r="O3624" s="67" t="n">
        <f aca="false">IF($H3624="",0,ROUND(IF($N3624="金额",N(资金流水!$P215),0),2))</f>
        <v>0</v>
      </c>
      <c r="P3624" s="64" t="str">
        <f aca="false">IF(AND($H3624&lt;&gt;"",ROUND($O3624,2)&lt;&gt;0),"有","")</f>
        <v/>
      </c>
    </row>
    <row r="3625" customFormat="false" ht="15" hidden="true" customHeight="false" outlineLevel="0" collapsed="false">
      <c r="A3625" s="53" t="str">
        <f aca="false">IF($H3625="","",ROW()-5)</f>
        <v/>
      </c>
      <c r="B3625" s="64" t="s">
        <v>37</v>
      </c>
      <c r="C3625" s="53" t="n">
        <v>215</v>
      </c>
      <c r="D3625" s="53" t="n">
        <v>2</v>
      </c>
      <c r="E3625" s="65" t="str">
        <f aca="false">IF($H3625="","",资金流水!$B215)</f>
        <v/>
      </c>
      <c r="F3625" s="55" t="str">
        <f aca="false">IF($H3625="","",资金流水!$C215)</f>
        <v/>
      </c>
      <c r="G3625" s="48" t="str">
        <f aca="false">IF($H3625="","",资金流水!$K215)</f>
        <v/>
      </c>
      <c r="H3625" s="10" t="str">
        <f aca="false">IF($L3625="","",IF($L3625="@对方",资金流水!$G215,IF($L3625="@账户",资金流水!$Q215,$L3625)))</f>
        <v/>
      </c>
      <c r="I3625" s="42" t="n">
        <f aca="false">IF($M3625="借",$O3625,0)</f>
        <v>0</v>
      </c>
      <c r="J3625" s="42" t="n">
        <f aca="false">IF($M3625="贷",$O3625,0)</f>
        <v>0</v>
      </c>
      <c r="K3625" s="48" t="str">
        <f aca="false">IF($H3625="","",资金流水!$F215)</f>
        <v/>
      </c>
      <c r="L3625" s="66" t="str">
        <f aca="false">IF(资金流水!$E215="","",IFERROR(INDEX(记账规则!$A$13:$H$32,MATCH(资金流水!$E215,记账规则!$A$13:$A$32,0),6),""))</f>
        <v/>
      </c>
      <c r="M3625" s="66" t="str">
        <f aca="false">IF($L3625="","",IFERROR(INDEX(记账规则!$A$13:$H$32,MATCH(资金流水!$E215,记账规则!$A$13:$A$32,0),7),""))</f>
        <v/>
      </c>
      <c r="N3625" s="66" t="str">
        <f aca="false">IF($L3625="","",IFERROR(INDEX(记账规则!$A$13:$H$32,MATCH(资金流水!$E215,记账规则!$A$13:$A$32,0),8),""))</f>
        <v/>
      </c>
      <c r="O3625" s="67" t="n">
        <f aca="false">IF($H3625="",0,ROUND(IF($N3625="金额",N(资金流水!$P215),0),2))</f>
        <v>0</v>
      </c>
      <c r="P3625" s="64" t="str">
        <f aca="false">IF(AND($H3625&lt;&gt;"",ROUND($O3625,2)&lt;&gt;0),"有","")</f>
        <v/>
      </c>
    </row>
    <row r="3626" customFormat="false" ht="15" hidden="true" customHeight="false" outlineLevel="0" collapsed="false">
      <c r="A3626" s="53" t="str">
        <f aca="false">IF($H3626="","",ROW()-5)</f>
        <v/>
      </c>
      <c r="B3626" s="64" t="s">
        <v>37</v>
      </c>
      <c r="C3626" s="53" t="n">
        <v>216</v>
      </c>
      <c r="D3626" s="53" t="n">
        <v>1</v>
      </c>
      <c r="E3626" s="65" t="str">
        <f aca="false">IF($H3626="","",资金流水!$B216)</f>
        <v/>
      </c>
      <c r="F3626" s="55" t="str">
        <f aca="false">IF($H3626="","",资金流水!$C216)</f>
        <v/>
      </c>
      <c r="G3626" s="48" t="str">
        <f aca="false">IF($H3626="","",资金流水!$K216)</f>
        <v/>
      </c>
      <c r="H3626" s="10" t="str">
        <f aca="false">IF($L3626="","",IF($L3626="@对方",资金流水!$G216,IF($L3626="@账户",资金流水!$Q216,$L3626)))</f>
        <v/>
      </c>
      <c r="I3626" s="42" t="n">
        <f aca="false">IF($M3626="借",$O3626,0)</f>
        <v>0</v>
      </c>
      <c r="J3626" s="42" t="n">
        <f aca="false">IF($M3626="贷",$O3626,0)</f>
        <v>0</v>
      </c>
      <c r="K3626" s="48" t="str">
        <f aca="false">IF($H3626="","",资金流水!$F216)</f>
        <v/>
      </c>
      <c r="L3626" s="66" t="str">
        <f aca="false">IF(资金流水!$E216="","",IFERROR(INDEX(记账规则!$A$13:$H$32,MATCH(资金流水!$E216,记账规则!$A$13:$A$32,0),3),""))</f>
        <v/>
      </c>
      <c r="M3626" s="66" t="str">
        <f aca="false">IF($L3626="","",IFERROR(INDEX(记账规则!$A$13:$H$32,MATCH(资金流水!$E216,记账规则!$A$13:$A$32,0),4),""))</f>
        <v/>
      </c>
      <c r="N3626" s="66" t="str">
        <f aca="false">IF($L3626="","",IFERROR(INDEX(记账规则!$A$13:$H$32,MATCH(资金流水!$E216,记账规则!$A$13:$A$32,0),5),""))</f>
        <v/>
      </c>
      <c r="O3626" s="67" t="n">
        <f aca="false">IF($H3626="",0,ROUND(IF($N3626="金额",N(资金流水!$P216),0),2))</f>
        <v>0</v>
      </c>
      <c r="P3626" s="64" t="str">
        <f aca="false">IF(AND($H3626&lt;&gt;"",ROUND($O3626,2)&lt;&gt;0),"有","")</f>
        <v/>
      </c>
    </row>
    <row r="3627" customFormat="false" ht="15" hidden="true" customHeight="false" outlineLevel="0" collapsed="false">
      <c r="A3627" s="53" t="str">
        <f aca="false">IF($H3627="","",ROW()-5)</f>
        <v/>
      </c>
      <c r="B3627" s="64" t="s">
        <v>37</v>
      </c>
      <c r="C3627" s="53" t="n">
        <v>216</v>
      </c>
      <c r="D3627" s="53" t="n">
        <v>2</v>
      </c>
      <c r="E3627" s="65" t="str">
        <f aca="false">IF($H3627="","",资金流水!$B216)</f>
        <v/>
      </c>
      <c r="F3627" s="55" t="str">
        <f aca="false">IF($H3627="","",资金流水!$C216)</f>
        <v/>
      </c>
      <c r="G3627" s="48" t="str">
        <f aca="false">IF($H3627="","",资金流水!$K216)</f>
        <v/>
      </c>
      <c r="H3627" s="10" t="str">
        <f aca="false">IF($L3627="","",IF($L3627="@对方",资金流水!$G216,IF($L3627="@账户",资金流水!$Q216,$L3627)))</f>
        <v/>
      </c>
      <c r="I3627" s="42" t="n">
        <f aca="false">IF($M3627="借",$O3627,0)</f>
        <v>0</v>
      </c>
      <c r="J3627" s="42" t="n">
        <f aca="false">IF($M3627="贷",$O3627,0)</f>
        <v>0</v>
      </c>
      <c r="K3627" s="48" t="str">
        <f aca="false">IF($H3627="","",资金流水!$F216)</f>
        <v/>
      </c>
      <c r="L3627" s="66" t="str">
        <f aca="false">IF(资金流水!$E216="","",IFERROR(INDEX(记账规则!$A$13:$H$32,MATCH(资金流水!$E216,记账规则!$A$13:$A$32,0),6),""))</f>
        <v/>
      </c>
      <c r="M3627" s="66" t="str">
        <f aca="false">IF($L3627="","",IFERROR(INDEX(记账规则!$A$13:$H$32,MATCH(资金流水!$E216,记账规则!$A$13:$A$32,0),7),""))</f>
        <v/>
      </c>
      <c r="N3627" s="66" t="str">
        <f aca="false">IF($L3627="","",IFERROR(INDEX(记账规则!$A$13:$H$32,MATCH(资金流水!$E216,记账规则!$A$13:$A$32,0),8),""))</f>
        <v/>
      </c>
      <c r="O3627" s="67" t="n">
        <f aca="false">IF($H3627="",0,ROUND(IF($N3627="金额",N(资金流水!$P216),0),2))</f>
        <v>0</v>
      </c>
      <c r="P3627" s="64" t="str">
        <f aca="false">IF(AND($H3627&lt;&gt;"",ROUND($O3627,2)&lt;&gt;0),"有","")</f>
        <v/>
      </c>
    </row>
    <row r="3628" customFormat="false" ht="15" hidden="true" customHeight="false" outlineLevel="0" collapsed="false">
      <c r="A3628" s="53" t="str">
        <f aca="false">IF($H3628="","",ROW()-5)</f>
        <v/>
      </c>
      <c r="B3628" s="64" t="s">
        <v>37</v>
      </c>
      <c r="C3628" s="53" t="n">
        <v>217</v>
      </c>
      <c r="D3628" s="53" t="n">
        <v>1</v>
      </c>
      <c r="E3628" s="65" t="str">
        <f aca="false">IF($H3628="","",资金流水!$B217)</f>
        <v/>
      </c>
      <c r="F3628" s="55" t="str">
        <f aca="false">IF($H3628="","",资金流水!$C217)</f>
        <v/>
      </c>
      <c r="G3628" s="48" t="str">
        <f aca="false">IF($H3628="","",资金流水!$K217)</f>
        <v/>
      </c>
      <c r="H3628" s="10" t="str">
        <f aca="false">IF($L3628="","",IF($L3628="@对方",资金流水!$G217,IF($L3628="@账户",资金流水!$Q217,$L3628)))</f>
        <v/>
      </c>
      <c r="I3628" s="42" t="n">
        <f aca="false">IF($M3628="借",$O3628,0)</f>
        <v>0</v>
      </c>
      <c r="J3628" s="42" t="n">
        <f aca="false">IF($M3628="贷",$O3628,0)</f>
        <v>0</v>
      </c>
      <c r="K3628" s="48" t="str">
        <f aca="false">IF($H3628="","",资金流水!$F217)</f>
        <v/>
      </c>
      <c r="L3628" s="66" t="str">
        <f aca="false">IF(资金流水!$E217="","",IFERROR(INDEX(记账规则!$A$13:$H$32,MATCH(资金流水!$E217,记账规则!$A$13:$A$32,0),3),""))</f>
        <v/>
      </c>
      <c r="M3628" s="66" t="str">
        <f aca="false">IF($L3628="","",IFERROR(INDEX(记账规则!$A$13:$H$32,MATCH(资金流水!$E217,记账规则!$A$13:$A$32,0),4),""))</f>
        <v/>
      </c>
      <c r="N3628" s="66" t="str">
        <f aca="false">IF($L3628="","",IFERROR(INDEX(记账规则!$A$13:$H$32,MATCH(资金流水!$E217,记账规则!$A$13:$A$32,0),5),""))</f>
        <v/>
      </c>
      <c r="O3628" s="67" t="n">
        <f aca="false">IF($H3628="",0,ROUND(IF($N3628="金额",N(资金流水!$P217),0),2))</f>
        <v>0</v>
      </c>
      <c r="P3628" s="64" t="str">
        <f aca="false">IF(AND($H3628&lt;&gt;"",ROUND($O3628,2)&lt;&gt;0),"有","")</f>
        <v/>
      </c>
    </row>
    <row r="3629" customFormat="false" ht="15" hidden="true" customHeight="false" outlineLevel="0" collapsed="false">
      <c r="A3629" s="53" t="str">
        <f aca="false">IF($H3629="","",ROW()-5)</f>
        <v/>
      </c>
      <c r="B3629" s="64" t="s">
        <v>37</v>
      </c>
      <c r="C3629" s="53" t="n">
        <v>217</v>
      </c>
      <c r="D3629" s="53" t="n">
        <v>2</v>
      </c>
      <c r="E3629" s="65" t="str">
        <f aca="false">IF($H3629="","",资金流水!$B217)</f>
        <v/>
      </c>
      <c r="F3629" s="55" t="str">
        <f aca="false">IF($H3629="","",资金流水!$C217)</f>
        <v/>
      </c>
      <c r="G3629" s="48" t="str">
        <f aca="false">IF($H3629="","",资金流水!$K217)</f>
        <v/>
      </c>
      <c r="H3629" s="10" t="str">
        <f aca="false">IF($L3629="","",IF($L3629="@对方",资金流水!$G217,IF($L3629="@账户",资金流水!$Q217,$L3629)))</f>
        <v/>
      </c>
      <c r="I3629" s="42" t="n">
        <f aca="false">IF($M3629="借",$O3629,0)</f>
        <v>0</v>
      </c>
      <c r="J3629" s="42" t="n">
        <f aca="false">IF($M3629="贷",$O3629,0)</f>
        <v>0</v>
      </c>
      <c r="K3629" s="48" t="str">
        <f aca="false">IF($H3629="","",资金流水!$F217)</f>
        <v/>
      </c>
      <c r="L3629" s="66" t="str">
        <f aca="false">IF(资金流水!$E217="","",IFERROR(INDEX(记账规则!$A$13:$H$32,MATCH(资金流水!$E217,记账规则!$A$13:$A$32,0),6),""))</f>
        <v/>
      </c>
      <c r="M3629" s="66" t="str">
        <f aca="false">IF($L3629="","",IFERROR(INDEX(记账规则!$A$13:$H$32,MATCH(资金流水!$E217,记账规则!$A$13:$A$32,0),7),""))</f>
        <v/>
      </c>
      <c r="N3629" s="66" t="str">
        <f aca="false">IF($L3629="","",IFERROR(INDEX(记账规则!$A$13:$H$32,MATCH(资金流水!$E217,记账规则!$A$13:$A$32,0),8),""))</f>
        <v/>
      </c>
      <c r="O3629" s="67" t="n">
        <f aca="false">IF($H3629="",0,ROUND(IF($N3629="金额",N(资金流水!$P217),0),2))</f>
        <v>0</v>
      </c>
      <c r="P3629" s="64" t="str">
        <f aca="false">IF(AND($H3629&lt;&gt;"",ROUND($O3629,2)&lt;&gt;0),"有","")</f>
        <v/>
      </c>
    </row>
    <row r="3630" customFormat="false" ht="15" hidden="true" customHeight="false" outlineLevel="0" collapsed="false">
      <c r="A3630" s="53" t="str">
        <f aca="false">IF($H3630="","",ROW()-5)</f>
        <v/>
      </c>
      <c r="B3630" s="64" t="s">
        <v>37</v>
      </c>
      <c r="C3630" s="53" t="n">
        <v>218</v>
      </c>
      <c r="D3630" s="53" t="n">
        <v>1</v>
      </c>
      <c r="E3630" s="65" t="str">
        <f aca="false">IF($H3630="","",资金流水!$B218)</f>
        <v/>
      </c>
      <c r="F3630" s="55" t="str">
        <f aca="false">IF($H3630="","",资金流水!$C218)</f>
        <v/>
      </c>
      <c r="G3630" s="48" t="str">
        <f aca="false">IF($H3630="","",资金流水!$K218)</f>
        <v/>
      </c>
      <c r="H3630" s="10" t="str">
        <f aca="false">IF($L3630="","",IF($L3630="@对方",资金流水!$G218,IF($L3630="@账户",资金流水!$Q218,$L3630)))</f>
        <v/>
      </c>
      <c r="I3630" s="42" t="n">
        <f aca="false">IF($M3630="借",$O3630,0)</f>
        <v>0</v>
      </c>
      <c r="J3630" s="42" t="n">
        <f aca="false">IF($M3630="贷",$O3630,0)</f>
        <v>0</v>
      </c>
      <c r="K3630" s="48" t="str">
        <f aca="false">IF($H3630="","",资金流水!$F218)</f>
        <v/>
      </c>
      <c r="L3630" s="66" t="str">
        <f aca="false">IF(资金流水!$E218="","",IFERROR(INDEX(记账规则!$A$13:$H$32,MATCH(资金流水!$E218,记账规则!$A$13:$A$32,0),3),""))</f>
        <v/>
      </c>
      <c r="M3630" s="66" t="str">
        <f aca="false">IF($L3630="","",IFERROR(INDEX(记账规则!$A$13:$H$32,MATCH(资金流水!$E218,记账规则!$A$13:$A$32,0),4),""))</f>
        <v/>
      </c>
      <c r="N3630" s="66" t="str">
        <f aca="false">IF($L3630="","",IFERROR(INDEX(记账规则!$A$13:$H$32,MATCH(资金流水!$E218,记账规则!$A$13:$A$32,0),5),""))</f>
        <v/>
      </c>
      <c r="O3630" s="67" t="n">
        <f aca="false">IF($H3630="",0,ROUND(IF($N3630="金额",N(资金流水!$P218),0),2))</f>
        <v>0</v>
      </c>
      <c r="P3630" s="64" t="str">
        <f aca="false">IF(AND($H3630&lt;&gt;"",ROUND($O3630,2)&lt;&gt;0),"有","")</f>
        <v/>
      </c>
    </row>
    <row r="3631" customFormat="false" ht="15" hidden="true" customHeight="false" outlineLevel="0" collapsed="false">
      <c r="A3631" s="53" t="str">
        <f aca="false">IF($H3631="","",ROW()-5)</f>
        <v/>
      </c>
      <c r="B3631" s="64" t="s">
        <v>37</v>
      </c>
      <c r="C3631" s="53" t="n">
        <v>218</v>
      </c>
      <c r="D3631" s="53" t="n">
        <v>2</v>
      </c>
      <c r="E3631" s="65" t="str">
        <f aca="false">IF($H3631="","",资金流水!$B218)</f>
        <v/>
      </c>
      <c r="F3631" s="55" t="str">
        <f aca="false">IF($H3631="","",资金流水!$C218)</f>
        <v/>
      </c>
      <c r="G3631" s="48" t="str">
        <f aca="false">IF($H3631="","",资金流水!$K218)</f>
        <v/>
      </c>
      <c r="H3631" s="10" t="str">
        <f aca="false">IF($L3631="","",IF($L3631="@对方",资金流水!$G218,IF($L3631="@账户",资金流水!$Q218,$L3631)))</f>
        <v/>
      </c>
      <c r="I3631" s="42" t="n">
        <f aca="false">IF($M3631="借",$O3631,0)</f>
        <v>0</v>
      </c>
      <c r="J3631" s="42" t="n">
        <f aca="false">IF($M3631="贷",$O3631,0)</f>
        <v>0</v>
      </c>
      <c r="K3631" s="48" t="str">
        <f aca="false">IF($H3631="","",资金流水!$F218)</f>
        <v/>
      </c>
      <c r="L3631" s="66" t="str">
        <f aca="false">IF(资金流水!$E218="","",IFERROR(INDEX(记账规则!$A$13:$H$32,MATCH(资金流水!$E218,记账规则!$A$13:$A$32,0),6),""))</f>
        <v/>
      </c>
      <c r="M3631" s="66" t="str">
        <f aca="false">IF($L3631="","",IFERROR(INDEX(记账规则!$A$13:$H$32,MATCH(资金流水!$E218,记账规则!$A$13:$A$32,0),7),""))</f>
        <v/>
      </c>
      <c r="N3631" s="66" t="str">
        <f aca="false">IF($L3631="","",IFERROR(INDEX(记账规则!$A$13:$H$32,MATCH(资金流水!$E218,记账规则!$A$13:$A$32,0),8),""))</f>
        <v/>
      </c>
      <c r="O3631" s="67" t="n">
        <f aca="false">IF($H3631="",0,ROUND(IF($N3631="金额",N(资金流水!$P218),0),2))</f>
        <v>0</v>
      </c>
      <c r="P3631" s="64" t="str">
        <f aca="false">IF(AND($H3631&lt;&gt;"",ROUND($O3631,2)&lt;&gt;0),"有","")</f>
        <v/>
      </c>
    </row>
    <row r="3632" customFormat="false" ht="15" hidden="true" customHeight="false" outlineLevel="0" collapsed="false">
      <c r="A3632" s="53" t="str">
        <f aca="false">IF($H3632="","",ROW()-5)</f>
        <v/>
      </c>
      <c r="B3632" s="64" t="s">
        <v>37</v>
      </c>
      <c r="C3632" s="53" t="n">
        <v>219</v>
      </c>
      <c r="D3632" s="53" t="n">
        <v>1</v>
      </c>
      <c r="E3632" s="65" t="str">
        <f aca="false">IF($H3632="","",资金流水!$B219)</f>
        <v/>
      </c>
      <c r="F3632" s="55" t="str">
        <f aca="false">IF($H3632="","",资金流水!$C219)</f>
        <v/>
      </c>
      <c r="G3632" s="48" t="str">
        <f aca="false">IF($H3632="","",资金流水!$K219)</f>
        <v/>
      </c>
      <c r="H3632" s="10" t="str">
        <f aca="false">IF($L3632="","",IF($L3632="@对方",资金流水!$G219,IF($L3632="@账户",资金流水!$Q219,$L3632)))</f>
        <v/>
      </c>
      <c r="I3632" s="42" t="n">
        <f aca="false">IF($M3632="借",$O3632,0)</f>
        <v>0</v>
      </c>
      <c r="J3632" s="42" t="n">
        <f aca="false">IF($M3632="贷",$O3632,0)</f>
        <v>0</v>
      </c>
      <c r="K3632" s="48" t="str">
        <f aca="false">IF($H3632="","",资金流水!$F219)</f>
        <v/>
      </c>
      <c r="L3632" s="66" t="str">
        <f aca="false">IF(资金流水!$E219="","",IFERROR(INDEX(记账规则!$A$13:$H$32,MATCH(资金流水!$E219,记账规则!$A$13:$A$32,0),3),""))</f>
        <v/>
      </c>
      <c r="M3632" s="66" t="str">
        <f aca="false">IF($L3632="","",IFERROR(INDEX(记账规则!$A$13:$H$32,MATCH(资金流水!$E219,记账规则!$A$13:$A$32,0),4),""))</f>
        <v/>
      </c>
      <c r="N3632" s="66" t="str">
        <f aca="false">IF($L3632="","",IFERROR(INDEX(记账规则!$A$13:$H$32,MATCH(资金流水!$E219,记账规则!$A$13:$A$32,0),5),""))</f>
        <v/>
      </c>
      <c r="O3632" s="67" t="n">
        <f aca="false">IF($H3632="",0,ROUND(IF($N3632="金额",N(资金流水!$P219),0),2))</f>
        <v>0</v>
      </c>
      <c r="P3632" s="64" t="str">
        <f aca="false">IF(AND($H3632&lt;&gt;"",ROUND($O3632,2)&lt;&gt;0),"有","")</f>
        <v/>
      </c>
    </row>
    <row r="3633" customFormat="false" ht="15" hidden="true" customHeight="false" outlineLevel="0" collapsed="false">
      <c r="A3633" s="53" t="str">
        <f aca="false">IF($H3633="","",ROW()-5)</f>
        <v/>
      </c>
      <c r="B3633" s="64" t="s">
        <v>37</v>
      </c>
      <c r="C3633" s="53" t="n">
        <v>219</v>
      </c>
      <c r="D3633" s="53" t="n">
        <v>2</v>
      </c>
      <c r="E3633" s="65" t="str">
        <f aca="false">IF($H3633="","",资金流水!$B219)</f>
        <v/>
      </c>
      <c r="F3633" s="55" t="str">
        <f aca="false">IF($H3633="","",资金流水!$C219)</f>
        <v/>
      </c>
      <c r="G3633" s="48" t="str">
        <f aca="false">IF($H3633="","",资金流水!$K219)</f>
        <v/>
      </c>
      <c r="H3633" s="10" t="str">
        <f aca="false">IF($L3633="","",IF($L3633="@对方",资金流水!$G219,IF($L3633="@账户",资金流水!$Q219,$L3633)))</f>
        <v/>
      </c>
      <c r="I3633" s="42" t="n">
        <f aca="false">IF($M3633="借",$O3633,0)</f>
        <v>0</v>
      </c>
      <c r="J3633" s="42" t="n">
        <f aca="false">IF($M3633="贷",$O3633,0)</f>
        <v>0</v>
      </c>
      <c r="K3633" s="48" t="str">
        <f aca="false">IF($H3633="","",资金流水!$F219)</f>
        <v/>
      </c>
      <c r="L3633" s="66" t="str">
        <f aca="false">IF(资金流水!$E219="","",IFERROR(INDEX(记账规则!$A$13:$H$32,MATCH(资金流水!$E219,记账规则!$A$13:$A$32,0),6),""))</f>
        <v/>
      </c>
      <c r="M3633" s="66" t="str">
        <f aca="false">IF($L3633="","",IFERROR(INDEX(记账规则!$A$13:$H$32,MATCH(资金流水!$E219,记账规则!$A$13:$A$32,0),7),""))</f>
        <v/>
      </c>
      <c r="N3633" s="66" t="str">
        <f aca="false">IF($L3633="","",IFERROR(INDEX(记账规则!$A$13:$H$32,MATCH(资金流水!$E219,记账规则!$A$13:$A$32,0),8),""))</f>
        <v/>
      </c>
      <c r="O3633" s="67" t="n">
        <f aca="false">IF($H3633="",0,ROUND(IF($N3633="金额",N(资金流水!$P219),0),2))</f>
        <v>0</v>
      </c>
      <c r="P3633" s="64" t="str">
        <f aca="false">IF(AND($H3633&lt;&gt;"",ROUND($O3633,2)&lt;&gt;0),"有","")</f>
        <v/>
      </c>
    </row>
    <row r="3634" customFormat="false" ht="15" hidden="true" customHeight="false" outlineLevel="0" collapsed="false">
      <c r="A3634" s="53" t="str">
        <f aca="false">IF($H3634="","",ROW()-5)</f>
        <v/>
      </c>
      <c r="B3634" s="64" t="s">
        <v>37</v>
      </c>
      <c r="C3634" s="53" t="n">
        <v>220</v>
      </c>
      <c r="D3634" s="53" t="n">
        <v>1</v>
      </c>
      <c r="E3634" s="65" t="str">
        <f aca="false">IF($H3634="","",资金流水!$B220)</f>
        <v/>
      </c>
      <c r="F3634" s="55" t="str">
        <f aca="false">IF($H3634="","",资金流水!$C220)</f>
        <v/>
      </c>
      <c r="G3634" s="48" t="str">
        <f aca="false">IF($H3634="","",资金流水!$K220)</f>
        <v/>
      </c>
      <c r="H3634" s="10" t="str">
        <f aca="false">IF($L3634="","",IF($L3634="@对方",资金流水!$G220,IF($L3634="@账户",资金流水!$Q220,$L3634)))</f>
        <v/>
      </c>
      <c r="I3634" s="42" t="n">
        <f aca="false">IF($M3634="借",$O3634,0)</f>
        <v>0</v>
      </c>
      <c r="J3634" s="42" t="n">
        <f aca="false">IF($M3634="贷",$O3634,0)</f>
        <v>0</v>
      </c>
      <c r="K3634" s="48" t="str">
        <f aca="false">IF($H3634="","",资金流水!$F220)</f>
        <v/>
      </c>
      <c r="L3634" s="66" t="str">
        <f aca="false">IF(资金流水!$E220="","",IFERROR(INDEX(记账规则!$A$13:$H$32,MATCH(资金流水!$E220,记账规则!$A$13:$A$32,0),3),""))</f>
        <v/>
      </c>
      <c r="M3634" s="66" t="str">
        <f aca="false">IF($L3634="","",IFERROR(INDEX(记账规则!$A$13:$H$32,MATCH(资金流水!$E220,记账规则!$A$13:$A$32,0),4),""))</f>
        <v/>
      </c>
      <c r="N3634" s="66" t="str">
        <f aca="false">IF($L3634="","",IFERROR(INDEX(记账规则!$A$13:$H$32,MATCH(资金流水!$E220,记账规则!$A$13:$A$32,0),5),""))</f>
        <v/>
      </c>
      <c r="O3634" s="67" t="n">
        <f aca="false">IF($H3634="",0,ROUND(IF($N3634="金额",N(资金流水!$P220),0),2))</f>
        <v>0</v>
      </c>
      <c r="P3634" s="64" t="str">
        <f aca="false">IF(AND($H3634&lt;&gt;"",ROUND($O3634,2)&lt;&gt;0),"有","")</f>
        <v/>
      </c>
    </row>
    <row r="3635" customFormat="false" ht="15" hidden="true" customHeight="false" outlineLevel="0" collapsed="false">
      <c r="A3635" s="53" t="str">
        <f aca="false">IF($H3635="","",ROW()-5)</f>
        <v/>
      </c>
      <c r="B3635" s="64" t="s">
        <v>37</v>
      </c>
      <c r="C3635" s="53" t="n">
        <v>220</v>
      </c>
      <c r="D3635" s="53" t="n">
        <v>2</v>
      </c>
      <c r="E3635" s="65" t="str">
        <f aca="false">IF($H3635="","",资金流水!$B220)</f>
        <v/>
      </c>
      <c r="F3635" s="55" t="str">
        <f aca="false">IF($H3635="","",资金流水!$C220)</f>
        <v/>
      </c>
      <c r="G3635" s="48" t="str">
        <f aca="false">IF($H3635="","",资金流水!$K220)</f>
        <v/>
      </c>
      <c r="H3635" s="10" t="str">
        <f aca="false">IF($L3635="","",IF($L3635="@对方",资金流水!$G220,IF($L3635="@账户",资金流水!$Q220,$L3635)))</f>
        <v/>
      </c>
      <c r="I3635" s="42" t="n">
        <f aca="false">IF($M3635="借",$O3635,0)</f>
        <v>0</v>
      </c>
      <c r="J3635" s="42" t="n">
        <f aca="false">IF($M3635="贷",$O3635,0)</f>
        <v>0</v>
      </c>
      <c r="K3635" s="48" t="str">
        <f aca="false">IF($H3635="","",资金流水!$F220)</f>
        <v/>
      </c>
      <c r="L3635" s="66" t="str">
        <f aca="false">IF(资金流水!$E220="","",IFERROR(INDEX(记账规则!$A$13:$H$32,MATCH(资金流水!$E220,记账规则!$A$13:$A$32,0),6),""))</f>
        <v/>
      </c>
      <c r="M3635" s="66" t="str">
        <f aca="false">IF($L3635="","",IFERROR(INDEX(记账规则!$A$13:$H$32,MATCH(资金流水!$E220,记账规则!$A$13:$A$32,0),7),""))</f>
        <v/>
      </c>
      <c r="N3635" s="66" t="str">
        <f aca="false">IF($L3635="","",IFERROR(INDEX(记账规则!$A$13:$H$32,MATCH(资金流水!$E220,记账规则!$A$13:$A$32,0),8),""))</f>
        <v/>
      </c>
      <c r="O3635" s="67" t="n">
        <f aca="false">IF($H3635="",0,ROUND(IF($N3635="金额",N(资金流水!$P220),0),2))</f>
        <v>0</v>
      </c>
      <c r="P3635" s="64" t="str">
        <f aca="false">IF(AND($H3635&lt;&gt;"",ROUND($O3635,2)&lt;&gt;0),"有","")</f>
        <v/>
      </c>
    </row>
    <row r="3636" customFormat="false" ht="15" hidden="true" customHeight="false" outlineLevel="0" collapsed="false">
      <c r="A3636" s="53" t="str">
        <f aca="false">IF($H3636="","",ROW()-5)</f>
        <v/>
      </c>
      <c r="B3636" s="64" t="s">
        <v>37</v>
      </c>
      <c r="C3636" s="53" t="n">
        <v>221</v>
      </c>
      <c r="D3636" s="53" t="n">
        <v>1</v>
      </c>
      <c r="E3636" s="65" t="str">
        <f aca="false">IF($H3636="","",资金流水!$B221)</f>
        <v/>
      </c>
      <c r="F3636" s="55" t="str">
        <f aca="false">IF($H3636="","",资金流水!$C221)</f>
        <v/>
      </c>
      <c r="G3636" s="48" t="str">
        <f aca="false">IF($H3636="","",资金流水!$K221)</f>
        <v/>
      </c>
      <c r="H3636" s="10" t="str">
        <f aca="false">IF($L3636="","",IF($L3636="@对方",资金流水!$G221,IF($L3636="@账户",资金流水!$Q221,$L3636)))</f>
        <v/>
      </c>
      <c r="I3636" s="42" t="n">
        <f aca="false">IF($M3636="借",$O3636,0)</f>
        <v>0</v>
      </c>
      <c r="J3636" s="42" t="n">
        <f aca="false">IF($M3636="贷",$O3636,0)</f>
        <v>0</v>
      </c>
      <c r="K3636" s="48" t="str">
        <f aca="false">IF($H3636="","",资金流水!$F221)</f>
        <v/>
      </c>
      <c r="L3636" s="66" t="str">
        <f aca="false">IF(资金流水!$E221="","",IFERROR(INDEX(记账规则!$A$13:$H$32,MATCH(资金流水!$E221,记账规则!$A$13:$A$32,0),3),""))</f>
        <v/>
      </c>
      <c r="M3636" s="66" t="str">
        <f aca="false">IF($L3636="","",IFERROR(INDEX(记账规则!$A$13:$H$32,MATCH(资金流水!$E221,记账规则!$A$13:$A$32,0),4),""))</f>
        <v/>
      </c>
      <c r="N3636" s="66" t="str">
        <f aca="false">IF($L3636="","",IFERROR(INDEX(记账规则!$A$13:$H$32,MATCH(资金流水!$E221,记账规则!$A$13:$A$32,0),5),""))</f>
        <v/>
      </c>
      <c r="O3636" s="67" t="n">
        <f aca="false">IF($H3636="",0,ROUND(IF($N3636="金额",N(资金流水!$P221),0),2))</f>
        <v>0</v>
      </c>
      <c r="P3636" s="64" t="str">
        <f aca="false">IF(AND($H3636&lt;&gt;"",ROUND($O3636,2)&lt;&gt;0),"有","")</f>
        <v/>
      </c>
    </row>
    <row r="3637" customFormat="false" ht="15" hidden="true" customHeight="false" outlineLevel="0" collapsed="false">
      <c r="A3637" s="53" t="str">
        <f aca="false">IF($H3637="","",ROW()-5)</f>
        <v/>
      </c>
      <c r="B3637" s="64" t="s">
        <v>37</v>
      </c>
      <c r="C3637" s="53" t="n">
        <v>221</v>
      </c>
      <c r="D3637" s="53" t="n">
        <v>2</v>
      </c>
      <c r="E3637" s="65" t="str">
        <f aca="false">IF($H3637="","",资金流水!$B221)</f>
        <v/>
      </c>
      <c r="F3637" s="55" t="str">
        <f aca="false">IF($H3637="","",资金流水!$C221)</f>
        <v/>
      </c>
      <c r="G3637" s="48" t="str">
        <f aca="false">IF($H3637="","",资金流水!$K221)</f>
        <v/>
      </c>
      <c r="H3637" s="10" t="str">
        <f aca="false">IF($L3637="","",IF($L3637="@对方",资金流水!$G221,IF($L3637="@账户",资金流水!$Q221,$L3637)))</f>
        <v/>
      </c>
      <c r="I3637" s="42" t="n">
        <f aca="false">IF($M3637="借",$O3637,0)</f>
        <v>0</v>
      </c>
      <c r="J3637" s="42" t="n">
        <f aca="false">IF($M3637="贷",$O3637,0)</f>
        <v>0</v>
      </c>
      <c r="K3637" s="48" t="str">
        <f aca="false">IF($H3637="","",资金流水!$F221)</f>
        <v/>
      </c>
      <c r="L3637" s="66" t="str">
        <f aca="false">IF(资金流水!$E221="","",IFERROR(INDEX(记账规则!$A$13:$H$32,MATCH(资金流水!$E221,记账规则!$A$13:$A$32,0),6),""))</f>
        <v/>
      </c>
      <c r="M3637" s="66" t="str">
        <f aca="false">IF($L3637="","",IFERROR(INDEX(记账规则!$A$13:$H$32,MATCH(资金流水!$E221,记账规则!$A$13:$A$32,0),7),""))</f>
        <v/>
      </c>
      <c r="N3637" s="66" t="str">
        <f aca="false">IF($L3637="","",IFERROR(INDEX(记账规则!$A$13:$H$32,MATCH(资金流水!$E221,记账规则!$A$13:$A$32,0),8),""))</f>
        <v/>
      </c>
      <c r="O3637" s="67" t="n">
        <f aca="false">IF($H3637="",0,ROUND(IF($N3637="金额",N(资金流水!$P221),0),2))</f>
        <v>0</v>
      </c>
      <c r="P3637" s="64" t="str">
        <f aca="false">IF(AND($H3637&lt;&gt;"",ROUND($O3637,2)&lt;&gt;0),"有","")</f>
        <v/>
      </c>
    </row>
    <row r="3638" customFormat="false" ht="15" hidden="true" customHeight="false" outlineLevel="0" collapsed="false">
      <c r="A3638" s="53" t="str">
        <f aca="false">IF($H3638="","",ROW()-5)</f>
        <v/>
      </c>
      <c r="B3638" s="64" t="s">
        <v>37</v>
      </c>
      <c r="C3638" s="53" t="n">
        <v>222</v>
      </c>
      <c r="D3638" s="53" t="n">
        <v>1</v>
      </c>
      <c r="E3638" s="65" t="str">
        <f aca="false">IF($H3638="","",资金流水!$B222)</f>
        <v/>
      </c>
      <c r="F3638" s="55" t="str">
        <f aca="false">IF($H3638="","",资金流水!$C222)</f>
        <v/>
      </c>
      <c r="G3638" s="48" t="str">
        <f aca="false">IF($H3638="","",资金流水!$K222)</f>
        <v/>
      </c>
      <c r="H3638" s="10" t="str">
        <f aca="false">IF($L3638="","",IF($L3638="@对方",资金流水!$G222,IF($L3638="@账户",资金流水!$Q222,$L3638)))</f>
        <v/>
      </c>
      <c r="I3638" s="42" t="n">
        <f aca="false">IF($M3638="借",$O3638,0)</f>
        <v>0</v>
      </c>
      <c r="J3638" s="42" t="n">
        <f aca="false">IF($M3638="贷",$O3638,0)</f>
        <v>0</v>
      </c>
      <c r="K3638" s="48" t="str">
        <f aca="false">IF($H3638="","",资金流水!$F222)</f>
        <v/>
      </c>
      <c r="L3638" s="66" t="str">
        <f aca="false">IF(资金流水!$E222="","",IFERROR(INDEX(记账规则!$A$13:$H$32,MATCH(资金流水!$E222,记账规则!$A$13:$A$32,0),3),""))</f>
        <v/>
      </c>
      <c r="M3638" s="66" t="str">
        <f aca="false">IF($L3638="","",IFERROR(INDEX(记账规则!$A$13:$H$32,MATCH(资金流水!$E222,记账规则!$A$13:$A$32,0),4),""))</f>
        <v/>
      </c>
      <c r="N3638" s="66" t="str">
        <f aca="false">IF($L3638="","",IFERROR(INDEX(记账规则!$A$13:$H$32,MATCH(资金流水!$E222,记账规则!$A$13:$A$32,0),5),""))</f>
        <v/>
      </c>
      <c r="O3638" s="67" t="n">
        <f aca="false">IF($H3638="",0,ROUND(IF($N3638="金额",N(资金流水!$P222),0),2))</f>
        <v>0</v>
      </c>
      <c r="P3638" s="64" t="str">
        <f aca="false">IF(AND($H3638&lt;&gt;"",ROUND($O3638,2)&lt;&gt;0),"有","")</f>
        <v/>
      </c>
    </row>
    <row r="3639" customFormat="false" ht="15" hidden="true" customHeight="false" outlineLevel="0" collapsed="false">
      <c r="A3639" s="53" t="str">
        <f aca="false">IF($H3639="","",ROW()-5)</f>
        <v/>
      </c>
      <c r="B3639" s="64" t="s">
        <v>37</v>
      </c>
      <c r="C3639" s="53" t="n">
        <v>222</v>
      </c>
      <c r="D3639" s="53" t="n">
        <v>2</v>
      </c>
      <c r="E3639" s="65" t="str">
        <f aca="false">IF($H3639="","",资金流水!$B222)</f>
        <v/>
      </c>
      <c r="F3639" s="55" t="str">
        <f aca="false">IF($H3639="","",资金流水!$C222)</f>
        <v/>
      </c>
      <c r="G3639" s="48" t="str">
        <f aca="false">IF($H3639="","",资金流水!$K222)</f>
        <v/>
      </c>
      <c r="H3639" s="10" t="str">
        <f aca="false">IF($L3639="","",IF($L3639="@对方",资金流水!$G222,IF($L3639="@账户",资金流水!$Q222,$L3639)))</f>
        <v/>
      </c>
      <c r="I3639" s="42" t="n">
        <f aca="false">IF($M3639="借",$O3639,0)</f>
        <v>0</v>
      </c>
      <c r="J3639" s="42" t="n">
        <f aca="false">IF($M3639="贷",$O3639,0)</f>
        <v>0</v>
      </c>
      <c r="K3639" s="48" t="str">
        <f aca="false">IF($H3639="","",资金流水!$F222)</f>
        <v/>
      </c>
      <c r="L3639" s="66" t="str">
        <f aca="false">IF(资金流水!$E222="","",IFERROR(INDEX(记账规则!$A$13:$H$32,MATCH(资金流水!$E222,记账规则!$A$13:$A$32,0),6),""))</f>
        <v/>
      </c>
      <c r="M3639" s="66" t="str">
        <f aca="false">IF($L3639="","",IFERROR(INDEX(记账规则!$A$13:$H$32,MATCH(资金流水!$E222,记账规则!$A$13:$A$32,0),7),""))</f>
        <v/>
      </c>
      <c r="N3639" s="66" t="str">
        <f aca="false">IF($L3639="","",IFERROR(INDEX(记账规则!$A$13:$H$32,MATCH(资金流水!$E222,记账规则!$A$13:$A$32,0),8),""))</f>
        <v/>
      </c>
      <c r="O3639" s="67" t="n">
        <f aca="false">IF($H3639="",0,ROUND(IF($N3639="金额",N(资金流水!$P222),0),2))</f>
        <v>0</v>
      </c>
      <c r="P3639" s="64" t="str">
        <f aca="false">IF(AND($H3639&lt;&gt;"",ROUND($O3639,2)&lt;&gt;0),"有","")</f>
        <v/>
      </c>
    </row>
    <row r="3640" customFormat="false" ht="15" hidden="true" customHeight="false" outlineLevel="0" collapsed="false">
      <c r="A3640" s="53" t="str">
        <f aca="false">IF($H3640="","",ROW()-5)</f>
        <v/>
      </c>
      <c r="B3640" s="64" t="s">
        <v>37</v>
      </c>
      <c r="C3640" s="53" t="n">
        <v>223</v>
      </c>
      <c r="D3640" s="53" t="n">
        <v>1</v>
      </c>
      <c r="E3640" s="65" t="str">
        <f aca="false">IF($H3640="","",资金流水!$B223)</f>
        <v/>
      </c>
      <c r="F3640" s="55" t="str">
        <f aca="false">IF($H3640="","",资金流水!$C223)</f>
        <v/>
      </c>
      <c r="G3640" s="48" t="str">
        <f aca="false">IF($H3640="","",资金流水!$K223)</f>
        <v/>
      </c>
      <c r="H3640" s="10" t="str">
        <f aca="false">IF($L3640="","",IF($L3640="@对方",资金流水!$G223,IF($L3640="@账户",资金流水!$Q223,$L3640)))</f>
        <v/>
      </c>
      <c r="I3640" s="42" t="n">
        <f aca="false">IF($M3640="借",$O3640,0)</f>
        <v>0</v>
      </c>
      <c r="J3640" s="42" t="n">
        <f aca="false">IF($M3640="贷",$O3640,0)</f>
        <v>0</v>
      </c>
      <c r="K3640" s="48" t="str">
        <f aca="false">IF($H3640="","",资金流水!$F223)</f>
        <v/>
      </c>
      <c r="L3640" s="66" t="str">
        <f aca="false">IF(资金流水!$E223="","",IFERROR(INDEX(记账规则!$A$13:$H$32,MATCH(资金流水!$E223,记账规则!$A$13:$A$32,0),3),""))</f>
        <v/>
      </c>
      <c r="M3640" s="66" t="str">
        <f aca="false">IF($L3640="","",IFERROR(INDEX(记账规则!$A$13:$H$32,MATCH(资金流水!$E223,记账规则!$A$13:$A$32,0),4),""))</f>
        <v/>
      </c>
      <c r="N3640" s="66" t="str">
        <f aca="false">IF($L3640="","",IFERROR(INDEX(记账规则!$A$13:$H$32,MATCH(资金流水!$E223,记账规则!$A$13:$A$32,0),5),""))</f>
        <v/>
      </c>
      <c r="O3640" s="67" t="n">
        <f aca="false">IF($H3640="",0,ROUND(IF($N3640="金额",N(资金流水!$P223),0),2))</f>
        <v>0</v>
      </c>
      <c r="P3640" s="64" t="str">
        <f aca="false">IF(AND($H3640&lt;&gt;"",ROUND($O3640,2)&lt;&gt;0),"有","")</f>
        <v/>
      </c>
    </row>
    <row r="3641" customFormat="false" ht="15" hidden="true" customHeight="false" outlineLevel="0" collapsed="false">
      <c r="A3641" s="53" t="str">
        <f aca="false">IF($H3641="","",ROW()-5)</f>
        <v/>
      </c>
      <c r="B3641" s="64" t="s">
        <v>37</v>
      </c>
      <c r="C3641" s="53" t="n">
        <v>223</v>
      </c>
      <c r="D3641" s="53" t="n">
        <v>2</v>
      </c>
      <c r="E3641" s="65" t="str">
        <f aca="false">IF($H3641="","",资金流水!$B223)</f>
        <v/>
      </c>
      <c r="F3641" s="55" t="str">
        <f aca="false">IF($H3641="","",资金流水!$C223)</f>
        <v/>
      </c>
      <c r="G3641" s="48" t="str">
        <f aca="false">IF($H3641="","",资金流水!$K223)</f>
        <v/>
      </c>
      <c r="H3641" s="10" t="str">
        <f aca="false">IF($L3641="","",IF($L3641="@对方",资金流水!$G223,IF($L3641="@账户",资金流水!$Q223,$L3641)))</f>
        <v/>
      </c>
      <c r="I3641" s="42" t="n">
        <f aca="false">IF($M3641="借",$O3641,0)</f>
        <v>0</v>
      </c>
      <c r="J3641" s="42" t="n">
        <f aca="false">IF($M3641="贷",$O3641,0)</f>
        <v>0</v>
      </c>
      <c r="K3641" s="48" t="str">
        <f aca="false">IF($H3641="","",资金流水!$F223)</f>
        <v/>
      </c>
      <c r="L3641" s="66" t="str">
        <f aca="false">IF(资金流水!$E223="","",IFERROR(INDEX(记账规则!$A$13:$H$32,MATCH(资金流水!$E223,记账规则!$A$13:$A$32,0),6),""))</f>
        <v/>
      </c>
      <c r="M3641" s="66" t="str">
        <f aca="false">IF($L3641="","",IFERROR(INDEX(记账规则!$A$13:$H$32,MATCH(资金流水!$E223,记账规则!$A$13:$A$32,0),7),""))</f>
        <v/>
      </c>
      <c r="N3641" s="66" t="str">
        <f aca="false">IF($L3641="","",IFERROR(INDEX(记账规则!$A$13:$H$32,MATCH(资金流水!$E223,记账规则!$A$13:$A$32,0),8),""))</f>
        <v/>
      </c>
      <c r="O3641" s="67" t="n">
        <f aca="false">IF($H3641="",0,ROUND(IF($N3641="金额",N(资金流水!$P223),0),2))</f>
        <v>0</v>
      </c>
      <c r="P3641" s="64" t="str">
        <f aca="false">IF(AND($H3641&lt;&gt;"",ROUND($O3641,2)&lt;&gt;0),"有","")</f>
        <v/>
      </c>
    </row>
    <row r="3642" customFormat="false" ht="15" hidden="true" customHeight="false" outlineLevel="0" collapsed="false">
      <c r="A3642" s="53" t="str">
        <f aca="false">IF($H3642="","",ROW()-5)</f>
        <v/>
      </c>
      <c r="B3642" s="64" t="s">
        <v>37</v>
      </c>
      <c r="C3642" s="53" t="n">
        <v>224</v>
      </c>
      <c r="D3642" s="53" t="n">
        <v>1</v>
      </c>
      <c r="E3642" s="65" t="str">
        <f aca="false">IF($H3642="","",资金流水!$B224)</f>
        <v/>
      </c>
      <c r="F3642" s="55" t="str">
        <f aca="false">IF($H3642="","",资金流水!$C224)</f>
        <v/>
      </c>
      <c r="G3642" s="48" t="str">
        <f aca="false">IF($H3642="","",资金流水!$K224)</f>
        <v/>
      </c>
      <c r="H3642" s="10" t="str">
        <f aca="false">IF($L3642="","",IF($L3642="@对方",资金流水!$G224,IF($L3642="@账户",资金流水!$Q224,$L3642)))</f>
        <v/>
      </c>
      <c r="I3642" s="42" t="n">
        <f aca="false">IF($M3642="借",$O3642,0)</f>
        <v>0</v>
      </c>
      <c r="J3642" s="42" t="n">
        <f aca="false">IF($M3642="贷",$O3642,0)</f>
        <v>0</v>
      </c>
      <c r="K3642" s="48" t="str">
        <f aca="false">IF($H3642="","",资金流水!$F224)</f>
        <v/>
      </c>
      <c r="L3642" s="66" t="str">
        <f aca="false">IF(资金流水!$E224="","",IFERROR(INDEX(记账规则!$A$13:$H$32,MATCH(资金流水!$E224,记账规则!$A$13:$A$32,0),3),""))</f>
        <v/>
      </c>
      <c r="M3642" s="66" t="str">
        <f aca="false">IF($L3642="","",IFERROR(INDEX(记账规则!$A$13:$H$32,MATCH(资金流水!$E224,记账规则!$A$13:$A$32,0),4),""))</f>
        <v/>
      </c>
      <c r="N3642" s="66" t="str">
        <f aca="false">IF($L3642="","",IFERROR(INDEX(记账规则!$A$13:$H$32,MATCH(资金流水!$E224,记账规则!$A$13:$A$32,0),5),""))</f>
        <v/>
      </c>
      <c r="O3642" s="67" t="n">
        <f aca="false">IF($H3642="",0,ROUND(IF($N3642="金额",N(资金流水!$P224),0),2))</f>
        <v>0</v>
      </c>
      <c r="P3642" s="64" t="str">
        <f aca="false">IF(AND($H3642&lt;&gt;"",ROUND($O3642,2)&lt;&gt;0),"有","")</f>
        <v/>
      </c>
    </row>
    <row r="3643" customFormat="false" ht="15" hidden="true" customHeight="false" outlineLevel="0" collapsed="false">
      <c r="A3643" s="53" t="str">
        <f aca="false">IF($H3643="","",ROW()-5)</f>
        <v/>
      </c>
      <c r="B3643" s="64" t="s">
        <v>37</v>
      </c>
      <c r="C3643" s="53" t="n">
        <v>224</v>
      </c>
      <c r="D3643" s="53" t="n">
        <v>2</v>
      </c>
      <c r="E3643" s="65" t="str">
        <f aca="false">IF($H3643="","",资金流水!$B224)</f>
        <v/>
      </c>
      <c r="F3643" s="55" t="str">
        <f aca="false">IF($H3643="","",资金流水!$C224)</f>
        <v/>
      </c>
      <c r="G3643" s="48" t="str">
        <f aca="false">IF($H3643="","",资金流水!$K224)</f>
        <v/>
      </c>
      <c r="H3643" s="10" t="str">
        <f aca="false">IF($L3643="","",IF($L3643="@对方",资金流水!$G224,IF($L3643="@账户",资金流水!$Q224,$L3643)))</f>
        <v/>
      </c>
      <c r="I3643" s="42" t="n">
        <f aca="false">IF($M3643="借",$O3643,0)</f>
        <v>0</v>
      </c>
      <c r="J3643" s="42" t="n">
        <f aca="false">IF($M3643="贷",$O3643,0)</f>
        <v>0</v>
      </c>
      <c r="K3643" s="48" t="str">
        <f aca="false">IF($H3643="","",资金流水!$F224)</f>
        <v/>
      </c>
      <c r="L3643" s="66" t="str">
        <f aca="false">IF(资金流水!$E224="","",IFERROR(INDEX(记账规则!$A$13:$H$32,MATCH(资金流水!$E224,记账规则!$A$13:$A$32,0),6),""))</f>
        <v/>
      </c>
      <c r="M3643" s="66" t="str">
        <f aca="false">IF($L3643="","",IFERROR(INDEX(记账规则!$A$13:$H$32,MATCH(资金流水!$E224,记账规则!$A$13:$A$32,0),7),""))</f>
        <v/>
      </c>
      <c r="N3643" s="66" t="str">
        <f aca="false">IF($L3643="","",IFERROR(INDEX(记账规则!$A$13:$H$32,MATCH(资金流水!$E224,记账规则!$A$13:$A$32,0),8),""))</f>
        <v/>
      </c>
      <c r="O3643" s="67" t="n">
        <f aca="false">IF($H3643="",0,ROUND(IF($N3643="金额",N(资金流水!$P224),0),2))</f>
        <v>0</v>
      </c>
      <c r="P3643" s="64" t="str">
        <f aca="false">IF(AND($H3643&lt;&gt;"",ROUND($O3643,2)&lt;&gt;0),"有","")</f>
        <v/>
      </c>
    </row>
    <row r="3644" customFormat="false" ht="15" hidden="true" customHeight="false" outlineLevel="0" collapsed="false">
      <c r="A3644" s="53" t="str">
        <f aca="false">IF($H3644="","",ROW()-5)</f>
        <v/>
      </c>
      <c r="B3644" s="64" t="s">
        <v>37</v>
      </c>
      <c r="C3644" s="53" t="n">
        <v>225</v>
      </c>
      <c r="D3644" s="53" t="n">
        <v>1</v>
      </c>
      <c r="E3644" s="65" t="str">
        <f aca="false">IF($H3644="","",资金流水!$B225)</f>
        <v/>
      </c>
      <c r="F3644" s="55" t="str">
        <f aca="false">IF($H3644="","",资金流水!$C225)</f>
        <v/>
      </c>
      <c r="G3644" s="48" t="str">
        <f aca="false">IF($H3644="","",资金流水!$K225)</f>
        <v/>
      </c>
      <c r="H3644" s="10" t="str">
        <f aca="false">IF($L3644="","",IF($L3644="@对方",资金流水!$G225,IF($L3644="@账户",资金流水!$Q225,$L3644)))</f>
        <v/>
      </c>
      <c r="I3644" s="42" t="n">
        <f aca="false">IF($M3644="借",$O3644,0)</f>
        <v>0</v>
      </c>
      <c r="J3644" s="42" t="n">
        <f aca="false">IF($M3644="贷",$O3644,0)</f>
        <v>0</v>
      </c>
      <c r="K3644" s="48" t="str">
        <f aca="false">IF($H3644="","",资金流水!$F225)</f>
        <v/>
      </c>
      <c r="L3644" s="66" t="str">
        <f aca="false">IF(资金流水!$E225="","",IFERROR(INDEX(记账规则!$A$13:$H$32,MATCH(资金流水!$E225,记账规则!$A$13:$A$32,0),3),""))</f>
        <v/>
      </c>
      <c r="M3644" s="66" t="str">
        <f aca="false">IF($L3644="","",IFERROR(INDEX(记账规则!$A$13:$H$32,MATCH(资金流水!$E225,记账规则!$A$13:$A$32,0),4),""))</f>
        <v/>
      </c>
      <c r="N3644" s="66" t="str">
        <f aca="false">IF($L3644="","",IFERROR(INDEX(记账规则!$A$13:$H$32,MATCH(资金流水!$E225,记账规则!$A$13:$A$32,0),5),""))</f>
        <v/>
      </c>
      <c r="O3644" s="67" t="n">
        <f aca="false">IF($H3644="",0,ROUND(IF($N3644="金额",N(资金流水!$P225),0),2))</f>
        <v>0</v>
      </c>
      <c r="P3644" s="64" t="str">
        <f aca="false">IF(AND($H3644&lt;&gt;"",ROUND($O3644,2)&lt;&gt;0),"有","")</f>
        <v/>
      </c>
    </row>
    <row r="3645" customFormat="false" ht="15" hidden="true" customHeight="false" outlineLevel="0" collapsed="false">
      <c r="A3645" s="53" t="str">
        <f aca="false">IF($H3645="","",ROW()-5)</f>
        <v/>
      </c>
      <c r="B3645" s="64" t="s">
        <v>37</v>
      </c>
      <c r="C3645" s="53" t="n">
        <v>225</v>
      </c>
      <c r="D3645" s="53" t="n">
        <v>2</v>
      </c>
      <c r="E3645" s="65" t="str">
        <f aca="false">IF($H3645="","",资金流水!$B225)</f>
        <v/>
      </c>
      <c r="F3645" s="55" t="str">
        <f aca="false">IF($H3645="","",资金流水!$C225)</f>
        <v/>
      </c>
      <c r="G3645" s="48" t="str">
        <f aca="false">IF($H3645="","",资金流水!$K225)</f>
        <v/>
      </c>
      <c r="H3645" s="10" t="str">
        <f aca="false">IF($L3645="","",IF($L3645="@对方",资金流水!$G225,IF($L3645="@账户",资金流水!$Q225,$L3645)))</f>
        <v/>
      </c>
      <c r="I3645" s="42" t="n">
        <f aca="false">IF($M3645="借",$O3645,0)</f>
        <v>0</v>
      </c>
      <c r="J3645" s="42" t="n">
        <f aca="false">IF($M3645="贷",$O3645,0)</f>
        <v>0</v>
      </c>
      <c r="K3645" s="48" t="str">
        <f aca="false">IF($H3645="","",资金流水!$F225)</f>
        <v/>
      </c>
      <c r="L3645" s="66" t="str">
        <f aca="false">IF(资金流水!$E225="","",IFERROR(INDEX(记账规则!$A$13:$H$32,MATCH(资金流水!$E225,记账规则!$A$13:$A$32,0),6),""))</f>
        <v/>
      </c>
      <c r="M3645" s="66" t="str">
        <f aca="false">IF($L3645="","",IFERROR(INDEX(记账规则!$A$13:$H$32,MATCH(资金流水!$E225,记账规则!$A$13:$A$32,0),7),""))</f>
        <v/>
      </c>
      <c r="N3645" s="66" t="str">
        <f aca="false">IF($L3645="","",IFERROR(INDEX(记账规则!$A$13:$H$32,MATCH(资金流水!$E225,记账规则!$A$13:$A$32,0),8),""))</f>
        <v/>
      </c>
      <c r="O3645" s="67" t="n">
        <f aca="false">IF($H3645="",0,ROUND(IF($N3645="金额",N(资金流水!$P225),0),2))</f>
        <v>0</v>
      </c>
      <c r="P3645" s="64" t="str">
        <f aca="false">IF(AND($H3645&lt;&gt;"",ROUND($O3645,2)&lt;&gt;0),"有","")</f>
        <v/>
      </c>
    </row>
    <row r="3646" customFormat="false" ht="15" hidden="true" customHeight="false" outlineLevel="0" collapsed="false">
      <c r="A3646" s="53" t="str">
        <f aca="false">IF($H3646="","",ROW()-5)</f>
        <v/>
      </c>
      <c r="B3646" s="64" t="s">
        <v>37</v>
      </c>
      <c r="C3646" s="53" t="n">
        <v>226</v>
      </c>
      <c r="D3646" s="53" t="n">
        <v>1</v>
      </c>
      <c r="E3646" s="65" t="str">
        <f aca="false">IF($H3646="","",资金流水!$B226)</f>
        <v/>
      </c>
      <c r="F3646" s="55" t="str">
        <f aca="false">IF($H3646="","",资金流水!$C226)</f>
        <v/>
      </c>
      <c r="G3646" s="48" t="str">
        <f aca="false">IF($H3646="","",资金流水!$K226)</f>
        <v/>
      </c>
      <c r="H3646" s="10" t="str">
        <f aca="false">IF($L3646="","",IF($L3646="@对方",资金流水!$G226,IF($L3646="@账户",资金流水!$Q226,$L3646)))</f>
        <v/>
      </c>
      <c r="I3646" s="42" t="n">
        <f aca="false">IF($M3646="借",$O3646,0)</f>
        <v>0</v>
      </c>
      <c r="J3646" s="42" t="n">
        <f aca="false">IF($M3646="贷",$O3646,0)</f>
        <v>0</v>
      </c>
      <c r="K3646" s="48" t="str">
        <f aca="false">IF($H3646="","",资金流水!$F226)</f>
        <v/>
      </c>
      <c r="L3646" s="66" t="str">
        <f aca="false">IF(资金流水!$E226="","",IFERROR(INDEX(记账规则!$A$13:$H$32,MATCH(资金流水!$E226,记账规则!$A$13:$A$32,0),3),""))</f>
        <v/>
      </c>
      <c r="M3646" s="66" t="str">
        <f aca="false">IF($L3646="","",IFERROR(INDEX(记账规则!$A$13:$H$32,MATCH(资金流水!$E226,记账规则!$A$13:$A$32,0),4),""))</f>
        <v/>
      </c>
      <c r="N3646" s="66" t="str">
        <f aca="false">IF($L3646="","",IFERROR(INDEX(记账规则!$A$13:$H$32,MATCH(资金流水!$E226,记账规则!$A$13:$A$32,0),5),""))</f>
        <v/>
      </c>
      <c r="O3646" s="67" t="n">
        <f aca="false">IF($H3646="",0,ROUND(IF($N3646="金额",N(资金流水!$P226),0),2))</f>
        <v>0</v>
      </c>
      <c r="P3646" s="64" t="str">
        <f aca="false">IF(AND($H3646&lt;&gt;"",ROUND($O3646,2)&lt;&gt;0),"有","")</f>
        <v/>
      </c>
    </row>
    <row r="3647" customFormat="false" ht="15" hidden="true" customHeight="false" outlineLevel="0" collapsed="false">
      <c r="A3647" s="53" t="str">
        <f aca="false">IF($H3647="","",ROW()-5)</f>
        <v/>
      </c>
      <c r="B3647" s="64" t="s">
        <v>37</v>
      </c>
      <c r="C3647" s="53" t="n">
        <v>226</v>
      </c>
      <c r="D3647" s="53" t="n">
        <v>2</v>
      </c>
      <c r="E3647" s="65" t="str">
        <f aca="false">IF($H3647="","",资金流水!$B226)</f>
        <v/>
      </c>
      <c r="F3647" s="55" t="str">
        <f aca="false">IF($H3647="","",资金流水!$C226)</f>
        <v/>
      </c>
      <c r="G3647" s="48" t="str">
        <f aca="false">IF($H3647="","",资金流水!$K226)</f>
        <v/>
      </c>
      <c r="H3647" s="10" t="str">
        <f aca="false">IF($L3647="","",IF($L3647="@对方",资金流水!$G226,IF($L3647="@账户",资金流水!$Q226,$L3647)))</f>
        <v/>
      </c>
      <c r="I3647" s="42" t="n">
        <f aca="false">IF($M3647="借",$O3647,0)</f>
        <v>0</v>
      </c>
      <c r="J3647" s="42" t="n">
        <f aca="false">IF($M3647="贷",$O3647,0)</f>
        <v>0</v>
      </c>
      <c r="K3647" s="48" t="str">
        <f aca="false">IF($H3647="","",资金流水!$F226)</f>
        <v/>
      </c>
      <c r="L3647" s="66" t="str">
        <f aca="false">IF(资金流水!$E226="","",IFERROR(INDEX(记账规则!$A$13:$H$32,MATCH(资金流水!$E226,记账规则!$A$13:$A$32,0),6),""))</f>
        <v/>
      </c>
      <c r="M3647" s="66" t="str">
        <f aca="false">IF($L3647="","",IFERROR(INDEX(记账规则!$A$13:$H$32,MATCH(资金流水!$E226,记账规则!$A$13:$A$32,0),7),""))</f>
        <v/>
      </c>
      <c r="N3647" s="66" t="str">
        <f aca="false">IF($L3647="","",IFERROR(INDEX(记账规则!$A$13:$H$32,MATCH(资金流水!$E226,记账规则!$A$13:$A$32,0),8),""))</f>
        <v/>
      </c>
      <c r="O3647" s="67" t="n">
        <f aca="false">IF($H3647="",0,ROUND(IF($N3647="金额",N(资金流水!$P226),0),2))</f>
        <v>0</v>
      </c>
      <c r="P3647" s="64" t="str">
        <f aca="false">IF(AND($H3647&lt;&gt;"",ROUND($O3647,2)&lt;&gt;0),"有","")</f>
        <v/>
      </c>
    </row>
    <row r="3648" customFormat="false" ht="15" hidden="true" customHeight="false" outlineLevel="0" collapsed="false">
      <c r="A3648" s="53" t="str">
        <f aca="false">IF($H3648="","",ROW()-5)</f>
        <v/>
      </c>
      <c r="B3648" s="64" t="s">
        <v>37</v>
      </c>
      <c r="C3648" s="53" t="n">
        <v>227</v>
      </c>
      <c r="D3648" s="53" t="n">
        <v>1</v>
      </c>
      <c r="E3648" s="65" t="str">
        <f aca="false">IF($H3648="","",资金流水!$B227)</f>
        <v/>
      </c>
      <c r="F3648" s="55" t="str">
        <f aca="false">IF($H3648="","",资金流水!$C227)</f>
        <v/>
      </c>
      <c r="G3648" s="48" t="str">
        <f aca="false">IF($H3648="","",资金流水!$K227)</f>
        <v/>
      </c>
      <c r="H3648" s="10" t="str">
        <f aca="false">IF($L3648="","",IF($L3648="@对方",资金流水!$G227,IF($L3648="@账户",资金流水!$Q227,$L3648)))</f>
        <v/>
      </c>
      <c r="I3648" s="42" t="n">
        <f aca="false">IF($M3648="借",$O3648,0)</f>
        <v>0</v>
      </c>
      <c r="J3648" s="42" t="n">
        <f aca="false">IF($M3648="贷",$O3648,0)</f>
        <v>0</v>
      </c>
      <c r="K3648" s="48" t="str">
        <f aca="false">IF($H3648="","",资金流水!$F227)</f>
        <v/>
      </c>
      <c r="L3648" s="66" t="str">
        <f aca="false">IF(资金流水!$E227="","",IFERROR(INDEX(记账规则!$A$13:$H$32,MATCH(资金流水!$E227,记账规则!$A$13:$A$32,0),3),""))</f>
        <v/>
      </c>
      <c r="M3648" s="66" t="str">
        <f aca="false">IF($L3648="","",IFERROR(INDEX(记账规则!$A$13:$H$32,MATCH(资金流水!$E227,记账规则!$A$13:$A$32,0),4),""))</f>
        <v/>
      </c>
      <c r="N3648" s="66" t="str">
        <f aca="false">IF($L3648="","",IFERROR(INDEX(记账规则!$A$13:$H$32,MATCH(资金流水!$E227,记账规则!$A$13:$A$32,0),5),""))</f>
        <v/>
      </c>
      <c r="O3648" s="67" t="n">
        <f aca="false">IF($H3648="",0,ROUND(IF($N3648="金额",N(资金流水!$P227),0),2))</f>
        <v>0</v>
      </c>
      <c r="P3648" s="64" t="str">
        <f aca="false">IF(AND($H3648&lt;&gt;"",ROUND($O3648,2)&lt;&gt;0),"有","")</f>
        <v/>
      </c>
    </row>
    <row r="3649" customFormat="false" ht="15" hidden="true" customHeight="false" outlineLevel="0" collapsed="false">
      <c r="A3649" s="53" t="str">
        <f aca="false">IF($H3649="","",ROW()-5)</f>
        <v/>
      </c>
      <c r="B3649" s="64" t="s">
        <v>37</v>
      </c>
      <c r="C3649" s="53" t="n">
        <v>227</v>
      </c>
      <c r="D3649" s="53" t="n">
        <v>2</v>
      </c>
      <c r="E3649" s="65" t="str">
        <f aca="false">IF($H3649="","",资金流水!$B227)</f>
        <v/>
      </c>
      <c r="F3649" s="55" t="str">
        <f aca="false">IF($H3649="","",资金流水!$C227)</f>
        <v/>
      </c>
      <c r="G3649" s="48" t="str">
        <f aca="false">IF($H3649="","",资金流水!$K227)</f>
        <v/>
      </c>
      <c r="H3649" s="10" t="str">
        <f aca="false">IF($L3649="","",IF($L3649="@对方",资金流水!$G227,IF($L3649="@账户",资金流水!$Q227,$L3649)))</f>
        <v/>
      </c>
      <c r="I3649" s="42" t="n">
        <f aca="false">IF($M3649="借",$O3649,0)</f>
        <v>0</v>
      </c>
      <c r="J3649" s="42" t="n">
        <f aca="false">IF($M3649="贷",$O3649,0)</f>
        <v>0</v>
      </c>
      <c r="K3649" s="48" t="str">
        <f aca="false">IF($H3649="","",资金流水!$F227)</f>
        <v/>
      </c>
      <c r="L3649" s="66" t="str">
        <f aca="false">IF(资金流水!$E227="","",IFERROR(INDEX(记账规则!$A$13:$H$32,MATCH(资金流水!$E227,记账规则!$A$13:$A$32,0),6),""))</f>
        <v/>
      </c>
      <c r="M3649" s="66" t="str">
        <f aca="false">IF($L3649="","",IFERROR(INDEX(记账规则!$A$13:$H$32,MATCH(资金流水!$E227,记账规则!$A$13:$A$32,0),7),""))</f>
        <v/>
      </c>
      <c r="N3649" s="66" t="str">
        <f aca="false">IF($L3649="","",IFERROR(INDEX(记账规则!$A$13:$H$32,MATCH(资金流水!$E227,记账规则!$A$13:$A$32,0),8),""))</f>
        <v/>
      </c>
      <c r="O3649" s="67" t="n">
        <f aca="false">IF($H3649="",0,ROUND(IF($N3649="金额",N(资金流水!$P227),0),2))</f>
        <v>0</v>
      </c>
      <c r="P3649" s="64" t="str">
        <f aca="false">IF(AND($H3649&lt;&gt;"",ROUND($O3649,2)&lt;&gt;0),"有","")</f>
        <v/>
      </c>
    </row>
    <row r="3650" customFormat="false" ht="15" hidden="true" customHeight="false" outlineLevel="0" collapsed="false">
      <c r="A3650" s="53" t="str">
        <f aca="false">IF($H3650="","",ROW()-5)</f>
        <v/>
      </c>
      <c r="B3650" s="64" t="s">
        <v>37</v>
      </c>
      <c r="C3650" s="53" t="n">
        <v>228</v>
      </c>
      <c r="D3650" s="53" t="n">
        <v>1</v>
      </c>
      <c r="E3650" s="65" t="str">
        <f aca="false">IF($H3650="","",资金流水!$B228)</f>
        <v/>
      </c>
      <c r="F3650" s="55" t="str">
        <f aca="false">IF($H3650="","",资金流水!$C228)</f>
        <v/>
      </c>
      <c r="G3650" s="48" t="str">
        <f aca="false">IF($H3650="","",资金流水!$K228)</f>
        <v/>
      </c>
      <c r="H3650" s="10" t="str">
        <f aca="false">IF($L3650="","",IF($L3650="@对方",资金流水!$G228,IF($L3650="@账户",资金流水!$Q228,$L3650)))</f>
        <v/>
      </c>
      <c r="I3650" s="42" t="n">
        <f aca="false">IF($M3650="借",$O3650,0)</f>
        <v>0</v>
      </c>
      <c r="J3650" s="42" t="n">
        <f aca="false">IF($M3650="贷",$O3650,0)</f>
        <v>0</v>
      </c>
      <c r="K3650" s="48" t="str">
        <f aca="false">IF($H3650="","",资金流水!$F228)</f>
        <v/>
      </c>
      <c r="L3650" s="66" t="str">
        <f aca="false">IF(资金流水!$E228="","",IFERROR(INDEX(记账规则!$A$13:$H$32,MATCH(资金流水!$E228,记账规则!$A$13:$A$32,0),3),""))</f>
        <v/>
      </c>
      <c r="M3650" s="66" t="str">
        <f aca="false">IF($L3650="","",IFERROR(INDEX(记账规则!$A$13:$H$32,MATCH(资金流水!$E228,记账规则!$A$13:$A$32,0),4),""))</f>
        <v/>
      </c>
      <c r="N3650" s="66" t="str">
        <f aca="false">IF($L3650="","",IFERROR(INDEX(记账规则!$A$13:$H$32,MATCH(资金流水!$E228,记账规则!$A$13:$A$32,0),5),""))</f>
        <v/>
      </c>
      <c r="O3650" s="67" t="n">
        <f aca="false">IF($H3650="",0,ROUND(IF($N3650="金额",N(资金流水!$P228),0),2))</f>
        <v>0</v>
      </c>
      <c r="P3650" s="64" t="str">
        <f aca="false">IF(AND($H3650&lt;&gt;"",ROUND($O3650,2)&lt;&gt;0),"有","")</f>
        <v/>
      </c>
    </row>
    <row r="3651" customFormat="false" ht="15" hidden="true" customHeight="false" outlineLevel="0" collapsed="false">
      <c r="A3651" s="53" t="str">
        <f aca="false">IF($H3651="","",ROW()-5)</f>
        <v/>
      </c>
      <c r="B3651" s="64" t="s">
        <v>37</v>
      </c>
      <c r="C3651" s="53" t="n">
        <v>228</v>
      </c>
      <c r="D3651" s="53" t="n">
        <v>2</v>
      </c>
      <c r="E3651" s="65" t="str">
        <f aca="false">IF($H3651="","",资金流水!$B228)</f>
        <v/>
      </c>
      <c r="F3651" s="55" t="str">
        <f aca="false">IF($H3651="","",资金流水!$C228)</f>
        <v/>
      </c>
      <c r="G3651" s="48" t="str">
        <f aca="false">IF($H3651="","",资金流水!$K228)</f>
        <v/>
      </c>
      <c r="H3651" s="10" t="str">
        <f aca="false">IF($L3651="","",IF($L3651="@对方",资金流水!$G228,IF($L3651="@账户",资金流水!$Q228,$L3651)))</f>
        <v/>
      </c>
      <c r="I3651" s="42" t="n">
        <f aca="false">IF($M3651="借",$O3651,0)</f>
        <v>0</v>
      </c>
      <c r="J3651" s="42" t="n">
        <f aca="false">IF($M3651="贷",$O3651,0)</f>
        <v>0</v>
      </c>
      <c r="K3651" s="48" t="str">
        <f aca="false">IF($H3651="","",资金流水!$F228)</f>
        <v/>
      </c>
      <c r="L3651" s="66" t="str">
        <f aca="false">IF(资金流水!$E228="","",IFERROR(INDEX(记账规则!$A$13:$H$32,MATCH(资金流水!$E228,记账规则!$A$13:$A$32,0),6),""))</f>
        <v/>
      </c>
      <c r="M3651" s="66" t="str">
        <f aca="false">IF($L3651="","",IFERROR(INDEX(记账规则!$A$13:$H$32,MATCH(资金流水!$E228,记账规则!$A$13:$A$32,0),7),""))</f>
        <v/>
      </c>
      <c r="N3651" s="66" t="str">
        <f aca="false">IF($L3651="","",IFERROR(INDEX(记账规则!$A$13:$H$32,MATCH(资金流水!$E228,记账规则!$A$13:$A$32,0),8),""))</f>
        <v/>
      </c>
      <c r="O3651" s="67" t="n">
        <f aca="false">IF($H3651="",0,ROUND(IF($N3651="金额",N(资金流水!$P228),0),2))</f>
        <v>0</v>
      </c>
      <c r="P3651" s="64" t="str">
        <f aca="false">IF(AND($H3651&lt;&gt;"",ROUND($O3651,2)&lt;&gt;0),"有","")</f>
        <v/>
      </c>
    </row>
    <row r="3652" customFormat="false" ht="15" hidden="true" customHeight="false" outlineLevel="0" collapsed="false">
      <c r="A3652" s="53" t="str">
        <f aca="false">IF($H3652="","",ROW()-5)</f>
        <v/>
      </c>
      <c r="B3652" s="64" t="s">
        <v>37</v>
      </c>
      <c r="C3652" s="53" t="n">
        <v>229</v>
      </c>
      <c r="D3652" s="53" t="n">
        <v>1</v>
      </c>
      <c r="E3652" s="65" t="str">
        <f aca="false">IF($H3652="","",资金流水!$B229)</f>
        <v/>
      </c>
      <c r="F3652" s="55" t="str">
        <f aca="false">IF($H3652="","",资金流水!$C229)</f>
        <v/>
      </c>
      <c r="G3652" s="48" t="str">
        <f aca="false">IF($H3652="","",资金流水!$K229)</f>
        <v/>
      </c>
      <c r="H3652" s="10" t="str">
        <f aca="false">IF($L3652="","",IF($L3652="@对方",资金流水!$G229,IF($L3652="@账户",资金流水!$Q229,$L3652)))</f>
        <v/>
      </c>
      <c r="I3652" s="42" t="n">
        <f aca="false">IF($M3652="借",$O3652,0)</f>
        <v>0</v>
      </c>
      <c r="J3652" s="42" t="n">
        <f aca="false">IF($M3652="贷",$O3652,0)</f>
        <v>0</v>
      </c>
      <c r="K3652" s="48" t="str">
        <f aca="false">IF($H3652="","",资金流水!$F229)</f>
        <v/>
      </c>
      <c r="L3652" s="66" t="str">
        <f aca="false">IF(资金流水!$E229="","",IFERROR(INDEX(记账规则!$A$13:$H$32,MATCH(资金流水!$E229,记账规则!$A$13:$A$32,0),3),""))</f>
        <v/>
      </c>
      <c r="M3652" s="66" t="str">
        <f aca="false">IF($L3652="","",IFERROR(INDEX(记账规则!$A$13:$H$32,MATCH(资金流水!$E229,记账规则!$A$13:$A$32,0),4),""))</f>
        <v/>
      </c>
      <c r="N3652" s="66" t="str">
        <f aca="false">IF($L3652="","",IFERROR(INDEX(记账规则!$A$13:$H$32,MATCH(资金流水!$E229,记账规则!$A$13:$A$32,0),5),""))</f>
        <v/>
      </c>
      <c r="O3652" s="67" t="n">
        <f aca="false">IF($H3652="",0,ROUND(IF($N3652="金额",N(资金流水!$P229),0),2))</f>
        <v>0</v>
      </c>
      <c r="P3652" s="64" t="str">
        <f aca="false">IF(AND($H3652&lt;&gt;"",ROUND($O3652,2)&lt;&gt;0),"有","")</f>
        <v/>
      </c>
    </row>
    <row r="3653" customFormat="false" ht="15" hidden="true" customHeight="false" outlineLevel="0" collapsed="false">
      <c r="A3653" s="53" t="str">
        <f aca="false">IF($H3653="","",ROW()-5)</f>
        <v/>
      </c>
      <c r="B3653" s="64" t="s">
        <v>37</v>
      </c>
      <c r="C3653" s="53" t="n">
        <v>229</v>
      </c>
      <c r="D3653" s="53" t="n">
        <v>2</v>
      </c>
      <c r="E3653" s="65" t="str">
        <f aca="false">IF($H3653="","",资金流水!$B229)</f>
        <v/>
      </c>
      <c r="F3653" s="55" t="str">
        <f aca="false">IF($H3653="","",资金流水!$C229)</f>
        <v/>
      </c>
      <c r="G3653" s="48" t="str">
        <f aca="false">IF($H3653="","",资金流水!$K229)</f>
        <v/>
      </c>
      <c r="H3653" s="10" t="str">
        <f aca="false">IF($L3653="","",IF($L3653="@对方",资金流水!$G229,IF($L3653="@账户",资金流水!$Q229,$L3653)))</f>
        <v/>
      </c>
      <c r="I3653" s="42" t="n">
        <f aca="false">IF($M3653="借",$O3653,0)</f>
        <v>0</v>
      </c>
      <c r="J3653" s="42" t="n">
        <f aca="false">IF($M3653="贷",$O3653,0)</f>
        <v>0</v>
      </c>
      <c r="K3653" s="48" t="str">
        <f aca="false">IF($H3653="","",资金流水!$F229)</f>
        <v/>
      </c>
      <c r="L3653" s="66" t="str">
        <f aca="false">IF(资金流水!$E229="","",IFERROR(INDEX(记账规则!$A$13:$H$32,MATCH(资金流水!$E229,记账规则!$A$13:$A$32,0),6),""))</f>
        <v/>
      </c>
      <c r="M3653" s="66" t="str">
        <f aca="false">IF($L3653="","",IFERROR(INDEX(记账规则!$A$13:$H$32,MATCH(资金流水!$E229,记账规则!$A$13:$A$32,0),7),""))</f>
        <v/>
      </c>
      <c r="N3653" s="66" t="str">
        <f aca="false">IF($L3653="","",IFERROR(INDEX(记账规则!$A$13:$H$32,MATCH(资金流水!$E229,记账规则!$A$13:$A$32,0),8),""))</f>
        <v/>
      </c>
      <c r="O3653" s="67" t="n">
        <f aca="false">IF($H3653="",0,ROUND(IF($N3653="金额",N(资金流水!$P229),0),2))</f>
        <v>0</v>
      </c>
      <c r="P3653" s="64" t="str">
        <f aca="false">IF(AND($H3653&lt;&gt;"",ROUND($O3653,2)&lt;&gt;0),"有","")</f>
        <v/>
      </c>
    </row>
    <row r="3654" customFormat="false" ht="15" hidden="true" customHeight="false" outlineLevel="0" collapsed="false">
      <c r="A3654" s="53" t="str">
        <f aca="false">IF($H3654="","",ROW()-5)</f>
        <v/>
      </c>
      <c r="B3654" s="64" t="s">
        <v>37</v>
      </c>
      <c r="C3654" s="53" t="n">
        <v>230</v>
      </c>
      <c r="D3654" s="53" t="n">
        <v>1</v>
      </c>
      <c r="E3654" s="65" t="str">
        <f aca="false">IF($H3654="","",资金流水!$B230)</f>
        <v/>
      </c>
      <c r="F3654" s="55" t="str">
        <f aca="false">IF($H3654="","",资金流水!$C230)</f>
        <v/>
      </c>
      <c r="G3654" s="48" t="str">
        <f aca="false">IF($H3654="","",资金流水!$K230)</f>
        <v/>
      </c>
      <c r="H3654" s="10" t="str">
        <f aca="false">IF($L3654="","",IF($L3654="@对方",资金流水!$G230,IF($L3654="@账户",资金流水!$Q230,$L3654)))</f>
        <v/>
      </c>
      <c r="I3654" s="42" t="n">
        <f aca="false">IF($M3654="借",$O3654,0)</f>
        <v>0</v>
      </c>
      <c r="J3654" s="42" t="n">
        <f aca="false">IF($M3654="贷",$O3654,0)</f>
        <v>0</v>
      </c>
      <c r="K3654" s="48" t="str">
        <f aca="false">IF($H3654="","",资金流水!$F230)</f>
        <v/>
      </c>
      <c r="L3654" s="66" t="str">
        <f aca="false">IF(资金流水!$E230="","",IFERROR(INDEX(记账规则!$A$13:$H$32,MATCH(资金流水!$E230,记账规则!$A$13:$A$32,0),3),""))</f>
        <v/>
      </c>
      <c r="M3654" s="66" t="str">
        <f aca="false">IF($L3654="","",IFERROR(INDEX(记账规则!$A$13:$H$32,MATCH(资金流水!$E230,记账规则!$A$13:$A$32,0),4),""))</f>
        <v/>
      </c>
      <c r="N3654" s="66" t="str">
        <f aca="false">IF($L3654="","",IFERROR(INDEX(记账规则!$A$13:$H$32,MATCH(资金流水!$E230,记账规则!$A$13:$A$32,0),5),""))</f>
        <v/>
      </c>
      <c r="O3654" s="67" t="n">
        <f aca="false">IF($H3654="",0,ROUND(IF($N3654="金额",N(资金流水!$P230),0),2))</f>
        <v>0</v>
      </c>
      <c r="P3654" s="64" t="str">
        <f aca="false">IF(AND($H3654&lt;&gt;"",ROUND($O3654,2)&lt;&gt;0),"有","")</f>
        <v/>
      </c>
    </row>
    <row r="3655" customFormat="false" ht="15" hidden="true" customHeight="false" outlineLevel="0" collapsed="false">
      <c r="A3655" s="53" t="str">
        <f aca="false">IF($H3655="","",ROW()-5)</f>
        <v/>
      </c>
      <c r="B3655" s="64" t="s">
        <v>37</v>
      </c>
      <c r="C3655" s="53" t="n">
        <v>230</v>
      </c>
      <c r="D3655" s="53" t="n">
        <v>2</v>
      </c>
      <c r="E3655" s="65" t="str">
        <f aca="false">IF($H3655="","",资金流水!$B230)</f>
        <v/>
      </c>
      <c r="F3655" s="55" t="str">
        <f aca="false">IF($H3655="","",资金流水!$C230)</f>
        <v/>
      </c>
      <c r="G3655" s="48" t="str">
        <f aca="false">IF($H3655="","",资金流水!$K230)</f>
        <v/>
      </c>
      <c r="H3655" s="10" t="str">
        <f aca="false">IF($L3655="","",IF($L3655="@对方",资金流水!$G230,IF($L3655="@账户",资金流水!$Q230,$L3655)))</f>
        <v/>
      </c>
      <c r="I3655" s="42" t="n">
        <f aca="false">IF($M3655="借",$O3655,0)</f>
        <v>0</v>
      </c>
      <c r="J3655" s="42" t="n">
        <f aca="false">IF($M3655="贷",$O3655,0)</f>
        <v>0</v>
      </c>
      <c r="K3655" s="48" t="str">
        <f aca="false">IF($H3655="","",资金流水!$F230)</f>
        <v/>
      </c>
      <c r="L3655" s="66" t="str">
        <f aca="false">IF(资金流水!$E230="","",IFERROR(INDEX(记账规则!$A$13:$H$32,MATCH(资金流水!$E230,记账规则!$A$13:$A$32,0),6),""))</f>
        <v/>
      </c>
      <c r="M3655" s="66" t="str">
        <f aca="false">IF($L3655="","",IFERROR(INDEX(记账规则!$A$13:$H$32,MATCH(资金流水!$E230,记账规则!$A$13:$A$32,0),7),""))</f>
        <v/>
      </c>
      <c r="N3655" s="66" t="str">
        <f aca="false">IF($L3655="","",IFERROR(INDEX(记账规则!$A$13:$H$32,MATCH(资金流水!$E230,记账规则!$A$13:$A$32,0),8),""))</f>
        <v/>
      </c>
      <c r="O3655" s="67" t="n">
        <f aca="false">IF($H3655="",0,ROUND(IF($N3655="金额",N(资金流水!$P230),0),2))</f>
        <v>0</v>
      </c>
      <c r="P3655" s="64" t="str">
        <f aca="false">IF(AND($H3655&lt;&gt;"",ROUND($O3655,2)&lt;&gt;0),"有","")</f>
        <v/>
      </c>
    </row>
    <row r="3656" customFormat="false" ht="15" hidden="true" customHeight="false" outlineLevel="0" collapsed="false">
      <c r="A3656" s="53" t="str">
        <f aca="false">IF($H3656="","",ROW()-5)</f>
        <v/>
      </c>
      <c r="B3656" s="64" t="s">
        <v>37</v>
      </c>
      <c r="C3656" s="53" t="n">
        <v>231</v>
      </c>
      <c r="D3656" s="53" t="n">
        <v>1</v>
      </c>
      <c r="E3656" s="65" t="str">
        <f aca="false">IF($H3656="","",资金流水!$B231)</f>
        <v/>
      </c>
      <c r="F3656" s="55" t="str">
        <f aca="false">IF($H3656="","",资金流水!$C231)</f>
        <v/>
      </c>
      <c r="G3656" s="48" t="str">
        <f aca="false">IF($H3656="","",资金流水!$K231)</f>
        <v/>
      </c>
      <c r="H3656" s="10" t="str">
        <f aca="false">IF($L3656="","",IF($L3656="@对方",资金流水!$G231,IF($L3656="@账户",资金流水!$Q231,$L3656)))</f>
        <v/>
      </c>
      <c r="I3656" s="42" t="n">
        <f aca="false">IF($M3656="借",$O3656,0)</f>
        <v>0</v>
      </c>
      <c r="J3656" s="42" t="n">
        <f aca="false">IF($M3656="贷",$O3656,0)</f>
        <v>0</v>
      </c>
      <c r="K3656" s="48" t="str">
        <f aca="false">IF($H3656="","",资金流水!$F231)</f>
        <v/>
      </c>
      <c r="L3656" s="66" t="str">
        <f aca="false">IF(资金流水!$E231="","",IFERROR(INDEX(记账规则!$A$13:$H$32,MATCH(资金流水!$E231,记账规则!$A$13:$A$32,0),3),""))</f>
        <v/>
      </c>
      <c r="M3656" s="66" t="str">
        <f aca="false">IF($L3656="","",IFERROR(INDEX(记账规则!$A$13:$H$32,MATCH(资金流水!$E231,记账规则!$A$13:$A$32,0),4),""))</f>
        <v/>
      </c>
      <c r="N3656" s="66" t="str">
        <f aca="false">IF($L3656="","",IFERROR(INDEX(记账规则!$A$13:$H$32,MATCH(资金流水!$E231,记账规则!$A$13:$A$32,0),5),""))</f>
        <v/>
      </c>
      <c r="O3656" s="67" t="n">
        <f aca="false">IF($H3656="",0,ROUND(IF($N3656="金额",N(资金流水!$P231),0),2))</f>
        <v>0</v>
      </c>
      <c r="P3656" s="64" t="str">
        <f aca="false">IF(AND($H3656&lt;&gt;"",ROUND($O3656,2)&lt;&gt;0),"有","")</f>
        <v/>
      </c>
    </row>
    <row r="3657" customFormat="false" ht="15" hidden="true" customHeight="false" outlineLevel="0" collapsed="false">
      <c r="A3657" s="53" t="str">
        <f aca="false">IF($H3657="","",ROW()-5)</f>
        <v/>
      </c>
      <c r="B3657" s="64" t="s">
        <v>37</v>
      </c>
      <c r="C3657" s="53" t="n">
        <v>231</v>
      </c>
      <c r="D3657" s="53" t="n">
        <v>2</v>
      </c>
      <c r="E3657" s="65" t="str">
        <f aca="false">IF($H3657="","",资金流水!$B231)</f>
        <v/>
      </c>
      <c r="F3657" s="55" t="str">
        <f aca="false">IF($H3657="","",资金流水!$C231)</f>
        <v/>
      </c>
      <c r="G3657" s="48" t="str">
        <f aca="false">IF($H3657="","",资金流水!$K231)</f>
        <v/>
      </c>
      <c r="H3657" s="10" t="str">
        <f aca="false">IF($L3657="","",IF($L3657="@对方",资金流水!$G231,IF($L3657="@账户",资金流水!$Q231,$L3657)))</f>
        <v/>
      </c>
      <c r="I3657" s="42" t="n">
        <f aca="false">IF($M3657="借",$O3657,0)</f>
        <v>0</v>
      </c>
      <c r="J3657" s="42" t="n">
        <f aca="false">IF($M3657="贷",$O3657,0)</f>
        <v>0</v>
      </c>
      <c r="K3657" s="48" t="str">
        <f aca="false">IF($H3657="","",资金流水!$F231)</f>
        <v/>
      </c>
      <c r="L3657" s="66" t="str">
        <f aca="false">IF(资金流水!$E231="","",IFERROR(INDEX(记账规则!$A$13:$H$32,MATCH(资金流水!$E231,记账规则!$A$13:$A$32,0),6),""))</f>
        <v/>
      </c>
      <c r="M3657" s="66" t="str">
        <f aca="false">IF($L3657="","",IFERROR(INDEX(记账规则!$A$13:$H$32,MATCH(资金流水!$E231,记账规则!$A$13:$A$32,0),7),""))</f>
        <v/>
      </c>
      <c r="N3657" s="66" t="str">
        <f aca="false">IF($L3657="","",IFERROR(INDEX(记账规则!$A$13:$H$32,MATCH(资金流水!$E231,记账规则!$A$13:$A$32,0),8),""))</f>
        <v/>
      </c>
      <c r="O3657" s="67" t="n">
        <f aca="false">IF($H3657="",0,ROUND(IF($N3657="金额",N(资金流水!$P231),0),2))</f>
        <v>0</v>
      </c>
      <c r="P3657" s="64" t="str">
        <f aca="false">IF(AND($H3657&lt;&gt;"",ROUND($O3657,2)&lt;&gt;0),"有","")</f>
        <v/>
      </c>
    </row>
    <row r="3658" customFormat="false" ht="15" hidden="true" customHeight="false" outlineLevel="0" collapsed="false">
      <c r="A3658" s="53" t="str">
        <f aca="false">IF($H3658="","",ROW()-5)</f>
        <v/>
      </c>
      <c r="B3658" s="64" t="s">
        <v>37</v>
      </c>
      <c r="C3658" s="53" t="n">
        <v>232</v>
      </c>
      <c r="D3658" s="53" t="n">
        <v>1</v>
      </c>
      <c r="E3658" s="65" t="str">
        <f aca="false">IF($H3658="","",资金流水!$B232)</f>
        <v/>
      </c>
      <c r="F3658" s="55" t="str">
        <f aca="false">IF($H3658="","",资金流水!$C232)</f>
        <v/>
      </c>
      <c r="G3658" s="48" t="str">
        <f aca="false">IF($H3658="","",资金流水!$K232)</f>
        <v/>
      </c>
      <c r="H3658" s="10" t="str">
        <f aca="false">IF($L3658="","",IF($L3658="@对方",资金流水!$G232,IF($L3658="@账户",资金流水!$Q232,$L3658)))</f>
        <v/>
      </c>
      <c r="I3658" s="42" t="n">
        <f aca="false">IF($M3658="借",$O3658,0)</f>
        <v>0</v>
      </c>
      <c r="J3658" s="42" t="n">
        <f aca="false">IF($M3658="贷",$O3658,0)</f>
        <v>0</v>
      </c>
      <c r="K3658" s="48" t="str">
        <f aca="false">IF($H3658="","",资金流水!$F232)</f>
        <v/>
      </c>
      <c r="L3658" s="66" t="str">
        <f aca="false">IF(资金流水!$E232="","",IFERROR(INDEX(记账规则!$A$13:$H$32,MATCH(资金流水!$E232,记账规则!$A$13:$A$32,0),3),""))</f>
        <v/>
      </c>
      <c r="M3658" s="66" t="str">
        <f aca="false">IF($L3658="","",IFERROR(INDEX(记账规则!$A$13:$H$32,MATCH(资金流水!$E232,记账规则!$A$13:$A$32,0),4),""))</f>
        <v/>
      </c>
      <c r="N3658" s="66" t="str">
        <f aca="false">IF($L3658="","",IFERROR(INDEX(记账规则!$A$13:$H$32,MATCH(资金流水!$E232,记账规则!$A$13:$A$32,0),5),""))</f>
        <v/>
      </c>
      <c r="O3658" s="67" t="n">
        <f aca="false">IF($H3658="",0,ROUND(IF($N3658="金额",N(资金流水!$P232),0),2))</f>
        <v>0</v>
      </c>
      <c r="P3658" s="64" t="str">
        <f aca="false">IF(AND($H3658&lt;&gt;"",ROUND($O3658,2)&lt;&gt;0),"有","")</f>
        <v/>
      </c>
    </row>
    <row r="3659" customFormat="false" ht="15" hidden="true" customHeight="false" outlineLevel="0" collapsed="false">
      <c r="A3659" s="53" t="str">
        <f aca="false">IF($H3659="","",ROW()-5)</f>
        <v/>
      </c>
      <c r="B3659" s="64" t="s">
        <v>37</v>
      </c>
      <c r="C3659" s="53" t="n">
        <v>232</v>
      </c>
      <c r="D3659" s="53" t="n">
        <v>2</v>
      </c>
      <c r="E3659" s="65" t="str">
        <f aca="false">IF($H3659="","",资金流水!$B232)</f>
        <v/>
      </c>
      <c r="F3659" s="55" t="str">
        <f aca="false">IF($H3659="","",资金流水!$C232)</f>
        <v/>
      </c>
      <c r="G3659" s="48" t="str">
        <f aca="false">IF($H3659="","",资金流水!$K232)</f>
        <v/>
      </c>
      <c r="H3659" s="10" t="str">
        <f aca="false">IF($L3659="","",IF($L3659="@对方",资金流水!$G232,IF($L3659="@账户",资金流水!$Q232,$L3659)))</f>
        <v/>
      </c>
      <c r="I3659" s="42" t="n">
        <f aca="false">IF($M3659="借",$O3659,0)</f>
        <v>0</v>
      </c>
      <c r="J3659" s="42" t="n">
        <f aca="false">IF($M3659="贷",$O3659,0)</f>
        <v>0</v>
      </c>
      <c r="K3659" s="48" t="str">
        <f aca="false">IF($H3659="","",资金流水!$F232)</f>
        <v/>
      </c>
      <c r="L3659" s="66" t="str">
        <f aca="false">IF(资金流水!$E232="","",IFERROR(INDEX(记账规则!$A$13:$H$32,MATCH(资金流水!$E232,记账规则!$A$13:$A$32,0),6),""))</f>
        <v/>
      </c>
      <c r="M3659" s="66" t="str">
        <f aca="false">IF($L3659="","",IFERROR(INDEX(记账规则!$A$13:$H$32,MATCH(资金流水!$E232,记账规则!$A$13:$A$32,0),7),""))</f>
        <v/>
      </c>
      <c r="N3659" s="66" t="str">
        <f aca="false">IF($L3659="","",IFERROR(INDEX(记账规则!$A$13:$H$32,MATCH(资金流水!$E232,记账规则!$A$13:$A$32,0),8),""))</f>
        <v/>
      </c>
      <c r="O3659" s="67" t="n">
        <f aca="false">IF($H3659="",0,ROUND(IF($N3659="金额",N(资金流水!$P232),0),2))</f>
        <v>0</v>
      </c>
      <c r="P3659" s="64" t="str">
        <f aca="false">IF(AND($H3659&lt;&gt;"",ROUND($O3659,2)&lt;&gt;0),"有","")</f>
        <v/>
      </c>
    </row>
    <row r="3660" customFormat="false" ht="15" hidden="true" customHeight="false" outlineLevel="0" collapsed="false">
      <c r="A3660" s="53" t="str">
        <f aca="false">IF($H3660="","",ROW()-5)</f>
        <v/>
      </c>
      <c r="B3660" s="64" t="s">
        <v>37</v>
      </c>
      <c r="C3660" s="53" t="n">
        <v>233</v>
      </c>
      <c r="D3660" s="53" t="n">
        <v>1</v>
      </c>
      <c r="E3660" s="65" t="str">
        <f aca="false">IF($H3660="","",资金流水!$B233)</f>
        <v/>
      </c>
      <c r="F3660" s="55" t="str">
        <f aca="false">IF($H3660="","",资金流水!$C233)</f>
        <v/>
      </c>
      <c r="G3660" s="48" t="str">
        <f aca="false">IF($H3660="","",资金流水!$K233)</f>
        <v/>
      </c>
      <c r="H3660" s="10" t="str">
        <f aca="false">IF($L3660="","",IF($L3660="@对方",资金流水!$G233,IF($L3660="@账户",资金流水!$Q233,$L3660)))</f>
        <v/>
      </c>
      <c r="I3660" s="42" t="n">
        <f aca="false">IF($M3660="借",$O3660,0)</f>
        <v>0</v>
      </c>
      <c r="J3660" s="42" t="n">
        <f aca="false">IF($M3660="贷",$O3660,0)</f>
        <v>0</v>
      </c>
      <c r="K3660" s="48" t="str">
        <f aca="false">IF($H3660="","",资金流水!$F233)</f>
        <v/>
      </c>
      <c r="L3660" s="66" t="str">
        <f aca="false">IF(资金流水!$E233="","",IFERROR(INDEX(记账规则!$A$13:$H$32,MATCH(资金流水!$E233,记账规则!$A$13:$A$32,0),3),""))</f>
        <v/>
      </c>
      <c r="M3660" s="66" t="str">
        <f aca="false">IF($L3660="","",IFERROR(INDEX(记账规则!$A$13:$H$32,MATCH(资金流水!$E233,记账规则!$A$13:$A$32,0),4),""))</f>
        <v/>
      </c>
      <c r="N3660" s="66" t="str">
        <f aca="false">IF($L3660="","",IFERROR(INDEX(记账规则!$A$13:$H$32,MATCH(资金流水!$E233,记账规则!$A$13:$A$32,0),5),""))</f>
        <v/>
      </c>
      <c r="O3660" s="67" t="n">
        <f aca="false">IF($H3660="",0,ROUND(IF($N3660="金额",N(资金流水!$P233),0),2))</f>
        <v>0</v>
      </c>
      <c r="P3660" s="64" t="str">
        <f aca="false">IF(AND($H3660&lt;&gt;"",ROUND($O3660,2)&lt;&gt;0),"有","")</f>
        <v/>
      </c>
    </row>
    <row r="3661" customFormat="false" ht="15" hidden="true" customHeight="false" outlineLevel="0" collapsed="false">
      <c r="A3661" s="53" t="str">
        <f aca="false">IF($H3661="","",ROW()-5)</f>
        <v/>
      </c>
      <c r="B3661" s="64" t="s">
        <v>37</v>
      </c>
      <c r="C3661" s="53" t="n">
        <v>233</v>
      </c>
      <c r="D3661" s="53" t="n">
        <v>2</v>
      </c>
      <c r="E3661" s="65" t="str">
        <f aca="false">IF($H3661="","",资金流水!$B233)</f>
        <v/>
      </c>
      <c r="F3661" s="55" t="str">
        <f aca="false">IF($H3661="","",资金流水!$C233)</f>
        <v/>
      </c>
      <c r="G3661" s="48" t="str">
        <f aca="false">IF($H3661="","",资金流水!$K233)</f>
        <v/>
      </c>
      <c r="H3661" s="10" t="str">
        <f aca="false">IF($L3661="","",IF($L3661="@对方",资金流水!$G233,IF($L3661="@账户",资金流水!$Q233,$L3661)))</f>
        <v/>
      </c>
      <c r="I3661" s="42" t="n">
        <f aca="false">IF($M3661="借",$O3661,0)</f>
        <v>0</v>
      </c>
      <c r="J3661" s="42" t="n">
        <f aca="false">IF($M3661="贷",$O3661,0)</f>
        <v>0</v>
      </c>
      <c r="K3661" s="48" t="str">
        <f aca="false">IF($H3661="","",资金流水!$F233)</f>
        <v/>
      </c>
      <c r="L3661" s="66" t="str">
        <f aca="false">IF(资金流水!$E233="","",IFERROR(INDEX(记账规则!$A$13:$H$32,MATCH(资金流水!$E233,记账规则!$A$13:$A$32,0),6),""))</f>
        <v/>
      </c>
      <c r="M3661" s="66" t="str">
        <f aca="false">IF($L3661="","",IFERROR(INDEX(记账规则!$A$13:$H$32,MATCH(资金流水!$E233,记账规则!$A$13:$A$32,0),7),""))</f>
        <v/>
      </c>
      <c r="N3661" s="66" t="str">
        <f aca="false">IF($L3661="","",IFERROR(INDEX(记账规则!$A$13:$H$32,MATCH(资金流水!$E233,记账规则!$A$13:$A$32,0),8),""))</f>
        <v/>
      </c>
      <c r="O3661" s="67" t="n">
        <f aca="false">IF($H3661="",0,ROUND(IF($N3661="金额",N(资金流水!$P233),0),2))</f>
        <v>0</v>
      </c>
      <c r="P3661" s="64" t="str">
        <f aca="false">IF(AND($H3661&lt;&gt;"",ROUND($O3661,2)&lt;&gt;0),"有","")</f>
        <v/>
      </c>
    </row>
    <row r="3662" customFormat="false" ht="15" hidden="true" customHeight="false" outlineLevel="0" collapsed="false">
      <c r="A3662" s="53" t="str">
        <f aca="false">IF($H3662="","",ROW()-5)</f>
        <v/>
      </c>
      <c r="B3662" s="64" t="s">
        <v>37</v>
      </c>
      <c r="C3662" s="53" t="n">
        <v>234</v>
      </c>
      <c r="D3662" s="53" t="n">
        <v>1</v>
      </c>
      <c r="E3662" s="65" t="str">
        <f aca="false">IF($H3662="","",资金流水!$B234)</f>
        <v/>
      </c>
      <c r="F3662" s="55" t="str">
        <f aca="false">IF($H3662="","",资金流水!$C234)</f>
        <v/>
      </c>
      <c r="G3662" s="48" t="str">
        <f aca="false">IF($H3662="","",资金流水!$K234)</f>
        <v/>
      </c>
      <c r="H3662" s="10" t="str">
        <f aca="false">IF($L3662="","",IF($L3662="@对方",资金流水!$G234,IF($L3662="@账户",资金流水!$Q234,$L3662)))</f>
        <v/>
      </c>
      <c r="I3662" s="42" t="n">
        <f aca="false">IF($M3662="借",$O3662,0)</f>
        <v>0</v>
      </c>
      <c r="J3662" s="42" t="n">
        <f aca="false">IF($M3662="贷",$O3662,0)</f>
        <v>0</v>
      </c>
      <c r="K3662" s="48" t="str">
        <f aca="false">IF($H3662="","",资金流水!$F234)</f>
        <v/>
      </c>
      <c r="L3662" s="66" t="str">
        <f aca="false">IF(资金流水!$E234="","",IFERROR(INDEX(记账规则!$A$13:$H$32,MATCH(资金流水!$E234,记账规则!$A$13:$A$32,0),3),""))</f>
        <v/>
      </c>
      <c r="M3662" s="66" t="str">
        <f aca="false">IF($L3662="","",IFERROR(INDEX(记账规则!$A$13:$H$32,MATCH(资金流水!$E234,记账规则!$A$13:$A$32,0),4),""))</f>
        <v/>
      </c>
      <c r="N3662" s="66" t="str">
        <f aca="false">IF($L3662="","",IFERROR(INDEX(记账规则!$A$13:$H$32,MATCH(资金流水!$E234,记账规则!$A$13:$A$32,0),5),""))</f>
        <v/>
      </c>
      <c r="O3662" s="67" t="n">
        <f aca="false">IF($H3662="",0,ROUND(IF($N3662="金额",N(资金流水!$P234),0),2))</f>
        <v>0</v>
      </c>
      <c r="P3662" s="64" t="str">
        <f aca="false">IF(AND($H3662&lt;&gt;"",ROUND($O3662,2)&lt;&gt;0),"有","")</f>
        <v/>
      </c>
    </row>
    <row r="3663" customFormat="false" ht="15" hidden="true" customHeight="false" outlineLevel="0" collapsed="false">
      <c r="A3663" s="53" t="str">
        <f aca="false">IF($H3663="","",ROW()-5)</f>
        <v/>
      </c>
      <c r="B3663" s="64" t="s">
        <v>37</v>
      </c>
      <c r="C3663" s="53" t="n">
        <v>234</v>
      </c>
      <c r="D3663" s="53" t="n">
        <v>2</v>
      </c>
      <c r="E3663" s="65" t="str">
        <f aca="false">IF($H3663="","",资金流水!$B234)</f>
        <v/>
      </c>
      <c r="F3663" s="55" t="str">
        <f aca="false">IF($H3663="","",资金流水!$C234)</f>
        <v/>
      </c>
      <c r="G3663" s="48" t="str">
        <f aca="false">IF($H3663="","",资金流水!$K234)</f>
        <v/>
      </c>
      <c r="H3663" s="10" t="str">
        <f aca="false">IF($L3663="","",IF($L3663="@对方",资金流水!$G234,IF($L3663="@账户",资金流水!$Q234,$L3663)))</f>
        <v/>
      </c>
      <c r="I3663" s="42" t="n">
        <f aca="false">IF($M3663="借",$O3663,0)</f>
        <v>0</v>
      </c>
      <c r="J3663" s="42" t="n">
        <f aca="false">IF($M3663="贷",$O3663,0)</f>
        <v>0</v>
      </c>
      <c r="K3663" s="48" t="str">
        <f aca="false">IF($H3663="","",资金流水!$F234)</f>
        <v/>
      </c>
      <c r="L3663" s="66" t="str">
        <f aca="false">IF(资金流水!$E234="","",IFERROR(INDEX(记账规则!$A$13:$H$32,MATCH(资金流水!$E234,记账规则!$A$13:$A$32,0),6),""))</f>
        <v/>
      </c>
      <c r="M3663" s="66" t="str">
        <f aca="false">IF($L3663="","",IFERROR(INDEX(记账规则!$A$13:$H$32,MATCH(资金流水!$E234,记账规则!$A$13:$A$32,0),7),""))</f>
        <v/>
      </c>
      <c r="N3663" s="66" t="str">
        <f aca="false">IF($L3663="","",IFERROR(INDEX(记账规则!$A$13:$H$32,MATCH(资金流水!$E234,记账规则!$A$13:$A$32,0),8),""))</f>
        <v/>
      </c>
      <c r="O3663" s="67" t="n">
        <f aca="false">IF($H3663="",0,ROUND(IF($N3663="金额",N(资金流水!$P234),0),2))</f>
        <v>0</v>
      </c>
      <c r="P3663" s="64" t="str">
        <f aca="false">IF(AND($H3663&lt;&gt;"",ROUND($O3663,2)&lt;&gt;0),"有","")</f>
        <v/>
      </c>
    </row>
    <row r="3664" customFormat="false" ht="15" hidden="true" customHeight="false" outlineLevel="0" collapsed="false">
      <c r="A3664" s="53" t="str">
        <f aca="false">IF($H3664="","",ROW()-5)</f>
        <v/>
      </c>
      <c r="B3664" s="64" t="s">
        <v>37</v>
      </c>
      <c r="C3664" s="53" t="n">
        <v>235</v>
      </c>
      <c r="D3664" s="53" t="n">
        <v>1</v>
      </c>
      <c r="E3664" s="65" t="str">
        <f aca="false">IF($H3664="","",资金流水!$B235)</f>
        <v/>
      </c>
      <c r="F3664" s="55" t="str">
        <f aca="false">IF($H3664="","",资金流水!$C235)</f>
        <v/>
      </c>
      <c r="G3664" s="48" t="str">
        <f aca="false">IF($H3664="","",资金流水!$K235)</f>
        <v/>
      </c>
      <c r="H3664" s="10" t="str">
        <f aca="false">IF($L3664="","",IF($L3664="@对方",资金流水!$G235,IF($L3664="@账户",资金流水!$Q235,$L3664)))</f>
        <v/>
      </c>
      <c r="I3664" s="42" t="n">
        <f aca="false">IF($M3664="借",$O3664,0)</f>
        <v>0</v>
      </c>
      <c r="J3664" s="42" t="n">
        <f aca="false">IF($M3664="贷",$O3664,0)</f>
        <v>0</v>
      </c>
      <c r="K3664" s="48" t="str">
        <f aca="false">IF($H3664="","",资金流水!$F235)</f>
        <v/>
      </c>
      <c r="L3664" s="66" t="str">
        <f aca="false">IF(资金流水!$E235="","",IFERROR(INDEX(记账规则!$A$13:$H$32,MATCH(资金流水!$E235,记账规则!$A$13:$A$32,0),3),""))</f>
        <v/>
      </c>
      <c r="M3664" s="66" t="str">
        <f aca="false">IF($L3664="","",IFERROR(INDEX(记账规则!$A$13:$H$32,MATCH(资金流水!$E235,记账规则!$A$13:$A$32,0),4),""))</f>
        <v/>
      </c>
      <c r="N3664" s="66" t="str">
        <f aca="false">IF($L3664="","",IFERROR(INDEX(记账规则!$A$13:$H$32,MATCH(资金流水!$E235,记账规则!$A$13:$A$32,0),5),""))</f>
        <v/>
      </c>
      <c r="O3664" s="67" t="n">
        <f aca="false">IF($H3664="",0,ROUND(IF($N3664="金额",N(资金流水!$P235),0),2))</f>
        <v>0</v>
      </c>
      <c r="P3664" s="64" t="str">
        <f aca="false">IF(AND($H3664&lt;&gt;"",ROUND($O3664,2)&lt;&gt;0),"有","")</f>
        <v/>
      </c>
    </row>
    <row r="3665" customFormat="false" ht="15" hidden="true" customHeight="false" outlineLevel="0" collapsed="false">
      <c r="A3665" s="53" t="str">
        <f aca="false">IF($H3665="","",ROW()-5)</f>
        <v/>
      </c>
      <c r="B3665" s="64" t="s">
        <v>37</v>
      </c>
      <c r="C3665" s="53" t="n">
        <v>235</v>
      </c>
      <c r="D3665" s="53" t="n">
        <v>2</v>
      </c>
      <c r="E3665" s="65" t="str">
        <f aca="false">IF($H3665="","",资金流水!$B235)</f>
        <v/>
      </c>
      <c r="F3665" s="55" t="str">
        <f aca="false">IF($H3665="","",资金流水!$C235)</f>
        <v/>
      </c>
      <c r="G3665" s="48" t="str">
        <f aca="false">IF($H3665="","",资金流水!$K235)</f>
        <v/>
      </c>
      <c r="H3665" s="10" t="str">
        <f aca="false">IF($L3665="","",IF($L3665="@对方",资金流水!$G235,IF($L3665="@账户",资金流水!$Q235,$L3665)))</f>
        <v/>
      </c>
      <c r="I3665" s="42" t="n">
        <f aca="false">IF($M3665="借",$O3665,0)</f>
        <v>0</v>
      </c>
      <c r="J3665" s="42" t="n">
        <f aca="false">IF($M3665="贷",$O3665,0)</f>
        <v>0</v>
      </c>
      <c r="K3665" s="48" t="str">
        <f aca="false">IF($H3665="","",资金流水!$F235)</f>
        <v/>
      </c>
      <c r="L3665" s="66" t="str">
        <f aca="false">IF(资金流水!$E235="","",IFERROR(INDEX(记账规则!$A$13:$H$32,MATCH(资金流水!$E235,记账规则!$A$13:$A$32,0),6),""))</f>
        <v/>
      </c>
      <c r="M3665" s="66" t="str">
        <f aca="false">IF($L3665="","",IFERROR(INDEX(记账规则!$A$13:$H$32,MATCH(资金流水!$E235,记账规则!$A$13:$A$32,0),7),""))</f>
        <v/>
      </c>
      <c r="N3665" s="66" t="str">
        <f aca="false">IF($L3665="","",IFERROR(INDEX(记账规则!$A$13:$H$32,MATCH(资金流水!$E235,记账规则!$A$13:$A$32,0),8),""))</f>
        <v/>
      </c>
      <c r="O3665" s="67" t="n">
        <f aca="false">IF($H3665="",0,ROUND(IF($N3665="金额",N(资金流水!$P235),0),2))</f>
        <v>0</v>
      </c>
      <c r="P3665" s="64" t="str">
        <f aca="false">IF(AND($H3665&lt;&gt;"",ROUND($O3665,2)&lt;&gt;0),"有","")</f>
        <v/>
      </c>
    </row>
    <row r="3666" customFormat="false" ht="15" hidden="true" customHeight="false" outlineLevel="0" collapsed="false">
      <c r="A3666" s="53" t="str">
        <f aca="false">IF($H3666="","",ROW()-5)</f>
        <v/>
      </c>
      <c r="B3666" s="64" t="s">
        <v>37</v>
      </c>
      <c r="C3666" s="53" t="n">
        <v>236</v>
      </c>
      <c r="D3666" s="53" t="n">
        <v>1</v>
      </c>
      <c r="E3666" s="65" t="str">
        <f aca="false">IF($H3666="","",资金流水!$B236)</f>
        <v/>
      </c>
      <c r="F3666" s="55" t="str">
        <f aca="false">IF($H3666="","",资金流水!$C236)</f>
        <v/>
      </c>
      <c r="G3666" s="48" t="str">
        <f aca="false">IF($H3666="","",资金流水!$K236)</f>
        <v/>
      </c>
      <c r="H3666" s="10" t="str">
        <f aca="false">IF($L3666="","",IF($L3666="@对方",资金流水!$G236,IF($L3666="@账户",资金流水!$Q236,$L3666)))</f>
        <v/>
      </c>
      <c r="I3666" s="42" t="n">
        <f aca="false">IF($M3666="借",$O3666,0)</f>
        <v>0</v>
      </c>
      <c r="J3666" s="42" t="n">
        <f aca="false">IF($M3666="贷",$O3666,0)</f>
        <v>0</v>
      </c>
      <c r="K3666" s="48" t="str">
        <f aca="false">IF($H3666="","",资金流水!$F236)</f>
        <v/>
      </c>
      <c r="L3666" s="66" t="str">
        <f aca="false">IF(资金流水!$E236="","",IFERROR(INDEX(记账规则!$A$13:$H$32,MATCH(资金流水!$E236,记账规则!$A$13:$A$32,0),3),""))</f>
        <v/>
      </c>
      <c r="M3666" s="66" t="str">
        <f aca="false">IF($L3666="","",IFERROR(INDEX(记账规则!$A$13:$H$32,MATCH(资金流水!$E236,记账规则!$A$13:$A$32,0),4),""))</f>
        <v/>
      </c>
      <c r="N3666" s="66" t="str">
        <f aca="false">IF($L3666="","",IFERROR(INDEX(记账规则!$A$13:$H$32,MATCH(资金流水!$E236,记账规则!$A$13:$A$32,0),5),""))</f>
        <v/>
      </c>
      <c r="O3666" s="67" t="n">
        <f aca="false">IF($H3666="",0,ROUND(IF($N3666="金额",N(资金流水!$P236),0),2))</f>
        <v>0</v>
      </c>
      <c r="P3666" s="64" t="str">
        <f aca="false">IF(AND($H3666&lt;&gt;"",ROUND($O3666,2)&lt;&gt;0),"有","")</f>
        <v/>
      </c>
    </row>
    <row r="3667" customFormat="false" ht="15" hidden="true" customHeight="false" outlineLevel="0" collapsed="false">
      <c r="A3667" s="53" t="str">
        <f aca="false">IF($H3667="","",ROW()-5)</f>
        <v/>
      </c>
      <c r="B3667" s="64" t="s">
        <v>37</v>
      </c>
      <c r="C3667" s="53" t="n">
        <v>236</v>
      </c>
      <c r="D3667" s="53" t="n">
        <v>2</v>
      </c>
      <c r="E3667" s="65" t="str">
        <f aca="false">IF($H3667="","",资金流水!$B236)</f>
        <v/>
      </c>
      <c r="F3667" s="55" t="str">
        <f aca="false">IF($H3667="","",资金流水!$C236)</f>
        <v/>
      </c>
      <c r="G3667" s="48" t="str">
        <f aca="false">IF($H3667="","",资金流水!$K236)</f>
        <v/>
      </c>
      <c r="H3667" s="10" t="str">
        <f aca="false">IF($L3667="","",IF($L3667="@对方",资金流水!$G236,IF($L3667="@账户",资金流水!$Q236,$L3667)))</f>
        <v/>
      </c>
      <c r="I3667" s="42" t="n">
        <f aca="false">IF($M3667="借",$O3667,0)</f>
        <v>0</v>
      </c>
      <c r="J3667" s="42" t="n">
        <f aca="false">IF($M3667="贷",$O3667,0)</f>
        <v>0</v>
      </c>
      <c r="K3667" s="48" t="str">
        <f aca="false">IF($H3667="","",资金流水!$F236)</f>
        <v/>
      </c>
      <c r="L3667" s="66" t="str">
        <f aca="false">IF(资金流水!$E236="","",IFERROR(INDEX(记账规则!$A$13:$H$32,MATCH(资金流水!$E236,记账规则!$A$13:$A$32,0),6),""))</f>
        <v/>
      </c>
      <c r="M3667" s="66" t="str">
        <f aca="false">IF($L3667="","",IFERROR(INDEX(记账规则!$A$13:$H$32,MATCH(资金流水!$E236,记账规则!$A$13:$A$32,0),7),""))</f>
        <v/>
      </c>
      <c r="N3667" s="66" t="str">
        <f aca="false">IF($L3667="","",IFERROR(INDEX(记账规则!$A$13:$H$32,MATCH(资金流水!$E236,记账规则!$A$13:$A$32,0),8),""))</f>
        <v/>
      </c>
      <c r="O3667" s="67" t="n">
        <f aca="false">IF($H3667="",0,ROUND(IF($N3667="金额",N(资金流水!$P236),0),2))</f>
        <v>0</v>
      </c>
      <c r="P3667" s="64" t="str">
        <f aca="false">IF(AND($H3667&lt;&gt;"",ROUND($O3667,2)&lt;&gt;0),"有","")</f>
        <v/>
      </c>
    </row>
    <row r="3668" customFormat="false" ht="15" hidden="true" customHeight="false" outlineLevel="0" collapsed="false">
      <c r="A3668" s="53" t="str">
        <f aca="false">IF($H3668="","",ROW()-5)</f>
        <v/>
      </c>
      <c r="B3668" s="64" t="s">
        <v>37</v>
      </c>
      <c r="C3668" s="53" t="n">
        <v>237</v>
      </c>
      <c r="D3668" s="53" t="n">
        <v>1</v>
      </c>
      <c r="E3668" s="65" t="str">
        <f aca="false">IF($H3668="","",资金流水!$B237)</f>
        <v/>
      </c>
      <c r="F3668" s="55" t="str">
        <f aca="false">IF($H3668="","",资金流水!$C237)</f>
        <v/>
      </c>
      <c r="G3668" s="48" t="str">
        <f aca="false">IF($H3668="","",资金流水!$K237)</f>
        <v/>
      </c>
      <c r="H3668" s="10" t="str">
        <f aca="false">IF($L3668="","",IF($L3668="@对方",资金流水!$G237,IF($L3668="@账户",资金流水!$Q237,$L3668)))</f>
        <v/>
      </c>
      <c r="I3668" s="42" t="n">
        <f aca="false">IF($M3668="借",$O3668,0)</f>
        <v>0</v>
      </c>
      <c r="J3668" s="42" t="n">
        <f aca="false">IF($M3668="贷",$O3668,0)</f>
        <v>0</v>
      </c>
      <c r="K3668" s="48" t="str">
        <f aca="false">IF($H3668="","",资金流水!$F237)</f>
        <v/>
      </c>
      <c r="L3668" s="66" t="str">
        <f aca="false">IF(资金流水!$E237="","",IFERROR(INDEX(记账规则!$A$13:$H$32,MATCH(资金流水!$E237,记账规则!$A$13:$A$32,0),3),""))</f>
        <v/>
      </c>
      <c r="M3668" s="66" t="str">
        <f aca="false">IF($L3668="","",IFERROR(INDEX(记账规则!$A$13:$H$32,MATCH(资金流水!$E237,记账规则!$A$13:$A$32,0),4),""))</f>
        <v/>
      </c>
      <c r="N3668" s="66" t="str">
        <f aca="false">IF($L3668="","",IFERROR(INDEX(记账规则!$A$13:$H$32,MATCH(资金流水!$E237,记账规则!$A$13:$A$32,0),5),""))</f>
        <v/>
      </c>
      <c r="O3668" s="67" t="n">
        <f aca="false">IF($H3668="",0,ROUND(IF($N3668="金额",N(资金流水!$P237),0),2))</f>
        <v>0</v>
      </c>
      <c r="P3668" s="64" t="str">
        <f aca="false">IF(AND($H3668&lt;&gt;"",ROUND($O3668,2)&lt;&gt;0),"有","")</f>
        <v/>
      </c>
    </row>
    <row r="3669" customFormat="false" ht="15" hidden="true" customHeight="false" outlineLevel="0" collapsed="false">
      <c r="A3669" s="53" t="str">
        <f aca="false">IF($H3669="","",ROW()-5)</f>
        <v/>
      </c>
      <c r="B3669" s="64" t="s">
        <v>37</v>
      </c>
      <c r="C3669" s="53" t="n">
        <v>237</v>
      </c>
      <c r="D3669" s="53" t="n">
        <v>2</v>
      </c>
      <c r="E3669" s="65" t="str">
        <f aca="false">IF($H3669="","",资金流水!$B237)</f>
        <v/>
      </c>
      <c r="F3669" s="55" t="str">
        <f aca="false">IF($H3669="","",资金流水!$C237)</f>
        <v/>
      </c>
      <c r="G3669" s="48" t="str">
        <f aca="false">IF($H3669="","",资金流水!$K237)</f>
        <v/>
      </c>
      <c r="H3669" s="10" t="str">
        <f aca="false">IF($L3669="","",IF($L3669="@对方",资金流水!$G237,IF($L3669="@账户",资金流水!$Q237,$L3669)))</f>
        <v/>
      </c>
      <c r="I3669" s="42" t="n">
        <f aca="false">IF($M3669="借",$O3669,0)</f>
        <v>0</v>
      </c>
      <c r="J3669" s="42" t="n">
        <f aca="false">IF($M3669="贷",$O3669,0)</f>
        <v>0</v>
      </c>
      <c r="K3669" s="48" t="str">
        <f aca="false">IF($H3669="","",资金流水!$F237)</f>
        <v/>
      </c>
      <c r="L3669" s="66" t="str">
        <f aca="false">IF(资金流水!$E237="","",IFERROR(INDEX(记账规则!$A$13:$H$32,MATCH(资金流水!$E237,记账规则!$A$13:$A$32,0),6),""))</f>
        <v/>
      </c>
      <c r="M3669" s="66" t="str">
        <f aca="false">IF($L3669="","",IFERROR(INDEX(记账规则!$A$13:$H$32,MATCH(资金流水!$E237,记账规则!$A$13:$A$32,0),7),""))</f>
        <v/>
      </c>
      <c r="N3669" s="66" t="str">
        <f aca="false">IF($L3669="","",IFERROR(INDEX(记账规则!$A$13:$H$32,MATCH(资金流水!$E237,记账规则!$A$13:$A$32,0),8),""))</f>
        <v/>
      </c>
      <c r="O3669" s="67" t="n">
        <f aca="false">IF($H3669="",0,ROUND(IF($N3669="金额",N(资金流水!$P237),0),2))</f>
        <v>0</v>
      </c>
      <c r="P3669" s="64" t="str">
        <f aca="false">IF(AND($H3669&lt;&gt;"",ROUND($O3669,2)&lt;&gt;0),"有","")</f>
        <v/>
      </c>
    </row>
    <row r="3670" customFormat="false" ht="15" hidden="true" customHeight="false" outlineLevel="0" collapsed="false">
      <c r="A3670" s="53" t="str">
        <f aca="false">IF($H3670="","",ROW()-5)</f>
        <v/>
      </c>
      <c r="B3670" s="64" t="s">
        <v>37</v>
      </c>
      <c r="C3670" s="53" t="n">
        <v>238</v>
      </c>
      <c r="D3670" s="53" t="n">
        <v>1</v>
      </c>
      <c r="E3670" s="65" t="str">
        <f aca="false">IF($H3670="","",资金流水!$B238)</f>
        <v/>
      </c>
      <c r="F3670" s="55" t="str">
        <f aca="false">IF($H3670="","",资金流水!$C238)</f>
        <v/>
      </c>
      <c r="G3670" s="48" t="str">
        <f aca="false">IF($H3670="","",资金流水!$K238)</f>
        <v/>
      </c>
      <c r="H3670" s="10" t="str">
        <f aca="false">IF($L3670="","",IF($L3670="@对方",资金流水!$G238,IF($L3670="@账户",资金流水!$Q238,$L3670)))</f>
        <v/>
      </c>
      <c r="I3670" s="42" t="n">
        <f aca="false">IF($M3670="借",$O3670,0)</f>
        <v>0</v>
      </c>
      <c r="J3670" s="42" t="n">
        <f aca="false">IF($M3670="贷",$O3670,0)</f>
        <v>0</v>
      </c>
      <c r="K3670" s="48" t="str">
        <f aca="false">IF($H3670="","",资金流水!$F238)</f>
        <v/>
      </c>
      <c r="L3670" s="66" t="str">
        <f aca="false">IF(资金流水!$E238="","",IFERROR(INDEX(记账规则!$A$13:$H$32,MATCH(资金流水!$E238,记账规则!$A$13:$A$32,0),3),""))</f>
        <v/>
      </c>
      <c r="M3670" s="66" t="str">
        <f aca="false">IF($L3670="","",IFERROR(INDEX(记账规则!$A$13:$H$32,MATCH(资金流水!$E238,记账规则!$A$13:$A$32,0),4),""))</f>
        <v/>
      </c>
      <c r="N3670" s="66" t="str">
        <f aca="false">IF($L3670="","",IFERROR(INDEX(记账规则!$A$13:$H$32,MATCH(资金流水!$E238,记账规则!$A$13:$A$32,0),5),""))</f>
        <v/>
      </c>
      <c r="O3670" s="67" t="n">
        <f aca="false">IF($H3670="",0,ROUND(IF($N3670="金额",N(资金流水!$P238),0),2))</f>
        <v>0</v>
      </c>
      <c r="P3670" s="64" t="str">
        <f aca="false">IF(AND($H3670&lt;&gt;"",ROUND($O3670,2)&lt;&gt;0),"有","")</f>
        <v/>
      </c>
    </row>
    <row r="3671" customFormat="false" ht="15" hidden="true" customHeight="false" outlineLevel="0" collapsed="false">
      <c r="A3671" s="53" t="str">
        <f aca="false">IF($H3671="","",ROW()-5)</f>
        <v/>
      </c>
      <c r="B3671" s="64" t="s">
        <v>37</v>
      </c>
      <c r="C3671" s="53" t="n">
        <v>238</v>
      </c>
      <c r="D3671" s="53" t="n">
        <v>2</v>
      </c>
      <c r="E3671" s="65" t="str">
        <f aca="false">IF($H3671="","",资金流水!$B238)</f>
        <v/>
      </c>
      <c r="F3671" s="55" t="str">
        <f aca="false">IF($H3671="","",资金流水!$C238)</f>
        <v/>
      </c>
      <c r="G3671" s="48" t="str">
        <f aca="false">IF($H3671="","",资金流水!$K238)</f>
        <v/>
      </c>
      <c r="H3671" s="10" t="str">
        <f aca="false">IF($L3671="","",IF($L3671="@对方",资金流水!$G238,IF($L3671="@账户",资金流水!$Q238,$L3671)))</f>
        <v/>
      </c>
      <c r="I3671" s="42" t="n">
        <f aca="false">IF($M3671="借",$O3671,0)</f>
        <v>0</v>
      </c>
      <c r="J3671" s="42" t="n">
        <f aca="false">IF($M3671="贷",$O3671,0)</f>
        <v>0</v>
      </c>
      <c r="K3671" s="48" t="str">
        <f aca="false">IF($H3671="","",资金流水!$F238)</f>
        <v/>
      </c>
      <c r="L3671" s="66" t="str">
        <f aca="false">IF(资金流水!$E238="","",IFERROR(INDEX(记账规则!$A$13:$H$32,MATCH(资金流水!$E238,记账规则!$A$13:$A$32,0),6),""))</f>
        <v/>
      </c>
      <c r="M3671" s="66" t="str">
        <f aca="false">IF($L3671="","",IFERROR(INDEX(记账规则!$A$13:$H$32,MATCH(资金流水!$E238,记账规则!$A$13:$A$32,0),7),""))</f>
        <v/>
      </c>
      <c r="N3671" s="66" t="str">
        <f aca="false">IF($L3671="","",IFERROR(INDEX(记账规则!$A$13:$H$32,MATCH(资金流水!$E238,记账规则!$A$13:$A$32,0),8),""))</f>
        <v/>
      </c>
      <c r="O3671" s="67" t="n">
        <f aca="false">IF($H3671="",0,ROUND(IF($N3671="金额",N(资金流水!$P238),0),2))</f>
        <v>0</v>
      </c>
      <c r="P3671" s="64" t="str">
        <f aca="false">IF(AND($H3671&lt;&gt;"",ROUND($O3671,2)&lt;&gt;0),"有","")</f>
        <v/>
      </c>
    </row>
    <row r="3672" customFormat="false" ht="15" hidden="true" customHeight="false" outlineLevel="0" collapsed="false">
      <c r="A3672" s="53" t="str">
        <f aca="false">IF($H3672="","",ROW()-5)</f>
        <v/>
      </c>
      <c r="B3672" s="64" t="s">
        <v>37</v>
      </c>
      <c r="C3672" s="53" t="n">
        <v>239</v>
      </c>
      <c r="D3672" s="53" t="n">
        <v>1</v>
      </c>
      <c r="E3672" s="65" t="str">
        <f aca="false">IF($H3672="","",资金流水!$B239)</f>
        <v/>
      </c>
      <c r="F3672" s="55" t="str">
        <f aca="false">IF($H3672="","",资金流水!$C239)</f>
        <v/>
      </c>
      <c r="G3672" s="48" t="str">
        <f aca="false">IF($H3672="","",资金流水!$K239)</f>
        <v/>
      </c>
      <c r="H3672" s="10" t="str">
        <f aca="false">IF($L3672="","",IF($L3672="@对方",资金流水!$G239,IF($L3672="@账户",资金流水!$Q239,$L3672)))</f>
        <v/>
      </c>
      <c r="I3672" s="42" t="n">
        <f aca="false">IF($M3672="借",$O3672,0)</f>
        <v>0</v>
      </c>
      <c r="J3672" s="42" t="n">
        <f aca="false">IF($M3672="贷",$O3672,0)</f>
        <v>0</v>
      </c>
      <c r="K3672" s="48" t="str">
        <f aca="false">IF($H3672="","",资金流水!$F239)</f>
        <v/>
      </c>
      <c r="L3672" s="66" t="str">
        <f aca="false">IF(资金流水!$E239="","",IFERROR(INDEX(记账规则!$A$13:$H$32,MATCH(资金流水!$E239,记账规则!$A$13:$A$32,0),3),""))</f>
        <v/>
      </c>
      <c r="M3672" s="66" t="str">
        <f aca="false">IF($L3672="","",IFERROR(INDEX(记账规则!$A$13:$H$32,MATCH(资金流水!$E239,记账规则!$A$13:$A$32,0),4),""))</f>
        <v/>
      </c>
      <c r="N3672" s="66" t="str">
        <f aca="false">IF($L3672="","",IFERROR(INDEX(记账规则!$A$13:$H$32,MATCH(资金流水!$E239,记账规则!$A$13:$A$32,0),5),""))</f>
        <v/>
      </c>
      <c r="O3672" s="67" t="n">
        <f aca="false">IF($H3672="",0,ROUND(IF($N3672="金额",N(资金流水!$P239),0),2))</f>
        <v>0</v>
      </c>
      <c r="P3672" s="64" t="str">
        <f aca="false">IF(AND($H3672&lt;&gt;"",ROUND($O3672,2)&lt;&gt;0),"有","")</f>
        <v/>
      </c>
    </row>
    <row r="3673" customFormat="false" ht="15" hidden="true" customHeight="false" outlineLevel="0" collapsed="false">
      <c r="A3673" s="53" t="str">
        <f aca="false">IF($H3673="","",ROW()-5)</f>
        <v/>
      </c>
      <c r="B3673" s="64" t="s">
        <v>37</v>
      </c>
      <c r="C3673" s="53" t="n">
        <v>239</v>
      </c>
      <c r="D3673" s="53" t="n">
        <v>2</v>
      </c>
      <c r="E3673" s="65" t="str">
        <f aca="false">IF($H3673="","",资金流水!$B239)</f>
        <v/>
      </c>
      <c r="F3673" s="55" t="str">
        <f aca="false">IF($H3673="","",资金流水!$C239)</f>
        <v/>
      </c>
      <c r="G3673" s="48" t="str">
        <f aca="false">IF($H3673="","",资金流水!$K239)</f>
        <v/>
      </c>
      <c r="H3673" s="10" t="str">
        <f aca="false">IF($L3673="","",IF($L3673="@对方",资金流水!$G239,IF($L3673="@账户",资金流水!$Q239,$L3673)))</f>
        <v/>
      </c>
      <c r="I3673" s="42" t="n">
        <f aca="false">IF($M3673="借",$O3673,0)</f>
        <v>0</v>
      </c>
      <c r="J3673" s="42" t="n">
        <f aca="false">IF($M3673="贷",$O3673,0)</f>
        <v>0</v>
      </c>
      <c r="K3673" s="48" t="str">
        <f aca="false">IF($H3673="","",资金流水!$F239)</f>
        <v/>
      </c>
      <c r="L3673" s="66" t="str">
        <f aca="false">IF(资金流水!$E239="","",IFERROR(INDEX(记账规则!$A$13:$H$32,MATCH(资金流水!$E239,记账规则!$A$13:$A$32,0),6),""))</f>
        <v/>
      </c>
      <c r="M3673" s="66" t="str">
        <f aca="false">IF($L3673="","",IFERROR(INDEX(记账规则!$A$13:$H$32,MATCH(资金流水!$E239,记账规则!$A$13:$A$32,0),7),""))</f>
        <v/>
      </c>
      <c r="N3673" s="66" t="str">
        <f aca="false">IF($L3673="","",IFERROR(INDEX(记账规则!$A$13:$H$32,MATCH(资金流水!$E239,记账规则!$A$13:$A$32,0),8),""))</f>
        <v/>
      </c>
      <c r="O3673" s="67" t="n">
        <f aca="false">IF($H3673="",0,ROUND(IF($N3673="金额",N(资金流水!$P239),0),2))</f>
        <v>0</v>
      </c>
      <c r="P3673" s="64" t="str">
        <f aca="false">IF(AND($H3673&lt;&gt;"",ROUND($O3673,2)&lt;&gt;0),"有","")</f>
        <v/>
      </c>
    </row>
    <row r="3674" customFormat="false" ht="15" hidden="true" customHeight="false" outlineLevel="0" collapsed="false">
      <c r="A3674" s="53" t="str">
        <f aca="false">IF($H3674="","",ROW()-5)</f>
        <v/>
      </c>
      <c r="B3674" s="64" t="s">
        <v>37</v>
      </c>
      <c r="C3674" s="53" t="n">
        <v>240</v>
      </c>
      <c r="D3674" s="53" t="n">
        <v>1</v>
      </c>
      <c r="E3674" s="65" t="str">
        <f aca="false">IF($H3674="","",资金流水!$B240)</f>
        <v/>
      </c>
      <c r="F3674" s="55" t="str">
        <f aca="false">IF($H3674="","",资金流水!$C240)</f>
        <v/>
      </c>
      <c r="G3674" s="48" t="str">
        <f aca="false">IF($H3674="","",资金流水!$K240)</f>
        <v/>
      </c>
      <c r="H3674" s="10" t="str">
        <f aca="false">IF($L3674="","",IF($L3674="@对方",资金流水!$G240,IF($L3674="@账户",资金流水!$Q240,$L3674)))</f>
        <v/>
      </c>
      <c r="I3674" s="42" t="n">
        <f aca="false">IF($M3674="借",$O3674,0)</f>
        <v>0</v>
      </c>
      <c r="J3674" s="42" t="n">
        <f aca="false">IF($M3674="贷",$O3674,0)</f>
        <v>0</v>
      </c>
      <c r="K3674" s="48" t="str">
        <f aca="false">IF($H3674="","",资金流水!$F240)</f>
        <v/>
      </c>
      <c r="L3674" s="66" t="str">
        <f aca="false">IF(资金流水!$E240="","",IFERROR(INDEX(记账规则!$A$13:$H$32,MATCH(资金流水!$E240,记账规则!$A$13:$A$32,0),3),""))</f>
        <v/>
      </c>
      <c r="M3674" s="66" t="str">
        <f aca="false">IF($L3674="","",IFERROR(INDEX(记账规则!$A$13:$H$32,MATCH(资金流水!$E240,记账规则!$A$13:$A$32,0),4),""))</f>
        <v/>
      </c>
      <c r="N3674" s="66" t="str">
        <f aca="false">IF($L3674="","",IFERROR(INDEX(记账规则!$A$13:$H$32,MATCH(资金流水!$E240,记账规则!$A$13:$A$32,0),5),""))</f>
        <v/>
      </c>
      <c r="O3674" s="67" t="n">
        <f aca="false">IF($H3674="",0,ROUND(IF($N3674="金额",N(资金流水!$P240),0),2))</f>
        <v>0</v>
      </c>
      <c r="P3674" s="64" t="str">
        <f aca="false">IF(AND($H3674&lt;&gt;"",ROUND($O3674,2)&lt;&gt;0),"有","")</f>
        <v/>
      </c>
    </row>
    <row r="3675" customFormat="false" ht="15" hidden="true" customHeight="false" outlineLevel="0" collapsed="false">
      <c r="A3675" s="53" t="str">
        <f aca="false">IF($H3675="","",ROW()-5)</f>
        <v/>
      </c>
      <c r="B3675" s="64" t="s">
        <v>37</v>
      </c>
      <c r="C3675" s="53" t="n">
        <v>240</v>
      </c>
      <c r="D3675" s="53" t="n">
        <v>2</v>
      </c>
      <c r="E3675" s="65" t="str">
        <f aca="false">IF($H3675="","",资金流水!$B240)</f>
        <v/>
      </c>
      <c r="F3675" s="55" t="str">
        <f aca="false">IF($H3675="","",资金流水!$C240)</f>
        <v/>
      </c>
      <c r="G3675" s="48" t="str">
        <f aca="false">IF($H3675="","",资金流水!$K240)</f>
        <v/>
      </c>
      <c r="H3675" s="10" t="str">
        <f aca="false">IF($L3675="","",IF($L3675="@对方",资金流水!$G240,IF($L3675="@账户",资金流水!$Q240,$L3675)))</f>
        <v/>
      </c>
      <c r="I3675" s="42" t="n">
        <f aca="false">IF($M3675="借",$O3675,0)</f>
        <v>0</v>
      </c>
      <c r="J3675" s="42" t="n">
        <f aca="false">IF($M3675="贷",$O3675,0)</f>
        <v>0</v>
      </c>
      <c r="K3675" s="48" t="str">
        <f aca="false">IF($H3675="","",资金流水!$F240)</f>
        <v/>
      </c>
      <c r="L3675" s="66" t="str">
        <f aca="false">IF(资金流水!$E240="","",IFERROR(INDEX(记账规则!$A$13:$H$32,MATCH(资金流水!$E240,记账规则!$A$13:$A$32,0),6),""))</f>
        <v/>
      </c>
      <c r="M3675" s="66" t="str">
        <f aca="false">IF($L3675="","",IFERROR(INDEX(记账规则!$A$13:$H$32,MATCH(资金流水!$E240,记账规则!$A$13:$A$32,0),7),""))</f>
        <v/>
      </c>
      <c r="N3675" s="66" t="str">
        <f aca="false">IF($L3675="","",IFERROR(INDEX(记账规则!$A$13:$H$32,MATCH(资金流水!$E240,记账规则!$A$13:$A$32,0),8),""))</f>
        <v/>
      </c>
      <c r="O3675" s="67" t="n">
        <f aca="false">IF($H3675="",0,ROUND(IF($N3675="金额",N(资金流水!$P240),0),2))</f>
        <v>0</v>
      </c>
      <c r="P3675" s="64" t="str">
        <f aca="false">IF(AND($H3675&lt;&gt;"",ROUND($O3675,2)&lt;&gt;0),"有","")</f>
        <v/>
      </c>
    </row>
    <row r="3676" customFormat="false" ht="15" hidden="true" customHeight="false" outlineLevel="0" collapsed="false">
      <c r="A3676" s="53" t="str">
        <f aca="false">IF($H3676="","",ROW()-5)</f>
        <v/>
      </c>
      <c r="B3676" s="64" t="s">
        <v>37</v>
      </c>
      <c r="C3676" s="53" t="n">
        <v>241</v>
      </c>
      <c r="D3676" s="53" t="n">
        <v>1</v>
      </c>
      <c r="E3676" s="65" t="str">
        <f aca="false">IF($H3676="","",资金流水!$B241)</f>
        <v/>
      </c>
      <c r="F3676" s="55" t="str">
        <f aca="false">IF($H3676="","",资金流水!$C241)</f>
        <v/>
      </c>
      <c r="G3676" s="48" t="str">
        <f aca="false">IF($H3676="","",资金流水!$K241)</f>
        <v/>
      </c>
      <c r="H3676" s="10" t="str">
        <f aca="false">IF($L3676="","",IF($L3676="@对方",资金流水!$G241,IF($L3676="@账户",资金流水!$Q241,$L3676)))</f>
        <v/>
      </c>
      <c r="I3676" s="42" t="n">
        <f aca="false">IF($M3676="借",$O3676,0)</f>
        <v>0</v>
      </c>
      <c r="J3676" s="42" t="n">
        <f aca="false">IF($M3676="贷",$O3676,0)</f>
        <v>0</v>
      </c>
      <c r="K3676" s="48" t="str">
        <f aca="false">IF($H3676="","",资金流水!$F241)</f>
        <v/>
      </c>
      <c r="L3676" s="66" t="str">
        <f aca="false">IF(资金流水!$E241="","",IFERROR(INDEX(记账规则!$A$13:$H$32,MATCH(资金流水!$E241,记账规则!$A$13:$A$32,0),3),""))</f>
        <v/>
      </c>
      <c r="M3676" s="66" t="str">
        <f aca="false">IF($L3676="","",IFERROR(INDEX(记账规则!$A$13:$H$32,MATCH(资金流水!$E241,记账规则!$A$13:$A$32,0),4),""))</f>
        <v/>
      </c>
      <c r="N3676" s="66" t="str">
        <f aca="false">IF($L3676="","",IFERROR(INDEX(记账规则!$A$13:$H$32,MATCH(资金流水!$E241,记账规则!$A$13:$A$32,0),5),""))</f>
        <v/>
      </c>
      <c r="O3676" s="67" t="n">
        <f aca="false">IF($H3676="",0,ROUND(IF($N3676="金额",N(资金流水!$P241),0),2))</f>
        <v>0</v>
      </c>
      <c r="P3676" s="64" t="str">
        <f aca="false">IF(AND($H3676&lt;&gt;"",ROUND($O3676,2)&lt;&gt;0),"有","")</f>
        <v/>
      </c>
    </row>
    <row r="3677" customFormat="false" ht="15" hidden="true" customHeight="false" outlineLevel="0" collapsed="false">
      <c r="A3677" s="53" t="str">
        <f aca="false">IF($H3677="","",ROW()-5)</f>
        <v/>
      </c>
      <c r="B3677" s="64" t="s">
        <v>37</v>
      </c>
      <c r="C3677" s="53" t="n">
        <v>241</v>
      </c>
      <c r="D3677" s="53" t="n">
        <v>2</v>
      </c>
      <c r="E3677" s="65" t="str">
        <f aca="false">IF($H3677="","",资金流水!$B241)</f>
        <v/>
      </c>
      <c r="F3677" s="55" t="str">
        <f aca="false">IF($H3677="","",资金流水!$C241)</f>
        <v/>
      </c>
      <c r="G3677" s="48" t="str">
        <f aca="false">IF($H3677="","",资金流水!$K241)</f>
        <v/>
      </c>
      <c r="H3677" s="10" t="str">
        <f aca="false">IF($L3677="","",IF($L3677="@对方",资金流水!$G241,IF($L3677="@账户",资金流水!$Q241,$L3677)))</f>
        <v/>
      </c>
      <c r="I3677" s="42" t="n">
        <f aca="false">IF($M3677="借",$O3677,0)</f>
        <v>0</v>
      </c>
      <c r="J3677" s="42" t="n">
        <f aca="false">IF($M3677="贷",$O3677,0)</f>
        <v>0</v>
      </c>
      <c r="K3677" s="48" t="str">
        <f aca="false">IF($H3677="","",资金流水!$F241)</f>
        <v/>
      </c>
      <c r="L3677" s="66" t="str">
        <f aca="false">IF(资金流水!$E241="","",IFERROR(INDEX(记账规则!$A$13:$H$32,MATCH(资金流水!$E241,记账规则!$A$13:$A$32,0),6),""))</f>
        <v/>
      </c>
      <c r="M3677" s="66" t="str">
        <f aca="false">IF($L3677="","",IFERROR(INDEX(记账规则!$A$13:$H$32,MATCH(资金流水!$E241,记账规则!$A$13:$A$32,0),7),""))</f>
        <v/>
      </c>
      <c r="N3677" s="66" t="str">
        <f aca="false">IF($L3677="","",IFERROR(INDEX(记账规则!$A$13:$H$32,MATCH(资金流水!$E241,记账规则!$A$13:$A$32,0),8),""))</f>
        <v/>
      </c>
      <c r="O3677" s="67" t="n">
        <f aca="false">IF($H3677="",0,ROUND(IF($N3677="金额",N(资金流水!$P241),0),2))</f>
        <v>0</v>
      </c>
      <c r="P3677" s="64" t="str">
        <f aca="false">IF(AND($H3677&lt;&gt;"",ROUND($O3677,2)&lt;&gt;0),"有","")</f>
        <v/>
      </c>
    </row>
    <row r="3678" customFormat="false" ht="15" hidden="true" customHeight="false" outlineLevel="0" collapsed="false">
      <c r="A3678" s="53" t="str">
        <f aca="false">IF($H3678="","",ROW()-5)</f>
        <v/>
      </c>
      <c r="B3678" s="64" t="s">
        <v>37</v>
      </c>
      <c r="C3678" s="53" t="n">
        <v>242</v>
      </c>
      <c r="D3678" s="53" t="n">
        <v>1</v>
      </c>
      <c r="E3678" s="65" t="str">
        <f aca="false">IF($H3678="","",资金流水!$B242)</f>
        <v/>
      </c>
      <c r="F3678" s="55" t="str">
        <f aca="false">IF($H3678="","",资金流水!$C242)</f>
        <v/>
      </c>
      <c r="G3678" s="48" t="str">
        <f aca="false">IF($H3678="","",资金流水!$K242)</f>
        <v/>
      </c>
      <c r="H3678" s="10" t="str">
        <f aca="false">IF($L3678="","",IF($L3678="@对方",资金流水!$G242,IF($L3678="@账户",资金流水!$Q242,$L3678)))</f>
        <v/>
      </c>
      <c r="I3678" s="42" t="n">
        <f aca="false">IF($M3678="借",$O3678,0)</f>
        <v>0</v>
      </c>
      <c r="J3678" s="42" t="n">
        <f aca="false">IF($M3678="贷",$O3678,0)</f>
        <v>0</v>
      </c>
      <c r="K3678" s="48" t="str">
        <f aca="false">IF($H3678="","",资金流水!$F242)</f>
        <v/>
      </c>
      <c r="L3678" s="66" t="str">
        <f aca="false">IF(资金流水!$E242="","",IFERROR(INDEX(记账规则!$A$13:$H$32,MATCH(资金流水!$E242,记账规则!$A$13:$A$32,0),3),""))</f>
        <v/>
      </c>
      <c r="M3678" s="66" t="str">
        <f aca="false">IF($L3678="","",IFERROR(INDEX(记账规则!$A$13:$H$32,MATCH(资金流水!$E242,记账规则!$A$13:$A$32,0),4),""))</f>
        <v/>
      </c>
      <c r="N3678" s="66" t="str">
        <f aca="false">IF($L3678="","",IFERROR(INDEX(记账规则!$A$13:$H$32,MATCH(资金流水!$E242,记账规则!$A$13:$A$32,0),5),""))</f>
        <v/>
      </c>
      <c r="O3678" s="67" t="n">
        <f aca="false">IF($H3678="",0,ROUND(IF($N3678="金额",N(资金流水!$P242),0),2))</f>
        <v>0</v>
      </c>
      <c r="P3678" s="64" t="str">
        <f aca="false">IF(AND($H3678&lt;&gt;"",ROUND($O3678,2)&lt;&gt;0),"有","")</f>
        <v/>
      </c>
    </row>
    <row r="3679" customFormat="false" ht="15" hidden="true" customHeight="false" outlineLevel="0" collapsed="false">
      <c r="A3679" s="53" t="str">
        <f aca="false">IF($H3679="","",ROW()-5)</f>
        <v/>
      </c>
      <c r="B3679" s="64" t="s">
        <v>37</v>
      </c>
      <c r="C3679" s="53" t="n">
        <v>242</v>
      </c>
      <c r="D3679" s="53" t="n">
        <v>2</v>
      </c>
      <c r="E3679" s="65" t="str">
        <f aca="false">IF($H3679="","",资金流水!$B242)</f>
        <v/>
      </c>
      <c r="F3679" s="55" t="str">
        <f aca="false">IF($H3679="","",资金流水!$C242)</f>
        <v/>
      </c>
      <c r="G3679" s="48" t="str">
        <f aca="false">IF($H3679="","",资金流水!$K242)</f>
        <v/>
      </c>
      <c r="H3679" s="10" t="str">
        <f aca="false">IF($L3679="","",IF($L3679="@对方",资金流水!$G242,IF($L3679="@账户",资金流水!$Q242,$L3679)))</f>
        <v/>
      </c>
      <c r="I3679" s="42" t="n">
        <f aca="false">IF($M3679="借",$O3679,0)</f>
        <v>0</v>
      </c>
      <c r="J3679" s="42" t="n">
        <f aca="false">IF($M3679="贷",$O3679,0)</f>
        <v>0</v>
      </c>
      <c r="K3679" s="48" t="str">
        <f aca="false">IF($H3679="","",资金流水!$F242)</f>
        <v/>
      </c>
      <c r="L3679" s="66" t="str">
        <f aca="false">IF(资金流水!$E242="","",IFERROR(INDEX(记账规则!$A$13:$H$32,MATCH(资金流水!$E242,记账规则!$A$13:$A$32,0),6),""))</f>
        <v/>
      </c>
      <c r="M3679" s="66" t="str">
        <f aca="false">IF($L3679="","",IFERROR(INDEX(记账规则!$A$13:$H$32,MATCH(资金流水!$E242,记账规则!$A$13:$A$32,0),7),""))</f>
        <v/>
      </c>
      <c r="N3679" s="66" t="str">
        <f aca="false">IF($L3679="","",IFERROR(INDEX(记账规则!$A$13:$H$32,MATCH(资金流水!$E242,记账规则!$A$13:$A$32,0),8),""))</f>
        <v/>
      </c>
      <c r="O3679" s="67" t="n">
        <f aca="false">IF($H3679="",0,ROUND(IF($N3679="金额",N(资金流水!$P242),0),2))</f>
        <v>0</v>
      </c>
      <c r="P3679" s="64" t="str">
        <f aca="false">IF(AND($H3679&lt;&gt;"",ROUND($O3679,2)&lt;&gt;0),"有","")</f>
        <v/>
      </c>
    </row>
    <row r="3680" customFormat="false" ht="15" hidden="true" customHeight="false" outlineLevel="0" collapsed="false">
      <c r="A3680" s="53" t="str">
        <f aca="false">IF($H3680="","",ROW()-5)</f>
        <v/>
      </c>
      <c r="B3680" s="64" t="s">
        <v>37</v>
      </c>
      <c r="C3680" s="53" t="n">
        <v>243</v>
      </c>
      <c r="D3680" s="53" t="n">
        <v>1</v>
      </c>
      <c r="E3680" s="65" t="str">
        <f aca="false">IF($H3680="","",资金流水!$B243)</f>
        <v/>
      </c>
      <c r="F3680" s="55" t="str">
        <f aca="false">IF($H3680="","",资金流水!$C243)</f>
        <v/>
      </c>
      <c r="G3680" s="48" t="str">
        <f aca="false">IF($H3680="","",资金流水!$K243)</f>
        <v/>
      </c>
      <c r="H3680" s="10" t="str">
        <f aca="false">IF($L3680="","",IF($L3680="@对方",资金流水!$G243,IF($L3680="@账户",资金流水!$Q243,$L3680)))</f>
        <v/>
      </c>
      <c r="I3680" s="42" t="n">
        <f aca="false">IF($M3680="借",$O3680,0)</f>
        <v>0</v>
      </c>
      <c r="J3680" s="42" t="n">
        <f aca="false">IF($M3680="贷",$O3680,0)</f>
        <v>0</v>
      </c>
      <c r="K3680" s="48" t="str">
        <f aca="false">IF($H3680="","",资金流水!$F243)</f>
        <v/>
      </c>
      <c r="L3680" s="66" t="str">
        <f aca="false">IF(资金流水!$E243="","",IFERROR(INDEX(记账规则!$A$13:$H$32,MATCH(资金流水!$E243,记账规则!$A$13:$A$32,0),3),""))</f>
        <v/>
      </c>
      <c r="M3680" s="66" t="str">
        <f aca="false">IF($L3680="","",IFERROR(INDEX(记账规则!$A$13:$H$32,MATCH(资金流水!$E243,记账规则!$A$13:$A$32,0),4),""))</f>
        <v/>
      </c>
      <c r="N3680" s="66" t="str">
        <f aca="false">IF($L3680="","",IFERROR(INDEX(记账规则!$A$13:$H$32,MATCH(资金流水!$E243,记账规则!$A$13:$A$32,0),5),""))</f>
        <v/>
      </c>
      <c r="O3680" s="67" t="n">
        <f aca="false">IF($H3680="",0,ROUND(IF($N3680="金额",N(资金流水!$P243),0),2))</f>
        <v>0</v>
      </c>
      <c r="P3680" s="64" t="str">
        <f aca="false">IF(AND($H3680&lt;&gt;"",ROUND($O3680,2)&lt;&gt;0),"有","")</f>
        <v/>
      </c>
    </row>
    <row r="3681" customFormat="false" ht="15" hidden="true" customHeight="false" outlineLevel="0" collapsed="false">
      <c r="A3681" s="53" t="str">
        <f aca="false">IF($H3681="","",ROW()-5)</f>
        <v/>
      </c>
      <c r="B3681" s="64" t="s">
        <v>37</v>
      </c>
      <c r="C3681" s="53" t="n">
        <v>243</v>
      </c>
      <c r="D3681" s="53" t="n">
        <v>2</v>
      </c>
      <c r="E3681" s="65" t="str">
        <f aca="false">IF($H3681="","",资金流水!$B243)</f>
        <v/>
      </c>
      <c r="F3681" s="55" t="str">
        <f aca="false">IF($H3681="","",资金流水!$C243)</f>
        <v/>
      </c>
      <c r="G3681" s="48" t="str">
        <f aca="false">IF($H3681="","",资金流水!$K243)</f>
        <v/>
      </c>
      <c r="H3681" s="10" t="str">
        <f aca="false">IF($L3681="","",IF($L3681="@对方",资金流水!$G243,IF($L3681="@账户",资金流水!$Q243,$L3681)))</f>
        <v/>
      </c>
      <c r="I3681" s="42" t="n">
        <f aca="false">IF($M3681="借",$O3681,0)</f>
        <v>0</v>
      </c>
      <c r="J3681" s="42" t="n">
        <f aca="false">IF($M3681="贷",$O3681,0)</f>
        <v>0</v>
      </c>
      <c r="K3681" s="48" t="str">
        <f aca="false">IF($H3681="","",资金流水!$F243)</f>
        <v/>
      </c>
      <c r="L3681" s="66" t="str">
        <f aca="false">IF(资金流水!$E243="","",IFERROR(INDEX(记账规则!$A$13:$H$32,MATCH(资金流水!$E243,记账规则!$A$13:$A$32,0),6),""))</f>
        <v/>
      </c>
      <c r="M3681" s="66" t="str">
        <f aca="false">IF($L3681="","",IFERROR(INDEX(记账规则!$A$13:$H$32,MATCH(资金流水!$E243,记账规则!$A$13:$A$32,0),7),""))</f>
        <v/>
      </c>
      <c r="N3681" s="66" t="str">
        <f aca="false">IF($L3681="","",IFERROR(INDEX(记账规则!$A$13:$H$32,MATCH(资金流水!$E243,记账规则!$A$13:$A$32,0),8),""))</f>
        <v/>
      </c>
      <c r="O3681" s="67" t="n">
        <f aca="false">IF($H3681="",0,ROUND(IF($N3681="金额",N(资金流水!$P243),0),2))</f>
        <v>0</v>
      </c>
      <c r="P3681" s="64" t="str">
        <f aca="false">IF(AND($H3681&lt;&gt;"",ROUND($O3681,2)&lt;&gt;0),"有","")</f>
        <v/>
      </c>
    </row>
    <row r="3682" customFormat="false" ht="15" hidden="true" customHeight="false" outlineLevel="0" collapsed="false">
      <c r="A3682" s="53" t="str">
        <f aca="false">IF($H3682="","",ROW()-5)</f>
        <v/>
      </c>
      <c r="B3682" s="64" t="s">
        <v>37</v>
      </c>
      <c r="C3682" s="53" t="n">
        <v>244</v>
      </c>
      <c r="D3682" s="53" t="n">
        <v>1</v>
      </c>
      <c r="E3682" s="65" t="str">
        <f aca="false">IF($H3682="","",资金流水!$B244)</f>
        <v/>
      </c>
      <c r="F3682" s="55" t="str">
        <f aca="false">IF($H3682="","",资金流水!$C244)</f>
        <v/>
      </c>
      <c r="G3682" s="48" t="str">
        <f aca="false">IF($H3682="","",资金流水!$K244)</f>
        <v/>
      </c>
      <c r="H3682" s="10" t="str">
        <f aca="false">IF($L3682="","",IF($L3682="@对方",资金流水!$G244,IF($L3682="@账户",资金流水!$Q244,$L3682)))</f>
        <v/>
      </c>
      <c r="I3682" s="42" t="n">
        <f aca="false">IF($M3682="借",$O3682,0)</f>
        <v>0</v>
      </c>
      <c r="J3682" s="42" t="n">
        <f aca="false">IF($M3682="贷",$O3682,0)</f>
        <v>0</v>
      </c>
      <c r="K3682" s="48" t="str">
        <f aca="false">IF($H3682="","",资金流水!$F244)</f>
        <v/>
      </c>
      <c r="L3682" s="66" t="str">
        <f aca="false">IF(资金流水!$E244="","",IFERROR(INDEX(记账规则!$A$13:$H$32,MATCH(资金流水!$E244,记账规则!$A$13:$A$32,0),3),""))</f>
        <v/>
      </c>
      <c r="M3682" s="66" t="str">
        <f aca="false">IF($L3682="","",IFERROR(INDEX(记账规则!$A$13:$H$32,MATCH(资金流水!$E244,记账规则!$A$13:$A$32,0),4),""))</f>
        <v/>
      </c>
      <c r="N3682" s="66" t="str">
        <f aca="false">IF($L3682="","",IFERROR(INDEX(记账规则!$A$13:$H$32,MATCH(资金流水!$E244,记账规则!$A$13:$A$32,0),5),""))</f>
        <v/>
      </c>
      <c r="O3682" s="67" t="n">
        <f aca="false">IF($H3682="",0,ROUND(IF($N3682="金额",N(资金流水!$P244),0),2))</f>
        <v>0</v>
      </c>
      <c r="P3682" s="64" t="str">
        <f aca="false">IF(AND($H3682&lt;&gt;"",ROUND($O3682,2)&lt;&gt;0),"有","")</f>
        <v/>
      </c>
    </row>
    <row r="3683" customFormat="false" ht="15" hidden="true" customHeight="false" outlineLevel="0" collapsed="false">
      <c r="A3683" s="53" t="str">
        <f aca="false">IF($H3683="","",ROW()-5)</f>
        <v/>
      </c>
      <c r="B3683" s="64" t="s">
        <v>37</v>
      </c>
      <c r="C3683" s="53" t="n">
        <v>244</v>
      </c>
      <c r="D3683" s="53" t="n">
        <v>2</v>
      </c>
      <c r="E3683" s="65" t="str">
        <f aca="false">IF($H3683="","",资金流水!$B244)</f>
        <v/>
      </c>
      <c r="F3683" s="55" t="str">
        <f aca="false">IF($H3683="","",资金流水!$C244)</f>
        <v/>
      </c>
      <c r="G3683" s="48" t="str">
        <f aca="false">IF($H3683="","",资金流水!$K244)</f>
        <v/>
      </c>
      <c r="H3683" s="10" t="str">
        <f aca="false">IF($L3683="","",IF($L3683="@对方",资金流水!$G244,IF($L3683="@账户",资金流水!$Q244,$L3683)))</f>
        <v/>
      </c>
      <c r="I3683" s="42" t="n">
        <f aca="false">IF($M3683="借",$O3683,0)</f>
        <v>0</v>
      </c>
      <c r="J3683" s="42" t="n">
        <f aca="false">IF($M3683="贷",$O3683,0)</f>
        <v>0</v>
      </c>
      <c r="K3683" s="48" t="str">
        <f aca="false">IF($H3683="","",资金流水!$F244)</f>
        <v/>
      </c>
      <c r="L3683" s="66" t="str">
        <f aca="false">IF(资金流水!$E244="","",IFERROR(INDEX(记账规则!$A$13:$H$32,MATCH(资金流水!$E244,记账规则!$A$13:$A$32,0),6),""))</f>
        <v/>
      </c>
      <c r="M3683" s="66" t="str">
        <f aca="false">IF($L3683="","",IFERROR(INDEX(记账规则!$A$13:$H$32,MATCH(资金流水!$E244,记账规则!$A$13:$A$32,0),7),""))</f>
        <v/>
      </c>
      <c r="N3683" s="66" t="str">
        <f aca="false">IF($L3683="","",IFERROR(INDEX(记账规则!$A$13:$H$32,MATCH(资金流水!$E244,记账规则!$A$13:$A$32,0),8),""))</f>
        <v/>
      </c>
      <c r="O3683" s="67" t="n">
        <f aca="false">IF($H3683="",0,ROUND(IF($N3683="金额",N(资金流水!$P244),0),2))</f>
        <v>0</v>
      </c>
      <c r="P3683" s="64" t="str">
        <f aca="false">IF(AND($H3683&lt;&gt;"",ROUND($O3683,2)&lt;&gt;0),"有","")</f>
        <v/>
      </c>
    </row>
    <row r="3684" customFormat="false" ht="15" hidden="true" customHeight="false" outlineLevel="0" collapsed="false">
      <c r="A3684" s="53" t="str">
        <f aca="false">IF($H3684="","",ROW()-5)</f>
        <v/>
      </c>
      <c r="B3684" s="64" t="s">
        <v>37</v>
      </c>
      <c r="C3684" s="53" t="n">
        <v>245</v>
      </c>
      <c r="D3684" s="53" t="n">
        <v>1</v>
      </c>
      <c r="E3684" s="65" t="str">
        <f aca="false">IF($H3684="","",资金流水!$B245)</f>
        <v/>
      </c>
      <c r="F3684" s="55" t="str">
        <f aca="false">IF($H3684="","",资金流水!$C245)</f>
        <v/>
      </c>
      <c r="G3684" s="48" t="str">
        <f aca="false">IF($H3684="","",资金流水!$K245)</f>
        <v/>
      </c>
      <c r="H3684" s="10" t="str">
        <f aca="false">IF($L3684="","",IF($L3684="@对方",资金流水!$G245,IF($L3684="@账户",资金流水!$Q245,$L3684)))</f>
        <v/>
      </c>
      <c r="I3684" s="42" t="n">
        <f aca="false">IF($M3684="借",$O3684,0)</f>
        <v>0</v>
      </c>
      <c r="J3684" s="42" t="n">
        <f aca="false">IF($M3684="贷",$O3684,0)</f>
        <v>0</v>
      </c>
      <c r="K3684" s="48" t="str">
        <f aca="false">IF($H3684="","",资金流水!$F245)</f>
        <v/>
      </c>
      <c r="L3684" s="66" t="str">
        <f aca="false">IF(资金流水!$E245="","",IFERROR(INDEX(记账规则!$A$13:$H$32,MATCH(资金流水!$E245,记账规则!$A$13:$A$32,0),3),""))</f>
        <v/>
      </c>
      <c r="M3684" s="66" t="str">
        <f aca="false">IF($L3684="","",IFERROR(INDEX(记账规则!$A$13:$H$32,MATCH(资金流水!$E245,记账规则!$A$13:$A$32,0),4),""))</f>
        <v/>
      </c>
      <c r="N3684" s="66" t="str">
        <f aca="false">IF($L3684="","",IFERROR(INDEX(记账规则!$A$13:$H$32,MATCH(资金流水!$E245,记账规则!$A$13:$A$32,0),5),""))</f>
        <v/>
      </c>
      <c r="O3684" s="67" t="n">
        <f aca="false">IF($H3684="",0,ROUND(IF($N3684="金额",N(资金流水!$P245),0),2))</f>
        <v>0</v>
      </c>
      <c r="P3684" s="64" t="str">
        <f aca="false">IF(AND($H3684&lt;&gt;"",ROUND($O3684,2)&lt;&gt;0),"有","")</f>
        <v/>
      </c>
    </row>
    <row r="3685" customFormat="false" ht="15" hidden="true" customHeight="false" outlineLevel="0" collapsed="false">
      <c r="A3685" s="53" t="str">
        <f aca="false">IF($H3685="","",ROW()-5)</f>
        <v/>
      </c>
      <c r="B3685" s="64" t="s">
        <v>37</v>
      </c>
      <c r="C3685" s="53" t="n">
        <v>245</v>
      </c>
      <c r="D3685" s="53" t="n">
        <v>2</v>
      </c>
      <c r="E3685" s="65" t="str">
        <f aca="false">IF($H3685="","",资金流水!$B245)</f>
        <v/>
      </c>
      <c r="F3685" s="55" t="str">
        <f aca="false">IF($H3685="","",资金流水!$C245)</f>
        <v/>
      </c>
      <c r="G3685" s="48" t="str">
        <f aca="false">IF($H3685="","",资金流水!$K245)</f>
        <v/>
      </c>
      <c r="H3685" s="10" t="str">
        <f aca="false">IF($L3685="","",IF($L3685="@对方",资金流水!$G245,IF($L3685="@账户",资金流水!$Q245,$L3685)))</f>
        <v/>
      </c>
      <c r="I3685" s="42" t="n">
        <f aca="false">IF($M3685="借",$O3685,0)</f>
        <v>0</v>
      </c>
      <c r="J3685" s="42" t="n">
        <f aca="false">IF($M3685="贷",$O3685,0)</f>
        <v>0</v>
      </c>
      <c r="K3685" s="48" t="str">
        <f aca="false">IF($H3685="","",资金流水!$F245)</f>
        <v/>
      </c>
      <c r="L3685" s="66" t="str">
        <f aca="false">IF(资金流水!$E245="","",IFERROR(INDEX(记账规则!$A$13:$H$32,MATCH(资金流水!$E245,记账规则!$A$13:$A$32,0),6),""))</f>
        <v/>
      </c>
      <c r="M3685" s="66" t="str">
        <f aca="false">IF($L3685="","",IFERROR(INDEX(记账规则!$A$13:$H$32,MATCH(资金流水!$E245,记账规则!$A$13:$A$32,0),7),""))</f>
        <v/>
      </c>
      <c r="N3685" s="66" t="str">
        <f aca="false">IF($L3685="","",IFERROR(INDEX(记账规则!$A$13:$H$32,MATCH(资金流水!$E245,记账规则!$A$13:$A$32,0),8),""))</f>
        <v/>
      </c>
      <c r="O3685" s="67" t="n">
        <f aca="false">IF($H3685="",0,ROUND(IF($N3685="金额",N(资金流水!$P245),0),2))</f>
        <v>0</v>
      </c>
      <c r="P3685" s="64" t="str">
        <f aca="false">IF(AND($H3685&lt;&gt;"",ROUND($O3685,2)&lt;&gt;0),"有","")</f>
        <v/>
      </c>
    </row>
    <row r="3686" customFormat="false" ht="15" hidden="true" customHeight="false" outlineLevel="0" collapsed="false">
      <c r="A3686" s="53" t="str">
        <f aca="false">IF($H3686="","",ROW()-5)</f>
        <v/>
      </c>
      <c r="B3686" s="64" t="s">
        <v>37</v>
      </c>
      <c r="C3686" s="53" t="n">
        <v>246</v>
      </c>
      <c r="D3686" s="53" t="n">
        <v>1</v>
      </c>
      <c r="E3686" s="65" t="str">
        <f aca="false">IF($H3686="","",资金流水!$B246)</f>
        <v/>
      </c>
      <c r="F3686" s="55" t="str">
        <f aca="false">IF($H3686="","",资金流水!$C246)</f>
        <v/>
      </c>
      <c r="G3686" s="48" t="str">
        <f aca="false">IF($H3686="","",资金流水!$K246)</f>
        <v/>
      </c>
      <c r="H3686" s="10" t="str">
        <f aca="false">IF($L3686="","",IF($L3686="@对方",资金流水!$G246,IF($L3686="@账户",资金流水!$Q246,$L3686)))</f>
        <v/>
      </c>
      <c r="I3686" s="42" t="n">
        <f aca="false">IF($M3686="借",$O3686,0)</f>
        <v>0</v>
      </c>
      <c r="J3686" s="42" t="n">
        <f aca="false">IF($M3686="贷",$O3686,0)</f>
        <v>0</v>
      </c>
      <c r="K3686" s="48" t="str">
        <f aca="false">IF($H3686="","",资金流水!$F246)</f>
        <v/>
      </c>
      <c r="L3686" s="66" t="str">
        <f aca="false">IF(资金流水!$E246="","",IFERROR(INDEX(记账规则!$A$13:$H$32,MATCH(资金流水!$E246,记账规则!$A$13:$A$32,0),3),""))</f>
        <v/>
      </c>
      <c r="M3686" s="66" t="str">
        <f aca="false">IF($L3686="","",IFERROR(INDEX(记账规则!$A$13:$H$32,MATCH(资金流水!$E246,记账规则!$A$13:$A$32,0),4),""))</f>
        <v/>
      </c>
      <c r="N3686" s="66" t="str">
        <f aca="false">IF($L3686="","",IFERROR(INDEX(记账规则!$A$13:$H$32,MATCH(资金流水!$E246,记账规则!$A$13:$A$32,0),5),""))</f>
        <v/>
      </c>
      <c r="O3686" s="67" t="n">
        <f aca="false">IF($H3686="",0,ROUND(IF($N3686="金额",N(资金流水!$P246),0),2))</f>
        <v>0</v>
      </c>
      <c r="P3686" s="64" t="str">
        <f aca="false">IF(AND($H3686&lt;&gt;"",ROUND($O3686,2)&lt;&gt;0),"有","")</f>
        <v/>
      </c>
    </row>
    <row r="3687" customFormat="false" ht="15" hidden="true" customHeight="false" outlineLevel="0" collapsed="false">
      <c r="A3687" s="53" t="str">
        <f aca="false">IF($H3687="","",ROW()-5)</f>
        <v/>
      </c>
      <c r="B3687" s="64" t="s">
        <v>37</v>
      </c>
      <c r="C3687" s="53" t="n">
        <v>246</v>
      </c>
      <c r="D3687" s="53" t="n">
        <v>2</v>
      </c>
      <c r="E3687" s="65" t="str">
        <f aca="false">IF($H3687="","",资金流水!$B246)</f>
        <v/>
      </c>
      <c r="F3687" s="55" t="str">
        <f aca="false">IF($H3687="","",资金流水!$C246)</f>
        <v/>
      </c>
      <c r="G3687" s="48" t="str">
        <f aca="false">IF($H3687="","",资金流水!$K246)</f>
        <v/>
      </c>
      <c r="H3687" s="10" t="str">
        <f aca="false">IF($L3687="","",IF($L3687="@对方",资金流水!$G246,IF($L3687="@账户",资金流水!$Q246,$L3687)))</f>
        <v/>
      </c>
      <c r="I3687" s="42" t="n">
        <f aca="false">IF($M3687="借",$O3687,0)</f>
        <v>0</v>
      </c>
      <c r="J3687" s="42" t="n">
        <f aca="false">IF($M3687="贷",$O3687,0)</f>
        <v>0</v>
      </c>
      <c r="K3687" s="48" t="str">
        <f aca="false">IF($H3687="","",资金流水!$F246)</f>
        <v/>
      </c>
      <c r="L3687" s="66" t="str">
        <f aca="false">IF(资金流水!$E246="","",IFERROR(INDEX(记账规则!$A$13:$H$32,MATCH(资金流水!$E246,记账规则!$A$13:$A$32,0),6),""))</f>
        <v/>
      </c>
      <c r="M3687" s="66" t="str">
        <f aca="false">IF($L3687="","",IFERROR(INDEX(记账规则!$A$13:$H$32,MATCH(资金流水!$E246,记账规则!$A$13:$A$32,0),7),""))</f>
        <v/>
      </c>
      <c r="N3687" s="66" t="str">
        <f aca="false">IF($L3687="","",IFERROR(INDEX(记账规则!$A$13:$H$32,MATCH(资金流水!$E246,记账规则!$A$13:$A$32,0),8),""))</f>
        <v/>
      </c>
      <c r="O3687" s="67" t="n">
        <f aca="false">IF($H3687="",0,ROUND(IF($N3687="金额",N(资金流水!$P246),0),2))</f>
        <v>0</v>
      </c>
      <c r="P3687" s="64" t="str">
        <f aca="false">IF(AND($H3687&lt;&gt;"",ROUND($O3687,2)&lt;&gt;0),"有","")</f>
        <v/>
      </c>
    </row>
    <row r="3688" customFormat="false" ht="15" hidden="true" customHeight="false" outlineLevel="0" collapsed="false">
      <c r="A3688" s="53" t="str">
        <f aca="false">IF($H3688="","",ROW()-5)</f>
        <v/>
      </c>
      <c r="B3688" s="64" t="s">
        <v>37</v>
      </c>
      <c r="C3688" s="53" t="n">
        <v>247</v>
      </c>
      <c r="D3688" s="53" t="n">
        <v>1</v>
      </c>
      <c r="E3688" s="65" t="str">
        <f aca="false">IF($H3688="","",资金流水!$B247)</f>
        <v/>
      </c>
      <c r="F3688" s="55" t="str">
        <f aca="false">IF($H3688="","",资金流水!$C247)</f>
        <v/>
      </c>
      <c r="G3688" s="48" t="str">
        <f aca="false">IF($H3688="","",资金流水!$K247)</f>
        <v/>
      </c>
      <c r="H3688" s="10" t="str">
        <f aca="false">IF($L3688="","",IF($L3688="@对方",资金流水!$G247,IF($L3688="@账户",资金流水!$Q247,$L3688)))</f>
        <v/>
      </c>
      <c r="I3688" s="42" t="n">
        <f aca="false">IF($M3688="借",$O3688,0)</f>
        <v>0</v>
      </c>
      <c r="J3688" s="42" t="n">
        <f aca="false">IF($M3688="贷",$O3688,0)</f>
        <v>0</v>
      </c>
      <c r="K3688" s="48" t="str">
        <f aca="false">IF($H3688="","",资金流水!$F247)</f>
        <v/>
      </c>
      <c r="L3688" s="66" t="str">
        <f aca="false">IF(资金流水!$E247="","",IFERROR(INDEX(记账规则!$A$13:$H$32,MATCH(资金流水!$E247,记账规则!$A$13:$A$32,0),3),""))</f>
        <v/>
      </c>
      <c r="M3688" s="66" t="str">
        <f aca="false">IF($L3688="","",IFERROR(INDEX(记账规则!$A$13:$H$32,MATCH(资金流水!$E247,记账规则!$A$13:$A$32,0),4),""))</f>
        <v/>
      </c>
      <c r="N3688" s="66" t="str">
        <f aca="false">IF($L3688="","",IFERROR(INDEX(记账规则!$A$13:$H$32,MATCH(资金流水!$E247,记账规则!$A$13:$A$32,0),5),""))</f>
        <v/>
      </c>
      <c r="O3688" s="67" t="n">
        <f aca="false">IF($H3688="",0,ROUND(IF($N3688="金额",N(资金流水!$P247),0),2))</f>
        <v>0</v>
      </c>
      <c r="P3688" s="64" t="str">
        <f aca="false">IF(AND($H3688&lt;&gt;"",ROUND($O3688,2)&lt;&gt;0),"有","")</f>
        <v/>
      </c>
    </row>
    <row r="3689" customFormat="false" ht="15" hidden="true" customHeight="false" outlineLevel="0" collapsed="false">
      <c r="A3689" s="53" t="str">
        <f aca="false">IF($H3689="","",ROW()-5)</f>
        <v/>
      </c>
      <c r="B3689" s="64" t="s">
        <v>37</v>
      </c>
      <c r="C3689" s="53" t="n">
        <v>247</v>
      </c>
      <c r="D3689" s="53" t="n">
        <v>2</v>
      </c>
      <c r="E3689" s="65" t="str">
        <f aca="false">IF($H3689="","",资金流水!$B247)</f>
        <v/>
      </c>
      <c r="F3689" s="55" t="str">
        <f aca="false">IF($H3689="","",资金流水!$C247)</f>
        <v/>
      </c>
      <c r="G3689" s="48" t="str">
        <f aca="false">IF($H3689="","",资金流水!$K247)</f>
        <v/>
      </c>
      <c r="H3689" s="10" t="str">
        <f aca="false">IF($L3689="","",IF($L3689="@对方",资金流水!$G247,IF($L3689="@账户",资金流水!$Q247,$L3689)))</f>
        <v/>
      </c>
      <c r="I3689" s="42" t="n">
        <f aca="false">IF($M3689="借",$O3689,0)</f>
        <v>0</v>
      </c>
      <c r="J3689" s="42" t="n">
        <f aca="false">IF($M3689="贷",$O3689,0)</f>
        <v>0</v>
      </c>
      <c r="K3689" s="48" t="str">
        <f aca="false">IF($H3689="","",资金流水!$F247)</f>
        <v/>
      </c>
      <c r="L3689" s="66" t="str">
        <f aca="false">IF(资金流水!$E247="","",IFERROR(INDEX(记账规则!$A$13:$H$32,MATCH(资金流水!$E247,记账规则!$A$13:$A$32,0),6),""))</f>
        <v/>
      </c>
      <c r="M3689" s="66" t="str">
        <f aca="false">IF($L3689="","",IFERROR(INDEX(记账规则!$A$13:$H$32,MATCH(资金流水!$E247,记账规则!$A$13:$A$32,0),7),""))</f>
        <v/>
      </c>
      <c r="N3689" s="66" t="str">
        <f aca="false">IF($L3689="","",IFERROR(INDEX(记账规则!$A$13:$H$32,MATCH(资金流水!$E247,记账规则!$A$13:$A$32,0),8),""))</f>
        <v/>
      </c>
      <c r="O3689" s="67" t="n">
        <f aca="false">IF($H3689="",0,ROUND(IF($N3689="金额",N(资金流水!$P247),0),2))</f>
        <v>0</v>
      </c>
      <c r="P3689" s="64" t="str">
        <f aca="false">IF(AND($H3689&lt;&gt;"",ROUND($O3689,2)&lt;&gt;0),"有","")</f>
        <v/>
      </c>
    </row>
    <row r="3690" customFormat="false" ht="15" hidden="true" customHeight="false" outlineLevel="0" collapsed="false">
      <c r="A3690" s="53" t="str">
        <f aca="false">IF($H3690="","",ROW()-5)</f>
        <v/>
      </c>
      <c r="B3690" s="64" t="s">
        <v>37</v>
      </c>
      <c r="C3690" s="53" t="n">
        <v>248</v>
      </c>
      <c r="D3690" s="53" t="n">
        <v>1</v>
      </c>
      <c r="E3690" s="65" t="str">
        <f aca="false">IF($H3690="","",资金流水!$B248)</f>
        <v/>
      </c>
      <c r="F3690" s="55" t="str">
        <f aca="false">IF($H3690="","",资金流水!$C248)</f>
        <v/>
      </c>
      <c r="G3690" s="48" t="str">
        <f aca="false">IF($H3690="","",资金流水!$K248)</f>
        <v/>
      </c>
      <c r="H3690" s="10" t="str">
        <f aca="false">IF($L3690="","",IF($L3690="@对方",资金流水!$G248,IF($L3690="@账户",资金流水!$Q248,$L3690)))</f>
        <v/>
      </c>
      <c r="I3690" s="42" t="n">
        <f aca="false">IF($M3690="借",$O3690,0)</f>
        <v>0</v>
      </c>
      <c r="J3690" s="42" t="n">
        <f aca="false">IF($M3690="贷",$O3690,0)</f>
        <v>0</v>
      </c>
      <c r="K3690" s="48" t="str">
        <f aca="false">IF($H3690="","",资金流水!$F248)</f>
        <v/>
      </c>
      <c r="L3690" s="66" t="str">
        <f aca="false">IF(资金流水!$E248="","",IFERROR(INDEX(记账规则!$A$13:$H$32,MATCH(资金流水!$E248,记账规则!$A$13:$A$32,0),3),""))</f>
        <v/>
      </c>
      <c r="M3690" s="66" t="str">
        <f aca="false">IF($L3690="","",IFERROR(INDEX(记账规则!$A$13:$H$32,MATCH(资金流水!$E248,记账规则!$A$13:$A$32,0),4),""))</f>
        <v/>
      </c>
      <c r="N3690" s="66" t="str">
        <f aca="false">IF($L3690="","",IFERROR(INDEX(记账规则!$A$13:$H$32,MATCH(资金流水!$E248,记账规则!$A$13:$A$32,0),5),""))</f>
        <v/>
      </c>
      <c r="O3690" s="67" t="n">
        <f aca="false">IF($H3690="",0,ROUND(IF($N3690="金额",N(资金流水!$P248),0),2))</f>
        <v>0</v>
      </c>
      <c r="P3690" s="64" t="str">
        <f aca="false">IF(AND($H3690&lt;&gt;"",ROUND($O3690,2)&lt;&gt;0),"有","")</f>
        <v/>
      </c>
    </row>
    <row r="3691" customFormat="false" ht="15" hidden="true" customHeight="false" outlineLevel="0" collapsed="false">
      <c r="A3691" s="53" t="str">
        <f aca="false">IF($H3691="","",ROW()-5)</f>
        <v/>
      </c>
      <c r="B3691" s="64" t="s">
        <v>37</v>
      </c>
      <c r="C3691" s="53" t="n">
        <v>248</v>
      </c>
      <c r="D3691" s="53" t="n">
        <v>2</v>
      </c>
      <c r="E3691" s="65" t="str">
        <f aca="false">IF($H3691="","",资金流水!$B248)</f>
        <v/>
      </c>
      <c r="F3691" s="55" t="str">
        <f aca="false">IF($H3691="","",资金流水!$C248)</f>
        <v/>
      </c>
      <c r="G3691" s="48" t="str">
        <f aca="false">IF($H3691="","",资金流水!$K248)</f>
        <v/>
      </c>
      <c r="H3691" s="10" t="str">
        <f aca="false">IF($L3691="","",IF($L3691="@对方",资金流水!$G248,IF($L3691="@账户",资金流水!$Q248,$L3691)))</f>
        <v/>
      </c>
      <c r="I3691" s="42" t="n">
        <f aca="false">IF($M3691="借",$O3691,0)</f>
        <v>0</v>
      </c>
      <c r="J3691" s="42" t="n">
        <f aca="false">IF($M3691="贷",$O3691,0)</f>
        <v>0</v>
      </c>
      <c r="K3691" s="48" t="str">
        <f aca="false">IF($H3691="","",资金流水!$F248)</f>
        <v/>
      </c>
      <c r="L3691" s="66" t="str">
        <f aca="false">IF(资金流水!$E248="","",IFERROR(INDEX(记账规则!$A$13:$H$32,MATCH(资金流水!$E248,记账规则!$A$13:$A$32,0),6),""))</f>
        <v/>
      </c>
      <c r="M3691" s="66" t="str">
        <f aca="false">IF($L3691="","",IFERROR(INDEX(记账规则!$A$13:$H$32,MATCH(资金流水!$E248,记账规则!$A$13:$A$32,0),7),""))</f>
        <v/>
      </c>
      <c r="N3691" s="66" t="str">
        <f aca="false">IF($L3691="","",IFERROR(INDEX(记账规则!$A$13:$H$32,MATCH(资金流水!$E248,记账规则!$A$13:$A$32,0),8),""))</f>
        <v/>
      </c>
      <c r="O3691" s="67" t="n">
        <f aca="false">IF($H3691="",0,ROUND(IF($N3691="金额",N(资金流水!$P248),0),2))</f>
        <v>0</v>
      </c>
      <c r="P3691" s="64" t="str">
        <f aca="false">IF(AND($H3691&lt;&gt;"",ROUND($O3691,2)&lt;&gt;0),"有","")</f>
        <v/>
      </c>
    </row>
    <row r="3692" customFormat="false" ht="15" hidden="true" customHeight="false" outlineLevel="0" collapsed="false">
      <c r="A3692" s="53" t="str">
        <f aca="false">IF($H3692="","",ROW()-5)</f>
        <v/>
      </c>
      <c r="B3692" s="64" t="s">
        <v>37</v>
      </c>
      <c r="C3692" s="53" t="n">
        <v>249</v>
      </c>
      <c r="D3692" s="53" t="n">
        <v>1</v>
      </c>
      <c r="E3692" s="65" t="str">
        <f aca="false">IF($H3692="","",资金流水!$B249)</f>
        <v/>
      </c>
      <c r="F3692" s="55" t="str">
        <f aca="false">IF($H3692="","",资金流水!$C249)</f>
        <v/>
      </c>
      <c r="G3692" s="48" t="str">
        <f aca="false">IF($H3692="","",资金流水!$K249)</f>
        <v/>
      </c>
      <c r="H3692" s="10" t="str">
        <f aca="false">IF($L3692="","",IF($L3692="@对方",资金流水!$G249,IF($L3692="@账户",资金流水!$Q249,$L3692)))</f>
        <v/>
      </c>
      <c r="I3692" s="42" t="n">
        <f aca="false">IF($M3692="借",$O3692,0)</f>
        <v>0</v>
      </c>
      <c r="J3692" s="42" t="n">
        <f aca="false">IF($M3692="贷",$O3692,0)</f>
        <v>0</v>
      </c>
      <c r="K3692" s="48" t="str">
        <f aca="false">IF($H3692="","",资金流水!$F249)</f>
        <v/>
      </c>
      <c r="L3692" s="66" t="str">
        <f aca="false">IF(资金流水!$E249="","",IFERROR(INDEX(记账规则!$A$13:$H$32,MATCH(资金流水!$E249,记账规则!$A$13:$A$32,0),3),""))</f>
        <v/>
      </c>
      <c r="M3692" s="66" t="str">
        <f aca="false">IF($L3692="","",IFERROR(INDEX(记账规则!$A$13:$H$32,MATCH(资金流水!$E249,记账规则!$A$13:$A$32,0),4),""))</f>
        <v/>
      </c>
      <c r="N3692" s="66" t="str">
        <f aca="false">IF($L3692="","",IFERROR(INDEX(记账规则!$A$13:$H$32,MATCH(资金流水!$E249,记账规则!$A$13:$A$32,0),5),""))</f>
        <v/>
      </c>
      <c r="O3692" s="67" t="n">
        <f aca="false">IF($H3692="",0,ROUND(IF($N3692="金额",N(资金流水!$P249),0),2))</f>
        <v>0</v>
      </c>
      <c r="P3692" s="64" t="str">
        <f aca="false">IF(AND($H3692&lt;&gt;"",ROUND($O3692,2)&lt;&gt;0),"有","")</f>
        <v/>
      </c>
    </row>
    <row r="3693" customFormat="false" ht="15" hidden="true" customHeight="false" outlineLevel="0" collapsed="false">
      <c r="A3693" s="53" t="str">
        <f aca="false">IF($H3693="","",ROW()-5)</f>
        <v/>
      </c>
      <c r="B3693" s="64" t="s">
        <v>37</v>
      </c>
      <c r="C3693" s="53" t="n">
        <v>249</v>
      </c>
      <c r="D3693" s="53" t="n">
        <v>2</v>
      </c>
      <c r="E3693" s="65" t="str">
        <f aca="false">IF($H3693="","",资金流水!$B249)</f>
        <v/>
      </c>
      <c r="F3693" s="55" t="str">
        <f aca="false">IF($H3693="","",资金流水!$C249)</f>
        <v/>
      </c>
      <c r="G3693" s="48" t="str">
        <f aca="false">IF($H3693="","",资金流水!$K249)</f>
        <v/>
      </c>
      <c r="H3693" s="10" t="str">
        <f aca="false">IF($L3693="","",IF($L3693="@对方",资金流水!$G249,IF($L3693="@账户",资金流水!$Q249,$L3693)))</f>
        <v/>
      </c>
      <c r="I3693" s="42" t="n">
        <f aca="false">IF($M3693="借",$O3693,0)</f>
        <v>0</v>
      </c>
      <c r="J3693" s="42" t="n">
        <f aca="false">IF($M3693="贷",$O3693,0)</f>
        <v>0</v>
      </c>
      <c r="K3693" s="48" t="str">
        <f aca="false">IF($H3693="","",资金流水!$F249)</f>
        <v/>
      </c>
      <c r="L3693" s="66" t="str">
        <f aca="false">IF(资金流水!$E249="","",IFERROR(INDEX(记账规则!$A$13:$H$32,MATCH(资金流水!$E249,记账规则!$A$13:$A$32,0),6),""))</f>
        <v/>
      </c>
      <c r="M3693" s="66" t="str">
        <f aca="false">IF($L3693="","",IFERROR(INDEX(记账规则!$A$13:$H$32,MATCH(资金流水!$E249,记账规则!$A$13:$A$32,0),7),""))</f>
        <v/>
      </c>
      <c r="N3693" s="66" t="str">
        <f aca="false">IF($L3693="","",IFERROR(INDEX(记账规则!$A$13:$H$32,MATCH(资金流水!$E249,记账规则!$A$13:$A$32,0),8),""))</f>
        <v/>
      </c>
      <c r="O3693" s="67" t="n">
        <f aca="false">IF($H3693="",0,ROUND(IF($N3693="金额",N(资金流水!$P249),0),2))</f>
        <v>0</v>
      </c>
      <c r="P3693" s="64" t="str">
        <f aca="false">IF(AND($H3693&lt;&gt;"",ROUND($O3693,2)&lt;&gt;0),"有","")</f>
        <v/>
      </c>
    </row>
    <row r="3694" customFormat="false" ht="15" hidden="true" customHeight="false" outlineLevel="0" collapsed="false">
      <c r="A3694" s="53" t="str">
        <f aca="false">IF($H3694="","",ROW()-5)</f>
        <v/>
      </c>
      <c r="B3694" s="64" t="s">
        <v>37</v>
      </c>
      <c r="C3694" s="53" t="n">
        <v>250</v>
      </c>
      <c r="D3694" s="53" t="n">
        <v>1</v>
      </c>
      <c r="E3694" s="65" t="str">
        <f aca="false">IF($H3694="","",资金流水!$B250)</f>
        <v/>
      </c>
      <c r="F3694" s="55" t="str">
        <f aca="false">IF($H3694="","",资金流水!$C250)</f>
        <v/>
      </c>
      <c r="G3694" s="48" t="str">
        <f aca="false">IF($H3694="","",资金流水!$K250)</f>
        <v/>
      </c>
      <c r="H3694" s="10" t="str">
        <f aca="false">IF($L3694="","",IF($L3694="@对方",资金流水!$G250,IF($L3694="@账户",资金流水!$Q250,$L3694)))</f>
        <v/>
      </c>
      <c r="I3694" s="42" t="n">
        <f aca="false">IF($M3694="借",$O3694,0)</f>
        <v>0</v>
      </c>
      <c r="J3694" s="42" t="n">
        <f aca="false">IF($M3694="贷",$O3694,0)</f>
        <v>0</v>
      </c>
      <c r="K3694" s="48" t="str">
        <f aca="false">IF($H3694="","",资金流水!$F250)</f>
        <v/>
      </c>
      <c r="L3694" s="66" t="str">
        <f aca="false">IF(资金流水!$E250="","",IFERROR(INDEX(记账规则!$A$13:$H$32,MATCH(资金流水!$E250,记账规则!$A$13:$A$32,0),3),""))</f>
        <v/>
      </c>
      <c r="M3694" s="66" t="str">
        <f aca="false">IF($L3694="","",IFERROR(INDEX(记账规则!$A$13:$H$32,MATCH(资金流水!$E250,记账规则!$A$13:$A$32,0),4),""))</f>
        <v/>
      </c>
      <c r="N3694" s="66" t="str">
        <f aca="false">IF($L3694="","",IFERROR(INDEX(记账规则!$A$13:$H$32,MATCH(资金流水!$E250,记账规则!$A$13:$A$32,0),5),""))</f>
        <v/>
      </c>
      <c r="O3694" s="67" t="n">
        <f aca="false">IF($H3694="",0,ROUND(IF($N3694="金额",N(资金流水!$P250),0),2))</f>
        <v>0</v>
      </c>
      <c r="P3694" s="64" t="str">
        <f aca="false">IF(AND($H3694&lt;&gt;"",ROUND($O3694,2)&lt;&gt;0),"有","")</f>
        <v/>
      </c>
    </row>
    <row r="3695" customFormat="false" ht="15" hidden="true" customHeight="false" outlineLevel="0" collapsed="false">
      <c r="A3695" s="53" t="str">
        <f aca="false">IF($H3695="","",ROW()-5)</f>
        <v/>
      </c>
      <c r="B3695" s="64" t="s">
        <v>37</v>
      </c>
      <c r="C3695" s="53" t="n">
        <v>250</v>
      </c>
      <c r="D3695" s="53" t="n">
        <v>2</v>
      </c>
      <c r="E3695" s="65" t="str">
        <f aca="false">IF($H3695="","",资金流水!$B250)</f>
        <v/>
      </c>
      <c r="F3695" s="55" t="str">
        <f aca="false">IF($H3695="","",资金流水!$C250)</f>
        <v/>
      </c>
      <c r="G3695" s="48" t="str">
        <f aca="false">IF($H3695="","",资金流水!$K250)</f>
        <v/>
      </c>
      <c r="H3695" s="10" t="str">
        <f aca="false">IF($L3695="","",IF($L3695="@对方",资金流水!$G250,IF($L3695="@账户",资金流水!$Q250,$L3695)))</f>
        <v/>
      </c>
      <c r="I3695" s="42" t="n">
        <f aca="false">IF($M3695="借",$O3695,0)</f>
        <v>0</v>
      </c>
      <c r="J3695" s="42" t="n">
        <f aca="false">IF($M3695="贷",$O3695,0)</f>
        <v>0</v>
      </c>
      <c r="K3695" s="48" t="str">
        <f aca="false">IF($H3695="","",资金流水!$F250)</f>
        <v/>
      </c>
      <c r="L3695" s="66" t="str">
        <f aca="false">IF(资金流水!$E250="","",IFERROR(INDEX(记账规则!$A$13:$H$32,MATCH(资金流水!$E250,记账规则!$A$13:$A$32,0),6),""))</f>
        <v/>
      </c>
      <c r="M3695" s="66" t="str">
        <f aca="false">IF($L3695="","",IFERROR(INDEX(记账规则!$A$13:$H$32,MATCH(资金流水!$E250,记账规则!$A$13:$A$32,0),7),""))</f>
        <v/>
      </c>
      <c r="N3695" s="66" t="str">
        <f aca="false">IF($L3695="","",IFERROR(INDEX(记账规则!$A$13:$H$32,MATCH(资金流水!$E250,记账规则!$A$13:$A$32,0),8),""))</f>
        <v/>
      </c>
      <c r="O3695" s="67" t="n">
        <f aca="false">IF($H3695="",0,ROUND(IF($N3695="金额",N(资金流水!$P250),0),2))</f>
        <v>0</v>
      </c>
      <c r="P3695" s="64" t="str">
        <f aca="false">IF(AND($H3695&lt;&gt;"",ROUND($O3695,2)&lt;&gt;0),"有","")</f>
        <v/>
      </c>
    </row>
    <row r="3696" customFormat="false" ht="15" hidden="true" customHeight="false" outlineLevel="0" collapsed="false">
      <c r="A3696" s="53" t="str">
        <f aca="false">IF($H3696="","",ROW()-5)</f>
        <v/>
      </c>
      <c r="B3696" s="64" t="s">
        <v>37</v>
      </c>
      <c r="C3696" s="53" t="n">
        <v>251</v>
      </c>
      <c r="D3696" s="53" t="n">
        <v>1</v>
      </c>
      <c r="E3696" s="65" t="str">
        <f aca="false">IF($H3696="","",资金流水!$B251)</f>
        <v/>
      </c>
      <c r="F3696" s="55" t="str">
        <f aca="false">IF($H3696="","",资金流水!$C251)</f>
        <v/>
      </c>
      <c r="G3696" s="48" t="str">
        <f aca="false">IF($H3696="","",资金流水!$K251)</f>
        <v/>
      </c>
      <c r="H3696" s="10" t="str">
        <f aca="false">IF($L3696="","",IF($L3696="@对方",资金流水!$G251,IF($L3696="@账户",资金流水!$Q251,$L3696)))</f>
        <v/>
      </c>
      <c r="I3696" s="42" t="n">
        <f aca="false">IF($M3696="借",$O3696,0)</f>
        <v>0</v>
      </c>
      <c r="J3696" s="42" t="n">
        <f aca="false">IF($M3696="贷",$O3696,0)</f>
        <v>0</v>
      </c>
      <c r="K3696" s="48" t="str">
        <f aca="false">IF($H3696="","",资金流水!$F251)</f>
        <v/>
      </c>
      <c r="L3696" s="66" t="str">
        <f aca="false">IF(资金流水!$E251="","",IFERROR(INDEX(记账规则!$A$13:$H$32,MATCH(资金流水!$E251,记账规则!$A$13:$A$32,0),3),""))</f>
        <v/>
      </c>
      <c r="M3696" s="66" t="str">
        <f aca="false">IF($L3696="","",IFERROR(INDEX(记账规则!$A$13:$H$32,MATCH(资金流水!$E251,记账规则!$A$13:$A$32,0),4),""))</f>
        <v/>
      </c>
      <c r="N3696" s="66" t="str">
        <f aca="false">IF($L3696="","",IFERROR(INDEX(记账规则!$A$13:$H$32,MATCH(资金流水!$E251,记账规则!$A$13:$A$32,0),5),""))</f>
        <v/>
      </c>
      <c r="O3696" s="67" t="n">
        <f aca="false">IF($H3696="",0,ROUND(IF($N3696="金额",N(资金流水!$P251),0),2))</f>
        <v>0</v>
      </c>
      <c r="P3696" s="64" t="str">
        <f aca="false">IF(AND($H3696&lt;&gt;"",ROUND($O3696,2)&lt;&gt;0),"有","")</f>
        <v/>
      </c>
    </row>
    <row r="3697" customFormat="false" ht="15" hidden="true" customHeight="false" outlineLevel="0" collapsed="false">
      <c r="A3697" s="53" t="str">
        <f aca="false">IF($H3697="","",ROW()-5)</f>
        <v/>
      </c>
      <c r="B3697" s="64" t="s">
        <v>37</v>
      </c>
      <c r="C3697" s="53" t="n">
        <v>251</v>
      </c>
      <c r="D3697" s="53" t="n">
        <v>2</v>
      </c>
      <c r="E3697" s="65" t="str">
        <f aca="false">IF($H3697="","",资金流水!$B251)</f>
        <v/>
      </c>
      <c r="F3697" s="55" t="str">
        <f aca="false">IF($H3697="","",资金流水!$C251)</f>
        <v/>
      </c>
      <c r="G3697" s="48" t="str">
        <f aca="false">IF($H3697="","",资金流水!$K251)</f>
        <v/>
      </c>
      <c r="H3697" s="10" t="str">
        <f aca="false">IF($L3697="","",IF($L3697="@对方",资金流水!$G251,IF($L3697="@账户",资金流水!$Q251,$L3697)))</f>
        <v/>
      </c>
      <c r="I3697" s="42" t="n">
        <f aca="false">IF($M3697="借",$O3697,0)</f>
        <v>0</v>
      </c>
      <c r="J3697" s="42" t="n">
        <f aca="false">IF($M3697="贷",$O3697,0)</f>
        <v>0</v>
      </c>
      <c r="K3697" s="48" t="str">
        <f aca="false">IF($H3697="","",资金流水!$F251)</f>
        <v/>
      </c>
      <c r="L3697" s="66" t="str">
        <f aca="false">IF(资金流水!$E251="","",IFERROR(INDEX(记账规则!$A$13:$H$32,MATCH(资金流水!$E251,记账规则!$A$13:$A$32,0),6),""))</f>
        <v/>
      </c>
      <c r="M3697" s="66" t="str">
        <f aca="false">IF($L3697="","",IFERROR(INDEX(记账规则!$A$13:$H$32,MATCH(资金流水!$E251,记账规则!$A$13:$A$32,0),7),""))</f>
        <v/>
      </c>
      <c r="N3697" s="66" t="str">
        <f aca="false">IF($L3697="","",IFERROR(INDEX(记账规则!$A$13:$H$32,MATCH(资金流水!$E251,记账规则!$A$13:$A$32,0),8),""))</f>
        <v/>
      </c>
      <c r="O3697" s="67" t="n">
        <f aca="false">IF($H3697="",0,ROUND(IF($N3697="金额",N(资金流水!$P251),0),2))</f>
        <v>0</v>
      </c>
      <c r="P3697" s="64" t="str">
        <f aca="false">IF(AND($H3697&lt;&gt;"",ROUND($O3697,2)&lt;&gt;0),"有","")</f>
        <v/>
      </c>
    </row>
    <row r="3698" customFormat="false" ht="15" hidden="true" customHeight="false" outlineLevel="0" collapsed="false">
      <c r="A3698" s="53" t="str">
        <f aca="false">IF($H3698="","",ROW()-5)</f>
        <v/>
      </c>
      <c r="B3698" s="64" t="s">
        <v>37</v>
      </c>
      <c r="C3698" s="53" t="n">
        <v>252</v>
      </c>
      <c r="D3698" s="53" t="n">
        <v>1</v>
      </c>
      <c r="E3698" s="65" t="str">
        <f aca="false">IF($H3698="","",资金流水!$B252)</f>
        <v/>
      </c>
      <c r="F3698" s="55" t="str">
        <f aca="false">IF($H3698="","",资金流水!$C252)</f>
        <v/>
      </c>
      <c r="G3698" s="48" t="str">
        <f aca="false">IF($H3698="","",资金流水!$K252)</f>
        <v/>
      </c>
      <c r="H3698" s="10" t="str">
        <f aca="false">IF($L3698="","",IF($L3698="@对方",资金流水!$G252,IF($L3698="@账户",资金流水!$Q252,$L3698)))</f>
        <v/>
      </c>
      <c r="I3698" s="42" t="n">
        <f aca="false">IF($M3698="借",$O3698,0)</f>
        <v>0</v>
      </c>
      <c r="J3698" s="42" t="n">
        <f aca="false">IF($M3698="贷",$O3698,0)</f>
        <v>0</v>
      </c>
      <c r="K3698" s="48" t="str">
        <f aca="false">IF($H3698="","",资金流水!$F252)</f>
        <v/>
      </c>
      <c r="L3698" s="66" t="str">
        <f aca="false">IF(资金流水!$E252="","",IFERROR(INDEX(记账规则!$A$13:$H$32,MATCH(资金流水!$E252,记账规则!$A$13:$A$32,0),3),""))</f>
        <v/>
      </c>
      <c r="M3698" s="66" t="str">
        <f aca="false">IF($L3698="","",IFERROR(INDEX(记账规则!$A$13:$H$32,MATCH(资金流水!$E252,记账规则!$A$13:$A$32,0),4),""))</f>
        <v/>
      </c>
      <c r="N3698" s="66" t="str">
        <f aca="false">IF($L3698="","",IFERROR(INDEX(记账规则!$A$13:$H$32,MATCH(资金流水!$E252,记账规则!$A$13:$A$32,0),5),""))</f>
        <v/>
      </c>
      <c r="O3698" s="67" t="n">
        <f aca="false">IF($H3698="",0,ROUND(IF($N3698="金额",N(资金流水!$P252),0),2))</f>
        <v>0</v>
      </c>
      <c r="P3698" s="64" t="str">
        <f aca="false">IF(AND($H3698&lt;&gt;"",ROUND($O3698,2)&lt;&gt;0),"有","")</f>
        <v/>
      </c>
    </row>
    <row r="3699" customFormat="false" ht="15" hidden="true" customHeight="false" outlineLevel="0" collapsed="false">
      <c r="A3699" s="53" t="str">
        <f aca="false">IF($H3699="","",ROW()-5)</f>
        <v/>
      </c>
      <c r="B3699" s="64" t="s">
        <v>37</v>
      </c>
      <c r="C3699" s="53" t="n">
        <v>252</v>
      </c>
      <c r="D3699" s="53" t="n">
        <v>2</v>
      </c>
      <c r="E3699" s="65" t="str">
        <f aca="false">IF($H3699="","",资金流水!$B252)</f>
        <v/>
      </c>
      <c r="F3699" s="55" t="str">
        <f aca="false">IF($H3699="","",资金流水!$C252)</f>
        <v/>
      </c>
      <c r="G3699" s="48" t="str">
        <f aca="false">IF($H3699="","",资金流水!$K252)</f>
        <v/>
      </c>
      <c r="H3699" s="10" t="str">
        <f aca="false">IF($L3699="","",IF($L3699="@对方",资金流水!$G252,IF($L3699="@账户",资金流水!$Q252,$L3699)))</f>
        <v/>
      </c>
      <c r="I3699" s="42" t="n">
        <f aca="false">IF($M3699="借",$O3699,0)</f>
        <v>0</v>
      </c>
      <c r="J3699" s="42" t="n">
        <f aca="false">IF($M3699="贷",$O3699,0)</f>
        <v>0</v>
      </c>
      <c r="K3699" s="48" t="str">
        <f aca="false">IF($H3699="","",资金流水!$F252)</f>
        <v/>
      </c>
      <c r="L3699" s="66" t="str">
        <f aca="false">IF(资金流水!$E252="","",IFERROR(INDEX(记账规则!$A$13:$H$32,MATCH(资金流水!$E252,记账规则!$A$13:$A$32,0),6),""))</f>
        <v/>
      </c>
      <c r="M3699" s="66" t="str">
        <f aca="false">IF($L3699="","",IFERROR(INDEX(记账规则!$A$13:$H$32,MATCH(资金流水!$E252,记账规则!$A$13:$A$32,0),7),""))</f>
        <v/>
      </c>
      <c r="N3699" s="66" t="str">
        <f aca="false">IF($L3699="","",IFERROR(INDEX(记账规则!$A$13:$H$32,MATCH(资金流水!$E252,记账规则!$A$13:$A$32,0),8),""))</f>
        <v/>
      </c>
      <c r="O3699" s="67" t="n">
        <f aca="false">IF($H3699="",0,ROUND(IF($N3699="金额",N(资金流水!$P252),0),2))</f>
        <v>0</v>
      </c>
      <c r="P3699" s="64" t="str">
        <f aca="false">IF(AND($H3699&lt;&gt;"",ROUND($O3699,2)&lt;&gt;0),"有","")</f>
        <v/>
      </c>
    </row>
    <row r="3700" customFormat="false" ht="15" hidden="true" customHeight="false" outlineLevel="0" collapsed="false">
      <c r="A3700" s="53" t="str">
        <f aca="false">IF($H3700="","",ROW()-5)</f>
        <v/>
      </c>
      <c r="B3700" s="64" t="s">
        <v>37</v>
      </c>
      <c r="C3700" s="53" t="n">
        <v>253</v>
      </c>
      <c r="D3700" s="53" t="n">
        <v>1</v>
      </c>
      <c r="E3700" s="65" t="str">
        <f aca="false">IF($H3700="","",资金流水!$B253)</f>
        <v/>
      </c>
      <c r="F3700" s="55" t="str">
        <f aca="false">IF($H3700="","",资金流水!$C253)</f>
        <v/>
      </c>
      <c r="G3700" s="48" t="str">
        <f aca="false">IF($H3700="","",资金流水!$K253)</f>
        <v/>
      </c>
      <c r="H3700" s="10" t="str">
        <f aca="false">IF($L3700="","",IF($L3700="@对方",资金流水!$G253,IF($L3700="@账户",资金流水!$Q253,$L3700)))</f>
        <v/>
      </c>
      <c r="I3700" s="42" t="n">
        <f aca="false">IF($M3700="借",$O3700,0)</f>
        <v>0</v>
      </c>
      <c r="J3700" s="42" t="n">
        <f aca="false">IF($M3700="贷",$O3700,0)</f>
        <v>0</v>
      </c>
      <c r="K3700" s="48" t="str">
        <f aca="false">IF($H3700="","",资金流水!$F253)</f>
        <v/>
      </c>
      <c r="L3700" s="66" t="str">
        <f aca="false">IF(资金流水!$E253="","",IFERROR(INDEX(记账规则!$A$13:$H$32,MATCH(资金流水!$E253,记账规则!$A$13:$A$32,0),3),""))</f>
        <v/>
      </c>
      <c r="M3700" s="66" t="str">
        <f aca="false">IF($L3700="","",IFERROR(INDEX(记账规则!$A$13:$H$32,MATCH(资金流水!$E253,记账规则!$A$13:$A$32,0),4),""))</f>
        <v/>
      </c>
      <c r="N3700" s="66" t="str">
        <f aca="false">IF($L3700="","",IFERROR(INDEX(记账规则!$A$13:$H$32,MATCH(资金流水!$E253,记账规则!$A$13:$A$32,0),5),""))</f>
        <v/>
      </c>
      <c r="O3700" s="67" t="n">
        <f aca="false">IF($H3700="",0,ROUND(IF($N3700="金额",N(资金流水!$P253),0),2))</f>
        <v>0</v>
      </c>
      <c r="P3700" s="64" t="str">
        <f aca="false">IF(AND($H3700&lt;&gt;"",ROUND($O3700,2)&lt;&gt;0),"有","")</f>
        <v/>
      </c>
    </row>
    <row r="3701" customFormat="false" ht="15" hidden="true" customHeight="false" outlineLevel="0" collapsed="false">
      <c r="A3701" s="53" t="str">
        <f aca="false">IF($H3701="","",ROW()-5)</f>
        <v/>
      </c>
      <c r="B3701" s="64" t="s">
        <v>37</v>
      </c>
      <c r="C3701" s="53" t="n">
        <v>253</v>
      </c>
      <c r="D3701" s="53" t="n">
        <v>2</v>
      </c>
      <c r="E3701" s="65" t="str">
        <f aca="false">IF($H3701="","",资金流水!$B253)</f>
        <v/>
      </c>
      <c r="F3701" s="55" t="str">
        <f aca="false">IF($H3701="","",资金流水!$C253)</f>
        <v/>
      </c>
      <c r="G3701" s="48" t="str">
        <f aca="false">IF($H3701="","",资金流水!$K253)</f>
        <v/>
      </c>
      <c r="H3701" s="10" t="str">
        <f aca="false">IF($L3701="","",IF($L3701="@对方",资金流水!$G253,IF($L3701="@账户",资金流水!$Q253,$L3701)))</f>
        <v/>
      </c>
      <c r="I3701" s="42" t="n">
        <f aca="false">IF($M3701="借",$O3701,0)</f>
        <v>0</v>
      </c>
      <c r="J3701" s="42" t="n">
        <f aca="false">IF($M3701="贷",$O3701,0)</f>
        <v>0</v>
      </c>
      <c r="K3701" s="48" t="str">
        <f aca="false">IF($H3701="","",资金流水!$F253)</f>
        <v/>
      </c>
      <c r="L3701" s="66" t="str">
        <f aca="false">IF(资金流水!$E253="","",IFERROR(INDEX(记账规则!$A$13:$H$32,MATCH(资金流水!$E253,记账规则!$A$13:$A$32,0),6),""))</f>
        <v/>
      </c>
      <c r="M3701" s="66" t="str">
        <f aca="false">IF($L3701="","",IFERROR(INDEX(记账规则!$A$13:$H$32,MATCH(资金流水!$E253,记账规则!$A$13:$A$32,0),7),""))</f>
        <v/>
      </c>
      <c r="N3701" s="66" t="str">
        <f aca="false">IF($L3701="","",IFERROR(INDEX(记账规则!$A$13:$H$32,MATCH(资金流水!$E253,记账规则!$A$13:$A$32,0),8),""))</f>
        <v/>
      </c>
      <c r="O3701" s="67" t="n">
        <f aca="false">IF($H3701="",0,ROUND(IF($N3701="金额",N(资金流水!$P253),0),2))</f>
        <v>0</v>
      </c>
      <c r="P3701" s="64" t="str">
        <f aca="false">IF(AND($H3701&lt;&gt;"",ROUND($O3701,2)&lt;&gt;0),"有","")</f>
        <v/>
      </c>
    </row>
    <row r="3702" customFormat="false" ht="15" hidden="true" customHeight="false" outlineLevel="0" collapsed="false">
      <c r="A3702" s="53" t="str">
        <f aca="false">IF($H3702="","",ROW()-5)</f>
        <v/>
      </c>
      <c r="B3702" s="64" t="s">
        <v>37</v>
      </c>
      <c r="C3702" s="53" t="n">
        <v>254</v>
      </c>
      <c r="D3702" s="53" t="n">
        <v>1</v>
      </c>
      <c r="E3702" s="65" t="str">
        <f aca="false">IF($H3702="","",资金流水!$B254)</f>
        <v/>
      </c>
      <c r="F3702" s="55" t="str">
        <f aca="false">IF($H3702="","",资金流水!$C254)</f>
        <v/>
      </c>
      <c r="G3702" s="48" t="str">
        <f aca="false">IF($H3702="","",资金流水!$K254)</f>
        <v/>
      </c>
      <c r="H3702" s="10" t="str">
        <f aca="false">IF($L3702="","",IF($L3702="@对方",资金流水!$G254,IF($L3702="@账户",资金流水!$Q254,$L3702)))</f>
        <v/>
      </c>
      <c r="I3702" s="42" t="n">
        <f aca="false">IF($M3702="借",$O3702,0)</f>
        <v>0</v>
      </c>
      <c r="J3702" s="42" t="n">
        <f aca="false">IF($M3702="贷",$O3702,0)</f>
        <v>0</v>
      </c>
      <c r="K3702" s="48" t="str">
        <f aca="false">IF($H3702="","",资金流水!$F254)</f>
        <v/>
      </c>
      <c r="L3702" s="66" t="str">
        <f aca="false">IF(资金流水!$E254="","",IFERROR(INDEX(记账规则!$A$13:$H$32,MATCH(资金流水!$E254,记账规则!$A$13:$A$32,0),3),""))</f>
        <v/>
      </c>
      <c r="M3702" s="66" t="str">
        <f aca="false">IF($L3702="","",IFERROR(INDEX(记账规则!$A$13:$H$32,MATCH(资金流水!$E254,记账规则!$A$13:$A$32,0),4),""))</f>
        <v/>
      </c>
      <c r="N3702" s="66" t="str">
        <f aca="false">IF($L3702="","",IFERROR(INDEX(记账规则!$A$13:$H$32,MATCH(资金流水!$E254,记账规则!$A$13:$A$32,0),5),""))</f>
        <v/>
      </c>
      <c r="O3702" s="67" t="n">
        <f aca="false">IF($H3702="",0,ROUND(IF($N3702="金额",N(资金流水!$P254),0),2))</f>
        <v>0</v>
      </c>
      <c r="P3702" s="64" t="str">
        <f aca="false">IF(AND($H3702&lt;&gt;"",ROUND($O3702,2)&lt;&gt;0),"有","")</f>
        <v/>
      </c>
    </row>
    <row r="3703" customFormat="false" ht="15" hidden="true" customHeight="false" outlineLevel="0" collapsed="false">
      <c r="A3703" s="53" t="str">
        <f aca="false">IF($H3703="","",ROW()-5)</f>
        <v/>
      </c>
      <c r="B3703" s="64" t="s">
        <v>37</v>
      </c>
      <c r="C3703" s="53" t="n">
        <v>254</v>
      </c>
      <c r="D3703" s="53" t="n">
        <v>2</v>
      </c>
      <c r="E3703" s="65" t="str">
        <f aca="false">IF($H3703="","",资金流水!$B254)</f>
        <v/>
      </c>
      <c r="F3703" s="55" t="str">
        <f aca="false">IF($H3703="","",资金流水!$C254)</f>
        <v/>
      </c>
      <c r="G3703" s="48" t="str">
        <f aca="false">IF($H3703="","",资金流水!$K254)</f>
        <v/>
      </c>
      <c r="H3703" s="10" t="str">
        <f aca="false">IF($L3703="","",IF($L3703="@对方",资金流水!$G254,IF($L3703="@账户",资金流水!$Q254,$L3703)))</f>
        <v/>
      </c>
      <c r="I3703" s="42" t="n">
        <f aca="false">IF($M3703="借",$O3703,0)</f>
        <v>0</v>
      </c>
      <c r="J3703" s="42" t="n">
        <f aca="false">IF($M3703="贷",$O3703,0)</f>
        <v>0</v>
      </c>
      <c r="K3703" s="48" t="str">
        <f aca="false">IF($H3703="","",资金流水!$F254)</f>
        <v/>
      </c>
      <c r="L3703" s="66" t="str">
        <f aca="false">IF(资金流水!$E254="","",IFERROR(INDEX(记账规则!$A$13:$H$32,MATCH(资金流水!$E254,记账规则!$A$13:$A$32,0),6),""))</f>
        <v/>
      </c>
      <c r="M3703" s="66" t="str">
        <f aca="false">IF($L3703="","",IFERROR(INDEX(记账规则!$A$13:$H$32,MATCH(资金流水!$E254,记账规则!$A$13:$A$32,0),7),""))</f>
        <v/>
      </c>
      <c r="N3703" s="66" t="str">
        <f aca="false">IF($L3703="","",IFERROR(INDEX(记账规则!$A$13:$H$32,MATCH(资金流水!$E254,记账规则!$A$13:$A$32,0),8),""))</f>
        <v/>
      </c>
      <c r="O3703" s="67" t="n">
        <f aca="false">IF($H3703="",0,ROUND(IF($N3703="金额",N(资金流水!$P254),0),2))</f>
        <v>0</v>
      </c>
      <c r="P3703" s="64" t="str">
        <f aca="false">IF(AND($H3703&lt;&gt;"",ROUND($O3703,2)&lt;&gt;0),"有","")</f>
        <v/>
      </c>
    </row>
    <row r="3704" customFormat="false" ht="15" hidden="true" customHeight="false" outlineLevel="0" collapsed="false">
      <c r="A3704" s="53" t="str">
        <f aca="false">IF($H3704="","",ROW()-5)</f>
        <v/>
      </c>
      <c r="B3704" s="64" t="s">
        <v>37</v>
      </c>
      <c r="C3704" s="53" t="n">
        <v>255</v>
      </c>
      <c r="D3704" s="53" t="n">
        <v>1</v>
      </c>
      <c r="E3704" s="65" t="str">
        <f aca="false">IF($H3704="","",资金流水!$B255)</f>
        <v/>
      </c>
      <c r="F3704" s="55" t="str">
        <f aca="false">IF($H3704="","",资金流水!$C255)</f>
        <v/>
      </c>
      <c r="G3704" s="48" t="str">
        <f aca="false">IF($H3704="","",资金流水!$K255)</f>
        <v/>
      </c>
      <c r="H3704" s="10" t="str">
        <f aca="false">IF($L3704="","",IF($L3704="@对方",资金流水!$G255,IF($L3704="@账户",资金流水!$Q255,$L3704)))</f>
        <v/>
      </c>
      <c r="I3704" s="42" t="n">
        <f aca="false">IF($M3704="借",$O3704,0)</f>
        <v>0</v>
      </c>
      <c r="J3704" s="42" t="n">
        <f aca="false">IF($M3704="贷",$O3704,0)</f>
        <v>0</v>
      </c>
      <c r="K3704" s="48" t="str">
        <f aca="false">IF($H3704="","",资金流水!$F255)</f>
        <v/>
      </c>
      <c r="L3704" s="66" t="str">
        <f aca="false">IF(资金流水!$E255="","",IFERROR(INDEX(记账规则!$A$13:$H$32,MATCH(资金流水!$E255,记账规则!$A$13:$A$32,0),3),""))</f>
        <v/>
      </c>
      <c r="M3704" s="66" t="str">
        <f aca="false">IF($L3704="","",IFERROR(INDEX(记账规则!$A$13:$H$32,MATCH(资金流水!$E255,记账规则!$A$13:$A$32,0),4),""))</f>
        <v/>
      </c>
      <c r="N3704" s="66" t="str">
        <f aca="false">IF($L3704="","",IFERROR(INDEX(记账规则!$A$13:$H$32,MATCH(资金流水!$E255,记账规则!$A$13:$A$32,0),5),""))</f>
        <v/>
      </c>
      <c r="O3704" s="67" t="n">
        <f aca="false">IF($H3704="",0,ROUND(IF($N3704="金额",N(资金流水!$P255),0),2))</f>
        <v>0</v>
      </c>
      <c r="P3704" s="64" t="str">
        <f aca="false">IF(AND($H3704&lt;&gt;"",ROUND($O3704,2)&lt;&gt;0),"有","")</f>
        <v/>
      </c>
    </row>
    <row r="3705" customFormat="false" ht="15" hidden="true" customHeight="false" outlineLevel="0" collapsed="false">
      <c r="A3705" s="53" t="str">
        <f aca="false">IF($H3705="","",ROW()-5)</f>
        <v/>
      </c>
      <c r="B3705" s="64" t="s">
        <v>37</v>
      </c>
      <c r="C3705" s="53" t="n">
        <v>255</v>
      </c>
      <c r="D3705" s="53" t="n">
        <v>2</v>
      </c>
      <c r="E3705" s="65" t="str">
        <f aca="false">IF($H3705="","",资金流水!$B255)</f>
        <v/>
      </c>
      <c r="F3705" s="55" t="str">
        <f aca="false">IF($H3705="","",资金流水!$C255)</f>
        <v/>
      </c>
      <c r="G3705" s="48" t="str">
        <f aca="false">IF($H3705="","",资金流水!$K255)</f>
        <v/>
      </c>
      <c r="H3705" s="10" t="str">
        <f aca="false">IF($L3705="","",IF($L3705="@对方",资金流水!$G255,IF($L3705="@账户",资金流水!$Q255,$L3705)))</f>
        <v/>
      </c>
      <c r="I3705" s="42" t="n">
        <f aca="false">IF($M3705="借",$O3705,0)</f>
        <v>0</v>
      </c>
      <c r="J3705" s="42" t="n">
        <f aca="false">IF($M3705="贷",$O3705,0)</f>
        <v>0</v>
      </c>
      <c r="K3705" s="48" t="str">
        <f aca="false">IF($H3705="","",资金流水!$F255)</f>
        <v/>
      </c>
      <c r="L3705" s="66" t="str">
        <f aca="false">IF(资金流水!$E255="","",IFERROR(INDEX(记账规则!$A$13:$H$32,MATCH(资金流水!$E255,记账规则!$A$13:$A$32,0),6),""))</f>
        <v/>
      </c>
      <c r="M3705" s="66" t="str">
        <f aca="false">IF($L3705="","",IFERROR(INDEX(记账规则!$A$13:$H$32,MATCH(资金流水!$E255,记账规则!$A$13:$A$32,0),7),""))</f>
        <v/>
      </c>
      <c r="N3705" s="66" t="str">
        <f aca="false">IF($L3705="","",IFERROR(INDEX(记账规则!$A$13:$H$32,MATCH(资金流水!$E255,记账规则!$A$13:$A$32,0),8),""))</f>
        <v/>
      </c>
      <c r="O3705" s="67" t="n">
        <f aca="false">IF($H3705="",0,ROUND(IF($N3705="金额",N(资金流水!$P255),0),2))</f>
        <v>0</v>
      </c>
      <c r="P3705" s="64" t="str">
        <f aca="false">IF(AND($H3705&lt;&gt;"",ROUND($O3705,2)&lt;&gt;0),"有","")</f>
        <v/>
      </c>
    </row>
    <row r="3706" customFormat="false" ht="15" hidden="true" customHeight="false" outlineLevel="0" collapsed="false">
      <c r="A3706" s="53" t="str">
        <f aca="false">IF($H3706="","",ROW()-5)</f>
        <v/>
      </c>
      <c r="B3706" s="64" t="s">
        <v>37</v>
      </c>
      <c r="C3706" s="53" t="n">
        <v>256</v>
      </c>
      <c r="D3706" s="53" t="n">
        <v>1</v>
      </c>
      <c r="E3706" s="65" t="str">
        <f aca="false">IF($H3706="","",资金流水!$B256)</f>
        <v/>
      </c>
      <c r="F3706" s="55" t="str">
        <f aca="false">IF($H3706="","",资金流水!$C256)</f>
        <v/>
      </c>
      <c r="G3706" s="48" t="str">
        <f aca="false">IF($H3706="","",资金流水!$K256)</f>
        <v/>
      </c>
      <c r="H3706" s="10" t="str">
        <f aca="false">IF($L3706="","",IF($L3706="@对方",资金流水!$G256,IF($L3706="@账户",资金流水!$Q256,$L3706)))</f>
        <v/>
      </c>
      <c r="I3706" s="42" t="n">
        <f aca="false">IF($M3706="借",$O3706,0)</f>
        <v>0</v>
      </c>
      <c r="J3706" s="42" t="n">
        <f aca="false">IF($M3706="贷",$O3706,0)</f>
        <v>0</v>
      </c>
      <c r="K3706" s="48" t="str">
        <f aca="false">IF($H3706="","",资金流水!$F256)</f>
        <v/>
      </c>
      <c r="L3706" s="66" t="str">
        <f aca="false">IF(资金流水!$E256="","",IFERROR(INDEX(记账规则!$A$13:$H$32,MATCH(资金流水!$E256,记账规则!$A$13:$A$32,0),3),""))</f>
        <v/>
      </c>
      <c r="M3706" s="66" t="str">
        <f aca="false">IF($L3706="","",IFERROR(INDEX(记账规则!$A$13:$H$32,MATCH(资金流水!$E256,记账规则!$A$13:$A$32,0),4),""))</f>
        <v/>
      </c>
      <c r="N3706" s="66" t="str">
        <f aca="false">IF($L3706="","",IFERROR(INDEX(记账规则!$A$13:$H$32,MATCH(资金流水!$E256,记账规则!$A$13:$A$32,0),5),""))</f>
        <v/>
      </c>
      <c r="O3706" s="67" t="n">
        <f aca="false">IF($H3706="",0,ROUND(IF($N3706="金额",N(资金流水!$P256),0),2))</f>
        <v>0</v>
      </c>
      <c r="P3706" s="64" t="str">
        <f aca="false">IF(AND($H3706&lt;&gt;"",ROUND($O3706,2)&lt;&gt;0),"有","")</f>
        <v/>
      </c>
    </row>
    <row r="3707" customFormat="false" ht="15" hidden="true" customHeight="false" outlineLevel="0" collapsed="false">
      <c r="A3707" s="53" t="str">
        <f aca="false">IF($H3707="","",ROW()-5)</f>
        <v/>
      </c>
      <c r="B3707" s="64" t="s">
        <v>37</v>
      </c>
      <c r="C3707" s="53" t="n">
        <v>256</v>
      </c>
      <c r="D3707" s="53" t="n">
        <v>2</v>
      </c>
      <c r="E3707" s="65" t="str">
        <f aca="false">IF($H3707="","",资金流水!$B256)</f>
        <v/>
      </c>
      <c r="F3707" s="55" t="str">
        <f aca="false">IF($H3707="","",资金流水!$C256)</f>
        <v/>
      </c>
      <c r="G3707" s="48" t="str">
        <f aca="false">IF($H3707="","",资金流水!$K256)</f>
        <v/>
      </c>
      <c r="H3707" s="10" t="str">
        <f aca="false">IF($L3707="","",IF($L3707="@对方",资金流水!$G256,IF($L3707="@账户",资金流水!$Q256,$L3707)))</f>
        <v/>
      </c>
      <c r="I3707" s="42" t="n">
        <f aca="false">IF($M3707="借",$O3707,0)</f>
        <v>0</v>
      </c>
      <c r="J3707" s="42" t="n">
        <f aca="false">IF($M3707="贷",$O3707,0)</f>
        <v>0</v>
      </c>
      <c r="K3707" s="48" t="str">
        <f aca="false">IF($H3707="","",资金流水!$F256)</f>
        <v/>
      </c>
      <c r="L3707" s="66" t="str">
        <f aca="false">IF(资金流水!$E256="","",IFERROR(INDEX(记账规则!$A$13:$H$32,MATCH(资金流水!$E256,记账规则!$A$13:$A$32,0),6),""))</f>
        <v/>
      </c>
      <c r="M3707" s="66" t="str">
        <f aca="false">IF($L3707="","",IFERROR(INDEX(记账规则!$A$13:$H$32,MATCH(资金流水!$E256,记账规则!$A$13:$A$32,0),7),""))</f>
        <v/>
      </c>
      <c r="N3707" s="66" t="str">
        <f aca="false">IF($L3707="","",IFERROR(INDEX(记账规则!$A$13:$H$32,MATCH(资金流水!$E256,记账规则!$A$13:$A$32,0),8),""))</f>
        <v/>
      </c>
      <c r="O3707" s="67" t="n">
        <f aca="false">IF($H3707="",0,ROUND(IF($N3707="金额",N(资金流水!$P256),0),2))</f>
        <v>0</v>
      </c>
      <c r="P3707" s="64" t="str">
        <f aca="false">IF(AND($H3707&lt;&gt;"",ROUND($O3707,2)&lt;&gt;0),"有","")</f>
        <v/>
      </c>
    </row>
    <row r="3708" customFormat="false" ht="15" hidden="true" customHeight="false" outlineLevel="0" collapsed="false">
      <c r="A3708" s="53" t="str">
        <f aca="false">IF($H3708="","",ROW()-5)</f>
        <v/>
      </c>
      <c r="B3708" s="64" t="s">
        <v>37</v>
      </c>
      <c r="C3708" s="53" t="n">
        <v>257</v>
      </c>
      <c r="D3708" s="53" t="n">
        <v>1</v>
      </c>
      <c r="E3708" s="65" t="str">
        <f aca="false">IF($H3708="","",资金流水!$B257)</f>
        <v/>
      </c>
      <c r="F3708" s="55" t="str">
        <f aca="false">IF($H3708="","",资金流水!$C257)</f>
        <v/>
      </c>
      <c r="G3708" s="48" t="str">
        <f aca="false">IF($H3708="","",资金流水!$K257)</f>
        <v/>
      </c>
      <c r="H3708" s="10" t="str">
        <f aca="false">IF($L3708="","",IF($L3708="@对方",资金流水!$G257,IF($L3708="@账户",资金流水!$Q257,$L3708)))</f>
        <v/>
      </c>
      <c r="I3708" s="42" t="n">
        <f aca="false">IF($M3708="借",$O3708,0)</f>
        <v>0</v>
      </c>
      <c r="J3708" s="42" t="n">
        <f aca="false">IF($M3708="贷",$O3708,0)</f>
        <v>0</v>
      </c>
      <c r="K3708" s="48" t="str">
        <f aca="false">IF($H3708="","",资金流水!$F257)</f>
        <v/>
      </c>
      <c r="L3708" s="66" t="str">
        <f aca="false">IF(资金流水!$E257="","",IFERROR(INDEX(记账规则!$A$13:$H$32,MATCH(资金流水!$E257,记账规则!$A$13:$A$32,0),3),""))</f>
        <v/>
      </c>
      <c r="M3708" s="66" t="str">
        <f aca="false">IF($L3708="","",IFERROR(INDEX(记账规则!$A$13:$H$32,MATCH(资金流水!$E257,记账规则!$A$13:$A$32,0),4),""))</f>
        <v/>
      </c>
      <c r="N3708" s="66" t="str">
        <f aca="false">IF($L3708="","",IFERROR(INDEX(记账规则!$A$13:$H$32,MATCH(资金流水!$E257,记账规则!$A$13:$A$32,0),5),""))</f>
        <v/>
      </c>
      <c r="O3708" s="67" t="n">
        <f aca="false">IF($H3708="",0,ROUND(IF($N3708="金额",N(资金流水!$P257),0),2))</f>
        <v>0</v>
      </c>
      <c r="P3708" s="64" t="str">
        <f aca="false">IF(AND($H3708&lt;&gt;"",ROUND($O3708,2)&lt;&gt;0),"有","")</f>
        <v/>
      </c>
    </row>
    <row r="3709" customFormat="false" ht="15" hidden="true" customHeight="false" outlineLevel="0" collapsed="false">
      <c r="A3709" s="53" t="str">
        <f aca="false">IF($H3709="","",ROW()-5)</f>
        <v/>
      </c>
      <c r="B3709" s="64" t="s">
        <v>37</v>
      </c>
      <c r="C3709" s="53" t="n">
        <v>257</v>
      </c>
      <c r="D3709" s="53" t="n">
        <v>2</v>
      </c>
      <c r="E3709" s="65" t="str">
        <f aca="false">IF($H3709="","",资金流水!$B257)</f>
        <v/>
      </c>
      <c r="F3709" s="55" t="str">
        <f aca="false">IF($H3709="","",资金流水!$C257)</f>
        <v/>
      </c>
      <c r="G3709" s="48" t="str">
        <f aca="false">IF($H3709="","",资金流水!$K257)</f>
        <v/>
      </c>
      <c r="H3709" s="10" t="str">
        <f aca="false">IF($L3709="","",IF($L3709="@对方",资金流水!$G257,IF($L3709="@账户",资金流水!$Q257,$L3709)))</f>
        <v/>
      </c>
      <c r="I3709" s="42" t="n">
        <f aca="false">IF($M3709="借",$O3709,0)</f>
        <v>0</v>
      </c>
      <c r="J3709" s="42" t="n">
        <f aca="false">IF($M3709="贷",$O3709,0)</f>
        <v>0</v>
      </c>
      <c r="K3709" s="48" t="str">
        <f aca="false">IF($H3709="","",资金流水!$F257)</f>
        <v/>
      </c>
      <c r="L3709" s="66" t="str">
        <f aca="false">IF(资金流水!$E257="","",IFERROR(INDEX(记账规则!$A$13:$H$32,MATCH(资金流水!$E257,记账规则!$A$13:$A$32,0),6),""))</f>
        <v/>
      </c>
      <c r="M3709" s="66" t="str">
        <f aca="false">IF($L3709="","",IFERROR(INDEX(记账规则!$A$13:$H$32,MATCH(资金流水!$E257,记账规则!$A$13:$A$32,0),7),""))</f>
        <v/>
      </c>
      <c r="N3709" s="66" t="str">
        <f aca="false">IF($L3709="","",IFERROR(INDEX(记账规则!$A$13:$H$32,MATCH(资金流水!$E257,记账规则!$A$13:$A$32,0),8),""))</f>
        <v/>
      </c>
      <c r="O3709" s="67" t="n">
        <f aca="false">IF($H3709="",0,ROUND(IF($N3709="金额",N(资金流水!$P257),0),2))</f>
        <v>0</v>
      </c>
      <c r="P3709" s="64" t="str">
        <f aca="false">IF(AND($H3709&lt;&gt;"",ROUND($O3709,2)&lt;&gt;0),"有","")</f>
        <v/>
      </c>
    </row>
    <row r="3710" customFormat="false" ht="15" hidden="true" customHeight="false" outlineLevel="0" collapsed="false">
      <c r="A3710" s="53" t="str">
        <f aca="false">IF($H3710="","",ROW()-5)</f>
        <v/>
      </c>
      <c r="B3710" s="64" t="s">
        <v>37</v>
      </c>
      <c r="C3710" s="53" t="n">
        <v>258</v>
      </c>
      <c r="D3710" s="53" t="n">
        <v>1</v>
      </c>
      <c r="E3710" s="65" t="str">
        <f aca="false">IF($H3710="","",资金流水!$B258)</f>
        <v/>
      </c>
      <c r="F3710" s="55" t="str">
        <f aca="false">IF($H3710="","",资金流水!$C258)</f>
        <v/>
      </c>
      <c r="G3710" s="48" t="str">
        <f aca="false">IF($H3710="","",资金流水!$K258)</f>
        <v/>
      </c>
      <c r="H3710" s="10" t="str">
        <f aca="false">IF($L3710="","",IF($L3710="@对方",资金流水!$G258,IF($L3710="@账户",资金流水!$Q258,$L3710)))</f>
        <v/>
      </c>
      <c r="I3710" s="42" t="n">
        <f aca="false">IF($M3710="借",$O3710,0)</f>
        <v>0</v>
      </c>
      <c r="J3710" s="42" t="n">
        <f aca="false">IF($M3710="贷",$O3710,0)</f>
        <v>0</v>
      </c>
      <c r="K3710" s="48" t="str">
        <f aca="false">IF($H3710="","",资金流水!$F258)</f>
        <v/>
      </c>
      <c r="L3710" s="66" t="str">
        <f aca="false">IF(资金流水!$E258="","",IFERROR(INDEX(记账规则!$A$13:$H$32,MATCH(资金流水!$E258,记账规则!$A$13:$A$32,0),3),""))</f>
        <v/>
      </c>
      <c r="M3710" s="66" t="str">
        <f aca="false">IF($L3710="","",IFERROR(INDEX(记账规则!$A$13:$H$32,MATCH(资金流水!$E258,记账规则!$A$13:$A$32,0),4),""))</f>
        <v/>
      </c>
      <c r="N3710" s="66" t="str">
        <f aca="false">IF($L3710="","",IFERROR(INDEX(记账规则!$A$13:$H$32,MATCH(资金流水!$E258,记账规则!$A$13:$A$32,0),5),""))</f>
        <v/>
      </c>
      <c r="O3710" s="67" t="n">
        <f aca="false">IF($H3710="",0,ROUND(IF($N3710="金额",N(资金流水!$P258),0),2))</f>
        <v>0</v>
      </c>
      <c r="P3710" s="64" t="str">
        <f aca="false">IF(AND($H3710&lt;&gt;"",ROUND($O3710,2)&lt;&gt;0),"有","")</f>
        <v/>
      </c>
    </row>
    <row r="3711" customFormat="false" ht="15" hidden="true" customHeight="false" outlineLevel="0" collapsed="false">
      <c r="A3711" s="53" t="str">
        <f aca="false">IF($H3711="","",ROW()-5)</f>
        <v/>
      </c>
      <c r="B3711" s="64" t="s">
        <v>37</v>
      </c>
      <c r="C3711" s="53" t="n">
        <v>258</v>
      </c>
      <c r="D3711" s="53" t="n">
        <v>2</v>
      </c>
      <c r="E3711" s="65" t="str">
        <f aca="false">IF($H3711="","",资金流水!$B258)</f>
        <v/>
      </c>
      <c r="F3711" s="55" t="str">
        <f aca="false">IF($H3711="","",资金流水!$C258)</f>
        <v/>
      </c>
      <c r="G3711" s="48" t="str">
        <f aca="false">IF($H3711="","",资金流水!$K258)</f>
        <v/>
      </c>
      <c r="H3711" s="10" t="str">
        <f aca="false">IF($L3711="","",IF($L3711="@对方",资金流水!$G258,IF($L3711="@账户",资金流水!$Q258,$L3711)))</f>
        <v/>
      </c>
      <c r="I3711" s="42" t="n">
        <f aca="false">IF($M3711="借",$O3711,0)</f>
        <v>0</v>
      </c>
      <c r="J3711" s="42" t="n">
        <f aca="false">IF($M3711="贷",$O3711,0)</f>
        <v>0</v>
      </c>
      <c r="K3711" s="48" t="str">
        <f aca="false">IF($H3711="","",资金流水!$F258)</f>
        <v/>
      </c>
      <c r="L3711" s="66" t="str">
        <f aca="false">IF(资金流水!$E258="","",IFERROR(INDEX(记账规则!$A$13:$H$32,MATCH(资金流水!$E258,记账规则!$A$13:$A$32,0),6),""))</f>
        <v/>
      </c>
      <c r="M3711" s="66" t="str">
        <f aca="false">IF($L3711="","",IFERROR(INDEX(记账规则!$A$13:$H$32,MATCH(资金流水!$E258,记账规则!$A$13:$A$32,0),7),""))</f>
        <v/>
      </c>
      <c r="N3711" s="66" t="str">
        <f aca="false">IF($L3711="","",IFERROR(INDEX(记账规则!$A$13:$H$32,MATCH(资金流水!$E258,记账规则!$A$13:$A$32,0),8),""))</f>
        <v/>
      </c>
      <c r="O3711" s="67" t="n">
        <f aca="false">IF($H3711="",0,ROUND(IF($N3711="金额",N(资金流水!$P258),0),2))</f>
        <v>0</v>
      </c>
      <c r="P3711" s="64" t="str">
        <f aca="false">IF(AND($H3711&lt;&gt;"",ROUND($O3711,2)&lt;&gt;0),"有","")</f>
        <v/>
      </c>
    </row>
    <row r="3712" customFormat="false" ht="15" hidden="true" customHeight="false" outlineLevel="0" collapsed="false">
      <c r="A3712" s="53" t="str">
        <f aca="false">IF($H3712="","",ROW()-5)</f>
        <v/>
      </c>
      <c r="B3712" s="64" t="s">
        <v>37</v>
      </c>
      <c r="C3712" s="53" t="n">
        <v>259</v>
      </c>
      <c r="D3712" s="53" t="n">
        <v>1</v>
      </c>
      <c r="E3712" s="65" t="str">
        <f aca="false">IF($H3712="","",资金流水!$B259)</f>
        <v/>
      </c>
      <c r="F3712" s="55" t="str">
        <f aca="false">IF($H3712="","",资金流水!$C259)</f>
        <v/>
      </c>
      <c r="G3712" s="48" t="str">
        <f aca="false">IF($H3712="","",资金流水!$K259)</f>
        <v/>
      </c>
      <c r="H3712" s="10" t="str">
        <f aca="false">IF($L3712="","",IF($L3712="@对方",资金流水!$G259,IF($L3712="@账户",资金流水!$Q259,$L3712)))</f>
        <v/>
      </c>
      <c r="I3712" s="42" t="n">
        <f aca="false">IF($M3712="借",$O3712,0)</f>
        <v>0</v>
      </c>
      <c r="J3712" s="42" t="n">
        <f aca="false">IF($M3712="贷",$O3712,0)</f>
        <v>0</v>
      </c>
      <c r="K3712" s="48" t="str">
        <f aca="false">IF($H3712="","",资金流水!$F259)</f>
        <v/>
      </c>
      <c r="L3712" s="66" t="str">
        <f aca="false">IF(资金流水!$E259="","",IFERROR(INDEX(记账规则!$A$13:$H$32,MATCH(资金流水!$E259,记账规则!$A$13:$A$32,0),3),""))</f>
        <v/>
      </c>
      <c r="M3712" s="66" t="str">
        <f aca="false">IF($L3712="","",IFERROR(INDEX(记账规则!$A$13:$H$32,MATCH(资金流水!$E259,记账规则!$A$13:$A$32,0),4),""))</f>
        <v/>
      </c>
      <c r="N3712" s="66" t="str">
        <f aca="false">IF($L3712="","",IFERROR(INDEX(记账规则!$A$13:$H$32,MATCH(资金流水!$E259,记账规则!$A$13:$A$32,0),5),""))</f>
        <v/>
      </c>
      <c r="O3712" s="67" t="n">
        <f aca="false">IF($H3712="",0,ROUND(IF($N3712="金额",N(资金流水!$P259),0),2))</f>
        <v>0</v>
      </c>
      <c r="P3712" s="64" t="str">
        <f aca="false">IF(AND($H3712&lt;&gt;"",ROUND($O3712,2)&lt;&gt;0),"有","")</f>
        <v/>
      </c>
    </row>
    <row r="3713" customFormat="false" ht="15" hidden="true" customHeight="false" outlineLevel="0" collapsed="false">
      <c r="A3713" s="53" t="str">
        <f aca="false">IF($H3713="","",ROW()-5)</f>
        <v/>
      </c>
      <c r="B3713" s="64" t="s">
        <v>37</v>
      </c>
      <c r="C3713" s="53" t="n">
        <v>259</v>
      </c>
      <c r="D3713" s="53" t="n">
        <v>2</v>
      </c>
      <c r="E3713" s="65" t="str">
        <f aca="false">IF($H3713="","",资金流水!$B259)</f>
        <v/>
      </c>
      <c r="F3713" s="55" t="str">
        <f aca="false">IF($H3713="","",资金流水!$C259)</f>
        <v/>
      </c>
      <c r="G3713" s="48" t="str">
        <f aca="false">IF($H3713="","",资金流水!$K259)</f>
        <v/>
      </c>
      <c r="H3713" s="10" t="str">
        <f aca="false">IF($L3713="","",IF($L3713="@对方",资金流水!$G259,IF($L3713="@账户",资金流水!$Q259,$L3713)))</f>
        <v/>
      </c>
      <c r="I3713" s="42" t="n">
        <f aca="false">IF($M3713="借",$O3713,0)</f>
        <v>0</v>
      </c>
      <c r="J3713" s="42" t="n">
        <f aca="false">IF($M3713="贷",$O3713,0)</f>
        <v>0</v>
      </c>
      <c r="K3713" s="48" t="str">
        <f aca="false">IF($H3713="","",资金流水!$F259)</f>
        <v/>
      </c>
      <c r="L3713" s="66" t="str">
        <f aca="false">IF(资金流水!$E259="","",IFERROR(INDEX(记账规则!$A$13:$H$32,MATCH(资金流水!$E259,记账规则!$A$13:$A$32,0),6),""))</f>
        <v/>
      </c>
      <c r="M3713" s="66" t="str">
        <f aca="false">IF($L3713="","",IFERROR(INDEX(记账规则!$A$13:$H$32,MATCH(资金流水!$E259,记账规则!$A$13:$A$32,0),7),""))</f>
        <v/>
      </c>
      <c r="N3713" s="66" t="str">
        <f aca="false">IF($L3713="","",IFERROR(INDEX(记账规则!$A$13:$H$32,MATCH(资金流水!$E259,记账规则!$A$13:$A$32,0),8),""))</f>
        <v/>
      </c>
      <c r="O3713" s="67" t="n">
        <f aca="false">IF($H3713="",0,ROUND(IF($N3713="金额",N(资金流水!$P259),0),2))</f>
        <v>0</v>
      </c>
      <c r="P3713" s="64" t="str">
        <f aca="false">IF(AND($H3713&lt;&gt;"",ROUND($O3713,2)&lt;&gt;0),"有","")</f>
        <v/>
      </c>
    </row>
    <row r="3714" customFormat="false" ht="15" hidden="true" customHeight="false" outlineLevel="0" collapsed="false">
      <c r="A3714" s="53" t="str">
        <f aca="false">IF($H3714="","",ROW()-5)</f>
        <v/>
      </c>
      <c r="B3714" s="64" t="s">
        <v>37</v>
      </c>
      <c r="C3714" s="53" t="n">
        <v>260</v>
      </c>
      <c r="D3714" s="53" t="n">
        <v>1</v>
      </c>
      <c r="E3714" s="65" t="str">
        <f aca="false">IF($H3714="","",资金流水!$B260)</f>
        <v/>
      </c>
      <c r="F3714" s="55" t="str">
        <f aca="false">IF($H3714="","",资金流水!$C260)</f>
        <v/>
      </c>
      <c r="G3714" s="48" t="str">
        <f aca="false">IF($H3714="","",资金流水!$K260)</f>
        <v/>
      </c>
      <c r="H3714" s="10" t="str">
        <f aca="false">IF($L3714="","",IF($L3714="@对方",资金流水!$G260,IF($L3714="@账户",资金流水!$Q260,$L3714)))</f>
        <v/>
      </c>
      <c r="I3714" s="42" t="n">
        <f aca="false">IF($M3714="借",$O3714,0)</f>
        <v>0</v>
      </c>
      <c r="J3714" s="42" t="n">
        <f aca="false">IF($M3714="贷",$O3714,0)</f>
        <v>0</v>
      </c>
      <c r="K3714" s="48" t="str">
        <f aca="false">IF($H3714="","",资金流水!$F260)</f>
        <v/>
      </c>
      <c r="L3714" s="66" t="str">
        <f aca="false">IF(资金流水!$E260="","",IFERROR(INDEX(记账规则!$A$13:$H$32,MATCH(资金流水!$E260,记账规则!$A$13:$A$32,0),3),""))</f>
        <v/>
      </c>
      <c r="M3714" s="66" t="str">
        <f aca="false">IF($L3714="","",IFERROR(INDEX(记账规则!$A$13:$H$32,MATCH(资金流水!$E260,记账规则!$A$13:$A$32,0),4),""))</f>
        <v/>
      </c>
      <c r="N3714" s="66" t="str">
        <f aca="false">IF($L3714="","",IFERROR(INDEX(记账规则!$A$13:$H$32,MATCH(资金流水!$E260,记账规则!$A$13:$A$32,0),5),""))</f>
        <v/>
      </c>
      <c r="O3714" s="67" t="n">
        <f aca="false">IF($H3714="",0,ROUND(IF($N3714="金额",N(资金流水!$P260),0),2))</f>
        <v>0</v>
      </c>
      <c r="P3714" s="64" t="str">
        <f aca="false">IF(AND($H3714&lt;&gt;"",ROUND($O3714,2)&lt;&gt;0),"有","")</f>
        <v/>
      </c>
    </row>
    <row r="3715" customFormat="false" ht="15" hidden="true" customHeight="false" outlineLevel="0" collapsed="false">
      <c r="A3715" s="53" t="str">
        <f aca="false">IF($H3715="","",ROW()-5)</f>
        <v/>
      </c>
      <c r="B3715" s="64" t="s">
        <v>37</v>
      </c>
      <c r="C3715" s="53" t="n">
        <v>260</v>
      </c>
      <c r="D3715" s="53" t="n">
        <v>2</v>
      </c>
      <c r="E3715" s="65" t="str">
        <f aca="false">IF($H3715="","",资金流水!$B260)</f>
        <v/>
      </c>
      <c r="F3715" s="55" t="str">
        <f aca="false">IF($H3715="","",资金流水!$C260)</f>
        <v/>
      </c>
      <c r="G3715" s="48" t="str">
        <f aca="false">IF($H3715="","",资金流水!$K260)</f>
        <v/>
      </c>
      <c r="H3715" s="10" t="str">
        <f aca="false">IF($L3715="","",IF($L3715="@对方",资金流水!$G260,IF($L3715="@账户",资金流水!$Q260,$L3715)))</f>
        <v/>
      </c>
      <c r="I3715" s="42" t="n">
        <f aca="false">IF($M3715="借",$O3715,0)</f>
        <v>0</v>
      </c>
      <c r="J3715" s="42" t="n">
        <f aca="false">IF($M3715="贷",$O3715,0)</f>
        <v>0</v>
      </c>
      <c r="K3715" s="48" t="str">
        <f aca="false">IF($H3715="","",资金流水!$F260)</f>
        <v/>
      </c>
      <c r="L3715" s="66" t="str">
        <f aca="false">IF(资金流水!$E260="","",IFERROR(INDEX(记账规则!$A$13:$H$32,MATCH(资金流水!$E260,记账规则!$A$13:$A$32,0),6),""))</f>
        <v/>
      </c>
      <c r="M3715" s="66" t="str">
        <f aca="false">IF($L3715="","",IFERROR(INDEX(记账规则!$A$13:$H$32,MATCH(资金流水!$E260,记账规则!$A$13:$A$32,0),7),""))</f>
        <v/>
      </c>
      <c r="N3715" s="66" t="str">
        <f aca="false">IF($L3715="","",IFERROR(INDEX(记账规则!$A$13:$H$32,MATCH(资金流水!$E260,记账规则!$A$13:$A$32,0),8),""))</f>
        <v/>
      </c>
      <c r="O3715" s="67" t="n">
        <f aca="false">IF($H3715="",0,ROUND(IF($N3715="金额",N(资金流水!$P260),0),2))</f>
        <v>0</v>
      </c>
      <c r="P3715" s="64" t="str">
        <f aca="false">IF(AND($H3715&lt;&gt;"",ROUND($O3715,2)&lt;&gt;0),"有","")</f>
        <v/>
      </c>
    </row>
    <row r="3716" customFormat="false" ht="15" hidden="true" customHeight="false" outlineLevel="0" collapsed="false">
      <c r="A3716" s="53" t="str">
        <f aca="false">IF($H3716="","",ROW()-5)</f>
        <v/>
      </c>
      <c r="B3716" s="64" t="s">
        <v>37</v>
      </c>
      <c r="C3716" s="53" t="n">
        <v>261</v>
      </c>
      <c r="D3716" s="53" t="n">
        <v>1</v>
      </c>
      <c r="E3716" s="65" t="str">
        <f aca="false">IF($H3716="","",资金流水!$B261)</f>
        <v/>
      </c>
      <c r="F3716" s="55" t="str">
        <f aca="false">IF($H3716="","",资金流水!$C261)</f>
        <v/>
      </c>
      <c r="G3716" s="48" t="str">
        <f aca="false">IF($H3716="","",资金流水!$K261)</f>
        <v/>
      </c>
      <c r="H3716" s="10" t="str">
        <f aca="false">IF($L3716="","",IF($L3716="@对方",资金流水!$G261,IF($L3716="@账户",资金流水!$Q261,$L3716)))</f>
        <v/>
      </c>
      <c r="I3716" s="42" t="n">
        <f aca="false">IF($M3716="借",$O3716,0)</f>
        <v>0</v>
      </c>
      <c r="J3716" s="42" t="n">
        <f aca="false">IF($M3716="贷",$O3716,0)</f>
        <v>0</v>
      </c>
      <c r="K3716" s="48" t="str">
        <f aca="false">IF($H3716="","",资金流水!$F261)</f>
        <v/>
      </c>
      <c r="L3716" s="66" t="str">
        <f aca="false">IF(资金流水!$E261="","",IFERROR(INDEX(记账规则!$A$13:$H$32,MATCH(资金流水!$E261,记账规则!$A$13:$A$32,0),3),""))</f>
        <v/>
      </c>
      <c r="M3716" s="66" t="str">
        <f aca="false">IF($L3716="","",IFERROR(INDEX(记账规则!$A$13:$H$32,MATCH(资金流水!$E261,记账规则!$A$13:$A$32,0),4),""))</f>
        <v/>
      </c>
      <c r="N3716" s="66" t="str">
        <f aca="false">IF($L3716="","",IFERROR(INDEX(记账规则!$A$13:$H$32,MATCH(资金流水!$E261,记账规则!$A$13:$A$32,0),5),""))</f>
        <v/>
      </c>
      <c r="O3716" s="67" t="n">
        <f aca="false">IF($H3716="",0,ROUND(IF($N3716="金额",N(资金流水!$P261),0),2))</f>
        <v>0</v>
      </c>
      <c r="P3716" s="64" t="str">
        <f aca="false">IF(AND($H3716&lt;&gt;"",ROUND($O3716,2)&lt;&gt;0),"有","")</f>
        <v/>
      </c>
    </row>
    <row r="3717" customFormat="false" ht="15" hidden="true" customHeight="false" outlineLevel="0" collapsed="false">
      <c r="A3717" s="53" t="str">
        <f aca="false">IF($H3717="","",ROW()-5)</f>
        <v/>
      </c>
      <c r="B3717" s="64" t="s">
        <v>37</v>
      </c>
      <c r="C3717" s="53" t="n">
        <v>261</v>
      </c>
      <c r="D3717" s="53" t="n">
        <v>2</v>
      </c>
      <c r="E3717" s="65" t="str">
        <f aca="false">IF($H3717="","",资金流水!$B261)</f>
        <v/>
      </c>
      <c r="F3717" s="55" t="str">
        <f aca="false">IF($H3717="","",资金流水!$C261)</f>
        <v/>
      </c>
      <c r="G3717" s="48" t="str">
        <f aca="false">IF($H3717="","",资金流水!$K261)</f>
        <v/>
      </c>
      <c r="H3717" s="10" t="str">
        <f aca="false">IF($L3717="","",IF($L3717="@对方",资金流水!$G261,IF($L3717="@账户",资金流水!$Q261,$L3717)))</f>
        <v/>
      </c>
      <c r="I3717" s="42" t="n">
        <f aca="false">IF($M3717="借",$O3717,0)</f>
        <v>0</v>
      </c>
      <c r="J3717" s="42" t="n">
        <f aca="false">IF($M3717="贷",$O3717,0)</f>
        <v>0</v>
      </c>
      <c r="K3717" s="48" t="str">
        <f aca="false">IF($H3717="","",资金流水!$F261)</f>
        <v/>
      </c>
      <c r="L3717" s="66" t="str">
        <f aca="false">IF(资金流水!$E261="","",IFERROR(INDEX(记账规则!$A$13:$H$32,MATCH(资金流水!$E261,记账规则!$A$13:$A$32,0),6),""))</f>
        <v/>
      </c>
      <c r="M3717" s="66" t="str">
        <f aca="false">IF($L3717="","",IFERROR(INDEX(记账规则!$A$13:$H$32,MATCH(资金流水!$E261,记账规则!$A$13:$A$32,0),7),""))</f>
        <v/>
      </c>
      <c r="N3717" s="66" t="str">
        <f aca="false">IF($L3717="","",IFERROR(INDEX(记账规则!$A$13:$H$32,MATCH(资金流水!$E261,记账规则!$A$13:$A$32,0),8),""))</f>
        <v/>
      </c>
      <c r="O3717" s="67" t="n">
        <f aca="false">IF($H3717="",0,ROUND(IF($N3717="金额",N(资金流水!$P261),0),2))</f>
        <v>0</v>
      </c>
      <c r="P3717" s="64" t="str">
        <f aca="false">IF(AND($H3717&lt;&gt;"",ROUND($O3717,2)&lt;&gt;0),"有","")</f>
        <v/>
      </c>
    </row>
    <row r="3718" customFormat="false" ht="15" hidden="true" customHeight="false" outlineLevel="0" collapsed="false">
      <c r="A3718" s="53" t="str">
        <f aca="false">IF($H3718="","",ROW()-5)</f>
        <v/>
      </c>
      <c r="B3718" s="64" t="s">
        <v>37</v>
      </c>
      <c r="C3718" s="53" t="n">
        <v>262</v>
      </c>
      <c r="D3718" s="53" t="n">
        <v>1</v>
      </c>
      <c r="E3718" s="65" t="str">
        <f aca="false">IF($H3718="","",资金流水!$B262)</f>
        <v/>
      </c>
      <c r="F3718" s="55" t="str">
        <f aca="false">IF($H3718="","",资金流水!$C262)</f>
        <v/>
      </c>
      <c r="G3718" s="48" t="str">
        <f aca="false">IF($H3718="","",资金流水!$K262)</f>
        <v/>
      </c>
      <c r="H3718" s="10" t="str">
        <f aca="false">IF($L3718="","",IF($L3718="@对方",资金流水!$G262,IF($L3718="@账户",资金流水!$Q262,$L3718)))</f>
        <v/>
      </c>
      <c r="I3718" s="42" t="n">
        <f aca="false">IF($M3718="借",$O3718,0)</f>
        <v>0</v>
      </c>
      <c r="J3718" s="42" t="n">
        <f aca="false">IF($M3718="贷",$O3718,0)</f>
        <v>0</v>
      </c>
      <c r="K3718" s="48" t="str">
        <f aca="false">IF($H3718="","",资金流水!$F262)</f>
        <v/>
      </c>
      <c r="L3718" s="66" t="str">
        <f aca="false">IF(资金流水!$E262="","",IFERROR(INDEX(记账规则!$A$13:$H$32,MATCH(资金流水!$E262,记账规则!$A$13:$A$32,0),3),""))</f>
        <v/>
      </c>
      <c r="M3718" s="66" t="str">
        <f aca="false">IF($L3718="","",IFERROR(INDEX(记账规则!$A$13:$H$32,MATCH(资金流水!$E262,记账规则!$A$13:$A$32,0),4),""))</f>
        <v/>
      </c>
      <c r="N3718" s="66" t="str">
        <f aca="false">IF($L3718="","",IFERROR(INDEX(记账规则!$A$13:$H$32,MATCH(资金流水!$E262,记账规则!$A$13:$A$32,0),5),""))</f>
        <v/>
      </c>
      <c r="O3718" s="67" t="n">
        <f aca="false">IF($H3718="",0,ROUND(IF($N3718="金额",N(资金流水!$P262),0),2))</f>
        <v>0</v>
      </c>
      <c r="P3718" s="64" t="str">
        <f aca="false">IF(AND($H3718&lt;&gt;"",ROUND($O3718,2)&lt;&gt;0),"有","")</f>
        <v/>
      </c>
    </row>
    <row r="3719" customFormat="false" ht="15" hidden="true" customHeight="false" outlineLevel="0" collapsed="false">
      <c r="A3719" s="53" t="str">
        <f aca="false">IF($H3719="","",ROW()-5)</f>
        <v/>
      </c>
      <c r="B3719" s="64" t="s">
        <v>37</v>
      </c>
      <c r="C3719" s="53" t="n">
        <v>262</v>
      </c>
      <c r="D3719" s="53" t="n">
        <v>2</v>
      </c>
      <c r="E3719" s="65" t="str">
        <f aca="false">IF($H3719="","",资金流水!$B262)</f>
        <v/>
      </c>
      <c r="F3719" s="55" t="str">
        <f aca="false">IF($H3719="","",资金流水!$C262)</f>
        <v/>
      </c>
      <c r="G3719" s="48" t="str">
        <f aca="false">IF($H3719="","",资金流水!$K262)</f>
        <v/>
      </c>
      <c r="H3719" s="10" t="str">
        <f aca="false">IF($L3719="","",IF($L3719="@对方",资金流水!$G262,IF($L3719="@账户",资金流水!$Q262,$L3719)))</f>
        <v/>
      </c>
      <c r="I3719" s="42" t="n">
        <f aca="false">IF($M3719="借",$O3719,0)</f>
        <v>0</v>
      </c>
      <c r="J3719" s="42" t="n">
        <f aca="false">IF($M3719="贷",$O3719,0)</f>
        <v>0</v>
      </c>
      <c r="K3719" s="48" t="str">
        <f aca="false">IF($H3719="","",资金流水!$F262)</f>
        <v/>
      </c>
      <c r="L3719" s="66" t="str">
        <f aca="false">IF(资金流水!$E262="","",IFERROR(INDEX(记账规则!$A$13:$H$32,MATCH(资金流水!$E262,记账规则!$A$13:$A$32,0),6),""))</f>
        <v/>
      </c>
      <c r="M3719" s="66" t="str">
        <f aca="false">IF($L3719="","",IFERROR(INDEX(记账规则!$A$13:$H$32,MATCH(资金流水!$E262,记账规则!$A$13:$A$32,0),7),""))</f>
        <v/>
      </c>
      <c r="N3719" s="66" t="str">
        <f aca="false">IF($L3719="","",IFERROR(INDEX(记账规则!$A$13:$H$32,MATCH(资金流水!$E262,记账规则!$A$13:$A$32,0),8),""))</f>
        <v/>
      </c>
      <c r="O3719" s="67" t="n">
        <f aca="false">IF($H3719="",0,ROUND(IF($N3719="金额",N(资金流水!$P262),0),2))</f>
        <v>0</v>
      </c>
      <c r="P3719" s="64" t="str">
        <f aca="false">IF(AND($H3719&lt;&gt;"",ROUND($O3719,2)&lt;&gt;0),"有","")</f>
        <v/>
      </c>
    </row>
    <row r="3720" customFormat="false" ht="15" hidden="true" customHeight="false" outlineLevel="0" collapsed="false">
      <c r="A3720" s="53" t="str">
        <f aca="false">IF($H3720="","",ROW()-5)</f>
        <v/>
      </c>
      <c r="B3720" s="64" t="s">
        <v>37</v>
      </c>
      <c r="C3720" s="53" t="n">
        <v>263</v>
      </c>
      <c r="D3720" s="53" t="n">
        <v>1</v>
      </c>
      <c r="E3720" s="65" t="str">
        <f aca="false">IF($H3720="","",资金流水!$B263)</f>
        <v/>
      </c>
      <c r="F3720" s="55" t="str">
        <f aca="false">IF($H3720="","",资金流水!$C263)</f>
        <v/>
      </c>
      <c r="G3720" s="48" t="str">
        <f aca="false">IF($H3720="","",资金流水!$K263)</f>
        <v/>
      </c>
      <c r="H3720" s="10" t="str">
        <f aca="false">IF($L3720="","",IF($L3720="@对方",资金流水!$G263,IF($L3720="@账户",资金流水!$Q263,$L3720)))</f>
        <v/>
      </c>
      <c r="I3720" s="42" t="n">
        <f aca="false">IF($M3720="借",$O3720,0)</f>
        <v>0</v>
      </c>
      <c r="J3720" s="42" t="n">
        <f aca="false">IF($M3720="贷",$O3720,0)</f>
        <v>0</v>
      </c>
      <c r="K3720" s="48" t="str">
        <f aca="false">IF($H3720="","",资金流水!$F263)</f>
        <v/>
      </c>
      <c r="L3720" s="66" t="str">
        <f aca="false">IF(资金流水!$E263="","",IFERROR(INDEX(记账规则!$A$13:$H$32,MATCH(资金流水!$E263,记账规则!$A$13:$A$32,0),3),""))</f>
        <v/>
      </c>
      <c r="M3720" s="66" t="str">
        <f aca="false">IF($L3720="","",IFERROR(INDEX(记账规则!$A$13:$H$32,MATCH(资金流水!$E263,记账规则!$A$13:$A$32,0),4),""))</f>
        <v/>
      </c>
      <c r="N3720" s="66" t="str">
        <f aca="false">IF($L3720="","",IFERROR(INDEX(记账规则!$A$13:$H$32,MATCH(资金流水!$E263,记账规则!$A$13:$A$32,0),5),""))</f>
        <v/>
      </c>
      <c r="O3720" s="67" t="n">
        <f aca="false">IF($H3720="",0,ROUND(IF($N3720="金额",N(资金流水!$P263),0),2))</f>
        <v>0</v>
      </c>
      <c r="P3720" s="64" t="str">
        <f aca="false">IF(AND($H3720&lt;&gt;"",ROUND($O3720,2)&lt;&gt;0),"有","")</f>
        <v/>
      </c>
    </row>
    <row r="3721" customFormat="false" ht="15" hidden="true" customHeight="false" outlineLevel="0" collapsed="false">
      <c r="A3721" s="53" t="str">
        <f aca="false">IF($H3721="","",ROW()-5)</f>
        <v/>
      </c>
      <c r="B3721" s="64" t="s">
        <v>37</v>
      </c>
      <c r="C3721" s="53" t="n">
        <v>263</v>
      </c>
      <c r="D3721" s="53" t="n">
        <v>2</v>
      </c>
      <c r="E3721" s="65" t="str">
        <f aca="false">IF($H3721="","",资金流水!$B263)</f>
        <v/>
      </c>
      <c r="F3721" s="55" t="str">
        <f aca="false">IF($H3721="","",资金流水!$C263)</f>
        <v/>
      </c>
      <c r="G3721" s="48" t="str">
        <f aca="false">IF($H3721="","",资金流水!$K263)</f>
        <v/>
      </c>
      <c r="H3721" s="10" t="str">
        <f aca="false">IF($L3721="","",IF($L3721="@对方",资金流水!$G263,IF($L3721="@账户",资金流水!$Q263,$L3721)))</f>
        <v/>
      </c>
      <c r="I3721" s="42" t="n">
        <f aca="false">IF($M3721="借",$O3721,0)</f>
        <v>0</v>
      </c>
      <c r="J3721" s="42" t="n">
        <f aca="false">IF($M3721="贷",$O3721,0)</f>
        <v>0</v>
      </c>
      <c r="K3721" s="48" t="str">
        <f aca="false">IF($H3721="","",资金流水!$F263)</f>
        <v/>
      </c>
      <c r="L3721" s="66" t="str">
        <f aca="false">IF(资金流水!$E263="","",IFERROR(INDEX(记账规则!$A$13:$H$32,MATCH(资金流水!$E263,记账规则!$A$13:$A$32,0),6),""))</f>
        <v/>
      </c>
      <c r="M3721" s="66" t="str">
        <f aca="false">IF($L3721="","",IFERROR(INDEX(记账规则!$A$13:$H$32,MATCH(资金流水!$E263,记账规则!$A$13:$A$32,0),7),""))</f>
        <v/>
      </c>
      <c r="N3721" s="66" t="str">
        <f aca="false">IF($L3721="","",IFERROR(INDEX(记账规则!$A$13:$H$32,MATCH(资金流水!$E263,记账规则!$A$13:$A$32,0),8),""))</f>
        <v/>
      </c>
      <c r="O3721" s="67" t="n">
        <f aca="false">IF($H3721="",0,ROUND(IF($N3721="金额",N(资金流水!$P263),0),2))</f>
        <v>0</v>
      </c>
      <c r="P3721" s="64" t="str">
        <f aca="false">IF(AND($H3721&lt;&gt;"",ROUND($O3721,2)&lt;&gt;0),"有","")</f>
        <v/>
      </c>
    </row>
    <row r="3722" customFormat="false" ht="15" hidden="true" customHeight="false" outlineLevel="0" collapsed="false">
      <c r="A3722" s="53" t="str">
        <f aca="false">IF($H3722="","",ROW()-5)</f>
        <v/>
      </c>
      <c r="B3722" s="64" t="s">
        <v>37</v>
      </c>
      <c r="C3722" s="53" t="n">
        <v>264</v>
      </c>
      <c r="D3722" s="53" t="n">
        <v>1</v>
      </c>
      <c r="E3722" s="65" t="str">
        <f aca="false">IF($H3722="","",资金流水!$B264)</f>
        <v/>
      </c>
      <c r="F3722" s="55" t="str">
        <f aca="false">IF($H3722="","",资金流水!$C264)</f>
        <v/>
      </c>
      <c r="G3722" s="48" t="str">
        <f aca="false">IF($H3722="","",资金流水!$K264)</f>
        <v/>
      </c>
      <c r="H3722" s="10" t="str">
        <f aca="false">IF($L3722="","",IF($L3722="@对方",资金流水!$G264,IF($L3722="@账户",资金流水!$Q264,$L3722)))</f>
        <v/>
      </c>
      <c r="I3722" s="42" t="n">
        <f aca="false">IF($M3722="借",$O3722,0)</f>
        <v>0</v>
      </c>
      <c r="J3722" s="42" t="n">
        <f aca="false">IF($M3722="贷",$O3722,0)</f>
        <v>0</v>
      </c>
      <c r="K3722" s="48" t="str">
        <f aca="false">IF($H3722="","",资金流水!$F264)</f>
        <v/>
      </c>
      <c r="L3722" s="66" t="str">
        <f aca="false">IF(资金流水!$E264="","",IFERROR(INDEX(记账规则!$A$13:$H$32,MATCH(资金流水!$E264,记账规则!$A$13:$A$32,0),3),""))</f>
        <v/>
      </c>
      <c r="M3722" s="66" t="str">
        <f aca="false">IF($L3722="","",IFERROR(INDEX(记账规则!$A$13:$H$32,MATCH(资金流水!$E264,记账规则!$A$13:$A$32,0),4),""))</f>
        <v/>
      </c>
      <c r="N3722" s="66" t="str">
        <f aca="false">IF($L3722="","",IFERROR(INDEX(记账规则!$A$13:$H$32,MATCH(资金流水!$E264,记账规则!$A$13:$A$32,0),5),""))</f>
        <v/>
      </c>
      <c r="O3722" s="67" t="n">
        <f aca="false">IF($H3722="",0,ROUND(IF($N3722="金额",N(资金流水!$P264),0),2))</f>
        <v>0</v>
      </c>
      <c r="P3722" s="64" t="str">
        <f aca="false">IF(AND($H3722&lt;&gt;"",ROUND($O3722,2)&lt;&gt;0),"有","")</f>
        <v/>
      </c>
    </row>
    <row r="3723" customFormat="false" ht="15" hidden="true" customHeight="false" outlineLevel="0" collapsed="false">
      <c r="A3723" s="53" t="str">
        <f aca="false">IF($H3723="","",ROW()-5)</f>
        <v/>
      </c>
      <c r="B3723" s="64" t="s">
        <v>37</v>
      </c>
      <c r="C3723" s="53" t="n">
        <v>264</v>
      </c>
      <c r="D3723" s="53" t="n">
        <v>2</v>
      </c>
      <c r="E3723" s="65" t="str">
        <f aca="false">IF($H3723="","",资金流水!$B264)</f>
        <v/>
      </c>
      <c r="F3723" s="55" t="str">
        <f aca="false">IF($H3723="","",资金流水!$C264)</f>
        <v/>
      </c>
      <c r="G3723" s="48" t="str">
        <f aca="false">IF($H3723="","",资金流水!$K264)</f>
        <v/>
      </c>
      <c r="H3723" s="10" t="str">
        <f aca="false">IF($L3723="","",IF($L3723="@对方",资金流水!$G264,IF($L3723="@账户",资金流水!$Q264,$L3723)))</f>
        <v/>
      </c>
      <c r="I3723" s="42" t="n">
        <f aca="false">IF($M3723="借",$O3723,0)</f>
        <v>0</v>
      </c>
      <c r="J3723" s="42" t="n">
        <f aca="false">IF($M3723="贷",$O3723,0)</f>
        <v>0</v>
      </c>
      <c r="K3723" s="48" t="str">
        <f aca="false">IF($H3723="","",资金流水!$F264)</f>
        <v/>
      </c>
      <c r="L3723" s="66" t="str">
        <f aca="false">IF(资金流水!$E264="","",IFERROR(INDEX(记账规则!$A$13:$H$32,MATCH(资金流水!$E264,记账规则!$A$13:$A$32,0),6),""))</f>
        <v/>
      </c>
      <c r="M3723" s="66" t="str">
        <f aca="false">IF($L3723="","",IFERROR(INDEX(记账规则!$A$13:$H$32,MATCH(资金流水!$E264,记账规则!$A$13:$A$32,0),7),""))</f>
        <v/>
      </c>
      <c r="N3723" s="66" t="str">
        <f aca="false">IF($L3723="","",IFERROR(INDEX(记账规则!$A$13:$H$32,MATCH(资金流水!$E264,记账规则!$A$13:$A$32,0),8),""))</f>
        <v/>
      </c>
      <c r="O3723" s="67" t="n">
        <f aca="false">IF($H3723="",0,ROUND(IF($N3723="金额",N(资金流水!$P264),0),2))</f>
        <v>0</v>
      </c>
      <c r="P3723" s="64" t="str">
        <f aca="false">IF(AND($H3723&lt;&gt;"",ROUND($O3723,2)&lt;&gt;0),"有","")</f>
        <v/>
      </c>
    </row>
    <row r="3724" customFormat="false" ht="15" hidden="true" customHeight="false" outlineLevel="0" collapsed="false">
      <c r="A3724" s="53" t="str">
        <f aca="false">IF($H3724="","",ROW()-5)</f>
        <v/>
      </c>
      <c r="B3724" s="64" t="s">
        <v>37</v>
      </c>
      <c r="C3724" s="53" t="n">
        <v>265</v>
      </c>
      <c r="D3724" s="53" t="n">
        <v>1</v>
      </c>
      <c r="E3724" s="65" t="str">
        <f aca="false">IF($H3724="","",资金流水!$B265)</f>
        <v/>
      </c>
      <c r="F3724" s="55" t="str">
        <f aca="false">IF($H3724="","",资金流水!$C265)</f>
        <v/>
      </c>
      <c r="G3724" s="48" t="str">
        <f aca="false">IF($H3724="","",资金流水!$K265)</f>
        <v/>
      </c>
      <c r="H3724" s="10" t="str">
        <f aca="false">IF($L3724="","",IF($L3724="@对方",资金流水!$G265,IF($L3724="@账户",资金流水!$Q265,$L3724)))</f>
        <v/>
      </c>
      <c r="I3724" s="42" t="n">
        <f aca="false">IF($M3724="借",$O3724,0)</f>
        <v>0</v>
      </c>
      <c r="J3724" s="42" t="n">
        <f aca="false">IF($M3724="贷",$O3724,0)</f>
        <v>0</v>
      </c>
      <c r="K3724" s="48" t="str">
        <f aca="false">IF($H3724="","",资金流水!$F265)</f>
        <v/>
      </c>
      <c r="L3724" s="66" t="str">
        <f aca="false">IF(资金流水!$E265="","",IFERROR(INDEX(记账规则!$A$13:$H$32,MATCH(资金流水!$E265,记账规则!$A$13:$A$32,0),3),""))</f>
        <v/>
      </c>
      <c r="M3724" s="66" t="str">
        <f aca="false">IF($L3724="","",IFERROR(INDEX(记账规则!$A$13:$H$32,MATCH(资金流水!$E265,记账规则!$A$13:$A$32,0),4),""))</f>
        <v/>
      </c>
      <c r="N3724" s="66" t="str">
        <f aca="false">IF($L3724="","",IFERROR(INDEX(记账规则!$A$13:$H$32,MATCH(资金流水!$E265,记账规则!$A$13:$A$32,0),5),""))</f>
        <v/>
      </c>
      <c r="O3724" s="67" t="n">
        <f aca="false">IF($H3724="",0,ROUND(IF($N3724="金额",N(资金流水!$P265),0),2))</f>
        <v>0</v>
      </c>
      <c r="P3724" s="64" t="str">
        <f aca="false">IF(AND($H3724&lt;&gt;"",ROUND($O3724,2)&lt;&gt;0),"有","")</f>
        <v/>
      </c>
    </row>
    <row r="3725" customFormat="false" ht="15" hidden="true" customHeight="false" outlineLevel="0" collapsed="false">
      <c r="A3725" s="53" t="str">
        <f aca="false">IF($H3725="","",ROW()-5)</f>
        <v/>
      </c>
      <c r="B3725" s="64" t="s">
        <v>37</v>
      </c>
      <c r="C3725" s="53" t="n">
        <v>265</v>
      </c>
      <c r="D3725" s="53" t="n">
        <v>2</v>
      </c>
      <c r="E3725" s="65" t="str">
        <f aca="false">IF($H3725="","",资金流水!$B265)</f>
        <v/>
      </c>
      <c r="F3725" s="55" t="str">
        <f aca="false">IF($H3725="","",资金流水!$C265)</f>
        <v/>
      </c>
      <c r="G3725" s="48" t="str">
        <f aca="false">IF($H3725="","",资金流水!$K265)</f>
        <v/>
      </c>
      <c r="H3725" s="10" t="str">
        <f aca="false">IF($L3725="","",IF($L3725="@对方",资金流水!$G265,IF($L3725="@账户",资金流水!$Q265,$L3725)))</f>
        <v/>
      </c>
      <c r="I3725" s="42" t="n">
        <f aca="false">IF($M3725="借",$O3725,0)</f>
        <v>0</v>
      </c>
      <c r="J3725" s="42" t="n">
        <f aca="false">IF($M3725="贷",$O3725,0)</f>
        <v>0</v>
      </c>
      <c r="K3725" s="48" t="str">
        <f aca="false">IF($H3725="","",资金流水!$F265)</f>
        <v/>
      </c>
      <c r="L3725" s="66" t="str">
        <f aca="false">IF(资金流水!$E265="","",IFERROR(INDEX(记账规则!$A$13:$H$32,MATCH(资金流水!$E265,记账规则!$A$13:$A$32,0),6),""))</f>
        <v/>
      </c>
      <c r="M3725" s="66" t="str">
        <f aca="false">IF($L3725="","",IFERROR(INDEX(记账规则!$A$13:$H$32,MATCH(资金流水!$E265,记账规则!$A$13:$A$32,0),7),""))</f>
        <v/>
      </c>
      <c r="N3725" s="66" t="str">
        <f aca="false">IF($L3725="","",IFERROR(INDEX(记账规则!$A$13:$H$32,MATCH(资金流水!$E265,记账规则!$A$13:$A$32,0),8),""))</f>
        <v/>
      </c>
      <c r="O3725" s="67" t="n">
        <f aca="false">IF($H3725="",0,ROUND(IF($N3725="金额",N(资金流水!$P265),0),2))</f>
        <v>0</v>
      </c>
      <c r="P3725" s="64" t="str">
        <f aca="false">IF(AND($H3725&lt;&gt;"",ROUND($O3725,2)&lt;&gt;0),"有","")</f>
        <v/>
      </c>
    </row>
    <row r="3726" customFormat="false" ht="15" hidden="true" customHeight="false" outlineLevel="0" collapsed="false">
      <c r="A3726" s="53" t="str">
        <f aca="false">IF($H3726="","",ROW()-5)</f>
        <v/>
      </c>
      <c r="B3726" s="64" t="s">
        <v>37</v>
      </c>
      <c r="C3726" s="53" t="n">
        <v>266</v>
      </c>
      <c r="D3726" s="53" t="n">
        <v>1</v>
      </c>
      <c r="E3726" s="65" t="str">
        <f aca="false">IF($H3726="","",资金流水!$B266)</f>
        <v/>
      </c>
      <c r="F3726" s="55" t="str">
        <f aca="false">IF($H3726="","",资金流水!$C266)</f>
        <v/>
      </c>
      <c r="G3726" s="48" t="str">
        <f aca="false">IF($H3726="","",资金流水!$K266)</f>
        <v/>
      </c>
      <c r="H3726" s="10" t="str">
        <f aca="false">IF($L3726="","",IF($L3726="@对方",资金流水!$G266,IF($L3726="@账户",资金流水!$Q266,$L3726)))</f>
        <v/>
      </c>
      <c r="I3726" s="42" t="n">
        <f aca="false">IF($M3726="借",$O3726,0)</f>
        <v>0</v>
      </c>
      <c r="J3726" s="42" t="n">
        <f aca="false">IF($M3726="贷",$O3726,0)</f>
        <v>0</v>
      </c>
      <c r="K3726" s="48" t="str">
        <f aca="false">IF($H3726="","",资金流水!$F266)</f>
        <v/>
      </c>
      <c r="L3726" s="66" t="str">
        <f aca="false">IF(资金流水!$E266="","",IFERROR(INDEX(记账规则!$A$13:$H$32,MATCH(资金流水!$E266,记账规则!$A$13:$A$32,0),3),""))</f>
        <v/>
      </c>
      <c r="M3726" s="66" t="str">
        <f aca="false">IF($L3726="","",IFERROR(INDEX(记账规则!$A$13:$H$32,MATCH(资金流水!$E266,记账规则!$A$13:$A$32,0),4),""))</f>
        <v/>
      </c>
      <c r="N3726" s="66" t="str">
        <f aca="false">IF($L3726="","",IFERROR(INDEX(记账规则!$A$13:$H$32,MATCH(资金流水!$E266,记账规则!$A$13:$A$32,0),5),""))</f>
        <v/>
      </c>
      <c r="O3726" s="67" t="n">
        <f aca="false">IF($H3726="",0,ROUND(IF($N3726="金额",N(资金流水!$P266),0),2))</f>
        <v>0</v>
      </c>
      <c r="P3726" s="64" t="str">
        <f aca="false">IF(AND($H3726&lt;&gt;"",ROUND($O3726,2)&lt;&gt;0),"有","")</f>
        <v/>
      </c>
    </row>
    <row r="3727" customFormat="false" ht="15" hidden="true" customHeight="false" outlineLevel="0" collapsed="false">
      <c r="A3727" s="53" t="str">
        <f aca="false">IF($H3727="","",ROW()-5)</f>
        <v/>
      </c>
      <c r="B3727" s="64" t="s">
        <v>37</v>
      </c>
      <c r="C3727" s="53" t="n">
        <v>266</v>
      </c>
      <c r="D3727" s="53" t="n">
        <v>2</v>
      </c>
      <c r="E3727" s="65" t="str">
        <f aca="false">IF($H3727="","",资金流水!$B266)</f>
        <v/>
      </c>
      <c r="F3727" s="55" t="str">
        <f aca="false">IF($H3727="","",资金流水!$C266)</f>
        <v/>
      </c>
      <c r="G3727" s="48" t="str">
        <f aca="false">IF($H3727="","",资金流水!$K266)</f>
        <v/>
      </c>
      <c r="H3727" s="10" t="str">
        <f aca="false">IF($L3727="","",IF($L3727="@对方",资金流水!$G266,IF($L3727="@账户",资金流水!$Q266,$L3727)))</f>
        <v/>
      </c>
      <c r="I3727" s="42" t="n">
        <f aca="false">IF($M3727="借",$O3727,0)</f>
        <v>0</v>
      </c>
      <c r="J3727" s="42" t="n">
        <f aca="false">IF($M3727="贷",$O3727,0)</f>
        <v>0</v>
      </c>
      <c r="K3727" s="48" t="str">
        <f aca="false">IF($H3727="","",资金流水!$F266)</f>
        <v/>
      </c>
      <c r="L3727" s="66" t="str">
        <f aca="false">IF(资金流水!$E266="","",IFERROR(INDEX(记账规则!$A$13:$H$32,MATCH(资金流水!$E266,记账规则!$A$13:$A$32,0),6),""))</f>
        <v/>
      </c>
      <c r="M3727" s="66" t="str">
        <f aca="false">IF($L3727="","",IFERROR(INDEX(记账规则!$A$13:$H$32,MATCH(资金流水!$E266,记账规则!$A$13:$A$32,0),7),""))</f>
        <v/>
      </c>
      <c r="N3727" s="66" t="str">
        <f aca="false">IF($L3727="","",IFERROR(INDEX(记账规则!$A$13:$H$32,MATCH(资金流水!$E266,记账规则!$A$13:$A$32,0),8),""))</f>
        <v/>
      </c>
      <c r="O3727" s="67" t="n">
        <f aca="false">IF($H3727="",0,ROUND(IF($N3727="金额",N(资金流水!$P266),0),2))</f>
        <v>0</v>
      </c>
      <c r="P3727" s="64" t="str">
        <f aca="false">IF(AND($H3727&lt;&gt;"",ROUND($O3727,2)&lt;&gt;0),"有","")</f>
        <v/>
      </c>
    </row>
    <row r="3728" customFormat="false" ht="15" hidden="true" customHeight="false" outlineLevel="0" collapsed="false">
      <c r="A3728" s="53" t="str">
        <f aca="false">IF($H3728="","",ROW()-5)</f>
        <v/>
      </c>
      <c r="B3728" s="64" t="s">
        <v>37</v>
      </c>
      <c r="C3728" s="53" t="n">
        <v>267</v>
      </c>
      <c r="D3728" s="53" t="n">
        <v>1</v>
      </c>
      <c r="E3728" s="65" t="str">
        <f aca="false">IF($H3728="","",资金流水!$B267)</f>
        <v/>
      </c>
      <c r="F3728" s="55" t="str">
        <f aca="false">IF($H3728="","",资金流水!$C267)</f>
        <v/>
      </c>
      <c r="G3728" s="48" t="str">
        <f aca="false">IF($H3728="","",资金流水!$K267)</f>
        <v/>
      </c>
      <c r="H3728" s="10" t="str">
        <f aca="false">IF($L3728="","",IF($L3728="@对方",资金流水!$G267,IF($L3728="@账户",资金流水!$Q267,$L3728)))</f>
        <v/>
      </c>
      <c r="I3728" s="42" t="n">
        <f aca="false">IF($M3728="借",$O3728,0)</f>
        <v>0</v>
      </c>
      <c r="J3728" s="42" t="n">
        <f aca="false">IF($M3728="贷",$O3728,0)</f>
        <v>0</v>
      </c>
      <c r="K3728" s="48" t="str">
        <f aca="false">IF($H3728="","",资金流水!$F267)</f>
        <v/>
      </c>
      <c r="L3728" s="66" t="str">
        <f aca="false">IF(资金流水!$E267="","",IFERROR(INDEX(记账规则!$A$13:$H$32,MATCH(资金流水!$E267,记账规则!$A$13:$A$32,0),3),""))</f>
        <v/>
      </c>
      <c r="M3728" s="66" t="str">
        <f aca="false">IF($L3728="","",IFERROR(INDEX(记账规则!$A$13:$H$32,MATCH(资金流水!$E267,记账规则!$A$13:$A$32,0),4),""))</f>
        <v/>
      </c>
      <c r="N3728" s="66" t="str">
        <f aca="false">IF($L3728="","",IFERROR(INDEX(记账规则!$A$13:$H$32,MATCH(资金流水!$E267,记账规则!$A$13:$A$32,0),5),""))</f>
        <v/>
      </c>
      <c r="O3728" s="67" t="n">
        <f aca="false">IF($H3728="",0,ROUND(IF($N3728="金额",N(资金流水!$P267),0),2))</f>
        <v>0</v>
      </c>
      <c r="P3728" s="64" t="str">
        <f aca="false">IF(AND($H3728&lt;&gt;"",ROUND($O3728,2)&lt;&gt;0),"有","")</f>
        <v/>
      </c>
    </row>
    <row r="3729" customFormat="false" ht="15" hidden="true" customHeight="false" outlineLevel="0" collapsed="false">
      <c r="A3729" s="53" t="str">
        <f aca="false">IF($H3729="","",ROW()-5)</f>
        <v/>
      </c>
      <c r="B3729" s="64" t="s">
        <v>37</v>
      </c>
      <c r="C3729" s="53" t="n">
        <v>267</v>
      </c>
      <c r="D3729" s="53" t="n">
        <v>2</v>
      </c>
      <c r="E3729" s="65" t="str">
        <f aca="false">IF($H3729="","",资金流水!$B267)</f>
        <v/>
      </c>
      <c r="F3729" s="55" t="str">
        <f aca="false">IF($H3729="","",资金流水!$C267)</f>
        <v/>
      </c>
      <c r="G3729" s="48" t="str">
        <f aca="false">IF($H3729="","",资金流水!$K267)</f>
        <v/>
      </c>
      <c r="H3729" s="10" t="str">
        <f aca="false">IF($L3729="","",IF($L3729="@对方",资金流水!$G267,IF($L3729="@账户",资金流水!$Q267,$L3729)))</f>
        <v/>
      </c>
      <c r="I3729" s="42" t="n">
        <f aca="false">IF($M3729="借",$O3729,0)</f>
        <v>0</v>
      </c>
      <c r="J3729" s="42" t="n">
        <f aca="false">IF($M3729="贷",$O3729,0)</f>
        <v>0</v>
      </c>
      <c r="K3729" s="48" t="str">
        <f aca="false">IF($H3729="","",资金流水!$F267)</f>
        <v/>
      </c>
      <c r="L3729" s="66" t="str">
        <f aca="false">IF(资金流水!$E267="","",IFERROR(INDEX(记账规则!$A$13:$H$32,MATCH(资金流水!$E267,记账规则!$A$13:$A$32,0),6),""))</f>
        <v/>
      </c>
      <c r="M3729" s="66" t="str">
        <f aca="false">IF($L3729="","",IFERROR(INDEX(记账规则!$A$13:$H$32,MATCH(资金流水!$E267,记账规则!$A$13:$A$32,0),7),""))</f>
        <v/>
      </c>
      <c r="N3729" s="66" t="str">
        <f aca="false">IF($L3729="","",IFERROR(INDEX(记账规则!$A$13:$H$32,MATCH(资金流水!$E267,记账规则!$A$13:$A$32,0),8),""))</f>
        <v/>
      </c>
      <c r="O3729" s="67" t="n">
        <f aca="false">IF($H3729="",0,ROUND(IF($N3729="金额",N(资金流水!$P267),0),2))</f>
        <v>0</v>
      </c>
      <c r="P3729" s="64" t="str">
        <f aca="false">IF(AND($H3729&lt;&gt;"",ROUND($O3729,2)&lt;&gt;0),"有","")</f>
        <v/>
      </c>
    </row>
    <row r="3730" customFormat="false" ht="15" hidden="true" customHeight="false" outlineLevel="0" collapsed="false">
      <c r="A3730" s="53" t="str">
        <f aca="false">IF($H3730="","",ROW()-5)</f>
        <v/>
      </c>
      <c r="B3730" s="64" t="s">
        <v>37</v>
      </c>
      <c r="C3730" s="53" t="n">
        <v>268</v>
      </c>
      <c r="D3730" s="53" t="n">
        <v>1</v>
      </c>
      <c r="E3730" s="65" t="str">
        <f aca="false">IF($H3730="","",资金流水!$B268)</f>
        <v/>
      </c>
      <c r="F3730" s="55" t="str">
        <f aca="false">IF($H3730="","",资金流水!$C268)</f>
        <v/>
      </c>
      <c r="G3730" s="48" t="str">
        <f aca="false">IF($H3730="","",资金流水!$K268)</f>
        <v/>
      </c>
      <c r="H3730" s="10" t="str">
        <f aca="false">IF($L3730="","",IF($L3730="@对方",资金流水!$G268,IF($L3730="@账户",资金流水!$Q268,$L3730)))</f>
        <v/>
      </c>
      <c r="I3730" s="42" t="n">
        <f aca="false">IF($M3730="借",$O3730,0)</f>
        <v>0</v>
      </c>
      <c r="J3730" s="42" t="n">
        <f aca="false">IF($M3730="贷",$O3730,0)</f>
        <v>0</v>
      </c>
      <c r="K3730" s="48" t="str">
        <f aca="false">IF($H3730="","",资金流水!$F268)</f>
        <v/>
      </c>
      <c r="L3730" s="66" t="str">
        <f aca="false">IF(资金流水!$E268="","",IFERROR(INDEX(记账规则!$A$13:$H$32,MATCH(资金流水!$E268,记账规则!$A$13:$A$32,0),3),""))</f>
        <v/>
      </c>
      <c r="M3730" s="66" t="str">
        <f aca="false">IF($L3730="","",IFERROR(INDEX(记账规则!$A$13:$H$32,MATCH(资金流水!$E268,记账规则!$A$13:$A$32,0),4),""))</f>
        <v/>
      </c>
      <c r="N3730" s="66" t="str">
        <f aca="false">IF($L3730="","",IFERROR(INDEX(记账规则!$A$13:$H$32,MATCH(资金流水!$E268,记账规则!$A$13:$A$32,0),5),""))</f>
        <v/>
      </c>
      <c r="O3730" s="67" t="n">
        <f aca="false">IF($H3730="",0,ROUND(IF($N3730="金额",N(资金流水!$P268),0),2))</f>
        <v>0</v>
      </c>
      <c r="P3730" s="64" t="str">
        <f aca="false">IF(AND($H3730&lt;&gt;"",ROUND($O3730,2)&lt;&gt;0),"有","")</f>
        <v/>
      </c>
    </row>
    <row r="3731" customFormat="false" ht="15" hidden="true" customHeight="false" outlineLevel="0" collapsed="false">
      <c r="A3731" s="53" t="str">
        <f aca="false">IF($H3731="","",ROW()-5)</f>
        <v/>
      </c>
      <c r="B3731" s="64" t="s">
        <v>37</v>
      </c>
      <c r="C3731" s="53" t="n">
        <v>268</v>
      </c>
      <c r="D3731" s="53" t="n">
        <v>2</v>
      </c>
      <c r="E3731" s="65" t="str">
        <f aca="false">IF($H3731="","",资金流水!$B268)</f>
        <v/>
      </c>
      <c r="F3731" s="55" t="str">
        <f aca="false">IF($H3731="","",资金流水!$C268)</f>
        <v/>
      </c>
      <c r="G3731" s="48" t="str">
        <f aca="false">IF($H3731="","",资金流水!$K268)</f>
        <v/>
      </c>
      <c r="H3731" s="10" t="str">
        <f aca="false">IF($L3731="","",IF($L3731="@对方",资金流水!$G268,IF($L3731="@账户",资金流水!$Q268,$L3731)))</f>
        <v/>
      </c>
      <c r="I3731" s="42" t="n">
        <f aca="false">IF($M3731="借",$O3731,0)</f>
        <v>0</v>
      </c>
      <c r="J3731" s="42" t="n">
        <f aca="false">IF($M3731="贷",$O3731,0)</f>
        <v>0</v>
      </c>
      <c r="K3731" s="48" t="str">
        <f aca="false">IF($H3731="","",资金流水!$F268)</f>
        <v/>
      </c>
      <c r="L3731" s="66" t="str">
        <f aca="false">IF(资金流水!$E268="","",IFERROR(INDEX(记账规则!$A$13:$H$32,MATCH(资金流水!$E268,记账规则!$A$13:$A$32,0),6),""))</f>
        <v/>
      </c>
      <c r="M3731" s="66" t="str">
        <f aca="false">IF($L3731="","",IFERROR(INDEX(记账规则!$A$13:$H$32,MATCH(资金流水!$E268,记账规则!$A$13:$A$32,0),7),""))</f>
        <v/>
      </c>
      <c r="N3731" s="66" t="str">
        <f aca="false">IF($L3731="","",IFERROR(INDEX(记账规则!$A$13:$H$32,MATCH(资金流水!$E268,记账规则!$A$13:$A$32,0),8),""))</f>
        <v/>
      </c>
      <c r="O3731" s="67" t="n">
        <f aca="false">IF($H3731="",0,ROUND(IF($N3731="金额",N(资金流水!$P268),0),2))</f>
        <v>0</v>
      </c>
      <c r="P3731" s="64" t="str">
        <f aca="false">IF(AND($H3731&lt;&gt;"",ROUND($O3731,2)&lt;&gt;0),"有","")</f>
        <v/>
      </c>
    </row>
    <row r="3732" customFormat="false" ht="15" hidden="true" customHeight="false" outlineLevel="0" collapsed="false">
      <c r="A3732" s="53" t="str">
        <f aca="false">IF($H3732="","",ROW()-5)</f>
        <v/>
      </c>
      <c r="B3732" s="64" t="s">
        <v>37</v>
      </c>
      <c r="C3732" s="53" t="n">
        <v>269</v>
      </c>
      <c r="D3732" s="53" t="n">
        <v>1</v>
      </c>
      <c r="E3732" s="65" t="str">
        <f aca="false">IF($H3732="","",资金流水!$B269)</f>
        <v/>
      </c>
      <c r="F3732" s="55" t="str">
        <f aca="false">IF($H3732="","",资金流水!$C269)</f>
        <v/>
      </c>
      <c r="G3732" s="48" t="str">
        <f aca="false">IF($H3732="","",资金流水!$K269)</f>
        <v/>
      </c>
      <c r="H3732" s="10" t="str">
        <f aca="false">IF($L3732="","",IF($L3732="@对方",资金流水!$G269,IF($L3732="@账户",资金流水!$Q269,$L3732)))</f>
        <v/>
      </c>
      <c r="I3732" s="42" t="n">
        <f aca="false">IF($M3732="借",$O3732,0)</f>
        <v>0</v>
      </c>
      <c r="J3732" s="42" t="n">
        <f aca="false">IF($M3732="贷",$O3732,0)</f>
        <v>0</v>
      </c>
      <c r="K3732" s="48" t="str">
        <f aca="false">IF($H3732="","",资金流水!$F269)</f>
        <v/>
      </c>
      <c r="L3732" s="66" t="str">
        <f aca="false">IF(资金流水!$E269="","",IFERROR(INDEX(记账规则!$A$13:$H$32,MATCH(资金流水!$E269,记账规则!$A$13:$A$32,0),3),""))</f>
        <v/>
      </c>
      <c r="M3732" s="66" t="str">
        <f aca="false">IF($L3732="","",IFERROR(INDEX(记账规则!$A$13:$H$32,MATCH(资金流水!$E269,记账规则!$A$13:$A$32,0),4),""))</f>
        <v/>
      </c>
      <c r="N3732" s="66" t="str">
        <f aca="false">IF($L3732="","",IFERROR(INDEX(记账规则!$A$13:$H$32,MATCH(资金流水!$E269,记账规则!$A$13:$A$32,0),5),""))</f>
        <v/>
      </c>
      <c r="O3732" s="67" t="n">
        <f aca="false">IF($H3732="",0,ROUND(IF($N3732="金额",N(资金流水!$P269),0),2))</f>
        <v>0</v>
      </c>
      <c r="P3732" s="64" t="str">
        <f aca="false">IF(AND($H3732&lt;&gt;"",ROUND($O3732,2)&lt;&gt;0),"有","")</f>
        <v/>
      </c>
    </row>
    <row r="3733" customFormat="false" ht="15" hidden="true" customHeight="false" outlineLevel="0" collapsed="false">
      <c r="A3733" s="53" t="str">
        <f aca="false">IF($H3733="","",ROW()-5)</f>
        <v/>
      </c>
      <c r="B3733" s="64" t="s">
        <v>37</v>
      </c>
      <c r="C3733" s="53" t="n">
        <v>269</v>
      </c>
      <c r="D3733" s="53" t="n">
        <v>2</v>
      </c>
      <c r="E3733" s="65" t="str">
        <f aca="false">IF($H3733="","",资金流水!$B269)</f>
        <v/>
      </c>
      <c r="F3733" s="55" t="str">
        <f aca="false">IF($H3733="","",资金流水!$C269)</f>
        <v/>
      </c>
      <c r="G3733" s="48" t="str">
        <f aca="false">IF($H3733="","",资金流水!$K269)</f>
        <v/>
      </c>
      <c r="H3733" s="10" t="str">
        <f aca="false">IF($L3733="","",IF($L3733="@对方",资金流水!$G269,IF($L3733="@账户",资金流水!$Q269,$L3733)))</f>
        <v/>
      </c>
      <c r="I3733" s="42" t="n">
        <f aca="false">IF($M3733="借",$O3733,0)</f>
        <v>0</v>
      </c>
      <c r="J3733" s="42" t="n">
        <f aca="false">IF($M3733="贷",$O3733,0)</f>
        <v>0</v>
      </c>
      <c r="K3733" s="48" t="str">
        <f aca="false">IF($H3733="","",资金流水!$F269)</f>
        <v/>
      </c>
      <c r="L3733" s="66" t="str">
        <f aca="false">IF(资金流水!$E269="","",IFERROR(INDEX(记账规则!$A$13:$H$32,MATCH(资金流水!$E269,记账规则!$A$13:$A$32,0),6),""))</f>
        <v/>
      </c>
      <c r="M3733" s="66" t="str">
        <f aca="false">IF($L3733="","",IFERROR(INDEX(记账规则!$A$13:$H$32,MATCH(资金流水!$E269,记账规则!$A$13:$A$32,0),7),""))</f>
        <v/>
      </c>
      <c r="N3733" s="66" t="str">
        <f aca="false">IF($L3733="","",IFERROR(INDEX(记账规则!$A$13:$H$32,MATCH(资金流水!$E269,记账规则!$A$13:$A$32,0),8),""))</f>
        <v/>
      </c>
      <c r="O3733" s="67" t="n">
        <f aca="false">IF($H3733="",0,ROUND(IF($N3733="金额",N(资金流水!$P269),0),2))</f>
        <v>0</v>
      </c>
      <c r="P3733" s="64" t="str">
        <f aca="false">IF(AND($H3733&lt;&gt;"",ROUND($O3733,2)&lt;&gt;0),"有","")</f>
        <v/>
      </c>
    </row>
    <row r="3734" customFormat="false" ht="15" hidden="true" customHeight="false" outlineLevel="0" collapsed="false">
      <c r="A3734" s="53" t="str">
        <f aca="false">IF($H3734="","",ROW()-5)</f>
        <v/>
      </c>
      <c r="B3734" s="64" t="s">
        <v>37</v>
      </c>
      <c r="C3734" s="53" t="n">
        <v>270</v>
      </c>
      <c r="D3734" s="53" t="n">
        <v>1</v>
      </c>
      <c r="E3734" s="65" t="str">
        <f aca="false">IF($H3734="","",资金流水!$B270)</f>
        <v/>
      </c>
      <c r="F3734" s="55" t="str">
        <f aca="false">IF($H3734="","",资金流水!$C270)</f>
        <v/>
      </c>
      <c r="G3734" s="48" t="str">
        <f aca="false">IF($H3734="","",资金流水!$K270)</f>
        <v/>
      </c>
      <c r="H3734" s="10" t="str">
        <f aca="false">IF($L3734="","",IF($L3734="@对方",资金流水!$G270,IF($L3734="@账户",资金流水!$Q270,$L3734)))</f>
        <v/>
      </c>
      <c r="I3734" s="42" t="n">
        <f aca="false">IF($M3734="借",$O3734,0)</f>
        <v>0</v>
      </c>
      <c r="J3734" s="42" t="n">
        <f aca="false">IF($M3734="贷",$O3734,0)</f>
        <v>0</v>
      </c>
      <c r="K3734" s="48" t="str">
        <f aca="false">IF($H3734="","",资金流水!$F270)</f>
        <v/>
      </c>
      <c r="L3734" s="66" t="str">
        <f aca="false">IF(资金流水!$E270="","",IFERROR(INDEX(记账规则!$A$13:$H$32,MATCH(资金流水!$E270,记账规则!$A$13:$A$32,0),3),""))</f>
        <v/>
      </c>
      <c r="M3734" s="66" t="str">
        <f aca="false">IF($L3734="","",IFERROR(INDEX(记账规则!$A$13:$H$32,MATCH(资金流水!$E270,记账规则!$A$13:$A$32,0),4),""))</f>
        <v/>
      </c>
      <c r="N3734" s="66" t="str">
        <f aca="false">IF($L3734="","",IFERROR(INDEX(记账规则!$A$13:$H$32,MATCH(资金流水!$E270,记账规则!$A$13:$A$32,0),5),""))</f>
        <v/>
      </c>
      <c r="O3734" s="67" t="n">
        <f aca="false">IF($H3734="",0,ROUND(IF($N3734="金额",N(资金流水!$P270),0),2))</f>
        <v>0</v>
      </c>
      <c r="P3734" s="64" t="str">
        <f aca="false">IF(AND($H3734&lt;&gt;"",ROUND($O3734,2)&lt;&gt;0),"有","")</f>
        <v/>
      </c>
    </row>
    <row r="3735" customFormat="false" ht="15" hidden="true" customHeight="false" outlineLevel="0" collapsed="false">
      <c r="A3735" s="53" t="str">
        <f aca="false">IF($H3735="","",ROW()-5)</f>
        <v/>
      </c>
      <c r="B3735" s="64" t="s">
        <v>37</v>
      </c>
      <c r="C3735" s="53" t="n">
        <v>270</v>
      </c>
      <c r="D3735" s="53" t="n">
        <v>2</v>
      </c>
      <c r="E3735" s="65" t="str">
        <f aca="false">IF($H3735="","",资金流水!$B270)</f>
        <v/>
      </c>
      <c r="F3735" s="55" t="str">
        <f aca="false">IF($H3735="","",资金流水!$C270)</f>
        <v/>
      </c>
      <c r="G3735" s="48" t="str">
        <f aca="false">IF($H3735="","",资金流水!$K270)</f>
        <v/>
      </c>
      <c r="H3735" s="10" t="str">
        <f aca="false">IF($L3735="","",IF($L3735="@对方",资金流水!$G270,IF($L3735="@账户",资金流水!$Q270,$L3735)))</f>
        <v/>
      </c>
      <c r="I3735" s="42" t="n">
        <f aca="false">IF($M3735="借",$O3735,0)</f>
        <v>0</v>
      </c>
      <c r="J3735" s="42" t="n">
        <f aca="false">IF($M3735="贷",$O3735,0)</f>
        <v>0</v>
      </c>
      <c r="K3735" s="48" t="str">
        <f aca="false">IF($H3735="","",资金流水!$F270)</f>
        <v/>
      </c>
      <c r="L3735" s="66" t="str">
        <f aca="false">IF(资金流水!$E270="","",IFERROR(INDEX(记账规则!$A$13:$H$32,MATCH(资金流水!$E270,记账规则!$A$13:$A$32,0),6),""))</f>
        <v/>
      </c>
      <c r="M3735" s="66" t="str">
        <f aca="false">IF($L3735="","",IFERROR(INDEX(记账规则!$A$13:$H$32,MATCH(资金流水!$E270,记账规则!$A$13:$A$32,0),7),""))</f>
        <v/>
      </c>
      <c r="N3735" s="66" t="str">
        <f aca="false">IF($L3735="","",IFERROR(INDEX(记账规则!$A$13:$H$32,MATCH(资金流水!$E270,记账规则!$A$13:$A$32,0),8),""))</f>
        <v/>
      </c>
      <c r="O3735" s="67" t="n">
        <f aca="false">IF($H3735="",0,ROUND(IF($N3735="金额",N(资金流水!$P270),0),2))</f>
        <v>0</v>
      </c>
      <c r="P3735" s="64" t="str">
        <f aca="false">IF(AND($H3735&lt;&gt;"",ROUND($O3735,2)&lt;&gt;0),"有","")</f>
        <v/>
      </c>
    </row>
    <row r="3736" customFormat="false" ht="15" hidden="true" customHeight="false" outlineLevel="0" collapsed="false">
      <c r="A3736" s="53" t="str">
        <f aca="false">IF($H3736="","",ROW()-5)</f>
        <v/>
      </c>
      <c r="B3736" s="64" t="s">
        <v>37</v>
      </c>
      <c r="C3736" s="53" t="n">
        <v>271</v>
      </c>
      <c r="D3736" s="53" t="n">
        <v>1</v>
      </c>
      <c r="E3736" s="65" t="str">
        <f aca="false">IF($H3736="","",资金流水!$B271)</f>
        <v/>
      </c>
      <c r="F3736" s="55" t="str">
        <f aca="false">IF($H3736="","",资金流水!$C271)</f>
        <v/>
      </c>
      <c r="G3736" s="48" t="str">
        <f aca="false">IF($H3736="","",资金流水!$K271)</f>
        <v/>
      </c>
      <c r="H3736" s="10" t="str">
        <f aca="false">IF($L3736="","",IF($L3736="@对方",资金流水!$G271,IF($L3736="@账户",资金流水!$Q271,$L3736)))</f>
        <v/>
      </c>
      <c r="I3736" s="42" t="n">
        <f aca="false">IF($M3736="借",$O3736,0)</f>
        <v>0</v>
      </c>
      <c r="J3736" s="42" t="n">
        <f aca="false">IF($M3736="贷",$O3736,0)</f>
        <v>0</v>
      </c>
      <c r="K3736" s="48" t="str">
        <f aca="false">IF($H3736="","",资金流水!$F271)</f>
        <v/>
      </c>
      <c r="L3736" s="66" t="str">
        <f aca="false">IF(资金流水!$E271="","",IFERROR(INDEX(记账规则!$A$13:$H$32,MATCH(资金流水!$E271,记账规则!$A$13:$A$32,0),3),""))</f>
        <v/>
      </c>
      <c r="M3736" s="66" t="str">
        <f aca="false">IF($L3736="","",IFERROR(INDEX(记账规则!$A$13:$H$32,MATCH(资金流水!$E271,记账规则!$A$13:$A$32,0),4),""))</f>
        <v/>
      </c>
      <c r="N3736" s="66" t="str">
        <f aca="false">IF($L3736="","",IFERROR(INDEX(记账规则!$A$13:$H$32,MATCH(资金流水!$E271,记账规则!$A$13:$A$32,0),5),""))</f>
        <v/>
      </c>
      <c r="O3736" s="67" t="n">
        <f aca="false">IF($H3736="",0,ROUND(IF($N3736="金额",N(资金流水!$P271),0),2))</f>
        <v>0</v>
      </c>
      <c r="P3736" s="64" t="str">
        <f aca="false">IF(AND($H3736&lt;&gt;"",ROUND($O3736,2)&lt;&gt;0),"有","")</f>
        <v/>
      </c>
    </row>
    <row r="3737" customFormat="false" ht="15" hidden="true" customHeight="false" outlineLevel="0" collapsed="false">
      <c r="A3737" s="53" t="str">
        <f aca="false">IF($H3737="","",ROW()-5)</f>
        <v/>
      </c>
      <c r="B3737" s="64" t="s">
        <v>37</v>
      </c>
      <c r="C3737" s="53" t="n">
        <v>271</v>
      </c>
      <c r="D3737" s="53" t="n">
        <v>2</v>
      </c>
      <c r="E3737" s="65" t="str">
        <f aca="false">IF($H3737="","",资金流水!$B271)</f>
        <v/>
      </c>
      <c r="F3737" s="55" t="str">
        <f aca="false">IF($H3737="","",资金流水!$C271)</f>
        <v/>
      </c>
      <c r="G3737" s="48" t="str">
        <f aca="false">IF($H3737="","",资金流水!$K271)</f>
        <v/>
      </c>
      <c r="H3737" s="10" t="str">
        <f aca="false">IF($L3737="","",IF($L3737="@对方",资金流水!$G271,IF($L3737="@账户",资金流水!$Q271,$L3737)))</f>
        <v/>
      </c>
      <c r="I3737" s="42" t="n">
        <f aca="false">IF($M3737="借",$O3737,0)</f>
        <v>0</v>
      </c>
      <c r="J3737" s="42" t="n">
        <f aca="false">IF($M3737="贷",$O3737,0)</f>
        <v>0</v>
      </c>
      <c r="K3737" s="48" t="str">
        <f aca="false">IF($H3737="","",资金流水!$F271)</f>
        <v/>
      </c>
      <c r="L3737" s="66" t="str">
        <f aca="false">IF(资金流水!$E271="","",IFERROR(INDEX(记账规则!$A$13:$H$32,MATCH(资金流水!$E271,记账规则!$A$13:$A$32,0),6),""))</f>
        <v/>
      </c>
      <c r="M3737" s="66" t="str">
        <f aca="false">IF($L3737="","",IFERROR(INDEX(记账规则!$A$13:$H$32,MATCH(资金流水!$E271,记账规则!$A$13:$A$32,0),7),""))</f>
        <v/>
      </c>
      <c r="N3737" s="66" t="str">
        <f aca="false">IF($L3737="","",IFERROR(INDEX(记账规则!$A$13:$H$32,MATCH(资金流水!$E271,记账规则!$A$13:$A$32,0),8),""))</f>
        <v/>
      </c>
      <c r="O3737" s="67" t="n">
        <f aca="false">IF($H3737="",0,ROUND(IF($N3737="金额",N(资金流水!$P271),0),2))</f>
        <v>0</v>
      </c>
      <c r="P3737" s="64" t="str">
        <f aca="false">IF(AND($H3737&lt;&gt;"",ROUND($O3737,2)&lt;&gt;0),"有","")</f>
        <v/>
      </c>
    </row>
    <row r="3738" customFormat="false" ht="15" hidden="true" customHeight="false" outlineLevel="0" collapsed="false">
      <c r="A3738" s="53" t="str">
        <f aca="false">IF($H3738="","",ROW()-5)</f>
        <v/>
      </c>
      <c r="B3738" s="64" t="s">
        <v>37</v>
      </c>
      <c r="C3738" s="53" t="n">
        <v>272</v>
      </c>
      <c r="D3738" s="53" t="n">
        <v>1</v>
      </c>
      <c r="E3738" s="65" t="str">
        <f aca="false">IF($H3738="","",资金流水!$B272)</f>
        <v/>
      </c>
      <c r="F3738" s="55" t="str">
        <f aca="false">IF($H3738="","",资金流水!$C272)</f>
        <v/>
      </c>
      <c r="G3738" s="48" t="str">
        <f aca="false">IF($H3738="","",资金流水!$K272)</f>
        <v/>
      </c>
      <c r="H3738" s="10" t="str">
        <f aca="false">IF($L3738="","",IF($L3738="@对方",资金流水!$G272,IF($L3738="@账户",资金流水!$Q272,$L3738)))</f>
        <v/>
      </c>
      <c r="I3738" s="42" t="n">
        <f aca="false">IF($M3738="借",$O3738,0)</f>
        <v>0</v>
      </c>
      <c r="J3738" s="42" t="n">
        <f aca="false">IF($M3738="贷",$O3738,0)</f>
        <v>0</v>
      </c>
      <c r="K3738" s="48" t="str">
        <f aca="false">IF($H3738="","",资金流水!$F272)</f>
        <v/>
      </c>
      <c r="L3738" s="66" t="str">
        <f aca="false">IF(资金流水!$E272="","",IFERROR(INDEX(记账规则!$A$13:$H$32,MATCH(资金流水!$E272,记账规则!$A$13:$A$32,0),3),""))</f>
        <v/>
      </c>
      <c r="M3738" s="66" t="str">
        <f aca="false">IF($L3738="","",IFERROR(INDEX(记账规则!$A$13:$H$32,MATCH(资金流水!$E272,记账规则!$A$13:$A$32,0),4),""))</f>
        <v/>
      </c>
      <c r="N3738" s="66" t="str">
        <f aca="false">IF($L3738="","",IFERROR(INDEX(记账规则!$A$13:$H$32,MATCH(资金流水!$E272,记账规则!$A$13:$A$32,0),5),""))</f>
        <v/>
      </c>
      <c r="O3738" s="67" t="n">
        <f aca="false">IF($H3738="",0,ROUND(IF($N3738="金额",N(资金流水!$P272),0),2))</f>
        <v>0</v>
      </c>
      <c r="P3738" s="64" t="str">
        <f aca="false">IF(AND($H3738&lt;&gt;"",ROUND($O3738,2)&lt;&gt;0),"有","")</f>
        <v/>
      </c>
    </row>
    <row r="3739" customFormat="false" ht="15" hidden="true" customHeight="false" outlineLevel="0" collapsed="false">
      <c r="A3739" s="53" t="str">
        <f aca="false">IF($H3739="","",ROW()-5)</f>
        <v/>
      </c>
      <c r="B3739" s="64" t="s">
        <v>37</v>
      </c>
      <c r="C3739" s="53" t="n">
        <v>272</v>
      </c>
      <c r="D3739" s="53" t="n">
        <v>2</v>
      </c>
      <c r="E3739" s="65" t="str">
        <f aca="false">IF($H3739="","",资金流水!$B272)</f>
        <v/>
      </c>
      <c r="F3739" s="55" t="str">
        <f aca="false">IF($H3739="","",资金流水!$C272)</f>
        <v/>
      </c>
      <c r="G3739" s="48" t="str">
        <f aca="false">IF($H3739="","",资金流水!$K272)</f>
        <v/>
      </c>
      <c r="H3739" s="10" t="str">
        <f aca="false">IF($L3739="","",IF($L3739="@对方",资金流水!$G272,IF($L3739="@账户",资金流水!$Q272,$L3739)))</f>
        <v/>
      </c>
      <c r="I3739" s="42" t="n">
        <f aca="false">IF($M3739="借",$O3739,0)</f>
        <v>0</v>
      </c>
      <c r="J3739" s="42" t="n">
        <f aca="false">IF($M3739="贷",$O3739,0)</f>
        <v>0</v>
      </c>
      <c r="K3739" s="48" t="str">
        <f aca="false">IF($H3739="","",资金流水!$F272)</f>
        <v/>
      </c>
      <c r="L3739" s="66" t="str">
        <f aca="false">IF(资金流水!$E272="","",IFERROR(INDEX(记账规则!$A$13:$H$32,MATCH(资金流水!$E272,记账规则!$A$13:$A$32,0),6),""))</f>
        <v/>
      </c>
      <c r="M3739" s="66" t="str">
        <f aca="false">IF($L3739="","",IFERROR(INDEX(记账规则!$A$13:$H$32,MATCH(资金流水!$E272,记账规则!$A$13:$A$32,0),7),""))</f>
        <v/>
      </c>
      <c r="N3739" s="66" t="str">
        <f aca="false">IF($L3739="","",IFERROR(INDEX(记账规则!$A$13:$H$32,MATCH(资金流水!$E272,记账规则!$A$13:$A$32,0),8),""))</f>
        <v/>
      </c>
      <c r="O3739" s="67" t="n">
        <f aca="false">IF($H3739="",0,ROUND(IF($N3739="金额",N(资金流水!$P272),0),2))</f>
        <v>0</v>
      </c>
      <c r="P3739" s="64" t="str">
        <f aca="false">IF(AND($H3739&lt;&gt;"",ROUND($O3739,2)&lt;&gt;0),"有","")</f>
        <v/>
      </c>
    </row>
    <row r="3740" customFormat="false" ht="15" hidden="true" customHeight="false" outlineLevel="0" collapsed="false">
      <c r="A3740" s="53" t="str">
        <f aca="false">IF($H3740="","",ROW()-5)</f>
        <v/>
      </c>
      <c r="B3740" s="64" t="s">
        <v>37</v>
      </c>
      <c r="C3740" s="53" t="n">
        <v>273</v>
      </c>
      <c r="D3740" s="53" t="n">
        <v>1</v>
      </c>
      <c r="E3740" s="65" t="str">
        <f aca="false">IF($H3740="","",资金流水!$B273)</f>
        <v/>
      </c>
      <c r="F3740" s="55" t="str">
        <f aca="false">IF($H3740="","",资金流水!$C273)</f>
        <v/>
      </c>
      <c r="G3740" s="48" t="str">
        <f aca="false">IF($H3740="","",资金流水!$K273)</f>
        <v/>
      </c>
      <c r="H3740" s="10" t="str">
        <f aca="false">IF($L3740="","",IF($L3740="@对方",资金流水!$G273,IF($L3740="@账户",资金流水!$Q273,$L3740)))</f>
        <v/>
      </c>
      <c r="I3740" s="42" t="n">
        <f aca="false">IF($M3740="借",$O3740,0)</f>
        <v>0</v>
      </c>
      <c r="J3740" s="42" t="n">
        <f aca="false">IF($M3740="贷",$O3740,0)</f>
        <v>0</v>
      </c>
      <c r="K3740" s="48" t="str">
        <f aca="false">IF($H3740="","",资金流水!$F273)</f>
        <v/>
      </c>
      <c r="L3740" s="66" t="str">
        <f aca="false">IF(资金流水!$E273="","",IFERROR(INDEX(记账规则!$A$13:$H$32,MATCH(资金流水!$E273,记账规则!$A$13:$A$32,0),3),""))</f>
        <v/>
      </c>
      <c r="M3740" s="66" t="str">
        <f aca="false">IF($L3740="","",IFERROR(INDEX(记账规则!$A$13:$H$32,MATCH(资金流水!$E273,记账规则!$A$13:$A$32,0),4),""))</f>
        <v/>
      </c>
      <c r="N3740" s="66" t="str">
        <f aca="false">IF($L3740="","",IFERROR(INDEX(记账规则!$A$13:$H$32,MATCH(资金流水!$E273,记账规则!$A$13:$A$32,0),5),""))</f>
        <v/>
      </c>
      <c r="O3740" s="67" t="n">
        <f aca="false">IF($H3740="",0,ROUND(IF($N3740="金额",N(资金流水!$P273),0),2))</f>
        <v>0</v>
      </c>
      <c r="P3740" s="64" t="str">
        <f aca="false">IF(AND($H3740&lt;&gt;"",ROUND($O3740,2)&lt;&gt;0),"有","")</f>
        <v/>
      </c>
    </row>
    <row r="3741" customFormat="false" ht="15" hidden="true" customHeight="false" outlineLevel="0" collapsed="false">
      <c r="A3741" s="53" t="str">
        <f aca="false">IF($H3741="","",ROW()-5)</f>
        <v/>
      </c>
      <c r="B3741" s="64" t="s">
        <v>37</v>
      </c>
      <c r="C3741" s="53" t="n">
        <v>273</v>
      </c>
      <c r="D3741" s="53" t="n">
        <v>2</v>
      </c>
      <c r="E3741" s="65" t="str">
        <f aca="false">IF($H3741="","",资金流水!$B273)</f>
        <v/>
      </c>
      <c r="F3741" s="55" t="str">
        <f aca="false">IF($H3741="","",资金流水!$C273)</f>
        <v/>
      </c>
      <c r="G3741" s="48" t="str">
        <f aca="false">IF($H3741="","",资金流水!$K273)</f>
        <v/>
      </c>
      <c r="H3741" s="10" t="str">
        <f aca="false">IF($L3741="","",IF($L3741="@对方",资金流水!$G273,IF($L3741="@账户",资金流水!$Q273,$L3741)))</f>
        <v/>
      </c>
      <c r="I3741" s="42" t="n">
        <f aca="false">IF($M3741="借",$O3741,0)</f>
        <v>0</v>
      </c>
      <c r="J3741" s="42" t="n">
        <f aca="false">IF($M3741="贷",$O3741,0)</f>
        <v>0</v>
      </c>
      <c r="K3741" s="48" t="str">
        <f aca="false">IF($H3741="","",资金流水!$F273)</f>
        <v/>
      </c>
      <c r="L3741" s="66" t="str">
        <f aca="false">IF(资金流水!$E273="","",IFERROR(INDEX(记账规则!$A$13:$H$32,MATCH(资金流水!$E273,记账规则!$A$13:$A$32,0),6),""))</f>
        <v/>
      </c>
      <c r="M3741" s="66" t="str">
        <f aca="false">IF($L3741="","",IFERROR(INDEX(记账规则!$A$13:$H$32,MATCH(资金流水!$E273,记账规则!$A$13:$A$32,0),7),""))</f>
        <v/>
      </c>
      <c r="N3741" s="66" t="str">
        <f aca="false">IF($L3741="","",IFERROR(INDEX(记账规则!$A$13:$H$32,MATCH(资金流水!$E273,记账规则!$A$13:$A$32,0),8),""))</f>
        <v/>
      </c>
      <c r="O3741" s="67" t="n">
        <f aca="false">IF($H3741="",0,ROUND(IF($N3741="金额",N(资金流水!$P273),0),2))</f>
        <v>0</v>
      </c>
      <c r="P3741" s="64" t="str">
        <f aca="false">IF(AND($H3741&lt;&gt;"",ROUND($O3741,2)&lt;&gt;0),"有","")</f>
        <v/>
      </c>
    </row>
    <row r="3742" customFormat="false" ht="15" hidden="true" customHeight="false" outlineLevel="0" collapsed="false">
      <c r="A3742" s="53" t="str">
        <f aca="false">IF($H3742="","",ROW()-5)</f>
        <v/>
      </c>
      <c r="B3742" s="64" t="s">
        <v>37</v>
      </c>
      <c r="C3742" s="53" t="n">
        <v>274</v>
      </c>
      <c r="D3742" s="53" t="n">
        <v>1</v>
      </c>
      <c r="E3742" s="65" t="str">
        <f aca="false">IF($H3742="","",资金流水!$B274)</f>
        <v/>
      </c>
      <c r="F3742" s="55" t="str">
        <f aca="false">IF($H3742="","",资金流水!$C274)</f>
        <v/>
      </c>
      <c r="G3742" s="48" t="str">
        <f aca="false">IF($H3742="","",资金流水!$K274)</f>
        <v/>
      </c>
      <c r="H3742" s="10" t="str">
        <f aca="false">IF($L3742="","",IF($L3742="@对方",资金流水!$G274,IF($L3742="@账户",资金流水!$Q274,$L3742)))</f>
        <v/>
      </c>
      <c r="I3742" s="42" t="n">
        <f aca="false">IF($M3742="借",$O3742,0)</f>
        <v>0</v>
      </c>
      <c r="J3742" s="42" t="n">
        <f aca="false">IF($M3742="贷",$O3742,0)</f>
        <v>0</v>
      </c>
      <c r="K3742" s="48" t="str">
        <f aca="false">IF($H3742="","",资金流水!$F274)</f>
        <v/>
      </c>
      <c r="L3742" s="66" t="str">
        <f aca="false">IF(资金流水!$E274="","",IFERROR(INDEX(记账规则!$A$13:$H$32,MATCH(资金流水!$E274,记账规则!$A$13:$A$32,0),3),""))</f>
        <v/>
      </c>
      <c r="M3742" s="66" t="str">
        <f aca="false">IF($L3742="","",IFERROR(INDEX(记账规则!$A$13:$H$32,MATCH(资金流水!$E274,记账规则!$A$13:$A$32,0),4),""))</f>
        <v/>
      </c>
      <c r="N3742" s="66" t="str">
        <f aca="false">IF($L3742="","",IFERROR(INDEX(记账规则!$A$13:$H$32,MATCH(资金流水!$E274,记账规则!$A$13:$A$32,0),5),""))</f>
        <v/>
      </c>
      <c r="O3742" s="67" t="n">
        <f aca="false">IF($H3742="",0,ROUND(IF($N3742="金额",N(资金流水!$P274),0),2))</f>
        <v>0</v>
      </c>
      <c r="P3742" s="64" t="str">
        <f aca="false">IF(AND($H3742&lt;&gt;"",ROUND($O3742,2)&lt;&gt;0),"有","")</f>
        <v/>
      </c>
    </row>
    <row r="3743" customFormat="false" ht="15" hidden="true" customHeight="false" outlineLevel="0" collapsed="false">
      <c r="A3743" s="53" t="str">
        <f aca="false">IF($H3743="","",ROW()-5)</f>
        <v/>
      </c>
      <c r="B3743" s="64" t="s">
        <v>37</v>
      </c>
      <c r="C3743" s="53" t="n">
        <v>274</v>
      </c>
      <c r="D3743" s="53" t="n">
        <v>2</v>
      </c>
      <c r="E3743" s="65" t="str">
        <f aca="false">IF($H3743="","",资金流水!$B274)</f>
        <v/>
      </c>
      <c r="F3743" s="55" t="str">
        <f aca="false">IF($H3743="","",资金流水!$C274)</f>
        <v/>
      </c>
      <c r="G3743" s="48" t="str">
        <f aca="false">IF($H3743="","",资金流水!$K274)</f>
        <v/>
      </c>
      <c r="H3743" s="10" t="str">
        <f aca="false">IF($L3743="","",IF($L3743="@对方",资金流水!$G274,IF($L3743="@账户",资金流水!$Q274,$L3743)))</f>
        <v/>
      </c>
      <c r="I3743" s="42" t="n">
        <f aca="false">IF($M3743="借",$O3743,0)</f>
        <v>0</v>
      </c>
      <c r="J3743" s="42" t="n">
        <f aca="false">IF($M3743="贷",$O3743,0)</f>
        <v>0</v>
      </c>
      <c r="K3743" s="48" t="str">
        <f aca="false">IF($H3743="","",资金流水!$F274)</f>
        <v/>
      </c>
      <c r="L3743" s="66" t="str">
        <f aca="false">IF(资金流水!$E274="","",IFERROR(INDEX(记账规则!$A$13:$H$32,MATCH(资金流水!$E274,记账规则!$A$13:$A$32,0),6),""))</f>
        <v/>
      </c>
      <c r="M3743" s="66" t="str">
        <f aca="false">IF($L3743="","",IFERROR(INDEX(记账规则!$A$13:$H$32,MATCH(资金流水!$E274,记账规则!$A$13:$A$32,0),7),""))</f>
        <v/>
      </c>
      <c r="N3743" s="66" t="str">
        <f aca="false">IF($L3743="","",IFERROR(INDEX(记账规则!$A$13:$H$32,MATCH(资金流水!$E274,记账规则!$A$13:$A$32,0),8),""))</f>
        <v/>
      </c>
      <c r="O3743" s="67" t="n">
        <f aca="false">IF($H3743="",0,ROUND(IF($N3743="金额",N(资金流水!$P274),0),2))</f>
        <v>0</v>
      </c>
      <c r="P3743" s="64" t="str">
        <f aca="false">IF(AND($H3743&lt;&gt;"",ROUND($O3743,2)&lt;&gt;0),"有","")</f>
        <v/>
      </c>
    </row>
    <row r="3744" customFormat="false" ht="15" hidden="true" customHeight="false" outlineLevel="0" collapsed="false">
      <c r="A3744" s="53" t="str">
        <f aca="false">IF($H3744="","",ROW()-5)</f>
        <v/>
      </c>
      <c r="B3744" s="64" t="s">
        <v>37</v>
      </c>
      <c r="C3744" s="53" t="n">
        <v>275</v>
      </c>
      <c r="D3744" s="53" t="n">
        <v>1</v>
      </c>
      <c r="E3744" s="65" t="str">
        <f aca="false">IF($H3744="","",资金流水!$B275)</f>
        <v/>
      </c>
      <c r="F3744" s="55" t="str">
        <f aca="false">IF($H3744="","",资金流水!$C275)</f>
        <v/>
      </c>
      <c r="G3744" s="48" t="str">
        <f aca="false">IF($H3744="","",资金流水!$K275)</f>
        <v/>
      </c>
      <c r="H3744" s="10" t="str">
        <f aca="false">IF($L3744="","",IF($L3744="@对方",资金流水!$G275,IF($L3744="@账户",资金流水!$Q275,$L3744)))</f>
        <v/>
      </c>
      <c r="I3744" s="42" t="n">
        <f aca="false">IF($M3744="借",$O3744,0)</f>
        <v>0</v>
      </c>
      <c r="J3744" s="42" t="n">
        <f aca="false">IF($M3744="贷",$O3744,0)</f>
        <v>0</v>
      </c>
      <c r="K3744" s="48" t="str">
        <f aca="false">IF($H3744="","",资金流水!$F275)</f>
        <v/>
      </c>
      <c r="L3744" s="66" t="str">
        <f aca="false">IF(资金流水!$E275="","",IFERROR(INDEX(记账规则!$A$13:$H$32,MATCH(资金流水!$E275,记账规则!$A$13:$A$32,0),3),""))</f>
        <v/>
      </c>
      <c r="M3744" s="66" t="str">
        <f aca="false">IF($L3744="","",IFERROR(INDEX(记账规则!$A$13:$H$32,MATCH(资金流水!$E275,记账规则!$A$13:$A$32,0),4),""))</f>
        <v/>
      </c>
      <c r="N3744" s="66" t="str">
        <f aca="false">IF($L3744="","",IFERROR(INDEX(记账规则!$A$13:$H$32,MATCH(资金流水!$E275,记账规则!$A$13:$A$32,0),5),""))</f>
        <v/>
      </c>
      <c r="O3744" s="67" t="n">
        <f aca="false">IF($H3744="",0,ROUND(IF($N3744="金额",N(资金流水!$P275),0),2))</f>
        <v>0</v>
      </c>
      <c r="P3744" s="64" t="str">
        <f aca="false">IF(AND($H3744&lt;&gt;"",ROUND($O3744,2)&lt;&gt;0),"有","")</f>
        <v/>
      </c>
    </row>
    <row r="3745" customFormat="false" ht="15" hidden="true" customHeight="false" outlineLevel="0" collapsed="false">
      <c r="A3745" s="53" t="str">
        <f aca="false">IF($H3745="","",ROW()-5)</f>
        <v/>
      </c>
      <c r="B3745" s="64" t="s">
        <v>37</v>
      </c>
      <c r="C3745" s="53" t="n">
        <v>275</v>
      </c>
      <c r="D3745" s="53" t="n">
        <v>2</v>
      </c>
      <c r="E3745" s="65" t="str">
        <f aca="false">IF($H3745="","",资金流水!$B275)</f>
        <v/>
      </c>
      <c r="F3745" s="55" t="str">
        <f aca="false">IF($H3745="","",资金流水!$C275)</f>
        <v/>
      </c>
      <c r="G3745" s="48" t="str">
        <f aca="false">IF($H3745="","",资金流水!$K275)</f>
        <v/>
      </c>
      <c r="H3745" s="10" t="str">
        <f aca="false">IF($L3745="","",IF($L3745="@对方",资金流水!$G275,IF($L3745="@账户",资金流水!$Q275,$L3745)))</f>
        <v/>
      </c>
      <c r="I3745" s="42" t="n">
        <f aca="false">IF($M3745="借",$O3745,0)</f>
        <v>0</v>
      </c>
      <c r="J3745" s="42" t="n">
        <f aca="false">IF($M3745="贷",$O3745,0)</f>
        <v>0</v>
      </c>
      <c r="K3745" s="48" t="str">
        <f aca="false">IF($H3745="","",资金流水!$F275)</f>
        <v/>
      </c>
      <c r="L3745" s="66" t="str">
        <f aca="false">IF(资金流水!$E275="","",IFERROR(INDEX(记账规则!$A$13:$H$32,MATCH(资金流水!$E275,记账规则!$A$13:$A$32,0),6),""))</f>
        <v/>
      </c>
      <c r="M3745" s="66" t="str">
        <f aca="false">IF($L3745="","",IFERROR(INDEX(记账规则!$A$13:$H$32,MATCH(资金流水!$E275,记账规则!$A$13:$A$32,0),7),""))</f>
        <v/>
      </c>
      <c r="N3745" s="66" t="str">
        <f aca="false">IF($L3745="","",IFERROR(INDEX(记账规则!$A$13:$H$32,MATCH(资金流水!$E275,记账规则!$A$13:$A$32,0),8),""))</f>
        <v/>
      </c>
      <c r="O3745" s="67" t="n">
        <f aca="false">IF($H3745="",0,ROUND(IF($N3745="金额",N(资金流水!$P275),0),2))</f>
        <v>0</v>
      </c>
      <c r="P3745" s="64" t="str">
        <f aca="false">IF(AND($H3745&lt;&gt;"",ROUND($O3745,2)&lt;&gt;0),"有","")</f>
        <v/>
      </c>
    </row>
    <row r="3746" customFormat="false" ht="15" hidden="true" customHeight="false" outlineLevel="0" collapsed="false">
      <c r="A3746" s="53" t="str">
        <f aca="false">IF($H3746="","",ROW()-5)</f>
        <v/>
      </c>
      <c r="B3746" s="64" t="s">
        <v>37</v>
      </c>
      <c r="C3746" s="53" t="n">
        <v>276</v>
      </c>
      <c r="D3746" s="53" t="n">
        <v>1</v>
      </c>
      <c r="E3746" s="65" t="str">
        <f aca="false">IF($H3746="","",资金流水!$B276)</f>
        <v/>
      </c>
      <c r="F3746" s="55" t="str">
        <f aca="false">IF($H3746="","",资金流水!$C276)</f>
        <v/>
      </c>
      <c r="G3746" s="48" t="str">
        <f aca="false">IF($H3746="","",资金流水!$K276)</f>
        <v/>
      </c>
      <c r="H3746" s="10" t="str">
        <f aca="false">IF($L3746="","",IF($L3746="@对方",资金流水!$G276,IF($L3746="@账户",资金流水!$Q276,$L3746)))</f>
        <v/>
      </c>
      <c r="I3746" s="42" t="n">
        <f aca="false">IF($M3746="借",$O3746,0)</f>
        <v>0</v>
      </c>
      <c r="J3746" s="42" t="n">
        <f aca="false">IF($M3746="贷",$O3746,0)</f>
        <v>0</v>
      </c>
      <c r="K3746" s="48" t="str">
        <f aca="false">IF($H3746="","",资金流水!$F276)</f>
        <v/>
      </c>
      <c r="L3746" s="66" t="str">
        <f aca="false">IF(资金流水!$E276="","",IFERROR(INDEX(记账规则!$A$13:$H$32,MATCH(资金流水!$E276,记账规则!$A$13:$A$32,0),3),""))</f>
        <v/>
      </c>
      <c r="M3746" s="66" t="str">
        <f aca="false">IF($L3746="","",IFERROR(INDEX(记账规则!$A$13:$H$32,MATCH(资金流水!$E276,记账规则!$A$13:$A$32,0),4),""))</f>
        <v/>
      </c>
      <c r="N3746" s="66" t="str">
        <f aca="false">IF($L3746="","",IFERROR(INDEX(记账规则!$A$13:$H$32,MATCH(资金流水!$E276,记账规则!$A$13:$A$32,0),5),""))</f>
        <v/>
      </c>
      <c r="O3746" s="67" t="n">
        <f aca="false">IF($H3746="",0,ROUND(IF($N3746="金额",N(资金流水!$P276),0),2))</f>
        <v>0</v>
      </c>
      <c r="P3746" s="64" t="str">
        <f aca="false">IF(AND($H3746&lt;&gt;"",ROUND($O3746,2)&lt;&gt;0),"有","")</f>
        <v/>
      </c>
    </row>
    <row r="3747" customFormat="false" ht="15" hidden="true" customHeight="false" outlineLevel="0" collapsed="false">
      <c r="A3747" s="53" t="str">
        <f aca="false">IF($H3747="","",ROW()-5)</f>
        <v/>
      </c>
      <c r="B3747" s="64" t="s">
        <v>37</v>
      </c>
      <c r="C3747" s="53" t="n">
        <v>276</v>
      </c>
      <c r="D3747" s="53" t="n">
        <v>2</v>
      </c>
      <c r="E3747" s="65" t="str">
        <f aca="false">IF($H3747="","",资金流水!$B276)</f>
        <v/>
      </c>
      <c r="F3747" s="55" t="str">
        <f aca="false">IF($H3747="","",资金流水!$C276)</f>
        <v/>
      </c>
      <c r="G3747" s="48" t="str">
        <f aca="false">IF($H3747="","",资金流水!$K276)</f>
        <v/>
      </c>
      <c r="H3747" s="10" t="str">
        <f aca="false">IF($L3747="","",IF($L3747="@对方",资金流水!$G276,IF($L3747="@账户",资金流水!$Q276,$L3747)))</f>
        <v/>
      </c>
      <c r="I3747" s="42" t="n">
        <f aca="false">IF($M3747="借",$O3747,0)</f>
        <v>0</v>
      </c>
      <c r="J3747" s="42" t="n">
        <f aca="false">IF($M3747="贷",$O3747,0)</f>
        <v>0</v>
      </c>
      <c r="K3747" s="48" t="str">
        <f aca="false">IF($H3747="","",资金流水!$F276)</f>
        <v/>
      </c>
      <c r="L3747" s="66" t="str">
        <f aca="false">IF(资金流水!$E276="","",IFERROR(INDEX(记账规则!$A$13:$H$32,MATCH(资金流水!$E276,记账规则!$A$13:$A$32,0),6),""))</f>
        <v/>
      </c>
      <c r="M3747" s="66" t="str">
        <f aca="false">IF($L3747="","",IFERROR(INDEX(记账规则!$A$13:$H$32,MATCH(资金流水!$E276,记账规则!$A$13:$A$32,0),7),""))</f>
        <v/>
      </c>
      <c r="N3747" s="66" t="str">
        <f aca="false">IF($L3747="","",IFERROR(INDEX(记账规则!$A$13:$H$32,MATCH(资金流水!$E276,记账规则!$A$13:$A$32,0),8),""))</f>
        <v/>
      </c>
      <c r="O3747" s="67" t="n">
        <f aca="false">IF($H3747="",0,ROUND(IF($N3747="金额",N(资金流水!$P276),0),2))</f>
        <v>0</v>
      </c>
      <c r="P3747" s="64" t="str">
        <f aca="false">IF(AND($H3747&lt;&gt;"",ROUND($O3747,2)&lt;&gt;0),"有","")</f>
        <v/>
      </c>
    </row>
    <row r="3748" customFormat="false" ht="15" hidden="true" customHeight="false" outlineLevel="0" collapsed="false">
      <c r="A3748" s="53" t="str">
        <f aca="false">IF($H3748="","",ROW()-5)</f>
        <v/>
      </c>
      <c r="B3748" s="64" t="s">
        <v>37</v>
      </c>
      <c r="C3748" s="53" t="n">
        <v>277</v>
      </c>
      <c r="D3748" s="53" t="n">
        <v>1</v>
      </c>
      <c r="E3748" s="65" t="str">
        <f aca="false">IF($H3748="","",资金流水!$B277)</f>
        <v/>
      </c>
      <c r="F3748" s="55" t="str">
        <f aca="false">IF($H3748="","",资金流水!$C277)</f>
        <v/>
      </c>
      <c r="G3748" s="48" t="str">
        <f aca="false">IF($H3748="","",资金流水!$K277)</f>
        <v/>
      </c>
      <c r="H3748" s="10" t="str">
        <f aca="false">IF($L3748="","",IF($L3748="@对方",资金流水!$G277,IF($L3748="@账户",资金流水!$Q277,$L3748)))</f>
        <v/>
      </c>
      <c r="I3748" s="42" t="n">
        <f aca="false">IF($M3748="借",$O3748,0)</f>
        <v>0</v>
      </c>
      <c r="J3748" s="42" t="n">
        <f aca="false">IF($M3748="贷",$O3748,0)</f>
        <v>0</v>
      </c>
      <c r="K3748" s="48" t="str">
        <f aca="false">IF($H3748="","",资金流水!$F277)</f>
        <v/>
      </c>
      <c r="L3748" s="66" t="str">
        <f aca="false">IF(资金流水!$E277="","",IFERROR(INDEX(记账规则!$A$13:$H$32,MATCH(资金流水!$E277,记账规则!$A$13:$A$32,0),3),""))</f>
        <v/>
      </c>
      <c r="M3748" s="66" t="str">
        <f aca="false">IF($L3748="","",IFERROR(INDEX(记账规则!$A$13:$H$32,MATCH(资金流水!$E277,记账规则!$A$13:$A$32,0),4),""))</f>
        <v/>
      </c>
      <c r="N3748" s="66" t="str">
        <f aca="false">IF($L3748="","",IFERROR(INDEX(记账规则!$A$13:$H$32,MATCH(资金流水!$E277,记账规则!$A$13:$A$32,0),5),""))</f>
        <v/>
      </c>
      <c r="O3748" s="67" t="n">
        <f aca="false">IF($H3748="",0,ROUND(IF($N3748="金额",N(资金流水!$P277),0),2))</f>
        <v>0</v>
      </c>
      <c r="P3748" s="64" t="str">
        <f aca="false">IF(AND($H3748&lt;&gt;"",ROUND($O3748,2)&lt;&gt;0),"有","")</f>
        <v/>
      </c>
    </row>
    <row r="3749" customFormat="false" ht="15" hidden="true" customHeight="false" outlineLevel="0" collapsed="false">
      <c r="A3749" s="53" t="str">
        <f aca="false">IF($H3749="","",ROW()-5)</f>
        <v/>
      </c>
      <c r="B3749" s="64" t="s">
        <v>37</v>
      </c>
      <c r="C3749" s="53" t="n">
        <v>277</v>
      </c>
      <c r="D3749" s="53" t="n">
        <v>2</v>
      </c>
      <c r="E3749" s="65" t="str">
        <f aca="false">IF($H3749="","",资金流水!$B277)</f>
        <v/>
      </c>
      <c r="F3749" s="55" t="str">
        <f aca="false">IF($H3749="","",资金流水!$C277)</f>
        <v/>
      </c>
      <c r="G3749" s="48" t="str">
        <f aca="false">IF($H3749="","",资金流水!$K277)</f>
        <v/>
      </c>
      <c r="H3749" s="10" t="str">
        <f aca="false">IF($L3749="","",IF($L3749="@对方",资金流水!$G277,IF($L3749="@账户",资金流水!$Q277,$L3749)))</f>
        <v/>
      </c>
      <c r="I3749" s="42" t="n">
        <f aca="false">IF($M3749="借",$O3749,0)</f>
        <v>0</v>
      </c>
      <c r="J3749" s="42" t="n">
        <f aca="false">IF($M3749="贷",$O3749,0)</f>
        <v>0</v>
      </c>
      <c r="K3749" s="48" t="str">
        <f aca="false">IF($H3749="","",资金流水!$F277)</f>
        <v/>
      </c>
      <c r="L3749" s="66" t="str">
        <f aca="false">IF(资金流水!$E277="","",IFERROR(INDEX(记账规则!$A$13:$H$32,MATCH(资金流水!$E277,记账规则!$A$13:$A$32,0),6),""))</f>
        <v/>
      </c>
      <c r="M3749" s="66" t="str">
        <f aca="false">IF($L3749="","",IFERROR(INDEX(记账规则!$A$13:$H$32,MATCH(资金流水!$E277,记账规则!$A$13:$A$32,0),7),""))</f>
        <v/>
      </c>
      <c r="N3749" s="66" t="str">
        <f aca="false">IF($L3749="","",IFERROR(INDEX(记账规则!$A$13:$H$32,MATCH(资金流水!$E277,记账规则!$A$13:$A$32,0),8),""))</f>
        <v/>
      </c>
      <c r="O3749" s="67" t="n">
        <f aca="false">IF($H3749="",0,ROUND(IF($N3749="金额",N(资金流水!$P277),0),2))</f>
        <v>0</v>
      </c>
      <c r="P3749" s="64" t="str">
        <f aca="false">IF(AND($H3749&lt;&gt;"",ROUND($O3749,2)&lt;&gt;0),"有","")</f>
        <v/>
      </c>
    </row>
    <row r="3750" customFormat="false" ht="15" hidden="true" customHeight="false" outlineLevel="0" collapsed="false">
      <c r="A3750" s="53" t="str">
        <f aca="false">IF($H3750="","",ROW()-5)</f>
        <v/>
      </c>
      <c r="B3750" s="64" t="s">
        <v>37</v>
      </c>
      <c r="C3750" s="53" t="n">
        <v>278</v>
      </c>
      <c r="D3750" s="53" t="n">
        <v>1</v>
      </c>
      <c r="E3750" s="65" t="str">
        <f aca="false">IF($H3750="","",资金流水!$B278)</f>
        <v/>
      </c>
      <c r="F3750" s="55" t="str">
        <f aca="false">IF($H3750="","",资金流水!$C278)</f>
        <v/>
      </c>
      <c r="G3750" s="48" t="str">
        <f aca="false">IF($H3750="","",资金流水!$K278)</f>
        <v/>
      </c>
      <c r="H3750" s="10" t="str">
        <f aca="false">IF($L3750="","",IF($L3750="@对方",资金流水!$G278,IF($L3750="@账户",资金流水!$Q278,$L3750)))</f>
        <v/>
      </c>
      <c r="I3750" s="42" t="n">
        <f aca="false">IF($M3750="借",$O3750,0)</f>
        <v>0</v>
      </c>
      <c r="J3750" s="42" t="n">
        <f aca="false">IF($M3750="贷",$O3750,0)</f>
        <v>0</v>
      </c>
      <c r="K3750" s="48" t="str">
        <f aca="false">IF($H3750="","",资金流水!$F278)</f>
        <v/>
      </c>
      <c r="L3750" s="66" t="str">
        <f aca="false">IF(资金流水!$E278="","",IFERROR(INDEX(记账规则!$A$13:$H$32,MATCH(资金流水!$E278,记账规则!$A$13:$A$32,0),3),""))</f>
        <v/>
      </c>
      <c r="M3750" s="66" t="str">
        <f aca="false">IF($L3750="","",IFERROR(INDEX(记账规则!$A$13:$H$32,MATCH(资金流水!$E278,记账规则!$A$13:$A$32,0),4),""))</f>
        <v/>
      </c>
      <c r="N3750" s="66" t="str">
        <f aca="false">IF($L3750="","",IFERROR(INDEX(记账规则!$A$13:$H$32,MATCH(资金流水!$E278,记账规则!$A$13:$A$32,0),5),""))</f>
        <v/>
      </c>
      <c r="O3750" s="67" t="n">
        <f aca="false">IF($H3750="",0,ROUND(IF($N3750="金额",N(资金流水!$P278),0),2))</f>
        <v>0</v>
      </c>
      <c r="P3750" s="64" t="str">
        <f aca="false">IF(AND($H3750&lt;&gt;"",ROUND($O3750,2)&lt;&gt;0),"有","")</f>
        <v/>
      </c>
    </row>
    <row r="3751" customFormat="false" ht="15" hidden="true" customHeight="false" outlineLevel="0" collapsed="false">
      <c r="A3751" s="53" t="str">
        <f aca="false">IF($H3751="","",ROW()-5)</f>
        <v/>
      </c>
      <c r="B3751" s="64" t="s">
        <v>37</v>
      </c>
      <c r="C3751" s="53" t="n">
        <v>278</v>
      </c>
      <c r="D3751" s="53" t="n">
        <v>2</v>
      </c>
      <c r="E3751" s="65" t="str">
        <f aca="false">IF($H3751="","",资金流水!$B278)</f>
        <v/>
      </c>
      <c r="F3751" s="55" t="str">
        <f aca="false">IF($H3751="","",资金流水!$C278)</f>
        <v/>
      </c>
      <c r="G3751" s="48" t="str">
        <f aca="false">IF($H3751="","",资金流水!$K278)</f>
        <v/>
      </c>
      <c r="H3751" s="10" t="str">
        <f aca="false">IF($L3751="","",IF($L3751="@对方",资金流水!$G278,IF($L3751="@账户",资金流水!$Q278,$L3751)))</f>
        <v/>
      </c>
      <c r="I3751" s="42" t="n">
        <f aca="false">IF($M3751="借",$O3751,0)</f>
        <v>0</v>
      </c>
      <c r="J3751" s="42" t="n">
        <f aca="false">IF($M3751="贷",$O3751,0)</f>
        <v>0</v>
      </c>
      <c r="K3751" s="48" t="str">
        <f aca="false">IF($H3751="","",资金流水!$F278)</f>
        <v/>
      </c>
      <c r="L3751" s="66" t="str">
        <f aca="false">IF(资金流水!$E278="","",IFERROR(INDEX(记账规则!$A$13:$H$32,MATCH(资金流水!$E278,记账规则!$A$13:$A$32,0),6),""))</f>
        <v/>
      </c>
      <c r="M3751" s="66" t="str">
        <f aca="false">IF($L3751="","",IFERROR(INDEX(记账规则!$A$13:$H$32,MATCH(资金流水!$E278,记账规则!$A$13:$A$32,0),7),""))</f>
        <v/>
      </c>
      <c r="N3751" s="66" t="str">
        <f aca="false">IF($L3751="","",IFERROR(INDEX(记账规则!$A$13:$H$32,MATCH(资金流水!$E278,记账规则!$A$13:$A$32,0),8),""))</f>
        <v/>
      </c>
      <c r="O3751" s="67" t="n">
        <f aca="false">IF($H3751="",0,ROUND(IF($N3751="金额",N(资金流水!$P278),0),2))</f>
        <v>0</v>
      </c>
      <c r="P3751" s="64" t="str">
        <f aca="false">IF(AND($H3751&lt;&gt;"",ROUND($O3751,2)&lt;&gt;0),"有","")</f>
        <v/>
      </c>
    </row>
    <row r="3752" customFormat="false" ht="15" hidden="true" customHeight="false" outlineLevel="0" collapsed="false">
      <c r="A3752" s="53" t="str">
        <f aca="false">IF($H3752="","",ROW()-5)</f>
        <v/>
      </c>
      <c r="B3752" s="64" t="s">
        <v>37</v>
      </c>
      <c r="C3752" s="53" t="n">
        <v>279</v>
      </c>
      <c r="D3752" s="53" t="n">
        <v>1</v>
      </c>
      <c r="E3752" s="65" t="str">
        <f aca="false">IF($H3752="","",资金流水!$B279)</f>
        <v/>
      </c>
      <c r="F3752" s="55" t="str">
        <f aca="false">IF($H3752="","",资金流水!$C279)</f>
        <v/>
      </c>
      <c r="G3752" s="48" t="str">
        <f aca="false">IF($H3752="","",资金流水!$K279)</f>
        <v/>
      </c>
      <c r="H3752" s="10" t="str">
        <f aca="false">IF($L3752="","",IF($L3752="@对方",资金流水!$G279,IF($L3752="@账户",资金流水!$Q279,$L3752)))</f>
        <v/>
      </c>
      <c r="I3752" s="42" t="n">
        <f aca="false">IF($M3752="借",$O3752,0)</f>
        <v>0</v>
      </c>
      <c r="J3752" s="42" t="n">
        <f aca="false">IF($M3752="贷",$O3752,0)</f>
        <v>0</v>
      </c>
      <c r="K3752" s="48" t="str">
        <f aca="false">IF($H3752="","",资金流水!$F279)</f>
        <v/>
      </c>
      <c r="L3752" s="66" t="str">
        <f aca="false">IF(资金流水!$E279="","",IFERROR(INDEX(记账规则!$A$13:$H$32,MATCH(资金流水!$E279,记账规则!$A$13:$A$32,0),3),""))</f>
        <v/>
      </c>
      <c r="M3752" s="66" t="str">
        <f aca="false">IF($L3752="","",IFERROR(INDEX(记账规则!$A$13:$H$32,MATCH(资金流水!$E279,记账规则!$A$13:$A$32,0),4),""))</f>
        <v/>
      </c>
      <c r="N3752" s="66" t="str">
        <f aca="false">IF($L3752="","",IFERROR(INDEX(记账规则!$A$13:$H$32,MATCH(资金流水!$E279,记账规则!$A$13:$A$32,0),5),""))</f>
        <v/>
      </c>
      <c r="O3752" s="67" t="n">
        <f aca="false">IF($H3752="",0,ROUND(IF($N3752="金额",N(资金流水!$P279),0),2))</f>
        <v>0</v>
      </c>
      <c r="P3752" s="64" t="str">
        <f aca="false">IF(AND($H3752&lt;&gt;"",ROUND($O3752,2)&lt;&gt;0),"有","")</f>
        <v/>
      </c>
    </row>
    <row r="3753" customFormat="false" ht="15" hidden="true" customHeight="false" outlineLevel="0" collapsed="false">
      <c r="A3753" s="53" t="str">
        <f aca="false">IF($H3753="","",ROW()-5)</f>
        <v/>
      </c>
      <c r="B3753" s="64" t="s">
        <v>37</v>
      </c>
      <c r="C3753" s="53" t="n">
        <v>279</v>
      </c>
      <c r="D3753" s="53" t="n">
        <v>2</v>
      </c>
      <c r="E3753" s="65" t="str">
        <f aca="false">IF($H3753="","",资金流水!$B279)</f>
        <v/>
      </c>
      <c r="F3753" s="55" t="str">
        <f aca="false">IF($H3753="","",资金流水!$C279)</f>
        <v/>
      </c>
      <c r="G3753" s="48" t="str">
        <f aca="false">IF($H3753="","",资金流水!$K279)</f>
        <v/>
      </c>
      <c r="H3753" s="10" t="str">
        <f aca="false">IF($L3753="","",IF($L3753="@对方",资金流水!$G279,IF($L3753="@账户",资金流水!$Q279,$L3753)))</f>
        <v/>
      </c>
      <c r="I3753" s="42" t="n">
        <f aca="false">IF($M3753="借",$O3753,0)</f>
        <v>0</v>
      </c>
      <c r="J3753" s="42" t="n">
        <f aca="false">IF($M3753="贷",$O3753,0)</f>
        <v>0</v>
      </c>
      <c r="K3753" s="48" t="str">
        <f aca="false">IF($H3753="","",资金流水!$F279)</f>
        <v/>
      </c>
      <c r="L3753" s="66" t="str">
        <f aca="false">IF(资金流水!$E279="","",IFERROR(INDEX(记账规则!$A$13:$H$32,MATCH(资金流水!$E279,记账规则!$A$13:$A$32,0),6),""))</f>
        <v/>
      </c>
      <c r="M3753" s="66" t="str">
        <f aca="false">IF($L3753="","",IFERROR(INDEX(记账规则!$A$13:$H$32,MATCH(资金流水!$E279,记账规则!$A$13:$A$32,0),7),""))</f>
        <v/>
      </c>
      <c r="N3753" s="66" t="str">
        <f aca="false">IF($L3753="","",IFERROR(INDEX(记账规则!$A$13:$H$32,MATCH(资金流水!$E279,记账规则!$A$13:$A$32,0),8),""))</f>
        <v/>
      </c>
      <c r="O3753" s="67" t="n">
        <f aca="false">IF($H3753="",0,ROUND(IF($N3753="金额",N(资金流水!$P279),0),2))</f>
        <v>0</v>
      </c>
      <c r="P3753" s="64" t="str">
        <f aca="false">IF(AND($H3753&lt;&gt;"",ROUND($O3753,2)&lt;&gt;0),"有","")</f>
        <v/>
      </c>
    </row>
    <row r="3754" customFormat="false" ht="15" hidden="true" customHeight="false" outlineLevel="0" collapsed="false">
      <c r="A3754" s="53" t="str">
        <f aca="false">IF($H3754="","",ROW()-5)</f>
        <v/>
      </c>
      <c r="B3754" s="64" t="s">
        <v>37</v>
      </c>
      <c r="C3754" s="53" t="n">
        <v>280</v>
      </c>
      <c r="D3754" s="53" t="n">
        <v>1</v>
      </c>
      <c r="E3754" s="65" t="str">
        <f aca="false">IF($H3754="","",资金流水!$B280)</f>
        <v/>
      </c>
      <c r="F3754" s="55" t="str">
        <f aca="false">IF($H3754="","",资金流水!$C280)</f>
        <v/>
      </c>
      <c r="G3754" s="48" t="str">
        <f aca="false">IF($H3754="","",资金流水!$K280)</f>
        <v/>
      </c>
      <c r="H3754" s="10" t="str">
        <f aca="false">IF($L3754="","",IF($L3754="@对方",资金流水!$G280,IF($L3754="@账户",资金流水!$Q280,$L3754)))</f>
        <v/>
      </c>
      <c r="I3754" s="42" t="n">
        <f aca="false">IF($M3754="借",$O3754,0)</f>
        <v>0</v>
      </c>
      <c r="J3754" s="42" t="n">
        <f aca="false">IF($M3754="贷",$O3754,0)</f>
        <v>0</v>
      </c>
      <c r="K3754" s="48" t="str">
        <f aca="false">IF($H3754="","",资金流水!$F280)</f>
        <v/>
      </c>
      <c r="L3754" s="66" t="str">
        <f aca="false">IF(资金流水!$E280="","",IFERROR(INDEX(记账规则!$A$13:$H$32,MATCH(资金流水!$E280,记账规则!$A$13:$A$32,0),3),""))</f>
        <v/>
      </c>
      <c r="M3754" s="66" t="str">
        <f aca="false">IF($L3754="","",IFERROR(INDEX(记账规则!$A$13:$H$32,MATCH(资金流水!$E280,记账规则!$A$13:$A$32,0),4),""))</f>
        <v/>
      </c>
      <c r="N3754" s="66" t="str">
        <f aca="false">IF($L3754="","",IFERROR(INDEX(记账规则!$A$13:$H$32,MATCH(资金流水!$E280,记账规则!$A$13:$A$32,0),5),""))</f>
        <v/>
      </c>
      <c r="O3754" s="67" t="n">
        <f aca="false">IF($H3754="",0,ROUND(IF($N3754="金额",N(资金流水!$P280),0),2))</f>
        <v>0</v>
      </c>
      <c r="P3754" s="64" t="str">
        <f aca="false">IF(AND($H3754&lt;&gt;"",ROUND($O3754,2)&lt;&gt;0),"有","")</f>
        <v/>
      </c>
    </row>
    <row r="3755" customFormat="false" ht="15" hidden="true" customHeight="false" outlineLevel="0" collapsed="false">
      <c r="A3755" s="53" t="str">
        <f aca="false">IF($H3755="","",ROW()-5)</f>
        <v/>
      </c>
      <c r="B3755" s="64" t="s">
        <v>37</v>
      </c>
      <c r="C3755" s="53" t="n">
        <v>280</v>
      </c>
      <c r="D3755" s="53" t="n">
        <v>2</v>
      </c>
      <c r="E3755" s="65" t="str">
        <f aca="false">IF($H3755="","",资金流水!$B280)</f>
        <v/>
      </c>
      <c r="F3755" s="55" t="str">
        <f aca="false">IF($H3755="","",资金流水!$C280)</f>
        <v/>
      </c>
      <c r="G3755" s="48" t="str">
        <f aca="false">IF($H3755="","",资金流水!$K280)</f>
        <v/>
      </c>
      <c r="H3755" s="10" t="str">
        <f aca="false">IF($L3755="","",IF($L3755="@对方",资金流水!$G280,IF($L3755="@账户",资金流水!$Q280,$L3755)))</f>
        <v/>
      </c>
      <c r="I3755" s="42" t="n">
        <f aca="false">IF($M3755="借",$O3755,0)</f>
        <v>0</v>
      </c>
      <c r="J3755" s="42" t="n">
        <f aca="false">IF($M3755="贷",$O3755,0)</f>
        <v>0</v>
      </c>
      <c r="K3755" s="48" t="str">
        <f aca="false">IF($H3755="","",资金流水!$F280)</f>
        <v/>
      </c>
      <c r="L3755" s="66" t="str">
        <f aca="false">IF(资金流水!$E280="","",IFERROR(INDEX(记账规则!$A$13:$H$32,MATCH(资金流水!$E280,记账规则!$A$13:$A$32,0),6),""))</f>
        <v/>
      </c>
      <c r="M3755" s="66" t="str">
        <f aca="false">IF($L3755="","",IFERROR(INDEX(记账规则!$A$13:$H$32,MATCH(资金流水!$E280,记账规则!$A$13:$A$32,0),7),""))</f>
        <v/>
      </c>
      <c r="N3755" s="66" t="str">
        <f aca="false">IF($L3755="","",IFERROR(INDEX(记账规则!$A$13:$H$32,MATCH(资金流水!$E280,记账规则!$A$13:$A$32,0),8),""))</f>
        <v/>
      </c>
      <c r="O3755" s="67" t="n">
        <f aca="false">IF($H3755="",0,ROUND(IF($N3755="金额",N(资金流水!$P280),0),2))</f>
        <v>0</v>
      </c>
      <c r="P3755" s="64" t="str">
        <f aca="false">IF(AND($H3755&lt;&gt;"",ROUND($O3755,2)&lt;&gt;0),"有","")</f>
        <v/>
      </c>
    </row>
    <row r="3756" customFormat="false" ht="15" hidden="true" customHeight="false" outlineLevel="0" collapsed="false">
      <c r="A3756" s="53" t="str">
        <f aca="false">IF($H3756="","",ROW()-5)</f>
        <v/>
      </c>
      <c r="B3756" s="64" t="s">
        <v>37</v>
      </c>
      <c r="C3756" s="53" t="n">
        <v>281</v>
      </c>
      <c r="D3756" s="53" t="n">
        <v>1</v>
      </c>
      <c r="E3756" s="65" t="str">
        <f aca="false">IF($H3756="","",资金流水!$B281)</f>
        <v/>
      </c>
      <c r="F3756" s="55" t="str">
        <f aca="false">IF($H3756="","",资金流水!$C281)</f>
        <v/>
      </c>
      <c r="G3756" s="48" t="str">
        <f aca="false">IF($H3756="","",资金流水!$K281)</f>
        <v/>
      </c>
      <c r="H3756" s="10" t="str">
        <f aca="false">IF($L3756="","",IF($L3756="@对方",资金流水!$G281,IF($L3756="@账户",资金流水!$Q281,$L3756)))</f>
        <v/>
      </c>
      <c r="I3756" s="42" t="n">
        <f aca="false">IF($M3756="借",$O3756,0)</f>
        <v>0</v>
      </c>
      <c r="J3756" s="42" t="n">
        <f aca="false">IF($M3756="贷",$O3756,0)</f>
        <v>0</v>
      </c>
      <c r="K3756" s="48" t="str">
        <f aca="false">IF($H3756="","",资金流水!$F281)</f>
        <v/>
      </c>
      <c r="L3756" s="66" t="str">
        <f aca="false">IF(资金流水!$E281="","",IFERROR(INDEX(记账规则!$A$13:$H$32,MATCH(资金流水!$E281,记账规则!$A$13:$A$32,0),3),""))</f>
        <v/>
      </c>
      <c r="M3756" s="66" t="str">
        <f aca="false">IF($L3756="","",IFERROR(INDEX(记账规则!$A$13:$H$32,MATCH(资金流水!$E281,记账规则!$A$13:$A$32,0),4),""))</f>
        <v/>
      </c>
      <c r="N3756" s="66" t="str">
        <f aca="false">IF($L3756="","",IFERROR(INDEX(记账规则!$A$13:$H$32,MATCH(资金流水!$E281,记账规则!$A$13:$A$32,0),5),""))</f>
        <v/>
      </c>
      <c r="O3756" s="67" t="n">
        <f aca="false">IF($H3756="",0,ROUND(IF($N3756="金额",N(资金流水!$P281),0),2))</f>
        <v>0</v>
      </c>
      <c r="P3756" s="64" t="str">
        <f aca="false">IF(AND($H3756&lt;&gt;"",ROUND($O3756,2)&lt;&gt;0),"有","")</f>
        <v/>
      </c>
    </row>
    <row r="3757" customFormat="false" ht="15" hidden="true" customHeight="false" outlineLevel="0" collapsed="false">
      <c r="A3757" s="53" t="str">
        <f aca="false">IF($H3757="","",ROW()-5)</f>
        <v/>
      </c>
      <c r="B3757" s="64" t="s">
        <v>37</v>
      </c>
      <c r="C3757" s="53" t="n">
        <v>281</v>
      </c>
      <c r="D3757" s="53" t="n">
        <v>2</v>
      </c>
      <c r="E3757" s="65" t="str">
        <f aca="false">IF($H3757="","",资金流水!$B281)</f>
        <v/>
      </c>
      <c r="F3757" s="55" t="str">
        <f aca="false">IF($H3757="","",资金流水!$C281)</f>
        <v/>
      </c>
      <c r="G3757" s="48" t="str">
        <f aca="false">IF($H3757="","",资金流水!$K281)</f>
        <v/>
      </c>
      <c r="H3757" s="10" t="str">
        <f aca="false">IF($L3757="","",IF($L3757="@对方",资金流水!$G281,IF($L3757="@账户",资金流水!$Q281,$L3757)))</f>
        <v/>
      </c>
      <c r="I3757" s="42" t="n">
        <f aca="false">IF($M3757="借",$O3757,0)</f>
        <v>0</v>
      </c>
      <c r="J3757" s="42" t="n">
        <f aca="false">IF($M3757="贷",$O3757,0)</f>
        <v>0</v>
      </c>
      <c r="K3757" s="48" t="str">
        <f aca="false">IF($H3757="","",资金流水!$F281)</f>
        <v/>
      </c>
      <c r="L3757" s="66" t="str">
        <f aca="false">IF(资金流水!$E281="","",IFERROR(INDEX(记账规则!$A$13:$H$32,MATCH(资金流水!$E281,记账规则!$A$13:$A$32,0),6),""))</f>
        <v/>
      </c>
      <c r="M3757" s="66" t="str">
        <f aca="false">IF($L3757="","",IFERROR(INDEX(记账规则!$A$13:$H$32,MATCH(资金流水!$E281,记账规则!$A$13:$A$32,0),7),""))</f>
        <v/>
      </c>
      <c r="N3757" s="66" t="str">
        <f aca="false">IF($L3757="","",IFERROR(INDEX(记账规则!$A$13:$H$32,MATCH(资金流水!$E281,记账规则!$A$13:$A$32,0),8),""))</f>
        <v/>
      </c>
      <c r="O3757" s="67" t="n">
        <f aca="false">IF($H3757="",0,ROUND(IF($N3757="金额",N(资金流水!$P281),0),2))</f>
        <v>0</v>
      </c>
      <c r="P3757" s="64" t="str">
        <f aca="false">IF(AND($H3757&lt;&gt;"",ROUND($O3757,2)&lt;&gt;0),"有","")</f>
        <v/>
      </c>
    </row>
    <row r="3758" customFormat="false" ht="15" hidden="true" customHeight="false" outlineLevel="0" collapsed="false">
      <c r="A3758" s="53" t="str">
        <f aca="false">IF($H3758="","",ROW()-5)</f>
        <v/>
      </c>
      <c r="B3758" s="64" t="s">
        <v>37</v>
      </c>
      <c r="C3758" s="53" t="n">
        <v>282</v>
      </c>
      <c r="D3758" s="53" t="n">
        <v>1</v>
      </c>
      <c r="E3758" s="65" t="str">
        <f aca="false">IF($H3758="","",资金流水!$B282)</f>
        <v/>
      </c>
      <c r="F3758" s="55" t="str">
        <f aca="false">IF($H3758="","",资金流水!$C282)</f>
        <v/>
      </c>
      <c r="G3758" s="48" t="str">
        <f aca="false">IF($H3758="","",资金流水!$K282)</f>
        <v/>
      </c>
      <c r="H3758" s="10" t="str">
        <f aca="false">IF($L3758="","",IF($L3758="@对方",资金流水!$G282,IF($L3758="@账户",资金流水!$Q282,$L3758)))</f>
        <v/>
      </c>
      <c r="I3758" s="42" t="n">
        <f aca="false">IF($M3758="借",$O3758,0)</f>
        <v>0</v>
      </c>
      <c r="J3758" s="42" t="n">
        <f aca="false">IF($M3758="贷",$O3758,0)</f>
        <v>0</v>
      </c>
      <c r="K3758" s="48" t="str">
        <f aca="false">IF($H3758="","",资金流水!$F282)</f>
        <v/>
      </c>
      <c r="L3758" s="66" t="str">
        <f aca="false">IF(资金流水!$E282="","",IFERROR(INDEX(记账规则!$A$13:$H$32,MATCH(资金流水!$E282,记账规则!$A$13:$A$32,0),3),""))</f>
        <v/>
      </c>
      <c r="M3758" s="66" t="str">
        <f aca="false">IF($L3758="","",IFERROR(INDEX(记账规则!$A$13:$H$32,MATCH(资金流水!$E282,记账规则!$A$13:$A$32,0),4),""))</f>
        <v/>
      </c>
      <c r="N3758" s="66" t="str">
        <f aca="false">IF($L3758="","",IFERROR(INDEX(记账规则!$A$13:$H$32,MATCH(资金流水!$E282,记账规则!$A$13:$A$32,0),5),""))</f>
        <v/>
      </c>
      <c r="O3758" s="67" t="n">
        <f aca="false">IF($H3758="",0,ROUND(IF($N3758="金额",N(资金流水!$P282),0),2))</f>
        <v>0</v>
      </c>
      <c r="P3758" s="64" t="str">
        <f aca="false">IF(AND($H3758&lt;&gt;"",ROUND($O3758,2)&lt;&gt;0),"有","")</f>
        <v/>
      </c>
    </row>
    <row r="3759" customFormat="false" ht="15" hidden="true" customHeight="false" outlineLevel="0" collapsed="false">
      <c r="A3759" s="53" t="str">
        <f aca="false">IF($H3759="","",ROW()-5)</f>
        <v/>
      </c>
      <c r="B3759" s="64" t="s">
        <v>37</v>
      </c>
      <c r="C3759" s="53" t="n">
        <v>282</v>
      </c>
      <c r="D3759" s="53" t="n">
        <v>2</v>
      </c>
      <c r="E3759" s="65" t="str">
        <f aca="false">IF($H3759="","",资金流水!$B282)</f>
        <v/>
      </c>
      <c r="F3759" s="55" t="str">
        <f aca="false">IF($H3759="","",资金流水!$C282)</f>
        <v/>
      </c>
      <c r="G3759" s="48" t="str">
        <f aca="false">IF($H3759="","",资金流水!$K282)</f>
        <v/>
      </c>
      <c r="H3759" s="10" t="str">
        <f aca="false">IF($L3759="","",IF($L3759="@对方",资金流水!$G282,IF($L3759="@账户",资金流水!$Q282,$L3759)))</f>
        <v/>
      </c>
      <c r="I3759" s="42" t="n">
        <f aca="false">IF($M3759="借",$O3759,0)</f>
        <v>0</v>
      </c>
      <c r="J3759" s="42" t="n">
        <f aca="false">IF($M3759="贷",$O3759,0)</f>
        <v>0</v>
      </c>
      <c r="K3759" s="48" t="str">
        <f aca="false">IF($H3759="","",资金流水!$F282)</f>
        <v/>
      </c>
      <c r="L3759" s="66" t="str">
        <f aca="false">IF(资金流水!$E282="","",IFERROR(INDEX(记账规则!$A$13:$H$32,MATCH(资金流水!$E282,记账规则!$A$13:$A$32,0),6),""))</f>
        <v/>
      </c>
      <c r="M3759" s="66" t="str">
        <f aca="false">IF($L3759="","",IFERROR(INDEX(记账规则!$A$13:$H$32,MATCH(资金流水!$E282,记账规则!$A$13:$A$32,0),7),""))</f>
        <v/>
      </c>
      <c r="N3759" s="66" t="str">
        <f aca="false">IF($L3759="","",IFERROR(INDEX(记账规则!$A$13:$H$32,MATCH(资金流水!$E282,记账规则!$A$13:$A$32,0),8),""))</f>
        <v/>
      </c>
      <c r="O3759" s="67" t="n">
        <f aca="false">IF($H3759="",0,ROUND(IF($N3759="金额",N(资金流水!$P282),0),2))</f>
        <v>0</v>
      </c>
      <c r="P3759" s="64" t="str">
        <f aca="false">IF(AND($H3759&lt;&gt;"",ROUND($O3759,2)&lt;&gt;0),"有","")</f>
        <v/>
      </c>
    </row>
    <row r="3760" customFormat="false" ht="15" hidden="true" customHeight="false" outlineLevel="0" collapsed="false">
      <c r="A3760" s="53" t="str">
        <f aca="false">IF($H3760="","",ROW()-5)</f>
        <v/>
      </c>
      <c r="B3760" s="64" t="s">
        <v>37</v>
      </c>
      <c r="C3760" s="53" t="n">
        <v>283</v>
      </c>
      <c r="D3760" s="53" t="n">
        <v>1</v>
      </c>
      <c r="E3760" s="65" t="str">
        <f aca="false">IF($H3760="","",资金流水!$B283)</f>
        <v/>
      </c>
      <c r="F3760" s="55" t="str">
        <f aca="false">IF($H3760="","",资金流水!$C283)</f>
        <v/>
      </c>
      <c r="G3760" s="48" t="str">
        <f aca="false">IF($H3760="","",资金流水!$K283)</f>
        <v/>
      </c>
      <c r="H3760" s="10" t="str">
        <f aca="false">IF($L3760="","",IF($L3760="@对方",资金流水!$G283,IF($L3760="@账户",资金流水!$Q283,$L3760)))</f>
        <v/>
      </c>
      <c r="I3760" s="42" t="n">
        <f aca="false">IF($M3760="借",$O3760,0)</f>
        <v>0</v>
      </c>
      <c r="J3760" s="42" t="n">
        <f aca="false">IF($M3760="贷",$O3760,0)</f>
        <v>0</v>
      </c>
      <c r="K3760" s="48" t="str">
        <f aca="false">IF($H3760="","",资金流水!$F283)</f>
        <v/>
      </c>
      <c r="L3760" s="66" t="str">
        <f aca="false">IF(资金流水!$E283="","",IFERROR(INDEX(记账规则!$A$13:$H$32,MATCH(资金流水!$E283,记账规则!$A$13:$A$32,0),3),""))</f>
        <v/>
      </c>
      <c r="M3760" s="66" t="str">
        <f aca="false">IF($L3760="","",IFERROR(INDEX(记账规则!$A$13:$H$32,MATCH(资金流水!$E283,记账规则!$A$13:$A$32,0),4),""))</f>
        <v/>
      </c>
      <c r="N3760" s="66" t="str">
        <f aca="false">IF($L3760="","",IFERROR(INDEX(记账规则!$A$13:$H$32,MATCH(资金流水!$E283,记账规则!$A$13:$A$32,0),5),""))</f>
        <v/>
      </c>
      <c r="O3760" s="67" t="n">
        <f aca="false">IF($H3760="",0,ROUND(IF($N3760="金额",N(资金流水!$P283),0),2))</f>
        <v>0</v>
      </c>
      <c r="P3760" s="64" t="str">
        <f aca="false">IF(AND($H3760&lt;&gt;"",ROUND($O3760,2)&lt;&gt;0),"有","")</f>
        <v/>
      </c>
    </row>
    <row r="3761" customFormat="false" ht="15" hidden="true" customHeight="false" outlineLevel="0" collapsed="false">
      <c r="A3761" s="53" t="str">
        <f aca="false">IF($H3761="","",ROW()-5)</f>
        <v/>
      </c>
      <c r="B3761" s="64" t="s">
        <v>37</v>
      </c>
      <c r="C3761" s="53" t="n">
        <v>283</v>
      </c>
      <c r="D3761" s="53" t="n">
        <v>2</v>
      </c>
      <c r="E3761" s="65" t="str">
        <f aca="false">IF($H3761="","",资金流水!$B283)</f>
        <v/>
      </c>
      <c r="F3761" s="55" t="str">
        <f aca="false">IF($H3761="","",资金流水!$C283)</f>
        <v/>
      </c>
      <c r="G3761" s="48" t="str">
        <f aca="false">IF($H3761="","",资金流水!$K283)</f>
        <v/>
      </c>
      <c r="H3761" s="10" t="str">
        <f aca="false">IF($L3761="","",IF($L3761="@对方",资金流水!$G283,IF($L3761="@账户",资金流水!$Q283,$L3761)))</f>
        <v/>
      </c>
      <c r="I3761" s="42" t="n">
        <f aca="false">IF($M3761="借",$O3761,0)</f>
        <v>0</v>
      </c>
      <c r="J3761" s="42" t="n">
        <f aca="false">IF($M3761="贷",$O3761,0)</f>
        <v>0</v>
      </c>
      <c r="K3761" s="48" t="str">
        <f aca="false">IF($H3761="","",资金流水!$F283)</f>
        <v/>
      </c>
      <c r="L3761" s="66" t="str">
        <f aca="false">IF(资金流水!$E283="","",IFERROR(INDEX(记账规则!$A$13:$H$32,MATCH(资金流水!$E283,记账规则!$A$13:$A$32,0),6),""))</f>
        <v/>
      </c>
      <c r="M3761" s="66" t="str">
        <f aca="false">IF($L3761="","",IFERROR(INDEX(记账规则!$A$13:$H$32,MATCH(资金流水!$E283,记账规则!$A$13:$A$32,0),7),""))</f>
        <v/>
      </c>
      <c r="N3761" s="66" t="str">
        <f aca="false">IF($L3761="","",IFERROR(INDEX(记账规则!$A$13:$H$32,MATCH(资金流水!$E283,记账规则!$A$13:$A$32,0),8),""))</f>
        <v/>
      </c>
      <c r="O3761" s="67" t="n">
        <f aca="false">IF($H3761="",0,ROUND(IF($N3761="金额",N(资金流水!$P283),0),2))</f>
        <v>0</v>
      </c>
      <c r="P3761" s="64" t="str">
        <f aca="false">IF(AND($H3761&lt;&gt;"",ROUND($O3761,2)&lt;&gt;0),"有","")</f>
        <v/>
      </c>
    </row>
    <row r="3762" customFormat="false" ht="15" hidden="true" customHeight="false" outlineLevel="0" collapsed="false">
      <c r="A3762" s="53" t="str">
        <f aca="false">IF($H3762="","",ROW()-5)</f>
        <v/>
      </c>
      <c r="B3762" s="64" t="s">
        <v>37</v>
      </c>
      <c r="C3762" s="53" t="n">
        <v>284</v>
      </c>
      <c r="D3762" s="53" t="n">
        <v>1</v>
      </c>
      <c r="E3762" s="65" t="str">
        <f aca="false">IF($H3762="","",资金流水!$B284)</f>
        <v/>
      </c>
      <c r="F3762" s="55" t="str">
        <f aca="false">IF($H3762="","",资金流水!$C284)</f>
        <v/>
      </c>
      <c r="G3762" s="48" t="str">
        <f aca="false">IF($H3762="","",资金流水!$K284)</f>
        <v/>
      </c>
      <c r="H3762" s="10" t="str">
        <f aca="false">IF($L3762="","",IF($L3762="@对方",资金流水!$G284,IF($L3762="@账户",资金流水!$Q284,$L3762)))</f>
        <v/>
      </c>
      <c r="I3762" s="42" t="n">
        <f aca="false">IF($M3762="借",$O3762,0)</f>
        <v>0</v>
      </c>
      <c r="J3762" s="42" t="n">
        <f aca="false">IF($M3762="贷",$O3762,0)</f>
        <v>0</v>
      </c>
      <c r="K3762" s="48" t="str">
        <f aca="false">IF($H3762="","",资金流水!$F284)</f>
        <v/>
      </c>
      <c r="L3762" s="66" t="str">
        <f aca="false">IF(资金流水!$E284="","",IFERROR(INDEX(记账规则!$A$13:$H$32,MATCH(资金流水!$E284,记账规则!$A$13:$A$32,0),3),""))</f>
        <v/>
      </c>
      <c r="M3762" s="66" t="str">
        <f aca="false">IF($L3762="","",IFERROR(INDEX(记账规则!$A$13:$H$32,MATCH(资金流水!$E284,记账规则!$A$13:$A$32,0),4),""))</f>
        <v/>
      </c>
      <c r="N3762" s="66" t="str">
        <f aca="false">IF($L3762="","",IFERROR(INDEX(记账规则!$A$13:$H$32,MATCH(资金流水!$E284,记账规则!$A$13:$A$32,0),5),""))</f>
        <v/>
      </c>
      <c r="O3762" s="67" t="n">
        <f aca="false">IF($H3762="",0,ROUND(IF($N3762="金额",N(资金流水!$P284),0),2))</f>
        <v>0</v>
      </c>
      <c r="P3762" s="64" t="str">
        <f aca="false">IF(AND($H3762&lt;&gt;"",ROUND($O3762,2)&lt;&gt;0),"有","")</f>
        <v/>
      </c>
    </row>
    <row r="3763" customFormat="false" ht="15" hidden="true" customHeight="false" outlineLevel="0" collapsed="false">
      <c r="A3763" s="53" t="str">
        <f aca="false">IF($H3763="","",ROW()-5)</f>
        <v/>
      </c>
      <c r="B3763" s="64" t="s">
        <v>37</v>
      </c>
      <c r="C3763" s="53" t="n">
        <v>284</v>
      </c>
      <c r="D3763" s="53" t="n">
        <v>2</v>
      </c>
      <c r="E3763" s="65" t="str">
        <f aca="false">IF($H3763="","",资金流水!$B284)</f>
        <v/>
      </c>
      <c r="F3763" s="55" t="str">
        <f aca="false">IF($H3763="","",资金流水!$C284)</f>
        <v/>
      </c>
      <c r="G3763" s="48" t="str">
        <f aca="false">IF($H3763="","",资金流水!$K284)</f>
        <v/>
      </c>
      <c r="H3763" s="10" t="str">
        <f aca="false">IF($L3763="","",IF($L3763="@对方",资金流水!$G284,IF($L3763="@账户",资金流水!$Q284,$L3763)))</f>
        <v/>
      </c>
      <c r="I3763" s="42" t="n">
        <f aca="false">IF($M3763="借",$O3763,0)</f>
        <v>0</v>
      </c>
      <c r="J3763" s="42" t="n">
        <f aca="false">IF($M3763="贷",$O3763,0)</f>
        <v>0</v>
      </c>
      <c r="K3763" s="48" t="str">
        <f aca="false">IF($H3763="","",资金流水!$F284)</f>
        <v/>
      </c>
      <c r="L3763" s="66" t="str">
        <f aca="false">IF(资金流水!$E284="","",IFERROR(INDEX(记账规则!$A$13:$H$32,MATCH(资金流水!$E284,记账规则!$A$13:$A$32,0),6),""))</f>
        <v/>
      </c>
      <c r="M3763" s="66" t="str">
        <f aca="false">IF($L3763="","",IFERROR(INDEX(记账规则!$A$13:$H$32,MATCH(资金流水!$E284,记账规则!$A$13:$A$32,0),7),""))</f>
        <v/>
      </c>
      <c r="N3763" s="66" t="str">
        <f aca="false">IF($L3763="","",IFERROR(INDEX(记账规则!$A$13:$H$32,MATCH(资金流水!$E284,记账规则!$A$13:$A$32,0),8),""))</f>
        <v/>
      </c>
      <c r="O3763" s="67" t="n">
        <f aca="false">IF($H3763="",0,ROUND(IF($N3763="金额",N(资金流水!$P284),0),2))</f>
        <v>0</v>
      </c>
      <c r="P3763" s="64" t="str">
        <f aca="false">IF(AND($H3763&lt;&gt;"",ROUND($O3763,2)&lt;&gt;0),"有","")</f>
        <v/>
      </c>
    </row>
    <row r="3764" customFormat="false" ht="15" hidden="true" customHeight="false" outlineLevel="0" collapsed="false">
      <c r="A3764" s="53" t="str">
        <f aca="false">IF($H3764="","",ROW()-5)</f>
        <v/>
      </c>
      <c r="B3764" s="64" t="s">
        <v>37</v>
      </c>
      <c r="C3764" s="53" t="n">
        <v>285</v>
      </c>
      <c r="D3764" s="53" t="n">
        <v>1</v>
      </c>
      <c r="E3764" s="65" t="str">
        <f aca="false">IF($H3764="","",资金流水!$B285)</f>
        <v/>
      </c>
      <c r="F3764" s="55" t="str">
        <f aca="false">IF($H3764="","",资金流水!$C285)</f>
        <v/>
      </c>
      <c r="G3764" s="48" t="str">
        <f aca="false">IF($H3764="","",资金流水!$K285)</f>
        <v/>
      </c>
      <c r="H3764" s="10" t="str">
        <f aca="false">IF($L3764="","",IF($L3764="@对方",资金流水!$G285,IF($L3764="@账户",资金流水!$Q285,$L3764)))</f>
        <v/>
      </c>
      <c r="I3764" s="42" t="n">
        <f aca="false">IF($M3764="借",$O3764,0)</f>
        <v>0</v>
      </c>
      <c r="J3764" s="42" t="n">
        <f aca="false">IF($M3764="贷",$O3764,0)</f>
        <v>0</v>
      </c>
      <c r="K3764" s="48" t="str">
        <f aca="false">IF($H3764="","",资金流水!$F285)</f>
        <v/>
      </c>
      <c r="L3764" s="66" t="str">
        <f aca="false">IF(资金流水!$E285="","",IFERROR(INDEX(记账规则!$A$13:$H$32,MATCH(资金流水!$E285,记账规则!$A$13:$A$32,0),3),""))</f>
        <v/>
      </c>
      <c r="M3764" s="66" t="str">
        <f aca="false">IF($L3764="","",IFERROR(INDEX(记账规则!$A$13:$H$32,MATCH(资金流水!$E285,记账规则!$A$13:$A$32,0),4),""))</f>
        <v/>
      </c>
      <c r="N3764" s="66" t="str">
        <f aca="false">IF($L3764="","",IFERROR(INDEX(记账规则!$A$13:$H$32,MATCH(资金流水!$E285,记账规则!$A$13:$A$32,0),5),""))</f>
        <v/>
      </c>
      <c r="O3764" s="67" t="n">
        <f aca="false">IF($H3764="",0,ROUND(IF($N3764="金额",N(资金流水!$P285),0),2))</f>
        <v>0</v>
      </c>
      <c r="P3764" s="64" t="str">
        <f aca="false">IF(AND($H3764&lt;&gt;"",ROUND($O3764,2)&lt;&gt;0),"有","")</f>
        <v/>
      </c>
    </row>
    <row r="3765" customFormat="false" ht="15" hidden="true" customHeight="false" outlineLevel="0" collapsed="false">
      <c r="A3765" s="53" t="str">
        <f aca="false">IF($H3765="","",ROW()-5)</f>
        <v/>
      </c>
      <c r="B3765" s="64" t="s">
        <v>37</v>
      </c>
      <c r="C3765" s="53" t="n">
        <v>285</v>
      </c>
      <c r="D3765" s="53" t="n">
        <v>2</v>
      </c>
      <c r="E3765" s="65" t="str">
        <f aca="false">IF($H3765="","",资金流水!$B285)</f>
        <v/>
      </c>
      <c r="F3765" s="55" t="str">
        <f aca="false">IF($H3765="","",资金流水!$C285)</f>
        <v/>
      </c>
      <c r="G3765" s="48" t="str">
        <f aca="false">IF($H3765="","",资金流水!$K285)</f>
        <v/>
      </c>
      <c r="H3765" s="10" t="str">
        <f aca="false">IF($L3765="","",IF($L3765="@对方",资金流水!$G285,IF($L3765="@账户",资金流水!$Q285,$L3765)))</f>
        <v/>
      </c>
      <c r="I3765" s="42" t="n">
        <f aca="false">IF($M3765="借",$O3765,0)</f>
        <v>0</v>
      </c>
      <c r="J3765" s="42" t="n">
        <f aca="false">IF($M3765="贷",$O3765,0)</f>
        <v>0</v>
      </c>
      <c r="K3765" s="48" t="str">
        <f aca="false">IF($H3765="","",资金流水!$F285)</f>
        <v/>
      </c>
      <c r="L3765" s="66" t="str">
        <f aca="false">IF(资金流水!$E285="","",IFERROR(INDEX(记账规则!$A$13:$H$32,MATCH(资金流水!$E285,记账规则!$A$13:$A$32,0),6),""))</f>
        <v/>
      </c>
      <c r="M3765" s="66" t="str">
        <f aca="false">IF($L3765="","",IFERROR(INDEX(记账规则!$A$13:$H$32,MATCH(资金流水!$E285,记账规则!$A$13:$A$32,0),7),""))</f>
        <v/>
      </c>
      <c r="N3765" s="66" t="str">
        <f aca="false">IF($L3765="","",IFERROR(INDEX(记账规则!$A$13:$H$32,MATCH(资金流水!$E285,记账规则!$A$13:$A$32,0),8),""))</f>
        <v/>
      </c>
      <c r="O3765" s="67" t="n">
        <f aca="false">IF($H3765="",0,ROUND(IF($N3765="金额",N(资金流水!$P285),0),2))</f>
        <v>0</v>
      </c>
      <c r="P3765" s="64" t="str">
        <f aca="false">IF(AND($H3765&lt;&gt;"",ROUND($O3765,2)&lt;&gt;0),"有","")</f>
        <v/>
      </c>
    </row>
    <row r="3766" customFormat="false" ht="15" hidden="true" customHeight="false" outlineLevel="0" collapsed="false">
      <c r="A3766" s="53" t="str">
        <f aca="false">IF($H3766="","",ROW()-5)</f>
        <v/>
      </c>
      <c r="B3766" s="64" t="s">
        <v>37</v>
      </c>
      <c r="C3766" s="53" t="n">
        <v>286</v>
      </c>
      <c r="D3766" s="53" t="n">
        <v>1</v>
      </c>
      <c r="E3766" s="65" t="str">
        <f aca="false">IF($H3766="","",资金流水!$B286)</f>
        <v/>
      </c>
      <c r="F3766" s="55" t="str">
        <f aca="false">IF($H3766="","",资金流水!$C286)</f>
        <v/>
      </c>
      <c r="G3766" s="48" t="str">
        <f aca="false">IF($H3766="","",资金流水!$K286)</f>
        <v/>
      </c>
      <c r="H3766" s="10" t="str">
        <f aca="false">IF($L3766="","",IF($L3766="@对方",资金流水!$G286,IF($L3766="@账户",资金流水!$Q286,$L3766)))</f>
        <v/>
      </c>
      <c r="I3766" s="42" t="n">
        <f aca="false">IF($M3766="借",$O3766,0)</f>
        <v>0</v>
      </c>
      <c r="J3766" s="42" t="n">
        <f aca="false">IF($M3766="贷",$O3766,0)</f>
        <v>0</v>
      </c>
      <c r="K3766" s="48" t="str">
        <f aca="false">IF($H3766="","",资金流水!$F286)</f>
        <v/>
      </c>
      <c r="L3766" s="66" t="str">
        <f aca="false">IF(资金流水!$E286="","",IFERROR(INDEX(记账规则!$A$13:$H$32,MATCH(资金流水!$E286,记账规则!$A$13:$A$32,0),3),""))</f>
        <v/>
      </c>
      <c r="M3766" s="66" t="str">
        <f aca="false">IF($L3766="","",IFERROR(INDEX(记账规则!$A$13:$H$32,MATCH(资金流水!$E286,记账规则!$A$13:$A$32,0),4),""))</f>
        <v/>
      </c>
      <c r="N3766" s="66" t="str">
        <f aca="false">IF($L3766="","",IFERROR(INDEX(记账规则!$A$13:$H$32,MATCH(资金流水!$E286,记账规则!$A$13:$A$32,0),5),""))</f>
        <v/>
      </c>
      <c r="O3766" s="67" t="n">
        <f aca="false">IF($H3766="",0,ROUND(IF($N3766="金额",N(资金流水!$P286),0),2))</f>
        <v>0</v>
      </c>
      <c r="P3766" s="64" t="str">
        <f aca="false">IF(AND($H3766&lt;&gt;"",ROUND($O3766,2)&lt;&gt;0),"有","")</f>
        <v/>
      </c>
    </row>
    <row r="3767" customFormat="false" ht="15" hidden="true" customHeight="false" outlineLevel="0" collapsed="false">
      <c r="A3767" s="53" t="str">
        <f aca="false">IF($H3767="","",ROW()-5)</f>
        <v/>
      </c>
      <c r="B3767" s="64" t="s">
        <v>37</v>
      </c>
      <c r="C3767" s="53" t="n">
        <v>286</v>
      </c>
      <c r="D3767" s="53" t="n">
        <v>2</v>
      </c>
      <c r="E3767" s="65" t="str">
        <f aca="false">IF($H3767="","",资金流水!$B286)</f>
        <v/>
      </c>
      <c r="F3767" s="55" t="str">
        <f aca="false">IF($H3767="","",资金流水!$C286)</f>
        <v/>
      </c>
      <c r="G3767" s="48" t="str">
        <f aca="false">IF($H3767="","",资金流水!$K286)</f>
        <v/>
      </c>
      <c r="H3767" s="10" t="str">
        <f aca="false">IF($L3767="","",IF($L3767="@对方",资金流水!$G286,IF($L3767="@账户",资金流水!$Q286,$L3767)))</f>
        <v/>
      </c>
      <c r="I3767" s="42" t="n">
        <f aca="false">IF($M3767="借",$O3767,0)</f>
        <v>0</v>
      </c>
      <c r="J3767" s="42" t="n">
        <f aca="false">IF($M3767="贷",$O3767,0)</f>
        <v>0</v>
      </c>
      <c r="K3767" s="48" t="str">
        <f aca="false">IF($H3767="","",资金流水!$F286)</f>
        <v/>
      </c>
      <c r="L3767" s="66" t="str">
        <f aca="false">IF(资金流水!$E286="","",IFERROR(INDEX(记账规则!$A$13:$H$32,MATCH(资金流水!$E286,记账规则!$A$13:$A$32,0),6),""))</f>
        <v/>
      </c>
      <c r="M3767" s="66" t="str">
        <f aca="false">IF($L3767="","",IFERROR(INDEX(记账规则!$A$13:$H$32,MATCH(资金流水!$E286,记账规则!$A$13:$A$32,0),7),""))</f>
        <v/>
      </c>
      <c r="N3767" s="66" t="str">
        <f aca="false">IF($L3767="","",IFERROR(INDEX(记账规则!$A$13:$H$32,MATCH(资金流水!$E286,记账规则!$A$13:$A$32,0),8),""))</f>
        <v/>
      </c>
      <c r="O3767" s="67" t="n">
        <f aca="false">IF($H3767="",0,ROUND(IF($N3767="金额",N(资金流水!$P286),0),2))</f>
        <v>0</v>
      </c>
      <c r="P3767" s="64" t="str">
        <f aca="false">IF(AND($H3767&lt;&gt;"",ROUND($O3767,2)&lt;&gt;0),"有","")</f>
        <v/>
      </c>
    </row>
    <row r="3768" customFormat="false" ht="15" hidden="true" customHeight="false" outlineLevel="0" collapsed="false">
      <c r="A3768" s="53" t="str">
        <f aca="false">IF($H3768="","",ROW()-5)</f>
        <v/>
      </c>
      <c r="B3768" s="64" t="s">
        <v>37</v>
      </c>
      <c r="C3768" s="53" t="n">
        <v>287</v>
      </c>
      <c r="D3768" s="53" t="n">
        <v>1</v>
      </c>
      <c r="E3768" s="65" t="str">
        <f aca="false">IF($H3768="","",资金流水!$B287)</f>
        <v/>
      </c>
      <c r="F3768" s="55" t="str">
        <f aca="false">IF($H3768="","",资金流水!$C287)</f>
        <v/>
      </c>
      <c r="G3768" s="48" t="str">
        <f aca="false">IF($H3768="","",资金流水!$K287)</f>
        <v/>
      </c>
      <c r="H3768" s="10" t="str">
        <f aca="false">IF($L3768="","",IF($L3768="@对方",资金流水!$G287,IF($L3768="@账户",资金流水!$Q287,$L3768)))</f>
        <v/>
      </c>
      <c r="I3768" s="42" t="n">
        <f aca="false">IF($M3768="借",$O3768,0)</f>
        <v>0</v>
      </c>
      <c r="J3768" s="42" t="n">
        <f aca="false">IF($M3768="贷",$O3768,0)</f>
        <v>0</v>
      </c>
      <c r="K3768" s="48" t="str">
        <f aca="false">IF($H3768="","",资金流水!$F287)</f>
        <v/>
      </c>
      <c r="L3768" s="66" t="str">
        <f aca="false">IF(资金流水!$E287="","",IFERROR(INDEX(记账规则!$A$13:$H$32,MATCH(资金流水!$E287,记账规则!$A$13:$A$32,0),3),""))</f>
        <v/>
      </c>
      <c r="M3768" s="66" t="str">
        <f aca="false">IF($L3768="","",IFERROR(INDEX(记账规则!$A$13:$H$32,MATCH(资金流水!$E287,记账规则!$A$13:$A$32,0),4),""))</f>
        <v/>
      </c>
      <c r="N3768" s="66" t="str">
        <f aca="false">IF($L3768="","",IFERROR(INDEX(记账规则!$A$13:$H$32,MATCH(资金流水!$E287,记账规则!$A$13:$A$32,0),5),""))</f>
        <v/>
      </c>
      <c r="O3768" s="67" t="n">
        <f aca="false">IF($H3768="",0,ROUND(IF($N3768="金额",N(资金流水!$P287),0),2))</f>
        <v>0</v>
      </c>
      <c r="P3768" s="64" t="str">
        <f aca="false">IF(AND($H3768&lt;&gt;"",ROUND($O3768,2)&lt;&gt;0),"有","")</f>
        <v/>
      </c>
    </row>
    <row r="3769" customFormat="false" ht="15" hidden="true" customHeight="false" outlineLevel="0" collapsed="false">
      <c r="A3769" s="53" t="str">
        <f aca="false">IF($H3769="","",ROW()-5)</f>
        <v/>
      </c>
      <c r="B3769" s="64" t="s">
        <v>37</v>
      </c>
      <c r="C3769" s="53" t="n">
        <v>287</v>
      </c>
      <c r="D3769" s="53" t="n">
        <v>2</v>
      </c>
      <c r="E3769" s="65" t="str">
        <f aca="false">IF($H3769="","",资金流水!$B287)</f>
        <v/>
      </c>
      <c r="F3769" s="55" t="str">
        <f aca="false">IF($H3769="","",资金流水!$C287)</f>
        <v/>
      </c>
      <c r="G3769" s="48" t="str">
        <f aca="false">IF($H3769="","",资金流水!$K287)</f>
        <v/>
      </c>
      <c r="H3769" s="10" t="str">
        <f aca="false">IF($L3769="","",IF($L3769="@对方",资金流水!$G287,IF($L3769="@账户",资金流水!$Q287,$L3769)))</f>
        <v/>
      </c>
      <c r="I3769" s="42" t="n">
        <f aca="false">IF($M3769="借",$O3769,0)</f>
        <v>0</v>
      </c>
      <c r="J3769" s="42" t="n">
        <f aca="false">IF($M3769="贷",$O3769,0)</f>
        <v>0</v>
      </c>
      <c r="K3769" s="48" t="str">
        <f aca="false">IF($H3769="","",资金流水!$F287)</f>
        <v/>
      </c>
      <c r="L3769" s="66" t="str">
        <f aca="false">IF(资金流水!$E287="","",IFERROR(INDEX(记账规则!$A$13:$H$32,MATCH(资金流水!$E287,记账规则!$A$13:$A$32,0),6),""))</f>
        <v/>
      </c>
      <c r="M3769" s="66" t="str">
        <f aca="false">IF($L3769="","",IFERROR(INDEX(记账规则!$A$13:$H$32,MATCH(资金流水!$E287,记账规则!$A$13:$A$32,0),7),""))</f>
        <v/>
      </c>
      <c r="N3769" s="66" t="str">
        <f aca="false">IF($L3769="","",IFERROR(INDEX(记账规则!$A$13:$H$32,MATCH(资金流水!$E287,记账规则!$A$13:$A$32,0),8),""))</f>
        <v/>
      </c>
      <c r="O3769" s="67" t="n">
        <f aca="false">IF($H3769="",0,ROUND(IF($N3769="金额",N(资金流水!$P287),0),2))</f>
        <v>0</v>
      </c>
      <c r="P3769" s="64" t="str">
        <f aca="false">IF(AND($H3769&lt;&gt;"",ROUND($O3769,2)&lt;&gt;0),"有","")</f>
        <v/>
      </c>
    </row>
    <row r="3770" customFormat="false" ht="15" hidden="true" customHeight="false" outlineLevel="0" collapsed="false">
      <c r="A3770" s="53" t="str">
        <f aca="false">IF($H3770="","",ROW()-5)</f>
        <v/>
      </c>
      <c r="B3770" s="64" t="s">
        <v>37</v>
      </c>
      <c r="C3770" s="53" t="n">
        <v>288</v>
      </c>
      <c r="D3770" s="53" t="n">
        <v>1</v>
      </c>
      <c r="E3770" s="65" t="str">
        <f aca="false">IF($H3770="","",资金流水!$B288)</f>
        <v/>
      </c>
      <c r="F3770" s="55" t="str">
        <f aca="false">IF($H3770="","",资金流水!$C288)</f>
        <v/>
      </c>
      <c r="G3770" s="48" t="str">
        <f aca="false">IF($H3770="","",资金流水!$K288)</f>
        <v/>
      </c>
      <c r="H3770" s="10" t="str">
        <f aca="false">IF($L3770="","",IF($L3770="@对方",资金流水!$G288,IF($L3770="@账户",资金流水!$Q288,$L3770)))</f>
        <v/>
      </c>
      <c r="I3770" s="42" t="n">
        <f aca="false">IF($M3770="借",$O3770,0)</f>
        <v>0</v>
      </c>
      <c r="J3770" s="42" t="n">
        <f aca="false">IF($M3770="贷",$O3770,0)</f>
        <v>0</v>
      </c>
      <c r="K3770" s="48" t="str">
        <f aca="false">IF($H3770="","",资金流水!$F288)</f>
        <v/>
      </c>
      <c r="L3770" s="66" t="str">
        <f aca="false">IF(资金流水!$E288="","",IFERROR(INDEX(记账规则!$A$13:$H$32,MATCH(资金流水!$E288,记账规则!$A$13:$A$32,0),3),""))</f>
        <v/>
      </c>
      <c r="M3770" s="66" t="str">
        <f aca="false">IF($L3770="","",IFERROR(INDEX(记账规则!$A$13:$H$32,MATCH(资金流水!$E288,记账规则!$A$13:$A$32,0),4),""))</f>
        <v/>
      </c>
      <c r="N3770" s="66" t="str">
        <f aca="false">IF($L3770="","",IFERROR(INDEX(记账规则!$A$13:$H$32,MATCH(资金流水!$E288,记账规则!$A$13:$A$32,0),5),""))</f>
        <v/>
      </c>
      <c r="O3770" s="67" t="n">
        <f aca="false">IF($H3770="",0,ROUND(IF($N3770="金额",N(资金流水!$P288),0),2))</f>
        <v>0</v>
      </c>
      <c r="P3770" s="64" t="str">
        <f aca="false">IF(AND($H3770&lt;&gt;"",ROUND($O3770,2)&lt;&gt;0),"有","")</f>
        <v/>
      </c>
    </row>
    <row r="3771" customFormat="false" ht="15" hidden="true" customHeight="false" outlineLevel="0" collapsed="false">
      <c r="A3771" s="53" t="str">
        <f aca="false">IF($H3771="","",ROW()-5)</f>
        <v/>
      </c>
      <c r="B3771" s="64" t="s">
        <v>37</v>
      </c>
      <c r="C3771" s="53" t="n">
        <v>288</v>
      </c>
      <c r="D3771" s="53" t="n">
        <v>2</v>
      </c>
      <c r="E3771" s="65" t="str">
        <f aca="false">IF($H3771="","",资金流水!$B288)</f>
        <v/>
      </c>
      <c r="F3771" s="55" t="str">
        <f aca="false">IF($H3771="","",资金流水!$C288)</f>
        <v/>
      </c>
      <c r="G3771" s="48" t="str">
        <f aca="false">IF($H3771="","",资金流水!$K288)</f>
        <v/>
      </c>
      <c r="H3771" s="10" t="str">
        <f aca="false">IF($L3771="","",IF($L3771="@对方",资金流水!$G288,IF($L3771="@账户",资金流水!$Q288,$L3771)))</f>
        <v/>
      </c>
      <c r="I3771" s="42" t="n">
        <f aca="false">IF($M3771="借",$O3771,0)</f>
        <v>0</v>
      </c>
      <c r="J3771" s="42" t="n">
        <f aca="false">IF($M3771="贷",$O3771,0)</f>
        <v>0</v>
      </c>
      <c r="K3771" s="48" t="str">
        <f aca="false">IF($H3771="","",资金流水!$F288)</f>
        <v/>
      </c>
      <c r="L3771" s="66" t="str">
        <f aca="false">IF(资金流水!$E288="","",IFERROR(INDEX(记账规则!$A$13:$H$32,MATCH(资金流水!$E288,记账规则!$A$13:$A$32,0),6),""))</f>
        <v/>
      </c>
      <c r="M3771" s="66" t="str">
        <f aca="false">IF($L3771="","",IFERROR(INDEX(记账规则!$A$13:$H$32,MATCH(资金流水!$E288,记账规则!$A$13:$A$32,0),7),""))</f>
        <v/>
      </c>
      <c r="N3771" s="66" t="str">
        <f aca="false">IF($L3771="","",IFERROR(INDEX(记账规则!$A$13:$H$32,MATCH(资金流水!$E288,记账规则!$A$13:$A$32,0),8),""))</f>
        <v/>
      </c>
      <c r="O3771" s="67" t="n">
        <f aca="false">IF($H3771="",0,ROUND(IF($N3771="金额",N(资金流水!$P288),0),2))</f>
        <v>0</v>
      </c>
      <c r="P3771" s="64" t="str">
        <f aca="false">IF(AND($H3771&lt;&gt;"",ROUND($O3771,2)&lt;&gt;0),"有","")</f>
        <v/>
      </c>
    </row>
    <row r="3772" customFormat="false" ht="15" hidden="true" customHeight="false" outlineLevel="0" collapsed="false">
      <c r="A3772" s="53" t="str">
        <f aca="false">IF($H3772="","",ROW()-5)</f>
        <v/>
      </c>
      <c r="B3772" s="64" t="s">
        <v>37</v>
      </c>
      <c r="C3772" s="53" t="n">
        <v>289</v>
      </c>
      <c r="D3772" s="53" t="n">
        <v>1</v>
      </c>
      <c r="E3772" s="65" t="str">
        <f aca="false">IF($H3772="","",资金流水!$B289)</f>
        <v/>
      </c>
      <c r="F3772" s="55" t="str">
        <f aca="false">IF($H3772="","",资金流水!$C289)</f>
        <v/>
      </c>
      <c r="G3772" s="48" t="str">
        <f aca="false">IF($H3772="","",资金流水!$K289)</f>
        <v/>
      </c>
      <c r="H3772" s="10" t="str">
        <f aca="false">IF($L3772="","",IF($L3772="@对方",资金流水!$G289,IF($L3772="@账户",资金流水!$Q289,$L3772)))</f>
        <v/>
      </c>
      <c r="I3772" s="42" t="n">
        <f aca="false">IF($M3772="借",$O3772,0)</f>
        <v>0</v>
      </c>
      <c r="J3772" s="42" t="n">
        <f aca="false">IF($M3772="贷",$O3772,0)</f>
        <v>0</v>
      </c>
      <c r="K3772" s="48" t="str">
        <f aca="false">IF($H3772="","",资金流水!$F289)</f>
        <v/>
      </c>
      <c r="L3772" s="66" t="str">
        <f aca="false">IF(资金流水!$E289="","",IFERROR(INDEX(记账规则!$A$13:$H$32,MATCH(资金流水!$E289,记账规则!$A$13:$A$32,0),3),""))</f>
        <v/>
      </c>
      <c r="M3772" s="66" t="str">
        <f aca="false">IF($L3772="","",IFERROR(INDEX(记账规则!$A$13:$H$32,MATCH(资金流水!$E289,记账规则!$A$13:$A$32,0),4),""))</f>
        <v/>
      </c>
      <c r="N3772" s="66" t="str">
        <f aca="false">IF($L3772="","",IFERROR(INDEX(记账规则!$A$13:$H$32,MATCH(资金流水!$E289,记账规则!$A$13:$A$32,0),5),""))</f>
        <v/>
      </c>
      <c r="O3772" s="67" t="n">
        <f aca="false">IF($H3772="",0,ROUND(IF($N3772="金额",N(资金流水!$P289),0),2))</f>
        <v>0</v>
      </c>
      <c r="P3772" s="64" t="str">
        <f aca="false">IF(AND($H3772&lt;&gt;"",ROUND($O3772,2)&lt;&gt;0),"有","")</f>
        <v/>
      </c>
    </row>
    <row r="3773" customFormat="false" ht="15" hidden="true" customHeight="false" outlineLevel="0" collapsed="false">
      <c r="A3773" s="53" t="str">
        <f aca="false">IF($H3773="","",ROW()-5)</f>
        <v/>
      </c>
      <c r="B3773" s="64" t="s">
        <v>37</v>
      </c>
      <c r="C3773" s="53" t="n">
        <v>289</v>
      </c>
      <c r="D3773" s="53" t="n">
        <v>2</v>
      </c>
      <c r="E3773" s="65" t="str">
        <f aca="false">IF($H3773="","",资金流水!$B289)</f>
        <v/>
      </c>
      <c r="F3773" s="55" t="str">
        <f aca="false">IF($H3773="","",资金流水!$C289)</f>
        <v/>
      </c>
      <c r="G3773" s="48" t="str">
        <f aca="false">IF($H3773="","",资金流水!$K289)</f>
        <v/>
      </c>
      <c r="H3773" s="10" t="str">
        <f aca="false">IF($L3773="","",IF($L3773="@对方",资金流水!$G289,IF($L3773="@账户",资金流水!$Q289,$L3773)))</f>
        <v/>
      </c>
      <c r="I3773" s="42" t="n">
        <f aca="false">IF($M3773="借",$O3773,0)</f>
        <v>0</v>
      </c>
      <c r="J3773" s="42" t="n">
        <f aca="false">IF($M3773="贷",$O3773,0)</f>
        <v>0</v>
      </c>
      <c r="K3773" s="48" t="str">
        <f aca="false">IF($H3773="","",资金流水!$F289)</f>
        <v/>
      </c>
      <c r="L3773" s="66" t="str">
        <f aca="false">IF(资金流水!$E289="","",IFERROR(INDEX(记账规则!$A$13:$H$32,MATCH(资金流水!$E289,记账规则!$A$13:$A$32,0),6),""))</f>
        <v/>
      </c>
      <c r="M3773" s="66" t="str">
        <f aca="false">IF($L3773="","",IFERROR(INDEX(记账规则!$A$13:$H$32,MATCH(资金流水!$E289,记账规则!$A$13:$A$32,0),7),""))</f>
        <v/>
      </c>
      <c r="N3773" s="66" t="str">
        <f aca="false">IF($L3773="","",IFERROR(INDEX(记账规则!$A$13:$H$32,MATCH(资金流水!$E289,记账规则!$A$13:$A$32,0),8),""))</f>
        <v/>
      </c>
      <c r="O3773" s="67" t="n">
        <f aca="false">IF($H3773="",0,ROUND(IF($N3773="金额",N(资金流水!$P289),0),2))</f>
        <v>0</v>
      </c>
      <c r="P3773" s="64" t="str">
        <f aca="false">IF(AND($H3773&lt;&gt;"",ROUND($O3773,2)&lt;&gt;0),"有","")</f>
        <v/>
      </c>
    </row>
    <row r="3774" customFormat="false" ht="15" hidden="true" customHeight="false" outlineLevel="0" collapsed="false">
      <c r="A3774" s="53" t="str">
        <f aca="false">IF($H3774="","",ROW()-5)</f>
        <v/>
      </c>
      <c r="B3774" s="64" t="s">
        <v>37</v>
      </c>
      <c r="C3774" s="53" t="n">
        <v>290</v>
      </c>
      <c r="D3774" s="53" t="n">
        <v>1</v>
      </c>
      <c r="E3774" s="65" t="str">
        <f aca="false">IF($H3774="","",资金流水!$B290)</f>
        <v/>
      </c>
      <c r="F3774" s="55" t="str">
        <f aca="false">IF($H3774="","",资金流水!$C290)</f>
        <v/>
      </c>
      <c r="G3774" s="48" t="str">
        <f aca="false">IF($H3774="","",资金流水!$K290)</f>
        <v/>
      </c>
      <c r="H3774" s="10" t="str">
        <f aca="false">IF($L3774="","",IF($L3774="@对方",资金流水!$G290,IF($L3774="@账户",资金流水!$Q290,$L3774)))</f>
        <v/>
      </c>
      <c r="I3774" s="42" t="n">
        <f aca="false">IF($M3774="借",$O3774,0)</f>
        <v>0</v>
      </c>
      <c r="J3774" s="42" t="n">
        <f aca="false">IF($M3774="贷",$O3774,0)</f>
        <v>0</v>
      </c>
      <c r="K3774" s="48" t="str">
        <f aca="false">IF($H3774="","",资金流水!$F290)</f>
        <v/>
      </c>
      <c r="L3774" s="66" t="str">
        <f aca="false">IF(资金流水!$E290="","",IFERROR(INDEX(记账规则!$A$13:$H$32,MATCH(资金流水!$E290,记账规则!$A$13:$A$32,0),3),""))</f>
        <v/>
      </c>
      <c r="M3774" s="66" t="str">
        <f aca="false">IF($L3774="","",IFERROR(INDEX(记账规则!$A$13:$H$32,MATCH(资金流水!$E290,记账规则!$A$13:$A$32,0),4),""))</f>
        <v/>
      </c>
      <c r="N3774" s="66" t="str">
        <f aca="false">IF($L3774="","",IFERROR(INDEX(记账规则!$A$13:$H$32,MATCH(资金流水!$E290,记账规则!$A$13:$A$32,0),5),""))</f>
        <v/>
      </c>
      <c r="O3774" s="67" t="n">
        <f aca="false">IF($H3774="",0,ROUND(IF($N3774="金额",N(资金流水!$P290),0),2))</f>
        <v>0</v>
      </c>
      <c r="P3774" s="64" t="str">
        <f aca="false">IF(AND($H3774&lt;&gt;"",ROUND($O3774,2)&lt;&gt;0),"有","")</f>
        <v/>
      </c>
    </row>
    <row r="3775" customFormat="false" ht="15" hidden="true" customHeight="false" outlineLevel="0" collapsed="false">
      <c r="A3775" s="53" t="str">
        <f aca="false">IF($H3775="","",ROW()-5)</f>
        <v/>
      </c>
      <c r="B3775" s="64" t="s">
        <v>37</v>
      </c>
      <c r="C3775" s="53" t="n">
        <v>290</v>
      </c>
      <c r="D3775" s="53" t="n">
        <v>2</v>
      </c>
      <c r="E3775" s="65" t="str">
        <f aca="false">IF($H3775="","",资金流水!$B290)</f>
        <v/>
      </c>
      <c r="F3775" s="55" t="str">
        <f aca="false">IF($H3775="","",资金流水!$C290)</f>
        <v/>
      </c>
      <c r="G3775" s="48" t="str">
        <f aca="false">IF($H3775="","",资金流水!$K290)</f>
        <v/>
      </c>
      <c r="H3775" s="10" t="str">
        <f aca="false">IF($L3775="","",IF($L3775="@对方",资金流水!$G290,IF($L3775="@账户",资金流水!$Q290,$L3775)))</f>
        <v/>
      </c>
      <c r="I3775" s="42" t="n">
        <f aca="false">IF($M3775="借",$O3775,0)</f>
        <v>0</v>
      </c>
      <c r="J3775" s="42" t="n">
        <f aca="false">IF($M3775="贷",$O3775,0)</f>
        <v>0</v>
      </c>
      <c r="K3775" s="48" t="str">
        <f aca="false">IF($H3775="","",资金流水!$F290)</f>
        <v/>
      </c>
      <c r="L3775" s="66" t="str">
        <f aca="false">IF(资金流水!$E290="","",IFERROR(INDEX(记账规则!$A$13:$H$32,MATCH(资金流水!$E290,记账规则!$A$13:$A$32,0),6),""))</f>
        <v/>
      </c>
      <c r="M3775" s="66" t="str">
        <f aca="false">IF($L3775="","",IFERROR(INDEX(记账规则!$A$13:$H$32,MATCH(资金流水!$E290,记账规则!$A$13:$A$32,0),7),""))</f>
        <v/>
      </c>
      <c r="N3775" s="66" t="str">
        <f aca="false">IF($L3775="","",IFERROR(INDEX(记账规则!$A$13:$H$32,MATCH(资金流水!$E290,记账规则!$A$13:$A$32,0),8),""))</f>
        <v/>
      </c>
      <c r="O3775" s="67" t="n">
        <f aca="false">IF($H3775="",0,ROUND(IF($N3775="金额",N(资金流水!$P290),0),2))</f>
        <v>0</v>
      </c>
      <c r="P3775" s="64" t="str">
        <f aca="false">IF(AND($H3775&lt;&gt;"",ROUND($O3775,2)&lt;&gt;0),"有","")</f>
        <v/>
      </c>
    </row>
    <row r="3776" customFormat="false" ht="15" hidden="true" customHeight="false" outlineLevel="0" collapsed="false">
      <c r="A3776" s="53" t="str">
        <f aca="false">IF($H3776="","",ROW()-5)</f>
        <v/>
      </c>
      <c r="B3776" s="64" t="s">
        <v>37</v>
      </c>
      <c r="C3776" s="53" t="n">
        <v>291</v>
      </c>
      <c r="D3776" s="53" t="n">
        <v>1</v>
      </c>
      <c r="E3776" s="65" t="str">
        <f aca="false">IF($H3776="","",资金流水!$B291)</f>
        <v/>
      </c>
      <c r="F3776" s="55" t="str">
        <f aca="false">IF($H3776="","",资金流水!$C291)</f>
        <v/>
      </c>
      <c r="G3776" s="48" t="str">
        <f aca="false">IF($H3776="","",资金流水!$K291)</f>
        <v/>
      </c>
      <c r="H3776" s="10" t="str">
        <f aca="false">IF($L3776="","",IF($L3776="@对方",资金流水!$G291,IF($L3776="@账户",资金流水!$Q291,$L3776)))</f>
        <v/>
      </c>
      <c r="I3776" s="42" t="n">
        <f aca="false">IF($M3776="借",$O3776,0)</f>
        <v>0</v>
      </c>
      <c r="J3776" s="42" t="n">
        <f aca="false">IF($M3776="贷",$O3776,0)</f>
        <v>0</v>
      </c>
      <c r="K3776" s="48" t="str">
        <f aca="false">IF($H3776="","",资金流水!$F291)</f>
        <v/>
      </c>
      <c r="L3776" s="66" t="str">
        <f aca="false">IF(资金流水!$E291="","",IFERROR(INDEX(记账规则!$A$13:$H$32,MATCH(资金流水!$E291,记账规则!$A$13:$A$32,0),3),""))</f>
        <v/>
      </c>
      <c r="M3776" s="66" t="str">
        <f aca="false">IF($L3776="","",IFERROR(INDEX(记账规则!$A$13:$H$32,MATCH(资金流水!$E291,记账规则!$A$13:$A$32,0),4),""))</f>
        <v/>
      </c>
      <c r="N3776" s="66" t="str">
        <f aca="false">IF($L3776="","",IFERROR(INDEX(记账规则!$A$13:$H$32,MATCH(资金流水!$E291,记账规则!$A$13:$A$32,0),5),""))</f>
        <v/>
      </c>
      <c r="O3776" s="67" t="n">
        <f aca="false">IF($H3776="",0,ROUND(IF($N3776="金额",N(资金流水!$P291),0),2))</f>
        <v>0</v>
      </c>
      <c r="P3776" s="64" t="str">
        <f aca="false">IF(AND($H3776&lt;&gt;"",ROUND($O3776,2)&lt;&gt;0),"有","")</f>
        <v/>
      </c>
    </row>
    <row r="3777" customFormat="false" ht="15" hidden="true" customHeight="false" outlineLevel="0" collapsed="false">
      <c r="A3777" s="53" t="str">
        <f aca="false">IF($H3777="","",ROW()-5)</f>
        <v/>
      </c>
      <c r="B3777" s="64" t="s">
        <v>37</v>
      </c>
      <c r="C3777" s="53" t="n">
        <v>291</v>
      </c>
      <c r="D3777" s="53" t="n">
        <v>2</v>
      </c>
      <c r="E3777" s="65" t="str">
        <f aca="false">IF($H3777="","",资金流水!$B291)</f>
        <v/>
      </c>
      <c r="F3777" s="55" t="str">
        <f aca="false">IF($H3777="","",资金流水!$C291)</f>
        <v/>
      </c>
      <c r="G3777" s="48" t="str">
        <f aca="false">IF($H3777="","",资金流水!$K291)</f>
        <v/>
      </c>
      <c r="H3777" s="10" t="str">
        <f aca="false">IF($L3777="","",IF($L3777="@对方",资金流水!$G291,IF($L3777="@账户",资金流水!$Q291,$L3777)))</f>
        <v/>
      </c>
      <c r="I3777" s="42" t="n">
        <f aca="false">IF($M3777="借",$O3777,0)</f>
        <v>0</v>
      </c>
      <c r="J3777" s="42" t="n">
        <f aca="false">IF($M3777="贷",$O3777,0)</f>
        <v>0</v>
      </c>
      <c r="K3777" s="48" t="str">
        <f aca="false">IF($H3777="","",资金流水!$F291)</f>
        <v/>
      </c>
      <c r="L3777" s="66" t="str">
        <f aca="false">IF(资金流水!$E291="","",IFERROR(INDEX(记账规则!$A$13:$H$32,MATCH(资金流水!$E291,记账规则!$A$13:$A$32,0),6),""))</f>
        <v/>
      </c>
      <c r="M3777" s="66" t="str">
        <f aca="false">IF($L3777="","",IFERROR(INDEX(记账规则!$A$13:$H$32,MATCH(资金流水!$E291,记账规则!$A$13:$A$32,0),7),""))</f>
        <v/>
      </c>
      <c r="N3777" s="66" t="str">
        <f aca="false">IF($L3777="","",IFERROR(INDEX(记账规则!$A$13:$H$32,MATCH(资金流水!$E291,记账规则!$A$13:$A$32,0),8),""))</f>
        <v/>
      </c>
      <c r="O3777" s="67" t="n">
        <f aca="false">IF($H3777="",0,ROUND(IF($N3777="金额",N(资金流水!$P291),0),2))</f>
        <v>0</v>
      </c>
      <c r="P3777" s="64" t="str">
        <f aca="false">IF(AND($H3777&lt;&gt;"",ROUND($O3777,2)&lt;&gt;0),"有","")</f>
        <v/>
      </c>
    </row>
    <row r="3778" customFormat="false" ht="15" hidden="true" customHeight="false" outlineLevel="0" collapsed="false">
      <c r="A3778" s="53" t="str">
        <f aca="false">IF($H3778="","",ROW()-5)</f>
        <v/>
      </c>
      <c r="B3778" s="64" t="s">
        <v>37</v>
      </c>
      <c r="C3778" s="53" t="n">
        <v>292</v>
      </c>
      <c r="D3778" s="53" t="n">
        <v>1</v>
      </c>
      <c r="E3778" s="65" t="str">
        <f aca="false">IF($H3778="","",资金流水!$B292)</f>
        <v/>
      </c>
      <c r="F3778" s="55" t="str">
        <f aca="false">IF($H3778="","",资金流水!$C292)</f>
        <v/>
      </c>
      <c r="G3778" s="48" t="str">
        <f aca="false">IF($H3778="","",资金流水!$K292)</f>
        <v/>
      </c>
      <c r="H3778" s="10" t="str">
        <f aca="false">IF($L3778="","",IF($L3778="@对方",资金流水!$G292,IF($L3778="@账户",资金流水!$Q292,$L3778)))</f>
        <v/>
      </c>
      <c r="I3778" s="42" t="n">
        <f aca="false">IF($M3778="借",$O3778,0)</f>
        <v>0</v>
      </c>
      <c r="J3778" s="42" t="n">
        <f aca="false">IF($M3778="贷",$O3778,0)</f>
        <v>0</v>
      </c>
      <c r="K3778" s="48" t="str">
        <f aca="false">IF($H3778="","",资金流水!$F292)</f>
        <v/>
      </c>
      <c r="L3778" s="66" t="str">
        <f aca="false">IF(资金流水!$E292="","",IFERROR(INDEX(记账规则!$A$13:$H$32,MATCH(资金流水!$E292,记账规则!$A$13:$A$32,0),3),""))</f>
        <v/>
      </c>
      <c r="M3778" s="66" t="str">
        <f aca="false">IF($L3778="","",IFERROR(INDEX(记账规则!$A$13:$H$32,MATCH(资金流水!$E292,记账规则!$A$13:$A$32,0),4),""))</f>
        <v/>
      </c>
      <c r="N3778" s="66" t="str">
        <f aca="false">IF($L3778="","",IFERROR(INDEX(记账规则!$A$13:$H$32,MATCH(资金流水!$E292,记账规则!$A$13:$A$32,0),5),""))</f>
        <v/>
      </c>
      <c r="O3778" s="67" t="n">
        <f aca="false">IF($H3778="",0,ROUND(IF($N3778="金额",N(资金流水!$P292),0),2))</f>
        <v>0</v>
      </c>
      <c r="P3778" s="64" t="str">
        <f aca="false">IF(AND($H3778&lt;&gt;"",ROUND($O3778,2)&lt;&gt;0),"有","")</f>
        <v/>
      </c>
    </row>
    <row r="3779" customFormat="false" ht="15" hidden="true" customHeight="false" outlineLevel="0" collapsed="false">
      <c r="A3779" s="53" t="str">
        <f aca="false">IF($H3779="","",ROW()-5)</f>
        <v/>
      </c>
      <c r="B3779" s="64" t="s">
        <v>37</v>
      </c>
      <c r="C3779" s="53" t="n">
        <v>292</v>
      </c>
      <c r="D3779" s="53" t="n">
        <v>2</v>
      </c>
      <c r="E3779" s="65" t="str">
        <f aca="false">IF($H3779="","",资金流水!$B292)</f>
        <v/>
      </c>
      <c r="F3779" s="55" t="str">
        <f aca="false">IF($H3779="","",资金流水!$C292)</f>
        <v/>
      </c>
      <c r="G3779" s="48" t="str">
        <f aca="false">IF($H3779="","",资金流水!$K292)</f>
        <v/>
      </c>
      <c r="H3779" s="10" t="str">
        <f aca="false">IF($L3779="","",IF($L3779="@对方",资金流水!$G292,IF($L3779="@账户",资金流水!$Q292,$L3779)))</f>
        <v/>
      </c>
      <c r="I3779" s="42" t="n">
        <f aca="false">IF($M3779="借",$O3779,0)</f>
        <v>0</v>
      </c>
      <c r="J3779" s="42" t="n">
        <f aca="false">IF($M3779="贷",$O3779,0)</f>
        <v>0</v>
      </c>
      <c r="K3779" s="48" t="str">
        <f aca="false">IF($H3779="","",资金流水!$F292)</f>
        <v/>
      </c>
      <c r="L3779" s="66" t="str">
        <f aca="false">IF(资金流水!$E292="","",IFERROR(INDEX(记账规则!$A$13:$H$32,MATCH(资金流水!$E292,记账规则!$A$13:$A$32,0),6),""))</f>
        <v/>
      </c>
      <c r="M3779" s="66" t="str">
        <f aca="false">IF($L3779="","",IFERROR(INDEX(记账规则!$A$13:$H$32,MATCH(资金流水!$E292,记账规则!$A$13:$A$32,0),7),""))</f>
        <v/>
      </c>
      <c r="N3779" s="66" t="str">
        <f aca="false">IF($L3779="","",IFERROR(INDEX(记账规则!$A$13:$H$32,MATCH(资金流水!$E292,记账规则!$A$13:$A$32,0),8),""))</f>
        <v/>
      </c>
      <c r="O3779" s="67" t="n">
        <f aca="false">IF($H3779="",0,ROUND(IF($N3779="金额",N(资金流水!$P292),0),2))</f>
        <v>0</v>
      </c>
      <c r="P3779" s="64" t="str">
        <f aca="false">IF(AND($H3779&lt;&gt;"",ROUND($O3779,2)&lt;&gt;0),"有","")</f>
        <v/>
      </c>
    </row>
    <row r="3780" customFormat="false" ht="15" hidden="true" customHeight="false" outlineLevel="0" collapsed="false">
      <c r="A3780" s="53" t="str">
        <f aca="false">IF($H3780="","",ROW()-5)</f>
        <v/>
      </c>
      <c r="B3780" s="64" t="s">
        <v>37</v>
      </c>
      <c r="C3780" s="53" t="n">
        <v>293</v>
      </c>
      <c r="D3780" s="53" t="n">
        <v>1</v>
      </c>
      <c r="E3780" s="65" t="str">
        <f aca="false">IF($H3780="","",资金流水!$B293)</f>
        <v/>
      </c>
      <c r="F3780" s="55" t="str">
        <f aca="false">IF($H3780="","",资金流水!$C293)</f>
        <v/>
      </c>
      <c r="G3780" s="48" t="str">
        <f aca="false">IF($H3780="","",资金流水!$K293)</f>
        <v/>
      </c>
      <c r="H3780" s="10" t="str">
        <f aca="false">IF($L3780="","",IF($L3780="@对方",资金流水!$G293,IF($L3780="@账户",资金流水!$Q293,$L3780)))</f>
        <v/>
      </c>
      <c r="I3780" s="42" t="n">
        <f aca="false">IF($M3780="借",$O3780,0)</f>
        <v>0</v>
      </c>
      <c r="J3780" s="42" t="n">
        <f aca="false">IF($M3780="贷",$O3780,0)</f>
        <v>0</v>
      </c>
      <c r="K3780" s="48" t="str">
        <f aca="false">IF($H3780="","",资金流水!$F293)</f>
        <v/>
      </c>
      <c r="L3780" s="66" t="str">
        <f aca="false">IF(资金流水!$E293="","",IFERROR(INDEX(记账规则!$A$13:$H$32,MATCH(资金流水!$E293,记账规则!$A$13:$A$32,0),3),""))</f>
        <v/>
      </c>
      <c r="M3780" s="66" t="str">
        <f aca="false">IF($L3780="","",IFERROR(INDEX(记账规则!$A$13:$H$32,MATCH(资金流水!$E293,记账规则!$A$13:$A$32,0),4),""))</f>
        <v/>
      </c>
      <c r="N3780" s="66" t="str">
        <f aca="false">IF($L3780="","",IFERROR(INDEX(记账规则!$A$13:$H$32,MATCH(资金流水!$E293,记账规则!$A$13:$A$32,0),5),""))</f>
        <v/>
      </c>
      <c r="O3780" s="67" t="n">
        <f aca="false">IF($H3780="",0,ROUND(IF($N3780="金额",N(资金流水!$P293),0),2))</f>
        <v>0</v>
      </c>
      <c r="P3780" s="64" t="str">
        <f aca="false">IF(AND($H3780&lt;&gt;"",ROUND($O3780,2)&lt;&gt;0),"有","")</f>
        <v/>
      </c>
    </row>
    <row r="3781" customFormat="false" ht="15" hidden="true" customHeight="false" outlineLevel="0" collapsed="false">
      <c r="A3781" s="53" t="str">
        <f aca="false">IF($H3781="","",ROW()-5)</f>
        <v/>
      </c>
      <c r="B3781" s="64" t="s">
        <v>37</v>
      </c>
      <c r="C3781" s="53" t="n">
        <v>293</v>
      </c>
      <c r="D3781" s="53" t="n">
        <v>2</v>
      </c>
      <c r="E3781" s="65" t="str">
        <f aca="false">IF($H3781="","",资金流水!$B293)</f>
        <v/>
      </c>
      <c r="F3781" s="55" t="str">
        <f aca="false">IF($H3781="","",资金流水!$C293)</f>
        <v/>
      </c>
      <c r="G3781" s="48" t="str">
        <f aca="false">IF($H3781="","",资金流水!$K293)</f>
        <v/>
      </c>
      <c r="H3781" s="10" t="str">
        <f aca="false">IF($L3781="","",IF($L3781="@对方",资金流水!$G293,IF($L3781="@账户",资金流水!$Q293,$L3781)))</f>
        <v/>
      </c>
      <c r="I3781" s="42" t="n">
        <f aca="false">IF($M3781="借",$O3781,0)</f>
        <v>0</v>
      </c>
      <c r="J3781" s="42" t="n">
        <f aca="false">IF($M3781="贷",$O3781,0)</f>
        <v>0</v>
      </c>
      <c r="K3781" s="48" t="str">
        <f aca="false">IF($H3781="","",资金流水!$F293)</f>
        <v/>
      </c>
      <c r="L3781" s="66" t="str">
        <f aca="false">IF(资金流水!$E293="","",IFERROR(INDEX(记账规则!$A$13:$H$32,MATCH(资金流水!$E293,记账规则!$A$13:$A$32,0),6),""))</f>
        <v/>
      </c>
      <c r="M3781" s="66" t="str">
        <f aca="false">IF($L3781="","",IFERROR(INDEX(记账规则!$A$13:$H$32,MATCH(资金流水!$E293,记账规则!$A$13:$A$32,0),7),""))</f>
        <v/>
      </c>
      <c r="N3781" s="66" t="str">
        <f aca="false">IF($L3781="","",IFERROR(INDEX(记账规则!$A$13:$H$32,MATCH(资金流水!$E293,记账规则!$A$13:$A$32,0),8),""))</f>
        <v/>
      </c>
      <c r="O3781" s="67" t="n">
        <f aca="false">IF($H3781="",0,ROUND(IF($N3781="金额",N(资金流水!$P293),0),2))</f>
        <v>0</v>
      </c>
      <c r="P3781" s="64" t="str">
        <f aca="false">IF(AND($H3781&lt;&gt;"",ROUND($O3781,2)&lt;&gt;0),"有","")</f>
        <v/>
      </c>
    </row>
    <row r="3782" customFormat="false" ht="15" hidden="true" customHeight="false" outlineLevel="0" collapsed="false">
      <c r="A3782" s="53" t="str">
        <f aca="false">IF($H3782="","",ROW()-5)</f>
        <v/>
      </c>
      <c r="B3782" s="64" t="s">
        <v>37</v>
      </c>
      <c r="C3782" s="53" t="n">
        <v>294</v>
      </c>
      <c r="D3782" s="53" t="n">
        <v>1</v>
      </c>
      <c r="E3782" s="65" t="str">
        <f aca="false">IF($H3782="","",资金流水!$B294)</f>
        <v/>
      </c>
      <c r="F3782" s="55" t="str">
        <f aca="false">IF($H3782="","",资金流水!$C294)</f>
        <v/>
      </c>
      <c r="G3782" s="48" t="str">
        <f aca="false">IF($H3782="","",资金流水!$K294)</f>
        <v/>
      </c>
      <c r="H3782" s="10" t="str">
        <f aca="false">IF($L3782="","",IF($L3782="@对方",资金流水!$G294,IF($L3782="@账户",资金流水!$Q294,$L3782)))</f>
        <v/>
      </c>
      <c r="I3782" s="42" t="n">
        <f aca="false">IF($M3782="借",$O3782,0)</f>
        <v>0</v>
      </c>
      <c r="J3782" s="42" t="n">
        <f aca="false">IF($M3782="贷",$O3782,0)</f>
        <v>0</v>
      </c>
      <c r="K3782" s="48" t="str">
        <f aca="false">IF($H3782="","",资金流水!$F294)</f>
        <v/>
      </c>
      <c r="L3782" s="66" t="str">
        <f aca="false">IF(资金流水!$E294="","",IFERROR(INDEX(记账规则!$A$13:$H$32,MATCH(资金流水!$E294,记账规则!$A$13:$A$32,0),3),""))</f>
        <v/>
      </c>
      <c r="M3782" s="66" t="str">
        <f aca="false">IF($L3782="","",IFERROR(INDEX(记账规则!$A$13:$H$32,MATCH(资金流水!$E294,记账规则!$A$13:$A$32,0),4),""))</f>
        <v/>
      </c>
      <c r="N3782" s="66" t="str">
        <f aca="false">IF($L3782="","",IFERROR(INDEX(记账规则!$A$13:$H$32,MATCH(资金流水!$E294,记账规则!$A$13:$A$32,0),5),""))</f>
        <v/>
      </c>
      <c r="O3782" s="67" t="n">
        <f aca="false">IF($H3782="",0,ROUND(IF($N3782="金额",N(资金流水!$P294),0),2))</f>
        <v>0</v>
      </c>
      <c r="P3782" s="64" t="str">
        <f aca="false">IF(AND($H3782&lt;&gt;"",ROUND($O3782,2)&lt;&gt;0),"有","")</f>
        <v/>
      </c>
    </row>
    <row r="3783" customFormat="false" ht="15" hidden="true" customHeight="false" outlineLevel="0" collapsed="false">
      <c r="A3783" s="53" t="str">
        <f aca="false">IF($H3783="","",ROW()-5)</f>
        <v/>
      </c>
      <c r="B3783" s="64" t="s">
        <v>37</v>
      </c>
      <c r="C3783" s="53" t="n">
        <v>294</v>
      </c>
      <c r="D3783" s="53" t="n">
        <v>2</v>
      </c>
      <c r="E3783" s="65" t="str">
        <f aca="false">IF($H3783="","",资金流水!$B294)</f>
        <v/>
      </c>
      <c r="F3783" s="55" t="str">
        <f aca="false">IF($H3783="","",资金流水!$C294)</f>
        <v/>
      </c>
      <c r="G3783" s="48" t="str">
        <f aca="false">IF($H3783="","",资金流水!$K294)</f>
        <v/>
      </c>
      <c r="H3783" s="10" t="str">
        <f aca="false">IF($L3783="","",IF($L3783="@对方",资金流水!$G294,IF($L3783="@账户",资金流水!$Q294,$L3783)))</f>
        <v/>
      </c>
      <c r="I3783" s="42" t="n">
        <f aca="false">IF($M3783="借",$O3783,0)</f>
        <v>0</v>
      </c>
      <c r="J3783" s="42" t="n">
        <f aca="false">IF($M3783="贷",$O3783,0)</f>
        <v>0</v>
      </c>
      <c r="K3783" s="48" t="str">
        <f aca="false">IF($H3783="","",资金流水!$F294)</f>
        <v/>
      </c>
      <c r="L3783" s="66" t="str">
        <f aca="false">IF(资金流水!$E294="","",IFERROR(INDEX(记账规则!$A$13:$H$32,MATCH(资金流水!$E294,记账规则!$A$13:$A$32,0),6),""))</f>
        <v/>
      </c>
      <c r="M3783" s="66" t="str">
        <f aca="false">IF($L3783="","",IFERROR(INDEX(记账规则!$A$13:$H$32,MATCH(资金流水!$E294,记账规则!$A$13:$A$32,0),7),""))</f>
        <v/>
      </c>
      <c r="N3783" s="66" t="str">
        <f aca="false">IF($L3783="","",IFERROR(INDEX(记账规则!$A$13:$H$32,MATCH(资金流水!$E294,记账规则!$A$13:$A$32,0),8),""))</f>
        <v/>
      </c>
      <c r="O3783" s="67" t="n">
        <f aca="false">IF($H3783="",0,ROUND(IF($N3783="金额",N(资金流水!$P294),0),2))</f>
        <v>0</v>
      </c>
      <c r="P3783" s="64" t="str">
        <f aca="false">IF(AND($H3783&lt;&gt;"",ROUND($O3783,2)&lt;&gt;0),"有","")</f>
        <v/>
      </c>
    </row>
    <row r="3784" customFormat="false" ht="15" hidden="true" customHeight="false" outlineLevel="0" collapsed="false">
      <c r="A3784" s="53" t="str">
        <f aca="false">IF($H3784="","",ROW()-5)</f>
        <v/>
      </c>
      <c r="B3784" s="64" t="s">
        <v>37</v>
      </c>
      <c r="C3784" s="53" t="n">
        <v>295</v>
      </c>
      <c r="D3784" s="53" t="n">
        <v>1</v>
      </c>
      <c r="E3784" s="65" t="str">
        <f aca="false">IF($H3784="","",资金流水!$B295)</f>
        <v/>
      </c>
      <c r="F3784" s="55" t="str">
        <f aca="false">IF($H3784="","",资金流水!$C295)</f>
        <v/>
      </c>
      <c r="G3784" s="48" t="str">
        <f aca="false">IF($H3784="","",资金流水!$K295)</f>
        <v/>
      </c>
      <c r="H3784" s="10" t="str">
        <f aca="false">IF($L3784="","",IF($L3784="@对方",资金流水!$G295,IF($L3784="@账户",资金流水!$Q295,$L3784)))</f>
        <v/>
      </c>
      <c r="I3784" s="42" t="n">
        <f aca="false">IF($M3784="借",$O3784,0)</f>
        <v>0</v>
      </c>
      <c r="J3784" s="42" t="n">
        <f aca="false">IF($M3784="贷",$O3784,0)</f>
        <v>0</v>
      </c>
      <c r="K3784" s="48" t="str">
        <f aca="false">IF($H3784="","",资金流水!$F295)</f>
        <v/>
      </c>
      <c r="L3784" s="66" t="str">
        <f aca="false">IF(资金流水!$E295="","",IFERROR(INDEX(记账规则!$A$13:$H$32,MATCH(资金流水!$E295,记账规则!$A$13:$A$32,0),3),""))</f>
        <v/>
      </c>
      <c r="M3784" s="66" t="str">
        <f aca="false">IF($L3784="","",IFERROR(INDEX(记账规则!$A$13:$H$32,MATCH(资金流水!$E295,记账规则!$A$13:$A$32,0),4),""))</f>
        <v/>
      </c>
      <c r="N3784" s="66" t="str">
        <f aca="false">IF($L3784="","",IFERROR(INDEX(记账规则!$A$13:$H$32,MATCH(资金流水!$E295,记账规则!$A$13:$A$32,0),5),""))</f>
        <v/>
      </c>
      <c r="O3784" s="67" t="n">
        <f aca="false">IF($H3784="",0,ROUND(IF($N3784="金额",N(资金流水!$P295),0),2))</f>
        <v>0</v>
      </c>
      <c r="P3784" s="64" t="str">
        <f aca="false">IF(AND($H3784&lt;&gt;"",ROUND($O3784,2)&lt;&gt;0),"有","")</f>
        <v/>
      </c>
    </row>
    <row r="3785" customFormat="false" ht="15" hidden="true" customHeight="false" outlineLevel="0" collapsed="false">
      <c r="A3785" s="53" t="str">
        <f aca="false">IF($H3785="","",ROW()-5)</f>
        <v/>
      </c>
      <c r="B3785" s="64" t="s">
        <v>37</v>
      </c>
      <c r="C3785" s="53" t="n">
        <v>295</v>
      </c>
      <c r="D3785" s="53" t="n">
        <v>2</v>
      </c>
      <c r="E3785" s="65" t="str">
        <f aca="false">IF($H3785="","",资金流水!$B295)</f>
        <v/>
      </c>
      <c r="F3785" s="55" t="str">
        <f aca="false">IF($H3785="","",资金流水!$C295)</f>
        <v/>
      </c>
      <c r="G3785" s="48" t="str">
        <f aca="false">IF($H3785="","",资金流水!$K295)</f>
        <v/>
      </c>
      <c r="H3785" s="10" t="str">
        <f aca="false">IF($L3785="","",IF($L3785="@对方",资金流水!$G295,IF($L3785="@账户",资金流水!$Q295,$L3785)))</f>
        <v/>
      </c>
      <c r="I3785" s="42" t="n">
        <f aca="false">IF($M3785="借",$O3785,0)</f>
        <v>0</v>
      </c>
      <c r="J3785" s="42" t="n">
        <f aca="false">IF($M3785="贷",$O3785,0)</f>
        <v>0</v>
      </c>
      <c r="K3785" s="48" t="str">
        <f aca="false">IF($H3785="","",资金流水!$F295)</f>
        <v/>
      </c>
      <c r="L3785" s="66" t="str">
        <f aca="false">IF(资金流水!$E295="","",IFERROR(INDEX(记账规则!$A$13:$H$32,MATCH(资金流水!$E295,记账规则!$A$13:$A$32,0),6),""))</f>
        <v/>
      </c>
      <c r="M3785" s="66" t="str">
        <f aca="false">IF($L3785="","",IFERROR(INDEX(记账规则!$A$13:$H$32,MATCH(资金流水!$E295,记账规则!$A$13:$A$32,0),7),""))</f>
        <v/>
      </c>
      <c r="N3785" s="66" t="str">
        <f aca="false">IF($L3785="","",IFERROR(INDEX(记账规则!$A$13:$H$32,MATCH(资金流水!$E295,记账规则!$A$13:$A$32,0),8),""))</f>
        <v/>
      </c>
      <c r="O3785" s="67" t="n">
        <f aca="false">IF($H3785="",0,ROUND(IF($N3785="金额",N(资金流水!$P295),0),2))</f>
        <v>0</v>
      </c>
      <c r="P3785" s="64" t="str">
        <f aca="false">IF(AND($H3785&lt;&gt;"",ROUND($O3785,2)&lt;&gt;0),"有","")</f>
        <v/>
      </c>
    </row>
    <row r="3786" customFormat="false" ht="15" hidden="true" customHeight="false" outlineLevel="0" collapsed="false">
      <c r="A3786" s="53" t="str">
        <f aca="false">IF($H3786="","",ROW()-5)</f>
        <v/>
      </c>
      <c r="B3786" s="64" t="s">
        <v>37</v>
      </c>
      <c r="C3786" s="53" t="n">
        <v>296</v>
      </c>
      <c r="D3786" s="53" t="n">
        <v>1</v>
      </c>
      <c r="E3786" s="65" t="str">
        <f aca="false">IF($H3786="","",资金流水!$B296)</f>
        <v/>
      </c>
      <c r="F3786" s="55" t="str">
        <f aca="false">IF($H3786="","",资金流水!$C296)</f>
        <v/>
      </c>
      <c r="G3786" s="48" t="str">
        <f aca="false">IF($H3786="","",资金流水!$K296)</f>
        <v/>
      </c>
      <c r="H3786" s="10" t="str">
        <f aca="false">IF($L3786="","",IF($L3786="@对方",资金流水!$G296,IF($L3786="@账户",资金流水!$Q296,$L3786)))</f>
        <v/>
      </c>
      <c r="I3786" s="42" t="n">
        <f aca="false">IF($M3786="借",$O3786,0)</f>
        <v>0</v>
      </c>
      <c r="J3786" s="42" t="n">
        <f aca="false">IF($M3786="贷",$O3786,0)</f>
        <v>0</v>
      </c>
      <c r="K3786" s="48" t="str">
        <f aca="false">IF($H3786="","",资金流水!$F296)</f>
        <v/>
      </c>
      <c r="L3786" s="66" t="str">
        <f aca="false">IF(资金流水!$E296="","",IFERROR(INDEX(记账规则!$A$13:$H$32,MATCH(资金流水!$E296,记账规则!$A$13:$A$32,0),3),""))</f>
        <v/>
      </c>
      <c r="M3786" s="66" t="str">
        <f aca="false">IF($L3786="","",IFERROR(INDEX(记账规则!$A$13:$H$32,MATCH(资金流水!$E296,记账规则!$A$13:$A$32,0),4),""))</f>
        <v/>
      </c>
      <c r="N3786" s="66" t="str">
        <f aca="false">IF($L3786="","",IFERROR(INDEX(记账规则!$A$13:$H$32,MATCH(资金流水!$E296,记账规则!$A$13:$A$32,0),5),""))</f>
        <v/>
      </c>
      <c r="O3786" s="67" t="n">
        <f aca="false">IF($H3786="",0,ROUND(IF($N3786="金额",N(资金流水!$P296),0),2))</f>
        <v>0</v>
      </c>
      <c r="P3786" s="64" t="str">
        <f aca="false">IF(AND($H3786&lt;&gt;"",ROUND($O3786,2)&lt;&gt;0),"有","")</f>
        <v/>
      </c>
    </row>
    <row r="3787" customFormat="false" ht="15" hidden="true" customHeight="false" outlineLevel="0" collapsed="false">
      <c r="A3787" s="53" t="str">
        <f aca="false">IF($H3787="","",ROW()-5)</f>
        <v/>
      </c>
      <c r="B3787" s="64" t="s">
        <v>37</v>
      </c>
      <c r="C3787" s="53" t="n">
        <v>296</v>
      </c>
      <c r="D3787" s="53" t="n">
        <v>2</v>
      </c>
      <c r="E3787" s="65" t="str">
        <f aca="false">IF($H3787="","",资金流水!$B296)</f>
        <v/>
      </c>
      <c r="F3787" s="55" t="str">
        <f aca="false">IF($H3787="","",资金流水!$C296)</f>
        <v/>
      </c>
      <c r="G3787" s="48" t="str">
        <f aca="false">IF($H3787="","",资金流水!$K296)</f>
        <v/>
      </c>
      <c r="H3787" s="10" t="str">
        <f aca="false">IF($L3787="","",IF($L3787="@对方",资金流水!$G296,IF($L3787="@账户",资金流水!$Q296,$L3787)))</f>
        <v/>
      </c>
      <c r="I3787" s="42" t="n">
        <f aca="false">IF($M3787="借",$O3787,0)</f>
        <v>0</v>
      </c>
      <c r="J3787" s="42" t="n">
        <f aca="false">IF($M3787="贷",$O3787,0)</f>
        <v>0</v>
      </c>
      <c r="K3787" s="48" t="str">
        <f aca="false">IF($H3787="","",资金流水!$F296)</f>
        <v/>
      </c>
      <c r="L3787" s="66" t="str">
        <f aca="false">IF(资金流水!$E296="","",IFERROR(INDEX(记账规则!$A$13:$H$32,MATCH(资金流水!$E296,记账规则!$A$13:$A$32,0),6),""))</f>
        <v/>
      </c>
      <c r="M3787" s="66" t="str">
        <f aca="false">IF($L3787="","",IFERROR(INDEX(记账规则!$A$13:$H$32,MATCH(资金流水!$E296,记账规则!$A$13:$A$32,0),7),""))</f>
        <v/>
      </c>
      <c r="N3787" s="66" t="str">
        <f aca="false">IF($L3787="","",IFERROR(INDEX(记账规则!$A$13:$H$32,MATCH(资金流水!$E296,记账规则!$A$13:$A$32,0),8),""))</f>
        <v/>
      </c>
      <c r="O3787" s="67" t="n">
        <f aca="false">IF($H3787="",0,ROUND(IF($N3787="金额",N(资金流水!$P296),0),2))</f>
        <v>0</v>
      </c>
      <c r="P3787" s="64" t="str">
        <f aca="false">IF(AND($H3787&lt;&gt;"",ROUND($O3787,2)&lt;&gt;0),"有","")</f>
        <v/>
      </c>
    </row>
    <row r="3788" customFormat="false" ht="15" hidden="true" customHeight="false" outlineLevel="0" collapsed="false">
      <c r="A3788" s="53" t="str">
        <f aca="false">IF($H3788="","",ROW()-5)</f>
        <v/>
      </c>
      <c r="B3788" s="64" t="s">
        <v>37</v>
      </c>
      <c r="C3788" s="53" t="n">
        <v>297</v>
      </c>
      <c r="D3788" s="53" t="n">
        <v>1</v>
      </c>
      <c r="E3788" s="65" t="str">
        <f aca="false">IF($H3788="","",资金流水!$B297)</f>
        <v/>
      </c>
      <c r="F3788" s="55" t="str">
        <f aca="false">IF($H3788="","",资金流水!$C297)</f>
        <v/>
      </c>
      <c r="G3788" s="48" t="str">
        <f aca="false">IF($H3788="","",资金流水!$K297)</f>
        <v/>
      </c>
      <c r="H3788" s="10" t="str">
        <f aca="false">IF($L3788="","",IF($L3788="@对方",资金流水!$G297,IF($L3788="@账户",资金流水!$Q297,$L3788)))</f>
        <v/>
      </c>
      <c r="I3788" s="42" t="n">
        <f aca="false">IF($M3788="借",$O3788,0)</f>
        <v>0</v>
      </c>
      <c r="J3788" s="42" t="n">
        <f aca="false">IF($M3788="贷",$O3788,0)</f>
        <v>0</v>
      </c>
      <c r="K3788" s="48" t="str">
        <f aca="false">IF($H3788="","",资金流水!$F297)</f>
        <v/>
      </c>
      <c r="L3788" s="66" t="str">
        <f aca="false">IF(资金流水!$E297="","",IFERROR(INDEX(记账规则!$A$13:$H$32,MATCH(资金流水!$E297,记账规则!$A$13:$A$32,0),3),""))</f>
        <v/>
      </c>
      <c r="M3788" s="66" t="str">
        <f aca="false">IF($L3788="","",IFERROR(INDEX(记账规则!$A$13:$H$32,MATCH(资金流水!$E297,记账规则!$A$13:$A$32,0),4),""))</f>
        <v/>
      </c>
      <c r="N3788" s="66" t="str">
        <f aca="false">IF($L3788="","",IFERROR(INDEX(记账规则!$A$13:$H$32,MATCH(资金流水!$E297,记账规则!$A$13:$A$32,0),5),""))</f>
        <v/>
      </c>
      <c r="O3788" s="67" t="n">
        <f aca="false">IF($H3788="",0,ROUND(IF($N3788="金额",N(资金流水!$P297),0),2))</f>
        <v>0</v>
      </c>
      <c r="P3788" s="64" t="str">
        <f aca="false">IF(AND($H3788&lt;&gt;"",ROUND($O3788,2)&lt;&gt;0),"有","")</f>
        <v/>
      </c>
    </row>
    <row r="3789" customFormat="false" ht="15" hidden="true" customHeight="false" outlineLevel="0" collapsed="false">
      <c r="A3789" s="53" t="str">
        <f aca="false">IF($H3789="","",ROW()-5)</f>
        <v/>
      </c>
      <c r="B3789" s="64" t="s">
        <v>37</v>
      </c>
      <c r="C3789" s="53" t="n">
        <v>297</v>
      </c>
      <c r="D3789" s="53" t="n">
        <v>2</v>
      </c>
      <c r="E3789" s="65" t="str">
        <f aca="false">IF($H3789="","",资金流水!$B297)</f>
        <v/>
      </c>
      <c r="F3789" s="55" t="str">
        <f aca="false">IF($H3789="","",资金流水!$C297)</f>
        <v/>
      </c>
      <c r="G3789" s="48" t="str">
        <f aca="false">IF($H3789="","",资金流水!$K297)</f>
        <v/>
      </c>
      <c r="H3789" s="10" t="str">
        <f aca="false">IF($L3789="","",IF($L3789="@对方",资金流水!$G297,IF($L3789="@账户",资金流水!$Q297,$L3789)))</f>
        <v/>
      </c>
      <c r="I3789" s="42" t="n">
        <f aca="false">IF($M3789="借",$O3789,0)</f>
        <v>0</v>
      </c>
      <c r="J3789" s="42" t="n">
        <f aca="false">IF($M3789="贷",$O3789,0)</f>
        <v>0</v>
      </c>
      <c r="K3789" s="48" t="str">
        <f aca="false">IF($H3789="","",资金流水!$F297)</f>
        <v/>
      </c>
      <c r="L3789" s="66" t="str">
        <f aca="false">IF(资金流水!$E297="","",IFERROR(INDEX(记账规则!$A$13:$H$32,MATCH(资金流水!$E297,记账规则!$A$13:$A$32,0),6),""))</f>
        <v/>
      </c>
      <c r="M3789" s="66" t="str">
        <f aca="false">IF($L3789="","",IFERROR(INDEX(记账规则!$A$13:$H$32,MATCH(资金流水!$E297,记账规则!$A$13:$A$32,0),7),""))</f>
        <v/>
      </c>
      <c r="N3789" s="66" t="str">
        <f aca="false">IF($L3789="","",IFERROR(INDEX(记账规则!$A$13:$H$32,MATCH(资金流水!$E297,记账规则!$A$13:$A$32,0),8),""))</f>
        <v/>
      </c>
      <c r="O3789" s="67" t="n">
        <f aca="false">IF($H3789="",0,ROUND(IF($N3789="金额",N(资金流水!$P297),0),2))</f>
        <v>0</v>
      </c>
      <c r="P3789" s="64" t="str">
        <f aca="false">IF(AND($H3789&lt;&gt;"",ROUND($O3789,2)&lt;&gt;0),"有","")</f>
        <v/>
      </c>
    </row>
    <row r="3790" customFormat="false" ht="15" hidden="true" customHeight="false" outlineLevel="0" collapsed="false">
      <c r="A3790" s="53" t="str">
        <f aca="false">IF($H3790="","",ROW()-5)</f>
        <v/>
      </c>
      <c r="B3790" s="64" t="s">
        <v>37</v>
      </c>
      <c r="C3790" s="53" t="n">
        <v>298</v>
      </c>
      <c r="D3790" s="53" t="n">
        <v>1</v>
      </c>
      <c r="E3790" s="65" t="str">
        <f aca="false">IF($H3790="","",资金流水!$B298)</f>
        <v/>
      </c>
      <c r="F3790" s="55" t="str">
        <f aca="false">IF($H3790="","",资金流水!$C298)</f>
        <v/>
      </c>
      <c r="G3790" s="48" t="str">
        <f aca="false">IF($H3790="","",资金流水!$K298)</f>
        <v/>
      </c>
      <c r="H3790" s="10" t="str">
        <f aca="false">IF($L3790="","",IF($L3790="@对方",资金流水!$G298,IF($L3790="@账户",资金流水!$Q298,$L3790)))</f>
        <v/>
      </c>
      <c r="I3790" s="42" t="n">
        <f aca="false">IF($M3790="借",$O3790,0)</f>
        <v>0</v>
      </c>
      <c r="J3790" s="42" t="n">
        <f aca="false">IF($M3790="贷",$O3790,0)</f>
        <v>0</v>
      </c>
      <c r="K3790" s="48" t="str">
        <f aca="false">IF($H3790="","",资金流水!$F298)</f>
        <v/>
      </c>
      <c r="L3790" s="66" t="str">
        <f aca="false">IF(资金流水!$E298="","",IFERROR(INDEX(记账规则!$A$13:$H$32,MATCH(资金流水!$E298,记账规则!$A$13:$A$32,0),3),""))</f>
        <v/>
      </c>
      <c r="M3790" s="66" t="str">
        <f aca="false">IF($L3790="","",IFERROR(INDEX(记账规则!$A$13:$H$32,MATCH(资金流水!$E298,记账规则!$A$13:$A$32,0),4),""))</f>
        <v/>
      </c>
      <c r="N3790" s="66" t="str">
        <f aca="false">IF($L3790="","",IFERROR(INDEX(记账规则!$A$13:$H$32,MATCH(资金流水!$E298,记账规则!$A$13:$A$32,0),5),""))</f>
        <v/>
      </c>
      <c r="O3790" s="67" t="n">
        <f aca="false">IF($H3790="",0,ROUND(IF($N3790="金额",N(资金流水!$P298),0),2))</f>
        <v>0</v>
      </c>
      <c r="P3790" s="64" t="str">
        <f aca="false">IF(AND($H3790&lt;&gt;"",ROUND($O3790,2)&lt;&gt;0),"有","")</f>
        <v/>
      </c>
    </row>
    <row r="3791" customFormat="false" ht="15" hidden="true" customHeight="false" outlineLevel="0" collapsed="false">
      <c r="A3791" s="53" t="str">
        <f aca="false">IF($H3791="","",ROW()-5)</f>
        <v/>
      </c>
      <c r="B3791" s="64" t="s">
        <v>37</v>
      </c>
      <c r="C3791" s="53" t="n">
        <v>298</v>
      </c>
      <c r="D3791" s="53" t="n">
        <v>2</v>
      </c>
      <c r="E3791" s="65" t="str">
        <f aca="false">IF($H3791="","",资金流水!$B298)</f>
        <v/>
      </c>
      <c r="F3791" s="55" t="str">
        <f aca="false">IF($H3791="","",资金流水!$C298)</f>
        <v/>
      </c>
      <c r="G3791" s="48" t="str">
        <f aca="false">IF($H3791="","",资金流水!$K298)</f>
        <v/>
      </c>
      <c r="H3791" s="10" t="str">
        <f aca="false">IF($L3791="","",IF($L3791="@对方",资金流水!$G298,IF($L3791="@账户",资金流水!$Q298,$L3791)))</f>
        <v/>
      </c>
      <c r="I3791" s="42" t="n">
        <f aca="false">IF($M3791="借",$O3791,0)</f>
        <v>0</v>
      </c>
      <c r="J3791" s="42" t="n">
        <f aca="false">IF($M3791="贷",$O3791,0)</f>
        <v>0</v>
      </c>
      <c r="K3791" s="48" t="str">
        <f aca="false">IF($H3791="","",资金流水!$F298)</f>
        <v/>
      </c>
      <c r="L3791" s="66" t="str">
        <f aca="false">IF(资金流水!$E298="","",IFERROR(INDEX(记账规则!$A$13:$H$32,MATCH(资金流水!$E298,记账规则!$A$13:$A$32,0),6),""))</f>
        <v/>
      </c>
      <c r="M3791" s="66" t="str">
        <f aca="false">IF($L3791="","",IFERROR(INDEX(记账规则!$A$13:$H$32,MATCH(资金流水!$E298,记账规则!$A$13:$A$32,0),7),""))</f>
        <v/>
      </c>
      <c r="N3791" s="66" t="str">
        <f aca="false">IF($L3791="","",IFERROR(INDEX(记账规则!$A$13:$H$32,MATCH(资金流水!$E298,记账规则!$A$13:$A$32,0),8),""))</f>
        <v/>
      </c>
      <c r="O3791" s="67" t="n">
        <f aca="false">IF($H3791="",0,ROUND(IF($N3791="金额",N(资金流水!$P298),0),2))</f>
        <v>0</v>
      </c>
      <c r="P3791" s="64" t="str">
        <f aca="false">IF(AND($H3791&lt;&gt;"",ROUND($O3791,2)&lt;&gt;0),"有","")</f>
        <v/>
      </c>
    </row>
    <row r="3792" customFormat="false" ht="15" hidden="true" customHeight="false" outlineLevel="0" collapsed="false">
      <c r="A3792" s="53" t="str">
        <f aca="false">IF($H3792="","",ROW()-5)</f>
        <v/>
      </c>
      <c r="B3792" s="64" t="s">
        <v>37</v>
      </c>
      <c r="C3792" s="53" t="n">
        <v>299</v>
      </c>
      <c r="D3792" s="53" t="n">
        <v>1</v>
      </c>
      <c r="E3792" s="65" t="str">
        <f aca="false">IF($H3792="","",资金流水!$B299)</f>
        <v/>
      </c>
      <c r="F3792" s="55" t="str">
        <f aca="false">IF($H3792="","",资金流水!$C299)</f>
        <v/>
      </c>
      <c r="G3792" s="48" t="str">
        <f aca="false">IF($H3792="","",资金流水!$K299)</f>
        <v/>
      </c>
      <c r="H3792" s="10" t="str">
        <f aca="false">IF($L3792="","",IF($L3792="@对方",资金流水!$G299,IF($L3792="@账户",资金流水!$Q299,$L3792)))</f>
        <v/>
      </c>
      <c r="I3792" s="42" t="n">
        <f aca="false">IF($M3792="借",$O3792,0)</f>
        <v>0</v>
      </c>
      <c r="J3792" s="42" t="n">
        <f aca="false">IF($M3792="贷",$O3792,0)</f>
        <v>0</v>
      </c>
      <c r="K3792" s="48" t="str">
        <f aca="false">IF($H3792="","",资金流水!$F299)</f>
        <v/>
      </c>
      <c r="L3792" s="66" t="str">
        <f aca="false">IF(资金流水!$E299="","",IFERROR(INDEX(记账规则!$A$13:$H$32,MATCH(资金流水!$E299,记账规则!$A$13:$A$32,0),3),""))</f>
        <v/>
      </c>
      <c r="M3792" s="66" t="str">
        <f aca="false">IF($L3792="","",IFERROR(INDEX(记账规则!$A$13:$H$32,MATCH(资金流水!$E299,记账规则!$A$13:$A$32,0),4),""))</f>
        <v/>
      </c>
      <c r="N3792" s="66" t="str">
        <f aca="false">IF($L3792="","",IFERROR(INDEX(记账规则!$A$13:$H$32,MATCH(资金流水!$E299,记账规则!$A$13:$A$32,0),5),""))</f>
        <v/>
      </c>
      <c r="O3792" s="67" t="n">
        <f aca="false">IF($H3792="",0,ROUND(IF($N3792="金额",N(资金流水!$P299),0),2))</f>
        <v>0</v>
      </c>
      <c r="P3792" s="64" t="str">
        <f aca="false">IF(AND($H3792&lt;&gt;"",ROUND($O3792,2)&lt;&gt;0),"有","")</f>
        <v/>
      </c>
    </row>
    <row r="3793" customFormat="false" ht="15" hidden="true" customHeight="false" outlineLevel="0" collapsed="false">
      <c r="A3793" s="53" t="str">
        <f aca="false">IF($H3793="","",ROW()-5)</f>
        <v/>
      </c>
      <c r="B3793" s="64" t="s">
        <v>37</v>
      </c>
      <c r="C3793" s="53" t="n">
        <v>299</v>
      </c>
      <c r="D3793" s="53" t="n">
        <v>2</v>
      </c>
      <c r="E3793" s="65" t="str">
        <f aca="false">IF($H3793="","",资金流水!$B299)</f>
        <v/>
      </c>
      <c r="F3793" s="55" t="str">
        <f aca="false">IF($H3793="","",资金流水!$C299)</f>
        <v/>
      </c>
      <c r="G3793" s="48" t="str">
        <f aca="false">IF($H3793="","",资金流水!$K299)</f>
        <v/>
      </c>
      <c r="H3793" s="10" t="str">
        <f aca="false">IF($L3793="","",IF($L3793="@对方",资金流水!$G299,IF($L3793="@账户",资金流水!$Q299,$L3793)))</f>
        <v/>
      </c>
      <c r="I3793" s="42" t="n">
        <f aca="false">IF($M3793="借",$O3793,0)</f>
        <v>0</v>
      </c>
      <c r="J3793" s="42" t="n">
        <f aca="false">IF($M3793="贷",$O3793,0)</f>
        <v>0</v>
      </c>
      <c r="K3793" s="48" t="str">
        <f aca="false">IF($H3793="","",资金流水!$F299)</f>
        <v/>
      </c>
      <c r="L3793" s="66" t="str">
        <f aca="false">IF(资金流水!$E299="","",IFERROR(INDEX(记账规则!$A$13:$H$32,MATCH(资金流水!$E299,记账规则!$A$13:$A$32,0),6),""))</f>
        <v/>
      </c>
      <c r="M3793" s="66" t="str">
        <f aca="false">IF($L3793="","",IFERROR(INDEX(记账规则!$A$13:$H$32,MATCH(资金流水!$E299,记账规则!$A$13:$A$32,0),7),""))</f>
        <v/>
      </c>
      <c r="N3793" s="66" t="str">
        <f aca="false">IF($L3793="","",IFERROR(INDEX(记账规则!$A$13:$H$32,MATCH(资金流水!$E299,记账规则!$A$13:$A$32,0),8),""))</f>
        <v/>
      </c>
      <c r="O3793" s="67" t="n">
        <f aca="false">IF($H3793="",0,ROUND(IF($N3793="金额",N(资金流水!$P299),0),2))</f>
        <v>0</v>
      </c>
      <c r="P3793" s="64" t="str">
        <f aca="false">IF(AND($H3793&lt;&gt;"",ROUND($O3793,2)&lt;&gt;0),"有","")</f>
        <v/>
      </c>
    </row>
    <row r="3794" customFormat="false" ht="15" hidden="true" customHeight="false" outlineLevel="0" collapsed="false">
      <c r="A3794" s="53" t="str">
        <f aca="false">IF($H3794="","",ROW()-5)</f>
        <v/>
      </c>
      <c r="B3794" s="64" t="s">
        <v>37</v>
      </c>
      <c r="C3794" s="53" t="n">
        <v>300</v>
      </c>
      <c r="D3794" s="53" t="n">
        <v>1</v>
      </c>
      <c r="E3794" s="65" t="str">
        <f aca="false">IF($H3794="","",资金流水!$B300)</f>
        <v/>
      </c>
      <c r="F3794" s="55" t="str">
        <f aca="false">IF($H3794="","",资金流水!$C300)</f>
        <v/>
      </c>
      <c r="G3794" s="48" t="str">
        <f aca="false">IF($H3794="","",资金流水!$K300)</f>
        <v/>
      </c>
      <c r="H3794" s="10" t="str">
        <f aca="false">IF($L3794="","",IF($L3794="@对方",资金流水!$G300,IF($L3794="@账户",资金流水!$Q300,$L3794)))</f>
        <v/>
      </c>
      <c r="I3794" s="42" t="n">
        <f aca="false">IF($M3794="借",$O3794,0)</f>
        <v>0</v>
      </c>
      <c r="J3794" s="42" t="n">
        <f aca="false">IF($M3794="贷",$O3794,0)</f>
        <v>0</v>
      </c>
      <c r="K3794" s="48" t="str">
        <f aca="false">IF($H3794="","",资金流水!$F300)</f>
        <v/>
      </c>
      <c r="L3794" s="66" t="str">
        <f aca="false">IF(资金流水!$E300="","",IFERROR(INDEX(记账规则!$A$13:$H$32,MATCH(资金流水!$E300,记账规则!$A$13:$A$32,0),3),""))</f>
        <v/>
      </c>
      <c r="M3794" s="66" t="str">
        <f aca="false">IF($L3794="","",IFERROR(INDEX(记账规则!$A$13:$H$32,MATCH(资金流水!$E300,记账规则!$A$13:$A$32,0),4),""))</f>
        <v/>
      </c>
      <c r="N3794" s="66" t="str">
        <f aca="false">IF($L3794="","",IFERROR(INDEX(记账规则!$A$13:$H$32,MATCH(资金流水!$E300,记账规则!$A$13:$A$32,0),5),""))</f>
        <v/>
      </c>
      <c r="O3794" s="67" t="n">
        <f aca="false">IF($H3794="",0,ROUND(IF($N3794="金额",N(资金流水!$P300),0),2))</f>
        <v>0</v>
      </c>
      <c r="P3794" s="64" t="str">
        <f aca="false">IF(AND($H3794&lt;&gt;"",ROUND($O3794,2)&lt;&gt;0),"有","")</f>
        <v/>
      </c>
    </row>
    <row r="3795" customFormat="false" ht="15" hidden="true" customHeight="false" outlineLevel="0" collapsed="false">
      <c r="A3795" s="53" t="str">
        <f aca="false">IF($H3795="","",ROW()-5)</f>
        <v/>
      </c>
      <c r="B3795" s="64" t="s">
        <v>37</v>
      </c>
      <c r="C3795" s="53" t="n">
        <v>300</v>
      </c>
      <c r="D3795" s="53" t="n">
        <v>2</v>
      </c>
      <c r="E3795" s="65" t="str">
        <f aca="false">IF($H3795="","",资金流水!$B300)</f>
        <v/>
      </c>
      <c r="F3795" s="55" t="str">
        <f aca="false">IF($H3795="","",资金流水!$C300)</f>
        <v/>
      </c>
      <c r="G3795" s="48" t="str">
        <f aca="false">IF($H3795="","",资金流水!$K300)</f>
        <v/>
      </c>
      <c r="H3795" s="10" t="str">
        <f aca="false">IF($L3795="","",IF($L3795="@对方",资金流水!$G300,IF($L3795="@账户",资金流水!$Q300,$L3795)))</f>
        <v/>
      </c>
      <c r="I3795" s="42" t="n">
        <f aca="false">IF($M3795="借",$O3795,0)</f>
        <v>0</v>
      </c>
      <c r="J3795" s="42" t="n">
        <f aca="false">IF($M3795="贷",$O3795,0)</f>
        <v>0</v>
      </c>
      <c r="K3795" s="48" t="str">
        <f aca="false">IF($H3795="","",资金流水!$F300)</f>
        <v/>
      </c>
      <c r="L3795" s="66" t="str">
        <f aca="false">IF(资金流水!$E300="","",IFERROR(INDEX(记账规则!$A$13:$H$32,MATCH(资金流水!$E300,记账规则!$A$13:$A$32,0),6),""))</f>
        <v/>
      </c>
      <c r="M3795" s="66" t="str">
        <f aca="false">IF($L3795="","",IFERROR(INDEX(记账规则!$A$13:$H$32,MATCH(资金流水!$E300,记账规则!$A$13:$A$32,0),7),""))</f>
        <v/>
      </c>
      <c r="N3795" s="66" t="str">
        <f aca="false">IF($L3795="","",IFERROR(INDEX(记账规则!$A$13:$H$32,MATCH(资金流水!$E300,记账规则!$A$13:$A$32,0),8),""))</f>
        <v/>
      </c>
      <c r="O3795" s="67" t="n">
        <f aca="false">IF($H3795="",0,ROUND(IF($N3795="金额",N(资金流水!$P300),0),2))</f>
        <v>0</v>
      </c>
      <c r="P3795" s="64" t="str">
        <f aca="false">IF(AND($H3795&lt;&gt;"",ROUND($O3795,2)&lt;&gt;0),"有","")</f>
        <v/>
      </c>
    </row>
    <row r="3796" customFormat="false" ht="15" hidden="true" customHeight="false" outlineLevel="0" collapsed="false">
      <c r="A3796" s="53" t="str">
        <f aca="false">IF($H3796="","",ROW()-5)</f>
        <v/>
      </c>
      <c r="B3796" s="64" t="s">
        <v>37</v>
      </c>
      <c r="C3796" s="53" t="n">
        <v>301</v>
      </c>
      <c r="D3796" s="53" t="n">
        <v>1</v>
      </c>
      <c r="E3796" s="65" t="str">
        <f aca="false">IF($H3796="","",资金流水!$B301)</f>
        <v/>
      </c>
      <c r="F3796" s="55" t="str">
        <f aca="false">IF($H3796="","",资金流水!$C301)</f>
        <v/>
      </c>
      <c r="G3796" s="48" t="str">
        <f aca="false">IF($H3796="","",资金流水!$K301)</f>
        <v/>
      </c>
      <c r="H3796" s="10" t="str">
        <f aca="false">IF($L3796="","",IF($L3796="@对方",资金流水!$G301,IF($L3796="@账户",资金流水!$Q301,$L3796)))</f>
        <v/>
      </c>
      <c r="I3796" s="42" t="n">
        <f aca="false">IF($M3796="借",$O3796,0)</f>
        <v>0</v>
      </c>
      <c r="J3796" s="42" t="n">
        <f aca="false">IF($M3796="贷",$O3796,0)</f>
        <v>0</v>
      </c>
      <c r="K3796" s="48" t="str">
        <f aca="false">IF($H3796="","",资金流水!$F301)</f>
        <v/>
      </c>
      <c r="L3796" s="66" t="str">
        <f aca="false">IF(资金流水!$E301="","",IFERROR(INDEX(记账规则!$A$13:$H$32,MATCH(资金流水!$E301,记账规则!$A$13:$A$32,0),3),""))</f>
        <v/>
      </c>
      <c r="M3796" s="66" t="str">
        <f aca="false">IF($L3796="","",IFERROR(INDEX(记账规则!$A$13:$H$32,MATCH(资金流水!$E301,记账规则!$A$13:$A$32,0),4),""))</f>
        <v/>
      </c>
      <c r="N3796" s="66" t="str">
        <f aca="false">IF($L3796="","",IFERROR(INDEX(记账规则!$A$13:$H$32,MATCH(资金流水!$E301,记账规则!$A$13:$A$32,0),5),""))</f>
        <v/>
      </c>
      <c r="O3796" s="67" t="n">
        <f aca="false">IF($H3796="",0,ROUND(IF($N3796="金额",N(资金流水!$P301),0),2))</f>
        <v>0</v>
      </c>
      <c r="P3796" s="64" t="str">
        <f aca="false">IF(AND($H3796&lt;&gt;"",ROUND($O3796,2)&lt;&gt;0),"有","")</f>
        <v/>
      </c>
    </row>
    <row r="3797" customFormat="false" ht="15" hidden="true" customHeight="false" outlineLevel="0" collapsed="false">
      <c r="A3797" s="53" t="str">
        <f aca="false">IF($H3797="","",ROW()-5)</f>
        <v/>
      </c>
      <c r="B3797" s="64" t="s">
        <v>37</v>
      </c>
      <c r="C3797" s="53" t="n">
        <v>301</v>
      </c>
      <c r="D3797" s="53" t="n">
        <v>2</v>
      </c>
      <c r="E3797" s="65" t="str">
        <f aca="false">IF($H3797="","",资金流水!$B301)</f>
        <v/>
      </c>
      <c r="F3797" s="55" t="str">
        <f aca="false">IF($H3797="","",资金流水!$C301)</f>
        <v/>
      </c>
      <c r="G3797" s="48" t="str">
        <f aca="false">IF($H3797="","",资金流水!$K301)</f>
        <v/>
      </c>
      <c r="H3797" s="10" t="str">
        <f aca="false">IF($L3797="","",IF($L3797="@对方",资金流水!$G301,IF($L3797="@账户",资金流水!$Q301,$L3797)))</f>
        <v/>
      </c>
      <c r="I3797" s="42" t="n">
        <f aca="false">IF($M3797="借",$O3797,0)</f>
        <v>0</v>
      </c>
      <c r="J3797" s="42" t="n">
        <f aca="false">IF($M3797="贷",$O3797,0)</f>
        <v>0</v>
      </c>
      <c r="K3797" s="48" t="str">
        <f aca="false">IF($H3797="","",资金流水!$F301)</f>
        <v/>
      </c>
      <c r="L3797" s="66" t="str">
        <f aca="false">IF(资金流水!$E301="","",IFERROR(INDEX(记账规则!$A$13:$H$32,MATCH(资金流水!$E301,记账规则!$A$13:$A$32,0),6),""))</f>
        <v/>
      </c>
      <c r="M3797" s="66" t="str">
        <f aca="false">IF($L3797="","",IFERROR(INDEX(记账规则!$A$13:$H$32,MATCH(资金流水!$E301,记账规则!$A$13:$A$32,0),7),""))</f>
        <v/>
      </c>
      <c r="N3797" s="66" t="str">
        <f aca="false">IF($L3797="","",IFERROR(INDEX(记账规则!$A$13:$H$32,MATCH(资金流水!$E301,记账规则!$A$13:$A$32,0),8),""))</f>
        <v/>
      </c>
      <c r="O3797" s="67" t="n">
        <f aca="false">IF($H3797="",0,ROUND(IF($N3797="金额",N(资金流水!$P301),0),2))</f>
        <v>0</v>
      </c>
      <c r="P3797" s="64" t="str">
        <f aca="false">IF(AND($H3797&lt;&gt;"",ROUND($O3797,2)&lt;&gt;0),"有","")</f>
        <v/>
      </c>
    </row>
    <row r="3798" customFormat="false" ht="15" hidden="true" customHeight="false" outlineLevel="0" collapsed="false">
      <c r="A3798" s="53" t="str">
        <f aca="false">IF($H3798="","",ROW()-5)</f>
        <v/>
      </c>
      <c r="B3798" s="64" t="s">
        <v>37</v>
      </c>
      <c r="C3798" s="53" t="n">
        <v>302</v>
      </c>
      <c r="D3798" s="53" t="n">
        <v>1</v>
      </c>
      <c r="E3798" s="65" t="str">
        <f aca="false">IF($H3798="","",资金流水!$B302)</f>
        <v/>
      </c>
      <c r="F3798" s="55" t="str">
        <f aca="false">IF($H3798="","",资金流水!$C302)</f>
        <v/>
      </c>
      <c r="G3798" s="48" t="str">
        <f aca="false">IF($H3798="","",资金流水!$K302)</f>
        <v/>
      </c>
      <c r="H3798" s="10" t="str">
        <f aca="false">IF($L3798="","",IF($L3798="@对方",资金流水!$G302,IF($L3798="@账户",资金流水!$Q302,$L3798)))</f>
        <v/>
      </c>
      <c r="I3798" s="42" t="n">
        <f aca="false">IF($M3798="借",$O3798,0)</f>
        <v>0</v>
      </c>
      <c r="J3798" s="42" t="n">
        <f aca="false">IF($M3798="贷",$O3798,0)</f>
        <v>0</v>
      </c>
      <c r="K3798" s="48" t="str">
        <f aca="false">IF($H3798="","",资金流水!$F302)</f>
        <v/>
      </c>
      <c r="L3798" s="66" t="str">
        <f aca="false">IF(资金流水!$E302="","",IFERROR(INDEX(记账规则!$A$13:$H$32,MATCH(资金流水!$E302,记账规则!$A$13:$A$32,0),3),""))</f>
        <v/>
      </c>
      <c r="M3798" s="66" t="str">
        <f aca="false">IF($L3798="","",IFERROR(INDEX(记账规则!$A$13:$H$32,MATCH(资金流水!$E302,记账规则!$A$13:$A$32,0),4),""))</f>
        <v/>
      </c>
      <c r="N3798" s="66" t="str">
        <f aca="false">IF($L3798="","",IFERROR(INDEX(记账规则!$A$13:$H$32,MATCH(资金流水!$E302,记账规则!$A$13:$A$32,0),5),""))</f>
        <v/>
      </c>
      <c r="O3798" s="67" t="n">
        <f aca="false">IF($H3798="",0,ROUND(IF($N3798="金额",N(资金流水!$P302),0),2))</f>
        <v>0</v>
      </c>
      <c r="P3798" s="64" t="str">
        <f aca="false">IF(AND($H3798&lt;&gt;"",ROUND($O3798,2)&lt;&gt;0),"有","")</f>
        <v/>
      </c>
    </row>
    <row r="3799" customFormat="false" ht="15" hidden="true" customHeight="false" outlineLevel="0" collapsed="false">
      <c r="A3799" s="53" t="str">
        <f aca="false">IF($H3799="","",ROW()-5)</f>
        <v/>
      </c>
      <c r="B3799" s="64" t="s">
        <v>37</v>
      </c>
      <c r="C3799" s="53" t="n">
        <v>302</v>
      </c>
      <c r="D3799" s="53" t="n">
        <v>2</v>
      </c>
      <c r="E3799" s="65" t="str">
        <f aca="false">IF($H3799="","",资金流水!$B302)</f>
        <v/>
      </c>
      <c r="F3799" s="55" t="str">
        <f aca="false">IF($H3799="","",资金流水!$C302)</f>
        <v/>
      </c>
      <c r="G3799" s="48" t="str">
        <f aca="false">IF($H3799="","",资金流水!$K302)</f>
        <v/>
      </c>
      <c r="H3799" s="10" t="str">
        <f aca="false">IF($L3799="","",IF($L3799="@对方",资金流水!$G302,IF($L3799="@账户",资金流水!$Q302,$L3799)))</f>
        <v/>
      </c>
      <c r="I3799" s="42" t="n">
        <f aca="false">IF($M3799="借",$O3799,0)</f>
        <v>0</v>
      </c>
      <c r="J3799" s="42" t="n">
        <f aca="false">IF($M3799="贷",$O3799,0)</f>
        <v>0</v>
      </c>
      <c r="K3799" s="48" t="str">
        <f aca="false">IF($H3799="","",资金流水!$F302)</f>
        <v/>
      </c>
      <c r="L3799" s="66" t="str">
        <f aca="false">IF(资金流水!$E302="","",IFERROR(INDEX(记账规则!$A$13:$H$32,MATCH(资金流水!$E302,记账规则!$A$13:$A$32,0),6),""))</f>
        <v/>
      </c>
      <c r="M3799" s="66" t="str">
        <f aca="false">IF($L3799="","",IFERROR(INDEX(记账规则!$A$13:$H$32,MATCH(资金流水!$E302,记账规则!$A$13:$A$32,0),7),""))</f>
        <v/>
      </c>
      <c r="N3799" s="66" t="str">
        <f aca="false">IF($L3799="","",IFERROR(INDEX(记账规则!$A$13:$H$32,MATCH(资金流水!$E302,记账规则!$A$13:$A$32,0),8),""))</f>
        <v/>
      </c>
      <c r="O3799" s="67" t="n">
        <f aca="false">IF($H3799="",0,ROUND(IF($N3799="金额",N(资金流水!$P302),0),2))</f>
        <v>0</v>
      </c>
      <c r="P3799" s="64" t="str">
        <f aca="false">IF(AND($H3799&lt;&gt;"",ROUND($O3799,2)&lt;&gt;0),"有","")</f>
        <v/>
      </c>
    </row>
    <row r="3800" customFormat="false" ht="15" hidden="true" customHeight="false" outlineLevel="0" collapsed="false">
      <c r="A3800" s="53" t="str">
        <f aca="false">IF($H3800="","",ROW()-5)</f>
        <v/>
      </c>
      <c r="B3800" s="64" t="s">
        <v>37</v>
      </c>
      <c r="C3800" s="53" t="n">
        <v>303</v>
      </c>
      <c r="D3800" s="53" t="n">
        <v>1</v>
      </c>
      <c r="E3800" s="65" t="str">
        <f aca="false">IF($H3800="","",资金流水!$B303)</f>
        <v/>
      </c>
      <c r="F3800" s="55" t="str">
        <f aca="false">IF($H3800="","",资金流水!$C303)</f>
        <v/>
      </c>
      <c r="G3800" s="48" t="str">
        <f aca="false">IF($H3800="","",资金流水!$K303)</f>
        <v/>
      </c>
      <c r="H3800" s="10" t="str">
        <f aca="false">IF($L3800="","",IF($L3800="@对方",资金流水!$G303,IF($L3800="@账户",资金流水!$Q303,$L3800)))</f>
        <v/>
      </c>
      <c r="I3800" s="42" t="n">
        <f aca="false">IF($M3800="借",$O3800,0)</f>
        <v>0</v>
      </c>
      <c r="J3800" s="42" t="n">
        <f aca="false">IF($M3800="贷",$O3800,0)</f>
        <v>0</v>
      </c>
      <c r="K3800" s="48" t="str">
        <f aca="false">IF($H3800="","",资金流水!$F303)</f>
        <v/>
      </c>
      <c r="L3800" s="66" t="str">
        <f aca="false">IF(资金流水!$E303="","",IFERROR(INDEX(记账规则!$A$13:$H$32,MATCH(资金流水!$E303,记账规则!$A$13:$A$32,0),3),""))</f>
        <v/>
      </c>
      <c r="M3800" s="66" t="str">
        <f aca="false">IF($L3800="","",IFERROR(INDEX(记账规则!$A$13:$H$32,MATCH(资金流水!$E303,记账规则!$A$13:$A$32,0),4),""))</f>
        <v/>
      </c>
      <c r="N3800" s="66" t="str">
        <f aca="false">IF($L3800="","",IFERROR(INDEX(记账规则!$A$13:$H$32,MATCH(资金流水!$E303,记账规则!$A$13:$A$32,0),5),""))</f>
        <v/>
      </c>
      <c r="O3800" s="67" t="n">
        <f aca="false">IF($H3800="",0,ROUND(IF($N3800="金额",N(资金流水!$P303),0),2))</f>
        <v>0</v>
      </c>
      <c r="P3800" s="64" t="str">
        <f aca="false">IF(AND($H3800&lt;&gt;"",ROUND($O3800,2)&lt;&gt;0),"有","")</f>
        <v/>
      </c>
    </row>
    <row r="3801" customFormat="false" ht="15" hidden="true" customHeight="false" outlineLevel="0" collapsed="false">
      <c r="A3801" s="53" t="str">
        <f aca="false">IF($H3801="","",ROW()-5)</f>
        <v/>
      </c>
      <c r="B3801" s="64" t="s">
        <v>37</v>
      </c>
      <c r="C3801" s="53" t="n">
        <v>303</v>
      </c>
      <c r="D3801" s="53" t="n">
        <v>2</v>
      </c>
      <c r="E3801" s="65" t="str">
        <f aca="false">IF($H3801="","",资金流水!$B303)</f>
        <v/>
      </c>
      <c r="F3801" s="55" t="str">
        <f aca="false">IF($H3801="","",资金流水!$C303)</f>
        <v/>
      </c>
      <c r="G3801" s="48" t="str">
        <f aca="false">IF($H3801="","",资金流水!$K303)</f>
        <v/>
      </c>
      <c r="H3801" s="10" t="str">
        <f aca="false">IF($L3801="","",IF($L3801="@对方",资金流水!$G303,IF($L3801="@账户",资金流水!$Q303,$L3801)))</f>
        <v/>
      </c>
      <c r="I3801" s="42" t="n">
        <f aca="false">IF($M3801="借",$O3801,0)</f>
        <v>0</v>
      </c>
      <c r="J3801" s="42" t="n">
        <f aca="false">IF($M3801="贷",$O3801,0)</f>
        <v>0</v>
      </c>
      <c r="K3801" s="48" t="str">
        <f aca="false">IF($H3801="","",资金流水!$F303)</f>
        <v/>
      </c>
      <c r="L3801" s="66" t="str">
        <f aca="false">IF(资金流水!$E303="","",IFERROR(INDEX(记账规则!$A$13:$H$32,MATCH(资金流水!$E303,记账规则!$A$13:$A$32,0),6),""))</f>
        <v/>
      </c>
      <c r="M3801" s="66" t="str">
        <f aca="false">IF($L3801="","",IFERROR(INDEX(记账规则!$A$13:$H$32,MATCH(资金流水!$E303,记账规则!$A$13:$A$32,0),7),""))</f>
        <v/>
      </c>
      <c r="N3801" s="66" t="str">
        <f aca="false">IF($L3801="","",IFERROR(INDEX(记账规则!$A$13:$H$32,MATCH(资金流水!$E303,记账规则!$A$13:$A$32,0),8),""))</f>
        <v/>
      </c>
      <c r="O3801" s="67" t="n">
        <f aca="false">IF($H3801="",0,ROUND(IF($N3801="金额",N(资金流水!$P303),0),2))</f>
        <v>0</v>
      </c>
      <c r="P3801" s="64" t="str">
        <f aca="false">IF(AND($H3801&lt;&gt;"",ROUND($O3801,2)&lt;&gt;0),"有","")</f>
        <v/>
      </c>
    </row>
    <row r="3802" customFormat="false" ht="15" hidden="true" customHeight="false" outlineLevel="0" collapsed="false">
      <c r="A3802" s="53" t="str">
        <f aca="false">IF($H3802="","",ROW()-5)</f>
        <v/>
      </c>
      <c r="B3802" s="64" t="s">
        <v>37</v>
      </c>
      <c r="C3802" s="53" t="n">
        <v>304</v>
      </c>
      <c r="D3802" s="53" t="n">
        <v>1</v>
      </c>
      <c r="E3802" s="65" t="str">
        <f aca="false">IF($H3802="","",资金流水!$B304)</f>
        <v/>
      </c>
      <c r="F3802" s="55" t="str">
        <f aca="false">IF($H3802="","",资金流水!$C304)</f>
        <v/>
      </c>
      <c r="G3802" s="48" t="str">
        <f aca="false">IF($H3802="","",资金流水!$K304)</f>
        <v/>
      </c>
      <c r="H3802" s="10" t="str">
        <f aca="false">IF($L3802="","",IF($L3802="@对方",资金流水!$G304,IF($L3802="@账户",资金流水!$Q304,$L3802)))</f>
        <v/>
      </c>
      <c r="I3802" s="42" t="n">
        <f aca="false">IF($M3802="借",$O3802,0)</f>
        <v>0</v>
      </c>
      <c r="J3802" s="42" t="n">
        <f aca="false">IF($M3802="贷",$O3802,0)</f>
        <v>0</v>
      </c>
      <c r="K3802" s="48" t="str">
        <f aca="false">IF($H3802="","",资金流水!$F304)</f>
        <v/>
      </c>
      <c r="L3802" s="66" t="str">
        <f aca="false">IF(资金流水!$E304="","",IFERROR(INDEX(记账规则!$A$13:$H$32,MATCH(资金流水!$E304,记账规则!$A$13:$A$32,0),3),""))</f>
        <v/>
      </c>
      <c r="M3802" s="66" t="str">
        <f aca="false">IF($L3802="","",IFERROR(INDEX(记账规则!$A$13:$H$32,MATCH(资金流水!$E304,记账规则!$A$13:$A$32,0),4),""))</f>
        <v/>
      </c>
      <c r="N3802" s="66" t="str">
        <f aca="false">IF($L3802="","",IFERROR(INDEX(记账规则!$A$13:$H$32,MATCH(资金流水!$E304,记账规则!$A$13:$A$32,0),5),""))</f>
        <v/>
      </c>
      <c r="O3802" s="67" t="n">
        <f aca="false">IF($H3802="",0,ROUND(IF($N3802="金额",N(资金流水!$P304),0),2))</f>
        <v>0</v>
      </c>
      <c r="P3802" s="64" t="str">
        <f aca="false">IF(AND($H3802&lt;&gt;"",ROUND($O3802,2)&lt;&gt;0),"有","")</f>
        <v/>
      </c>
    </row>
    <row r="3803" customFormat="false" ht="15" hidden="true" customHeight="false" outlineLevel="0" collapsed="false">
      <c r="A3803" s="53" t="str">
        <f aca="false">IF($H3803="","",ROW()-5)</f>
        <v/>
      </c>
      <c r="B3803" s="64" t="s">
        <v>37</v>
      </c>
      <c r="C3803" s="53" t="n">
        <v>304</v>
      </c>
      <c r="D3803" s="53" t="n">
        <v>2</v>
      </c>
      <c r="E3803" s="65" t="str">
        <f aca="false">IF($H3803="","",资金流水!$B304)</f>
        <v/>
      </c>
      <c r="F3803" s="55" t="str">
        <f aca="false">IF($H3803="","",资金流水!$C304)</f>
        <v/>
      </c>
      <c r="G3803" s="48" t="str">
        <f aca="false">IF($H3803="","",资金流水!$K304)</f>
        <v/>
      </c>
      <c r="H3803" s="10" t="str">
        <f aca="false">IF($L3803="","",IF($L3803="@对方",资金流水!$G304,IF($L3803="@账户",资金流水!$Q304,$L3803)))</f>
        <v/>
      </c>
      <c r="I3803" s="42" t="n">
        <f aca="false">IF($M3803="借",$O3803,0)</f>
        <v>0</v>
      </c>
      <c r="J3803" s="42" t="n">
        <f aca="false">IF($M3803="贷",$O3803,0)</f>
        <v>0</v>
      </c>
      <c r="K3803" s="48" t="str">
        <f aca="false">IF($H3803="","",资金流水!$F304)</f>
        <v/>
      </c>
      <c r="L3803" s="66" t="str">
        <f aca="false">IF(资金流水!$E304="","",IFERROR(INDEX(记账规则!$A$13:$H$32,MATCH(资金流水!$E304,记账规则!$A$13:$A$32,0),6),""))</f>
        <v/>
      </c>
      <c r="M3803" s="66" t="str">
        <f aca="false">IF($L3803="","",IFERROR(INDEX(记账规则!$A$13:$H$32,MATCH(资金流水!$E304,记账规则!$A$13:$A$32,0),7),""))</f>
        <v/>
      </c>
      <c r="N3803" s="66" t="str">
        <f aca="false">IF($L3803="","",IFERROR(INDEX(记账规则!$A$13:$H$32,MATCH(资金流水!$E304,记账规则!$A$13:$A$32,0),8),""))</f>
        <v/>
      </c>
      <c r="O3803" s="67" t="n">
        <f aca="false">IF($H3803="",0,ROUND(IF($N3803="金额",N(资金流水!$P304),0),2))</f>
        <v>0</v>
      </c>
      <c r="P3803" s="64" t="str">
        <f aca="false">IF(AND($H3803&lt;&gt;"",ROUND($O3803,2)&lt;&gt;0),"有","")</f>
        <v/>
      </c>
    </row>
    <row r="3804" customFormat="false" ht="15" hidden="true" customHeight="false" outlineLevel="0" collapsed="false">
      <c r="A3804" s="53" t="str">
        <f aca="false">IF($H3804="","",ROW()-5)</f>
        <v/>
      </c>
      <c r="B3804" s="64" t="s">
        <v>37</v>
      </c>
      <c r="C3804" s="53" t="n">
        <v>305</v>
      </c>
      <c r="D3804" s="53" t="n">
        <v>1</v>
      </c>
      <c r="E3804" s="65" t="str">
        <f aca="false">IF($H3804="","",资金流水!$B305)</f>
        <v/>
      </c>
      <c r="F3804" s="55" t="str">
        <f aca="false">IF($H3804="","",资金流水!$C305)</f>
        <v/>
      </c>
      <c r="G3804" s="48" t="str">
        <f aca="false">IF($H3804="","",资金流水!$K305)</f>
        <v/>
      </c>
      <c r="H3804" s="10" t="str">
        <f aca="false">IF($L3804="","",IF($L3804="@对方",资金流水!$G305,IF($L3804="@账户",资金流水!$Q305,$L3804)))</f>
        <v/>
      </c>
      <c r="I3804" s="42" t="n">
        <f aca="false">IF($M3804="借",$O3804,0)</f>
        <v>0</v>
      </c>
      <c r="J3804" s="42" t="n">
        <f aca="false">IF($M3804="贷",$O3804,0)</f>
        <v>0</v>
      </c>
      <c r="K3804" s="48" t="str">
        <f aca="false">IF($H3804="","",资金流水!$F305)</f>
        <v/>
      </c>
      <c r="L3804" s="66" t="str">
        <f aca="false">IF(资金流水!$E305="","",IFERROR(INDEX(记账规则!$A$13:$H$32,MATCH(资金流水!$E305,记账规则!$A$13:$A$32,0),3),""))</f>
        <v/>
      </c>
      <c r="M3804" s="66" t="str">
        <f aca="false">IF($L3804="","",IFERROR(INDEX(记账规则!$A$13:$H$32,MATCH(资金流水!$E305,记账规则!$A$13:$A$32,0),4),""))</f>
        <v/>
      </c>
      <c r="N3804" s="66" t="str">
        <f aca="false">IF($L3804="","",IFERROR(INDEX(记账规则!$A$13:$H$32,MATCH(资金流水!$E305,记账规则!$A$13:$A$32,0),5),""))</f>
        <v/>
      </c>
      <c r="O3804" s="67" t="n">
        <f aca="false">IF($H3804="",0,ROUND(IF($N3804="金额",N(资金流水!$P305),0),2))</f>
        <v>0</v>
      </c>
      <c r="P3804" s="64" t="str">
        <f aca="false">IF(AND($H3804&lt;&gt;"",ROUND($O3804,2)&lt;&gt;0),"有","")</f>
        <v/>
      </c>
    </row>
    <row r="3805" customFormat="false" ht="15" hidden="true" customHeight="false" outlineLevel="0" collapsed="false">
      <c r="A3805" s="53" t="str">
        <f aca="false">IF($H3805="","",ROW()-5)</f>
        <v/>
      </c>
      <c r="B3805" s="64" t="s">
        <v>37</v>
      </c>
      <c r="C3805" s="53" t="n">
        <v>305</v>
      </c>
      <c r="D3805" s="53" t="n">
        <v>2</v>
      </c>
      <c r="E3805" s="65" t="str">
        <f aca="false">IF($H3805="","",资金流水!$B305)</f>
        <v/>
      </c>
      <c r="F3805" s="55" t="str">
        <f aca="false">IF($H3805="","",资金流水!$C305)</f>
        <v/>
      </c>
      <c r="G3805" s="48" t="str">
        <f aca="false">IF($H3805="","",资金流水!$K305)</f>
        <v/>
      </c>
      <c r="H3805" s="10" t="str">
        <f aca="false">IF($L3805="","",IF($L3805="@对方",资金流水!$G305,IF($L3805="@账户",资金流水!$Q305,$L3805)))</f>
        <v/>
      </c>
      <c r="I3805" s="42" t="n">
        <f aca="false">IF($M3805="借",$O3805,0)</f>
        <v>0</v>
      </c>
      <c r="J3805" s="42" t="n">
        <f aca="false">IF($M3805="贷",$O3805,0)</f>
        <v>0</v>
      </c>
      <c r="K3805" s="48" t="str">
        <f aca="false">IF($H3805="","",资金流水!$F305)</f>
        <v/>
      </c>
      <c r="L3805" s="66" t="str">
        <f aca="false">IF(资金流水!$E305="","",IFERROR(INDEX(记账规则!$A$13:$H$32,MATCH(资金流水!$E305,记账规则!$A$13:$A$32,0),6),""))</f>
        <v/>
      </c>
      <c r="M3805" s="66" t="str">
        <f aca="false">IF($L3805="","",IFERROR(INDEX(记账规则!$A$13:$H$32,MATCH(资金流水!$E305,记账规则!$A$13:$A$32,0),7),""))</f>
        <v/>
      </c>
      <c r="N3805" s="66" t="str">
        <f aca="false">IF($L3805="","",IFERROR(INDEX(记账规则!$A$13:$H$32,MATCH(资金流水!$E305,记账规则!$A$13:$A$32,0),8),""))</f>
        <v/>
      </c>
      <c r="O3805" s="67" t="n">
        <f aca="false">IF($H3805="",0,ROUND(IF($N3805="金额",N(资金流水!$P305),0),2))</f>
        <v>0</v>
      </c>
      <c r="P3805" s="64" t="str">
        <f aca="false">IF(AND($H3805&lt;&gt;"",ROUND($O3805,2)&lt;&gt;0),"有","")</f>
        <v/>
      </c>
    </row>
    <row r="3806" customFormat="false" ht="15" hidden="true" customHeight="false" outlineLevel="0" collapsed="false">
      <c r="A3806" s="53" t="str">
        <f aca="false">IF($H3806="","",ROW()-5)</f>
        <v/>
      </c>
      <c r="B3806" s="64" t="s">
        <v>37</v>
      </c>
      <c r="C3806" s="53" t="n">
        <v>306</v>
      </c>
      <c r="D3806" s="53" t="n">
        <v>1</v>
      </c>
      <c r="E3806" s="65" t="str">
        <f aca="false">IF($H3806="","",资金流水!$B306)</f>
        <v/>
      </c>
      <c r="F3806" s="55" t="str">
        <f aca="false">IF($H3806="","",资金流水!$C306)</f>
        <v/>
      </c>
      <c r="G3806" s="48" t="str">
        <f aca="false">IF($H3806="","",资金流水!$K306)</f>
        <v/>
      </c>
      <c r="H3806" s="10" t="str">
        <f aca="false">IF($L3806="","",IF($L3806="@对方",资金流水!$G306,IF($L3806="@账户",资金流水!$Q306,$L3806)))</f>
        <v/>
      </c>
      <c r="I3806" s="42" t="n">
        <f aca="false">IF($M3806="借",$O3806,0)</f>
        <v>0</v>
      </c>
      <c r="J3806" s="42" t="n">
        <f aca="false">IF($M3806="贷",$O3806,0)</f>
        <v>0</v>
      </c>
      <c r="K3806" s="48" t="str">
        <f aca="false">IF($H3806="","",资金流水!$F306)</f>
        <v/>
      </c>
      <c r="L3806" s="66" t="str">
        <f aca="false">IF(资金流水!$E306="","",IFERROR(INDEX(记账规则!$A$13:$H$32,MATCH(资金流水!$E306,记账规则!$A$13:$A$32,0),3),""))</f>
        <v/>
      </c>
      <c r="M3806" s="66" t="str">
        <f aca="false">IF($L3806="","",IFERROR(INDEX(记账规则!$A$13:$H$32,MATCH(资金流水!$E306,记账规则!$A$13:$A$32,0),4),""))</f>
        <v/>
      </c>
      <c r="N3806" s="66" t="str">
        <f aca="false">IF($L3806="","",IFERROR(INDEX(记账规则!$A$13:$H$32,MATCH(资金流水!$E306,记账规则!$A$13:$A$32,0),5),""))</f>
        <v/>
      </c>
      <c r="O3806" s="67" t="n">
        <f aca="false">IF($H3806="",0,ROUND(IF($N3806="金额",N(资金流水!$P306),0),2))</f>
        <v>0</v>
      </c>
      <c r="P3806" s="64" t="str">
        <f aca="false">IF(AND($H3806&lt;&gt;"",ROUND($O3806,2)&lt;&gt;0),"有","")</f>
        <v/>
      </c>
    </row>
    <row r="3807" customFormat="false" ht="15" hidden="true" customHeight="false" outlineLevel="0" collapsed="false">
      <c r="A3807" s="53" t="str">
        <f aca="false">IF($H3807="","",ROW()-5)</f>
        <v/>
      </c>
      <c r="B3807" s="64" t="s">
        <v>37</v>
      </c>
      <c r="C3807" s="53" t="n">
        <v>306</v>
      </c>
      <c r="D3807" s="53" t="n">
        <v>2</v>
      </c>
      <c r="E3807" s="65" t="str">
        <f aca="false">IF($H3807="","",资金流水!$B306)</f>
        <v/>
      </c>
      <c r="F3807" s="55" t="str">
        <f aca="false">IF($H3807="","",资金流水!$C306)</f>
        <v/>
      </c>
      <c r="G3807" s="48" t="str">
        <f aca="false">IF($H3807="","",资金流水!$K306)</f>
        <v/>
      </c>
      <c r="H3807" s="10" t="str">
        <f aca="false">IF($L3807="","",IF($L3807="@对方",资金流水!$G306,IF($L3807="@账户",资金流水!$Q306,$L3807)))</f>
        <v/>
      </c>
      <c r="I3807" s="42" t="n">
        <f aca="false">IF($M3807="借",$O3807,0)</f>
        <v>0</v>
      </c>
      <c r="J3807" s="42" t="n">
        <f aca="false">IF($M3807="贷",$O3807,0)</f>
        <v>0</v>
      </c>
      <c r="K3807" s="48" t="str">
        <f aca="false">IF($H3807="","",资金流水!$F306)</f>
        <v/>
      </c>
      <c r="L3807" s="66" t="str">
        <f aca="false">IF(资金流水!$E306="","",IFERROR(INDEX(记账规则!$A$13:$H$32,MATCH(资金流水!$E306,记账规则!$A$13:$A$32,0),6),""))</f>
        <v/>
      </c>
      <c r="M3807" s="66" t="str">
        <f aca="false">IF($L3807="","",IFERROR(INDEX(记账规则!$A$13:$H$32,MATCH(资金流水!$E306,记账规则!$A$13:$A$32,0),7),""))</f>
        <v/>
      </c>
      <c r="N3807" s="66" t="str">
        <f aca="false">IF($L3807="","",IFERROR(INDEX(记账规则!$A$13:$H$32,MATCH(资金流水!$E306,记账规则!$A$13:$A$32,0),8),""))</f>
        <v/>
      </c>
      <c r="O3807" s="67" t="n">
        <f aca="false">IF($H3807="",0,ROUND(IF($N3807="金额",N(资金流水!$P306),0),2))</f>
        <v>0</v>
      </c>
      <c r="P3807" s="64" t="str">
        <f aca="false">IF(AND($H3807&lt;&gt;"",ROUND($O3807,2)&lt;&gt;0),"有","")</f>
        <v/>
      </c>
    </row>
    <row r="3808" customFormat="false" ht="15" hidden="true" customHeight="false" outlineLevel="0" collapsed="false">
      <c r="A3808" s="53" t="str">
        <f aca="false">IF($H3808="","",ROW()-5)</f>
        <v/>
      </c>
      <c r="B3808" s="64" t="s">
        <v>37</v>
      </c>
      <c r="C3808" s="53" t="n">
        <v>307</v>
      </c>
      <c r="D3808" s="53" t="n">
        <v>1</v>
      </c>
      <c r="E3808" s="65" t="str">
        <f aca="false">IF($H3808="","",资金流水!$B307)</f>
        <v/>
      </c>
      <c r="F3808" s="55" t="str">
        <f aca="false">IF($H3808="","",资金流水!$C307)</f>
        <v/>
      </c>
      <c r="G3808" s="48" t="str">
        <f aca="false">IF($H3808="","",资金流水!$K307)</f>
        <v/>
      </c>
      <c r="H3808" s="10" t="str">
        <f aca="false">IF($L3808="","",IF($L3808="@对方",资金流水!$G307,IF($L3808="@账户",资金流水!$Q307,$L3808)))</f>
        <v/>
      </c>
      <c r="I3808" s="42" t="n">
        <f aca="false">IF($M3808="借",$O3808,0)</f>
        <v>0</v>
      </c>
      <c r="J3808" s="42" t="n">
        <f aca="false">IF($M3808="贷",$O3808,0)</f>
        <v>0</v>
      </c>
      <c r="K3808" s="48" t="str">
        <f aca="false">IF($H3808="","",资金流水!$F307)</f>
        <v/>
      </c>
      <c r="L3808" s="66" t="str">
        <f aca="false">IF(资金流水!$E307="","",IFERROR(INDEX(记账规则!$A$13:$H$32,MATCH(资金流水!$E307,记账规则!$A$13:$A$32,0),3),""))</f>
        <v/>
      </c>
      <c r="M3808" s="66" t="str">
        <f aca="false">IF($L3808="","",IFERROR(INDEX(记账规则!$A$13:$H$32,MATCH(资金流水!$E307,记账规则!$A$13:$A$32,0),4),""))</f>
        <v/>
      </c>
      <c r="N3808" s="66" t="str">
        <f aca="false">IF($L3808="","",IFERROR(INDEX(记账规则!$A$13:$H$32,MATCH(资金流水!$E307,记账规则!$A$13:$A$32,0),5),""))</f>
        <v/>
      </c>
      <c r="O3808" s="67" t="n">
        <f aca="false">IF($H3808="",0,ROUND(IF($N3808="金额",N(资金流水!$P307),0),2))</f>
        <v>0</v>
      </c>
      <c r="P3808" s="64" t="str">
        <f aca="false">IF(AND($H3808&lt;&gt;"",ROUND($O3808,2)&lt;&gt;0),"有","")</f>
        <v/>
      </c>
    </row>
    <row r="3809" customFormat="false" ht="15" hidden="true" customHeight="false" outlineLevel="0" collapsed="false">
      <c r="A3809" s="53" t="str">
        <f aca="false">IF($H3809="","",ROW()-5)</f>
        <v/>
      </c>
      <c r="B3809" s="64" t="s">
        <v>37</v>
      </c>
      <c r="C3809" s="53" t="n">
        <v>307</v>
      </c>
      <c r="D3809" s="53" t="n">
        <v>2</v>
      </c>
      <c r="E3809" s="65" t="str">
        <f aca="false">IF($H3809="","",资金流水!$B307)</f>
        <v/>
      </c>
      <c r="F3809" s="55" t="str">
        <f aca="false">IF($H3809="","",资金流水!$C307)</f>
        <v/>
      </c>
      <c r="G3809" s="48" t="str">
        <f aca="false">IF($H3809="","",资金流水!$K307)</f>
        <v/>
      </c>
      <c r="H3809" s="10" t="str">
        <f aca="false">IF($L3809="","",IF($L3809="@对方",资金流水!$G307,IF($L3809="@账户",资金流水!$Q307,$L3809)))</f>
        <v/>
      </c>
      <c r="I3809" s="42" t="n">
        <f aca="false">IF($M3809="借",$O3809,0)</f>
        <v>0</v>
      </c>
      <c r="J3809" s="42" t="n">
        <f aca="false">IF($M3809="贷",$O3809,0)</f>
        <v>0</v>
      </c>
      <c r="K3809" s="48" t="str">
        <f aca="false">IF($H3809="","",资金流水!$F307)</f>
        <v/>
      </c>
      <c r="L3809" s="66" t="str">
        <f aca="false">IF(资金流水!$E307="","",IFERROR(INDEX(记账规则!$A$13:$H$32,MATCH(资金流水!$E307,记账规则!$A$13:$A$32,0),6),""))</f>
        <v/>
      </c>
      <c r="M3809" s="66" t="str">
        <f aca="false">IF($L3809="","",IFERROR(INDEX(记账规则!$A$13:$H$32,MATCH(资金流水!$E307,记账规则!$A$13:$A$32,0),7),""))</f>
        <v/>
      </c>
      <c r="N3809" s="66" t="str">
        <f aca="false">IF($L3809="","",IFERROR(INDEX(记账规则!$A$13:$H$32,MATCH(资金流水!$E307,记账规则!$A$13:$A$32,0),8),""))</f>
        <v/>
      </c>
      <c r="O3809" s="67" t="n">
        <f aca="false">IF($H3809="",0,ROUND(IF($N3809="金额",N(资金流水!$P307),0),2))</f>
        <v>0</v>
      </c>
      <c r="P3809" s="64" t="str">
        <f aca="false">IF(AND($H3809&lt;&gt;"",ROUND($O3809,2)&lt;&gt;0),"有","")</f>
        <v/>
      </c>
    </row>
    <row r="3810" customFormat="false" ht="15" hidden="true" customHeight="false" outlineLevel="0" collapsed="false">
      <c r="A3810" s="53" t="str">
        <f aca="false">IF($H3810="","",ROW()-5)</f>
        <v/>
      </c>
      <c r="B3810" s="64" t="s">
        <v>37</v>
      </c>
      <c r="C3810" s="53" t="n">
        <v>308</v>
      </c>
      <c r="D3810" s="53" t="n">
        <v>1</v>
      </c>
      <c r="E3810" s="65" t="str">
        <f aca="false">IF($H3810="","",资金流水!$B308)</f>
        <v/>
      </c>
      <c r="F3810" s="55" t="str">
        <f aca="false">IF($H3810="","",资金流水!$C308)</f>
        <v/>
      </c>
      <c r="G3810" s="48" t="str">
        <f aca="false">IF($H3810="","",资金流水!$K308)</f>
        <v/>
      </c>
      <c r="H3810" s="10" t="str">
        <f aca="false">IF($L3810="","",IF($L3810="@对方",资金流水!$G308,IF($L3810="@账户",资金流水!$Q308,$L3810)))</f>
        <v/>
      </c>
      <c r="I3810" s="42" t="n">
        <f aca="false">IF($M3810="借",$O3810,0)</f>
        <v>0</v>
      </c>
      <c r="J3810" s="42" t="n">
        <f aca="false">IF($M3810="贷",$O3810,0)</f>
        <v>0</v>
      </c>
      <c r="K3810" s="48" t="str">
        <f aca="false">IF($H3810="","",资金流水!$F308)</f>
        <v/>
      </c>
      <c r="L3810" s="66" t="str">
        <f aca="false">IF(资金流水!$E308="","",IFERROR(INDEX(记账规则!$A$13:$H$32,MATCH(资金流水!$E308,记账规则!$A$13:$A$32,0),3),""))</f>
        <v/>
      </c>
      <c r="M3810" s="66" t="str">
        <f aca="false">IF($L3810="","",IFERROR(INDEX(记账规则!$A$13:$H$32,MATCH(资金流水!$E308,记账规则!$A$13:$A$32,0),4),""))</f>
        <v/>
      </c>
      <c r="N3810" s="66" t="str">
        <f aca="false">IF($L3810="","",IFERROR(INDEX(记账规则!$A$13:$H$32,MATCH(资金流水!$E308,记账规则!$A$13:$A$32,0),5),""))</f>
        <v/>
      </c>
      <c r="O3810" s="67" t="n">
        <f aca="false">IF($H3810="",0,ROUND(IF($N3810="金额",N(资金流水!$P308),0),2))</f>
        <v>0</v>
      </c>
      <c r="P3810" s="64" t="str">
        <f aca="false">IF(AND($H3810&lt;&gt;"",ROUND($O3810,2)&lt;&gt;0),"有","")</f>
        <v/>
      </c>
    </row>
    <row r="3811" customFormat="false" ht="15" hidden="true" customHeight="false" outlineLevel="0" collapsed="false">
      <c r="A3811" s="53" t="str">
        <f aca="false">IF($H3811="","",ROW()-5)</f>
        <v/>
      </c>
      <c r="B3811" s="64" t="s">
        <v>37</v>
      </c>
      <c r="C3811" s="53" t="n">
        <v>308</v>
      </c>
      <c r="D3811" s="53" t="n">
        <v>2</v>
      </c>
      <c r="E3811" s="65" t="str">
        <f aca="false">IF($H3811="","",资金流水!$B308)</f>
        <v/>
      </c>
      <c r="F3811" s="55" t="str">
        <f aca="false">IF($H3811="","",资金流水!$C308)</f>
        <v/>
      </c>
      <c r="G3811" s="48" t="str">
        <f aca="false">IF($H3811="","",资金流水!$K308)</f>
        <v/>
      </c>
      <c r="H3811" s="10" t="str">
        <f aca="false">IF($L3811="","",IF($L3811="@对方",资金流水!$G308,IF($L3811="@账户",资金流水!$Q308,$L3811)))</f>
        <v/>
      </c>
      <c r="I3811" s="42" t="n">
        <f aca="false">IF($M3811="借",$O3811,0)</f>
        <v>0</v>
      </c>
      <c r="J3811" s="42" t="n">
        <f aca="false">IF($M3811="贷",$O3811,0)</f>
        <v>0</v>
      </c>
      <c r="K3811" s="48" t="str">
        <f aca="false">IF($H3811="","",资金流水!$F308)</f>
        <v/>
      </c>
      <c r="L3811" s="66" t="str">
        <f aca="false">IF(资金流水!$E308="","",IFERROR(INDEX(记账规则!$A$13:$H$32,MATCH(资金流水!$E308,记账规则!$A$13:$A$32,0),6),""))</f>
        <v/>
      </c>
      <c r="M3811" s="66" t="str">
        <f aca="false">IF($L3811="","",IFERROR(INDEX(记账规则!$A$13:$H$32,MATCH(资金流水!$E308,记账规则!$A$13:$A$32,0),7),""))</f>
        <v/>
      </c>
      <c r="N3811" s="66" t="str">
        <f aca="false">IF($L3811="","",IFERROR(INDEX(记账规则!$A$13:$H$32,MATCH(资金流水!$E308,记账规则!$A$13:$A$32,0),8),""))</f>
        <v/>
      </c>
      <c r="O3811" s="67" t="n">
        <f aca="false">IF($H3811="",0,ROUND(IF($N3811="金额",N(资金流水!$P308),0),2))</f>
        <v>0</v>
      </c>
      <c r="P3811" s="64" t="str">
        <f aca="false">IF(AND($H3811&lt;&gt;"",ROUND($O3811,2)&lt;&gt;0),"有","")</f>
        <v/>
      </c>
    </row>
    <row r="3812" customFormat="false" ht="15" hidden="true" customHeight="false" outlineLevel="0" collapsed="false">
      <c r="A3812" s="53" t="str">
        <f aca="false">IF($H3812="","",ROW()-5)</f>
        <v/>
      </c>
      <c r="B3812" s="64" t="s">
        <v>37</v>
      </c>
      <c r="C3812" s="53" t="n">
        <v>309</v>
      </c>
      <c r="D3812" s="53" t="n">
        <v>1</v>
      </c>
      <c r="E3812" s="65" t="str">
        <f aca="false">IF($H3812="","",资金流水!$B309)</f>
        <v/>
      </c>
      <c r="F3812" s="55" t="str">
        <f aca="false">IF($H3812="","",资金流水!$C309)</f>
        <v/>
      </c>
      <c r="G3812" s="48" t="str">
        <f aca="false">IF($H3812="","",资金流水!$K309)</f>
        <v/>
      </c>
      <c r="H3812" s="10" t="str">
        <f aca="false">IF($L3812="","",IF($L3812="@对方",资金流水!$G309,IF($L3812="@账户",资金流水!$Q309,$L3812)))</f>
        <v/>
      </c>
      <c r="I3812" s="42" t="n">
        <f aca="false">IF($M3812="借",$O3812,0)</f>
        <v>0</v>
      </c>
      <c r="J3812" s="42" t="n">
        <f aca="false">IF($M3812="贷",$O3812,0)</f>
        <v>0</v>
      </c>
      <c r="K3812" s="48" t="str">
        <f aca="false">IF($H3812="","",资金流水!$F309)</f>
        <v/>
      </c>
      <c r="L3812" s="66" t="str">
        <f aca="false">IF(资金流水!$E309="","",IFERROR(INDEX(记账规则!$A$13:$H$32,MATCH(资金流水!$E309,记账规则!$A$13:$A$32,0),3),""))</f>
        <v/>
      </c>
      <c r="M3812" s="66" t="str">
        <f aca="false">IF($L3812="","",IFERROR(INDEX(记账规则!$A$13:$H$32,MATCH(资金流水!$E309,记账规则!$A$13:$A$32,0),4),""))</f>
        <v/>
      </c>
      <c r="N3812" s="66" t="str">
        <f aca="false">IF($L3812="","",IFERROR(INDEX(记账规则!$A$13:$H$32,MATCH(资金流水!$E309,记账规则!$A$13:$A$32,0),5),""))</f>
        <v/>
      </c>
      <c r="O3812" s="67" t="n">
        <f aca="false">IF($H3812="",0,ROUND(IF($N3812="金额",N(资金流水!$P309),0),2))</f>
        <v>0</v>
      </c>
      <c r="P3812" s="64" t="str">
        <f aca="false">IF(AND($H3812&lt;&gt;"",ROUND($O3812,2)&lt;&gt;0),"有","")</f>
        <v/>
      </c>
    </row>
    <row r="3813" customFormat="false" ht="15" hidden="true" customHeight="false" outlineLevel="0" collapsed="false">
      <c r="A3813" s="53" t="str">
        <f aca="false">IF($H3813="","",ROW()-5)</f>
        <v/>
      </c>
      <c r="B3813" s="64" t="s">
        <v>37</v>
      </c>
      <c r="C3813" s="53" t="n">
        <v>309</v>
      </c>
      <c r="D3813" s="53" t="n">
        <v>2</v>
      </c>
      <c r="E3813" s="65" t="str">
        <f aca="false">IF($H3813="","",资金流水!$B309)</f>
        <v/>
      </c>
      <c r="F3813" s="55" t="str">
        <f aca="false">IF($H3813="","",资金流水!$C309)</f>
        <v/>
      </c>
      <c r="G3813" s="48" t="str">
        <f aca="false">IF($H3813="","",资金流水!$K309)</f>
        <v/>
      </c>
      <c r="H3813" s="10" t="str">
        <f aca="false">IF($L3813="","",IF($L3813="@对方",资金流水!$G309,IF($L3813="@账户",资金流水!$Q309,$L3813)))</f>
        <v/>
      </c>
      <c r="I3813" s="42" t="n">
        <f aca="false">IF($M3813="借",$O3813,0)</f>
        <v>0</v>
      </c>
      <c r="J3813" s="42" t="n">
        <f aca="false">IF($M3813="贷",$O3813,0)</f>
        <v>0</v>
      </c>
      <c r="K3813" s="48" t="str">
        <f aca="false">IF($H3813="","",资金流水!$F309)</f>
        <v/>
      </c>
      <c r="L3813" s="66" t="str">
        <f aca="false">IF(资金流水!$E309="","",IFERROR(INDEX(记账规则!$A$13:$H$32,MATCH(资金流水!$E309,记账规则!$A$13:$A$32,0),6),""))</f>
        <v/>
      </c>
      <c r="M3813" s="66" t="str">
        <f aca="false">IF($L3813="","",IFERROR(INDEX(记账规则!$A$13:$H$32,MATCH(资金流水!$E309,记账规则!$A$13:$A$32,0),7),""))</f>
        <v/>
      </c>
      <c r="N3813" s="66" t="str">
        <f aca="false">IF($L3813="","",IFERROR(INDEX(记账规则!$A$13:$H$32,MATCH(资金流水!$E309,记账规则!$A$13:$A$32,0),8),""))</f>
        <v/>
      </c>
      <c r="O3813" s="67" t="n">
        <f aca="false">IF($H3813="",0,ROUND(IF($N3813="金额",N(资金流水!$P309),0),2))</f>
        <v>0</v>
      </c>
      <c r="P3813" s="64" t="str">
        <f aca="false">IF(AND($H3813&lt;&gt;"",ROUND($O3813,2)&lt;&gt;0),"有","")</f>
        <v/>
      </c>
    </row>
    <row r="3814" customFormat="false" ht="15" hidden="true" customHeight="false" outlineLevel="0" collapsed="false">
      <c r="A3814" s="53" t="str">
        <f aca="false">IF($H3814="","",ROW()-5)</f>
        <v/>
      </c>
      <c r="B3814" s="64" t="s">
        <v>37</v>
      </c>
      <c r="C3814" s="53" t="n">
        <v>310</v>
      </c>
      <c r="D3814" s="53" t="n">
        <v>1</v>
      </c>
      <c r="E3814" s="65" t="str">
        <f aca="false">IF($H3814="","",资金流水!$B310)</f>
        <v/>
      </c>
      <c r="F3814" s="55" t="str">
        <f aca="false">IF($H3814="","",资金流水!$C310)</f>
        <v/>
      </c>
      <c r="G3814" s="48" t="str">
        <f aca="false">IF($H3814="","",资金流水!$K310)</f>
        <v/>
      </c>
      <c r="H3814" s="10" t="str">
        <f aca="false">IF($L3814="","",IF($L3814="@对方",资金流水!$G310,IF($L3814="@账户",资金流水!$Q310,$L3814)))</f>
        <v/>
      </c>
      <c r="I3814" s="42" t="n">
        <f aca="false">IF($M3814="借",$O3814,0)</f>
        <v>0</v>
      </c>
      <c r="J3814" s="42" t="n">
        <f aca="false">IF($M3814="贷",$O3814,0)</f>
        <v>0</v>
      </c>
      <c r="K3814" s="48" t="str">
        <f aca="false">IF($H3814="","",资金流水!$F310)</f>
        <v/>
      </c>
      <c r="L3814" s="66" t="str">
        <f aca="false">IF(资金流水!$E310="","",IFERROR(INDEX(记账规则!$A$13:$H$32,MATCH(资金流水!$E310,记账规则!$A$13:$A$32,0),3),""))</f>
        <v/>
      </c>
      <c r="M3814" s="66" t="str">
        <f aca="false">IF($L3814="","",IFERROR(INDEX(记账规则!$A$13:$H$32,MATCH(资金流水!$E310,记账规则!$A$13:$A$32,0),4),""))</f>
        <v/>
      </c>
      <c r="N3814" s="66" t="str">
        <f aca="false">IF($L3814="","",IFERROR(INDEX(记账规则!$A$13:$H$32,MATCH(资金流水!$E310,记账规则!$A$13:$A$32,0),5),""))</f>
        <v/>
      </c>
      <c r="O3814" s="67" t="n">
        <f aca="false">IF($H3814="",0,ROUND(IF($N3814="金额",N(资金流水!$P310),0),2))</f>
        <v>0</v>
      </c>
      <c r="P3814" s="64" t="str">
        <f aca="false">IF(AND($H3814&lt;&gt;"",ROUND($O3814,2)&lt;&gt;0),"有","")</f>
        <v/>
      </c>
    </row>
    <row r="3815" customFormat="false" ht="15" hidden="true" customHeight="false" outlineLevel="0" collapsed="false">
      <c r="A3815" s="53" t="str">
        <f aca="false">IF($H3815="","",ROW()-5)</f>
        <v/>
      </c>
      <c r="B3815" s="64" t="s">
        <v>37</v>
      </c>
      <c r="C3815" s="53" t="n">
        <v>310</v>
      </c>
      <c r="D3815" s="53" t="n">
        <v>2</v>
      </c>
      <c r="E3815" s="65" t="str">
        <f aca="false">IF($H3815="","",资金流水!$B310)</f>
        <v/>
      </c>
      <c r="F3815" s="55" t="str">
        <f aca="false">IF($H3815="","",资金流水!$C310)</f>
        <v/>
      </c>
      <c r="G3815" s="48" t="str">
        <f aca="false">IF($H3815="","",资金流水!$K310)</f>
        <v/>
      </c>
      <c r="H3815" s="10" t="str">
        <f aca="false">IF($L3815="","",IF($L3815="@对方",资金流水!$G310,IF($L3815="@账户",资金流水!$Q310,$L3815)))</f>
        <v/>
      </c>
      <c r="I3815" s="42" t="n">
        <f aca="false">IF($M3815="借",$O3815,0)</f>
        <v>0</v>
      </c>
      <c r="J3815" s="42" t="n">
        <f aca="false">IF($M3815="贷",$O3815,0)</f>
        <v>0</v>
      </c>
      <c r="K3815" s="48" t="str">
        <f aca="false">IF($H3815="","",资金流水!$F310)</f>
        <v/>
      </c>
      <c r="L3815" s="66" t="str">
        <f aca="false">IF(资金流水!$E310="","",IFERROR(INDEX(记账规则!$A$13:$H$32,MATCH(资金流水!$E310,记账规则!$A$13:$A$32,0),6),""))</f>
        <v/>
      </c>
      <c r="M3815" s="66" t="str">
        <f aca="false">IF($L3815="","",IFERROR(INDEX(记账规则!$A$13:$H$32,MATCH(资金流水!$E310,记账规则!$A$13:$A$32,0),7),""))</f>
        <v/>
      </c>
      <c r="N3815" s="66" t="str">
        <f aca="false">IF($L3815="","",IFERROR(INDEX(记账规则!$A$13:$H$32,MATCH(资金流水!$E310,记账规则!$A$13:$A$32,0),8),""))</f>
        <v/>
      </c>
      <c r="O3815" s="67" t="n">
        <f aca="false">IF($H3815="",0,ROUND(IF($N3815="金额",N(资金流水!$P310),0),2))</f>
        <v>0</v>
      </c>
      <c r="P3815" s="64" t="str">
        <f aca="false">IF(AND($H3815&lt;&gt;"",ROUND($O3815,2)&lt;&gt;0),"有","")</f>
        <v/>
      </c>
    </row>
    <row r="3816" customFormat="false" ht="15" hidden="true" customHeight="false" outlineLevel="0" collapsed="false">
      <c r="A3816" s="53" t="str">
        <f aca="false">IF($H3816="","",ROW()-5)</f>
        <v/>
      </c>
      <c r="B3816" s="64" t="s">
        <v>37</v>
      </c>
      <c r="C3816" s="53" t="n">
        <v>311</v>
      </c>
      <c r="D3816" s="53" t="n">
        <v>1</v>
      </c>
      <c r="E3816" s="65" t="str">
        <f aca="false">IF($H3816="","",资金流水!$B311)</f>
        <v/>
      </c>
      <c r="F3816" s="55" t="str">
        <f aca="false">IF($H3816="","",资金流水!$C311)</f>
        <v/>
      </c>
      <c r="G3816" s="48" t="str">
        <f aca="false">IF($H3816="","",资金流水!$K311)</f>
        <v/>
      </c>
      <c r="H3816" s="10" t="str">
        <f aca="false">IF($L3816="","",IF($L3816="@对方",资金流水!$G311,IF($L3816="@账户",资金流水!$Q311,$L3816)))</f>
        <v/>
      </c>
      <c r="I3816" s="42" t="n">
        <f aca="false">IF($M3816="借",$O3816,0)</f>
        <v>0</v>
      </c>
      <c r="J3816" s="42" t="n">
        <f aca="false">IF($M3816="贷",$O3816,0)</f>
        <v>0</v>
      </c>
      <c r="K3816" s="48" t="str">
        <f aca="false">IF($H3816="","",资金流水!$F311)</f>
        <v/>
      </c>
      <c r="L3816" s="66" t="str">
        <f aca="false">IF(资金流水!$E311="","",IFERROR(INDEX(记账规则!$A$13:$H$32,MATCH(资金流水!$E311,记账规则!$A$13:$A$32,0),3),""))</f>
        <v/>
      </c>
      <c r="M3816" s="66" t="str">
        <f aca="false">IF($L3816="","",IFERROR(INDEX(记账规则!$A$13:$H$32,MATCH(资金流水!$E311,记账规则!$A$13:$A$32,0),4),""))</f>
        <v/>
      </c>
      <c r="N3816" s="66" t="str">
        <f aca="false">IF($L3816="","",IFERROR(INDEX(记账规则!$A$13:$H$32,MATCH(资金流水!$E311,记账规则!$A$13:$A$32,0),5),""))</f>
        <v/>
      </c>
      <c r="O3816" s="67" t="n">
        <f aca="false">IF($H3816="",0,ROUND(IF($N3816="金额",N(资金流水!$P311),0),2))</f>
        <v>0</v>
      </c>
      <c r="P3816" s="64" t="str">
        <f aca="false">IF(AND($H3816&lt;&gt;"",ROUND($O3816,2)&lt;&gt;0),"有","")</f>
        <v/>
      </c>
    </row>
    <row r="3817" customFormat="false" ht="15" hidden="true" customHeight="false" outlineLevel="0" collapsed="false">
      <c r="A3817" s="53" t="str">
        <f aca="false">IF($H3817="","",ROW()-5)</f>
        <v/>
      </c>
      <c r="B3817" s="64" t="s">
        <v>37</v>
      </c>
      <c r="C3817" s="53" t="n">
        <v>311</v>
      </c>
      <c r="D3817" s="53" t="n">
        <v>2</v>
      </c>
      <c r="E3817" s="65" t="str">
        <f aca="false">IF($H3817="","",资金流水!$B311)</f>
        <v/>
      </c>
      <c r="F3817" s="55" t="str">
        <f aca="false">IF($H3817="","",资金流水!$C311)</f>
        <v/>
      </c>
      <c r="G3817" s="48" t="str">
        <f aca="false">IF($H3817="","",资金流水!$K311)</f>
        <v/>
      </c>
      <c r="H3817" s="10" t="str">
        <f aca="false">IF($L3817="","",IF($L3817="@对方",资金流水!$G311,IF($L3817="@账户",资金流水!$Q311,$L3817)))</f>
        <v/>
      </c>
      <c r="I3817" s="42" t="n">
        <f aca="false">IF($M3817="借",$O3817,0)</f>
        <v>0</v>
      </c>
      <c r="J3817" s="42" t="n">
        <f aca="false">IF($M3817="贷",$O3817,0)</f>
        <v>0</v>
      </c>
      <c r="K3817" s="48" t="str">
        <f aca="false">IF($H3817="","",资金流水!$F311)</f>
        <v/>
      </c>
      <c r="L3817" s="66" t="str">
        <f aca="false">IF(资金流水!$E311="","",IFERROR(INDEX(记账规则!$A$13:$H$32,MATCH(资金流水!$E311,记账规则!$A$13:$A$32,0),6),""))</f>
        <v/>
      </c>
      <c r="M3817" s="66" t="str">
        <f aca="false">IF($L3817="","",IFERROR(INDEX(记账规则!$A$13:$H$32,MATCH(资金流水!$E311,记账规则!$A$13:$A$32,0),7),""))</f>
        <v/>
      </c>
      <c r="N3817" s="66" t="str">
        <f aca="false">IF($L3817="","",IFERROR(INDEX(记账规则!$A$13:$H$32,MATCH(资金流水!$E311,记账规则!$A$13:$A$32,0),8),""))</f>
        <v/>
      </c>
      <c r="O3817" s="67" t="n">
        <f aca="false">IF($H3817="",0,ROUND(IF($N3817="金额",N(资金流水!$P311),0),2))</f>
        <v>0</v>
      </c>
      <c r="P3817" s="64" t="str">
        <f aca="false">IF(AND($H3817&lt;&gt;"",ROUND($O3817,2)&lt;&gt;0),"有","")</f>
        <v/>
      </c>
    </row>
    <row r="3818" customFormat="false" ht="15" hidden="true" customHeight="false" outlineLevel="0" collapsed="false">
      <c r="A3818" s="53" t="str">
        <f aca="false">IF($H3818="","",ROW()-5)</f>
        <v/>
      </c>
      <c r="B3818" s="64" t="s">
        <v>37</v>
      </c>
      <c r="C3818" s="53" t="n">
        <v>312</v>
      </c>
      <c r="D3818" s="53" t="n">
        <v>1</v>
      </c>
      <c r="E3818" s="65" t="str">
        <f aca="false">IF($H3818="","",资金流水!$B312)</f>
        <v/>
      </c>
      <c r="F3818" s="55" t="str">
        <f aca="false">IF($H3818="","",资金流水!$C312)</f>
        <v/>
      </c>
      <c r="G3818" s="48" t="str">
        <f aca="false">IF($H3818="","",资金流水!$K312)</f>
        <v/>
      </c>
      <c r="H3818" s="10" t="str">
        <f aca="false">IF($L3818="","",IF($L3818="@对方",资金流水!$G312,IF($L3818="@账户",资金流水!$Q312,$L3818)))</f>
        <v/>
      </c>
      <c r="I3818" s="42" t="n">
        <f aca="false">IF($M3818="借",$O3818,0)</f>
        <v>0</v>
      </c>
      <c r="J3818" s="42" t="n">
        <f aca="false">IF($M3818="贷",$O3818,0)</f>
        <v>0</v>
      </c>
      <c r="K3818" s="48" t="str">
        <f aca="false">IF($H3818="","",资金流水!$F312)</f>
        <v/>
      </c>
      <c r="L3818" s="66" t="str">
        <f aca="false">IF(资金流水!$E312="","",IFERROR(INDEX(记账规则!$A$13:$H$32,MATCH(资金流水!$E312,记账规则!$A$13:$A$32,0),3),""))</f>
        <v/>
      </c>
      <c r="M3818" s="66" t="str">
        <f aca="false">IF($L3818="","",IFERROR(INDEX(记账规则!$A$13:$H$32,MATCH(资金流水!$E312,记账规则!$A$13:$A$32,0),4),""))</f>
        <v/>
      </c>
      <c r="N3818" s="66" t="str">
        <f aca="false">IF($L3818="","",IFERROR(INDEX(记账规则!$A$13:$H$32,MATCH(资金流水!$E312,记账规则!$A$13:$A$32,0),5),""))</f>
        <v/>
      </c>
      <c r="O3818" s="67" t="n">
        <f aca="false">IF($H3818="",0,ROUND(IF($N3818="金额",N(资金流水!$P312),0),2))</f>
        <v>0</v>
      </c>
      <c r="P3818" s="64" t="str">
        <f aca="false">IF(AND($H3818&lt;&gt;"",ROUND($O3818,2)&lt;&gt;0),"有","")</f>
        <v/>
      </c>
    </row>
    <row r="3819" customFormat="false" ht="15" hidden="true" customHeight="false" outlineLevel="0" collapsed="false">
      <c r="A3819" s="53" t="str">
        <f aca="false">IF($H3819="","",ROW()-5)</f>
        <v/>
      </c>
      <c r="B3819" s="64" t="s">
        <v>37</v>
      </c>
      <c r="C3819" s="53" t="n">
        <v>312</v>
      </c>
      <c r="D3819" s="53" t="n">
        <v>2</v>
      </c>
      <c r="E3819" s="65" t="str">
        <f aca="false">IF($H3819="","",资金流水!$B312)</f>
        <v/>
      </c>
      <c r="F3819" s="55" t="str">
        <f aca="false">IF($H3819="","",资金流水!$C312)</f>
        <v/>
      </c>
      <c r="G3819" s="48" t="str">
        <f aca="false">IF($H3819="","",资金流水!$K312)</f>
        <v/>
      </c>
      <c r="H3819" s="10" t="str">
        <f aca="false">IF($L3819="","",IF($L3819="@对方",资金流水!$G312,IF($L3819="@账户",资金流水!$Q312,$L3819)))</f>
        <v/>
      </c>
      <c r="I3819" s="42" t="n">
        <f aca="false">IF($M3819="借",$O3819,0)</f>
        <v>0</v>
      </c>
      <c r="J3819" s="42" t="n">
        <f aca="false">IF($M3819="贷",$O3819,0)</f>
        <v>0</v>
      </c>
      <c r="K3819" s="48" t="str">
        <f aca="false">IF($H3819="","",资金流水!$F312)</f>
        <v/>
      </c>
      <c r="L3819" s="66" t="str">
        <f aca="false">IF(资金流水!$E312="","",IFERROR(INDEX(记账规则!$A$13:$H$32,MATCH(资金流水!$E312,记账规则!$A$13:$A$32,0),6),""))</f>
        <v/>
      </c>
      <c r="M3819" s="66" t="str">
        <f aca="false">IF($L3819="","",IFERROR(INDEX(记账规则!$A$13:$H$32,MATCH(资金流水!$E312,记账规则!$A$13:$A$32,0),7),""))</f>
        <v/>
      </c>
      <c r="N3819" s="66" t="str">
        <f aca="false">IF($L3819="","",IFERROR(INDEX(记账规则!$A$13:$H$32,MATCH(资金流水!$E312,记账规则!$A$13:$A$32,0),8),""))</f>
        <v/>
      </c>
      <c r="O3819" s="67" t="n">
        <f aca="false">IF($H3819="",0,ROUND(IF($N3819="金额",N(资金流水!$P312),0),2))</f>
        <v>0</v>
      </c>
      <c r="P3819" s="64" t="str">
        <f aca="false">IF(AND($H3819&lt;&gt;"",ROUND($O3819,2)&lt;&gt;0),"有","")</f>
        <v/>
      </c>
    </row>
    <row r="3820" customFormat="false" ht="15" hidden="true" customHeight="false" outlineLevel="0" collapsed="false">
      <c r="A3820" s="53" t="str">
        <f aca="false">IF($H3820="","",ROW()-5)</f>
        <v/>
      </c>
      <c r="B3820" s="64" t="s">
        <v>37</v>
      </c>
      <c r="C3820" s="53" t="n">
        <v>313</v>
      </c>
      <c r="D3820" s="53" t="n">
        <v>1</v>
      </c>
      <c r="E3820" s="65" t="str">
        <f aca="false">IF($H3820="","",资金流水!$B313)</f>
        <v/>
      </c>
      <c r="F3820" s="55" t="str">
        <f aca="false">IF($H3820="","",资金流水!$C313)</f>
        <v/>
      </c>
      <c r="G3820" s="48" t="str">
        <f aca="false">IF($H3820="","",资金流水!$K313)</f>
        <v/>
      </c>
      <c r="H3820" s="10" t="str">
        <f aca="false">IF($L3820="","",IF($L3820="@对方",资金流水!$G313,IF($L3820="@账户",资金流水!$Q313,$L3820)))</f>
        <v/>
      </c>
      <c r="I3820" s="42" t="n">
        <f aca="false">IF($M3820="借",$O3820,0)</f>
        <v>0</v>
      </c>
      <c r="J3820" s="42" t="n">
        <f aca="false">IF($M3820="贷",$O3820,0)</f>
        <v>0</v>
      </c>
      <c r="K3820" s="48" t="str">
        <f aca="false">IF($H3820="","",资金流水!$F313)</f>
        <v/>
      </c>
      <c r="L3820" s="66" t="str">
        <f aca="false">IF(资金流水!$E313="","",IFERROR(INDEX(记账规则!$A$13:$H$32,MATCH(资金流水!$E313,记账规则!$A$13:$A$32,0),3),""))</f>
        <v/>
      </c>
      <c r="M3820" s="66" t="str">
        <f aca="false">IF($L3820="","",IFERROR(INDEX(记账规则!$A$13:$H$32,MATCH(资金流水!$E313,记账规则!$A$13:$A$32,0),4),""))</f>
        <v/>
      </c>
      <c r="N3820" s="66" t="str">
        <f aca="false">IF($L3820="","",IFERROR(INDEX(记账规则!$A$13:$H$32,MATCH(资金流水!$E313,记账规则!$A$13:$A$32,0),5),""))</f>
        <v/>
      </c>
      <c r="O3820" s="67" t="n">
        <f aca="false">IF($H3820="",0,ROUND(IF($N3820="金额",N(资金流水!$P313),0),2))</f>
        <v>0</v>
      </c>
      <c r="P3820" s="64" t="str">
        <f aca="false">IF(AND($H3820&lt;&gt;"",ROUND($O3820,2)&lt;&gt;0),"有","")</f>
        <v/>
      </c>
    </row>
    <row r="3821" customFormat="false" ht="15" hidden="true" customHeight="false" outlineLevel="0" collapsed="false">
      <c r="A3821" s="53" t="str">
        <f aca="false">IF($H3821="","",ROW()-5)</f>
        <v/>
      </c>
      <c r="B3821" s="64" t="s">
        <v>37</v>
      </c>
      <c r="C3821" s="53" t="n">
        <v>313</v>
      </c>
      <c r="D3821" s="53" t="n">
        <v>2</v>
      </c>
      <c r="E3821" s="65" t="str">
        <f aca="false">IF($H3821="","",资金流水!$B313)</f>
        <v/>
      </c>
      <c r="F3821" s="55" t="str">
        <f aca="false">IF($H3821="","",资金流水!$C313)</f>
        <v/>
      </c>
      <c r="G3821" s="48" t="str">
        <f aca="false">IF($H3821="","",资金流水!$K313)</f>
        <v/>
      </c>
      <c r="H3821" s="10" t="str">
        <f aca="false">IF($L3821="","",IF($L3821="@对方",资金流水!$G313,IF($L3821="@账户",资金流水!$Q313,$L3821)))</f>
        <v/>
      </c>
      <c r="I3821" s="42" t="n">
        <f aca="false">IF($M3821="借",$O3821,0)</f>
        <v>0</v>
      </c>
      <c r="J3821" s="42" t="n">
        <f aca="false">IF($M3821="贷",$O3821,0)</f>
        <v>0</v>
      </c>
      <c r="K3821" s="48" t="str">
        <f aca="false">IF($H3821="","",资金流水!$F313)</f>
        <v/>
      </c>
      <c r="L3821" s="66" t="str">
        <f aca="false">IF(资金流水!$E313="","",IFERROR(INDEX(记账规则!$A$13:$H$32,MATCH(资金流水!$E313,记账规则!$A$13:$A$32,0),6),""))</f>
        <v/>
      </c>
      <c r="M3821" s="66" t="str">
        <f aca="false">IF($L3821="","",IFERROR(INDEX(记账规则!$A$13:$H$32,MATCH(资金流水!$E313,记账规则!$A$13:$A$32,0),7),""))</f>
        <v/>
      </c>
      <c r="N3821" s="66" t="str">
        <f aca="false">IF($L3821="","",IFERROR(INDEX(记账规则!$A$13:$H$32,MATCH(资金流水!$E313,记账规则!$A$13:$A$32,0),8),""))</f>
        <v/>
      </c>
      <c r="O3821" s="67" t="n">
        <f aca="false">IF($H3821="",0,ROUND(IF($N3821="金额",N(资金流水!$P313),0),2))</f>
        <v>0</v>
      </c>
      <c r="P3821" s="64" t="str">
        <f aca="false">IF(AND($H3821&lt;&gt;"",ROUND($O3821,2)&lt;&gt;0),"有","")</f>
        <v/>
      </c>
    </row>
    <row r="3822" customFormat="false" ht="15" hidden="true" customHeight="false" outlineLevel="0" collapsed="false">
      <c r="A3822" s="53" t="str">
        <f aca="false">IF($H3822="","",ROW()-5)</f>
        <v/>
      </c>
      <c r="B3822" s="64" t="s">
        <v>37</v>
      </c>
      <c r="C3822" s="53" t="n">
        <v>314</v>
      </c>
      <c r="D3822" s="53" t="n">
        <v>1</v>
      </c>
      <c r="E3822" s="65" t="str">
        <f aca="false">IF($H3822="","",资金流水!$B314)</f>
        <v/>
      </c>
      <c r="F3822" s="55" t="str">
        <f aca="false">IF($H3822="","",资金流水!$C314)</f>
        <v/>
      </c>
      <c r="G3822" s="48" t="str">
        <f aca="false">IF($H3822="","",资金流水!$K314)</f>
        <v/>
      </c>
      <c r="H3822" s="10" t="str">
        <f aca="false">IF($L3822="","",IF($L3822="@对方",资金流水!$G314,IF($L3822="@账户",资金流水!$Q314,$L3822)))</f>
        <v/>
      </c>
      <c r="I3822" s="42" t="n">
        <f aca="false">IF($M3822="借",$O3822,0)</f>
        <v>0</v>
      </c>
      <c r="J3822" s="42" t="n">
        <f aca="false">IF($M3822="贷",$O3822,0)</f>
        <v>0</v>
      </c>
      <c r="K3822" s="48" t="str">
        <f aca="false">IF($H3822="","",资金流水!$F314)</f>
        <v/>
      </c>
      <c r="L3822" s="66" t="str">
        <f aca="false">IF(资金流水!$E314="","",IFERROR(INDEX(记账规则!$A$13:$H$32,MATCH(资金流水!$E314,记账规则!$A$13:$A$32,0),3),""))</f>
        <v/>
      </c>
      <c r="M3822" s="66" t="str">
        <f aca="false">IF($L3822="","",IFERROR(INDEX(记账规则!$A$13:$H$32,MATCH(资金流水!$E314,记账规则!$A$13:$A$32,0),4),""))</f>
        <v/>
      </c>
      <c r="N3822" s="66" t="str">
        <f aca="false">IF($L3822="","",IFERROR(INDEX(记账规则!$A$13:$H$32,MATCH(资金流水!$E314,记账规则!$A$13:$A$32,0),5),""))</f>
        <v/>
      </c>
      <c r="O3822" s="67" t="n">
        <f aca="false">IF($H3822="",0,ROUND(IF($N3822="金额",N(资金流水!$P314),0),2))</f>
        <v>0</v>
      </c>
      <c r="P3822" s="64" t="str">
        <f aca="false">IF(AND($H3822&lt;&gt;"",ROUND($O3822,2)&lt;&gt;0),"有","")</f>
        <v/>
      </c>
    </row>
    <row r="3823" customFormat="false" ht="15" hidden="true" customHeight="false" outlineLevel="0" collapsed="false">
      <c r="A3823" s="53" t="str">
        <f aca="false">IF($H3823="","",ROW()-5)</f>
        <v/>
      </c>
      <c r="B3823" s="64" t="s">
        <v>37</v>
      </c>
      <c r="C3823" s="53" t="n">
        <v>314</v>
      </c>
      <c r="D3823" s="53" t="n">
        <v>2</v>
      </c>
      <c r="E3823" s="65" t="str">
        <f aca="false">IF($H3823="","",资金流水!$B314)</f>
        <v/>
      </c>
      <c r="F3823" s="55" t="str">
        <f aca="false">IF($H3823="","",资金流水!$C314)</f>
        <v/>
      </c>
      <c r="G3823" s="48" t="str">
        <f aca="false">IF($H3823="","",资金流水!$K314)</f>
        <v/>
      </c>
      <c r="H3823" s="10" t="str">
        <f aca="false">IF($L3823="","",IF($L3823="@对方",资金流水!$G314,IF($L3823="@账户",资金流水!$Q314,$L3823)))</f>
        <v/>
      </c>
      <c r="I3823" s="42" t="n">
        <f aca="false">IF($M3823="借",$O3823,0)</f>
        <v>0</v>
      </c>
      <c r="J3823" s="42" t="n">
        <f aca="false">IF($M3823="贷",$O3823,0)</f>
        <v>0</v>
      </c>
      <c r="K3823" s="48" t="str">
        <f aca="false">IF($H3823="","",资金流水!$F314)</f>
        <v/>
      </c>
      <c r="L3823" s="66" t="str">
        <f aca="false">IF(资金流水!$E314="","",IFERROR(INDEX(记账规则!$A$13:$H$32,MATCH(资金流水!$E314,记账规则!$A$13:$A$32,0),6),""))</f>
        <v/>
      </c>
      <c r="M3823" s="66" t="str">
        <f aca="false">IF($L3823="","",IFERROR(INDEX(记账规则!$A$13:$H$32,MATCH(资金流水!$E314,记账规则!$A$13:$A$32,0),7),""))</f>
        <v/>
      </c>
      <c r="N3823" s="66" t="str">
        <f aca="false">IF($L3823="","",IFERROR(INDEX(记账规则!$A$13:$H$32,MATCH(资金流水!$E314,记账规则!$A$13:$A$32,0),8),""))</f>
        <v/>
      </c>
      <c r="O3823" s="67" t="n">
        <f aca="false">IF($H3823="",0,ROUND(IF($N3823="金额",N(资金流水!$P314),0),2))</f>
        <v>0</v>
      </c>
      <c r="P3823" s="64" t="str">
        <f aca="false">IF(AND($H3823&lt;&gt;"",ROUND($O3823,2)&lt;&gt;0),"有","")</f>
        <v/>
      </c>
    </row>
    <row r="3824" customFormat="false" ht="15" hidden="true" customHeight="false" outlineLevel="0" collapsed="false">
      <c r="A3824" s="53" t="str">
        <f aca="false">IF($H3824="","",ROW()-5)</f>
        <v/>
      </c>
      <c r="B3824" s="64" t="s">
        <v>37</v>
      </c>
      <c r="C3824" s="53" t="n">
        <v>315</v>
      </c>
      <c r="D3824" s="53" t="n">
        <v>1</v>
      </c>
      <c r="E3824" s="65" t="str">
        <f aca="false">IF($H3824="","",资金流水!$B315)</f>
        <v/>
      </c>
      <c r="F3824" s="55" t="str">
        <f aca="false">IF($H3824="","",资金流水!$C315)</f>
        <v/>
      </c>
      <c r="G3824" s="48" t="str">
        <f aca="false">IF($H3824="","",资金流水!$K315)</f>
        <v/>
      </c>
      <c r="H3824" s="10" t="str">
        <f aca="false">IF($L3824="","",IF($L3824="@对方",资金流水!$G315,IF($L3824="@账户",资金流水!$Q315,$L3824)))</f>
        <v/>
      </c>
      <c r="I3824" s="42" t="n">
        <f aca="false">IF($M3824="借",$O3824,0)</f>
        <v>0</v>
      </c>
      <c r="J3824" s="42" t="n">
        <f aca="false">IF($M3824="贷",$O3824,0)</f>
        <v>0</v>
      </c>
      <c r="K3824" s="48" t="str">
        <f aca="false">IF($H3824="","",资金流水!$F315)</f>
        <v/>
      </c>
      <c r="L3824" s="66" t="str">
        <f aca="false">IF(资金流水!$E315="","",IFERROR(INDEX(记账规则!$A$13:$H$32,MATCH(资金流水!$E315,记账规则!$A$13:$A$32,0),3),""))</f>
        <v/>
      </c>
      <c r="M3824" s="66" t="str">
        <f aca="false">IF($L3824="","",IFERROR(INDEX(记账规则!$A$13:$H$32,MATCH(资金流水!$E315,记账规则!$A$13:$A$32,0),4),""))</f>
        <v/>
      </c>
      <c r="N3824" s="66" t="str">
        <f aca="false">IF($L3824="","",IFERROR(INDEX(记账规则!$A$13:$H$32,MATCH(资金流水!$E315,记账规则!$A$13:$A$32,0),5),""))</f>
        <v/>
      </c>
      <c r="O3824" s="67" t="n">
        <f aca="false">IF($H3824="",0,ROUND(IF($N3824="金额",N(资金流水!$P315),0),2))</f>
        <v>0</v>
      </c>
      <c r="P3824" s="64" t="str">
        <f aca="false">IF(AND($H3824&lt;&gt;"",ROUND($O3824,2)&lt;&gt;0),"有","")</f>
        <v/>
      </c>
    </row>
    <row r="3825" customFormat="false" ht="15" hidden="true" customHeight="false" outlineLevel="0" collapsed="false">
      <c r="A3825" s="53" t="str">
        <f aca="false">IF($H3825="","",ROW()-5)</f>
        <v/>
      </c>
      <c r="B3825" s="64" t="s">
        <v>37</v>
      </c>
      <c r="C3825" s="53" t="n">
        <v>315</v>
      </c>
      <c r="D3825" s="53" t="n">
        <v>2</v>
      </c>
      <c r="E3825" s="65" t="str">
        <f aca="false">IF($H3825="","",资金流水!$B315)</f>
        <v/>
      </c>
      <c r="F3825" s="55" t="str">
        <f aca="false">IF($H3825="","",资金流水!$C315)</f>
        <v/>
      </c>
      <c r="G3825" s="48" t="str">
        <f aca="false">IF($H3825="","",资金流水!$K315)</f>
        <v/>
      </c>
      <c r="H3825" s="10" t="str">
        <f aca="false">IF($L3825="","",IF($L3825="@对方",资金流水!$G315,IF($L3825="@账户",资金流水!$Q315,$L3825)))</f>
        <v/>
      </c>
      <c r="I3825" s="42" t="n">
        <f aca="false">IF($M3825="借",$O3825,0)</f>
        <v>0</v>
      </c>
      <c r="J3825" s="42" t="n">
        <f aca="false">IF($M3825="贷",$O3825,0)</f>
        <v>0</v>
      </c>
      <c r="K3825" s="48" t="str">
        <f aca="false">IF($H3825="","",资金流水!$F315)</f>
        <v/>
      </c>
      <c r="L3825" s="66" t="str">
        <f aca="false">IF(资金流水!$E315="","",IFERROR(INDEX(记账规则!$A$13:$H$32,MATCH(资金流水!$E315,记账规则!$A$13:$A$32,0),6),""))</f>
        <v/>
      </c>
      <c r="M3825" s="66" t="str">
        <f aca="false">IF($L3825="","",IFERROR(INDEX(记账规则!$A$13:$H$32,MATCH(资金流水!$E315,记账规则!$A$13:$A$32,0),7),""))</f>
        <v/>
      </c>
      <c r="N3825" s="66" t="str">
        <f aca="false">IF($L3825="","",IFERROR(INDEX(记账规则!$A$13:$H$32,MATCH(资金流水!$E315,记账规则!$A$13:$A$32,0),8),""))</f>
        <v/>
      </c>
      <c r="O3825" s="67" t="n">
        <f aca="false">IF($H3825="",0,ROUND(IF($N3825="金额",N(资金流水!$P315),0),2))</f>
        <v>0</v>
      </c>
      <c r="P3825" s="64" t="str">
        <f aca="false">IF(AND($H3825&lt;&gt;"",ROUND($O3825,2)&lt;&gt;0),"有","")</f>
        <v/>
      </c>
    </row>
    <row r="3826" customFormat="false" ht="15" hidden="true" customHeight="false" outlineLevel="0" collapsed="false">
      <c r="A3826" s="53" t="str">
        <f aca="false">IF($H3826="","",ROW()-5)</f>
        <v/>
      </c>
      <c r="B3826" s="64" t="s">
        <v>37</v>
      </c>
      <c r="C3826" s="53" t="n">
        <v>316</v>
      </c>
      <c r="D3826" s="53" t="n">
        <v>1</v>
      </c>
      <c r="E3826" s="65" t="str">
        <f aca="false">IF($H3826="","",资金流水!$B316)</f>
        <v/>
      </c>
      <c r="F3826" s="55" t="str">
        <f aca="false">IF($H3826="","",资金流水!$C316)</f>
        <v/>
      </c>
      <c r="G3826" s="48" t="str">
        <f aca="false">IF($H3826="","",资金流水!$K316)</f>
        <v/>
      </c>
      <c r="H3826" s="10" t="str">
        <f aca="false">IF($L3826="","",IF($L3826="@对方",资金流水!$G316,IF($L3826="@账户",资金流水!$Q316,$L3826)))</f>
        <v/>
      </c>
      <c r="I3826" s="42" t="n">
        <f aca="false">IF($M3826="借",$O3826,0)</f>
        <v>0</v>
      </c>
      <c r="J3826" s="42" t="n">
        <f aca="false">IF($M3826="贷",$O3826,0)</f>
        <v>0</v>
      </c>
      <c r="K3826" s="48" t="str">
        <f aca="false">IF($H3826="","",资金流水!$F316)</f>
        <v/>
      </c>
      <c r="L3826" s="66" t="str">
        <f aca="false">IF(资金流水!$E316="","",IFERROR(INDEX(记账规则!$A$13:$H$32,MATCH(资金流水!$E316,记账规则!$A$13:$A$32,0),3),""))</f>
        <v/>
      </c>
      <c r="M3826" s="66" t="str">
        <f aca="false">IF($L3826="","",IFERROR(INDEX(记账规则!$A$13:$H$32,MATCH(资金流水!$E316,记账规则!$A$13:$A$32,0),4),""))</f>
        <v/>
      </c>
      <c r="N3826" s="66" t="str">
        <f aca="false">IF($L3826="","",IFERROR(INDEX(记账规则!$A$13:$H$32,MATCH(资金流水!$E316,记账规则!$A$13:$A$32,0),5),""))</f>
        <v/>
      </c>
      <c r="O3826" s="67" t="n">
        <f aca="false">IF($H3826="",0,ROUND(IF($N3826="金额",N(资金流水!$P316),0),2))</f>
        <v>0</v>
      </c>
      <c r="P3826" s="64" t="str">
        <f aca="false">IF(AND($H3826&lt;&gt;"",ROUND($O3826,2)&lt;&gt;0),"有","")</f>
        <v/>
      </c>
    </row>
    <row r="3827" customFormat="false" ht="15" hidden="true" customHeight="false" outlineLevel="0" collapsed="false">
      <c r="A3827" s="53" t="str">
        <f aca="false">IF($H3827="","",ROW()-5)</f>
        <v/>
      </c>
      <c r="B3827" s="64" t="s">
        <v>37</v>
      </c>
      <c r="C3827" s="53" t="n">
        <v>316</v>
      </c>
      <c r="D3827" s="53" t="n">
        <v>2</v>
      </c>
      <c r="E3827" s="65" t="str">
        <f aca="false">IF($H3827="","",资金流水!$B316)</f>
        <v/>
      </c>
      <c r="F3827" s="55" t="str">
        <f aca="false">IF($H3827="","",资金流水!$C316)</f>
        <v/>
      </c>
      <c r="G3827" s="48" t="str">
        <f aca="false">IF($H3827="","",资金流水!$K316)</f>
        <v/>
      </c>
      <c r="H3827" s="10" t="str">
        <f aca="false">IF($L3827="","",IF($L3827="@对方",资金流水!$G316,IF($L3827="@账户",资金流水!$Q316,$L3827)))</f>
        <v/>
      </c>
      <c r="I3827" s="42" t="n">
        <f aca="false">IF($M3827="借",$O3827,0)</f>
        <v>0</v>
      </c>
      <c r="J3827" s="42" t="n">
        <f aca="false">IF($M3827="贷",$O3827,0)</f>
        <v>0</v>
      </c>
      <c r="K3827" s="48" t="str">
        <f aca="false">IF($H3827="","",资金流水!$F316)</f>
        <v/>
      </c>
      <c r="L3827" s="66" t="str">
        <f aca="false">IF(资金流水!$E316="","",IFERROR(INDEX(记账规则!$A$13:$H$32,MATCH(资金流水!$E316,记账规则!$A$13:$A$32,0),6),""))</f>
        <v/>
      </c>
      <c r="M3827" s="66" t="str">
        <f aca="false">IF($L3827="","",IFERROR(INDEX(记账规则!$A$13:$H$32,MATCH(资金流水!$E316,记账规则!$A$13:$A$32,0),7),""))</f>
        <v/>
      </c>
      <c r="N3827" s="66" t="str">
        <f aca="false">IF($L3827="","",IFERROR(INDEX(记账规则!$A$13:$H$32,MATCH(资金流水!$E316,记账规则!$A$13:$A$32,0),8),""))</f>
        <v/>
      </c>
      <c r="O3827" s="67" t="n">
        <f aca="false">IF($H3827="",0,ROUND(IF($N3827="金额",N(资金流水!$P316),0),2))</f>
        <v>0</v>
      </c>
      <c r="P3827" s="64" t="str">
        <f aca="false">IF(AND($H3827&lt;&gt;"",ROUND($O3827,2)&lt;&gt;0),"有","")</f>
        <v/>
      </c>
    </row>
    <row r="3828" customFormat="false" ht="15" hidden="true" customHeight="false" outlineLevel="0" collapsed="false">
      <c r="A3828" s="53" t="str">
        <f aca="false">IF($H3828="","",ROW()-5)</f>
        <v/>
      </c>
      <c r="B3828" s="64" t="s">
        <v>37</v>
      </c>
      <c r="C3828" s="53" t="n">
        <v>317</v>
      </c>
      <c r="D3828" s="53" t="n">
        <v>1</v>
      </c>
      <c r="E3828" s="65" t="str">
        <f aca="false">IF($H3828="","",资金流水!$B317)</f>
        <v/>
      </c>
      <c r="F3828" s="55" t="str">
        <f aca="false">IF($H3828="","",资金流水!$C317)</f>
        <v/>
      </c>
      <c r="G3828" s="48" t="str">
        <f aca="false">IF($H3828="","",资金流水!$K317)</f>
        <v/>
      </c>
      <c r="H3828" s="10" t="str">
        <f aca="false">IF($L3828="","",IF($L3828="@对方",资金流水!$G317,IF($L3828="@账户",资金流水!$Q317,$L3828)))</f>
        <v/>
      </c>
      <c r="I3828" s="42" t="n">
        <f aca="false">IF($M3828="借",$O3828,0)</f>
        <v>0</v>
      </c>
      <c r="J3828" s="42" t="n">
        <f aca="false">IF($M3828="贷",$O3828,0)</f>
        <v>0</v>
      </c>
      <c r="K3828" s="48" t="str">
        <f aca="false">IF($H3828="","",资金流水!$F317)</f>
        <v/>
      </c>
      <c r="L3828" s="66" t="str">
        <f aca="false">IF(资金流水!$E317="","",IFERROR(INDEX(记账规则!$A$13:$H$32,MATCH(资金流水!$E317,记账规则!$A$13:$A$32,0),3),""))</f>
        <v/>
      </c>
      <c r="M3828" s="66" t="str">
        <f aca="false">IF($L3828="","",IFERROR(INDEX(记账规则!$A$13:$H$32,MATCH(资金流水!$E317,记账规则!$A$13:$A$32,0),4),""))</f>
        <v/>
      </c>
      <c r="N3828" s="66" t="str">
        <f aca="false">IF($L3828="","",IFERROR(INDEX(记账规则!$A$13:$H$32,MATCH(资金流水!$E317,记账规则!$A$13:$A$32,0),5),""))</f>
        <v/>
      </c>
      <c r="O3828" s="67" t="n">
        <f aca="false">IF($H3828="",0,ROUND(IF($N3828="金额",N(资金流水!$P317),0),2))</f>
        <v>0</v>
      </c>
      <c r="P3828" s="64" t="str">
        <f aca="false">IF(AND($H3828&lt;&gt;"",ROUND($O3828,2)&lt;&gt;0),"有","")</f>
        <v/>
      </c>
    </row>
    <row r="3829" customFormat="false" ht="15" hidden="true" customHeight="false" outlineLevel="0" collapsed="false">
      <c r="A3829" s="53" t="str">
        <f aca="false">IF($H3829="","",ROW()-5)</f>
        <v/>
      </c>
      <c r="B3829" s="64" t="s">
        <v>37</v>
      </c>
      <c r="C3829" s="53" t="n">
        <v>317</v>
      </c>
      <c r="D3829" s="53" t="n">
        <v>2</v>
      </c>
      <c r="E3829" s="65" t="str">
        <f aca="false">IF($H3829="","",资金流水!$B317)</f>
        <v/>
      </c>
      <c r="F3829" s="55" t="str">
        <f aca="false">IF($H3829="","",资金流水!$C317)</f>
        <v/>
      </c>
      <c r="G3829" s="48" t="str">
        <f aca="false">IF($H3829="","",资金流水!$K317)</f>
        <v/>
      </c>
      <c r="H3829" s="10" t="str">
        <f aca="false">IF($L3829="","",IF($L3829="@对方",资金流水!$G317,IF($L3829="@账户",资金流水!$Q317,$L3829)))</f>
        <v/>
      </c>
      <c r="I3829" s="42" t="n">
        <f aca="false">IF($M3829="借",$O3829,0)</f>
        <v>0</v>
      </c>
      <c r="J3829" s="42" t="n">
        <f aca="false">IF($M3829="贷",$O3829,0)</f>
        <v>0</v>
      </c>
      <c r="K3829" s="48" t="str">
        <f aca="false">IF($H3829="","",资金流水!$F317)</f>
        <v/>
      </c>
      <c r="L3829" s="66" t="str">
        <f aca="false">IF(资金流水!$E317="","",IFERROR(INDEX(记账规则!$A$13:$H$32,MATCH(资金流水!$E317,记账规则!$A$13:$A$32,0),6),""))</f>
        <v/>
      </c>
      <c r="M3829" s="66" t="str">
        <f aca="false">IF($L3829="","",IFERROR(INDEX(记账规则!$A$13:$H$32,MATCH(资金流水!$E317,记账规则!$A$13:$A$32,0),7),""))</f>
        <v/>
      </c>
      <c r="N3829" s="66" t="str">
        <f aca="false">IF($L3829="","",IFERROR(INDEX(记账规则!$A$13:$H$32,MATCH(资金流水!$E317,记账规则!$A$13:$A$32,0),8),""))</f>
        <v/>
      </c>
      <c r="O3829" s="67" t="n">
        <f aca="false">IF($H3829="",0,ROUND(IF($N3829="金额",N(资金流水!$P317),0),2))</f>
        <v>0</v>
      </c>
      <c r="P3829" s="64" t="str">
        <f aca="false">IF(AND($H3829&lt;&gt;"",ROUND($O3829,2)&lt;&gt;0),"有","")</f>
        <v/>
      </c>
    </row>
    <row r="3830" customFormat="false" ht="15" hidden="true" customHeight="false" outlineLevel="0" collapsed="false">
      <c r="A3830" s="53" t="str">
        <f aca="false">IF($H3830="","",ROW()-5)</f>
        <v/>
      </c>
      <c r="B3830" s="64" t="s">
        <v>37</v>
      </c>
      <c r="C3830" s="53" t="n">
        <v>318</v>
      </c>
      <c r="D3830" s="53" t="n">
        <v>1</v>
      </c>
      <c r="E3830" s="65" t="str">
        <f aca="false">IF($H3830="","",资金流水!$B318)</f>
        <v/>
      </c>
      <c r="F3830" s="55" t="str">
        <f aca="false">IF($H3830="","",资金流水!$C318)</f>
        <v/>
      </c>
      <c r="G3830" s="48" t="str">
        <f aca="false">IF($H3830="","",资金流水!$K318)</f>
        <v/>
      </c>
      <c r="H3830" s="10" t="str">
        <f aca="false">IF($L3830="","",IF($L3830="@对方",资金流水!$G318,IF($L3830="@账户",资金流水!$Q318,$L3830)))</f>
        <v/>
      </c>
      <c r="I3830" s="42" t="n">
        <f aca="false">IF($M3830="借",$O3830,0)</f>
        <v>0</v>
      </c>
      <c r="J3830" s="42" t="n">
        <f aca="false">IF($M3830="贷",$O3830,0)</f>
        <v>0</v>
      </c>
      <c r="K3830" s="48" t="str">
        <f aca="false">IF($H3830="","",资金流水!$F318)</f>
        <v/>
      </c>
      <c r="L3830" s="66" t="str">
        <f aca="false">IF(资金流水!$E318="","",IFERROR(INDEX(记账规则!$A$13:$H$32,MATCH(资金流水!$E318,记账规则!$A$13:$A$32,0),3),""))</f>
        <v/>
      </c>
      <c r="M3830" s="66" t="str">
        <f aca="false">IF($L3830="","",IFERROR(INDEX(记账规则!$A$13:$H$32,MATCH(资金流水!$E318,记账规则!$A$13:$A$32,0),4),""))</f>
        <v/>
      </c>
      <c r="N3830" s="66" t="str">
        <f aca="false">IF($L3830="","",IFERROR(INDEX(记账规则!$A$13:$H$32,MATCH(资金流水!$E318,记账规则!$A$13:$A$32,0),5),""))</f>
        <v/>
      </c>
      <c r="O3830" s="67" t="n">
        <f aca="false">IF($H3830="",0,ROUND(IF($N3830="金额",N(资金流水!$P318),0),2))</f>
        <v>0</v>
      </c>
      <c r="P3830" s="64" t="str">
        <f aca="false">IF(AND($H3830&lt;&gt;"",ROUND($O3830,2)&lt;&gt;0),"有","")</f>
        <v/>
      </c>
    </row>
    <row r="3831" customFormat="false" ht="15" hidden="true" customHeight="false" outlineLevel="0" collapsed="false">
      <c r="A3831" s="53" t="str">
        <f aca="false">IF($H3831="","",ROW()-5)</f>
        <v/>
      </c>
      <c r="B3831" s="64" t="s">
        <v>37</v>
      </c>
      <c r="C3831" s="53" t="n">
        <v>318</v>
      </c>
      <c r="D3831" s="53" t="n">
        <v>2</v>
      </c>
      <c r="E3831" s="65" t="str">
        <f aca="false">IF($H3831="","",资金流水!$B318)</f>
        <v/>
      </c>
      <c r="F3831" s="55" t="str">
        <f aca="false">IF($H3831="","",资金流水!$C318)</f>
        <v/>
      </c>
      <c r="G3831" s="48" t="str">
        <f aca="false">IF($H3831="","",资金流水!$K318)</f>
        <v/>
      </c>
      <c r="H3831" s="10" t="str">
        <f aca="false">IF($L3831="","",IF($L3831="@对方",资金流水!$G318,IF($L3831="@账户",资金流水!$Q318,$L3831)))</f>
        <v/>
      </c>
      <c r="I3831" s="42" t="n">
        <f aca="false">IF($M3831="借",$O3831,0)</f>
        <v>0</v>
      </c>
      <c r="J3831" s="42" t="n">
        <f aca="false">IF($M3831="贷",$O3831,0)</f>
        <v>0</v>
      </c>
      <c r="K3831" s="48" t="str">
        <f aca="false">IF($H3831="","",资金流水!$F318)</f>
        <v/>
      </c>
      <c r="L3831" s="66" t="str">
        <f aca="false">IF(资金流水!$E318="","",IFERROR(INDEX(记账规则!$A$13:$H$32,MATCH(资金流水!$E318,记账规则!$A$13:$A$32,0),6),""))</f>
        <v/>
      </c>
      <c r="M3831" s="66" t="str">
        <f aca="false">IF($L3831="","",IFERROR(INDEX(记账规则!$A$13:$H$32,MATCH(资金流水!$E318,记账规则!$A$13:$A$32,0),7),""))</f>
        <v/>
      </c>
      <c r="N3831" s="66" t="str">
        <f aca="false">IF($L3831="","",IFERROR(INDEX(记账规则!$A$13:$H$32,MATCH(资金流水!$E318,记账规则!$A$13:$A$32,0),8),""))</f>
        <v/>
      </c>
      <c r="O3831" s="67" t="n">
        <f aca="false">IF($H3831="",0,ROUND(IF($N3831="金额",N(资金流水!$P318),0),2))</f>
        <v>0</v>
      </c>
      <c r="P3831" s="64" t="str">
        <f aca="false">IF(AND($H3831&lt;&gt;"",ROUND($O3831,2)&lt;&gt;0),"有","")</f>
        <v/>
      </c>
    </row>
    <row r="3832" customFormat="false" ht="15" hidden="true" customHeight="false" outlineLevel="0" collapsed="false">
      <c r="A3832" s="53" t="str">
        <f aca="false">IF($H3832="","",ROW()-5)</f>
        <v/>
      </c>
      <c r="B3832" s="64" t="s">
        <v>37</v>
      </c>
      <c r="C3832" s="53" t="n">
        <v>319</v>
      </c>
      <c r="D3832" s="53" t="n">
        <v>1</v>
      </c>
      <c r="E3832" s="65" t="str">
        <f aca="false">IF($H3832="","",资金流水!$B319)</f>
        <v/>
      </c>
      <c r="F3832" s="55" t="str">
        <f aca="false">IF($H3832="","",资金流水!$C319)</f>
        <v/>
      </c>
      <c r="G3832" s="48" t="str">
        <f aca="false">IF($H3832="","",资金流水!$K319)</f>
        <v/>
      </c>
      <c r="H3832" s="10" t="str">
        <f aca="false">IF($L3832="","",IF($L3832="@对方",资金流水!$G319,IF($L3832="@账户",资金流水!$Q319,$L3832)))</f>
        <v/>
      </c>
      <c r="I3832" s="42" t="n">
        <f aca="false">IF($M3832="借",$O3832,0)</f>
        <v>0</v>
      </c>
      <c r="J3832" s="42" t="n">
        <f aca="false">IF($M3832="贷",$O3832,0)</f>
        <v>0</v>
      </c>
      <c r="K3832" s="48" t="str">
        <f aca="false">IF($H3832="","",资金流水!$F319)</f>
        <v/>
      </c>
      <c r="L3832" s="66" t="str">
        <f aca="false">IF(资金流水!$E319="","",IFERROR(INDEX(记账规则!$A$13:$H$32,MATCH(资金流水!$E319,记账规则!$A$13:$A$32,0),3),""))</f>
        <v/>
      </c>
      <c r="M3832" s="66" t="str">
        <f aca="false">IF($L3832="","",IFERROR(INDEX(记账规则!$A$13:$H$32,MATCH(资金流水!$E319,记账规则!$A$13:$A$32,0),4),""))</f>
        <v/>
      </c>
      <c r="N3832" s="66" t="str">
        <f aca="false">IF($L3832="","",IFERROR(INDEX(记账规则!$A$13:$H$32,MATCH(资金流水!$E319,记账规则!$A$13:$A$32,0),5),""))</f>
        <v/>
      </c>
      <c r="O3832" s="67" t="n">
        <f aca="false">IF($H3832="",0,ROUND(IF($N3832="金额",N(资金流水!$P319),0),2))</f>
        <v>0</v>
      </c>
      <c r="P3832" s="64" t="str">
        <f aca="false">IF(AND($H3832&lt;&gt;"",ROUND($O3832,2)&lt;&gt;0),"有","")</f>
        <v/>
      </c>
    </row>
    <row r="3833" customFormat="false" ht="15" hidden="true" customHeight="false" outlineLevel="0" collapsed="false">
      <c r="A3833" s="53" t="str">
        <f aca="false">IF($H3833="","",ROW()-5)</f>
        <v/>
      </c>
      <c r="B3833" s="64" t="s">
        <v>37</v>
      </c>
      <c r="C3833" s="53" t="n">
        <v>319</v>
      </c>
      <c r="D3833" s="53" t="n">
        <v>2</v>
      </c>
      <c r="E3833" s="65" t="str">
        <f aca="false">IF($H3833="","",资金流水!$B319)</f>
        <v/>
      </c>
      <c r="F3833" s="55" t="str">
        <f aca="false">IF($H3833="","",资金流水!$C319)</f>
        <v/>
      </c>
      <c r="G3833" s="48" t="str">
        <f aca="false">IF($H3833="","",资金流水!$K319)</f>
        <v/>
      </c>
      <c r="H3833" s="10" t="str">
        <f aca="false">IF($L3833="","",IF($L3833="@对方",资金流水!$G319,IF($L3833="@账户",资金流水!$Q319,$L3833)))</f>
        <v/>
      </c>
      <c r="I3833" s="42" t="n">
        <f aca="false">IF($M3833="借",$O3833,0)</f>
        <v>0</v>
      </c>
      <c r="J3833" s="42" t="n">
        <f aca="false">IF($M3833="贷",$O3833,0)</f>
        <v>0</v>
      </c>
      <c r="K3833" s="48" t="str">
        <f aca="false">IF($H3833="","",资金流水!$F319)</f>
        <v/>
      </c>
      <c r="L3833" s="66" t="str">
        <f aca="false">IF(资金流水!$E319="","",IFERROR(INDEX(记账规则!$A$13:$H$32,MATCH(资金流水!$E319,记账规则!$A$13:$A$32,0),6),""))</f>
        <v/>
      </c>
      <c r="M3833" s="66" t="str">
        <f aca="false">IF($L3833="","",IFERROR(INDEX(记账规则!$A$13:$H$32,MATCH(资金流水!$E319,记账规则!$A$13:$A$32,0),7),""))</f>
        <v/>
      </c>
      <c r="N3833" s="66" t="str">
        <f aca="false">IF($L3833="","",IFERROR(INDEX(记账规则!$A$13:$H$32,MATCH(资金流水!$E319,记账规则!$A$13:$A$32,0),8),""))</f>
        <v/>
      </c>
      <c r="O3833" s="67" t="n">
        <f aca="false">IF($H3833="",0,ROUND(IF($N3833="金额",N(资金流水!$P319),0),2))</f>
        <v>0</v>
      </c>
      <c r="P3833" s="64" t="str">
        <f aca="false">IF(AND($H3833&lt;&gt;"",ROUND($O3833,2)&lt;&gt;0),"有","")</f>
        <v/>
      </c>
    </row>
    <row r="3834" customFormat="false" ht="15" hidden="true" customHeight="false" outlineLevel="0" collapsed="false">
      <c r="A3834" s="53" t="str">
        <f aca="false">IF($H3834="","",ROW()-5)</f>
        <v/>
      </c>
      <c r="B3834" s="64" t="s">
        <v>37</v>
      </c>
      <c r="C3834" s="53" t="n">
        <v>320</v>
      </c>
      <c r="D3834" s="53" t="n">
        <v>1</v>
      </c>
      <c r="E3834" s="65" t="str">
        <f aca="false">IF($H3834="","",资金流水!$B320)</f>
        <v/>
      </c>
      <c r="F3834" s="55" t="str">
        <f aca="false">IF($H3834="","",资金流水!$C320)</f>
        <v/>
      </c>
      <c r="G3834" s="48" t="str">
        <f aca="false">IF($H3834="","",资金流水!$K320)</f>
        <v/>
      </c>
      <c r="H3834" s="10" t="str">
        <f aca="false">IF($L3834="","",IF($L3834="@对方",资金流水!$G320,IF($L3834="@账户",资金流水!$Q320,$L3834)))</f>
        <v/>
      </c>
      <c r="I3834" s="42" t="n">
        <f aca="false">IF($M3834="借",$O3834,0)</f>
        <v>0</v>
      </c>
      <c r="J3834" s="42" t="n">
        <f aca="false">IF($M3834="贷",$O3834,0)</f>
        <v>0</v>
      </c>
      <c r="K3834" s="48" t="str">
        <f aca="false">IF($H3834="","",资金流水!$F320)</f>
        <v/>
      </c>
      <c r="L3834" s="66" t="str">
        <f aca="false">IF(资金流水!$E320="","",IFERROR(INDEX(记账规则!$A$13:$H$32,MATCH(资金流水!$E320,记账规则!$A$13:$A$32,0),3),""))</f>
        <v/>
      </c>
      <c r="M3834" s="66" t="str">
        <f aca="false">IF($L3834="","",IFERROR(INDEX(记账规则!$A$13:$H$32,MATCH(资金流水!$E320,记账规则!$A$13:$A$32,0),4),""))</f>
        <v/>
      </c>
      <c r="N3834" s="66" t="str">
        <f aca="false">IF($L3834="","",IFERROR(INDEX(记账规则!$A$13:$H$32,MATCH(资金流水!$E320,记账规则!$A$13:$A$32,0),5),""))</f>
        <v/>
      </c>
      <c r="O3834" s="67" t="n">
        <f aca="false">IF($H3834="",0,ROUND(IF($N3834="金额",N(资金流水!$P320),0),2))</f>
        <v>0</v>
      </c>
      <c r="P3834" s="64" t="str">
        <f aca="false">IF(AND($H3834&lt;&gt;"",ROUND($O3834,2)&lt;&gt;0),"有","")</f>
        <v/>
      </c>
    </row>
    <row r="3835" customFormat="false" ht="15" hidden="true" customHeight="false" outlineLevel="0" collapsed="false">
      <c r="A3835" s="53" t="str">
        <f aca="false">IF($H3835="","",ROW()-5)</f>
        <v/>
      </c>
      <c r="B3835" s="64" t="s">
        <v>37</v>
      </c>
      <c r="C3835" s="53" t="n">
        <v>320</v>
      </c>
      <c r="D3835" s="53" t="n">
        <v>2</v>
      </c>
      <c r="E3835" s="65" t="str">
        <f aca="false">IF($H3835="","",资金流水!$B320)</f>
        <v/>
      </c>
      <c r="F3835" s="55" t="str">
        <f aca="false">IF($H3835="","",资金流水!$C320)</f>
        <v/>
      </c>
      <c r="G3835" s="48" t="str">
        <f aca="false">IF($H3835="","",资金流水!$K320)</f>
        <v/>
      </c>
      <c r="H3835" s="10" t="str">
        <f aca="false">IF($L3835="","",IF($L3835="@对方",资金流水!$G320,IF($L3835="@账户",资金流水!$Q320,$L3835)))</f>
        <v/>
      </c>
      <c r="I3835" s="42" t="n">
        <f aca="false">IF($M3835="借",$O3835,0)</f>
        <v>0</v>
      </c>
      <c r="J3835" s="42" t="n">
        <f aca="false">IF($M3835="贷",$O3835,0)</f>
        <v>0</v>
      </c>
      <c r="K3835" s="48" t="str">
        <f aca="false">IF($H3835="","",资金流水!$F320)</f>
        <v/>
      </c>
      <c r="L3835" s="66" t="str">
        <f aca="false">IF(资金流水!$E320="","",IFERROR(INDEX(记账规则!$A$13:$H$32,MATCH(资金流水!$E320,记账规则!$A$13:$A$32,0),6),""))</f>
        <v/>
      </c>
      <c r="M3835" s="66" t="str">
        <f aca="false">IF($L3835="","",IFERROR(INDEX(记账规则!$A$13:$H$32,MATCH(资金流水!$E320,记账规则!$A$13:$A$32,0),7),""))</f>
        <v/>
      </c>
      <c r="N3835" s="66" t="str">
        <f aca="false">IF($L3835="","",IFERROR(INDEX(记账规则!$A$13:$H$32,MATCH(资金流水!$E320,记账规则!$A$13:$A$32,0),8),""))</f>
        <v/>
      </c>
      <c r="O3835" s="67" t="n">
        <f aca="false">IF($H3835="",0,ROUND(IF($N3835="金额",N(资金流水!$P320),0),2))</f>
        <v>0</v>
      </c>
      <c r="P3835" s="64" t="str">
        <f aca="false">IF(AND($H3835&lt;&gt;"",ROUND($O3835,2)&lt;&gt;0),"有","")</f>
        <v/>
      </c>
    </row>
    <row r="3836" customFormat="false" ht="15" hidden="true" customHeight="false" outlineLevel="0" collapsed="false">
      <c r="A3836" s="53" t="str">
        <f aca="false">IF($H3836="","",ROW()-5)</f>
        <v/>
      </c>
      <c r="B3836" s="64" t="s">
        <v>37</v>
      </c>
      <c r="C3836" s="53" t="n">
        <v>321</v>
      </c>
      <c r="D3836" s="53" t="n">
        <v>1</v>
      </c>
      <c r="E3836" s="65" t="str">
        <f aca="false">IF($H3836="","",资金流水!$B321)</f>
        <v/>
      </c>
      <c r="F3836" s="55" t="str">
        <f aca="false">IF($H3836="","",资金流水!$C321)</f>
        <v/>
      </c>
      <c r="G3836" s="48" t="str">
        <f aca="false">IF($H3836="","",资金流水!$K321)</f>
        <v/>
      </c>
      <c r="H3836" s="10" t="str">
        <f aca="false">IF($L3836="","",IF($L3836="@对方",资金流水!$G321,IF($L3836="@账户",资金流水!$Q321,$L3836)))</f>
        <v/>
      </c>
      <c r="I3836" s="42" t="n">
        <f aca="false">IF($M3836="借",$O3836,0)</f>
        <v>0</v>
      </c>
      <c r="J3836" s="42" t="n">
        <f aca="false">IF($M3836="贷",$O3836,0)</f>
        <v>0</v>
      </c>
      <c r="K3836" s="48" t="str">
        <f aca="false">IF($H3836="","",资金流水!$F321)</f>
        <v/>
      </c>
      <c r="L3836" s="66" t="str">
        <f aca="false">IF(资金流水!$E321="","",IFERROR(INDEX(记账规则!$A$13:$H$32,MATCH(资金流水!$E321,记账规则!$A$13:$A$32,0),3),""))</f>
        <v/>
      </c>
      <c r="M3836" s="66" t="str">
        <f aca="false">IF($L3836="","",IFERROR(INDEX(记账规则!$A$13:$H$32,MATCH(资金流水!$E321,记账规则!$A$13:$A$32,0),4),""))</f>
        <v/>
      </c>
      <c r="N3836" s="66" t="str">
        <f aca="false">IF($L3836="","",IFERROR(INDEX(记账规则!$A$13:$H$32,MATCH(资金流水!$E321,记账规则!$A$13:$A$32,0),5),""))</f>
        <v/>
      </c>
      <c r="O3836" s="67" t="n">
        <f aca="false">IF($H3836="",0,ROUND(IF($N3836="金额",N(资金流水!$P321),0),2))</f>
        <v>0</v>
      </c>
      <c r="P3836" s="64" t="str">
        <f aca="false">IF(AND($H3836&lt;&gt;"",ROUND($O3836,2)&lt;&gt;0),"有","")</f>
        <v/>
      </c>
    </row>
    <row r="3837" customFormat="false" ht="15" hidden="true" customHeight="false" outlineLevel="0" collapsed="false">
      <c r="A3837" s="53" t="str">
        <f aca="false">IF($H3837="","",ROW()-5)</f>
        <v/>
      </c>
      <c r="B3837" s="64" t="s">
        <v>37</v>
      </c>
      <c r="C3837" s="53" t="n">
        <v>321</v>
      </c>
      <c r="D3837" s="53" t="n">
        <v>2</v>
      </c>
      <c r="E3837" s="65" t="str">
        <f aca="false">IF($H3837="","",资金流水!$B321)</f>
        <v/>
      </c>
      <c r="F3837" s="55" t="str">
        <f aca="false">IF($H3837="","",资金流水!$C321)</f>
        <v/>
      </c>
      <c r="G3837" s="48" t="str">
        <f aca="false">IF($H3837="","",资金流水!$K321)</f>
        <v/>
      </c>
      <c r="H3837" s="10" t="str">
        <f aca="false">IF($L3837="","",IF($L3837="@对方",资金流水!$G321,IF($L3837="@账户",资金流水!$Q321,$L3837)))</f>
        <v/>
      </c>
      <c r="I3837" s="42" t="n">
        <f aca="false">IF($M3837="借",$O3837,0)</f>
        <v>0</v>
      </c>
      <c r="J3837" s="42" t="n">
        <f aca="false">IF($M3837="贷",$O3837,0)</f>
        <v>0</v>
      </c>
      <c r="K3837" s="48" t="str">
        <f aca="false">IF($H3837="","",资金流水!$F321)</f>
        <v/>
      </c>
      <c r="L3837" s="66" t="str">
        <f aca="false">IF(资金流水!$E321="","",IFERROR(INDEX(记账规则!$A$13:$H$32,MATCH(资金流水!$E321,记账规则!$A$13:$A$32,0),6),""))</f>
        <v/>
      </c>
      <c r="M3837" s="66" t="str">
        <f aca="false">IF($L3837="","",IFERROR(INDEX(记账规则!$A$13:$H$32,MATCH(资金流水!$E321,记账规则!$A$13:$A$32,0),7),""))</f>
        <v/>
      </c>
      <c r="N3837" s="66" t="str">
        <f aca="false">IF($L3837="","",IFERROR(INDEX(记账规则!$A$13:$H$32,MATCH(资金流水!$E321,记账规则!$A$13:$A$32,0),8),""))</f>
        <v/>
      </c>
      <c r="O3837" s="67" t="n">
        <f aca="false">IF($H3837="",0,ROUND(IF($N3837="金额",N(资金流水!$P321),0),2))</f>
        <v>0</v>
      </c>
      <c r="P3837" s="64" t="str">
        <f aca="false">IF(AND($H3837&lt;&gt;"",ROUND($O3837,2)&lt;&gt;0),"有","")</f>
        <v/>
      </c>
    </row>
    <row r="3838" customFormat="false" ht="15" hidden="true" customHeight="false" outlineLevel="0" collapsed="false">
      <c r="A3838" s="53" t="str">
        <f aca="false">IF($H3838="","",ROW()-5)</f>
        <v/>
      </c>
      <c r="B3838" s="64" t="s">
        <v>37</v>
      </c>
      <c r="C3838" s="53" t="n">
        <v>322</v>
      </c>
      <c r="D3838" s="53" t="n">
        <v>1</v>
      </c>
      <c r="E3838" s="65" t="str">
        <f aca="false">IF($H3838="","",资金流水!$B322)</f>
        <v/>
      </c>
      <c r="F3838" s="55" t="str">
        <f aca="false">IF($H3838="","",资金流水!$C322)</f>
        <v/>
      </c>
      <c r="G3838" s="48" t="str">
        <f aca="false">IF($H3838="","",资金流水!$K322)</f>
        <v/>
      </c>
      <c r="H3838" s="10" t="str">
        <f aca="false">IF($L3838="","",IF($L3838="@对方",资金流水!$G322,IF($L3838="@账户",资金流水!$Q322,$L3838)))</f>
        <v/>
      </c>
      <c r="I3838" s="42" t="n">
        <f aca="false">IF($M3838="借",$O3838,0)</f>
        <v>0</v>
      </c>
      <c r="J3838" s="42" t="n">
        <f aca="false">IF($M3838="贷",$O3838,0)</f>
        <v>0</v>
      </c>
      <c r="K3838" s="48" t="str">
        <f aca="false">IF($H3838="","",资金流水!$F322)</f>
        <v/>
      </c>
      <c r="L3838" s="66" t="str">
        <f aca="false">IF(资金流水!$E322="","",IFERROR(INDEX(记账规则!$A$13:$H$32,MATCH(资金流水!$E322,记账规则!$A$13:$A$32,0),3),""))</f>
        <v/>
      </c>
      <c r="M3838" s="66" t="str">
        <f aca="false">IF($L3838="","",IFERROR(INDEX(记账规则!$A$13:$H$32,MATCH(资金流水!$E322,记账规则!$A$13:$A$32,0),4),""))</f>
        <v/>
      </c>
      <c r="N3838" s="66" t="str">
        <f aca="false">IF($L3838="","",IFERROR(INDEX(记账规则!$A$13:$H$32,MATCH(资金流水!$E322,记账规则!$A$13:$A$32,0),5),""))</f>
        <v/>
      </c>
      <c r="O3838" s="67" t="n">
        <f aca="false">IF($H3838="",0,ROUND(IF($N3838="金额",N(资金流水!$P322),0),2))</f>
        <v>0</v>
      </c>
      <c r="P3838" s="64" t="str">
        <f aca="false">IF(AND($H3838&lt;&gt;"",ROUND($O3838,2)&lt;&gt;0),"有","")</f>
        <v/>
      </c>
    </row>
    <row r="3839" customFormat="false" ht="15" hidden="true" customHeight="false" outlineLevel="0" collapsed="false">
      <c r="A3839" s="53" t="str">
        <f aca="false">IF($H3839="","",ROW()-5)</f>
        <v/>
      </c>
      <c r="B3839" s="64" t="s">
        <v>37</v>
      </c>
      <c r="C3839" s="53" t="n">
        <v>322</v>
      </c>
      <c r="D3839" s="53" t="n">
        <v>2</v>
      </c>
      <c r="E3839" s="65" t="str">
        <f aca="false">IF($H3839="","",资金流水!$B322)</f>
        <v/>
      </c>
      <c r="F3839" s="55" t="str">
        <f aca="false">IF($H3839="","",资金流水!$C322)</f>
        <v/>
      </c>
      <c r="G3839" s="48" t="str">
        <f aca="false">IF($H3839="","",资金流水!$K322)</f>
        <v/>
      </c>
      <c r="H3839" s="10" t="str">
        <f aca="false">IF($L3839="","",IF($L3839="@对方",资金流水!$G322,IF($L3839="@账户",资金流水!$Q322,$L3839)))</f>
        <v/>
      </c>
      <c r="I3839" s="42" t="n">
        <f aca="false">IF($M3839="借",$O3839,0)</f>
        <v>0</v>
      </c>
      <c r="J3839" s="42" t="n">
        <f aca="false">IF($M3839="贷",$O3839,0)</f>
        <v>0</v>
      </c>
      <c r="K3839" s="48" t="str">
        <f aca="false">IF($H3839="","",资金流水!$F322)</f>
        <v/>
      </c>
      <c r="L3839" s="66" t="str">
        <f aca="false">IF(资金流水!$E322="","",IFERROR(INDEX(记账规则!$A$13:$H$32,MATCH(资金流水!$E322,记账规则!$A$13:$A$32,0),6),""))</f>
        <v/>
      </c>
      <c r="M3839" s="66" t="str">
        <f aca="false">IF($L3839="","",IFERROR(INDEX(记账规则!$A$13:$H$32,MATCH(资金流水!$E322,记账规则!$A$13:$A$32,0),7),""))</f>
        <v/>
      </c>
      <c r="N3839" s="66" t="str">
        <f aca="false">IF($L3839="","",IFERROR(INDEX(记账规则!$A$13:$H$32,MATCH(资金流水!$E322,记账规则!$A$13:$A$32,0),8),""))</f>
        <v/>
      </c>
      <c r="O3839" s="67" t="n">
        <f aca="false">IF($H3839="",0,ROUND(IF($N3839="金额",N(资金流水!$P322),0),2))</f>
        <v>0</v>
      </c>
      <c r="P3839" s="64" t="str">
        <f aca="false">IF(AND($H3839&lt;&gt;"",ROUND($O3839,2)&lt;&gt;0),"有","")</f>
        <v/>
      </c>
    </row>
    <row r="3840" customFormat="false" ht="15" hidden="true" customHeight="false" outlineLevel="0" collapsed="false">
      <c r="A3840" s="53" t="str">
        <f aca="false">IF($H3840="","",ROW()-5)</f>
        <v/>
      </c>
      <c r="B3840" s="64" t="s">
        <v>37</v>
      </c>
      <c r="C3840" s="53" t="n">
        <v>323</v>
      </c>
      <c r="D3840" s="53" t="n">
        <v>1</v>
      </c>
      <c r="E3840" s="65" t="str">
        <f aca="false">IF($H3840="","",资金流水!$B323)</f>
        <v/>
      </c>
      <c r="F3840" s="55" t="str">
        <f aca="false">IF($H3840="","",资金流水!$C323)</f>
        <v/>
      </c>
      <c r="G3840" s="48" t="str">
        <f aca="false">IF($H3840="","",资金流水!$K323)</f>
        <v/>
      </c>
      <c r="H3840" s="10" t="str">
        <f aca="false">IF($L3840="","",IF($L3840="@对方",资金流水!$G323,IF($L3840="@账户",资金流水!$Q323,$L3840)))</f>
        <v/>
      </c>
      <c r="I3840" s="42" t="n">
        <f aca="false">IF($M3840="借",$O3840,0)</f>
        <v>0</v>
      </c>
      <c r="J3840" s="42" t="n">
        <f aca="false">IF($M3840="贷",$O3840,0)</f>
        <v>0</v>
      </c>
      <c r="K3840" s="48" t="str">
        <f aca="false">IF($H3840="","",资金流水!$F323)</f>
        <v/>
      </c>
      <c r="L3840" s="66" t="str">
        <f aca="false">IF(资金流水!$E323="","",IFERROR(INDEX(记账规则!$A$13:$H$32,MATCH(资金流水!$E323,记账规则!$A$13:$A$32,0),3),""))</f>
        <v/>
      </c>
      <c r="M3840" s="66" t="str">
        <f aca="false">IF($L3840="","",IFERROR(INDEX(记账规则!$A$13:$H$32,MATCH(资金流水!$E323,记账规则!$A$13:$A$32,0),4),""))</f>
        <v/>
      </c>
      <c r="N3840" s="66" t="str">
        <f aca="false">IF($L3840="","",IFERROR(INDEX(记账规则!$A$13:$H$32,MATCH(资金流水!$E323,记账规则!$A$13:$A$32,0),5),""))</f>
        <v/>
      </c>
      <c r="O3840" s="67" t="n">
        <f aca="false">IF($H3840="",0,ROUND(IF($N3840="金额",N(资金流水!$P323),0),2))</f>
        <v>0</v>
      </c>
      <c r="P3840" s="64" t="str">
        <f aca="false">IF(AND($H3840&lt;&gt;"",ROUND($O3840,2)&lt;&gt;0),"有","")</f>
        <v/>
      </c>
    </row>
    <row r="3841" customFormat="false" ht="15" hidden="true" customHeight="false" outlineLevel="0" collapsed="false">
      <c r="A3841" s="53" t="str">
        <f aca="false">IF($H3841="","",ROW()-5)</f>
        <v/>
      </c>
      <c r="B3841" s="64" t="s">
        <v>37</v>
      </c>
      <c r="C3841" s="53" t="n">
        <v>323</v>
      </c>
      <c r="D3841" s="53" t="n">
        <v>2</v>
      </c>
      <c r="E3841" s="65" t="str">
        <f aca="false">IF($H3841="","",资金流水!$B323)</f>
        <v/>
      </c>
      <c r="F3841" s="55" t="str">
        <f aca="false">IF($H3841="","",资金流水!$C323)</f>
        <v/>
      </c>
      <c r="G3841" s="48" t="str">
        <f aca="false">IF($H3841="","",资金流水!$K323)</f>
        <v/>
      </c>
      <c r="H3841" s="10" t="str">
        <f aca="false">IF($L3841="","",IF($L3841="@对方",资金流水!$G323,IF($L3841="@账户",资金流水!$Q323,$L3841)))</f>
        <v/>
      </c>
      <c r="I3841" s="42" t="n">
        <f aca="false">IF($M3841="借",$O3841,0)</f>
        <v>0</v>
      </c>
      <c r="J3841" s="42" t="n">
        <f aca="false">IF($M3841="贷",$O3841,0)</f>
        <v>0</v>
      </c>
      <c r="K3841" s="48" t="str">
        <f aca="false">IF($H3841="","",资金流水!$F323)</f>
        <v/>
      </c>
      <c r="L3841" s="66" t="str">
        <f aca="false">IF(资金流水!$E323="","",IFERROR(INDEX(记账规则!$A$13:$H$32,MATCH(资金流水!$E323,记账规则!$A$13:$A$32,0),6),""))</f>
        <v/>
      </c>
      <c r="M3841" s="66" t="str">
        <f aca="false">IF($L3841="","",IFERROR(INDEX(记账规则!$A$13:$H$32,MATCH(资金流水!$E323,记账规则!$A$13:$A$32,0),7),""))</f>
        <v/>
      </c>
      <c r="N3841" s="66" t="str">
        <f aca="false">IF($L3841="","",IFERROR(INDEX(记账规则!$A$13:$H$32,MATCH(资金流水!$E323,记账规则!$A$13:$A$32,0),8),""))</f>
        <v/>
      </c>
      <c r="O3841" s="67" t="n">
        <f aca="false">IF($H3841="",0,ROUND(IF($N3841="金额",N(资金流水!$P323),0),2))</f>
        <v>0</v>
      </c>
      <c r="P3841" s="64" t="str">
        <f aca="false">IF(AND($H3841&lt;&gt;"",ROUND($O3841,2)&lt;&gt;0),"有","")</f>
        <v/>
      </c>
    </row>
    <row r="3842" customFormat="false" ht="15" hidden="true" customHeight="false" outlineLevel="0" collapsed="false">
      <c r="A3842" s="53" t="str">
        <f aca="false">IF($H3842="","",ROW()-5)</f>
        <v/>
      </c>
      <c r="B3842" s="64" t="s">
        <v>37</v>
      </c>
      <c r="C3842" s="53" t="n">
        <v>324</v>
      </c>
      <c r="D3842" s="53" t="n">
        <v>1</v>
      </c>
      <c r="E3842" s="65" t="str">
        <f aca="false">IF($H3842="","",资金流水!$B324)</f>
        <v/>
      </c>
      <c r="F3842" s="55" t="str">
        <f aca="false">IF($H3842="","",资金流水!$C324)</f>
        <v/>
      </c>
      <c r="G3842" s="48" t="str">
        <f aca="false">IF($H3842="","",资金流水!$K324)</f>
        <v/>
      </c>
      <c r="H3842" s="10" t="str">
        <f aca="false">IF($L3842="","",IF($L3842="@对方",资金流水!$G324,IF($L3842="@账户",资金流水!$Q324,$L3842)))</f>
        <v/>
      </c>
      <c r="I3842" s="42" t="n">
        <f aca="false">IF($M3842="借",$O3842,0)</f>
        <v>0</v>
      </c>
      <c r="J3842" s="42" t="n">
        <f aca="false">IF($M3842="贷",$O3842,0)</f>
        <v>0</v>
      </c>
      <c r="K3842" s="48" t="str">
        <f aca="false">IF($H3842="","",资金流水!$F324)</f>
        <v/>
      </c>
      <c r="L3842" s="66" t="str">
        <f aca="false">IF(资金流水!$E324="","",IFERROR(INDEX(记账规则!$A$13:$H$32,MATCH(资金流水!$E324,记账规则!$A$13:$A$32,0),3),""))</f>
        <v/>
      </c>
      <c r="M3842" s="66" t="str">
        <f aca="false">IF($L3842="","",IFERROR(INDEX(记账规则!$A$13:$H$32,MATCH(资金流水!$E324,记账规则!$A$13:$A$32,0),4),""))</f>
        <v/>
      </c>
      <c r="N3842" s="66" t="str">
        <f aca="false">IF($L3842="","",IFERROR(INDEX(记账规则!$A$13:$H$32,MATCH(资金流水!$E324,记账规则!$A$13:$A$32,0),5),""))</f>
        <v/>
      </c>
      <c r="O3842" s="67" t="n">
        <f aca="false">IF($H3842="",0,ROUND(IF($N3842="金额",N(资金流水!$P324),0),2))</f>
        <v>0</v>
      </c>
      <c r="P3842" s="64" t="str">
        <f aca="false">IF(AND($H3842&lt;&gt;"",ROUND($O3842,2)&lt;&gt;0),"有","")</f>
        <v/>
      </c>
    </row>
    <row r="3843" customFormat="false" ht="15" hidden="true" customHeight="false" outlineLevel="0" collapsed="false">
      <c r="A3843" s="53" t="str">
        <f aca="false">IF($H3843="","",ROW()-5)</f>
        <v/>
      </c>
      <c r="B3843" s="64" t="s">
        <v>37</v>
      </c>
      <c r="C3843" s="53" t="n">
        <v>324</v>
      </c>
      <c r="D3843" s="53" t="n">
        <v>2</v>
      </c>
      <c r="E3843" s="65" t="str">
        <f aca="false">IF($H3843="","",资金流水!$B324)</f>
        <v/>
      </c>
      <c r="F3843" s="55" t="str">
        <f aca="false">IF($H3843="","",资金流水!$C324)</f>
        <v/>
      </c>
      <c r="G3843" s="48" t="str">
        <f aca="false">IF($H3843="","",资金流水!$K324)</f>
        <v/>
      </c>
      <c r="H3843" s="10" t="str">
        <f aca="false">IF($L3843="","",IF($L3843="@对方",资金流水!$G324,IF($L3843="@账户",资金流水!$Q324,$L3843)))</f>
        <v/>
      </c>
      <c r="I3843" s="42" t="n">
        <f aca="false">IF($M3843="借",$O3843,0)</f>
        <v>0</v>
      </c>
      <c r="J3843" s="42" t="n">
        <f aca="false">IF($M3843="贷",$O3843,0)</f>
        <v>0</v>
      </c>
      <c r="K3843" s="48" t="str">
        <f aca="false">IF($H3843="","",资金流水!$F324)</f>
        <v/>
      </c>
      <c r="L3843" s="66" t="str">
        <f aca="false">IF(资金流水!$E324="","",IFERROR(INDEX(记账规则!$A$13:$H$32,MATCH(资金流水!$E324,记账规则!$A$13:$A$32,0),6),""))</f>
        <v/>
      </c>
      <c r="M3843" s="66" t="str">
        <f aca="false">IF($L3843="","",IFERROR(INDEX(记账规则!$A$13:$H$32,MATCH(资金流水!$E324,记账规则!$A$13:$A$32,0),7),""))</f>
        <v/>
      </c>
      <c r="N3843" s="66" t="str">
        <f aca="false">IF($L3843="","",IFERROR(INDEX(记账规则!$A$13:$H$32,MATCH(资金流水!$E324,记账规则!$A$13:$A$32,0),8),""))</f>
        <v/>
      </c>
      <c r="O3843" s="67" t="n">
        <f aca="false">IF($H3843="",0,ROUND(IF($N3843="金额",N(资金流水!$P324),0),2))</f>
        <v>0</v>
      </c>
      <c r="P3843" s="64" t="str">
        <f aca="false">IF(AND($H3843&lt;&gt;"",ROUND($O3843,2)&lt;&gt;0),"有","")</f>
        <v/>
      </c>
    </row>
    <row r="3844" customFormat="false" ht="15" hidden="true" customHeight="false" outlineLevel="0" collapsed="false">
      <c r="A3844" s="53" t="str">
        <f aca="false">IF($H3844="","",ROW()-5)</f>
        <v/>
      </c>
      <c r="B3844" s="64" t="s">
        <v>37</v>
      </c>
      <c r="C3844" s="53" t="n">
        <v>325</v>
      </c>
      <c r="D3844" s="53" t="n">
        <v>1</v>
      </c>
      <c r="E3844" s="65" t="str">
        <f aca="false">IF($H3844="","",资金流水!$B325)</f>
        <v/>
      </c>
      <c r="F3844" s="55" t="str">
        <f aca="false">IF($H3844="","",资金流水!$C325)</f>
        <v/>
      </c>
      <c r="G3844" s="48" t="str">
        <f aca="false">IF($H3844="","",资金流水!$K325)</f>
        <v/>
      </c>
      <c r="H3844" s="10" t="str">
        <f aca="false">IF($L3844="","",IF($L3844="@对方",资金流水!$G325,IF($L3844="@账户",资金流水!$Q325,$L3844)))</f>
        <v/>
      </c>
      <c r="I3844" s="42" t="n">
        <f aca="false">IF($M3844="借",$O3844,0)</f>
        <v>0</v>
      </c>
      <c r="J3844" s="42" t="n">
        <f aca="false">IF($M3844="贷",$O3844,0)</f>
        <v>0</v>
      </c>
      <c r="K3844" s="48" t="str">
        <f aca="false">IF($H3844="","",资金流水!$F325)</f>
        <v/>
      </c>
      <c r="L3844" s="66" t="str">
        <f aca="false">IF(资金流水!$E325="","",IFERROR(INDEX(记账规则!$A$13:$H$32,MATCH(资金流水!$E325,记账规则!$A$13:$A$32,0),3),""))</f>
        <v/>
      </c>
      <c r="M3844" s="66" t="str">
        <f aca="false">IF($L3844="","",IFERROR(INDEX(记账规则!$A$13:$H$32,MATCH(资金流水!$E325,记账规则!$A$13:$A$32,0),4),""))</f>
        <v/>
      </c>
      <c r="N3844" s="66" t="str">
        <f aca="false">IF($L3844="","",IFERROR(INDEX(记账规则!$A$13:$H$32,MATCH(资金流水!$E325,记账规则!$A$13:$A$32,0),5),""))</f>
        <v/>
      </c>
      <c r="O3844" s="67" t="n">
        <f aca="false">IF($H3844="",0,ROUND(IF($N3844="金额",N(资金流水!$P325),0),2))</f>
        <v>0</v>
      </c>
      <c r="P3844" s="64" t="str">
        <f aca="false">IF(AND($H3844&lt;&gt;"",ROUND($O3844,2)&lt;&gt;0),"有","")</f>
        <v/>
      </c>
    </row>
    <row r="3845" customFormat="false" ht="15" hidden="true" customHeight="false" outlineLevel="0" collapsed="false">
      <c r="A3845" s="53" t="str">
        <f aca="false">IF($H3845="","",ROW()-5)</f>
        <v/>
      </c>
      <c r="B3845" s="64" t="s">
        <v>37</v>
      </c>
      <c r="C3845" s="53" t="n">
        <v>325</v>
      </c>
      <c r="D3845" s="53" t="n">
        <v>2</v>
      </c>
      <c r="E3845" s="65" t="str">
        <f aca="false">IF($H3845="","",资金流水!$B325)</f>
        <v/>
      </c>
      <c r="F3845" s="55" t="str">
        <f aca="false">IF($H3845="","",资金流水!$C325)</f>
        <v/>
      </c>
      <c r="G3845" s="48" t="str">
        <f aca="false">IF($H3845="","",资金流水!$K325)</f>
        <v/>
      </c>
      <c r="H3845" s="10" t="str">
        <f aca="false">IF($L3845="","",IF($L3845="@对方",资金流水!$G325,IF($L3845="@账户",资金流水!$Q325,$L3845)))</f>
        <v/>
      </c>
      <c r="I3845" s="42" t="n">
        <f aca="false">IF($M3845="借",$O3845,0)</f>
        <v>0</v>
      </c>
      <c r="J3845" s="42" t="n">
        <f aca="false">IF($M3845="贷",$O3845,0)</f>
        <v>0</v>
      </c>
      <c r="K3845" s="48" t="str">
        <f aca="false">IF($H3845="","",资金流水!$F325)</f>
        <v/>
      </c>
      <c r="L3845" s="66" t="str">
        <f aca="false">IF(资金流水!$E325="","",IFERROR(INDEX(记账规则!$A$13:$H$32,MATCH(资金流水!$E325,记账规则!$A$13:$A$32,0),6),""))</f>
        <v/>
      </c>
      <c r="M3845" s="66" t="str">
        <f aca="false">IF($L3845="","",IFERROR(INDEX(记账规则!$A$13:$H$32,MATCH(资金流水!$E325,记账规则!$A$13:$A$32,0),7),""))</f>
        <v/>
      </c>
      <c r="N3845" s="66" t="str">
        <f aca="false">IF($L3845="","",IFERROR(INDEX(记账规则!$A$13:$H$32,MATCH(资金流水!$E325,记账规则!$A$13:$A$32,0),8),""))</f>
        <v/>
      </c>
      <c r="O3845" s="67" t="n">
        <f aca="false">IF($H3845="",0,ROUND(IF($N3845="金额",N(资金流水!$P325),0),2))</f>
        <v>0</v>
      </c>
      <c r="P3845" s="64" t="str">
        <f aca="false">IF(AND($H3845&lt;&gt;"",ROUND($O3845,2)&lt;&gt;0),"有","")</f>
        <v/>
      </c>
    </row>
    <row r="3846" customFormat="false" ht="15" hidden="true" customHeight="false" outlineLevel="0" collapsed="false">
      <c r="A3846" s="53" t="str">
        <f aca="false">IF($H3846="","",ROW()-5)</f>
        <v/>
      </c>
      <c r="B3846" s="64" t="s">
        <v>37</v>
      </c>
      <c r="C3846" s="53" t="n">
        <v>326</v>
      </c>
      <c r="D3846" s="53" t="n">
        <v>1</v>
      </c>
      <c r="E3846" s="65" t="str">
        <f aca="false">IF($H3846="","",资金流水!$B326)</f>
        <v/>
      </c>
      <c r="F3846" s="55" t="str">
        <f aca="false">IF($H3846="","",资金流水!$C326)</f>
        <v/>
      </c>
      <c r="G3846" s="48" t="str">
        <f aca="false">IF($H3846="","",资金流水!$K326)</f>
        <v/>
      </c>
      <c r="H3846" s="10" t="str">
        <f aca="false">IF($L3846="","",IF($L3846="@对方",资金流水!$G326,IF($L3846="@账户",资金流水!$Q326,$L3846)))</f>
        <v/>
      </c>
      <c r="I3846" s="42" t="n">
        <f aca="false">IF($M3846="借",$O3846,0)</f>
        <v>0</v>
      </c>
      <c r="J3846" s="42" t="n">
        <f aca="false">IF($M3846="贷",$O3846,0)</f>
        <v>0</v>
      </c>
      <c r="K3846" s="48" t="str">
        <f aca="false">IF($H3846="","",资金流水!$F326)</f>
        <v/>
      </c>
      <c r="L3846" s="66" t="str">
        <f aca="false">IF(资金流水!$E326="","",IFERROR(INDEX(记账规则!$A$13:$H$32,MATCH(资金流水!$E326,记账规则!$A$13:$A$32,0),3),""))</f>
        <v/>
      </c>
      <c r="M3846" s="66" t="str">
        <f aca="false">IF($L3846="","",IFERROR(INDEX(记账规则!$A$13:$H$32,MATCH(资金流水!$E326,记账规则!$A$13:$A$32,0),4),""))</f>
        <v/>
      </c>
      <c r="N3846" s="66" t="str">
        <f aca="false">IF($L3846="","",IFERROR(INDEX(记账规则!$A$13:$H$32,MATCH(资金流水!$E326,记账规则!$A$13:$A$32,0),5),""))</f>
        <v/>
      </c>
      <c r="O3846" s="67" t="n">
        <f aca="false">IF($H3846="",0,ROUND(IF($N3846="金额",N(资金流水!$P326),0),2))</f>
        <v>0</v>
      </c>
      <c r="P3846" s="64" t="str">
        <f aca="false">IF(AND($H3846&lt;&gt;"",ROUND($O3846,2)&lt;&gt;0),"有","")</f>
        <v/>
      </c>
    </row>
    <row r="3847" customFormat="false" ht="15" hidden="true" customHeight="false" outlineLevel="0" collapsed="false">
      <c r="A3847" s="53" t="str">
        <f aca="false">IF($H3847="","",ROW()-5)</f>
        <v/>
      </c>
      <c r="B3847" s="64" t="s">
        <v>37</v>
      </c>
      <c r="C3847" s="53" t="n">
        <v>326</v>
      </c>
      <c r="D3847" s="53" t="n">
        <v>2</v>
      </c>
      <c r="E3847" s="65" t="str">
        <f aca="false">IF($H3847="","",资金流水!$B326)</f>
        <v/>
      </c>
      <c r="F3847" s="55" t="str">
        <f aca="false">IF($H3847="","",资金流水!$C326)</f>
        <v/>
      </c>
      <c r="G3847" s="48" t="str">
        <f aca="false">IF($H3847="","",资金流水!$K326)</f>
        <v/>
      </c>
      <c r="H3847" s="10" t="str">
        <f aca="false">IF($L3847="","",IF($L3847="@对方",资金流水!$G326,IF($L3847="@账户",资金流水!$Q326,$L3847)))</f>
        <v/>
      </c>
      <c r="I3847" s="42" t="n">
        <f aca="false">IF($M3847="借",$O3847,0)</f>
        <v>0</v>
      </c>
      <c r="J3847" s="42" t="n">
        <f aca="false">IF($M3847="贷",$O3847,0)</f>
        <v>0</v>
      </c>
      <c r="K3847" s="48" t="str">
        <f aca="false">IF($H3847="","",资金流水!$F326)</f>
        <v/>
      </c>
      <c r="L3847" s="66" t="str">
        <f aca="false">IF(资金流水!$E326="","",IFERROR(INDEX(记账规则!$A$13:$H$32,MATCH(资金流水!$E326,记账规则!$A$13:$A$32,0),6),""))</f>
        <v/>
      </c>
      <c r="M3847" s="66" t="str">
        <f aca="false">IF($L3847="","",IFERROR(INDEX(记账规则!$A$13:$H$32,MATCH(资金流水!$E326,记账规则!$A$13:$A$32,0),7),""))</f>
        <v/>
      </c>
      <c r="N3847" s="66" t="str">
        <f aca="false">IF($L3847="","",IFERROR(INDEX(记账规则!$A$13:$H$32,MATCH(资金流水!$E326,记账规则!$A$13:$A$32,0),8),""))</f>
        <v/>
      </c>
      <c r="O3847" s="67" t="n">
        <f aca="false">IF($H3847="",0,ROUND(IF($N3847="金额",N(资金流水!$P326),0),2))</f>
        <v>0</v>
      </c>
      <c r="P3847" s="64" t="str">
        <f aca="false">IF(AND($H3847&lt;&gt;"",ROUND($O3847,2)&lt;&gt;0),"有","")</f>
        <v/>
      </c>
    </row>
    <row r="3848" customFormat="false" ht="15" hidden="true" customHeight="false" outlineLevel="0" collapsed="false">
      <c r="A3848" s="53" t="str">
        <f aca="false">IF($H3848="","",ROW()-5)</f>
        <v/>
      </c>
      <c r="B3848" s="64" t="s">
        <v>37</v>
      </c>
      <c r="C3848" s="53" t="n">
        <v>327</v>
      </c>
      <c r="D3848" s="53" t="n">
        <v>1</v>
      </c>
      <c r="E3848" s="65" t="str">
        <f aca="false">IF($H3848="","",资金流水!$B327)</f>
        <v/>
      </c>
      <c r="F3848" s="55" t="str">
        <f aca="false">IF($H3848="","",资金流水!$C327)</f>
        <v/>
      </c>
      <c r="G3848" s="48" t="str">
        <f aca="false">IF($H3848="","",资金流水!$K327)</f>
        <v/>
      </c>
      <c r="H3848" s="10" t="str">
        <f aca="false">IF($L3848="","",IF($L3848="@对方",资金流水!$G327,IF($L3848="@账户",资金流水!$Q327,$L3848)))</f>
        <v/>
      </c>
      <c r="I3848" s="42" t="n">
        <f aca="false">IF($M3848="借",$O3848,0)</f>
        <v>0</v>
      </c>
      <c r="J3848" s="42" t="n">
        <f aca="false">IF($M3848="贷",$O3848,0)</f>
        <v>0</v>
      </c>
      <c r="K3848" s="48" t="str">
        <f aca="false">IF($H3848="","",资金流水!$F327)</f>
        <v/>
      </c>
      <c r="L3848" s="66" t="str">
        <f aca="false">IF(资金流水!$E327="","",IFERROR(INDEX(记账规则!$A$13:$H$32,MATCH(资金流水!$E327,记账规则!$A$13:$A$32,0),3),""))</f>
        <v/>
      </c>
      <c r="M3848" s="66" t="str">
        <f aca="false">IF($L3848="","",IFERROR(INDEX(记账规则!$A$13:$H$32,MATCH(资金流水!$E327,记账规则!$A$13:$A$32,0),4),""))</f>
        <v/>
      </c>
      <c r="N3848" s="66" t="str">
        <f aca="false">IF($L3848="","",IFERROR(INDEX(记账规则!$A$13:$H$32,MATCH(资金流水!$E327,记账规则!$A$13:$A$32,0),5),""))</f>
        <v/>
      </c>
      <c r="O3848" s="67" t="n">
        <f aca="false">IF($H3848="",0,ROUND(IF($N3848="金额",N(资金流水!$P327),0),2))</f>
        <v>0</v>
      </c>
      <c r="P3848" s="64" t="str">
        <f aca="false">IF(AND($H3848&lt;&gt;"",ROUND($O3848,2)&lt;&gt;0),"有","")</f>
        <v/>
      </c>
    </row>
    <row r="3849" customFormat="false" ht="15" hidden="true" customHeight="false" outlineLevel="0" collapsed="false">
      <c r="A3849" s="53" t="str">
        <f aca="false">IF($H3849="","",ROW()-5)</f>
        <v/>
      </c>
      <c r="B3849" s="64" t="s">
        <v>37</v>
      </c>
      <c r="C3849" s="53" t="n">
        <v>327</v>
      </c>
      <c r="D3849" s="53" t="n">
        <v>2</v>
      </c>
      <c r="E3849" s="65" t="str">
        <f aca="false">IF($H3849="","",资金流水!$B327)</f>
        <v/>
      </c>
      <c r="F3849" s="55" t="str">
        <f aca="false">IF($H3849="","",资金流水!$C327)</f>
        <v/>
      </c>
      <c r="G3849" s="48" t="str">
        <f aca="false">IF($H3849="","",资金流水!$K327)</f>
        <v/>
      </c>
      <c r="H3849" s="10" t="str">
        <f aca="false">IF($L3849="","",IF($L3849="@对方",资金流水!$G327,IF($L3849="@账户",资金流水!$Q327,$L3849)))</f>
        <v/>
      </c>
      <c r="I3849" s="42" t="n">
        <f aca="false">IF($M3849="借",$O3849,0)</f>
        <v>0</v>
      </c>
      <c r="J3849" s="42" t="n">
        <f aca="false">IF($M3849="贷",$O3849,0)</f>
        <v>0</v>
      </c>
      <c r="K3849" s="48" t="str">
        <f aca="false">IF($H3849="","",资金流水!$F327)</f>
        <v/>
      </c>
      <c r="L3849" s="66" t="str">
        <f aca="false">IF(资金流水!$E327="","",IFERROR(INDEX(记账规则!$A$13:$H$32,MATCH(资金流水!$E327,记账规则!$A$13:$A$32,0),6),""))</f>
        <v/>
      </c>
      <c r="M3849" s="66" t="str">
        <f aca="false">IF($L3849="","",IFERROR(INDEX(记账规则!$A$13:$H$32,MATCH(资金流水!$E327,记账规则!$A$13:$A$32,0),7),""))</f>
        <v/>
      </c>
      <c r="N3849" s="66" t="str">
        <f aca="false">IF($L3849="","",IFERROR(INDEX(记账规则!$A$13:$H$32,MATCH(资金流水!$E327,记账规则!$A$13:$A$32,0),8),""))</f>
        <v/>
      </c>
      <c r="O3849" s="67" t="n">
        <f aca="false">IF($H3849="",0,ROUND(IF($N3849="金额",N(资金流水!$P327),0),2))</f>
        <v>0</v>
      </c>
      <c r="P3849" s="64" t="str">
        <f aca="false">IF(AND($H3849&lt;&gt;"",ROUND($O3849,2)&lt;&gt;0),"有","")</f>
        <v/>
      </c>
    </row>
    <row r="3850" customFormat="false" ht="15" hidden="true" customHeight="false" outlineLevel="0" collapsed="false">
      <c r="A3850" s="53" t="str">
        <f aca="false">IF($H3850="","",ROW()-5)</f>
        <v/>
      </c>
      <c r="B3850" s="64" t="s">
        <v>37</v>
      </c>
      <c r="C3850" s="53" t="n">
        <v>328</v>
      </c>
      <c r="D3850" s="53" t="n">
        <v>1</v>
      </c>
      <c r="E3850" s="65" t="str">
        <f aca="false">IF($H3850="","",资金流水!$B328)</f>
        <v/>
      </c>
      <c r="F3850" s="55" t="str">
        <f aca="false">IF($H3850="","",资金流水!$C328)</f>
        <v/>
      </c>
      <c r="G3850" s="48" t="str">
        <f aca="false">IF($H3850="","",资金流水!$K328)</f>
        <v/>
      </c>
      <c r="H3850" s="10" t="str">
        <f aca="false">IF($L3850="","",IF($L3850="@对方",资金流水!$G328,IF($L3850="@账户",资金流水!$Q328,$L3850)))</f>
        <v/>
      </c>
      <c r="I3850" s="42" t="n">
        <f aca="false">IF($M3850="借",$O3850,0)</f>
        <v>0</v>
      </c>
      <c r="J3850" s="42" t="n">
        <f aca="false">IF($M3850="贷",$O3850,0)</f>
        <v>0</v>
      </c>
      <c r="K3850" s="48" t="str">
        <f aca="false">IF($H3850="","",资金流水!$F328)</f>
        <v/>
      </c>
      <c r="L3850" s="66" t="str">
        <f aca="false">IF(资金流水!$E328="","",IFERROR(INDEX(记账规则!$A$13:$H$32,MATCH(资金流水!$E328,记账规则!$A$13:$A$32,0),3),""))</f>
        <v/>
      </c>
      <c r="M3850" s="66" t="str">
        <f aca="false">IF($L3850="","",IFERROR(INDEX(记账规则!$A$13:$H$32,MATCH(资金流水!$E328,记账规则!$A$13:$A$32,0),4),""))</f>
        <v/>
      </c>
      <c r="N3850" s="66" t="str">
        <f aca="false">IF($L3850="","",IFERROR(INDEX(记账规则!$A$13:$H$32,MATCH(资金流水!$E328,记账规则!$A$13:$A$32,0),5),""))</f>
        <v/>
      </c>
      <c r="O3850" s="67" t="n">
        <f aca="false">IF($H3850="",0,ROUND(IF($N3850="金额",N(资金流水!$P328),0),2))</f>
        <v>0</v>
      </c>
      <c r="P3850" s="64" t="str">
        <f aca="false">IF(AND($H3850&lt;&gt;"",ROUND($O3850,2)&lt;&gt;0),"有","")</f>
        <v/>
      </c>
    </row>
    <row r="3851" customFormat="false" ht="15" hidden="true" customHeight="false" outlineLevel="0" collapsed="false">
      <c r="A3851" s="53" t="str">
        <f aca="false">IF($H3851="","",ROW()-5)</f>
        <v/>
      </c>
      <c r="B3851" s="64" t="s">
        <v>37</v>
      </c>
      <c r="C3851" s="53" t="n">
        <v>328</v>
      </c>
      <c r="D3851" s="53" t="n">
        <v>2</v>
      </c>
      <c r="E3851" s="65" t="str">
        <f aca="false">IF($H3851="","",资金流水!$B328)</f>
        <v/>
      </c>
      <c r="F3851" s="55" t="str">
        <f aca="false">IF($H3851="","",资金流水!$C328)</f>
        <v/>
      </c>
      <c r="G3851" s="48" t="str">
        <f aca="false">IF($H3851="","",资金流水!$K328)</f>
        <v/>
      </c>
      <c r="H3851" s="10" t="str">
        <f aca="false">IF($L3851="","",IF($L3851="@对方",资金流水!$G328,IF($L3851="@账户",资金流水!$Q328,$L3851)))</f>
        <v/>
      </c>
      <c r="I3851" s="42" t="n">
        <f aca="false">IF($M3851="借",$O3851,0)</f>
        <v>0</v>
      </c>
      <c r="J3851" s="42" t="n">
        <f aca="false">IF($M3851="贷",$O3851,0)</f>
        <v>0</v>
      </c>
      <c r="K3851" s="48" t="str">
        <f aca="false">IF($H3851="","",资金流水!$F328)</f>
        <v/>
      </c>
      <c r="L3851" s="66" t="str">
        <f aca="false">IF(资金流水!$E328="","",IFERROR(INDEX(记账规则!$A$13:$H$32,MATCH(资金流水!$E328,记账规则!$A$13:$A$32,0),6),""))</f>
        <v/>
      </c>
      <c r="M3851" s="66" t="str">
        <f aca="false">IF($L3851="","",IFERROR(INDEX(记账规则!$A$13:$H$32,MATCH(资金流水!$E328,记账规则!$A$13:$A$32,0),7),""))</f>
        <v/>
      </c>
      <c r="N3851" s="66" t="str">
        <f aca="false">IF($L3851="","",IFERROR(INDEX(记账规则!$A$13:$H$32,MATCH(资金流水!$E328,记账规则!$A$13:$A$32,0),8),""))</f>
        <v/>
      </c>
      <c r="O3851" s="67" t="n">
        <f aca="false">IF($H3851="",0,ROUND(IF($N3851="金额",N(资金流水!$P328),0),2))</f>
        <v>0</v>
      </c>
      <c r="P3851" s="64" t="str">
        <f aca="false">IF(AND($H3851&lt;&gt;"",ROUND($O3851,2)&lt;&gt;0),"有","")</f>
        <v/>
      </c>
    </row>
    <row r="3852" customFormat="false" ht="15" hidden="true" customHeight="false" outlineLevel="0" collapsed="false">
      <c r="A3852" s="53" t="str">
        <f aca="false">IF($H3852="","",ROW()-5)</f>
        <v/>
      </c>
      <c r="B3852" s="64" t="s">
        <v>37</v>
      </c>
      <c r="C3852" s="53" t="n">
        <v>329</v>
      </c>
      <c r="D3852" s="53" t="n">
        <v>1</v>
      </c>
      <c r="E3852" s="65" t="str">
        <f aca="false">IF($H3852="","",资金流水!$B329)</f>
        <v/>
      </c>
      <c r="F3852" s="55" t="str">
        <f aca="false">IF($H3852="","",资金流水!$C329)</f>
        <v/>
      </c>
      <c r="G3852" s="48" t="str">
        <f aca="false">IF($H3852="","",资金流水!$K329)</f>
        <v/>
      </c>
      <c r="H3852" s="10" t="str">
        <f aca="false">IF($L3852="","",IF($L3852="@对方",资金流水!$G329,IF($L3852="@账户",资金流水!$Q329,$L3852)))</f>
        <v/>
      </c>
      <c r="I3852" s="42" t="n">
        <f aca="false">IF($M3852="借",$O3852,0)</f>
        <v>0</v>
      </c>
      <c r="J3852" s="42" t="n">
        <f aca="false">IF($M3852="贷",$O3852,0)</f>
        <v>0</v>
      </c>
      <c r="K3852" s="48" t="str">
        <f aca="false">IF($H3852="","",资金流水!$F329)</f>
        <v/>
      </c>
      <c r="L3852" s="66" t="str">
        <f aca="false">IF(资金流水!$E329="","",IFERROR(INDEX(记账规则!$A$13:$H$32,MATCH(资金流水!$E329,记账规则!$A$13:$A$32,0),3),""))</f>
        <v/>
      </c>
      <c r="M3852" s="66" t="str">
        <f aca="false">IF($L3852="","",IFERROR(INDEX(记账规则!$A$13:$H$32,MATCH(资金流水!$E329,记账规则!$A$13:$A$32,0),4),""))</f>
        <v/>
      </c>
      <c r="N3852" s="66" t="str">
        <f aca="false">IF($L3852="","",IFERROR(INDEX(记账规则!$A$13:$H$32,MATCH(资金流水!$E329,记账规则!$A$13:$A$32,0),5),""))</f>
        <v/>
      </c>
      <c r="O3852" s="67" t="n">
        <f aca="false">IF($H3852="",0,ROUND(IF($N3852="金额",N(资金流水!$P329),0),2))</f>
        <v>0</v>
      </c>
      <c r="P3852" s="64" t="str">
        <f aca="false">IF(AND($H3852&lt;&gt;"",ROUND($O3852,2)&lt;&gt;0),"有","")</f>
        <v/>
      </c>
    </row>
    <row r="3853" customFormat="false" ht="15" hidden="true" customHeight="false" outlineLevel="0" collapsed="false">
      <c r="A3853" s="53" t="str">
        <f aca="false">IF($H3853="","",ROW()-5)</f>
        <v/>
      </c>
      <c r="B3853" s="64" t="s">
        <v>37</v>
      </c>
      <c r="C3853" s="53" t="n">
        <v>329</v>
      </c>
      <c r="D3853" s="53" t="n">
        <v>2</v>
      </c>
      <c r="E3853" s="65" t="str">
        <f aca="false">IF($H3853="","",资金流水!$B329)</f>
        <v/>
      </c>
      <c r="F3853" s="55" t="str">
        <f aca="false">IF($H3853="","",资金流水!$C329)</f>
        <v/>
      </c>
      <c r="G3853" s="48" t="str">
        <f aca="false">IF($H3853="","",资金流水!$K329)</f>
        <v/>
      </c>
      <c r="H3853" s="10" t="str">
        <f aca="false">IF($L3853="","",IF($L3853="@对方",资金流水!$G329,IF($L3853="@账户",资金流水!$Q329,$L3853)))</f>
        <v/>
      </c>
      <c r="I3853" s="42" t="n">
        <f aca="false">IF($M3853="借",$O3853,0)</f>
        <v>0</v>
      </c>
      <c r="J3853" s="42" t="n">
        <f aca="false">IF($M3853="贷",$O3853,0)</f>
        <v>0</v>
      </c>
      <c r="K3853" s="48" t="str">
        <f aca="false">IF($H3853="","",资金流水!$F329)</f>
        <v/>
      </c>
      <c r="L3853" s="66" t="str">
        <f aca="false">IF(资金流水!$E329="","",IFERROR(INDEX(记账规则!$A$13:$H$32,MATCH(资金流水!$E329,记账规则!$A$13:$A$32,0),6),""))</f>
        <v/>
      </c>
      <c r="M3853" s="66" t="str">
        <f aca="false">IF($L3853="","",IFERROR(INDEX(记账规则!$A$13:$H$32,MATCH(资金流水!$E329,记账规则!$A$13:$A$32,0),7),""))</f>
        <v/>
      </c>
      <c r="N3853" s="66" t="str">
        <f aca="false">IF($L3853="","",IFERROR(INDEX(记账规则!$A$13:$H$32,MATCH(资金流水!$E329,记账规则!$A$13:$A$32,0),8),""))</f>
        <v/>
      </c>
      <c r="O3853" s="67" t="n">
        <f aca="false">IF($H3853="",0,ROUND(IF($N3853="金额",N(资金流水!$P329),0),2))</f>
        <v>0</v>
      </c>
      <c r="P3853" s="64" t="str">
        <f aca="false">IF(AND($H3853&lt;&gt;"",ROUND($O3853,2)&lt;&gt;0),"有","")</f>
        <v/>
      </c>
    </row>
    <row r="3854" customFormat="false" ht="15" hidden="true" customHeight="false" outlineLevel="0" collapsed="false">
      <c r="A3854" s="53" t="str">
        <f aca="false">IF($H3854="","",ROW()-5)</f>
        <v/>
      </c>
      <c r="B3854" s="64" t="s">
        <v>37</v>
      </c>
      <c r="C3854" s="53" t="n">
        <v>330</v>
      </c>
      <c r="D3854" s="53" t="n">
        <v>1</v>
      </c>
      <c r="E3854" s="65" t="str">
        <f aca="false">IF($H3854="","",资金流水!$B330)</f>
        <v/>
      </c>
      <c r="F3854" s="55" t="str">
        <f aca="false">IF($H3854="","",资金流水!$C330)</f>
        <v/>
      </c>
      <c r="G3854" s="48" t="str">
        <f aca="false">IF($H3854="","",资金流水!$K330)</f>
        <v/>
      </c>
      <c r="H3854" s="10" t="str">
        <f aca="false">IF($L3854="","",IF($L3854="@对方",资金流水!$G330,IF($L3854="@账户",资金流水!$Q330,$L3854)))</f>
        <v/>
      </c>
      <c r="I3854" s="42" t="n">
        <f aca="false">IF($M3854="借",$O3854,0)</f>
        <v>0</v>
      </c>
      <c r="J3854" s="42" t="n">
        <f aca="false">IF($M3854="贷",$O3854,0)</f>
        <v>0</v>
      </c>
      <c r="K3854" s="48" t="str">
        <f aca="false">IF($H3854="","",资金流水!$F330)</f>
        <v/>
      </c>
      <c r="L3854" s="66" t="str">
        <f aca="false">IF(资金流水!$E330="","",IFERROR(INDEX(记账规则!$A$13:$H$32,MATCH(资金流水!$E330,记账规则!$A$13:$A$32,0),3),""))</f>
        <v/>
      </c>
      <c r="M3854" s="66" t="str">
        <f aca="false">IF($L3854="","",IFERROR(INDEX(记账规则!$A$13:$H$32,MATCH(资金流水!$E330,记账规则!$A$13:$A$32,0),4),""))</f>
        <v/>
      </c>
      <c r="N3854" s="66" t="str">
        <f aca="false">IF($L3854="","",IFERROR(INDEX(记账规则!$A$13:$H$32,MATCH(资金流水!$E330,记账规则!$A$13:$A$32,0),5),""))</f>
        <v/>
      </c>
      <c r="O3854" s="67" t="n">
        <f aca="false">IF($H3854="",0,ROUND(IF($N3854="金额",N(资金流水!$P330),0),2))</f>
        <v>0</v>
      </c>
      <c r="P3854" s="64" t="str">
        <f aca="false">IF(AND($H3854&lt;&gt;"",ROUND($O3854,2)&lt;&gt;0),"有","")</f>
        <v/>
      </c>
    </row>
    <row r="3855" customFormat="false" ht="15" hidden="true" customHeight="false" outlineLevel="0" collapsed="false">
      <c r="A3855" s="53" t="str">
        <f aca="false">IF($H3855="","",ROW()-5)</f>
        <v/>
      </c>
      <c r="B3855" s="64" t="s">
        <v>37</v>
      </c>
      <c r="C3855" s="53" t="n">
        <v>330</v>
      </c>
      <c r="D3855" s="53" t="n">
        <v>2</v>
      </c>
      <c r="E3855" s="65" t="str">
        <f aca="false">IF($H3855="","",资金流水!$B330)</f>
        <v/>
      </c>
      <c r="F3855" s="55" t="str">
        <f aca="false">IF($H3855="","",资金流水!$C330)</f>
        <v/>
      </c>
      <c r="G3855" s="48" t="str">
        <f aca="false">IF($H3855="","",资金流水!$K330)</f>
        <v/>
      </c>
      <c r="H3855" s="10" t="str">
        <f aca="false">IF($L3855="","",IF($L3855="@对方",资金流水!$G330,IF($L3855="@账户",资金流水!$Q330,$L3855)))</f>
        <v/>
      </c>
      <c r="I3855" s="42" t="n">
        <f aca="false">IF($M3855="借",$O3855,0)</f>
        <v>0</v>
      </c>
      <c r="J3855" s="42" t="n">
        <f aca="false">IF($M3855="贷",$O3855,0)</f>
        <v>0</v>
      </c>
      <c r="K3855" s="48" t="str">
        <f aca="false">IF($H3855="","",资金流水!$F330)</f>
        <v/>
      </c>
      <c r="L3855" s="66" t="str">
        <f aca="false">IF(资金流水!$E330="","",IFERROR(INDEX(记账规则!$A$13:$H$32,MATCH(资金流水!$E330,记账规则!$A$13:$A$32,0),6),""))</f>
        <v/>
      </c>
      <c r="M3855" s="66" t="str">
        <f aca="false">IF($L3855="","",IFERROR(INDEX(记账规则!$A$13:$H$32,MATCH(资金流水!$E330,记账规则!$A$13:$A$32,0),7),""))</f>
        <v/>
      </c>
      <c r="N3855" s="66" t="str">
        <f aca="false">IF($L3855="","",IFERROR(INDEX(记账规则!$A$13:$H$32,MATCH(资金流水!$E330,记账规则!$A$13:$A$32,0),8),""))</f>
        <v/>
      </c>
      <c r="O3855" s="67" t="n">
        <f aca="false">IF($H3855="",0,ROUND(IF($N3855="金额",N(资金流水!$P330),0),2))</f>
        <v>0</v>
      </c>
      <c r="P3855" s="64" t="str">
        <f aca="false">IF(AND($H3855&lt;&gt;"",ROUND($O3855,2)&lt;&gt;0),"有","")</f>
        <v/>
      </c>
    </row>
    <row r="3856" customFormat="false" ht="15" hidden="true" customHeight="false" outlineLevel="0" collapsed="false">
      <c r="A3856" s="53" t="str">
        <f aca="false">IF($H3856="","",ROW()-5)</f>
        <v/>
      </c>
      <c r="B3856" s="64" t="s">
        <v>37</v>
      </c>
      <c r="C3856" s="53" t="n">
        <v>331</v>
      </c>
      <c r="D3856" s="53" t="n">
        <v>1</v>
      </c>
      <c r="E3856" s="65" t="str">
        <f aca="false">IF($H3856="","",资金流水!$B331)</f>
        <v/>
      </c>
      <c r="F3856" s="55" t="str">
        <f aca="false">IF($H3856="","",资金流水!$C331)</f>
        <v/>
      </c>
      <c r="G3856" s="48" t="str">
        <f aca="false">IF($H3856="","",资金流水!$K331)</f>
        <v/>
      </c>
      <c r="H3856" s="10" t="str">
        <f aca="false">IF($L3856="","",IF($L3856="@对方",资金流水!$G331,IF($L3856="@账户",资金流水!$Q331,$L3856)))</f>
        <v/>
      </c>
      <c r="I3856" s="42" t="n">
        <f aca="false">IF($M3856="借",$O3856,0)</f>
        <v>0</v>
      </c>
      <c r="J3856" s="42" t="n">
        <f aca="false">IF($M3856="贷",$O3856,0)</f>
        <v>0</v>
      </c>
      <c r="K3856" s="48" t="str">
        <f aca="false">IF($H3856="","",资金流水!$F331)</f>
        <v/>
      </c>
      <c r="L3856" s="66" t="str">
        <f aca="false">IF(资金流水!$E331="","",IFERROR(INDEX(记账规则!$A$13:$H$32,MATCH(资金流水!$E331,记账规则!$A$13:$A$32,0),3),""))</f>
        <v/>
      </c>
      <c r="M3856" s="66" t="str">
        <f aca="false">IF($L3856="","",IFERROR(INDEX(记账规则!$A$13:$H$32,MATCH(资金流水!$E331,记账规则!$A$13:$A$32,0),4),""))</f>
        <v/>
      </c>
      <c r="N3856" s="66" t="str">
        <f aca="false">IF($L3856="","",IFERROR(INDEX(记账规则!$A$13:$H$32,MATCH(资金流水!$E331,记账规则!$A$13:$A$32,0),5),""))</f>
        <v/>
      </c>
      <c r="O3856" s="67" t="n">
        <f aca="false">IF($H3856="",0,ROUND(IF($N3856="金额",N(资金流水!$P331),0),2))</f>
        <v>0</v>
      </c>
      <c r="P3856" s="64" t="str">
        <f aca="false">IF(AND($H3856&lt;&gt;"",ROUND($O3856,2)&lt;&gt;0),"有","")</f>
        <v/>
      </c>
    </row>
    <row r="3857" customFormat="false" ht="15" hidden="true" customHeight="false" outlineLevel="0" collapsed="false">
      <c r="A3857" s="53" t="str">
        <f aca="false">IF($H3857="","",ROW()-5)</f>
        <v/>
      </c>
      <c r="B3857" s="64" t="s">
        <v>37</v>
      </c>
      <c r="C3857" s="53" t="n">
        <v>331</v>
      </c>
      <c r="D3857" s="53" t="n">
        <v>2</v>
      </c>
      <c r="E3857" s="65" t="str">
        <f aca="false">IF($H3857="","",资金流水!$B331)</f>
        <v/>
      </c>
      <c r="F3857" s="55" t="str">
        <f aca="false">IF($H3857="","",资金流水!$C331)</f>
        <v/>
      </c>
      <c r="G3857" s="48" t="str">
        <f aca="false">IF($H3857="","",资金流水!$K331)</f>
        <v/>
      </c>
      <c r="H3857" s="10" t="str">
        <f aca="false">IF($L3857="","",IF($L3857="@对方",资金流水!$G331,IF($L3857="@账户",资金流水!$Q331,$L3857)))</f>
        <v/>
      </c>
      <c r="I3857" s="42" t="n">
        <f aca="false">IF($M3857="借",$O3857,0)</f>
        <v>0</v>
      </c>
      <c r="J3857" s="42" t="n">
        <f aca="false">IF($M3857="贷",$O3857,0)</f>
        <v>0</v>
      </c>
      <c r="K3857" s="48" t="str">
        <f aca="false">IF($H3857="","",资金流水!$F331)</f>
        <v/>
      </c>
      <c r="L3857" s="66" t="str">
        <f aca="false">IF(资金流水!$E331="","",IFERROR(INDEX(记账规则!$A$13:$H$32,MATCH(资金流水!$E331,记账规则!$A$13:$A$32,0),6),""))</f>
        <v/>
      </c>
      <c r="M3857" s="66" t="str">
        <f aca="false">IF($L3857="","",IFERROR(INDEX(记账规则!$A$13:$H$32,MATCH(资金流水!$E331,记账规则!$A$13:$A$32,0),7),""))</f>
        <v/>
      </c>
      <c r="N3857" s="66" t="str">
        <f aca="false">IF($L3857="","",IFERROR(INDEX(记账规则!$A$13:$H$32,MATCH(资金流水!$E331,记账规则!$A$13:$A$32,0),8),""))</f>
        <v/>
      </c>
      <c r="O3857" s="67" t="n">
        <f aca="false">IF($H3857="",0,ROUND(IF($N3857="金额",N(资金流水!$P331),0),2))</f>
        <v>0</v>
      </c>
      <c r="P3857" s="64" t="str">
        <f aca="false">IF(AND($H3857&lt;&gt;"",ROUND($O3857,2)&lt;&gt;0),"有","")</f>
        <v/>
      </c>
    </row>
    <row r="3858" customFormat="false" ht="15" hidden="true" customHeight="false" outlineLevel="0" collapsed="false">
      <c r="A3858" s="53" t="str">
        <f aca="false">IF($H3858="","",ROW()-5)</f>
        <v/>
      </c>
      <c r="B3858" s="64" t="s">
        <v>37</v>
      </c>
      <c r="C3858" s="53" t="n">
        <v>332</v>
      </c>
      <c r="D3858" s="53" t="n">
        <v>1</v>
      </c>
      <c r="E3858" s="65" t="str">
        <f aca="false">IF($H3858="","",资金流水!$B332)</f>
        <v/>
      </c>
      <c r="F3858" s="55" t="str">
        <f aca="false">IF($H3858="","",资金流水!$C332)</f>
        <v/>
      </c>
      <c r="G3858" s="48" t="str">
        <f aca="false">IF($H3858="","",资金流水!$K332)</f>
        <v/>
      </c>
      <c r="H3858" s="10" t="str">
        <f aca="false">IF($L3858="","",IF($L3858="@对方",资金流水!$G332,IF($L3858="@账户",资金流水!$Q332,$L3858)))</f>
        <v/>
      </c>
      <c r="I3858" s="42" t="n">
        <f aca="false">IF($M3858="借",$O3858,0)</f>
        <v>0</v>
      </c>
      <c r="J3858" s="42" t="n">
        <f aca="false">IF($M3858="贷",$O3858,0)</f>
        <v>0</v>
      </c>
      <c r="K3858" s="48" t="str">
        <f aca="false">IF($H3858="","",资金流水!$F332)</f>
        <v/>
      </c>
      <c r="L3858" s="66" t="str">
        <f aca="false">IF(资金流水!$E332="","",IFERROR(INDEX(记账规则!$A$13:$H$32,MATCH(资金流水!$E332,记账规则!$A$13:$A$32,0),3),""))</f>
        <v/>
      </c>
      <c r="M3858" s="66" t="str">
        <f aca="false">IF($L3858="","",IFERROR(INDEX(记账规则!$A$13:$H$32,MATCH(资金流水!$E332,记账规则!$A$13:$A$32,0),4),""))</f>
        <v/>
      </c>
      <c r="N3858" s="66" t="str">
        <f aca="false">IF($L3858="","",IFERROR(INDEX(记账规则!$A$13:$H$32,MATCH(资金流水!$E332,记账规则!$A$13:$A$32,0),5),""))</f>
        <v/>
      </c>
      <c r="O3858" s="67" t="n">
        <f aca="false">IF($H3858="",0,ROUND(IF($N3858="金额",N(资金流水!$P332),0),2))</f>
        <v>0</v>
      </c>
      <c r="P3858" s="64" t="str">
        <f aca="false">IF(AND($H3858&lt;&gt;"",ROUND($O3858,2)&lt;&gt;0),"有","")</f>
        <v/>
      </c>
    </row>
    <row r="3859" customFormat="false" ht="15" hidden="true" customHeight="false" outlineLevel="0" collapsed="false">
      <c r="A3859" s="53" t="str">
        <f aca="false">IF($H3859="","",ROW()-5)</f>
        <v/>
      </c>
      <c r="B3859" s="64" t="s">
        <v>37</v>
      </c>
      <c r="C3859" s="53" t="n">
        <v>332</v>
      </c>
      <c r="D3859" s="53" t="n">
        <v>2</v>
      </c>
      <c r="E3859" s="65" t="str">
        <f aca="false">IF($H3859="","",资金流水!$B332)</f>
        <v/>
      </c>
      <c r="F3859" s="55" t="str">
        <f aca="false">IF($H3859="","",资金流水!$C332)</f>
        <v/>
      </c>
      <c r="G3859" s="48" t="str">
        <f aca="false">IF($H3859="","",资金流水!$K332)</f>
        <v/>
      </c>
      <c r="H3859" s="10" t="str">
        <f aca="false">IF($L3859="","",IF($L3859="@对方",资金流水!$G332,IF($L3859="@账户",资金流水!$Q332,$L3859)))</f>
        <v/>
      </c>
      <c r="I3859" s="42" t="n">
        <f aca="false">IF($M3859="借",$O3859,0)</f>
        <v>0</v>
      </c>
      <c r="J3859" s="42" t="n">
        <f aca="false">IF($M3859="贷",$O3859,0)</f>
        <v>0</v>
      </c>
      <c r="K3859" s="48" t="str">
        <f aca="false">IF($H3859="","",资金流水!$F332)</f>
        <v/>
      </c>
      <c r="L3859" s="66" t="str">
        <f aca="false">IF(资金流水!$E332="","",IFERROR(INDEX(记账规则!$A$13:$H$32,MATCH(资金流水!$E332,记账规则!$A$13:$A$32,0),6),""))</f>
        <v/>
      </c>
      <c r="M3859" s="66" t="str">
        <f aca="false">IF($L3859="","",IFERROR(INDEX(记账规则!$A$13:$H$32,MATCH(资金流水!$E332,记账规则!$A$13:$A$32,0),7),""))</f>
        <v/>
      </c>
      <c r="N3859" s="66" t="str">
        <f aca="false">IF($L3859="","",IFERROR(INDEX(记账规则!$A$13:$H$32,MATCH(资金流水!$E332,记账规则!$A$13:$A$32,0),8),""))</f>
        <v/>
      </c>
      <c r="O3859" s="67" t="n">
        <f aca="false">IF($H3859="",0,ROUND(IF($N3859="金额",N(资金流水!$P332),0),2))</f>
        <v>0</v>
      </c>
      <c r="P3859" s="64" t="str">
        <f aca="false">IF(AND($H3859&lt;&gt;"",ROUND($O3859,2)&lt;&gt;0),"有","")</f>
        <v/>
      </c>
    </row>
    <row r="3860" customFormat="false" ht="15" hidden="true" customHeight="false" outlineLevel="0" collapsed="false">
      <c r="A3860" s="53" t="str">
        <f aca="false">IF($H3860="","",ROW()-5)</f>
        <v/>
      </c>
      <c r="B3860" s="64" t="s">
        <v>37</v>
      </c>
      <c r="C3860" s="53" t="n">
        <v>333</v>
      </c>
      <c r="D3860" s="53" t="n">
        <v>1</v>
      </c>
      <c r="E3860" s="65" t="str">
        <f aca="false">IF($H3860="","",资金流水!$B333)</f>
        <v/>
      </c>
      <c r="F3860" s="55" t="str">
        <f aca="false">IF($H3860="","",资金流水!$C333)</f>
        <v/>
      </c>
      <c r="G3860" s="48" t="str">
        <f aca="false">IF($H3860="","",资金流水!$K333)</f>
        <v/>
      </c>
      <c r="H3860" s="10" t="str">
        <f aca="false">IF($L3860="","",IF($L3860="@对方",资金流水!$G333,IF($L3860="@账户",资金流水!$Q333,$L3860)))</f>
        <v/>
      </c>
      <c r="I3860" s="42" t="n">
        <f aca="false">IF($M3860="借",$O3860,0)</f>
        <v>0</v>
      </c>
      <c r="J3860" s="42" t="n">
        <f aca="false">IF($M3860="贷",$O3860,0)</f>
        <v>0</v>
      </c>
      <c r="K3860" s="48" t="str">
        <f aca="false">IF($H3860="","",资金流水!$F333)</f>
        <v/>
      </c>
      <c r="L3860" s="66" t="str">
        <f aca="false">IF(资金流水!$E333="","",IFERROR(INDEX(记账规则!$A$13:$H$32,MATCH(资金流水!$E333,记账规则!$A$13:$A$32,0),3),""))</f>
        <v/>
      </c>
      <c r="M3860" s="66" t="str">
        <f aca="false">IF($L3860="","",IFERROR(INDEX(记账规则!$A$13:$H$32,MATCH(资金流水!$E333,记账规则!$A$13:$A$32,0),4),""))</f>
        <v/>
      </c>
      <c r="N3860" s="66" t="str">
        <f aca="false">IF($L3860="","",IFERROR(INDEX(记账规则!$A$13:$H$32,MATCH(资金流水!$E333,记账规则!$A$13:$A$32,0),5),""))</f>
        <v/>
      </c>
      <c r="O3860" s="67" t="n">
        <f aca="false">IF($H3860="",0,ROUND(IF($N3860="金额",N(资金流水!$P333),0),2))</f>
        <v>0</v>
      </c>
      <c r="P3860" s="64" t="str">
        <f aca="false">IF(AND($H3860&lt;&gt;"",ROUND($O3860,2)&lt;&gt;0),"有","")</f>
        <v/>
      </c>
    </row>
    <row r="3861" customFormat="false" ht="15" hidden="true" customHeight="false" outlineLevel="0" collapsed="false">
      <c r="A3861" s="53" t="str">
        <f aca="false">IF($H3861="","",ROW()-5)</f>
        <v/>
      </c>
      <c r="B3861" s="64" t="s">
        <v>37</v>
      </c>
      <c r="C3861" s="53" t="n">
        <v>333</v>
      </c>
      <c r="D3861" s="53" t="n">
        <v>2</v>
      </c>
      <c r="E3861" s="65" t="str">
        <f aca="false">IF($H3861="","",资金流水!$B333)</f>
        <v/>
      </c>
      <c r="F3861" s="55" t="str">
        <f aca="false">IF($H3861="","",资金流水!$C333)</f>
        <v/>
      </c>
      <c r="G3861" s="48" t="str">
        <f aca="false">IF($H3861="","",资金流水!$K333)</f>
        <v/>
      </c>
      <c r="H3861" s="10" t="str">
        <f aca="false">IF($L3861="","",IF($L3861="@对方",资金流水!$G333,IF($L3861="@账户",资金流水!$Q333,$L3861)))</f>
        <v/>
      </c>
      <c r="I3861" s="42" t="n">
        <f aca="false">IF($M3861="借",$O3861,0)</f>
        <v>0</v>
      </c>
      <c r="J3861" s="42" t="n">
        <f aca="false">IF($M3861="贷",$O3861,0)</f>
        <v>0</v>
      </c>
      <c r="K3861" s="48" t="str">
        <f aca="false">IF($H3861="","",资金流水!$F333)</f>
        <v/>
      </c>
      <c r="L3861" s="66" t="str">
        <f aca="false">IF(资金流水!$E333="","",IFERROR(INDEX(记账规则!$A$13:$H$32,MATCH(资金流水!$E333,记账规则!$A$13:$A$32,0),6),""))</f>
        <v/>
      </c>
      <c r="M3861" s="66" t="str">
        <f aca="false">IF($L3861="","",IFERROR(INDEX(记账规则!$A$13:$H$32,MATCH(资金流水!$E333,记账规则!$A$13:$A$32,0),7),""))</f>
        <v/>
      </c>
      <c r="N3861" s="66" t="str">
        <f aca="false">IF($L3861="","",IFERROR(INDEX(记账规则!$A$13:$H$32,MATCH(资金流水!$E333,记账规则!$A$13:$A$32,0),8),""))</f>
        <v/>
      </c>
      <c r="O3861" s="67" t="n">
        <f aca="false">IF($H3861="",0,ROUND(IF($N3861="金额",N(资金流水!$P333),0),2))</f>
        <v>0</v>
      </c>
      <c r="P3861" s="64" t="str">
        <f aca="false">IF(AND($H3861&lt;&gt;"",ROUND($O3861,2)&lt;&gt;0),"有","")</f>
        <v/>
      </c>
    </row>
    <row r="3862" customFormat="false" ht="15" hidden="true" customHeight="false" outlineLevel="0" collapsed="false">
      <c r="A3862" s="53" t="str">
        <f aca="false">IF($H3862="","",ROW()-5)</f>
        <v/>
      </c>
      <c r="B3862" s="64" t="s">
        <v>37</v>
      </c>
      <c r="C3862" s="53" t="n">
        <v>334</v>
      </c>
      <c r="D3862" s="53" t="n">
        <v>1</v>
      </c>
      <c r="E3862" s="65" t="str">
        <f aca="false">IF($H3862="","",资金流水!$B334)</f>
        <v/>
      </c>
      <c r="F3862" s="55" t="str">
        <f aca="false">IF($H3862="","",资金流水!$C334)</f>
        <v/>
      </c>
      <c r="G3862" s="48" t="str">
        <f aca="false">IF($H3862="","",资金流水!$K334)</f>
        <v/>
      </c>
      <c r="H3862" s="10" t="str">
        <f aca="false">IF($L3862="","",IF($L3862="@对方",资金流水!$G334,IF($L3862="@账户",资金流水!$Q334,$L3862)))</f>
        <v/>
      </c>
      <c r="I3862" s="42" t="n">
        <f aca="false">IF($M3862="借",$O3862,0)</f>
        <v>0</v>
      </c>
      <c r="J3862" s="42" t="n">
        <f aca="false">IF($M3862="贷",$O3862,0)</f>
        <v>0</v>
      </c>
      <c r="K3862" s="48" t="str">
        <f aca="false">IF($H3862="","",资金流水!$F334)</f>
        <v/>
      </c>
      <c r="L3862" s="66" t="str">
        <f aca="false">IF(资金流水!$E334="","",IFERROR(INDEX(记账规则!$A$13:$H$32,MATCH(资金流水!$E334,记账规则!$A$13:$A$32,0),3),""))</f>
        <v/>
      </c>
      <c r="M3862" s="66" t="str">
        <f aca="false">IF($L3862="","",IFERROR(INDEX(记账规则!$A$13:$H$32,MATCH(资金流水!$E334,记账规则!$A$13:$A$32,0),4),""))</f>
        <v/>
      </c>
      <c r="N3862" s="66" t="str">
        <f aca="false">IF($L3862="","",IFERROR(INDEX(记账规则!$A$13:$H$32,MATCH(资金流水!$E334,记账规则!$A$13:$A$32,0),5),""))</f>
        <v/>
      </c>
      <c r="O3862" s="67" t="n">
        <f aca="false">IF($H3862="",0,ROUND(IF($N3862="金额",N(资金流水!$P334),0),2))</f>
        <v>0</v>
      </c>
      <c r="P3862" s="64" t="str">
        <f aca="false">IF(AND($H3862&lt;&gt;"",ROUND($O3862,2)&lt;&gt;0),"有","")</f>
        <v/>
      </c>
    </row>
    <row r="3863" customFormat="false" ht="15" hidden="true" customHeight="false" outlineLevel="0" collapsed="false">
      <c r="A3863" s="53" t="str">
        <f aca="false">IF($H3863="","",ROW()-5)</f>
        <v/>
      </c>
      <c r="B3863" s="64" t="s">
        <v>37</v>
      </c>
      <c r="C3863" s="53" t="n">
        <v>334</v>
      </c>
      <c r="D3863" s="53" t="n">
        <v>2</v>
      </c>
      <c r="E3863" s="65" t="str">
        <f aca="false">IF($H3863="","",资金流水!$B334)</f>
        <v/>
      </c>
      <c r="F3863" s="55" t="str">
        <f aca="false">IF($H3863="","",资金流水!$C334)</f>
        <v/>
      </c>
      <c r="G3863" s="48" t="str">
        <f aca="false">IF($H3863="","",资金流水!$K334)</f>
        <v/>
      </c>
      <c r="H3863" s="10" t="str">
        <f aca="false">IF($L3863="","",IF($L3863="@对方",资金流水!$G334,IF($L3863="@账户",资金流水!$Q334,$L3863)))</f>
        <v/>
      </c>
      <c r="I3863" s="42" t="n">
        <f aca="false">IF($M3863="借",$O3863,0)</f>
        <v>0</v>
      </c>
      <c r="J3863" s="42" t="n">
        <f aca="false">IF($M3863="贷",$O3863,0)</f>
        <v>0</v>
      </c>
      <c r="K3863" s="48" t="str">
        <f aca="false">IF($H3863="","",资金流水!$F334)</f>
        <v/>
      </c>
      <c r="L3863" s="66" t="str">
        <f aca="false">IF(资金流水!$E334="","",IFERROR(INDEX(记账规则!$A$13:$H$32,MATCH(资金流水!$E334,记账规则!$A$13:$A$32,0),6),""))</f>
        <v/>
      </c>
      <c r="M3863" s="66" t="str">
        <f aca="false">IF($L3863="","",IFERROR(INDEX(记账规则!$A$13:$H$32,MATCH(资金流水!$E334,记账规则!$A$13:$A$32,0),7),""))</f>
        <v/>
      </c>
      <c r="N3863" s="66" t="str">
        <f aca="false">IF($L3863="","",IFERROR(INDEX(记账规则!$A$13:$H$32,MATCH(资金流水!$E334,记账规则!$A$13:$A$32,0),8),""))</f>
        <v/>
      </c>
      <c r="O3863" s="67" t="n">
        <f aca="false">IF($H3863="",0,ROUND(IF($N3863="金额",N(资金流水!$P334),0),2))</f>
        <v>0</v>
      </c>
      <c r="P3863" s="64" t="str">
        <f aca="false">IF(AND($H3863&lt;&gt;"",ROUND($O3863,2)&lt;&gt;0),"有","")</f>
        <v/>
      </c>
    </row>
    <row r="3864" customFormat="false" ht="15" hidden="true" customHeight="false" outlineLevel="0" collapsed="false">
      <c r="A3864" s="53" t="str">
        <f aca="false">IF($H3864="","",ROW()-5)</f>
        <v/>
      </c>
      <c r="B3864" s="64" t="s">
        <v>37</v>
      </c>
      <c r="C3864" s="53" t="n">
        <v>335</v>
      </c>
      <c r="D3864" s="53" t="n">
        <v>1</v>
      </c>
      <c r="E3864" s="65" t="str">
        <f aca="false">IF($H3864="","",资金流水!$B335)</f>
        <v/>
      </c>
      <c r="F3864" s="55" t="str">
        <f aca="false">IF($H3864="","",资金流水!$C335)</f>
        <v/>
      </c>
      <c r="G3864" s="48" t="str">
        <f aca="false">IF($H3864="","",资金流水!$K335)</f>
        <v/>
      </c>
      <c r="H3864" s="10" t="str">
        <f aca="false">IF($L3864="","",IF($L3864="@对方",资金流水!$G335,IF($L3864="@账户",资金流水!$Q335,$L3864)))</f>
        <v/>
      </c>
      <c r="I3864" s="42" t="n">
        <f aca="false">IF($M3864="借",$O3864,0)</f>
        <v>0</v>
      </c>
      <c r="J3864" s="42" t="n">
        <f aca="false">IF($M3864="贷",$O3864,0)</f>
        <v>0</v>
      </c>
      <c r="K3864" s="48" t="str">
        <f aca="false">IF($H3864="","",资金流水!$F335)</f>
        <v/>
      </c>
      <c r="L3864" s="66" t="str">
        <f aca="false">IF(资金流水!$E335="","",IFERROR(INDEX(记账规则!$A$13:$H$32,MATCH(资金流水!$E335,记账规则!$A$13:$A$32,0),3),""))</f>
        <v/>
      </c>
      <c r="M3864" s="66" t="str">
        <f aca="false">IF($L3864="","",IFERROR(INDEX(记账规则!$A$13:$H$32,MATCH(资金流水!$E335,记账规则!$A$13:$A$32,0),4),""))</f>
        <v/>
      </c>
      <c r="N3864" s="66" t="str">
        <f aca="false">IF($L3864="","",IFERROR(INDEX(记账规则!$A$13:$H$32,MATCH(资金流水!$E335,记账规则!$A$13:$A$32,0),5),""))</f>
        <v/>
      </c>
      <c r="O3864" s="67" t="n">
        <f aca="false">IF($H3864="",0,ROUND(IF($N3864="金额",N(资金流水!$P335),0),2))</f>
        <v>0</v>
      </c>
      <c r="P3864" s="64" t="str">
        <f aca="false">IF(AND($H3864&lt;&gt;"",ROUND($O3864,2)&lt;&gt;0),"有","")</f>
        <v/>
      </c>
    </row>
    <row r="3865" customFormat="false" ht="15" hidden="true" customHeight="false" outlineLevel="0" collapsed="false">
      <c r="A3865" s="53" t="str">
        <f aca="false">IF($H3865="","",ROW()-5)</f>
        <v/>
      </c>
      <c r="B3865" s="64" t="s">
        <v>37</v>
      </c>
      <c r="C3865" s="53" t="n">
        <v>335</v>
      </c>
      <c r="D3865" s="53" t="n">
        <v>2</v>
      </c>
      <c r="E3865" s="65" t="str">
        <f aca="false">IF($H3865="","",资金流水!$B335)</f>
        <v/>
      </c>
      <c r="F3865" s="55" t="str">
        <f aca="false">IF($H3865="","",资金流水!$C335)</f>
        <v/>
      </c>
      <c r="G3865" s="48" t="str">
        <f aca="false">IF($H3865="","",资金流水!$K335)</f>
        <v/>
      </c>
      <c r="H3865" s="10" t="str">
        <f aca="false">IF($L3865="","",IF($L3865="@对方",资金流水!$G335,IF($L3865="@账户",资金流水!$Q335,$L3865)))</f>
        <v/>
      </c>
      <c r="I3865" s="42" t="n">
        <f aca="false">IF($M3865="借",$O3865,0)</f>
        <v>0</v>
      </c>
      <c r="J3865" s="42" t="n">
        <f aca="false">IF($M3865="贷",$O3865,0)</f>
        <v>0</v>
      </c>
      <c r="K3865" s="48" t="str">
        <f aca="false">IF($H3865="","",资金流水!$F335)</f>
        <v/>
      </c>
      <c r="L3865" s="66" t="str">
        <f aca="false">IF(资金流水!$E335="","",IFERROR(INDEX(记账规则!$A$13:$H$32,MATCH(资金流水!$E335,记账规则!$A$13:$A$32,0),6),""))</f>
        <v/>
      </c>
      <c r="M3865" s="66" t="str">
        <f aca="false">IF($L3865="","",IFERROR(INDEX(记账规则!$A$13:$H$32,MATCH(资金流水!$E335,记账规则!$A$13:$A$32,0),7),""))</f>
        <v/>
      </c>
      <c r="N3865" s="66" t="str">
        <f aca="false">IF($L3865="","",IFERROR(INDEX(记账规则!$A$13:$H$32,MATCH(资金流水!$E335,记账规则!$A$13:$A$32,0),8),""))</f>
        <v/>
      </c>
      <c r="O3865" s="67" t="n">
        <f aca="false">IF($H3865="",0,ROUND(IF($N3865="金额",N(资金流水!$P335),0),2))</f>
        <v>0</v>
      </c>
      <c r="P3865" s="64" t="str">
        <f aca="false">IF(AND($H3865&lt;&gt;"",ROUND($O3865,2)&lt;&gt;0),"有","")</f>
        <v/>
      </c>
    </row>
    <row r="3866" customFormat="false" ht="15" hidden="true" customHeight="false" outlineLevel="0" collapsed="false">
      <c r="A3866" s="53" t="str">
        <f aca="false">IF($H3866="","",ROW()-5)</f>
        <v/>
      </c>
      <c r="B3866" s="64" t="s">
        <v>37</v>
      </c>
      <c r="C3866" s="53" t="n">
        <v>336</v>
      </c>
      <c r="D3866" s="53" t="n">
        <v>1</v>
      </c>
      <c r="E3866" s="65" t="str">
        <f aca="false">IF($H3866="","",资金流水!$B336)</f>
        <v/>
      </c>
      <c r="F3866" s="55" t="str">
        <f aca="false">IF($H3866="","",资金流水!$C336)</f>
        <v/>
      </c>
      <c r="G3866" s="48" t="str">
        <f aca="false">IF($H3866="","",资金流水!$K336)</f>
        <v/>
      </c>
      <c r="H3866" s="10" t="str">
        <f aca="false">IF($L3866="","",IF($L3866="@对方",资金流水!$G336,IF($L3866="@账户",资金流水!$Q336,$L3866)))</f>
        <v/>
      </c>
      <c r="I3866" s="42" t="n">
        <f aca="false">IF($M3866="借",$O3866,0)</f>
        <v>0</v>
      </c>
      <c r="J3866" s="42" t="n">
        <f aca="false">IF($M3866="贷",$O3866,0)</f>
        <v>0</v>
      </c>
      <c r="K3866" s="48" t="str">
        <f aca="false">IF($H3866="","",资金流水!$F336)</f>
        <v/>
      </c>
      <c r="L3866" s="66" t="str">
        <f aca="false">IF(资金流水!$E336="","",IFERROR(INDEX(记账规则!$A$13:$H$32,MATCH(资金流水!$E336,记账规则!$A$13:$A$32,0),3),""))</f>
        <v/>
      </c>
      <c r="M3866" s="66" t="str">
        <f aca="false">IF($L3866="","",IFERROR(INDEX(记账规则!$A$13:$H$32,MATCH(资金流水!$E336,记账规则!$A$13:$A$32,0),4),""))</f>
        <v/>
      </c>
      <c r="N3866" s="66" t="str">
        <f aca="false">IF($L3866="","",IFERROR(INDEX(记账规则!$A$13:$H$32,MATCH(资金流水!$E336,记账规则!$A$13:$A$32,0),5),""))</f>
        <v/>
      </c>
      <c r="O3866" s="67" t="n">
        <f aca="false">IF($H3866="",0,ROUND(IF($N3866="金额",N(资金流水!$P336),0),2))</f>
        <v>0</v>
      </c>
      <c r="P3866" s="64" t="str">
        <f aca="false">IF(AND($H3866&lt;&gt;"",ROUND($O3866,2)&lt;&gt;0),"有","")</f>
        <v/>
      </c>
    </row>
    <row r="3867" customFormat="false" ht="15" hidden="true" customHeight="false" outlineLevel="0" collapsed="false">
      <c r="A3867" s="53" t="str">
        <f aca="false">IF($H3867="","",ROW()-5)</f>
        <v/>
      </c>
      <c r="B3867" s="64" t="s">
        <v>37</v>
      </c>
      <c r="C3867" s="53" t="n">
        <v>336</v>
      </c>
      <c r="D3867" s="53" t="n">
        <v>2</v>
      </c>
      <c r="E3867" s="65" t="str">
        <f aca="false">IF($H3867="","",资金流水!$B336)</f>
        <v/>
      </c>
      <c r="F3867" s="55" t="str">
        <f aca="false">IF($H3867="","",资金流水!$C336)</f>
        <v/>
      </c>
      <c r="G3867" s="48" t="str">
        <f aca="false">IF($H3867="","",资金流水!$K336)</f>
        <v/>
      </c>
      <c r="H3867" s="10" t="str">
        <f aca="false">IF($L3867="","",IF($L3867="@对方",资金流水!$G336,IF($L3867="@账户",资金流水!$Q336,$L3867)))</f>
        <v/>
      </c>
      <c r="I3867" s="42" t="n">
        <f aca="false">IF($M3867="借",$O3867,0)</f>
        <v>0</v>
      </c>
      <c r="J3867" s="42" t="n">
        <f aca="false">IF($M3867="贷",$O3867,0)</f>
        <v>0</v>
      </c>
      <c r="K3867" s="48" t="str">
        <f aca="false">IF($H3867="","",资金流水!$F336)</f>
        <v/>
      </c>
      <c r="L3867" s="66" t="str">
        <f aca="false">IF(资金流水!$E336="","",IFERROR(INDEX(记账规则!$A$13:$H$32,MATCH(资金流水!$E336,记账规则!$A$13:$A$32,0),6),""))</f>
        <v/>
      </c>
      <c r="M3867" s="66" t="str">
        <f aca="false">IF($L3867="","",IFERROR(INDEX(记账规则!$A$13:$H$32,MATCH(资金流水!$E336,记账规则!$A$13:$A$32,0),7),""))</f>
        <v/>
      </c>
      <c r="N3867" s="66" t="str">
        <f aca="false">IF($L3867="","",IFERROR(INDEX(记账规则!$A$13:$H$32,MATCH(资金流水!$E336,记账规则!$A$13:$A$32,0),8),""))</f>
        <v/>
      </c>
      <c r="O3867" s="67" t="n">
        <f aca="false">IF($H3867="",0,ROUND(IF($N3867="金额",N(资金流水!$P336),0),2))</f>
        <v>0</v>
      </c>
      <c r="P3867" s="64" t="str">
        <f aca="false">IF(AND($H3867&lt;&gt;"",ROUND($O3867,2)&lt;&gt;0),"有","")</f>
        <v/>
      </c>
    </row>
    <row r="3868" customFormat="false" ht="15" hidden="true" customHeight="false" outlineLevel="0" collapsed="false">
      <c r="A3868" s="53" t="str">
        <f aca="false">IF($H3868="","",ROW()-5)</f>
        <v/>
      </c>
      <c r="B3868" s="64" t="s">
        <v>37</v>
      </c>
      <c r="C3868" s="53" t="n">
        <v>337</v>
      </c>
      <c r="D3868" s="53" t="n">
        <v>1</v>
      </c>
      <c r="E3868" s="65" t="str">
        <f aca="false">IF($H3868="","",资金流水!$B337)</f>
        <v/>
      </c>
      <c r="F3868" s="55" t="str">
        <f aca="false">IF($H3868="","",资金流水!$C337)</f>
        <v/>
      </c>
      <c r="G3868" s="48" t="str">
        <f aca="false">IF($H3868="","",资金流水!$K337)</f>
        <v/>
      </c>
      <c r="H3868" s="10" t="str">
        <f aca="false">IF($L3868="","",IF($L3868="@对方",资金流水!$G337,IF($L3868="@账户",资金流水!$Q337,$L3868)))</f>
        <v/>
      </c>
      <c r="I3868" s="42" t="n">
        <f aca="false">IF($M3868="借",$O3868,0)</f>
        <v>0</v>
      </c>
      <c r="J3868" s="42" t="n">
        <f aca="false">IF($M3868="贷",$O3868,0)</f>
        <v>0</v>
      </c>
      <c r="K3868" s="48" t="str">
        <f aca="false">IF($H3868="","",资金流水!$F337)</f>
        <v/>
      </c>
      <c r="L3868" s="66" t="str">
        <f aca="false">IF(资金流水!$E337="","",IFERROR(INDEX(记账规则!$A$13:$H$32,MATCH(资金流水!$E337,记账规则!$A$13:$A$32,0),3),""))</f>
        <v/>
      </c>
      <c r="M3868" s="66" t="str">
        <f aca="false">IF($L3868="","",IFERROR(INDEX(记账规则!$A$13:$H$32,MATCH(资金流水!$E337,记账规则!$A$13:$A$32,0),4),""))</f>
        <v/>
      </c>
      <c r="N3868" s="66" t="str">
        <f aca="false">IF($L3868="","",IFERROR(INDEX(记账规则!$A$13:$H$32,MATCH(资金流水!$E337,记账规则!$A$13:$A$32,0),5),""))</f>
        <v/>
      </c>
      <c r="O3868" s="67" t="n">
        <f aca="false">IF($H3868="",0,ROUND(IF($N3868="金额",N(资金流水!$P337),0),2))</f>
        <v>0</v>
      </c>
      <c r="P3868" s="64" t="str">
        <f aca="false">IF(AND($H3868&lt;&gt;"",ROUND($O3868,2)&lt;&gt;0),"有","")</f>
        <v/>
      </c>
    </row>
    <row r="3869" customFormat="false" ht="15" hidden="true" customHeight="false" outlineLevel="0" collapsed="false">
      <c r="A3869" s="53" t="str">
        <f aca="false">IF($H3869="","",ROW()-5)</f>
        <v/>
      </c>
      <c r="B3869" s="64" t="s">
        <v>37</v>
      </c>
      <c r="C3869" s="53" t="n">
        <v>337</v>
      </c>
      <c r="D3869" s="53" t="n">
        <v>2</v>
      </c>
      <c r="E3869" s="65" t="str">
        <f aca="false">IF($H3869="","",资金流水!$B337)</f>
        <v/>
      </c>
      <c r="F3869" s="55" t="str">
        <f aca="false">IF($H3869="","",资金流水!$C337)</f>
        <v/>
      </c>
      <c r="G3869" s="48" t="str">
        <f aca="false">IF($H3869="","",资金流水!$K337)</f>
        <v/>
      </c>
      <c r="H3869" s="10" t="str">
        <f aca="false">IF($L3869="","",IF($L3869="@对方",资金流水!$G337,IF($L3869="@账户",资金流水!$Q337,$L3869)))</f>
        <v/>
      </c>
      <c r="I3869" s="42" t="n">
        <f aca="false">IF($M3869="借",$O3869,0)</f>
        <v>0</v>
      </c>
      <c r="J3869" s="42" t="n">
        <f aca="false">IF($M3869="贷",$O3869,0)</f>
        <v>0</v>
      </c>
      <c r="K3869" s="48" t="str">
        <f aca="false">IF($H3869="","",资金流水!$F337)</f>
        <v/>
      </c>
      <c r="L3869" s="66" t="str">
        <f aca="false">IF(资金流水!$E337="","",IFERROR(INDEX(记账规则!$A$13:$H$32,MATCH(资金流水!$E337,记账规则!$A$13:$A$32,0),6),""))</f>
        <v/>
      </c>
      <c r="M3869" s="66" t="str">
        <f aca="false">IF($L3869="","",IFERROR(INDEX(记账规则!$A$13:$H$32,MATCH(资金流水!$E337,记账规则!$A$13:$A$32,0),7),""))</f>
        <v/>
      </c>
      <c r="N3869" s="66" t="str">
        <f aca="false">IF($L3869="","",IFERROR(INDEX(记账规则!$A$13:$H$32,MATCH(资金流水!$E337,记账规则!$A$13:$A$32,0),8),""))</f>
        <v/>
      </c>
      <c r="O3869" s="67" t="n">
        <f aca="false">IF($H3869="",0,ROUND(IF($N3869="金额",N(资金流水!$P337),0),2))</f>
        <v>0</v>
      </c>
      <c r="P3869" s="64" t="str">
        <f aca="false">IF(AND($H3869&lt;&gt;"",ROUND($O3869,2)&lt;&gt;0),"有","")</f>
        <v/>
      </c>
    </row>
    <row r="3870" customFormat="false" ht="15" hidden="true" customHeight="false" outlineLevel="0" collapsed="false">
      <c r="A3870" s="53" t="str">
        <f aca="false">IF($H3870="","",ROW()-5)</f>
        <v/>
      </c>
      <c r="B3870" s="64" t="s">
        <v>37</v>
      </c>
      <c r="C3870" s="53" t="n">
        <v>338</v>
      </c>
      <c r="D3870" s="53" t="n">
        <v>1</v>
      </c>
      <c r="E3870" s="65" t="str">
        <f aca="false">IF($H3870="","",资金流水!$B338)</f>
        <v/>
      </c>
      <c r="F3870" s="55" t="str">
        <f aca="false">IF($H3870="","",资金流水!$C338)</f>
        <v/>
      </c>
      <c r="G3870" s="48" t="str">
        <f aca="false">IF($H3870="","",资金流水!$K338)</f>
        <v/>
      </c>
      <c r="H3870" s="10" t="str">
        <f aca="false">IF($L3870="","",IF($L3870="@对方",资金流水!$G338,IF($L3870="@账户",资金流水!$Q338,$L3870)))</f>
        <v/>
      </c>
      <c r="I3870" s="42" t="n">
        <f aca="false">IF($M3870="借",$O3870,0)</f>
        <v>0</v>
      </c>
      <c r="J3870" s="42" t="n">
        <f aca="false">IF($M3870="贷",$O3870,0)</f>
        <v>0</v>
      </c>
      <c r="K3870" s="48" t="str">
        <f aca="false">IF($H3870="","",资金流水!$F338)</f>
        <v/>
      </c>
      <c r="L3870" s="66" t="str">
        <f aca="false">IF(资金流水!$E338="","",IFERROR(INDEX(记账规则!$A$13:$H$32,MATCH(资金流水!$E338,记账规则!$A$13:$A$32,0),3),""))</f>
        <v/>
      </c>
      <c r="M3870" s="66" t="str">
        <f aca="false">IF($L3870="","",IFERROR(INDEX(记账规则!$A$13:$H$32,MATCH(资金流水!$E338,记账规则!$A$13:$A$32,0),4),""))</f>
        <v/>
      </c>
      <c r="N3870" s="66" t="str">
        <f aca="false">IF($L3870="","",IFERROR(INDEX(记账规则!$A$13:$H$32,MATCH(资金流水!$E338,记账规则!$A$13:$A$32,0),5),""))</f>
        <v/>
      </c>
      <c r="O3870" s="67" t="n">
        <f aca="false">IF($H3870="",0,ROUND(IF($N3870="金额",N(资金流水!$P338),0),2))</f>
        <v>0</v>
      </c>
      <c r="P3870" s="64" t="str">
        <f aca="false">IF(AND($H3870&lt;&gt;"",ROUND($O3870,2)&lt;&gt;0),"有","")</f>
        <v/>
      </c>
    </row>
    <row r="3871" customFormat="false" ht="15" hidden="true" customHeight="false" outlineLevel="0" collapsed="false">
      <c r="A3871" s="53" t="str">
        <f aca="false">IF($H3871="","",ROW()-5)</f>
        <v/>
      </c>
      <c r="B3871" s="64" t="s">
        <v>37</v>
      </c>
      <c r="C3871" s="53" t="n">
        <v>338</v>
      </c>
      <c r="D3871" s="53" t="n">
        <v>2</v>
      </c>
      <c r="E3871" s="65" t="str">
        <f aca="false">IF($H3871="","",资金流水!$B338)</f>
        <v/>
      </c>
      <c r="F3871" s="55" t="str">
        <f aca="false">IF($H3871="","",资金流水!$C338)</f>
        <v/>
      </c>
      <c r="G3871" s="48" t="str">
        <f aca="false">IF($H3871="","",资金流水!$K338)</f>
        <v/>
      </c>
      <c r="H3871" s="10" t="str">
        <f aca="false">IF($L3871="","",IF($L3871="@对方",资金流水!$G338,IF($L3871="@账户",资金流水!$Q338,$L3871)))</f>
        <v/>
      </c>
      <c r="I3871" s="42" t="n">
        <f aca="false">IF($M3871="借",$O3871,0)</f>
        <v>0</v>
      </c>
      <c r="J3871" s="42" t="n">
        <f aca="false">IF($M3871="贷",$O3871,0)</f>
        <v>0</v>
      </c>
      <c r="K3871" s="48" t="str">
        <f aca="false">IF($H3871="","",资金流水!$F338)</f>
        <v/>
      </c>
      <c r="L3871" s="66" t="str">
        <f aca="false">IF(资金流水!$E338="","",IFERROR(INDEX(记账规则!$A$13:$H$32,MATCH(资金流水!$E338,记账规则!$A$13:$A$32,0),6),""))</f>
        <v/>
      </c>
      <c r="M3871" s="66" t="str">
        <f aca="false">IF($L3871="","",IFERROR(INDEX(记账规则!$A$13:$H$32,MATCH(资金流水!$E338,记账规则!$A$13:$A$32,0),7),""))</f>
        <v/>
      </c>
      <c r="N3871" s="66" t="str">
        <f aca="false">IF($L3871="","",IFERROR(INDEX(记账规则!$A$13:$H$32,MATCH(资金流水!$E338,记账规则!$A$13:$A$32,0),8),""))</f>
        <v/>
      </c>
      <c r="O3871" s="67" t="n">
        <f aca="false">IF($H3871="",0,ROUND(IF($N3871="金额",N(资金流水!$P338),0),2))</f>
        <v>0</v>
      </c>
      <c r="P3871" s="64" t="str">
        <f aca="false">IF(AND($H3871&lt;&gt;"",ROUND($O3871,2)&lt;&gt;0),"有","")</f>
        <v/>
      </c>
    </row>
    <row r="3872" customFormat="false" ht="15" hidden="true" customHeight="false" outlineLevel="0" collapsed="false">
      <c r="A3872" s="53" t="str">
        <f aca="false">IF($H3872="","",ROW()-5)</f>
        <v/>
      </c>
      <c r="B3872" s="64" t="s">
        <v>37</v>
      </c>
      <c r="C3872" s="53" t="n">
        <v>339</v>
      </c>
      <c r="D3872" s="53" t="n">
        <v>1</v>
      </c>
      <c r="E3872" s="65" t="str">
        <f aca="false">IF($H3872="","",资金流水!$B339)</f>
        <v/>
      </c>
      <c r="F3872" s="55" t="str">
        <f aca="false">IF($H3872="","",资金流水!$C339)</f>
        <v/>
      </c>
      <c r="G3872" s="48" t="str">
        <f aca="false">IF($H3872="","",资金流水!$K339)</f>
        <v/>
      </c>
      <c r="H3872" s="10" t="str">
        <f aca="false">IF($L3872="","",IF($L3872="@对方",资金流水!$G339,IF($L3872="@账户",资金流水!$Q339,$L3872)))</f>
        <v/>
      </c>
      <c r="I3872" s="42" t="n">
        <f aca="false">IF($M3872="借",$O3872,0)</f>
        <v>0</v>
      </c>
      <c r="J3872" s="42" t="n">
        <f aca="false">IF($M3872="贷",$O3872,0)</f>
        <v>0</v>
      </c>
      <c r="K3872" s="48" t="str">
        <f aca="false">IF($H3872="","",资金流水!$F339)</f>
        <v/>
      </c>
      <c r="L3872" s="66" t="str">
        <f aca="false">IF(资金流水!$E339="","",IFERROR(INDEX(记账规则!$A$13:$H$32,MATCH(资金流水!$E339,记账规则!$A$13:$A$32,0),3),""))</f>
        <v/>
      </c>
      <c r="M3872" s="66" t="str">
        <f aca="false">IF($L3872="","",IFERROR(INDEX(记账规则!$A$13:$H$32,MATCH(资金流水!$E339,记账规则!$A$13:$A$32,0),4),""))</f>
        <v/>
      </c>
      <c r="N3872" s="66" t="str">
        <f aca="false">IF($L3872="","",IFERROR(INDEX(记账规则!$A$13:$H$32,MATCH(资金流水!$E339,记账规则!$A$13:$A$32,0),5),""))</f>
        <v/>
      </c>
      <c r="O3872" s="67" t="n">
        <f aca="false">IF($H3872="",0,ROUND(IF($N3872="金额",N(资金流水!$P339),0),2))</f>
        <v>0</v>
      </c>
      <c r="P3872" s="64" t="str">
        <f aca="false">IF(AND($H3872&lt;&gt;"",ROUND($O3872,2)&lt;&gt;0),"有","")</f>
        <v/>
      </c>
    </row>
    <row r="3873" customFormat="false" ht="15" hidden="true" customHeight="false" outlineLevel="0" collapsed="false">
      <c r="A3873" s="53" t="str">
        <f aca="false">IF($H3873="","",ROW()-5)</f>
        <v/>
      </c>
      <c r="B3873" s="64" t="s">
        <v>37</v>
      </c>
      <c r="C3873" s="53" t="n">
        <v>339</v>
      </c>
      <c r="D3873" s="53" t="n">
        <v>2</v>
      </c>
      <c r="E3873" s="65" t="str">
        <f aca="false">IF($H3873="","",资金流水!$B339)</f>
        <v/>
      </c>
      <c r="F3873" s="55" t="str">
        <f aca="false">IF($H3873="","",资金流水!$C339)</f>
        <v/>
      </c>
      <c r="G3873" s="48" t="str">
        <f aca="false">IF($H3873="","",资金流水!$K339)</f>
        <v/>
      </c>
      <c r="H3873" s="10" t="str">
        <f aca="false">IF($L3873="","",IF($L3873="@对方",资金流水!$G339,IF($L3873="@账户",资金流水!$Q339,$L3873)))</f>
        <v/>
      </c>
      <c r="I3873" s="42" t="n">
        <f aca="false">IF($M3873="借",$O3873,0)</f>
        <v>0</v>
      </c>
      <c r="J3873" s="42" t="n">
        <f aca="false">IF($M3873="贷",$O3873,0)</f>
        <v>0</v>
      </c>
      <c r="K3873" s="48" t="str">
        <f aca="false">IF($H3873="","",资金流水!$F339)</f>
        <v/>
      </c>
      <c r="L3873" s="66" t="str">
        <f aca="false">IF(资金流水!$E339="","",IFERROR(INDEX(记账规则!$A$13:$H$32,MATCH(资金流水!$E339,记账规则!$A$13:$A$32,0),6),""))</f>
        <v/>
      </c>
      <c r="M3873" s="66" t="str">
        <f aca="false">IF($L3873="","",IFERROR(INDEX(记账规则!$A$13:$H$32,MATCH(资金流水!$E339,记账规则!$A$13:$A$32,0),7),""))</f>
        <v/>
      </c>
      <c r="N3873" s="66" t="str">
        <f aca="false">IF($L3873="","",IFERROR(INDEX(记账规则!$A$13:$H$32,MATCH(资金流水!$E339,记账规则!$A$13:$A$32,0),8),""))</f>
        <v/>
      </c>
      <c r="O3873" s="67" t="n">
        <f aca="false">IF($H3873="",0,ROUND(IF($N3873="金额",N(资金流水!$P339),0),2))</f>
        <v>0</v>
      </c>
      <c r="P3873" s="64" t="str">
        <f aca="false">IF(AND($H3873&lt;&gt;"",ROUND($O3873,2)&lt;&gt;0),"有","")</f>
        <v/>
      </c>
    </row>
    <row r="3874" customFormat="false" ht="15" hidden="true" customHeight="false" outlineLevel="0" collapsed="false">
      <c r="A3874" s="53" t="str">
        <f aca="false">IF($H3874="","",ROW()-5)</f>
        <v/>
      </c>
      <c r="B3874" s="64" t="s">
        <v>37</v>
      </c>
      <c r="C3874" s="53" t="n">
        <v>340</v>
      </c>
      <c r="D3874" s="53" t="n">
        <v>1</v>
      </c>
      <c r="E3874" s="65" t="str">
        <f aca="false">IF($H3874="","",资金流水!$B340)</f>
        <v/>
      </c>
      <c r="F3874" s="55" t="str">
        <f aca="false">IF($H3874="","",资金流水!$C340)</f>
        <v/>
      </c>
      <c r="G3874" s="48" t="str">
        <f aca="false">IF($H3874="","",资金流水!$K340)</f>
        <v/>
      </c>
      <c r="H3874" s="10" t="str">
        <f aca="false">IF($L3874="","",IF($L3874="@对方",资金流水!$G340,IF($L3874="@账户",资金流水!$Q340,$L3874)))</f>
        <v/>
      </c>
      <c r="I3874" s="42" t="n">
        <f aca="false">IF($M3874="借",$O3874,0)</f>
        <v>0</v>
      </c>
      <c r="J3874" s="42" t="n">
        <f aca="false">IF($M3874="贷",$O3874,0)</f>
        <v>0</v>
      </c>
      <c r="K3874" s="48" t="str">
        <f aca="false">IF($H3874="","",资金流水!$F340)</f>
        <v/>
      </c>
      <c r="L3874" s="66" t="str">
        <f aca="false">IF(资金流水!$E340="","",IFERROR(INDEX(记账规则!$A$13:$H$32,MATCH(资金流水!$E340,记账规则!$A$13:$A$32,0),3),""))</f>
        <v/>
      </c>
      <c r="M3874" s="66" t="str">
        <f aca="false">IF($L3874="","",IFERROR(INDEX(记账规则!$A$13:$H$32,MATCH(资金流水!$E340,记账规则!$A$13:$A$32,0),4),""))</f>
        <v/>
      </c>
      <c r="N3874" s="66" t="str">
        <f aca="false">IF($L3874="","",IFERROR(INDEX(记账规则!$A$13:$H$32,MATCH(资金流水!$E340,记账规则!$A$13:$A$32,0),5),""))</f>
        <v/>
      </c>
      <c r="O3874" s="67" t="n">
        <f aca="false">IF($H3874="",0,ROUND(IF($N3874="金额",N(资金流水!$P340),0),2))</f>
        <v>0</v>
      </c>
      <c r="P3874" s="64" t="str">
        <f aca="false">IF(AND($H3874&lt;&gt;"",ROUND($O3874,2)&lt;&gt;0),"有","")</f>
        <v/>
      </c>
    </row>
    <row r="3875" customFormat="false" ht="15" hidden="true" customHeight="false" outlineLevel="0" collapsed="false">
      <c r="A3875" s="53" t="str">
        <f aca="false">IF($H3875="","",ROW()-5)</f>
        <v/>
      </c>
      <c r="B3875" s="64" t="s">
        <v>37</v>
      </c>
      <c r="C3875" s="53" t="n">
        <v>340</v>
      </c>
      <c r="D3875" s="53" t="n">
        <v>2</v>
      </c>
      <c r="E3875" s="65" t="str">
        <f aca="false">IF($H3875="","",资金流水!$B340)</f>
        <v/>
      </c>
      <c r="F3875" s="55" t="str">
        <f aca="false">IF($H3875="","",资金流水!$C340)</f>
        <v/>
      </c>
      <c r="G3875" s="48" t="str">
        <f aca="false">IF($H3875="","",资金流水!$K340)</f>
        <v/>
      </c>
      <c r="H3875" s="10" t="str">
        <f aca="false">IF($L3875="","",IF($L3875="@对方",资金流水!$G340,IF($L3875="@账户",资金流水!$Q340,$L3875)))</f>
        <v/>
      </c>
      <c r="I3875" s="42" t="n">
        <f aca="false">IF($M3875="借",$O3875,0)</f>
        <v>0</v>
      </c>
      <c r="J3875" s="42" t="n">
        <f aca="false">IF($M3875="贷",$O3875,0)</f>
        <v>0</v>
      </c>
      <c r="K3875" s="48" t="str">
        <f aca="false">IF($H3875="","",资金流水!$F340)</f>
        <v/>
      </c>
      <c r="L3875" s="66" t="str">
        <f aca="false">IF(资金流水!$E340="","",IFERROR(INDEX(记账规则!$A$13:$H$32,MATCH(资金流水!$E340,记账规则!$A$13:$A$32,0),6),""))</f>
        <v/>
      </c>
      <c r="M3875" s="66" t="str">
        <f aca="false">IF($L3875="","",IFERROR(INDEX(记账规则!$A$13:$H$32,MATCH(资金流水!$E340,记账规则!$A$13:$A$32,0),7),""))</f>
        <v/>
      </c>
      <c r="N3875" s="66" t="str">
        <f aca="false">IF($L3875="","",IFERROR(INDEX(记账规则!$A$13:$H$32,MATCH(资金流水!$E340,记账规则!$A$13:$A$32,0),8),""))</f>
        <v/>
      </c>
      <c r="O3875" s="67" t="n">
        <f aca="false">IF($H3875="",0,ROUND(IF($N3875="金额",N(资金流水!$P340),0),2))</f>
        <v>0</v>
      </c>
      <c r="P3875" s="64" t="str">
        <f aca="false">IF(AND($H3875&lt;&gt;"",ROUND($O3875,2)&lt;&gt;0),"有","")</f>
        <v/>
      </c>
    </row>
    <row r="3876" customFormat="false" ht="15" hidden="true" customHeight="false" outlineLevel="0" collapsed="false">
      <c r="A3876" s="53" t="str">
        <f aca="false">IF($H3876="","",ROW()-5)</f>
        <v/>
      </c>
      <c r="B3876" s="64" t="s">
        <v>37</v>
      </c>
      <c r="C3876" s="53" t="n">
        <v>341</v>
      </c>
      <c r="D3876" s="53" t="n">
        <v>1</v>
      </c>
      <c r="E3876" s="65" t="str">
        <f aca="false">IF($H3876="","",资金流水!$B341)</f>
        <v/>
      </c>
      <c r="F3876" s="55" t="str">
        <f aca="false">IF($H3876="","",资金流水!$C341)</f>
        <v/>
      </c>
      <c r="G3876" s="48" t="str">
        <f aca="false">IF($H3876="","",资金流水!$K341)</f>
        <v/>
      </c>
      <c r="H3876" s="10" t="str">
        <f aca="false">IF($L3876="","",IF($L3876="@对方",资金流水!$G341,IF($L3876="@账户",资金流水!$Q341,$L3876)))</f>
        <v/>
      </c>
      <c r="I3876" s="42" t="n">
        <f aca="false">IF($M3876="借",$O3876,0)</f>
        <v>0</v>
      </c>
      <c r="J3876" s="42" t="n">
        <f aca="false">IF($M3876="贷",$O3876,0)</f>
        <v>0</v>
      </c>
      <c r="K3876" s="48" t="str">
        <f aca="false">IF($H3876="","",资金流水!$F341)</f>
        <v/>
      </c>
      <c r="L3876" s="66" t="str">
        <f aca="false">IF(资金流水!$E341="","",IFERROR(INDEX(记账规则!$A$13:$H$32,MATCH(资金流水!$E341,记账规则!$A$13:$A$32,0),3),""))</f>
        <v/>
      </c>
      <c r="M3876" s="66" t="str">
        <f aca="false">IF($L3876="","",IFERROR(INDEX(记账规则!$A$13:$H$32,MATCH(资金流水!$E341,记账规则!$A$13:$A$32,0),4),""))</f>
        <v/>
      </c>
      <c r="N3876" s="66" t="str">
        <f aca="false">IF($L3876="","",IFERROR(INDEX(记账规则!$A$13:$H$32,MATCH(资金流水!$E341,记账规则!$A$13:$A$32,0),5),""))</f>
        <v/>
      </c>
      <c r="O3876" s="67" t="n">
        <f aca="false">IF($H3876="",0,ROUND(IF($N3876="金额",N(资金流水!$P341),0),2))</f>
        <v>0</v>
      </c>
      <c r="P3876" s="64" t="str">
        <f aca="false">IF(AND($H3876&lt;&gt;"",ROUND($O3876,2)&lt;&gt;0),"有","")</f>
        <v/>
      </c>
    </row>
    <row r="3877" customFormat="false" ht="15" hidden="true" customHeight="false" outlineLevel="0" collapsed="false">
      <c r="A3877" s="53" t="str">
        <f aca="false">IF($H3877="","",ROW()-5)</f>
        <v/>
      </c>
      <c r="B3877" s="64" t="s">
        <v>37</v>
      </c>
      <c r="C3877" s="53" t="n">
        <v>341</v>
      </c>
      <c r="D3877" s="53" t="n">
        <v>2</v>
      </c>
      <c r="E3877" s="65" t="str">
        <f aca="false">IF($H3877="","",资金流水!$B341)</f>
        <v/>
      </c>
      <c r="F3877" s="55" t="str">
        <f aca="false">IF($H3877="","",资金流水!$C341)</f>
        <v/>
      </c>
      <c r="G3877" s="48" t="str">
        <f aca="false">IF($H3877="","",资金流水!$K341)</f>
        <v/>
      </c>
      <c r="H3877" s="10" t="str">
        <f aca="false">IF($L3877="","",IF($L3877="@对方",资金流水!$G341,IF($L3877="@账户",资金流水!$Q341,$L3877)))</f>
        <v/>
      </c>
      <c r="I3877" s="42" t="n">
        <f aca="false">IF($M3877="借",$O3877,0)</f>
        <v>0</v>
      </c>
      <c r="J3877" s="42" t="n">
        <f aca="false">IF($M3877="贷",$O3877,0)</f>
        <v>0</v>
      </c>
      <c r="K3877" s="48" t="str">
        <f aca="false">IF($H3877="","",资金流水!$F341)</f>
        <v/>
      </c>
      <c r="L3877" s="66" t="str">
        <f aca="false">IF(资金流水!$E341="","",IFERROR(INDEX(记账规则!$A$13:$H$32,MATCH(资金流水!$E341,记账规则!$A$13:$A$32,0),6),""))</f>
        <v/>
      </c>
      <c r="M3877" s="66" t="str">
        <f aca="false">IF($L3877="","",IFERROR(INDEX(记账规则!$A$13:$H$32,MATCH(资金流水!$E341,记账规则!$A$13:$A$32,0),7),""))</f>
        <v/>
      </c>
      <c r="N3877" s="66" t="str">
        <f aca="false">IF($L3877="","",IFERROR(INDEX(记账规则!$A$13:$H$32,MATCH(资金流水!$E341,记账规则!$A$13:$A$32,0),8),""))</f>
        <v/>
      </c>
      <c r="O3877" s="67" t="n">
        <f aca="false">IF($H3877="",0,ROUND(IF($N3877="金额",N(资金流水!$P341),0),2))</f>
        <v>0</v>
      </c>
      <c r="P3877" s="64" t="str">
        <f aca="false">IF(AND($H3877&lt;&gt;"",ROUND($O3877,2)&lt;&gt;0),"有","")</f>
        <v/>
      </c>
    </row>
    <row r="3878" customFormat="false" ht="15" hidden="true" customHeight="false" outlineLevel="0" collapsed="false">
      <c r="A3878" s="53" t="str">
        <f aca="false">IF($H3878="","",ROW()-5)</f>
        <v/>
      </c>
      <c r="B3878" s="64" t="s">
        <v>37</v>
      </c>
      <c r="C3878" s="53" t="n">
        <v>342</v>
      </c>
      <c r="D3878" s="53" t="n">
        <v>1</v>
      </c>
      <c r="E3878" s="65" t="str">
        <f aca="false">IF($H3878="","",资金流水!$B342)</f>
        <v/>
      </c>
      <c r="F3878" s="55" t="str">
        <f aca="false">IF($H3878="","",资金流水!$C342)</f>
        <v/>
      </c>
      <c r="G3878" s="48" t="str">
        <f aca="false">IF($H3878="","",资金流水!$K342)</f>
        <v/>
      </c>
      <c r="H3878" s="10" t="str">
        <f aca="false">IF($L3878="","",IF($L3878="@对方",资金流水!$G342,IF($L3878="@账户",资金流水!$Q342,$L3878)))</f>
        <v/>
      </c>
      <c r="I3878" s="42" t="n">
        <f aca="false">IF($M3878="借",$O3878,0)</f>
        <v>0</v>
      </c>
      <c r="J3878" s="42" t="n">
        <f aca="false">IF($M3878="贷",$O3878,0)</f>
        <v>0</v>
      </c>
      <c r="K3878" s="48" t="str">
        <f aca="false">IF($H3878="","",资金流水!$F342)</f>
        <v/>
      </c>
      <c r="L3878" s="66" t="str">
        <f aca="false">IF(资金流水!$E342="","",IFERROR(INDEX(记账规则!$A$13:$H$32,MATCH(资金流水!$E342,记账规则!$A$13:$A$32,0),3),""))</f>
        <v/>
      </c>
      <c r="M3878" s="66" t="str">
        <f aca="false">IF($L3878="","",IFERROR(INDEX(记账规则!$A$13:$H$32,MATCH(资金流水!$E342,记账规则!$A$13:$A$32,0),4),""))</f>
        <v/>
      </c>
      <c r="N3878" s="66" t="str">
        <f aca="false">IF($L3878="","",IFERROR(INDEX(记账规则!$A$13:$H$32,MATCH(资金流水!$E342,记账规则!$A$13:$A$32,0),5),""))</f>
        <v/>
      </c>
      <c r="O3878" s="67" t="n">
        <f aca="false">IF($H3878="",0,ROUND(IF($N3878="金额",N(资金流水!$P342),0),2))</f>
        <v>0</v>
      </c>
      <c r="P3878" s="64" t="str">
        <f aca="false">IF(AND($H3878&lt;&gt;"",ROUND($O3878,2)&lt;&gt;0),"有","")</f>
        <v/>
      </c>
    </row>
    <row r="3879" customFormat="false" ht="15" hidden="true" customHeight="false" outlineLevel="0" collapsed="false">
      <c r="A3879" s="53" t="str">
        <f aca="false">IF($H3879="","",ROW()-5)</f>
        <v/>
      </c>
      <c r="B3879" s="64" t="s">
        <v>37</v>
      </c>
      <c r="C3879" s="53" t="n">
        <v>342</v>
      </c>
      <c r="D3879" s="53" t="n">
        <v>2</v>
      </c>
      <c r="E3879" s="65" t="str">
        <f aca="false">IF($H3879="","",资金流水!$B342)</f>
        <v/>
      </c>
      <c r="F3879" s="55" t="str">
        <f aca="false">IF($H3879="","",资金流水!$C342)</f>
        <v/>
      </c>
      <c r="G3879" s="48" t="str">
        <f aca="false">IF($H3879="","",资金流水!$K342)</f>
        <v/>
      </c>
      <c r="H3879" s="10" t="str">
        <f aca="false">IF($L3879="","",IF($L3879="@对方",资金流水!$G342,IF($L3879="@账户",资金流水!$Q342,$L3879)))</f>
        <v/>
      </c>
      <c r="I3879" s="42" t="n">
        <f aca="false">IF($M3879="借",$O3879,0)</f>
        <v>0</v>
      </c>
      <c r="J3879" s="42" t="n">
        <f aca="false">IF($M3879="贷",$O3879,0)</f>
        <v>0</v>
      </c>
      <c r="K3879" s="48" t="str">
        <f aca="false">IF($H3879="","",资金流水!$F342)</f>
        <v/>
      </c>
      <c r="L3879" s="66" t="str">
        <f aca="false">IF(资金流水!$E342="","",IFERROR(INDEX(记账规则!$A$13:$H$32,MATCH(资金流水!$E342,记账规则!$A$13:$A$32,0),6),""))</f>
        <v/>
      </c>
      <c r="M3879" s="66" t="str">
        <f aca="false">IF($L3879="","",IFERROR(INDEX(记账规则!$A$13:$H$32,MATCH(资金流水!$E342,记账规则!$A$13:$A$32,0),7),""))</f>
        <v/>
      </c>
      <c r="N3879" s="66" t="str">
        <f aca="false">IF($L3879="","",IFERROR(INDEX(记账规则!$A$13:$H$32,MATCH(资金流水!$E342,记账规则!$A$13:$A$32,0),8),""))</f>
        <v/>
      </c>
      <c r="O3879" s="67" t="n">
        <f aca="false">IF($H3879="",0,ROUND(IF($N3879="金额",N(资金流水!$P342),0),2))</f>
        <v>0</v>
      </c>
      <c r="P3879" s="64" t="str">
        <f aca="false">IF(AND($H3879&lt;&gt;"",ROUND($O3879,2)&lt;&gt;0),"有","")</f>
        <v/>
      </c>
    </row>
    <row r="3880" customFormat="false" ht="15" hidden="true" customHeight="false" outlineLevel="0" collapsed="false">
      <c r="A3880" s="53" t="str">
        <f aca="false">IF($H3880="","",ROW()-5)</f>
        <v/>
      </c>
      <c r="B3880" s="64" t="s">
        <v>37</v>
      </c>
      <c r="C3880" s="53" t="n">
        <v>343</v>
      </c>
      <c r="D3880" s="53" t="n">
        <v>1</v>
      </c>
      <c r="E3880" s="65" t="str">
        <f aca="false">IF($H3880="","",资金流水!$B343)</f>
        <v/>
      </c>
      <c r="F3880" s="55" t="str">
        <f aca="false">IF($H3880="","",资金流水!$C343)</f>
        <v/>
      </c>
      <c r="G3880" s="48" t="str">
        <f aca="false">IF($H3880="","",资金流水!$K343)</f>
        <v/>
      </c>
      <c r="H3880" s="10" t="str">
        <f aca="false">IF($L3880="","",IF($L3880="@对方",资金流水!$G343,IF($L3880="@账户",资金流水!$Q343,$L3880)))</f>
        <v/>
      </c>
      <c r="I3880" s="42" t="n">
        <f aca="false">IF($M3880="借",$O3880,0)</f>
        <v>0</v>
      </c>
      <c r="J3880" s="42" t="n">
        <f aca="false">IF($M3880="贷",$O3880,0)</f>
        <v>0</v>
      </c>
      <c r="K3880" s="48" t="str">
        <f aca="false">IF($H3880="","",资金流水!$F343)</f>
        <v/>
      </c>
      <c r="L3880" s="66" t="str">
        <f aca="false">IF(资金流水!$E343="","",IFERROR(INDEX(记账规则!$A$13:$H$32,MATCH(资金流水!$E343,记账规则!$A$13:$A$32,0),3),""))</f>
        <v/>
      </c>
      <c r="M3880" s="66" t="str">
        <f aca="false">IF($L3880="","",IFERROR(INDEX(记账规则!$A$13:$H$32,MATCH(资金流水!$E343,记账规则!$A$13:$A$32,0),4),""))</f>
        <v/>
      </c>
      <c r="N3880" s="66" t="str">
        <f aca="false">IF($L3880="","",IFERROR(INDEX(记账规则!$A$13:$H$32,MATCH(资金流水!$E343,记账规则!$A$13:$A$32,0),5),""))</f>
        <v/>
      </c>
      <c r="O3880" s="67" t="n">
        <f aca="false">IF($H3880="",0,ROUND(IF($N3880="金额",N(资金流水!$P343),0),2))</f>
        <v>0</v>
      </c>
      <c r="P3880" s="64" t="str">
        <f aca="false">IF(AND($H3880&lt;&gt;"",ROUND($O3880,2)&lt;&gt;0),"有","")</f>
        <v/>
      </c>
    </row>
    <row r="3881" customFormat="false" ht="15" hidden="true" customHeight="false" outlineLevel="0" collapsed="false">
      <c r="A3881" s="53" t="str">
        <f aca="false">IF($H3881="","",ROW()-5)</f>
        <v/>
      </c>
      <c r="B3881" s="64" t="s">
        <v>37</v>
      </c>
      <c r="C3881" s="53" t="n">
        <v>343</v>
      </c>
      <c r="D3881" s="53" t="n">
        <v>2</v>
      </c>
      <c r="E3881" s="65" t="str">
        <f aca="false">IF($H3881="","",资金流水!$B343)</f>
        <v/>
      </c>
      <c r="F3881" s="55" t="str">
        <f aca="false">IF($H3881="","",资金流水!$C343)</f>
        <v/>
      </c>
      <c r="G3881" s="48" t="str">
        <f aca="false">IF($H3881="","",资金流水!$K343)</f>
        <v/>
      </c>
      <c r="H3881" s="10" t="str">
        <f aca="false">IF($L3881="","",IF($L3881="@对方",资金流水!$G343,IF($L3881="@账户",资金流水!$Q343,$L3881)))</f>
        <v/>
      </c>
      <c r="I3881" s="42" t="n">
        <f aca="false">IF($M3881="借",$O3881,0)</f>
        <v>0</v>
      </c>
      <c r="J3881" s="42" t="n">
        <f aca="false">IF($M3881="贷",$O3881,0)</f>
        <v>0</v>
      </c>
      <c r="K3881" s="48" t="str">
        <f aca="false">IF($H3881="","",资金流水!$F343)</f>
        <v/>
      </c>
      <c r="L3881" s="66" t="str">
        <f aca="false">IF(资金流水!$E343="","",IFERROR(INDEX(记账规则!$A$13:$H$32,MATCH(资金流水!$E343,记账规则!$A$13:$A$32,0),6),""))</f>
        <v/>
      </c>
      <c r="M3881" s="66" t="str">
        <f aca="false">IF($L3881="","",IFERROR(INDEX(记账规则!$A$13:$H$32,MATCH(资金流水!$E343,记账规则!$A$13:$A$32,0),7),""))</f>
        <v/>
      </c>
      <c r="N3881" s="66" t="str">
        <f aca="false">IF($L3881="","",IFERROR(INDEX(记账规则!$A$13:$H$32,MATCH(资金流水!$E343,记账规则!$A$13:$A$32,0),8),""))</f>
        <v/>
      </c>
      <c r="O3881" s="67" t="n">
        <f aca="false">IF($H3881="",0,ROUND(IF($N3881="金额",N(资金流水!$P343),0),2))</f>
        <v>0</v>
      </c>
      <c r="P3881" s="64" t="str">
        <f aca="false">IF(AND($H3881&lt;&gt;"",ROUND($O3881,2)&lt;&gt;0),"有","")</f>
        <v/>
      </c>
    </row>
    <row r="3882" customFormat="false" ht="15" hidden="true" customHeight="false" outlineLevel="0" collapsed="false">
      <c r="A3882" s="53" t="str">
        <f aca="false">IF($H3882="","",ROW()-5)</f>
        <v/>
      </c>
      <c r="B3882" s="64" t="s">
        <v>37</v>
      </c>
      <c r="C3882" s="53" t="n">
        <v>344</v>
      </c>
      <c r="D3882" s="53" t="n">
        <v>1</v>
      </c>
      <c r="E3882" s="65" t="str">
        <f aca="false">IF($H3882="","",资金流水!$B344)</f>
        <v/>
      </c>
      <c r="F3882" s="55" t="str">
        <f aca="false">IF($H3882="","",资金流水!$C344)</f>
        <v/>
      </c>
      <c r="G3882" s="48" t="str">
        <f aca="false">IF($H3882="","",资金流水!$K344)</f>
        <v/>
      </c>
      <c r="H3882" s="10" t="str">
        <f aca="false">IF($L3882="","",IF($L3882="@对方",资金流水!$G344,IF($L3882="@账户",资金流水!$Q344,$L3882)))</f>
        <v/>
      </c>
      <c r="I3882" s="42" t="n">
        <f aca="false">IF($M3882="借",$O3882,0)</f>
        <v>0</v>
      </c>
      <c r="J3882" s="42" t="n">
        <f aca="false">IF($M3882="贷",$O3882,0)</f>
        <v>0</v>
      </c>
      <c r="K3882" s="48" t="str">
        <f aca="false">IF($H3882="","",资金流水!$F344)</f>
        <v/>
      </c>
      <c r="L3882" s="66" t="str">
        <f aca="false">IF(资金流水!$E344="","",IFERROR(INDEX(记账规则!$A$13:$H$32,MATCH(资金流水!$E344,记账规则!$A$13:$A$32,0),3),""))</f>
        <v/>
      </c>
      <c r="M3882" s="66" t="str">
        <f aca="false">IF($L3882="","",IFERROR(INDEX(记账规则!$A$13:$H$32,MATCH(资金流水!$E344,记账规则!$A$13:$A$32,0),4),""))</f>
        <v/>
      </c>
      <c r="N3882" s="66" t="str">
        <f aca="false">IF($L3882="","",IFERROR(INDEX(记账规则!$A$13:$H$32,MATCH(资金流水!$E344,记账规则!$A$13:$A$32,0),5),""))</f>
        <v/>
      </c>
      <c r="O3882" s="67" t="n">
        <f aca="false">IF($H3882="",0,ROUND(IF($N3882="金额",N(资金流水!$P344),0),2))</f>
        <v>0</v>
      </c>
      <c r="P3882" s="64" t="str">
        <f aca="false">IF(AND($H3882&lt;&gt;"",ROUND($O3882,2)&lt;&gt;0),"有","")</f>
        <v/>
      </c>
    </row>
    <row r="3883" customFormat="false" ht="15" hidden="true" customHeight="false" outlineLevel="0" collapsed="false">
      <c r="A3883" s="53" t="str">
        <f aca="false">IF($H3883="","",ROW()-5)</f>
        <v/>
      </c>
      <c r="B3883" s="64" t="s">
        <v>37</v>
      </c>
      <c r="C3883" s="53" t="n">
        <v>344</v>
      </c>
      <c r="D3883" s="53" t="n">
        <v>2</v>
      </c>
      <c r="E3883" s="65" t="str">
        <f aca="false">IF($H3883="","",资金流水!$B344)</f>
        <v/>
      </c>
      <c r="F3883" s="55" t="str">
        <f aca="false">IF($H3883="","",资金流水!$C344)</f>
        <v/>
      </c>
      <c r="G3883" s="48" t="str">
        <f aca="false">IF($H3883="","",资金流水!$K344)</f>
        <v/>
      </c>
      <c r="H3883" s="10" t="str">
        <f aca="false">IF($L3883="","",IF($L3883="@对方",资金流水!$G344,IF($L3883="@账户",资金流水!$Q344,$L3883)))</f>
        <v/>
      </c>
      <c r="I3883" s="42" t="n">
        <f aca="false">IF($M3883="借",$O3883,0)</f>
        <v>0</v>
      </c>
      <c r="J3883" s="42" t="n">
        <f aca="false">IF($M3883="贷",$O3883,0)</f>
        <v>0</v>
      </c>
      <c r="K3883" s="48" t="str">
        <f aca="false">IF($H3883="","",资金流水!$F344)</f>
        <v/>
      </c>
      <c r="L3883" s="66" t="str">
        <f aca="false">IF(资金流水!$E344="","",IFERROR(INDEX(记账规则!$A$13:$H$32,MATCH(资金流水!$E344,记账规则!$A$13:$A$32,0),6),""))</f>
        <v/>
      </c>
      <c r="M3883" s="66" t="str">
        <f aca="false">IF($L3883="","",IFERROR(INDEX(记账规则!$A$13:$H$32,MATCH(资金流水!$E344,记账规则!$A$13:$A$32,0),7),""))</f>
        <v/>
      </c>
      <c r="N3883" s="66" t="str">
        <f aca="false">IF($L3883="","",IFERROR(INDEX(记账规则!$A$13:$H$32,MATCH(资金流水!$E344,记账规则!$A$13:$A$32,0),8),""))</f>
        <v/>
      </c>
      <c r="O3883" s="67" t="n">
        <f aca="false">IF($H3883="",0,ROUND(IF($N3883="金额",N(资金流水!$P344),0),2))</f>
        <v>0</v>
      </c>
      <c r="P3883" s="64" t="str">
        <f aca="false">IF(AND($H3883&lt;&gt;"",ROUND($O3883,2)&lt;&gt;0),"有","")</f>
        <v/>
      </c>
    </row>
    <row r="3884" customFormat="false" ht="15" hidden="true" customHeight="false" outlineLevel="0" collapsed="false">
      <c r="A3884" s="53" t="str">
        <f aca="false">IF($H3884="","",ROW()-5)</f>
        <v/>
      </c>
      <c r="B3884" s="64" t="s">
        <v>37</v>
      </c>
      <c r="C3884" s="53" t="n">
        <v>345</v>
      </c>
      <c r="D3884" s="53" t="n">
        <v>1</v>
      </c>
      <c r="E3884" s="65" t="str">
        <f aca="false">IF($H3884="","",资金流水!$B345)</f>
        <v/>
      </c>
      <c r="F3884" s="55" t="str">
        <f aca="false">IF($H3884="","",资金流水!$C345)</f>
        <v/>
      </c>
      <c r="G3884" s="48" t="str">
        <f aca="false">IF($H3884="","",资金流水!$K345)</f>
        <v/>
      </c>
      <c r="H3884" s="10" t="str">
        <f aca="false">IF($L3884="","",IF($L3884="@对方",资金流水!$G345,IF($L3884="@账户",资金流水!$Q345,$L3884)))</f>
        <v/>
      </c>
      <c r="I3884" s="42" t="n">
        <f aca="false">IF($M3884="借",$O3884,0)</f>
        <v>0</v>
      </c>
      <c r="J3884" s="42" t="n">
        <f aca="false">IF($M3884="贷",$O3884,0)</f>
        <v>0</v>
      </c>
      <c r="K3884" s="48" t="str">
        <f aca="false">IF($H3884="","",资金流水!$F345)</f>
        <v/>
      </c>
      <c r="L3884" s="66" t="str">
        <f aca="false">IF(资金流水!$E345="","",IFERROR(INDEX(记账规则!$A$13:$H$32,MATCH(资金流水!$E345,记账规则!$A$13:$A$32,0),3),""))</f>
        <v/>
      </c>
      <c r="M3884" s="66" t="str">
        <f aca="false">IF($L3884="","",IFERROR(INDEX(记账规则!$A$13:$H$32,MATCH(资金流水!$E345,记账规则!$A$13:$A$32,0),4),""))</f>
        <v/>
      </c>
      <c r="N3884" s="66" t="str">
        <f aca="false">IF($L3884="","",IFERROR(INDEX(记账规则!$A$13:$H$32,MATCH(资金流水!$E345,记账规则!$A$13:$A$32,0),5),""))</f>
        <v/>
      </c>
      <c r="O3884" s="67" t="n">
        <f aca="false">IF($H3884="",0,ROUND(IF($N3884="金额",N(资金流水!$P345),0),2))</f>
        <v>0</v>
      </c>
      <c r="P3884" s="64" t="str">
        <f aca="false">IF(AND($H3884&lt;&gt;"",ROUND($O3884,2)&lt;&gt;0),"有","")</f>
        <v/>
      </c>
    </row>
    <row r="3885" customFormat="false" ht="15" hidden="true" customHeight="false" outlineLevel="0" collapsed="false">
      <c r="A3885" s="53" t="str">
        <f aca="false">IF($H3885="","",ROW()-5)</f>
        <v/>
      </c>
      <c r="B3885" s="64" t="s">
        <v>37</v>
      </c>
      <c r="C3885" s="53" t="n">
        <v>345</v>
      </c>
      <c r="D3885" s="53" t="n">
        <v>2</v>
      </c>
      <c r="E3885" s="65" t="str">
        <f aca="false">IF($H3885="","",资金流水!$B345)</f>
        <v/>
      </c>
      <c r="F3885" s="55" t="str">
        <f aca="false">IF($H3885="","",资金流水!$C345)</f>
        <v/>
      </c>
      <c r="G3885" s="48" t="str">
        <f aca="false">IF($H3885="","",资金流水!$K345)</f>
        <v/>
      </c>
      <c r="H3885" s="10" t="str">
        <f aca="false">IF($L3885="","",IF($L3885="@对方",资金流水!$G345,IF($L3885="@账户",资金流水!$Q345,$L3885)))</f>
        <v/>
      </c>
      <c r="I3885" s="42" t="n">
        <f aca="false">IF($M3885="借",$O3885,0)</f>
        <v>0</v>
      </c>
      <c r="J3885" s="42" t="n">
        <f aca="false">IF($M3885="贷",$O3885,0)</f>
        <v>0</v>
      </c>
      <c r="K3885" s="48" t="str">
        <f aca="false">IF($H3885="","",资金流水!$F345)</f>
        <v/>
      </c>
      <c r="L3885" s="66" t="str">
        <f aca="false">IF(资金流水!$E345="","",IFERROR(INDEX(记账规则!$A$13:$H$32,MATCH(资金流水!$E345,记账规则!$A$13:$A$32,0),6),""))</f>
        <v/>
      </c>
      <c r="M3885" s="66" t="str">
        <f aca="false">IF($L3885="","",IFERROR(INDEX(记账规则!$A$13:$H$32,MATCH(资金流水!$E345,记账规则!$A$13:$A$32,0),7),""))</f>
        <v/>
      </c>
      <c r="N3885" s="66" t="str">
        <f aca="false">IF($L3885="","",IFERROR(INDEX(记账规则!$A$13:$H$32,MATCH(资金流水!$E345,记账规则!$A$13:$A$32,0),8),""))</f>
        <v/>
      </c>
      <c r="O3885" s="67" t="n">
        <f aca="false">IF($H3885="",0,ROUND(IF($N3885="金额",N(资金流水!$P345),0),2))</f>
        <v>0</v>
      </c>
      <c r="P3885" s="64" t="str">
        <f aca="false">IF(AND($H3885&lt;&gt;"",ROUND($O3885,2)&lt;&gt;0),"有","")</f>
        <v/>
      </c>
    </row>
    <row r="3886" customFormat="false" ht="15" hidden="true" customHeight="false" outlineLevel="0" collapsed="false">
      <c r="A3886" s="53" t="str">
        <f aca="false">IF($H3886="","",ROW()-5)</f>
        <v/>
      </c>
      <c r="B3886" s="64" t="s">
        <v>37</v>
      </c>
      <c r="C3886" s="53" t="n">
        <v>346</v>
      </c>
      <c r="D3886" s="53" t="n">
        <v>1</v>
      </c>
      <c r="E3886" s="65" t="str">
        <f aca="false">IF($H3886="","",资金流水!$B346)</f>
        <v/>
      </c>
      <c r="F3886" s="55" t="str">
        <f aca="false">IF($H3886="","",资金流水!$C346)</f>
        <v/>
      </c>
      <c r="G3886" s="48" t="str">
        <f aca="false">IF($H3886="","",资金流水!$K346)</f>
        <v/>
      </c>
      <c r="H3886" s="10" t="str">
        <f aca="false">IF($L3886="","",IF($L3886="@对方",资金流水!$G346,IF($L3886="@账户",资金流水!$Q346,$L3886)))</f>
        <v/>
      </c>
      <c r="I3886" s="42" t="n">
        <f aca="false">IF($M3886="借",$O3886,0)</f>
        <v>0</v>
      </c>
      <c r="J3886" s="42" t="n">
        <f aca="false">IF($M3886="贷",$O3886,0)</f>
        <v>0</v>
      </c>
      <c r="K3886" s="48" t="str">
        <f aca="false">IF($H3886="","",资金流水!$F346)</f>
        <v/>
      </c>
      <c r="L3886" s="66" t="str">
        <f aca="false">IF(资金流水!$E346="","",IFERROR(INDEX(记账规则!$A$13:$H$32,MATCH(资金流水!$E346,记账规则!$A$13:$A$32,0),3),""))</f>
        <v/>
      </c>
      <c r="M3886" s="66" t="str">
        <f aca="false">IF($L3886="","",IFERROR(INDEX(记账规则!$A$13:$H$32,MATCH(资金流水!$E346,记账规则!$A$13:$A$32,0),4),""))</f>
        <v/>
      </c>
      <c r="N3886" s="66" t="str">
        <f aca="false">IF($L3886="","",IFERROR(INDEX(记账规则!$A$13:$H$32,MATCH(资金流水!$E346,记账规则!$A$13:$A$32,0),5),""))</f>
        <v/>
      </c>
      <c r="O3886" s="67" t="n">
        <f aca="false">IF($H3886="",0,ROUND(IF($N3886="金额",N(资金流水!$P346),0),2))</f>
        <v>0</v>
      </c>
      <c r="P3886" s="64" t="str">
        <f aca="false">IF(AND($H3886&lt;&gt;"",ROUND($O3886,2)&lt;&gt;0),"有","")</f>
        <v/>
      </c>
    </row>
    <row r="3887" customFormat="false" ht="15" hidden="true" customHeight="false" outlineLevel="0" collapsed="false">
      <c r="A3887" s="53" t="str">
        <f aca="false">IF($H3887="","",ROW()-5)</f>
        <v/>
      </c>
      <c r="B3887" s="64" t="s">
        <v>37</v>
      </c>
      <c r="C3887" s="53" t="n">
        <v>346</v>
      </c>
      <c r="D3887" s="53" t="n">
        <v>2</v>
      </c>
      <c r="E3887" s="65" t="str">
        <f aca="false">IF($H3887="","",资金流水!$B346)</f>
        <v/>
      </c>
      <c r="F3887" s="55" t="str">
        <f aca="false">IF($H3887="","",资金流水!$C346)</f>
        <v/>
      </c>
      <c r="G3887" s="48" t="str">
        <f aca="false">IF($H3887="","",资金流水!$K346)</f>
        <v/>
      </c>
      <c r="H3887" s="10" t="str">
        <f aca="false">IF($L3887="","",IF($L3887="@对方",资金流水!$G346,IF($L3887="@账户",资金流水!$Q346,$L3887)))</f>
        <v/>
      </c>
      <c r="I3887" s="42" t="n">
        <f aca="false">IF($M3887="借",$O3887,0)</f>
        <v>0</v>
      </c>
      <c r="J3887" s="42" t="n">
        <f aca="false">IF($M3887="贷",$O3887,0)</f>
        <v>0</v>
      </c>
      <c r="K3887" s="48" t="str">
        <f aca="false">IF($H3887="","",资金流水!$F346)</f>
        <v/>
      </c>
      <c r="L3887" s="66" t="str">
        <f aca="false">IF(资金流水!$E346="","",IFERROR(INDEX(记账规则!$A$13:$H$32,MATCH(资金流水!$E346,记账规则!$A$13:$A$32,0),6),""))</f>
        <v/>
      </c>
      <c r="M3887" s="66" t="str">
        <f aca="false">IF($L3887="","",IFERROR(INDEX(记账规则!$A$13:$H$32,MATCH(资金流水!$E346,记账规则!$A$13:$A$32,0),7),""))</f>
        <v/>
      </c>
      <c r="N3887" s="66" t="str">
        <f aca="false">IF($L3887="","",IFERROR(INDEX(记账规则!$A$13:$H$32,MATCH(资金流水!$E346,记账规则!$A$13:$A$32,0),8),""))</f>
        <v/>
      </c>
      <c r="O3887" s="67" t="n">
        <f aca="false">IF($H3887="",0,ROUND(IF($N3887="金额",N(资金流水!$P346),0),2))</f>
        <v>0</v>
      </c>
      <c r="P3887" s="64" t="str">
        <f aca="false">IF(AND($H3887&lt;&gt;"",ROUND($O3887,2)&lt;&gt;0),"有","")</f>
        <v/>
      </c>
    </row>
    <row r="3888" customFormat="false" ht="15" hidden="true" customHeight="false" outlineLevel="0" collapsed="false">
      <c r="A3888" s="53" t="str">
        <f aca="false">IF($H3888="","",ROW()-5)</f>
        <v/>
      </c>
      <c r="B3888" s="64" t="s">
        <v>37</v>
      </c>
      <c r="C3888" s="53" t="n">
        <v>347</v>
      </c>
      <c r="D3888" s="53" t="n">
        <v>1</v>
      </c>
      <c r="E3888" s="65" t="str">
        <f aca="false">IF($H3888="","",资金流水!$B347)</f>
        <v/>
      </c>
      <c r="F3888" s="55" t="str">
        <f aca="false">IF($H3888="","",资金流水!$C347)</f>
        <v/>
      </c>
      <c r="G3888" s="48" t="str">
        <f aca="false">IF($H3888="","",资金流水!$K347)</f>
        <v/>
      </c>
      <c r="H3888" s="10" t="str">
        <f aca="false">IF($L3888="","",IF($L3888="@对方",资金流水!$G347,IF($L3888="@账户",资金流水!$Q347,$L3888)))</f>
        <v/>
      </c>
      <c r="I3888" s="42" t="n">
        <f aca="false">IF($M3888="借",$O3888,0)</f>
        <v>0</v>
      </c>
      <c r="J3888" s="42" t="n">
        <f aca="false">IF($M3888="贷",$O3888,0)</f>
        <v>0</v>
      </c>
      <c r="K3888" s="48" t="str">
        <f aca="false">IF($H3888="","",资金流水!$F347)</f>
        <v/>
      </c>
      <c r="L3888" s="66" t="str">
        <f aca="false">IF(资金流水!$E347="","",IFERROR(INDEX(记账规则!$A$13:$H$32,MATCH(资金流水!$E347,记账规则!$A$13:$A$32,0),3),""))</f>
        <v/>
      </c>
      <c r="M3888" s="66" t="str">
        <f aca="false">IF($L3888="","",IFERROR(INDEX(记账规则!$A$13:$H$32,MATCH(资金流水!$E347,记账规则!$A$13:$A$32,0),4),""))</f>
        <v/>
      </c>
      <c r="N3888" s="66" t="str">
        <f aca="false">IF($L3888="","",IFERROR(INDEX(记账规则!$A$13:$H$32,MATCH(资金流水!$E347,记账规则!$A$13:$A$32,0),5),""))</f>
        <v/>
      </c>
      <c r="O3888" s="67" t="n">
        <f aca="false">IF($H3888="",0,ROUND(IF($N3888="金额",N(资金流水!$P347),0),2))</f>
        <v>0</v>
      </c>
      <c r="P3888" s="64" t="str">
        <f aca="false">IF(AND($H3888&lt;&gt;"",ROUND($O3888,2)&lt;&gt;0),"有","")</f>
        <v/>
      </c>
    </row>
    <row r="3889" customFormat="false" ht="15" hidden="true" customHeight="false" outlineLevel="0" collapsed="false">
      <c r="A3889" s="53" t="str">
        <f aca="false">IF($H3889="","",ROW()-5)</f>
        <v/>
      </c>
      <c r="B3889" s="64" t="s">
        <v>37</v>
      </c>
      <c r="C3889" s="53" t="n">
        <v>347</v>
      </c>
      <c r="D3889" s="53" t="n">
        <v>2</v>
      </c>
      <c r="E3889" s="65" t="str">
        <f aca="false">IF($H3889="","",资金流水!$B347)</f>
        <v/>
      </c>
      <c r="F3889" s="55" t="str">
        <f aca="false">IF($H3889="","",资金流水!$C347)</f>
        <v/>
      </c>
      <c r="G3889" s="48" t="str">
        <f aca="false">IF($H3889="","",资金流水!$K347)</f>
        <v/>
      </c>
      <c r="H3889" s="10" t="str">
        <f aca="false">IF($L3889="","",IF($L3889="@对方",资金流水!$G347,IF($L3889="@账户",资金流水!$Q347,$L3889)))</f>
        <v/>
      </c>
      <c r="I3889" s="42" t="n">
        <f aca="false">IF($M3889="借",$O3889,0)</f>
        <v>0</v>
      </c>
      <c r="J3889" s="42" t="n">
        <f aca="false">IF($M3889="贷",$O3889,0)</f>
        <v>0</v>
      </c>
      <c r="K3889" s="48" t="str">
        <f aca="false">IF($H3889="","",资金流水!$F347)</f>
        <v/>
      </c>
      <c r="L3889" s="66" t="str">
        <f aca="false">IF(资金流水!$E347="","",IFERROR(INDEX(记账规则!$A$13:$H$32,MATCH(资金流水!$E347,记账规则!$A$13:$A$32,0),6),""))</f>
        <v/>
      </c>
      <c r="M3889" s="66" t="str">
        <f aca="false">IF($L3889="","",IFERROR(INDEX(记账规则!$A$13:$H$32,MATCH(资金流水!$E347,记账规则!$A$13:$A$32,0),7),""))</f>
        <v/>
      </c>
      <c r="N3889" s="66" t="str">
        <f aca="false">IF($L3889="","",IFERROR(INDEX(记账规则!$A$13:$H$32,MATCH(资金流水!$E347,记账规则!$A$13:$A$32,0),8),""))</f>
        <v/>
      </c>
      <c r="O3889" s="67" t="n">
        <f aca="false">IF($H3889="",0,ROUND(IF($N3889="金额",N(资金流水!$P347),0),2))</f>
        <v>0</v>
      </c>
      <c r="P3889" s="64" t="str">
        <f aca="false">IF(AND($H3889&lt;&gt;"",ROUND($O3889,2)&lt;&gt;0),"有","")</f>
        <v/>
      </c>
    </row>
    <row r="3890" customFormat="false" ht="15" hidden="true" customHeight="false" outlineLevel="0" collapsed="false">
      <c r="A3890" s="53" t="str">
        <f aca="false">IF($H3890="","",ROW()-5)</f>
        <v/>
      </c>
      <c r="B3890" s="64" t="s">
        <v>37</v>
      </c>
      <c r="C3890" s="53" t="n">
        <v>348</v>
      </c>
      <c r="D3890" s="53" t="n">
        <v>1</v>
      </c>
      <c r="E3890" s="65" t="str">
        <f aca="false">IF($H3890="","",资金流水!$B348)</f>
        <v/>
      </c>
      <c r="F3890" s="55" t="str">
        <f aca="false">IF($H3890="","",资金流水!$C348)</f>
        <v/>
      </c>
      <c r="G3890" s="48" t="str">
        <f aca="false">IF($H3890="","",资金流水!$K348)</f>
        <v/>
      </c>
      <c r="H3890" s="10" t="str">
        <f aca="false">IF($L3890="","",IF($L3890="@对方",资金流水!$G348,IF($L3890="@账户",资金流水!$Q348,$L3890)))</f>
        <v/>
      </c>
      <c r="I3890" s="42" t="n">
        <f aca="false">IF($M3890="借",$O3890,0)</f>
        <v>0</v>
      </c>
      <c r="J3890" s="42" t="n">
        <f aca="false">IF($M3890="贷",$O3890,0)</f>
        <v>0</v>
      </c>
      <c r="K3890" s="48" t="str">
        <f aca="false">IF($H3890="","",资金流水!$F348)</f>
        <v/>
      </c>
      <c r="L3890" s="66" t="str">
        <f aca="false">IF(资金流水!$E348="","",IFERROR(INDEX(记账规则!$A$13:$H$32,MATCH(资金流水!$E348,记账规则!$A$13:$A$32,0),3),""))</f>
        <v/>
      </c>
      <c r="M3890" s="66" t="str">
        <f aca="false">IF($L3890="","",IFERROR(INDEX(记账规则!$A$13:$H$32,MATCH(资金流水!$E348,记账规则!$A$13:$A$32,0),4),""))</f>
        <v/>
      </c>
      <c r="N3890" s="66" t="str">
        <f aca="false">IF($L3890="","",IFERROR(INDEX(记账规则!$A$13:$H$32,MATCH(资金流水!$E348,记账规则!$A$13:$A$32,0),5),""))</f>
        <v/>
      </c>
      <c r="O3890" s="67" t="n">
        <f aca="false">IF($H3890="",0,ROUND(IF($N3890="金额",N(资金流水!$P348),0),2))</f>
        <v>0</v>
      </c>
      <c r="P3890" s="64" t="str">
        <f aca="false">IF(AND($H3890&lt;&gt;"",ROUND($O3890,2)&lt;&gt;0),"有","")</f>
        <v/>
      </c>
    </row>
    <row r="3891" customFormat="false" ht="15" hidden="true" customHeight="false" outlineLevel="0" collapsed="false">
      <c r="A3891" s="53" t="str">
        <f aca="false">IF($H3891="","",ROW()-5)</f>
        <v/>
      </c>
      <c r="B3891" s="64" t="s">
        <v>37</v>
      </c>
      <c r="C3891" s="53" t="n">
        <v>348</v>
      </c>
      <c r="D3891" s="53" t="n">
        <v>2</v>
      </c>
      <c r="E3891" s="65" t="str">
        <f aca="false">IF($H3891="","",资金流水!$B348)</f>
        <v/>
      </c>
      <c r="F3891" s="55" t="str">
        <f aca="false">IF($H3891="","",资金流水!$C348)</f>
        <v/>
      </c>
      <c r="G3891" s="48" t="str">
        <f aca="false">IF($H3891="","",资金流水!$K348)</f>
        <v/>
      </c>
      <c r="H3891" s="10" t="str">
        <f aca="false">IF($L3891="","",IF($L3891="@对方",资金流水!$G348,IF($L3891="@账户",资金流水!$Q348,$L3891)))</f>
        <v/>
      </c>
      <c r="I3891" s="42" t="n">
        <f aca="false">IF($M3891="借",$O3891,0)</f>
        <v>0</v>
      </c>
      <c r="J3891" s="42" t="n">
        <f aca="false">IF($M3891="贷",$O3891,0)</f>
        <v>0</v>
      </c>
      <c r="K3891" s="48" t="str">
        <f aca="false">IF($H3891="","",资金流水!$F348)</f>
        <v/>
      </c>
      <c r="L3891" s="66" t="str">
        <f aca="false">IF(资金流水!$E348="","",IFERROR(INDEX(记账规则!$A$13:$H$32,MATCH(资金流水!$E348,记账规则!$A$13:$A$32,0),6),""))</f>
        <v/>
      </c>
      <c r="M3891" s="66" t="str">
        <f aca="false">IF($L3891="","",IFERROR(INDEX(记账规则!$A$13:$H$32,MATCH(资金流水!$E348,记账规则!$A$13:$A$32,0),7),""))</f>
        <v/>
      </c>
      <c r="N3891" s="66" t="str">
        <f aca="false">IF($L3891="","",IFERROR(INDEX(记账规则!$A$13:$H$32,MATCH(资金流水!$E348,记账规则!$A$13:$A$32,0),8),""))</f>
        <v/>
      </c>
      <c r="O3891" s="67" t="n">
        <f aca="false">IF($H3891="",0,ROUND(IF($N3891="金额",N(资金流水!$P348),0),2))</f>
        <v>0</v>
      </c>
      <c r="P3891" s="64" t="str">
        <f aca="false">IF(AND($H3891&lt;&gt;"",ROUND($O3891,2)&lt;&gt;0),"有","")</f>
        <v/>
      </c>
    </row>
    <row r="3892" customFormat="false" ht="15" hidden="true" customHeight="false" outlineLevel="0" collapsed="false">
      <c r="A3892" s="53" t="str">
        <f aca="false">IF($H3892="","",ROW()-5)</f>
        <v/>
      </c>
      <c r="B3892" s="64" t="s">
        <v>37</v>
      </c>
      <c r="C3892" s="53" t="n">
        <v>349</v>
      </c>
      <c r="D3892" s="53" t="n">
        <v>1</v>
      </c>
      <c r="E3892" s="65" t="str">
        <f aca="false">IF($H3892="","",资金流水!$B349)</f>
        <v/>
      </c>
      <c r="F3892" s="55" t="str">
        <f aca="false">IF($H3892="","",资金流水!$C349)</f>
        <v/>
      </c>
      <c r="G3892" s="48" t="str">
        <f aca="false">IF($H3892="","",资金流水!$K349)</f>
        <v/>
      </c>
      <c r="H3892" s="10" t="str">
        <f aca="false">IF($L3892="","",IF($L3892="@对方",资金流水!$G349,IF($L3892="@账户",资金流水!$Q349,$L3892)))</f>
        <v/>
      </c>
      <c r="I3892" s="42" t="n">
        <f aca="false">IF($M3892="借",$O3892,0)</f>
        <v>0</v>
      </c>
      <c r="J3892" s="42" t="n">
        <f aca="false">IF($M3892="贷",$O3892,0)</f>
        <v>0</v>
      </c>
      <c r="K3892" s="48" t="str">
        <f aca="false">IF($H3892="","",资金流水!$F349)</f>
        <v/>
      </c>
      <c r="L3892" s="66" t="str">
        <f aca="false">IF(资金流水!$E349="","",IFERROR(INDEX(记账规则!$A$13:$H$32,MATCH(资金流水!$E349,记账规则!$A$13:$A$32,0),3),""))</f>
        <v/>
      </c>
      <c r="M3892" s="66" t="str">
        <f aca="false">IF($L3892="","",IFERROR(INDEX(记账规则!$A$13:$H$32,MATCH(资金流水!$E349,记账规则!$A$13:$A$32,0),4),""))</f>
        <v/>
      </c>
      <c r="N3892" s="66" t="str">
        <f aca="false">IF($L3892="","",IFERROR(INDEX(记账规则!$A$13:$H$32,MATCH(资金流水!$E349,记账规则!$A$13:$A$32,0),5),""))</f>
        <v/>
      </c>
      <c r="O3892" s="67" t="n">
        <f aca="false">IF($H3892="",0,ROUND(IF($N3892="金额",N(资金流水!$P349),0),2))</f>
        <v>0</v>
      </c>
      <c r="P3892" s="64" t="str">
        <f aca="false">IF(AND($H3892&lt;&gt;"",ROUND($O3892,2)&lt;&gt;0),"有","")</f>
        <v/>
      </c>
    </row>
    <row r="3893" customFormat="false" ht="15" hidden="true" customHeight="false" outlineLevel="0" collapsed="false">
      <c r="A3893" s="53" t="str">
        <f aca="false">IF($H3893="","",ROW()-5)</f>
        <v/>
      </c>
      <c r="B3893" s="64" t="s">
        <v>37</v>
      </c>
      <c r="C3893" s="53" t="n">
        <v>349</v>
      </c>
      <c r="D3893" s="53" t="n">
        <v>2</v>
      </c>
      <c r="E3893" s="65" t="str">
        <f aca="false">IF($H3893="","",资金流水!$B349)</f>
        <v/>
      </c>
      <c r="F3893" s="55" t="str">
        <f aca="false">IF($H3893="","",资金流水!$C349)</f>
        <v/>
      </c>
      <c r="G3893" s="48" t="str">
        <f aca="false">IF($H3893="","",资金流水!$K349)</f>
        <v/>
      </c>
      <c r="H3893" s="10" t="str">
        <f aca="false">IF($L3893="","",IF($L3893="@对方",资金流水!$G349,IF($L3893="@账户",资金流水!$Q349,$L3893)))</f>
        <v/>
      </c>
      <c r="I3893" s="42" t="n">
        <f aca="false">IF($M3893="借",$O3893,0)</f>
        <v>0</v>
      </c>
      <c r="J3893" s="42" t="n">
        <f aca="false">IF($M3893="贷",$O3893,0)</f>
        <v>0</v>
      </c>
      <c r="K3893" s="48" t="str">
        <f aca="false">IF($H3893="","",资金流水!$F349)</f>
        <v/>
      </c>
      <c r="L3893" s="66" t="str">
        <f aca="false">IF(资金流水!$E349="","",IFERROR(INDEX(记账规则!$A$13:$H$32,MATCH(资金流水!$E349,记账规则!$A$13:$A$32,0),6),""))</f>
        <v/>
      </c>
      <c r="M3893" s="66" t="str">
        <f aca="false">IF($L3893="","",IFERROR(INDEX(记账规则!$A$13:$H$32,MATCH(资金流水!$E349,记账规则!$A$13:$A$32,0),7),""))</f>
        <v/>
      </c>
      <c r="N3893" s="66" t="str">
        <f aca="false">IF($L3893="","",IFERROR(INDEX(记账规则!$A$13:$H$32,MATCH(资金流水!$E349,记账规则!$A$13:$A$32,0),8),""))</f>
        <v/>
      </c>
      <c r="O3893" s="67" t="n">
        <f aca="false">IF($H3893="",0,ROUND(IF($N3893="金额",N(资金流水!$P349),0),2))</f>
        <v>0</v>
      </c>
      <c r="P3893" s="64" t="str">
        <f aca="false">IF(AND($H3893&lt;&gt;"",ROUND($O3893,2)&lt;&gt;0),"有","")</f>
        <v/>
      </c>
    </row>
    <row r="3894" customFormat="false" ht="15" hidden="true" customHeight="false" outlineLevel="0" collapsed="false">
      <c r="A3894" s="53" t="str">
        <f aca="false">IF($H3894="","",ROW()-5)</f>
        <v/>
      </c>
      <c r="B3894" s="64" t="s">
        <v>37</v>
      </c>
      <c r="C3894" s="53" t="n">
        <v>350</v>
      </c>
      <c r="D3894" s="53" t="n">
        <v>1</v>
      </c>
      <c r="E3894" s="65" t="str">
        <f aca="false">IF($H3894="","",资金流水!$B350)</f>
        <v/>
      </c>
      <c r="F3894" s="55" t="str">
        <f aca="false">IF($H3894="","",资金流水!$C350)</f>
        <v/>
      </c>
      <c r="G3894" s="48" t="str">
        <f aca="false">IF($H3894="","",资金流水!$K350)</f>
        <v/>
      </c>
      <c r="H3894" s="10" t="str">
        <f aca="false">IF($L3894="","",IF($L3894="@对方",资金流水!$G350,IF($L3894="@账户",资金流水!$Q350,$L3894)))</f>
        <v/>
      </c>
      <c r="I3894" s="42" t="n">
        <f aca="false">IF($M3894="借",$O3894,0)</f>
        <v>0</v>
      </c>
      <c r="J3894" s="42" t="n">
        <f aca="false">IF($M3894="贷",$O3894,0)</f>
        <v>0</v>
      </c>
      <c r="K3894" s="48" t="str">
        <f aca="false">IF($H3894="","",资金流水!$F350)</f>
        <v/>
      </c>
      <c r="L3894" s="66" t="str">
        <f aca="false">IF(资金流水!$E350="","",IFERROR(INDEX(记账规则!$A$13:$H$32,MATCH(资金流水!$E350,记账规则!$A$13:$A$32,0),3),""))</f>
        <v/>
      </c>
      <c r="M3894" s="66" t="str">
        <f aca="false">IF($L3894="","",IFERROR(INDEX(记账规则!$A$13:$H$32,MATCH(资金流水!$E350,记账规则!$A$13:$A$32,0),4),""))</f>
        <v/>
      </c>
      <c r="N3894" s="66" t="str">
        <f aca="false">IF($L3894="","",IFERROR(INDEX(记账规则!$A$13:$H$32,MATCH(资金流水!$E350,记账规则!$A$13:$A$32,0),5),""))</f>
        <v/>
      </c>
      <c r="O3894" s="67" t="n">
        <f aca="false">IF($H3894="",0,ROUND(IF($N3894="金额",N(资金流水!$P350),0),2))</f>
        <v>0</v>
      </c>
      <c r="P3894" s="64" t="str">
        <f aca="false">IF(AND($H3894&lt;&gt;"",ROUND($O3894,2)&lt;&gt;0),"有","")</f>
        <v/>
      </c>
    </row>
    <row r="3895" customFormat="false" ht="15" hidden="true" customHeight="false" outlineLevel="0" collapsed="false">
      <c r="A3895" s="53" t="str">
        <f aca="false">IF($H3895="","",ROW()-5)</f>
        <v/>
      </c>
      <c r="B3895" s="64" t="s">
        <v>37</v>
      </c>
      <c r="C3895" s="53" t="n">
        <v>350</v>
      </c>
      <c r="D3895" s="53" t="n">
        <v>2</v>
      </c>
      <c r="E3895" s="65" t="str">
        <f aca="false">IF($H3895="","",资金流水!$B350)</f>
        <v/>
      </c>
      <c r="F3895" s="55" t="str">
        <f aca="false">IF($H3895="","",资金流水!$C350)</f>
        <v/>
      </c>
      <c r="G3895" s="48" t="str">
        <f aca="false">IF($H3895="","",资金流水!$K350)</f>
        <v/>
      </c>
      <c r="H3895" s="10" t="str">
        <f aca="false">IF($L3895="","",IF($L3895="@对方",资金流水!$G350,IF($L3895="@账户",资金流水!$Q350,$L3895)))</f>
        <v/>
      </c>
      <c r="I3895" s="42" t="n">
        <f aca="false">IF($M3895="借",$O3895,0)</f>
        <v>0</v>
      </c>
      <c r="J3895" s="42" t="n">
        <f aca="false">IF($M3895="贷",$O3895,0)</f>
        <v>0</v>
      </c>
      <c r="K3895" s="48" t="str">
        <f aca="false">IF($H3895="","",资金流水!$F350)</f>
        <v/>
      </c>
      <c r="L3895" s="66" t="str">
        <f aca="false">IF(资金流水!$E350="","",IFERROR(INDEX(记账规则!$A$13:$H$32,MATCH(资金流水!$E350,记账规则!$A$13:$A$32,0),6),""))</f>
        <v/>
      </c>
      <c r="M3895" s="66" t="str">
        <f aca="false">IF($L3895="","",IFERROR(INDEX(记账规则!$A$13:$H$32,MATCH(资金流水!$E350,记账规则!$A$13:$A$32,0),7),""))</f>
        <v/>
      </c>
      <c r="N3895" s="66" t="str">
        <f aca="false">IF($L3895="","",IFERROR(INDEX(记账规则!$A$13:$H$32,MATCH(资金流水!$E350,记账规则!$A$13:$A$32,0),8),""))</f>
        <v/>
      </c>
      <c r="O3895" s="67" t="n">
        <f aca="false">IF($H3895="",0,ROUND(IF($N3895="金额",N(资金流水!$P350),0),2))</f>
        <v>0</v>
      </c>
      <c r="P3895" s="64" t="str">
        <f aca="false">IF(AND($H3895&lt;&gt;"",ROUND($O3895,2)&lt;&gt;0),"有","")</f>
        <v/>
      </c>
    </row>
    <row r="3896" customFormat="false" ht="15" hidden="true" customHeight="false" outlineLevel="0" collapsed="false">
      <c r="A3896" s="53" t="str">
        <f aca="false">IF($H3896="","",ROW()-5)</f>
        <v/>
      </c>
      <c r="B3896" s="64" t="s">
        <v>37</v>
      </c>
      <c r="C3896" s="53" t="n">
        <v>351</v>
      </c>
      <c r="D3896" s="53" t="n">
        <v>1</v>
      </c>
      <c r="E3896" s="65" t="str">
        <f aca="false">IF($H3896="","",资金流水!$B351)</f>
        <v/>
      </c>
      <c r="F3896" s="55" t="str">
        <f aca="false">IF($H3896="","",资金流水!$C351)</f>
        <v/>
      </c>
      <c r="G3896" s="48" t="str">
        <f aca="false">IF($H3896="","",资金流水!$K351)</f>
        <v/>
      </c>
      <c r="H3896" s="10" t="str">
        <f aca="false">IF($L3896="","",IF($L3896="@对方",资金流水!$G351,IF($L3896="@账户",资金流水!$Q351,$L3896)))</f>
        <v/>
      </c>
      <c r="I3896" s="42" t="n">
        <f aca="false">IF($M3896="借",$O3896,0)</f>
        <v>0</v>
      </c>
      <c r="J3896" s="42" t="n">
        <f aca="false">IF($M3896="贷",$O3896,0)</f>
        <v>0</v>
      </c>
      <c r="K3896" s="48" t="str">
        <f aca="false">IF($H3896="","",资金流水!$F351)</f>
        <v/>
      </c>
      <c r="L3896" s="66" t="str">
        <f aca="false">IF(资金流水!$E351="","",IFERROR(INDEX(记账规则!$A$13:$H$32,MATCH(资金流水!$E351,记账规则!$A$13:$A$32,0),3),""))</f>
        <v/>
      </c>
      <c r="M3896" s="66" t="str">
        <f aca="false">IF($L3896="","",IFERROR(INDEX(记账规则!$A$13:$H$32,MATCH(资金流水!$E351,记账规则!$A$13:$A$32,0),4),""))</f>
        <v/>
      </c>
      <c r="N3896" s="66" t="str">
        <f aca="false">IF($L3896="","",IFERROR(INDEX(记账规则!$A$13:$H$32,MATCH(资金流水!$E351,记账规则!$A$13:$A$32,0),5),""))</f>
        <v/>
      </c>
      <c r="O3896" s="67" t="n">
        <f aca="false">IF($H3896="",0,ROUND(IF($N3896="金额",N(资金流水!$P351),0),2))</f>
        <v>0</v>
      </c>
      <c r="P3896" s="64" t="str">
        <f aca="false">IF(AND($H3896&lt;&gt;"",ROUND($O3896,2)&lt;&gt;0),"有","")</f>
        <v/>
      </c>
    </row>
    <row r="3897" customFormat="false" ht="15" hidden="true" customHeight="false" outlineLevel="0" collapsed="false">
      <c r="A3897" s="53" t="str">
        <f aca="false">IF($H3897="","",ROW()-5)</f>
        <v/>
      </c>
      <c r="B3897" s="64" t="s">
        <v>37</v>
      </c>
      <c r="C3897" s="53" t="n">
        <v>351</v>
      </c>
      <c r="D3897" s="53" t="n">
        <v>2</v>
      </c>
      <c r="E3897" s="65" t="str">
        <f aca="false">IF($H3897="","",资金流水!$B351)</f>
        <v/>
      </c>
      <c r="F3897" s="55" t="str">
        <f aca="false">IF($H3897="","",资金流水!$C351)</f>
        <v/>
      </c>
      <c r="G3897" s="48" t="str">
        <f aca="false">IF($H3897="","",资金流水!$K351)</f>
        <v/>
      </c>
      <c r="H3897" s="10" t="str">
        <f aca="false">IF($L3897="","",IF($L3897="@对方",资金流水!$G351,IF($L3897="@账户",资金流水!$Q351,$L3897)))</f>
        <v/>
      </c>
      <c r="I3897" s="42" t="n">
        <f aca="false">IF($M3897="借",$O3897,0)</f>
        <v>0</v>
      </c>
      <c r="J3897" s="42" t="n">
        <f aca="false">IF($M3897="贷",$O3897,0)</f>
        <v>0</v>
      </c>
      <c r="K3897" s="48" t="str">
        <f aca="false">IF($H3897="","",资金流水!$F351)</f>
        <v/>
      </c>
      <c r="L3897" s="66" t="str">
        <f aca="false">IF(资金流水!$E351="","",IFERROR(INDEX(记账规则!$A$13:$H$32,MATCH(资金流水!$E351,记账规则!$A$13:$A$32,0),6),""))</f>
        <v/>
      </c>
      <c r="M3897" s="66" t="str">
        <f aca="false">IF($L3897="","",IFERROR(INDEX(记账规则!$A$13:$H$32,MATCH(资金流水!$E351,记账规则!$A$13:$A$32,0),7),""))</f>
        <v/>
      </c>
      <c r="N3897" s="66" t="str">
        <f aca="false">IF($L3897="","",IFERROR(INDEX(记账规则!$A$13:$H$32,MATCH(资金流水!$E351,记账规则!$A$13:$A$32,0),8),""))</f>
        <v/>
      </c>
      <c r="O3897" s="67" t="n">
        <f aca="false">IF($H3897="",0,ROUND(IF($N3897="金额",N(资金流水!$P351),0),2))</f>
        <v>0</v>
      </c>
      <c r="P3897" s="64" t="str">
        <f aca="false">IF(AND($H3897&lt;&gt;"",ROUND($O3897,2)&lt;&gt;0),"有","")</f>
        <v/>
      </c>
    </row>
    <row r="3898" customFormat="false" ht="15" hidden="true" customHeight="false" outlineLevel="0" collapsed="false">
      <c r="A3898" s="53" t="str">
        <f aca="false">IF($H3898="","",ROW()-5)</f>
        <v/>
      </c>
      <c r="B3898" s="64" t="s">
        <v>37</v>
      </c>
      <c r="C3898" s="53" t="n">
        <v>352</v>
      </c>
      <c r="D3898" s="53" t="n">
        <v>1</v>
      </c>
      <c r="E3898" s="65" t="str">
        <f aca="false">IF($H3898="","",资金流水!$B352)</f>
        <v/>
      </c>
      <c r="F3898" s="55" t="str">
        <f aca="false">IF($H3898="","",资金流水!$C352)</f>
        <v/>
      </c>
      <c r="G3898" s="48" t="str">
        <f aca="false">IF($H3898="","",资金流水!$K352)</f>
        <v/>
      </c>
      <c r="H3898" s="10" t="str">
        <f aca="false">IF($L3898="","",IF($L3898="@对方",资金流水!$G352,IF($L3898="@账户",资金流水!$Q352,$L3898)))</f>
        <v/>
      </c>
      <c r="I3898" s="42" t="n">
        <f aca="false">IF($M3898="借",$O3898,0)</f>
        <v>0</v>
      </c>
      <c r="J3898" s="42" t="n">
        <f aca="false">IF($M3898="贷",$O3898,0)</f>
        <v>0</v>
      </c>
      <c r="K3898" s="48" t="str">
        <f aca="false">IF($H3898="","",资金流水!$F352)</f>
        <v/>
      </c>
      <c r="L3898" s="66" t="str">
        <f aca="false">IF(资金流水!$E352="","",IFERROR(INDEX(记账规则!$A$13:$H$32,MATCH(资金流水!$E352,记账规则!$A$13:$A$32,0),3),""))</f>
        <v/>
      </c>
      <c r="M3898" s="66" t="str">
        <f aca="false">IF($L3898="","",IFERROR(INDEX(记账规则!$A$13:$H$32,MATCH(资金流水!$E352,记账规则!$A$13:$A$32,0),4),""))</f>
        <v/>
      </c>
      <c r="N3898" s="66" t="str">
        <f aca="false">IF($L3898="","",IFERROR(INDEX(记账规则!$A$13:$H$32,MATCH(资金流水!$E352,记账规则!$A$13:$A$32,0),5),""))</f>
        <v/>
      </c>
      <c r="O3898" s="67" t="n">
        <f aca="false">IF($H3898="",0,ROUND(IF($N3898="金额",N(资金流水!$P352),0),2))</f>
        <v>0</v>
      </c>
      <c r="P3898" s="64" t="str">
        <f aca="false">IF(AND($H3898&lt;&gt;"",ROUND($O3898,2)&lt;&gt;0),"有","")</f>
        <v/>
      </c>
    </row>
    <row r="3899" customFormat="false" ht="15" hidden="true" customHeight="false" outlineLevel="0" collapsed="false">
      <c r="A3899" s="53" t="str">
        <f aca="false">IF($H3899="","",ROW()-5)</f>
        <v/>
      </c>
      <c r="B3899" s="64" t="s">
        <v>37</v>
      </c>
      <c r="C3899" s="53" t="n">
        <v>352</v>
      </c>
      <c r="D3899" s="53" t="n">
        <v>2</v>
      </c>
      <c r="E3899" s="65" t="str">
        <f aca="false">IF($H3899="","",资金流水!$B352)</f>
        <v/>
      </c>
      <c r="F3899" s="55" t="str">
        <f aca="false">IF($H3899="","",资金流水!$C352)</f>
        <v/>
      </c>
      <c r="G3899" s="48" t="str">
        <f aca="false">IF($H3899="","",资金流水!$K352)</f>
        <v/>
      </c>
      <c r="H3899" s="10" t="str">
        <f aca="false">IF($L3899="","",IF($L3899="@对方",资金流水!$G352,IF($L3899="@账户",资金流水!$Q352,$L3899)))</f>
        <v/>
      </c>
      <c r="I3899" s="42" t="n">
        <f aca="false">IF($M3899="借",$O3899,0)</f>
        <v>0</v>
      </c>
      <c r="J3899" s="42" t="n">
        <f aca="false">IF($M3899="贷",$O3899,0)</f>
        <v>0</v>
      </c>
      <c r="K3899" s="48" t="str">
        <f aca="false">IF($H3899="","",资金流水!$F352)</f>
        <v/>
      </c>
      <c r="L3899" s="66" t="str">
        <f aca="false">IF(资金流水!$E352="","",IFERROR(INDEX(记账规则!$A$13:$H$32,MATCH(资金流水!$E352,记账规则!$A$13:$A$32,0),6),""))</f>
        <v/>
      </c>
      <c r="M3899" s="66" t="str">
        <f aca="false">IF($L3899="","",IFERROR(INDEX(记账规则!$A$13:$H$32,MATCH(资金流水!$E352,记账规则!$A$13:$A$32,0),7),""))</f>
        <v/>
      </c>
      <c r="N3899" s="66" t="str">
        <f aca="false">IF($L3899="","",IFERROR(INDEX(记账规则!$A$13:$H$32,MATCH(资金流水!$E352,记账规则!$A$13:$A$32,0),8),""))</f>
        <v/>
      </c>
      <c r="O3899" s="67" t="n">
        <f aca="false">IF($H3899="",0,ROUND(IF($N3899="金额",N(资金流水!$P352),0),2))</f>
        <v>0</v>
      </c>
      <c r="P3899" s="64" t="str">
        <f aca="false">IF(AND($H3899&lt;&gt;"",ROUND($O3899,2)&lt;&gt;0),"有","")</f>
        <v/>
      </c>
    </row>
    <row r="3900" customFormat="false" ht="15" hidden="true" customHeight="false" outlineLevel="0" collapsed="false">
      <c r="A3900" s="53" t="str">
        <f aca="false">IF($H3900="","",ROW()-5)</f>
        <v/>
      </c>
      <c r="B3900" s="64" t="s">
        <v>37</v>
      </c>
      <c r="C3900" s="53" t="n">
        <v>353</v>
      </c>
      <c r="D3900" s="53" t="n">
        <v>1</v>
      </c>
      <c r="E3900" s="65" t="str">
        <f aca="false">IF($H3900="","",资金流水!$B353)</f>
        <v/>
      </c>
      <c r="F3900" s="55" t="str">
        <f aca="false">IF($H3900="","",资金流水!$C353)</f>
        <v/>
      </c>
      <c r="G3900" s="48" t="str">
        <f aca="false">IF($H3900="","",资金流水!$K353)</f>
        <v/>
      </c>
      <c r="H3900" s="10" t="str">
        <f aca="false">IF($L3900="","",IF($L3900="@对方",资金流水!$G353,IF($L3900="@账户",资金流水!$Q353,$L3900)))</f>
        <v/>
      </c>
      <c r="I3900" s="42" t="n">
        <f aca="false">IF($M3900="借",$O3900,0)</f>
        <v>0</v>
      </c>
      <c r="J3900" s="42" t="n">
        <f aca="false">IF($M3900="贷",$O3900,0)</f>
        <v>0</v>
      </c>
      <c r="K3900" s="48" t="str">
        <f aca="false">IF($H3900="","",资金流水!$F353)</f>
        <v/>
      </c>
      <c r="L3900" s="66" t="str">
        <f aca="false">IF(资金流水!$E353="","",IFERROR(INDEX(记账规则!$A$13:$H$32,MATCH(资金流水!$E353,记账规则!$A$13:$A$32,0),3),""))</f>
        <v/>
      </c>
      <c r="M3900" s="66" t="str">
        <f aca="false">IF($L3900="","",IFERROR(INDEX(记账规则!$A$13:$H$32,MATCH(资金流水!$E353,记账规则!$A$13:$A$32,0),4),""))</f>
        <v/>
      </c>
      <c r="N3900" s="66" t="str">
        <f aca="false">IF($L3900="","",IFERROR(INDEX(记账规则!$A$13:$H$32,MATCH(资金流水!$E353,记账规则!$A$13:$A$32,0),5),""))</f>
        <v/>
      </c>
      <c r="O3900" s="67" t="n">
        <f aca="false">IF($H3900="",0,ROUND(IF($N3900="金额",N(资金流水!$P353),0),2))</f>
        <v>0</v>
      </c>
      <c r="P3900" s="64" t="str">
        <f aca="false">IF(AND($H3900&lt;&gt;"",ROUND($O3900,2)&lt;&gt;0),"有","")</f>
        <v/>
      </c>
    </row>
    <row r="3901" customFormat="false" ht="15" hidden="true" customHeight="false" outlineLevel="0" collapsed="false">
      <c r="A3901" s="53" t="str">
        <f aca="false">IF($H3901="","",ROW()-5)</f>
        <v/>
      </c>
      <c r="B3901" s="64" t="s">
        <v>37</v>
      </c>
      <c r="C3901" s="53" t="n">
        <v>353</v>
      </c>
      <c r="D3901" s="53" t="n">
        <v>2</v>
      </c>
      <c r="E3901" s="65" t="str">
        <f aca="false">IF($H3901="","",资金流水!$B353)</f>
        <v/>
      </c>
      <c r="F3901" s="55" t="str">
        <f aca="false">IF($H3901="","",资金流水!$C353)</f>
        <v/>
      </c>
      <c r="G3901" s="48" t="str">
        <f aca="false">IF($H3901="","",资金流水!$K353)</f>
        <v/>
      </c>
      <c r="H3901" s="10" t="str">
        <f aca="false">IF($L3901="","",IF($L3901="@对方",资金流水!$G353,IF($L3901="@账户",资金流水!$Q353,$L3901)))</f>
        <v/>
      </c>
      <c r="I3901" s="42" t="n">
        <f aca="false">IF($M3901="借",$O3901,0)</f>
        <v>0</v>
      </c>
      <c r="J3901" s="42" t="n">
        <f aca="false">IF($M3901="贷",$O3901,0)</f>
        <v>0</v>
      </c>
      <c r="K3901" s="48" t="str">
        <f aca="false">IF($H3901="","",资金流水!$F353)</f>
        <v/>
      </c>
      <c r="L3901" s="66" t="str">
        <f aca="false">IF(资金流水!$E353="","",IFERROR(INDEX(记账规则!$A$13:$H$32,MATCH(资金流水!$E353,记账规则!$A$13:$A$32,0),6),""))</f>
        <v/>
      </c>
      <c r="M3901" s="66" t="str">
        <f aca="false">IF($L3901="","",IFERROR(INDEX(记账规则!$A$13:$H$32,MATCH(资金流水!$E353,记账规则!$A$13:$A$32,0),7),""))</f>
        <v/>
      </c>
      <c r="N3901" s="66" t="str">
        <f aca="false">IF($L3901="","",IFERROR(INDEX(记账规则!$A$13:$H$32,MATCH(资金流水!$E353,记账规则!$A$13:$A$32,0),8),""))</f>
        <v/>
      </c>
      <c r="O3901" s="67" t="n">
        <f aca="false">IF($H3901="",0,ROUND(IF($N3901="金额",N(资金流水!$P353),0),2))</f>
        <v>0</v>
      </c>
      <c r="P3901" s="64" t="str">
        <f aca="false">IF(AND($H3901&lt;&gt;"",ROUND($O3901,2)&lt;&gt;0),"有","")</f>
        <v/>
      </c>
    </row>
    <row r="3902" customFormat="false" ht="15" hidden="true" customHeight="false" outlineLevel="0" collapsed="false">
      <c r="A3902" s="53" t="str">
        <f aca="false">IF($H3902="","",ROW()-5)</f>
        <v/>
      </c>
      <c r="B3902" s="64" t="s">
        <v>37</v>
      </c>
      <c r="C3902" s="53" t="n">
        <v>354</v>
      </c>
      <c r="D3902" s="53" t="n">
        <v>1</v>
      </c>
      <c r="E3902" s="65" t="str">
        <f aca="false">IF($H3902="","",资金流水!$B354)</f>
        <v/>
      </c>
      <c r="F3902" s="55" t="str">
        <f aca="false">IF($H3902="","",资金流水!$C354)</f>
        <v/>
      </c>
      <c r="G3902" s="48" t="str">
        <f aca="false">IF($H3902="","",资金流水!$K354)</f>
        <v/>
      </c>
      <c r="H3902" s="10" t="str">
        <f aca="false">IF($L3902="","",IF($L3902="@对方",资金流水!$G354,IF($L3902="@账户",资金流水!$Q354,$L3902)))</f>
        <v/>
      </c>
      <c r="I3902" s="42" t="n">
        <f aca="false">IF($M3902="借",$O3902,0)</f>
        <v>0</v>
      </c>
      <c r="J3902" s="42" t="n">
        <f aca="false">IF($M3902="贷",$O3902,0)</f>
        <v>0</v>
      </c>
      <c r="K3902" s="48" t="str">
        <f aca="false">IF($H3902="","",资金流水!$F354)</f>
        <v/>
      </c>
      <c r="L3902" s="66" t="str">
        <f aca="false">IF(资金流水!$E354="","",IFERROR(INDEX(记账规则!$A$13:$H$32,MATCH(资金流水!$E354,记账规则!$A$13:$A$32,0),3),""))</f>
        <v/>
      </c>
      <c r="M3902" s="66" t="str">
        <f aca="false">IF($L3902="","",IFERROR(INDEX(记账规则!$A$13:$H$32,MATCH(资金流水!$E354,记账规则!$A$13:$A$32,0),4),""))</f>
        <v/>
      </c>
      <c r="N3902" s="66" t="str">
        <f aca="false">IF($L3902="","",IFERROR(INDEX(记账规则!$A$13:$H$32,MATCH(资金流水!$E354,记账规则!$A$13:$A$32,0),5),""))</f>
        <v/>
      </c>
      <c r="O3902" s="67" t="n">
        <f aca="false">IF($H3902="",0,ROUND(IF($N3902="金额",N(资金流水!$P354),0),2))</f>
        <v>0</v>
      </c>
      <c r="P3902" s="64" t="str">
        <f aca="false">IF(AND($H3902&lt;&gt;"",ROUND($O3902,2)&lt;&gt;0),"有","")</f>
        <v/>
      </c>
    </row>
    <row r="3903" customFormat="false" ht="15" hidden="true" customHeight="false" outlineLevel="0" collapsed="false">
      <c r="A3903" s="53" t="str">
        <f aca="false">IF($H3903="","",ROW()-5)</f>
        <v/>
      </c>
      <c r="B3903" s="64" t="s">
        <v>37</v>
      </c>
      <c r="C3903" s="53" t="n">
        <v>354</v>
      </c>
      <c r="D3903" s="53" t="n">
        <v>2</v>
      </c>
      <c r="E3903" s="65" t="str">
        <f aca="false">IF($H3903="","",资金流水!$B354)</f>
        <v/>
      </c>
      <c r="F3903" s="55" t="str">
        <f aca="false">IF($H3903="","",资金流水!$C354)</f>
        <v/>
      </c>
      <c r="G3903" s="48" t="str">
        <f aca="false">IF($H3903="","",资金流水!$K354)</f>
        <v/>
      </c>
      <c r="H3903" s="10" t="str">
        <f aca="false">IF($L3903="","",IF($L3903="@对方",资金流水!$G354,IF($L3903="@账户",资金流水!$Q354,$L3903)))</f>
        <v/>
      </c>
      <c r="I3903" s="42" t="n">
        <f aca="false">IF($M3903="借",$O3903,0)</f>
        <v>0</v>
      </c>
      <c r="J3903" s="42" t="n">
        <f aca="false">IF($M3903="贷",$O3903,0)</f>
        <v>0</v>
      </c>
      <c r="K3903" s="48" t="str">
        <f aca="false">IF($H3903="","",资金流水!$F354)</f>
        <v/>
      </c>
      <c r="L3903" s="66" t="str">
        <f aca="false">IF(资金流水!$E354="","",IFERROR(INDEX(记账规则!$A$13:$H$32,MATCH(资金流水!$E354,记账规则!$A$13:$A$32,0),6),""))</f>
        <v/>
      </c>
      <c r="M3903" s="66" t="str">
        <f aca="false">IF($L3903="","",IFERROR(INDEX(记账规则!$A$13:$H$32,MATCH(资金流水!$E354,记账规则!$A$13:$A$32,0),7),""))</f>
        <v/>
      </c>
      <c r="N3903" s="66" t="str">
        <f aca="false">IF($L3903="","",IFERROR(INDEX(记账规则!$A$13:$H$32,MATCH(资金流水!$E354,记账规则!$A$13:$A$32,0),8),""))</f>
        <v/>
      </c>
      <c r="O3903" s="67" t="n">
        <f aca="false">IF($H3903="",0,ROUND(IF($N3903="金额",N(资金流水!$P354),0),2))</f>
        <v>0</v>
      </c>
      <c r="P3903" s="64" t="str">
        <f aca="false">IF(AND($H3903&lt;&gt;"",ROUND($O3903,2)&lt;&gt;0),"有","")</f>
        <v/>
      </c>
    </row>
    <row r="3904" customFormat="false" ht="15" hidden="true" customHeight="false" outlineLevel="0" collapsed="false">
      <c r="A3904" s="53" t="str">
        <f aca="false">IF($H3904="","",ROW()-5)</f>
        <v/>
      </c>
      <c r="B3904" s="64" t="s">
        <v>37</v>
      </c>
      <c r="C3904" s="53" t="n">
        <v>355</v>
      </c>
      <c r="D3904" s="53" t="n">
        <v>1</v>
      </c>
      <c r="E3904" s="65" t="str">
        <f aca="false">IF($H3904="","",资金流水!$B355)</f>
        <v/>
      </c>
      <c r="F3904" s="55" t="str">
        <f aca="false">IF($H3904="","",资金流水!$C355)</f>
        <v/>
      </c>
      <c r="G3904" s="48" t="str">
        <f aca="false">IF($H3904="","",资金流水!$K355)</f>
        <v/>
      </c>
      <c r="H3904" s="10" t="str">
        <f aca="false">IF($L3904="","",IF($L3904="@对方",资金流水!$G355,IF($L3904="@账户",资金流水!$Q355,$L3904)))</f>
        <v/>
      </c>
      <c r="I3904" s="42" t="n">
        <f aca="false">IF($M3904="借",$O3904,0)</f>
        <v>0</v>
      </c>
      <c r="J3904" s="42" t="n">
        <f aca="false">IF($M3904="贷",$O3904,0)</f>
        <v>0</v>
      </c>
      <c r="K3904" s="48" t="str">
        <f aca="false">IF($H3904="","",资金流水!$F355)</f>
        <v/>
      </c>
      <c r="L3904" s="66" t="str">
        <f aca="false">IF(资金流水!$E355="","",IFERROR(INDEX(记账规则!$A$13:$H$32,MATCH(资金流水!$E355,记账规则!$A$13:$A$32,0),3),""))</f>
        <v/>
      </c>
      <c r="M3904" s="66" t="str">
        <f aca="false">IF($L3904="","",IFERROR(INDEX(记账规则!$A$13:$H$32,MATCH(资金流水!$E355,记账规则!$A$13:$A$32,0),4),""))</f>
        <v/>
      </c>
      <c r="N3904" s="66" t="str">
        <f aca="false">IF($L3904="","",IFERROR(INDEX(记账规则!$A$13:$H$32,MATCH(资金流水!$E355,记账规则!$A$13:$A$32,0),5),""))</f>
        <v/>
      </c>
      <c r="O3904" s="67" t="n">
        <f aca="false">IF($H3904="",0,ROUND(IF($N3904="金额",N(资金流水!$P355),0),2))</f>
        <v>0</v>
      </c>
      <c r="P3904" s="64" t="str">
        <f aca="false">IF(AND($H3904&lt;&gt;"",ROUND($O3904,2)&lt;&gt;0),"有","")</f>
        <v/>
      </c>
    </row>
    <row r="3905" customFormat="false" ht="15" hidden="true" customHeight="false" outlineLevel="0" collapsed="false">
      <c r="A3905" s="53" t="str">
        <f aca="false">IF($H3905="","",ROW()-5)</f>
        <v/>
      </c>
      <c r="B3905" s="64" t="s">
        <v>37</v>
      </c>
      <c r="C3905" s="53" t="n">
        <v>355</v>
      </c>
      <c r="D3905" s="53" t="n">
        <v>2</v>
      </c>
      <c r="E3905" s="65" t="str">
        <f aca="false">IF($H3905="","",资金流水!$B355)</f>
        <v/>
      </c>
      <c r="F3905" s="55" t="str">
        <f aca="false">IF($H3905="","",资金流水!$C355)</f>
        <v/>
      </c>
      <c r="G3905" s="48" t="str">
        <f aca="false">IF($H3905="","",资金流水!$K355)</f>
        <v/>
      </c>
      <c r="H3905" s="10" t="str">
        <f aca="false">IF($L3905="","",IF($L3905="@对方",资金流水!$G355,IF($L3905="@账户",资金流水!$Q355,$L3905)))</f>
        <v/>
      </c>
      <c r="I3905" s="42" t="n">
        <f aca="false">IF($M3905="借",$O3905,0)</f>
        <v>0</v>
      </c>
      <c r="J3905" s="42" t="n">
        <f aca="false">IF($M3905="贷",$O3905,0)</f>
        <v>0</v>
      </c>
      <c r="K3905" s="48" t="str">
        <f aca="false">IF($H3905="","",资金流水!$F355)</f>
        <v/>
      </c>
      <c r="L3905" s="66" t="str">
        <f aca="false">IF(资金流水!$E355="","",IFERROR(INDEX(记账规则!$A$13:$H$32,MATCH(资金流水!$E355,记账规则!$A$13:$A$32,0),6),""))</f>
        <v/>
      </c>
      <c r="M3905" s="66" t="str">
        <f aca="false">IF($L3905="","",IFERROR(INDEX(记账规则!$A$13:$H$32,MATCH(资金流水!$E355,记账规则!$A$13:$A$32,0),7),""))</f>
        <v/>
      </c>
      <c r="N3905" s="66" t="str">
        <f aca="false">IF($L3905="","",IFERROR(INDEX(记账规则!$A$13:$H$32,MATCH(资金流水!$E355,记账规则!$A$13:$A$32,0),8),""))</f>
        <v/>
      </c>
      <c r="O3905" s="67" t="n">
        <f aca="false">IF($H3905="",0,ROUND(IF($N3905="金额",N(资金流水!$P355),0),2))</f>
        <v>0</v>
      </c>
      <c r="P3905" s="64" t="str">
        <f aca="false">IF(AND($H3905&lt;&gt;"",ROUND($O3905,2)&lt;&gt;0),"有","")</f>
        <v/>
      </c>
    </row>
    <row r="3906" customFormat="false" ht="15" hidden="true" customHeight="false" outlineLevel="0" collapsed="false">
      <c r="A3906" s="53" t="str">
        <f aca="false">IF($H3906="","",ROW()-5)</f>
        <v/>
      </c>
      <c r="B3906" s="64" t="s">
        <v>37</v>
      </c>
      <c r="C3906" s="53" t="n">
        <v>356</v>
      </c>
      <c r="D3906" s="53" t="n">
        <v>1</v>
      </c>
      <c r="E3906" s="65" t="str">
        <f aca="false">IF($H3906="","",资金流水!$B356)</f>
        <v/>
      </c>
      <c r="F3906" s="55" t="str">
        <f aca="false">IF($H3906="","",资金流水!$C356)</f>
        <v/>
      </c>
      <c r="G3906" s="48" t="str">
        <f aca="false">IF($H3906="","",资金流水!$K356)</f>
        <v/>
      </c>
      <c r="H3906" s="10" t="str">
        <f aca="false">IF($L3906="","",IF($L3906="@对方",资金流水!$G356,IF($L3906="@账户",资金流水!$Q356,$L3906)))</f>
        <v/>
      </c>
      <c r="I3906" s="42" t="n">
        <f aca="false">IF($M3906="借",$O3906,0)</f>
        <v>0</v>
      </c>
      <c r="J3906" s="42" t="n">
        <f aca="false">IF($M3906="贷",$O3906,0)</f>
        <v>0</v>
      </c>
      <c r="K3906" s="48" t="str">
        <f aca="false">IF($H3906="","",资金流水!$F356)</f>
        <v/>
      </c>
      <c r="L3906" s="66" t="str">
        <f aca="false">IF(资金流水!$E356="","",IFERROR(INDEX(记账规则!$A$13:$H$32,MATCH(资金流水!$E356,记账规则!$A$13:$A$32,0),3),""))</f>
        <v/>
      </c>
      <c r="M3906" s="66" t="str">
        <f aca="false">IF($L3906="","",IFERROR(INDEX(记账规则!$A$13:$H$32,MATCH(资金流水!$E356,记账规则!$A$13:$A$32,0),4),""))</f>
        <v/>
      </c>
      <c r="N3906" s="66" t="str">
        <f aca="false">IF($L3906="","",IFERROR(INDEX(记账规则!$A$13:$H$32,MATCH(资金流水!$E356,记账规则!$A$13:$A$32,0),5),""))</f>
        <v/>
      </c>
      <c r="O3906" s="67" t="n">
        <f aca="false">IF($H3906="",0,ROUND(IF($N3906="金额",N(资金流水!$P356),0),2))</f>
        <v>0</v>
      </c>
      <c r="P3906" s="64" t="str">
        <f aca="false">IF(AND($H3906&lt;&gt;"",ROUND($O3906,2)&lt;&gt;0),"有","")</f>
        <v/>
      </c>
    </row>
    <row r="3907" customFormat="false" ht="15" hidden="true" customHeight="false" outlineLevel="0" collapsed="false">
      <c r="A3907" s="53" t="str">
        <f aca="false">IF($H3907="","",ROW()-5)</f>
        <v/>
      </c>
      <c r="B3907" s="64" t="s">
        <v>37</v>
      </c>
      <c r="C3907" s="53" t="n">
        <v>356</v>
      </c>
      <c r="D3907" s="53" t="n">
        <v>2</v>
      </c>
      <c r="E3907" s="65" t="str">
        <f aca="false">IF($H3907="","",资金流水!$B356)</f>
        <v/>
      </c>
      <c r="F3907" s="55" t="str">
        <f aca="false">IF($H3907="","",资金流水!$C356)</f>
        <v/>
      </c>
      <c r="G3907" s="48" t="str">
        <f aca="false">IF($H3907="","",资金流水!$K356)</f>
        <v/>
      </c>
      <c r="H3907" s="10" t="str">
        <f aca="false">IF($L3907="","",IF($L3907="@对方",资金流水!$G356,IF($L3907="@账户",资金流水!$Q356,$L3907)))</f>
        <v/>
      </c>
      <c r="I3907" s="42" t="n">
        <f aca="false">IF($M3907="借",$O3907,0)</f>
        <v>0</v>
      </c>
      <c r="J3907" s="42" t="n">
        <f aca="false">IF($M3907="贷",$O3907,0)</f>
        <v>0</v>
      </c>
      <c r="K3907" s="48" t="str">
        <f aca="false">IF($H3907="","",资金流水!$F356)</f>
        <v/>
      </c>
      <c r="L3907" s="66" t="str">
        <f aca="false">IF(资金流水!$E356="","",IFERROR(INDEX(记账规则!$A$13:$H$32,MATCH(资金流水!$E356,记账规则!$A$13:$A$32,0),6),""))</f>
        <v/>
      </c>
      <c r="M3907" s="66" t="str">
        <f aca="false">IF($L3907="","",IFERROR(INDEX(记账规则!$A$13:$H$32,MATCH(资金流水!$E356,记账规则!$A$13:$A$32,0),7),""))</f>
        <v/>
      </c>
      <c r="N3907" s="66" t="str">
        <f aca="false">IF($L3907="","",IFERROR(INDEX(记账规则!$A$13:$H$32,MATCH(资金流水!$E356,记账规则!$A$13:$A$32,0),8),""))</f>
        <v/>
      </c>
      <c r="O3907" s="67" t="n">
        <f aca="false">IF($H3907="",0,ROUND(IF($N3907="金额",N(资金流水!$P356),0),2))</f>
        <v>0</v>
      </c>
      <c r="P3907" s="64" t="str">
        <f aca="false">IF(AND($H3907&lt;&gt;"",ROUND($O3907,2)&lt;&gt;0),"有","")</f>
        <v/>
      </c>
    </row>
    <row r="3908" customFormat="false" ht="15" hidden="true" customHeight="false" outlineLevel="0" collapsed="false">
      <c r="A3908" s="53" t="str">
        <f aca="false">IF($H3908="","",ROW()-5)</f>
        <v/>
      </c>
      <c r="B3908" s="64" t="s">
        <v>37</v>
      </c>
      <c r="C3908" s="53" t="n">
        <v>357</v>
      </c>
      <c r="D3908" s="53" t="n">
        <v>1</v>
      </c>
      <c r="E3908" s="65" t="str">
        <f aca="false">IF($H3908="","",资金流水!$B357)</f>
        <v/>
      </c>
      <c r="F3908" s="55" t="str">
        <f aca="false">IF($H3908="","",资金流水!$C357)</f>
        <v/>
      </c>
      <c r="G3908" s="48" t="str">
        <f aca="false">IF($H3908="","",资金流水!$K357)</f>
        <v/>
      </c>
      <c r="H3908" s="10" t="str">
        <f aca="false">IF($L3908="","",IF($L3908="@对方",资金流水!$G357,IF($L3908="@账户",资金流水!$Q357,$L3908)))</f>
        <v/>
      </c>
      <c r="I3908" s="42" t="n">
        <f aca="false">IF($M3908="借",$O3908,0)</f>
        <v>0</v>
      </c>
      <c r="J3908" s="42" t="n">
        <f aca="false">IF($M3908="贷",$O3908,0)</f>
        <v>0</v>
      </c>
      <c r="K3908" s="48" t="str">
        <f aca="false">IF($H3908="","",资金流水!$F357)</f>
        <v/>
      </c>
      <c r="L3908" s="66" t="str">
        <f aca="false">IF(资金流水!$E357="","",IFERROR(INDEX(记账规则!$A$13:$H$32,MATCH(资金流水!$E357,记账规则!$A$13:$A$32,0),3),""))</f>
        <v/>
      </c>
      <c r="M3908" s="66" t="str">
        <f aca="false">IF($L3908="","",IFERROR(INDEX(记账规则!$A$13:$H$32,MATCH(资金流水!$E357,记账规则!$A$13:$A$32,0),4),""))</f>
        <v/>
      </c>
      <c r="N3908" s="66" t="str">
        <f aca="false">IF($L3908="","",IFERROR(INDEX(记账规则!$A$13:$H$32,MATCH(资金流水!$E357,记账规则!$A$13:$A$32,0),5),""))</f>
        <v/>
      </c>
      <c r="O3908" s="67" t="n">
        <f aca="false">IF($H3908="",0,ROUND(IF($N3908="金额",N(资金流水!$P357),0),2))</f>
        <v>0</v>
      </c>
      <c r="P3908" s="64" t="str">
        <f aca="false">IF(AND($H3908&lt;&gt;"",ROUND($O3908,2)&lt;&gt;0),"有","")</f>
        <v/>
      </c>
    </row>
    <row r="3909" customFormat="false" ht="15" hidden="true" customHeight="false" outlineLevel="0" collapsed="false">
      <c r="A3909" s="53" t="str">
        <f aca="false">IF($H3909="","",ROW()-5)</f>
        <v/>
      </c>
      <c r="B3909" s="64" t="s">
        <v>37</v>
      </c>
      <c r="C3909" s="53" t="n">
        <v>357</v>
      </c>
      <c r="D3909" s="53" t="n">
        <v>2</v>
      </c>
      <c r="E3909" s="65" t="str">
        <f aca="false">IF($H3909="","",资金流水!$B357)</f>
        <v/>
      </c>
      <c r="F3909" s="55" t="str">
        <f aca="false">IF($H3909="","",资金流水!$C357)</f>
        <v/>
      </c>
      <c r="G3909" s="48" t="str">
        <f aca="false">IF($H3909="","",资金流水!$K357)</f>
        <v/>
      </c>
      <c r="H3909" s="10" t="str">
        <f aca="false">IF($L3909="","",IF($L3909="@对方",资金流水!$G357,IF($L3909="@账户",资金流水!$Q357,$L3909)))</f>
        <v/>
      </c>
      <c r="I3909" s="42" t="n">
        <f aca="false">IF($M3909="借",$O3909,0)</f>
        <v>0</v>
      </c>
      <c r="J3909" s="42" t="n">
        <f aca="false">IF($M3909="贷",$O3909,0)</f>
        <v>0</v>
      </c>
      <c r="K3909" s="48" t="str">
        <f aca="false">IF($H3909="","",资金流水!$F357)</f>
        <v/>
      </c>
      <c r="L3909" s="66" t="str">
        <f aca="false">IF(资金流水!$E357="","",IFERROR(INDEX(记账规则!$A$13:$H$32,MATCH(资金流水!$E357,记账规则!$A$13:$A$32,0),6),""))</f>
        <v/>
      </c>
      <c r="M3909" s="66" t="str">
        <f aca="false">IF($L3909="","",IFERROR(INDEX(记账规则!$A$13:$H$32,MATCH(资金流水!$E357,记账规则!$A$13:$A$32,0),7),""))</f>
        <v/>
      </c>
      <c r="N3909" s="66" t="str">
        <f aca="false">IF($L3909="","",IFERROR(INDEX(记账规则!$A$13:$H$32,MATCH(资金流水!$E357,记账规则!$A$13:$A$32,0),8),""))</f>
        <v/>
      </c>
      <c r="O3909" s="67" t="n">
        <f aca="false">IF($H3909="",0,ROUND(IF($N3909="金额",N(资金流水!$P357),0),2))</f>
        <v>0</v>
      </c>
      <c r="P3909" s="64" t="str">
        <f aca="false">IF(AND($H3909&lt;&gt;"",ROUND($O3909,2)&lt;&gt;0),"有","")</f>
        <v/>
      </c>
    </row>
    <row r="3910" customFormat="false" ht="15" hidden="true" customHeight="false" outlineLevel="0" collapsed="false">
      <c r="A3910" s="53" t="str">
        <f aca="false">IF($H3910="","",ROW()-5)</f>
        <v/>
      </c>
      <c r="B3910" s="64" t="s">
        <v>37</v>
      </c>
      <c r="C3910" s="53" t="n">
        <v>358</v>
      </c>
      <c r="D3910" s="53" t="n">
        <v>1</v>
      </c>
      <c r="E3910" s="65" t="str">
        <f aca="false">IF($H3910="","",资金流水!$B358)</f>
        <v/>
      </c>
      <c r="F3910" s="55" t="str">
        <f aca="false">IF($H3910="","",资金流水!$C358)</f>
        <v/>
      </c>
      <c r="G3910" s="48" t="str">
        <f aca="false">IF($H3910="","",资金流水!$K358)</f>
        <v/>
      </c>
      <c r="H3910" s="10" t="str">
        <f aca="false">IF($L3910="","",IF($L3910="@对方",资金流水!$G358,IF($L3910="@账户",资金流水!$Q358,$L3910)))</f>
        <v/>
      </c>
      <c r="I3910" s="42" t="n">
        <f aca="false">IF($M3910="借",$O3910,0)</f>
        <v>0</v>
      </c>
      <c r="J3910" s="42" t="n">
        <f aca="false">IF($M3910="贷",$O3910,0)</f>
        <v>0</v>
      </c>
      <c r="K3910" s="48" t="str">
        <f aca="false">IF($H3910="","",资金流水!$F358)</f>
        <v/>
      </c>
      <c r="L3910" s="66" t="str">
        <f aca="false">IF(资金流水!$E358="","",IFERROR(INDEX(记账规则!$A$13:$H$32,MATCH(资金流水!$E358,记账规则!$A$13:$A$32,0),3),""))</f>
        <v/>
      </c>
      <c r="M3910" s="66" t="str">
        <f aca="false">IF($L3910="","",IFERROR(INDEX(记账规则!$A$13:$H$32,MATCH(资金流水!$E358,记账规则!$A$13:$A$32,0),4),""))</f>
        <v/>
      </c>
      <c r="N3910" s="66" t="str">
        <f aca="false">IF($L3910="","",IFERROR(INDEX(记账规则!$A$13:$H$32,MATCH(资金流水!$E358,记账规则!$A$13:$A$32,0),5),""))</f>
        <v/>
      </c>
      <c r="O3910" s="67" t="n">
        <f aca="false">IF($H3910="",0,ROUND(IF($N3910="金额",N(资金流水!$P358),0),2))</f>
        <v>0</v>
      </c>
      <c r="P3910" s="64" t="str">
        <f aca="false">IF(AND($H3910&lt;&gt;"",ROUND($O3910,2)&lt;&gt;0),"有","")</f>
        <v/>
      </c>
    </row>
    <row r="3911" customFormat="false" ht="15" hidden="true" customHeight="false" outlineLevel="0" collapsed="false">
      <c r="A3911" s="53" t="str">
        <f aca="false">IF($H3911="","",ROW()-5)</f>
        <v/>
      </c>
      <c r="B3911" s="64" t="s">
        <v>37</v>
      </c>
      <c r="C3911" s="53" t="n">
        <v>358</v>
      </c>
      <c r="D3911" s="53" t="n">
        <v>2</v>
      </c>
      <c r="E3911" s="65" t="str">
        <f aca="false">IF($H3911="","",资金流水!$B358)</f>
        <v/>
      </c>
      <c r="F3911" s="55" t="str">
        <f aca="false">IF($H3911="","",资金流水!$C358)</f>
        <v/>
      </c>
      <c r="G3911" s="48" t="str">
        <f aca="false">IF($H3911="","",资金流水!$K358)</f>
        <v/>
      </c>
      <c r="H3911" s="10" t="str">
        <f aca="false">IF($L3911="","",IF($L3911="@对方",资金流水!$G358,IF($L3911="@账户",资金流水!$Q358,$L3911)))</f>
        <v/>
      </c>
      <c r="I3911" s="42" t="n">
        <f aca="false">IF($M3911="借",$O3911,0)</f>
        <v>0</v>
      </c>
      <c r="J3911" s="42" t="n">
        <f aca="false">IF($M3911="贷",$O3911,0)</f>
        <v>0</v>
      </c>
      <c r="K3911" s="48" t="str">
        <f aca="false">IF($H3911="","",资金流水!$F358)</f>
        <v/>
      </c>
      <c r="L3911" s="66" t="str">
        <f aca="false">IF(资金流水!$E358="","",IFERROR(INDEX(记账规则!$A$13:$H$32,MATCH(资金流水!$E358,记账规则!$A$13:$A$32,0),6),""))</f>
        <v/>
      </c>
      <c r="M3911" s="66" t="str">
        <f aca="false">IF($L3911="","",IFERROR(INDEX(记账规则!$A$13:$H$32,MATCH(资金流水!$E358,记账规则!$A$13:$A$32,0),7),""))</f>
        <v/>
      </c>
      <c r="N3911" s="66" t="str">
        <f aca="false">IF($L3911="","",IFERROR(INDEX(记账规则!$A$13:$H$32,MATCH(资金流水!$E358,记账规则!$A$13:$A$32,0),8),""))</f>
        <v/>
      </c>
      <c r="O3911" s="67" t="n">
        <f aca="false">IF($H3911="",0,ROUND(IF($N3911="金额",N(资金流水!$P358),0),2))</f>
        <v>0</v>
      </c>
      <c r="P3911" s="64" t="str">
        <f aca="false">IF(AND($H3911&lt;&gt;"",ROUND($O3911,2)&lt;&gt;0),"有","")</f>
        <v/>
      </c>
    </row>
    <row r="3912" customFormat="false" ht="15" hidden="true" customHeight="false" outlineLevel="0" collapsed="false">
      <c r="A3912" s="53" t="str">
        <f aca="false">IF($H3912="","",ROW()-5)</f>
        <v/>
      </c>
      <c r="B3912" s="64" t="s">
        <v>37</v>
      </c>
      <c r="C3912" s="53" t="n">
        <v>359</v>
      </c>
      <c r="D3912" s="53" t="n">
        <v>1</v>
      </c>
      <c r="E3912" s="65" t="str">
        <f aca="false">IF($H3912="","",资金流水!$B359)</f>
        <v/>
      </c>
      <c r="F3912" s="55" t="str">
        <f aca="false">IF($H3912="","",资金流水!$C359)</f>
        <v/>
      </c>
      <c r="G3912" s="48" t="str">
        <f aca="false">IF($H3912="","",资金流水!$K359)</f>
        <v/>
      </c>
      <c r="H3912" s="10" t="str">
        <f aca="false">IF($L3912="","",IF($L3912="@对方",资金流水!$G359,IF($L3912="@账户",资金流水!$Q359,$L3912)))</f>
        <v/>
      </c>
      <c r="I3912" s="42" t="n">
        <f aca="false">IF($M3912="借",$O3912,0)</f>
        <v>0</v>
      </c>
      <c r="J3912" s="42" t="n">
        <f aca="false">IF($M3912="贷",$O3912,0)</f>
        <v>0</v>
      </c>
      <c r="K3912" s="48" t="str">
        <f aca="false">IF($H3912="","",资金流水!$F359)</f>
        <v/>
      </c>
      <c r="L3912" s="66" t="str">
        <f aca="false">IF(资金流水!$E359="","",IFERROR(INDEX(记账规则!$A$13:$H$32,MATCH(资金流水!$E359,记账规则!$A$13:$A$32,0),3),""))</f>
        <v/>
      </c>
      <c r="M3912" s="66" t="str">
        <f aca="false">IF($L3912="","",IFERROR(INDEX(记账规则!$A$13:$H$32,MATCH(资金流水!$E359,记账规则!$A$13:$A$32,0),4),""))</f>
        <v/>
      </c>
      <c r="N3912" s="66" t="str">
        <f aca="false">IF($L3912="","",IFERROR(INDEX(记账规则!$A$13:$H$32,MATCH(资金流水!$E359,记账规则!$A$13:$A$32,0),5),""))</f>
        <v/>
      </c>
      <c r="O3912" s="67" t="n">
        <f aca="false">IF($H3912="",0,ROUND(IF($N3912="金额",N(资金流水!$P359),0),2))</f>
        <v>0</v>
      </c>
      <c r="P3912" s="64" t="str">
        <f aca="false">IF(AND($H3912&lt;&gt;"",ROUND($O3912,2)&lt;&gt;0),"有","")</f>
        <v/>
      </c>
    </row>
    <row r="3913" customFormat="false" ht="15" hidden="true" customHeight="false" outlineLevel="0" collapsed="false">
      <c r="A3913" s="53" t="str">
        <f aca="false">IF($H3913="","",ROW()-5)</f>
        <v/>
      </c>
      <c r="B3913" s="64" t="s">
        <v>37</v>
      </c>
      <c r="C3913" s="53" t="n">
        <v>359</v>
      </c>
      <c r="D3913" s="53" t="n">
        <v>2</v>
      </c>
      <c r="E3913" s="65" t="str">
        <f aca="false">IF($H3913="","",资金流水!$B359)</f>
        <v/>
      </c>
      <c r="F3913" s="55" t="str">
        <f aca="false">IF($H3913="","",资金流水!$C359)</f>
        <v/>
      </c>
      <c r="G3913" s="48" t="str">
        <f aca="false">IF($H3913="","",资金流水!$K359)</f>
        <v/>
      </c>
      <c r="H3913" s="10" t="str">
        <f aca="false">IF($L3913="","",IF($L3913="@对方",资金流水!$G359,IF($L3913="@账户",资金流水!$Q359,$L3913)))</f>
        <v/>
      </c>
      <c r="I3913" s="42" t="n">
        <f aca="false">IF($M3913="借",$O3913,0)</f>
        <v>0</v>
      </c>
      <c r="J3913" s="42" t="n">
        <f aca="false">IF($M3913="贷",$O3913,0)</f>
        <v>0</v>
      </c>
      <c r="K3913" s="48" t="str">
        <f aca="false">IF($H3913="","",资金流水!$F359)</f>
        <v/>
      </c>
      <c r="L3913" s="66" t="str">
        <f aca="false">IF(资金流水!$E359="","",IFERROR(INDEX(记账规则!$A$13:$H$32,MATCH(资金流水!$E359,记账规则!$A$13:$A$32,0),6),""))</f>
        <v/>
      </c>
      <c r="M3913" s="66" t="str">
        <f aca="false">IF($L3913="","",IFERROR(INDEX(记账规则!$A$13:$H$32,MATCH(资金流水!$E359,记账规则!$A$13:$A$32,0),7),""))</f>
        <v/>
      </c>
      <c r="N3913" s="66" t="str">
        <f aca="false">IF($L3913="","",IFERROR(INDEX(记账规则!$A$13:$H$32,MATCH(资金流水!$E359,记账规则!$A$13:$A$32,0),8),""))</f>
        <v/>
      </c>
      <c r="O3913" s="67" t="n">
        <f aca="false">IF($H3913="",0,ROUND(IF($N3913="金额",N(资金流水!$P359),0),2))</f>
        <v>0</v>
      </c>
      <c r="P3913" s="64" t="str">
        <f aca="false">IF(AND($H3913&lt;&gt;"",ROUND($O3913,2)&lt;&gt;0),"有","")</f>
        <v/>
      </c>
    </row>
    <row r="3914" customFormat="false" ht="15" hidden="true" customHeight="false" outlineLevel="0" collapsed="false">
      <c r="A3914" s="53" t="str">
        <f aca="false">IF($H3914="","",ROW()-5)</f>
        <v/>
      </c>
      <c r="B3914" s="64" t="s">
        <v>37</v>
      </c>
      <c r="C3914" s="53" t="n">
        <v>360</v>
      </c>
      <c r="D3914" s="53" t="n">
        <v>1</v>
      </c>
      <c r="E3914" s="65" t="str">
        <f aca="false">IF($H3914="","",资金流水!$B360)</f>
        <v/>
      </c>
      <c r="F3914" s="55" t="str">
        <f aca="false">IF($H3914="","",资金流水!$C360)</f>
        <v/>
      </c>
      <c r="G3914" s="48" t="str">
        <f aca="false">IF($H3914="","",资金流水!$K360)</f>
        <v/>
      </c>
      <c r="H3914" s="10" t="str">
        <f aca="false">IF($L3914="","",IF($L3914="@对方",资金流水!$G360,IF($L3914="@账户",资金流水!$Q360,$L3914)))</f>
        <v/>
      </c>
      <c r="I3914" s="42" t="n">
        <f aca="false">IF($M3914="借",$O3914,0)</f>
        <v>0</v>
      </c>
      <c r="J3914" s="42" t="n">
        <f aca="false">IF($M3914="贷",$O3914,0)</f>
        <v>0</v>
      </c>
      <c r="K3914" s="48" t="str">
        <f aca="false">IF($H3914="","",资金流水!$F360)</f>
        <v/>
      </c>
      <c r="L3914" s="66" t="str">
        <f aca="false">IF(资金流水!$E360="","",IFERROR(INDEX(记账规则!$A$13:$H$32,MATCH(资金流水!$E360,记账规则!$A$13:$A$32,0),3),""))</f>
        <v/>
      </c>
      <c r="M3914" s="66" t="str">
        <f aca="false">IF($L3914="","",IFERROR(INDEX(记账规则!$A$13:$H$32,MATCH(资金流水!$E360,记账规则!$A$13:$A$32,0),4),""))</f>
        <v/>
      </c>
      <c r="N3914" s="66" t="str">
        <f aca="false">IF($L3914="","",IFERROR(INDEX(记账规则!$A$13:$H$32,MATCH(资金流水!$E360,记账规则!$A$13:$A$32,0),5),""))</f>
        <v/>
      </c>
      <c r="O3914" s="67" t="n">
        <f aca="false">IF($H3914="",0,ROUND(IF($N3914="金额",N(资金流水!$P360),0),2))</f>
        <v>0</v>
      </c>
      <c r="P3914" s="64" t="str">
        <f aca="false">IF(AND($H3914&lt;&gt;"",ROUND($O3914,2)&lt;&gt;0),"有","")</f>
        <v/>
      </c>
    </row>
    <row r="3915" customFormat="false" ht="15" hidden="true" customHeight="false" outlineLevel="0" collapsed="false">
      <c r="A3915" s="53" t="str">
        <f aca="false">IF($H3915="","",ROW()-5)</f>
        <v/>
      </c>
      <c r="B3915" s="64" t="s">
        <v>37</v>
      </c>
      <c r="C3915" s="53" t="n">
        <v>360</v>
      </c>
      <c r="D3915" s="53" t="n">
        <v>2</v>
      </c>
      <c r="E3915" s="65" t="str">
        <f aca="false">IF($H3915="","",资金流水!$B360)</f>
        <v/>
      </c>
      <c r="F3915" s="55" t="str">
        <f aca="false">IF($H3915="","",资金流水!$C360)</f>
        <v/>
      </c>
      <c r="G3915" s="48" t="str">
        <f aca="false">IF($H3915="","",资金流水!$K360)</f>
        <v/>
      </c>
      <c r="H3915" s="10" t="str">
        <f aca="false">IF($L3915="","",IF($L3915="@对方",资金流水!$G360,IF($L3915="@账户",资金流水!$Q360,$L3915)))</f>
        <v/>
      </c>
      <c r="I3915" s="42" t="n">
        <f aca="false">IF($M3915="借",$O3915,0)</f>
        <v>0</v>
      </c>
      <c r="J3915" s="42" t="n">
        <f aca="false">IF($M3915="贷",$O3915,0)</f>
        <v>0</v>
      </c>
      <c r="K3915" s="48" t="str">
        <f aca="false">IF($H3915="","",资金流水!$F360)</f>
        <v/>
      </c>
      <c r="L3915" s="66" t="str">
        <f aca="false">IF(资金流水!$E360="","",IFERROR(INDEX(记账规则!$A$13:$H$32,MATCH(资金流水!$E360,记账规则!$A$13:$A$32,0),6),""))</f>
        <v/>
      </c>
      <c r="M3915" s="66" t="str">
        <f aca="false">IF($L3915="","",IFERROR(INDEX(记账规则!$A$13:$H$32,MATCH(资金流水!$E360,记账规则!$A$13:$A$32,0),7),""))</f>
        <v/>
      </c>
      <c r="N3915" s="66" t="str">
        <f aca="false">IF($L3915="","",IFERROR(INDEX(记账规则!$A$13:$H$32,MATCH(资金流水!$E360,记账规则!$A$13:$A$32,0),8),""))</f>
        <v/>
      </c>
      <c r="O3915" s="67" t="n">
        <f aca="false">IF($H3915="",0,ROUND(IF($N3915="金额",N(资金流水!$P360),0),2))</f>
        <v>0</v>
      </c>
      <c r="P3915" s="64" t="str">
        <f aca="false">IF(AND($H3915&lt;&gt;"",ROUND($O3915,2)&lt;&gt;0),"有","")</f>
        <v/>
      </c>
    </row>
    <row r="3916" customFormat="false" ht="15" hidden="true" customHeight="false" outlineLevel="0" collapsed="false">
      <c r="A3916" s="53" t="str">
        <f aca="false">IF($H3916="","",ROW()-5)</f>
        <v/>
      </c>
      <c r="B3916" s="64" t="s">
        <v>37</v>
      </c>
      <c r="C3916" s="53" t="n">
        <v>361</v>
      </c>
      <c r="D3916" s="53" t="n">
        <v>1</v>
      </c>
      <c r="E3916" s="65" t="str">
        <f aca="false">IF($H3916="","",资金流水!$B361)</f>
        <v/>
      </c>
      <c r="F3916" s="55" t="str">
        <f aca="false">IF($H3916="","",资金流水!$C361)</f>
        <v/>
      </c>
      <c r="G3916" s="48" t="str">
        <f aca="false">IF($H3916="","",资金流水!$K361)</f>
        <v/>
      </c>
      <c r="H3916" s="10" t="str">
        <f aca="false">IF($L3916="","",IF($L3916="@对方",资金流水!$G361,IF($L3916="@账户",资金流水!$Q361,$L3916)))</f>
        <v/>
      </c>
      <c r="I3916" s="42" t="n">
        <f aca="false">IF($M3916="借",$O3916,0)</f>
        <v>0</v>
      </c>
      <c r="J3916" s="42" t="n">
        <f aca="false">IF($M3916="贷",$O3916,0)</f>
        <v>0</v>
      </c>
      <c r="K3916" s="48" t="str">
        <f aca="false">IF($H3916="","",资金流水!$F361)</f>
        <v/>
      </c>
      <c r="L3916" s="66" t="str">
        <f aca="false">IF(资金流水!$E361="","",IFERROR(INDEX(记账规则!$A$13:$H$32,MATCH(资金流水!$E361,记账规则!$A$13:$A$32,0),3),""))</f>
        <v/>
      </c>
      <c r="M3916" s="66" t="str">
        <f aca="false">IF($L3916="","",IFERROR(INDEX(记账规则!$A$13:$H$32,MATCH(资金流水!$E361,记账规则!$A$13:$A$32,0),4),""))</f>
        <v/>
      </c>
      <c r="N3916" s="66" t="str">
        <f aca="false">IF($L3916="","",IFERROR(INDEX(记账规则!$A$13:$H$32,MATCH(资金流水!$E361,记账规则!$A$13:$A$32,0),5),""))</f>
        <v/>
      </c>
      <c r="O3916" s="67" t="n">
        <f aca="false">IF($H3916="",0,ROUND(IF($N3916="金额",N(资金流水!$P361),0),2))</f>
        <v>0</v>
      </c>
      <c r="P3916" s="64" t="str">
        <f aca="false">IF(AND($H3916&lt;&gt;"",ROUND($O3916,2)&lt;&gt;0),"有","")</f>
        <v/>
      </c>
    </row>
    <row r="3917" customFormat="false" ht="15" hidden="true" customHeight="false" outlineLevel="0" collapsed="false">
      <c r="A3917" s="53" t="str">
        <f aca="false">IF($H3917="","",ROW()-5)</f>
        <v/>
      </c>
      <c r="B3917" s="64" t="s">
        <v>37</v>
      </c>
      <c r="C3917" s="53" t="n">
        <v>361</v>
      </c>
      <c r="D3917" s="53" t="n">
        <v>2</v>
      </c>
      <c r="E3917" s="65" t="str">
        <f aca="false">IF($H3917="","",资金流水!$B361)</f>
        <v/>
      </c>
      <c r="F3917" s="55" t="str">
        <f aca="false">IF($H3917="","",资金流水!$C361)</f>
        <v/>
      </c>
      <c r="G3917" s="48" t="str">
        <f aca="false">IF($H3917="","",资金流水!$K361)</f>
        <v/>
      </c>
      <c r="H3917" s="10" t="str">
        <f aca="false">IF($L3917="","",IF($L3917="@对方",资金流水!$G361,IF($L3917="@账户",资金流水!$Q361,$L3917)))</f>
        <v/>
      </c>
      <c r="I3917" s="42" t="n">
        <f aca="false">IF($M3917="借",$O3917,0)</f>
        <v>0</v>
      </c>
      <c r="J3917" s="42" t="n">
        <f aca="false">IF($M3917="贷",$O3917,0)</f>
        <v>0</v>
      </c>
      <c r="K3917" s="48" t="str">
        <f aca="false">IF($H3917="","",资金流水!$F361)</f>
        <v/>
      </c>
      <c r="L3917" s="66" t="str">
        <f aca="false">IF(资金流水!$E361="","",IFERROR(INDEX(记账规则!$A$13:$H$32,MATCH(资金流水!$E361,记账规则!$A$13:$A$32,0),6),""))</f>
        <v/>
      </c>
      <c r="M3917" s="66" t="str">
        <f aca="false">IF($L3917="","",IFERROR(INDEX(记账规则!$A$13:$H$32,MATCH(资金流水!$E361,记账规则!$A$13:$A$32,0),7),""))</f>
        <v/>
      </c>
      <c r="N3917" s="66" t="str">
        <f aca="false">IF($L3917="","",IFERROR(INDEX(记账规则!$A$13:$H$32,MATCH(资金流水!$E361,记账规则!$A$13:$A$32,0),8),""))</f>
        <v/>
      </c>
      <c r="O3917" s="67" t="n">
        <f aca="false">IF($H3917="",0,ROUND(IF($N3917="金额",N(资金流水!$P361),0),2))</f>
        <v>0</v>
      </c>
      <c r="P3917" s="64" t="str">
        <f aca="false">IF(AND($H3917&lt;&gt;"",ROUND($O3917,2)&lt;&gt;0),"有","")</f>
        <v/>
      </c>
    </row>
    <row r="3918" customFormat="false" ht="15" hidden="true" customHeight="false" outlineLevel="0" collapsed="false">
      <c r="A3918" s="53" t="str">
        <f aca="false">IF($H3918="","",ROW()-5)</f>
        <v/>
      </c>
      <c r="B3918" s="64" t="s">
        <v>37</v>
      </c>
      <c r="C3918" s="53" t="n">
        <v>362</v>
      </c>
      <c r="D3918" s="53" t="n">
        <v>1</v>
      </c>
      <c r="E3918" s="65" t="str">
        <f aca="false">IF($H3918="","",资金流水!$B362)</f>
        <v/>
      </c>
      <c r="F3918" s="55" t="str">
        <f aca="false">IF($H3918="","",资金流水!$C362)</f>
        <v/>
      </c>
      <c r="G3918" s="48" t="str">
        <f aca="false">IF($H3918="","",资金流水!$K362)</f>
        <v/>
      </c>
      <c r="H3918" s="10" t="str">
        <f aca="false">IF($L3918="","",IF($L3918="@对方",资金流水!$G362,IF($L3918="@账户",资金流水!$Q362,$L3918)))</f>
        <v/>
      </c>
      <c r="I3918" s="42" t="n">
        <f aca="false">IF($M3918="借",$O3918,0)</f>
        <v>0</v>
      </c>
      <c r="J3918" s="42" t="n">
        <f aca="false">IF($M3918="贷",$O3918,0)</f>
        <v>0</v>
      </c>
      <c r="K3918" s="48" t="str">
        <f aca="false">IF($H3918="","",资金流水!$F362)</f>
        <v/>
      </c>
      <c r="L3918" s="66" t="str">
        <f aca="false">IF(资金流水!$E362="","",IFERROR(INDEX(记账规则!$A$13:$H$32,MATCH(资金流水!$E362,记账规则!$A$13:$A$32,0),3),""))</f>
        <v/>
      </c>
      <c r="M3918" s="66" t="str">
        <f aca="false">IF($L3918="","",IFERROR(INDEX(记账规则!$A$13:$H$32,MATCH(资金流水!$E362,记账规则!$A$13:$A$32,0),4),""))</f>
        <v/>
      </c>
      <c r="N3918" s="66" t="str">
        <f aca="false">IF($L3918="","",IFERROR(INDEX(记账规则!$A$13:$H$32,MATCH(资金流水!$E362,记账规则!$A$13:$A$32,0),5),""))</f>
        <v/>
      </c>
      <c r="O3918" s="67" t="n">
        <f aca="false">IF($H3918="",0,ROUND(IF($N3918="金额",N(资金流水!$P362),0),2))</f>
        <v>0</v>
      </c>
      <c r="P3918" s="64" t="str">
        <f aca="false">IF(AND($H3918&lt;&gt;"",ROUND($O3918,2)&lt;&gt;0),"有","")</f>
        <v/>
      </c>
    </row>
    <row r="3919" customFormat="false" ht="15" hidden="true" customHeight="false" outlineLevel="0" collapsed="false">
      <c r="A3919" s="53" t="str">
        <f aca="false">IF($H3919="","",ROW()-5)</f>
        <v/>
      </c>
      <c r="B3919" s="64" t="s">
        <v>37</v>
      </c>
      <c r="C3919" s="53" t="n">
        <v>362</v>
      </c>
      <c r="D3919" s="53" t="n">
        <v>2</v>
      </c>
      <c r="E3919" s="65" t="str">
        <f aca="false">IF($H3919="","",资金流水!$B362)</f>
        <v/>
      </c>
      <c r="F3919" s="55" t="str">
        <f aca="false">IF($H3919="","",资金流水!$C362)</f>
        <v/>
      </c>
      <c r="G3919" s="48" t="str">
        <f aca="false">IF($H3919="","",资金流水!$K362)</f>
        <v/>
      </c>
      <c r="H3919" s="10" t="str">
        <f aca="false">IF($L3919="","",IF($L3919="@对方",资金流水!$G362,IF($L3919="@账户",资金流水!$Q362,$L3919)))</f>
        <v/>
      </c>
      <c r="I3919" s="42" t="n">
        <f aca="false">IF($M3919="借",$O3919,0)</f>
        <v>0</v>
      </c>
      <c r="J3919" s="42" t="n">
        <f aca="false">IF($M3919="贷",$O3919,0)</f>
        <v>0</v>
      </c>
      <c r="K3919" s="48" t="str">
        <f aca="false">IF($H3919="","",资金流水!$F362)</f>
        <v/>
      </c>
      <c r="L3919" s="66" t="str">
        <f aca="false">IF(资金流水!$E362="","",IFERROR(INDEX(记账规则!$A$13:$H$32,MATCH(资金流水!$E362,记账规则!$A$13:$A$32,0),6),""))</f>
        <v/>
      </c>
      <c r="M3919" s="66" t="str">
        <f aca="false">IF($L3919="","",IFERROR(INDEX(记账规则!$A$13:$H$32,MATCH(资金流水!$E362,记账规则!$A$13:$A$32,0),7),""))</f>
        <v/>
      </c>
      <c r="N3919" s="66" t="str">
        <f aca="false">IF($L3919="","",IFERROR(INDEX(记账规则!$A$13:$H$32,MATCH(资金流水!$E362,记账规则!$A$13:$A$32,0),8),""))</f>
        <v/>
      </c>
      <c r="O3919" s="67" t="n">
        <f aca="false">IF($H3919="",0,ROUND(IF($N3919="金额",N(资金流水!$P362),0),2))</f>
        <v>0</v>
      </c>
      <c r="P3919" s="64" t="str">
        <f aca="false">IF(AND($H3919&lt;&gt;"",ROUND($O3919,2)&lt;&gt;0),"有","")</f>
        <v/>
      </c>
    </row>
    <row r="3920" customFormat="false" ht="15" hidden="true" customHeight="false" outlineLevel="0" collapsed="false">
      <c r="A3920" s="53" t="str">
        <f aca="false">IF($H3920="","",ROW()-5)</f>
        <v/>
      </c>
      <c r="B3920" s="64" t="s">
        <v>37</v>
      </c>
      <c r="C3920" s="53" t="n">
        <v>363</v>
      </c>
      <c r="D3920" s="53" t="n">
        <v>1</v>
      </c>
      <c r="E3920" s="65" t="str">
        <f aca="false">IF($H3920="","",资金流水!$B363)</f>
        <v/>
      </c>
      <c r="F3920" s="55" t="str">
        <f aca="false">IF($H3920="","",资金流水!$C363)</f>
        <v/>
      </c>
      <c r="G3920" s="48" t="str">
        <f aca="false">IF($H3920="","",资金流水!$K363)</f>
        <v/>
      </c>
      <c r="H3920" s="10" t="str">
        <f aca="false">IF($L3920="","",IF($L3920="@对方",资金流水!$G363,IF($L3920="@账户",资金流水!$Q363,$L3920)))</f>
        <v/>
      </c>
      <c r="I3920" s="42" t="n">
        <f aca="false">IF($M3920="借",$O3920,0)</f>
        <v>0</v>
      </c>
      <c r="J3920" s="42" t="n">
        <f aca="false">IF($M3920="贷",$O3920,0)</f>
        <v>0</v>
      </c>
      <c r="K3920" s="48" t="str">
        <f aca="false">IF($H3920="","",资金流水!$F363)</f>
        <v/>
      </c>
      <c r="L3920" s="66" t="str">
        <f aca="false">IF(资金流水!$E363="","",IFERROR(INDEX(记账规则!$A$13:$H$32,MATCH(资金流水!$E363,记账规则!$A$13:$A$32,0),3),""))</f>
        <v/>
      </c>
      <c r="M3920" s="66" t="str">
        <f aca="false">IF($L3920="","",IFERROR(INDEX(记账规则!$A$13:$H$32,MATCH(资金流水!$E363,记账规则!$A$13:$A$32,0),4),""))</f>
        <v/>
      </c>
      <c r="N3920" s="66" t="str">
        <f aca="false">IF($L3920="","",IFERROR(INDEX(记账规则!$A$13:$H$32,MATCH(资金流水!$E363,记账规则!$A$13:$A$32,0),5),""))</f>
        <v/>
      </c>
      <c r="O3920" s="67" t="n">
        <f aca="false">IF($H3920="",0,ROUND(IF($N3920="金额",N(资金流水!$P363),0),2))</f>
        <v>0</v>
      </c>
      <c r="P3920" s="64" t="str">
        <f aca="false">IF(AND($H3920&lt;&gt;"",ROUND($O3920,2)&lt;&gt;0),"有","")</f>
        <v/>
      </c>
    </row>
    <row r="3921" customFormat="false" ht="15" hidden="true" customHeight="false" outlineLevel="0" collapsed="false">
      <c r="A3921" s="53" t="str">
        <f aca="false">IF($H3921="","",ROW()-5)</f>
        <v/>
      </c>
      <c r="B3921" s="64" t="s">
        <v>37</v>
      </c>
      <c r="C3921" s="53" t="n">
        <v>363</v>
      </c>
      <c r="D3921" s="53" t="n">
        <v>2</v>
      </c>
      <c r="E3921" s="65" t="str">
        <f aca="false">IF($H3921="","",资金流水!$B363)</f>
        <v/>
      </c>
      <c r="F3921" s="55" t="str">
        <f aca="false">IF($H3921="","",资金流水!$C363)</f>
        <v/>
      </c>
      <c r="G3921" s="48" t="str">
        <f aca="false">IF($H3921="","",资金流水!$K363)</f>
        <v/>
      </c>
      <c r="H3921" s="10" t="str">
        <f aca="false">IF($L3921="","",IF($L3921="@对方",资金流水!$G363,IF($L3921="@账户",资金流水!$Q363,$L3921)))</f>
        <v/>
      </c>
      <c r="I3921" s="42" t="n">
        <f aca="false">IF($M3921="借",$O3921,0)</f>
        <v>0</v>
      </c>
      <c r="J3921" s="42" t="n">
        <f aca="false">IF($M3921="贷",$O3921,0)</f>
        <v>0</v>
      </c>
      <c r="K3921" s="48" t="str">
        <f aca="false">IF($H3921="","",资金流水!$F363)</f>
        <v/>
      </c>
      <c r="L3921" s="66" t="str">
        <f aca="false">IF(资金流水!$E363="","",IFERROR(INDEX(记账规则!$A$13:$H$32,MATCH(资金流水!$E363,记账规则!$A$13:$A$32,0),6),""))</f>
        <v/>
      </c>
      <c r="M3921" s="66" t="str">
        <f aca="false">IF($L3921="","",IFERROR(INDEX(记账规则!$A$13:$H$32,MATCH(资金流水!$E363,记账规则!$A$13:$A$32,0),7),""))</f>
        <v/>
      </c>
      <c r="N3921" s="66" t="str">
        <f aca="false">IF($L3921="","",IFERROR(INDEX(记账规则!$A$13:$H$32,MATCH(资金流水!$E363,记账规则!$A$13:$A$32,0),8),""))</f>
        <v/>
      </c>
      <c r="O3921" s="67" t="n">
        <f aca="false">IF($H3921="",0,ROUND(IF($N3921="金额",N(资金流水!$P363),0),2))</f>
        <v>0</v>
      </c>
      <c r="P3921" s="64" t="str">
        <f aca="false">IF(AND($H3921&lt;&gt;"",ROUND($O3921,2)&lt;&gt;0),"有","")</f>
        <v/>
      </c>
    </row>
    <row r="3922" customFormat="false" ht="15" hidden="true" customHeight="false" outlineLevel="0" collapsed="false">
      <c r="A3922" s="53" t="str">
        <f aca="false">IF($H3922="","",ROW()-5)</f>
        <v/>
      </c>
      <c r="B3922" s="64" t="s">
        <v>37</v>
      </c>
      <c r="C3922" s="53" t="n">
        <v>364</v>
      </c>
      <c r="D3922" s="53" t="n">
        <v>1</v>
      </c>
      <c r="E3922" s="65" t="str">
        <f aca="false">IF($H3922="","",资金流水!$B364)</f>
        <v/>
      </c>
      <c r="F3922" s="55" t="str">
        <f aca="false">IF($H3922="","",资金流水!$C364)</f>
        <v/>
      </c>
      <c r="G3922" s="48" t="str">
        <f aca="false">IF($H3922="","",资金流水!$K364)</f>
        <v/>
      </c>
      <c r="H3922" s="10" t="str">
        <f aca="false">IF($L3922="","",IF($L3922="@对方",资金流水!$G364,IF($L3922="@账户",资金流水!$Q364,$L3922)))</f>
        <v/>
      </c>
      <c r="I3922" s="42" t="n">
        <f aca="false">IF($M3922="借",$O3922,0)</f>
        <v>0</v>
      </c>
      <c r="J3922" s="42" t="n">
        <f aca="false">IF($M3922="贷",$O3922,0)</f>
        <v>0</v>
      </c>
      <c r="K3922" s="48" t="str">
        <f aca="false">IF($H3922="","",资金流水!$F364)</f>
        <v/>
      </c>
      <c r="L3922" s="66" t="str">
        <f aca="false">IF(资金流水!$E364="","",IFERROR(INDEX(记账规则!$A$13:$H$32,MATCH(资金流水!$E364,记账规则!$A$13:$A$32,0),3),""))</f>
        <v/>
      </c>
      <c r="M3922" s="66" t="str">
        <f aca="false">IF($L3922="","",IFERROR(INDEX(记账规则!$A$13:$H$32,MATCH(资金流水!$E364,记账规则!$A$13:$A$32,0),4),""))</f>
        <v/>
      </c>
      <c r="N3922" s="66" t="str">
        <f aca="false">IF($L3922="","",IFERROR(INDEX(记账规则!$A$13:$H$32,MATCH(资金流水!$E364,记账规则!$A$13:$A$32,0),5),""))</f>
        <v/>
      </c>
      <c r="O3922" s="67" t="n">
        <f aca="false">IF($H3922="",0,ROUND(IF($N3922="金额",N(资金流水!$P364),0),2))</f>
        <v>0</v>
      </c>
      <c r="P3922" s="64" t="str">
        <f aca="false">IF(AND($H3922&lt;&gt;"",ROUND($O3922,2)&lt;&gt;0),"有","")</f>
        <v/>
      </c>
    </row>
    <row r="3923" customFormat="false" ht="15" hidden="true" customHeight="false" outlineLevel="0" collapsed="false">
      <c r="A3923" s="53" t="str">
        <f aca="false">IF($H3923="","",ROW()-5)</f>
        <v/>
      </c>
      <c r="B3923" s="64" t="s">
        <v>37</v>
      </c>
      <c r="C3923" s="53" t="n">
        <v>364</v>
      </c>
      <c r="D3923" s="53" t="n">
        <v>2</v>
      </c>
      <c r="E3923" s="65" t="str">
        <f aca="false">IF($H3923="","",资金流水!$B364)</f>
        <v/>
      </c>
      <c r="F3923" s="55" t="str">
        <f aca="false">IF($H3923="","",资金流水!$C364)</f>
        <v/>
      </c>
      <c r="G3923" s="48" t="str">
        <f aca="false">IF($H3923="","",资金流水!$K364)</f>
        <v/>
      </c>
      <c r="H3923" s="10" t="str">
        <f aca="false">IF($L3923="","",IF($L3923="@对方",资金流水!$G364,IF($L3923="@账户",资金流水!$Q364,$L3923)))</f>
        <v/>
      </c>
      <c r="I3923" s="42" t="n">
        <f aca="false">IF($M3923="借",$O3923,0)</f>
        <v>0</v>
      </c>
      <c r="J3923" s="42" t="n">
        <f aca="false">IF($M3923="贷",$O3923,0)</f>
        <v>0</v>
      </c>
      <c r="K3923" s="48" t="str">
        <f aca="false">IF($H3923="","",资金流水!$F364)</f>
        <v/>
      </c>
      <c r="L3923" s="66" t="str">
        <f aca="false">IF(资金流水!$E364="","",IFERROR(INDEX(记账规则!$A$13:$H$32,MATCH(资金流水!$E364,记账规则!$A$13:$A$32,0),6),""))</f>
        <v/>
      </c>
      <c r="M3923" s="66" t="str">
        <f aca="false">IF($L3923="","",IFERROR(INDEX(记账规则!$A$13:$H$32,MATCH(资金流水!$E364,记账规则!$A$13:$A$32,0),7),""))</f>
        <v/>
      </c>
      <c r="N3923" s="66" t="str">
        <f aca="false">IF($L3923="","",IFERROR(INDEX(记账规则!$A$13:$H$32,MATCH(资金流水!$E364,记账规则!$A$13:$A$32,0),8),""))</f>
        <v/>
      </c>
      <c r="O3923" s="67" t="n">
        <f aca="false">IF($H3923="",0,ROUND(IF($N3923="金额",N(资金流水!$P364),0),2))</f>
        <v>0</v>
      </c>
      <c r="P3923" s="64" t="str">
        <f aca="false">IF(AND($H3923&lt;&gt;"",ROUND($O3923,2)&lt;&gt;0),"有","")</f>
        <v/>
      </c>
    </row>
    <row r="3924" customFormat="false" ht="15" hidden="true" customHeight="false" outlineLevel="0" collapsed="false">
      <c r="A3924" s="53" t="str">
        <f aca="false">IF($H3924="","",ROW()-5)</f>
        <v/>
      </c>
      <c r="B3924" s="64" t="s">
        <v>37</v>
      </c>
      <c r="C3924" s="53" t="n">
        <v>365</v>
      </c>
      <c r="D3924" s="53" t="n">
        <v>1</v>
      </c>
      <c r="E3924" s="65" t="str">
        <f aca="false">IF($H3924="","",资金流水!$B365)</f>
        <v/>
      </c>
      <c r="F3924" s="55" t="str">
        <f aca="false">IF($H3924="","",资金流水!$C365)</f>
        <v/>
      </c>
      <c r="G3924" s="48" t="str">
        <f aca="false">IF($H3924="","",资金流水!$K365)</f>
        <v/>
      </c>
      <c r="H3924" s="10" t="str">
        <f aca="false">IF($L3924="","",IF($L3924="@对方",资金流水!$G365,IF($L3924="@账户",资金流水!$Q365,$L3924)))</f>
        <v/>
      </c>
      <c r="I3924" s="42" t="n">
        <f aca="false">IF($M3924="借",$O3924,0)</f>
        <v>0</v>
      </c>
      <c r="J3924" s="42" t="n">
        <f aca="false">IF($M3924="贷",$O3924,0)</f>
        <v>0</v>
      </c>
      <c r="K3924" s="48" t="str">
        <f aca="false">IF($H3924="","",资金流水!$F365)</f>
        <v/>
      </c>
      <c r="L3924" s="66" t="str">
        <f aca="false">IF(资金流水!$E365="","",IFERROR(INDEX(记账规则!$A$13:$H$32,MATCH(资金流水!$E365,记账规则!$A$13:$A$32,0),3),""))</f>
        <v/>
      </c>
      <c r="M3924" s="66" t="str">
        <f aca="false">IF($L3924="","",IFERROR(INDEX(记账规则!$A$13:$H$32,MATCH(资金流水!$E365,记账规则!$A$13:$A$32,0),4),""))</f>
        <v/>
      </c>
      <c r="N3924" s="66" t="str">
        <f aca="false">IF($L3924="","",IFERROR(INDEX(记账规则!$A$13:$H$32,MATCH(资金流水!$E365,记账规则!$A$13:$A$32,0),5),""))</f>
        <v/>
      </c>
      <c r="O3924" s="67" t="n">
        <f aca="false">IF($H3924="",0,ROUND(IF($N3924="金额",N(资金流水!$P365),0),2))</f>
        <v>0</v>
      </c>
      <c r="P3924" s="64" t="str">
        <f aca="false">IF(AND($H3924&lt;&gt;"",ROUND($O3924,2)&lt;&gt;0),"有","")</f>
        <v/>
      </c>
    </row>
    <row r="3925" customFormat="false" ht="15" hidden="true" customHeight="false" outlineLevel="0" collapsed="false">
      <c r="A3925" s="53" t="str">
        <f aca="false">IF($H3925="","",ROW()-5)</f>
        <v/>
      </c>
      <c r="B3925" s="64" t="s">
        <v>37</v>
      </c>
      <c r="C3925" s="53" t="n">
        <v>365</v>
      </c>
      <c r="D3925" s="53" t="n">
        <v>2</v>
      </c>
      <c r="E3925" s="65" t="str">
        <f aca="false">IF($H3925="","",资金流水!$B365)</f>
        <v/>
      </c>
      <c r="F3925" s="55" t="str">
        <f aca="false">IF($H3925="","",资金流水!$C365)</f>
        <v/>
      </c>
      <c r="G3925" s="48" t="str">
        <f aca="false">IF($H3925="","",资金流水!$K365)</f>
        <v/>
      </c>
      <c r="H3925" s="10" t="str">
        <f aca="false">IF($L3925="","",IF($L3925="@对方",资金流水!$G365,IF($L3925="@账户",资金流水!$Q365,$L3925)))</f>
        <v/>
      </c>
      <c r="I3925" s="42" t="n">
        <f aca="false">IF($M3925="借",$O3925,0)</f>
        <v>0</v>
      </c>
      <c r="J3925" s="42" t="n">
        <f aca="false">IF($M3925="贷",$O3925,0)</f>
        <v>0</v>
      </c>
      <c r="K3925" s="48" t="str">
        <f aca="false">IF($H3925="","",资金流水!$F365)</f>
        <v/>
      </c>
      <c r="L3925" s="66" t="str">
        <f aca="false">IF(资金流水!$E365="","",IFERROR(INDEX(记账规则!$A$13:$H$32,MATCH(资金流水!$E365,记账规则!$A$13:$A$32,0),6),""))</f>
        <v/>
      </c>
      <c r="M3925" s="66" t="str">
        <f aca="false">IF($L3925="","",IFERROR(INDEX(记账规则!$A$13:$H$32,MATCH(资金流水!$E365,记账规则!$A$13:$A$32,0),7),""))</f>
        <v/>
      </c>
      <c r="N3925" s="66" t="str">
        <f aca="false">IF($L3925="","",IFERROR(INDEX(记账规则!$A$13:$H$32,MATCH(资金流水!$E365,记账规则!$A$13:$A$32,0),8),""))</f>
        <v/>
      </c>
      <c r="O3925" s="67" t="n">
        <f aca="false">IF($H3925="",0,ROUND(IF($N3925="金额",N(资金流水!$P365),0),2))</f>
        <v>0</v>
      </c>
      <c r="P3925" s="64" t="str">
        <f aca="false">IF(AND($H3925&lt;&gt;"",ROUND($O3925,2)&lt;&gt;0),"有","")</f>
        <v/>
      </c>
    </row>
    <row r="3926" customFormat="false" ht="15" hidden="true" customHeight="false" outlineLevel="0" collapsed="false">
      <c r="A3926" s="53" t="str">
        <f aca="false">IF($H3926="","",ROW()-5)</f>
        <v/>
      </c>
      <c r="B3926" s="64" t="s">
        <v>37</v>
      </c>
      <c r="C3926" s="53" t="n">
        <v>366</v>
      </c>
      <c r="D3926" s="53" t="n">
        <v>1</v>
      </c>
      <c r="E3926" s="65" t="str">
        <f aca="false">IF($H3926="","",资金流水!$B366)</f>
        <v/>
      </c>
      <c r="F3926" s="55" t="str">
        <f aca="false">IF($H3926="","",资金流水!$C366)</f>
        <v/>
      </c>
      <c r="G3926" s="48" t="str">
        <f aca="false">IF($H3926="","",资金流水!$K366)</f>
        <v/>
      </c>
      <c r="H3926" s="10" t="str">
        <f aca="false">IF($L3926="","",IF($L3926="@对方",资金流水!$G366,IF($L3926="@账户",资金流水!$Q366,$L3926)))</f>
        <v/>
      </c>
      <c r="I3926" s="42" t="n">
        <f aca="false">IF($M3926="借",$O3926,0)</f>
        <v>0</v>
      </c>
      <c r="J3926" s="42" t="n">
        <f aca="false">IF($M3926="贷",$O3926,0)</f>
        <v>0</v>
      </c>
      <c r="K3926" s="48" t="str">
        <f aca="false">IF($H3926="","",资金流水!$F366)</f>
        <v/>
      </c>
      <c r="L3926" s="66" t="str">
        <f aca="false">IF(资金流水!$E366="","",IFERROR(INDEX(记账规则!$A$13:$H$32,MATCH(资金流水!$E366,记账规则!$A$13:$A$32,0),3),""))</f>
        <v/>
      </c>
      <c r="M3926" s="66" t="str">
        <f aca="false">IF($L3926="","",IFERROR(INDEX(记账规则!$A$13:$H$32,MATCH(资金流水!$E366,记账规则!$A$13:$A$32,0),4),""))</f>
        <v/>
      </c>
      <c r="N3926" s="66" t="str">
        <f aca="false">IF($L3926="","",IFERROR(INDEX(记账规则!$A$13:$H$32,MATCH(资金流水!$E366,记账规则!$A$13:$A$32,0),5),""))</f>
        <v/>
      </c>
      <c r="O3926" s="67" t="n">
        <f aca="false">IF($H3926="",0,ROUND(IF($N3926="金额",N(资金流水!$P366),0),2))</f>
        <v>0</v>
      </c>
      <c r="P3926" s="64" t="str">
        <f aca="false">IF(AND($H3926&lt;&gt;"",ROUND($O3926,2)&lt;&gt;0),"有","")</f>
        <v/>
      </c>
    </row>
    <row r="3927" customFormat="false" ht="15" hidden="true" customHeight="false" outlineLevel="0" collapsed="false">
      <c r="A3927" s="53" t="str">
        <f aca="false">IF($H3927="","",ROW()-5)</f>
        <v/>
      </c>
      <c r="B3927" s="64" t="s">
        <v>37</v>
      </c>
      <c r="C3927" s="53" t="n">
        <v>366</v>
      </c>
      <c r="D3927" s="53" t="n">
        <v>2</v>
      </c>
      <c r="E3927" s="65" t="str">
        <f aca="false">IF($H3927="","",资金流水!$B366)</f>
        <v/>
      </c>
      <c r="F3927" s="55" t="str">
        <f aca="false">IF($H3927="","",资金流水!$C366)</f>
        <v/>
      </c>
      <c r="G3927" s="48" t="str">
        <f aca="false">IF($H3927="","",资金流水!$K366)</f>
        <v/>
      </c>
      <c r="H3927" s="10" t="str">
        <f aca="false">IF($L3927="","",IF($L3927="@对方",资金流水!$G366,IF($L3927="@账户",资金流水!$Q366,$L3927)))</f>
        <v/>
      </c>
      <c r="I3927" s="42" t="n">
        <f aca="false">IF($M3927="借",$O3927,0)</f>
        <v>0</v>
      </c>
      <c r="J3927" s="42" t="n">
        <f aca="false">IF($M3927="贷",$O3927,0)</f>
        <v>0</v>
      </c>
      <c r="K3927" s="48" t="str">
        <f aca="false">IF($H3927="","",资金流水!$F366)</f>
        <v/>
      </c>
      <c r="L3927" s="66" t="str">
        <f aca="false">IF(资金流水!$E366="","",IFERROR(INDEX(记账规则!$A$13:$H$32,MATCH(资金流水!$E366,记账规则!$A$13:$A$32,0),6),""))</f>
        <v/>
      </c>
      <c r="M3927" s="66" t="str">
        <f aca="false">IF($L3927="","",IFERROR(INDEX(记账规则!$A$13:$H$32,MATCH(资金流水!$E366,记账规则!$A$13:$A$32,0),7),""))</f>
        <v/>
      </c>
      <c r="N3927" s="66" t="str">
        <f aca="false">IF($L3927="","",IFERROR(INDEX(记账规则!$A$13:$H$32,MATCH(资金流水!$E366,记账规则!$A$13:$A$32,0),8),""))</f>
        <v/>
      </c>
      <c r="O3927" s="67" t="n">
        <f aca="false">IF($H3927="",0,ROUND(IF($N3927="金额",N(资金流水!$P366),0),2))</f>
        <v>0</v>
      </c>
      <c r="P3927" s="64" t="str">
        <f aca="false">IF(AND($H3927&lt;&gt;"",ROUND($O3927,2)&lt;&gt;0),"有","")</f>
        <v/>
      </c>
    </row>
    <row r="3928" customFormat="false" ht="15" hidden="true" customHeight="false" outlineLevel="0" collapsed="false">
      <c r="A3928" s="53" t="str">
        <f aca="false">IF($H3928="","",ROW()-5)</f>
        <v/>
      </c>
      <c r="B3928" s="64" t="s">
        <v>37</v>
      </c>
      <c r="C3928" s="53" t="n">
        <v>367</v>
      </c>
      <c r="D3928" s="53" t="n">
        <v>1</v>
      </c>
      <c r="E3928" s="65" t="str">
        <f aca="false">IF($H3928="","",资金流水!$B367)</f>
        <v/>
      </c>
      <c r="F3928" s="55" t="str">
        <f aca="false">IF($H3928="","",资金流水!$C367)</f>
        <v/>
      </c>
      <c r="G3928" s="48" t="str">
        <f aca="false">IF($H3928="","",资金流水!$K367)</f>
        <v/>
      </c>
      <c r="H3928" s="10" t="str">
        <f aca="false">IF($L3928="","",IF($L3928="@对方",资金流水!$G367,IF($L3928="@账户",资金流水!$Q367,$L3928)))</f>
        <v/>
      </c>
      <c r="I3928" s="42" t="n">
        <f aca="false">IF($M3928="借",$O3928,0)</f>
        <v>0</v>
      </c>
      <c r="J3928" s="42" t="n">
        <f aca="false">IF($M3928="贷",$O3928,0)</f>
        <v>0</v>
      </c>
      <c r="K3928" s="48" t="str">
        <f aca="false">IF($H3928="","",资金流水!$F367)</f>
        <v/>
      </c>
      <c r="L3928" s="66" t="str">
        <f aca="false">IF(资金流水!$E367="","",IFERROR(INDEX(记账规则!$A$13:$H$32,MATCH(资金流水!$E367,记账规则!$A$13:$A$32,0),3),""))</f>
        <v/>
      </c>
      <c r="M3928" s="66" t="str">
        <f aca="false">IF($L3928="","",IFERROR(INDEX(记账规则!$A$13:$H$32,MATCH(资金流水!$E367,记账规则!$A$13:$A$32,0),4),""))</f>
        <v/>
      </c>
      <c r="N3928" s="66" t="str">
        <f aca="false">IF($L3928="","",IFERROR(INDEX(记账规则!$A$13:$H$32,MATCH(资金流水!$E367,记账规则!$A$13:$A$32,0),5),""))</f>
        <v/>
      </c>
      <c r="O3928" s="67" t="n">
        <f aca="false">IF($H3928="",0,ROUND(IF($N3928="金额",N(资金流水!$P367),0),2))</f>
        <v>0</v>
      </c>
      <c r="P3928" s="64" t="str">
        <f aca="false">IF(AND($H3928&lt;&gt;"",ROUND($O3928,2)&lt;&gt;0),"有","")</f>
        <v/>
      </c>
    </row>
    <row r="3929" customFormat="false" ht="15" hidden="true" customHeight="false" outlineLevel="0" collapsed="false">
      <c r="A3929" s="53" t="str">
        <f aca="false">IF($H3929="","",ROW()-5)</f>
        <v/>
      </c>
      <c r="B3929" s="64" t="s">
        <v>37</v>
      </c>
      <c r="C3929" s="53" t="n">
        <v>367</v>
      </c>
      <c r="D3929" s="53" t="n">
        <v>2</v>
      </c>
      <c r="E3929" s="65" t="str">
        <f aca="false">IF($H3929="","",资金流水!$B367)</f>
        <v/>
      </c>
      <c r="F3929" s="55" t="str">
        <f aca="false">IF($H3929="","",资金流水!$C367)</f>
        <v/>
      </c>
      <c r="G3929" s="48" t="str">
        <f aca="false">IF($H3929="","",资金流水!$K367)</f>
        <v/>
      </c>
      <c r="H3929" s="10" t="str">
        <f aca="false">IF($L3929="","",IF($L3929="@对方",资金流水!$G367,IF($L3929="@账户",资金流水!$Q367,$L3929)))</f>
        <v/>
      </c>
      <c r="I3929" s="42" t="n">
        <f aca="false">IF($M3929="借",$O3929,0)</f>
        <v>0</v>
      </c>
      <c r="J3929" s="42" t="n">
        <f aca="false">IF($M3929="贷",$O3929,0)</f>
        <v>0</v>
      </c>
      <c r="K3929" s="48" t="str">
        <f aca="false">IF($H3929="","",资金流水!$F367)</f>
        <v/>
      </c>
      <c r="L3929" s="66" t="str">
        <f aca="false">IF(资金流水!$E367="","",IFERROR(INDEX(记账规则!$A$13:$H$32,MATCH(资金流水!$E367,记账规则!$A$13:$A$32,0),6),""))</f>
        <v/>
      </c>
      <c r="M3929" s="66" t="str">
        <f aca="false">IF($L3929="","",IFERROR(INDEX(记账规则!$A$13:$H$32,MATCH(资金流水!$E367,记账规则!$A$13:$A$32,0),7),""))</f>
        <v/>
      </c>
      <c r="N3929" s="66" t="str">
        <f aca="false">IF($L3929="","",IFERROR(INDEX(记账规则!$A$13:$H$32,MATCH(资金流水!$E367,记账规则!$A$13:$A$32,0),8),""))</f>
        <v/>
      </c>
      <c r="O3929" s="67" t="n">
        <f aca="false">IF($H3929="",0,ROUND(IF($N3929="金额",N(资金流水!$P367),0),2))</f>
        <v>0</v>
      </c>
      <c r="P3929" s="64" t="str">
        <f aca="false">IF(AND($H3929&lt;&gt;"",ROUND($O3929,2)&lt;&gt;0),"有","")</f>
        <v/>
      </c>
    </row>
    <row r="3930" customFormat="false" ht="15" hidden="true" customHeight="false" outlineLevel="0" collapsed="false">
      <c r="A3930" s="53" t="str">
        <f aca="false">IF($H3930="","",ROW()-5)</f>
        <v/>
      </c>
      <c r="B3930" s="64" t="s">
        <v>37</v>
      </c>
      <c r="C3930" s="53" t="n">
        <v>368</v>
      </c>
      <c r="D3930" s="53" t="n">
        <v>1</v>
      </c>
      <c r="E3930" s="65" t="str">
        <f aca="false">IF($H3930="","",资金流水!$B368)</f>
        <v/>
      </c>
      <c r="F3930" s="55" t="str">
        <f aca="false">IF($H3930="","",资金流水!$C368)</f>
        <v/>
      </c>
      <c r="G3930" s="48" t="str">
        <f aca="false">IF($H3930="","",资金流水!$K368)</f>
        <v/>
      </c>
      <c r="H3930" s="10" t="str">
        <f aca="false">IF($L3930="","",IF($L3930="@对方",资金流水!$G368,IF($L3930="@账户",资金流水!$Q368,$L3930)))</f>
        <v/>
      </c>
      <c r="I3930" s="42" t="n">
        <f aca="false">IF($M3930="借",$O3930,0)</f>
        <v>0</v>
      </c>
      <c r="J3930" s="42" t="n">
        <f aca="false">IF($M3930="贷",$O3930,0)</f>
        <v>0</v>
      </c>
      <c r="K3930" s="48" t="str">
        <f aca="false">IF($H3930="","",资金流水!$F368)</f>
        <v/>
      </c>
      <c r="L3930" s="66" t="str">
        <f aca="false">IF(资金流水!$E368="","",IFERROR(INDEX(记账规则!$A$13:$H$32,MATCH(资金流水!$E368,记账规则!$A$13:$A$32,0),3),""))</f>
        <v/>
      </c>
      <c r="M3930" s="66" t="str">
        <f aca="false">IF($L3930="","",IFERROR(INDEX(记账规则!$A$13:$H$32,MATCH(资金流水!$E368,记账规则!$A$13:$A$32,0),4),""))</f>
        <v/>
      </c>
      <c r="N3930" s="66" t="str">
        <f aca="false">IF($L3930="","",IFERROR(INDEX(记账规则!$A$13:$H$32,MATCH(资金流水!$E368,记账规则!$A$13:$A$32,0),5),""))</f>
        <v/>
      </c>
      <c r="O3930" s="67" t="n">
        <f aca="false">IF($H3930="",0,ROUND(IF($N3930="金额",N(资金流水!$P368),0),2))</f>
        <v>0</v>
      </c>
      <c r="P3930" s="64" t="str">
        <f aca="false">IF(AND($H3930&lt;&gt;"",ROUND($O3930,2)&lt;&gt;0),"有","")</f>
        <v/>
      </c>
    </row>
    <row r="3931" customFormat="false" ht="15" hidden="true" customHeight="false" outlineLevel="0" collapsed="false">
      <c r="A3931" s="53" t="str">
        <f aca="false">IF($H3931="","",ROW()-5)</f>
        <v/>
      </c>
      <c r="B3931" s="64" t="s">
        <v>37</v>
      </c>
      <c r="C3931" s="53" t="n">
        <v>368</v>
      </c>
      <c r="D3931" s="53" t="n">
        <v>2</v>
      </c>
      <c r="E3931" s="65" t="str">
        <f aca="false">IF($H3931="","",资金流水!$B368)</f>
        <v/>
      </c>
      <c r="F3931" s="55" t="str">
        <f aca="false">IF($H3931="","",资金流水!$C368)</f>
        <v/>
      </c>
      <c r="G3931" s="48" t="str">
        <f aca="false">IF($H3931="","",资金流水!$K368)</f>
        <v/>
      </c>
      <c r="H3931" s="10" t="str">
        <f aca="false">IF($L3931="","",IF($L3931="@对方",资金流水!$G368,IF($L3931="@账户",资金流水!$Q368,$L3931)))</f>
        <v/>
      </c>
      <c r="I3931" s="42" t="n">
        <f aca="false">IF($M3931="借",$O3931,0)</f>
        <v>0</v>
      </c>
      <c r="J3931" s="42" t="n">
        <f aca="false">IF($M3931="贷",$O3931,0)</f>
        <v>0</v>
      </c>
      <c r="K3931" s="48" t="str">
        <f aca="false">IF($H3931="","",资金流水!$F368)</f>
        <v/>
      </c>
      <c r="L3931" s="66" t="str">
        <f aca="false">IF(资金流水!$E368="","",IFERROR(INDEX(记账规则!$A$13:$H$32,MATCH(资金流水!$E368,记账规则!$A$13:$A$32,0),6),""))</f>
        <v/>
      </c>
      <c r="M3931" s="66" t="str">
        <f aca="false">IF($L3931="","",IFERROR(INDEX(记账规则!$A$13:$H$32,MATCH(资金流水!$E368,记账规则!$A$13:$A$32,0),7),""))</f>
        <v/>
      </c>
      <c r="N3931" s="66" t="str">
        <f aca="false">IF($L3931="","",IFERROR(INDEX(记账规则!$A$13:$H$32,MATCH(资金流水!$E368,记账规则!$A$13:$A$32,0),8),""))</f>
        <v/>
      </c>
      <c r="O3931" s="67" t="n">
        <f aca="false">IF($H3931="",0,ROUND(IF($N3931="金额",N(资金流水!$P368),0),2))</f>
        <v>0</v>
      </c>
      <c r="P3931" s="64" t="str">
        <f aca="false">IF(AND($H3931&lt;&gt;"",ROUND($O3931,2)&lt;&gt;0),"有","")</f>
        <v/>
      </c>
    </row>
    <row r="3932" customFormat="false" ht="15" hidden="true" customHeight="false" outlineLevel="0" collapsed="false">
      <c r="A3932" s="53" t="str">
        <f aca="false">IF($H3932="","",ROW()-5)</f>
        <v/>
      </c>
      <c r="B3932" s="64" t="s">
        <v>37</v>
      </c>
      <c r="C3932" s="53" t="n">
        <v>369</v>
      </c>
      <c r="D3932" s="53" t="n">
        <v>1</v>
      </c>
      <c r="E3932" s="65" t="str">
        <f aca="false">IF($H3932="","",资金流水!$B369)</f>
        <v/>
      </c>
      <c r="F3932" s="55" t="str">
        <f aca="false">IF($H3932="","",资金流水!$C369)</f>
        <v/>
      </c>
      <c r="G3932" s="48" t="str">
        <f aca="false">IF($H3932="","",资金流水!$K369)</f>
        <v/>
      </c>
      <c r="H3932" s="10" t="str">
        <f aca="false">IF($L3932="","",IF($L3932="@对方",资金流水!$G369,IF($L3932="@账户",资金流水!$Q369,$L3932)))</f>
        <v/>
      </c>
      <c r="I3932" s="42" t="n">
        <f aca="false">IF($M3932="借",$O3932,0)</f>
        <v>0</v>
      </c>
      <c r="J3932" s="42" t="n">
        <f aca="false">IF($M3932="贷",$O3932,0)</f>
        <v>0</v>
      </c>
      <c r="K3932" s="48" t="str">
        <f aca="false">IF($H3932="","",资金流水!$F369)</f>
        <v/>
      </c>
      <c r="L3932" s="66" t="str">
        <f aca="false">IF(资金流水!$E369="","",IFERROR(INDEX(记账规则!$A$13:$H$32,MATCH(资金流水!$E369,记账规则!$A$13:$A$32,0),3),""))</f>
        <v/>
      </c>
      <c r="M3932" s="66" t="str">
        <f aca="false">IF($L3932="","",IFERROR(INDEX(记账规则!$A$13:$H$32,MATCH(资金流水!$E369,记账规则!$A$13:$A$32,0),4),""))</f>
        <v/>
      </c>
      <c r="N3932" s="66" t="str">
        <f aca="false">IF($L3932="","",IFERROR(INDEX(记账规则!$A$13:$H$32,MATCH(资金流水!$E369,记账规则!$A$13:$A$32,0),5),""))</f>
        <v/>
      </c>
      <c r="O3932" s="67" t="n">
        <f aca="false">IF($H3932="",0,ROUND(IF($N3932="金额",N(资金流水!$P369),0),2))</f>
        <v>0</v>
      </c>
      <c r="P3932" s="64" t="str">
        <f aca="false">IF(AND($H3932&lt;&gt;"",ROUND($O3932,2)&lt;&gt;0),"有","")</f>
        <v/>
      </c>
    </row>
    <row r="3933" customFormat="false" ht="15" hidden="true" customHeight="false" outlineLevel="0" collapsed="false">
      <c r="A3933" s="53" t="str">
        <f aca="false">IF($H3933="","",ROW()-5)</f>
        <v/>
      </c>
      <c r="B3933" s="64" t="s">
        <v>37</v>
      </c>
      <c r="C3933" s="53" t="n">
        <v>369</v>
      </c>
      <c r="D3933" s="53" t="n">
        <v>2</v>
      </c>
      <c r="E3933" s="65" t="str">
        <f aca="false">IF($H3933="","",资金流水!$B369)</f>
        <v/>
      </c>
      <c r="F3933" s="55" t="str">
        <f aca="false">IF($H3933="","",资金流水!$C369)</f>
        <v/>
      </c>
      <c r="G3933" s="48" t="str">
        <f aca="false">IF($H3933="","",资金流水!$K369)</f>
        <v/>
      </c>
      <c r="H3933" s="10" t="str">
        <f aca="false">IF($L3933="","",IF($L3933="@对方",资金流水!$G369,IF($L3933="@账户",资金流水!$Q369,$L3933)))</f>
        <v/>
      </c>
      <c r="I3933" s="42" t="n">
        <f aca="false">IF($M3933="借",$O3933,0)</f>
        <v>0</v>
      </c>
      <c r="J3933" s="42" t="n">
        <f aca="false">IF($M3933="贷",$O3933,0)</f>
        <v>0</v>
      </c>
      <c r="K3933" s="48" t="str">
        <f aca="false">IF($H3933="","",资金流水!$F369)</f>
        <v/>
      </c>
      <c r="L3933" s="66" t="str">
        <f aca="false">IF(资金流水!$E369="","",IFERROR(INDEX(记账规则!$A$13:$H$32,MATCH(资金流水!$E369,记账规则!$A$13:$A$32,0),6),""))</f>
        <v/>
      </c>
      <c r="M3933" s="66" t="str">
        <f aca="false">IF($L3933="","",IFERROR(INDEX(记账规则!$A$13:$H$32,MATCH(资金流水!$E369,记账规则!$A$13:$A$32,0),7),""))</f>
        <v/>
      </c>
      <c r="N3933" s="66" t="str">
        <f aca="false">IF($L3933="","",IFERROR(INDEX(记账规则!$A$13:$H$32,MATCH(资金流水!$E369,记账规则!$A$13:$A$32,0),8),""))</f>
        <v/>
      </c>
      <c r="O3933" s="67" t="n">
        <f aca="false">IF($H3933="",0,ROUND(IF($N3933="金额",N(资金流水!$P369),0),2))</f>
        <v>0</v>
      </c>
      <c r="P3933" s="64" t="str">
        <f aca="false">IF(AND($H3933&lt;&gt;"",ROUND($O3933,2)&lt;&gt;0),"有","")</f>
        <v/>
      </c>
    </row>
    <row r="3934" customFormat="false" ht="15" hidden="true" customHeight="false" outlineLevel="0" collapsed="false">
      <c r="A3934" s="53" t="str">
        <f aca="false">IF($H3934="","",ROW()-5)</f>
        <v/>
      </c>
      <c r="B3934" s="64" t="s">
        <v>37</v>
      </c>
      <c r="C3934" s="53" t="n">
        <v>370</v>
      </c>
      <c r="D3934" s="53" t="n">
        <v>1</v>
      </c>
      <c r="E3934" s="65" t="str">
        <f aca="false">IF($H3934="","",资金流水!$B370)</f>
        <v/>
      </c>
      <c r="F3934" s="55" t="str">
        <f aca="false">IF($H3934="","",资金流水!$C370)</f>
        <v/>
      </c>
      <c r="G3934" s="48" t="str">
        <f aca="false">IF($H3934="","",资金流水!$K370)</f>
        <v/>
      </c>
      <c r="H3934" s="10" t="str">
        <f aca="false">IF($L3934="","",IF($L3934="@对方",资金流水!$G370,IF($L3934="@账户",资金流水!$Q370,$L3934)))</f>
        <v/>
      </c>
      <c r="I3934" s="42" t="n">
        <f aca="false">IF($M3934="借",$O3934,0)</f>
        <v>0</v>
      </c>
      <c r="J3934" s="42" t="n">
        <f aca="false">IF($M3934="贷",$O3934,0)</f>
        <v>0</v>
      </c>
      <c r="K3934" s="48" t="str">
        <f aca="false">IF($H3934="","",资金流水!$F370)</f>
        <v/>
      </c>
      <c r="L3934" s="66" t="str">
        <f aca="false">IF(资金流水!$E370="","",IFERROR(INDEX(记账规则!$A$13:$H$32,MATCH(资金流水!$E370,记账规则!$A$13:$A$32,0),3),""))</f>
        <v/>
      </c>
      <c r="M3934" s="66" t="str">
        <f aca="false">IF($L3934="","",IFERROR(INDEX(记账规则!$A$13:$H$32,MATCH(资金流水!$E370,记账规则!$A$13:$A$32,0),4),""))</f>
        <v/>
      </c>
      <c r="N3934" s="66" t="str">
        <f aca="false">IF($L3934="","",IFERROR(INDEX(记账规则!$A$13:$H$32,MATCH(资金流水!$E370,记账规则!$A$13:$A$32,0),5),""))</f>
        <v/>
      </c>
      <c r="O3934" s="67" t="n">
        <f aca="false">IF($H3934="",0,ROUND(IF($N3934="金额",N(资金流水!$P370),0),2))</f>
        <v>0</v>
      </c>
      <c r="P3934" s="64" t="str">
        <f aca="false">IF(AND($H3934&lt;&gt;"",ROUND($O3934,2)&lt;&gt;0),"有","")</f>
        <v/>
      </c>
    </row>
    <row r="3935" customFormat="false" ht="15" hidden="true" customHeight="false" outlineLevel="0" collapsed="false">
      <c r="A3935" s="53" t="str">
        <f aca="false">IF($H3935="","",ROW()-5)</f>
        <v/>
      </c>
      <c r="B3935" s="64" t="s">
        <v>37</v>
      </c>
      <c r="C3935" s="53" t="n">
        <v>370</v>
      </c>
      <c r="D3935" s="53" t="n">
        <v>2</v>
      </c>
      <c r="E3935" s="65" t="str">
        <f aca="false">IF($H3935="","",资金流水!$B370)</f>
        <v/>
      </c>
      <c r="F3935" s="55" t="str">
        <f aca="false">IF($H3935="","",资金流水!$C370)</f>
        <v/>
      </c>
      <c r="G3935" s="48" t="str">
        <f aca="false">IF($H3935="","",资金流水!$K370)</f>
        <v/>
      </c>
      <c r="H3935" s="10" t="str">
        <f aca="false">IF($L3935="","",IF($L3935="@对方",资金流水!$G370,IF($L3935="@账户",资金流水!$Q370,$L3935)))</f>
        <v/>
      </c>
      <c r="I3935" s="42" t="n">
        <f aca="false">IF($M3935="借",$O3935,0)</f>
        <v>0</v>
      </c>
      <c r="J3935" s="42" t="n">
        <f aca="false">IF($M3935="贷",$O3935,0)</f>
        <v>0</v>
      </c>
      <c r="K3935" s="48" t="str">
        <f aca="false">IF($H3935="","",资金流水!$F370)</f>
        <v/>
      </c>
      <c r="L3935" s="66" t="str">
        <f aca="false">IF(资金流水!$E370="","",IFERROR(INDEX(记账规则!$A$13:$H$32,MATCH(资金流水!$E370,记账规则!$A$13:$A$32,0),6),""))</f>
        <v/>
      </c>
      <c r="M3935" s="66" t="str">
        <f aca="false">IF($L3935="","",IFERROR(INDEX(记账规则!$A$13:$H$32,MATCH(资金流水!$E370,记账规则!$A$13:$A$32,0),7),""))</f>
        <v/>
      </c>
      <c r="N3935" s="66" t="str">
        <f aca="false">IF($L3935="","",IFERROR(INDEX(记账规则!$A$13:$H$32,MATCH(资金流水!$E370,记账规则!$A$13:$A$32,0),8),""))</f>
        <v/>
      </c>
      <c r="O3935" s="67" t="n">
        <f aca="false">IF($H3935="",0,ROUND(IF($N3935="金额",N(资金流水!$P370),0),2))</f>
        <v>0</v>
      </c>
      <c r="P3935" s="64" t="str">
        <f aca="false">IF(AND($H3935&lt;&gt;"",ROUND($O3935,2)&lt;&gt;0),"有","")</f>
        <v/>
      </c>
    </row>
    <row r="3936" customFormat="false" ht="15" hidden="true" customHeight="false" outlineLevel="0" collapsed="false">
      <c r="A3936" s="53" t="str">
        <f aca="false">IF($H3936="","",ROW()-5)</f>
        <v/>
      </c>
      <c r="B3936" s="64" t="s">
        <v>37</v>
      </c>
      <c r="C3936" s="53" t="n">
        <v>371</v>
      </c>
      <c r="D3936" s="53" t="n">
        <v>1</v>
      </c>
      <c r="E3936" s="65" t="str">
        <f aca="false">IF($H3936="","",资金流水!$B371)</f>
        <v/>
      </c>
      <c r="F3936" s="55" t="str">
        <f aca="false">IF($H3936="","",资金流水!$C371)</f>
        <v/>
      </c>
      <c r="G3936" s="48" t="str">
        <f aca="false">IF($H3936="","",资金流水!$K371)</f>
        <v/>
      </c>
      <c r="H3936" s="10" t="str">
        <f aca="false">IF($L3936="","",IF($L3936="@对方",资金流水!$G371,IF($L3936="@账户",资金流水!$Q371,$L3936)))</f>
        <v/>
      </c>
      <c r="I3936" s="42" t="n">
        <f aca="false">IF($M3936="借",$O3936,0)</f>
        <v>0</v>
      </c>
      <c r="J3936" s="42" t="n">
        <f aca="false">IF($M3936="贷",$O3936,0)</f>
        <v>0</v>
      </c>
      <c r="K3936" s="48" t="str">
        <f aca="false">IF($H3936="","",资金流水!$F371)</f>
        <v/>
      </c>
      <c r="L3936" s="66" t="str">
        <f aca="false">IF(资金流水!$E371="","",IFERROR(INDEX(记账规则!$A$13:$H$32,MATCH(资金流水!$E371,记账规则!$A$13:$A$32,0),3),""))</f>
        <v/>
      </c>
      <c r="M3936" s="66" t="str">
        <f aca="false">IF($L3936="","",IFERROR(INDEX(记账规则!$A$13:$H$32,MATCH(资金流水!$E371,记账规则!$A$13:$A$32,0),4),""))</f>
        <v/>
      </c>
      <c r="N3936" s="66" t="str">
        <f aca="false">IF($L3936="","",IFERROR(INDEX(记账规则!$A$13:$H$32,MATCH(资金流水!$E371,记账规则!$A$13:$A$32,0),5),""))</f>
        <v/>
      </c>
      <c r="O3936" s="67" t="n">
        <f aca="false">IF($H3936="",0,ROUND(IF($N3936="金额",N(资金流水!$P371),0),2))</f>
        <v>0</v>
      </c>
      <c r="P3936" s="64" t="str">
        <f aca="false">IF(AND($H3936&lt;&gt;"",ROUND($O3936,2)&lt;&gt;0),"有","")</f>
        <v/>
      </c>
    </row>
    <row r="3937" customFormat="false" ht="15" hidden="true" customHeight="false" outlineLevel="0" collapsed="false">
      <c r="A3937" s="53" t="str">
        <f aca="false">IF($H3937="","",ROW()-5)</f>
        <v/>
      </c>
      <c r="B3937" s="64" t="s">
        <v>37</v>
      </c>
      <c r="C3937" s="53" t="n">
        <v>371</v>
      </c>
      <c r="D3937" s="53" t="n">
        <v>2</v>
      </c>
      <c r="E3937" s="65" t="str">
        <f aca="false">IF($H3937="","",资金流水!$B371)</f>
        <v/>
      </c>
      <c r="F3937" s="55" t="str">
        <f aca="false">IF($H3937="","",资金流水!$C371)</f>
        <v/>
      </c>
      <c r="G3937" s="48" t="str">
        <f aca="false">IF($H3937="","",资金流水!$K371)</f>
        <v/>
      </c>
      <c r="H3937" s="10" t="str">
        <f aca="false">IF($L3937="","",IF($L3937="@对方",资金流水!$G371,IF($L3937="@账户",资金流水!$Q371,$L3937)))</f>
        <v/>
      </c>
      <c r="I3937" s="42" t="n">
        <f aca="false">IF($M3937="借",$O3937,0)</f>
        <v>0</v>
      </c>
      <c r="J3937" s="42" t="n">
        <f aca="false">IF($M3937="贷",$O3937,0)</f>
        <v>0</v>
      </c>
      <c r="K3937" s="48" t="str">
        <f aca="false">IF($H3937="","",资金流水!$F371)</f>
        <v/>
      </c>
      <c r="L3937" s="66" t="str">
        <f aca="false">IF(资金流水!$E371="","",IFERROR(INDEX(记账规则!$A$13:$H$32,MATCH(资金流水!$E371,记账规则!$A$13:$A$32,0),6),""))</f>
        <v/>
      </c>
      <c r="M3937" s="66" t="str">
        <f aca="false">IF($L3937="","",IFERROR(INDEX(记账规则!$A$13:$H$32,MATCH(资金流水!$E371,记账规则!$A$13:$A$32,0),7),""))</f>
        <v/>
      </c>
      <c r="N3937" s="66" t="str">
        <f aca="false">IF($L3937="","",IFERROR(INDEX(记账规则!$A$13:$H$32,MATCH(资金流水!$E371,记账规则!$A$13:$A$32,0),8),""))</f>
        <v/>
      </c>
      <c r="O3937" s="67" t="n">
        <f aca="false">IF($H3937="",0,ROUND(IF($N3937="金额",N(资金流水!$P371),0),2))</f>
        <v>0</v>
      </c>
      <c r="P3937" s="64" t="str">
        <f aca="false">IF(AND($H3937&lt;&gt;"",ROUND($O3937,2)&lt;&gt;0),"有","")</f>
        <v/>
      </c>
    </row>
    <row r="3938" customFormat="false" ht="15" hidden="true" customHeight="false" outlineLevel="0" collapsed="false">
      <c r="A3938" s="53" t="str">
        <f aca="false">IF($H3938="","",ROW()-5)</f>
        <v/>
      </c>
      <c r="B3938" s="64" t="s">
        <v>37</v>
      </c>
      <c r="C3938" s="53" t="n">
        <v>372</v>
      </c>
      <c r="D3938" s="53" t="n">
        <v>1</v>
      </c>
      <c r="E3938" s="65" t="str">
        <f aca="false">IF($H3938="","",资金流水!$B372)</f>
        <v/>
      </c>
      <c r="F3938" s="55" t="str">
        <f aca="false">IF($H3938="","",资金流水!$C372)</f>
        <v/>
      </c>
      <c r="G3938" s="48" t="str">
        <f aca="false">IF($H3938="","",资金流水!$K372)</f>
        <v/>
      </c>
      <c r="H3938" s="10" t="str">
        <f aca="false">IF($L3938="","",IF($L3938="@对方",资金流水!$G372,IF($L3938="@账户",资金流水!$Q372,$L3938)))</f>
        <v/>
      </c>
      <c r="I3938" s="42" t="n">
        <f aca="false">IF($M3938="借",$O3938,0)</f>
        <v>0</v>
      </c>
      <c r="J3938" s="42" t="n">
        <f aca="false">IF($M3938="贷",$O3938,0)</f>
        <v>0</v>
      </c>
      <c r="K3938" s="48" t="str">
        <f aca="false">IF($H3938="","",资金流水!$F372)</f>
        <v/>
      </c>
      <c r="L3938" s="66" t="str">
        <f aca="false">IF(资金流水!$E372="","",IFERROR(INDEX(记账规则!$A$13:$H$32,MATCH(资金流水!$E372,记账规则!$A$13:$A$32,0),3),""))</f>
        <v/>
      </c>
      <c r="M3938" s="66" t="str">
        <f aca="false">IF($L3938="","",IFERROR(INDEX(记账规则!$A$13:$H$32,MATCH(资金流水!$E372,记账规则!$A$13:$A$32,0),4),""))</f>
        <v/>
      </c>
      <c r="N3938" s="66" t="str">
        <f aca="false">IF($L3938="","",IFERROR(INDEX(记账规则!$A$13:$H$32,MATCH(资金流水!$E372,记账规则!$A$13:$A$32,0),5),""))</f>
        <v/>
      </c>
      <c r="O3938" s="67" t="n">
        <f aca="false">IF($H3938="",0,ROUND(IF($N3938="金额",N(资金流水!$P372),0),2))</f>
        <v>0</v>
      </c>
      <c r="P3938" s="64" t="str">
        <f aca="false">IF(AND($H3938&lt;&gt;"",ROUND($O3938,2)&lt;&gt;0),"有","")</f>
        <v/>
      </c>
    </row>
    <row r="3939" customFormat="false" ht="15" hidden="true" customHeight="false" outlineLevel="0" collapsed="false">
      <c r="A3939" s="53" t="str">
        <f aca="false">IF($H3939="","",ROW()-5)</f>
        <v/>
      </c>
      <c r="B3939" s="64" t="s">
        <v>37</v>
      </c>
      <c r="C3939" s="53" t="n">
        <v>372</v>
      </c>
      <c r="D3939" s="53" t="n">
        <v>2</v>
      </c>
      <c r="E3939" s="65" t="str">
        <f aca="false">IF($H3939="","",资金流水!$B372)</f>
        <v/>
      </c>
      <c r="F3939" s="55" t="str">
        <f aca="false">IF($H3939="","",资金流水!$C372)</f>
        <v/>
      </c>
      <c r="G3939" s="48" t="str">
        <f aca="false">IF($H3939="","",资金流水!$K372)</f>
        <v/>
      </c>
      <c r="H3939" s="10" t="str">
        <f aca="false">IF($L3939="","",IF($L3939="@对方",资金流水!$G372,IF($L3939="@账户",资金流水!$Q372,$L3939)))</f>
        <v/>
      </c>
      <c r="I3939" s="42" t="n">
        <f aca="false">IF($M3939="借",$O3939,0)</f>
        <v>0</v>
      </c>
      <c r="J3939" s="42" t="n">
        <f aca="false">IF($M3939="贷",$O3939,0)</f>
        <v>0</v>
      </c>
      <c r="K3939" s="48" t="str">
        <f aca="false">IF($H3939="","",资金流水!$F372)</f>
        <v/>
      </c>
      <c r="L3939" s="66" t="str">
        <f aca="false">IF(资金流水!$E372="","",IFERROR(INDEX(记账规则!$A$13:$H$32,MATCH(资金流水!$E372,记账规则!$A$13:$A$32,0),6),""))</f>
        <v/>
      </c>
      <c r="M3939" s="66" t="str">
        <f aca="false">IF($L3939="","",IFERROR(INDEX(记账规则!$A$13:$H$32,MATCH(资金流水!$E372,记账规则!$A$13:$A$32,0),7),""))</f>
        <v/>
      </c>
      <c r="N3939" s="66" t="str">
        <f aca="false">IF($L3939="","",IFERROR(INDEX(记账规则!$A$13:$H$32,MATCH(资金流水!$E372,记账规则!$A$13:$A$32,0),8),""))</f>
        <v/>
      </c>
      <c r="O3939" s="67" t="n">
        <f aca="false">IF($H3939="",0,ROUND(IF($N3939="金额",N(资金流水!$P372),0),2))</f>
        <v>0</v>
      </c>
      <c r="P3939" s="64" t="str">
        <f aca="false">IF(AND($H3939&lt;&gt;"",ROUND($O3939,2)&lt;&gt;0),"有","")</f>
        <v/>
      </c>
    </row>
    <row r="3940" customFormat="false" ht="15" hidden="true" customHeight="false" outlineLevel="0" collapsed="false">
      <c r="A3940" s="53" t="str">
        <f aca="false">IF($H3940="","",ROW()-5)</f>
        <v/>
      </c>
      <c r="B3940" s="64" t="s">
        <v>37</v>
      </c>
      <c r="C3940" s="53" t="n">
        <v>373</v>
      </c>
      <c r="D3940" s="53" t="n">
        <v>1</v>
      </c>
      <c r="E3940" s="65" t="str">
        <f aca="false">IF($H3940="","",资金流水!$B373)</f>
        <v/>
      </c>
      <c r="F3940" s="55" t="str">
        <f aca="false">IF($H3940="","",资金流水!$C373)</f>
        <v/>
      </c>
      <c r="G3940" s="48" t="str">
        <f aca="false">IF($H3940="","",资金流水!$K373)</f>
        <v/>
      </c>
      <c r="H3940" s="10" t="str">
        <f aca="false">IF($L3940="","",IF($L3940="@对方",资金流水!$G373,IF($L3940="@账户",资金流水!$Q373,$L3940)))</f>
        <v/>
      </c>
      <c r="I3940" s="42" t="n">
        <f aca="false">IF($M3940="借",$O3940,0)</f>
        <v>0</v>
      </c>
      <c r="J3940" s="42" t="n">
        <f aca="false">IF($M3940="贷",$O3940,0)</f>
        <v>0</v>
      </c>
      <c r="K3940" s="48" t="str">
        <f aca="false">IF($H3940="","",资金流水!$F373)</f>
        <v/>
      </c>
      <c r="L3940" s="66" t="str">
        <f aca="false">IF(资金流水!$E373="","",IFERROR(INDEX(记账规则!$A$13:$H$32,MATCH(资金流水!$E373,记账规则!$A$13:$A$32,0),3),""))</f>
        <v/>
      </c>
      <c r="M3940" s="66" t="str">
        <f aca="false">IF($L3940="","",IFERROR(INDEX(记账规则!$A$13:$H$32,MATCH(资金流水!$E373,记账规则!$A$13:$A$32,0),4),""))</f>
        <v/>
      </c>
      <c r="N3940" s="66" t="str">
        <f aca="false">IF($L3940="","",IFERROR(INDEX(记账规则!$A$13:$H$32,MATCH(资金流水!$E373,记账规则!$A$13:$A$32,0),5),""))</f>
        <v/>
      </c>
      <c r="O3940" s="67" t="n">
        <f aca="false">IF($H3940="",0,ROUND(IF($N3940="金额",N(资金流水!$P373),0),2))</f>
        <v>0</v>
      </c>
      <c r="P3940" s="64" t="str">
        <f aca="false">IF(AND($H3940&lt;&gt;"",ROUND($O3940,2)&lt;&gt;0),"有","")</f>
        <v/>
      </c>
    </row>
    <row r="3941" customFormat="false" ht="15" hidden="true" customHeight="false" outlineLevel="0" collapsed="false">
      <c r="A3941" s="53" t="str">
        <f aca="false">IF($H3941="","",ROW()-5)</f>
        <v/>
      </c>
      <c r="B3941" s="64" t="s">
        <v>37</v>
      </c>
      <c r="C3941" s="53" t="n">
        <v>373</v>
      </c>
      <c r="D3941" s="53" t="n">
        <v>2</v>
      </c>
      <c r="E3941" s="65" t="str">
        <f aca="false">IF($H3941="","",资金流水!$B373)</f>
        <v/>
      </c>
      <c r="F3941" s="55" t="str">
        <f aca="false">IF($H3941="","",资金流水!$C373)</f>
        <v/>
      </c>
      <c r="G3941" s="48" t="str">
        <f aca="false">IF($H3941="","",资金流水!$K373)</f>
        <v/>
      </c>
      <c r="H3941" s="10" t="str">
        <f aca="false">IF($L3941="","",IF($L3941="@对方",资金流水!$G373,IF($L3941="@账户",资金流水!$Q373,$L3941)))</f>
        <v/>
      </c>
      <c r="I3941" s="42" t="n">
        <f aca="false">IF($M3941="借",$O3941,0)</f>
        <v>0</v>
      </c>
      <c r="J3941" s="42" t="n">
        <f aca="false">IF($M3941="贷",$O3941,0)</f>
        <v>0</v>
      </c>
      <c r="K3941" s="48" t="str">
        <f aca="false">IF($H3941="","",资金流水!$F373)</f>
        <v/>
      </c>
      <c r="L3941" s="66" t="str">
        <f aca="false">IF(资金流水!$E373="","",IFERROR(INDEX(记账规则!$A$13:$H$32,MATCH(资金流水!$E373,记账规则!$A$13:$A$32,0),6),""))</f>
        <v/>
      </c>
      <c r="M3941" s="66" t="str">
        <f aca="false">IF($L3941="","",IFERROR(INDEX(记账规则!$A$13:$H$32,MATCH(资金流水!$E373,记账规则!$A$13:$A$32,0),7),""))</f>
        <v/>
      </c>
      <c r="N3941" s="66" t="str">
        <f aca="false">IF($L3941="","",IFERROR(INDEX(记账规则!$A$13:$H$32,MATCH(资金流水!$E373,记账规则!$A$13:$A$32,0),8),""))</f>
        <v/>
      </c>
      <c r="O3941" s="67" t="n">
        <f aca="false">IF($H3941="",0,ROUND(IF($N3941="金额",N(资金流水!$P373),0),2))</f>
        <v>0</v>
      </c>
      <c r="P3941" s="64" t="str">
        <f aca="false">IF(AND($H3941&lt;&gt;"",ROUND($O3941,2)&lt;&gt;0),"有","")</f>
        <v/>
      </c>
    </row>
    <row r="3942" customFormat="false" ht="15" hidden="true" customHeight="false" outlineLevel="0" collapsed="false">
      <c r="A3942" s="53" t="str">
        <f aca="false">IF($H3942="","",ROW()-5)</f>
        <v/>
      </c>
      <c r="B3942" s="64" t="s">
        <v>37</v>
      </c>
      <c r="C3942" s="53" t="n">
        <v>374</v>
      </c>
      <c r="D3942" s="53" t="n">
        <v>1</v>
      </c>
      <c r="E3942" s="65" t="str">
        <f aca="false">IF($H3942="","",资金流水!$B374)</f>
        <v/>
      </c>
      <c r="F3942" s="55" t="str">
        <f aca="false">IF($H3942="","",资金流水!$C374)</f>
        <v/>
      </c>
      <c r="G3942" s="48" t="str">
        <f aca="false">IF($H3942="","",资金流水!$K374)</f>
        <v/>
      </c>
      <c r="H3942" s="10" t="str">
        <f aca="false">IF($L3942="","",IF($L3942="@对方",资金流水!$G374,IF($L3942="@账户",资金流水!$Q374,$L3942)))</f>
        <v/>
      </c>
      <c r="I3942" s="42" t="n">
        <f aca="false">IF($M3942="借",$O3942,0)</f>
        <v>0</v>
      </c>
      <c r="J3942" s="42" t="n">
        <f aca="false">IF($M3942="贷",$O3942,0)</f>
        <v>0</v>
      </c>
      <c r="K3942" s="48" t="str">
        <f aca="false">IF($H3942="","",资金流水!$F374)</f>
        <v/>
      </c>
      <c r="L3942" s="66" t="str">
        <f aca="false">IF(资金流水!$E374="","",IFERROR(INDEX(记账规则!$A$13:$H$32,MATCH(资金流水!$E374,记账规则!$A$13:$A$32,0),3),""))</f>
        <v/>
      </c>
      <c r="M3942" s="66" t="str">
        <f aca="false">IF($L3942="","",IFERROR(INDEX(记账规则!$A$13:$H$32,MATCH(资金流水!$E374,记账规则!$A$13:$A$32,0),4),""))</f>
        <v/>
      </c>
      <c r="N3942" s="66" t="str">
        <f aca="false">IF($L3942="","",IFERROR(INDEX(记账规则!$A$13:$H$32,MATCH(资金流水!$E374,记账规则!$A$13:$A$32,0),5),""))</f>
        <v/>
      </c>
      <c r="O3942" s="67" t="n">
        <f aca="false">IF($H3942="",0,ROUND(IF($N3942="金额",N(资金流水!$P374),0),2))</f>
        <v>0</v>
      </c>
      <c r="P3942" s="64" t="str">
        <f aca="false">IF(AND($H3942&lt;&gt;"",ROUND($O3942,2)&lt;&gt;0),"有","")</f>
        <v/>
      </c>
    </row>
    <row r="3943" customFormat="false" ht="15" hidden="true" customHeight="false" outlineLevel="0" collapsed="false">
      <c r="A3943" s="53" t="str">
        <f aca="false">IF($H3943="","",ROW()-5)</f>
        <v/>
      </c>
      <c r="B3943" s="64" t="s">
        <v>37</v>
      </c>
      <c r="C3943" s="53" t="n">
        <v>374</v>
      </c>
      <c r="D3943" s="53" t="n">
        <v>2</v>
      </c>
      <c r="E3943" s="65" t="str">
        <f aca="false">IF($H3943="","",资金流水!$B374)</f>
        <v/>
      </c>
      <c r="F3943" s="55" t="str">
        <f aca="false">IF($H3943="","",资金流水!$C374)</f>
        <v/>
      </c>
      <c r="G3943" s="48" t="str">
        <f aca="false">IF($H3943="","",资金流水!$K374)</f>
        <v/>
      </c>
      <c r="H3943" s="10" t="str">
        <f aca="false">IF($L3943="","",IF($L3943="@对方",资金流水!$G374,IF($L3943="@账户",资金流水!$Q374,$L3943)))</f>
        <v/>
      </c>
      <c r="I3943" s="42" t="n">
        <f aca="false">IF($M3943="借",$O3943,0)</f>
        <v>0</v>
      </c>
      <c r="J3943" s="42" t="n">
        <f aca="false">IF($M3943="贷",$O3943,0)</f>
        <v>0</v>
      </c>
      <c r="K3943" s="48" t="str">
        <f aca="false">IF($H3943="","",资金流水!$F374)</f>
        <v/>
      </c>
      <c r="L3943" s="66" t="str">
        <f aca="false">IF(资金流水!$E374="","",IFERROR(INDEX(记账规则!$A$13:$H$32,MATCH(资金流水!$E374,记账规则!$A$13:$A$32,0),6),""))</f>
        <v/>
      </c>
      <c r="M3943" s="66" t="str">
        <f aca="false">IF($L3943="","",IFERROR(INDEX(记账规则!$A$13:$H$32,MATCH(资金流水!$E374,记账规则!$A$13:$A$32,0),7),""))</f>
        <v/>
      </c>
      <c r="N3943" s="66" t="str">
        <f aca="false">IF($L3943="","",IFERROR(INDEX(记账规则!$A$13:$H$32,MATCH(资金流水!$E374,记账规则!$A$13:$A$32,0),8),""))</f>
        <v/>
      </c>
      <c r="O3943" s="67" t="n">
        <f aca="false">IF($H3943="",0,ROUND(IF($N3943="金额",N(资金流水!$P374),0),2))</f>
        <v>0</v>
      </c>
      <c r="P3943" s="64" t="str">
        <f aca="false">IF(AND($H3943&lt;&gt;"",ROUND($O3943,2)&lt;&gt;0),"有","")</f>
        <v/>
      </c>
    </row>
    <row r="3944" customFormat="false" ht="15" hidden="true" customHeight="false" outlineLevel="0" collapsed="false">
      <c r="A3944" s="53" t="str">
        <f aca="false">IF($H3944="","",ROW()-5)</f>
        <v/>
      </c>
      <c r="B3944" s="64" t="s">
        <v>37</v>
      </c>
      <c r="C3944" s="53" t="n">
        <v>375</v>
      </c>
      <c r="D3944" s="53" t="n">
        <v>1</v>
      </c>
      <c r="E3944" s="65" t="str">
        <f aca="false">IF($H3944="","",资金流水!$B375)</f>
        <v/>
      </c>
      <c r="F3944" s="55" t="str">
        <f aca="false">IF($H3944="","",资金流水!$C375)</f>
        <v/>
      </c>
      <c r="G3944" s="48" t="str">
        <f aca="false">IF($H3944="","",资金流水!$K375)</f>
        <v/>
      </c>
      <c r="H3944" s="10" t="str">
        <f aca="false">IF($L3944="","",IF($L3944="@对方",资金流水!$G375,IF($L3944="@账户",资金流水!$Q375,$L3944)))</f>
        <v/>
      </c>
      <c r="I3944" s="42" t="n">
        <f aca="false">IF($M3944="借",$O3944,0)</f>
        <v>0</v>
      </c>
      <c r="J3944" s="42" t="n">
        <f aca="false">IF($M3944="贷",$O3944,0)</f>
        <v>0</v>
      </c>
      <c r="K3944" s="48" t="str">
        <f aca="false">IF($H3944="","",资金流水!$F375)</f>
        <v/>
      </c>
      <c r="L3944" s="66" t="str">
        <f aca="false">IF(资金流水!$E375="","",IFERROR(INDEX(记账规则!$A$13:$H$32,MATCH(资金流水!$E375,记账规则!$A$13:$A$32,0),3),""))</f>
        <v/>
      </c>
      <c r="M3944" s="66" t="str">
        <f aca="false">IF($L3944="","",IFERROR(INDEX(记账规则!$A$13:$H$32,MATCH(资金流水!$E375,记账规则!$A$13:$A$32,0),4),""))</f>
        <v/>
      </c>
      <c r="N3944" s="66" t="str">
        <f aca="false">IF($L3944="","",IFERROR(INDEX(记账规则!$A$13:$H$32,MATCH(资金流水!$E375,记账规则!$A$13:$A$32,0),5),""))</f>
        <v/>
      </c>
      <c r="O3944" s="67" t="n">
        <f aca="false">IF($H3944="",0,ROUND(IF($N3944="金额",N(资金流水!$P375),0),2))</f>
        <v>0</v>
      </c>
      <c r="P3944" s="64" t="str">
        <f aca="false">IF(AND($H3944&lt;&gt;"",ROUND($O3944,2)&lt;&gt;0),"有","")</f>
        <v/>
      </c>
    </row>
    <row r="3945" customFormat="false" ht="15" hidden="true" customHeight="false" outlineLevel="0" collapsed="false">
      <c r="A3945" s="53" t="str">
        <f aca="false">IF($H3945="","",ROW()-5)</f>
        <v/>
      </c>
      <c r="B3945" s="64" t="s">
        <v>37</v>
      </c>
      <c r="C3945" s="53" t="n">
        <v>375</v>
      </c>
      <c r="D3945" s="53" t="n">
        <v>2</v>
      </c>
      <c r="E3945" s="65" t="str">
        <f aca="false">IF($H3945="","",资金流水!$B375)</f>
        <v/>
      </c>
      <c r="F3945" s="55" t="str">
        <f aca="false">IF($H3945="","",资金流水!$C375)</f>
        <v/>
      </c>
      <c r="G3945" s="48" t="str">
        <f aca="false">IF($H3945="","",资金流水!$K375)</f>
        <v/>
      </c>
      <c r="H3945" s="10" t="str">
        <f aca="false">IF($L3945="","",IF($L3945="@对方",资金流水!$G375,IF($L3945="@账户",资金流水!$Q375,$L3945)))</f>
        <v/>
      </c>
      <c r="I3945" s="42" t="n">
        <f aca="false">IF($M3945="借",$O3945,0)</f>
        <v>0</v>
      </c>
      <c r="J3945" s="42" t="n">
        <f aca="false">IF($M3945="贷",$O3945,0)</f>
        <v>0</v>
      </c>
      <c r="K3945" s="48" t="str">
        <f aca="false">IF($H3945="","",资金流水!$F375)</f>
        <v/>
      </c>
      <c r="L3945" s="66" t="str">
        <f aca="false">IF(资金流水!$E375="","",IFERROR(INDEX(记账规则!$A$13:$H$32,MATCH(资金流水!$E375,记账规则!$A$13:$A$32,0),6),""))</f>
        <v/>
      </c>
      <c r="M3945" s="66" t="str">
        <f aca="false">IF($L3945="","",IFERROR(INDEX(记账规则!$A$13:$H$32,MATCH(资金流水!$E375,记账规则!$A$13:$A$32,0),7),""))</f>
        <v/>
      </c>
      <c r="N3945" s="66" t="str">
        <f aca="false">IF($L3945="","",IFERROR(INDEX(记账规则!$A$13:$H$32,MATCH(资金流水!$E375,记账规则!$A$13:$A$32,0),8),""))</f>
        <v/>
      </c>
      <c r="O3945" s="67" t="n">
        <f aca="false">IF($H3945="",0,ROUND(IF($N3945="金额",N(资金流水!$P375),0),2))</f>
        <v>0</v>
      </c>
      <c r="P3945" s="64" t="str">
        <f aca="false">IF(AND($H3945&lt;&gt;"",ROUND($O3945,2)&lt;&gt;0),"有","")</f>
        <v/>
      </c>
    </row>
    <row r="3946" customFormat="false" ht="15" hidden="true" customHeight="false" outlineLevel="0" collapsed="false">
      <c r="A3946" s="53" t="str">
        <f aca="false">IF($H3946="","",ROW()-5)</f>
        <v/>
      </c>
      <c r="B3946" s="64" t="s">
        <v>37</v>
      </c>
      <c r="C3946" s="53" t="n">
        <v>376</v>
      </c>
      <c r="D3946" s="53" t="n">
        <v>1</v>
      </c>
      <c r="E3946" s="65" t="str">
        <f aca="false">IF($H3946="","",资金流水!$B376)</f>
        <v/>
      </c>
      <c r="F3946" s="55" t="str">
        <f aca="false">IF($H3946="","",资金流水!$C376)</f>
        <v/>
      </c>
      <c r="G3946" s="48" t="str">
        <f aca="false">IF($H3946="","",资金流水!$K376)</f>
        <v/>
      </c>
      <c r="H3946" s="10" t="str">
        <f aca="false">IF($L3946="","",IF($L3946="@对方",资金流水!$G376,IF($L3946="@账户",资金流水!$Q376,$L3946)))</f>
        <v/>
      </c>
      <c r="I3946" s="42" t="n">
        <f aca="false">IF($M3946="借",$O3946,0)</f>
        <v>0</v>
      </c>
      <c r="J3946" s="42" t="n">
        <f aca="false">IF($M3946="贷",$O3946,0)</f>
        <v>0</v>
      </c>
      <c r="K3946" s="48" t="str">
        <f aca="false">IF($H3946="","",资金流水!$F376)</f>
        <v/>
      </c>
      <c r="L3946" s="66" t="str">
        <f aca="false">IF(资金流水!$E376="","",IFERROR(INDEX(记账规则!$A$13:$H$32,MATCH(资金流水!$E376,记账规则!$A$13:$A$32,0),3),""))</f>
        <v/>
      </c>
      <c r="M3946" s="66" t="str">
        <f aca="false">IF($L3946="","",IFERROR(INDEX(记账规则!$A$13:$H$32,MATCH(资金流水!$E376,记账规则!$A$13:$A$32,0),4),""))</f>
        <v/>
      </c>
      <c r="N3946" s="66" t="str">
        <f aca="false">IF($L3946="","",IFERROR(INDEX(记账规则!$A$13:$H$32,MATCH(资金流水!$E376,记账规则!$A$13:$A$32,0),5),""))</f>
        <v/>
      </c>
      <c r="O3946" s="67" t="n">
        <f aca="false">IF($H3946="",0,ROUND(IF($N3946="金额",N(资金流水!$P376),0),2))</f>
        <v>0</v>
      </c>
      <c r="P3946" s="64" t="str">
        <f aca="false">IF(AND($H3946&lt;&gt;"",ROUND($O3946,2)&lt;&gt;0),"有","")</f>
        <v/>
      </c>
    </row>
    <row r="3947" customFormat="false" ht="15" hidden="true" customHeight="false" outlineLevel="0" collapsed="false">
      <c r="A3947" s="53" t="str">
        <f aca="false">IF($H3947="","",ROW()-5)</f>
        <v/>
      </c>
      <c r="B3947" s="64" t="s">
        <v>37</v>
      </c>
      <c r="C3947" s="53" t="n">
        <v>376</v>
      </c>
      <c r="D3947" s="53" t="n">
        <v>2</v>
      </c>
      <c r="E3947" s="65" t="str">
        <f aca="false">IF($H3947="","",资金流水!$B376)</f>
        <v/>
      </c>
      <c r="F3947" s="55" t="str">
        <f aca="false">IF($H3947="","",资金流水!$C376)</f>
        <v/>
      </c>
      <c r="G3947" s="48" t="str">
        <f aca="false">IF($H3947="","",资金流水!$K376)</f>
        <v/>
      </c>
      <c r="H3947" s="10" t="str">
        <f aca="false">IF($L3947="","",IF($L3947="@对方",资金流水!$G376,IF($L3947="@账户",资金流水!$Q376,$L3947)))</f>
        <v/>
      </c>
      <c r="I3947" s="42" t="n">
        <f aca="false">IF($M3947="借",$O3947,0)</f>
        <v>0</v>
      </c>
      <c r="J3947" s="42" t="n">
        <f aca="false">IF($M3947="贷",$O3947,0)</f>
        <v>0</v>
      </c>
      <c r="K3947" s="48" t="str">
        <f aca="false">IF($H3947="","",资金流水!$F376)</f>
        <v/>
      </c>
      <c r="L3947" s="66" t="str">
        <f aca="false">IF(资金流水!$E376="","",IFERROR(INDEX(记账规则!$A$13:$H$32,MATCH(资金流水!$E376,记账规则!$A$13:$A$32,0),6),""))</f>
        <v/>
      </c>
      <c r="M3947" s="66" t="str">
        <f aca="false">IF($L3947="","",IFERROR(INDEX(记账规则!$A$13:$H$32,MATCH(资金流水!$E376,记账规则!$A$13:$A$32,0),7),""))</f>
        <v/>
      </c>
      <c r="N3947" s="66" t="str">
        <f aca="false">IF($L3947="","",IFERROR(INDEX(记账规则!$A$13:$H$32,MATCH(资金流水!$E376,记账规则!$A$13:$A$32,0),8),""))</f>
        <v/>
      </c>
      <c r="O3947" s="67" t="n">
        <f aca="false">IF($H3947="",0,ROUND(IF($N3947="金额",N(资金流水!$P376),0),2))</f>
        <v>0</v>
      </c>
      <c r="P3947" s="64" t="str">
        <f aca="false">IF(AND($H3947&lt;&gt;"",ROUND($O3947,2)&lt;&gt;0),"有","")</f>
        <v/>
      </c>
    </row>
    <row r="3948" customFormat="false" ht="15" hidden="true" customHeight="false" outlineLevel="0" collapsed="false">
      <c r="A3948" s="53" t="str">
        <f aca="false">IF($H3948="","",ROW()-5)</f>
        <v/>
      </c>
      <c r="B3948" s="64" t="s">
        <v>37</v>
      </c>
      <c r="C3948" s="53" t="n">
        <v>377</v>
      </c>
      <c r="D3948" s="53" t="n">
        <v>1</v>
      </c>
      <c r="E3948" s="65" t="str">
        <f aca="false">IF($H3948="","",资金流水!$B377)</f>
        <v/>
      </c>
      <c r="F3948" s="55" t="str">
        <f aca="false">IF($H3948="","",资金流水!$C377)</f>
        <v/>
      </c>
      <c r="G3948" s="48" t="str">
        <f aca="false">IF($H3948="","",资金流水!$K377)</f>
        <v/>
      </c>
      <c r="H3948" s="10" t="str">
        <f aca="false">IF($L3948="","",IF($L3948="@对方",资金流水!$G377,IF($L3948="@账户",资金流水!$Q377,$L3948)))</f>
        <v/>
      </c>
      <c r="I3948" s="42" t="n">
        <f aca="false">IF($M3948="借",$O3948,0)</f>
        <v>0</v>
      </c>
      <c r="J3948" s="42" t="n">
        <f aca="false">IF($M3948="贷",$O3948,0)</f>
        <v>0</v>
      </c>
      <c r="K3948" s="48" t="str">
        <f aca="false">IF($H3948="","",资金流水!$F377)</f>
        <v/>
      </c>
      <c r="L3948" s="66" t="str">
        <f aca="false">IF(资金流水!$E377="","",IFERROR(INDEX(记账规则!$A$13:$H$32,MATCH(资金流水!$E377,记账规则!$A$13:$A$32,0),3),""))</f>
        <v/>
      </c>
      <c r="M3948" s="66" t="str">
        <f aca="false">IF($L3948="","",IFERROR(INDEX(记账规则!$A$13:$H$32,MATCH(资金流水!$E377,记账规则!$A$13:$A$32,0),4),""))</f>
        <v/>
      </c>
      <c r="N3948" s="66" t="str">
        <f aca="false">IF($L3948="","",IFERROR(INDEX(记账规则!$A$13:$H$32,MATCH(资金流水!$E377,记账规则!$A$13:$A$32,0),5),""))</f>
        <v/>
      </c>
      <c r="O3948" s="67" t="n">
        <f aca="false">IF($H3948="",0,ROUND(IF($N3948="金额",N(资金流水!$P377),0),2))</f>
        <v>0</v>
      </c>
      <c r="P3948" s="64" t="str">
        <f aca="false">IF(AND($H3948&lt;&gt;"",ROUND($O3948,2)&lt;&gt;0),"有","")</f>
        <v/>
      </c>
    </row>
    <row r="3949" customFormat="false" ht="15" hidden="true" customHeight="false" outlineLevel="0" collapsed="false">
      <c r="A3949" s="53" t="str">
        <f aca="false">IF($H3949="","",ROW()-5)</f>
        <v/>
      </c>
      <c r="B3949" s="64" t="s">
        <v>37</v>
      </c>
      <c r="C3949" s="53" t="n">
        <v>377</v>
      </c>
      <c r="D3949" s="53" t="n">
        <v>2</v>
      </c>
      <c r="E3949" s="65" t="str">
        <f aca="false">IF($H3949="","",资金流水!$B377)</f>
        <v/>
      </c>
      <c r="F3949" s="55" t="str">
        <f aca="false">IF($H3949="","",资金流水!$C377)</f>
        <v/>
      </c>
      <c r="G3949" s="48" t="str">
        <f aca="false">IF($H3949="","",资金流水!$K377)</f>
        <v/>
      </c>
      <c r="H3949" s="10" t="str">
        <f aca="false">IF($L3949="","",IF($L3949="@对方",资金流水!$G377,IF($L3949="@账户",资金流水!$Q377,$L3949)))</f>
        <v/>
      </c>
      <c r="I3949" s="42" t="n">
        <f aca="false">IF($M3949="借",$O3949,0)</f>
        <v>0</v>
      </c>
      <c r="J3949" s="42" t="n">
        <f aca="false">IF($M3949="贷",$O3949,0)</f>
        <v>0</v>
      </c>
      <c r="K3949" s="48" t="str">
        <f aca="false">IF($H3949="","",资金流水!$F377)</f>
        <v/>
      </c>
      <c r="L3949" s="66" t="str">
        <f aca="false">IF(资金流水!$E377="","",IFERROR(INDEX(记账规则!$A$13:$H$32,MATCH(资金流水!$E377,记账规则!$A$13:$A$32,0),6),""))</f>
        <v/>
      </c>
      <c r="M3949" s="66" t="str">
        <f aca="false">IF($L3949="","",IFERROR(INDEX(记账规则!$A$13:$H$32,MATCH(资金流水!$E377,记账规则!$A$13:$A$32,0),7),""))</f>
        <v/>
      </c>
      <c r="N3949" s="66" t="str">
        <f aca="false">IF($L3949="","",IFERROR(INDEX(记账规则!$A$13:$H$32,MATCH(资金流水!$E377,记账规则!$A$13:$A$32,0),8),""))</f>
        <v/>
      </c>
      <c r="O3949" s="67" t="n">
        <f aca="false">IF($H3949="",0,ROUND(IF($N3949="金额",N(资金流水!$P377),0),2))</f>
        <v>0</v>
      </c>
      <c r="P3949" s="64" t="str">
        <f aca="false">IF(AND($H3949&lt;&gt;"",ROUND($O3949,2)&lt;&gt;0),"有","")</f>
        <v/>
      </c>
    </row>
    <row r="3950" customFormat="false" ht="15" hidden="true" customHeight="false" outlineLevel="0" collapsed="false">
      <c r="A3950" s="53" t="str">
        <f aca="false">IF($H3950="","",ROW()-5)</f>
        <v/>
      </c>
      <c r="B3950" s="64" t="s">
        <v>37</v>
      </c>
      <c r="C3950" s="53" t="n">
        <v>378</v>
      </c>
      <c r="D3950" s="53" t="n">
        <v>1</v>
      </c>
      <c r="E3950" s="65" t="str">
        <f aca="false">IF($H3950="","",资金流水!$B378)</f>
        <v/>
      </c>
      <c r="F3950" s="55" t="str">
        <f aca="false">IF($H3950="","",资金流水!$C378)</f>
        <v/>
      </c>
      <c r="G3950" s="48" t="str">
        <f aca="false">IF($H3950="","",资金流水!$K378)</f>
        <v/>
      </c>
      <c r="H3950" s="10" t="str">
        <f aca="false">IF($L3950="","",IF($L3950="@对方",资金流水!$G378,IF($L3950="@账户",资金流水!$Q378,$L3950)))</f>
        <v/>
      </c>
      <c r="I3950" s="42" t="n">
        <f aca="false">IF($M3950="借",$O3950,0)</f>
        <v>0</v>
      </c>
      <c r="J3950" s="42" t="n">
        <f aca="false">IF($M3950="贷",$O3950,0)</f>
        <v>0</v>
      </c>
      <c r="K3950" s="48" t="str">
        <f aca="false">IF($H3950="","",资金流水!$F378)</f>
        <v/>
      </c>
      <c r="L3950" s="66" t="str">
        <f aca="false">IF(资金流水!$E378="","",IFERROR(INDEX(记账规则!$A$13:$H$32,MATCH(资金流水!$E378,记账规则!$A$13:$A$32,0),3),""))</f>
        <v/>
      </c>
      <c r="M3950" s="66" t="str">
        <f aca="false">IF($L3950="","",IFERROR(INDEX(记账规则!$A$13:$H$32,MATCH(资金流水!$E378,记账规则!$A$13:$A$32,0),4),""))</f>
        <v/>
      </c>
      <c r="N3950" s="66" t="str">
        <f aca="false">IF($L3950="","",IFERROR(INDEX(记账规则!$A$13:$H$32,MATCH(资金流水!$E378,记账规则!$A$13:$A$32,0),5),""))</f>
        <v/>
      </c>
      <c r="O3950" s="67" t="n">
        <f aca="false">IF($H3950="",0,ROUND(IF($N3950="金额",N(资金流水!$P378),0),2))</f>
        <v>0</v>
      </c>
      <c r="P3950" s="64" t="str">
        <f aca="false">IF(AND($H3950&lt;&gt;"",ROUND($O3950,2)&lt;&gt;0),"有","")</f>
        <v/>
      </c>
    </row>
    <row r="3951" customFormat="false" ht="15" hidden="true" customHeight="false" outlineLevel="0" collapsed="false">
      <c r="A3951" s="53" t="str">
        <f aca="false">IF($H3951="","",ROW()-5)</f>
        <v/>
      </c>
      <c r="B3951" s="64" t="s">
        <v>37</v>
      </c>
      <c r="C3951" s="53" t="n">
        <v>378</v>
      </c>
      <c r="D3951" s="53" t="n">
        <v>2</v>
      </c>
      <c r="E3951" s="65" t="str">
        <f aca="false">IF($H3951="","",资金流水!$B378)</f>
        <v/>
      </c>
      <c r="F3951" s="55" t="str">
        <f aca="false">IF($H3951="","",资金流水!$C378)</f>
        <v/>
      </c>
      <c r="G3951" s="48" t="str">
        <f aca="false">IF($H3951="","",资金流水!$K378)</f>
        <v/>
      </c>
      <c r="H3951" s="10" t="str">
        <f aca="false">IF($L3951="","",IF($L3951="@对方",资金流水!$G378,IF($L3951="@账户",资金流水!$Q378,$L3951)))</f>
        <v/>
      </c>
      <c r="I3951" s="42" t="n">
        <f aca="false">IF($M3951="借",$O3951,0)</f>
        <v>0</v>
      </c>
      <c r="J3951" s="42" t="n">
        <f aca="false">IF($M3951="贷",$O3951,0)</f>
        <v>0</v>
      </c>
      <c r="K3951" s="48" t="str">
        <f aca="false">IF($H3951="","",资金流水!$F378)</f>
        <v/>
      </c>
      <c r="L3951" s="66" t="str">
        <f aca="false">IF(资金流水!$E378="","",IFERROR(INDEX(记账规则!$A$13:$H$32,MATCH(资金流水!$E378,记账规则!$A$13:$A$32,0),6),""))</f>
        <v/>
      </c>
      <c r="M3951" s="66" t="str">
        <f aca="false">IF($L3951="","",IFERROR(INDEX(记账规则!$A$13:$H$32,MATCH(资金流水!$E378,记账规则!$A$13:$A$32,0),7),""))</f>
        <v/>
      </c>
      <c r="N3951" s="66" t="str">
        <f aca="false">IF($L3951="","",IFERROR(INDEX(记账规则!$A$13:$H$32,MATCH(资金流水!$E378,记账规则!$A$13:$A$32,0),8),""))</f>
        <v/>
      </c>
      <c r="O3951" s="67" t="n">
        <f aca="false">IF($H3951="",0,ROUND(IF($N3951="金额",N(资金流水!$P378),0),2))</f>
        <v>0</v>
      </c>
      <c r="P3951" s="64" t="str">
        <f aca="false">IF(AND($H3951&lt;&gt;"",ROUND($O3951,2)&lt;&gt;0),"有","")</f>
        <v/>
      </c>
    </row>
    <row r="3952" customFormat="false" ht="15" hidden="true" customHeight="false" outlineLevel="0" collapsed="false">
      <c r="A3952" s="53" t="str">
        <f aca="false">IF($H3952="","",ROW()-5)</f>
        <v/>
      </c>
      <c r="B3952" s="64" t="s">
        <v>37</v>
      </c>
      <c r="C3952" s="53" t="n">
        <v>379</v>
      </c>
      <c r="D3952" s="53" t="n">
        <v>1</v>
      </c>
      <c r="E3952" s="65" t="str">
        <f aca="false">IF($H3952="","",资金流水!$B379)</f>
        <v/>
      </c>
      <c r="F3952" s="55" t="str">
        <f aca="false">IF($H3952="","",资金流水!$C379)</f>
        <v/>
      </c>
      <c r="G3952" s="48" t="str">
        <f aca="false">IF($H3952="","",资金流水!$K379)</f>
        <v/>
      </c>
      <c r="H3952" s="10" t="str">
        <f aca="false">IF($L3952="","",IF($L3952="@对方",资金流水!$G379,IF($L3952="@账户",资金流水!$Q379,$L3952)))</f>
        <v/>
      </c>
      <c r="I3952" s="42" t="n">
        <f aca="false">IF($M3952="借",$O3952,0)</f>
        <v>0</v>
      </c>
      <c r="J3952" s="42" t="n">
        <f aca="false">IF($M3952="贷",$O3952,0)</f>
        <v>0</v>
      </c>
      <c r="K3952" s="48" t="str">
        <f aca="false">IF($H3952="","",资金流水!$F379)</f>
        <v/>
      </c>
      <c r="L3952" s="66" t="str">
        <f aca="false">IF(资金流水!$E379="","",IFERROR(INDEX(记账规则!$A$13:$H$32,MATCH(资金流水!$E379,记账规则!$A$13:$A$32,0),3),""))</f>
        <v/>
      </c>
      <c r="M3952" s="66" t="str">
        <f aca="false">IF($L3952="","",IFERROR(INDEX(记账规则!$A$13:$H$32,MATCH(资金流水!$E379,记账规则!$A$13:$A$32,0),4),""))</f>
        <v/>
      </c>
      <c r="N3952" s="66" t="str">
        <f aca="false">IF($L3952="","",IFERROR(INDEX(记账规则!$A$13:$H$32,MATCH(资金流水!$E379,记账规则!$A$13:$A$32,0),5),""))</f>
        <v/>
      </c>
      <c r="O3952" s="67" t="n">
        <f aca="false">IF($H3952="",0,ROUND(IF($N3952="金额",N(资金流水!$P379),0),2))</f>
        <v>0</v>
      </c>
      <c r="P3952" s="64" t="str">
        <f aca="false">IF(AND($H3952&lt;&gt;"",ROUND($O3952,2)&lt;&gt;0),"有","")</f>
        <v/>
      </c>
    </row>
    <row r="3953" customFormat="false" ht="15" hidden="true" customHeight="false" outlineLevel="0" collapsed="false">
      <c r="A3953" s="53" t="str">
        <f aca="false">IF($H3953="","",ROW()-5)</f>
        <v/>
      </c>
      <c r="B3953" s="64" t="s">
        <v>37</v>
      </c>
      <c r="C3953" s="53" t="n">
        <v>379</v>
      </c>
      <c r="D3953" s="53" t="n">
        <v>2</v>
      </c>
      <c r="E3953" s="65" t="str">
        <f aca="false">IF($H3953="","",资金流水!$B379)</f>
        <v/>
      </c>
      <c r="F3953" s="55" t="str">
        <f aca="false">IF($H3953="","",资金流水!$C379)</f>
        <v/>
      </c>
      <c r="G3953" s="48" t="str">
        <f aca="false">IF($H3953="","",资金流水!$K379)</f>
        <v/>
      </c>
      <c r="H3953" s="10" t="str">
        <f aca="false">IF($L3953="","",IF($L3953="@对方",资金流水!$G379,IF($L3953="@账户",资金流水!$Q379,$L3953)))</f>
        <v/>
      </c>
      <c r="I3953" s="42" t="n">
        <f aca="false">IF($M3953="借",$O3953,0)</f>
        <v>0</v>
      </c>
      <c r="J3953" s="42" t="n">
        <f aca="false">IF($M3953="贷",$O3953,0)</f>
        <v>0</v>
      </c>
      <c r="K3953" s="48" t="str">
        <f aca="false">IF($H3953="","",资金流水!$F379)</f>
        <v/>
      </c>
      <c r="L3953" s="66" t="str">
        <f aca="false">IF(资金流水!$E379="","",IFERROR(INDEX(记账规则!$A$13:$H$32,MATCH(资金流水!$E379,记账规则!$A$13:$A$32,0),6),""))</f>
        <v/>
      </c>
      <c r="M3953" s="66" t="str">
        <f aca="false">IF($L3953="","",IFERROR(INDEX(记账规则!$A$13:$H$32,MATCH(资金流水!$E379,记账规则!$A$13:$A$32,0),7),""))</f>
        <v/>
      </c>
      <c r="N3953" s="66" t="str">
        <f aca="false">IF($L3953="","",IFERROR(INDEX(记账规则!$A$13:$H$32,MATCH(资金流水!$E379,记账规则!$A$13:$A$32,0),8),""))</f>
        <v/>
      </c>
      <c r="O3953" s="67" t="n">
        <f aca="false">IF($H3953="",0,ROUND(IF($N3953="金额",N(资金流水!$P379),0),2))</f>
        <v>0</v>
      </c>
      <c r="P3953" s="64" t="str">
        <f aca="false">IF(AND($H3953&lt;&gt;"",ROUND($O3953,2)&lt;&gt;0),"有","")</f>
        <v/>
      </c>
    </row>
    <row r="3954" customFormat="false" ht="15" hidden="true" customHeight="false" outlineLevel="0" collapsed="false">
      <c r="A3954" s="53" t="str">
        <f aca="false">IF($H3954="","",ROW()-5)</f>
        <v/>
      </c>
      <c r="B3954" s="64" t="s">
        <v>37</v>
      </c>
      <c r="C3954" s="53" t="n">
        <v>380</v>
      </c>
      <c r="D3954" s="53" t="n">
        <v>1</v>
      </c>
      <c r="E3954" s="65" t="str">
        <f aca="false">IF($H3954="","",资金流水!$B380)</f>
        <v/>
      </c>
      <c r="F3954" s="55" t="str">
        <f aca="false">IF($H3954="","",资金流水!$C380)</f>
        <v/>
      </c>
      <c r="G3954" s="48" t="str">
        <f aca="false">IF($H3954="","",资金流水!$K380)</f>
        <v/>
      </c>
      <c r="H3954" s="10" t="str">
        <f aca="false">IF($L3954="","",IF($L3954="@对方",资金流水!$G380,IF($L3954="@账户",资金流水!$Q380,$L3954)))</f>
        <v/>
      </c>
      <c r="I3954" s="42" t="n">
        <f aca="false">IF($M3954="借",$O3954,0)</f>
        <v>0</v>
      </c>
      <c r="J3954" s="42" t="n">
        <f aca="false">IF($M3954="贷",$O3954,0)</f>
        <v>0</v>
      </c>
      <c r="K3954" s="48" t="str">
        <f aca="false">IF($H3954="","",资金流水!$F380)</f>
        <v/>
      </c>
      <c r="L3954" s="66" t="str">
        <f aca="false">IF(资金流水!$E380="","",IFERROR(INDEX(记账规则!$A$13:$H$32,MATCH(资金流水!$E380,记账规则!$A$13:$A$32,0),3),""))</f>
        <v/>
      </c>
      <c r="M3954" s="66" t="str">
        <f aca="false">IF($L3954="","",IFERROR(INDEX(记账规则!$A$13:$H$32,MATCH(资金流水!$E380,记账规则!$A$13:$A$32,0),4),""))</f>
        <v/>
      </c>
      <c r="N3954" s="66" t="str">
        <f aca="false">IF($L3954="","",IFERROR(INDEX(记账规则!$A$13:$H$32,MATCH(资金流水!$E380,记账规则!$A$13:$A$32,0),5),""))</f>
        <v/>
      </c>
      <c r="O3954" s="67" t="n">
        <f aca="false">IF($H3954="",0,ROUND(IF($N3954="金额",N(资金流水!$P380),0),2))</f>
        <v>0</v>
      </c>
      <c r="P3954" s="64" t="str">
        <f aca="false">IF(AND($H3954&lt;&gt;"",ROUND($O3954,2)&lt;&gt;0),"有","")</f>
        <v/>
      </c>
    </row>
    <row r="3955" customFormat="false" ht="15" hidden="true" customHeight="false" outlineLevel="0" collapsed="false">
      <c r="A3955" s="53" t="str">
        <f aca="false">IF($H3955="","",ROW()-5)</f>
        <v/>
      </c>
      <c r="B3955" s="64" t="s">
        <v>37</v>
      </c>
      <c r="C3955" s="53" t="n">
        <v>380</v>
      </c>
      <c r="D3955" s="53" t="n">
        <v>2</v>
      </c>
      <c r="E3955" s="65" t="str">
        <f aca="false">IF($H3955="","",资金流水!$B380)</f>
        <v/>
      </c>
      <c r="F3955" s="55" t="str">
        <f aca="false">IF($H3955="","",资金流水!$C380)</f>
        <v/>
      </c>
      <c r="G3955" s="48" t="str">
        <f aca="false">IF($H3955="","",资金流水!$K380)</f>
        <v/>
      </c>
      <c r="H3955" s="10" t="str">
        <f aca="false">IF($L3955="","",IF($L3955="@对方",资金流水!$G380,IF($L3955="@账户",资金流水!$Q380,$L3955)))</f>
        <v/>
      </c>
      <c r="I3955" s="42" t="n">
        <f aca="false">IF($M3955="借",$O3955,0)</f>
        <v>0</v>
      </c>
      <c r="J3955" s="42" t="n">
        <f aca="false">IF($M3955="贷",$O3955,0)</f>
        <v>0</v>
      </c>
      <c r="K3955" s="48" t="str">
        <f aca="false">IF($H3955="","",资金流水!$F380)</f>
        <v/>
      </c>
      <c r="L3955" s="66" t="str">
        <f aca="false">IF(资金流水!$E380="","",IFERROR(INDEX(记账规则!$A$13:$H$32,MATCH(资金流水!$E380,记账规则!$A$13:$A$32,0),6),""))</f>
        <v/>
      </c>
      <c r="M3955" s="66" t="str">
        <f aca="false">IF($L3955="","",IFERROR(INDEX(记账规则!$A$13:$H$32,MATCH(资金流水!$E380,记账规则!$A$13:$A$32,0),7),""))</f>
        <v/>
      </c>
      <c r="N3955" s="66" t="str">
        <f aca="false">IF($L3955="","",IFERROR(INDEX(记账规则!$A$13:$H$32,MATCH(资金流水!$E380,记账规则!$A$13:$A$32,0),8),""))</f>
        <v/>
      </c>
      <c r="O3955" s="67" t="n">
        <f aca="false">IF($H3955="",0,ROUND(IF($N3955="金额",N(资金流水!$P380),0),2))</f>
        <v>0</v>
      </c>
      <c r="P3955" s="64" t="str">
        <f aca="false">IF(AND($H3955&lt;&gt;"",ROUND($O3955,2)&lt;&gt;0),"有","")</f>
        <v/>
      </c>
    </row>
    <row r="3956" customFormat="false" ht="15" hidden="true" customHeight="false" outlineLevel="0" collapsed="false">
      <c r="A3956" s="53" t="str">
        <f aca="false">IF($H3956="","",ROW()-5)</f>
        <v/>
      </c>
      <c r="B3956" s="64" t="s">
        <v>37</v>
      </c>
      <c r="C3956" s="53" t="n">
        <v>381</v>
      </c>
      <c r="D3956" s="53" t="n">
        <v>1</v>
      </c>
      <c r="E3956" s="65" t="str">
        <f aca="false">IF($H3956="","",资金流水!$B381)</f>
        <v/>
      </c>
      <c r="F3956" s="55" t="str">
        <f aca="false">IF($H3956="","",资金流水!$C381)</f>
        <v/>
      </c>
      <c r="G3956" s="48" t="str">
        <f aca="false">IF($H3956="","",资金流水!$K381)</f>
        <v/>
      </c>
      <c r="H3956" s="10" t="str">
        <f aca="false">IF($L3956="","",IF($L3956="@对方",资金流水!$G381,IF($L3956="@账户",资金流水!$Q381,$L3956)))</f>
        <v/>
      </c>
      <c r="I3956" s="42" t="n">
        <f aca="false">IF($M3956="借",$O3956,0)</f>
        <v>0</v>
      </c>
      <c r="J3956" s="42" t="n">
        <f aca="false">IF($M3956="贷",$O3956,0)</f>
        <v>0</v>
      </c>
      <c r="K3956" s="48" t="str">
        <f aca="false">IF($H3956="","",资金流水!$F381)</f>
        <v/>
      </c>
      <c r="L3956" s="66" t="str">
        <f aca="false">IF(资金流水!$E381="","",IFERROR(INDEX(记账规则!$A$13:$H$32,MATCH(资金流水!$E381,记账规则!$A$13:$A$32,0),3),""))</f>
        <v/>
      </c>
      <c r="M3956" s="66" t="str">
        <f aca="false">IF($L3956="","",IFERROR(INDEX(记账规则!$A$13:$H$32,MATCH(资金流水!$E381,记账规则!$A$13:$A$32,0),4),""))</f>
        <v/>
      </c>
      <c r="N3956" s="66" t="str">
        <f aca="false">IF($L3956="","",IFERROR(INDEX(记账规则!$A$13:$H$32,MATCH(资金流水!$E381,记账规则!$A$13:$A$32,0),5),""))</f>
        <v/>
      </c>
      <c r="O3956" s="67" t="n">
        <f aca="false">IF($H3956="",0,ROUND(IF($N3956="金额",N(资金流水!$P381),0),2))</f>
        <v>0</v>
      </c>
      <c r="P3956" s="64" t="str">
        <f aca="false">IF(AND($H3956&lt;&gt;"",ROUND($O3956,2)&lt;&gt;0),"有","")</f>
        <v/>
      </c>
    </row>
    <row r="3957" customFormat="false" ht="15" hidden="true" customHeight="false" outlineLevel="0" collapsed="false">
      <c r="A3957" s="53" t="str">
        <f aca="false">IF($H3957="","",ROW()-5)</f>
        <v/>
      </c>
      <c r="B3957" s="64" t="s">
        <v>37</v>
      </c>
      <c r="C3957" s="53" t="n">
        <v>381</v>
      </c>
      <c r="D3957" s="53" t="n">
        <v>2</v>
      </c>
      <c r="E3957" s="65" t="str">
        <f aca="false">IF($H3957="","",资金流水!$B381)</f>
        <v/>
      </c>
      <c r="F3957" s="55" t="str">
        <f aca="false">IF($H3957="","",资金流水!$C381)</f>
        <v/>
      </c>
      <c r="G3957" s="48" t="str">
        <f aca="false">IF($H3957="","",资金流水!$K381)</f>
        <v/>
      </c>
      <c r="H3957" s="10" t="str">
        <f aca="false">IF($L3957="","",IF($L3957="@对方",资金流水!$G381,IF($L3957="@账户",资金流水!$Q381,$L3957)))</f>
        <v/>
      </c>
      <c r="I3957" s="42" t="n">
        <f aca="false">IF($M3957="借",$O3957,0)</f>
        <v>0</v>
      </c>
      <c r="J3957" s="42" t="n">
        <f aca="false">IF($M3957="贷",$O3957,0)</f>
        <v>0</v>
      </c>
      <c r="K3957" s="48" t="str">
        <f aca="false">IF($H3957="","",资金流水!$F381)</f>
        <v/>
      </c>
      <c r="L3957" s="66" t="str">
        <f aca="false">IF(资金流水!$E381="","",IFERROR(INDEX(记账规则!$A$13:$H$32,MATCH(资金流水!$E381,记账规则!$A$13:$A$32,0),6),""))</f>
        <v/>
      </c>
      <c r="M3957" s="66" t="str">
        <f aca="false">IF($L3957="","",IFERROR(INDEX(记账规则!$A$13:$H$32,MATCH(资金流水!$E381,记账规则!$A$13:$A$32,0),7),""))</f>
        <v/>
      </c>
      <c r="N3957" s="66" t="str">
        <f aca="false">IF($L3957="","",IFERROR(INDEX(记账规则!$A$13:$H$32,MATCH(资金流水!$E381,记账规则!$A$13:$A$32,0),8),""))</f>
        <v/>
      </c>
      <c r="O3957" s="67" t="n">
        <f aca="false">IF($H3957="",0,ROUND(IF($N3957="金额",N(资金流水!$P381),0),2))</f>
        <v>0</v>
      </c>
      <c r="P3957" s="64" t="str">
        <f aca="false">IF(AND($H3957&lt;&gt;"",ROUND($O3957,2)&lt;&gt;0),"有","")</f>
        <v/>
      </c>
    </row>
    <row r="3958" customFormat="false" ht="15" hidden="true" customHeight="false" outlineLevel="0" collapsed="false">
      <c r="A3958" s="53" t="str">
        <f aca="false">IF($H3958="","",ROW()-5)</f>
        <v/>
      </c>
      <c r="B3958" s="64" t="s">
        <v>37</v>
      </c>
      <c r="C3958" s="53" t="n">
        <v>382</v>
      </c>
      <c r="D3958" s="53" t="n">
        <v>1</v>
      </c>
      <c r="E3958" s="65" t="str">
        <f aca="false">IF($H3958="","",资金流水!$B382)</f>
        <v/>
      </c>
      <c r="F3958" s="55" t="str">
        <f aca="false">IF($H3958="","",资金流水!$C382)</f>
        <v/>
      </c>
      <c r="G3958" s="48" t="str">
        <f aca="false">IF($H3958="","",资金流水!$K382)</f>
        <v/>
      </c>
      <c r="H3958" s="10" t="str">
        <f aca="false">IF($L3958="","",IF($L3958="@对方",资金流水!$G382,IF($L3958="@账户",资金流水!$Q382,$L3958)))</f>
        <v/>
      </c>
      <c r="I3958" s="42" t="n">
        <f aca="false">IF($M3958="借",$O3958,0)</f>
        <v>0</v>
      </c>
      <c r="J3958" s="42" t="n">
        <f aca="false">IF($M3958="贷",$O3958,0)</f>
        <v>0</v>
      </c>
      <c r="K3958" s="48" t="str">
        <f aca="false">IF($H3958="","",资金流水!$F382)</f>
        <v/>
      </c>
      <c r="L3958" s="66" t="str">
        <f aca="false">IF(资金流水!$E382="","",IFERROR(INDEX(记账规则!$A$13:$H$32,MATCH(资金流水!$E382,记账规则!$A$13:$A$32,0),3),""))</f>
        <v/>
      </c>
      <c r="M3958" s="66" t="str">
        <f aca="false">IF($L3958="","",IFERROR(INDEX(记账规则!$A$13:$H$32,MATCH(资金流水!$E382,记账规则!$A$13:$A$32,0),4),""))</f>
        <v/>
      </c>
      <c r="N3958" s="66" t="str">
        <f aca="false">IF($L3958="","",IFERROR(INDEX(记账规则!$A$13:$H$32,MATCH(资金流水!$E382,记账规则!$A$13:$A$32,0),5),""))</f>
        <v/>
      </c>
      <c r="O3958" s="67" t="n">
        <f aca="false">IF($H3958="",0,ROUND(IF($N3958="金额",N(资金流水!$P382),0),2))</f>
        <v>0</v>
      </c>
      <c r="P3958" s="64" t="str">
        <f aca="false">IF(AND($H3958&lt;&gt;"",ROUND($O3958,2)&lt;&gt;0),"有","")</f>
        <v/>
      </c>
    </row>
    <row r="3959" customFormat="false" ht="15" hidden="true" customHeight="false" outlineLevel="0" collapsed="false">
      <c r="A3959" s="53" t="str">
        <f aca="false">IF($H3959="","",ROW()-5)</f>
        <v/>
      </c>
      <c r="B3959" s="64" t="s">
        <v>37</v>
      </c>
      <c r="C3959" s="53" t="n">
        <v>382</v>
      </c>
      <c r="D3959" s="53" t="n">
        <v>2</v>
      </c>
      <c r="E3959" s="65" t="str">
        <f aca="false">IF($H3959="","",资金流水!$B382)</f>
        <v/>
      </c>
      <c r="F3959" s="55" t="str">
        <f aca="false">IF($H3959="","",资金流水!$C382)</f>
        <v/>
      </c>
      <c r="G3959" s="48" t="str">
        <f aca="false">IF($H3959="","",资金流水!$K382)</f>
        <v/>
      </c>
      <c r="H3959" s="10" t="str">
        <f aca="false">IF($L3959="","",IF($L3959="@对方",资金流水!$G382,IF($L3959="@账户",资金流水!$Q382,$L3959)))</f>
        <v/>
      </c>
      <c r="I3959" s="42" t="n">
        <f aca="false">IF($M3959="借",$O3959,0)</f>
        <v>0</v>
      </c>
      <c r="J3959" s="42" t="n">
        <f aca="false">IF($M3959="贷",$O3959,0)</f>
        <v>0</v>
      </c>
      <c r="K3959" s="48" t="str">
        <f aca="false">IF($H3959="","",资金流水!$F382)</f>
        <v/>
      </c>
      <c r="L3959" s="66" t="str">
        <f aca="false">IF(资金流水!$E382="","",IFERROR(INDEX(记账规则!$A$13:$H$32,MATCH(资金流水!$E382,记账规则!$A$13:$A$32,0),6),""))</f>
        <v/>
      </c>
      <c r="M3959" s="66" t="str">
        <f aca="false">IF($L3959="","",IFERROR(INDEX(记账规则!$A$13:$H$32,MATCH(资金流水!$E382,记账规则!$A$13:$A$32,0),7),""))</f>
        <v/>
      </c>
      <c r="N3959" s="66" t="str">
        <f aca="false">IF($L3959="","",IFERROR(INDEX(记账规则!$A$13:$H$32,MATCH(资金流水!$E382,记账规则!$A$13:$A$32,0),8),""))</f>
        <v/>
      </c>
      <c r="O3959" s="67" t="n">
        <f aca="false">IF($H3959="",0,ROUND(IF($N3959="金额",N(资金流水!$P382),0),2))</f>
        <v>0</v>
      </c>
      <c r="P3959" s="64" t="str">
        <f aca="false">IF(AND($H3959&lt;&gt;"",ROUND($O3959,2)&lt;&gt;0),"有","")</f>
        <v/>
      </c>
    </row>
    <row r="3960" customFormat="false" ht="15" hidden="true" customHeight="false" outlineLevel="0" collapsed="false">
      <c r="A3960" s="53" t="str">
        <f aca="false">IF($H3960="","",ROW()-5)</f>
        <v/>
      </c>
      <c r="B3960" s="64" t="s">
        <v>37</v>
      </c>
      <c r="C3960" s="53" t="n">
        <v>383</v>
      </c>
      <c r="D3960" s="53" t="n">
        <v>1</v>
      </c>
      <c r="E3960" s="65" t="str">
        <f aca="false">IF($H3960="","",资金流水!$B383)</f>
        <v/>
      </c>
      <c r="F3960" s="55" t="str">
        <f aca="false">IF($H3960="","",资金流水!$C383)</f>
        <v/>
      </c>
      <c r="G3960" s="48" t="str">
        <f aca="false">IF($H3960="","",资金流水!$K383)</f>
        <v/>
      </c>
      <c r="H3960" s="10" t="str">
        <f aca="false">IF($L3960="","",IF($L3960="@对方",资金流水!$G383,IF($L3960="@账户",资金流水!$Q383,$L3960)))</f>
        <v/>
      </c>
      <c r="I3960" s="42" t="n">
        <f aca="false">IF($M3960="借",$O3960,0)</f>
        <v>0</v>
      </c>
      <c r="J3960" s="42" t="n">
        <f aca="false">IF($M3960="贷",$O3960,0)</f>
        <v>0</v>
      </c>
      <c r="K3960" s="48" t="str">
        <f aca="false">IF($H3960="","",资金流水!$F383)</f>
        <v/>
      </c>
      <c r="L3960" s="66" t="str">
        <f aca="false">IF(资金流水!$E383="","",IFERROR(INDEX(记账规则!$A$13:$H$32,MATCH(资金流水!$E383,记账规则!$A$13:$A$32,0),3),""))</f>
        <v/>
      </c>
      <c r="M3960" s="66" t="str">
        <f aca="false">IF($L3960="","",IFERROR(INDEX(记账规则!$A$13:$H$32,MATCH(资金流水!$E383,记账规则!$A$13:$A$32,0),4),""))</f>
        <v/>
      </c>
      <c r="N3960" s="66" t="str">
        <f aca="false">IF($L3960="","",IFERROR(INDEX(记账规则!$A$13:$H$32,MATCH(资金流水!$E383,记账规则!$A$13:$A$32,0),5),""))</f>
        <v/>
      </c>
      <c r="O3960" s="67" t="n">
        <f aca="false">IF($H3960="",0,ROUND(IF($N3960="金额",N(资金流水!$P383),0),2))</f>
        <v>0</v>
      </c>
      <c r="P3960" s="64" t="str">
        <f aca="false">IF(AND($H3960&lt;&gt;"",ROUND($O3960,2)&lt;&gt;0),"有","")</f>
        <v/>
      </c>
    </row>
    <row r="3961" customFormat="false" ht="15" hidden="true" customHeight="false" outlineLevel="0" collapsed="false">
      <c r="A3961" s="53" t="str">
        <f aca="false">IF($H3961="","",ROW()-5)</f>
        <v/>
      </c>
      <c r="B3961" s="64" t="s">
        <v>37</v>
      </c>
      <c r="C3961" s="53" t="n">
        <v>383</v>
      </c>
      <c r="D3961" s="53" t="n">
        <v>2</v>
      </c>
      <c r="E3961" s="65" t="str">
        <f aca="false">IF($H3961="","",资金流水!$B383)</f>
        <v/>
      </c>
      <c r="F3961" s="55" t="str">
        <f aca="false">IF($H3961="","",资金流水!$C383)</f>
        <v/>
      </c>
      <c r="G3961" s="48" t="str">
        <f aca="false">IF($H3961="","",资金流水!$K383)</f>
        <v/>
      </c>
      <c r="H3961" s="10" t="str">
        <f aca="false">IF($L3961="","",IF($L3961="@对方",资金流水!$G383,IF($L3961="@账户",资金流水!$Q383,$L3961)))</f>
        <v/>
      </c>
      <c r="I3961" s="42" t="n">
        <f aca="false">IF($M3961="借",$O3961,0)</f>
        <v>0</v>
      </c>
      <c r="J3961" s="42" t="n">
        <f aca="false">IF($M3961="贷",$O3961,0)</f>
        <v>0</v>
      </c>
      <c r="K3961" s="48" t="str">
        <f aca="false">IF($H3961="","",资金流水!$F383)</f>
        <v/>
      </c>
      <c r="L3961" s="66" t="str">
        <f aca="false">IF(资金流水!$E383="","",IFERROR(INDEX(记账规则!$A$13:$H$32,MATCH(资金流水!$E383,记账规则!$A$13:$A$32,0),6),""))</f>
        <v/>
      </c>
      <c r="M3961" s="66" t="str">
        <f aca="false">IF($L3961="","",IFERROR(INDEX(记账规则!$A$13:$H$32,MATCH(资金流水!$E383,记账规则!$A$13:$A$32,0),7),""))</f>
        <v/>
      </c>
      <c r="N3961" s="66" t="str">
        <f aca="false">IF($L3961="","",IFERROR(INDEX(记账规则!$A$13:$H$32,MATCH(资金流水!$E383,记账规则!$A$13:$A$32,0),8),""))</f>
        <v/>
      </c>
      <c r="O3961" s="67" t="n">
        <f aca="false">IF($H3961="",0,ROUND(IF($N3961="金额",N(资金流水!$P383),0),2))</f>
        <v>0</v>
      </c>
      <c r="P3961" s="64" t="str">
        <f aca="false">IF(AND($H3961&lt;&gt;"",ROUND($O3961,2)&lt;&gt;0),"有","")</f>
        <v/>
      </c>
    </row>
    <row r="3962" customFormat="false" ht="15" hidden="true" customHeight="false" outlineLevel="0" collapsed="false">
      <c r="A3962" s="53" t="str">
        <f aca="false">IF($H3962="","",ROW()-5)</f>
        <v/>
      </c>
      <c r="B3962" s="64" t="s">
        <v>37</v>
      </c>
      <c r="C3962" s="53" t="n">
        <v>384</v>
      </c>
      <c r="D3962" s="53" t="n">
        <v>1</v>
      </c>
      <c r="E3962" s="65" t="str">
        <f aca="false">IF($H3962="","",资金流水!$B384)</f>
        <v/>
      </c>
      <c r="F3962" s="55" t="str">
        <f aca="false">IF($H3962="","",资金流水!$C384)</f>
        <v/>
      </c>
      <c r="G3962" s="48" t="str">
        <f aca="false">IF($H3962="","",资金流水!$K384)</f>
        <v/>
      </c>
      <c r="H3962" s="10" t="str">
        <f aca="false">IF($L3962="","",IF($L3962="@对方",资金流水!$G384,IF($L3962="@账户",资金流水!$Q384,$L3962)))</f>
        <v/>
      </c>
      <c r="I3962" s="42" t="n">
        <f aca="false">IF($M3962="借",$O3962,0)</f>
        <v>0</v>
      </c>
      <c r="J3962" s="42" t="n">
        <f aca="false">IF($M3962="贷",$O3962,0)</f>
        <v>0</v>
      </c>
      <c r="K3962" s="48" t="str">
        <f aca="false">IF($H3962="","",资金流水!$F384)</f>
        <v/>
      </c>
      <c r="L3962" s="66" t="str">
        <f aca="false">IF(资金流水!$E384="","",IFERROR(INDEX(记账规则!$A$13:$H$32,MATCH(资金流水!$E384,记账规则!$A$13:$A$32,0),3),""))</f>
        <v/>
      </c>
      <c r="M3962" s="66" t="str">
        <f aca="false">IF($L3962="","",IFERROR(INDEX(记账规则!$A$13:$H$32,MATCH(资金流水!$E384,记账规则!$A$13:$A$32,0),4),""))</f>
        <v/>
      </c>
      <c r="N3962" s="66" t="str">
        <f aca="false">IF($L3962="","",IFERROR(INDEX(记账规则!$A$13:$H$32,MATCH(资金流水!$E384,记账规则!$A$13:$A$32,0),5),""))</f>
        <v/>
      </c>
      <c r="O3962" s="67" t="n">
        <f aca="false">IF($H3962="",0,ROUND(IF($N3962="金额",N(资金流水!$P384),0),2))</f>
        <v>0</v>
      </c>
      <c r="P3962" s="64" t="str">
        <f aca="false">IF(AND($H3962&lt;&gt;"",ROUND($O3962,2)&lt;&gt;0),"有","")</f>
        <v/>
      </c>
    </row>
    <row r="3963" customFormat="false" ht="15" hidden="true" customHeight="false" outlineLevel="0" collapsed="false">
      <c r="A3963" s="53" t="str">
        <f aca="false">IF($H3963="","",ROW()-5)</f>
        <v/>
      </c>
      <c r="B3963" s="64" t="s">
        <v>37</v>
      </c>
      <c r="C3963" s="53" t="n">
        <v>384</v>
      </c>
      <c r="D3963" s="53" t="n">
        <v>2</v>
      </c>
      <c r="E3963" s="65" t="str">
        <f aca="false">IF($H3963="","",资金流水!$B384)</f>
        <v/>
      </c>
      <c r="F3963" s="55" t="str">
        <f aca="false">IF($H3963="","",资金流水!$C384)</f>
        <v/>
      </c>
      <c r="G3963" s="48" t="str">
        <f aca="false">IF($H3963="","",资金流水!$K384)</f>
        <v/>
      </c>
      <c r="H3963" s="10" t="str">
        <f aca="false">IF($L3963="","",IF($L3963="@对方",资金流水!$G384,IF($L3963="@账户",资金流水!$Q384,$L3963)))</f>
        <v/>
      </c>
      <c r="I3963" s="42" t="n">
        <f aca="false">IF($M3963="借",$O3963,0)</f>
        <v>0</v>
      </c>
      <c r="J3963" s="42" t="n">
        <f aca="false">IF($M3963="贷",$O3963,0)</f>
        <v>0</v>
      </c>
      <c r="K3963" s="48" t="str">
        <f aca="false">IF($H3963="","",资金流水!$F384)</f>
        <v/>
      </c>
      <c r="L3963" s="66" t="str">
        <f aca="false">IF(资金流水!$E384="","",IFERROR(INDEX(记账规则!$A$13:$H$32,MATCH(资金流水!$E384,记账规则!$A$13:$A$32,0),6),""))</f>
        <v/>
      </c>
      <c r="M3963" s="66" t="str">
        <f aca="false">IF($L3963="","",IFERROR(INDEX(记账规则!$A$13:$H$32,MATCH(资金流水!$E384,记账规则!$A$13:$A$32,0),7),""))</f>
        <v/>
      </c>
      <c r="N3963" s="66" t="str">
        <f aca="false">IF($L3963="","",IFERROR(INDEX(记账规则!$A$13:$H$32,MATCH(资金流水!$E384,记账规则!$A$13:$A$32,0),8),""))</f>
        <v/>
      </c>
      <c r="O3963" s="67" t="n">
        <f aca="false">IF($H3963="",0,ROUND(IF($N3963="金额",N(资金流水!$P384),0),2))</f>
        <v>0</v>
      </c>
      <c r="P3963" s="64" t="str">
        <f aca="false">IF(AND($H3963&lt;&gt;"",ROUND($O3963,2)&lt;&gt;0),"有","")</f>
        <v/>
      </c>
    </row>
    <row r="3964" customFormat="false" ht="15" hidden="true" customHeight="false" outlineLevel="0" collapsed="false">
      <c r="A3964" s="53" t="str">
        <f aca="false">IF($H3964="","",ROW()-5)</f>
        <v/>
      </c>
      <c r="B3964" s="64" t="s">
        <v>37</v>
      </c>
      <c r="C3964" s="53" t="n">
        <v>385</v>
      </c>
      <c r="D3964" s="53" t="n">
        <v>1</v>
      </c>
      <c r="E3964" s="65" t="str">
        <f aca="false">IF($H3964="","",资金流水!$B385)</f>
        <v/>
      </c>
      <c r="F3964" s="55" t="str">
        <f aca="false">IF($H3964="","",资金流水!$C385)</f>
        <v/>
      </c>
      <c r="G3964" s="48" t="str">
        <f aca="false">IF($H3964="","",资金流水!$K385)</f>
        <v/>
      </c>
      <c r="H3964" s="10" t="str">
        <f aca="false">IF($L3964="","",IF($L3964="@对方",资金流水!$G385,IF($L3964="@账户",资金流水!$Q385,$L3964)))</f>
        <v/>
      </c>
      <c r="I3964" s="42" t="n">
        <f aca="false">IF($M3964="借",$O3964,0)</f>
        <v>0</v>
      </c>
      <c r="J3964" s="42" t="n">
        <f aca="false">IF($M3964="贷",$O3964,0)</f>
        <v>0</v>
      </c>
      <c r="K3964" s="48" t="str">
        <f aca="false">IF($H3964="","",资金流水!$F385)</f>
        <v/>
      </c>
      <c r="L3964" s="66" t="str">
        <f aca="false">IF(资金流水!$E385="","",IFERROR(INDEX(记账规则!$A$13:$H$32,MATCH(资金流水!$E385,记账规则!$A$13:$A$32,0),3),""))</f>
        <v/>
      </c>
      <c r="M3964" s="66" t="str">
        <f aca="false">IF($L3964="","",IFERROR(INDEX(记账规则!$A$13:$H$32,MATCH(资金流水!$E385,记账规则!$A$13:$A$32,0),4),""))</f>
        <v/>
      </c>
      <c r="N3964" s="66" t="str">
        <f aca="false">IF($L3964="","",IFERROR(INDEX(记账规则!$A$13:$H$32,MATCH(资金流水!$E385,记账规则!$A$13:$A$32,0),5),""))</f>
        <v/>
      </c>
      <c r="O3964" s="67" t="n">
        <f aca="false">IF($H3964="",0,ROUND(IF($N3964="金额",N(资金流水!$P385),0),2))</f>
        <v>0</v>
      </c>
      <c r="P3964" s="64" t="str">
        <f aca="false">IF(AND($H3964&lt;&gt;"",ROUND($O3964,2)&lt;&gt;0),"有","")</f>
        <v/>
      </c>
    </row>
    <row r="3965" customFormat="false" ht="15" hidden="true" customHeight="false" outlineLevel="0" collapsed="false">
      <c r="A3965" s="53" t="str">
        <f aca="false">IF($H3965="","",ROW()-5)</f>
        <v/>
      </c>
      <c r="B3965" s="64" t="s">
        <v>37</v>
      </c>
      <c r="C3965" s="53" t="n">
        <v>385</v>
      </c>
      <c r="D3965" s="53" t="n">
        <v>2</v>
      </c>
      <c r="E3965" s="65" t="str">
        <f aca="false">IF($H3965="","",资金流水!$B385)</f>
        <v/>
      </c>
      <c r="F3965" s="55" t="str">
        <f aca="false">IF($H3965="","",资金流水!$C385)</f>
        <v/>
      </c>
      <c r="G3965" s="48" t="str">
        <f aca="false">IF($H3965="","",资金流水!$K385)</f>
        <v/>
      </c>
      <c r="H3965" s="10" t="str">
        <f aca="false">IF($L3965="","",IF($L3965="@对方",资金流水!$G385,IF($L3965="@账户",资金流水!$Q385,$L3965)))</f>
        <v/>
      </c>
      <c r="I3965" s="42" t="n">
        <f aca="false">IF($M3965="借",$O3965,0)</f>
        <v>0</v>
      </c>
      <c r="J3965" s="42" t="n">
        <f aca="false">IF($M3965="贷",$O3965,0)</f>
        <v>0</v>
      </c>
      <c r="K3965" s="48" t="str">
        <f aca="false">IF($H3965="","",资金流水!$F385)</f>
        <v/>
      </c>
      <c r="L3965" s="66" t="str">
        <f aca="false">IF(资金流水!$E385="","",IFERROR(INDEX(记账规则!$A$13:$H$32,MATCH(资金流水!$E385,记账规则!$A$13:$A$32,0),6),""))</f>
        <v/>
      </c>
      <c r="M3965" s="66" t="str">
        <f aca="false">IF($L3965="","",IFERROR(INDEX(记账规则!$A$13:$H$32,MATCH(资金流水!$E385,记账规则!$A$13:$A$32,0),7),""))</f>
        <v/>
      </c>
      <c r="N3965" s="66" t="str">
        <f aca="false">IF($L3965="","",IFERROR(INDEX(记账规则!$A$13:$H$32,MATCH(资金流水!$E385,记账规则!$A$13:$A$32,0),8),""))</f>
        <v/>
      </c>
      <c r="O3965" s="67" t="n">
        <f aca="false">IF($H3965="",0,ROUND(IF($N3965="金额",N(资金流水!$P385),0),2))</f>
        <v>0</v>
      </c>
      <c r="P3965" s="64" t="str">
        <f aca="false">IF(AND($H3965&lt;&gt;"",ROUND($O3965,2)&lt;&gt;0),"有","")</f>
        <v/>
      </c>
    </row>
    <row r="3966" customFormat="false" ht="15" hidden="true" customHeight="false" outlineLevel="0" collapsed="false">
      <c r="A3966" s="53" t="str">
        <f aca="false">IF($H3966="","",ROW()-5)</f>
        <v/>
      </c>
      <c r="B3966" s="64" t="s">
        <v>37</v>
      </c>
      <c r="C3966" s="53" t="n">
        <v>386</v>
      </c>
      <c r="D3966" s="53" t="n">
        <v>1</v>
      </c>
      <c r="E3966" s="65" t="str">
        <f aca="false">IF($H3966="","",资金流水!$B386)</f>
        <v/>
      </c>
      <c r="F3966" s="55" t="str">
        <f aca="false">IF($H3966="","",资金流水!$C386)</f>
        <v/>
      </c>
      <c r="G3966" s="48" t="str">
        <f aca="false">IF($H3966="","",资金流水!$K386)</f>
        <v/>
      </c>
      <c r="H3966" s="10" t="str">
        <f aca="false">IF($L3966="","",IF($L3966="@对方",资金流水!$G386,IF($L3966="@账户",资金流水!$Q386,$L3966)))</f>
        <v/>
      </c>
      <c r="I3966" s="42" t="n">
        <f aca="false">IF($M3966="借",$O3966,0)</f>
        <v>0</v>
      </c>
      <c r="J3966" s="42" t="n">
        <f aca="false">IF($M3966="贷",$O3966,0)</f>
        <v>0</v>
      </c>
      <c r="K3966" s="48" t="str">
        <f aca="false">IF($H3966="","",资金流水!$F386)</f>
        <v/>
      </c>
      <c r="L3966" s="66" t="str">
        <f aca="false">IF(资金流水!$E386="","",IFERROR(INDEX(记账规则!$A$13:$H$32,MATCH(资金流水!$E386,记账规则!$A$13:$A$32,0),3),""))</f>
        <v/>
      </c>
      <c r="M3966" s="66" t="str">
        <f aca="false">IF($L3966="","",IFERROR(INDEX(记账规则!$A$13:$H$32,MATCH(资金流水!$E386,记账规则!$A$13:$A$32,0),4),""))</f>
        <v/>
      </c>
      <c r="N3966" s="66" t="str">
        <f aca="false">IF($L3966="","",IFERROR(INDEX(记账规则!$A$13:$H$32,MATCH(资金流水!$E386,记账规则!$A$13:$A$32,0),5),""))</f>
        <v/>
      </c>
      <c r="O3966" s="67" t="n">
        <f aca="false">IF($H3966="",0,ROUND(IF($N3966="金额",N(资金流水!$P386),0),2))</f>
        <v>0</v>
      </c>
      <c r="P3966" s="64" t="str">
        <f aca="false">IF(AND($H3966&lt;&gt;"",ROUND($O3966,2)&lt;&gt;0),"有","")</f>
        <v/>
      </c>
    </row>
    <row r="3967" customFormat="false" ht="15" hidden="true" customHeight="false" outlineLevel="0" collapsed="false">
      <c r="A3967" s="53" t="str">
        <f aca="false">IF($H3967="","",ROW()-5)</f>
        <v/>
      </c>
      <c r="B3967" s="64" t="s">
        <v>37</v>
      </c>
      <c r="C3967" s="53" t="n">
        <v>386</v>
      </c>
      <c r="D3967" s="53" t="n">
        <v>2</v>
      </c>
      <c r="E3967" s="65" t="str">
        <f aca="false">IF($H3967="","",资金流水!$B386)</f>
        <v/>
      </c>
      <c r="F3967" s="55" t="str">
        <f aca="false">IF($H3967="","",资金流水!$C386)</f>
        <v/>
      </c>
      <c r="G3967" s="48" t="str">
        <f aca="false">IF($H3967="","",资金流水!$K386)</f>
        <v/>
      </c>
      <c r="H3967" s="10" t="str">
        <f aca="false">IF($L3967="","",IF($L3967="@对方",资金流水!$G386,IF($L3967="@账户",资金流水!$Q386,$L3967)))</f>
        <v/>
      </c>
      <c r="I3967" s="42" t="n">
        <f aca="false">IF($M3967="借",$O3967,0)</f>
        <v>0</v>
      </c>
      <c r="J3967" s="42" t="n">
        <f aca="false">IF($M3967="贷",$O3967,0)</f>
        <v>0</v>
      </c>
      <c r="K3967" s="48" t="str">
        <f aca="false">IF($H3967="","",资金流水!$F386)</f>
        <v/>
      </c>
      <c r="L3967" s="66" t="str">
        <f aca="false">IF(资金流水!$E386="","",IFERROR(INDEX(记账规则!$A$13:$H$32,MATCH(资金流水!$E386,记账规则!$A$13:$A$32,0),6),""))</f>
        <v/>
      </c>
      <c r="M3967" s="66" t="str">
        <f aca="false">IF($L3967="","",IFERROR(INDEX(记账规则!$A$13:$H$32,MATCH(资金流水!$E386,记账规则!$A$13:$A$32,0),7),""))</f>
        <v/>
      </c>
      <c r="N3967" s="66" t="str">
        <f aca="false">IF($L3967="","",IFERROR(INDEX(记账规则!$A$13:$H$32,MATCH(资金流水!$E386,记账规则!$A$13:$A$32,0),8),""))</f>
        <v/>
      </c>
      <c r="O3967" s="67" t="n">
        <f aca="false">IF($H3967="",0,ROUND(IF($N3967="金额",N(资金流水!$P386),0),2))</f>
        <v>0</v>
      </c>
      <c r="P3967" s="64" t="str">
        <f aca="false">IF(AND($H3967&lt;&gt;"",ROUND($O3967,2)&lt;&gt;0),"有","")</f>
        <v/>
      </c>
    </row>
    <row r="3968" customFormat="false" ht="15" hidden="true" customHeight="false" outlineLevel="0" collapsed="false">
      <c r="A3968" s="53" t="str">
        <f aca="false">IF($H3968="","",ROW()-5)</f>
        <v/>
      </c>
      <c r="B3968" s="64" t="s">
        <v>37</v>
      </c>
      <c r="C3968" s="53" t="n">
        <v>387</v>
      </c>
      <c r="D3968" s="53" t="n">
        <v>1</v>
      </c>
      <c r="E3968" s="65" t="str">
        <f aca="false">IF($H3968="","",资金流水!$B387)</f>
        <v/>
      </c>
      <c r="F3968" s="55" t="str">
        <f aca="false">IF($H3968="","",资金流水!$C387)</f>
        <v/>
      </c>
      <c r="G3968" s="48" t="str">
        <f aca="false">IF($H3968="","",资金流水!$K387)</f>
        <v/>
      </c>
      <c r="H3968" s="10" t="str">
        <f aca="false">IF($L3968="","",IF($L3968="@对方",资金流水!$G387,IF($L3968="@账户",资金流水!$Q387,$L3968)))</f>
        <v/>
      </c>
      <c r="I3968" s="42" t="n">
        <f aca="false">IF($M3968="借",$O3968,0)</f>
        <v>0</v>
      </c>
      <c r="J3968" s="42" t="n">
        <f aca="false">IF($M3968="贷",$O3968,0)</f>
        <v>0</v>
      </c>
      <c r="K3968" s="48" t="str">
        <f aca="false">IF($H3968="","",资金流水!$F387)</f>
        <v/>
      </c>
      <c r="L3968" s="66" t="str">
        <f aca="false">IF(资金流水!$E387="","",IFERROR(INDEX(记账规则!$A$13:$H$32,MATCH(资金流水!$E387,记账规则!$A$13:$A$32,0),3),""))</f>
        <v/>
      </c>
      <c r="M3968" s="66" t="str">
        <f aca="false">IF($L3968="","",IFERROR(INDEX(记账规则!$A$13:$H$32,MATCH(资金流水!$E387,记账规则!$A$13:$A$32,0),4),""))</f>
        <v/>
      </c>
      <c r="N3968" s="66" t="str">
        <f aca="false">IF($L3968="","",IFERROR(INDEX(记账规则!$A$13:$H$32,MATCH(资金流水!$E387,记账规则!$A$13:$A$32,0),5),""))</f>
        <v/>
      </c>
      <c r="O3968" s="67" t="n">
        <f aca="false">IF($H3968="",0,ROUND(IF($N3968="金额",N(资金流水!$P387),0),2))</f>
        <v>0</v>
      </c>
      <c r="P3968" s="64" t="str">
        <f aca="false">IF(AND($H3968&lt;&gt;"",ROUND($O3968,2)&lt;&gt;0),"有","")</f>
        <v/>
      </c>
    </row>
    <row r="3969" customFormat="false" ht="15" hidden="true" customHeight="false" outlineLevel="0" collapsed="false">
      <c r="A3969" s="53" t="str">
        <f aca="false">IF($H3969="","",ROW()-5)</f>
        <v/>
      </c>
      <c r="B3969" s="64" t="s">
        <v>37</v>
      </c>
      <c r="C3969" s="53" t="n">
        <v>387</v>
      </c>
      <c r="D3969" s="53" t="n">
        <v>2</v>
      </c>
      <c r="E3969" s="65" t="str">
        <f aca="false">IF($H3969="","",资金流水!$B387)</f>
        <v/>
      </c>
      <c r="F3969" s="55" t="str">
        <f aca="false">IF($H3969="","",资金流水!$C387)</f>
        <v/>
      </c>
      <c r="G3969" s="48" t="str">
        <f aca="false">IF($H3969="","",资金流水!$K387)</f>
        <v/>
      </c>
      <c r="H3969" s="10" t="str">
        <f aca="false">IF($L3969="","",IF($L3969="@对方",资金流水!$G387,IF($L3969="@账户",资金流水!$Q387,$L3969)))</f>
        <v/>
      </c>
      <c r="I3969" s="42" t="n">
        <f aca="false">IF($M3969="借",$O3969,0)</f>
        <v>0</v>
      </c>
      <c r="J3969" s="42" t="n">
        <f aca="false">IF($M3969="贷",$O3969,0)</f>
        <v>0</v>
      </c>
      <c r="K3969" s="48" t="str">
        <f aca="false">IF($H3969="","",资金流水!$F387)</f>
        <v/>
      </c>
      <c r="L3969" s="66" t="str">
        <f aca="false">IF(资金流水!$E387="","",IFERROR(INDEX(记账规则!$A$13:$H$32,MATCH(资金流水!$E387,记账规则!$A$13:$A$32,0),6),""))</f>
        <v/>
      </c>
      <c r="M3969" s="66" t="str">
        <f aca="false">IF($L3969="","",IFERROR(INDEX(记账规则!$A$13:$H$32,MATCH(资金流水!$E387,记账规则!$A$13:$A$32,0),7),""))</f>
        <v/>
      </c>
      <c r="N3969" s="66" t="str">
        <f aca="false">IF($L3969="","",IFERROR(INDEX(记账规则!$A$13:$H$32,MATCH(资金流水!$E387,记账规则!$A$13:$A$32,0),8),""))</f>
        <v/>
      </c>
      <c r="O3969" s="67" t="n">
        <f aca="false">IF($H3969="",0,ROUND(IF($N3969="金额",N(资金流水!$P387),0),2))</f>
        <v>0</v>
      </c>
      <c r="P3969" s="64" t="str">
        <f aca="false">IF(AND($H3969&lt;&gt;"",ROUND($O3969,2)&lt;&gt;0),"有","")</f>
        <v/>
      </c>
    </row>
    <row r="3970" customFormat="false" ht="15" hidden="true" customHeight="false" outlineLevel="0" collapsed="false">
      <c r="A3970" s="53" t="str">
        <f aca="false">IF($H3970="","",ROW()-5)</f>
        <v/>
      </c>
      <c r="B3970" s="64" t="s">
        <v>37</v>
      </c>
      <c r="C3970" s="53" t="n">
        <v>388</v>
      </c>
      <c r="D3970" s="53" t="n">
        <v>1</v>
      </c>
      <c r="E3970" s="65" t="str">
        <f aca="false">IF($H3970="","",资金流水!$B388)</f>
        <v/>
      </c>
      <c r="F3970" s="55" t="str">
        <f aca="false">IF($H3970="","",资金流水!$C388)</f>
        <v/>
      </c>
      <c r="G3970" s="48" t="str">
        <f aca="false">IF($H3970="","",资金流水!$K388)</f>
        <v/>
      </c>
      <c r="H3970" s="10" t="str">
        <f aca="false">IF($L3970="","",IF($L3970="@对方",资金流水!$G388,IF($L3970="@账户",资金流水!$Q388,$L3970)))</f>
        <v/>
      </c>
      <c r="I3970" s="42" t="n">
        <f aca="false">IF($M3970="借",$O3970,0)</f>
        <v>0</v>
      </c>
      <c r="J3970" s="42" t="n">
        <f aca="false">IF($M3970="贷",$O3970,0)</f>
        <v>0</v>
      </c>
      <c r="K3970" s="48" t="str">
        <f aca="false">IF($H3970="","",资金流水!$F388)</f>
        <v/>
      </c>
      <c r="L3970" s="66" t="str">
        <f aca="false">IF(资金流水!$E388="","",IFERROR(INDEX(记账规则!$A$13:$H$32,MATCH(资金流水!$E388,记账规则!$A$13:$A$32,0),3),""))</f>
        <v/>
      </c>
      <c r="M3970" s="66" t="str">
        <f aca="false">IF($L3970="","",IFERROR(INDEX(记账规则!$A$13:$H$32,MATCH(资金流水!$E388,记账规则!$A$13:$A$32,0),4),""))</f>
        <v/>
      </c>
      <c r="N3970" s="66" t="str">
        <f aca="false">IF($L3970="","",IFERROR(INDEX(记账规则!$A$13:$H$32,MATCH(资金流水!$E388,记账规则!$A$13:$A$32,0),5),""))</f>
        <v/>
      </c>
      <c r="O3970" s="67" t="n">
        <f aca="false">IF($H3970="",0,ROUND(IF($N3970="金额",N(资金流水!$P388),0),2))</f>
        <v>0</v>
      </c>
      <c r="P3970" s="64" t="str">
        <f aca="false">IF(AND($H3970&lt;&gt;"",ROUND($O3970,2)&lt;&gt;0),"有","")</f>
        <v/>
      </c>
    </row>
    <row r="3971" customFormat="false" ht="15" hidden="true" customHeight="false" outlineLevel="0" collapsed="false">
      <c r="A3971" s="53" t="str">
        <f aca="false">IF($H3971="","",ROW()-5)</f>
        <v/>
      </c>
      <c r="B3971" s="64" t="s">
        <v>37</v>
      </c>
      <c r="C3971" s="53" t="n">
        <v>388</v>
      </c>
      <c r="D3971" s="53" t="n">
        <v>2</v>
      </c>
      <c r="E3971" s="65" t="str">
        <f aca="false">IF($H3971="","",资金流水!$B388)</f>
        <v/>
      </c>
      <c r="F3971" s="55" t="str">
        <f aca="false">IF($H3971="","",资金流水!$C388)</f>
        <v/>
      </c>
      <c r="G3971" s="48" t="str">
        <f aca="false">IF($H3971="","",资金流水!$K388)</f>
        <v/>
      </c>
      <c r="H3971" s="10" t="str">
        <f aca="false">IF($L3971="","",IF($L3971="@对方",资金流水!$G388,IF($L3971="@账户",资金流水!$Q388,$L3971)))</f>
        <v/>
      </c>
      <c r="I3971" s="42" t="n">
        <f aca="false">IF($M3971="借",$O3971,0)</f>
        <v>0</v>
      </c>
      <c r="J3971" s="42" t="n">
        <f aca="false">IF($M3971="贷",$O3971,0)</f>
        <v>0</v>
      </c>
      <c r="K3971" s="48" t="str">
        <f aca="false">IF($H3971="","",资金流水!$F388)</f>
        <v/>
      </c>
      <c r="L3971" s="66" t="str">
        <f aca="false">IF(资金流水!$E388="","",IFERROR(INDEX(记账规则!$A$13:$H$32,MATCH(资金流水!$E388,记账规则!$A$13:$A$32,0),6),""))</f>
        <v/>
      </c>
      <c r="M3971" s="66" t="str">
        <f aca="false">IF($L3971="","",IFERROR(INDEX(记账规则!$A$13:$H$32,MATCH(资金流水!$E388,记账规则!$A$13:$A$32,0),7),""))</f>
        <v/>
      </c>
      <c r="N3971" s="66" t="str">
        <f aca="false">IF($L3971="","",IFERROR(INDEX(记账规则!$A$13:$H$32,MATCH(资金流水!$E388,记账规则!$A$13:$A$32,0),8),""))</f>
        <v/>
      </c>
      <c r="O3971" s="67" t="n">
        <f aca="false">IF($H3971="",0,ROUND(IF($N3971="金额",N(资金流水!$P388),0),2))</f>
        <v>0</v>
      </c>
      <c r="P3971" s="64" t="str">
        <f aca="false">IF(AND($H3971&lt;&gt;"",ROUND($O3971,2)&lt;&gt;0),"有","")</f>
        <v/>
      </c>
    </row>
    <row r="3972" customFormat="false" ht="15" hidden="true" customHeight="false" outlineLevel="0" collapsed="false">
      <c r="A3972" s="53" t="str">
        <f aca="false">IF($H3972="","",ROW()-5)</f>
        <v/>
      </c>
      <c r="B3972" s="64" t="s">
        <v>37</v>
      </c>
      <c r="C3972" s="53" t="n">
        <v>389</v>
      </c>
      <c r="D3972" s="53" t="n">
        <v>1</v>
      </c>
      <c r="E3972" s="65" t="str">
        <f aca="false">IF($H3972="","",资金流水!$B389)</f>
        <v/>
      </c>
      <c r="F3972" s="55" t="str">
        <f aca="false">IF($H3972="","",资金流水!$C389)</f>
        <v/>
      </c>
      <c r="G3972" s="48" t="str">
        <f aca="false">IF($H3972="","",资金流水!$K389)</f>
        <v/>
      </c>
      <c r="H3972" s="10" t="str">
        <f aca="false">IF($L3972="","",IF($L3972="@对方",资金流水!$G389,IF($L3972="@账户",资金流水!$Q389,$L3972)))</f>
        <v/>
      </c>
      <c r="I3972" s="42" t="n">
        <f aca="false">IF($M3972="借",$O3972,0)</f>
        <v>0</v>
      </c>
      <c r="J3972" s="42" t="n">
        <f aca="false">IF($M3972="贷",$O3972,0)</f>
        <v>0</v>
      </c>
      <c r="K3972" s="48" t="str">
        <f aca="false">IF($H3972="","",资金流水!$F389)</f>
        <v/>
      </c>
      <c r="L3972" s="66" t="str">
        <f aca="false">IF(资金流水!$E389="","",IFERROR(INDEX(记账规则!$A$13:$H$32,MATCH(资金流水!$E389,记账规则!$A$13:$A$32,0),3),""))</f>
        <v/>
      </c>
      <c r="M3972" s="66" t="str">
        <f aca="false">IF($L3972="","",IFERROR(INDEX(记账规则!$A$13:$H$32,MATCH(资金流水!$E389,记账规则!$A$13:$A$32,0),4),""))</f>
        <v/>
      </c>
      <c r="N3972" s="66" t="str">
        <f aca="false">IF($L3972="","",IFERROR(INDEX(记账规则!$A$13:$H$32,MATCH(资金流水!$E389,记账规则!$A$13:$A$32,0),5),""))</f>
        <v/>
      </c>
      <c r="O3972" s="67" t="n">
        <f aca="false">IF($H3972="",0,ROUND(IF($N3972="金额",N(资金流水!$P389),0),2))</f>
        <v>0</v>
      </c>
      <c r="P3972" s="64" t="str">
        <f aca="false">IF(AND($H3972&lt;&gt;"",ROUND($O3972,2)&lt;&gt;0),"有","")</f>
        <v/>
      </c>
    </row>
    <row r="3973" customFormat="false" ht="15" hidden="true" customHeight="false" outlineLevel="0" collapsed="false">
      <c r="A3973" s="53" t="str">
        <f aca="false">IF($H3973="","",ROW()-5)</f>
        <v/>
      </c>
      <c r="B3973" s="64" t="s">
        <v>37</v>
      </c>
      <c r="C3973" s="53" t="n">
        <v>389</v>
      </c>
      <c r="D3973" s="53" t="n">
        <v>2</v>
      </c>
      <c r="E3973" s="65" t="str">
        <f aca="false">IF($H3973="","",资金流水!$B389)</f>
        <v/>
      </c>
      <c r="F3973" s="55" t="str">
        <f aca="false">IF($H3973="","",资金流水!$C389)</f>
        <v/>
      </c>
      <c r="G3973" s="48" t="str">
        <f aca="false">IF($H3973="","",资金流水!$K389)</f>
        <v/>
      </c>
      <c r="H3973" s="10" t="str">
        <f aca="false">IF($L3973="","",IF($L3973="@对方",资金流水!$G389,IF($L3973="@账户",资金流水!$Q389,$L3973)))</f>
        <v/>
      </c>
      <c r="I3973" s="42" t="n">
        <f aca="false">IF($M3973="借",$O3973,0)</f>
        <v>0</v>
      </c>
      <c r="J3973" s="42" t="n">
        <f aca="false">IF($M3973="贷",$O3973,0)</f>
        <v>0</v>
      </c>
      <c r="K3973" s="48" t="str">
        <f aca="false">IF($H3973="","",资金流水!$F389)</f>
        <v/>
      </c>
      <c r="L3973" s="66" t="str">
        <f aca="false">IF(资金流水!$E389="","",IFERROR(INDEX(记账规则!$A$13:$H$32,MATCH(资金流水!$E389,记账规则!$A$13:$A$32,0),6),""))</f>
        <v/>
      </c>
      <c r="M3973" s="66" t="str">
        <f aca="false">IF($L3973="","",IFERROR(INDEX(记账规则!$A$13:$H$32,MATCH(资金流水!$E389,记账规则!$A$13:$A$32,0),7),""))</f>
        <v/>
      </c>
      <c r="N3973" s="66" t="str">
        <f aca="false">IF($L3973="","",IFERROR(INDEX(记账规则!$A$13:$H$32,MATCH(资金流水!$E389,记账规则!$A$13:$A$32,0),8),""))</f>
        <v/>
      </c>
      <c r="O3973" s="67" t="n">
        <f aca="false">IF($H3973="",0,ROUND(IF($N3973="金额",N(资金流水!$P389),0),2))</f>
        <v>0</v>
      </c>
      <c r="P3973" s="64" t="str">
        <f aca="false">IF(AND($H3973&lt;&gt;"",ROUND($O3973,2)&lt;&gt;0),"有","")</f>
        <v/>
      </c>
    </row>
    <row r="3974" customFormat="false" ht="15" hidden="true" customHeight="false" outlineLevel="0" collapsed="false">
      <c r="A3974" s="53" t="str">
        <f aca="false">IF($H3974="","",ROW()-5)</f>
        <v/>
      </c>
      <c r="B3974" s="64" t="s">
        <v>37</v>
      </c>
      <c r="C3974" s="53" t="n">
        <v>390</v>
      </c>
      <c r="D3974" s="53" t="n">
        <v>1</v>
      </c>
      <c r="E3974" s="65" t="str">
        <f aca="false">IF($H3974="","",资金流水!$B390)</f>
        <v/>
      </c>
      <c r="F3974" s="55" t="str">
        <f aca="false">IF($H3974="","",资金流水!$C390)</f>
        <v/>
      </c>
      <c r="G3974" s="48" t="str">
        <f aca="false">IF($H3974="","",资金流水!$K390)</f>
        <v/>
      </c>
      <c r="H3974" s="10" t="str">
        <f aca="false">IF($L3974="","",IF($L3974="@对方",资金流水!$G390,IF($L3974="@账户",资金流水!$Q390,$L3974)))</f>
        <v/>
      </c>
      <c r="I3974" s="42" t="n">
        <f aca="false">IF($M3974="借",$O3974,0)</f>
        <v>0</v>
      </c>
      <c r="J3974" s="42" t="n">
        <f aca="false">IF($M3974="贷",$O3974,0)</f>
        <v>0</v>
      </c>
      <c r="K3974" s="48" t="str">
        <f aca="false">IF($H3974="","",资金流水!$F390)</f>
        <v/>
      </c>
      <c r="L3974" s="66" t="str">
        <f aca="false">IF(资金流水!$E390="","",IFERROR(INDEX(记账规则!$A$13:$H$32,MATCH(资金流水!$E390,记账规则!$A$13:$A$32,0),3),""))</f>
        <v/>
      </c>
      <c r="M3974" s="66" t="str">
        <f aca="false">IF($L3974="","",IFERROR(INDEX(记账规则!$A$13:$H$32,MATCH(资金流水!$E390,记账规则!$A$13:$A$32,0),4),""))</f>
        <v/>
      </c>
      <c r="N3974" s="66" t="str">
        <f aca="false">IF($L3974="","",IFERROR(INDEX(记账规则!$A$13:$H$32,MATCH(资金流水!$E390,记账规则!$A$13:$A$32,0),5),""))</f>
        <v/>
      </c>
      <c r="O3974" s="67" t="n">
        <f aca="false">IF($H3974="",0,ROUND(IF($N3974="金额",N(资金流水!$P390),0),2))</f>
        <v>0</v>
      </c>
      <c r="P3974" s="64" t="str">
        <f aca="false">IF(AND($H3974&lt;&gt;"",ROUND($O3974,2)&lt;&gt;0),"有","")</f>
        <v/>
      </c>
    </row>
    <row r="3975" customFormat="false" ht="15" hidden="true" customHeight="false" outlineLevel="0" collapsed="false">
      <c r="A3975" s="53" t="str">
        <f aca="false">IF($H3975="","",ROW()-5)</f>
        <v/>
      </c>
      <c r="B3975" s="64" t="s">
        <v>37</v>
      </c>
      <c r="C3975" s="53" t="n">
        <v>390</v>
      </c>
      <c r="D3975" s="53" t="n">
        <v>2</v>
      </c>
      <c r="E3975" s="65" t="str">
        <f aca="false">IF($H3975="","",资金流水!$B390)</f>
        <v/>
      </c>
      <c r="F3975" s="55" t="str">
        <f aca="false">IF($H3975="","",资金流水!$C390)</f>
        <v/>
      </c>
      <c r="G3975" s="48" t="str">
        <f aca="false">IF($H3975="","",资金流水!$K390)</f>
        <v/>
      </c>
      <c r="H3975" s="10" t="str">
        <f aca="false">IF($L3975="","",IF($L3975="@对方",资金流水!$G390,IF($L3975="@账户",资金流水!$Q390,$L3975)))</f>
        <v/>
      </c>
      <c r="I3975" s="42" t="n">
        <f aca="false">IF($M3975="借",$O3975,0)</f>
        <v>0</v>
      </c>
      <c r="J3975" s="42" t="n">
        <f aca="false">IF($M3975="贷",$O3975,0)</f>
        <v>0</v>
      </c>
      <c r="K3975" s="48" t="str">
        <f aca="false">IF($H3975="","",资金流水!$F390)</f>
        <v/>
      </c>
      <c r="L3975" s="66" t="str">
        <f aca="false">IF(资金流水!$E390="","",IFERROR(INDEX(记账规则!$A$13:$H$32,MATCH(资金流水!$E390,记账规则!$A$13:$A$32,0),6),""))</f>
        <v/>
      </c>
      <c r="M3975" s="66" t="str">
        <f aca="false">IF($L3975="","",IFERROR(INDEX(记账规则!$A$13:$H$32,MATCH(资金流水!$E390,记账规则!$A$13:$A$32,0),7),""))</f>
        <v/>
      </c>
      <c r="N3975" s="66" t="str">
        <f aca="false">IF($L3975="","",IFERROR(INDEX(记账规则!$A$13:$H$32,MATCH(资金流水!$E390,记账规则!$A$13:$A$32,0),8),""))</f>
        <v/>
      </c>
      <c r="O3975" s="67" t="n">
        <f aca="false">IF($H3975="",0,ROUND(IF($N3975="金额",N(资金流水!$P390),0),2))</f>
        <v>0</v>
      </c>
      <c r="P3975" s="64" t="str">
        <f aca="false">IF(AND($H3975&lt;&gt;"",ROUND($O3975,2)&lt;&gt;0),"有","")</f>
        <v/>
      </c>
    </row>
    <row r="3976" customFormat="false" ht="15" hidden="true" customHeight="false" outlineLevel="0" collapsed="false">
      <c r="A3976" s="53" t="str">
        <f aca="false">IF($H3976="","",ROW()-5)</f>
        <v/>
      </c>
      <c r="B3976" s="64" t="s">
        <v>37</v>
      </c>
      <c r="C3976" s="53" t="n">
        <v>391</v>
      </c>
      <c r="D3976" s="53" t="n">
        <v>1</v>
      </c>
      <c r="E3976" s="65" t="str">
        <f aca="false">IF($H3976="","",资金流水!$B391)</f>
        <v/>
      </c>
      <c r="F3976" s="55" t="str">
        <f aca="false">IF($H3976="","",资金流水!$C391)</f>
        <v/>
      </c>
      <c r="G3976" s="48" t="str">
        <f aca="false">IF($H3976="","",资金流水!$K391)</f>
        <v/>
      </c>
      <c r="H3976" s="10" t="str">
        <f aca="false">IF($L3976="","",IF($L3976="@对方",资金流水!$G391,IF($L3976="@账户",资金流水!$Q391,$L3976)))</f>
        <v/>
      </c>
      <c r="I3976" s="42" t="n">
        <f aca="false">IF($M3976="借",$O3976,0)</f>
        <v>0</v>
      </c>
      <c r="J3976" s="42" t="n">
        <f aca="false">IF($M3976="贷",$O3976,0)</f>
        <v>0</v>
      </c>
      <c r="K3976" s="48" t="str">
        <f aca="false">IF($H3976="","",资金流水!$F391)</f>
        <v/>
      </c>
      <c r="L3976" s="66" t="str">
        <f aca="false">IF(资金流水!$E391="","",IFERROR(INDEX(记账规则!$A$13:$H$32,MATCH(资金流水!$E391,记账规则!$A$13:$A$32,0),3),""))</f>
        <v/>
      </c>
      <c r="M3976" s="66" t="str">
        <f aca="false">IF($L3976="","",IFERROR(INDEX(记账规则!$A$13:$H$32,MATCH(资金流水!$E391,记账规则!$A$13:$A$32,0),4),""))</f>
        <v/>
      </c>
      <c r="N3976" s="66" t="str">
        <f aca="false">IF($L3976="","",IFERROR(INDEX(记账规则!$A$13:$H$32,MATCH(资金流水!$E391,记账规则!$A$13:$A$32,0),5),""))</f>
        <v/>
      </c>
      <c r="O3976" s="67" t="n">
        <f aca="false">IF($H3976="",0,ROUND(IF($N3976="金额",N(资金流水!$P391),0),2))</f>
        <v>0</v>
      </c>
      <c r="P3976" s="64" t="str">
        <f aca="false">IF(AND($H3976&lt;&gt;"",ROUND($O3976,2)&lt;&gt;0),"有","")</f>
        <v/>
      </c>
    </row>
    <row r="3977" customFormat="false" ht="15" hidden="true" customHeight="false" outlineLevel="0" collapsed="false">
      <c r="A3977" s="53" t="str">
        <f aca="false">IF($H3977="","",ROW()-5)</f>
        <v/>
      </c>
      <c r="B3977" s="64" t="s">
        <v>37</v>
      </c>
      <c r="C3977" s="53" t="n">
        <v>391</v>
      </c>
      <c r="D3977" s="53" t="n">
        <v>2</v>
      </c>
      <c r="E3977" s="65" t="str">
        <f aca="false">IF($H3977="","",资金流水!$B391)</f>
        <v/>
      </c>
      <c r="F3977" s="55" t="str">
        <f aca="false">IF($H3977="","",资金流水!$C391)</f>
        <v/>
      </c>
      <c r="G3977" s="48" t="str">
        <f aca="false">IF($H3977="","",资金流水!$K391)</f>
        <v/>
      </c>
      <c r="H3977" s="10" t="str">
        <f aca="false">IF($L3977="","",IF($L3977="@对方",资金流水!$G391,IF($L3977="@账户",资金流水!$Q391,$L3977)))</f>
        <v/>
      </c>
      <c r="I3977" s="42" t="n">
        <f aca="false">IF($M3977="借",$O3977,0)</f>
        <v>0</v>
      </c>
      <c r="J3977" s="42" t="n">
        <f aca="false">IF($M3977="贷",$O3977,0)</f>
        <v>0</v>
      </c>
      <c r="K3977" s="48" t="str">
        <f aca="false">IF($H3977="","",资金流水!$F391)</f>
        <v/>
      </c>
      <c r="L3977" s="66" t="str">
        <f aca="false">IF(资金流水!$E391="","",IFERROR(INDEX(记账规则!$A$13:$H$32,MATCH(资金流水!$E391,记账规则!$A$13:$A$32,0),6),""))</f>
        <v/>
      </c>
      <c r="M3977" s="66" t="str">
        <f aca="false">IF($L3977="","",IFERROR(INDEX(记账规则!$A$13:$H$32,MATCH(资金流水!$E391,记账规则!$A$13:$A$32,0),7),""))</f>
        <v/>
      </c>
      <c r="N3977" s="66" t="str">
        <f aca="false">IF($L3977="","",IFERROR(INDEX(记账规则!$A$13:$H$32,MATCH(资金流水!$E391,记账规则!$A$13:$A$32,0),8),""))</f>
        <v/>
      </c>
      <c r="O3977" s="67" t="n">
        <f aca="false">IF($H3977="",0,ROUND(IF($N3977="金额",N(资金流水!$P391),0),2))</f>
        <v>0</v>
      </c>
      <c r="P3977" s="64" t="str">
        <f aca="false">IF(AND($H3977&lt;&gt;"",ROUND($O3977,2)&lt;&gt;0),"有","")</f>
        <v/>
      </c>
    </row>
    <row r="3978" customFormat="false" ht="15" hidden="true" customHeight="false" outlineLevel="0" collapsed="false">
      <c r="A3978" s="53" t="str">
        <f aca="false">IF($H3978="","",ROW()-5)</f>
        <v/>
      </c>
      <c r="B3978" s="64" t="s">
        <v>37</v>
      </c>
      <c r="C3978" s="53" t="n">
        <v>392</v>
      </c>
      <c r="D3978" s="53" t="n">
        <v>1</v>
      </c>
      <c r="E3978" s="65" t="str">
        <f aca="false">IF($H3978="","",资金流水!$B392)</f>
        <v/>
      </c>
      <c r="F3978" s="55" t="str">
        <f aca="false">IF($H3978="","",资金流水!$C392)</f>
        <v/>
      </c>
      <c r="G3978" s="48" t="str">
        <f aca="false">IF($H3978="","",资金流水!$K392)</f>
        <v/>
      </c>
      <c r="H3978" s="10" t="str">
        <f aca="false">IF($L3978="","",IF($L3978="@对方",资金流水!$G392,IF($L3978="@账户",资金流水!$Q392,$L3978)))</f>
        <v/>
      </c>
      <c r="I3978" s="42" t="n">
        <f aca="false">IF($M3978="借",$O3978,0)</f>
        <v>0</v>
      </c>
      <c r="J3978" s="42" t="n">
        <f aca="false">IF($M3978="贷",$O3978,0)</f>
        <v>0</v>
      </c>
      <c r="K3978" s="48" t="str">
        <f aca="false">IF($H3978="","",资金流水!$F392)</f>
        <v/>
      </c>
      <c r="L3978" s="66" t="str">
        <f aca="false">IF(资金流水!$E392="","",IFERROR(INDEX(记账规则!$A$13:$H$32,MATCH(资金流水!$E392,记账规则!$A$13:$A$32,0),3),""))</f>
        <v/>
      </c>
      <c r="M3978" s="66" t="str">
        <f aca="false">IF($L3978="","",IFERROR(INDEX(记账规则!$A$13:$H$32,MATCH(资金流水!$E392,记账规则!$A$13:$A$32,0),4),""))</f>
        <v/>
      </c>
      <c r="N3978" s="66" t="str">
        <f aca="false">IF($L3978="","",IFERROR(INDEX(记账规则!$A$13:$H$32,MATCH(资金流水!$E392,记账规则!$A$13:$A$32,0),5),""))</f>
        <v/>
      </c>
      <c r="O3978" s="67" t="n">
        <f aca="false">IF($H3978="",0,ROUND(IF($N3978="金额",N(资金流水!$P392),0),2))</f>
        <v>0</v>
      </c>
      <c r="P3978" s="64" t="str">
        <f aca="false">IF(AND($H3978&lt;&gt;"",ROUND($O3978,2)&lt;&gt;0),"有","")</f>
        <v/>
      </c>
    </row>
    <row r="3979" customFormat="false" ht="15" hidden="true" customHeight="false" outlineLevel="0" collapsed="false">
      <c r="A3979" s="53" t="str">
        <f aca="false">IF($H3979="","",ROW()-5)</f>
        <v/>
      </c>
      <c r="B3979" s="64" t="s">
        <v>37</v>
      </c>
      <c r="C3979" s="53" t="n">
        <v>392</v>
      </c>
      <c r="D3979" s="53" t="n">
        <v>2</v>
      </c>
      <c r="E3979" s="65" t="str">
        <f aca="false">IF($H3979="","",资金流水!$B392)</f>
        <v/>
      </c>
      <c r="F3979" s="55" t="str">
        <f aca="false">IF($H3979="","",资金流水!$C392)</f>
        <v/>
      </c>
      <c r="G3979" s="48" t="str">
        <f aca="false">IF($H3979="","",资金流水!$K392)</f>
        <v/>
      </c>
      <c r="H3979" s="10" t="str">
        <f aca="false">IF($L3979="","",IF($L3979="@对方",资金流水!$G392,IF($L3979="@账户",资金流水!$Q392,$L3979)))</f>
        <v/>
      </c>
      <c r="I3979" s="42" t="n">
        <f aca="false">IF($M3979="借",$O3979,0)</f>
        <v>0</v>
      </c>
      <c r="J3979" s="42" t="n">
        <f aca="false">IF($M3979="贷",$O3979,0)</f>
        <v>0</v>
      </c>
      <c r="K3979" s="48" t="str">
        <f aca="false">IF($H3979="","",资金流水!$F392)</f>
        <v/>
      </c>
      <c r="L3979" s="66" t="str">
        <f aca="false">IF(资金流水!$E392="","",IFERROR(INDEX(记账规则!$A$13:$H$32,MATCH(资金流水!$E392,记账规则!$A$13:$A$32,0),6),""))</f>
        <v/>
      </c>
      <c r="M3979" s="66" t="str">
        <f aca="false">IF($L3979="","",IFERROR(INDEX(记账规则!$A$13:$H$32,MATCH(资金流水!$E392,记账规则!$A$13:$A$32,0),7),""))</f>
        <v/>
      </c>
      <c r="N3979" s="66" t="str">
        <f aca="false">IF($L3979="","",IFERROR(INDEX(记账规则!$A$13:$H$32,MATCH(资金流水!$E392,记账规则!$A$13:$A$32,0),8),""))</f>
        <v/>
      </c>
      <c r="O3979" s="67" t="n">
        <f aca="false">IF($H3979="",0,ROUND(IF($N3979="金额",N(资金流水!$P392),0),2))</f>
        <v>0</v>
      </c>
      <c r="P3979" s="64" t="str">
        <f aca="false">IF(AND($H3979&lt;&gt;"",ROUND($O3979,2)&lt;&gt;0),"有","")</f>
        <v/>
      </c>
    </row>
    <row r="3980" customFormat="false" ht="15" hidden="true" customHeight="false" outlineLevel="0" collapsed="false">
      <c r="A3980" s="53" t="str">
        <f aca="false">IF($H3980="","",ROW()-5)</f>
        <v/>
      </c>
      <c r="B3980" s="64" t="s">
        <v>37</v>
      </c>
      <c r="C3980" s="53" t="n">
        <v>393</v>
      </c>
      <c r="D3980" s="53" t="n">
        <v>1</v>
      </c>
      <c r="E3980" s="65" t="str">
        <f aca="false">IF($H3980="","",资金流水!$B393)</f>
        <v/>
      </c>
      <c r="F3980" s="55" t="str">
        <f aca="false">IF($H3980="","",资金流水!$C393)</f>
        <v/>
      </c>
      <c r="G3980" s="48" t="str">
        <f aca="false">IF($H3980="","",资金流水!$K393)</f>
        <v/>
      </c>
      <c r="H3980" s="10" t="str">
        <f aca="false">IF($L3980="","",IF($L3980="@对方",资金流水!$G393,IF($L3980="@账户",资金流水!$Q393,$L3980)))</f>
        <v/>
      </c>
      <c r="I3980" s="42" t="n">
        <f aca="false">IF($M3980="借",$O3980,0)</f>
        <v>0</v>
      </c>
      <c r="J3980" s="42" t="n">
        <f aca="false">IF($M3980="贷",$O3980,0)</f>
        <v>0</v>
      </c>
      <c r="K3980" s="48" t="str">
        <f aca="false">IF($H3980="","",资金流水!$F393)</f>
        <v/>
      </c>
      <c r="L3980" s="66" t="str">
        <f aca="false">IF(资金流水!$E393="","",IFERROR(INDEX(记账规则!$A$13:$H$32,MATCH(资金流水!$E393,记账规则!$A$13:$A$32,0),3),""))</f>
        <v/>
      </c>
      <c r="M3980" s="66" t="str">
        <f aca="false">IF($L3980="","",IFERROR(INDEX(记账规则!$A$13:$H$32,MATCH(资金流水!$E393,记账规则!$A$13:$A$32,0),4),""))</f>
        <v/>
      </c>
      <c r="N3980" s="66" t="str">
        <f aca="false">IF($L3980="","",IFERROR(INDEX(记账规则!$A$13:$H$32,MATCH(资金流水!$E393,记账规则!$A$13:$A$32,0),5),""))</f>
        <v/>
      </c>
      <c r="O3980" s="67" t="n">
        <f aca="false">IF($H3980="",0,ROUND(IF($N3980="金额",N(资金流水!$P393),0),2))</f>
        <v>0</v>
      </c>
      <c r="P3980" s="64" t="str">
        <f aca="false">IF(AND($H3980&lt;&gt;"",ROUND($O3980,2)&lt;&gt;0),"有","")</f>
        <v/>
      </c>
    </row>
    <row r="3981" customFormat="false" ht="15" hidden="true" customHeight="false" outlineLevel="0" collapsed="false">
      <c r="A3981" s="53" t="str">
        <f aca="false">IF($H3981="","",ROW()-5)</f>
        <v/>
      </c>
      <c r="B3981" s="64" t="s">
        <v>37</v>
      </c>
      <c r="C3981" s="53" t="n">
        <v>393</v>
      </c>
      <c r="D3981" s="53" t="n">
        <v>2</v>
      </c>
      <c r="E3981" s="65" t="str">
        <f aca="false">IF($H3981="","",资金流水!$B393)</f>
        <v/>
      </c>
      <c r="F3981" s="55" t="str">
        <f aca="false">IF($H3981="","",资金流水!$C393)</f>
        <v/>
      </c>
      <c r="G3981" s="48" t="str">
        <f aca="false">IF($H3981="","",资金流水!$K393)</f>
        <v/>
      </c>
      <c r="H3981" s="10" t="str">
        <f aca="false">IF($L3981="","",IF($L3981="@对方",资金流水!$G393,IF($L3981="@账户",资金流水!$Q393,$L3981)))</f>
        <v/>
      </c>
      <c r="I3981" s="42" t="n">
        <f aca="false">IF($M3981="借",$O3981,0)</f>
        <v>0</v>
      </c>
      <c r="J3981" s="42" t="n">
        <f aca="false">IF($M3981="贷",$O3981,0)</f>
        <v>0</v>
      </c>
      <c r="K3981" s="48" t="str">
        <f aca="false">IF($H3981="","",资金流水!$F393)</f>
        <v/>
      </c>
      <c r="L3981" s="66" t="str">
        <f aca="false">IF(资金流水!$E393="","",IFERROR(INDEX(记账规则!$A$13:$H$32,MATCH(资金流水!$E393,记账规则!$A$13:$A$32,0),6),""))</f>
        <v/>
      </c>
      <c r="M3981" s="66" t="str">
        <f aca="false">IF($L3981="","",IFERROR(INDEX(记账规则!$A$13:$H$32,MATCH(资金流水!$E393,记账规则!$A$13:$A$32,0),7),""))</f>
        <v/>
      </c>
      <c r="N3981" s="66" t="str">
        <f aca="false">IF($L3981="","",IFERROR(INDEX(记账规则!$A$13:$H$32,MATCH(资金流水!$E393,记账规则!$A$13:$A$32,0),8),""))</f>
        <v/>
      </c>
      <c r="O3981" s="67" t="n">
        <f aca="false">IF($H3981="",0,ROUND(IF($N3981="金额",N(资金流水!$P393),0),2))</f>
        <v>0</v>
      </c>
      <c r="P3981" s="64" t="str">
        <f aca="false">IF(AND($H3981&lt;&gt;"",ROUND($O3981,2)&lt;&gt;0),"有","")</f>
        <v/>
      </c>
    </row>
    <row r="3982" customFormat="false" ht="15" hidden="true" customHeight="false" outlineLevel="0" collapsed="false">
      <c r="A3982" s="53" t="str">
        <f aca="false">IF($H3982="","",ROW()-5)</f>
        <v/>
      </c>
      <c r="B3982" s="64" t="s">
        <v>37</v>
      </c>
      <c r="C3982" s="53" t="n">
        <v>394</v>
      </c>
      <c r="D3982" s="53" t="n">
        <v>1</v>
      </c>
      <c r="E3982" s="65" t="str">
        <f aca="false">IF($H3982="","",资金流水!$B394)</f>
        <v/>
      </c>
      <c r="F3982" s="55" t="str">
        <f aca="false">IF($H3982="","",资金流水!$C394)</f>
        <v/>
      </c>
      <c r="G3982" s="48" t="str">
        <f aca="false">IF($H3982="","",资金流水!$K394)</f>
        <v/>
      </c>
      <c r="H3982" s="10" t="str">
        <f aca="false">IF($L3982="","",IF($L3982="@对方",资金流水!$G394,IF($L3982="@账户",资金流水!$Q394,$L3982)))</f>
        <v/>
      </c>
      <c r="I3982" s="42" t="n">
        <f aca="false">IF($M3982="借",$O3982,0)</f>
        <v>0</v>
      </c>
      <c r="J3982" s="42" t="n">
        <f aca="false">IF($M3982="贷",$O3982,0)</f>
        <v>0</v>
      </c>
      <c r="K3982" s="48" t="str">
        <f aca="false">IF($H3982="","",资金流水!$F394)</f>
        <v/>
      </c>
      <c r="L3982" s="66" t="str">
        <f aca="false">IF(资金流水!$E394="","",IFERROR(INDEX(记账规则!$A$13:$H$32,MATCH(资金流水!$E394,记账规则!$A$13:$A$32,0),3),""))</f>
        <v/>
      </c>
      <c r="M3982" s="66" t="str">
        <f aca="false">IF($L3982="","",IFERROR(INDEX(记账规则!$A$13:$H$32,MATCH(资金流水!$E394,记账规则!$A$13:$A$32,0),4),""))</f>
        <v/>
      </c>
      <c r="N3982" s="66" t="str">
        <f aca="false">IF($L3982="","",IFERROR(INDEX(记账规则!$A$13:$H$32,MATCH(资金流水!$E394,记账规则!$A$13:$A$32,0),5),""))</f>
        <v/>
      </c>
      <c r="O3982" s="67" t="n">
        <f aca="false">IF($H3982="",0,ROUND(IF($N3982="金额",N(资金流水!$P394),0),2))</f>
        <v>0</v>
      </c>
      <c r="P3982" s="64" t="str">
        <f aca="false">IF(AND($H3982&lt;&gt;"",ROUND($O3982,2)&lt;&gt;0),"有","")</f>
        <v/>
      </c>
    </row>
    <row r="3983" customFormat="false" ht="15" hidden="true" customHeight="false" outlineLevel="0" collapsed="false">
      <c r="A3983" s="53" t="str">
        <f aca="false">IF($H3983="","",ROW()-5)</f>
        <v/>
      </c>
      <c r="B3983" s="64" t="s">
        <v>37</v>
      </c>
      <c r="C3983" s="53" t="n">
        <v>394</v>
      </c>
      <c r="D3983" s="53" t="n">
        <v>2</v>
      </c>
      <c r="E3983" s="65" t="str">
        <f aca="false">IF($H3983="","",资金流水!$B394)</f>
        <v/>
      </c>
      <c r="F3983" s="55" t="str">
        <f aca="false">IF($H3983="","",资金流水!$C394)</f>
        <v/>
      </c>
      <c r="G3983" s="48" t="str">
        <f aca="false">IF($H3983="","",资金流水!$K394)</f>
        <v/>
      </c>
      <c r="H3983" s="10" t="str">
        <f aca="false">IF($L3983="","",IF($L3983="@对方",资金流水!$G394,IF($L3983="@账户",资金流水!$Q394,$L3983)))</f>
        <v/>
      </c>
      <c r="I3983" s="42" t="n">
        <f aca="false">IF($M3983="借",$O3983,0)</f>
        <v>0</v>
      </c>
      <c r="J3983" s="42" t="n">
        <f aca="false">IF($M3983="贷",$O3983,0)</f>
        <v>0</v>
      </c>
      <c r="K3983" s="48" t="str">
        <f aca="false">IF($H3983="","",资金流水!$F394)</f>
        <v/>
      </c>
      <c r="L3983" s="66" t="str">
        <f aca="false">IF(资金流水!$E394="","",IFERROR(INDEX(记账规则!$A$13:$H$32,MATCH(资金流水!$E394,记账规则!$A$13:$A$32,0),6),""))</f>
        <v/>
      </c>
      <c r="M3983" s="66" t="str">
        <f aca="false">IF($L3983="","",IFERROR(INDEX(记账规则!$A$13:$H$32,MATCH(资金流水!$E394,记账规则!$A$13:$A$32,0),7),""))</f>
        <v/>
      </c>
      <c r="N3983" s="66" t="str">
        <f aca="false">IF($L3983="","",IFERROR(INDEX(记账规则!$A$13:$H$32,MATCH(资金流水!$E394,记账规则!$A$13:$A$32,0),8),""))</f>
        <v/>
      </c>
      <c r="O3983" s="67" t="n">
        <f aca="false">IF($H3983="",0,ROUND(IF($N3983="金额",N(资金流水!$P394),0),2))</f>
        <v>0</v>
      </c>
      <c r="P3983" s="64" t="str">
        <f aca="false">IF(AND($H3983&lt;&gt;"",ROUND($O3983,2)&lt;&gt;0),"有","")</f>
        <v/>
      </c>
    </row>
    <row r="3984" customFormat="false" ht="15" hidden="true" customHeight="false" outlineLevel="0" collapsed="false">
      <c r="A3984" s="53" t="str">
        <f aca="false">IF($H3984="","",ROW()-5)</f>
        <v/>
      </c>
      <c r="B3984" s="64" t="s">
        <v>37</v>
      </c>
      <c r="C3984" s="53" t="n">
        <v>395</v>
      </c>
      <c r="D3984" s="53" t="n">
        <v>1</v>
      </c>
      <c r="E3984" s="65" t="str">
        <f aca="false">IF($H3984="","",资金流水!$B395)</f>
        <v/>
      </c>
      <c r="F3984" s="55" t="str">
        <f aca="false">IF($H3984="","",资金流水!$C395)</f>
        <v/>
      </c>
      <c r="G3984" s="48" t="str">
        <f aca="false">IF($H3984="","",资金流水!$K395)</f>
        <v/>
      </c>
      <c r="H3984" s="10" t="str">
        <f aca="false">IF($L3984="","",IF($L3984="@对方",资金流水!$G395,IF($L3984="@账户",资金流水!$Q395,$L3984)))</f>
        <v/>
      </c>
      <c r="I3984" s="42" t="n">
        <f aca="false">IF($M3984="借",$O3984,0)</f>
        <v>0</v>
      </c>
      <c r="J3984" s="42" t="n">
        <f aca="false">IF($M3984="贷",$O3984,0)</f>
        <v>0</v>
      </c>
      <c r="K3984" s="48" t="str">
        <f aca="false">IF($H3984="","",资金流水!$F395)</f>
        <v/>
      </c>
      <c r="L3984" s="66" t="str">
        <f aca="false">IF(资金流水!$E395="","",IFERROR(INDEX(记账规则!$A$13:$H$32,MATCH(资金流水!$E395,记账规则!$A$13:$A$32,0),3),""))</f>
        <v/>
      </c>
      <c r="M3984" s="66" t="str">
        <f aca="false">IF($L3984="","",IFERROR(INDEX(记账规则!$A$13:$H$32,MATCH(资金流水!$E395,记账规则!$A$13:$A$32,0),4),""))</f>
        <v/>
      </c>
      <c r="N3984" s="66" t="str">
        <f aca="false">IF($L3984="","",IFERROR(INDEX(记账规则!$A$13:$H$32,MATCH(资金流水!$E395,记账规则!$A$13:$A$32,0),5),""))</f>
        <v/>
      </c>
      <c r="O3984" s="67" t="n">
        <f aca="false">IF($H3984="",0,ROUND(IF($N3984="金额",N(资金流水!$P395),0),2))</f>
        <v>0</v>
      </c>
      <c r="P3984" s="64" t="str">
        <f aca="false">IF(AND($H3984&lt;&gt;"",ROUND($O3984,2)&lt;&gt;0),"有","")</f>
        <v/>
      </c>
    </row>
    <row r="3985" customFormat="false" ht="15" hidden="true" customHeight="false" outlineLevel="0" collapsed="false">
      <c r="A3985" s="53" t="str">
        <f aca="false">IF($H3985="","",ROW()-5)</f>
        <v/>
      </c>
      <c r="B3985" s="64" t="s">
        <v>37</v>
      </c>
      <c r="C3985" s="53" t="n">
        <v>395</v>
      </c>
      <c r="D3985" s="53" t="n">
        <v>2</v>
      </c>
      <c r="E3985" s="65" t="str">
        <f aca="false">IF($H3985="","",资金流水!$B395)</f>
        <v/>
      </c>
      <c r="F3985" s="55" t="str">
        <f aca="false">IF($H3985="","",资金流水!$C395)</f>
        <v/>
      </c>
      <c r="G3985" s="48" t="str">
        <f aca="false">IF($H3985="","",资金流水!$K395)</f>
        <v/>
      </c>
      <c r="H3985" s="10" t="str">
        <f aca="false">IF($L3985="","",IF($L3985="@对方",资金流水!$G395,IF($L3985="@账户",资金流水!$Q395,$L3985)))</f>
        <v/>
      </c>
      <c r="I3985" s="42" t="n">
        <f aca="false">IF($M3985="借",$O3985,0)</f>
        <v>0</v>
      </c>
      <c r="J3985" s="42" t="n">
        <f aca="false">IF($M3985="贷",$O3985,0)</f>
        <v>0</v>
      </c>
      <c r="K3985" s="48" t="str">
        <f aca="false">IF($H3985="","",资金流水!$F395)</f>
        <v/>
      </c>
      <c r="L3985" s="66" t="str">
        <f aca="false">IF(资金流水!$E395="","",IFERROR(INDEX(记账规则!$A$13:$H$32,MATCH(资金流水!$E395,记账规则!$A$13:$A$32,0),6),""))</f>
        <v/>
      </c>
      <c r="M3985" s="66" t="str">
        <f aca="false">IF($L3985="","",IFERROR(INDEX(记账规则!$A$13:$H$32,MATCH(资金流水!$E395,记账规则!$A$13:$A$32,0),7),""))</f>
        <v/>
      </c>
      <c r="N3985" s="66" t="str">
        <f aca="false">IF($L3985="","",IFERROR(INDEX(记账规则!$A$13:$H$32,MATCH(资金流水!$E395,记账规则!$A$13:$A$32,0),8),""))</f>
        <v/>
      </c>
      <c r="O3985" s="67" t="n">
        <f aca="false">IF($H3985="",0,ROUND(IF($N3985="金额",N(资金流水!$P395),0),2))</f>
        <v>0</v>
      </c>
      <c r="P3985" s="64" t="str">
        <f aca="false">IF(AND($H3985&lt;&gt;"",ROUND($O3985,2)&lt;&gt;0),"有","")</f>
        <v/>
      </c>
    </row>
    <row r="3986" customFormat="false" ht="15" hidden="true" customHeight="false" outlineLevel="0" collapsed="false">
      <c r="A3986" s="53" t="str">
        <f aca="false">IF($H3986="","",ROW()-5)</f>
        <v/>
      </c>
      <c r="B3986" s="64" t="s">
        <v>37</v>
      </c>
      <c r="C3986" s="53" t="n">
        <v>396</v>
      </c>
      <c r="D3986" s="53" t="n">
        <v>1</v>
      </c>
      <c r="E3986" s="65" t="str">
        <f aca="false">IF($H3986="","",资金流水!$B396)</f>
        <v/>
      </c>
      <c r="F3986" s="55" t="str">
        <f aca="false">IF($H3986="","",资金流水!$C396)</f>
        <v/>
      </c>
      <c r="G3986" s="48" t="str">
        <f aca="false">IF($H3986="","",资金流水!$K396)</f>
        <v/>
      </c>
      <c r="H3986" s="10" t="str">
        <f aca="false">IF($L3986="","",IF($L3986="@对方",资金流水!$G396,IF($L3986="@账户",资金流水!$Q396,$L3986)))</f>
        <v/>
      </c>
      <c r="I3986" s="42" t="n">
        <f aca="false">IF($M3986="借",$O3986,0)</f>
        <v>0</v>
      </c>
      <c r="J3986" s="42" t="n">
        <f aca="false">IF($M3986="贷",$O3986,0)</f>
        <v>0</v>
      </c>
      <c r="K3986" s="48" t="str">
        <f aca="false">IF($H3986="","",资金流水!$F396)</f>
        <v/>
      </c>
      <c r="L3986" s="66" t="str">
        <f aca="false">IF(资金流水!$E396="","",IFERROR(INDEX(记账规则!$A$13:$H$32,MATCH(资金流水!$E396,记账规则!$A$13:$A$32,0),3),""))</f>
        <v/>
      </c>
      <c r="M3986" s="66" t="str">
        <f aca="false">IF($L3986="","",IFERROR(INDEX(记账规则!$A$13:$H$32,MATCH(资金流水!$E396,记账规则!$A$13:$A$32,0),4),""))</f>
        <v/>
      </c>
      <c r="N3986" s="66" t="str">
        <f aca="false">IF($L3986="","",IFERROR(INDEX(记账规则!$A$13:$H$32,MATCH(资金流水!$E396,记账规则!$A$13:$A$32,0),5),""))</f>
        <v/>
      </c>
      <c r="O3986" s="67" t="n">
        <f aca="false">IF($H3986="",0,ROUND(IF($N3986="金额",N(资金流水!$P396),0),2))</f>
        <v>0</v>
      </c>
      <c r="P3986" s="64" t="str">
        <f aca="false">IF(AND($H3986&lt;&gt;"",ROUND($O3986,2)&lt;&gt;0),"有","")</f>
        <v/>
      </c>
    </row>
    <row r="3987" customFormat="false" ht="15" hidden="true" customHeight="false" outlineLevel="0" collapsed="false">
      <c r="A3987" s="53" t="str">
        <f aca="false">IF($H3987="","",ROW()-5)</f>
        <v/>
      </c>
      <c r="B3987" s="64" t="s">
        <v>37</v>
      </c>
      <c r="C3987" s="53" t="n">
        <v>396</v>
      </c>
      <c r="D3987" s="53" t="n">
        <v>2</v>
      </c>
      <c r="E3987" s="65" t="str">
        <f aca="false">IF($H3987="","",资金流水!$B396)</f>
        <v/>
      </c>
      <c r="F3987" s="55" t="str">
        <f aca="false">IF($H3987="","",资金流水!$C396)</f>
        <v/>
      </c>
      <c r="G3987" s="48" t="str">
        <f aca="false">IF($H3987="","",资金流水!$K396)</f>
        <v/>
      </c>
      <c r="H3987" s="10" t="str">
        <f aca="false">IF($L3987="","",IF($L3987="@对方",资金流水!$G396,IF($L3987="@账户",资金流水!$Q396,$L3987)))</f>
        <v/>
      </c>
      <c r="I3987" s="42" t="n">
        <f aca="false">IF($M3987="借",$O3987,0)</f>
        <v>0</v>
      </c>
      <c r="J3987" s="42" t="n">
        <f aca="false">IF($M3987="贷",$O3987,0)</f>
        <v>0</v>
      </c>
      <c r="K3987" s="48" t="str">
        <f aca="false">IF($H3987="","",资金流水!$F396)</f>
        <v/>
      </c>
      <c r="L3987" s="66" t="str">
        <f aca="false">IF(资金流水!$E396="","",IFERROR(INDEX(记账规则!$A$13:$H$32,MATCH(资金流水!$E396,记账规则!$A$13:$A$32,0),6),""))</f>
        <v/>
      </c>
      <c r="M3987" s="66" t="str">
        <f aca="false">IF($L3987="","",IFERROR(INDEX(记账规则!$A$13:$H$32,MATCH(资金流水!$E396,记账规则!$A$13:$A$32,0),7),""))</f>
        <v/>
      </c>
      <c r="N3987" s="66" t="str">
        <f aca="false">IF($L3987="","",IFERROR(INDEX(记账规则!$A$13:$H$32,MATCH(资金流水!$E396,记账规则!$A$13:$A$32,0),8),""))</f>
        <v/>
      </c>
      <c r="O3987" s="67" t="n">
        <f aca="false">IF($H3987="",0,ROUND(IF($N3987="金额",N(资金流水!$P396),0),2))</f>
        <v>0</v>
      </c>
      <c r="P3987" s="64" t="str">
        <f aca="false">IF(AND($H3987&lt;&gt;"",ROUND($O3987,2)&lt;&gt;0),"有","")</f>
        <v/>
      </c>
    </row>
    <row r="3988" customFormat="false" ht="15" hidden="true" customHeight="false" outlineLevel="0" collapsed="false">
      <c r="A3988" s="53" t="str">
        <f aca="false">IF($H3988="","",ROW()-5)</f>
        <v/>
      </c>
      <c r="B3988" s="64" t="s">
        <v>37</v>
      </c>
      <c r="C3988" s="53" t="n">
        <v>397</v>
      </c>
      <c r="D3988" s="53" t="n">
        <v>1</v>
      </c>
      <c r="E3988" s="65" t="str">
        <f aca="false">IF($H3988="","",资金流水!$B397)</f>
        <v/>
      </c>
      <c r="F3988" s="55" t="str">
        <f aca="false">IF($H3988="","",资金流水!$C397)</f>
        <v/>
      </c>
      <c r="G3988" s="48" t="str">
        <f aca="false">IF($H3988="","",资金流水!$K397)</f>
        <v/>
      </c>
      <c r="H3988" s="10" t="str">
        <f aca="false">IF($L3988="","",IF($L3988="@对方",资金流水!$G397,IF($L3988="@账户",资金流水!$Q397,$L3988)))</f>
        <v/>
      </c>
      <c r="I3988" s="42" t="n">
        <f aca="false">IF($M3988="借",$O3988,0)</f>
        <v>0</v>
      </c>
      <c r="J3988" s="42" t="n">
        <f aca="false">IF($M3988="贷",$O3988,0)</f>
        <v>0</v>
      </c>
      <c r="K3988" s="48" t="str">
        <f aca="false">IF($H3988="","",资金流水!$F397)</f>
        <v/>
      </c>
      <c r="L3988" s="66" t="str">
        <f aca="false">IF(资金流水!$E397="","",IFERROR(INDEX(记账规则!$A$13:$H$32,MATCH(资金流水!$E397,记账规则!$A$13:$A$32,0),3),""))</f>
        <v/>
      </c>
      <c r="M3988" s="66" t="str">
        <f aca="false">IF($L3988="","",IFERROR(INDEX(记账规则!$A$13:$H$32,MATCH(资金流水!$E397,记账规则!$A$13:$A$32,0),4),""))</f>
        <v/>
      </c>
      <c r="N3988" s="66" t="str">
        <f aca="false">IF($L3988="","",IFERROR(INDEX(记账规则!$A$13:$H$32,MATCH(资金流水!$E397,记账规则!$A$13:$A$32,0),5),""))</f>
        <v/>
      </c>
      <c r="O3988" s="67" t="n">
        <f aca="false">IF($H3988="",0,ROUND(IF($N3988="金额",N(资金流水!$P397),0),2))</f>
        <v>0</v>
      </c>
      <c r="P3988" s="64" t="str">
        <f aca="false">IF(AND($H3988&lt;&gt;"",ROUND($O3988,2)&lt;&gt;0),"有","")</f>
        <v/>
      </c>
    </row>
    <row r="3989" customFormat="false" ht="15" hidden="true" customHeight="false" outlineLevel="0" collapsed="false">
      <c r="A3989" s="53" t="str">
        <f aca="false">IF($H3989="","",ROW()-5)</f>
        <v/>
      </c>
      <c r="B3989" s="64" t="s">
        <v>37</v>
      </c>
      <c r="C3989" s="53" t="n">
        <v>397</v>
      </c>
      <c r="D3989" s="53" t="n">
        <v>2</v>
      </c>
      <c r="E3989" s="65" t="str">
        <f aca="false">IF($H3989="","",资金流水!$B397)</f>
        <v/>
      </c>
      <c r="F3989" s="55" t="str">
        <f aca="false">IF($H3989="","",资金流水!$C397)</f>
        <v/>
      </c>
      <c r="G3989" s="48" t="str">
        <f aca="false">IF($H3989="","",资金流水!$K397)</f>
        <v/>
      </c>
      <c r="H3989" s="10" t="str">
        <f aca="false">IF($L3989="","",IF($L3989="@对方",资金流水!$G397,IF($L3989="@账户",资金流水!$Q397,$L3989)))</f>
        <v/>
      </c>
      <c r="I3989" s="42" t="n">
        <f aca="false">IF($M3989="借",$O3989,0)</f>
        <v>0</v>
      </c>
      <c r="J3989" s="42" t="n">
        <f aca="false">IF($M3989="贷",$O3989,0)</f>
        <v>0</v>
      </c>
      <c r="K3989" s="48" t="str">
        <f aca="false">IF($H3989="","",资金流水!$F397)</f>
        <v/>
      </c>
      <c r="L3989" s="66" t="str">
        <f aca="false">IF(资金流水!$E397="","",IFERROR(INDEX(记账规则!$A$13:$H$32,MATCH(资金流水!$E397,记账规则!$A$13:$A$32,0),6),""))</f>
        <v/>
      </c>
      <c r="M3989" s="66" t="str">
        <f aca="false">IF($L3989="","",IFERROR(INDEX(记账规则!$A$13:$H$32,MATCH(资金流水!$E397,记账规则!$A$13:$A$32,0),7),""))</f>
        <v/>
      </c>
      <c r="N3989" s="66" t="str">
        <f aca="false">IF($L3989="","",IFERROR(INDEX(记账规则!$A$13:$H$32,MATCH(资金流水!$E397,记账规则!$A$13:$A$32,0),8),""))</f>
        <v/>
      </c>
      <c r="O3989" s="67" t="n">
        <f aca="false">IF($H3989="",0,ROUND(IF($N3989="金额",N(资金流水!$P397),0),2))</f>
        <v>0</v>
      </c>
      <c r="P3989" s="64" t="str">
        <f aca="false">IF(AND($H3989&lt;&gt;"",ROUND($O3989,2)&lt;&gt;0),"有","")</f>
        <v/>
      </c>
    </row>
    <row r="3990" customFormat="false" ht="15" hidden="true" customHeight="false" outlineLevel="0" collapsed="false">
      <c r="A3990" s="53" t="str">
        <f aca="false">IF($H3990="","",ROW()-5)</f>
        <v/>
      </c>
      <c r="B3990" s="64" t="s">
        <v>37</v>
      </c>
      <c r="C3990" s="53" t="n">
        <v>398</v>
      </c>
      <c r="D3990" s="53" t="n">
        <v>1</v>
      </c>
      <c r="E3990" s="65" t="str">
        <f aca="false">IF($H3990="","",资金流水!$B398)</f>
        <v/>
      </c>
      <c r="F3990" s="55" t="str">
        <f aca="false">IF($H3990="","",资金流水!$C398)</f>
        <v/>
      </c>
      <c r="G3990" s="48" t="str">
        <f aca="false">IF($H3990="","",资金流水!$K398)</f>
        <v/>
      </c>
      <c r="H3990" s="10" t="str">
        <f aca="false">IF($L3990="","",IF($L3990="@对方",资金流水!$G398,IF($L3990="@账户",资金流水!$Q398,$L3990)))</f>
        <v/>
      </c>
      <c r="I3990" s="42" t="n">
        <f aca="false">IF($M3990="借",$O3990,0)</f>
        <v>0</v>
      </c>
      <c r="J3990" s="42" t="n">
        <f aca="false">IF($M3990="贷",$O3990,0)</f>
        <v>0</v>
      </c>
      <c r="K3990" s="48" t="str">
        <f aca="false">IF($H3990="","",资金流水!$F398)</f>
        <v/>
      </c>
      <c r="L3990" s="66" t="str">
        <f aca="false">IF(资金流水!$E398="","",IFERROR(INDEX(记账规则!$A$13:$H$32,MATCH(资金流水!$E398,记账规则!$A$13:$A$32,0),3),""))</f>
        <v/>
      </c>
      <c r="M3990" s="66" t="str">
        <f aca="false">IF($L3990="","",IFERROR(INDEX(记账规则!$A$13:$H$32,MATCH(资金流水!$E398,记账规则!$A$13:$A$32,0),4),""))</f>
        <v/>
      </c>
      <c r="N3990" s="66" t="str">
        <f aca="false">IF($L3990="","",IFERROR(INDEX(记账规则!$A$13:$H$32,MATCH(资金流水!$E398,记账规则!$A$13:$A$32,0),5),""))</f>
        <v/>
      </c>
      <c r="O3990" s="67" t="n">
        <f aca="false">IF($H3990="",0,ROUND(IF($N3990="金额",N(资金流水!$P398),0),2))</f>
        <v>0</v>
      </c>
      <c r="P3990" s="64" t="str">
        <f aca="false">IF(AND($H3990&lt;&gt;"",ROUND($O3990,2)&lt;&gt;0),"有","")</f>
        <v/>
      </c>
    </row>
    <row r="3991" customFormat="false" ht="15" hidden="true" customHeight="false" outlineLevel="0" collapsed="false">
      <c r="A3991" s="53" t="str">
        <f aca="false">IF($H3991="","",ROW()-5)</f>
        <v/>
      </c>
      <c r="B3991" s="64" t="s">
        <v>37</v>
      </c>
      <c r="C3991" s="53" t="n">
        <v>398</v>
      </c>
      <c r="D3991" s="53" t="n">
        <v>2</v>
      </c>
      <c r="E3991" s="65" t="str">
        <f aca="false">IF($H3991="","",资金流水!$B398)</f>
        <v/>
      </c>
      <c r="F3991" s="55" t="str">
        <f aca="false">IF($H3991="","",资金流水!$C398)</f>
        <v/>
      </c>
      <c r="G3991" s="48" t="str">
        <f aca="false">IF($H3991="","",资金流水!$K398)</f>
        <v/>
      </c>
      <c r="H3991" s="10" t="str">
        <f aca="false">IF($L3991="","",IF($L3991="@对方",资金流水!$G398,IF($L3991="@账户",资金流水!$Q398,$L3991)))</f>
        <v/>
      </c>
      <c r="I3991" s="42" t="n">
        <f aca="false">IF($M3991="借",$O3991,0)</f>
        <v>0</v>
      </c>
      <c r="J3991" s="42" t="n">
        <f aca="false">IF($M3991="贷",$O3991,0)</f>
        <v>0</v>
      </c>
      <c r="K3991" s="48" t="str">
        <f aca="false">IF($H3991="","",资金流水!$F398)</f>
        <v/>
      </c>
      <c r="L3991" s="66" t="str">
        <f aca="false">IF(资金流水!$E398="","",IFERROR(INDEX(记账规则!$A$13:$H$32,MATCH(资金流水!$E398,记账规则!$A$13:$A$32,0),6),""))</f>
        <v/>
      </c>
      <c r="M3991" s="66" t="str">
        <f aca="false">IF($L3991="","",IFERROR(INDEX(记账规则!$A$13:$H$32,MATCH(资金流水!$E398,记账规则!$A$13:$A$32,0),7),""))</f>
        <v/>
      </c>
      <c r="N3991" s="66" t="str">
        <f aca="false">IF($L3991="","",IFERROR(INDEX(记账规则!$A$13:$H$32,MATCH(资金流水!$E398,记账规则!$A$13:$A$32,0),8),""))</f>
        <v/>
      </c>
      <c r="O3991" s="67" t="n">
        <f aca="false">IF($H3991="",0,ROUND(IF($N3991="金额",N(资金流水!$P398),0),2))</f>
        <v>0</v>
      </c>
      <c r="P3991" s="64" t="str">
        <f aca="false">IF(AND($H3991&lt;&gt;"",ROUND($O3991,2)&lt;&gt;0),"有","")</f>
        <v/>
      </c>
    </row>
    <row r="3992" customFormat="false" ht="15" hidden="true" customHeight="false" outlineLevel="0" collapsed="false">
      <c r="A3992" s="53" t="str">
        <f aca="false">IF($H3992="","",ROW()-5)</f>
        <v/>
      </c>
      <c r="B3992" s="64" t="s">
        <v>37</v>
      </c>
      <c r="C3992" s="53" t="n">
        <v>399</v>
      </c>
      <c r="D3992" s="53" t="n">
        <v>1</v>
      </c>
      <c r="E3992" s="65" t="str">
        <f aca="false">IF($H3992="","",资金流水!$B399)</f>
        <v/>
      </c>
      <c r="F3992" s="55" t="str">
        <f aca="false">IF($H3992="","",资金流水!$C399)</f>
        <v/>
      </c>
      <c r="G3992" s="48" t="str">
        <f aca="false">IF($H3992="","",资金流水!$K399)</f>
        <v/>
      </c>
      <c r="H3992" s="10" t="str">
        <f aca="false">IF($L3992="","",IF($L3992="@对方",资金流水!$G399,IF($L3992="@账户",资金流水!$Q399,$L3992)))</f>
        <v/>
      </c>
      <c r="I3992" s="42" t="n">
        <f aca="false">IF($M3992="借",$O3992,0)</f>
        <v>0</v>
      </c>
      <c r="J3992" s="42" t="n">
        <f aca="false">IF($M3992="贷",$O3992,0)</f>
        <v>0</v>
      </c>
      <c r="K3992" s="48" t="str">
        <f aca="false">IF($H3992="","",资金流水!$F399)</f>
        <v/>
      </c>
      <c r="L3992" s="66" t="str">
        <f aca="false">IF(资金流水!$E399="","",IFERROR(INDEX(记账规则!$A$13:$H$32,MATCH(资金流水!$E399,记账规则!$A$13:$A$32,0),3),""))</f>
        <v/>
      </c>
      <c r="M3992" s="66" t="str">
        <f aca="false">IF($L3992="","",IFERROR(INDEX(记账规则!$A$13:$H$32,MATCH(资金流水!$E399,记账规则!$A$13:$A$32,0),4),""))</f>
        <v/>
      </c>
      <c r="N3992" s="66" t="str">
        <f aca="false">IF($L3992="","",IFERROR(INDEX(记账规则!$A$13:$H$32,MATCH(资金流水!$E399,记账规则!$A$13:$A$32,0),5),""))</f>
        <v/>
      </c>
      <c r="O3992" s="67" t="n">
        <f aca="false">IF($H3992="",0,ROUND(IF($N3992="金额",N(资金流水!$P399),0),2))</f>
        <v>0</v>
      </c>
      <c r="P3992" s="64" t="str">
        <f aca="false">IF(AND($H3992&lt;&gt;"",ROUND($O3992,2)&lt;&gt;0),"有","")</f>
        <v/>
      </c>
    </row>
    <row r="3993" customFormat="false" ht="15" hidden="true" customHeight="false" outlineLevel="0" collapsed="false">
      <c r="A3993" s="53" t="str">
        <f aca="false">IF($H3993="","",ROW()-5)</f>
        <v/>
      </c>
      <c r="B3993" s="64" t="s">
        <v>37</v>
      </c>
      <c r="C3993" s="53" t="n">
        <v>399</v>
      </c>
      <c r="D3993" s="53" t="n">
        <v>2</v>
      </c>
      <c r="E3993" s="65" t="str">
        <f aca="false">IF($H3993="","",资金流水!$B399)</f>
        <v/>
      </c>
      <c r="F3993" s="55" t="str">
        <f aca="false">IF($H3993="","",资金流水!$C399)</f>
        <v/>
      </c>
      <c r="G3993" s="48" t="str">
        <f aca="false">IF($H3993="","",资金流水!$K399)</f>
        <v/>
      </c>
      <c r="H3993" s="10" t="str">
        <f aca="false">IF($L3993="","",IF($L3993="@对方",资金流水!$G399,IF($L3993="@账户",资金流水!$Q399,$L3993)))</f>
        <v/>
      </c>
      <c r="I3993" s="42" t="n">
        <f aca="false">IF($M3993="借",$O3993,0)</f>
        <v>0</v>
      </c>
      <c r="J3993" s="42" t="n">
        <f aca="false">IF($M3993="贷",$O3993,0)</f>
        <v>0</v>
      </c>
      <c r="K3993" s="48" t="str">
        <f aca="false">IF($H3993="","",资金流水!$F399)</f>
        <v/>
      </c>
      <c r="L3993" s="66" t="str">
        <f aca="false">IF(资金流水!$E399="","",IFERROR(INDEX(记账规则!$A$13:$H$32,MATCH(资金流水!$E399,记账规则!$A$13:$A$32,0),6),""))</f>
        <v/>
      </c>
      <c r="M3993" s="66" t="str">
        <f aca="false">IF($L3993="","",IFERROR(INDEX(记账规则!$A$13:$H$32,MATCH(资金流水!$E399,记账规则!$A$13:$A$32,0),7),""))</f>
        <v/>
      </c>
      <c r="N3993" s="66" t="str">
        <f aca="false">IF($L3993="","",IFERROR(INDEX(记账规则!$A$13:$H$32,MATCH(资金流水!$E399,记账规则!$A$13:$A$32,0),8),""))</f>
        <v/>
      </c>
      <c r="O3993" s="67" t="n">
        <f aca="false">IF($H3993="",0,ROUND(IF($N3993="金额",N(资金流水!$P399),0),2))</f>
        <v>0</v>
      </c>
      <c r="P3993" s="64" t="str">
        <f aca="false">IF(AND($H3993&lt;&gt;"",ROUND($O3993,2)&lt;&gt;0),"有","")</f>
        <v/>
      </c>
    </row>
    <row r="3994" customFormat="false" ht="15" hidden="true" customHeight="false" outlineLevel="0" collapsed="false">
      <c r="A3994" s="53" t="str">
        <f aca="false">IF($H3994="","",ROW()-5)</f>
        <v/>
      </c>
      <c r="B3994" s="64" t="s">
        <v>37</v>
      </c>
      <c r="C3994" s="53" t="n">
        <v>400</v>
      </c>
      <c r="D3994" s="53" t="n">
        <v>1</v>
      </c>
      <c r="E3994" s="65" t="str">
        <f aca="false">IF($H3994="","",资金流水!$B400)</f>
        <v/>
      </c>
      <c r="F3994" s="55" t="str">
        <f aca="false">IF($H3994="","",资金流水!$C400)</f>
        <v/>
      </c>
      <c r="G3994" s="48" t="str">
        <f aca="false">IF($H3994="","",资金流水!$K400)</f>
        <v/>
      </c>
      <c r="H3994" s="10" t="str">
        <f aca="false">IF($L3994="","",IF($L3994="@对方",资金流水!$G400,IF($L3994="@账户",资金流水!$Q400,$L3994)))</f>
        <v/>
      </c>
      <c r="I3994" s="42" t="n">
        <f aca="false">IF($M3994="借",$O3994,0)</f>
        <v>0</v>
      </c>
      <c r="J3994" s="42" t="n">
        <f aca="false">IF($M3994="贷",$O3994,0)</f>
        <v>0</v>
      </c>
      <c r="K3994" s="48" t="str">
        <f aca="false">IF($H3994="","",资金流水!$F400)</f>
        <v/>
      </c>
      <c r="L3994" s="66" t="str">
        <f aca="false">IF(资金流水!$E400="","",IFERROR(INDEX(记账规则!$A$13:$H$32,MATCH(资金流水!$E400,记账规则!$A$13:$A$32,0),3),""))</f>
        <v/>
      </c>
      <c r="M3994" s="66" t="str">
        <f aca="false">IF($L3994="","",IFERROR(INDEX(记账规则!$A$13:$H$32,MATCH(资金流水!$E400,记账规则!$A$13:$A$32,0),4),""))</f>
        <v/>
      </c>
      <c r="N3994" s="66" t="str">
        <f aca="false">IF($L3994="","",IFERROR(INDEX(记账规则!$A$13:$H$32,MATCH(资金流水!$E400,记账规则!$A$13:$A$32,0),5),""))</f>
        <v/>
      </c>
      <c r="O3994" s="67" t="n">
        <f aca="false">IF($H3994="",0,ROUND(IF($N3994="金额",N(资金流水!$P400),0),2))</f>
        <v>0</v>
      </c>
      <c r="P3994" s="64" t="str">
        <f aca="false">IF(AND($H3994&lt;&gt;"",ROUND($O3994,2)&lt;&gt;0),"有","")</f>
        <v/>
      </c>
    </row>
    <row r="3995" customFormat="false" ht="15" hidden="true" customHeight="false" outlineLevel="0" collapsed="false">
      <c r="A3995" s="53" t="str">
        <f aca="false">IF($H3995="","",ROW()-5)</f>
        <v/>
      </c>
      <c r="B3995" s="64" t="s">
        <v>37</v>
      </c>
      <c r="C3995" s="53" t="n">
        <v>400</v>
      </c>
      <c r="D3995" s="53" t="n">
        <v>2</v>
      </c>
      <c r="E3995" s="65" t="str">
        <f aca="false">IF($H3995="","",资金流水!$B400)</f>
        <v/>
      </c>
      <c r="F3995" s="55" t="str">
        <f aca="false">IF($H3995="","",资金流水!$C400)</f>
        <v/>
      </c>
      <c r="G3995" s="48" t="str">
        <f aca="false">IF($H3995="","",资金流水!$K400)</f>
        <v/>
      </c>
      <c r="H3995" s="10" t="str">
        <f aca="false">IF($L3995="","",IF($L3995="@对方",资金流水!$G400,IF($L3995="@账户",资金流水!$Q400,$L3995)))</f>
        <v/>
      </c>
      <c r="I3995" s="42" t="n">
        <f aca="false">IF($M3995="借",$O3995,0)</f>
        <v>0</v>
      </c>
      <c r="J3995" s="42" t="n">
        <f aca="false">IF($M3995="贷",$O3995,0)</f>
        <v>0</v>
      </c>
      <c r="K3995" s="48" t="str">
        <f aca="false">IF($H3995="","",资金流水!$F400)</f>
        <v/>
      </c>
      <c r="L3995" s="66" t="str">
        <f aca="false">IF(资金流水!$E400="","",IFERROR(INDEX(记账规则!$A$13:$H$32,MATCH(资金流水!$E400,记账规则!$A$13:$A$32,0),6),""))</f>
        <v/>
      </c>
      <c r="M3995" s="66" t="str">
        <f aca="false">IF($L3995="","",IFERROR(INDEX(记账规则!$A$13:$H$32,MATCH(资金流水!$E400,记账规则!$A$13:$A$32,0),7),""))</f>
        <v/>
      </c>
      <c r="N3995" s="66" t="str">
        <f aca="false">IF($L3995="","",IFERROR(INDEX(记账规则!$A$13:$H$32,MATCH(资金流水!$E400,记账规则!$A$13:$A$32,0),8),""))</f>
        <v/>
      </c>
      <c r="O3995" s="67" t="n">
        <f aca="false">IF($H3995="",0,ROUND(IF($N3995="金额",N(资金流水!$P400),0),2))</f>
        <v>0</v>
      </c>
      <c r="P3995" s="64" t="str">
        <f aca="false">IF(AND($H3995&lt;&gt;"",ROUND($O3995,2)&lt;&gt;0),"有","")</f>
        <v/>
      </c>
    </row>
    <row r="3996" customFormat="false" ht="15" hidden="true" customHeight="false" outlineLevel="0" collapsed="false">
      <c r="A3996" s="53" t="str">
        <f aca="false">IF($H3996="","",ROW()-5)</f>
        <v/>
      </c>
      <c r="B3996" s="64" t="s">
        <v>37</v>
      </c>
      <c r="C3996" s="53" t="n">
        <v>401</v>
      </c>
      <c r="D3996" s="53" t="n">
        <v>1</v>
      </c>
      <c r="E3996" s="65" t="str">
        <f aca="false">IF($H3996="","",资金流水!$B401)</f>
        <v/>
      </c>
      <c r="F3996" s="55" t="str">
        <f aca="false">IF($H3996="","",资金流水!$C401)</f>
        <v/>
      </c>
      <c r="G3996" s="48" t="str">
        <f aca="false">IF($H3996="","",资金流水!$K401)</f>
        <v/>
      </c>
      <c r="H3996" s="10" t="str">
        <f aca="false">IF($L3996="","",IF($L3996="@对方",资金流水!$G401,IF($L3996="@账户",资金流水!$Q401,$L3996)))</f>
        <v/>
      </c>
      <c r="I3996" s="42" t="n">
        <f aca="false">IF($M3996="借",$O3996,0)</f>
        <v>0</v>
      </c>
      <c r="J3996" s="42" t="n">
        <f aca="false">IF($M3996="贷",$O3996,0)</f>
        <v>0</v>
      </c>
      <c r="K3996" s="48" t="str">
        <f aca="false">IF($H3996="","",资金流水!$F401)</f>
        <v/>
      </c>
      <c r="L3996" s="66" t="str">
        <f aca="false">IF(资金流水!$E401="","",IFERROR(INDEX(记账规则!$A$13:$H$32,MATCH(资金流水!$E401,记账规则!$A$13:$A$32,0),3),""))</f>
        <v/>
      </c>
      <c r="M3996" s="66" t="str">
        <f aca="false">IF($L3996="","",IFERROR(INDEX(记账规则!$A$13:$H$32,MATCH(资金流水!$E401,记账规则!$A$13:$A$32,0),4),""))</f>
        <v/>
      </c>
      <c r="N3996" s="66" t="str">
        <f aca="false">IF($L3996="","",IFERROR(INDEX(记账规则!$A$13:$H$32,MATCH(资金流水!$E401,记账规则!$A$13:$A$32,0),5),""))</f>
        <v/>
      </c>
      <c r="O3996" s="67" t="n">
        <f aca="false">IF($H3996="",0,ROUND(IF($N3996="金额",N(资金流水!$P401),0),2))</f>
        <v>0</v>
      </c>
      <c r="P3996" s="64" t="str">
        <f aca="false">IF(AND($H3996&lt;&gt;"",ROUND($O3996,2)&lt;&gt;0),"有","")</f>
        <v/>
      </c>
    </row>
    <row r="3997" customFormat="false" ht="15" hidden="true" customHeight="false" outlineLevel="0" collapsed="false">
      <c r="A3997" s="53" t="str">
        <f aca="false">IF($H3997="","",ROW()-5)</f>
        <v/>
      </c>
      <c r="B3997" s="64" t="s">
        <v>37</v>
      </c>
      <c r="C3997" s="53" t="n">
        <v>401</v>
      </c>
      <c r="D3997" s="53" t="n">
        <v>2</v>
      </c>
      <c r="E3997" s="65" t="str">
        <f aca="false">IF($H3997="","",资金流水!$B401)</f>
        <v/>
      </c>
      <c r="F3997" s="55" t="str">
        <f aca="false">IF($H3997="","",资金流水!$C401)</f>
        <v/>
      </c>
      <c r="G3997" s="48" t="str">
        <f aca="false">IF($H3997="","",资金流水!$K401)</f>
        <v/>
      </c>
      <c r="H3997" s="10" t="str">
        <f aca="false">IF($L3997="","",IF($L3997="@对方",资金流水!$G401,IF($L3997="@账户",资金流水!$Q401,$L3997)))</f>
        <v/>
      </c>
      <c r="I3997" s="42" t="n">
        <f aca="false">IF($M3997="借",$O3997,0)</f>
        <v>0</v>
      </c>
      <c r="J3997" s="42" t="n">
        <f aca="false">IF($M3997="贷",$O3997,0)</f>
        <v>0</v>
      </c>
      <c r="K3997" s="48" t="str">
        <f aca="false">IF($H3997="","",资金流水!$F401)</f>
        <v/>
      </c>
      <c r="L3997" s="66" t="str">
        <f aca="false">IF(资金流水!$E401="","",IFERROR(INDEX(记账规则!$A$13:$H$32,MATCH(资金流水!$E401,记账规则!$A$13:$A$32,0),6),""))</f>
        <v/>
      </c>
      <c r="M3997" s="66" t="str">
        <f aca="false">IF($L3997="","",IFERROR(INDEX(记账规则!$A$13:$H$32,MATCH(资金流水!$E401,记账规则!$A$13:$A$32,0),7),""))</f>
        <v/>
      </c>
      <c r="N3997" s="66" t="str">
        <f aca="false">IF($L3997="","",IFERROR(INDEX(记账规则!$A$13:$H$32,MATCH(资金流水!$E401,记账规则!$A$13:$A$32,0),8),""))</f>
        <v/>
      </c>
      <c r="O3997" s="67" t="n">
        <f aca="false">IF($H3997="",0,ROUND(IF($N3997="金额",N(资金流水!$P401),0),2))</f>
        <v>0</v>
      </c>
      <c r="P3997" s="64" t="str">
        <f aca="false">IF(AND($H3997&lt;&gt;"",ROUND($O3997,2)&lt;&gt;0),"有","")</f>
        <v/>
      </c>
    </row>
    <row r="3998" customFormat="false" ht="15" hidden="true" customHeight="false" outlineLevel="0" collapsed="false">
      <c r="A3998" s="53" t="str">
        <f aca="false">IF($H3998="","",ROW()-5)</f>
        <v/>
      </c>
      <c r="B3998" s="64" t="s">
        <v>37</v>
      </c>
      <c r="C3998" s="53" t="n">
        <v>402</v>
      </c>
      <c r="D3998" s="53" t="n">
        <v>1</v>
      </c>
      <c r="E3998" s="65" t="str">
        <f aca="false">IF($H3998="","",资金流水!$B402)</f>
        <v/>
      </c>
      <c r="F3998" s="55" t="str">
        <f aca="false">IF($H3998="","",资金流水!$C402)</f>
        <v/>
      </c>
      <c r="G3998" s="48" t="str">
        <f aca="false">IF($H3998="","",资金流水!$K402)</f>
        <v/>
      </c>
      <c r="H3998" s="10" t="str">
        <f aca="false">IF($L3998="","",IF($L3998="@对方",资金流水!$G402,IF($L3998="@账户",资金流水!$Q402,$L3998)))</f>
        <v/>
      </c>
      <c r="I3998" s="42" t="n">
        <f aca="false">IF($M3998="借",$O3998,0)</f>
        <v>0</v>
      </c>
      <c r="J3998" s="42" t="n">
        <f aca="false">IF($M3998="贷",$O3998,0)</f>
        <v>0</v>
      </c>
      <c r="K3998" s="48" t="str">
        <f aca="false">IF($H3998="","",资金流水!$F402)</f>
        <v/>
      </c>
      <c r="L3998" s="66" t="str">
        <f aca="false">IF(资金流水!$E402="","",IFERROR(INDEX(记账规则!$A$13:$H$32,MATCH(资金流水!$E402,记账规则!$A$13:$A$32,0),3),""))</f>
        <v/>
      </c>
      <c r="M3998" s="66" t="str">
        <f aca="false">IF($L3998="","",IFERROR(INDEX(记账规则!$A$13:$H$32,MATCH(资金流水!$E402,记账规则!$A$13:$A$32,0),4),""))</f>
        <v/>
      </c>
      <c r="N3998" s="66" t="str">
        <f aca="false">IF($L3998="","",IFERROR(INDEX(记账规则!$A$13:$H$32,MATCH(资金流水!$E402,记账规则!$A$13:$A$32,0),5),""))</f>
        <v/>
      </c>
      <c r="O3998" s="67" t="n">
        <f aca="false">IF($H3998="",0,ROUND(IF($N3998="金额",N(资金流水!$P402),0),2))</f>
        <v>0</v>
      </c>
      <c r="P3998" s="64" t="str">
        <f aca="false">IF(AND($H3998&lt;&gt;"",ROUND($O3998,2)&lt;&gt;0),"有","")</f>
        <v/>
      </c>
    </row>
    <row r="3999" customFormat="false" ht="15" hidden="true" customHeight="false" outlineLevel="0" collapsed="false">
      <c r="A3999" s="53" t="str">
        <f aca="false">IF($H3999="","",ROW()-5)</f>
        <v/>
      </c>
      <c r="B3999" s="64" t="s">
        <v>37</v>
      </c>
      <c r="C3999" s="53" t="n">
        <v>402</v>
      </c>
      <c r="D3999" s="53" t="n">
        <v>2</v>
      </c>
      <c r="E3999" s="65" t="str">
        <f aca="false">IF($H3999="","",资金流水!$B402)</f>
        <v/>
      </c>
      <c r="F3999" s="55" t="str">
        <f aca="false">IF($H3999="","",资金流水!$C402)</f>
        <v/>
      </c>
      <c r="G3999" s="48" t="str">
        <f aca="false">IF($H3999="","",资金流水!$K402)</f>
        <v/>
      </c>
      <c r="H3999" s="10" t="str">
        <f aca="false">IF($L3999="","",IF($L3999="@对方",资金流水!$G402,IF($L3999="@账户",资金流水!$Q402,$L3999)))</f>
        <v/>
      </c>
      <c r="I3999" s="42" t="n">
        <f aca="false">IF($M3999="借",$O3999,0)</f>
        <v>0</v>
      </c>
      <c r="J3999" s="42" t="n">
        <f aca="false">IF($M3999="贷",$O3999,0)</f>
        <v>0</v>
      </c>
      <c r="K3999" s="48" t="str">
        <f aca="false">IF($H3999="","",资金流水!$F402)</f>
        <v/>
      </c>
      <c r="L3999" s="66" t="str">
        <f aca="false">IF(资金流水!$E402="","",IFERROR(INDEX(记账规则!$A$13:$H$32,MATCH(资金流水!$E402,记账规则!$A$13:$A$32,0),6),""))</f>
        <v/>
      </c>
      <c r="M3999" s="66" t="str">
        <f aca="false">IF($L3999="","",IFERROR(INDEX(记账规则!$A$13:$H$32,MATCH(资金流水!$E402,记账规则!$A$13:$A$32,0),7),""))</f>
        <v/>
      </c>
      <c r="N3999" s="66" t="str">
        <f aca="false">IF($L3999="","",IFERROR(INDEX(记账规则!$A$13:$H$32,MATCH(资金流水!$E402,记账规则!$A$13:$A$32,0),8),""))</f>
        <v/>
      </c>
      <c r="O3999" s="67" t="n">
        <f aca="false">IF($H3999="",0,ROUND(IF($N3999="金额",N(资金流水!$P402),0),2))</f>
        <v>0</v>
      </c>
      <c r="P3999" s="64" t="str">
        <f aca="false">IF(AND($H3999&lt;&gt;"",ROUND($O3999,2)&lt;&gt;0),"有","")</f>
        <v/>
      </c>
    </row>
    <row r="4000" customFormat="false" ht="15" hidden="true" customHeight="false" outlineLevel="0" collapsed="false">
      <c r="A4000" s="53" t="str">
        <f aca="false">IF($H4000="","",ROW()-5)</f>
        <v/>
      </c>
      <c r="B4000" s="64" t="s">
        <v>37</v>
      </c>
      <c r="C4000" s="53" t="n">
        <v>403</v>
      </c>
      <c r="D4000" s="53" t="n">
        <v>1</v>
      </c>
      <c r="E4000" s="65" t="str">
        <f aca="false">IF($H4000="","",资金流水!$B403)</f>
        <v/>
      </c>
      <c r="F4000" s="55" t="str">
        <f aca="false">IF($H4000="","",资金流水!$C403)</f>
        <v/>
      </c>
      <c r="G4000" s="48" t="str">
        <f aca="false">IF($H4000="","",资金流水!$K403)</f>
        <v/>
      </c>
      <c r="H4000" s="10" t="str">
        <f aca="false">IF($L4000="","",IF($L4000="@对方",资金流水!$G403,IF($L4000="@账户",资金流水!$Q403,$L4000)))</f>
        <v/>
      </c>
      <c r="I4000" s="42" t="n">
        <f aca="false">IF($M4000="借",$O4000,0)</f>
        <v>0</v>
      </c>
      <c r="J4000" s="42" t="n">
        <f aca="false">IF($M4000="贷",$O4000,0)</f>
        <v>0</v>
      </c>
      <c r="K4000" s="48" t="str">
        <f aca="false">IF($H4000="","",资金流水!$F403)</f>
        <v/>
      </c>
      <c r="L4000" s="66" t="str">
        <f aca="false">IF(资金流水!$E403="","",IFERROR(INDEX(记账规则!$A$13:$H$32,MATCH(资金流水!$E403,记账规则!$A$13:$A$32,0),3),""))</f>
        <v/>
      </c>
      <c r="M4000" s="66" t="str">
        <f aca="false">IF($L4000="","",IFERROR(INDEX(记账规则!$A$13:$H$32,MATCH(资金流水!$E403,记账规则!$A$13:$A$32,0),4),""))</f>
        <v/>
      </c>
      <c r="N4000" s="66" t="str">
        <f aca="false">IF($L4000="","",IFERROR(INDEX(记账规则!$A$13:$H$32,MATCH(资金流水!$E403,记账规则!$A$13:$A$32,0),5),""))</f>
        <v/>
      </c>
      <c r="O4000" s="67" t="n">
        <f aca="false">IF($H4000="",0,ROUND(IF($N4000="金额",N(资金流水!$P403),0),2))</f>
        <v>0</v>
      </c>
      <c r="P4000" s="64" t="str">
        <f aca="false">IF(AND($H4000&lt;&gt;"",ROUND($O4000,2)&lt;&gt;0),"有","")</f>
        <v/>
      </c>
    </row>
    <row r="4001" customFormat="false" ht="15" hidden="true" customHeight="false" outlineLevel="0" collapsed="false">
      <c r="A4001" s="53" t="str">
        <f aca="false">IF($H4001="","",ROW()-5)</f>
        <v/>
      </c>
      <c r="B4001" s="64" t="s">
        <v>37</v>
      </c>
      <c r="C4001" s="53" t="n">
        <v>403</v>
      </c>
      <c r="D4001" s="53" t="n">
        <v>2</v>
      </c>
      <c r="E4001" s="65" t="str">
        <f aca="false">IF($H4001="","",资金流水!$B403)</f>
        <v/>
      </c>
      <c r="F4001" s="55" t="str">
        <f aca="false">IF($H4001="","",资金流水!$C403)</f>
        <v/>
      </c>
      <c r="G4001" s="48" t="str">
        <f aca="false">IF($H4001="","",资金流水!$K403)</f>
        <v/>
      </c>
      <c r="H4001" s="10" t="str">
        <f aca="false">IF($L4001="","",IF($L4001="@对方",资金流水!$G403,IF($L4001="@账户",资金流水!$Q403,$L4001)))</f>
        <v/>
      </c>
      <c r="I4001" s="42" t="n">
        <f aca="false">IF($M4001="借",$O4001,0)</f>
        <v>0</v>
      </c>
      <c r="J4001" s="42" t="n">
        <f aca="false">IF($M4001="贷",$O4001,0)</f>
        <v>0</v>
      </c>
      <c r="K4001" s="48" t="str">
        <f aca="false">IF($H4001="","",资金流水!$F403)</f>
        <v/>
      </c>
      <c r="L4001" s="66" t="str">
        <f aca="false">IF(资金流水!$E403="","",IFERROR(INDEX(记账规则!$A$13:$H$32,MATCH(资金流水!$E403,记账规则!$A$13:$A$32,0),6),""))</f>
        <v/>
      </c>
      <c r="M4001" s="66" t="str">
        <f aca="false">IF($L4001="","",IFERROR(INDEX(记账规则!$A$13:$H$32,MATCH(资金流水!$E403,记账规则!$A$13:$A$32,0),7),""))</f>
        <v/>
      </c>
      <c r="N4001" s="66" t="str">
        <f aca="false">IF($L4001="","",IFERROR(INDEX(记账规则!$A$13:$H$32,MATCH(资金流水!$E403,记账规则!$A$13:$A$32,0),8),""))</f>
        <v/>
      </c>
      <c r="O4001" s="67" t="n">
        <f aca="false">IF($H4001="",0,ROUND(IF($N4001="金额",N(资金流水!$P403),0),2))</f>
        <v>0</v>
      </c>
      <c r="P4001" s="64" t="str">
        <f aca="false">IF(AND($H4001&lt;&gt;"",ROUND($O4001,2)&lt;&gt;0),"有","")</f>
        <v/>
      </c>
    </row>
    <row r="4002" customFormat="false" ht="15" hidden="true" customHeight="false" outlineLevel="0" collapsed="false">
      <c r="A4002" s="53" t="str">
        <f aca="false">IF($H4002="","",ROW()-5)</f>
        <v/>
      </c>
      <c r="B4002" s="64" t="s">
        <v>37</v>
      </c>
      <c r="C4002" s="53" t="n">
        <v>404</v>
      </c>
      <c r="D4002" s="53" t="n">
        <v>1</v>
      </c>
      <c r="E4002" s="65" t="str">
        <f aca="false">IF($H4002="","",资金流水!$B404)</f>
        <v/>
      </c>
      <c r="F4002" s="55" t="str">
        <f aca="false">IF($H4002="","",资金流水!$C404)</f>
        <v/>
      </c>
      <c r="G4002" s="48" t="str">
        <f aca="false">IF($H4002="","",资金流水!$K404)</f>
        <v/>
      </c>
      <c r="H4002" s="10" t="str">
        <f aca="false">IF($L4002="","",IF($L4002="@对方",资金流水!$G404,IF($L4002="@账户",资金流水!$Q404,$L4002)))</f>
        <v/>
      </c>
      <c r="I4002" s="42" t="n">
        <f aca="false">IF($M4002="借",$O4002,0)</f>
        <v>0</v>
      </c>
      <c r="J4002" s="42" t="n">
        <f aca="false">IF($M4002="贷",$O4002,0)</f>
        <v>0</v>
      </c>
      <c r="K4002" s="48" t="str">
        <f aca="false">IF($H4002="","",资金流水!$F404)</f>
        <v/>
      </c>
      <c r="L4002" s="66" t="str">
        <f aca="false">IF(资金流水!$E404="","",IFERROR(INDEX(记账规则!$A$13:$H$32,MATCH(资金流水!$E404,记账规则!$A$13:$A$32,0),3),""))</f>
        <v/>
      </c>
      <c r="M4002" s="66" t="str">
        <f aca="false">IF($L4002="","",IFERROR(INDEX(记账规则!$A$13:$H$32,MATCH(资金流水!$E404,记账规则!$A$13:$A$32,0),4),""))</f>
        <v/>
      </c>
      <c r="N4002" s="66" t="str">
        <f aca="false">IF($L4002="","",IFERROR(INDEX(记账规则!$A$13:$H$32,MATCH(资金流水!$E404,记账规则!$A$13:$A$32,0),5),""))</f>
        <v/>
      </c>
      <c r="O4002" s="67" t="n">
        <f aca="false">IF($H4002="",0,ROUND(IF($N4002="金额",N(资金流水!$P404),0),2))</f>
        <v>0</v>
      </c>
      <c r="P4002" s="64" t="str">
        <f aca="false">IF(AND($H4002&lt;&gt;"",ROUND($O4002,2)&lt;&gt;0),"有","")</f>
        <v/>
      </c>
    </row>
    <row r="4003" customFormat="false" ht="15" hidden="true" customHeight="false" outlineLevel="0" collapsed="false">
      <c r="A4003" s="53" t="str">
        <f aca="false">IF($H4003="","",ROW()-5)</f>
        <v/>
      </c>
      <c r="B4003" s="64" t="s">
        <v>37</v>
      </c>
      <c r="C4003" s="53" t="n">
        <v>404</v>
      </c>
      <c r="D4003" s="53" t="n">
        <v>2</v>
      </c>
      <c r="E4003" s="65" t="str">
        <f aca="false">IF($H4003="","",资金流水!$B404)</f>
        <v/>
      </c>
      <c r="F4003" s="55" t="str">
        <f aca="false">IF($H4003="","",资金流水!$C404)</f>
        <v/>
      </c>
      <c r="G4003" s="48" t="str">
        <f aca="false">IF($H4003="","",资金流水!$K404)</f>
        <v/>
      </c>
      <c r="H4003" s="10" t="str">
        <f aca="false">IF($L4003="","",IF($L4003="@对方",资金流水!$G404,IF($L4003="@账户",资金流水!$Q404,$L4003)))</f>
        <v/>
      </c>
      <c r="I4003" s="42" t="n">
        <f aca="false">IF($M4003="借",$O4003,0)</f>
        <v>0</v>
      </c>
      <c r="J4003" s="42" t="n">
        <f aca="false">IF($M4003="贷",$O4003,0)</f>
        <v>0</v>
      </c>
      <c r="K4003" s="48" t="str">
        <f aca="false">IF($H4003="","",资金流水!$F404)</f>
        <v/>
      </c>
      <c r="L4003" s="66" t="str">
        <f aca="false">IF(资金流水!$E404="","",IFERROR(INDEX(记账规则!$A$13:$H$32,MATCH(资金流水!$E404,记账规则!$A$13:$A$32,0),6),""))</f>
        <v/>
      </c>
      <c r="M4003" s="66" t="str">
        <f aca="false">IF($L4003="","",IFERROR(INDEX(记账规则!$A$13:$H$32,MATCH(资金流水!$E404,记账规则!$A$13:$A$32,0),7),""))</f>
        <v/>
      </c>
      <c r="N4003" s="66" t="str">
        <f aca="false">IF($L4003="","",IFERROR(INDEX(记账规则!$A$13:$H$32,MATCH(资金流水!$E404,记账规则!$A$13:$A$32,0),8),""))</f>
        <v/>
      </c>
      <c r="O4003" s="67" t="n">
        <f aca="false">IF($H4003="",0,ROUND(IF($N4003="金额",N(资金流水!$P404),0),2))</f>
        <v>0</v>
      </c>
      <c r="P4003" s="64" t="str">
        <f aca="false">IF(AND($H4003&lt;&gt;"",ROUND($O4003,2)&lt;&gt;0),"有","")</f>
        <v/>
      </c>
    </row>
    <row r="4004" customFormat="false" ht="15" hidden="true" customHeight="false" outlineLevel="0" collapsed="false">
      <c r="A4004" s="53" t="str">
        <f aca="false">IF($H4004="","",ROW()-5)</f>
        <v/>
      </c>
      <c r="B4004" s="64" t="s">
        <v>37</v>
      </c>
      <c r="C4004" s="53" t="n">
        <v>405</v>
      </c>
      <c r="D4004" s="53" t="n">
        <v>1</v>
      </c>
      <c r="E4004" s="65" t="str">
        <f aca="false">IF($H4004="","",资金流水!$B405)</f>
        <v/>
      </c>
      <c r="F4004" s="55" t="str">
        <f aca="false">IF($H4004="","",资金流水!$C405)</f>
        <v/>
      </c>
      <c r="G4004" s="48" t="str">
        <f aca="false">IF($H4004="","",资金流水!$K405)</f>
        <v/>
      </c>
      <c r="H4004" s="10" t="str">
        <f aca="false">IF($L4004="","",IF($L4004="@对方",资金流水!$G405,IF($L4004="@账户",资金流水!$Q405,$L4004)))</f>
        <v/>
      </c>
      <c r="I4004" s="42" t="n">
        <f aca="false">IF($M4004="借",$O4004,0)</f>
        <v>0</v>
      </c>
      <c r="J4004" s="42" t="n">
        <f aca="false">IF($M4004="贷",$O4004,0)</f>
        <v>0</v>
      </c>
      <c r="K4004" s="48" t="str">
        <f aca="false">IF($H4004="","",资金流水!$F405)</f>
        <v/>
      </c>
      <c r="L4004" s="66" t="str">
        <f aca="false">IF(资金流水!$E405="","",IFERROR(INDEX(记账规则!$A$13:$H$32,MATCH(资金流水!$E405,记账规则!$A$13:$A$32,0),3),""))</f>
        <v/>
      </c>
      <c r="M4004" s="66" t="str">
        <f aca="false">IF($L4004="","",IFERROR(INDEX(记账规则!$A$13:$H$32,MATCH(资金流水!$E405,记账规则!$A$13:$A$32,0),4),""))</f>
        <v/>
      </c>
      <c r="N4004" s="66" t="str">
        <f aca="false">IF($L4004="","",IFERROR(INDEX(记账规则!$A$13:$H$32,MATCH(资金流水!$E405,记账规则!$A$13:$A$32,0),5),""))</f>
        <v/>
      </c>
      <c r="O4004" s="67" t="n">
        <f aca="false">IF($H4004="",0,ROUND(IF($N4004="金额",N(资金流水!$P405),0),2))</f>
        <v>0</v>
      </c>
      <c r="P4004" s="64" t="str">
        <f aca="false">IF(AND($H4004&lt;&gt;"",ROUND($O4004,2)&lt;&gt;0),"有","")</f>
        <v/>
      </c>
    </row>
    <row r="4005" customFormat="false" ht="15" hidden="true" customHeight="false" outlineLevel="0" collapsed="false">
      <c r="A4005" s="53" t="str">
        <f aca="false">IF($H4005="","",ROW()-5)</f>
        <v/>
      </c>
      <c r="B4005" s="64" t="s">
        <v>37</v>
      </c>
      <c r="C4005" s="53" t="n">
        <v>405</v>
      </c>
      <c r="D4005" s="53" t="n">
        <v>2</v>
      </c>
      <c r="E4005" s="65" t="str">
        <f aca="false">IF($H4005="","",资金流水!$B405)</f>
        <v/>
      </c>
      <c r="F4005" s="55" t="str">
        <f aca="false">IF($H4005="","",资金流水!$C405)</f>
        <v/>
      </c>
      <c r="G4005" s="48" t="str">
        <f aca="false">IF($H4005="","",资金流水!$K405)</f>
        <v/>
      </c>
      <c r="H4005" s="10" t="str">
        <f aca="false">IF($L4005="","",IF($L4005="@对方",资金流水!$G405,IF($L4005="@账户",资金流水!$Q405,$L4005)))</f>
        <v/>
      </c>
      <c r="I4005" s="42" t="n">
        <f aca="false">IF($M4005="借",$O4005,0)</f>
        <v>0</v>
      </c>
      <c r="J4005" s="42" t="n">
        <f aca="false">IF($M4005="贷",$O4005,0)</f>
        <v>0</v>
      </c>
      <c r="K4005" s="48" t="str">
        <f aca="false">IF($H4005="","",资金流水!$F405)</f>
        <v/>
      </c>
      <c r="L4005" s="66" t="str">
        <f aca="false">IF(资金流水!$E405="","",IFERROR(INDEX(记账规则!$A$13:$H$32,MATCH(资金流水!$E405,记账规则!$A$13:$A$32,0),6),""))</f>
        <v/>
      </c>
      <c r="M4005" s="66" t="str">
        <f aca="false">IF($L4005="","",IFERROR(INDEX(记账规则!$A$13:$H$32,MATCH(资金流水!$E405,记账规则!$A$13:$A$32,0),7),""))</f>
        <v/>
      </c>
      <c r="N4005" s="66" t="str">
        <f aca="false">IF($L4005="","",IFERROR(INDEX(记账规则!$A$13:$H$32,MATCH(资金流水!$E405,记账规则!$A$13:$A$32,0),8),""))</f>
        <v/>
      </c>
      <c r="O4005" s="67" t="n">
        <f aca="false">IF($H4005="",0,ROUND(IF($N4005="金额",N(资金流水!$P405),0),2))</f>
        <v>0</v>
      </c>
      <c r="P4005" s="64" t="str">
        <f aca="false">IF(AND($H4005&lt;&gt;"",ROUND($O4005,2)&lt;&gt;0),"有","")</f>
        <v/>
      </c>
    </row>
    <row r="4006" customFormat="false" ht="15" hidden="true" customHeight="false" outlineLevel="0" collapsed="false">
      <c r="A4006" s="53" t="str">
        <f aca="false">IF($H4006="","",ROW()-5)</f>
        <v/>
      </c>
      <c r="B4006" s="64" t="s">
        <v>37</v>
      </c>
      <c r="C4006" s="53" t="n">
        <v>406</v>
      </c>
      <c r="D4006" s="53" t="n">
        <v>1</v>
      </c>
      <c r="E4006" s="65" t="str">
        <f aca="false">IF($H4006="","",资金流水!$B406)</f>
        <v/>
      </c>
      <c r="F4006" s="55" t="str">
        <f aca="false">IF($H4006="","",资金流水!$C406)</f>
        <v/>
      </c>
      <c r="G4006" s="48" t="str">
        <f aca="false">IF($H4006="","",资金流水!$K406)</f>
        <v/>
      </c>
      <c r="H4006" s="10" t="str">
        <f aca="false">IF($L4006="","",IF($L4006="@对方",资金流水!$G406,IF($L4006="@账户",资金流水!$Q406,$L4006)))</f>
        <v/>
      </c>
      <c r="I4006" s="42" t="n">
        <f aca="false">IF($M4006="借",$O4006,0)</f>
        <v>0</v>
      </c>
      <c r="J4006" s="42" t="n">
        <f aca="false">IF($M4006="贷",$O4006,0)</f>
        <v>0</v>
      </c>
      <c r="K4006" s="48" t="str">
        <f aca="false">IF($H4006="","",资金流水!$F406)</f>
        <v/>
      </c>
      <c r="L4006" s="66" t="str">
        <f aca="false">IF(资金流水!$E406="","",IFERROR(INDEX(记账规则!$A$13:$H$32,MATCH(资金流水!$E406,记账规则!$A$13:$A$32,0),3),""))</f>
        <v/>
      </c>
      <c r="M4006" s="66" t="str">
        <f aca="false">IF($L4006="","",IFERROR(INDEX(记账规则!$A$13:$H$32,MATCH(资金流水!$E406,记账规则!$A$13:$A$32,0),4),""))</f>
        <v/>
      </c>
      <c r="N4006" s="66" t="str">
        <f aca="false">IF($L4006="","",IFERROR(INDEX(记账规则!$A$13:$H$32,MATCH(资金流水!$E406,记账规则!$A$13:$A$32,0),5),""))</f>
        <v/>
      </c>
      <c r="O4006" s="67" t="n">
        <f aca="false">IF($H4006="",0,ROUND(IF($N4006="金额",N(资金流水!$P406),0),2))</f>
        <v>0</v>
      </c>
      <c r="P4006" s="64" t="str">
        <f aca="false">IF(AND($H4006&lt;&gt;"",ROUND($O4006,2)&lt;&gt;0),"有","")</f>
        <v/>
      </c>
    </row>
    <row r="4007" customFormat="false" ht="15" hidden="true" customHeight="false" outlineLevel="0" collapsed="false">
      <c r="A4007" s="53" t="str">
        <f aca="false">IF($H4007="","",ROW()-5)</f>
        <v/>
      </c>
      <c r="B4007" s="64" t="s">
        <v>37</v>
      </c>
      <c r="C4007" s="53" t="n">
        <v>406</v>
      </c>
      <c r="D4007" s="53" t="n">
        <v>2</v>
      </c>
      <c r="E4007" s="65" t="str">
        <f aca="false">IF($H4007="","",资金流水!$B406)</f>
        <v/>
      </c>
      <c r="F4007" s="55" t="str">
        <f aca="false">IF($H4007="","",资金流水!$C406)</f>
        <v/>
      </c>
      <c r="G4007" s="48" t="str">
        <f aca="false">IF($H4007="","",资金流水!$K406)</f>
        <v/>
      </c>
      <c r="H4007" s="10" t="str">
        <f aca="false">IF($L4007="","",IF($L4007="@对方",资金流水!$G406,IF($L4007="@账户",资金流水!$Q406,$L4007)))</f>
        <v/>
      </c>
      <c r="I4007" s="42" t="n">
        <f aca="false">IF($M4007="借",$O4007,0)</f>
        <v>0</v>
      </c>
      <c r="J4007" s="42" t="n">
        <f aca="false">IF($M4007="贷",$O4007,0)</f>
        <v>0</v>
      </c>
      <c r="K4007" s="48" t="str">
        <f aca="false">IF($H4007="","",资金流水!$F406)</f>
        <v/>
      </c>
      <c r="L4007" s="66" t="str">
        <f aca="false">IF(资金流水!$E406="","",IFERROR(INDEX(记账规则!$A$13:$H$32,MATCH(资金流水!$E406,记账规则!$A$13:$A$32,0),6),""))</f>
        <v/>
      </c>
      <c r="M4007" s="66" t="str">
        <f aca="false">IF($L4007="","",IFERROR(INDEX(记账规则!$A$13:$H$32,MATCH(资金流水!$E406,记账规则!$A$13:$A$32,0),7),""))</f>
        <v/>
      </c>
      <c r="N4007" s="66" t="str">
        <f aca="false">IF($L4007="","",IFERROR(INDEX(记账规则!$A$13:$H$32,MATCH(资金流水!$E406,记账规则!$A$13:$A$32,0),8),""))</f>
        <v/>
      </c>
      <c r="O4007" s="67" t="n">
        <f aca="false">IF($H4007="",0,ROUND(IF($N4007="金额",N(资金流水!$P406),0),2))</f>
        <v>0</v>
      </c>
      <c r="P4007" s="64" t="str">
        <f aca="false">IF(AND($H4007&lt;&gt;"",ROUND($O4007,2)&lt;&gt;0),"有","")</f>
        <v/>
      </c>
    </row>
    <row r="4008" customFormat="false" ht="15" hidden="true" customHeight="false" outlineLevel="0" collapsed="false">
      <c r="A4008" s="53" t="str">
        <f aca="false">IF($H4008="","",ROW()-5)</f>
        <v/>
      </c>
      <c r="B4008" s="64" t="s">
        <v>37</v>
      </c>
      <c r="C4008" s="53" t="n">
        <v>407</v>
      </c>
      <c r="D4008" s="53" t="n">
        <v>1</v>
      </c>
      <c r="E4008" s="65" t="str">
        <f aca="false">IF($H4008="","",资金流水!$B407)</f>
        <v/>
      </c>
      <c r="F4008" s="55" t="str">
        <f aca="false">IF($H4008="","",资金流水!$C407)</f>
        <v/>
      </c>
      <c r="G4008" s="48" t="str">
        <f aca="false">IF($H4008="","",资金流水!$K407)</f>
        <v/>
      </c>
      <c r="H4008" s="10" t="str">
        <f aca="false">IF($L4008="","",IF($L4008="@对方",资金流水!$G407,IF($L4008="@账户",资金流水!$Q407,$L4008)))</f>
        <v/>
      </c>
      <c r="I4008" s="42" t="n">
        <f aca="false">IF($M4008="借",$O4008,0)</f>
        <v>0</v>
      </c>
      <c r="J4008" s="42" t="n">
        <f aca="false">IF($M4008="贷",$O4008,0)</f>
        <v>0</v>
      </c>
      <c r="K4008" s="48" t="str">
        <f aca="false">IF($H4008="","",资金流水!$F407)</f>
        <v/>
      </c>
      <c r="L4008" s="66" t="str">
        <f aca="false">IF(资金流水!$E407="","",IFERROR(INDEX(记账规则!$A$13:$H$32,MATCH(资金流水!$E407,记账规则!$A$13:$A$32,0),3),""))</f>
        <v/>
      </c>
      <c r="M4008" s="66" t="str">
        <f aca="false">IF($L4008="","",IFERROR(INDEX(记账规则!$A$13:$H$32,MATCH(资金流水!$E407,记账规则!$A$13:$A$32,0),4),""))</f>
        <v/>
      </c>
      <c r="N4008" s="66" t="str">
        <f aca="false">IF($L4008="","",IFERROR(INDEX(记账规则!$A$13:$H$32,MATCH(资金流水!$E407,记账规则!$A$13:$A$32,0),5),""))</f>
        <v/>
      </c>
      <c r="O4008" s="67" t="n">
        <f aca="false">IF($H4008="",0,ROUND(IF($N4008="金额",N(资金流水!$P407),0),2))</f>
        <v>0</v>
      </c>
      <c r="P4008" s="64" t="str">
        <f aca="false">IF(AND($H4008&lt;&gt;"",ROUND($O4008,2)&lt;&gt;0),"有","")</f>
        <v/>
      </c>
    </row>
    <row r="4009" customFormat="false" ht="15" hidden="true" customHeight="false" outlineLevel="0" collapsed="false">
      <c r="A4009" s="53" t="str">
        <f aca="false">IF($H4009="","",ROW()-5)</f>
        <v/>
      </c>
      <c r="B4009" s="64" t="s">
        <v>37</v>
      </c>
      <c r="C4009" s="53" t="n">
        <v>407</v>
      </c>
      <c r="D4009" s="53" t="n">
        <v>2</v>
      </c>
      <c r="E4009" s="65" t="str">
        <f aca="false">IF($H4009="","",资金流水!$B407)</f>
        <v/>
      </c>
      <c r="F4009" s="55" t="str">
        <f aca="false">IF($H4009="","",资金流水!$C407)</f>
        <v/>
      </c>
      <c r="G4009" s="48" t="str">
        <f aca="false">IF($H4009="","",资金流水!$K407)</f>
        <v/>
      </c>
      <c r="H4009" s="10" t="str">
        <f aca="false">IF($L4009="","",IF($L4009="@对方",资金流水!$G407,IF($L4009="@账户",资金流水!$Q407,$L4009)))</f>
        <v/>
      </c>
      <c r="I4009" s="42" t="n">
        <f aca="false">IF($M4009="借",$O4009,0)</f>
        <v>0</v>
      </c>
      <c r="J4009" s="42" t="n">
        <f aca="false">IF($M4009="贷",$O4009,0)</f>
        <v>0</v>
      </c>
      <c r="K4009" s="48" t="str">
        <f aca="false">IF($H4009="","",资金流水!$F407)</f>
        <v/>
      </c>
      <c r="L4009" s="66" t="str">
        <f aca="false">IF(资金流水!$E407="","",IFERROR(INDEX(记账规则!$A$13:$H$32,MATCH(资金流水!$E407,记账规则!$A$13:$A$32,0),6),""))</f>
        <v/>
      </c>
      <c r="M4009" s="66" t="str">
        <f aca="false">IF($L4009="","",IFERROR(INDEX(记账规则!$A$13:$H$32,MATCH(资金流水!$E407,记账规则!$A$13:$A$32,0),7),""))</f>
        <v/>
      </c>
      <c r="N4009" s="66" t="str">
        <f aca="false">IF($L4009="","",IFERROR(INDEX(记账规则!$A$13:$H$32,MATCH(资金流水!$E407,记账规则!$A$13:$A$32,0),8),""))</f>
        <v/>
      </c>
      <c r="O4009" s="67" t="n">
        <f aca="false">IF($H4009="",0,ROUND(IF($N4009="金额",N(资金流水!$P407),0),2))</f>
        <v>0</v>
      </c>
      <c r="P4009" s="64" t="str">
        <f aca="false">IF(AND($H4009&lt;&gt;"",ROUND($O4009,2)&lt;&gt;0),"有","")</f>
        <v/>
      </c>
    </row>
    <row r="4010" customFormat="false" ht="15" hidden="true" customHeight="false" outlineLevel="0" collapsed="false">
      <c r="A4010" s="53" t="str">
        <f aca="false">IF($H4010="","",ROW()-5)</f>
        <v/>
      </c>
      <c r="B4010" s="64" t="s">
        <v>37</v>
      </c>
      <c r="C4010" s="53" t="n">
        <v>408</v>
      </c>
      <c r="D4010" s="53" t="n">
        <v>1</v>
      </c>
      <c r="E4010" s="65" t="str">
        <f aca="false">IF($H4010="","",资金流水!$B408)</f>
        <v/>
      </c>
      <c r="F4010" s="55" t="str">
        <f aca="false">IF($H4010="","",资金流水!$C408)</f>
        <v/>
      </c>
      <c r="G4010" s="48" t="str">
        <f aca="false">IF($H4010="","",资金流水!$K408)</f>
        <v/>
      </c>
      <c r="H4010" s="10" t="str">
        <f aca="false">IF($L4010="","",IF($L4010="@对方",资金流水!$G408,IF($L4010="@账户",资金流水!$Q408,$L4010)))</f>
        <v/>
      </c>
      <c r="I4010" s="42" t="n">
        <f aca="false">IF($M4010="借",$O4010,0)</f>
        <v>0</v>
      </c>
      <c r="J4010" s="42" t="n">
        <f aca="false">IF($M4010="贷",$O4010,0)</f>
        <v>0</v>
      </c>
      <c r="K4010" s="48" t="str">
        <f aca="false">IF($H4010="","",资金流水!$F408)</f>
        <v/>
      </c>
      <c r="L4010" s="66" t="str">
        <f aca="false">IF(资金流水!$E408="","",IFERROR(INDEX(记账规则!$A$13:$H$32,MATCH(资金流水!$E408,记账规则!$A$13:$A$32,0),3),""))</f>
        <v/>
      </c>
      <c r="M4010" s="66" t="str">
        <f aca="false">IF($L4010="","",IFERROR(INDEX(记账规则!$A$13:$H$32,MATCH(资金流水!$E408,记账规则!$A$13:$A$32,0),4),""))</f>
        <v/>
      </c>
      <c r="N4010" s="66" t="str">
        <f aca="false">IF($L4010="","",IFERROR(INDEX(记账规则!$A$13:$H$32,MATCH(资金流水!$E408,记账规则!$A$13:$A$32,0),5),""))</f>
        <v/>
      </c>
      <c r="O4010" s="67" t="n">
        <f aca="false">IF($H4010="",0,ROUND(IF($N4010="金额",N(资金流水!$P408),0),2))</f>
        <v>0</v>
      </c>
      <c r="P4010" s="64" t="str">
        <f aca="false">IF(AND($H4010&lt;&gt;"",ROUND($O4010,2)&lt;&gt;0),"有","")</f>
        <v/>
      </c>
    </row>
    <row r="4011" customFormat="false" ht="15" hidden="true" customHeight="false" outlineLevel="0" collapsed="false">
      <c r="A4011" s="53" t="str">
        <f aca="false">IF($H4011="","",ROW()-5)</f>
        <v/>
      </c>
      <c r="B4011" s="64" t="s">
        <v>37</v>
      </c>
      <c r="C4011" s="53" t="n">
        <v>408</v>
      </c>
      <c r="D4011" s="53" t="n">
        <v>2</v>
      </c>
      <c r="E4011" s="65" t="str">
        <f aca="false">IF($H4011="","",资金流水!$B408)</f>
        <v/>
      </c>
      <c r="F4011" s="55" t="str">
        <f aca="false">IF($H4011="","",资金流水!$C408)</f>
        <v/>
      </c>
      <c r="G4011" s="48" t="str">
        <f aca="false">IF($H4011="","",资金流水!$K408)</f>
        <v/>
      </c>
      <c r="H4011" s="10" t="str">
        <f aca="false">IF($L4011="","",IF($L4011="@对方",资金流水!$G408,IF($L4011="@账户",资金流水!$Q408,$L4011)))</f>
        <v/>
      </c>
      <c r="I4011" s="42" t="n">
        <f aca="false">IF($M4011="借",$O4011,0)</f>
        <v>0</v>
      </c>
      <c r="J4011" s="42" t="n">
        <f aca="false">IF($M4011="贷",$O4011,0)</f>
        <v>0</v>
      </c>
      <c r="K4011" s="48" t="str">
        <f aca="false">IF($H4011="","",资金流水!$F408)</f>
        <v/>
      </c>
      <c r="L4011" s="66" t="str">
        <f aca="false">IF(资金流水!$E408="","",IFERROR(INDEX(记账规则!$A$13:$H$32,MATCH(资金流水!$E408,记账规则!$A$13:$A$32,0),6),""))</f>
        <v/>
      </c>
      <c r="M4011" s="66" t="str">
        <f aca="false">IF($L4011="","",IFERROR(INDEX(记账规则!$A$13:$H$32,MATCH(资金流水!$E408,记账规则!$A$13:$A$32,0),7),""))</f>
        <v/>
      </c>
      <c r="N4011" s="66" t="str">
        <f aca="false">IF($L4011="","",IFERROR(INDEX(记账规则!$A$13:$H$32,MATCH(资金流水!$E408,记账规则!$A$13:$A$32,0),8),""))</f>
        <v/>
      </c>
      <c r="O4011" s="67" t="n">
        <f aca="false">IF($H4011="",0,ROUND(IF($N4011="金额",N(资金流水!$P408),0),2))</f>
        <v>0</v>
      </c>
      <c r="P4011" s="64" t="str">
        <f aca="false">IF(AND($H4011&lt;&gt;"",ROUND($O4011,2)&lt;&gt;0),"有","")</f>
        <v/>
      </c>
    </row>
    <row r="4012" customFormat="false" ht="15" hidden="true" customHeight="false" outlineLevel="0" collapsed="false">
      <c r="A4012" s="53" t="str">
        <f aca="false">IF($H4012="","",ROW()-5)</f>
        <v/>
      </c>
      <c r="B4012" s="64" t="s">
        <v>37</v>
      </c>
      <c r="C4012" s="53" t="n">
        <v>409</v>
      </c>
      <c r="D4012" s="53" t="n">
        <v>1</v>
      </c>
      <c r="E4012" s="65" t="str">
        <f aca="false">IF($H4012="","",资金流水!$B409)</f>
        <v/>
      </c>
      <c r="F4012" s="55" t="str">
        <f aca="false">IF($H4012="","",资金流水!$C409)</f>
        <v/>
      </c>
      <c r="G4012" s="48" t="str">
        <f aca="false">IF($H4012="","",资金流水!$K409)</f>
        <v/>
      </c>
      <c r="H4012" s="10" t="str">
        <f aca="false">IF($L4012="","",IF($L4012="@对方",资金流水!$G409,IF($L4012="@账户",资金流水!$Q409,$L4012)))</f>
        <v/>
      </c>
      <c r="I4012" s="42" t="n">
        <f aca="false">IF($M4012="借",$O4012,0)</f>
        <v>0</v>
      </c>
      <c r="J4012" s="42" t="n">
        <f aca="false">IF($M4012="贷",$O4012,0)</f>
        <v>0</v>
      </c>
      <c r="K4012" s="48" t="str">
        <f aca="false">IF($H4012="","",资金流水!$F409)</f>
        <v/>
      </c>
      <c r="L4012" s="66" t="str">
        <f aca="false">IF(资金流水!$E409="","",IFERROR(INDEX(记账规则!$A$13:$H$32,MATCH(资金流水!$E409,记账规则!$A$13:$A$32,0),3),""))</f>
        <v/>
      </c>
      <c r="M4012" s="66" t="str">
        <f aca="false">IF($L4012="","",IFERROR(INDEX(记账规则!$A$13:$H$32,MATCH(资金流水!$E409,记账规则!$A$13:$A$32,0),4),""))</f>
        <v/>
      </c>
      <c r="N4012" s="66" t="str">
        <f aca="false">IF($L4012="","",IFERROR(INDEX(记账规则!$A$13:$H$32,MATCH(资金流水!$E409,记账规则!$A$13:$A$32,0),5),""))</f>
        <v/>
      </c>
      <c r="O4012" s="67" t="n">
        <f aca="false">IF($H4012="",0,ROUND(IF($N4012="金额",N(资金流水!$P409),0),2))</f>
        <v>0</v>
      </c>
      <c r="P4012" s="64" t="str">
        <f aca="false">IF(AND($H4012&lt;&gt;"",ROUND($O4012,2)&lt;&gt;0),"有","")</f>
        <v/>
      </c>
    </row>
    <row r="4013" customFormat="false" ht="15" hidden="true" customHeight="false" outlineLevel="0" collapsed="false">
      <c r="A4013" s="53" t="str">
        <f aca="false">IF($H4013="","",ROW()-5)</f>
        <v/>
      </c>
      <c r="B4013" s="64" t="s">
        <v>37</v>
      </c>
      <c r="C4013" s="53" t="n">
        <v>409</v>
      </c>
      <c r="D4013" s="53" t="n">
        <v>2</v>
      </c>
      <c r="E4013" s="65" t="str">
        <f aca="false">IF($H4013="","",资金流水!$B409)</f>
        <v/>
      </c>
      <c r="F4013" s="55" t="str">
        <f aca="false">IF($H4013="","",资金流水!$C409)</f>
        <v/>
      </c>
      <c r="G4013" s="48" t="str">
        <f aca="false">IF($H4013="","",资金流水!$K409)</f>
        <v/>
      </c>
      <c r="H4013" s="10" t="str">
        <f aca="false">IF($L4013="","",IF($L4013="@对方",资金流水!$G409,IF($L4013="@账户",资金流水!$Q409,$L4013)))</f>
        <v/>
      </c>
      <c r="I4013" s="42" t="n">
        <f aca="false">IF($M4013="借",$O4013,0)</f>
        <v>0</v>
      </c>
      <c r="J4013" s="42" t="n">
        <f aca="false">IF($M4013="贷",$O4013,0)</f>
        <v>0</v>
      </c>
      <c r="K4013" s="48" t="str">
        <f aca="false">IF($H4013="","",资金流水!$F409)</f>
        <v/>
      </c>
      <c r="L4013" s="66" t="str">
        <f aca="false">IF(资金流水!$E409="","",IFERROR(INDEX(记账规则!$A$13:$H$32,MATCH(资金流水!$E409,记账规则!$A$13:$A$32,0),6),""))</f>
        <v/>
      </c>
      <c r="M4013" s="66" t="str">
        <f aca="false">IF($L4013="","",IFERROR(INDEX(记账规则!$A$13:$H$32,MATCH(资金流水!$E409,记账规则!$A$13:$A$32,0),7),""))</f>
        <v/>
      </c>
      <c r="N4013" s="66" t="str">
        <f aca="false">IF($L4013="","",IFERROR(INDEX(记账规则!$A$13:$H$32,MATCH(资金流水!$E409,记账规则!$A$13:$A$32,0),8),""))</f>
        <v/>
      </c>
      <c r="O4013" s="67" t="n">
        <f aca="false">IF($H4013="",0,ROUND(IF($N4013="金额",N(资金流水!$P409),0),2))</f>
        <v>0</v>
      </c>
      <c r="P4013" s="64" t="str">
        <f aca="false">IF(AND($H4013&lt;&gt;"",ROUND($O4013,2)&lt;&gt;0),"有","")</f>
        <v/>
      </c>
    </row>
    <row r="4014" customFormat="false" ht="15" hidden="true" customHeight="false" outlineLevel="0" collapsed="false">
      <c r="A4014" s="53" t="str">
        <f aca="false">IF($H4014="","",ROW()-5)</f>
        <v/>
      </c>
      <c r="B4014" s="64" t="s">
        <v>37</v>
      </c>
      <c r="C4014" s="53" t="n">
        <v>410</v>
      </c>
      <c r="D4014" s="53" t="n">
        <v>1</v>
      </c>
      <c r="E4014" s="65" t="str">
        <f aca="false">IF($H4014="","",资金流水!$B410)</f>
        <v/>
      </c>
      <c r="F4014" s="55" t="str">
        <f aca="false">IF($H4014="","",资金流水!$C410)</f>
        <v/>
      </c>
      <c r="G4014" s="48" t="str">
        <f aca="false">IF($H4014="","",资金流水!$K410)</f>
        <v/>
      </c>
      <c r="H4014" s="10" t="str">
        <f aca="false">IF($L4014="","",IF($L4014="@对方",资金流水!$G410,IF($L4014="@账户",资金流水!$Q410,$L4014)))</f>
        <v/>
      </c>
      <c r="I4014" s="42" t="n">
        <f aca="false">IF($M4014="借",$O4014,0)</f>
        <v>0</v>
      </c>
      <c r="J4014" s="42" t="n">
        <f aca="false">IF($M4014="贷",$O4014,0)</f>
        <v>0</v>
      </c>
      <c r="K4014" s="48" t="str">
        <f aca="false">IF($H4014="","",资金流水!$F410)</f>
        <v/>
      </c>
      <c r="L4014" s="66" t="str">
        <f aca="false">IF(资金流水!$E410="","",IFERROR(INDEX(记账规则!$A$13:$H$32,MATCH(资金流水!$E410,记账规则!$A$13:$A$32,0),3),""))</f>
        <v/>
      </c>
      <c r="M4014" s="66" t="str">
        <f aca="false">IF($L4014="","",IFERROR(INDEX(记账规则!$A$13:$H$32,MATCH(资金流水!$E410,记账规则!$A$13:$A$32,0),4),""))</f>
        <v/>
      </c>
      <c r="N4014" s="66" t="str">
        <f aca="false">IF($L4014="","",IFERROR(INDEX(记账规则!$A$13:$H$32,MATCH(资金流水!$E410,记账规则!$A$13:$A$32,0),5),""))</f>
        <v/>
      </c>
      <c r="O4014" s="67" t="n">
        <f aca="false">IF($H4014="",0,ROUND(IF($N4014="金额",N(资金流水!$P410),0),2))</f>
        <v>0</v>
      </c>
      <c r="P4014" s="64" t="str">
        <f aca="false">IF(AND($H4014&lt;&gt;"",ROUND($O4014,2)&lt;&gt;0),"有","")</f>
        <v/>
      </c>
    </row>
    <row r="4015" customFormat="false" ht="15" hidden="true" customHeight="false" outlineLevel="0" collapsed="false">
      <c r="A4015" s="53" t="str">
        <f aca="false">IF($H4015="","",ROW()-5)</f>
        <v/>
      </c>
      <c r="B4015" s="64" t="s">
        <v>37</v>
      </c>
      <c r="C4015" s="53" t="n">
        <v>410</v>
      </c>
      <c r="D4015" s="53" t="n">
        <v>2</v>
      </c>
      <c r="E4015" s="65" t="str">
        <f aca="false">IF($H4015="","",资金流水!$B410)</f>
        <v/>
      </c>
      <c r="F4015" s="55" t="str">
        <f aca="false">IF($H4015="","",资金流水!$C410)</f>
        <v/>
      </c>
      <c r="G4015" s="48" t="str">
        <f aca="false">IF($H4015="","",资金流水!$K410)</f>
        <v/>
      </c>
      <c r="H4015" s="10" t="str">
        <f aca="false">IF($L4015="","",IF($L4015="@对方",资金流水!$G410,IF($L4015="@账户",资金流水!$Q410,$L4015)))</f>
        <v/>
      </c>
      <c r="I4015" s="42" t="n">
        <f aca="false">IF($M4015="借",$O4015,0)</f>
        <v>0</v>
      </c>
      <c r="J4015" s="42" t="n">
        <f aca="false">IF($M4015="贷",$O4015,0)</f>
        <v>0</v>
      </c>
      <c r="K4015" s="48" t="str">
        <f aca="false">IF($H4015="","",资金流水!$F410)</f>
        <v/>
      </c>
      <c r="L4015" s="66" t="str">
        <f aca="false">IF(资金流水!$E410="","",IFERROR(INDEX(记账规则!$A$13:$H$32,MATCH(资金流水!$E410,记账规则!$A$13:$A$32,0),6),""))</f>
        <v/>
      </c>
      <c r="M4015" s="66" t="str">
        <f aca="false">IF($L4015="","",IFERROR(INDEX(记账规则!$A$13:$H$32,MATCH(资金流水!$E410,记账规则!$A$13:$A$32,0),7),""))</f>
        <v/>
      </c>
      <c r="N4015" s="66" t="str">
        <f aca="false">IF($L4015="","",IFERROR(INDEX(记账规则!$A$13:$H$32,MATCH(资金流水!$E410,记账规则!$A$13:$A$32,0),8),""))</f>
        <v/>
      </c>
      <c r="O4015" s="67" t="n">
        <f aca="false">IF($H4015="",0,ROUND(IF($N4015="金额",N(资金流水!$P410),0),2))</f>
        <v>0</v>
      </c>
      <c r="P4015" s="64" t="str">
        <f aca="false">IF(AND($H4015&lt;&gt;"",ROUND($O4015,2)&lt;&gt;0),"有","")</f>
        <v/>
      </c>
    </row>
    <row r="4016" customFormat="false" ht="15" hidden="true" customHeight="false" outlineLevel="0" collapsed="false">
      <c r="A4016" s="53" t="str">
        <f aca="false">IF($H4016="","",ROW()-5)</f>
        <v/>
      </c>
      <c r="B4016" s="64" t="s">
        <v>37</v>
      </c>
      <c r="C4016" s="53" t="n">
        <v>411</v>
      </c>
      <c r="D4016" s="53" t="n">
        <v>1</v>
      </c>
      <c r="E4016" s="65" t="str">
        <f aca="false">IF($H4016="","",资金流水!$B411)</f>
        <v/>
      </c>
      <c r="F4016" s="55" t="str">
        <f aca="false">IF($H4016="","",资金流水!$C411)</f>
        <v/>
      </c>
      <c r="G4016" s="48" t="str">
        <f aca="false">IF($H4016="","",资金流水!$K411)</f>
        <v/>
      </c>
      <c r="H4016" s="10" t="str">
        <f aca="false">IF($L4016="","",IF($L4016="@对方",资金流水!$G411,IF($L4016="@账户",资金流水!$Q411,$L4016)))</f>
        <v/>
      </c>
      <c r="I4016" s="42" t="n">
        <f aca="false">IF($M4016="借",$O4016,0)</f>
        <v>0</v>
      </c>
      <c r="J4016" s="42" t="n">
        <f aca="false">IF($M4016="贷",$O4016,0)</f>
        <v>0</v>
      </c>
      <c r="K4016" s="48" t="str">
        <f aca="false">IF($H4016="","",资金流水!$F411)</f>
        <v/>
      </c>
      <c r="L4016" s="66" t="str">
        <f aca="false">IF(资金流水!$E411="","",IFERROR(INDEX(记账规则!$A$13:$H$32,MATCH(资金流水!$E411,记账规则!$A$13:$A$32,0),3),""))</f>
        <v/>
      </c>
      <c r="M4016" s="66" t="str">
        <f aca="false">IF($L4016="","",IFERROR(INDEX(记账规则!$A$13:$H$32,MATCH(资金流水!$E411,记账规则!$A$13:$A$32,0),4),""))</f>
        <v/>
      </c>
      <c r="N4016" s="66" t="str">
        <f aca="false">IF($L4016="","",IFERROR(INDEX(记账规则!$A$13:$H$32,MATCH(资金流水!$E411,记账规则!$A$13:$A$32,0),5),""))</f>
        <v/>
      </c>
      <c r="O4016" s="67" t="n">
        <f aca="false">IF($H4016="",0,ROUND(IF($N4016="金额",N(资金流水!$P411),0),2))</f>
        <v>0</v>
      </c>
      <c r="P4016" s="64" t="str">
        <f aca="false">IF(AND($H4016&lt;&gt;"",ROUND($O4016,2)&lt;&gt;0),"有","")</f>
        <v/>
      </c>
    </row>
    <row r="4017" customFormat="false" ht="15" hidden="true" customHeight="false" outlineLevel="0" collapsed="false">
      <c r="A4017" s="53" t="str">
        <f aca="false">IF($H4017="","",ROW()-5)</f>
        <v/>
      </c>
      <c r="B4017" s="64" t="s">
        <v>37</v>
      </c>
      <c r="C4017" s="53" t="n">
        <v>411</v>
      </c>
      <c r="D4017" s="53" t="n">
        <v>2</v>
      </c>
      <c r="E4017" s="65" t="str">
        <f aca="false">IF($H4017="","",资金流水!$B411)</f>
        <v/>
      </c>
      <c r="F4017" s="55" t="str">
        <f aca="false">IF($H4017="","",资金流水!$C411)</f>
        <v/>
      </c>
      <c r="G4017" s="48" t="str">
        <f aca="false">IF($H4017="","",资金流水!$K411)</f>
        <v/>
      </c>
      <c r="H4017" s="10" t="str">
        <f aca="false">IF($L4017="","",IF($L4017="@对方",资金流水!$G411,IF($L4017="@账户",资金流水!$Q411,$L4017)))</f>
        <v/>
      </c>
      <c r="I4017" s="42" t="n">
        <f aca="false">IF($M4017="借",$O4017,0)</f>
        <v>0</v>
      </c>
      <c r="J4017" s="42" t="n">
        <f aca="false">IF($M4017="贷",$O4017,0)</f>
        <v>0</v>
      </c>
      <c r="K4017" s="48" t="str">
        <f aca="false">IF($H4017="","",资金流水!$F411)</f>
        <v/>
      </c>
      <c r="L4017" s="66" t="str">
        <f aca="false">IF(资金流水!$E411="","",IFERROR(INDEX(记账规则!$A$13:$H$32,MATCH(资金流水!$E411,记账规则!$A$13:$A$32,0),6),""))</f>
        <v/>
      </c>
      <c r="M4017" s="66" t="str">
        <f aca="false">IF($L4017="","",IFERROR(INDEX(记账规则!$A$13:$H$32,MATCH(资金流水!$E411,记账规则!$A$13:$A$32,0),7),""))</f>
        <v/>
      </c>
      <c r="N4017" s="66" t="str">
        <f aca="false">IF($L4017="","",IFERROR(INDEX(记账规则!$A$13:$H$32,MATCH(资金流水!$E411,记账规则!$A$13:$A$32,0),8),""))</f>
        <v/>
      </c>
      <c r="O4017" s="67" t="n">
        <f aca="false">IF($H4017="",0,ROUND(IF($N4017="金额",N(资金流水!$P411),0),2))</f>
        <v>0</v>
      </c>
      <c r="P4017" s="64" t="str">
        <f aca="false">IF(AND($H4017&lt;&gt;"",ROUND($O4017,2)&lt;&gt;0),"有","")</f>
        <v/>
      </c>
    </row>
    <row r="4018" customFormat="false" ht="15" hidden="true" customHeight="false" outlineLevel="0" collapsed="false">
      <c r="A4018" s="53" t="str">
        <f aca="false">IF($H4018="","",ROW()-5)</f>
        <v/>
      </c>
      <c r="B4018" s="64" t="s">
        <v>37</v>
      </c>
      <c r="C4018" s="53" t="n">
        <v>412</v>
      </c>
      <c r="D4018" s="53" t="n">
        <v>1</v>
      </c>
      <c r="E4018" s="65" t="str">
        <f aca="false">IF($H4018="","",资金流水!$B412)</f>
        <v/>
      </c>
      <c r="F4018" s="55" t="str">
        <f aca="false">IF($H4018="","",资金流水!$C412)</f>
        <v/>
      </c>
      <c r="G4018" s="48" t="str">
        <f aca="false">IF($H4018="","",资金流水!$K412)</f>
        <v/>
      </c>
      <c r="H4018" s="10" t="str">
        <f aca="false">IF($L4018="","",IF($L4018="@对方",资金流水!$G412,IF($L4018="@账户",资金流水!$Q412,$L4018)))</f>
        <v/>
      </c>
      <c r="I4018" s="42" t="n">
        <f aca="false">IF($M4018="借",$O4018,0)</f>
        <v>0</v>
      </c>
      <c r="J4018" s="42" t="n">
        <f aca="false">IF($M4018="贷",$O4018,0)</f>
        <v>0</v>
      </c>
      <c r="K4018" s="48" t="str">
        <f aca="false">IF($H4018="","",资金流水!$F412)</f>
        <v/>
      </c>
      <c r="L4018" s="66" t="str">
        <f aca="false">IF(资金流水!$E412="","",IFERROR(INDEX(记账规则!$A$13:$H$32,MATCH(资金流水!$E412,记账规则!$A$13:$A$32,0),3),""))</f>
        <v/>
      </c>
      <c r="M4018" s="66" t="str">
        <f aca="false">IF($L4018="","",IFERROR(INDEX(记账规则!$A$13:$H$32,MATCH(资金流水!$E412,记账规则!$A$13:$A$32,0),4),""))</f>
        <v/>
      </c>
      <c r="N4018" s="66" t="str">
        <f aca="false">IF($L4018="","",IFERROR(INDEX(记账规则!$A$13:$H$32,MATCH(资金流水!$E412,记账规则!$A$13:$A$32,0),5),""))</f>
        <v/>
      </c>
      <c r="O4018" s="67" t="n">
        <f aca="false">IF($H4018="",0,ROUND(IF($N4018="金额",N(资金流水!$P412),0),2))</f>
        <v>0</v>
      </c>
      <c r="P4018" s="64" t="str">
        <f aca="false">IF(AND($H4018&lt;&gt;"",ROUND($O4018,2)&lt;&gt;0),"有","")</f>
        <v/>
      </c>
    </row>
    <row r="4019" customFormat="false" ht="15" hidden="true" customHeight="false" outlineLevel="0" collapsed="false">
      <c r="A4019" s="53" t="str">
        <f aca="false">IF($H4019="","",ROW()-5)</f>
        <v/>
      </c>
      <c r="B4019" s="64" t="s">
        <v>37</v>
      </c>
      <c r="C4019" s="53" t="n">
        <v>412</v>
      </c>
      <c r="D4019" s="53" t="n">
        <v>2</v>
      </c>
      <c r="E4019" s="65" t="str">
        <f aca="false">IF($H4019="","",资金流水!$B412)</f>
        <v/>
      </c>
      <c r="F4019" s="55" t="str">
        <f aca="false">IF($H4019="","",资金流水!$C412)</f>
        <v/>
      </c>
      <c r="G4019" s="48" t="str">
        <f aca="false">IF($H4019="","",资金流水!$K412)</f>
        <v/>
      </c>
      <c r="H4019" s="10" t="str">
        <f aca="false">IF($L4019="","",IF($L4019="@对方",资金流水!$G412,IF($L4019="@账户",资金流水!$Q412,$L4019)))</f>
        <v/>
      </c>
      <c r="I4019" s="42" t="n">
        <f aca="false">IF($M4019="借",$O4019,0)</f>
        <v>0</v>
      </c>
      <c r="J4019" s="42" t="n">
        <f aca="false">IF($M4019="贷",$O4019,0)</f>
        <v>0</v>
      </c>
      <c r="K4019" s="48" t="str">
        <f aca="false">IF($H4019="","",资金流水!$F412)</f>
        <v/>
      </c>
      <c r="L4019" s="66" t="str">
        <f aca="false">IF(资金流水!$E412="","",IFERROR(INDEX(记账规则!$A$13:$H$32,MATCH(资金流水!$E412,记账规则!$A$13:$A$32,0),6),""))</f>
        <v/>
      </c>
      <c r="M4019" s="66" t="str">
        <f aca="false">IF($L4019="","",IFERROR(INDEX(记账规则!$A$13:$H$32,MATCH(资金流水!$E412,记账规则!$A$13:$A$32,0),7),""))</f>
        <v/>
      </c>
      <c r="N4019" s="66" t="str">
        <f aca="false">IF($L4019="","",IFERROR(INDEX(记账规则!$A$13:$H$32,MATCH(资金流水!$E412,记账规则!$A$13:$A$32,0),8),""))</f>
        <v/>
      </c>
      <c r="O4019" s="67" t="n">
        <f aca="false">IF($H4019="",0,ROUND(IF($N4019="金额",N(资金流水!$P412),0),2))</f>
        <v>0</v>
      </c>
      <c r="P4019" s="64" t="str">
        <f aca="false">IF(AND($H4019&lt;&gt;"",ROUND($O4019,2)&lt;&gt;0),"有","")</f>
        <v/>
      </c>
    </row>
    <row r="4020" customFormat="false" ht="15" hidden="true" customHeight="false" outlineLevel="0" collapsed="false">
      <c r="A4020" s="53" t="str">
        <f aca="false">IF($H4020="","",ROW()-5)</f>
        <v/>
      </c>
      <c r="B4020" s="64" t="s">
        <v>37</v>
      </c>
      <c r="C4020" s="53" t="n">
        <v>413</v>
      </c>
      <c r="D4020" s="53" t="n">
        <v>1</v>
      </c>
      <c r="E4020" s="65" t="str">
        <f aca="false">IF($H4020="","",资金流水!$B413)</f>
        <v/>
      </c>
      <c r="F4020" s="55" t="str">
        <f aca="false">IF($H4020="","",资金流水!$C413)</f>
        <v/>
      </c>
      <c r="G4020" s="48" t="str">
        <f aca="false">IF($H4020="","",资金流水!$K413)</f>
        <v/>
      </c>
      <c r="H4020" s="10" t="str">
        <f aca="false">IF($L4020="","",IF($L4020="@对方",资金流水!$G413,IF($L4020="@账户",资金流水!$Q413,$L4020)))</f>
        <v/>
      </c>
      <c r="I4020" s="42" t="n">
        <f aca="false">IF($M4020="借",$O4020,0)</f>
        <v>0</v>
      </c>
      <c r="J4020" s="42" t="n">
        <f aca="false">IF($M4020="贷",$O4020,0)</f>
        <v>0</v>
      </c>
      <c r="K4020" s="48" t="str">
        <f aca="false">IF($H4020="","",资金流水!$F413)</f>
        <v/>
      </c>
      <c r="L4020" s="66" t="str">
        <f aca="false">IF(资金流水!$E413="","",IFERROR(INDEX(记账规则!$A$13:$H$32,MATCH(资金流水!$E413,记账规则!$A$13:$A$32,0),3),""))</f>
        <v/>
      </c>
      <c r="M4020" s="66" t="str">
        <f aca="false">IF($L4020="","",IFERROR(INDEX(记账规则!$A$13:$H$32,MATCH(资金流水!$E413,记账规则!$A$13:$A$32,0),4),""))</f>
        <v/>
      </c>
      <c r="N4020" s="66" t="str">
        <f aca="false">IF($L4020="","",IFERROR(INDEX(记账规则!$A$13:$H$32,MATCH(资金流水!$E413,记账规则!$A$13:$A$32,0),5),""))</f>
        <v/>
      </c>
      <c r="O4020" s="67" t="n">
        <f aca="false">IF($H4020="",0,ROUND(IF($N4020="金额",N(资金流水!$P413),0),2))</f>
        <v>0</v>
      </c>
      <c r="P4020" s="64" t="str">
        <f aca="false">IF(AND($H4020&lt;&gt;"",ROUND($O4020,2)&lt;&gt;0),"有","")</f>
        <v/>
      </c>
    </row>
    <row r="4021" customFormat="false" ht="15" hidden="true" customHeight="false" outlineLevel="0" collapsed="false">
      <c r="A4021" s="53" t="str">
        <f aca="false">IF($H4021="","",ROW()-5)</f>
        <v/>
      </c>
      <c r="B4021" s="64" t="s">
        <v>37</v>
      </c>
      <c r="C4021" s="53" t="n">
        <v>413</v>
      </c>
      <c r="D4021" s="53" t="n">
        <v>2</v>
      </c>
      <c r="E4021" s="65" t="str">
        <f aca="false">IF($H4021="","",资金流水!$B413)</f>
        <v/>
      </c>
      <c r="F4021" s="55" t="str">
        <f aca="false">IF($H4021="","",资金流水!$C413)</f>
        <v/>
      </c>
      <c r="G4021" s="48" t="str">
        <f aca="false">IF($H4021="","",资金流水!$K413)</f>
        <v/>
      </c>
      <c r="H4021" s="10" t="str">
        <f aca="false">IF($L4021="","",IF($L4021="@对方",资金流水!$G413,IF($L4021="@账户",资金流水!$Q413,$L4021)))</f>
        <v/>
      </c>
      <c r="I4021" s="42" t="n">
        <f aca="false">IF($M4021="借",$O4021,0)</f>
        <v>0</v>
      </c>
      <c r="J4021" s="42" t="n">
        <f aca="false">IF($M4021="贷",$O4021,0)</f>
        <v>0</v>
      </c>
      <c r="K4021" s="48" t="str">
        <f aca="false">IF($H4021="","",资金流水!$F413)</f>
        <v/>
      </c>
      <c r="L4021" s="66" t="str">
        <f aca="false">IF(资金流水!$E413="","",IFERROR(INDEX(记账规则!$A$13:$H$32,MATCH(资金流水!$E413,记账规则!$A$13:$A$32,0),6),""))</f>
        <v/>
      </c>
      <c r="M4021" s="66" t="str">
        <f aca="false">IF($L4021="","",IFERROR(INDEX(记账规则!$A$13:$H$32,MATCH(资金流水!$E413,记账规则!$A$13:$A$32,0),7),""))</f>
        <v/>
      </c>
      <c r="N4021" s="66" t="str">
        <f aca="false">IF($L4021="","",IFERROR(INDEX(记账规则!$A$13:$H$32,MATCH(资金流水!$E413,记账规则!$A$13:$A$32,0),8),""))</f>
        <v/>
      </c>
      <c r="O4021" s="67" t="n">
        <f aca="false">IF($H4021="",0,ROUND(IF($N4021="金额",N(资金流水!$P413),0),2))</f>
        <v>0</v>
      </c>
      <c r="P4021" s="64" t="str">
        <f aca="false">IF(AND($H4021&lt;&gt;"",ROUND($O4021,2)&lt;&gt;0),"有","")</f>
        <v/>
      </c>
    </row>
    <row r="4022" customFormat="false" ht="15" hidden="true" customHeight="false" outlineLevel="0" collapsed="false">
      <c r="A4022" s="53" t="str">
        <f aca="false">IF($H4022="","",ROW()-5)</f>
        <v/>
      </c>
      <c r="B4022" s="64" t="s">
        <v>37</v>
      </c>
      <c r="C4022" s="53" t="n">
        <v>414</v>
      </c>
      <c r="D4022" s="53" t="n">
        <v>1</v>
      </c>
      <c r="E4022" s="65" t="str">
        <f aca="false">IF($H4022="","",资金流水!$B414)</f>
        <v/>
      </c>
      <c r="F4022" s="55" t="str">
        <f aca="false">IF($H4022="","",资金流水!$C414)</f>
        <v/>
      </c>
      <c r="G4022" s="48" t="str">
        <f aca="false">IF($H4022="","",资金流水!$K414)</f>
        <v/>
      </c>
      <c r="H4022" s="10" t="str">
        <f aca="false">IF($L4022="","",IF($L4022="@对方",资金流水!$G414,IF($L4022="@账户",资金流水!$Q414,$L4022)))</f>
        <v/>
      </c>
      <c r="I4022" s="42" t="n">
        <f aca="false">IF($M4022="借",$O4022,0)</f>
        <v>0</v>
      </c>
      <c r="J4022" s="42" t="n">
        <f aca="false">IF($M4022="贷",$O4022,0)</f>
        <v>0</v>
      </c>
      <c r="K4022" s="48" t="str">
        <f aca="false">IF($H4022="","",资金流水!$F414)</f>
        <v/>
      </c>
      <c r="L4022" s="66" t="str">
        <f aca="false">IF(资金流水!$E414="","",IFERROR(INDEX(记账规则!$A$13:$H$32,MATCH(资金流水!$E414,记账规则!$A$13:$A$32,0),3),""))</f>
        <v/>
      </c>
      <c r="M4022" s="66" t="str">
        <f aca="false">IF($L4022="","",IFERROR(INDEX(记账规则!$A$13:$H$32,MATCH(资金流水!$E414,记账规则!$A$13:$A$32,0),4),""))</f>
        <v/>
      </c>
      <c r="N4022" s="66" t="str">
        <f aca="false">IF($L4022="","",IFERROR(INDEX(记账规则!$A$13:$H$32,MATCH(资金流水!$E414,记账规则!$A$13:$A$32,0),5),""))</f>
        <v/>
      </c>
      <c r="O4022" s="67" t="n">
        <f aca="false">IF($H4022="",0,ROUND(IF($N4022="金额",N(资金流水!$P414),0),2))</f>
        <v>0</v>
      </c>
      <c r="P4022" s="64" t="str">
        <f aca="false">IF(AND($H4022&lt;&gt;"",ROUND($O4022,2)&lt;&gt;0),"有","")</f>
        <v/>
      </c>
    </row>
    <row r="4023" customFormat="false" ht="15" hidden="true" customHeight="false" outlineLevel="0" collapsed="false">
      <c r="A4023" s="53" t="str">
        <f aca="false">IF($H4023="","",ROW()-5)</f>
        <v/>
      </c>
      <c r="B4023" s="64" t="s">
        <v>37</v>
      </c>
      <c r="C4023" s="53" t="n">
        <v>414</v>
      </c>
      <c r="D4023" s="53" t="n">
        <v>2</v>
      </c>
      <c r="E4023" s="65" t="str">
        <f aca="false">IF($H4023="","",资金流水!$B414)</f>
        <v/>
      </c>
      <c r="F4023" s="55" t="str">
        <f aca="false">IF($H4023="","",资金流水!$C414)</f>
        <v/>
      </c>
      <c r="G4023" s="48" t="str">
        <f aca="false">IF($H4023="","",资金流水!$K414)</f>
        <v/>
      </c>
      <c r="H4023" s="10" t="str">
        <f aca="false">IF($L4023="","",IF($L4023="@对方",资金流水!$G414,IF($L4023="@账户",资金流水!$Q414,$L4023)))</f>
        <v/>
      </c>
      <c r="I4023" s="42" t="n">
        <f aca="false">IF($M4023="借",$O4023,0)</f>
        <v>0</v>
      </c>
      <c r="J4023" s="42" t="n">
        <f aca="false">IF($M4023="贷",$O4023,0)</f>
        <v>0</v>
      </c>
      <c r="K4023" s="48" t="str">
        <f aca="false">IF($H4023="","",资金流水!$F414)</f>
        <v/>
      </c>
      <c r="L4023" s="66" t="str">
        <f aca="false">IF(资金流水!$E414="","",IFERROR(INDEX(记账规则!$A$13:$H$32,MATCH(资金流水!$E414,记账规则!$A$13:$A$32,0),6),""))</f>
        <v/>
      </c>
      <c r="M4023" s="66" t="str">
        <f aca="false">IF($L4023="","",IFERROR(INDEX(记账规则!$A$13:$H$32,MATCH(资金流水!$E414,记账规则!$A$13:$A$32,0),7),""))</f>
        <v/>
      </c>
      <c r="N4023" s="66" t="str">
        <f aca="false">IF($L4023="","",IFERROR(INDEX(记账规则!$A$13:$H$32,MATCH(资金流水!$E414,记账规则!$A$13:$A$32,0),8),""))</f>
        <v/>
      </c>
      <c r="O4023" s="67" t="n">
        <f aca="false">IF($H4023="",0,ROUND(IF($N4023="金额",N(资金流水!$P414),0),2))</f>
        <v>0</v>
      </c>
      <c r="P4023" s="64" t="str">
        <f aca="false">IF(AND($H4023&lt;&gt;"",ROUND($O4023,2)&lt;&gt;0),"有","")</f>
        <v/>
      </c>
    </row>
    <row r="4024" customFormat="false" ht="15" hidden="true" customHeight="false" outlineLevel="0" collapsed="false">
      <c r="A4024" s="53" t="str">
        <f aca="false">IF($H4024="","",ROW()-5)</f>
        <v/>
      </c>
      <c r="B4024" s="64" t="s">
        <v>37</v>
      </c>
      <c r="C4024" s="53" t="n">
        <v>415</v>
      </c>
      <c r="D4024" s="53" t="n">
        <v>1</v>
      </c>
      <c r="E4024" s="65" t="str">
        <f aca="false">IF($H4024="","",资金流水!$B415)</f>
        <v/>
      </c>
      <c r="F4024" s="55" t="str">
        <f aca="false">IF($H4024="","",资金流水!$C415)</f>
        <v/>
      </c>
      <c r="G4024" s="48" t="str">
        <f aca="false">IF($H4024="","",资金流水!$K415)</f>
        <v/>
      </c>
      <c r="H4024" s="10" t="str">
        <f aca="false">IF($L4024="","",IF($L4024="@对方",资金流水!$G415,IF($L4024="@账户",资金流水!$Q415,$L4024)))</f>
        <v/>
      </c>
      <c r="I4024" s="42" t="n">
        <f aca="false">IF($M4024="借",$O4024,0)</f>
        <v>0</v>
      </c>
      <c r="J4024" s="42" t="n">
        <f aca="false">IF($M4024="贷",$O4024,0)</f>
        <v>0</v>
      </c>
      <c r="K4024" s="48" t="str">
        <f aca="false">IF($H4024="","",资金流水!$F415)</f>
        <v/>
      </c>
      <c r="L4024" s="66" t="str">
        <f aca="false">IF(资金流水!$E415="","",IFERROR(INDEX(记账规则!$A$13:$H$32,MATCH(资金流水!$E415,记账规则!$A$13:$A$32,0),3),""))</f>
        <v/>
      </c>
      <c r="M4024" s="66" t="str">
        <f aca="false">IF($L4024="","",IFERROR(INDEX(记账规则!$A$13:$H$32,MATCH(资金流水!$E415,记账规则!$A$13:$A$32,0),4),""))</f>
        <v/>
      </c>
      <c r="N4024" s="66" t="str">
        <f aca="false">IF($L4024="","",IFERROR(INDEX(记账规则!$A$13:$H$32,MATCH(资金流水!$E415,记账规则!$A$13:$A$32,0),5),""))</f>
        <v/>
      </c>
      <c r="O4024" s="67" t="n">
        <f aca="false">IF($H4024="",0,ROUND(IF($N4024="金额",N(资金流水!$P415),0),2))</f>
        <v>0</v>
      </c>
      <c r="P4024" s="64" t="str">
        <f aca="false">IF(AND($H4024&lt;&gt;"",ROUND($O4024,2)&lt;&gt;0),"有","")</f>
        <v/>
      </c>
    </row>
    <row r="4025" customFormat="false" ht="15" hidden="true" customHeight="false" outlineLevel="0" collapsed="false">
      <c r="A4025" s="53" t="str">
        <f aca="false">IF($H4025="","",ROW()-5)</f>
        <v/>
      </c>
      <c r="B4025" s="64" t="s">
        <v>37</v>
      </c>
      <c r="C4025" s="53" t="n">
        <v>415</v>
      </c>
      <c r="D4025" s="53" t="n">
        <v>2</v>
      </c>
      <c r="E4025" s="65" t="str">
        <f aca="false">IF($H4025="","",资金流水!$B415)</f>
        <v/>
      </c>
      <c r="F4025" s="55" t="str">
        <f aca="false">IF($H4025="","",资金流水!$C415)</f>
        <v/>
      </c>
      <c r="G4025" s="48" t="str">
        <f aca="false">IF($H4025="","",资金流水!$K415)</f>
        <v/>
      </c>
      <c r="H4025" s="10" t="str">
        <f aca="false">IF($L4025="","",IF($L4025="@对方",资金流水!$G415,IF($L4025="@账户",资金流水!$Q415,$L4025)))</f>
        <v/>
      </c>
      <c r="I4025" s="42" t="n">
        <f aca="false">IF($M4025="借",$O4025,0)</f>
        <v>0</v>
      </c>
      <c r="J4025" s="42" t="n">
        <f aca="false">IF($M4025="贷",$O4025,0)</f>
        <v>0</v>
      </c>
      <c r="K4025" s="48" t="str">
        <f aca="false">IF($H4025="","",资金流水!$F415)</f>
        <v/>
      </c>
      <c r="L4025" s="66" t="str">
        <f aca="false">IF(资金流水!$E415="","",IFERROR(INDEX(记账规则!$A$13:$H$32,MATCH(资金流水!$E415,记账规则!$A$13:$A$32,0),6),""))</f>
        <v/>
      </c>
      <c r="M4025" s="66" t="str">
        <f aca="false">IF($L4025="","",IFERROR(INDEX(记账规则!$A$13:$H$32,MATCH(资金流水!$E415,记账规则!$A$13:$A$32,0),7),""))</f>
        <v/>
      </c>
      <c r="N4025" s="66" t="str">
        <f aca="false">IF($L4025="","",IFERROR(INDEX(记账规则!$A$13:$H$32,MATCH(资金流水!$E415,记账规则!$A$13:$A$32,0),8),""))</f>
        <v/>
      </c>
      <c r="O4025" s="67" t="n">
        <f aca="false">IF($H4025="",0,ROUND(IF($N4025="金额",N(资金流水!$P415),0),2))</f>
        <v>0</v>
      </c>
      <c r="P4025" s="64" t="str">
        <f aca="false">IF(AND($H4025&lt;&gt;"",ROUND($O4025,2)&lt;&gt;0),"有","")</f>
        <v/>
      </c>
    </row>
    <row r="4026" customFormat="false" ht="15" hidden="true" customHeight="false" outlineLevel="0" collapsed="false">
      <c r="A4026" s="53" t="str">
        <f aca="false">IF($H4026="","",ROW()-5)</f>
        <v/>
      </c>
      <c r="B4026" s="64" t="s">
        <v>37</v>
      </c>
      <c r="C4026" s="53" t="n">
        <v>416</v>
      </c>
      <c r="D4026" s="53" t="n">
        <v>1</v>
      </c>
      <c r="E4026" s="65" t="str">
        <f aca="false">IF($H4026="","",资金流水!$B416)</f>
        <v/>
      </c>
      <c r="F4026" s="55" t="str">
        <f aca="false">IF($H4026="","",资金流水!$C416)</f>
        <v/>
      </c>
      <c r="G4026" s="48" t="str">
        <f aca="false">IF($H4026="","",资金流水!$K416)</f>
        <v/>
      </c>
      <c r="H4026" s="10" t="str">
        <f aca="false">IF($L4026="","",IF($L4026="@对方",资金流水!$G416,IF($L4026="@账户",资金流水!$Q416,$L4026)))</f>
        <v/>
      </c>
      <c r="I4026" s="42" t="n">
        <f aca="false">IF($M4026="借",$O4026,0)</f>
        <v>0</v>
      </c>
      <c r="J4026" s="42" t="n">
        <f aca="false">IF($M4026="贷",$O4026,0)</f>
        <v>0</v>
      </c>
      <c r="K4026" s="48" t="str">
        <f aca="false">IF($H4026="","",资金流水!$F416)</f>
        <v/>
      </c>
      <c r="L4026" s="66" t="str">
        <f aca="false">IF(资金流水!$E416="","",IFERROR(INDEX(记账规则!$A$13:$H$32,MATCH(资金流水!$E416,记账规则!$A$13:$A$32,0),3),""))</f>
        <v/>
      </c>
      <c r="M4026" s="66" t="str">
        <f aca="false">IF($L4026="","",IFERROR(INDEX(记账规则!$A$13:$H$32,MATCH(资金流水!$E416,记账规则!$A$13:$A$32,0),4),""))</f>
        <v/>
      </c>
      <c r="N4026" s="66" t="str">
        <f aca="false">IF($L4026="","",IFERROR(INDEX(记账规则!$A$13:$H$32,MATCH(资金流水!$E416,记账规则!$A$13:$A$32,0),5),""))</f>
        <v/>
      </c>
      <c r="O4026" s="67" t="n">
        <f aca="false">IF($H4026="",0,ROUND(IF($N4026="金额",N(资金流水!$P416),0),2))</f>
        <v>0</v>
      </c>
      <c r="P4026" s="64" t="str">
        <f aca="false">IF(AND($H4026&lt;&gt;"",ROUND($O4026,2)&lt;&gt;0),"有","")</f>
        <v/>
      </c>
    </row>
    <row r="4027" customFormat="false" ht="15" hidden="true" customHeight="false" outlineLevel="0" collapsed="false">
      <c r="A4027" s="53" t="str">
        <f aca="false">IF($H4027="","",ROW()-5)</f>
        <v/>
      </c>
      <c r="B4027" s="64" t="s">
        <v>37</v>
      </c>
      <c r="C4027" s="53" t="n">
        <v>416</v>
      </c>
      <c r="D4027" s="53" t="n">
        <v>2</v>
      </c>
      <c r="E4027" s="65" t="str">
        <f aca="false">IF($H4027="","",资金流水!$B416)</f>
        <v/>
      </c>
      <c r="F4027" s="55" t="str">
        <f aca="false">IF($H4027="","",资金流水!$C416)</f>
        <v/>
      </c>
      <c r="G4027" s="48" t="str">
        <f aca="false">IF($H4027="","",资金流水!$K416)</f>
        <v/>
      </c>
      <c r="H4027" s="10" t="str">
        <f aca="false">IF($L4027="","",IF($L4027="@对方",资金流水!$G416,IF($L4027="@账户",资金流水!$Q416,$L4027)))</f>
        <v/>
      </c>
      <c r="I4027" s="42" t="n">
        <f aca="false">IF($M4027="借",$O4027,0)</f>
        <v>0</v>
      </c>
      <c r="J4027" s="42" t="n">
        <f aca="false">IF($M4027="贷",$O4027,0)</f>
        <v>0</v>
      </c>
      <c r="K4027" s="48" t="str">
        <f aca="false">IF($H4027="","",资金流水!$F416)</f>
        <v/>
      </c>
      <c r="L4027" s="66" t="str">
        <f aca="false">IF(资金流水!$E416="","",IFERROR(INDEX(记账规则!$A$13:$H$32,MATCH(资金流水!$E416,记账规则!$A$13:$A$32,0),6),""))</f>
        <v/>
      </c>
      <c r="M4027" s="66" t="str">
        <f aca="false">IF($L4027="","",IFERROR(INDEX(记账规则!$A$13:$H$32,MATCH(资金流水!$E416,记账规则!$A$13:$A$32,0),7),""))</f>
        <v/>
      </c>
      <c r="N4027" s="66" t="str">
        <f aca="false">IF($L4027="","",IFERROR(INDEX(记账规则!$A$13:$H$32,MATCH(资金流水!$E416,记账规则!$A$13:$A$32,0),8),""))</f>
        <v/>
      </c>
      <c r="O4027" s="67" t="n">
        <f aca="false">IF($H4027="",0,ROUND(IF($N4027="金额",N(资金流水!$P416),0),2))</f>
        <v>0</v>
      </c>
      <c r="P4027" s="64" t="str">
        <f aca="false">IF(AND($H4027&lt;&gt;"",ROUND($O4027,2)&lt;&gt;0),"有","")</f>
        <v/>
      </c>
    </row>
    <row r="4028" customFormat="false" ht="15" hidden="true" customHeight="false" outlineLevel="0" collapsed="false">
      <c r="A4028" s="53" t="str">
        <f aca="false">IF($H4028="","",ROW()-5)</f>
        <v/>
      </c>
      <c r="B4028" s="64" t="s">
        <v>37</v>
      </c>
      <c r="C4028" s="53" t="n">
        <v>417</v>
      </c>
      <c r="D4028" s="53" t="n">
        <v>1</v>
      </c>
      <c r="E4028" s="65" t="str">
        <f aca="false">IF($H4028="","",资金流水!$B417)</f>
        <v/>
      </c>
      <c r="F4028" s="55" t="str">
        <f aca="false">IF($H4028="","",资金流水!$C417)</f>
        <v/>
      </c>
      <c r="G4028" s="48" t="str">
        <f aca="false">IF($H4028="","",资金流水!$K417)</f>
        <v/>
      </c>
      <c r="H4028" s="10" t="str">
        <f aca="false">IF($L4028="","",IF($L4028="@对方",资金流水!$G417,IF($L4028="@账户",资金流水!$Q417,$L4028)))</f>
        <v/>
      </c>
      <c r="I4028" s="42" t="n">
        <f aca="false">IF($M4028="借",$O4028,0)</f>
        <v>0</v>
      </c>
      <c r="J4028" s="42" t="n">
        <f aca="false">IF($M4028="贷",$O4028,0)</f>
        <v>0</v>
      </c>
      <c r="K4028" s="48" t="str">
        <f aca="false">IF($H4028="","",资金流水!$F417)</f>
        <v/>
      </c>
      <c r="L4028" s="66" t="str">
        <f aca="false">IF(资金流水!$E417="","",IFERROR(INDEX(记账规则!$A$13:$H$32,MATCH(资金流水!$E417,记账规则!$A$13:$A$32,0),3),""))</f>
        <v/>
      </c>
      <c r="M4028" s="66" t="str">
        <f aca="false">IF($L4028="","",IFERROR(INDEX(记账规则!$A$13:$H$32,MATCH(资金流水!$E417,记账规则!$A$13:$A$32,0),4),""))</f>
        <v/>
      </c>
      <c r="N4028" s="66" t="str">
        <f aca="false">IF($L4028="","",IFERROR(INDEX(记账规则!$A$13:$H$32,MATCH(资金流水!$E417,记账规则!$A$13:$A$32,0),5),""))</f>
        <v/>
      </c>
      <c r="O4028" s="67" t="n">
        <f aca="false">IF($H4028="",0,ROUND(IF($N4028="金额",N(资金流水!$P417),0),2))</f>
        <v>0</v>
      </c>
      <c r="P4028" s="64" t="str">
        <f aca="false">IF(AND($H4028&lt;&gt;"",ROUND($O4028,2)&lt;&gt;0),"有","")</f>
        <v/>
      </c>
    </row>
    <row r="4029" customFormat="false" ht="15" hidden="true" customHeight="false" outlineLevel="0" collapsed="false">
      <c r="A4029" s="53" t="str">
        <f aca="false">IF($H4029="","",ROW()-5)</f>
        <v/>
      </c>
      <c r="B4029" s="64" t="s">
        <v>37</v>
      </c>
      <c r="C4029" s="53" t="n">
        <v>417</v>
      </c>
      <c r="D4029" s="53" t="n">
        <v>2</v>
      </c>
      <c r="E4029" s="65" t="str">
        <f aca="false">IF($H4029="","",资金流水!$B417)</f>
        <v/>
      </c>
      <c r="F4029" s="55" t="str">
        <f aca="false">IF($H4029="","",资金流水!$C417)</f>
        <v/>
      </c>
      <c r="G4029" s="48" t="str">
        <f aca="false">IF($H4029="","",资金流水!$K417)</f>
        <v/>
      </c>
      <c r="H4029" s="10" t="str">
        <f aca="false">IF($L4029="","",IF($L4029="@对方",资金流水!$G417,IF($L4029="@账户",资金流水!$Q417,$L4029)))</f>
        <v/>
      </c>
      <c r="I4029" s="42" t="n">
        <f aca="false">IF($M4029="借",$O4029,0)</f>
        <v>0</v>
      </c>
      <c r="J4029" s="42" t="n">
        <f aca="false">IF($M4029="贷",$O4029,0)</f>
        <v>0</v>
      </c>
      <c r="K4029" s="48" t="str">
        <f aca="false">IF($H4029="","",资金流水!$F417)</f>
        <v/>
      </c>
      <c r="L4029" s="66" t="str">
        <f aca="false">IF(资金流水!$E417="","",IFERROR(INDEX(记账规则!$A$13:$H$32,MATCH(资金流水!$E417,记账规则!$A$13:$A$32,0),6),""))</f>
        <v/>
      </c>
      <c r="M4029" s="66" t="str">
        <f aca="false">IF($L4029="","",IFERROR(INDEX(记账规则!$A$13:$H$32,MATCH(资金流水!$E417,记账规则!$A$13:$A$32,0),7),""))</f>
        <v/>
      </c>
      <c r="N4029" s="66" t="str">
        <f aca="false">IF($L4029="","",IFERROR(INDEX(记账规则!$A$13:$H$32,MATCH(资金流水!$E417,记账规则!$A$13:$A$32,0),8),""))</f>
        <v/>
      </c>
      <c r="O4029" s="67" t="n">
        <f aca="false">IF($H4029="",0,ROUND(IF($N4029="金额",N(资金流水!$P417),0),2))</f>
        <v>0</v>
      </c>
      <c r="P4029" s="64" t="str">
        <f aca="false">IF(AND($H4029&lt;&gt;"",ROUND($O4029,2)&lt;&gt;0),"有","")</f>
        <v/>
      </c>
    </row>
    <row r="4030" customFormat="false" ht="15" hidden="true" customHeight="false" outlineLevel="0" collapsed="false">
      <c r="A4030" s="53" t="str">
        <f aca="false">IF($H4030="","",ROW()-5)</f>
        <v/>
      </c>
      <c r="B4030" s="64" t="s">
        <v>37</v>
      </c>
      <c r="C4030" s="53" t="n">
        <v>418</v>
      </c>
      <c r="D4030" s="53" t="n">
        <v>1</v>
      </c>
      <c r="E4030" s="65" t="str">
        <f aca="false">IF($H4030="","",资金流水!$B418)</f>
        <v/>
      </c>
      <c r="F4030" s="55" t="str">
        <f aca="false">IF($H4030="","",资金流水!$C418)</f>
        <v/>
      </c>
      <c r="G4030" s="48" t="str">
        <f aca="false">IF($H4030="","",资金流水!$K418)</f>
        <v/>
      </c>
      <c r="H4030" s="10" t="str">
        <f aca="false">IF($L4030="","",IF($L4030="@对方",资金流水!$G418,IF($L4030="@账户",资金流水!$Q418,$L4030)))</f>
        <v/>
      </c>
      <c r="I4030" s="42" t="n">
        <f aca="false">IF($M4030="借",$O4030,0)</f>
        <v>0</v>
      </c>
      <c r="J4030" s="42" t="n">
        <f aca="false">IF($M4030="贷",$O4030,0)</f>
        <v>0</v>
      </c>
      <c r="K4030" s="48" t="str">
        <f aca="false">IF($H4030="","",资金流水!$F418)</f>
        <v/>
      </c>
      <c r="L4030" s="66" t="str">
        <f aca="false">IF(资金流水!$E418="","",IFERROR(INDEX(记账规则!$A$13:$H$32,MATCH(资金流水!$E418,记账规则!$A$13:$A$32,0),3),""))</f>
        <v/>
      </c>
      <c r="M4030" s="66" t="str">
        <f aca="false">IF($L4030="","",IFERROR(INDEX(记账规则!$A$13:$H$32,MATCH(资金流水!$E418,记账规则!$A$13:$A$32,0),4),""))</f>
        <v/>
      </c>
      <c r="N4030" s="66" t="str">
        <f aca="false">IF($L4030="","",IFERROR(INDEX(记账规则!$A$13:$H$32,MATCH(资金流水!$E418,记账规则!$A$13:$A$32,0),5),""))</f>
        <v/>
      </c>
      <c r="O4030" s="67" t="n">
        <f aca="false">IF($H4030="",0,ROUND(IF($N4030="金额",N(资金流水!$P418),0),2))</f>
        <v>0</v>
      </c>
      <c r="P4030" s="64" t="str">
        <f aca="false">IF(AND($H4030&lt;&gt;"",ROUND($O4030,2)&lt;&gt;0),"有","")</f>
        <v/>
      </c>
    </row>
    <row r="4031" customFormat="false" ht="15" hidden="true" customHeight="false" outlineLevel="0" collapsed="false">
      <c r="A4031" s="53" t="str">
        <f aca="false">IF($H4031="","",ROW()-5)</f>
        <v/>
      </c>
      <c r="B4031" s="64" t="s">
        <v>37</v>
      </c>
      <c r="C4031" s="53" t="n">
        <v>418</v>
      </c>
      <c r="D4031" s="53" t="n">
        <v>2</v>
      </c>
      <c r="E4031" s="65" t="str">
        <f aca="false">IF($H4031="","",资金流水!$B418)</f>
        <v/>
      </c>
      <c r="F4031" s="55" t="str">
        <f aca="false">IF($H4031="","",资金流水!$C418)</f>
        <v/>
      </c>
      <c r="G4031" s="48" t="str">
        <f aca="false">IF($H4031="","",资金流水!$K418)</f>
        <v/>
      </c>
      <c r="H4031" s="10" t="str">
        <f aca="false">IF($L4031="","",IF($L4031="@对方",资金流水!$G418,IF($L4031="@账户",资金流水!$Q418,$L4031)))</f>
        <v/>
      </c>
      <c r="I4031" s="42" t="n">
        <f aca="false">IF($M4031="借",$O4031,0)</f>
        <v>0</v>
      </c>
      <c r="J4031" s="42" t="n">
        <f aca="false">IF($M4031="贷",$O4031,0)</f>
        <v>0</v>
      </c>
      <c r="K4031" s="48" t="str">
        <f aca="false">IF($H4031="","",资金流水!$F418)</f>
        <v/>
      </c>
      <c r="L4031" s="66" t="str">
        <f aca="false">IF(资金流水!$E418="","",IFERROR(INDEX(记账规则!$A$13:$H$32,MATCH(资金流水!$E418,记账规则!$A$13:$A$32,0),6),""))</f>
        <v/>
      </c>
      <c r="M4031" s="66" t="str">
        <f aca="false">IF($L4031="","",IFERROR(INDEX(记账规则!$A$13:$H$32,MATCH(资金流水!$E418,记账规则!$A$13:$A$32,0),7),""))</f>
        <v/>
      </c>
      <c r="N4031" s="66" t="str">
        <f aca="false">IF($L4031="","",IFERROR(INDEX(记账规则!$A$13:$H$32,MATCH(资金流水!$E418,记账规则!$A$13:$A$32,0),8),""))</f>
        <v/>
      </c>
      <c r="O4031" s="67" t="n">
        <f aca="false">IF($H4031="",0,ROUND(IF($N4031="金额",N(资金流水!$P418),0),2))</f>
        <v>0</v>
      </c>
      <c r="P4031" s="64" t="str">
        <f aca="false">IF(AND($H4031&lt;&gt;"",ROUND($O4031,2)&lt;&gt;0),"有","")</f>
        <v/>
      </c>
    </row>
    <row r="4032" customFormat="false" ht="15" hidden="true" customHeight="false" outlineLevel="0" collapsed="false">
      <c r="A4032" s="53" t="str">
        <f aca="false">IF($H4032="","",ROW()-5)</f>
        <v/>
      </c>
      <c r="B4032" s="64" t="s">
        <v>37</v>
      </c>
      <c r="C4032" s="53" t="n">
        <v>419</v>
      </c>
      <c r="D4032" s="53" t="n">
        <v>1</v>
      </c>
      <c r="E4032" s="65" t="str">
        <f aca="false">IF($H4032="","",资金流水!$B419)</f>
        <v/>
      </c>
      <c r="F4032" s="55" t="str">
        <f aca="false">IF($H4032="","",资金流水!$C419)</f>
        <v/>
      </c>
      <c r="G4032" s="48" t="str">
        <f aca="false">IF($H4032="","",资金流水!$K419)</f>
        <v/>
      </c>
      <c r="H4032" s="10" t="str">
        <f aca="false">IF($L4032="","",IF($L4032="@对方",资金流水!$G419,IF($L4032="@账户",资金流水!$Q419,$L4032)))</f>
        <v/>
      </c>
      <c r="I4032" s="42" t="n">
        <f aca="false">IF($M4032="借",$O4032,0)</f>
        <v>0</v>
      </c>
      <c r="J4032" s="42" t="n">
        <f aca="false">IF($M4032="贷",$O4032,0)</f>
        <v>0</v>
      </c>
      <c r="K4032" s="48" t="str">
        <f aca="false">IF($H4032="","",资金流水!$F419)</f>
        <v/>
      </c>
      <c r="L4032" s="66" t="str">
        <f aca="false">IF(资金流水!$E419="","",IFERROR(INDEX(记账规则!$A$13:$H$32,MATCH(资金流水!$E419,记账规则!$A$13:$A$32,0),3),""))</f>
        <v/>
      </c>
      <c r="M4032" s="66" t="str">
        <f aca="false">IF($L4032="","",IFERROR(INDEX(记账规则!$A$13:$H$32,MATCH(资金流水!$E419,记账规则!$A$13:$A$32,0),4),""))</f>
        <v/>
      </c>
      <c r="N4032" s="66" t="str">
        <f aca="false">IF($L4032="","",IFERROR(INDEX(记账规则!$A$13:$H$32,MATCH(资金流水!$E419,记账规则!$A$13:$A$32,0),5),""))</f>
        <v/>
      </c>
      <c r="O4032" s="67" t="n">
        <f aca="false">IF($H4032="",0,ROUND(IF($N4032="金额",N(资金流水!$P419),0),2))</f>
        <v>0</v>
      </c>
      <c r="P4032" s="64" t="str">
        <f aca="false">IF(AND($H4032&lt;&gt;"",ROUND($O4032,2)&lt;&gt;0),"有","")</f>
        <v/>
      </c>
    </row>
    <row r="4033" customFormat="false" ht="15" hidden="true" customHeight="false" outlineLevel="0" collapsed="false">
      <c r="A4033" s="53" t="str">
        <f aca="false">IF($H4033="","",ROW()-5)</f>
        <v/>
      </c>
      <c r="B4033" s="64" t="s">
        <v>37</v>
      </c>
      <c r="C4033" s="53" t="n">
        <v>419</v>
      </c>
      <c r="D4033" s="53" t="n">
        <v>2</v>
      </c>
      <c r="E4033" s="65" t="str">
        <f aca="false">IF($H4033="","",资金流水!$B419)</f>
        <v/>
      </c>
      <c r="F4033" s="55" t="str">
        <f aca="false">IF($H4033="","",资金流水!$C419)</f>
        <v/>
      </c>
      <c r="G4033" s="48" t="str">
        <f aca="false">IF($H4033="","",资金流水!$K419)</f>
        <v/>
      </c>
      <c r="H4033" s="10" t="str">
        <f aca="false">IF($L4033="","",IF($L4033="@对方",资金流水!$G419,IF($L4033="@账户",资金流水!$Q419,$L4033)))</f>
        <v/>
      </c>
      <c r="I4033" s="42" t="n">
        <f aca="false">IF($M4033="借",$O4033,0)</f>
        <v>0</v>
      </c>
      <c r="J4033" s="42" t="n">
        <f aca="false">IF($M4033="贷",$O4033,0)</f>
        <v>0</v>
      </c>
      <c r="K4033" s="48" t="str">
        <f aca="false">IF($H4033="","",资金流水!$F419)</f>
        <v/>
      </c>
      <c r="L4033" s="66" t="str">
        <f aca="false">IF(资金流水!$E419="","",IFERROR(INDEX(记账规则!$A$13:$H$32,MATCH(资金流水!$E419,记账规则!$A$13:$A$32,0),6),""))</f>
        <v/>
      </c>
      <c r="M4033" s="66" t="str">
        <f aca="false">IF($L4033="","",IFERROR(INDEX(记账规则!$A$13:$H$32,MATCH(资金流水!$E419,记账规则!$A$13:$A$32,0),7),""))</f>
        <v/>
      </c>
      <c r="N4033" s="66" t="str">
        <f aca="false">IF($L4033="","",IFERROR(INDEX(记账规则!$A$13:$H$32,MATCH(资金流水!$E419,记账规则!$A$13:$A$32,0),8),""))</f>
        <v/>
      </c>
      <c r="O4033" s="67" t="n">
        <f aca="false">IF($H4033="",0,ROUND(IF($N4033="金额",N(资金流水!$P419),0),2))</f>
        <v>0</v>
      </c>
      <c r="P4033" s="64" t="str">
        <f aca="false">IF(AND($H4033&lt;&gt;"",ROUND($O4033,2)&lt;&gt;0),"有","")</f>
        <v/>
      </c>
    </row>
    <row r="4034" customFormat="false" ht="15" hidden="true" customHeight="false" outlineLevel="0" collapsed="false">
      <c r="A4034" s="53" t="str">
        <f aca="false">IF($H4034="","",ROW()-5)</f>
        <v/>
      </c>
      <c r="B4034" s="64" t="s">
        <v>37</v>
      </c>
      <c r="C4034" s="53" t="n">
        <v>420</v>
      </c>
      <c r="D4034" s="53" t="n">
        <v>1</v>
      </c>
      <c r="E4034" s="65" t="str">
        <f aca="false">IF($H4034="","",资金流水!$B420)</f>
        <v/>
      </c>
      <c r="F4034" s="55" t="str">
        <f aca="false">IF($H4034="","",资金流水!$C420)</f>
        <v/>
      </c>
      <c r="G4034" s="48" t="str">
        <f aca="false">IF($H4034="","",资金流水!$K420)</f>
        <v/>
      </c>
      <c r="H4034" s="10" t="str">
        <f aca="false">IF($L4034="","",IF($L4034="@对方",资金流水!$G420,IF($L4034="@账户",资金流水!$Q420,$L4034)))</f>
        <v/>
      </c>
      <c r="I4034" s="42" t="n">
        <f aca="false">IF($M4034="借",$O4034,0)</f>
        <v>0</v>
      </c>
      <c r="J4034" s="42" t="n">
        <f aca="false">IF($M4034="贷",$O4034,0)</f>
        <v>0</v>
      </c>
      <c r="K4034" s="48" t="str">
        <f aca="false">IF($H4034="","",资金流水!$F420)</f>
        <v/>
      </c>
      <c r="L4034" s="66" t="str">
        <f aca="false">IF(资金流水!$E420="","",IFERROR(INDEX(记账规则!$A$13:$H$32,MATCH(资金流水!$E420,记账规则!$A$13:$A$32,0),3),""))</f>
        <v/>
      </c>
      <c r="M4034" s="66" t="str">
        <f aca="false">IF($L4034="","",IFERROR(INDEX(记账规则!$A$13:$H$32,MATCH(资金流水!$E420,记账规则!$A$13:$A$32,0),4),""))</f>
        <v/>
      </c>
      <c r="N4034" s="66" t="str">
        <f aca="false">IF($L4034="","",IFERROR(INDEX(记账规则!$A$13:$H$32,MATCH(资金流水!$E420,记账规则!$A$13:$A$32,0),5),""))</f>
        <v/>
      </c>
      <c r="O4034" s="67" t="n">
        <f aca="false">IF($H4034="",0,ROUND(IF($N4034="金额",N(资金流水!$P420),0),2))</f>
        <v>0</v>
      </c>
      <c r="P4034" s="64" t="str">
        <f aca="false">IF(AND($H4034&lt;&gt;"",ROUND($O4034,2)&lt;&gt;0),"有","")</f>
        <v/>
      </c>
    </row>
    <row r="4035" customFormat="false" ht="15" hidden="true" customHeight="false" outlineLevel="0" collapsed="false">
      <c r="A4035" s="53" t="str">
        <f aca="false">IF($H4035="","",ROW()-5)</f>
        <v/>
      </c>
      <c r="B4035" s="64" t="s">
        <v>37</v>
      </c>
      <c r="C4035" s="53" t="n">
        <v>420</v>
      </c>
      <c r="D4035" s="53" t="n">
        <v>2</v>
      </c>
      <c r="E4035" s="65" t="str">
        <f aca="false">IF($H4035="","",资金流水!$B420)</f>
        <v/>
      </c>
      <c r="F4035" s="55" t="str">
        <f aca="false">IF($H4035="","",资金流水!$C420)</f>
        <v/>
      </c>
      <c r="G4035" s="48" t="str">
        <f aca="false">IF($H4035="","",资金流水!$K420)</f>
        <v/>
      </c>
      <c r="H4035" s="10" t="str">
        <f aca="false">IF($L4035="","",IF($L4035="@对方",资金流水!$G420,IF($L4035="@账户",资金流水!$Q420,$L4035)))</f>
        <v/>
      </c>
      <c r="I4035" s="42" t="n">
        <f aca="false">IF($M4035="借",$O4035,0)</f>
        <v>0</v>
      </c>
      <c r="J4035" s="42" t="n">
        <f aca="false">IF($M4035="贷",$O4035,0)</f>
        <v>0</v>
      </c>
      <c r="K4035" s="48" t="str">
        <f aca="false">IF($H4035="","",资金流水!$F420)</f>
        <v/>
      </c>
      <c r="L4035" s="66" t="str">
        <f aca="false">IF(资金流水!$E420="","",IFERROR(INDEX(记账规则!$A$13:$H$32,MATCH(资金流水!$E420,记账规则!$A$13:$A$32,0),6),""))</f>
        <v/>
      </c>
      <c r="M4035" s="66" t="str">
        <f aca="false">IF($L4035="","",IFERROR(INDEX(记账规则!$A$13:$H$32,MATCH(资金流水!$E420,记账规则!$A$13:$A$32,0),7),""))</f>
        <v/>
      </c>
      <c r="N4035" s="66" t="str">
        <f aca="false">IF($L4035="","",IFERROR(INDEX(记账规则!$A$13:$H$32,MATCH(资金流水!$E420,记账规则!$A$13:$A$32,0),8),""))</f>
        <v/>
      </c>
      <c r="O4035" s="67" t="n">
        <f aca="false">IF($H4035="",0,ROUND(IF($N4035="金额",N(资金流水!$P420),0),2))</f>
        <v>0</v>
      </c>
      <c r="P4035" s="64" t="str">
        <f aca="false">IF(AND($H4035&lt;&gt;"",ROUND($O4035,2)&lt;&gt;0),"有","")</f>
        <v/>
      </c>
    </row>
    <row r="4036" customFormat="false" ht="15" hidden="true" customHeight="false" outlineLevel="0" collapsed="false">
      <c r="A4036" s="53" t="str">
        <f aca="false">IF($H4036="","",ROW()-5)</f>
        <v/>
      </c>
      <c r="B4036" s="64" t="s">
        <v>37</v>
      </c>
      <c r="C4036" s="53" t="n">
        <v>421</v>
      </c>
      <c r="D4036" s="53" t="n">
        <v>1</v>
      </c>
      <c r="E4036" s="65" t="str">
        <f aca="false">IF($H4036="","",资金流水!$B421)</f>
        <v/>
      </c>
      <c r="F4036" s="55" t="str">
        <f aca="false">IF($H4036="","",资金流水!$C421)</f>
        <v/>
      </c>
      <c r="G4036" s="48" t="str">
        <f aca="false">IF($H4036="","",资金流水!$K421)</f>
        <v/>
      </c>
      <c r="H4036" s="10" t="str">
        <f aca="false">IF($L4036="","",IF($L4036="@对方",资金流水!$G421,IF($L4036="@账户",资金流水!$Q421,$L4036)))</f>
        <v/>
      </c>
      <c r="I4036" s="42" t="n">
        <f aca="false">IF($M4036="借",$O4036,0)</f>
        <v>0</v>
      </c>
      <c r="J4036" s="42" t="n">
        <f aca="false">IF($M4036="贷",$O4036,0)</f>
        <v>0</v>
      </c>
      <c r="K4036" s="48" t="str">
        <f aca="false">IF($H4036="","",资金流水!$F421)</f>
        <v/>
      </c>
      <c r="L4036" s="66" t="str">
        <f aca="false">IF(资金流水!$E421="","",IFERROR(INDEX(记账规则!$A$13:$H$32,MATCH(资金流水!$E421,记账规则!$A$13:$A$32,0),3),""))</f>
        <v/>
      </c>
      <c r="M4036" s="66" t="str">
        <f aca="false">IF($L4036="","",IFERROR(INDEX(记账规则!$A$13:$H$32,MATCH(资金流水!$E421,记账规则!$A$13:$A$32,0),4),""))</f>
        <v/>
      </c>
      <c r="N4036" s="66" t="str">
        <f aca="false">IF($L4036="","",IFERROR(INDEX(记账规则!$A$13:$H$32,MATCH(资金流水!$E421,记账规则!$A$13:$A$32,0),5),""))</f>
        <v/>
      </c>
      <c r="O4036" s="67" t="n">
        <f aca="false">IF($H4036="",0,ROUND(IF($N4036="金额",N(资金流水!$P421),0),2))</f>
        <v>0</v>
      </c>
      <c r="P4036" s="64" t="str">
        <f aca="false">IF(AND($H4036&lt;&gt;"",ROUND($O4036,2)&lt;&gt;0),"有","")</f>
        <v/>
      </c>
    </row>
    <row r="4037" customFormat="false" ht="15" hidden="true" customHeight="false" outlineLevel="0" collapsed="false">
      <c r="A4037" s="53" t="str">
        <f aca="false">IF($H4037="","",ROW()-5)</f>
        <v/>
      </c>
      <c r="B4037" s="64" t="s">
        <v>37</v>
      </c>
      <c r="C4037" s="53" t="n">
        <v>421</v>
      </c>
      <c r="D4037" s="53" t="n">
        <v>2</v>
      </c>
      <c r="E4037" s="65" t="str">
        <f aca="false">IF($H4037="","",资金流水!$B421)</f>
        <v/>
      </c>
      <c r="F4037" s="55" t="str">
        <f aca="false">IF($H4037="","",资金流水!$C421)</f>
        <v/>
      </c>
      <c r="G4037" s="48" t="str">
        <f aca="false">IF($H4037="","",资金流水!$K421)</f>
        <v/>
      </c>
      <c r="H4037" s="10" t="str">
        <f aca="false">IF($L4037="","",IF($L4037="@对方",资金流水!$G421,IF($L4037="@账户",资金流水!$Q421,$L4037)))</f>
        <v/>
      </c>
      <c r="I4037" s="42" t="n">
        <f aca="false">IF($M4037="借",$O4037,0)</f>
        <v>0</v>
      </c>
      <c r="J4037" s="42" t="n">
        <f aca="false">IF($M4037="贷",$O4037,0)</f>
        <v>0</v>
      </c>
      <c r="K4037" s="48" t="str">
        <f aca="false">IF($H4037="","",资金流水!$F421)</f>
        <v/>
      </c>
      <c r="L4037" s="66" t="str">
        <f aca="false">IF(资金流水!$E421="","",IFERROR(INDEX(记账规则!$A$13:$H$32,MATCH(资金流水!$E421,记账规则!$A$13:$A$32,0),6),""))</f>
        <v/>
      </c>
      <c r="M4037" s="66" t="str">
        <f aca="false">IF($L4037="","",IFERROR(INDEX(记账规则!$A$13:$H$32,MATCH(资金流水!$E421,记账规则!$A$13:$A$32,0),7),""))</f>
        <v/>
      </c>
      <c r="N4037" s="66" t="str">
        <f aca="false">IF($L4037="","",IFERROR(INDEX(记账规则!$A$13:$H$32,MATCH(资金流水!$E421,记账规则!$A$13:$A$32,0),8),""))</f>
        <v/>
      </c>
      <c r="O4037" s="67" t="n">
        <f aca="false">IF($H4037="",0,ROUND(IF($N4037="金额",N(资金流水!$P421),0),2))</f>
        <v>0</v>
      </c>
      <c r="P4037" s="64" t="str">
        <f aca="false">IF(AND($H4037&lt;&gt;"",ROUND($O4037,2)&lt;&gt;0),"有","")</f>
        <v/>
      </c>
    </row>
    <row r="4038" customFormat="false" ht="15" hidden="true" customHeight="false" outlineLevel="0" collapsed="false">
      <c r="A4038" s="53" t="str">
        <f aca="false">IF($H4038="","",ROW()-5)</f>
        <v/>
      </c>
      <c r="B4038" s="64" t="s">
        <v>37</v>
      </c>
      <c r="C4038" s="53" t="n">
        <v>422</v>
      </c>
      <c r="D4038" s="53" t="n">
        <v>1</v>
      </c>
      <c r="E4038" s="65" t="str">
        <f aca="false">IF($H4038="","",资金流水!$B422)</f>
        <v/>
      </c>
      <c r="F4038" s="55" t="str">
        <f aca="false">IF($H4038="","",资金流水!$C422)</f>
        <v/>
      </c>
      <c r="G4038" s="48" t="str">
        <f aca="false">IF($H4038="","",资金流水!$K422)</f>
        <v/>
      </c>
      <c r="H4038" s="10" t="str">
        <f aca="false">IF($L4038="","",IF($L4038="@对方",资金流水!$G422,IF($L4038="@账户",资金流水!$Q422,$L4038)))</f>
        <v/>
      </c>
      <c r="I4038" s="42" t="n">
        <f aca="false">IF($M4038="借",$O4038,0)</f>
        <v>0</v>
      </c>
      <c r="J4038" s="42" t="n">
        <f aca="false">IF($M4038="贷",$O4038,0)</f>
        <v>0</v>
      </c>
      <c r="K4038" s="48" t="str">
        <f aca="false">IF($H4038="","",资金流水!$F422)</f>
        <v/>
      </c>
      <c r="L4038" s="66" t="str">
        <f aca="false">IF(资金流水!$E422="","",IFERROR(INDEX(记账规则!$A$13:$H$32,MATCH(资金流水!$E422,记账规则!$A$13:$A$32,0),3),""))</f>
        <v/>
      </c>
      <c r="M4038" s="66" t="str">
        <f aca="false">IF($L4038="","",IFERROR(INDEX(记账规则!$A$13:$H$32,MATCH(资金流水!$E422,记账规则!$A$13:$A$32,0),4),""))</f>
        <v/>
      </c>
      <c r="N4038" s="66" t="str">
        <f aca="false">IF($L4038="","",IFERROR(INDEX(记账规则!$A$13:$H$32,MATCH(资金流水!$E422,记账规则!$A$13:$A$32,0),5),""))</f>
        <v/>
      </c>
      <c r="O4038" s="67" t="n">
        <f aca="false">IF($H4038="",0,ROUND(IF($N4038="金额",N(资金流水!$P422),0),2))</f>
        <v>0</v>
      </c>
      <c r="P4038" s="64" t="str">
        <f aca="false">IF(AND($H4038&lt;&gt;"",ROUND($O4038,2)&lt;&gt;0),"有","")</f>
        <v/>
      </c>
    </row>
    <row r="4039" customFormat="false" ht="15" hidden="true" customHeight="false" outlineLevel="0" collapsed="false">
      <c r="A4039" s="53" t="str">
        <f aca="false">IF($H4039="","",ROW()-5)</f>
        <v/>
      </c>
      <c r="B4039" s="64" t="s">
        <v>37</v>
      </c>
      <c r="C4039" s="53" t="n">
        <v>422</v>
      </c>
      <c r="D4039" s="53" t="n">
        <v>2</v>
      </c>
      <c r="E4039" s="65" t="str">
        <f aca="false">IF($H4039="","",资金流水!$B422)</f>
        <v/>
      </c>
      <c r="F4039" s="55" t="str">
        <f aca="false">IF($H4039="","",资金流水!$C422)</f>
        <v/>
      </c>
      <c r="G4039" s="48" t="str">
        <f aca="false">IF($H4039="","",资金流水!$K422)</f>
        <v/>
      </c>
      <c r="H4039" s="10" t="str">
        <f aca="false">IF($L4039="","",IF($L4039="@对方",资金流水!$G422,IF($L4039="@账户",资金流水!$Q422,$L4039)))</f>
        <v/>
      </c>
      <c r="I4039" s="42" t="n">
        <f aca="false">IF($M4039="借",$O4039,0)</f>
        <v>0</v>
      </c>
      <c r="J4039" s="42" t="n">
        <f aca="false">IF($M4039="贷",$O4039,0)</f>
        <v>0</v>
      </c>
      <c r="K4039" s="48" t="str">
        <f aca="false">IF($H4039="","",资金流水!$F422)</f>
        <v/>
      </c>
      <c r="L4039" s="66" t="str">
        <f aca="false">IF(资金流水!$E422="","",IFERROR(INDEX(记账规则!$A$13:$H$32,MATCH(资金流水!$E422,记账规则!$A$13:$A$32,0),6),""))</f>
        <v/>
      </c>
      <c r="M4039" s="66" t="str">
        <f aca="false">IF($L4039="","",IFERROR(INDEX(记账规则!$A$13:$H$32,MATCH(资金流水!$E422,记账规则!$A$13:$A$32,0),7),""))</f>
        <v/>
      </c>
      <c r="N4039" s="66" t="str">
        <f aca="false">IF($L4039="","",IFERROR(INDEX(记账规则!$A$13:$H$32,MATCH(资金流水!$E422,记账规则!$A$13:$A$32,0),8),""))</f>
        <v/>
      </c>
      <c r="O4039" s="67" t="n">
        <f aca="false">IF($H4039="",0,ROUND(IF($N4039="金额",N(资金流水!$P422),0),2))</f>
        <v>0</v>
      </c>
      <c r="P4039" s="64" t="str">
        <f aca="false">IF(AND($H4039&lt;&gt;"",ROUND($O4039,2)&lt;&gt;0),"有","")</f>
        <v/>
      </c>
    </row>
    <row r="4040" customFormat="false" ht="15" hidden="true" customHeight="false" outlineLevel="0" collapsed="false">
      <c r="A4040" s="53" t="str">
        <f aca="false">IF($H4040="","",ROW()-5)</f>
        <v/>
      </c>
      <c r="B4040" s="64" t="s">
        <v>37</v>
      </c>
      <c r="C4040" s="53" t="n">
        <v>423</v>
      </c>
      <c r="D4040" s="53" t="n">
        <v>1</v>
      </c>
      <c r="E4040" s="65" t="str">
        <f aca="false">IF($H4040="","",资金流水!$B423)</f>
        <v/>
      </c>
      <c r="F4040" s="55" t="str">
        <f aca="false">IF($H4040="","",资金流水!$C423)</f>
        <v/>
      </c>
      <c r="G4040" s="48" t="str">
        <f aca="false">IF($H4040="","",资金流水!$K423)</f>
        <v/>
      </c>
      <c r="H4040" s="10" t="str">
        <f aca="false">IF($L4040="","",IF($L4040="@对方",资金流水!$G423,IF($L4040="@账户",资金流水!$Q423,$L4040)))</f>
        <v/>
      </c>
      <c r="I4040" s="42" t="n">
        <f aca="false">IF($M4040="借",$O4040,0)</f>
        <v>0</v>
      </c>
      <c r="J4040" s="42" t="n">
        <f aca="false">IF($M4040="贷",$O4040,0)</f>
        <v>0</v>
      </c>
      <c r="K4040" s="48" t="str">
        <f aca="false">IF($H4040="","",资金流水!$F423)</f>
        <v/>
      </c>
      <c r="L4040" s="66" t="str">
        <f aca="false">IF(资金流水!$E423="","",IFERROR(INDEX(记账规则!$A$13:$H$32,MATCH(资金流水!$E423,记账规则!$A$13:$A$32,0),3),""))</f>
        <v/>
      </c>
      <c r="M4040" s="66" t="str">
        <f aca="false">IF($L4040="","",IFERROR(INDEX(记账规则!$A$13:$H$32,MATCH(资金流水!$E423,记账规则!$A$13:$A$32,0),4),""))</f>
        <v/>
      </c>
      <c r="N4040" s="66" t="str">
        <f aca="false">IF($L4040="","",IFERROR(INDEX(记账规则!$A$13:$H$32,MATCH(资金流水!$E423,记账规则!$A$13:$A$32,0),5),""))</f>
        <v/>
      </c>
      <c r="O4040" s="67" t="n">
        <f aca="false">IF($H4040="",0,ROUND(IF($N4040="金额",N(资金流水!$P423),0),2))</f>
        <v>0</v>
      </c>
      <c r="P4040" s="64" t="str">
        <f aca="false">IF(AND($H4040&lt;&gt;"",ROUND($O4040,2)&lt;&gt;0),"有","")</f>
        <v/>
      </c>
    </row>
    <row r="4041" customFormat="false" ht="15" hidden="true" customHeight="false" outlineLevel="0" collapsed="false">
      <c r="A4041" s="53" t="str">
        <f aca="false">IF($H4041="","",ROW()-5)</f>
        <v/>
      </c>
      <c r="B4041" s="64" t="s">
        <v>37</v>
      </c>
      <c r="C4041" s="53" t="n">
        <v>423</v>
      </c>
      <c r="D4041" s="53" t="n">
        <v>2</v>
      </c>
      <c r="E4041" s="65" t="str">
        <f aca="false">IF($H4041="","",资金流水!$B423)</f>
        <v/>
      </c>
      <c r="F4041" s="55" t="str">
        <f aca="false">IF($H4041="","",资金流水!$C423)</f>
        <v/>
      </c>
      <c r="G4041" s="48" t="str">
        <f aca="false">IF($H4041="","",资金流水!$K423)</f>
        <v/>
      </c>
      <c r="H4041" s="10" t="str">
        <f aca="false">IF($L4041="","",IF($L4041="@对方",资金流水!$G423,IF($L4041="@账户",资金流水!$Q423,$L4041)))</f>
        <v/>
      </c>
      <c r="I4041" s="42" t="n">
        <f aca="false">IF($M4041="借",$O4041,0)</f>
        <v>0</v>
      </c>
      <c r="J4041" s="42" t="n">
        <f aca="false">IF($M4041="贷",$O4041,0)</f>
        <v>0</v>
      </c>
      <c r="K4041" s="48" t="str">
        <f aca="false">IF($H4041="","",资金流水!$F423)</f>
        <v/>
      </c>
      <c r="L4041" s="66" t="str">
        <f aca="false">IF(资金流水!$E423="","",IFERROR(INDEX(记账规则!$A$13:$H$32,MATCH(资金流水!$E423,记账规则!$A$13:$A$32,0),6),""))</f>
        <v/>
      </c>
      <c r="M4041" s="66" t="str">
        <f aca="false">IF($L4041="","",IFERROR(INDEX(记账规则!$A$13:$H$32,MATCH(资金流水!$E423,记账规则!$A$13:$A$32,0),7),""))</f>
        <v/>
      </c>
      <c r="N4041" s="66" t="str">
        <f aca="false">IF($L4041="","",IFERROR(INDEX(记账规则!$A$13:$H$32,MATCH(资金流水!$E423,记账规则!$A$13:$A$32,0),8),""))</f>
        <v/>
      </c>
      <c r="O4041" s="67" t="n">
        <f aca="false">IF($H4041="",0,ROUND(IF($N4041="金额",N(资金流水!$P423),0),2))</f>
        <v>0</v>
      </c>
      <c r="P4041" s="64" t="str">
        <f aca="false">IF(AND($H4041&lt;&gt;"",ROUND($O4041,2)&lt;&gt;0),"有","")</f>
        <v/>
      </c>
    </row>
    <row r="4042" customFormat="false" ht="15" hidden="true" customHeight="false" outlineLevel="0" collapsed="false">
      <c r="A4042" s="53" t="str">
        <f aca="false">IF($H4042="","",ROW()-5)</f>
        <v/>
      </c>
      <c r="B4042" s="64" t="s">
        <v>37</v>
      </c>
      <c r="C4042" s="53" t="n">
        <v>424</v>
      </c>
      <c r="D4042" s="53" t="n">
        <v>1</v>
      </c>
      <c r="E4042" s="65" t="str">
        <f aca="false">IF($H4042="","",资金流水!$B424)</f>
        <v/>
      </c>
      <c r="F4042" s="55" t="str">
        <f aca="false">IF($H4042="","",资金流水!$C424)</f>
        <v/>
      </c>
      <c r="G4042" s="48" t="str">
        <f aca="false">IF($H4042="","",资金流水!$K424)</f>
        <v/>
      </c>
      <c r="H4042" s="10" t="str">
        <f aca="false">IF($L4042="","",IF($L4042="@对方",资金流水!$G424,IF($L4042="@账户",资金流水!$Q424,$L4042)))</f>
        <v/>
      </c>
      <c r="I4042" s="42" t="n">
        <f aca="false">IF($M4042="借",$O4042,0)</f>
        <v>0</v>
      </c>
      <c r="J4042" s="42" t="n">
        <f aca="false">IF($M4042="贷",$O4042,0)</f>
        <v>0</v>
      </c>
      <c r="K4042" s="48" t="str">
        <f aca="false">IF($H4042="","",资金流水!$F424)</f>
        <v/>
      </c>
      <c r="L4042" s="66" t="str">
        <f aca="false">IF(资金流水!$E424="","",IFERROR(INDEX(记账规则!$A$13:$H$32,MATCH(资金流水!$E424,记账规则!$A$13:$A$32,0),3),""))</f>
        <v/>
      </c>
      <c r="M4042" s="66" t="str">
        <f aca="false">IF($L4042="","",IFERROR(INDEX(记账规则!$A$13:$H$32,MATCH(资金流水!$E424,记账规则!$A$13:$A$32,0),4),""))</f>
        <v/>
      </c>
      <c r="N4042" s="66" t="str">
        <f aca="false">IF($L4042="","",IFERROR(INDEX(记账规则!$A$13:$H$32,MATCH(资金流水!$E424,记账规则!$A$13:$A$32,0),5),""))</f>
        <v/>
      </c>
      <c r="O4042" s="67" t="n">
        <f aca="false">IF($H4042="",0,ROUND(IF($N4042="金额",N(资金流水!$P424),0),2))</f>
        <v>0</v>
      </c>
      <c r="P4042" s="64" t="str">
        <f aca="false">IF(AND($H4042&lt;&gt;"",ROUND($O4042,2)&lt;&gt;0),"有","")</f>
        <v/>
      </c>
    </row>
    <row r="4043" customFormat="false" ht="15" hidden="true" customHeight="false" outlineLevel="0" collapsed="false">
      <c r="A4043" s="53" t="str">
        <f aca="false">IF($H4043="","",ROW()-5)</f>
        <v/>
      </c>
      <c r="B4043" s="64" t="s">
        <v>37</v>
      </c>
      <c r="C4043" s="53" t="n">
        <v>424</v>
      </c>
      <c r="D4043" s="53" t="n">
        <v>2</v>
      </c>
      <c r="E4043" s="65" t="str">
        <f aca="false">IF($H4043="","",资金流水!$B424)</f>
        <v/>
      </c>
      <c r="F4043" s="55" t="str">
        <f aca="false">IF($H4043="","",资金流水!$C424)</f>
        <v/>
      </c>
      <c r="G4043" s="48" t="str">
        <f aca="false">IF($H4043="","",资金流水!$K424)</f>
        <v/>
      </c>
      <c r="H4043" s="10" t="str">
        <f aca="false">IF($L4043="","",IF($L4043="@对方",资金流水!$G424,IF($L4043="@账户",资金流水!$Q424,$L4043)))</f>
        <v/>
      </c>
      <c r="I4043" s="42" t="n">
        <f aca="false">IF($M4043="借",$O4043,0)</f>
        <v>0</v>
      </c>
      <c r="J4043" s="42" t="n">
        <f aca="false">IF($M4043="贷",$O4043,0)</f>
        <v>0</v>
      </c>
      <c r="K4043" s="48" t="str">
        <f aca="false">IF($H4043="","",资金流水!$F424)</f>
        <v/>
      </c>
      <c r="L4043" s="66" t="str">
        <f aca="false">IF(资金流水!$E424="","",IFERROR(INDEX(记账规则!$A$13:$H$32,MATCH(资金流水!$E424,记账规则!$A$13:$A$32,0),6),""))</f>
        <v/>
      </c>
      <c r="M4043" s="66" t="str">
        <f aca="false">IF($L4043="","",IFERROR(INDEX(记账规则!$A$13:$H$32,MATCH(资金流水!$E424,记账规则!$A$13:$A$32,0),7),""))</f>
        <v/>
      </c>
      <c r="N4043" s="66" t="str">
        <f aca="false">IF($L4043="","",IFERROR(INDEX(记账规则!$A$13:$H$32,MATCH(资金流水!$E424,记账规则!$A$13:$A$32,0),8),""))</f>
        <v/>
      </c>
      <c r="O4043" s="67" t="n">
        <f aca="false">IF($H4043="",0,ROUND(IF($N4043="金额",N(资金流水!$P424),0),2))</f>
        <v>0</v>
      </c>
      <c r="P4043" s="64" t="str">
        <f aca="false">IF(AND($H4043&lt;&gt;"",ROUND($O4043,2)&lt;&gt;0),"有","")</f>
        <v/>
      </c>
    </row>
    <row r="4044" customFormat="false" ht="15" hidden="true" customHeight="false" outlineLevel="0" collapsed="false">
      <c r="A4044" s="53" t="str">
        <f aca="false">IF($H4044="","",ROW()-5)</f>
        <v/>
      </c>
      <c r="B4044" s="64" t="s">
        <v>37</v>
      </c>
      <c r="C4044" s="53" t="n">
        <v>425</v>
      </c>
      <c r="D4044" s="53" t="n">
        <v>1</v>
      </c>
      <c r="E4044" s="65" t="str">
        <f aca="false">IF($H4044="","",资金流水!$B425)</f>
        <v/>
      </c>
      <c r="F4044" s="55" t="str">
        <f aca="false">IF($H4044="","",资金流水!$C425)</f>
        <v/>
      </c>
      <c r="G4044" s="48" t="str">
        <f aca="false">IF($H4044="","",资金流水!$K425)</f>
        <v/>
      </c>
      <c r="H4044" s="10" t="str">
        <f aca="false">IF($L4044="","",IF($L4044="@对方",资金流水!$G425,IF($L4044="@账户",资金流水!$Q425,$L4044)))</f>
        <v/>
      </c>
      <c r="I4044" s="42" t="n">
        <f aca="false">IF($M4044="借",$O4044,0)</f>
        <v>0</v>
      </c>
      <c r="J4044" s="42" t="n">
        <f aca="false">IF($M4044="贷",$O4044,0)</f>
        <v>0</v>
      </c>
      <c r="K4044" s="48" t="str">
        <f aca="false">IF($H4044="","",资金流水!$F425)</f>
        <v/>
      </c>
      <c r="L4044" s="66" t="str">
        <f aca="false">IF(资金流水!$E425="","",IFERROR(INDEX(记账规则!$A$13:$H$32,MATCH(资金流水!$E425,记账规则!$A$13:$A$32,0),3),""))</f>
        <v/>
      </c>
      <c r="M4044" s="66" t="str">
        <f aca="false">IF($L4044="","",IFERROR(INDEX(记账规则!$A$13:$H$32,MATCH(资金流水!$E425,记账规则!$A$13:$A$32,0),4),""))</f>
        <v/>
      </c>
      <c r="N4044" s="66" t="str">
        <f aca="false">IF($L4044="","",IFERROR(INDEX(记账规则!$A$13:$H$32,MATCH(资金流水!$E425,记账规则!$A$13:$A$32,0),5),""))</f>
        <v/>
      </c>
      <c r="O4044" s="67" t="n">
        <f aca="false">IF($H4044="",0,ROUND(IF($N4044="金额",N(资金流水!$P425),0),2))</f>
        <v>0</v>
      </c>
      <c r="P4044" s="64" t="str">
        <f aca="false">IF(AND($H4044&lt;&gt;"",ROUND($O4044,2)&lt;&gt;0),"有","")</f>
        <v/>
      </c>
    </row>
    <row r="4045" customFormat="false" ht="15" hidden="true" customHeight="false" outlineLevel="0" collapsed="false">
      <c r="A4045" s="53" t="str">
        <f aca="false">IF($H4045="","",ROW()-5)</f>
        <v/>
      </c>
      <c r="B4045" s="64" t="s">
        <v>37</v>
      </c>
      <c r="C4045" s="53" t="n">
        <v>425</v>
      </c>
      <c r="D4045" s="53" t="n">
        <v>2</v>
      </c>
      <c r="E4045" s="65" t="str">
        <f aca="false">IF($H4045="","",资金流水!$B425)</f>
        <v/>
      </c>
      <c r="F4045" s="55" t="str">
        <f aca="false">IF($H4045="","",资金流水!$C425)</f>
        <v/>
      </c>
      <c r="G4045" s="48" t="str">
        <f aca="false">IF($H4045="","",资金流水!$K425)</f>
        <v/>
      </c>
      <c r="H4045" s="10" t="str">
        <f aca="false">IF($L4045="","",IF($L4045="@对方",资金流水!$G425,IF($L4045="@账户",资金流水!$Q425,$L4045)))</f>
        <v/>
      </c>
      <c r="I4045" s="42" t="n">
        <f aca="false">IF($M4045="借",$O4045,0)</f>
        <v>0</v>
      </c>
      <c r="J4045" s="42" t="n">
        <f aca="false">IF($M4045="贷",$O4045,0)</f>
        <v>0</v>
      </c>
      <c r="K4045" s="48" t="str">
        <f aca="false">IF($H4045="","",资金流水!$F425)</f>
        <v/>
      </c>
      <c r="L4045" s="66" t="str">
        <f aca="false">IF(资金流水!$E425="","",IFERROR(INDEX(记账规则!$A$13:$H$32,MATCH(资金流水!$E425,记账规则!$A$13:$A$32,0),6),""))</f>
        <v/>
      </c>
      <c r="M4045" s="66" t="str">
        <f aca="false">IF($L4045="","",IFERROR(INDEX(记账规则!$A$13:$H$32,MATCH(资金流水!$E425,记账规则!$A$13:$A$32,0),7),""))</f>
        <v/>
      </c>
      <c r="N4045" s="66" t="str">
        <f aca="false">IF($L4045="","",IFERROR(INDEX(记账规则!$A$13:$H$32,MATCH(资金流水!$E425,记账规则!$A$13:$A$32,0),8),""))</f>
        <v/>
      </c>
      <c r="O4045" s="67" t="n">
        <f aca="false">IF($H4045="",0,ROUND(IF($N4045="金额",N(资金流水!$P425),0),2))</f>
        <v>0</v>
      </c>
      <c r="P4045" s="64" t="str">
        <f aca="false">IF(AND($H4045&lt;&gt;"",ROUND($O4045,2)&lt;&gt;0),"有","")</f>
        <v/>
      </c>
    </row>
    <row r="4046" customFormat="false" ht="15" hidden="true" customHeight="false" outlineLevel="0" collapsed="false">
      <c r="A4046" s="53" t="str">
        <f aca="false">IF($H4046="","",ROW()-5)</f>
        <v/>
      </c>
      <c r="B4046" s="64" t="s">
        <v>37</v>
      </c>
      <c r="C4046" s="53" t="n">
        <v>426</v>
      </c>
      <c r="D4046" s="53" t="n">
        <v>1</v>
      </c>
      <c r="E4046" s="65" t="str">
        <f aca="false">IF($H4046="","",资金流水!$B426)</f>
        <v/>
      </c>
      <c r="F4046" s="55" t="str">
        <f aca="false">IF($H4046="","",资金流水!$C426)</f>
        <v/>
      </c>
      <c r="G4046" s="48" t="str">
        <f aca="false">IF($H4046="","",资金流水!$K426)</f>
        <v/>
      </c>
      <c r="H4046" s="10" t="str">
        <f aca="false">IF($L4046="","",IF($L4046="@对方",资金流水!$G426,IF($L4046="@账户",资金流水!$Q426,$L4046)))</f>
        <v/>
      </c>
      <c r="I4046" s="42" t="n">
        <f aca="false">IF($M4046="借",$O4046,0)</f>
        <v>0</v>
      </c>
      <c r="J4046" s="42" t="n">
        <f aca="false">IF($M4046="贷",$O4046,0)</f>
        <v>0</v>
      </c>
      <c r="K4046" s="48" t="str">
        <f aca="false">IF($H4046="","",资金流水!$F426)</f>
        <v/>
      </c>
      <c r="L4046" s="66" t="str">
        <f aca="false">IF(资金流水!$E426="","",IFERROR(INDEX(记账规则!$A$13:$H$32,MATCH(资金流水!$E426,记账规则!$A$13:$A$32,0),3),""))</f>
        <v/>
      </c>
      <c r="M4046" s="66" t="str">
        <f aca="false">IF($L4046="","",IFERROR(INDEX(记账规则!$A$13:$H$32,MATCH(资金流水!$E426,记账规则!$A$13:$A$32,0),4),""))</f>
        <v/>
      </c>
      <c r="N4046" s="66" t="str">
        <f aca="false">IF($L4046="","",IFERROR(INDEX(记账规则!$A$13:$H$32,MATCH(资金流水!$E426,记账规则!$A$13:$A$32,0),5),""))</f>
        <v/>
      </c>
      <c r="O4046" s="67" t="n">
        <f aca="false">IF($H4046="",0,ROUND(IF($N4046="金额",N(资金流水!$P426),0),2))</f>
        <v>0</v>
      </c>
      <c r="P4046" s="64" t="str">
        <f aca="false">IF(AND($H4046&lt;&gt;"",ROUND($O4046,2)&lt;&gt;0),"有","")</f>
        <v/>
      </c>
    </row>
    <row r="4047" customFormat="false" ht="15" hidden="true" customHeight="false" outlineLevel="0" collapsed="false">
      <c r="A4047" s="53" t="str">
        <f aca="false">IF($H4047="","",ROW()-5)</f>
        <v/>
      </c>
      <c r="B4047" s="64" t="s">
        <v>37</v>
      </c>
      <c r="C4047" s="53" t="n">
        <v>426</v>
      </c>
      <c r="D4047" s="53" t="n">
        <v>2</v>
      </c>
      <c r="E4047" s="65" t="str">
        <f aca="false">IF($H4047="","",资金流水!$B426)</f>
        <v/>
      </c>
      <c r="F4047" s="55" t="str">
        <f aca="false">IF($H4047="","",资金流水!$C426)</f>
        <v/>
      </c>
      <c r="G4047" s="48" t="str">
        <f aca="false">IF($H4047="","",资金流水!$K426)</f>
        <v/>
      </c>
      <c r="H4047" s="10" t="str">
        <f aca="false">IF($L4047="","",IF($L4047="@对方",资金流水!$G426,IF($L4047="@账户",资金流水!$Q426,$L4047)))</f>
        <v/>
      </c>
      <c r="I4047" s="42" t="n">
        <f aca="false">IF($M4047="借",$O4047,0)</f>
        <v>0</v>
      </c>
      <c r="J4047" s="42" t="n">
        <f aca="false">IF($M4047="贷",$O4047,0)</f>
        <v>0</v>
      </c>
      <c r="K4047" s="48" t="str">
        <f aca="false">IF($H4047="","",资金流水!$F426)</f>
        <v/>
      </c>
      <c r="L4047" s="66" t="str">
        <f aca="false">IF(资金流水!$E426="","",IFERROR(INDEX(记账规则!$A$13:$H$32,MATCH(资金流水!$E426,记账规则!$A$13:$A$32,0),6),""))</f>
        <v/>
      </c>
      <c r="M4047" s="66" t="str">
        <f aca="false">IF($L4047="","",IFERROR(INDEX(记账规则!$A$13:$H$32,MATCH(资金流水!$E426,记账规则!$A$13:$A$32,0),7),""))</f>
        <v/>
      </c>
      <c r="N4047" s="66" t="str">
        <f aca="false">IF($L4047="","",IFERROR(INDEX(记账规则!$A$13:$H$32,MATCH(资金流水!$E426,记账规则!$A$13:$A$32,0),8),""))</f>
        <v/>
      </c>
      <c r="O4047" s="67" t="n">
        <f aca="false">IF($H4047="",0,ROUND(IF($N4047="金额",N(资金流水!$P426),0),2))</f>
        <v>0</v>
      </c>
      <c r="P4047" s="64" t="str">
        <f aca="false">IF(AND($H4047&lt;&gt;"",ROUND($O4047,2)&lt;&gt;0),"有","")</f>
        <v/>
      </c>
    </row>
    <row r="4048" customFormat="false" ht="15" hidden="true" customHeight="false" outlineLevel="0" collapsed="false">
      <c r="A4048" s="53" t="str">
        <f aca="false">IF($H4048="","",ROW()-5)</f>
        <v/>
      </c>
      <c r="B4048" s="64" t="s">
        <v>37</v>
      </c>
      <c r="C4048" s="53" t="n">
        <v>427</v>
      </c>
      <c r="D4048" s="53" t="n">
        <v>1</v>
      </c>
      <c r="E4048" s="65" t="str">
        <f aca="false">IF($H4048="","",资金流水!$B427)</f>
        <v/>
      </c>
      <c r="F4048" s="55" t="str">
        <f aca="false">IF($H4048="","",资金流水!$C427)</f>
        <v/>
      </c>
      <c r="G4048" s="48" t="str">
        <f aca="false">IF($H4048="","",资金流水!$K427)</f>
        <v/>
      </c>
      <c r="H4048" s="10" t="str">
        <f aca="false">IF($L4048="","",IF($L4048="@对方",资金流水!$G427,IF($L4048="@账户",资金流水!$Q427,$L4048)))</f>
        <v/>
      </c>
      <c r="I4048" s="42" t="n">
        <f aca="false">IF($M4048="借",$O4048,0)</f>
        <v>0</v>
      </c>
      <c r="J4048" s="42" t="n">
        <f aca="false">IF($M4048="贷",$O4048,0)</f>
        <v>0</v>
      </c>
      <c r="K4048" s="48" t="str">
        <f aca="false">IF($H4048="","",资金流水!$F427)</f>
        <v/>
      </c>
      <c r="L4048" s="66" t="str">
        <f aca="false">IF(资金流水!$E427="","",IFERROR(INDEX(记账规则!$A$13:$H$32,MATCH(资金流水!$E427,记账规则!$A$13:$A$32,0),3),""))</f>
        <v/>
      </c>
      <c r="M4048" s="66" t="str">
        <f aca="false">IF($L4048="","",IFERROR(INDEX(记账规则!$A$13:$H$32,MATCH(资金流水!$E427,记账规则!$A$13:$A$32,0),4),""))</f>
        <v/>
      </c>
      <c r="N4048" s="66" t="str">
        <f aca="false">IF($L4048="","",IFERROR(INDEX(记账规则!$A$13:$H$32,MATCH(资金流水!$E427,记账规则!$A$13:$A$32,0),5),""))</f>
        <v/>
      </c>
      <c r="O4048" s="67" t="n">
        <f aca="false">IF($H4048="",0,ROUND(IF($N4048="金额",N(资金流水!$P427),0),2))</f>
        <v>0</v>
      </c>
      <c r="P4048" s="64" t="str">
        <f aca="false">IF(AND($H4048&lt;&gt;"",ROUND($O4048,2)&lt;&gt;0),"有","")</f>
        <v/>
      </c>
    </row>
    <row r="4049" customFormat="false" ht="15" hidden="true" customHeight="false" outlineLevel="0" collapsed="false">
      <c r="A4049" s="53" t="str">
        <f aca="false">IF($H4049="","",ROW()-5)</f>
        <v/>
      </c>
      <c r="B4049" s="64" t="s">
        <v>37</v>
      </c>
      <c r="C4049" s="53" t="n">
        <v>427</v>
      </c>
      <c r="D4049" s="53" t="n">
        <v>2</v>
      </c>
      <c r="E4049" s="65" t="str">
        <f aca="false">IF($H4049="","",资金流水!$B427)</f>
        <v/>
      </c>
      <c r="F4049" s="55" t="str">
        <f aca="false">IF($H4049="","",资金流水!$C427)</f>
        <v/>
      </c>
      <c r="G4049" s="48" t="str">
        <f aca="false">IF($H4049="","",资金流水!$K427)</f>
        <v/>
      </c>
      <c r="H4049" s="10" t="str">
        <f aca="false">IF($L4049="","",IF($L4049="@对方",资金流水!$G427,IF($L4049="@账户",资金流水!$Q427,$L4049)))</f>
        <v/>
      </c>
      <c r="I4049" s="42" t="n">
        <f aca="false">IF($M4049="借",$O4049,0)</f>
        <v>0</v>
      </c>
      <c r="J4049" s="42" t="n">
        <f aca="false">IF($M4049="贷",$O4049,0)</f>
        <v>0</v>
      </c>
      <c r="K4049" s="48" t="str">
        <f aca="false">IF($H4049="","",资金流水!$F427)</f>
        <v/>
      </c>
      <c r="L4049" s="66" t="str">
        <f aca="false">IF(资金流水!$E427="","",IFERROR(INDEX(记账规则!$A$13:$H$32,MATCH(资金流水!$E427,记账规则!$A$13:$A$32,0),6),""))</f>
        <v/>
      </c>
      <c r="M4049" s="66" t="str">
        <f aca="false">IF($L4049="","",IFERROR(INDEX(记账规则!$A$13:$H$32,MATCH(资金流水!$E427,记账规则!$A$13:$A$32,0),7),""))</f>
        <v/>
      </c>
      <c r="N4049" s="66" t="str">
        <f aca="false">IF($L4049="","",IFERROR(INDEX(记账规则!$A$13:$H$32,MATCH(资金流水!$E427,记账规则!$A$13:$A$32,0),8),""))</f>
        <v/>
      </c>
      <c r="O4049" s="67" t="n">
        <f aca="false">IF($H4049="",0,ROUND(IF($N4049="金额",N(资金流水!$P427),0),2))</f>
        <v>0</v>
      </c>
      <c r="P4049" s="64" t="str">
        <f aca="false">IF(AND($H4049&lt;&gt;"",ROUND($O4049,2)&lt;&gt;0),"有","")</f>
        <v/>
      </c>
    </row>
    <row r="4050" customFormat="false" ht="15" hidden="true" customHeight="false" outlineLevel="0" collapsed="false">
      <c r="A4050" s="53" t="str">
        <f aca="false">IF($H4050="","",ROW()-5)</f>
        <v/>
      </c>
      <c r="B4050" s="64" t="s">
        <v>37</v>
      </c>
      <c r="C4050" s="53" t="n">
        <v>428</v>
      </c>
      <c r="D4050" s="53" t="n">
        <v>1</v>
      </c>
      <c r="E4050" s="65" t="str">
        <f aca="false">IF($H4050="","",资金流水!$B428)</f>
        <v/>
      </c>
      <c r="F4050" s="55" t="str">
        <f aca="false">IF($H4050="","",资金流水!$C428)</f>
        <v/>
      </c>
      <c r="G4050" s="48" t="str">
        <f aca="false">IF($H4050="","",资金流水!$K428)</f>
        <v/>
      </c>
      <c r="H4050" s="10" t="str">
        <f aca="false">IF($L4050="","",IF($L4050="@对方",资金流水!$G428,IF($L4050="@账户",资金流水!$Q428,$L4050)))</f>
        <v/>
      </c>
      <c r="I4050" s="42" t="n">
        <f aca="false">IF($M4050="借",$O4050,0)</f>
        <v>0</v>
      </c>
      <c r="J4050" s="42" t="n">
        <f aca="false">IF($M4050="贷",$O4050,0)</f>
        <v>0</v>
      </c>
      <c r="K4050" s="48" t="str">
        <f aca="false">IF($H4050="","",资金流水!$F428)</f>
        <v/>
      </c>
      <c r="L4050" s="66" t="str">
        <f aca="false">IF(资金流水!$E428="","",IFERROR(INDEX(记账规则!$A$13:$H$32,MATCH(资金流水!$E428,记账规则!$A$13:$A$32,0),3),""))</f>
        <v/>
      </c>
      <c r="M4050" s="66" t="str">
        <f aca="false">IF($L4050="","",IFERROR(INDEX(记账规则!$A$13:$H$32,MATCH(资金流水!$E428,记账规则!$A$13:$A$32,0),4),""))</f>
        <v/>
      </c>
      <c r="N4050" s="66" t="str">
        <f aca="false">IF($L4050="","",IFERROR(INDEX(记账规则!$A$13:$H$32,MATCH(资金流水!$E428,记账规则!$A$13:$A$32,0),5),""))</f>
        <v/>
      </c>
      <c r="O4050" s="67" t="n">
        <f aca="false">IF($H4050="",0,ROUND(IF($N4050="金额",N(资金流水!$P428),0),2))</f>
        <v>0</v>
      </c>
      <c r="P4050" s="64" t="str">
        <f aca="false">IF(AND($H4050&lt;&gt;"",ROUND($O4050,2)&lt;&gt;0),"有","")</f>
        <v/>
      </c>
    </row>
    <row r="4051" customFormat="false" ht="15" hidden="true" customHeight="false" outlineLevel="0" collapsed="false">
      <c r="A4051" s="53" t="str">
        <f aca="false">IF($H4051="","",ROW()-5)</f>
        <v/>
      </c>
      <c r="B4051" s="64" t="s">
        <v>37</v>
      </c>
      <c r="C4051" s="53" t="n">
        <v>428</v>
      </c>
      <c r="D4051" s="53" t="n">
        <v>2</v>
      </c>
      <c r="E4051" s="65" t="str">
        <f aca="false">IF($H4051="","",资金流水!$B428)</f>
        <v/>
      </c>
      <c r="F4051" s="55" t="str">
        <f aca="false">IF($H4051="","",资金流水!$C428)</f>
        <v/>
      </c>
      <c r="G4051" s="48" t="str">
        <f aca="false">IF($H4051="","",资金流水!$K428)</f>
        <v/>
      </c>
      <c r="H4051" s="10" t="str">
        <f aca="false">IF($L4051="","",IF($L4051="@对方",资金流水!$G428,IF($L4051="@账户",资金流水!$Q428,$L4051)))</f>
        <v/>
      </c>
      <c r="I4051" s="42" t="n">
        <f aca="false">IF($M4051="借",$O4051,0)</f>
        <v>0</v>
      </c>
      <c r="J4051" s="42" t="n">
        <f aca="false">IF($M4051="贷",$O4051,0)</f>
        <v>0</v>
      </c>
      <c r="K4051" s="48" t="str">
        <f aca="false">IF($H4051="","",资金流水!$F428)</f>
        <v/>
      </c>
      <c r="L4051" s="66" t="str">
        <f aca="false">IF(资金流水!$E428="","",IFERROR(INDEX(记账规则!$A$13:$H$32,MATCH(资金流水!$E428,记账规则!$A$13:$A$32,0),6),""))</f>
        <v/>
      </c>
      <c r="M4051" s="66" t="str">
        <f aca="false">IF($L4051="","",IFERROR(INDEX(记账规则!$A$13:$H$32,MATCH(资金流水!$E428,记账规则!$A$13:$A$32,0),7),""))</f>
        <v/>
      </c>
      <c r="N4051" s="66" t="str">
        <f aca="false">IF($L4051="","",IFERROR(INDEX(记账规则!$A$13:$H$32,MATCH(资金流水!$E428,记账规则!$A$13:$A$32,0),8),""))</f>
        <v/>
      </c>
      <c r="O4051" s="67" t="n">
        <f aca="false">IF($H4051="",0,ROUND(IF($N4051="金额",N(资金流水!$P428),0),2))</f>
        <v>0</v>
      </c>
      <c r="P4051" s="64" t="str">
        <f aca="false">IF(AND($H4051&lt;&gt;"",ROUND($O4051,2)&lt;&gt;0),"有","")</f>
        <v/>
      </c>
    </row>
    <row r="4052" customFormat="false" ht="15" hidden="true" customHeight="false" outlineLevel="0" collapsed="false">
      <c r="A4052" s="53" t="str">
        <f aca="false">IF($H4052="","",ROW()-5)</f>
        <v/>
      </c>
      <c r="B4052" s="64" t="s">
        <v>37</v>
      </c>
      <c r="C4052" s="53" t="n">
        <v>429</v>
      </c>
      <c r="D4052" s="53" t="n">
        <v>1</v>
      </c>
      <c r="E4052" s="65" t="str">
        <f aca="false">IF($H4052="","",资金流水!$B429)</f>
        <v/>
      </c>
      <c r="F4052" s="55" t="str">
        <f aca="false">IF($H4052="","",资金流水!$C429)</f>
        <v/>
      </c>
      <c r="G4052" s="48" t="str">
        <f aca="false">IF($H4052="","",资金流水!$K429)</f>
        <v/>
      </c>
      <c r="H4052" s="10" t="str">
        <f aca="false">IF($L4052="","",IF($L4052="@对方",资金流水!$G429,IF($L4052="@账户",资金流水!$Q429,$L4052)))</f>
        <v/>
      </c>
      <c r="I4052" s="42" t="n">
        <f aca="false">IF($M4052="借",$O4052,0)</f>
        <v>0</v>
      </c>
      <c r="J4052" s="42" t="n">
        <f aca="false">IF($M4052="贷",$O4052,0)</f>
        <v>0</v>
      </c>
      <c r="K4052" s="48" t="str">
        <f aca="false">IF($H4052="","",资金流水!$F429)</f>
        <v/>
      </c>
      <c r="L4052" s="66" t="str">
        <f aca="false">IF(资金流水!$E429="","",IFERROR(INDEX(记账规则!$A$13:$H$32,MATCH(资金流水!$E429,记账规则!$A$13:$A$32,0),3),""))</f>
        <v/>
      </c>
      <c r="M4052" s="66" t="str">
        <f aca="false">IF($L4052="","",IFERROR(INDEX(记账规则!$A$13:$H$32,MATCH(资金流水!$E429,记账规则!$A$13:$A$32,0),4),""))</f>
        <v/>
      </c>
      <c r="N4052" s="66" t="str">
        <f aca="false">IF($L4052="","",IFERROR(INDEX(记账规则!$A$13:$H$32,MATCH(资金流水!$E429,记账规则!$A$13:$A$32,0),5),""))</f>
        <v/>
      </c>
      <c r="O4052" s="67" t="n">
        <f aca="false">IF($H4052="",0,ROUND(IF($N4052="金额",N(资金流水!$P429),0),2))</f>
        <v>0</v>
      </c>
      <c r="P4052" s="64" t="str">
        <f aca="false">IF(AND($H4052&lt;&gt;"",ROUND($O4052,2)&lt;&gt;0),"有","")</f>
        <v/>
      </c>
    </row>
    <row r="4053" customFormat="false" ht="15" hidden="true" customHeight="false" outlineLevel="0" collapsed="false">
      <c r="A4053" s="53" t="str">
        <f aca="false">IF($H4053="","",ROW()-5)</f>
        <v/>
      </c>
      <c r="B4053" s="64" t="s">
        <v>37</v>
      </c>
      <c r="C4053" s="53" t="n">
        <v>429</v>
      </c>
      <c r="D4053" s="53" t="n">
        <v>2</v>
      </c>
      <c r="E4053" s="65" t="str">
        <f aca="false">IF($H4053="","",资金流水!$B429)</f>
        <v/>
      </c>
      <c r="F4053" s="55" t="str">
        <f aca="false">IF($H4053="","",资金流水!$C429)</f>
        <v/>
      </c>
      <c r="G4053" s="48" t="str">
        <f aca="false">IF($H4053="","",资金流水!$K429)</f>
        <v/>
      </c>
      <c r="H4053" s="10" t="str">
        <f aca="false">IF($L4053="","",IF($L4053="@对方",资金流水!$G429,IF($L4053="@账户",资金流水!$Q429,$L4053)))</f>
        <v/>
      </c>
      <c r="I4053" s="42" t="n">
        <f aca="false">IF($M4053="借",$O4053,0)</f>
        <v>0</v>
      </c>
      <c r="J4053" s="42" t="n">
        <f aca="false">IF($M4053="贷",$O4053,0)</f>
        <v>0</v>
      </c>
      <c r="K4053" s="48" t="str">
        <f aca="false">IF($H4053="","",资金流水!$F429)</f>
        <v/>
      </c>
      <c r="L4053" s="66" t="str">
        <f aca="false">IF(资金流水!$E429="","",IFERROR(INDEX(记账规则!$A$13:$H$32,MATCH(资金流水!$E429,记账规则!$A$13:$A$32,0),6),""))</f>
        <v/>
      </c>
      <c r="M4053" s="66" t="str">
        <f aca="false">IF($L4053="","",IFERROR(INDEX(记账规则!$A$13:$H$32,MATCH(资金流水!$E429,记账规则!$A$13:$A$32,0),7),""))</f>
        <v/>
      </c>
      <c r="N4053" s="66" t="str">
        <f aca="false">IF($L4053="","",IFERROR(INDEX(记账规则!$A$13:$H$32,MATCH(资金流水!$E429,记账规则!$A$13:$A$32,0),8),""))</f>
        <v/>
      </c>
      <c r="O4053" s="67" t="n">
        <f aca="false">IF($H4053="",0,ROUND(IF($N4053="金额",N(资金流水!$P429),0),2))</f>
        <v>0</v>
      </c>
      <c r="P4053" s="64" t="str">
        <f aca="false">IF(AND($H4053&lt;&gt;"",ROUND($O4053,2)&lt;&gt;0),"有","")</f>
        <v/>
      </c>
    </row>
    <row r="4054" customFormat="false" ht="15" hidden="true" customHeight="false" outlineLevel="0" collapsed="false">
      <c r="A4054" s="53" t="str">
        <f aca="false">IF($H4054="","",ROW()-5)</f>
        <v/>
      </c>
      <c r="B4054" s="64" t="s">
        <v>37</v>
      </c>
      <c r="C4054" s="53" t="n">
        <v>430</v>
      </c>
      <c r="D4054" s="53" t="n">
        <v>1</v>
      </c>
      <c r="E4054" s="65" t="str">
        <f aca="false">IF($H4054="","",资金流水!$B430)</f>
        <v/>
      </c>
      <c r="F4054" s="55" t="str">
        <f aca="false">IF($H4054="","",资金流水!$C430)</f>
        <v/>
      </c>
      <c r="G4054" s="48" t="str">
        <f aca="false">IF($H4054="","",资金流水!$K430)</f>
        <v/>
      </c>
      <c r="H4054" s="10" t="str">
        <f aca="false">IF($L4054="","",IF($L4054="@对方",资金流水!$G430,IF($L4054="@账户",资金流水!$Q430,$L4054)))</f>
        <v/>
      </c>
      <c r="I4054" s="42" t="n">
        <f aca="false">IF($M4054="借",$O4054,0)</f>
        <v>0</v>
      </c>
      <c r="J4054" s="42" t="n">
        <f aca="false">IF($M4054="贷",$O4054,0)</f>
        <v>0</v>
      </c>
      <c r="K4054" s="48" t="str">
        <f aca="false">IF($H4054="","",资金流水!$F430)</f>
        <v/>
      </c>
      <c r="L4054" s="66" t="str">
        <f aca="false">IF(资金流水!$E430="","",IFERROR(INDEX(记账规则!$A$13:$H$32,MATCH(资金流水!$E430,记账规则!$A$13:$A$32,0),3),""))</f>
        <v/>
      </c>
      <c r="M4054" s="66" t="str">
        <f aca="false">IF($L4054="","",IFERROR(INDEX(记账规则!$A$13:$H$32,MATCH(资金流水!$E430,记账规则!$A$13:$A$32,0),4),""))</f>
        <v/>
      </c>
      <c r="N4054" s="66" t="str">
        <f aca="false">IF($L4054="","",IFERROR(INDEX(记账规则!$A$13:$H$32,MATCH(资金流水!$E430,记账规则!$A$13:$A$32,0),5),""))</f>
        <v/>
      </c>
      <c r="O4054" s="67" t="n">
        <f aca="false">IF($H4054="",0,ROUND(IF($N4054="金额",N(资金流水!$P430),0),2))</f>
        <v>0</v>
      </c>
      <c r="P4054" s="64" t="str">
        <f aca="false">IF(AND($H4054&lt;&gt;"",ROUND($O4054,2)&lt;&gt;0),"有","")</f>
        <v/>
      </c>
    </row>
    <row r="4055" customFormat="false" ht="15" hidden="true" customHeight="false" outlineLevel="0" collapsed="false">
      <c r="A4055" s="53" t="str">
        <f aca="false">IF($H4055="","",ROW()-5)</f>
        <v/>
      </c>
      <c r="B4055" s="64" t="s">
        <v>37</v>
      </c>
      <c r="C4055" s="53" t="n">
        <v>430</v>
      </c>
      <c r="D4055" s="53" t="n">
        <v>2</v>
      </c>
      <c r="E4055" s="65" t="str">
        <f aca="false">IF($H4055="","",资金流水!$B430)</f>
        <v/>
      </c>
      <c r="F4055" s="55" t="str">
        <f aca="false">IF($H4055="","",资金流水!$C430)</f>
        <v/>
      </c>
      <c r="G4055" s="48" t="str">
        <f aca="false">IF($H4055="","",资金流水!$K430)</f>
        <v/>
      </c>
      <c r="H4055" s="10" t="str">
        <f aca="false">IF($L4055="","",IF($L4055="@对方",资金流水!$G430,IF($L4055="@账户",资金流水!$Q430,$L4055)))</f>
        <v/>
      </c>
      <c r="I4055" s="42" t="n">
        <f aca="false">IF($M4055="借",$O4055,0)</f>
        <v>0</v>
      </c>
      <c r="J4055" s="42" t="n">
        <f aca="false">IF($M4055="贷",$O4055,0)</f>
        <v>0</v>
      </c>
      <c r="K4055" s="48" t="str">
        <f aca="false">IF($H4055="","",资金流水!$F430)</f>
        <v/>
      </c>
      <c r="L4055" s="66" t="str">
        <f aca="false">IF(资金流水!$E430="","",IFERROR(INDEX(记账规则!$A$13:$H$32,MATCH(资金流水!$E430,记账规则!$A$13:$A$32,0),6),""))</f>
        <v/>
      </c>
      <c r="M4055" s="66" t="str">
        <f aca="false">IF($L4055="","",IFERROR(INDEX(记账规则!$A$13:$H$32,MATCH(资金流水!$E430,记账规则!$A$13:$A$32,0),7),""))</f>
        <v/>
      </c>
      <c r="N4055" s="66" t="str">
        <f aca="false">IF($L4055="","",IFERROR(INDEX(记账规则!$A$13:$H$32,MATCH(资金流水!$E430,记账规则!$A$13:$A$32,0),8),""))</f>
        <v/>
      </c>
      <c r="O4055" s="67" t="n">
        <f aca="false">IF($H4055="",0,ROUND(IF($N4055="金额",N(资金流水!$P430),0),2))</f>
        <v>0</v>
      </c>
      <c r="P4055" s="64" t="str">
        <f aca="false">IF(AND($H4055&lt;&gt;"",ROUND($O4055,2)&lt;&gt;0),"有","")</f>
        <v/>
      </c>
    </row>
    <row r="4056" customFormat="false" ht="15" hidden="true" customHeight="false" outlineLevel="0" collapsed="false">
      <c r="A4056" s="53" t="str">
        <f aca="false">IF($H4056="","",ROW()-5)</f>
        <v/>
      </c>
      <c r="B4056" s="64" t="s">
        <v>37</v>
      </c>
      <c r="C4056" s="53" t="n">
        <v>431</v>
      </c>
      <c r="D4056" s="53" t="n">
        <v>1</v>
      </c>
      <c r="E4056" s="65" t="str">
        <f aca="false">IF($H4056="","",资金流水!$B431)</f>
        <v/>
      </c>
      <c r="F4056" s="55" t="str">
        <f aca="false">IF($H4056="","",资金流水!$C431)</f>
        <v/>
      </c>
      <c r="G4056" s="48" t="str">
        <f aca="false">IF($H4056="","",资金流水!$K431)</f>
        <v/>
      </c>
      <c r="H4056" s="10" t="str">
        <f aca="false">IF($L4056="","",IF($L4056="@对方",资金流水!$G431,IF($L4056="@账户",资金流水!$Q431,$L4056)))</f>
        <v/>
      </c>
      <c r="I4056" s="42" t="n">
        <f aca="false">IF($M4056="借",$O4056,0)</f>
        <v>0</v>
      </c>
      <c r="J4056" s="42" t="n">
        <f aca="false">IF($M4056="贷",$O4056,0)</f>
        <v>0</v>
      </c>
      <c r="K4056" s="48" t="str">
        <f aca="false">IF($H4056="","",资金流水!$F431)</f>
        <v/>
      </c>
      <c r="L4056" s="66" t="str">
        <f aca="false">IF(资金流水!$E431="","",IFERROR(INDEX(记账规则!$A$13:$H$32,MATCH(资金流水!$E431,记账规则!$A$13:$A$32,0),3),""))</f>
        <v/>
      </c>
      <c r="M4056" s="66" t="str">
        <f aca="false">IF($L4056="","",IFERROR(INDEX(记账规则!$A$13:$H$32,MATCH(资金流水!$E431,记账规则!$A$13:$A$32,0),4),""))</f>
        <v/>
      </c>
      <c r="N4056" s="66" t="str">
        <f aca="false">IF($L4056="","",IFERROR(INDEX(记账规则!$A$13:$H$32,MATCH(资金流水!$E431,记账规则!$A$13:$A$32,0),5),""))</f>
        <v/>
      </c>
      <c r="O4056" s="67" t="n">
        <f aca="false">IF($H4056="",0,ROUND(IF($N4056="金额",N(资金流水!$P431),0),2))</f>
        <v>0</v>
      </c>
      <c r="P4056" s="64" t="str">
        <f aca="false">IF(AND($H4056&lt;&gt;"",ROUND($O4056,2)&lt;&gt;0),"有","")</f>
        <v/>
      </c>
    </row>
    <row r="4057" customFormat="false" ht="15" hidden="true" customHeight="false" outlineLevel="0" collapsed="false">
      <c r="A4057" s="53" t="str">
        <f aca="false">IF($H4057="","",ROW()-5)</f>
        <v/>
      </c>
      <c r="B4057" s="64" t="s">
        <v>37</v>
      </c>
      <c r="C4057" s="53" t="n">
        <v>431</v>
      </c>
      <c r="D4057" s="53" t="n">
        <v>2</v>
      </c>
      <c r="E4057" s="65" t="str">
        <f aca="false">IF($H4057="","",资金流水!$B431)</f>
        <v/>
      </c>
      <c r="F4057" s="55" t="str">
        <f aca="false">IF($H4057="","",资金流水!$C431)</f>
        <v/>
      </c>
      <c r="G4057" s="48" t="str">
        <f aca="false">IF($H4057="","",资金流水!$K431)</f>
        <v/>
      </c>
      <c r="H4057" s="10" t="str">
        <f aca="false">IF($L4057="","",IF($L4057="@对方",资金流水!$G431,IF($L4057="@账户",资金流水!$Q431,$L4057)))</f>
        <v/>
      </c>
      <c r="I4057" s="42" t="n">
        <f aca="false">IF($M4057="借",$O4057,0)</f>
        <v>0</v>
      </c>
      <c r="J4057" s="42" t="n">
        <f aca="false">IF($M4057="贷",$O4057,0)</f>
        <v>0</v>
      </c>
      <c r="K4057" s="48" t="str">
        <f aca="false">IF($H4057="","",资金流水!$F431)</f>
        <v/>
      </c>
      <c r="L4057" s="66" t="str">
        <f aca="false">IF(资金流水!$E431="","",IFERROR(INDEX(记账规则!$A$13:$H$32,MATCH(资金流水!$E431,记账规则!$A$13:$A$32,0),6),""))</f>
        <v/>
      </c>
      <c r="M4057" s="66" t="str">
        <f aca="false">IF($L4057="","",IFERROR(INDEX(记账规则!$A$13:$H$32,MATCH(资金流水!$E431,记账规则!$A$13:$A$32,0),7),""))</f>
        <v/>
      </c>
      <c r="N4057" s="66" t="str">
        <f aca="false">IF($L4057="","",IFERROR(INDEX(记账规则!$A$13:$H$32,MATCH(资金流水!$E431,记账规则!$A$13:$A$32,0),8),""))</f>
        <v/>
      </c>
      <c r="O4057" s="67" t="n">
        <f aca="false">IF($H4057="",0,ROUND(IF($N4057="金额",N(资金流水!$P431),0),2))</f>
        <v>0</v>
      </c>
      <c r="P4057" s="64" t="str">
        <f aca="false">IF(AND($H4057&lt;&gt;"",ROUND($O4057,2)&lt;&gt;0),"有","")</f>
        <v/>
      </c>
    </row>
    <row r="4058" customFormat="false" ht="15" hidden="true" customHeight="false" outlineLevel="0" collapsed="false">
      <c r="A4058" s="53" t="str">
        <f aca="false">IF($H4058="","",ROW()-5)</f>
        <v/>
      </c>
      <c r="B4058" s="64" t="s">
        <v>37</v>
      </c>
      <c r="C4058" s="53" t="n">
        <v>432</v>
      </c>
      <c r="D4058" s="53" t="n">
        <v>1</v>
      </c>
      <c r="E4058" s="65" t="str">
        <f aca="false">IF($H4058="","",资金流水!$B432)</f>
        <v/>
      </c>
      <c r="F4058" s="55" t="str">
        <f aca="false">IF($H4058="","",资金流水!$C432)</f>
        <v/>
      </c>
      <c r="G4058" s="48" t="str">
        <f aca="false">IF($H4058="","",资金流水!$K432)</f>
        <v/>
      </c>
      <c r="H4058" s="10" t="str">
        <f aca="false">IF($L4058="","",IF($L4058="@对方",资金流水!$G432,IF($L4058="@账户",资金流水!$Q432,$L4058)))</f>
        <v/>
      </c>
      <c r="I4058" s="42" t="n">
        <f aca="false">IF($M4058="借",$O4058,0)</f>
        <v>0</v>
      </c>
      <c r="J4058" s="42" t="n">
        <f aca="false">IF($M4058="贷",$O4058,0)</f>
        <v>0</v>
      </c>
      <c r="K4058" s="48" t="str">
        <f aca="false">IF($H4058="","",资金流水!$F432)</f>
        <v/>
      </c>
      <c r="L4058" s="66" t="str">
        <f aca="false">IF(资金流水!$E432="","",IFERROR(INDEX(记账规则!$A$13:$H$32,MATCH(资金流水!$E432,记账规则!$A$13:$A$32,0),3),""))</f>
        <v/>
      </c>
      <c r="M4058" s="66" t="str">
        <f aca="false">IF($L4058="","",IFERROR(INDEX(记账规则!$A$13:$H$32,MATCH(资金流水!$E432,记账规则!$A$13:$A$32,0),4),""))</f>
        <v/>
      </c>
      <c r="N4058" s="66" t="str">
        <f aca="false">IF($L4058="","",IFERROR(INDEX(记账规则!$A$13:$H$32,MATCH(资金流水!$E432,记账规则!$A$13:$A$32,0),5),""))</f>
        <v/>
      </c>
      <c r="O4058" s="67" t="n">
        <f aca="false">IF($H4058="",0,ROUND(IF($N4058="金额",N(资金流水!$P432),0),2))</f>
        <v>0</v>
      </c>
      <c r="P4058" s="64" t="str">
        <f aca="false">IF(AND($H4058&lt;&gt;"",ROUND($O4058,2)&lt;&gt;0),"有","")</f>
        <v/>
      </c>
    </row>
    <row r="4059" customFormat="false" ht="15" hidden="true" customHeight="false" outlineLevel="0" collapsed="false">
      <c r="A4059" s="53" t="str">
        <f aca="false">IF($H4059="","",ROW()-5)</f>
        <v/>
      </c>
      <c r="B4059" s="64" t="s">
        <v>37</v>
      </c>
      <c r="C4059" s="53" t="n">
        <v>432</v>
      </c>
      <c r="D4059" s="53" t="n">
        <v>2</v>
      </c>
      <c r="E4059" s="65" t="str">
        <f aca="false">IF($H4059="","",资金流水!$B432)</f>
        <v/>
      </c>
      <c r="F4059" s="55" t="str">
        <f aca="false">IF($H4059="","",资金流水!$C432)</f>
        <v/>
      </c>
      <c r="G4059" s="48" t="str">
        <f aca="false">IF($H4059="","",资金流水!$K432)</f>
        <v/>
      </c>
      <c r="H4059" s="10" t="str">
        <f aca="false">IF($L4059="","",IF($L4059="@对方",资金流水!$G432,IF($L4059="@账户",资金流水!$Q432,$L4059)))</f>
        <v/>
      </c>
      <c r="I4059" s="42" t="n">
        <f aca="false">IF($M4059="借",$O4059,0)</f>
        <v>0</v>
      </c>
      <c r="J4059" s="42" t="n">
        <f aca="false">IF($M4059="贷",$O4059,0)</f>
        <v>0</v>
      </c>
      <c r="K4059" s="48" t="str">
        <f aca="false">IF($H4059="","",资金流水!$F432)</f>
        <v/>
      </c>
      <c r="L4059" s="66" t="str">
        <f aca="false">IF(资金流水!$E432="","",IFERROR(INDEX(记账规则!$A$13:$H$32,MATCH(资金流水!$E432,记账规则!$A$13:$A$32,0),6),""))</f>
        <v/>
      </c>
      <c r="M4059" s="66" t="str">
        <f aca="false">IF($L4059="","",IFERROR(INDEX(记账规则!$A$13:$H$32,MATCH(资金流水!$E432,记账规则!$A$13:$A$32,0),7),""))</f>
        <v/>
      </c>
      <c r="N4059" s="66" t="str">
        <f aca="false">IF($L4059="","",IFERROR(INDEX(记账规则!$A$13:$H$32,MATCH(资金流水!$E432,记账规则!$A$13:$A$32,0),8),""))</f>
        <v/>
      </c>
      <c r="O4059" s="67" t="n">
        <f aca="false">IF($H4059="",0,ROUND(IF($N4059="金额",N(资金流水!$P432),0),2))</f>
        <v>0</v>
      </c>
      <c r="P4059" s="64" t="str">
        <f aca="false">IF(AND($H4059&lt;&gt;"",ROUND($O4059,2)&lt;&gt;0),"有","")</f>
        <v/>
      </c>
    </row>
    <row r="4060" customFormat="false" ht="15" hidden="true" customHeight="false" outlineLevel="0" collapsed="false">
      <c r="A4060" s="53" t="str">
        <f aca="false">IF($H4060="","",ROW()-5)</f>
        <v/>
      </c>
      <c r="B4060" s="64" t="s">
        <v>37</v>
      </c>
      <c r="C4060" s="53" t="n">
        <v>433</v>
      </c>
      <c r="D4060" s="53" t="n">
        <v>1</v>
      </c>
      <c r="E4060" s="65" t="str">
        <f aca="false">IF($H4060="","",资金流水!$B433)</f>
        <v/>
      </c>
      <c r="F4060" s="55" t="str">
        <f aca="false">IF($H4060="","",资金流水!$C433)</f>
        <v/>
      </c>
      <c r="G4060" s="48" t="str">
        <f aca="false">IF($H4060="","",资金流水!$K433)</f>
        <v/>
      </c>
      <c r="H4060" s="10" t="str">
        <f aca="false">IF($L4060="","",IF($L4060="@对方",资金流水!$G433,IF($L4060="@账户",资金流水!$Q433,$L4060)))</f>
        <v/>
      </c>
      <c r="I4060" s="42" t="n">
        <f aca="false">IF($M4060="借",$O4060,0)</f>
        <v>0</v>
      </c>
      <c r="J4060" s="42" t="n">
        <f aca="false">IF($M4060="贷",$O4060,0)</f>
        <v>0</v>
      </c>
      <c r="K4060" s="48" t="str">
        <f aca="false">IF($H4060="","",资金流水!$F433)</f>
        <v/>
      </c>
      <c r="L4060" s="66" t="str">
        <f aca="false">IF(资金流水!$E433="","",IFERROR(INDEX(记账规则!$A$13:$H$32,MATCH(资金流水!$E433,记账规则!$A$13:$A$32,0),3),""))</f>
        <v/>
      </c>
      <c r="M4060" s="66" t="str">
        <f aca="false">IF($L4060="","",IFERROR(INDEX(记账规则!$A$13:$H$32,MATCH(资金流水!$E433,记账规则!$A$13:$A$32,0),4),""))</f>
        <v/>
      </c>
      <c r="N4060" s="66" t="str">
        <f aca="false">IF($L4060="","",IFERROR(INDEX(记账规则!$A$13:$H$32,MATCH(资金流水!$E433,记账规则!$A$13:$A$32,0),5),""))</f>
        <v/>
      </c>
      <c r="O4060" s="67" t="n">
        <f aca="false">IF($H4060="",0,ROUND(IF($N4060="金额",N(资金流水!$P433),0),2))</f>
        <v>0</v>
      </c>
      <c r="P4060" s="64" t="str">
        <f aca="false">IF(AND($H4060&lt;&gt;"",ROUND($O4060,2)&lt;&gt;0),"有","")</f>
        <v/>
      </c>
    </row>
    <row r="4061" customFormat="false" ht="15" hidden="true" customHeight="false" outlineLevel="0" collapsed="false">
      <c r="A4061" s="53" t="str">
        <f aca="false">IF($H4061="","",ROW()-5)</f>
        <v/>
      </c>
      <c r="B4061" s="64" t="s">
        <v>37</v>
      </c>
      <c r="C4061" s="53" t="n">
        <v>433</v>
      </c>
      <c r="D4061" s="53" t="n">
        <v>2</v>
      </c>
      <c r="E4061" s="65" t="str">
        <f aca="false">IF($H4061="","",资金流水!$B433)</f>
        <v/>
      </c>
      <c r="F4061" s="55" t="str">
        <f aca="false">IF($H4061="","",资金流水!$C433)</f>
        <v/>
      </c>
      <c r="G4061" s="48" t="str">
        <f aca="false">IF($H4061="","",资金流水!$K433)</f>
        <v/>
      </c>
      <c r="H4061" s="10" t="str">
        <f aca="false">IF($L4061="","",IF($L4061="@对方",资金流水!$G433,IF($L4061="@账户",资金流水!$Q433,$L4061)))</f>
        <v/>
      </c>
      <c r="I4061" s="42" t="n">
        <f aca="false">IF($M4061="借",$O4061,0)</f>
        <v>0</v>
      </c>
      <c r="J4061" s="42" t="n">
        <f aca="false">IF($M4061="贷",$O4061,0)</f>
        <v>0</v>
      </c>
      <c r="K4061" s="48" t="str">
        <f aca="false">IF($H4061="","",资金流水!$F433)</f>
        <v/>
      </c>
      <c r="L4061" s="66" t="str">
        <f aca="false">IF(资金流水!$E433="","",IFERROR(INDEX(记账规则!$A$13:$H$32,MATCH(资金流水!$E433,记账规则!$A$13:$A$32,0),6),""))</f>
        <v/>
      </c>
      <c r="M4061" s="66" t="str">
        <f aca="false">IF($L4061="","",IFERROR(INDEX(记账规则!$A$13:$H$32,MATCH(资金流水!$E433,记账规则!$A$13:$A$32,0),7),""))</f>
        <v/>
      </c>
      <c r="N4061" s="66" t="str">
        <f aca="false">IF($L4061="","",IFERROR(INDEX(记账规则!$A$13:$H$32,MATCH(资金流水!$E433,记账规则!$A$13:$A$32,0),8),""))</f>
        <v/>
      </c>
      <c r="O4061" s="67" t="n">
        <f aca="false">IF($H4061="",0,ROUND(IF($N4061="金额",N(资金流水!$P433),0),2))</f>
        <v>0</v>
      </c>
      <c r="P4061" s="64" t="str">
        <f aca="false">IF(AND($H4061&lt;&gt;"",ROUND($O4061,2)&lt;&gt;0),"有","")</f>
        <v/>
      </c>
    </row>
    <row r="4062" customFormat="false" ht="15" hidden="true" customHeight="false" outlineLevel="0" collapsed="false">
      <c r="A4062" s="53" t="str">
        <f aca="false">IF($H4062="","",ROW()-5)</f>
        <v/>
      </c>
      <c r="B4062" s="64" t="s">
        <v>37</v>
      </c>
      <c r="C4062" s="53" t="n">
        <v>434</v>
      </c>
      <c r="D4062" s="53" t="n">
        <v>1</v>
      </c>
      <c r="E4062" s="65" t="str">
        <f aca="false">IF($H4062="","",资金流水!$B434)</f>
        <v/>
      </c>
      <c r="F4062" s="55" t="str">
        <f aca="false">IF($H4062="","",资金流水!$C434)</f>
        <v/>
      </c>
      <c r="G4062" s="48" t="str">
        <f aca="false">IF($H4062="","",资金流水!$K434)</f>
        <v/>
      </c>
      <c r="H4062" s="10" t="str">
        <f aca="false">IF($L4062="","",IF($L4062="@对方",资金流水!$G434,IF($L4062="@账户",资金流水!$Q434,$L4062)))</f>
        <v/>
      </c>
      <c r="I4062" s="42" t="n">
        <f aca="false">IF($M4062="借",$O4062,0)</f>
        <v>0</v>
      </c>
      <c r="J4062" s="42" t="n">
        <f aca="false">IF($M4062="贷",$O4062,0)</f>
        <v>0</v>
      </c>
      <c r="K4062" s="48" t="str">
        <f aca="false">IF($H4062="","",资金流水!$F434)</f>
        <v/>
      </c>
      <c r="L4062" s="66" t="str">
        <f aca="false">IF(资金流水!$E434="","",IFERROR(INDEX(记账规则!$A$13:$H$32,MATCH(资金流水!$E434,记账规则!$A$13:$A$32,0),3),""))</f>
        <v/>
      </c>
      <c r="M4062" s="66" t="str">
        <f aca="false">IF($L4062="","",IFERROR(INDEX(记账规则!$A$13:$H$32,MATCH(资金流水!$E434,记账规则!$A$13:$A$32,0),4),""))</f>
        <v/>
      </c>
      <c r="N4062" s="66" t="str">
        <f aca="false">IF($L4062="","",IFERROR(INDEX(记账规则!$A$13:$H$32,MATCH(资金流水!$E434,记账规则!$A$13:$A$32,0),5),""))</f>
        <v/>
      </c>
      <c r="O4062" s="67" t="n">
        <f aca="false">IF($H4062="",0,ROUND(IF($N4062="金额",N(资金流水!$P434),0),2))</f>
        <v>0</v>
      </c>
      <c r="P4062" s="64" t="str">
        <f aca="false">IF(AND($H4062&lt;&gt;"",ROUND($O4062,2)&lt;&gt;0),"有","")</f>
        <v/>
      </c>
    </row>
    <row r="4063" customFormat="false" ht="15" hidden="true" customHeight="false" outlineLevel="0" collapsed="false">
      <c r="A4063" s="53" t="str">
        <f aca="false">IF($H4063="","",ROW()-5)</f>
        <v/>
      </c>
      <c r="B4063" s="64" t="s">
        <v>37</v>
      </c>
      <c r="C4063" s="53" t="n">
        <v>434</v>
      </c>
      <c r="D4063" s="53" t="n">
        <v>2</v>
      </c>
      <c r="E4063" s="65" t="str">
        <f aca="false">IF($H4063="","",资金流水!$B434)</f>
        <v/>
      </c>
      <c r="F4063" s="55" t="str">
        <f aca="false">IF($H4063="","",资金流水!$C434)</f>
        <v/>
      </c>
      <c r="G4063" s="48" t="str">
        <f aca="false">IF($H4063="","",资金流水!$K434)</f>
        <v/>
      </c>
      <c r="H4063" s="10" t="str">
        <f aca="false">IF($L4063="","",IF($L4063="@对方",资金流水!$G434,IF($L4063="@账户",资金流水!$Q434,$L4063)))</f>
        <v/>
      </c>
      <c r="I4063" s="42" t="n">
        <f aca="false">IF($M4063="借",$O4063,0)</f>
        <v>0</v>
      </c>
      <c r="J4063" s="42" t="n">
        <f aca="false">IF($M4063="贷",$O4063,0)</f>
        <v>0</v>
      </c>
      <c r="K4063" s="48" t="str">
        <f aca="false">IF($H4063="","",资金流水!$F434)</f>
        <v/>
      </c>
      <c r="L4063" s="66" t="str">
        <f aca="false">IF(资金流水!$E434="","",IFERROR(INDEX(记账规则!$A$13:$H$32,MATCH(资金流水!$E434,记账规则!$A$13:$A$32,0),6),""))</f>
        <v/>
      </c>
      <c r="M4063" s="66" t="str">
        <f aca="false">IF($L4063="","",IFERROR(INDEX(记账规则!$A$13:$H$32,MATCH(资金流水!$E434,记账规则!$A$13:$A$32,0),7),""))</f>
        <v/>
      </c>
      <c r="N4063" s="66" t="str">
        <f aca="false">IF($L4063="","",IFERROR(INDEX(记账规则!$A$13:$H$32,MATCH(资金流水!$E434,记账规则!$A$13:$A$32,0),8),""))</f>
        <v/>
      </c>
      <c r="O4063" s="67" t="n">
        <f aca="false">IF($H4063="",0,ROUND(IF($N4063="金额",N(资金流水!$P434),0),2))</f>
        <v>0</v>
      </c>
      <c r="P4063" s="64" t="str">
        <f aca="false">IF(AND($H4063&lt;&gt;"",ROUND($O4063,2)&lt;&gt;0),"有","")</f>
        <v/>
      </c>
    </row>
    <row r="4064" customFormat="false" ht="15" hidden="true" customHeight="false" outlineLevel="0" collapsed="false">
      <c r="A4064" s="53" t="str">
        <f aca="false">IF($H4064="","",ROW()-5)</f>
        <v/>
      </c>
      <c r="B4064" s="64" t="s">
        <v>37</v>
      </c>
      <c r="C4064" s="53" t="n">
        <v>435</v>
      </c>
      <c r="D4064" s="53" t="n">
        <v>1</v>
      </c>
      <c r="E4064" s="65" t="str">
        <f aca="false">IF($H4064="","",资金流水!$B435)</f>
        <v/>
      </c>
      <c r="F4064" s="55" t="str">
        <f aca="false">IF($H4064="","",资金流水!$C435)</f>
        <v/>
      </c>
      <c r="G4064" s="48" t="str">
        <f aca="false">IF($H4064="","",资金流水!$K435)</f>
        <v/>
      </c>
      <c r="H4064" s="10" t="str">
        <f aca="false">IF($L4064="","",IF($L4064="@对方",资金流水!$G435,IF($L4064="@账户",资金流水!$Q435,$L4064)))</f>
        <v/>
      </c>
      <c r="I4064" s="42" t="n">
        <f aca="false">IF($M4064="借",$O4064,0)</f>
        <v>0</v>
      </c>
      <c r="J4064" s="42" t="n">
        <f aca="false">IF($M4064="贷",$O4064,0)</f>
        <v>0</v>
      </c>
      <c r="K4064" s="48" t="str">
        <f aca="false">IF($H4064="","",资金流水!$F435)</f>
        <v/>
      </c>
      <c r="L4064" s="66" t="str">
        <f aca="false">IF(资金流水!$E435="","",IFERROR(INDEX(记账规则!$A$13:$H$32,MATCH(资金流水!$E435,记账规则!$A$13:$A$32,0),3),""))</f>
        <v/>
      </c>
      <c r="M4064" s="66" t="str">
        <f aca="false">IF($L4064="","",IFERROR(INDEX(记账规则!$A$13:$H$32,MATCH(资金流水!$E435,记账规则!$A$13:$A$32,0),4),""))</f>
        <v/>
      </c>
      <c r="N4064" s="66" t="str">
        <f aca="false">IF($L4064="","",IFERROR(INDEX(记账规则!$A$13:$H$32,MATCH(资金流水!$E435,记账规则!$A$13:$A$32,0),5),""))</f>
        <v/>
      </c>
      <c r="O4064" s="67" t="n">
        <f aca="false">IF($H4064="",0,ROUND(IF($N4064="金额",N(资金流水!$P435),0),2))</f>
        <v>0</v>
      </c>
      <c r="P4064" s="64" t="str">
        <f aca="false">IF(AND($H4064&lt;&gt;"",ROUND($O4064,2)&lt;&gt;0),"有","")</f>
        <v/>
      </c>
    </row>
    <row r="4065" customFormat="false" ht="15" hidden="true" customHeight="false" outlineLevel="0" collapsed="false">
      <c r="A4065" s="53" t="str">
        <f aca="false">IF($H4065="","",ROW()-5)</f>
        <v/>
      </c>
      <c r="B4065" s="64" t="s">
        <v>37</v>
      </c>
      <c r="C4065" s="53" t="n">
        <v>435</v>
      </c>
      <c r="D4065" s="53" t="n">
        <v>2</v>
      </c>
      <c r="E4065" s="65" t="str">
        <f aca="false">IF($H4065="","",资金流水!$B435)</f>
        <v/>
      </c>
      <c r="F4065" s="55" t="str">
        <f aca="false">IF($H4065="","",资金流水!$C435)</f>
        <v/>
      </c>
      <c r="G4065" s="48" t="str">
        <f aca="false">IF($H4065="","",资金流水!$K435)</f>
        <v/>
      </c>
      <c r="H4065" s="10" t="str">
        <f aca="false">IF($L4065="","",IF($L4065="@对方",资金流水!$G435,IF($L4065="@账户",资金流水!$Q435,$L4065)))</f>
        <v/>
      </c>
      <c r="I4065" s="42" t="n">
        <f aca="false">IF($M4065="借",$O4065,0)</f>
        <v>0</v>
      </c>
      <c r="J4065" s="42" t="n">
        <f aca="false">IF($M4065="贷",$O4065,0)</f>
        <v>0</v>
      </c>
      <c r="K4065" s="48" t="str">
        <f aca="false">IF($H4065="","",资金流水!$F435)</f>
        <v/>
      </c>
      <c r="L4065" s="66" t="str">
        <f aca="false">IF(资金流水!$E435="","",IFERROR(INDEX(记账规则!$A$13:$H$32,MATCH(资金流水!$E435,记账规则!$A$13:$A$32,0),6),""))</f>
        <v/>
      </c>
      <c r="M4065" s="66" t="str">
        <f aca="false">IF($L4065="","",IFERROR(INDEX(记账规则!$A$13:$H$32,MATCH(资金流水!$E435,记账规则!$A$13:$A$32,0),7),""))</f>
        <v/>
      </c>
      <c r="N4065" s="66" t="str">
        <f aca="false">IF($L4065="","",IFERROR(INDEX(记账规则!$A$13:$H$32,MATCH(资金流水!$E435,记账规则!$A$13:$A$32,0),8),""))</f>
        <v/>
      </c>
      <c r="O4065" s="67" t="n">
        <f aca="false">IF($H4065="",0,ROUND(IF($N4065="金额",N(资金流水!$P435),0),2))</f>
        <v>0</v>
      </c>
      <c r="P4065" s="64" t="str">
        <f aca="false">IF(AND($H4065&lt;&gt;"",ROUND($O4065,2)&lt;&gt;0),"有","")</f>
        <v/>
      </c>
    </row>
    <row r="4066" customFormat="false" ht="15" hidden="true" customHeight="false" outlineLevel="0" collapsed="false">
      <c r="A4066" s="53" t="str">
        <f aca="false">IF($H4066="","",ROW()-5)</f>
        <v/>
      </c>
      <c r="B4066" s="64" t="s">
        <v>37</v>
      </c>
      <c r="C4066" s="53" t="n">
        <v>436</v>
      </c>
      <c r="D4066" s="53" t="n">
        <v>1</v>
      </c>
      <c r="E4066" s="65" t="str">
        <f aca="false">IF($H4066="","",资金流水!$B436)</f>
        <v/>
      </c>
      <c r="F4066" s="55" t="str">
        <f aca="false">IF($H4066="","",资金流水!$C436)</f>
        <v/>
      </c>
      <c r="G4066" s="48" t="str">
        <f aca="false">IF($H4066="","",资金流水!$K436)</f>
        <v/>
      </c>
      <c r="H4066" s="10" t="str">
        <f aca="false">IF($L4066="","",IF($L4066="@对方",资金流水!$G436,IF($L4066="@账户",资金流水!$Q436,$L4066)))</f>
        <v/>
      </c>
      <c r="I4066" s="42" t="n">
        <f aca="false">IF($M4066="借",$O4066,0)</f>
        <v>0</v>
      </c>
      <c r="J4066" s="42" t="n">
        <f aca="false">IF($M4066="贷",$O4066,0)</f>
        <v>0</v>
      </c>
      <c r="K4066" s="48" t="str">
        <f aca="false">IF($H4066="","",资金流水!$F436)</f>
        <v/>
      </c>
      <c r="L4066" s="66" t="str">
        <f aca="false">IF(资金流水!$E436="","",IFERROR(INDEX(记账规则!$A$13:$H$32,MATCH(资金流水!$E436,记账规则!$A$13:$A$32,0),3),""))</f>
        <v/>
      </c>
      <c r="M4066" s="66" t="str">
        <f aca="false">IF($L4066="","",IFERROR(INDEX(记账规则!$A$13:$H$32,MATCH(资金流水!$E436,记账规则!$A$13:$A$32,0),4),""))</f>
        <v/>
      </c>
      <c r="N4066" s="66" t="str">
        <f aca="false">IF($L4066="","",IFERROR(INDEX(记账规则!$A$13:$H$32,MATCH(资金流水!$E436,记账规则!$A$13:$A$32,0),5),""))</f>
        <v/>
      </c>
      <c r="O4066" s="67" t="n">
        <f aca="false">IF($H4066="",0,ROUND(IF($N4066="金额",N(资金流水!$P436),0),2))</f>
        <v>0</v>
      </c>
      <c r="P4066" s="64" t="str">
        <f aca="false">IF(AND($H4066&lt;&gt;"",ROUND($O4066,2)&lt;&gt;0),"有","")</f>
        <v/>
      </c>
    </row>
    <row r="4067" customFormat="false" ht="15" hidden="true" customHeight="false" outlineLevel="0" collapsed="false">
      <c r="A4067" s="53" t="str">
        <f aca="false">IF($H4067="","",ROW()-5)</f>
        <v/>
      </c>
      <c r="B4067" s="64" t="s">
        <v>37</v>
      </c>
      <c r="C4067" s="53" t="n">
        <v>436</v>
      </c>
      <c r="D4067" s="53" t="n">
        <v>2</v>
      </c>
      <c r="E4067" s="65" t="str">
        <f aca="false">IF($H4067="","",资金流水!$B436)</f>
        <v/>
      </c>
      <c r="F4067" s="55" t="str">
        <f aca="false">IF($H4067="","",资金流水!$C436)</f>
        <v/>
      </c>
      <c r="G4067" s="48" t="str">
        <f aca="false">IF($H4067="","",资金流水!$K436)</f>
        <v/>
      </c>
      <c r="H4067" s="10" t="str">
        <f aca="false">IF($L4067="","",IF($L4067="@对方",资金流水!$G436,IF($L4067="@账户",资金流水!$Q436,$L4067)))</f>
        <v/>
      </c>
      <c r="I4067" s="42" t="n">
        <f aca="false">IF($M4067="借",$O4067,0)</f>
        <v>0</v>
      </c>
      <c r="J4067" s="42" t="n">
        <f aca="false">IF($M4067="贷",$O4067,0)</f>
        <v>0</v>
      </c>
      <c r="K4067" s="48" t="str">
        <f aca="false">IF($H4067="","",资金流水!$F436)</f>
        <v/>
      </c>
      <c r="L4067" s="66" t="str">
        <f aca="false">IF(资金流水!$E436="","",IFERROR(INDEX(记账规则!$A$13:$H$32,MATCH(资金流水!$E436,记账规则!$A$13:$A$32,0),6),""))</f>
        <v/>
      </c>
      <c r="M4067" s="66" t="str">
        <f aca="false">IF($L4067="","",IFERROR(INDEX(记账规则!$A$13:$H$32,MATCH(资金流水!$E436,记账规则!$A$13:$A$32,0),7),""))</f>
        <v/>
      </c>
      <c r="N4067" s="66" t="str">
        <f aca="false">IF($L4067="","",IFERROR(INDEX(记账规则!$A$13:$H$32,MATCH(资金流水!$E436,记账规则!$A$13:$A$32,0),8),""))</f>
        <v/>
      </c>
      <c r="O4067" s="67" t="n">
        <f aca="false">IF($H4067="",0,ROUND(IF($N4067="金额",N(资金流水!$P436),0),2))</f>
        <v>0</v>
      </c>
      <c r="P4067" s="64" t="str">
        <f aca="false">IF(AND($H4067&lt;&gt;"",ROUND($O4067,2)&lt;&gt;0),"有","")</f>
        <v/>
      </c>
    </row>
    <row r="4068" customFormat="false" ht="15" hidden="true" customHeight="false" outlineLevel="0" collapsed="false">
      <c r="A4068" s="53" t="str">
        <f aca="false">IF($H4068="","",ROW()-5)</f>
        <v/>
      </c>
      <c r="B4068" s="64" t="s">
        <v>37</v>
      </c>
      <c r="C4068" s="53" t="n">
        <v>437</v>
      </c>
      <c r="D4068" s="53" t="n">
        <v>1</v>
      </c>
      <c r="E4068" s="65" t="str">
        <f aca="false">IF($H4068="","",资金流水!$B437)</f>
        <v/>
      </c>
      <c r="F4068" s="55" t="str">
        <f aca="false">IF($H4068="","",资金流水!$C437)</f>
        <v/>
      </c>
      <c r="G4068" s="48" t="str">
        <f aca="false">IF($H4068="","",资金流水!$K437)</f>
        <v/>
      </c>
      <c r="H4068" s="10" t="str">
        <f aca="false">IF($L4068="","",IF($L4068="@对方",资金流水!$G437,IF($L4068="@账户",资金流水!$Q437,$L4068)))</f>
        <v/>
      </c>
      <c r="I4068" s="42" t="n">
        <f aca="false">IF($M4068="借",$O4068,0)</f>
        <v>0</v>
      </c>
      <c r="J4068" s="42" t="n">
        <f aca="false">IF($M4068="贷",$O4068,0)</f>
        <v>0</v>
      </c>
      <c r="K4068" s="48" t="str">
        <f aca="false">IF($H4068="","",资金流水!$F437)</f>
        <v/>
      </c>
      <c r="L4068" s="66" t="str">
        <f aca="false">IF(资金流水!$E437="","",IFERROR(INDEX(记账规则!$A$13:$H$32,MATCH(资金流水!$E437,记账规则!$A$13:$A$32,0),3),""))</f>
        <v/>
      </c>
      <c r="M4068" s="66" t="str">
        <f aca="false">IF($L4068="","",IFERROR(INDEX(记账规则!$A$13:$H$32,MATCH(资金流水!$E437,记账规则!$A$13:$A$32,0),4),""))</f>
        <v/>
      </c>
      <c r="N4068" s="66" t="str">
        <f aca="false">IF($L4068="","",IFERROR(INDEX(记账规则!$A$13:$H$32,MATCH(资金流水!$E437,记账规则!$A$13:$A$32,0),5),""))</f>
        <v/>
      </c>
      <c r="O4068" s="67" t="n">
        <f aca="false">IF($H4068="",0,ROUND(IF($N4068="金额",N(资金流水!$P437),0),2))</f>
        <v>0</v>
      </c>
      <c r="P4068" s="64" t="str">
        <f aca="false">IF(AND($H4068&lt;&gt;"",ROUND($O4068,2)&lt;&gt;0),"有","")</f>
        <v/>
      </c>
    </row>
    <row r="4069" customFormat="false" ht="15" hidden="true" customHeight="false" outlineLevel="0" collapsed="false">
      <c r="A4069" s="53" t="str">
        <f aca="false">IF($H4069="","",ROW()-5)</f>
        <v/>
      </c>
      <c r="B4069" s="64" t="s">
        <v>37</v>
      </c>
      <c r="C4069" s="53" t="n">
        <v>437</v>
      </c>
      <c r="D4069" s="53" t="n">
        <v>2</v>
      </c>
      <c r="E4069" s="65" t="str">
        <f aca="false">IF($H4069="","",资金流水!$B437)</f>
        <v/>
      </c>
      <c r="F4069" s="55" t="str">
        <f aca="false">IF($H4069="","",资金流水!$C437)</f>
        <v/>
      </c>
      <c r="G4069" s="48" t="str">
        <f aca="false">IF($H4069="","",资金流水!$K437)</f>
        <v/>
      </c>
      <c r="H4069" s="10" t="str">
        <f aca="false">IF($L4069="","",IF($L4069="@对方",资金流水!$G437,IF($L4069="@账户",资金流水!$Q437,$L4069)))</f>
        <v/>
      </c>
      <c r="I4069" s="42" t="n">
        <f aca="false">IF($M4069="借",$O4069,0)</f>
        <v>0</v>
      </c>
      <c r="J4069" s="42" t="n">
        <f aca="false">IF($M4069="贷",$O4069,0)</f>
        <v>0</v>
      </c>
      <c r="K4069" s="48" t="str">
        <f aca="false">IF($H4069="","",资金流水!$F437)</f>
        <v/>
      </c>
      <c r="L4069" s="66" t="str">
        <f aca="false">IF(资金流水!$E437="","",IFERROR(INDEX(记账规则!$A$13:$H$32,MATCH(资金流水!$E437,记账规则!$A$13:$A$32,0),6),""))</f>
        <v/>
      </c>
      <c r="M4069" s="66" t="str">
        <f aca="false">IF($L4069="","",IFERROR(INDEX(记账规则!$A$13:$H$32,MATCH(资金流水!$E437,记账规则!$A$13:$A$32,0),7),""))</f>
        <v/>
      </c>
      <c r="N4069" s="66" t="str">
        <f aca="false">IF($L4069="","",IFERROR(INDEX(记账规则!$A$13:$H$32,MATCH(资金流水!$E437,记账规则!$A$13:$A$32,0),8),""))</f>
        <v/>
      </c>
      <c r="O4069" s="67" t="n">
        <f aca="false">IF($H4069="",0,ROUND(IF($N4069="金额",N(资金流水!$P437),0),2))</f>
        <v>0</v>
      </c>
      <c r="P4069" s="64" t="str">
        <f aca="false">IF(AND($H4069&lt;&gt;"",ROUND($O4069,2)&lt;&gt;0),"有","")</f>
        <v/>
      </c>
    </row>
    <row r="4070" customFormat="false" ht="15" hidden="true" customHeight="false" outlineLevel="0" collapsed="false">
      <c r="A4070" s="53" t="str">
        <f aca="false">IF($H4070="","",ROW()-5)</f>
        <v/>
      </c>
      <c r="B4070" s="64" t="s">
        <v>37</v>
      </c>
      <c r="C4070" s="53" t="n">
        <v>438</v>
      </c>
      <c r="D4070" s="53" t="n">
        <v>1</v>
      </c>
      <c r="E4070" s="65" t="str">
        <f aca="false">IF($H4070="","",资金流水!$B438)</f>
        <v/>
      </c>
      <c r="F4070" s="55" t="str">
        <f aca="false">IF($H4070="","",资金流水!$C438)</f>
        <v/>
      </c>
      <c r="G4070" s="48" t="str">
        <f aca="false">IF($H4070="","",资金流水!$K438)</f>
        <v/>
      </c>
      <c r="H4070" s="10" t="str">
        <f aca="false">IF($L4070="","",IF($L4070="@对方",资金流水!$G438,IF($L4070="@账户",资金流水!$Q438,$L4070)))</f>
        <v/>
      </c>
      <c r="I4070" s="42" t="n">
        <f aca="false">IF($M4070="借",$O4070,0)</f>
        <v>0</v>
      </c>
      <c r="J4070" s="42" t="n">
        <f aca="false">IF($M4070="贷",$O4070,0)</f>
        <v>0</v>
      </c>
      <c r="K4070" s="48" t="str">
        <f aca="false">IF($H4070="","",资金流水!$F438)</f>
        <v/>
      </c>
      <c r="L4070" s="66" t="str">
        <f aca="false">IF(资金流水!$E438="","",IFERROR(INDEX(记账规则!$A$13:$H$32,MATCH(资金流水!$E438,记账规则!$A$13:$A$32,0),3),""))</f>
        <v/>
      </c>
      <c r="M4070" s="66" t="str">
        <f aca="false">IF($L4070="","",IFERROR(INDEX(记账规则!$A$13:$H$32,MATCH(资金流水!$E438,记账规则!$A$13:$A$32,0),4),""))</f>
        <v/>
      </c>
      <c r="N4070" s="66" t="str">
        <f aca="false">IF($L4070="","",IFERROR(INDEX(记账规则!$A$13:$H$32,MATCH(资金流水!$E438,记账规则!$A$13:$A$32,0),5),""))</f>
        <v/>
      </c>
      <c r="O4070" s="67" t="n">
        <f aca="false">IF($H4070="",0,ROUND(IF($N4070="金额",N(资金流水!$P438),0),2))</f>
        <v>0</v>
      </c>
      <c r="P4070" s="64" t="str">
        <f aca="false">IF(AND($H4070&lt;&gt;"",ROUND($O4070,2)&lt;&gt;0),"有","")</f>
        <v/>
      </c>
    </row>
    <row r="4071" customFormat="false" ht="15" hidden="true" customHeight="false" outlineLevel="0" collapsed="false">
      <c r="A4071" s="53" t="str">
        <f aca="false">IF($H4071="","",ROW()-5)</f>
        <v/>
      </c>
      <c r="B4071" s="64" t="s">
        <v>37</v>
      </c>
      <c r="C4071" s="53" t="n">
        <v>438</v>
      </c>
      <c r="D4071" s="53" t="n">
        <v>2</v>
      </c>
      <c r="E4071" s="65" t="str">
        <f aca="false">IF($H4071="","",资金流水!$B438)</f>
        <v/>
      </c>
      <c r="F4071" s="55" t="str">
        <f aca="false">IF($H4071="","",资金流水!$C438)</f>
        <v/>
      </c>
      <c r="G4071" s="48" t="str">
        <f aca="false">IF($H4071="","",资金流水!$K438)</f>
        <v/>
      </c>
      <c r="H4071" s="10" t="str">
        <f aca="false">IF($L4071="","",IF($L4071="@对方",资金流水!$G438,IF($L4071="@账户",资金流水!$Q438,$L4071)))</f>
        <v/>
      </c>
      <c r="I4071" s="42" t="n">
        <f aca="false">IF($M4071="借",$O4071,0)</f>
        <v>0</v>
      </c>
      <c r="J4071" s="42" t="n">
        <f aca="false">IF($M4071="贷",$O4071,0)</f>
        <v>0</v>
      </c>
      <c r="K4071" s="48" t="str">
        <f aca="false">IF($H4071="","",资金流水!$F438)</f>
        <v/>
      </c>
      <c r="L4071" s="66" t="str">
        <f aca="false">IF(资金流水!$E438="","",IFERROR(INDEX(记账规则!$A$13:$H$32,MATCH(资金流水!$E438,记账规则!$A$13:$A$32,0),6),""))</f>
        <v/>
      </c>
      <c r="M4071" s="66" t="str">
        <f aca="false">IF($L4071="","",IFERROR(INDEX(记账规则!$A$13:$H$32,MATCH(资金流水!$E438,记账规则!$A$13:$A$32,0),7),""))</f>
        <v/>
      </c>
      <c r="N4071" s="66" t="str">
        <f aca="false">IF($L4071="","",IFERROR(INDEX(记账规则!$A$13:$H$32,MATCH(资金流水!$E438,记账规则!$A$13:$A$32,0),8),""))</f>
        <v/>
      </c>
      <c r="O4071" s="67" t="n">
        <f aca="false">IF($H4071="",0,ROUND(IF($N4071="金额",N(资金流水!$P438),0),2))</f>
        <v>0</v>
      </c>
      <c r="P4071" s="64" t="str">
        <f aca="false">IF(AND($H4071&lt;&gt;"",ROUND($O4071,2)&lt;&gt;0),"有","")</f>
        <v/>
      </c>
    </row>
    <row r="4072" customFormat="false" ht="15" hidden="true" customHeight="false" outlineLevel="0" collapsed="false">
      <c r="A4072" s="53" t="str">
        <f aca="false">IF($H4072="","",ROW()-5)</f>
        <v/>
      </c>
      <c r="B4072" s="64" t="s">
        <v>37</v>
      </c>
      <c r="C4072" s="53" t="n">
        <v>439</v>
      </c>
      <c r="D4072" s="53" t="n">
        <v>1</v>
      </c>
      <c r="E4072" s="65" t="str">
        <f aca="false">IF($H4072="","",资金流水!$B439)</f>
        <v/>
      </c>
      <c r="F4072" s="55" t="str">
        <f aca="false">IF($H4072="","",资金流水!$C439)</f>
        <v/>
      </c>
      <c r="G4072" s="48" t="str">
        <f aca="false">IF($H4072="","",资金流水!$K439)</f>
        <v/>
      </c>
      <c r="H4072" s="10" t="str">
        <f aca="false">IF($L4072="","",IF($L4072="@对方",资金流水!$G439,IF($L4072="@账户",资金流水!$Q439,$L4072)))</f>
        <v/>
      </c>
      <c r="I4072" s="42" t="n">
        <f aca="false">IF($M4072="借",$O4072,0)</f>
        <v>0</v>
      </c>
      <c r="J4072" s="42" t="n">
        <f aca="false">IF($M4072="贷",$O4072,0)</f>
        <v>0</v>
      </c>
      <c r="K4072" s="48" t="str">
        <f aca="false">IF($H4072="","",资金流水!$F439)</f>
        <v/>
      </c>
      <c r="L4072" s="66" t="str">
        <f aca="false">IF(资金流水!$E439="","",IFERROR(INDEX(记账规则!$A$13:$H$32,MATCH(资金流水!$E439,记账规则!$A$13:$A$32,0),3),""))</f>
        <v/>
      </c>
      <c r="M4072" s="66" t="str">
        <f aca="false">IF($L4072="","",IFERROR(INDEX(记账规则!$A$13:$H$32,MATCH(资金流水!$E439,记账规则!$A$13:$A$32,0),4),""))</f>
        <v/>
      </c>
      <c r="N4072" s="66" t="str">
        <f aca="false">IF($L4072="","",IFERROR(INDEX(记账规则!$A$13:$H$32,MATCH(资金流水!$E439,记账规则!$A$13:$A$32,0),5),""))</f>
        <v/>
      </c>
      <c r="O4072" s="67" t="n">
        <f aca="false">IF($H4072="",0,ROUND(IF($N4072="金额",N(资金流水!$P439),0),2))</f>
        <v>0</v>
      </c>
      <c r="P4072" s="64" t="str">
        <f aca="false">IF(AND($H4072&lt;&gt;"",ROUND($O4072,2)&lt;&gt;0),"有","")</f>
        <v/>
      </c>
    </row>
    <row r="4073" customFormat="false" ht="15" hidden="true" customHeight="false" outlineLevel="0" collapsed="false">
      <c r="A4073" s="53" t="str">
        <f aca="false">IF($H4073="","",ROW()-5)</f>
        <v/>
      </c>
      <c r="B4073" s="64" t="s">
        <v>37</v>
      </c>
      <c r="C4073" s="53" t="n">
        <v>439</v>
      </c>
      <c r="D4073" s="53" t="n">
        <v>2</v>
      </c>
      <c r="E4073" s="65" t="str">
        <f aca="false">IF($H4073="","",资金流水!$B439)</f>
        <v/>
      </c>
      <c r="F4073" s="55" t="str">
        <f aca="false">IF($H4073="","",资金流水!$C439)</f>
        <v/>
      </c>
      <c r="G4073" s="48" t="str">
        <f aca="false">IF($H4073="","",资金流水!$K439)</f>
        <v/>
      </c>
      <c r="H4073" s="10" t="str">
        <f aca="false">IF($L4073="","",IF($L4073="@对方",资金流水!$G439,IF($L4073="@账户",资金流水!$Q439,$L4073)))</f>
        <v/>
      </c>
      <c r="I4073" s="42" t="n">
        <f aca="false">IF($M4073="借",$O4073,0)</f>
        <v>0</v>
      </c>
      <c r="J4073" s="42" t="n">
        <f aca="false">IF($M4073="贷",$O4073,0)</f>
        <v>0</v>
      </c>
      <c r="K4073" s="48" t="str">
        <f aca="false">IF($H4073="","",资金流水!$F439)</f>
        <v/>
      </c>
      <c r="L4073" s="66" t="str">
        <f aca="false">IF(资金流水!$E439="","",IFERROR(INDEX(记账规则!$A$13:$H$32,MATCH(资金流水!$E439,记账规则!$A$13:$A$32,0),6),""))</f>
        <v/>
      </c>
      <c r="M4073" s="66" t="str">
        <f aca="false">IF($L4073="","",IFERROR(INDEX(记账规则!$A$13:$H$32,MATCH(资金流水!$E439,记账规则!$A$13:$A$32,0),7),""))</f>
        <v/>
      </c>
      <c r="N4073" s="66" t="str">
        <f aca="false">IF($L4073="","",IFERROR(INDEX(记账规则!$A$13:$H$32,MATCH(资金流水!$E439,记账规则!$A$13:$A$32,0),8),""))</f>
        <v/>
      </c>
      <c r="O4073" s="67" t="n">
        <f aca="false">IF($H4073="",0,ROUND(IF($N4073="金额",N(资金流水!$P439),0),2))</f>
        <v>0</v>
      </c>
      <c r="P4073" s="64" t="str">
        <f aca="false">IF(AND($H4073&lt;&gt;"",ROUND($O4073,2)&lt;&gt;0),"有","")</f>
        <v/>
      </c>
    </row>
    <row r="4074" customFormat="false" ht="15" hidden="true" customHeight="false" outlineLevel="0" collapsed="false">
      <c r="A4074" s="53" t="str">
        <f aca="false">IF($H4074="","",ROW()-5)</f>
        <v/>
      </c>
      <c r="B4074" s="64" t="s">
        <v>37</v>
      </c>
      <c r="C4074" s="53" t="n">
        <v>440</v>
      </c>
      <c r="D4074" s="53" t="n">
        <v>1</v>
      </c>
      <c r="E4074" s="65" t="str">
        <f aca="false">IF($H4074="","",资金流水!$B440)</f>
        <v/>
      </c>
      <c r="F4074" s="55" t="str">
        <f aca="false">IF($H4074="","",资金流水!$C440)</f>
        <v/>
      </c>
      <c r="G4074" s="48" t="str">
        <f aca="false">IF($H4074="","",资金流水!$K440)</f>
        <v/>
      </c>
      <c r="H4074" s="10" t="str">
        <f aca="false">IF($L4074="","",IF($L4074="@对方",资金流水!$G440,IF($L4074="@账户",资金流水!$Q440,$L4074)))</f>
        <v/>
      </c>
      <c r="I4074" s="42" t="n">
        <f aca="false">IF($M4074="借",$O4074,0)</f>
        <v>0</v>
      </c>
      <c r="J4074" s="42" t="n">
        <f aca="false">IF($M4074="贷",$O4074,0)</f>
        <v>0</v>
      </c>
      <c r="K4074" s="48" t="str">
        <f aca="false">IF($H4074="","",资金流水!$F440)</f>
        <v/>
      </c>
      <c r="L4074" s="66" t="str">
        <f aca="false">IF(资金流水!$E440="","",IFERROR(INDEX(记账规则!$A$13:$H$32,MATCH(资金流水!$E440,记账规则!$A$13:$A$32,0),3),""))</f>
        <v/>
      </c>
      <c r="M4074" s="66" t="str">
        <f aca="false">IF($L4074="","",IFERROR(INDEX(记账规则!$A$13:$H$32,MATCH(资金流水!$E440,记账规则!$A$13:$A$32,0),4),""))</f>
        <v/>
      </c>
      <c r="N4074" s="66" t="str">
        <f aca="false">IF($L4074="","",IFERROR(INDEX(记账规则!$A$13:$H$32,MATCH(资金流水!$E440,记账规则!$A$13:$A$32,0),5),""))</f>
        <v/>
      </c>
      <c r="O4074" s="67" t="n">
        <f aca="false">IF($H4074="",0,ROUND(IF($N4074="金额",N(资金流水!$P440),0),2))</f>
        <v>0</v>
      </c>
      <c r="P4074" s="64" t="str">
        <f aca="false">IF(AND($H4074&lt;&gt;"",ROUND($O4074,2)&lt;&gt;0),"有","")</f>
        <v/>
      </c>
    </row>
    <row r="4075" customFormat="false" ht="15" hidden="true" customHeight="false" outlineLevel="0" collapsed="false">
      <c r="A4075" s="53" t="str">
        <f aca="false">IF($H4075="","",ROW()-5)</f>
        <v/>
      </c>
      <c r="B4075" s="64" t="s">
        <v>37</v>
      </c>
      <c r="C4075" s="53" t="n">
        <v>440</v>
      </c>
      <c r="D4075" s="53" t="n">
        <v>2</v>
      </c>
      <c r="E4075" s="65" t="str">
        <f aca="false">IF($H4075="","",资金流水!$B440)</f>
        <v/>
      </c>
      <c r="F4075" s="55" t="str">
        <f aca="false">IF($H4075="","",资金流水!$C440)</f>
        <v/>
      </c>
      <c r="G4075" s="48" t="str">
        <f aca="false">IF($H4075="","",资金流水!$K440)</f>
        <v/>
      </c>
      <c r="H4075" s="10" t="str">
        <f aca="false">IF($L4075="","",IF($L4075="@对方",资金流水!$G440,IF($L4075="@账户",资金流水!$Q440,$L4075)))</f>
        <v/>
      </c>
      <c r="I4075" s="42" t="n">
        <f aca="false">IF($M4075="借",$O4075,0)</f>
        <v>0</v>
      </c>
      <c r="J4075" s="42" t="n">
        <f aca="false">IF($M4075="贷",$O4075,0)</f>
        <v>0</v>
      </c>
      <c r="K4075" s="48" t="str">
        <f aca="false">IF($H4075="","",资金流水!$F440)</f>
        <v/>
      </c>
      <c r="L4075" s="66" t="str">
        <f aca="false">IF(资金流水!$E440="","",IFERROR(INDEX(记账规则!$A$13:$H$32,MATCH(资金流水!$E440,记账规则!$A$13:$A$32,0),6),""))</f>
        <v/>
      </c>
      <c r="M4075" s="66" t="str">
        <f aca="false">IF($L4075="","",IFERROR(INDEX(记账规则!$A$13:$H$32,MATCH(资金流水!$E440,记账规则!$A$13:$A$32,0),7),""))</f>
        <v/>
      </c>
      <c r="N4075" s="66" t="str">
        <f aca="false">IF($L4075="","",IFERROR(INDEX(记账规则!$A$13:$H$32,MATCH(资金流水!$E440,记账规则!$A$13:$A$32,0),8),""))</f>
        <v/>
      </c>
      <c r="O4075" s="67" t="n">
        <f aca="false">IF($H4075="",0,ROUND(IF($N4075="金额",N(资金流水!$P440),0),2))</f>
        <v>0</v>
      </c>
      <c r="P4075" s="64" t="str">
        <f aca="false">IF(AND($H4075&lt;&gt;"",ROUND($O4075,2)&lt;&gt;0),"有","")</f>
        <v/>
      </c>
    </row>
    <row r="4076" customFormat="false" ht="15" hidden="true" customHeight="false" outlineLevel="0" collapsed="false">
      <c r="A4076" s="53" t="str">
        <f aca="false">IF($H4076="","",ROW()-5)</f>
        <v/>
      </c>
      <c r="B4076" s="64" t="s">
        <v>37</v>
      </c>
      <c r="C4076" s="53" t="n">
        <v>441</v>
      </c>
      <c r="D4076" s="53" t="n">
        <v>1</v>
      </c>
      <c r="E4076" s="65" t="str">
        <f aca="false">IF($H4076="","",资金流水!$B441)</f>
        <v/>
      </c>
      <c r="F4076" s="55" t="str">
        <f aca="false">IF($H4076="","",资金流水!$C441)</f>
        <v/>
      </c>
      <c r="G4076" s="48" t="str">
        <f aca="false">IF($H4076="","",资金流水!$K441)</f>
        <v/>
      </c>
      <c r="H4076" s="10" t="str">
        <f aca="false">IF($L4076="","",IF($L4076="@对方",资金流水!$G441,IF($L4076="@账户",资金流水!$Q441,$L4076)))</f>
        <v/>
      </c>
      <c r="I4076" s="42" t="n">
        <f aca="false">IF($M4076="借",$O4076,0)</f>
        <v>0</v>
      </c>
      <c r="J4076" s="42" t="n">
        <f aca="false">IF($M4076="贷",$O4076,0)</f>
        <v>0</v>
      </c>
      <c r="K4076" s="48" t="str">
        <f aca="false">IF($H4076="","",资金流水!$F441)</f>
        <v/>
      </c>
      <c r="L4076" s="66" t="str">
        <f aca="false">IF(资金流水!$E441="","",IFERROR(INDEX(记账规则!$A$13:$H$32,MATCH(资金流水!$E441,记账规则!$A$13:$A$32,0),3),""))</f>
        <v/>
      </c>
      <c r="M4076" s="66" t="str">
        <f aca="false">IF($L4076="","",IFERROR(INDEX(记账规则!$A$13:$H$32,MATCH(资金流水!$E441,记账规则!$A$13:$A$32,0),4),""))</f>
        <v/>
      </c>
      <c r="N4076" s="66" t="str">
        <f aca="false">IF($L4076="","",IFERROR(INDEX(记账规则!$A$13:$H$32,MATCH(资金流水!$E441,记账规则!$A$13:$A$32,0),5),""))</f>
        <v/>
      </c>
      <c r="O4076" s="67" t="n">
        <f aca="false">IF($H4076="",0,ROUND(IF($N4076="金额",N(资金流水!$P441),0),2))</f>
        <v>0</v>
      </c>
      <c r="P4076" s="64" t="str">
        <f aca="false">IF(AND($H4076&lt;&gt;"",ROUND($O4076,2)&lt;&gt;0),"有","")</f>
        <v/>
      </c>
    </row>
    <row r="4077" customFormat="false" ht="15" hidden="true" customHeight="false" outlineLevel="0" collapsed="false">
      <c r="A4077" s="53" t="str">
        <f aca="false">IF($H4077="","",ROW()-5)</f>
        <v/>
      </c>
      <c r="B4077" s="64" t="s">
        <v>37</v>
      </c>
      <c r="C4077" s="53" t="n">
        <v>441</v>
      </c>
      <c r="D4077" s="53" t="n">
        <v>2</v>
      </c>
      <c r="E4077" s="65" t="str">
        <f aca="false">IF($H4077="","",资金流水!$B441)</f>
        <v/>
      </c>
      <c r="F4077" s="55" t="str">
        <f aca="false">IF($H4077="","",资金流水!$C441)</f>
        <v/>
      </c>
      <c r="G4077" s="48" t="str">
        <f aca="false">IF($H4077="","",资金流水!$K441)</f>
        <v/>
      </c>
      <c r="H4077" s="10" t="str">
        <f aca="false">IF($L4077="","",IF($L4077="@对方",资金流水!$G441,IF($L4077="@账户",资金流水!$Q441,$L4077)))</f>
        <v/>
      </c>
      <c r="I4077" s="42" t="n">
        <f aca="false">IF($M4077="借",$O4077,0)</f>
        <v>0</v>
      </c>
      <c r="J4077" s="42" t="n">
        <f aca="false">IF($M4077="贷",$O4077,0)</f>
        <v>0</v>
      </c>
      <c r="K4077" s="48" t="str">
        <f aca="false">IF($H4077="","",资金流水!$F441)</f>
        <v/>
      </c>
      <c r="L4077" s="66" t="str">
        <f aca="false">IF(资金流水!$E441="","",IFERROR(INDEX(记账规则!$A$13:$H$32,MATCH(资金流水!$E441,记账规则!$A$13:$A$32,0),6),""))</f>
        <v/>
      </c>
      <c r="M4077" s="66" t="str">
        <f aca="false">IF($L4077="","",IFERROR(INDEX(记账规则!$A$13:$H$32,MATCH(资金流水!$E441,记账规则!$A$13:$A$32,0),7),""))</f>
        <v/>
      </c>
      <c r="N4077" s="66" t="str">
        <f aca="false">IF($L4077="","",IFERROR(INDEX(记账规则!$A$13:$H$32,MATCH(资金流水!$E441,记账规则!$A$13:$A$32,0),8),""))</f>
        <v/>
      </c>
      <c r="O4077" s="67" t="n">
        <f aca="false">IF($H4077="",0,ROUND(IF($N4077="金额",N(资金流水!$P441),0),2))</f>
        <v>0</v>
      </c>
      <c r="P4077" s="64" t="str">
        <f aca="false">IF(AND($H4077&lt;&gt;"",ROUND($O4077,2)&lt;&gt;0),"有","")</f>
        <v/>
      </c>
    </row>
    <row r="4078" customFormat="false" ht="15" hidden="true" customHeight="false" outlineLevel="0" collapsed="false">
      <c r="A4078" s="53" t="str">
        <f aca="false">IF($H4078="","",ROW()-5)</f>
        <v/>
      </c>
      <c r="B4078" s="64" t="s">
        <v>37</v>
      </c>
      <c r="C4078" s="53" t="n">
        <v>442</v>
      </c>
      <c r="D4078" s="53" t="n">
        <v>1</v>
      </c>
      <c r="E4078" s="65" t="str">
        <f aca="false">IF($H4078="","",资金流水!$B442)</f>
        <v/>
      </c>
      <c r="F4078" s="55" t="str">
        <f aca="false">IF($H4078="","",资金流水!$C442)</f>
        <v/>
      </c>
      <c r="G4078" s="48" t="str">
        <f aca="false">IF($H4078="","",资金流水!$K442)</f>
        <v/>
      </c>
      <c r="H4078" s="10" t="str">
        <f aca="false">IF($L4078="","",IF($L4078="@对方",资金流水!$G442,IF($L4078="@账户",资金流水!$Q442,$L4078)))</f>
        <v/>
      </c>
      <c r="I4078" s="42" t="n">
        <f aca="false">IF($M4078="借",$O4078,0)</f>
        <v>0</v>
      </c>
      <c r="J4078" s="42" t="n">
        <f aca="false">IF($M4078="贷",$O4078,0)</f>
        <v>0</v>
      </c>
      <c r="K4078" s="48" t="str">
        <f aca="false">IF($H4078="","",资金流水!$F442)</f>
        <v/>
      </c>
      <c r="L4078" s="66" t="str">
        <f aca="false">IF(资金流水!$E442="","",IFERROR(INDEX(记账规则!$A$13:$H$32,MATCH(资金流水!$E442,记账规则!$A$13:$A$32,0),3),""))</f>
        <v/>
      </c>
      <c r="M4078" s="66" t="str">
        <f aca="false">IF($L4078="","",IFERROR(INDEX(记账规则!$A$13:$H$32,MATCH(资金流水!$E442,记账规则!$A$13:$A$32,0),4),""))</f>
        <v/>
      </c>
      <c r="N4078" s="66" t="str">
        <f aca="false">IF($L4078="","",IFERROR(INDEX(记账规则!$A$13:$H$32,MATCH(资金流水!$E442,记账规则!$A$13:$A$32,0),5),""))</f>
        <v/>
      </c>
      <c r="O4078" s="67" t="n">
        <f aca="false">IF($H4078="",0,ROUND(IF($N4078="金额",N(资金流水!$P442),0),2))</f>
        <v>0</v>
      </c>
      <c r="P4078" s="64" t="str">
        <f aca="false">IF(AND($H4078&lt;&gt;"",ROUND($O4078,2)&lt;&gt;0),"有","")</f>
        <v/>
      </c>
    </row>
    <row r="4079" customFormat="false" ht="15" hidden="true" customHeight="false" outlineLevel="0" collapsed="false">
      <c r="A4079" s="53" t="str">
        <f aca="false">IF($H4079="","",ROW()-5)</f>
        <v/>
      </c>
      <c r="B4079" s="64" t="s">
        <v>37</v>
      </c>
      <c r="C4079" s="53" t="n">
        <v>442</v>
      </c>
      <c r="D4079" s="53" t="n">
        <v>2</v>
      </c>
      <c r="E4079" s="65" t="str">
        <f aca="false">IF($H4079="","",资金流水!$B442)</f>
        <v/>
      </c>
      <c r="F4079" s="55" t="str">
        <f aca="false">IF($H4079="","",资金流水!$C442)</f>
        <v/>
      </c>
      <c r="G4079" s="48" t="str">
        <f aca="false">IF($H4079="","",资金流水!$K442)</f>
        <v/>
      </c>
      <c r="H4079" s="10" t="str">
        <f aca="false">IF($L4079="","",IF($L4079="@对方",资金流水!$G442,IF($L4079="@账户",资金流水!$Q442,$L4079)))</f>
        <v/>
      </c>
      <c r="I4079" s="42" t="n">
        <f aca="false">IF($M4079="借",$O4079,0)</f>
        <v>0</v>
      </c>
      <c r="J4079" s="42" t="n">
        <f aca="false">IF($M4079="贷",$O4079,0)</f>
        <v>0</v>
      </c>
      <c r="K4079" s="48" t="str">
        <f aca="false">IF($H4079="","",资金流水!$F442)</f>
        <v/>
      </c>
      <c r="L4079" s="66" t="str">
        <f aca="false">IF(资金流水!$E442="","",IFERROR(INDEX(记账规则!$A$13:$H$32,MATCH(资金流水!$E442,记账规则!$A$13:$A$32,0),6),""))</f>
        <v/>
      </c>
      <c r="M4079" s="66" t="str">
        <f aca="false">IF($L4079="","",IFERROR(INDEX(记账规则!$A$13:$H$32,MATCH(资金流水!$E442,记账规则!$A$13:$A$32,0),7),""))</f>
        <v/>
      </c>
      <c r="N4079" s="66" t="str">
        <f aca="false">IF($L4079="","",IFERROR(INDEX(记账规则!$A$13:$H$32,MATCH(资金流水!$E442,记账规则!$A$13:$A$32,0),8),""))</f>
        <v/>
      </c>
      <c r="O4079" s="67" t="n">
        <f aca="false">IF($H4079="",0,ROUND(IF($N4079="金额",N(资金流水!$P442),0),2))</f>
        <v>0</v>
      </c>
      <c r="P4079" s="64" t="str">
        <f aca="false">IF(AND($H4079&lt;&gt;"",ROUND($O4079,2)&lt;&gt;0),"有","")</f>
        <v/>
      </c>
    </row>
    <row r="4080" customFormat="false" ht="15" hidden="true" customHeight="false" outlineLevel="0" collapsed="false">
      <c r="A4080" s="53" t="str">
        <f aca="false">IF($H4080="","",ROW()-5)</f>
        <v/>
      </c>
      <c r="B4080" s="64" t="s">
        <v>37</v>
      </c>
      <c r="C4080" s="53" t="n">
        <v>443</v>
      </c>
      <c r="D4080" s="53" t="n">
        <v>1</v>
      </c>
      <c r="E4080" s="65" t="str">
        <f aca="false">IF($H4080="","",资金流水!$B443)</f>
        <v/>
      </c>
      <c r="F4080" s="55" t="str">
        <f aca="false">IF($H4080="","",资金流水!$C443)</f>
        <v/>
      </c>
      <c r="G4080" s="48" t="str">
        <f aca="false">IF($H4080="","",资金流水!$K443)</f>
        <v/>
      </c>
      <c r="H4080" s="10" t="str">
        <f aca="false">IF($L4080="","",IF($L4080="@对方",资金流水!$G443,IF($L4080="@账户",资金流水!$Q443,$L4080)))</f>
        <v/>
      </c>
      <c r="I4080" s="42" t="n">
        <f aca="false">IF($M4080="借",$O4080,0)</f>
        <v>0</v>
      </c>
      <c r="J4080" s="42" t="n">
        <f aca="false">IF($M4080="贷",$O4080,0)</f>
        <v>0</v>
      </c>
      <c r="K4080" s="48" t="str">
        <f aca="false">IF($H4080="","",资金流水!$F443)</f>
        <v/>
      </c>
      <c r="L4080" s="66" t="str">
        <f aca="false">IF(资金流水!$E443="","",IFERROR(INDEX(记账规则!$A$13:$H$32,MATCH(资金流水!$E443,记账规则!$A$13:$A$32,0),3),""))</f>
        <v/>
      </c>
      <c r="M4080" s="66" t="str">
        <f aca="false">IF($L4080="","",IFERROR(INDEX(记账规则!$A$13:$H$32,MATCH(资金流水!$E443,记账规则!$A$13:$A$32,0),4),""))</f>
        <v/>
      </c>
      <c r="N4080" s="66" t="str">
        <f aca="false">IF($L4080="","",IFERROR(INDEX(记账规则!$A$13:$H$32,MATCH(资金流水!$E443,记账规则!$A$13:$A$32,0),5),""))</f>
        <v/>
      </c>
      <c r="O4080" s="67" t="n">
        <f aca="false">IF($H4080="",0,ROUND(IF($N4080="金额",N(资金流水!$P443),0),2))</f>
        <v>0</v>
      </c>
      <c r="P4080" s="64" t="str">
        <f aca="false">IF(AND($H4080&lt;&gt;"",ROUND($O4080,2)&lt;&gt;0),"有","")</f>
        <v/>
      </c>
    </row>
    <row r="4081" customFormat="false" ht="15" hidden="true" customHeight="false" outlineLevel="0" collapsed="false">
      <c r="A4081" s="53" t="str">
        <f aca="false">IF($H4081="","",ROW()-5)</f>
        <v/>
      </c>
      <c r="B4081" s="64" t="s">
        <v>37</v>
      </c>
      <c r="C4081" s="53" t="n">
        <v>443</v>
      </c>
      <c r="D4081" s="53" t="n">
        <v>2</v>
      </c>
      <c r="E4081" s="65" t="str">
        <f aca="false">IF($H4081="","",资金流水!$B443)</f>
        <v/>
      </c>
      <c r="F4081" s="55" t="str">
        <f aca="false">IF($H4081="","",资金流水!$C443)</f>
        <v/>
      </c>
      <c r="G4081" s="48" t="str">
        <f aca="false">IF($H4081="","",资金流水!$K443)</f>
        <v/>
      </c>
      <c r="H4081" s="10" t="str">
        <f aca="false">IF($L4081="","",IF($L4081="@对方",资金流水!$G443,IF($L4081="@账户",资金流水!$Q443,$L4081)))</f>
        <v/>
      </c>
      <c r="I4081" s="42" t="n">
        <f aca="false">IF($M4081="借",$O4081,0)</f>
        <v>0</v>
      </c>
      <c r="J4081" s="42" t="n">
        <f aca="false">IF($M4081="贷",$O4081,0)</f>
        <v>0</v>
      </c>
      <c r="K4081" s="48" t="str">
        <f aca="false">IF($H4081="","",资金流水!$F443)</f>
        <v/>
      </c>
      <c r="L4081" s="66" t="str">
        <f aca="false">IF(资金流水!$E443="","",IFERROR(INDEX(记账规则!$A$13:$H$32,MATCH(资金流水!$E443,记账规则!$A$13:$A$32,0),6),""))</f>
        <v/>
      </c>
      <c r="M4081" s="66" t="str">
        <f aca="false">IF($L4081="","",IFERROR(INDEX(记账规则!$A$13:$H$32,MATCH(资金流水!$E443,记账规则!$A$13:$A$32,0),7),""))</f>
        <v/>
      </c>
      <c r="N4081" s="66" t="str">
        <f aca="false">IF($L4081="","",IFERROR(INDEX(记账规则!$A$13:$H$32,MATCH(资金流水!$E443,记账规则!$A$13:$A$32,0),8),""))</f>
        <v/>
      </c>
      <c r="O4081" s="67" t="n">
        <f aca="false">IF($H4081="",0,ROUND(IF($N4081="金额",N(资金流水!$P443),0),2))</f>
        <v>0</v>
      </c>
      <c r="P4081" s="64" t="str">
        <f aca="false">IF(AND($H4081&lt;&gt;"",ROUND($O4081,2)&lt;&gt;0),"有","")</f>
        <v/>
      </c>
    </row>
    <row r="4082" customFormat="false" ht="15" hidden="true" customHeight="false" outlineLevel="0" collapsed="false">
      <c r="A4082" s="53" t="str">
        <f aca="false">IF($H4082="","",ROW()-5)</f>
        <v/>
      </c>
      <c r="B4082" s="64" t="s">
        <v>37</v>
      </c>
      <c r="C4082" s="53" t="n">
        <v>444</v>
      </c>
      <c r="D4082" s="53" t="n">
        <v>1</v>
      </c>
      <c r="E4082" s="65" t="str">
        <f aca="false">IF($H4082="","",资金流水!$B444)</f>
        <v/>
      </c>
      <c r="F4082" s="55" t="str">
        <f aca="false">IF($H4082="","",资金流水!$C444)</f>
        <v/>
      </c>
      <c r="G4082" s="48" t="str">
        <f aca="false">IF($H4082="","",资金流水!$K444)</f>
        <v/>
      </c>
      <c r="H4082" s="10" t="str">
        <f aca="false">IF($L4082="","",IF($L4082="@对方",资金流水!$G444,IF($L4082="@账户",资金流水!$Q444,$L4082)))</f>
        <v/>
      </c>
      <c r="I4082" s="42" t="n">
        <f aca="false">IF($M4082="借",$O4082,0)</f>
        <v>0</v>
      </c>
      <c r="J4082" s="42" t="n">
        <f aca="false">IF($M4082="贷",$O4082,0)</f>
        <v>0</v>
      </c>
      <c r="K4082" s="48" t="str">
        <f aca="false">IF($H4082="","",资金流水!$F444)</f>
        <v/>
      </c>
      <c r="L4082" s="66" t="str">
        <f aca="false">IF(资金流水!$E444="","",IFERROR(INDEX(记账规则!$A$13:$H$32,MATCH(资金流水!$E444,记账规则!$A$13:$A$32,0),3),""))</f>
        <v/>
      </c>
      <c r="M4082" s="66" t="str">
        <f aca="false">IF($L4082="","",IFERROR(INDEX(记账规则!$A$13:$H$32,MATCH(资金流水!$E444,记账规则!$A$13:$A$32,0),4),""))</f>
        <v/>
      </c>
      <c r="N4082" s="66" t="str">
        <f aca="false">IF($L4082="","",IFERROR(INDEX(记账规则!$A$13:$H$32,MATCH(资金流水!$E444,记账规则!$A$13:$A$32,0),5),""))</f>
        <v/>
      </c>
      <c r="O4082" s="67" t="n">
        <f aca="false">IF($H4082="",0,ROUND(IF($N4082="金额",N(资金流水!$P444),0),2))</f>
        <v>0</v>
      </c>
      <c r="P4082" s="64" t="str">
        <f aca="false">IF(AND($H4082&lt;&gt;"",ROUND($O4082,2)&lt;&gt;0),"有","")</f>
        <v/>
      </c>
    </row>
    <row r="4083" customFormat="false" ht="15" hidden="true" customHeight="false" outlineLevel="0" collapsed="false">
      <c r="A4083" s="53" t="str">
        <f aca="false">IF($H4083="","",ROW()-5)</f>
        <v/>
      </c>
      <c r="B4083" s="64" t="s">
        <v>37</v>
      </c>
      <c r="C4083" s="53" t="n">
        <v>444</v>
      </c>
      <c r="D4083" s="53" t="n">
        <v>2</v>
      </c>
      <c r="E4083" s="65" t="str">
        <f aca="false">IF($H4083="","",资金流水!$B444)</f>
        <v/>
      </c>
      <c r="F4083" s="55" t="str">
        <f aca="false">IF($H4083="","",资金流水!$C444)</f>
        <v/>
      </c>
      <c r="G4083" s="48" t="str">
        <f aca="false">IF($H4083="","",资金流水!$K444)</f>
        <v/>
      </c>
      <c r="H4083" s="10" t="str">
        <f aca="false">IF($L4083="","",IF($L4083="@对方",资金流水!$G444,IF($L4083="@账户",资金流水!$Q444,$L4083)))</f>
        <v/>
      </c>
      <c r="I4083" s="42" t="n">
        <f aca="false">IF($M4083="借",$O4083,0)</f>
        <v>0</v>
      </c>
      <c r="J4083" s="42" t="n">
        <f aca="false">IF($M4083="贷",$O4083,0)</f>
        <v>0</v>
      </c>
      <c r="K4083" s="48" t="str">
        <f aca="false">IF($H4083="","",资金流水!$F444)</f>
        <v/>
      </c>
      <c r="L4083" s="66" t="str">
        <f aca="false">IF(资金流水!$E444="","",IFERROR(INDEX(记账规则!$A$13:$H$32,MATCH(资金流水!$E444,记账规则!$A$13:$A$32,0),6),""))</f>
        <v/>
      </c>
      <c r="M4083" s="66" t="str">
        <f aca="false">IF($L4083="","",IFERROR(INDEX(记账规则!$A$13:$H$32,MATCH(资金流水!$E444,记账规则!$A$13:$A$32,0),7),""))</f>
        <v/>
      </c>
      <c r="N4083" s="66" t="str">
        <f aca="false">IF($L4083="","",IFERROR(INDEX(记账规则!$A$13:$H$32,MATCH(资金流水!$E444,记账规则!$A$13:$A$32,0),8),""))</f>
        <v/>
      </c>
      <c r="O4083" s="67" t="n">
        <f aca="false">IF($H4083="",0,ROUND(IF($N4083="金额",N(资金流水!$P444),0),2))</f>
        <v>0</v>
      </c>
      <c r="P4083" s="64" t="str">
        <f aca="false">IF(AND($H4083&lt;&gt;"",ROUND($O4083,2)&lt;&gt;0),"有","")</f>
        <v/>
      </c>
    </row>
    <row r="4084" customFormat="false" ht="15" hidden="true" customHeight="false" outlineLevel="0" collapsed="false">
      <c r="A4084" s="53" t="str">
        <f aca="false">IF($H4084="","",ROW()-5)</f>
        <v/>
      </c>
      <c r="B4084" s="64" t="s">
        <v>37</v>
      </c>
      <c r="C4084" s="53" t="n">
        <v>445</v>
      </c>
      <c r="D4084" s="53" t="n">
        <v>1</v>
      </c>
      <c r="E4084" s="65" t="str">
        <f aca="false">IF($H4084="","",资金流水!$B445)</f>
        <v/>
      </c>
      <c r="F4084" s="55" t="str">
        <f aca="false">IF($H4084="","",资金流水!$C445)</f>
        <v/>
      </c>
      <c r="G4084" s="48" t="str">
        <f aca="false">IF($H4084="","",资金流水!$K445)</f>
        <v/>
      </c>
      <c r="H4084" s="10" t="str">
        <f aca="false">IF($L4084="","",IF($L4084="@对方",资金流水!$G445,IF($L4084="@账户",资金流水!$Q445,$L4084)))</f>
        <v/>
      </c>
      <c r="I4084" s="42" t="n">
        <f aca="false">IF($M4084="借",$O4084,0)</f>
        <v>0</v>
      </c>
      <c r="J4084" s="42" t="n">
        <f aca="false">IF($M4084="贷",$O4084,0)</f>
        <v>0</v>
      </c>
      <c r="K4084" s="48" t="str">
        <f aca="false">IF($H4084="","",资金流水!$F445)</f>
        <v/>
      </c>
      <c r="L4084" s="66" t="str">
        <f aca="false">IF(资金流水!$E445="","",IFERROR(INDEX(记账规则!$A$13:$H$32,MATCH(资金流水!$E445,记账规则!$A$13:$A$32,0),3),""))</f>
        <v/>
      </c>
      <c r="M4084" s="66" t="str">
        <f aca="false">IF($L4084="","",IFERROR(INDEX(记账规则!$A$13:$H$32,MATCH(资金流水!$E445,记账规则!$A$13:$A$32,0),4),""))</f>
        <v/>
      </c>
      <c r="N4084" s="66" t="str">
        <f aca="false">IF($L4084="","",IFERROR(INDEX(记账规则!$A$13:$H$32,MATCH(资金流水!$E445,记账规则!$A$13:$A$32,0),5),""))</f>
        <v/>
      </c>
      <c r="O4084" s="67" t="n">
        <f aca="false">IF($H4084="",0,ROUND(IF($N4084="金额",N(资金流水!$P445),0),2))</f>
        <v>0</v>
      </c>
      <c r="P4084" s="64" t="str">
        <f aca="false">IF(AND($H4084&lt;&gt;"",ROUND($O4084,2)&lt;&gt;0),"有","")</f>
        <v/>
      </c>
    </row>
    <row r="4085" customFormat="false" ht="15" hidden="true" customHeight="false" outlineLevel="0" collapsed="false">
      <c r="A4085" s="53" t="str">
        <f aca="false">IF($H4085="","",ROW()-5)</f>
        <v/>
      </c>
      <c r="B4085" s="64" t="s">
        <v>37</v>
      </c>
      <c r="C4085" s="53" t="n">
        <v>445</v>
      </c>
      <c r="D4085" s="53" t="n">
        <v>2</v>
      </c>
      <c r="E4085" s="65" t="str">
        <f aca="false">IF($H4085="","",资金流水!$B445)</f>
        <v/>
      </c>
      <c r="F4085" s="55" t="str">
        <f aca="false">IF($H4085="","",资金流水!$C445)</f>
        <v/>
      </c>
      <c r="G4085" s="48" t="str">
        <f aca="false">IF($H4085="","",资金流水!$K445)</f>
        <v/>
      </c>
      <c r="H4085" s="10" t="str">
        <f aca="false">IF($L4085="","",IF($L4085="@对方",资金流水!$G445,IF($L4085="@账户",资金流水!$Q445,$L4085)))</f>
        <v/>
      </c>
      <c r="I4085" s="42" t="n">
        <f aca="false">IF($M4085="借",$O4085,0)</f>
        <v>0</v>
      </c>
      <c r="J4085" s="42" t="n">
        <f aca="false">IF($M4085="贷",$O4085,0)</f>
        <v>0</v>
      </c>
      <c r="K4085" s="48" t="str">
        <f aca="false">IF($H4085="","",资金流水!$F445)</f>
        <v/>
      </c>
      <c r="L4085" s="66" t="str">
        <f aca="false">IF(资金流水!$E445="","",IFERROR(INDEX(记账规则!$A$13:$H$32,MATCH(资金流水!$E445,记账规则!$A$13:$A$32,0),6),""))</f>
        <v/>
      </c>
      <c r="M4085" s="66" t="str">
        <f aca="false">IF($L4085="","",IFERROR(INDEX(记账规则!$A$13:$H$32,MATCH(资金流水!$E445,记账规则!$A$13:$A$32,0),7),""))</f>
        <v/>
      </c>
      <c r="N4085" s="66" t="str">
        <f aca="false">IF($L4085="","",IFERROR(INDEX(记账规则!$A$13:$H$32,MATCH(资金流水!$E445,记账规则!$A$13:$A$32,0),8),""))</f>
        <v/>
      </c>
      <c r="O4085" s="67" t="n">
        <f aca="false">IF($H4085="",0,ROUND(IF($N4085="金额",N(资金流水!$P445),0),2))</f>
        <v>0</v>
      </c>
      <c r="P4085" s="64" t="str">
        <f aca="false">IF(AND($H4085&lt;&gt;"",ROUND($O4085,2)&lt;&gt;0),"有","")</f>
        <v/>
      </c>
    </row>
    <row r="4086" customFormat="false" ht="15" hidden="true" customHeight="false" outlineLevel="0" collapsed="false">
      <c r="A4086" s="53" t="str">
        <f aca="false">IF($H4086="","",ROW()-5)</f>
        <v/>
      </c>
      <c r="B4086" s="64" t="s">
        <v>37</v>
      </c>
      <c r="C4086" s="53" t="n">
        <v>446</v>
      </c>
      <c r="D4086" s="53" t="n">
        <v>1</v>
      </c>
      <c r="E4086" s="65" t="str">
        <f aca="false">IF($H4086="","",资金流水!$B446)</f>
        <v/>
      </c>
      <c r="F4086" s="55" t="str">
        <f aca="false">IF($H4086="","",资金流水!$C446)</f>
        <v/>
      </c>
      <c r="G4086" s="48" t="str">
        <f aca="false">IF($H4086="","",资金流水!$K446)</f>
        <v/>
      </c>
      <c r="H4086" s="10" t="str">
        <f aca="false">IF($L4086="","",IF($L4086="@对方",资金流水!$G446,IF($L4086="@账户",资金流水!$Q446,$L4086)))</f>
        <v/>
      </c>
      <c r="I4086" s="42" t="n">
        <f aca="false">IF($M4086="借",$O4086,0)</f>
        <v>0</v>
      </c>
      <c r="J4086" s="42" t="n">
        <f aca="false">IF($M4086="贷",$O4086,0)</f>
        <v>0</v>
      </c>
      <c r="K4086" s="48" t="str">
        <f aca="false">IF($H4086="","",资金流水!$F446)</f>
        <v/>
      </c>
      <c r="L4086" s="66" t="str">
        <f aca="false">IF(资金流水!$E446="","",IFERROR(INDEX(记账规则!$A$13:$H$32,MATCH(资金流水!$E446,记账规则!$A$13:$A$32,0),3),""))</f>
        <v/>
      </c>
      <c r="M4086" s="66" t="str">
        <f aca="false">IF($L4086="","",IFERROR(INDEX(记账规则!$A$13:$H$32,MATCH(资金流水!$E446,记账规则!$A$13:$A$32,0),4),""))</f>
        <v/>
      </c>
      <c r="N4086" s="66" t="str">
        <f aca="false">IF($L4086="","",IFERROR(INDEX(记账规则!$A$13:$H$32,MATCH(资金流水!$E446,记账规则!$A$13:$A$32,0),5),""))</f>
        <v/>
      </c>
      <c r="O4086" s="67" t="n">
        <f aca="false">IF($H4086="",0,ROUND(IF($N4086="金额",N(资金流水!$P446),0),2))</f>
        <v>0</v>
      </c>
      <c r="P4086" s="64" t="str">
        <f aca="false">IF(AND($H4086&lt;&gt;"",ROUND($O4086,2)&lt;&gt;0),"有","")</f>
        <v/>
      </c>
    </row>
    <row r="4087" customFormat="false" ht="15" hidden="true" customHeight="false" outlineLevel="0" collapsed="false">
      <c r="A4087" s="53" t="str">
        <f aca="false">IF($H4087="","",ROW()-5)</f>
        <v/>
      </c>
      <c r="B4087" s="64" t="s">
        <v>37</v>
      </c>
      <c r="C4087" s="53" t="n">
        <v>446</v>
      </c>
      <c r="D4087" s="53" t="n">
        <v>2</v>
      </c>
      <c r="E4087" s="65" t="str">
        <f aca="false">IF($H4087="","",资金流水!$B446)</f>
        <v/>
      </c>
      <c r="F4087" s="55" t="str">
        <f aca="false">IF($H4087="","",资金流水!$C446)</f>
        <v/>
      </c>
      <c r="G4087" s="48" t="str">
        <f aca="false">IF($H4087="","",资金流水!$K446)</f>
        <v/>
      </c>
      <c r="H4087" s="10" t="str">
        <f aca="false">IF($L4087="","",IF($L4087="@对方",资金流水!$G446,IF($L4087="@账户",资金流水!$Q446,$L4087)))</f>
        <v/>
      </c>
      <c r="I4087" s="42" t="n">
        <f aca="false">IF($M4087="借",$O4087,0)</f>
        <v>0</v>
      </c>
      <c r="J4087" s="42" t="n">
        <f aca="false">IF($M4087="贷",$O4087,0)</f>
        <v>0</v>
      </c>
      <c r="K4087" s="48" t="str">
        <f aca="false">IF($H4087="","",资金流水!$F446)</f>
        <v/>
      </c>
      <c r="L4087" s="66" t="str">
        <f aca="false">IF(资金流水!$E446="","",IFERROR(INDEX(记账规则!$A$13:$H$32,MATCH(资金流水!$E446,记账规则!$A$13:$A$32,0),6),""))</f>
        <v/>
      </c>
      <c r="M4087" s="66" t="str">
        <f aca="false">IF($L4087="","",IFERROR(INDEX(记账规则!$A$13:$H$32,MATCH(资金流水!$E446,记账规则!$A$13:$A$32,0),7),""))</f>
        <v/>
      </c>
      <c r="N4087" s="66" t="str">
        <f aca="false">IF($L4087="","",IFERROR(INDEX(记账规则!$A$13:$H$32,MATCH(资金流水!$E446,记账规则!$A$13:$A$32,0),8),""))</f>
        <v/>
      </c>
      <c r="O4087" s="67" t="n">
        <f aca="false">IF($H4087="",0,ROUND(IF($N4087="金额",N(资金流水!$P446),0),2))</f>
        <v>0</v>
      </c>
      <c r="P4087" s="64" t="str">
        <f aca="false">IF(AND($H4087&lt;&gt;"",ROUND($O4087,2)&lt;&gt;0),"有","")</f>
        <v/>
      </c>
    </row>
    <row r="4088" customFormat="false" ht="15" hidden="true" customHeight="false" outlineLevel="0" collapsed="false">
      <c r="A4088" s="53" t="str">
        <f aca="false">IF($H4088="","",ROW()-5)</f>
        <v/>
      </c>
      <c r="B4088" s="64" t="s">
        <v>37</v>
      </c>
      <c r="C4088" s="53" t="n">
        <v>447</v>
      </c>
      <c r="D4088" s="53" t="n">
        <v>1</v>
      </c>
      <c r="E4088" s="65" t="str">
        <f aca="false">IF($H4088="","",资金流水!$B447)</f>
        <v/>
      </c>
      <c r="F4088" s="55" t="str">
        <f aca="false">IF($H4088="","",资金流水!$C447)</f>
        <v/>
      </c>
      <c r="G4088" s="48" t="str">
        <f aca="false">IF($H4088="","",资金流水!$K447)</f>
        <v/>
      </c>
      <c r="H4088" s="10" t="str">
        <f aca="false">IF($L4088="","",IF($L4088="@对方",资金流水!$G447,IF($L4088="@账户",资金流水!$Q447,$L4088)))</f>
        <v/>
      </c>
      <c r="I4088" s="42" t="n">
        <f aca="false">IF($M4088="借",$O4088,0)</f>
        <v>0</v>
      </c>
      <c r="J4088" s="42" t="n">
        <f aca="false">IF($M4088="贷",$O4088,0)</f>
        <v>0</v>
      </c>
      <c r="K4088" s="48" t="str">
        <f aca="false">IF($H4088="","",资金流水!$F447)</f>
        <v/>
      </c>
      <c r="L4088" s="66" t="str">
        <f aca="false">IF(资金流水!$E447="","",IFERROR(INDEX(记账规则!$A$13:$H$32,MATCH(资金流水!$E447,记账规则!$A$13:$A$32,0),3),""))</f>
        <v/>
      </c>
      <c r="M4088" s="66" t="str">
        <f aca="false">IF($L4088="","",IFERROR(INDEX(记账规则!$A$13:$H$32,MATCH(资金流水!$E447,记账规则!$A$13:$A$32,0),4),""))</f>
        <v/>
      </c>
      <c r="N4088" s="66" t="str">
        <f aca="false">IF($L4088="","",IFERROR(INDEX(记账规则!$A$13:$H$32,MATCH(资金流水!$E447,记账规则!$A$13:$A$32,0),5),""))</f>
        <v/>
      </c>
      <c r="O4088" s="67" t="n">
        <f aca="false">IF($H4088="",0,ROUND(IF($N4088="金额",N(资金流水!$P447),0),2))</f>
        <v>0</v>
      </c>
      <c r="P4088" s="64" t="str">
        <f aca="false">IF(AND($H4088&lt;&gt;"",ROUND($O4088,2)&lt;&gt;0),"有","")</f>
        <v/>
      </c>
    </row>
    <row r="4089" customFormat="false" ht="15" hidden="true" customHeight="false" outlineLevel="0" collapsed="false">
      <c r="A4089" s="53" t="str">
        <f aca="false">IF($H4089="","",ROW()-5)</f>
        <v/>
      </c>
      <c r="B4089" s="64" t="s">
        <v>37</v>
      </c>
      <c r="C4089" s="53" t="n">
        <v>447</v>
      </c>
      <c r="D4089" s="53" t="n">
        <v>2</v>
      </c>
      <c r="E4089" s="65" t="str">
        <f aca="false">IF($H4089="","",资金流水!$B447)</f>
        <v/>
      </c>
      <c r="F4089" s="55" t="str">
        <f aca="false">IF($H4089="","",资金流水!$C447)</f>
        <v/>
      </c>
      <c r="G4089" s="48" t="str">
        <f aca="false">IF($H4089="","",资金流水!$K447)</f>
        <v/>
      </c>
      <c r="H4089" s="10" t="str">
        <f aca="false">IF($L4089="","",IF($L4089="@对方",资金流水!$G447,IF($L4089="@账户",资金流水!$Q447,$L4089)))</f>
        <v/>
      </c>
      <c r="I4089" s="42" t="n">
        <f aca="false">IF($M4089="借",$O4089,0)</f>
        <v>0</v>
      </c>
      <c r="J4089" s="42" t="n">
        <f aca="false">IF($M4089="贷",$O4089,0)</f>
        <v>0</v>
      </c>
      <c r="K4089" s="48" t="str">
        <f aca="false">IF($H4089="","",资金流水!$F447)</f>
        <v/>
      </c>
      <c r="L4089" s="66" t="str">
        <f aca="false">IF(资金流水!$E447="","",IFERROR(INDEX(记账规则!$A$13:$H$32,MATCH(资金流水!$E447,记账规则!$A$13:$A$32,0),6),""))</f>
        <v/>
      </c>
      <c r="M4089" s="66" t="str">
        <f aca="false">IF($L4089="","",IFERROR(INDEX(记账规则!$A$13:$H$32,MATCH(资金流水!$E447,记账规则!$A$13:$A$32,0),7),""))</f>
        <v/>
      </c>
      <c r="N4089" s="66" t="str">
        <f aca="false">IF($L4089="","",IFERROR(INDEX(记账规则!$A$13:$H$32,MATCH(资金流水!$E447,记账规则!$A$13:$A$32,0),8),""))</f>
        <v/>
      </c>
      <c r="O4089" s="67" t="n">
        <f aca="false">IF($H4089="",0,ROUND(IF($N4089="金额",N(资金流水!$P447),0),2))</f>
        <v>0</v>
      </c>
      <c r="P4089" s="64" t="str">
        <f aca="false">IF(AND($H4089&lt;&gt;"",ROUND($O4089,2)&lt;&gt;0),"有","")</f>
        <v/>
      </c>
    </row>
    <row r="4090" customFormat="false" ht="15" hidden="true" customHeight="false" outlineLevel="0" collapsed="false">
      <c r="A4090" s="53" t="str">
        <f aca="false">IF($H4090="","",ROW()-5)</f>
        <v/>
      </c>
      <c r="B4090" s="64" t="s">
        <v>37</v>
      </c>
      <c r="C4090" s="53" t="n">
        <v>448</v>
      </c>
      <c r="D4090" s="53" t="n">
        <v>1</v>
      </c>
      <c r="E4090" s="65" t="str">
        <f aca="false">IF($H4090="","",资金流水!$B448)</f>
        <v/>
      </c>
      <c r="F4090" s="55" t="str">
        <f aca="false">IF($H4090="","",资金流水!$C448)</f>
        <v/>
      </c>
      <c r="G4090" s="48" t="str">
        <f aca="false">IF($H4090="","",资金流水!$K448)</f>
        <v/>
      </c>
      <c r="H4090" s="10" t="str">
        <f aca="false">IF($L4090="","",IF($L4090="@对方",资金流水!$G448,IF($L4090="@账户",资金流水!$Q448,$L4090)))</f>
        <v/>
      </c>
      <c r="I4090" s="42" t="n">
        <f aca="false">IF($M4090="借",$O4090,0)</f>
        <v>0</v>
      </c>
      <c r="J4090" s="42" t="n">
        <f aca="false">IF($M4090="贷",$O4090,0)</f>
        <v>0</v>
      </c>
      <c r="K4090" s="48" t="str">
        <f aca="false">IF($H4090="","",资金流水!$F448)</f>
        <v/>
      </c>
      <c r="L4090" s="66" t="str">
        <f aca="false">IF(资金流水!$E448="","",IFERROR(INDEX(记账规则!$A$13:$H$32,MATCH(资金流水!$E448,记账规则!$A$13:$A$32,0),3),""))</f>
        <v/>
      </c>
      <c r="M4090" s="66" t="str">
        <f aca="false">IF($L4090="","",IFERROR(INDEX(记账规则!$A$13:$H$32,MATCH(资金流水!$E448,记账规则!$A$13:$A$32,0),4),""))</f>
        <v/>
      </c>
      <c r="N4090" s="66" t="str">
        <f aca="false">IF($L4090="","",IFERROR(INDEX(记账规则!$A$13:$H$32,MATCH(资金流水!$E448,记账规则!$A$13:$A$32,0),5),""))</f>
        <v/>
      </c>
      <c r="O4090" s="67" t="n">
        <f aca="false">IF($H4090="",0,ROUND(IF($N4090="金额",N(资金流水!$P448),0),2))</f>
        <v>0</v>
      </c>
      <c r="P4090" s="64" t="str">
        <f aca="false">IF(AND($H4090&lt;&gt;"",ROUND($O4090,2)&lt;&gt;0),"有","")</f>
        <v/>
      </c>
    </row>
    <row r="4091" customFormat="false" ht="15" hidden="true" customHeight="false" outlineLevel="0" collapsed="false">
      <c r="A4091" s="53" t="str">
        <f aca="false">IF($H4091="","",ROW()-5)</f>
        <v/>
      </c>
      <c r="B4091" s="64" t="s">
        <v>37</v>
      </c>
      <c r="C4091" s="53" t="n">
        <v>448</v>
      </c>
      <c r="D4091" s="53" t="n">
        <v>2</v>
      </c>
      <c r="E4091" s="65" t="str">
        <f aca="false">IF($H4091="","",资金流水!$B448)</f>
        <v/>
      </c>
      <c r="F4091" s="55" t="str">
        <f aca="false">IF($H4091="","",资金流水!$C448)</f>
        <v/>
      </c>
      <c r="G4091" s="48" t="str">
        <f aca="false">IF($H4091="","",资金流水!$K448)</f>
        <v/>
      </c>
      <c r="H4091" s="10" t="str">
        <f aca="false">IF($L4091="","",IF($L4091="@对方",资金流水!$G448,IF($L4091="@账户",资金流水!$Q448,$L4091)))</f>
        <v/>
      </c>
      <c r="I4091" s="42" t="n">
        <f aca="false">IF($M4091="借",$O4091,0)</f>
        <v>0</v>
      </c>
      <c r="J4091" s="42" t="n">
        <f aca="false">IF($M4091="贷",$O4091,0)</f>
        <v>0</v>
      </c>
      <c r="K4091" s="48" t="str">
        <f aca="false">IF($H4091="","",资金流水!$F448)</f>
        <v/>
      </c>
      <c r="L4091" s="66" t="str">
        <f aca="false">IF(资金流水!$E448="","",IFERROR(INDEX(记账规则!$A$13:$H$32,MATCH(资金流水!$E448,记账规则!$A$13:$A$32,0),6),""))</f>
        <v/>
      </c>
      <c r="M4091" s="66" t="str">
        <f aca="false">IF($L4091="","",IFERROR(INDEX(记账规则!$A$13:$H$32,MATCH(资金流水!$E448,记账规则!$A$13:$A$32,0),7),""))</f>
        <v/>
      </c>
      <c r="N4091" s="66" t="str">
        <f aca="false">IF($L4091="","",IFERROR(INDEX(记账规则!$A$13:$H$32,MATCH(资金流水!$E448,记账规则!$A$13:$A$32,0),8),""))</f>
        <v/>
      </c>
      <c r="O4091" s="67" t="n">
        <f aca="false">IF($H4091="",0,ROUND(IF($N4091="金额",N(资金流水!$P448),0),2))</f>
        <v>0</v>
      </c>
      <c r="P4091" s="64" t="str">
        <f aca="false">IF(AND($H4091&lt;&gt;"",ROUND($O4091,2)&lt;&gt;0),"有","")</f>
        <v/>
      </c>
    </row>
    <row r="4092" customFormat="false" ht="15" hidden="true" customHeight="false" outlineLevel="0" collapsed="false">
      <c r="A4092" s="53" t="str">
        <f aca="false">IF($H4092="","",ROW()-5)</f>
        <v/>
      </c>
      <c r="B4092" s="64" t="s">
        <v>37</v>
      </c>
      <c r="C4092" s="53" t="n">
        <v>449</v>
      </c>
      <c r="D4092" s="53" t="n">
        <v>1</v>
      </c>
      <c r="E4092" s="65" t="str">
        <f aca="false">IF($H4092="","",资金流水!$B449)</f>
        <v/>
      </c>
      <c r="F4092" s="55" t="str">
        <f aca="false">IF($H4092="","",资金流水!$C449)</f>
        <v/>
      </c>
      <c r="G4092" s="48" t="str">
        <f aca="false">IF($H4092="","",资金流水!$K449)</f>
        <v/>
      </c>
      <c r="H4092" s="10" t="str">
        <f aca="false">IF($L4092="","",IF($L4092="@对方",资金流水!$G449,IF($L4092="@账户",资金流水!$Q449,$L4092)))</f>
        <v/>
      </c>
      <c r="I4092" s="42" t="n">
        <f aca="false">IF($M4092="借",$O4092,0)</f>
        <v>0</v>
      </c>
      <c r="J4092" s="42" t="n">
        <f aca="false">IF($M4092="贷",$O4092,0)</f>
        <v>0</v>
      </c>
      <c r="K4092" s="48" t="str">
        <f aca="false">IF($H4092="","",资金流水!$F449)</f>
        <v/>
      </c>
      <c r="L4092" s="66" t="str">
        <f aca="false">IF(资金流水!$E449="","",IFERROR(INDEX(记账规则!$A$13:$H$32,MATCH(资金流水!$E449,记账规则!$A$13:$A$32,0),3),""))</f>
        <v/>
      </c>
      <c r="M4092" s="66" t="str">
        <f aca="false">IF($L4092="","",IFERROR(INDEX(记账规则!$A$13:$H$32,MATCH(资金流水!$E449,记账规则!$A$13:$A$32,0),4),""))</f>
        <v/>
      </c>
      <c r="N4092" s="66" t="str">
        <f aca="false">IF($L4092="","",IFERROR(INDEX(记账规则!$A$13:$H$32,MATCH(资金流水!$E449,记账规则!$A$13:$A$32,0),5),""))</f>
        <v/>
      </c>
      <c r="O4092" s="67" t="n">
        <f aca="false">IF($H4092="",0,ROUND(IF($N4092="金额",N(资金流水!$P449),0),2))</f>
        <v>0</v>
      </c>
      <c r="P4092" s="64" t="str">
        <f aca="false">IF(AND($H4092&lt;&gt;"",ROUND($O4092,2)&lt;&gt;0),"有","")</f>
        <v/>
      </c>
    </row>
    <row r="4093" customFormat="false" ht="15" hidden="true" customHeight="false" outlineLevel="0" collapsed="false">
      <c r="A4093" s="53" t="str">
        <f aca="false">IF($H4093="","",ROW()-5)</f>
        <v/>
      </c>
      <c r="B4093" s="64" t="s">
        <v>37</v>
      </c>
      <c r="C4093" s="53" t="n">
        <v>449</v>
      </c>
      <c r="D4093" s="53" t="n">
        <v>2</v>
      </c>
      <c r="E4093" s="65" t="str">
        <f aca="false">IF($H4093="","",资金流水!$B449)</f>
        <v/>
      </c>
      <c r="F4093" s="55" t="str">
        <f aca="false">IF($H4093="","",资金流水!$C449)</f>
        <v/>
      </c>
      <c r="G4093" s="48" t="str">
        <f aca="false">IF($H4093="","",资金流水!$K449)</f>
        <v/>
      </c>
      <c r="H4093" s="10" t="str">
        <f aca="false">IF($L4093="","",IF($L4093="@对方",资金流水!$G449,IF($L4093="@账户",资金流水!$Q449,$L4093)))</f>
        <v/>
      </c>
      <c r="I4093" s="42" t="n">
        <f aca="false">IF($M4093="借",$O4093,0)</f>
        <v>0</v>
      </c>
      <c r="J4093" s="42" t="n">
        <f aca="false">IF($M4093="贷",$O4093,0)</f>
        <v>0</v>
      </c>
      <c r="K4093" s="48" t="str">
        <f aca="false">IF($H4093="","",资金流水!$F449)</f>
        <v/>
      </c>
      <c r="L4093" s="66" t="str">
        <f aca="false">IF(资金流水!$E449="","",IFERROR(INDEX(记账规则!$A$13:$H$32,MATCH(资金流水!$E449,记账规则!$A$13:$A$32,0),6),""))</f>
        <v/>
      </c>
      <c r="M4093" s="66" t="str">
        <f aca="false">IF($L4093="","",IFERROR(INDEX(记账规则!$A$13:$H$32,MATCH(资金流水!$E449,记账规则!$A$13:$A$32,0),7),""))</f>
        <v/>
      </c>
      <c r="N4093" s="66" t="str">
        <f aca="false">IF($L4093="","",IFERROR(INDEX(记账规则!$A$13:$H$32,MATCH(资金流水!$E449,记账规则!$A$13:$A$32,0),8),""))</f>
        <v/>
      </c>
      <c r="O4093" s="67" t="n">
        <f aca="false">IF($H4093="",0,ROUND(IF($N4093="金额",N(资金流水!$P449),0),2))</f>
        <v>0</v>
      </c>
      <c r="P4093" s="64" t="str">
        <f aca="false">IF(AND($H4093&lt;&gt;"",ROUND($O4093,2)&lt;&gt;0),"有","")</f>
        <v/>
      </c>
    </row>
    <row r="4094" customFormat="false" ht="15" hidden="true" customHeight="false" outlineLevel="0" collapsed="false">
      <c r="A4094" s="53" t="str">
        <f aca="false">IF($H4094="","",ROW()-5)</f>
        <v/>
      </c>
      <c r="B4094" s="64" t="s">
        <v>37</v>
      </c>
      <c r="C4094" s="53" t="n">
        <v>450</v>
      </c>
      <c r="D4094" s="53" t="n">
        <v>1</v>
      </c>
      <c r="E4094" s="65" t="str">
        <f aca="false">IF($H4094="","",资金流水!$B450)</f>
        <v/>
      </c>
      <c r="F4094" s="55" t="str">
        <f aca="false">IF($H4094="","",资金流水!$C450)</f>
        <v/>
      </c>
      <c r="G4094" s="48" t="str">
        <f aca="false">IF($H4094="","",资金流水!$K450)</f>
        <v/>
      </c>
      <c r="H4094" s="10" t="str">
        <f aca="false">IF($L4094="","",IF($L4094="@对方",资金流水!$G450,IF($L4094="@账户",资金流水!$Q450,$L4094)))</f>
        <v/>
      </c>
      <c r="I4094" s="42" t="n">
        <f aca="false">IF($M4094="借",$O4094,0)</f>
        <v>0</v>
      </c>
      <c r="J4094" s="42" t="n">
        <f aca="false">IF($M4094="贷",$O4094,0)</f>
        <v>0</v>
      </c>
      <c r="K4094" s="48" t="str">
        <f aca="false">IF($H4094="","",资金流水!$F450)</f>
        <v/>
      </c>
      <c r="L4094" s="66" t="str">
        <f aca="false">IF(资金流水!$E450="","",IFERROR(INDEX(记账规则!$A$13:$H$32,MATCH(资金流水!$E450,记账规则!$A$13:$A$32,0),3),""))</f>
        <v/>
      </c>
      <c r="M4094" s="66" t="str">
        <f aca="false">IF($L4094="","",IFERROR(INDEX(记账规则!$A$13:$H$32,MATCH(资金流水!$E450,记账规则!$A$13:$A$32,0),4),""))</f>
        <v/>
      </c>
      <c r="N4094" s="66" t="str">
        <f aca="false">IF($L4094="","",IFERROR(INDEX(记账规则!$A$13:$H$32,MATCH(资金流水!$E450,记账规则!$A$13:$A$32,0),5),""))</f>
        <v/>
      </c>
      <c r="O4094" s="67" t="n">
        <f aca="false">IF($H4094="",0,ROUND(IF($N4094="金额",N(资金流水!$P450),0),2))</f>
        <v>0</v>
      </c>
      <c r="P4094" s="64" t="str">
        <f aca="false">IF(AND($H4094&lt;&gt;"",ROUND($O4094,2)&lt;&gt;0),"有","")</f>
        <v/>
      </c>
    </row>
    <row r="4095" customFormat="false" ht="15" hidden="true" customHeight="false" outlineLevel="0" collapsed="false">
      <c r="A4095" s="53" t="str">
        <f aca="false">IF($H4095="","",ROW()-5)</f>
        <v/>
      </c>
      <c r="B4095" s="64" t="s">
        <v>37</v>
      </c>
      <c r="C4095" s="53" t="n">
        <v>450</v>
      </c>
      <c r="D4095" s="53" t="n">
        <v>2</v>
      </c>
      <c r="E4095" s="65" t="str">
        <f aca="false">IF($H4095="","",资金流水!$B450)</f>
        <v/>
      </c>
      <c r="F4095" s="55" t="str">
        <f aca="false">IF($H4095="","",资金流水!$C450)</f>
        <v/>
      </c>
      <c r="G4095" s="48" t="str">
        <f aca="false">IF($H4095="","",资金流水!$K450)</f>
        <v/>
      </c>
      <c r="H4095" s="10" t="str">
        <f aca="false">IF($L4095="","",IF($L4095="@对方",资金流水!$G450,IF($L4095="@账户",资金流水!$Q450,$L4095)))</f>
        <v/>
      </c>
      <c r="I4095" s="42" t="n">
        <f aca="false">IF($M4095="借",$O4095,0)</f>
        <v>0</v>
      </c>
      <c r="J4095" s="42" t="n">
        <f aca="false">IF($M4095="贷",$O4095,0)</f>
        <v>0</v>
      </c>
      <c r="K4095" s="48" t="str">
        <f aca="false">IF($H4095="","",资金流水!$F450)</f>
        <v/>
      </c>
      <c r="L4095" s="66" t="str">
        <f aca="false">IF(资金流水!$E450="","",IFERROR(INDEX(记账规则!$A$13:$H$32,MATCH(资金流水!$E450,记账规则!$A$13:$A$32,0),6),""))</f>
        <v/>
      </c>
      <c r="M4095" s="66" t="str">
        <f aca="false">IF($L4095="","",IFERROR(INDEX(记账规则!$A$13:$H$32,MATCH(资金流水!$E450,记账规则!$A$13:$A$32,0),7),""))</f>
        <v/>
      </c>
      <c r="N4095" s="66" t="str">
        <f aca="false">IF($L4095="","",IFERROR(INDEX(记账规则!$A$13:$H$32,MATCH(资金流水!$E450,记账规则!$A$13:$A$32,0),8),""))</f>
        <v/>
      </c>
      <c r="O4095" s="67" t="n">
        <f aca="false">IF($H4095="",0,ROUND(IF($N4095="金额",N(资金流水!$P450),0),2))</f>
        <v>0</v>
      </c>
      <c r="P4095" s="64" t="str">
        <f aca="false">IF(AND($H4095&lt;&gt;"",ROUND($O4095,2)&lt;&gt;0),"有","")</f>
        <v/>
      </c>
    </row>
    <row r="4096" customFormat="false" ht="15" hidden="true" customHeight="false" outlineLevel="0" collapsed="false">
      <c r="A4096" s="53" t="str">
        <f aca="false">IF($H4096="","",ROW()-5)</f>
        <v/>
      </c>
      <c r="B4096" s="64" t="s">
        <v>37</v>
      </c>
      <c r="C4096" s="53" t="n">
        <v>451</v>
      </c>
      <c r="D4096" s="53" t="n">
        <v>1</v>
      </c>
      <c r="E4096" s="65" t="str">
        <f aca="false">IF($H4096="","",资金流水!$B451)</f>
        <v/>
      </c>
      <c r="F4096" s="55" t="str">
        <f aca="false">IF($H4096="","",资金流水!$C451)</f>
        <v/>
      </c>
      <c r="G4096" s="48" t="str">
        <f aca="false">IF($H4096="","",资金流水!$K451)</f>
        <v/>
      </c>
      <c r="H4096" s="10" t="str">
        <f aca="false">IF($L4096="","",IF($L4096="@对方",资金流水!$G451,IF($L4096="@账户",资金流水!$Q451,$L4096)))</f>
        <v/>
      </c>
      <c r="I4096" s="42" t="n">
        <f aca="false">IF($M4096="借",$O4096,0)</f>
        <v>0</v>
      </c>
      <c r="J4096" s="42" t="n">
        <f aca="false">IF($M4096="贷",$O4096,0)</f>
        <v>0</v>
      </c>
      <c r="K4096" s="48" t="str">
        <f aca="false">IF($H4096="","",资金流水!$F451)</f>
        <v/>
      </c>
      <c r="L4096" s="66" t="str">
        <f aca="false">IF(资金流水!$E451="","",IFERROR(INDEX(记账规则!$A$13:$H$32,MATCH(资金流水!$E451,记账规则!$A$13:$A$32,0),3),""))</f>
        <v/>
      </c>
      <c r="M4096" s="66" t="str">
        <f aca="false">IF($L4096="","",IFERROR(INDEX(记账规则!$A$13:$H$32,MATCH(资金流水!$E451,记账规则!$A$13:$A$32,0),4),""))</f>
        <v/>
      </c>
      <c r="N4096" s="66" t="str">
        <f aca="false">IF($L4096="","",IFERROR(INDEX(记账规则!$A$13:$H$32,MATCH(资金流水!$E451,记账规则!$A$13:$A$32,0),5),""))</f>
        <v/>
      </c>
      <c r="O4096" s="67" t="n">
        <f aca="false">IF($H4096="",0,ROUND(IF($N4096="金额",N(资金流水!$P451),0),2))</f>
        <v>0</v>
      </c>
      <c r="P4096" s="64" t="str">
        <f aca="false">IF(AND($H4096&lt;&gt;"",ROUND($O4096,2)&lt;&gt;0),"有","")</f>
        <v/>
      </c>
    </row>
    <row r="4097" customFormat="false" ht="15" hidden="true" customHeight="false" outlineLevel="0" collapsed="false">
      <c r="A4097" s="53" t="str">
        <f aca="false">IF($H4097="","",ROW()-5)</f>
        <v/>
      </c>
      <c r="B4097" s="64" t="s">
        <v>37</v>
      </c>
      <c r="C4097" s="53" t="n">
        <v>451</v>
      </c>
      <c r="D4097" s="53" t="n">
        <v>2</v>
      </c>
      <c r="E4097" s="65" t="str">
        <f aca="false">IF($H4097="","",资金流水!$B451)</f>
        <v/>
      </c>
      <c r="F4097" s="55" t="str">
        <f aca="false">IF($H4097="","",资金流水!$C451)</f>
        <v/>
      </c>
      <c r="G4097" s="48" t="str">
        <f aca="false">IF($H4097="","",资金流水!$K451)</f>
        <v/>
      </c>
      <c r="H4097" s="10" t="str">
        <f aca="false">IF($L4097="","",IF($L4097="@对方",资金流水!$G451,IF($L4097="@账户",资金流水!$Q451,$L4097)))</f>
        <v/>
      </c>
      <c r="I4097" s="42" t="n">
        <f aca="false">IF($M4097="借",$O4097,0)</f>
        <v>0</v>
      </c>
      <c r="J4097" s="42" t="n">
        <f aca="false">IF($M4097="贷",$O4097,0)</f>
        <v>0</v>
      </c>
      <c r="K4097" s="48" t="str">
        <f aca="false">IF($H4097="","",资金流水!$F451)</f>
        <v/>
      </c>
      <c r="L4097" s="66" t="str">
        <f aca="false">IF(资金流水!$E451="","",IFERROR(INDEX(记账规则!$A$13:$H$32,MATCH(资金流水!$E451,记账规则!$A$13:$A$32,0),6),""))</f>
        <v/>
      </c>
      <c r="M4097" s="66" t="str">
        <f aca="false">IF($L4097="","",IFERROR(INDEX(记账规则!$A$13:$H$32,MATCH(资金流水!$E451,记账规则!$A$13:$A$32,0),7),""))</f>
        <v/>
      </c>
      <c r="N4097" s="66" t="str">
        <f aca="false">IF($L4097="","",IFERROR(INDEX(记账规则!$A$13:$H$32,MATCH(资金流水!$E451,记账规则!$A$13:$A$32,0),8),""))</f>
        <v/>
      </c>
      <c r="O4097" s="67" t="n">
        <f aca="false">IF($H4097="",0,ROUND(IF($N4097="金额",N(资金流水!$P451),0),2))</f>
        <v>0</v>
      </c>
      <c r="P4097" s="64" t="str">
        <f aca="false">IF(AND($H4097&lt;&gt;"",ROUND($O4097,2)&lt;&gt;0),"有","")</f>
        <v/>
      </c>
    </row>
    <row r="4098" customFormat="false" ht="15" hidden="true" customHeight="false" outlineLevel="0" collapsed="false">
      <c r="A4098" s="53" t="str">
        <f aca="false">IF($H4098="","",ROW()-5)</f>
        <v/>
      </c>
      <c r="B4098" s="64" t="s">
        <v>37</v>
      </c>
      <c r="C4098" s="53" t="n">
        <v>452</v>
      </c>
      <c r="D4098" s="53" t="n">
        <v>1</v>
      </c>
      <c r="E4098" s="65" t="str">
        <f aca="false">IF($H4098="","",资金流水!$B452)</f>
        <v/>
      </c>
      <c r="F4098" s="55" t="str">
        <f aca="false">IF($H4098="","",资金流水!$C452)</f>
        <v/>
      </c>
      <c r="G4098" s="48" t="str">
        <f aca="false">IF($H4098="","",资金流水!$K452)</f>
        <v/>
      </c>
      <c r="H4098" s="10" t="str">
        <f aca="false">IF($L4098="","",IF($L4098="@对方",资金流水!$G452,IF($L4098="@账户",资金流水!$Q452,$L4098)))</f>
        <v/>
      </c>
      <c r="I4098" s="42" t="n">
        <f aca="false">IF($M4098="借",$O4098,0)</f>
        <v>0</v>
      </c>
      <c r="J4098" s="42" t="n">
        <f aca="false">IF($M4098="贷",$O4098,0)</f>
        <v>0</v>
      </c>
      <c r="K4098" s="48" t="str">
        <f aca="false">IF($H4098="","",资金流水!$F452)</f>
        <v/>
      </c>
      <c r="L4098" s="66" t="str">
        <f aca="false">IF(资金流水!$E452="","",IFERROR(INDEX(记账规则!$A$13:$H$32,MATCH(资金流水!$E452,记账规则!$A$13:$A$32,0),3),""))</f>
        <v/>
      </c>
      <c r="M4098" s="66" t="str">
        <f aca="false">IF($L4098="","",IFERROR(INDEX(记账规则!$A$13:$H$32,MATCH(资金流水!$E452,记账规则!$A$13:$A$32,0),4),""))</f>
        <v/>
      </c>
      <c r="N4098" s="66" t="str">
        <f aca="false">IF($L4098="","",IFERROR(INDEX(记账规则!$A$13:$H$32,MATCH(资金流水!$E452,记账规则!$A$13:$A$32,0),5),""))</f>
        <v/>
      </c>
      <c r="O4098" s="67" t="n">
        <f aca="false">IF($H4098="",0,ROUND(IF($N4098="金额",N(资金流水!$P452),0),2))</f>
        <v>0</v>
      </c>
      <c r="P4098" s="64" t="str">
        <f aca="false">IF(AND($H4098&lt;&gt;"",ROUND($O4098,2)&lt;&gt;0),"有","")</f>
        <v/>
      </c>
    </row>
    <row r="4099" customFormat="false" ht="15" hidden="true" customHeight="false" outlineLevel="0" collapsed="false">
      <c r="A4099" s="53" t="str">
        <f aca="false">IF($H4099="","",ROW()-5)</f>
        <v/>
      </c>
      <c r="B4099" s="64" t="s">
        <v>37</v>
      </c>
      <c r="C4099" s="53" t="n">
        <v>452</v>
      </c>
      <c r="D4099" s="53" t="n">
        <v>2</v>
      </c>
      <c r="E4099" s="65" t="str">
        <f aca="false">IF($H4099="","",资金流水!$B452)</f>
        <v/>
      </c>
      <c r="F4099" s="55" t="str">
        <f aca="false">IF($H4099="","",资金流水!$C452)</f>
        <v/>
      </c>
      <c r="G4099" s="48" t="str">
        <f aca="false">IF($H4099="","",资金流水!$K452)</f>
        <v/>
      </c>
      <c r="H4099" s="10" t="str">
        <f aca="false">IF($L4099="","",IF($L4099="@对方",资金流水!$G452,IF($L4099="@账户",资金流水!$Q452,$L4099)))</f>
        <v/>
      </c>
      <c r="I4099" s="42" t="n">
        <f aca="false">IF($M4099="借",$O4099,0)</f>
        <v>0</v>
      </c>
      <c r="J4099" s="42" t="n">
        <f aca="false">IF($M4099="贷",$O4099,0)</f>
        <v>0</v>
      </c>
      <c r="K4099" s="48" t="str">
        <f aca="false">IF($H4099="","",资金流水!$F452)</f>
        <v/>
      </c>
      <c r="L4099" s="66" t="str">
        <f aca="false">IF(资金流水!$E452="","",IFERROR(INDEX(记账规则!$A$13:$H$32,MATCH(资金流水!$E452,记账规则!$A$13:$A$32,0),6),""))</f>
        <v/>
      </c>
      <c r="M4099" s="66" t="str">
        <f aca="false">IF($L4099="","",IFERROR(INDEX(记账规则!$A$13:$H$32,MATCH(资金流水!$E452,记账规则!$A$13:$A$32,0),7),""))</f>
        <v/>
      </c>
      <c r="N4099" s="66" t="str">
        <f aca="false">IF($L4099="","",IFERROR(INDEX(记账规则!$A$13:$H$32,MATCH(资金流水!$E452,记账规则!$A$13:$A$32,0),8),""))</f>
        <v/>
      </c>
      <c r="O4099" s="67" t="n">
        <f aca="false">IF($H4099="",0,ROUND(IF($N4099="金额",N(资金流水!$P452),0),2))</f>
        <v>0</v>
      </c>
      <c r="P4099" s="64" t="str">
        <f aca="false">IF(AND($H4099&lt;&gt;"",ROUND($O4099,2)&lt;&gt;0),"有","")</f>
        <v/>
      </c>
    </row>
    <row r="4100" customFormat="false" ht="15" hidden="true" customHeight="false" outlineLevel="0" collapsed="false">
      <c r="A4100" s="53" t="str">
        <f aca="false">IF($H4100="","",ROW()-5)</f>
        <v/>
      </c>
      <c r="B4100" s="64" t="s">
        <v>37</v>
      </c>
      <c r="C4100" s="53" t="n">
        <v>453</v>
      </c>
      <c r="D4100" s="53" t="n">
        <v>1</v>
      </c>
      <c r="E4100" s="65" t="str">
        <f aca="false">IF($H4100="","",资金流水!$B453)</f>
        <v/>
      </c>
      <c r="F4100" s="55" t="str">
        <f aca="false">IF($H4100="","",资金流水!$C453)</f>
        <v/>
      </c>
      <c r="G4100" s="48" t="str">
        <f aca="false">IF($H4100="","",资金流水!$K453)</f>
        <v/>
      </c>
      <c r="H4100" s="10" t="str">
        <f aca="false">IF($L4100="","",IF($L4100="@对方",资金流水!$G453,IF($L4100="@账户",资金流水!$Q453,$L4100)))</f>
        <v/>
      </c>
      <c r="I4100" s="42" t="n">
        <f aca="false">IF($M4100="借",$O4100,0)</f>
        <v>0</v>
      </c>
      <c r="J4100" s="42" t="n">
        <f aca="false">IF($M4100="贷",$O4100,0)</f>
        <v>0</v>
      </c>
      <c r="K4100" s="48" t="str">
        <f aca="false">IF($H4100="","",资金流水!$F453)</f>
        <v/>
      </c>
      <c r="L4100" s="66" t="str">
        <f aca="false">IF(资金流水!$E453="","",IFERROR(INDEX(记账规则!$A$13:$H$32,MATCH(资金流水!$E453,记账规则!$A$13:$A$32,0),3),""))</f>
        <v/>
      </c>
      <c r="M4100" s="66" t="str">
        <f aca="false">IF($L4100="","",IFERROR(INDEX(记账规则!$A$13:$H$32,MATCH(资金流水!$E453,记账规则!$A$13:$A$32,0),4),""))</f>
        <v/>
      </c>
      <c r="N4100" s="66" t="str">
        <f aca="false">IF($L4100="","",IFERROR(INDEX(记账规则!$A$13:$H$32,MATCH(资金流水!$E453,记账规则!$A$13:$A$32,0),5),""))</f>
        <v/>
      </c>
      <c r="O4100" s="67" t="n">
        <f aca="false">IF($H4100="",0,ROUND(IF($N4100="金额",N(资金流水!$P453),0),2))</f>
        <v>0</v>
      </c>
      <c r="P4100" s="64" t="str">
        <f aca="false">IF(AND($H4100&lt;&gt;"",ROUND($O4100,2)&lt;&gt;0),"有","")</f>
        <v/>
      </c>
    </row>
    <row r="4101" customFormat="false" ht="15" hidden="true" customHeight="false" outlineLevel="0" collapsed="false">
      <c r="A4101" s="53" t="str">
        <f aca="false">IF($H4101="","",ROW()-5)</f>
        <v/>
      </c>
      <c r="B4101" s="64" t="s">
        <v>37</v>
      </c>
      <c r="C4101" s="53" t="n">
        <v>453</v>
      </c>
      <c r="D4101" s="53" t="n">
        <v>2</v>
      </c>
      <c r="E4101" s="65" t="str">
        <f aca="false">IF($H4101="","",资金流水!$B453)</f>
        <v/>
      </c>
      <c r="F4101" s="55" t="str">
        <f aca="false">IF($H4101="","",资金流水!$C453)</f>
        <v/>
      </c>
      <c r="G4101" s="48" t="str">
        <f aca="false">IF($H4101="","",资金流水!$K453)</f>
        <v/>
      </c>
      <c r="H4101" s="10" t="str">
        <f aca="false">IF($L4101="","",IF($L4101="@对方",资金流水!$G453,IF($L4101="@账户",资金流水!$Q453,$L4101)))</f>
        <v/>
      </c>
      <c r="I4101" s="42" t="n">
        <f aca="false">IF($M4101="借",$O4101,0)</f>
        <v>0</v>
      </c>
      <c r="J4101" s="42" t="n">
        <f aca="false">IF($M4101="贷",$O4101,0)</f>
        <v>0</v>
      </c>
      <c r="K4101" s="48" t="str">
        <f aca="false">IF($H4101="","",资金流水!$F453)</f>
        <v/>
      </c>
      <c r="L4101" s="66" t="str">
        <f aca="false">IF(资金流水!$E453="","",IFERROR(INDEX(记账规则!$A$13:$H$32,MATCH(资金流水!$E453,记账规则!$A$13:$A$32,0),6),""))</f>
        <v/>
      </c>
      <c r="M4101" s="66" t="str">
        <f aca="false">IF($L4101="","",IFERROR(INDEX(记账规则!$A$13:$H$32,MATCH(资金流水!$E453,记账规则!$A$13:$A$32,0),7),""))</f>
        <v/>
      </c>
      <c r="N4101" s="66" t="str">
        <f aca="false">IF($L4101="","",IFERROR(INDEX(记账规则!$A$13:$H$32,MATCH(资金流水!$E453,记账规则!$A$13:$A$32,0),8),""))</f>
        <v/>
      </c>
      <c r="O4101" s="67" t="n">
        <f aca="false">IF($H4101="",0,ROUND(IF($N4101="金额",N(资金流水!$P453),0),2))</f>
        <v>0</v>
      </c>
      <c r="P4101" s="64" t="str">
        <f aca="false">IF(AND($H4101&lt;&gt;"",ROUND($O4101,2)&lt;&gt;0),"有","")</f>
        <v/>
      </c>
    </row>
    <row r="4102" customFormat="false" ht="15" hidden="true" customHeight="false" outlineLevel="0" collapsed="false">
      <c r="A4102" s="53" t="str">
        <f aca="false">IF($H4102="","",ROW()-5)</f>
        <v/>
      </c>
      <c r="B4102" s="64" t="s">
        <v>37</v>
      </c>
      <c r="C4102" s="53" t="n">
        <v>454</v>
      </c>
      <c r="D4102" s="53" t="n">
        <v>1</v>
      </c>
      <c r="E4102" s="65" t="str">
        <f aca="false">IF($H4102="","",资金流水!$B454)</f>
        <v/>
      </c>
      <c r="F4102" s="55" t="str">
        <f aca="false">IF($H4102="","",资金流水!$C454)</f>
        <v/>
      </c>
      <c r="G4102" s="48" t="str">
        <f aca="false">IF($H4102="","",资金流水!$K454)</f>
        <v/>
      </c>
      <c r="H4102" s="10" t="str">
        <f aca="false">IF($L4102="","",IF($L4102="@对方",资金流水!$G454,IF($L4102="@账户",资金流水!$Q454,$L4102)))</f>
        <v/>
      </c>
      <c r="I4102" s="42" t="n">
        <f aca="false">IF($M4102="借",$O4102,0)</f>
        <v>0</v>
      </c>
      <c r="J4102" s="42" t="n">
        <f aca="false">IF($M4102="贷",$O4102,0)</f>
        <v>0</v>
      </c>
      <c r="K4102" s="48" t="str">
        <f aca="false">IF($H4102="","",资金流水!$F454)</f>
        <v/>
      </c>
      <c r="L4102" s="66" t="str">
        <f aca="false">IF(资金流水!$E454="","",IFERROR(INDEX(记账规则!$A$13:$H$32,MATCH(资金流水!$E454,记账规则!$A$13:$A$32,0),3),""))</f>
        <v/>
      </c>
      <c r="M4102" s="66" t="str">
        <f aca="false">IF($L4102="","",IFERROR(INDEX(记账规则!$A$13:$H$32,MATCH(资金流水!$E454,记账规则!$A$13:$A$32,0),4),""))</f>
        <v/>
      </c>
      <c r="N4102" s="66" t="str">
        <f aca="false">IF($L4102="","",IFERROR(INDEX(记账规则!$A$13:$H$32,MATCH(资金流水!$E454,记账规则!$A$13:$A$32,0),5),""))</f>
        <v/>
      </c>
      <c r="O4102" s="67" t="n">
        <f aca="false">IF($H4102="",0,ROUND(IF($N4102="金额",N(资金流水!$P454),0),2))</f>
        <v>0</v>
      </c>
      <c r="P4102" s="64" t="str">
        <f aca="false">IF(AND($H4102&lt;&gt;"",ROUND($O4102,2)&lt;&gt;0),"有","")</f>
        <v/>
      </c>
    </row>
    <row r="4103" customFormat="false" ht="15" hidden="true" customHeight="false" outlineLevel="0" collapsed="false">
      <c r="A4103" s="53" t="str">
        <f aca="false">IF($H4103="","",ROW()-5)</f>
        <v/>
      </c>
      <c r="B4103" s="64" t="s">
        <v>37</v>
      </c>
      <c r="C4103" s="53" t="n">
        <v>454</v>
      </c>
      <c r="D4103" s="53" t="n">
        <v>2</v>
      </c>
      <c r="E4103" s="65" t="str">
        <f aca="false">IF($H4103="","",资金流水!$B454)</f>
        <v/>
      </c>
      <c r="F4103" s="55" t="str">
        <f aca="false">IF($H4103="","",资金流水!$C454)</f>
        <v/>
      </c>
      <c r="G4103" s="48" t="str">
        <f aca="false">IF($H4103="","",资金流水!$K454)</f>
        <v/>
      </c>
      <c r="H4103" s="10" t="str">
        <f aca="false">IF($L4103="","",IF($L4103="@对方",资金流水!$G454,IF($L4103="@账户",资金流水!$Q454,$L4103)))</f>
        <v/>
      </c>
      <c r="I4103" s="42" t="n">
        <f aca="false">IF($M4103="借",$O4103,0)</f>
        <v>0</v>
      </c>
      <c r="J4103" s="42" t="n">
        <f aca="false">IF($M4103="贷",$O4103,0)</f>
        <v>0</v>
      </c>
      <c r="K4103" s="48" t="str">
        <f aca="false">IF($H4103="","",资金流水!$F454)</f>
        <v/>
      </c>
      <c r="L4103" s="66" t="str">
        <f aca="false">IF(资金流水!$E454="","",IFERROR(INDEX(记账规则!$A$13:$H$32,MATCH(资金流水!$E454,记账规则!$A$13:$A$32,0),6),""))</f>
        <v/>
      </c>
      <c r="M4103" s="66" t="str">
        <f aca="false">IF($L4103="","",IFERROR(INDEX(记账规则!$A$13:$H$32,MATCH(资金流水!$E454,记账规则!$A$13:$A$32,0),7),""))</f>
        <v/>
      </c>
      <c r="N4103" s="66" t="str">
        <f aca="false">IF($L4103="","",IFERROR(INDEX(记账规则!$A$13:$H$32,MATCH(资金流水!$E454,记账规则!$A$13:$A$32,0),8),""))</f>
        <v/>
      </c>
      <c r="O4103" s="67" t="n">
        <f aca="false">IF($H4103="",0,ROUND(IF($N4103="金额",N(资金流水!$P454),0),2))</f>
        <v>0</v>
      </c>
      <c r="P4103" s="64" t="str">
        <f aca="false">IF(AND($H4103&lt;&gt;"",ROUND($O4103,2)&lt;&gt;0),"有","")</f>
        <v/>
      </c>
    </row>
    <row r="4104" customFormat="false" ht="15" hidden="true" customHeight="false" outlineLevel="0" collapsed="false">
      <c r="A4104" s="53" t="str">
        <f aca="false">IF($H4104="","",ROW()-5)</f>
        <v/>
      </c>
      <c r="B4104" s="64" t="s">
        <v>37</v>
      </c>
      <c r="C4104" s="53" t="n">
        <v>455</v>
      </c>
      <c r="D4104" s="53" t="n">
        <v>1</v>
      </c>
      <c r="E4104" s="65" t="str">
        <f aca="false">IF($H4104="","",资金流水!$B455)</f>
        <v/>
      </c>
      <c r="F4104" s="55" t="str">
        <f aca="false">IF($H4104="","",资金流水!$C455)</f>
        <v/>
      </c>
      <c r="G4104" s="48" t="str">
        <f aca="false">IF($H4104="","",资金流水!$K455)</f>
        <v/>
      </c>
      <c r="H4104" s="10" t="str">
        <f aca="false">IF($L4104="","",IF($L4104="@对方",资金流水!$G455,IF($L4104="@账户",资金流水!$Q455,$L4104)))</f>
        <v/>
      </c>
      <c r="I4104" s="42" t="n">
        <f aca="false">IF($M4104="借",$O4104,0)</f>
        <v>0</v>
      </c>
      <c r="J4104" s="42" t="n">
        <f aca="false">IF($M4104="贷",$O4104,0)</f>
        <v>0</v>
      </c>
      <c r="K4104" s="48" t="str">
        <f aca="false">IF($H4104="","",资金流水!$F455)</f>
        <v/>
      </c>
      <c r="L4104" s="66" t="str">
        <f aca="false">IF(资金流水!$E455="","",IFERROR(INDEX(记账规则!$A$13:$H$32,MATCH(资金流水!$E455,记账规则!$A$13:$A$32,0),3),""))</f>
        <v/>
      </c>
      <c r="M4104" s="66" t="str">
        <f aca="false">IF($L4104="","",IFERROR(INDEX(记账规则!$A$13:$H$32,MATCH(资金流水!$E455,记账规则!$A$13:$A$32,0),4),""))</f>
        <v/>
      </c>
      <c r="N4104" s="66" t="str">
        <f aca="false">IF($L4104="","",IFERROR(INDEX(记账规则!$A$13:$H$32,MATCH(资金流水!$E455,记账规则!$A$13:$A$32,0),5),""))</f>
        <v/>
      </c>
      <c r="O4104" s="67" t="n">
        <f aca="false">IF($H4104="",0,ROUND(IF($N4104="金额",N(资金流水!$P455),0),2))</f>
        <v>0</v>
      </c>
      <c r="P4104" s="64" t="str">
        <f aca="false">IF(AND($H4104&lt;&gt;"",ROUND($O4104,2)&lt;&gt;0),"有","")</f>
        <v/>
      </c>
    </row>
    <row r="4105" customFormat="false" ht="15" hidden="true" customHeight="false" outlineLevel="0" collapsed="false">
      <c r="A4105" s="53" t="str">
        <f aca="false">IF($H4105="","",ROW()-5)</f>
        <v/>
      </c>
      <c r="B4105" s="64" t="s">
        <v>37</v>
      </c>
      <c r="C4105" s="53" t="n">
        <v>455</v>
      </c>
      <c r="D4105" s="53" t="n">
        <v>2</v>
      </c>
      <c r="E4105" s="65" t="str">
        <f aca="false">IF($H4105="","",资金流水!$B455)</f>
        <v/>
      </c>
      <c r="F4105" s="55" t="str">
        <f aca="false">IF($H4105="","",资金流水!$C455)</f>
        <v/>
      </c>
      <c r="G4105" s="48" t="str">
        <f aca="false">IF($H4105="","",资金流水!$K455)</f>
        <v/>
      </c>
      <c r="H4105" s="10" t="str">
        <f aca="false">IF($L4105="","",IF($L4105="@对方",资金流水!$G455,IF($L4105="@账户",资金流水!$Q455,$L4105)))</f>
        <v/>
      </c>
      <c r="I4105" s="42" t="n">
        <f aca="false">IF($M4105="借",$O4105,0)</f>
        <v>0</v>
      </c>
      <c r="J4105" s="42" t="n">
        <f aca="false">IF($M4105="贷",$O4105,0)</f>
        <v>0</v>
      </c>
      <c r="K4105" s="48" t="str">
        <f aca="false">IF($H4105="","",资金流水!$F455)</f>
        <v/>
      </c>
      <c r="L4105" s="66" t="str">
        <f aca="false">IF(资金流水!$E455="","",IFERROR(INDEX(记账规则!$A$13:$H$32,MATCH(资金流水!$E455,记账规则!$A$13:$A$32,0),6),""))</f>
        <v/>
      </c>
      <c r="M4105" s="66" t="str">
        <f aca="false">IF($L4105="","",IFERROR(INDEX(记账规则!$A$13:$H$32,MATCH(资金流水!$E455,记账规则!$A$13:$A$32,0),7),""))</f>
        <v/>
      </c>
      <c r="N4105" s="66" t="str">
        <f aca="false">IF($L4105="","",IFERROR(INDEX(记账规则!$A$13:$H$32,MATCH(资金流水!$E455,记账规则!$A$13:$A$32,0),8),""))</f>
        <v/>
      </c>
      <c r="O4105" s="67" t="n">
        <f aca="false">IF($H4105="",0,ROUND(IF($N4105="金额",N(资金流水!$P455),0),2))</f>
        <v>0</v>
      </c>
      <c r="P4105" s="64" t="str">
        <f aca="false">IF(AND($H4105&lt;&gt;"",ROUND($O4105,2)&lt;&gt;0),"有","")</f>
        <v/>
      </c>
    </row>
    <row r="4106" customFormat="false" ht="15" hidden="true" customHeight="false" outlineLevel="0" collapsed="false">
      <c r="A4106" s="53" t="str">
        <f aca="false">IF($H4106="","",ROW()-5)</f>
        <v/>
      </c>
      <c r="B4106" s="64" t="s">
        <v>37</v>
      </c>
      <c r="C4106" s="53" t="n">
        <v>456</v>
      </c>
      <c r="D4106" s="53" t="n">
        <v>1</v>
      </c>
      <c r="E4106" s="65" t="str">
        <f aca="false">IF($H4106="","",资金流水!$B456)</f>
        <v/>
      </c>
      <c r="F4106" s="55" t="str">
        <f aca="false">IF($H4106="","",资金流水!$C456)</f>
        <v/>
      </c>
      <c r="G4106" s="48" t="str">
        <f aca="false">IF($H4106="","",资金流水!$K456)</f>
        <v/>
      </c>
      <c r="H4106" s="10" t="str">
        <f aca="false">IF($L4106="","",IF($L4106="@对方",资金流水!$G456,IF($L4106="@账户",资金流水!$Q456,$L4106)))</f>
        <v/>
      </c>
      <c r="I4106" s="42" t="n">
        <f aca="false">IF($M4106="借",$O4106,0)</f>
        <v>0</v>
      </c>
      <c r="J4106" s="42" t="n">
        <f aca="false">IF($M4106="贷",$O4106,0)</f>
        <v>0</v>
      </c>
      <c r="K4106" s="48" t="str">
        <f aca="false">IF($H4106="","",资金流水!$F456)</f>
        <v/>
      </c>
      <c r="L4106" s="66" t="str">
        <f aca="false">IF(资金流水!$E456="","",IFERROR(INDEX(记账规则!$A$13:$H$32,MATCH(资金流水!$E456,记账规则!$A$13:$A$32,0),3),""))</f>
        <v/>
      </c>
      <c r="M4106" s="66" t="str">
        <f aca="false">IF($L4106="","",IFERROR(INDEX(记账规则!$A$13:$H$32,MATCH(资金流水!$E456,记账规则!$A$13:$A$32,0),4),""))</f>
        <v/>
      </c>
      <c r="N4106" s="66" t="str">
        <f aca="false">IF($L4106="","",IFERROR(INDEX(记账规则!$A$13:$H$32,MATCH(资金流水!$E456,记账规则!$A$13:$A$32,0),5),""))</f>
        <v/>
      </c>
      <c r="O4106" s="67" t="n">
        <f aca="false">IF($H4106="",0,ROUND(IF($N4106="金额",N(资金流水!$P456),0),2))</f>
        <v>0</v>
      </c>
      <c r="P4106" s="64" t="str">
        <f aca="false">IF(AND($H4106&lt;&gt;"",ROUND($O4106,2)&lt;&gt;0),"有","")</f>
        <v/>
      </c>
    </row>
    <row r="4107" customFormat="false" ht="15" hidden="true" customHeight="false" outlineLevel="0" collapsed="false">
      <c r="A4107" s="53" t="str">
        <f aca="false">IF($H4107="","",ROW()-5)</f>
        <v/>
      </c>
      <c r="B4107" s="64" t="s">
        <v>37</v>
      </c>
      <c r="C4107" s="53" t="n">
        <v>456</v>
      </c>
      <c r="D4107" s="53" t="n">
        <v>2</v>
      </c>
      <c r="E4107" s="65" t="str">
        <f aca="false">IF($H4107="","",资金流水!$B456)</f>
        <v/>
      </c>
      <c r="F4107" s="55" t="str">
        <f aca="false">IF($H4107="","",资金流水!$C456)</f>
        <v/>
      </c>
      <c r="G4107" s="48" t="str">
        <f aca="false">IF($H4107="","",资金流水!$K456)</f>
        <v/>
      </c>
      <c r="H4107" s="10" t="str">
        <f aca="false">IF($L4107="","",IF($L4107="@对方",资金流水!$G456,IF($L4107="@账户",资金流水!$Q456,$L4107)))</f>
        <v/>
      </c>
      <c r="I4107" s="42" t="n">
        <f aca="false">IF($M4107="借",$O4107,0)</f>
        <v>0</v>
      </c>
      <c r="J4107" s="42" t="n">
        <f aca="false">IF($M4107="贷",$O4107,0)</f>
        <v>0</v>
      </c>
      <c r="K4107" s="48" t="str">
        <f aca="false">IF($H4107="","",资金流水!$F456)</f>
        <v/>
      </c>
      <c r="L4107" s="66" t="str">
        <f aca="false">IF(资金流水!$E456="","",IFERROR(INDEX(记账规则!$A$13:$H$32,MATCH(资金流水!$E456,记账规则!$A$13:$A$32,0),6),""))</f>
        <v/>
      </c>
      <c r="M4107" s="66" t="str">
        <f aca="false">IF($L4107="","",IFERROR(INDEX(记账规则!$A$13:$H$32,MATCH(资金流水!$E456,记账规则!$A$13:$A$32,0),7),""))</f>
        <v/>
      </c>
      <c r="N4107" s="66" t="str">
        <f aca="false">IF($L4107="","",IFERROR(INDEX(记账规则!$A$13:$H$32,MATCH(资金流水!$E456,记账规则!$A$13:$A$32,0),8),""))</f>
        <v/>
      </c>
      <c r="O4107" s="67" t="n">
        <f aca="false">IF($H4107="",0,ROUND(IF($N4107="金额",N(资金流水!$P456),0),2))</f>
        <v>0</v>
      </c>
      <c r="P4107" s="64" t="str">
        <f aca="false">IF(AND($H4107&lt;&gt;"",ROUND($O4107,2)&lt;&gt;0),"有","")</f>
        <v/>
      </c>
    </row>
    <row r="4108" customFormat="false" ht="15" hidden="true" customHeight="false" outlineLevel="0" collapsed="false">
      <c r="A4108" s="53" t="str">
        <f aca="false">IF($H4108="","",ROW()-5)</f>
        <v/>
      </c>
      <c r="B4108" s="64" t="s">
        <v>37</v>
      </c>
      <c r="C4108" s="53" t="n">
        <v>457</v>
      </c>
      <c r="D4108" s="53" t="n">
        <v>1</v>
      </c>
      <c r="E4108" s="65" t="str">
        <f aca="false">IF($H4108="","",资金流水!$B457)</f>
        <v/>
      </c>
      <c r="F4108" s="55" t="str">
        <f aca="false">IF($H4108="","",资金流水!$C457)</f>
        <v/>
      </c>
      <c r="G4108" s="48" t="str">
        <f aca="false">IF($H4108="","",资金流水!$K457)</f>
        <v/>
      </c>
      <c r="H4108" s="10" t="str">
        <f aca="false">IF($L4108="","",IF($L4108="@对方",资金流水!$G457,IF($L4108="@账户",资金流水!$Q457,$L4108)))</f>
        <v/>
      </c>
      <c r="I4108" s="42" t="n">
        <f aca="false">IF($M4108="借",$O4108,0)</f>
        <v>0</v>
      </c>
      <c r="J4108" s="42" t="n">
        <f aca="false">IF($M4108="贷",$O4108,0)</f>
        <v>0</v>
      </c>
      <c r="K4108" s="48" t="str">
        <f aca="false">IF($H4108="","",资金流水!$F457)</f>
        <v/>
      </c>
      <c r="L4108" s="66" t="str">
        <f aca="false">IF(资金流水!$E457="","",IFERROR(INDEX(记账规则!$A$13:$H$32,MATCH(资金流水!$E457,记账规则!$A$13:$A$32,0),3),""))</f>
        <v/>
      </c>
      <c r="M4108" s="66" t="str">
        <f aca="false">IF($L4108="","",IFERROR(INDEX(记账规则!$A$13:$H$32,MATCH(资金流水!$E457,记账规则!$A$13:$A$32,0),4),""))</f>
        <v/>
      </c>
      <c r="N4108" s="66" t="str">
        <f aca="false">IF($L4108="","",IFERROR(INDEX(记账规则!$A$13:$H$32,MATCH(资金流水!$E457,记账规则!$A$13:$A$32,0),5),""))</f>
        <v/>
      </c>
      <c r="O4108" s="67" t="n">
        <f aca="false">IF($H4108="",0,ROUND(IF($N4108="金额",N(资金流水!$P457),0),2))</f>
        <v>0</v>
      </c>
      <c r="P4108" s="64" t="str">
        <f aca="false">IF(AND($H4108&lt;&gt;"",ROUND($O4108,2)&lt;&gt;0),"有","")</f>
        <v/>
      </c>
    </row>
    <row r="4109" customFormat="false" ht="15" hidden="true" customHeight="false" outlineLevel="0" collapsed="false">
      <c r="A4109" s="53" t="str">
        <f aca="false">IF($H4109="","",ROW()-5)</f>
        <v/>
      </c>
      <c r="B4109" s="64" t="s">
        <v>37</v>
      </c>
      <c r="C4109" s="53" t="n">
        <v>457</v>
      </c>
      <c r="D4109" s="53" t="n">
        <v>2</v>
      </c>
      <c r="E4109" s="65" t="str">
        <f aca="false">IF($H4109="","",资金流水!$B457)</f>
        <v/>
      </c>
      <c r="F4109" s="55" t="str">
        <f aca="false">IF($H4109="","",资金流水!$C457)</f>
        <v/>
      </c>
      <c r="G4109" s="48" t="str">
        <f aca="false">IF($H4109="","",资金流水!$K457)</f>
        <v/>
      </c>
      <c r="H4109" s="10" t="str">
        <f aca="false">IF($L4109="","",IF($L4109="@对方",资金流水!$G457,IF($L4109="@账户",资金流水!$Q457,$L4109)))</f>
        <v/>
      </c>
      <c r="I4109" s="42" t="n">
        <f aca="false">IF($M4109="借",$O4109,0)</f>
        <v>0</v>
      </c>
      <c r="J4109" s="42" t="n">
        <f aca="false">IF($M4109="贷",$O4109,0)</f>
        <v>0</v>
      </c>
      <c r="K4109" s="48" t="str">
        <f aca="false">IF($H4109="","",资金流水!$F457)</f>
        <v/>
      </c>
      <c r="L4109" s="66" t="str">
        <f aca="false">IF(资金流水!$E457="","",IFERROR(INDEX(记账规则!$A$13:$H$32,MATCH(资金流水!$E457,记账规则!$A$13:$A$32,0),6),""))</f>
        <v/>
      </c>
      <c r="M4109" s="66" t="str">
        <f aca="false">IF($L4109="","",IFERROR(INDEX(记账规则!$A$13:$H$32,MATCH(资金流水!$E457,记账规则!$A$13:$A$32,0),7),""))</f>
        <v/>
      </c>
      <c r="N4109" s="66" t="str">
        <f aca="false">IF($L4109="","",IFERROR(INDEX(记账规则!$A$13:$H$32,MATCH(资金流水!$E457,记账规则!$A$13:$A$32,0),8),""))</f>
        <v/>
      </c>
      <c r="O4109" s="67" t="n">
        <f aca="false">IF($H4109="",0,ROUND(IF($N4109="金额",N(资金流水!$P457),0),2))</f>
        <v>0</v>
      </c>
      <c r="P4109" s="64" t="str">
        <f aca="false">IF(AND($H4109&lt;&gt;"",ROUND($O4109,2)&lt;&gt;0),"有","")</f>
        <v/>
      </c>
    </row>
    <row r="4110" customFormat="false" ht="15" hidden="true" customHeight="false" outlineLevel="0" collapsed="false">
      <c r="A4110" s="53" t="str">
        <f aca="false">IF($H4110="","",ROW()-5)</f>
        <v/>
      </c>
      <c r="B4110" s="64" t="s">
        <v>37</v>
      </c>
      <c r="C4110" s="53" t="n">
        <v>458</v>
      </c>
      <c r="D4110" s="53" t="n">
        <v>1</v>
      </c>
      <c r="E4110" s="65" t="str">
        <f aca="false">IF($H4110="","",资金流水!$B458)</f>
        <v/>
      </c>
      <c r="F4110" s="55" t="str">
        <f aca="false">IF($H4110="","",资金流水!$C458)</f>
        <v/>
      </c>
      <c r="G4110" s="48" t="str">
        <f aca="false">IF($H4110="","",资金流水!$K458)</f>
        <v/>
      </c>
      <c r="H4110" s="10" t="str">
        <f aca="false">IF($L4110="","",IF($L4110="@对方",资金流水!$G458,IF($L4110="@账户",资金流水!$Q458,$L4110)))</f>
        <v/>
      </c>
      <c r="I4110" s="42" t="n">
        <f aca="false">IF($M4110="借",$O4110,0)</f>
        <v>0</v>
      </c>
      <c r="J4110" s="42" t="n">
        <f aca="false">IF($M4110="贷",$O4110,0)</f>
        <v>0</v>
      </c>
      <c r="K4110" s="48" t="str">
        <f aca="false">IF($H4110="","",资金流水!$F458)</f>
        <v/>
      </c>
      <c r="L4110" s="66" t="str">
        <f aca="false">IF(资金流水!$E458="","",IFERROR(INDEX(记账规则!$A$13:$H$32,MATCH(资金流水!$E458,记账规则!$A$13:$A$32,0),3),""))</f>
        <v/>
      </c>
      <c r="M4110" s="66" t="str">
        <f aca="false">IF($L4110="","",IFERROR(INDEX(记账规则!$A$13:$H$32,MATCH(资金流水!$E458,记账规则!$A$13:$A$32,0),4),""))</f>
        <v/>
      </c>
      <c r="N4110" s="66" t="str">
        <f aca="false">IF($L4110="","",IFERROR(INDEX(记账规则!$A$13:$H$32,MATCH(资金流水!$E458,记账规则!$A$13:$A$32,0),5),""))</f>
        <v/>
      </c>
      <c r="O4110" s="67" t="n">
        <f aca="false">IF($H4110="",0,ROUND(IF($N4110="金额",N(资金流水!$P458),0),2))</f>
        <v>0</v>
      </c>
      <c r="P4110" s="64" t="str">
        <f aca="false">IF(AND($H4110&lt;&gt;"",ROUND($O4110,2)&lt;&gt;0),"有","")</f>
        <v/>
      </c>
    </row>
    <row r="4111" customFormat="false" ht="15" hidden="true" customHeight="false" outlineLevel="0" collapsed="false">
      <c r="A4111" s="53" t="str">
        <f aca="false">IF($H4111="","",ROW()-5)</f>
        <v/>
      </c>
      <c r="B4111" s="64" t="s">
        <v>37</v>
      </c>
      <c r="C4111" s="53" t="n">
        <v>458</v>
      </c>
      <c r="D4111" s="53" t="n">
        <v>2</v>
      </c>
      <c r="E4111" s="65" t="str">
        <f aca="false">IF($H4111="","",资金流水!$B458)</f>
        <v/>
      </c>
      <c r="F4111" s="55" t="str">
        <f aca="false">IF($H4111="","",资金流水!$C458)</f>
        <v/>
      </c>
      <c r="G4111" s="48" t="str">
        <f aca="false">IF($H4111="","",资金流水!$K458)</f>
        <v/>
      </c>
      <c r="H4111" s="10" t="str">
        <f aca="false">IF($L4111="","",IF($L4111="@对方",资金流水!$G458,IF($L4111="@账户",资金流水!$Q458,$L4111)))</f>
        <v/>
      </c>
      <c r="I4111" s="42" t="n">
        <f aca="false">IF($M4111="借",$O4111,0)</f>
        <v>0</v>
      </c>
      <c r="J4111" s="42" t="n">
        <f aca="false">IF($M4111="贷",$O4111,0)</f>
        <v>0</v>
      </c>
      <c r="K4111" s="48" t="str">
        <f aca="false">IF($H4111="","",资金流水!$F458)</f>
        <v/>
      </c>
      <c r="L4111" s="66" t="str">
        <f aca="false">IF(资金流水!$E458="","",IFERROR(INDEX(记账规则!$A$13:$H$32,MATCH(资金流水!$E458,记账规则!$A$13:$A$32,0),6),""))</f>
        <v/>
      </c>
      <c r="M4111" s="66" t="str">
        <f aca="false">IF($L4111="","",IFERROR(INDEX(记账规则!$A$13:$H$32,MATCH(资金流水!$E458,记账规则!$A$13:$A$32,0),7),""))</f>
        <v/>
      </c>
      <c r="N4111" s="66" t="str">
        <f aca="false">IF($L4111="","",IFERROR(INDEX(记账规则!$A$13:$H$32,MATCH(资金流水!$E458,记账规则!$A$13:$A$32,0),8),""))</f>
        <v/>
      </c>
      <c r="O4111" s="67" t="n">
        <f aca="false">IF($H4111="",0,ROUND(IF($N4111="金额",N(资金流水!$P458),0),2))</f>
        <v>0</v>
      </c>
      <c r="P4111" s="64" t="str">
        <f aca="false">IF(AND($H4111&lt;&gt;"",ROUND($O4111,2)&lt;&gt;0),"有","")</f>
        <v/>
      </c>
    </row>
    <row r="4112" customFormat="false" ht="15" hidden="true" customHeight="false" outlineLevel="0" collapsed="false">
      <c r="A4112" s="53" t="str">
        <f aca="false">IF($H4112="","",ROW()-5)</f>
        <v/>
      </c>
      <c r="B4112" s="64" t="s">
        <v>37</v>
      </c>
      <c r="C4112" s="53" t="n">
        <v>459</v>
      </c>
      <c r="D4112" s="53" t="n">
        <v>1</v>
      </c>
      <c r="E4112" s="65" t="str">
        <f aca="false">IF($H4112="","",资金流水!$B459)</f>
        <v/>
      </c>
      <c r="F4112" s="55" t="str">
        <f aca="false">IF($H4112="","",资金流水!$C459)</f>
        <v/>
      </c>
      <c r="G4112" s="48" t="str">
        <f aca="false">IF($H4112="","",资金流水!$K459)</f>
        <v/>
      </c>
      <c r="H4112" s="10" t="str">
        <f aca="false">IF($L4112="","",IF($L4112="@对方",资金流水!$G459,IF($L4112="@账户",资金流水!$Q459,$L4112)))</f>
        <v/>
      </c>
      <c r="I4112" s="42" t="n">
        <f aca="false">IF($M4112="借",$O4112,0)</f>
        <v>0</v>
      </c>
      <c r="J4112" s="42" t="n">
        <f aca="false">IF($M4112="贷",$O4112,0)</f>
        <v>0</v>
      </c>
      <c r="K4112" s="48" t="str">
        <f aca="false">IF($H4112="","",资金流水!$F459)</f>
        <v/>
      </c>
      <c r="L4112" s="66" t="str">
        <f aca="false">IF(资金流水!$E459="","",IFERROR(INDEX(记账规则!$A$13:$H$32,MATCH(资金流水!$E459,记账规则!$A$13:$A$32,0),3),""))</f>
        <v/>
      </c>
      <c r="M4112" s="66" t="str">
        <f aca="false">IF($L4112="","",IFERROR(INDEX(记账规则!$A$13:$H$32,MATCH(资金流水!$E459,记账规则!$A$13:$A$32,0),4),""))</f>
        <v/>
      </c>
      <c r="N4112" s="66" t="str">
        <f aca="false">IF($L4112="","",IFERROR(INDEX(记账规则!$A$13:$H$32,MATCH(资金流水!$E459,记账规则!$A$13:$A$32,0),5),""))</f>
        <v/>
      </c>
      <c r="O4112" s="67" t="n">
        <f aca="false">IF($H4112="",0,ROUND(IF($N4112="金额",N(资金流水!$P459),0),2))</f>
        <v>0</v>
      </c>
      <c r="P4112" s="64" t="str">
        <f aca="false">IF(AND($H4112&lt;&gt;"",ROUND($O4112,2)&lt;&gt;0),"有","")</f>
        <v/>
      </c>
    </row>
    <row r="4113" customFormat="false" ht="15" hidden="true" customHeight="false" outlineLevel="0" collapsed="false">
      <c r="A4113" s="53" t="str">
        <f aca="false">IF($H4113="","",ROW()-5)</f>
        <v/>
      </c>
      <c r="B4113" s="64" t="s">
        <v>37</v>
      </c>
      <c r="C4113" s="53" t="n">
        <v>459</v>
      </c>
      <c r="D4113" s="53" t="n">
        <v>2</v>
      </c>
      <c r="E4113" s="65" t="str">
        <f aca="false">IF($H4113="","",资金流水!$B459)</f>
        <v/>
      </c>
      <c r="F4113" s="55" t="str">
        <f aca="false">IF($H4113="","",资金流水!$C459)</f>
        <v/>
      </c>
      <c r="G4113" s="48" t="str">
        <f aca="false">IF($H4113="","",资金流水!$K459)</f>
        <v/>
      </c>
      <c r="H4113" s="10" t="str">
        <f aca="false">IF($L4113="","",IF($L4113="@对方",资金流水!$G459,IF($L4113="@账户",资金流水!$Q459,$L4113)))</f>
        <v/>
      </c>
      <c r="I4113" s="42" t="n">
        <f aca="false">IF($M4113="借",$O4113,0)</f>
        <v>0</v>
      </c>
      <c r="J4113" s="42" t="n">
        <f aca="false">IF($M4113="贷",$O4113,0)</f>
        <v>0</v>
      </c>
      <c r="K4113" s="48" t="str">
        <f aca="false">IF($H4113="","",资金流水!$F459)</f>
        <v/>
      </c>
      <c r="L4113" s="66" t="str">
        <f aca="false">IF(资金流水!$E459="","",IFERROR(INDEX(记账规则!$A$13:$H$32,MATCH(资金流水!$E459,记账规则!$A$13:$A$32,0),6),""))</f>
        <v/>
      </c>
      <c r="M4113" s="66" t="str">
        <f aca="false">IF($L4113="","",IFERROR(INDEX(记账规则!$A$13:$H$32,MATCH(资金流水!$E459,记账规则!$A$13:$A$32,0),7),""))</f>
        <v/>
      </c>
      <c r="N4113" s="66" t="str">
        <f aca="false">IF($L4113="","",IFERROR(INDEX(记账规则!$A$13:$H$32,MATCH(资金流水!$E459,记账规则!$A$13:$A$32,0),8),""))</f>
        <v/>
      </c>
      <c r="O4113" s="67" t="n">
        <f aca="false">IF($H4113="",0,ROUND(IF($N4113="金额",N(资金流水!$P459),0),2))</f>
        <v>0</v>
      </c>
      <c r="P4113" s="64" t="str">
        <f aca="false">IF(AND($H4113&lt;&gt;"",ROUND($O4113,2)&lt;&gt;0),"有","")</f>
        <v/>
      </c>
    </row>
    <row r="4114" customFormat="false" ht="15" hidden="true" customHeight="false" outlineLevel="0" collapsed="false">
      <c r="A4114" s="53" t="str">
        <f aca="false">IF($H4114="","",ROW()-5)</f>
        <v/>
      </c>
      <c r="B4114" s="64" t="s">
        <v>37</v>
      </c>
      <c r="C4114" s="53" t="n">
        <v>460</v>
      </c>
      <c r="D4114" s="53" t="n">
        <v>1</v>
      </c>
      <c r="E4114" s="65" t="str">
        <f aca="false">IF($H4114="","",资金流水!$B460)</f>
        <v/>
      </c>
      <c r="F4114" s="55" t="str">
        <f aca="false">IF($H4114="","",资金流水!$C460)</f>
        <v/>
      </c>
      <c r="G4114" s="48" t="str">
        <f aca="false">IF($H4114="","",资金流水!$K460)</f>
        <v/>
      </c>
      <c r="H4114" s="10" t="str">
        <f aca="false">IF($L4114="","",IF($L4114="@对方",资金流水!$G460,IF($L4114="@账户",资金流水!$Q460,$L4114)))</f>
        <v/>
      </c>
      <c r="I4114" s="42" t="n">
        <f aca="false">IF($M4114="借",$O4114,0)</f>
        <v>0</v>
      </c>
      <c r="J4114" s="42" t="n">
        <f aca="false">IF($M4114="贷",$O4114,0)</f>
        <v>0</v>
      </c>
      <c r="K4114" s="48" t="str">
        <f aca="false">IF($H4114="","",资金流水!$F460)</f>
        <v/>
      </c>
      <c r="L4114" s="66" t="str">
        <f aca="false">IF(资金流水!$E460="","",IFERROR(INDEX(记账规则!$A$13:$H$32,MATCH(资金流水!$E460,记账规则!$A$13:$A$32,0),3),""))</f>
        <v/>
      </c>
      <c r="M4114" s="66" t="str">
        <f aca="false">IF($L4114="","",IFERROR(INDEX(记账规则!$A$13:$H$32,MATCH(资金流水!$E460,记账规则!$A$13:$A$32,0),4),""))</f>
        <v/>
      </c>
      <c r="N4114" s="66" t="str">
        <f aca="false">IF($L4114="","",IFERROR(INDEX(记账规则!$A$13:$H$32,MATCH(资金流水!$E460,记账规则!$A$13:$A$32,0),5),""))</f>
        <v/>
      </c>
      <c r="O4114" s="67" t="n">
        <f aca="false">IF($H4114="",0,ROUND(IF($N4114="金额",N(资金流水!$P460),0),2))</f>
        <v>0</v>
      </c>
      <c r="P4114" s="64" t="str">
        <f aca="false">IF(AND($H4114&lt;&gt;"",ROUND($O4114,2)&lt;&gt;0),"有","")</f>
        <v/>
      </c>
    </row>
    <row r="4115" customFormat="false" ht="15" hidden="true" customHeight="false" outlineLevel="0" collapsed="false">
      <c r="A4115" s="53" t="str">
        <f aca="false">IF($H4115="","",ROW()-5)</f>
        <v/>
      </c>
      <c r="B4115" s="64" t="s">
        <v>37</v>
      </c>
      <c r="C4115" s="53" t="n">
        <v>460</v>
      </c>
      <c r="D4115" s="53" t="n">
        <v>2</v>
      </c>
      <c r="E4115" s="65" t="str">
        <f aca="false">IF($H4115="","",资金流水!$B460)</f>
        <v/>
      </c>
      <c r="F4115" s="55" t="str">
        <f aca="false">IF($H4115="","",资金流水!$C460)</f>
        <v/>
      </c>
      <c r="G4115" s="48" t="str">
        <f aca="false">IF($H4115="","",资金流水!$K460)</f>
        <v/>
      </c>
      <c r="H4115" s="10" t="str">
        <f aca="false">IF($L4115="","",IF($L4115="@对方",资金流水!$G460,IF($L4115="@账户",资金流水!$Q460,$L4115)))</f>
        <v/>
      </c>
      <c r="I4115" s="42" t="n">
        <f aca="false">IF($M4115="借",$O4115,0)</f>
        <v>0</v>
      </c>
      <c r="J4115" s="42" t="n">
        <f aca="false">IF($M4115="贷",$O4115,0)</f>
        <v>0</v>
      </c>
      <c r="K4115" s="48" t="str">
        <f aca="false">IF($H4115="","",资金流水!$F460)</f>
        <v/>
      </c>
      <c r="L4115" s="66" t="str">
        <f aca="false">IF(资金流水!$E460="","",IFERROR(INDEX(记账规则!$A$13:$H$32,MATCH(资金流水!$E460,记账规则!$A$13:$A$32,0),6),""))</f>
        <v/>
      </c>
      <c r="M4115" s="66" t="str">
        <f aca="false">IF($L4115="","",IFERROR(INDEX(记账规则!$A$13:$H$32,MATCH(资金流水!$E460,记账规则!$A$13:$A$32,0),7),""))</f>
        <v/>
      </c>
      <c r="N4115" s="66" t="str">
        <f aca="false">IF($L4115="","",IFERROR(INDEX(记账规则!$A$13:$H$32,MATCH(资金流水!$E460,记账规则!$A$13:$A$32,0),8),""))</f>
        <v/>
      </c>
      <c r="O4115" s="67" t="n">
        <f aca="false">IF($H4115="",0,ROUND(IF($N4115="金额",N(资金流水!$P460),0),2))</f>
        <v>0</v>
      </c>
      <c r="P4115" s="64" t="str">
        <f aca="false">IF(AND($H4115&lt;&gt;"",ROUND($O4115,2)&lt;&gt;0),"有","")</f>
        <v/>
      </c>
    </row>
    <row r="4116" customFormat="false" ht="15" hidden="true" customHeight="false" outlineLevel="0" collapsed="false">
      <c r="A4116" s="53" t="str">
        <f aca="false">IF($H4116="","",ROW()-5)</f>
        <v/>
      </c>
      <c r="B4116" s="64" t="s">
        <v>37</v>
      </c>
      <c r="C4116" s="53" t="n">
        <v>461</v>
      </c>
      <c r="D4116" s="53" t="n">
        <v>1</v>
      </c>
      <c r="E4116" s="65" t="str">
        <f aca="false">IF($H4116="","",资金流水!$B461)</f>
        <v/>
      </c>
      <c r="F4116" s="55" t="str">
        <f aca="false">IF($H4116="","",资金流水!$C461)</f>
        <v/>
      </c>
      <c r="G4116" s="48" t="str">
        <f aca="false">IF($H4116="","",资金流水!$K461)</f>
        <v/>
      </c>
      <c r="H4116" s="10" t="str">
        <f aca="false">IF($L4116="","",IF($L4116="@对方",资金流水!$G461,IF($L4116="@账户",资金流水!$Q461,$L4116)))</f>
        <v/>
      </c>
      <c r="I4116" s="42" t="n">
        <f aca="false">IF($M4116="借",$O4116,0)</f>
        <v>0</v>
      </c>
      <c r="J4116" s="42" t="n">
        <f aca="false">IF($M4116="贷",$O4116,0)</f>
        <v>0</v>
      </c>
      <c r="K4116" s="48" t="str">
        <f aca="false">IF($H4116="","",资金流水!$F461)</f>
        <v/>
      </c>
      <c r="L4116" s="66" t="str">
        <f aca="false">IF(资金流水!$E461="","",IFERROR(INDEX(记账规则!$A$13:$H$32,MATCH(资金流水!$E461,记账规则!$A$13:$A$32,0),3),""))</f>
        <v/>
      </c>
      <c r="M4116" s="66" t="str">
        <f aca="false">IF($L4116="","",IFERROR(INDEX(记账规则!$A$13:$H$32,MATCH(资金流水!$E461,记账规则!$A$13:$A$32,0),4),""))</f>
        <v/>
      </c>
      <c r="N4116" s="66" t="str">
        <f aca="false">IF($L4116="","",IFERROR(INDEX(记账规则!$A$13:$H$32,MATCH(资金流水!$E461,记账规则!$A$13:$A$32,0),5),""))</f>
        <v/>
      </c>
      <c r="O4116" s="67" t="n">
        <f aca="false">IF($H4116="",0,ROUND(IF($N4116="金额",N(资金流水!$P461),0),2))</f>
        <v>0</v>
      </c>
      <c r="P4116" s="64" t="str">
        <f aca="false">IF(AND($H4116&lt;&gt;"",ROUND($O4116,2)&lt;&gt;0),"有","")</f>
        <v/>
      </c>
    </row>
    <row r="4117" customFormat="false" ht="15" hidden="true" customHeight="false" outlineLevel="0" collapsed="false">
      <c r="A4117" s="53" t="str">
        <f aca="false">IF($H4117="","",ROW()-5)</f>
        <v/>
      </c>
      <c r="B4117" s="64" t="s">
        <v>37</v>
      </c>
      <c r="C4117" s="53" t="n">
        <v>461</v>
      </c>
      <c r="D4117" s="53" t="n">
        <v>2</v>
      </c>
      <c r="E4117" s="65" t="str">
        <f aca="false">IF($H4117="","",资金流水!$B461)</f>
        <v/>
      </c>
      <c r="F4117" s="55" t="str">
        <f aca="false">IF($H4117="","",资金流水!$C461)</f>
        <v/>
      </c>
      <c r="G4117" s="48" t="str">
        <f aca="false">IF($H4117="","",资金流水!$K461)</f>
        <v/>
      </c>
      <c r="H4117" s="10" t="str">
        <f aca="false">IF($L4117="","",IF($L4117="@对方",资金流水!$G461,IF($L4117="@账户",资金流水!$Q461,$L4117)))</f>
        <v/>
      </c>
      <c r="I4117" s="42" t="n">
        <f aca="false">IF($M4117="借",$O4117,0)</f>
        <v>0</v>
      </c>
      <c r="J4117" s="42" t="n">
        <f aca="false">IF($M4117="贷",$O4117,0)</f>
        <v>0</v>
      </c>
      <c r="K4117" s="48" t="str">
        <f aca="false">IF($H4117="","",资金流水!$F461)</f>
        <v/>
      </c>
      <c r="L4117" s="66" t="str">
        <f aca="false">IF(资金流水!$E461="","",IFERROR(INDEX(记账规则!$A$13:$H$32,MATCH(资金流水!$E461,记账规则!$A$13:$A$32,0),6),""))</f>
        <v/>
      </c>
      <c r="M4117" s="66" t="str">
        <f aca="false">IF($L4117="","",IFERROR(INDEX(记账规则!$A$13:$H$32,MATCH(资金流水!$E461,记账规则!$A$13:$A$32,0),7),""))</f>
        <v/>
      </c>
      <c r="N4117" s="66" t="str">
        <f aca="false">IF($L4117="","",IFERROR(INDEX(记账规则!$A$13:$H$32,MATCH(资金流水!$E461,记账规则!$A$13:$A$32,0),8),""))</f>
        <v/>
      </c>
      <c r="O4117" s="67" t="n">
        <f aca="false">IF($H4117="",0,ROUND(IF($N4117="金额",N(资金流水!$P461),0),2))</f>
        <v>0</v>
      </c>
      <c r="P4117" s="64" t="str">
        <f aca="false">IF(AND($H4117&lt;&gt;"",ROUND($O4117,2)&lt;&gt;0),"有","")</f>
        <v/>
      </c>
    </row>
    <row r="4118" customFormat="false" ht="15" hidden="true" customHeight="false" outlineLevel="0" collapsed="false">
      <c r="A4118" s="53" t="str">
        <f aca="false">IF($H4118="","",ROW()-5)</f>
        <v/>
      </c>
      <c r="B4118" s="64" t="s">
        <v>37</v>
      </c>
      <c r="C4118" s="53" t="n">
        <v>462</v>
      </c>
      <c r="D4118" s="53" t="n">
        <v>1</v>
      </c>
      <c r="E4118" s="65" t="str">
        <f aca="false">IF($H4118="","",资金流水!$B462)</f>
        <v/>
      </c>
      <c r="F4118" s="55" t="str">
        <f aca="false">IF($H4118="","",资金流水!$C462)</f>
        <v/>
      </c>
      <c r="G4118" s="48" t="str">
        <f aca="false">IF($H4118="","",资金流水!$K462)</f>
        <v/>
      </c>
      <c r="H4118" s="10" t="str">
        <f aca="false">IF($L4118="","",IF($L4118="@对方",资金流水!$G462,IF($L4118="@账户",资金流水!$Q462,$L4118)))</f>
        <v/>
      </c>
      <c r="I4118" s="42" t="n">
        <f aca="false">IF($M4118="借",$O4118,0)</f>
        <v>0</v>
      </c>
      <c r="J4118" s="42" t="n">
        <f aca="false">IF($M4118="贷",$O4118,0)</f>
        <v>0</v>
      </c>
      <c r="K4118" s="48" t="str">
        <f aca="false">IF($H4118="","",资金流水!$F462)</f>
        <v/>
      </c>
      <c r="L4118" s="66" t="str">
        <f aca="false">IF(资金流水!$E462="","",IFERROR(INDEX(记账规则!$A$13:$H$32,MATCH(资金流水!$E462,记账规则!$A$13:$A$32,0),3),""))</f>
        <v/>
      </c>
      <c r="M4118" s="66" t="str">
        <f aca="false">IF($L4118="","",IFERROR(INDEX(记账规则!$A$13:$H$32,MATCH(资金流水!$E462,记账规则!$A$13:$A$32,0),4),""))</f>
        <v/>
      </c>
      <c r="N4118" s="66" t="str">
        <f aca="false">IF($L4118="","",IFERROR(INDEX(记账规则!$A$13:$H$32,MATCH(资金流水!$E462,记账规则!$A$13:$A$32,0),5),""))</f>
        <v/>
      </c>
      <c r="O4118" s="67" t="n">
        <f aca="false">IF($H4118="",0,ROUND(IF($N4118="金额",N(资金流水!$P462),0),2))</f>
        <v>0</v>
      </c>
      <c r="P4118" s="64" t="str">
        <f aca="false">IF(AND($H4118&lt;&gt;"",ROUND($O4118,2)&lt;&gt;0),"有","")</f>
        <v/>
      </c>
    </row>
    <row r="4119" customFormat="false" ht="15" hidden="true" customHeight="false" outlineLevel="0" collapsed="false">
      <c r="A4119" s="53" t="str">
        <f aca="false">IF($H4119="","",ROW()-5)</f>
        <v/>
      </c>
      <c r="B4119" s="64" t="s">
        <v>37</v>
      </c>
      <c r="C4119" s="53" t="n">
        <v>462</v>
      </c>
      <c r="D4119" s="53" t="n">
        <v>2</v>
      </c>
      <c r="E4119" s="65" t="str">
        <f aca="false">IF($H4119="","",资金流水!$B462)</f>
        <v/>
      </c>
      <c r="F4119" s="55" t="str">
        <f aca="false">IF($H4119="","",资金流水!$C462)</f>
        <v/>
      </c>
      <c r="G4119" s="48" t="str">
        <f aca="false">IF($H4119="","",资金流水!$K462)</f>
        <v/>
      </c>
      <c r="H4119" s="10" t="str">
        <f aca="false">IF($L4119="","",IF($L4119="@对方",资金流水!$G462,IF($L4119="@账户",资金流水!$Q462,$L4119)))</f>
        <v/>
      </c>
      <c r="I4119" s="42" t="n">
        <f aca="false">IF($M4119="借",$O4119,0)</f>
        <v>0</v>
      </c>
      <c r="J4119" s="42" t="n">
        <f aca="false">IF($M4119="贷",$O4119,0)</f>
        <v>0</v>
      </c>
      <c r="K4119" s="48" t="str">
        <f aca="false">IF($H4119="","",资金流水!$F462)</f>
        <v/>
      </c>
      <c r="L4119" s="66" t="str">
        <f aca="false">IF(资金流水!$E462="","",IFERROR(INDEX(记账规则!$A$13:$H$32,MATCH(资金流水!$E462,记账规则!$A$13:$A$32,0),6),""))</f>
        <v/>
      </c>
      <c r="M4119" s="66" t="str">
        <f aca="false">IF($L4119="","",IFERROR(INDEX(记账规则!$A$13:$H$32,MATCH(资金流水!$E462,记账规则!$A$13:$A$32,0),7),""))</f>
        <v/>
      </c>
      <c r="N4119" s="66" t="str">
        <f aca="false">IF($L4119="","",IFERROR(INDEX(记账规则!$A$13:$H$32,MATCH(资金流水!$E462,记账规则!$A$13:$A$32,0),8),""))</f>
        <v/>
      </c>
      <c r="O4119" s="67" t="n">
        <f aca="false">IF($H4119="",0,ROUND(IF($N4119="金额",N(资金流水!$P462),0),2))</f>
        <v>0</v>
      </c>
      <c r="P4119" s="64" t="str">
        <f aca="false">IF(AND($H4119&lt;&gt;"",ROUND($O4119,2)&lt;&gt;0),"有","")</f>
        <v/>
      </c>
    </row>
    <row r="4120" customFormat="false" ht="15" hidden="true" customHeight="false" outlineLevel="0" collapsed="false">
      <c r="A4120" s="53" t="str">
        <f aca="false">IF($H4120="","",ROW()-5)</f>
        <v/>
      </c>
      <c r="B4120" s="64" t="s">
        <v>37</v>
      </c>
      <c r="C4120" s="53" t="n">
        <v>463</v>
      </c>
      <c r="D4120" s="53" t="n">
        <v>1</v>
      </c>
      <c r="E4120" s="65" t="str">
        <f aca="false">IF($H4120="","",资金流水!$B463)</f>
        <v/>
      </c>
      <c r="F4120" s="55" t="str">
        <f aca="false">IF($H4120="","",资金流水!$C463)</f>
        <v/>
      </c>
      <c r="G4120" s="48" t="str">
        <f aca="false">IF($H4120="","",资金流水!$K463)</f>
        <v/>
      </c>
      <c r="H4120" s="10" t="str">
        <f aca="false">IF($L4120="","",IF($L4120="@对方",资金流水!$G463,IF($L4120="@账户",资金流水!$Q463,$L4120)))</f>
        <v/>
      </c>
      <c r="I4120" s="42" t="n">
        <f aca="false">IF($M4120="借",$O4120,0)</f>
        <v>0</v>
      </c>
      <c r="J4120" s="42" t="n">
        <f aca="false">IF($M4120="贷",$O4120,0)</f>
        <v>0</v>
      </c>
      <c r="K4120" s="48" t="str">
        <f aca="false">IF($H4120="","",资金流水!$F463)</f>
        <v/>
      </c>
      <c r="L4120" s="66" t="str">
        <f aca="false">IF(资金流水!$E463="","",IFERROR(INDEX(记账规则!$A$13:$H$32,MATCH(资金流水!$E463,记账规则!$A$13:$A$32,0),3),""))</f>
        <v/>
      </c>
      <c r="M4120" s="66" t="str">
        <f aca="false">IF($L4120="","",IFERROR(INDEX(记账规则!$A$13:$H$32,MATCH(资金流水!$E463,记账规则!$A$13:$A$32,0),4),""))</f>
        <v/>
      </c>
      <c r="N4120" s="66" t="str">
        <f aca="false">IF($L4120="","",IFERROR(INDEX(记账规则!$A$13:$H$32,MATCH(资金流水!$E463,记账规则!$A$13:$A$32,0),5),""))</f>
        <v/>
      </c>
      <c r="O4120" s="67" t="n">
        <f aca="false">IF($H4120="",0,ROUND(IF($N4120="金额",N(资金流水!$P463),0),2))</f>
        <v>0</v>
      </c>
      <c r="P4120" s="64" t="str">
        <f aca="false">IF(AND($H4120&lt;&gt;"",ROUND($O4120,2)&lt;&gt;0),"有","")</f>
        <v/>
      </c>
    </row>
    <row r="4121" customFormat="false" ht="15" hidden="true" customHeight="false" outlineLevel="0" collapsed="false">
      <c r="A4121" s="53" t="str">
        <f aca="false">IF($H4121="","",ROW()-5)</f>
        <v/>
      </c>
      <c r="B4121" s="64" t="s">
        <v>37</v>
      </c>
      <c r="C4121" s="53" t="n">
        <v>463</v>
      </c>
      <c r="D4121" s="53" t="n">
        <v>2</v>
      </c>
      <c r="E4121" s="65" t="str">
        <f aca="false">IF($H4121="","",资金流水!$B463)</f>
        <v/>
      </c>
      <c r="F4121" s="55" t="str">
        <f aca="false">IF($H4121="","",资金流水!$C463)</f>
        <v/>
      </c>
      <c r="G4121" s="48" t="str">
        <f aca="false">IF($H4121="","",资金流水!$K463)</f>
        <v/>
      </c>
      <c r="H4121" s="10" t="str">
        <f aca="false">IF($L4121="","",IF($L4121="@对方",资金流水!$G463,IF($L4121="@账户",资金流水!$Q463,$L4121)))</f>
        <v/>
      </c>
      <c r="I4121" s="42" t="n">
        <f aca="false">IF($M4121="借",$O4121,0)</f>
        <v>0</v>
      </c>
      <c r="J4121" s="42" t="n">
        <f aca="false">IF($M4121="贷",$O4121,0)</f>
        <v>0</v>
      </c>
      <c r="K4121" s="48" t="str">
        <f aca="false">IF($H4121="","",资金流水!$F463)</f>
        <v/>
      </c>
      <c r="L4121" s="66" t="str">
        <f aca="false">IF(资金流水!$E463="","",IFERROR(INDEX(记账规则!$A$13:$H$32,MATCH(资金流水!$E463,记账规则!$A$13:$A$32,0),6),""))</f>
        <v/>
      </c>
      <c r="M4121" s="66" t="str">
        <f aca="false">IF($L4121="","",IFERROR(INDEX(记账规则!$A$13:$H$32,MATCH(资金流水!$E463,记账规则!$A$13:$A$32,0),7),""))</f>
        <v/>
      </c>
      <c r="N4121" s="66" t="str">
        <f aca="false">IF($L4121="","",IFERROR(INDEX(记账规则!$A$13:$H$32,MATCH(资金流水!$E463,记账规则!$A$13:$A$32,0),8),""))</f>
        <v/>
      </c>
      <c r="O4121" s="67" t="n">
        <f aca="false">IF($H4121="",0,ROUND(IF($N4121="金额",N(资金流水!$P463),0),2))</f>
        <v>0</v>
      </c>
      <c r="P4121" s="64" t="str">
        <f aca="false">IF(AND($H4121&lt;&gt;"",ROUND($O4121,2)&lt;&gt;0),"有","")</f>
        <v/>
      </c>
    </row>
    <row r="4122" customFormat="false" ht="15" hidden="true" customHeight="false" outlineLevel="0" collapsed="false">
      <c r="A4122" s="53" t="str">
        <f aca="false">IF($H4122="","",ROW()-5)</f>
        <v/>
      </c>
      <c r="B4122" s="64" t="s">
        <v>37</v>
      </c>
      <c r="C4122" s="53" t="n">
        <v>464</v>
      </c>
      <c r="D4122" s="53" t="n">
        <v>1</v>
      </c>
      <c r="E4122" s="65" t="str">
        <f aca="false">IF($H4122="","",资金流水!$B464)</f>
        <v/>
      </c>
      <c r="F4122" s="55" t="str">
        <f aca="false">IF($H4122="","",资金流水!$C464)</f>
        <v/>
      </c>
      <c r="G4122" s="48" t="str">
        <f aca="false">IF($H4122="","",资金流水!$K464)</f>
        <v/>
      </c>
      <c r="H4122" s="10" t="str">
        <f aca="false">IF($L4122="","",IF($L4122="@对方",资金流水!$G464,IF($L4122="@账户",资金流水!$Q464,$L4122)))</f>
        <v/>
      </c>
      <c r="I4122" s="42" t="n">
        <f aca="false">IF($M4122="借",$O4122,0)</f>
        <v>0</v>
      </c>
      <c r="J4122" s="42" t="n">
        <f aca="false">IF($M4122="贷",$O4122,0)</f>
        <v>0</v>
      </c>
      <c r="K4122" s="48" t="str">
        <f aca="false">IF($H4122="","",资金流水!$F464)</f>
        <v/>
      </c>
      <c r="L4122" s="66" t="str">
        <f aca="false">IF(资金流水!$E464="","",IFERROR(INDEX(记账规则!$A$13:$H$32,MATCH(资金流水!$E464,记账规则!$A$13:$A$32,0),3),""))</f>
        <v/>
      </c>
      <c r="M4122" s="66" t="str">
        <f aca="false">IF($L4122="","",IFERROR(INDEX(记账规则!$A$13:$H$32,MATCH(资金流水!$E464,记账规则!$A$13:$A$32,0),4),""))</f>
        <v/>
      </c>
      <c r="N4122" s="66" t="str">
        <f aca="false">IF($L4122="","",IFERROR(INDEX(记账规则!$A$13:$H$32,MATCH(资金流水!$E464,记账规则!$A$13:$A$32,0),5),""))</f>
        <v/>
      </c>
      <c r="O4122" s="67" t="n">
        <f aca="false">IF($H4122="",0,ROUND(IF($N4122="金额",N(资金流水!$P464),0),2))</f>
        <v>0</v>
      </c>
      <c r="P4122" s="64" t="str">
        <f aca="false">IF(AND($H4122&lt;&gt;"",ROUND($O4122,2)&lt;&gt;0),"有","")</f>
        <v/>
      </c>
    </row>
    <row r="4123" customFormat="false" ht="15" hidden="true" customHeight="false" outlineLevel="0" collapsed="false">
      <c r="A4123" s="53" t="str">
        <f aca="false">IF($H4123="","",ROW()-5)</f>
        <v/>
      </c>
      <c r="B4123" s="64" t="s">
        <v>37</v>
      </c>
      <c r="C4123" s="53" t="n">
        <v>464</v>
      </c>
      <c r="D4123" s="53" t="n">
        <v>2</v>
      </c>
      <c r="E4123" s="65" t="str">
        <f aca="false">IF($H4123="","",资金流水!$B464)</f>
        <v/>
      </c>
      <c r="F4123" s="55" t="str">
        <f aca="false">IF($H4123="","",资金流水!$C464)</f>
        <v/>
      </c>
      <c r="G4123" s="48" t="str">
        <f aca="false">IF($H4123="","",资金流水!$K464)</f>
        <v/>
      </c>
      <c r="H4123" s="10" t="str">
        <f aca="false">IF($L4123="","",IF($L4123="@对方",资金流水!$G464,IF($L4123="@账户",资金流水!$Q464,$L4123)))</f>
        <v/>
      </c>
      <c r="I4123" s="42" t="n">
        <f aca="false">IF($M4123="借",$O4123,0)</f>
        <v>0</v>
      </c>
      <c r="J4123" s="42" t="n">
        <f aca="false">IF($M4123="贷",$O4123,0)</f>
        <v>0</v>
      </c>
      <c r="K4123" s="48" t="str">
        <f aca="false">IF($H4123="","",资金流水!$F464)</f>
        <v/>
      </c>
      <c r="L4123" s="66" t="str">
        <f aca="false">IF(资金流水!$E464="","",IFERROR(INDEX(记账规则!$A$13:$H$32,MATCH(资金流水!$E464,记账规则!$A$13:$A$32,0),6),""))</f>
        <v/>
      </c>
      <c r="M4123" s="66" t="str">
        <f aca="false">IF($L4123="","",IFERROR(INDEX(记账规则!$A$13:$H$32,MATCH(资金流水!$E464,记账规则!$A$13:$A$32,0),7),""))</f>
        <v/>
      </c>
      <c r="N4123" s="66" t="str">
        <f aca="false">IF($L4123="","",IFERROR(INDEX(记账规则!$A$13:$H$32,MATCH(资金流水!$E464,记账规则!$A$13:$A$32,0),8),""))</f>
        <v/>
      </c>
      <c r="O4123" s="67" t="n">
        <f aca="false">IF($H4123="",0,ROUND(IF($N4123="金额",N(资金流水!$P464),0),2))</f>
        <v>0</v>
      </c>
      <c r="P4123" s="64" t="str">
        <f aca="false">IF(AND($H4123&lt;&gt;"",ROUND($O4123,2)&lt;&gt;0),"有","")</f>
        <v/>
      </c>
    </row>
    <row r="4124" customFormat="false" ht="15" hidden="true" customHeight="false" outlineLevel="0" collapsed="false">
      <c r="A4124" s="53" t="str">
        <f aca="false">IF($H4124="","",ROW()-5)</f>
        <v/>
      </c>
      <c r="B4124" s="64" t="s">
        <v>37</v>
      </c>
      <c r="C4124" s="53" t="n">
        <v>465</v>
      </c>
      <c r="D4124" s="53" t="n">
        <v>1</v>
      </c>
      <c r="E4124" s="65" t="str">
        <f aca="false">IF($H4124="","",资金流水!$B465)</f>
        <v/>
      </c>
      <c r="F4124" s="55" t="str">
        <f aca="false">IF($H4124="","",资金流水!$C465)</f>
        <v/>
      </c>
      <c r="G4124" s="48" t="str">
        <f aca="false">IF($H4124="","",资金流水!$K465)</f>
        <v/>
      </c>
      <c r="H4124" s="10" t="str">
        <f aca="false">IF($L4124="","",IF($L4124="@对方",资金流水!$G465,IF($L4124="@账户",资金流水!$Q465,$L4124)))</f>
        <v/>
      </c>
      <c r="I4124" s="42" t="n">
        <f aca="false">IF($M4124="借",$O4124,0)</f>
        <v>0</v>
      </c>
      <c r="J4124" s="42" t="n">
        <f aca="false">IF($M4124="贷",$O4124,0)</f>
        <v>0</v>
      </c>
      <c r="K4124" s="48" t="str">
        <f aca="false">IF($H4124="","",资金流水!$F465)</f>
        <v/>
      </c>
      <c r="L4124" s="66" t="str">
        <f aca="false">IF(资金流水!$E465="","",IFERROR(INDEX(记账规则!$A$13:$H$32,MATCH(资金流水!$E465,记账规则!$A$13:$A$32,0),3),""))</f>
        <v/>
      </c>
      <c r="M4124" s="66" t="str">
        <f aca="false">IF($L4124="","",IFERROR(INDEX(记账规则!$A$13:$H$32,MATCH(资金流水!$E465,记账规则!$A$13:$A$32,0),4),""))</f>
        <v/>
      </c>
      <c r="N4124" s="66" t="str">
        <f aca="false">IF($L4124="","",IFERROR(INDEX(记账规则!$A$13:$H$32,MATCH(资金流水!$E465,记账规则!$A$13:$A$32,0),5),""))</f>
        <v/>
      </c>
      <c r="O4124" s="67" t="n">
        <f aca="false">IF($H4124="",0,ROUND(IF($N4124="金额",N(资金流水!$P465),0),2))</f>
        <v>0</v>
      </c>
      <c r="P4124" s="64" t="str">
        <f aca="false">IF(AND($H4124&lt;&gt;"",ROUND($O4124,2)&lt;&gt;0),"有","")</f>
        <v/>
      </c>
    </row>
    <row r="4125" customFormat="false" ht="15" hidden="true" customHeight="false" outlineLevel="0" collapsed="false">
      <c r="A4125" s="53" t="str">
        <f aca="false">IF($H4125="","",ROW()-5)</f>
        <v/>
      </c>
      <c r="B4125" s="64" t="s">
        <v>37</v>
      </c>
      <c r="C4125" s="53" t="n">
        <v>465</v>
      </c>
      <c r="D4125" s="53" t="n">
        <v>2</v>
      </c>
      <c r="E4125" s="65" t="str">
        <f aca="false">IF($H4125="","",资金流水!$B465)</f>
        <v/>
      </c>
      <c r="F4125" s="55" t="str">
        <f aca="false">IF($H4125="","",资金流水!$C465)</f>
        <v/>
      </c>
      <c r="G4125" s="48" t="str">
        <f aca="false">IF($H4125="","",资金流水!$K465)</f>
        <v/>
      </c>
      <c r="H4125" s="10" t="str">
        <f aca="false">IF($L4125="","",IF($L4125="@对方",资金流水!$G465,IF($L4125="@账户",资金流水!$Q465,$L4125)))</f>
        <v/>
      </c>
      <c r="I4125" s="42" t="n">
        <f aca="false">IF($M4125="借",$O4125,0)</f>
        <v>0</v>
      </c>
      <c r="J4125" s="42" t="n">
        <f aca="false">IF($M4125="贷",$O4125,0)</f>
        <v>0</v>
      </c>
      <c r="K4125" s="48" t="str">
        <f aca="false">IF($H4125="","",资金流水!$F465)</f>
        <v/>
      </c>
      <c r="L4125" s="66" t="str">
        <f aca="false">IF(资金流水!$E465="","",IFERROR(INDEX(记账规则!$A$13:$H$32,MATCH(资金流水!$E465,记账规则!$A$13:$A$32,0),6),""))</f>
        <v/>
      </c>
      <c r="M4125" s="66" t="str">
        <f aca="false">IF($L4125="","",IFERROR(INDEX(记账规则!$A$13:$H$32,MATCH(资金流水!$E465,记账规则!$A$13:$A$32,0),7),""))</f>
        <v/>
      </c>
      <c r="N4125" s="66" t="str">
        <f aca="false">IF($L4125="","",IFERROR(INDEX(记账规则!$A$13:$H$32,MATCH(资金流水!$E465,记账规则!$A$13:$A$32,0),8),""))</f>
        <v/>
      </c>
      <c r="O4125" s="67" t="n">
        <f aca="false">IF($H4125="",0,ROUND(IF($N4125="金额",N(资金流水!$P465),0),2))</f>
        <v>0</v>
      </c>
      <c r="P4125" s="64" t="str">
        <f aca="false">IF(AND($H4125&lt;&gt;"",ROUND($O4125,2)&lt;&gt;0),"有","")</f>
        <v/>
      </c>
    </row>
    <row r="4126" customFormat="false" ht="15" hidden="true" customHeight="false" outlineLevel="0" collapsed="false">
      <c r="A4126" s="53" t="str">
        <f aca="false">IF($H4126="","",ROW()-5)</f>
        <v/>
      </c>
      <c r="B4126" s="64" t="s">
        <v>37</v>
      </c>
      <c r="C4126" s="53" t="n">
        <v>466</v>
      </c>
      <c r="D4126" s="53" t="n">
        <v>1</v>
      </c>
      <c r="E4126" s="65" t="str">
        <f aca="false">IF($H4126="","",资金流水!$B466)</f>
        <v/>
      </c>
      <c r="F4126" s="55" t="str">
        <f aca="false">IF($H4126="","",资金流水!$C466)</f>
        <v/>
      </c>
      <c r="G4126" s="48" t="str">
        <f aca="false">IF($H4126="","",资金流水!$K466)</f>
        <v/>
      </c>
      <c r="H4126" s="10" t="str">
        <f aca="false">IF($L4126="","",IF($L4126="@对方",资金流水!$G466,IF($L4126="@账户",资金流水!$Q466,$L4126)))</f>
        <v/>
      </c>
      <c r="I4126" s="42" t="n">
        <f aca="false">IF($M4126="借",$O4126,0)</f>
        <v>0</v>
      </c>
      <c r="J4126" s="42" t="n">
        <f aca="false">IF($M4126="贷",$O4126,0)</f>
        <v>0</v>
      </c>
      <c r="K4126" s="48" t="str">
        <f aca="false">IF($H4126="","",资金流水!$F466)</f>
        <v/>
      </c>
      <c r="L4126" s="66" t="str">
        <f aca="false">IF(资金流水!$E466="","",IFERROR(INDEX(记账规则!$A$13:$H$32,MATCH(资金流水!$E466,记账规则!$A$13:$A$32,0),3),""))</f>
        <v/>
      </c>
      <c r="M4126" s="66" t="str">
        <f aca="false">IF($L4126="","",IFERROR(INDEX(记账规则!$A$13:$H$32,MATCH(资金流水!$E466,记账规则!$A$13:$A$32,0),4),""))</f>
        <v/>
      </c>
      <c r="N4126" s="66" t="str">
        <f aca="false">IF($L4126="","",IFERROR(INDEX(记账规则!$A$13:$H$32,MATCH(资金流水!$E466,记账规则!$A$13:$A$32,0),5),""))</f>
        <v/>
      </c>
      <c r="O4126" s="67" t="n">
        <f aca="false">IF($H4126="",0,ROUND(IF($N4126="金额",N(资金流水!$P466),0),2))</f>
        <v>0</v>
      </c>
      <c r="P4126" s="64" t="str">
        <f aca="false">IF(AND($H4126&lt;&gt;"",ROUND($O4126,2)&lt;&gt;0),"有","")</f>
        <v/>
      </c>
    </row>
    <row r="4127" customFormat="false" ht="15" hidden="true" customHeight="false" outlineLevel="0" collapsed="false">
      <c r="A4127" s="53" t="str">
        <f aca="false">IF($H4127="","",ROW()-5)</f>
        <v/>
      </c>
      <c r="B4127" s="64" t="s">
        <v>37</v>
      </c>
      <c r="C4127" s="53" t="n">
        <v>466</v>
      </c>
      <c r="D4127" s="53" t="n">
        <v>2</v>
      </c>
      <c r="E4127" s="65" t="str">
        <f aca="false">IF($H4127="","",资金流水!$B466)</f>
        <v/>
      </c>
      <c r="F4127" s="55" t="str">
        <f aca="false">IF($H4127="","",资金流水!$C466)</f>
        <v/>
      </c>
      <c r="G4127" s="48" t="str">
        <f aca="false">IF($H4127="","",资金流水!$K466)</f>
        <v/>
      </c>
      <c r="H4127" s="10" t="str">
        <f aca="false">IF($L4127="","",IF($L4127="@对方",资金流水!$G466,IF($L4127="@账户",资金流水!$Q466,$L4127)))</f>
        <v/>
      </c>
      <c r="I4127" s="42" t="n">
        <f aca="false">IF($M4127="借",$O4127,0)</f>
        <v>0</v>
      </c>
      <c r="J4127" s="42" t="n">
        <f aca="false">IF($M4127="贷",$O4127,0)</f>
        <v>0</v>
      </c>
      <c r="K4127" s="48" t="str">
        <f aca="false">IF($H4127="","",资金流水!$F466)</f>
        <v/>
      </c>
      <c r="L4127" s="66" t="str">
        <f aca="false">IF(资金流水!$E466="","",IFERROR(INDEX(记账规则!$A$13:$H$32,MATCH(资金流水!$E466,记账规则!$A$13:$A$32,0),6),""))</f>
        <v/>
      </c>
      <c r="M4127" s="66" t="str">
        <f aca="false">IF($L4127="","",IFERROR(INDEX(记账规则!$A$13:$H$32,MATCH(资金流水!$E466,记账规则!$A$13:$A$32,0),7),""))</f>
        <v/>
      </c>
      <c r="N4127" s="66" t="str">
        <f aca="false">IF($L4127="","",IFERROR(INDEX(记账规则!$A$13:$H$32,MATCH(资金流水!$E466,记账规则!$A$13:$A$32,0),8),""))</f>
        <v/>
      </c>
      <c r="O4127" s="67" t="n">
        <f aca="false">IF($H4127="",0,ROUND(IF($N4127="金额",N(资金流水!$P466),0),2))</f>
        <v>0</v>
      </c>
      <c r="P4127" s="64" t="str">
        <f aca="false">IF(AND($H4127&lt;&gt;"",ROUND($O4127,2)&lt;&gt;0),"有","")</f>
        <v/>
      </c>
    </row>
    <row r="4128" customFormat="false" ht="15" hidden="true" customHeight="false" outlineLevel="0" collapsed="false">
      <c r="A4128" s="53" t="str">
        <f aca="false">IF($H4128="","",ROW()-5)</f>
        <v/>
      </c>
      <c r="B4128" s="64" t="s">
        <v>37</v>
      </c>
      <c r="C4128" s="53" t="n">
        <v>467</v>
      </c>
      <c r="D4128" s="53" t="n">
        <v>1</v>
      </c>
      <c r="E4128" s="65" t="str">
        <f aca="false">IF($H4128="","",资金流水!$B467)</f>
        <v/>
      </c>
      <c r="F4128" s="55" t="str">
        <f aca="false">IF($H4128="","",资金流水!$C467)</f>
        <v/>
      </c>
      <c r="G4128" s="48" t="str">
        <f aca="false">IF($H4128="","",资金流水!$K467)</f>
        <v/>
      </c>
      <c r="H4128" s="10" t="str">
        <f aca="false">IF($L4128="","",IF($L4128="@对方",资金流水!$G467,IF($L4128="@账户",资金流水!$Q467,$L4128)))</f>
        <v/>
      </c>
      <c r="I4128" s="42" t="n">
        <f aca="false">IF($M4128="借",$O4128,0)</f>
        <v>0</v>
      </c>
      <c r="J4128" s="42" t="n">
        <f aca="false">IF($M4128="贷",$O4128,0)</f>
        <v>0</v>
      </c>
      <c r="K4128" s="48" t="str">
        <f aca="false">IF($H4128="","",资金流水!$F467)</f>
        <v/>
      </c>
      <c r="L4128" s="66" t="str">
        <f aca="false">IF(资金流水!$E467="","",IFERROR(INDEX(记账规则!$A$13:$H$32,MATCH(资金流水!$E467,记账规则!$A$13:$A$32,0),3),""))</f>
        <v/>
      </c>
      <c r="M4128" s="66" t="str">
        <f aca="false">IF($L4128="","",IFERROR(INDEX(记账规则!$A$13:$H$32,MATCH(资金流水!$E467,记账规则!$A$13:$A$32,0),4),""))</f>
        <v/>
      </c>
      <c r="N4128" s="66" t="str">
        <f aca="false">IF($L4128="","",IFERROR(INDEX(记账规则!$A$13:$H$32,MATCH(资金流水!$E467,记账规则!$A$13:$A$32,0),5),""))</f>
        <v/>
      </c>
      <c r="O4128" s="67" t="n">
        <f aca="false">IF($H4128="",0,ROUND(IF($N4128="金额",N(资金流水!$P467),0),2))</f>
        <v>0</v>
      </c>
      <c r="P4128" s="64" t="str">
        <f aca="false">IF(AND($H4128&lt;&gt;"",ROUND($O4128,2)&lt;&gt;0),"有","")</f>
        <v/>
      </c>
    </row>
    <row r="4129" customFormat="false" ht="15" hidden="true" customHeight="false" outlineLevel="0" collapsed="false">
      <c r="A4129" s="53" t="str">
        <f aca="false">IF($H4129="","",ROW()-5)</f>
        <v/>
      </c>
      <c r="B4129" s="64" t="s">
        <v>37</v>
      </c>
      <c r="C4129" s="53" t="n">
        <v>467</v>
      </c>
      <c r="D4129" s="53" t="n">
        <v>2</v>
      </c>
      <c r="E4129" s="65" t="str">
        <f aca="false">IF($H4129="","",资金流水!$B467)</f>
        <v/>
      </c>
      <c r="F4129" s="55" t="str">
        <f aca="false">IF($H4129="","",资金流水!$C467)</f>
        <v/>
      </c>
      <c r="G4129" s="48" t="str">
        <f aca="false">IF($H4129="","",资金流水!$K467)</f>
        <v/>
      </c>
      <c r="H4129" s="10" t="str">
        <f aca="false">IF($L4129="","",IF($L4129="@对方",资金流水!$G467,IF($L4129="@账户",资金流水!$Q467,$L4129)))</f>
        <v/>
      </c>
      <c r="I4129" s="42" t="n">
        <f aca="false">IF($M4129="借",$O4129,0)</f>
        <v>0</v>
      </c>
      <c r="J4129" s="42" t="n">
        <f aca="false">IF($M4129="贷",$O4129,0)</f>
        <v>0</v>
      </c>
      <c r="K4129" s="48" t="str">
        <f aca="false">IF($H4129="","",资金流水!$F467)</f>
        <v/>
      </c>
      <c r="L4129" s="66" t="str">
        <f aca="false">IF(资金流水!$E467="","",IFERROR(INDEX(记账规则!$A$13:$H$32,MATCH(资金流水!$E467,记账规则!$A$13:$A$32,0),6),""))</f>
        <v/>
      </c>
      <c r="M4129" s="66" t="str">
        <f aca="false">IF($L4129="","",IFERROR(INDEX(记账规则!$A$13:$H$32,MATCH(资金流水!$E467,记账规则!$A$13:$A$32,0),7),""))</f>
        <v/>
      </c>
      <c r="N4129" s="66" t="str">
        <f aca="false">IF($L4129="","",IFERROR(INDEX(记账规则!$A$13:$H$32,MATCH(资金流水!$E467,记账规则!$A$13:$A$32,0),8),""))</f>
        <v/>
      </c>
      <c r="O4129" s="67" t="n">
        <f aca="false">IF($H4129="",0,ROUND(IF($N4129="金额",N(资金流水!$P467),0),2))</f>
        <v>0</v>
      </c>
      <c r="P4129" s="64" t="str">
        <f aca="false">IF(AND($H4129&lt;&gt;"",ROUND($O4129,2)&lt;&gt;0),"有","")</f>
        <v/>
      </c>
    </row>
    <row r="4130" customFormat="false" ht="15" hidden="true" customHeight="false" outlineLevel="0" collapsed="false">
      <c r="A4130" s="53" t="str">
        <f aca="false">IF($H4130="","",ROW()-5)</f>
        <v/>
      </c>
      <c r="B4130" s="64" t="s">
        <v>37</v>
      </c>
      <c r="C4130" s="53" t="n">
        <v>468</v>
      </c>
      <c r="D4130" s="53" t="n">
        <v>1</v>
      </c>
      <c r="E4130" s="65" t="str">
        <f aca="false">IF($H4130="","",资金流水!$B468)</f>
        <v/>
      </c>
      <c r="F4130" s="55" t="str">
        <f aca="false">IF($H4130="","",资金流水!$C468)</f>
        <v/>
      </c>
      <c r="G4130" s="48" t="str">
        <f aca="false">IF($H4130="","",资金流水!$K468)</f>
        <v/>
      </c>
      <c r="H4130" s="10" t="str">
        <f aca="false">IF($L4130="","",IF($L4130="@对方",资金流水!$G468,IF($L4130="@账户",资金流水!$Q468,$L4130)))</f>
        <v/>
      </c>
      <c r="I4130" s="42" t="n">
        <f aca="false">IF($M4130="借",$O4130,0)</f>
        <v>0</v>
      </c>
      <c r="J4130" s="42" t="n">
        <f aca="false">IF($M4130="贷",$O4130,0)</f>
        <v>0</v>
      </c>
      <c r="K4130" s="48" t="str">
        <f aca="false">IF($H4130="","",资金流水!$F468)</f>
        <v/>
      </c>
      <c r="L4130" s="66" t="str">
        <f aca="false">IF(资金流水!$E468="","",IFERROR(INDEX(记账规则!$A$13:$H$32,MATCH(资金流水!$E468,记账规则!$A$13:$A$32,0),3),""))</f>
        <v/>
      </c>
      <c r="M4130" s="66" t="str">
        <f aca="false">IF($L4130="","",IFERROR(INDEX(记账规则!$A$13:$H$32,MATCH(资金流水!$E468,记账规则!$A$13:$A$32,0),4),""))</f>
        <v/>
      </c>
      <c r="N4130" s="66" t="str">
        <f aca="false">IF($L4130="","",IFERROR(INDEX(记账规则!$A$13:$H$32,MATCH(资金流水!$E468,记账规则!$A$13:$A$32,0),5),""))</f>
        <v/>
      </c>
      <c r="O4130" s="67" t="n">
        <f aca="false">IF($H4130="",0,ROUND(IF($N4130="金额",N(资金流水!$P468),0),2))</f>
        <v>0</v>
      </c>
      <c r="P4130" s="64" t="str">
        <f aca="false">IF(AND($H4130&lt;&gt;"",ROUND($O4130,2)&lt;&gt;0),"有","")</f>
        <v/>
      </c>
    </row>
    <row r="4131" customFormat="false" ht="15" hidden="true" customHeight="false" outlineLevel="0" collapsed="false">
      <c r="A4131" s="53" t="str">
        <f aca="false">IF($H4131="","",ROW()-5)</f>
        <v/>
      </c>
      <c r="B4131" s="64" t="s">
        <v>37</v>
      </c>
      <c r="C4131" s="53" t="n">
        <v>468</v>
      </c>
      <c r="D4131" s="53" t="n">
        <v>2</v>
      </c>
      <c r="E4131" s="65" t="str">
        <f aca="false">IF($H4131="","",资金流水!$B468)</f>
        <v/>
      </c>
      <c r="F4131" s="55" t="str">
        <f aca="false">IF($H4131="","",资金流水!$C468)</f>
        <v/>
      </c>
      <c r="G4131" s="48" t="str">
        <f aca="false">IF($H4131="","",资金流水!$K468)</f>
        <v/>
      </c>
      <c r="H4131" s="10" t="str">
        <f aca="false">IF($L4131="","",IF($L4131="@对方",资金流水!$G468,IF($L4131="@账户",资金流水!$Q468,$L4131)))</f>
        <v/>
      </c>
      <c r="I4131" s="42" t="n">
        <f aca="false">IF($M4131="借",$O4131,0)</f>
        <v>0</v>
      </c>
      <c r="J4131" s="42" t="n">
        <f aca="false">IF($M4131="贷",$O4131,0)</f>
        <v>0</v>
      </c>
      <c r="K4131" s="48" t="str">
        <f aca="false">IF($H4131="","",资金流水!$F468)</f>
        <v/>
      </c>
      <c r="L4131" s="66" t="str">
        <f aca="false">IF(资金流水!$E468="","",IFERROR(INDEX(记账规则!$A$13:$H$32,MATCH(资金流水!$E468,记账规则!$A$13:$A$32,0),6),""))</f>
        <v/>
      </c>
      <c r="M4131" s="66" t="str">
        <f aca="false">IF($L4131="","",IFERROR(INDEX(记账规则!$A$13:$H$32,MATCH(资金流水!$E468,记账规则!$A$13:$A$32,0),7),""))</f>
        <v/>
      </c>
      <c r="N4131" s="66" t="str">
        <f aca="false">IF($L4131="","",IFERROR(INDEX(记账规则!$A$13:$H$32,MATCH(资金流水!$E468,记账规则!$A$13:$A$32,0),8),""))</f>
        <v/>
      </c>
      <c r="O4131" s="67" t="n">
        <f aca="false">IF($H4131="",0,ROUND(IF($N4131="金额",N(资金流水!$P468),0),2))</f>
        <v>0</v>
      </c>
      <c r="P4131" s="64" t="str">
        <f aca="false">IF(AND($H4131&lt;&gt;"",ROUND($O4131,2)&lt;&gt;0),"有","")</f>
        <v/>
      </c>
    </row>
    <row r="4132" customFormat="false" ht="15" hidden="true" customHeight="false" outlineLevel="0" collapsed="false">
      <c r="A4132" s="53" t="str">
        <f aca="false">IF($H4132="","",ROW()-5)</f>
        <v/>
      </c>
      <c r="B4132" s="64" t="s">
        <v>37</v>
      </c>
      <c r="C4132" s="53" t="n">
        <v>469</v>
      </c>
      <c r="D4132" s="53" t="n">
        <v>1</v>
      </c>
      <c r="E4132" s="65" t="str">
        <f aca="false">IF($H4132="","",资金流水!$B469)</f>
        <v/>
      </c>
      <c r="F4132" s="55" t="str">
        <f aca="false">IF($H4132="","",资金流水!$C469)</f>
        <v/>
      </c>
      <c r="G4132" s="48" t="str">
        <f aca="false">IF($H4132="","",资金流水!$K469)</f>
        <v/>
      </c>
      <c r="H4132" s="10" t="str">
        <f aca="false">IF($L4132="","",IF($L4132="@对方",资金流水!$G469,IF($L4132="@账户",资金流水!$Q469,$L4132)))</f>
        <v/>
      </c>
      <c r="I4132" s="42" t="n">
        <f aca="false">IF($M4132="借",$O4132,0)</f>
        <v>0</v>
      </c>
      <c r="J4132" s="42" t="n">
        <f aca="false">IF($M4132="贷",$O4132,0)</f>
        <v>0</v>
      </c>
      <c r="K4132" s="48" t="str">
        <f aca="false">IF($H4132="","",资金流水!$F469)</f>
        <v/>
      </c>
      <c r="L4132" s="66" t="str">
        <f aca="false">IF(资金流水!$E469="","",IFERROR(INDEX(记账规则!$A$13:$H$32,MATCH(资金流水!$E469,记账规则!$A$13:$A$32,0),3),""))</f>
        <v/>
      </c>
      <c r="M4132" s="66" t="str">
        <f aca="false">IF($L4132="","",IFERROR(INDEX(记账规则!$A$13:$H$32,MATCH(资金流水!$E469,记账规则!$A$13:$A$32,0),4),""))</f>
        <v/>
      </c>
      <c r="N4132" s="66" t="str">
        <f aca="false">IF($L4132="","",IFERROR(INDEX(记账规则!$A$13:$H$32,MATCH(资金流水!$E469,记账规则!$A$13:$A$32,0),5),""))</f>
        <v/>
      </c>
      <c r="O4132" s="67" t="n">
        <f aca="false">IF($H4132="",0,ROUND(IF($N4132="金额",N(资金流水!$P469),0),2))</f>
        <v>0</v>
      </c>
      <c r="P4132" s="64" t="str">
        <f aca="false">IF(AND($H4132&lt;&gt;"",ROUND($O4132,2)&lt;&gt;0),"有","")</f>
        <v/>
      </c>
    </row>
    <row r="4133" customFormat="false" ht="15" hidden="true" customHeight="false" outlineLevel="0" collapsed="false">
      <c r="A4133" s="53" t="str">
        <f aca="false">IF($H4133="","",ROW()-5)</f>
        <v/>
      </c>
      <c r="B4133" s="64" t="s">
        <v>37</v>
      </c>
      <c r="C4133" s="53" t="n">
        <v>469</v>
      </c>
      <c r="D4133" s="53" t="n">
        <v>2</v>
      </c>
      <c r="E4133" s="65" t="str">
        <f aca="false">IF($H4133="","",资金流水!$B469)</f>
        <v/>
      </c>
      <c r="F4133" s="55" t="str">
        <f aca="false">IF($H4133="","",资金流水!$C469)</f>
        <v/>
      </c>
      <c r="G4133" s="48" t="str">
        <f aca="false">IF($H4133="","",资金流水!$K469)</f>
        <v/>
      </c>
      <c r="H4133" s="10" t="str">
        <f aca="false">IF($L4133="","",IF($L4133="@对方",资金流水!$G469,IF($L4133="@账户",资金流水!$Q469,$L4133)))</f>
        <v/>
      </c>
      <c r="I4133" s="42" t="n">
        <f aca="false">IF($M4133="借",$O4133,0)</f>
        <v>0</v>
      </c>
      <c r="J4133" s="42" t="n">
        <f aca="false">IF($M4133="贷",$O4133,0)</f>
        <v>0</v>
      </c>
      <c r="K4133" s="48" t="str">
        <f aca="false">IF($H4133="","",资金流水!$F469)</f>
        <v/>
      </c>
      <c r="L4133" s="66" t="str">
        <f aca="false">IF(资金流水!$E469="","",IFERROR(INDEX(记账规则!$A$13:$H$32,MATCH(资金流水!$E469,记账规则!$A$13:$A$32,0),6),""))</f>
        <v/>
      </c>
      <c r="M4133" s="66" t="str">
        <f aca="false">IF($L4133="","",IFERROR(INDEX(记账规则!$A$13:$H$32,MATCH(资金流水!$E469,记账规则!$A$13:$A$32,0),7),""))</f>
        <v/>
      </c>
      <c r="N4133" s="66" t="str">
        <f aca="false">IF($L4133="","",IFERROR(INDEX(记账规则!$A$13:$H$32,MATCH(资金流水!$E469,记账规则!$A$13:$A$32,0),8),""))</f>
        <v/>
      </c>
      <c r="O4133" s="67" t="n">
        <f aca="false">IF($H4133="",0,ROUND(IF($N4133="金额",N(资金流水!$P469),0),2))</f>
        <v>0</v>
      </c>
      <c r="P4133" s="64" t="str">
        <f aca="false">IF(AND($H4133&lt;&gt;"",ROUND($O4133,2)&lt;&gt;0),"有","")</f>
        <v/>
      </c>
    </row>
    <row r="4134" customFormat="false" ht="15" hidden="true" customHeight="false" outlineLevel="0" collapsed="false">
      <c r="A4134" s="53" t="str">
        <f aca="false">IF($H4134="","",ROW()-5)</f>
        <v/>
      </c>
      <c r="B4134" s="64" t="s">
        <v>37</v>
      </c>
      <c r="C4134" s="53" t="n">
        <v>470</v>
      </c>
      <c r="D4134" s="53" t="n">
        <v>1</v>
      </c>
      <c r="E4134" s="65" t="str">
        <f aca="false">IF($H4134="","",资金流水!$B470)</f>
        <v/>
      </c>
      <c r="F4134" s="55" t="str">
        <f aca="false">IF($H4134="","",资金流水!$C470)</f>
        <v/>
      </c>
      <c r="G4134" s="48" t="str">
        <f aca="false">IF($H4134="","",资金流水!$K470)</f>
        <v/>
      </c>
      <c r="H4134" s="10" t="str">
        <f aca="false">IF($L4134="","",IF($L4134="@对方",资金流水!$G470,IF($L4134="@账户",资金流水!$Q470,$L4134)))</f>
        <v/>
      </c>
      <c r="I4134" s="42" t="n">
        <f aca="false">IF($M4134="借",$O4134,0)</f>
        <v>0</v>
      </c>
      <c r="J4134" s="42" t="n">
        <f aca="false">IF($M4134="贷",$O4134,0)</f>
        <v>0</v>
      </c>
      <c r="K4134" s="48" t="str">
        <f aca="false">IF($H4134="","",资金流水!$F470)</f>
        <v/>
      </c>
      <c r="L4134" s="66" t="str">
        <f aca="false">IF(资金流水!$E470="","",IFERROR(INDEX(记账规则!$A$13:$H$32,MATCH(资金流水!$E470,记账规则!$A$13:$A$32,0),3),""))</f>
        <v/>
      </c>
      <c r="M4134" s="66" t="str">
        <f aca="false">IF($L4134="","",IFERROR(INDEX(记账规则!$A$13:$H$32,MATCH(资金流水!$E470,记账规则!$A$13:$A$32,0),4),""))</f>
        <v/>
      </c>
      <c r="N4134" s="66" t="str">
        <f aca="false">IF($L4134="","",IFERROR(INDEX(记账规则!$A$13:$H$32,MATCH(资金流水!$E470,记账规则!$A$13:$A$32,0),5),""))</f>
        <v/>
      </c>
      <c r="O4134" s="67" t="n">
        <f aca="false">IF($H4134="",0,ROUND(IF($N4134="金额",N(资金流水!$P470),0),2))</f>
        <v>0</v>
      </c>
      <c r="P4134" s="64" t="str">
        <f aca="false">IF(AND($H4134&lt;&gt;"",ROUND($O4134,2)&lt;&gt;0),"有","")</f>
        <v/>
      </c>
    </row>
    <row r="4135" customFormat="false" ht="15" hidden="true" customHeight="false" outlineLevel="0" collapsed="false">
      <c r="A4135" s="53" t="str">
        <f aca="false">IF($H4135="","",ROW()-5)</f>
        <v/>
      </c>
      <c r="B4135" s="64" t="s">
        <v>37</v>
      </c>
      <c r="C4135" s="53" t="n">
        <v>470</v>
      </c>
      <c r="D4135" s="53" t="n">
        <v>2</v>
      </c>
      <c r="E4135" s="65" t="str">
        <f aca="false">IF($H4135="","",资金流水!$B470)</f>
        <v/>
      </c>
      <c r="F4135" s="55" t="str">
        <f aca="false">IF($H4135="","",资金流水!$C470)</f>
        <v/>
      </c>
      <c r="G4135" s="48" t="str">
        <f aca="false">IF($H4135="","",资金流水!$K470)</f>
        <v/>
      </c>
      <c r="H4135" s="10" t="str">
        <f aca="false">IF($L4135="","",IF($L4135="@对方",资金流水!$G470,IF($L4135="@账户",资金流水!$Q470,$L4135)))</f>
        <v/>
      </c>
      <c r="I4135" s="42" t="n">
        <f aca="false">IF($M4135="借",$O4135,0)</f>
        <v>0</v>
      </c>
      <c r="J4135" s="42" t="n">
        <f aca="false">IF($M4135="贷",$O4135,0)</f>
        <v>0</v>
      </c>
      <c r="K4135" s="48" t="str">
        <f aca="false">IF($H4135="","",资金流水!$F470)</f>
        <v/>
      </c>
      <c r="L4135" s="66" t="str">
        <f aca="false">IF(资金流水!$E470="","",IFERROR(INDEX(记账规则!$A$13:$H$32,MATCH(资金流水!$E470,记账规则!$A$13:$A$32,0),6),""))</f>
        <v/>
      </c>
      <c r="M4135" s="66" t="str">
        <f aca="false">IF($L4135="","",IFERROR(INDEX(记账规则!$A$13:$H$32,MATCH(资金流水!$E470,记账规则!$A$13:$A$32,0),7),""))</f>
        <v/>
      </c>
      <c r="N4135" s="66" t="str">
        <f aca="false">IF($L4135="","",IFERROR(INDEX(记账规则!$A$13:$H$32,MATCH(资金流水!$E470,记账规则!$A$13:$A$32,0),8),""))</f>
        <v/>
      </c>
      <c r="O4135" s="67" t="n">
        <f aca="false">IF($H4135="",0,ROUND(IF($N4135="金额",N(资金流水!$P470),0),2))</f>
        <v>0</v>
      </c>
      <c r="P4135" s="64" t="str">
        <f aca="false">IF(AND($H4135&lt;&gt;"",ROUND($O4135,2)&lt;&gt;0),"有","")</f>
        <v/>
      </c>
    </row>
    <row r="4136" customFormat="false" ht="15" hidden="true" customHeight="false" outlineLevel="0" collapsed="false">
      <c r="A4136" s="53" t="str">
        <f aca="false">IF($H4136="","",ROW()-5)</f>
        <v/>
      </c>
      <c r="B4136" s="64" t="s">
        <v>37</v>
      </c>
      <c r="C4136" s="53" t="n">
        <v>471</v>
      </c>
      <c r="D4136" s="53" t="n">
        <v>1</v>
      </c>
      <c r="E4136" s="65" t="str">
        <f aca="false">IF($H4136="","",资金流水!$B471)</f>
        <v/>
      </c>
      <c r="F4136" s="55" t="str">
        <f aca="false">IF($H4136="","",资金流水!$C471)</f>
        <v/>
      </c>
      <c r="G4136" s="48" t="str">
        <f aca="false">IF($H4136="","",资金流水!$K471)</f>
        <v/>
      </c>
      <c r="H4136" s="10" t="str">
        <f aca="false">IF($L4136="","",IF($L4136="@对方",资金流水!$G471,IF($L4136="@账户",资金流水!$Q471,$L4136)))</f>
        <v/>
      </c>
      <c r="I4136" s="42" t="n">
        <f aca="false">IF($M4136="借",$O4136,0)</f>
        <v>0</v>
      </c>
      <c r="J4136" s="42" t="n">
        <f aca="false">IF($M4136="贷",$O4136,0)</f>
        <v>0</v>
      </c>
      <c r="K4136" s="48" t="str">
        <f aca="false">IF($H4136="","",资金流水!$F471)</f>
        <v/>
      </c>
      <c r="L4136" s="66" t="str">
        <f aca="false">IF(资金流水!$E471="","",IFERROR(INDEX(记账规则!$A$13:$H$32,MATCH(资金流水!$E471,记账规则!$A$13:$A$32,0),3),""))</f>
        <v/>
      </c>
      <c r="M4136" s="66" t="str">
        <f aca="false">IF($L4136="","",IFERROR(INDEX(记账规则!$A$13:$H$32,MATCH(资金流水!$E471,记账规则!$A$13:$A$32,0),4),""))</f>
        <v/>
      </c>
      <c r="N4136" s="66" t="str">
        <f aca="false">IF($L4136="","",IFERROR(INDEX(记账规则!$A$13:$H$32,MATCH(资金流水!$E471,记账规则!$A$13:$A$32,0),5),""))</f>
        <v/>
      </c>
      <c r="O4136" s="67" t="n">
        <f aca="false">IF($H4136="",0,ROUND(IF($N4136="金额",N(资金流水!$P471),0),2))</f>
        <v>0</v>
      </c>
      <c r="P4136" s="64" t="str">
        <f aca="false">IF(AND($H4136&lt;&gt;"",ROUND($O4136,2)&lt;&gt;0),"有","")</f>
        <v/>
      </c>
    </row>
    <row r="4137" customFormat="false" ht="15" hidden="true" customHeight="false" outlineLevel="0" collapsed="false">
      <c r="A4137" s="53" t="str">
        <f aca="false">IF($H4137="","",ROW()-5)</f>
        <v/>
      </c>
      <c r="B4137" s="64" t="s">
        <v>37</v>
      </c>
      <c r="C4137" s="53" t="n">
        <v>471</v>
      </c>
      <c r="D4137" s="53" t="n">
        <v>2</v>
      </c>
      <c r="E4137" s="65" t="str">
        <f aca="false">IF($H4137="","",资金流水!$B471)</f>
        <v/>
      </c>
      <c r="F4137" s="55" t="str">
        <f aca="false">IF($H4137="","",资金流水!$C471)</f>
        <v/>
      </c>
      <c r="G4137" s="48" t="str">
        <f aca="false">IF($H4137="","",资金流水!$K471)</f>
        <v/>
      </c>
      <c r="H4137" s="10" t="str">
        <f aca="false">IF($L4137="","",IF($L4137="@对方",资金流水!$G471,IF($L4137="@账户",资金流水!$Q471,$L4137)))</f>
        <v/>
      </c>
      <c r="I4137" s="42" t="n">
        <f aca="false">IF($M4137="借",$O4137,0)</f>
        <v>0</v>
      </c>
      <c r="J4137" s="42" t="n">
        <f aca="false">IF($M4137="贷",$O4137,0)</f>
        <v>0</v>
      </c>
      <c r="K4137" s="48" t="str">
        <f aca="false">IF($H4137="","",资金流水!$F471)</f>
        <v/>
      </c>
      <c r="L4137" s="66" t="str">
        <f aca="false">IF(资金流水!$E471="","",IFERROR(INDEX(记账规则!$A$13:$H$32,MATCH(资金流水!$E471,记账规则!$A$13:$A$32,0),6),""))</f>
        <v/>
      </c>
      <c r="M4137" s="66" t="str">
        <f aca="false">IF($L4137="","",IFERROR(INDEX(记账规则!$A$13:$H$32,MATCH(资金流水!$E471,记账规则!$A$13:$A$32,0),7),""))</f>
        <v/>
      </c>
      <c r="N4137" s="66" t="str">
        <f aca="false">IF($L4137="","",IFERROR(INDEX(记账规则!$A$13:$H$32,MATCH(资金流水!$E471,记账规则!$A$13:$A$32,0),8),""))</f>
        <v/>
      </c>
      <c r="O4137" s="67" t="n">
        <f aca="false">IF($H4137="",0,ROUND(IF($N4137="金额",N(资金流水!$P471),0),2))</f>
        <v>0</v>
      </c>
      <c r="P4137" s="64" t="str">
        <f aca="false">IF(AND($H4137&lt;&gt;"",ROUND($O4137,2)&lt;&gt;0),"有","")</f>
        <v/>
      </c>
    </row>
    <row r="4138" customFormat="false" ht="15" hidden="true" customHeight="false" outlineLevel="0" collapsed="false">
      <c r="A4138" s="53" t="str">
        <f aca="false">IF($H4138="","",ROW()-5)</f>
        <v/>
      </c>
      <c r="B4138" s="64" t="s">
        <v>37</v>
      </c>
      <c r="C4138" s="53" t="n">
        <v>472</v>
      </c>
      <c r="D4138" s="53" t="n">
        <v>1</v>
      </c>
      <c r="E4138" s="65" t="str">
        <f aca="false">IF($H4138="","",资金流水!$B472)</f>
        <v/>
      </c>
      <c r="F4138" s="55" t="str">
        <f aca="false">IF($H4138="","",资金流水!$C472)</f>
        <v/>
      </c>
      <c r="G4138" s="48" t="str">
        <f aca="false">IF($H4138="","",资金流水!$K472)</f>
        <v/>
      </c>
      <c r="H4138" s="10" t="str">
        <f aca="false">IF($L4138="","",IF($L4138="@对方",资金流水!$G472,IF($L4138="@账户",资金流水!$Q472,$L4138)))</f>
        <v/>
      </c>
      <c r="I4138" s="42" t="n">
        <f aca="false">IF($M4138="借",$O4138,0)</f>
        <v>0</v>
      </c>
      <c r="J4138" s="42" t="n">
        <f aca="false">IF($M4138="贷",$O4138,0)</f>
        <v>0</v>
      </c>
      <c r="K4138" s="48" t="str">
        <f aca="false">IF($H4138="","",资金流水!$F472)</f>
        <v/>
      </c>
      <c r="L4138" s="66" t="str">
        <f aca="false">IF(资金流水!$E472="","",IFERROR(INDEX(记账规则!$A$13:$H$32,MATCH(资金流水!$E472,记账规则!$A$13:$A$32,0),3),""))</f>
        <v/>
      </c>
      <c r="M4138" s="66" t="str">
        <f aca="false">IF($L4138="","",IFERROR(INDEX(记账规则!$A$13:$H$32,MATCH(资金流水!$E472,记账规则!$A$13:$A$32,0),4),""))</f>
        <v/>
      </c>
      <c r="N4138" s="66" t="str">
        <f aca="false">IF($L4138="","",IFERROR(INDEX(记账规则!$A$13:$H$32,MATCH(资金流水!$E472,记账规则!$A$13:$A$32,0),5),""))</f>
        <v/>
      </c>
      <c r="O4138" s="67" t="n">
        <f aca="false">IF($H4138="",0,ROUND(IF($N4138="金额",N(资金流水!$P472),0),2))</f>
        <v>0</v>
      </c>
      <c r="P4138" s="64" t="str">
        <f aca="false">IF(AND($H4138&lt;&gt;"",ROUND($O4138,2)&lt;&gt;0),"有","")</f>
        <v/>
      </c>
    </row>
    <row r="4139" customFormat="false" ht="15" hidden="true" customHeight="false" outlineLevel="0" collapsed="false">
      <c r="A4139" s="53" t="str">
        <f aca="false">IF($H4139="","",ROW()-5)</f>
        <v/>
      </c>
      <c r="B4139" s="64" t="s">
        <v>37</v>
      </c>
      <c r="C4139" s="53" t="n">
        <v>472</v>
      </c>
      <c r="D4139" s="53" t="n">
        <v>2</v>
      </c>
      <c r="E4139" s="65" t="str">
        <f aca="false">IF($H4139="","",资金流水!$B472)</f>
        <v/>
      </c>
      <c r="F4139" s="55" t="str">
        <f aca="false">IF($H4139="","",资金流水!$C472)</f>
        <v/>
      </c>
      <c r="G4139" s="48" t="str">
        <f aca="false">IF($H4139="","",资金流水!$K472)</f>
        <v/>
      </c>
      <c r="H4139" s="10" t="str">
        <f aca="false">IF($L4139="","",IF($L4139="@对方",资金流水!$G472,IF($L4139="@账户",资金流水!$Q472,$L4139)))</f>
        <v/>
      </c>
      <c r="I4139" s="42" t="n">
        <f aca="false">IF($M4139="借",$O4139,0)</f>
        <v>0</v>
      </c>
      <c r="J4139" s="42" t="n">
        <f aca="false">IF($M4139="贷",$O4139,0)</f>
        <v>0</v>
      </c>
      <c r="K4139" s="48" t="str">
        <f aca="false">IF($H4139="","",资金流水!$F472)</f>
        <v/>
      </c>
      <c r="L4139" s="66" t="str">
        <f aca="false">IF(资金流水!$E472="","",IFERROR(INDEX(记账规则!$A$13:$H$32,MATCH(资金流水!$E472,记账规则!$A$13:$A$32,0),6),""))</f>
        <v/>
      </c>
      <c r="M4139" s="66" t="str">
        <f aca="false">IF($L4139="","",IFERROR(INDEX(记账规则!$A$13:$H$32,MATCH(资金流水!$E472,记账规则!$A$13:$A$32,0),7),""))</f>
        <v/>
      </c>
      <c r="N4139" s="66" t="str">
        <f aca="false">IF($L4139="","",IFERROR(INDEX(记账规则!$A$13:$H$32,MATCH(资金流水!$E472,记账规则!$A$13:$A$32,0),8),""))</f>
        <v/>
      </c>
      <c r="O4139" s="67" t="n">
        <f aca="false">IF($H4139="",0,ROUND(IF($N4139="金额",N(资金流水!$P472),0),2))</f>
        <v>0</v>
      </c>
      <c r="P4139" s="64" t="str">
        <f aca="false">IF(AND($H4139&lt;&gt;"",ROUND($O4139,2)&lt;&gt;0),"有","")</f>
        <v/>
      </c>
    </row>
    <row r="4140" customFormat="false" ht="15" hidden="true" customHeight="false" outlineLevel="0" collapsed="false">
      <c r="A4140" s="53" t="str">
        <f aca="false">IF($H4140="","",ROW()-5)</f>
        <v/>
      </c>
      <c r="B4140" s="64" t="s">
        <v>37</v>
      </c>
      <c r="C4140" s="53" t="n">
        <v>473</v>
      </c>
      <c r="D4140" s="53" t="n">
        <v>1</v>
      </c>
      <c r="E4140" s="65" t="str">
        <f aca="false">IF($H4140="","",资金流水!$B473)</f>
        <v/>
      </c>
      <c r="F4140" s="55" t="str">
        <f aca="false">IF($H4140="","",资金流水!$C473)</f>
        <v/>
      </c>
      <c r="G4140" s="48" t="str">
        <f aca="false">IF($H4140="","",资金流水!$K473)</f>
        <v/>
      </c>
      <c r="H4140" s="10" t="str">
        <f aca="false">IF($L4140="","",IF($L4140="@对方",资金流水!$G473,IF($L4140="@账户",资金流水!$Q473,$L4140)))</f>
        <v/>
      </c>
      <c r="I4140" s="42" t="n">
        <f aca="false">IF($M4140="借",$O4140,0)</f>
        <v>0</v>
      </c>
      <c r="J4140" s="42" t="n">
        <f aca="false">IF($M4140="贷",$O4140,0)</f>
        <v>0</v>
      </c>
      <c r="K4140" s="48" t="str">
        <f aca="false">IF($H4140="","",资金流水!$F473)</f>
        <v/>
      </c>
      <c r="L4140" s="66" t="str">
        <f aca="false">IF(资金流水!$E473="","",IFERROR(INDEX(记账规则!$A$13:$H$32,MATCH(资金流水!$E473,记账规则!$A$13:$A$32,0),3),""))</f>
        <v/>
      </c>
      <c r="M4140" s="66" t="str">
        <f aca="false">IF($L4140="","",IFERROR(INDEX(记账规则!$A$13:$H$32,MATCH(资金流水!$E473,记账规则!$A$13:$A$32,0),4),""))</f>
        <v/>
      </c>
      <c r="N4140" s="66" t="str">
        <f aca="false">IF($L4140="","",IFERROR(INDEX(记账规则!$A$13:$H$32,MATCH(资金流水!$E473,记账规则!$A$13:$A$32,0),5),""))</f>
        <v/>
      </c>
      <c r="O4140" s="67" t="n">
        <f aca="false">IF($H4140="",0,ROUND(IF($N4140="金额",N(资金流水!$P473),0),2))</f>
        <v>0</v>
      </c>
      <c r="P4140" s="64" t="str">
        <f aca="false">IF(AND($H4140&lt;&gt;"",ROUND($O4140,2)&lt;&gt;0),"有","")</f>
        <v/>
      </c>
    </row>
    <row r="4141" customFormat="false" ht="15" hidden="true" customHeight="false" outlineLevel="0" collapsed="false">
      <c r="A4141" s="53" t="str">
        <f aca="false">IF($H4141="","",ROW()-5)</f>
        <v/>
      </c>
      <c r="B4141" s="64" t="s">
        <v>37</v>
      </c>
      <c r="C4141" s="53" t="n">
        <v>473</v>
      </c>
      <c r="D4141" s="53" t="n">
        <v>2</v>
      </c>
      <c r="E4141" s="65" t="str">
        <f aca="false">IF($H4141="","",资金流水!$B473)</f>
        <v/>
      </c>
      <c r="F4141" s="55" t="str">
        <f aca="false">IF($H4141="","",资金流水!$C473)</f>
        <v/>
      </c>
      <c r="G4141" s="48" t="str">
        <f aca="false">IF($H4141="","",资金流水!$K473)</f>
        <v/>
      </c>
      <c r="H4141" s="10" t="str">
        <f aca="false">IF($L4141="","",IF($L4141="@对方",资金流水!$G473,IF($L4141="@账户",资金流水!$Q473,$L4141)))</f>
        <v/>
      </c>
      <c r="I4141" s="42" t="n">
        <f aca="false">IF($M4141="借",$O4141,0)</f>
        <v>0</v>
      </c>
      <c r="J4141" s="42" t="n">
        <f aca="false">IF($M4141="贷",$O4141,0)</f>
        <v>0</v>
      </c>
      <c r="K4141" s="48" t="str">
        <f aca="false">IF($H4141="","",资金流水!$F473)</f>
        <v/>
      </c>
      <c r="L4141" s="66" t="str">
        <f aca="false">IF(资金流水!$E473="","",IFERROR(INDEX(记账规则!$A$13:$H$32,MATCH(资金流水!$E473,记账规则!$A$13:$A$32,0),6),""))</f>
        <v/>
      </c>
      <c r="M4141" s="66" t="str">
        <f aca="false">IF($L4141="","",IFERROR(INDEX(记账规则!$A$13:$H$32,MATCH(资金流水!$E473,记账规则!$A$13:$A$32,0),7),""))</f>
        <v/>
      </c>
      <c r="N4141" s="66" t="str">
        <f aca="false">IF($L4141="","",IFERROR(INDEX(记账规则!$A$13:$H$32,MATCH(资金流水!$E473,记账规则!$A$13:$A$32,0),8),""))</f>
        <v/>
      </c>
      <c r="O4141" s="67" t="n">
        <f aca="false">IF($H4141="",0,ROUND(IF($N4141="金额",N(资金流水!$P473),0),2))</f>
        <v>0</v>
      </c>
      <c r="P4141" s="64" t="str">
        <f aca="false">IF(AND($H4141&lt;&gt;"",ROUND($O4141,2)&lt;&gt;0),"有","")</f>
        <v/>
      </c>
    </row>
    <row r="4142" customFormat="false" ht="15" hidden="true" customHeight="false" outlineLevel="0" collapsed="false">
      <c r="A4142" s="53" t="str">
        <f aca="false">IF($H4142="","",ROW()-5)</f>
        <v/>
      </c>
      <c r="B4142" s="64" t="s">
        <v>37</v>
      </c>
      <c r="C4142" s="53" t="n">
        <v>474</v>
      </c>
      <c r="D4142" s="53" t="n">
        <v>1</v>
      </c>
      <c r="E4142" s="65" t="str">
        <f aca="false">IF($H4142="","",资金流水!$B474)</f>
        <v/>
      </c>
      <c r="F4142" s="55" t="str">
        <f aca="false">IF($H4142="","",资金流水!$C474)</f>
        <v/>
      </c>
      <c r="G4142" s="48" t="str">
        <f aca="false">IF($H4142="","",资金流水!$K474)</f>
        <v/>
      </c>
      <c r="H4142" s="10" t="str">
        <f aca="false">IF($L4142="","",IF($L4142="@对方",资金流水!$G474,IF($L4142="@账户",资金流水!$Q474,$L4142)))</f>
        <v/>
      </c>
      <c r="I4142" s="42" t="n">
        <f aca="false">IF($M4142="借",$O4142,0)</f>
        <v>0</v>
      </c>
      <c r="J4142" s="42" t="n">
        <f aca="false">IF($M4142="贷",$O4142,0)</f>
        <v>0</v>
      </c>
      <c r="K4142" s="48" t="str">
        <f aca="false">IF($H4142="","",资金流水!$F474)</f>
        <v/>
      </c>
      <c r="L4142" s="66" t="str">
        <f aca="false">IF(资金流水!$E474="","",IFERROR(INDEX(记账规则!$A$13:$H$32,MATCH(资金流水!$E474,记账规则!$A$13:$A$32,0),3),""))</f>
        <v/>
      </c>
      <c r="M4142" s="66" t="str">
        <f aca="false">IF($L4142="","",IFERROR(INDEX(记账规则!$A$13:$H$32,MATCH(资金流水!$E474,记账规则!$A$13:$A$32,0),4),""))</f>
        <v/>
      </c>
      <c r="N4142" s="66" t="str">
        <f aca="false">IF($L4142="","",IFERROR(INDEX(记账规则!$A$13:$H$32,MATCH(资金流水!$E474,记账规则!$A$13:$A$32,0),5),""))</f>
        <v/>
      </c>
      <c r="O4142" s="67" t="n">
        <f aca="false">IF($H4142="",0,ROUND(IF($N4142="金额",N(资金流水!$P474),0),2))</f>
        <v>0</v>
      </c>
      <c r="P4142" s="64" t="str">
        <f aca="false">IF(AND($H4142&lt;&gt;"",ROUND($O4142,2)&lt;&gt;0),"有","")</f>
        <v/>
      </c>
    </row>
    <row r="4143" customFormat="false" ht="15" hidden="true" customHeight="false" outlineLevel="0" collapsed="false">
      <c r="A4143" s="53" t="str">
        <f aca="false">IF($H4143="","",ROW()-5)</f>
        <v/>
      </c>
      <c r="B4143" s="64" t="s">
        <v>37</v>
      </c>
      <c r="C4143" s="53" t="n">
        <v>474</v>
      </c>
      <c r="D4143" s="53" t="n">
        <v>2</v>
      </c>
      <c r="E4143" s="65" t="str">
        <f aca="false">IF($H4143="","",资金流水!$B474)</f>
        <v/>
      </c>
      <c r="F4143" s="55" t="str">
        <f aca="false">IF($H4143="","",资金流水!$C474)</f>
        <v/>
      </c>
      <c r="G4143" s="48" t="str">
        <f aca="false">IF($H4143="","",资金流水!$K474)</f>
        <v/>
      </c>
      <c r="H4143" s="10" t="str">
        <f aca="false">IF($L4143="","",IF($L4143="@对方",资金流水!$G474,IF($L4143="@账户",资金流水!$Q474,$L4143)))</f>
        <v/>
      </c>
      <c r="I4143" s="42" t="n">
        <f aca="false">IF($M4143="借",$O4143,0)</f>
        <v>0</v>
      </c>
      <c r="J4143" s="42" t="n">
        <f aca="false">IF($M4143="贷",$O4143,0)</f>
        <v>0</v>
      </c>
      <c r="K4143" s="48" t="str">
        <f aca="false">IF($H4143="","",资金流水!$F474)</f>
        <v/>
      </c>
      <c r="L4143" s="66" t="str">
        <f aca="false">IF(资金流水!$E474="","",IFERROR(INDEX(记账规则!$A$13:$H$32,MATCH(资金流水!$E474,记账规则!$A$13:$A$32,0),6),""))</f>
        <v/>
      </c>
      <c r="M4143" s="66" t="str">
        <f aca="false">IF($L4143="","",IFERROR(INDEX(记账规则!$A$13:$H$32,MATCH(资金流水!$E474,记账规则!$A$13:$A$32,0),7),""))</f>
        <v/>
      </c>
      <c r="N4143" s="66" t="str">
        <f aca="false">IF($L4143="","",IFERROR(INDEX(记账规则!$A$13:$H$32,MATCH(资金流水!$E474,记账规则!$A$13:$A$32,0),8),""))</f>
        <v/>
      </c>
      <c r="O4143" s="67" t="n">
        <f aca="false">IF($H4143="",0,ROUND(IF($N4143="金额",N(资金流水!$P474),0),2))</f>
        <v>0</v>
      </c>
      <c r="P4143" s="64" t="str">
        <f aca="false">IF(AND($H4143&lt;&gt;"",ROUND($O4143,2)&lt;&gt;0),"有","")</f>
        <v/>
      </c>
    </row>
    <row r="4144" customFormat="false" ht="15" hidden="true" customHeight="false" outlineLevel="0" collapsed="false">
      <c r="A4144" s="53" t="str">
        <f aca="false">IF($H4144="","",ROW()-5)</f>
        <v/>
      </c>
      <c r="B4144" s="64" t="s">
        <v>37</v>
      </c>
      <c r="C4144" s="53" t="n">
        <v>475</v>
      </c>
      <c r="D4144" s="53" t="n">
        <v>1</v>
      </c>
      <c r="E4144" s="65" t="str">
        <f aca="false">IF($H4144="","",资金流水!$B475)</f>
        <v/>
      </c>
      <c r="F4144" s="55" t="str">
        <f aca="false">IF($H4144="","",资金流水!$C475)</f>
        <v/>
      </c>
      <c r="G4144" s="48" t="str">
        <f aca="false">IF($H4144="","",资金流水!$K475)</f>
        <v/>
      </c>
      <c r="H4144" s="10" t="str">
        <f aca="false">IF($L4144="","",IF($L4144="@对方",资金流水!$G475,IF($L4144="@账户",资金流水!$Q475,$L4144)))</f>
        <v/>
      </c>
      <c r="I4144" s="42" t="n">
        <f aca="false">IF($M4144="借",$O4144,0)</f>
        <v>0</v>
      </c>
      <c r="J4144" s="42" t="n">
        <f aca="false">IF($M4144="贷",$O4144,0)</f>
        <v>0</v>
      </c>
      <c r="K4144" s="48" t="str">
        <f aca="false">IF($H4144="","",资金流水!$F475)</f>
        <v/>
      </c>
      <c r="L4144" s="66" t="str">
        <f aca="false">IF(资金流水!$E475="","",IFERROR(INDEX(记账规则!$A$13:$H$32,MATCH(资金流水!$E475,记账规则!$A$13:$A$32,0),3),""))</f>
        <v/>
      </c>
      <c r="M4144" s="66" t="str">
        <f aca="false">IF($L4144="","",IFERROR(INDEX(记账规则!$A$13:$H$32,MATCH(资金流水!$E475,记账规则!$A$13:$A$32,0),4),""))</f>
        <v/>
      </c>
      <c r="N4144" s="66" t="str">
        <f aca="false">IF($L4144="","",IFERROR(INDEX(记账规则!$A$13:$H$32,MATCH(资金流水!$E475,记账规则!$A$13:$A$32,0),5),""))</f>
        <v/>
      </c>
      <c r="O4144" s="67" t="n">
        <f aca="false">IF($H4144="",0,ROUND(IF($N4144="金额",N(资金流水!$P475),0),2))</f>
        <v>0</v>
      </c>
      <c r="P4144" s="64" t="str">
        <f aca="false">IF(AND($H4144&lt;&gt;"",ROUND($O4144,2)&lt;&gt;0),"有","")</f>
        <v/>
      </c>
    </row>
    <row r="4145" customFormat="false" ht="15" hidden="true" customHeight="false" outlineLevel="0" collapsed="false">
      <c r="A4145" s="53" t="str">
        <f aca="false">IF($H4145="","",ROW()-5)</f>
        <v/>
      </c>
      <c r="B4145" s="64" t="s">
        <v>37</v>
      </c>
      <c r="C4145" s="53" t="n">
        <v>475</v>
      </c>
      <c r="D4145" s="53" t="n">
        <v>2</v>
      </c>
      <c r="E4145" s="65" t="str">
        <f aca="false">IF($H4145="","",资金流水!$B475)</f>
        <v/>
      </c>
      <c r="F4145" s="55" t="str">
        <f aca="false">IF($H4145="","",资金流水!$C475)</f>
        <v/>
      </c>
      <c r="G4145" s="48" t="str">
        <f aca="false">IF($H4145="","",资金流水!$K475)</f>
        <v/>
      </c>
      <c r="H4145" s="10" t="str">
        <f aca="false">IF($L4145="","",IF($L4145="@对方",资金流水!$G475,IF($L4145="@账户",资金流水!$Q475,$L4145)))</f>
        <v/>
      </c>
      <c r="I4145" s="42" t="n">
        <f aca="false">IF($M4145="借",$O4145,0)</f>
        <v>0</v>
      </c>
      <c r="J4145" s="42" t="n">
        <f aca="false">IF($M4145="贷",$O4145,0)</f>
        <v>0</v>
      </c>
      <c r="K4145" s="48" t="str">
        <f aca="false">IF($H4145="","",资金流水!$F475)</f>
        <v/>
      </c>
      <c r="L4145" s="66" t="str">
        <f aca="false">IF(资金流水!$E475="","",IFERROR(INDEX(记账规则!$A$13:$H$32,MATCH(资金流水!$E475,记账规则!$A$13:$A$32,0),6),""))</f>
        <v/>
      </c>
      <c r="M4145" s="66" t="str">
        <f aca="false">IF($L4145="","",IFERROR(INDEX(记账规则!$A$13:$H$32,MATCH(资金流水!$E475,记账规则!$A$13:$A$32,0),7),""))</f>
        <v/>
      </c>
      <c r="N4145" s="66" t="str">
        <f aca="false">IF($L4145="","",IFERROR(INDEX(记账规则!$A$13:$H$32,MATCH(资金流水!$E475,记账规则!$A$13:$A$32,0),8),""))</f>
        <v/>
      </c>
      <c r="O4145" s="67" t="n">
        <f aca="false">IF($H4145="",0,ROUND(IF($N4145="金额",N(资金流水!$P475),0),2))</f>
        <v>0</v>
      </c>
      <c r="P4145" s="64" t="str">
        <f aca="false">IF(AND($H4145&lt;&gt;"",ROUND($O4145,2)&lt;&gt;0),"有","")</f>
        <v/>
      </c>
    </row>
    <row r="4146" customFormat="false" ht="15" hidden="true" customHeight="false" outlineLevel="0" collapsed="false">
      <c r="A4146" s="53" t="str">
        <f aca="false">IF($H4146="","",ROW()-5)</f>
        <v/>
      </c>
      <c r="B4146" s="64" t="s">
        <v>37</v>
      </c>
      <c r="C4146" s="53" t="n">
        <v>476</v>
      </c>
      <c r="D4146" s="53" t="n">
        <v>1</v>
      </c>
      <c r="E4146" s="65" t="str">
        <f aca="false">IF($H4146="","",资金流水!$B476)</f>
        <v/>
      </c>
      <c r="F4146" s="55" t="str">
        <f aca="false">IF($H4146="","",资金流水!$C476)</f>
        <v/>
      </c>
      <c r="G4146" s="48" t="str">
        <f aca="false">IF($H4146="","",资金流水!$K476)</f>
        <v/>
      </c>
      <c r="H4146" s="10" t="str">
        <f aca="false">IF($L4146="","",IF($L4146="@对方",资金流水!$G476,IF($L4146="@账户",资金流水!$Q476,$L4146)))</f>
        <v/>
      </c>
      <c r="I4146" s="42" t="n">
        <f aca="false">IF($M4146="借",$O4146,0)</f>
        <v>0</v>
      </c>
      <c r="J4146" s="42" t="n">
        <f aca="false">IF($M4146="贷",$O4146,0)</f>
        <v>0</v>
      </c>
      <c r="K4146" s="48" t="str">
        <f aca="false">IF($H4146="","",资金流水!$F476)</f>
        <v/>
      </c>
      <c r="L4146" s="66" t="str">
        <f aca="false">IF(资金流水!$E476="","",IFERROR(INDEX(记账规则!$A$13:$H$32,MATCH(资金流水!$E476,记账规则!$A$13:$A$32,0),3),""))</f>
        <v/>
      </c>
      <c r="M4146" s="66" t="str">
        <f aca="false">IF($L4146="","",IFERROR(INDEX(记账规则!$A$13:$H$32,MATCH(资金流水!$E476,记账规则!$A$13:$A$32,0),4),""))</f>
        <v/>
      </c>
      <c r="N4146" s="66" t="str">
        <f aca="false">IF($L4146="","",IFERROR(INDEX(记账规则!$A$13:$H$32,MATCH(资金流水!$E476,记账规则!$A$13:$A$32,0),5),""))</f>
        <v/>
      </c>
      <c r="O4146" s="67" t="n">
        <f aca="false">IF($H4146="",0,ROUND(IF($N4146="金额",N(资金流水!$P476),0),2))</f>
        <v>0</v>
      </c>
      <c r="P4146" s="64" t="str">
        <f aca="false">IF(AND($H4146&lt;&gt;"",ROUND($O4146,2)&lt;&gt;0),"有","")</f>
        <v/>
      </c>
    </row>
    <row r="4147" customFormat="false" ht="15" hidden="true" customHeight="false" outlineLevel="0" collapsed="false">
      <c r="A4147" s="53" t="str">
        <f aca="false">IF($H4147="","",ROW()-5)</f>
        <v/>
      </c>
      <c r="B4147" s="64" t="s">
        <v>37</v>
      </c>
      <c r="C4147" s="53" t="n">
        <v>476</v>
      </c>
      <c r="D4147" s="53" t="n">
        <v>2</v>
      </c>
      <c r="E4147" s="65" t="str">
        <f aca="false">IF($H4147="","",资金流水!$B476)</f>
        <v/>
      </c>
      <c r="F4147" s="55" t="str">
        <f aca="false">IF($H4147="","",资金流水!$C476)</f>
        <v/>
      </c>
      <c r="G4147" s="48" t="str">
        <f aca="false">IF($H4147="","",资金流水!$K476)</f>
        <v/>
      </c>
      <c r="H4147" s="10" t="str">
        <f aca="false">IF($L4147="","",IF($L4147="@对方",资金流水!$G476,IF($L4147="@账户",资金流水!$Q476,$L4147)))</f>
        <v/>
      </c>
      <c r="I4147" s="42" t="n">
        <f aca="false">IF($M4147="借",$O4147,0)</f>
        <v>0</v>
      </c>
      <c r="J4147" s="42" t="n">
        <f aca="false">IF($M4147="贷",$O4147,0)</f>
        <v>0</v>
      </c>
      <c r="K4147" s="48" t="str">
        <f aca="false">IF($H4147="","",资金流水!$F476)</f>
        <v/>
      </c>
      <c r="L4147" s="66" t="str">
        <f aca="false">IF(资金流水!$E476="","",IFERROR(INDEX(记账规则!$A$13:$H$32,MATCH(资金流水!$E476,记账规则!$A$13:$A$32,0),6),""))</f>
        <v/>
      </c>
      <c r="M4147" s="66" t="str">
        <f aca="false">IF($L4147="","",IFERROR(INDEX(记账规则!$A$13:$H$32,MATCH(资金流水!$E476,记账规则!$A$13:$A$32,0),7),""))</f>
        <v/>
      </c>
      <c r="N4147" s="66" t="str">
        <f aca="false">IF($L4147="","",IFERROR(INDEX(记账规则!$A$13:$H$32,MATCH(资金流水!$E476,记账规则!$A$13:$A$32,0),8),""))</f>
        <v/>
      </c>
      <c r="O4147" s="67" t="n">
        <f aca="false">IF($H4147="",0,ROUND(IF($N4147="金额",N(资金流水!$P476),0),2))</f>
        <v>0</v>
      </c>
      <c r="P4147" s="64" t="str">
        <f aca="false">IF(AND($H4147&lt;&gt;"",ROUND($O4147,2)&lt;&gt;0),"有","")</f>
        <v/>
      </c>
    </row>
    <row r="4148" customFormat="false" ht="15" hidden="true" customHeight="false" outlineLevel="0" collapsed="false">
      <c r="A4148" s="53" t="str">
        <f aca="false">IF($H4148="","",ROW()-5)</f>
        <v/>
      </c>
      <c r="B4148" s="64" t="s">
        <v>37</v>
      </c>
      <c r="C4148" s="53" t="n">
        <v>477</v>
      </c>
      <c r="D4148" s="53" t="n">
        <v>1</v>
      </c>
      <c r="E4148" s="65" t="str">
        <f aca="false">IF($H4148="","",资金流水!$B477)</f>
        <v/>
      </c>
      <c r="F4148" s="55" t="str">
        <f aca="false">IF($H4148="","",资金流水!$C477)</f>
        <v/>
      </c>
      <c r="G4148" s="48" t="str">
        <f aca="false">IF($H4148="","",资金流水!$K477)</f>
        <v/>
      </c>
      <c r="H4148" s="10" t="str">
        <f aca="false">IF($L4148="","",IF($L4148="@对方",资金流水!$G477,IF($L4148="@账户",资金流水!$Q477,$L4148)))</f>
        <v/>
      </c>
      <c r="I4148" s="42" t="n">
        <f aca="false">IF($M4148="借",$O4148,0)</f>
        <v>0</v>
      </c>
      <c r="J4148" s="42" t="n">
        <f aca="false">IF($M4148="贷",$O4148,0)</f>
        <v>0</v>
      </c>
      <c r="K4148" s="48" t="str">
        <f aca="false">IF($H4148="","",资金流水!$F477)</f>
        <v/>
      </c>
      <c r="L4148" s="66" t="str">
        <f aca="false">IF(资金流水!$E477="","",IFERROR(INDEX(记账规则!$A$13:$H$32,MATCH(资金流水!$E477,记账规则!$A$13:$A$32,0),3),""))</f>
        <v/>
      </c>
      <c r="M4148" s="66" t="str">
        <f aca="false">IF($L4148="","",IFERROR(INDEX(记账规则!$A$13:$H$32,MATCH(资金流水!$E477,记账规则!$A$13:$A$32,0),4),""))</f>
        <v/>
      </c>
      <c r="N4148" s="66" t="str">
        <f aca="false">IF($L4148="","",IFERROR(INDEX(记账规则!$A$13:$H$32,MATCH(资金流水!$E477,记账规则!$A$13:$A$32,0),5),""))</f>
        <v/>
      </c>
      <c r="O4148" s="67" t="n">
        <f aca="false">IF($H4148="",0,ROUND(IF($N4148="金额",N(资金流水!$P477),0),2))</f>
        <v>0</v>
      </c>
      <c r="P4148" s="64" t="str">
        <f aca="false">IF(AND($H4148&lt;&gt;"",ROUND($O4148,2)&lt;&gt;0),"有","")</f>
        <v/>
      </c>
    </row>
    <row r="4149" customFormat="false" ht="15" hidden="true" customHeight="false" outlineLevel="0" collapsed="false">
      <c r="A4149" s="53" t="str">
        <f aca="false">IF($H4149="","",ROW()-5)</f>
        <v/>
      </c>
      <c r="B4149" s="64" t="s">
        <v>37</v>
      </c>
      <c r="C4149" s="53" t="n">
        <v>477</v>
      </c>
      <c r="D4149" s="53" t="n">
        <v>2</v>
      </c>
      <c r="E4149" s="65" t="str">
        <f aca="false">IF($H4149="","",资金流水!$B477)</f>
        <v/>
      </c>
      <c r="F4149" s="55" t="str">
        <f aca="false">IF($H4149="","",资金流水!$C477)</f>
        <v/>
      </c>
      <c r="G4149" s="48" t="str">
        <f aca="false">IF($H4149="","",资金流水!$K477)</f>
        <v/>
      </c>
      <c r="H4149" s="10" t="str">
        <f aca="false">IF($L4149="","",IF($L4149="@对方",资金流水!$G477,IF($L4149="@账户",资金流水!$Q477,$L4149)))</f>
        <v/>
      </c>
      <c r="I4149" s="42" t="n">
        <f aca="false">IF($M4149="借",$O4149,0)</f>
        <v>0</v>
      </c>
      <c r="J4149" s="42" t="n">
        <f aca="false">IF($M4149="贷",$O4149,0)</f>
        <v>0</v>
      </c>
      <c r="K4149" s="48" t="str">
        <f aca="false">IF($H4149="","",资金流水!$F477)</f>
        <v/>
      </c>
      <c r="L4149" s="66" t="str">
        <f aca="false">IF(资金流水!$E477="","",IFERROR(INDEX(记账规则!$A$13:$H$32,MATCH(资金流水!$E477,记账规则!$A$13:$A$32,0),6),""))</f>
        <v/>
      </c>
      <c r="M4149" s="66" t="str">
        <f aca="false">IF($L4149="","",IFERROR(INDEX(记账规则!$A$13:$H$32,MATCH(资金流水!$E477,记账规则!$A$13:$A$32,0),7),""))</f>
        <v/>
      </c>
      <c r="N4149" s="66" t="str">
        <f aca="false">IF($L4149="","",IFERROR(INDEX(记账规则!$A$13:$H$32,MATCH(资金流水!$E477,记账规则!$A$13:$A$32,0),8),""))</f>
        <v/>
      </c>
      <c r="O4149" s="67" t="n">
        <f aca="false">IF($H4149="",0,ROUND(IF($N4149="金额",N(资金流水!$P477),0),2))</f>
        <v>0</v>
      </c>
      <c r="P4149" s="64" t="str">
        <f aca="false">IF(AND($H4149&lt;&gt;"",ROUND($O4149,2)&lt;&gt;0),"有","")</f>
        <v/>
      </c>
    </row>
    <row r="4150" customFormat="false" ht="15" hidden="true" customHeight="false" outlineLevel="0" collapsed="false">
      <c r="A4150" s="53" t="str">
        <f aca="false">IF($H4150="","",ROW()-5)</f>
        <v/>
      </c>
      <c r="B4150" s="64" t="s">
        <v>37</v>
      </c>
      <c r="C4150" s="53" t="n">
        <v>478</v>
      </c>
      <c r="D4150" s="53" t="n">
        <v>1</v>
      </c>
      <c r="E4150" s="65" t="str">
        <f aca="false">IF($H4150="","",资金流水!$B478)</f>
        <v/>
      </c>
      <c r="F4150" s="55" t="str">
        <f aca="false">IF($H4150="","",资金流水!$C478)</f>
        <v/>
      </c>
      <c r="G4150" s="48" t="str">
        <f aca="false">IF($H4150="","",资金流水!$K478)</f>
        <v/>
      </c>
      <c r="H4150" s="10" t="str">
        <f aca="false">IF($L4150="","",IF($L4150="@对方",资金流水!$G478,IF($L4150="@账户",资金流水!$Q478,$L4150)))</f>
        <v/>
      </c>
      <c r="I4150" s="42" t="n">
        <f aca="false">IF($M4150="借",$O4150,0)</f>
        <v>0</v>
      </c>
      <c r="J4150" s="42" t="n">
        <f aca="false">IF($M4150="贷",$O4150,0)</f>
        <v>0</v>
      </c>
      <c r="K4150" s="48" t="str">
        <f aca="false">IF($H4150="","",资金流水!$F478)</f>
        <v/>
      </c>
      <c r="L4150" s="66" t="str">
        <f aca="false">IF(资金流水!$E478="","",IFERROR(INDEX(记账规则!$A$13:$H$32,MATCH(资金流水!$E478,记账规则!$A$13:$A$32,0),3),""))</f>
        <v/>
      </c>
      <c r="M4150" s="66" t="str">
        <f aca="false">IF($L4150="","",IFERROR(INDEX(记账规则!$A$13:$H$32,MATCH(资金流水!$E478,记账规则!$A$13:$A$32,0),4),""))</f>
        <v/>
      </c>
      <c r="N4150" s="66" t="str">
        <f aca="false">IF($L4150="","",IFERROR(INDEX(记账规则!$A$13:$H$32,MATCH(资金流水!$E478,记账规则!$A$13:$A$32,0),5),""))</f>
        <v/>
      </c>
      <c r="O4150" s="67" t="n">
        <f aca="false">IF($H4150="",0,ROUND(IF($N4150="金额",N(资金流水!$P478),0),2))</f>
        <v>0</v>
      </c>
      <c r="P4150" s="64" t="str">
        <f aca="false">IF(AND($H4150&lt;&gt;"",ROUND($O4150,2)&lt;&gt;0),"有","")</f>
        <v/>
      </c>
    </row>
    <row r="4151" customFormat="false" ht="15" hidden="true" customHeight="false" outlineLevel="0" collapsed="false">
      <c r="A4151" s="53" t="str">
        <f aca="false">IF($H4151="","",ROW()-5)</f>
        <v/>
      </c>
      <c r="B4151" s="64" t="s">
        <v>37</v>
      </c>
      <c r="C4151" s="53" t="n">
        <v>478</v>
      </c>
      <c r="D4151" s="53" t="n">
        <v>2</v>
      </c>
      <c r="E4151" s="65" t="str">
        <f aca="false">IF($H4151="","",资金流水!$B478)</f>
        <v/>
      </c>
      <c r="F4151" s="55" t="str">
        <f aca="false">IF($H4151="","",资金流水!$C478)</f>
        <v/>
      </c>
      <c r="G4151" s="48" t="str">
        <f aca="false">IF($H4151="","",资金流水!$K478)</f>
        <v/>
      </c>
      <c r="H4151" s="10" t="str">
        <f aca="false">IF($L4151="","",IF($L4151="@对方",资金流水!$G478,IF($L4151="@账户",资金流水!$Q478,$L4151)))</f>
        <v/>
      </c>
      <c r="I4151" s="42" t="n">
        <f aca="false">IF($M4151="借",$O4151,0)</f>
        <v>0</v>
      </c>
      <c r="J4151" s="42" t="n">
        <f aca="false">IF($M4151="贷",$O4151,0)</f>
        <v>0</v>
      </c>
      <c r="K4151" s="48" t="str">
        <f aca="false">IF($H4151="","",资金流水!$F478)</f>
        <v/>
      </c>
      <c r="L4151" s="66" t="str">
        <f aca="false">IF(资金流水!$E478="","",IFERROR(INDEX(记账规则!$A$13:$H$32,MATCH(资金流水!$E478,记账规则!$A$13:$A$32,0),6),""))</f>
        <v/>
      </c>
      <c r="M4151" s="66" t="str">
        <f aca="false">IF($L4151="","",IFERROR(INDEX(记账规则!$A$13:$H$32,MATCH(资金流水!$E478,记账规则!$A$13:$A$32,0),7),""))</f>
        <v/>
      </c>
      <c r="N4151" s="66" t="str">
        <f aca="false">IF($L4151="","",IFERROR(INDEX(记账规则!$A$13:$H$32,MATCH(资金流水!$E478,记账规则!$A$13:$A$32,0),8),""))</f>
        <v/>
      </c>
      <c r="O4151" s="67" t="n">
        <f aca="false">IF($H4151="",0,ROUND(IF($N4151="金额",N(资金流水!$P478),0),2))</f>
        <v>0</v>
      </c>
      <c r="P4151" s="64" t="str">
        <f aca="false">IF(AND($H4151&lt;&gt;"",ROUND($O4151,2)&lt;&gt;0),"有","")</f>
        <v/>
      </c>
    </row>
    <row r="4152" customFormat="false" ht="15" hidden="true" customHeight="false" outlineLevel="0" collapsed="false">
      <c r="A4152" s="53" t="str">
        <f aca="false">IF($H4152="","",ROW()-5)</f>
        <v/>
      </c>
      <c r="B4152" s="64" t="s">
        <v>37</v>
      </c>
      <c r="C4152" s="53" t="n">
        <v>479</v>
      </c>
      <c r="D4152" s="53" t="n">
        <v>1</v>
      </c>
      <c r="E4152" s="65" t="str">
        <f aca="false">IF($H4152="","",资金流水!$B479)</f>
        <v/>
      </c>
      <c r="F4152" s="55" t="str">
        <f aca="false">IF($H4152="","",资金流水!$C479)</f>
        <v/>
      </c>
      <c r="G4152" s="48" t="str">
        <f aca="false">IF($H4152="","",资金流水!$K479)</f>
        <v/>
      </c>
      <c r="H4152" s="10" t="str">
        <f aca="false">IF($L4152="","",IF($L4152="@对方",资金流水!$G479,IF($L4152="@账户",资金流水!$Q479,$L4152)))</f>
        <v/>
      </c>
      <c r="I4152" s="42" t="n">
        <f aca="false">IF($M4152="借",$O4152,0)</f>
        <v>0</v>
      </c>
      <c r="J4152" s="42" t="n">
        <f aca="false">IF($M4152="贷",$O4152,0)</f>
        <v>0</v>
      </c>
      <c r="K4152" s="48" t="str">
        <f aca="false">IF($H4152="","",资金流水!$F479)</f>
        <v/>
      </c>
      <c r="L4152" s="66" t="str">
        <f aca="false">IF(资金流水!$E479="","",IFERROR(INDEX(记账规则!$A$13:$H$32,MATCH(资金流水!$E479,记账规则!$A$13:$A$32,0),3),""))</f>
        <v/>
      </c>
      <c r="M4152" s="66" t="str">
        <f aca="false">IF($L4152="","",IFERROR(INDEX(记账规则!$A$13:$H$32,MATCH(资金流水!$E479,记账规则!$A$13:$A$32,0),4),""))</f>
        <v/>
      </c>
      <c r="N4152" s="66" t="str">
        <f aca="false">IF($L4152="","",IFERROR(INDEX(记账规则!$A$13:$H$32,MATCH(资金流水!$E479,记账规则!$A$13:$A$32,0),5),""))</f>
        <v/>
      </c>
      <c r="O4152" s="67" t="n">
        <f aca="false">IF($H4152="",0,ROUND(IF($N4152="金额",N(资金流水!$P479),0),2))</f>
        <v>0</v>
      </c>
      <c r="P4152" s="64" t="str">
        <f aca="false">IF(AND($H4152&lt;&gt;"",ROUND($O4152,2)&lt;&gt;0),"有","")</f>
        <v/>
      </c>
    </row>
    <row r="4153" customFormat="false" ht="15" hidden="true" customHeight="false" outlineLevel="0" collapsed="false">
      <c r="A4153" s="53" t="str">
        <f aca="false">IF($H4153="","",ROW()-5)</f>
        <v/>
      </c>
      <c r="B4153" s="64" t="s">
        <v>37</v>
      </c>
      <c r="C4153" s="53" t="n">
        <v>479</v>
      </c>
      <c r="D4153" s="53" t="n">
        <v>2</v>
      </c>
      <c r="E4153" s="65" t="str">
        <f aca="false">IF($H4153="","",资金流水!$B479)</f>
        <v/>
      </c>
      <c r="F4153" s="55" t="str">
        <f aca="false">IF($H4153="","",资金流水!$C479)</f>
        <v/>
      </c>
      <c r="G4153" s="48" t="str">
        <f aca="false">IF($H4153="","",资金流水!$K479)</f>
        <v/>
      </c>
      <c r="H4153" s="10" t="str">
        <f aca="false">IF($L4153="","",IF($L4153="@对方",资金流水!$G479,IF($L4153="@账户",资金流水!$Q479,$L4153)))</f>
        <v/>
      </c>
      <c r="I4153" s="42" t="n">
        <f aca="false">IF($M4153="借",$O4153,0)</f>
        <v>0</v>
      </c>
      <c r="J4153" s="42" t="n">
        <f aca="false">IF($M4153="贷",$O4153,0)</f>
        <v>0</v>
      </c>
      <c r="K4153" s="48" t="str">
        <f aca="false">IF($H4153="","",资金流水!$F479)</f>
        <v/>
      </c>
      <c r="L4153" s="66" t="str">
        <f aca="false">IF(资金流水!$E479="","",IFERROR(INDEX(记账规则!$A$13:$H$32,MATCH(资金流水!$E479,记账规则!$A$13:$A$32,0),6),""))</f>
        <v/>
      </c>
      <c r="M4153" s="66" t="str">
        <f aca="false">IF($L4153="","",IFERROR(INDEX(记账规则!$A$13:$H$32,MATCH(资金流水!$E479,记账规则!$A$13:$A$32,0),7),""))</f>
        <v/>
      </c>
      <c r="N4153" s="66" t="str">
        <f aca="false">IF($L4153="","",IFERROR(INDEX(记账规则!$A$13:$H$32,MATCH(资金流水!$E479,记账规则!$A$13:$A$32,0),8),""))</f>
        <v/>
      </c>
      <c r="O4153" s="67" t="n">
        <f aca="false">IF($H4153="",0,ROUND(IF($N4153="金额",N(资金流水!$P479),0),2))</f>
        <v>0</v>
      </c>
      <c r="P4153" s="64" t="str">
        <f aca="false">IF(AND($H4153&lt;&gt;"",ROUND($O4153,2)&lt;&gt;0),"有","")</f>
        <v/>
      </c>
    </row>
    <row r="4154" customFormat="false" ht="15" hidden="true" customHeight="false" outlineLevel="0" collapsed="false">
      <c r="A4154" s="53" t="str">
        <f aca="false">IF($H4154="","",ROW()-5)</f>
        <v/>
      </c>
      <c r="B4154" s="64" t="s">
        <v>37</v>
      </c>
      <c r="C4154" s="53" t="n">
        <v>480</v>
      </c>
      <c r="D4154" s="53" t="n">
        <v>1</v>
      </c>
      <c r="E4154" s="65" t="str">
        <f aca="false">IF($H4154="","",资金流水!$B480)</f>
        <v/>
      </c>
      <c r="F4154" s="55" t="str">
        <f aca="false">IF($H4154="","",资金流水!$C480)</f>
        <v/>
      </c>
      <c r="G4154" s="48" t="str">
        <f aca="false">IF($H4154="","",资金流水!$K480)</f>
        <v/>
      </c>
      <c r="H4154" s="10" t="str">
        <f aca="false">IF($L4154="","",IF($L4154="@对方",资金流水!$G480,IF($L4154="@账户",资金流水!$Q480,$L4154)))</f>
        <v/>
      </c>
      <c r="I4154" s="42" t="n">
        <f aca="false">IF($M4154="借",$O4154,0)</f>
        <v>0</v>
      </c>
      <c r="J4154" s="42" t="n">
        <f aca="false">IF($M4154="贷",$O4154,0)</f>
        <v>0</v>
      </c>
      <c r="K4154" s="48" t="str">
        <f aca="false">IF($H4154="","",资金流水!$F480)</f>
        <v/>
      </c>
      <c r="L4154" s="66" t="str">
        <f aca="false">IF(资金流水!$E480="","",IFERROR(INDEX(记账规则!$A$13:$H$32,MATCH(资金流水!$E480,记账规则!$A$13:$A$32,0),3),""))</f>
        <v/>
      </c>
      <c r="M4154" s="66" t="str">
        <f aca="false">IF($L4154="","",IFERROR(INDEX(记账规则!$A$13:$H$32,MATCH(资金流水!$E480,记账规则!$A$13:$A$32,0),4),""))</f>
        <v/>
      </c>
      <c r="N4154" s="66" t="str">
        <f aca="false">IF($L4154="","",IFERROR(INDEX(记账规则!$A$13:$H$32,MATCH(资金流水!$E480,记账规则!$A$13:$A$32,0),5),""))</f>
        <v/>
      </c>
      <c r="O4154" s="67" t="n">
        <f aca="false">IF($H4154="",0,ROUND(IF($N4154="金额",N(资金流水!$P480),0),2))</f>
        <v>0</v>
      </c>
      <c r="P4154" s="64" t="str">
        <f aca="false">IF(AND($H4154&lt;&gt;"",ROUND($O4154,2)&lt;&gt;0),"有","")</f>
        <v/>
      </c>
    </row>
    <row r="4155" customFormat="false" ht="15" hidden="true" customHeight="false" outlineLevel="0" collapsed="false">
      <c r="A4155" s="53" t="str">
        <f aca="false">IF($H4155="","",ROW()-5)</f>
        <v/>
      </c>
      <c r="B4155" s="64" t="s">
        <v>37</v>
      </c>
      <c r="C4155" s="53" t="n">
        <v>480</v>
      </c>
      <c r="D4155" s="53" t="n">
        <v>2</v>
      </c>
      <c r="E4155" s="65" t="str">
        <f aca="false">IF($H4155="","",资金流水!$B480)</f>
        <v/>
      </c>
      <c r="F4155" s="55" t="str">
        <f aca="false">IF($H4155="","",资金流水!$C480)</f>
        <v/>
      </c>
      <c r="G4155" s="48" t="str">
        <f aca="false">IF($H4155="","",资金流水!$K480)</f>
        <v/>
      </c>
      <c r="H4155" s="10" t="str">
        <f aca="false">IF($L4155="","",IF($L4155="@对方",资金流水!$G480,IF($L4155="@账户",资金流水!$Q480,$L4155)))</f>
        <v/>
      </c>
      <c r="I4155" s="42" t="n">
        <f aca="false">IF($M4155="借",$O4155,0)</f>
        <v>0</v>
      </c>
      <c r="J4155" s="42" t="n">
        <f aca="false">IF($M4155="贷",$O4155,0)</f>
        <v>0</v>
      </c>
      <c r="K4155" s="48" t="str">
        <f aca="false">IF($H4155="","",资金流水!$F480)</f>
        <v/>
      </c>
      <c r="L4155" s="66" t="str">
        <f aca="false">IF(资金流水!$E480="","",IFERROR(INDEX(记账规则!$A$13:$H$32,MATCH(资金流水!$E480,记账规则!$A$13:$A$32,0),6),""))</f>
        <v/>
      </c>
      <c r="M4155" s="66" t="str">
        <f aca="false">IF($L4155="","",IFERROR(INDEX(记账规则!$A$13:$H$32,MATCH(资金流水!$E480,记账规则!$A$13:$A$32,0),7),""))</f>
        <v/>
      </c>
      <c r="N4155" s="66" t="str">
        <f aca="false">IF($L4155="","",IFERROR(INDEX(记账规则!$A$13:$H$32,MATCH(资金流水!$E480,记账规则!$A$13:$A$32,0),8),""))</f>
        <v/>
      </c>
      <c r="O4155" s="67" t="n">
        <f aca="false">IF($H4155="",0,ROUND(IF($N4155="金额",N(资金流水!$P480),0),2))</f>
        <v>0</v>
      </c>
      <c r="P4155" s="64" t="str">
        <f aca="false">IF(AND($H4155&lt;&gt;"",ROUND($O4155,2)&lt;&gt;0),"有","")</f>
        <v/>
      </c>
    </row>
    <row r="4156" customFormat="false" ht="15" hidden="true" customHeight="false" outlineLevel="0" collapsed="false">
      <c r="A4156" s="53" t="str">
        <f aca="false">IF($H4156="","",ROW()-5)</f>
        <v/>
      </c>
      <c r="B4156" s="64" t="s">
        <v>37</v>
      </c>
      <c r="C4156" s="53" t="n">
        <v>481</v>
      </c>
      <c r="D4156" s="53" t="n">
        <v>1</v>
      </c>
      <c r="E4156" s="65" t="str">
        <f aca="false">IF($H4156="","",资金流水!$B481)</f>
        <v/>
      </c>
      <c r="F4156" s="55" t="str">
        <f aca="false">IF($H4156="","",资金流水!$C481)</f>
        <v/>
      </c>
      <c r="G4156" s="48" t="str">
        <f aca="false">IF($H4156="","",资金流水!$K481)</f>
        <v/>
      </c>
      <c r="H4156" s="10" t="str">
        <f aca="false">IF($L4156="","",IF($L4156="@对方",资金流水!$G481,IF($L4156="@账户",资金流水!$Q481,$L4156)))</f>
        <v/>
      </c>
      <c r="I4156" s="42" t="n">
        <f aca="false">IF($M4156="借",$O4156,0)</f>
        <v>0</v>
      </c>
      <c r="J4156" s="42" t="n">
        <f aca="false">IF($M4156="贷",$O4156,0)</f>
        <v>0</v>
      </c>
      <c r="K4156" s="48" t="str">
        <f aca="false">IF($H4156="","",资金流水!$F481)</f>
        <v/>
      </c>
      <c r="L4156" s="66" t="str">
        <f aca="false">IF(资金流水!$E481="","",IFERROR(INDEX(记账规则!$A$13:$H$32,MATCH(资金流水!$E481,记账规则!$A$13:$A$32,0),3),""))</f>
        <v/>
      </c>
      <c r="M4156" s="66" t="str">
        <f aca="false">IF($L4156="","",IFERROR(INDEX(记账规则!$A$13:$H$32,MATCH(资金流水!$E481,记账规则!$A$13:$A$32,0),4),""))</f>
        <v/>
      </c>
      <c r="N4156" s="66" t="str">
        <f aca="false">IF($L4156="","",IFERROR(INDEX(记账规则!$A$13:$H$32,MATCH(资金流水!$E481,记账规则!$A$13:$A$32,0),5),""))</f>
        <v/>
      </c>
      <c r="O4156" s="67" t="n">
        <f aca="false">IF($H4156="",0,ROUND(IF($N4156="金额",N(资金流水!$P481),0),2))</f>
        <v>0</v>
      </c>
      <c r="P4156" s="64" t="str">
        <f aca="false">IF(AND($H4156&lt;&gt;"",ROUND($O4156,2)&lt;&gt;0),"有","")</f>
        <v/>
      </c>
    </row>
    <row r="4157" customFormat="false" ht="15" hidden="true" customHeight="false" outlineLevel="0" collapsed="false">
      <c r="A4157" s="53" t="str">
        <f aca="false">IF($H4157="","",ROW()-5)</f>
        <v/>
      </c>
      <c r="B4157" s="64" t="s">
        <v>37</v>
      </c>
      <c r="C4157" s="53" t="n">
        <v>481</v>
      </c>
      <c r="D4157" s="53" t="n">
        <v>2</v>
      </c>
      <c r="E4157" s="65" t="str">
        <f aca="false">IF($H4157="","",资金流水!$B481)</f>
        <v/>
      </c>
      <c r="F4157" s="55" t="str">
        <f aca="false">IF($H4157="","",资金流水!$C481)</f>
        <v/>
      </c>
      <c r="G4157" s="48" t="str">
        <f aca="false">IF($H4157="","",资金流水!$K481)</f>
        <v/>
      </c>
      <c r="H4157" s="10" t="str">
        <f aca="false">IF($L4157="","",IF($L4157="@对方",资金流水!$G481,IF($L4157="@账户",资金流水!$Q481,$L4157)))</f>
        <v/>
      </c>
      <c r="I4157" s="42" t="n">
        <f aca="false">IF($M4157="借",$O4157,0)</f>
        <v>0</v>
      </c>
      <c r="J4157" s="42" t="n">
        <f aca="false">IF($M4157="贷",$O4157,0)</f>
        <v>0</v>
      </c>
      <c r="K4157" s="48" t="str">
        <f aca="false">IF($H4157="","",资金流水!$F481)</f>
        <v/>
      </c>
      <c r="L4157" s="66" t="str">
        <f aca="false">IF(资金流水!$E481="","",IFERROR(INDEX(记账规则!$A$13:$H$32,MATCH(资金流水!$E481,记账规则!$A$13:$A$32,0),6),""))</f>
        <v/>
      </c>
      <c r="M4157" s="66" t="str">
        <f aca="false">IF($L4157="","",IFERROR(INDEX(记账规则!$A$13:$H$32,MATCH(资金流水!$E481,记账规则!$A$13:$A$32,0),7),""))</f>
        <v/>
      </c>
      <c r="N4157" s="66" t="str">
        <f aca="false">IF($L4157="","",IFERROR(INDEX(记账规则!$A$13:$H$32,MATCH(资金流水!$E481,记账规则!$A$13:$A$32,0),8),""))</f>
        <v/>
      </c>
      <c r="O4157" s="67" t="n">
        <f aca="false">IF($H4157="",0,ROUND(IF($N4157="金额",N(资金流水!$P481),0),2))</f>
        <v>0</v>
      </c>
      <c r="P4157" s="64" t="str">
        <f aca="false">IF(AND($H4157&lt;&gt;"",ROUND($O4157,2)&lt;&gt;0),"有","")</f>
        <v/>
      </c>
    </row>
    <row r="4158" customFormat="false" ht="15" hidden="true" customHeight="false" outlineLevel="0" collapsed="false">
      <c r="A4158" s="53" t="str">
        <f aca="false">IF($H4158="","",ROW()-5)</f>
        <v/>
      </c>
      <c r="B4158" s="64" t="s">
        <v>37</v>
      </c>
      <c r="C4158" s="53" t="n">
        <v>482</v>
      </c>
      <c r="D4158" s="53" t="n">
        <v>1</v>
      </c>
      <c r="E4158" s="65" t="str">
        <f aca="false">IF($H4158="","",资金流水!$B482)</f>
        <v/>
      </c>
      <c r="F4158" s="55" t="str">
        <f aca="false">IF($H4158="","",资金流水!$C482)</f>
        <v/>
      </c>
      <c r="G4158" s="48" t="str">
        <f aca="false">IF($H4158="","",资金流水!$K482)</f>
        <v/>
      </c>
      <c r="H4158" s="10" t="str">
        <f aca="false">IF($L4158="","",IF($L4158="@对方",资金流水!$G482,IF($L4158="@账户",资金流水!$Q482,$L4158)))</f>
        <v/>
      </c>
      <c r="I4158" s="42" t="n">
        <f aca="false">IF($M4158="借",$O4158,0)</f>
        <v>0</v>
      </c>
      <c r="J4158" s="42" t="n">
        <f aca="false">IF($M4158="贷",$O4158,0)</f>
        <v>0</v>
      </c>
      <c r="K4158" s="48" t="str">
        <f aca="false">IF($H4158="","",资金流水!$F482)</f>
        <v/>
      </c>
      <c r="L4158" s="66" t="str">
        <f aca="false">IF(资金流水!$E482="","",IFERROR(INDEX(记账规则!$A$13:$H$32,MATCH(资金流水!$E482,记账规则!$A$13:$A$32,0),3),""))</f>
        <v/>
      </c>
      <c r="M4158" s="66" t="str">
        <f aca="false">IF($L4158="","",IFERROR(INDEX(记账规则!$A$13:$H$32,MATCH(资金流水!$E482,记账规则!$A$13:$A$32,0),4),""))</f>
        <v/>
      </c>
      <c r="N4158" s="66" t="str">
        <f aca="false">IF($L4158="","",IFERROR(INDEX(记账规则!$A$13:$H$32,MATCH(资金流水!$E482,记账规则!$A$13:$A$32,0),5),""))</f>
        <v/>
      </c>
      <c r="O4158" s="67" t="n">
        <f aca="false">IF($H4158="",0,ROUND(IF($N4158="金额",N(资金流水!$P482),0),2))</f>
        <v>0</v>
      </c>
      <c r="P4158" s="64" t="str">
        <f aca="false">IF(AND($H4158&lt;&gt;"",ROUND($O4158,2)&lt;&gt;0),"有","")</f>
        <v/>
      </c>
    </row>
    <row r="4159" customFormat="false" ht="15" hidden="true" customHeight="false" outlineLevel="0" collapsed="false">
      <c r="A4159" s="53" t="str">
        <f aca="false">IF($H4159="","",ROW()-5)</f>
        <v/>
      </c>
      <c r="B4159" s="64" t="s">
        <v>37</v>
      </c>
      <c r="C4159" s="53" t="n">
        <v>482</v>
      </c>
      <c r="D4159" s="53" t="n">
        <v>2</v>
      </c>
      <c r="E4159" s="65" t="str">
        <f aca="false">IF($H4159="","",资金流水!$B482)</f>
        <v/>
      </c>
      <c r="F4159" s="55" t="str">
        <f aca="false">IF($H4159="","",资金流水!$C482)</f>
        <v/>
      </c>
      <c r="G4159" s="48" t="str">
        <f aca="false">IF($H4159="","",资金流水!$K482)</f>
        <v/>
      </c>
      <c r="H4159" s="10" t="str">
        <f aca="false">IF($L4159="","",IF($L4159="@对方",资金流水!$G482,IF($L4159="@账户",资金流水!$Q482,$L4159)))</f>
        <v/>
      </c>
      <c r="I4159" s="42" t="n">
        <f aca="false">IF($M4159="借",$O4159,0)</f>
        <v>0</v>
      </c>
      <c r="J4159" s="42" t="n">
        <f aca="false">IF($M4159="贷",$O4159,0)</f>
        <v>0</v>
      </c>
      <c r="K4159" s="48" t="str">
        <f aca="false">IF($H4159="","",资金流水!$F482)</f>
        <v/>
      </c>
      <c r="L4159" s="66" t="str">
        <f aca="false">IF(资金流水!$E482="","",IFERROR(INDEX(记账规则!$A$13:$H$32,MATCH(资金流水!$E482,记账规则!$A$13:$A$32,0),6),""))</f>
        <v/>
      </c>
      <c r="M4159" s="66" t="str">
        <f aca="false">IF($L4159="","",IFERROR(INDEX(记账规则!$A$13:$H$32,MATCH(资金流水!$E482,记账规则!$A$13:$A$32,0),7),""))</f>
        <v/>
      </c>
      <c r="N4159" s="66" t="str">
        <f aca="false">IF($L4159="","",IFERROR(INDEX(记账规则!$A$13:$H$32,MATCH(资金流水!$E482,记账规则!$A$13:$A$32,0),8),""))</f>
        <v/>
      </c>
      <c r="O4159" s="67" t="n">
        <f aca="false">IF($H4159="",0,ROUND(IF($N4159="金额",N(资金流水!$P482),0),2))</f>
        <v>0</v>
      </c>
      <c r="P4159" s="64" t="str">
        <f aca="false">IF(AND($H4159&lt;&gt;"",ROUND($O4159,2)&lt;&gt;0),"有","")</f>
        <v/>
      </c>
    </row>
    <row r="4160" customFormat="false" ht="15" hidden="true" customHeight="false" outlineLevel="0" collapsed="false">
      <c r="A4160" s="53" t="str">
        <f aca="false">IF($H4160="","",ROW()-5)</f>
        <v/>
      </c>
      <c r="B4160" s="64" t="s">
        <v>37</v>
      </c>
      <c r="C4160" s="53" t="n">
        <v>483</v>
      </c>
      <c r="D4160" s="53" t="n">
        <v>1</v>
      </c>
      <c r="E4160" s="65" t="str">
        <f aca="false">IF($H4160="","",资金流水!$B483)</f>
        <v/>
      </c>
      <c r="F4160" s="55" t="str">
        <f aca="false">IF($H4160="","",资金流水!$C483)</f>
        <v/>
      </c>
      <c r="G4160" s="48" t="str">
        <f aca="false">IF($H4160="","",资金流水!$K483)</f>
        <v/>
      </c>
      <c r="H4160" s="10" t="str">
        <f aca="false">IF($L4160="","",IF($L4160="@对方",资金流水!$G483,IF($L4160="@账户",资金流水!$Q483,$L4160)))</f>
        <v/>
      </c>
      <c r="I4160" s="42" t="n">
        <f aca="false">IF($M4160="借",$O4160,0)</f>
        <v>0</v>
      </c>
      <c r="J4160" s="42" t="n">
        <f aca="false">IF($M4160="贷",$O4160,0)</f>
        <v>0</v>
      </c>
      <c r="K4160" s="48" t="str">
        <f aca="false">IF($H4160="","",资金流水!$F483)</f>
        <v/>
      </c>
      <c r="L4160" s="66" t="str">
        <f aca="false">IF(资金流水!$E483="","",IFERROR(INDEX(记账规则!$A$13:$H$32,MATCH(资金流水!$E483,记账规则!$A$13:$A$32,0),3),""))</f>
        <v/>
      </c>
      <c r="M4160" s="66" t="str">
        <f aca="false">IF($L4160="","",IFERROR(INDEX(记账规则!$A$13:$H$32,MATCH(资金流水!$E483,记账规则!$A$13:$A$32,0),4),""))</f>
        <v/>
      </c>
      <c r="N4160" s="66" t="str">
        <f aca="false">IF($L4160="","",IFERROR(INDEX(记账规则!$A$13:$H$32,MATCH(资金流水!$E483,记账规则!$A$13:$A$32,0),5),""))</f>
        <v/>
      </c>
      <c r="O4160" s="67" t="n">
        <f aca="false">IF($H4160="",0,ROUND(IF($N4160="金额",N(资金流水!$P483),0),2))</f>
        <v>0</v>
      </c>
      <c r="P4160" s="64" t="str">
        <f aca="false">IF(AND($H4160&lt;&gt;"",ROUND($O4160,2)&lt;&gt;0),"有","")</f>
        <v/>
      </c>
    </row>
    <row r="4161" customFormat="false" ht="15" hidden="true" customHeight="false" outlineLevel="0" collapsed="false">
      <c r="A4161" s="53" t="str">
        <f aca="false">IF($H4161="","",ROW()-5)</f>
        <v/>
      </c>
      <c r="B4161" s="64" t="s">
        <v>37</v>
      </c>
      <c r="C4161" s="53" t="n">
        <v>483</v>
      </c>
      <c r="D4161" s="53" t="n">
        <v>2</v>
      </c>
      <c r="E4161" s="65" t="str">
        <f aca="false">IF($H4161="","",资金流水!$B483)</f>
        <v/>
      </c>
      <c r="F4161" s="55" t="str">
        <f aca="false">IF($H4161="","",资金流水!$C483)</f>
        <v/>
      </c>
      <c r="G4161" s="48" t="str">
        <f aca="false">IF($H4161="","",资金流水!$K483)</f>
        <v/>
      </c>
      <c r="H4161" s="10" t="str">
        <f aca="false">IF($L4161="","",IF($L4161="@对方",资金流水!$G483,IF($L4161="@账户",资金流水!$Q483,$L4161)))</f>
        <v/>
      </c>
      <c r="I4161" s="42" t="n">
        <f aca="false">IF($M4161="借",$O4161,0)</f>
        <v>0</v>
      </c>
      <c r="J4161" s="42" t="n">
        <f aca="false">IF($M4161="贷",$O4161,0)</f>
        <v>0</v>
      </c>
      <c r="K4161" s="48" t="str">
        <f aca="false">IF($H4161="","",资金流水!$F483)</f>
        <v/>
      </c>
      <c r="L4161" s="66" t="str">
        <f aca="false">IF(资金流水!$E483="","",IFERROR(INDEX(记账规则!$A$13:$H$32,MATCH(资金流水!$E483,记账规则!$A$13:$A$32,0),6),""))</f>
        <v/>
      </c>
      <c r="M4161" s="66" t="str">
        <f aca="false">IF($L4161="","",IFERROR(INDEX(记账规则!$A$13:$H$32,MATCH(资金流水!$E483,记账规则!$A$13:$A$32,0),7),""))</f>
        <v/>
      </c>
      <c r="N4161" s="66" t="str">
        <f aca="false">IF($L4161="","",IFERROR(INDEX(记账规则!$A$13:$H$32,MATCH(资金流水!$E483,记账规则!$A$13:$A$32,0),8),""))</f>
        <v/>
      </c>
      <c r="O4161" s="67" t="n">
        <f aca="false">IF($H4161="",0,ROUND(IF($N4161="金额",N(资金流水!$P483),0),2))</f>
        <v>0</v>
      </c>
      <c r="P4161" s="64" t="str">
        <f aca="false">IF(AND($H4161&lt;&gt;"",ROUND($O4161,2)&lt;&gt;0),"有","")</f>
        <v/>
      </c>
    </row>
    <row r="4162" customFormat="false" ht="15" hidden="true" customHeight="false" outlineLevel="0" collapsed="false">
      <c r="A4162" s="53" t="str">
        <f aca="false">IF($H4162="","",ROW()-5)</f>
        <v/>
      </c>
      <c r="B4162" s="64" t="s">
        <v>37</v>
      </c>
      <c r="C4162" s="53" t="n">
        <v>484</v>
      </c>
      <c r="D4162" s="53" t="n">
        <v>1</v>
      </c>
      <c r="E4162" s="65" t="str">
        <f aca="false">IF($H4162="","",资金流水!$B484)</f>
        <v/>
      </c>
      <c r="F4162" s="55" t="str">
        <f aca="false">IF($H4162="","",资金流水!$C484)</f>
        <v/>
      </c>
      <c r="G4162" s="48" t="str">
        <f aca="false">IF($H4162="","",资金流水!$K484)</f>
        <v/>
      </c>
      <c r="H4162" s="10" t="str">
        <f aca="false">IF($L4162="","",IF($L4162="@对方",资金流水!$G484,IF($L4162="@账户",资金流水!$Q484,$L4162)))</f>
        <v/>
      </c>
      <c r="I4162" s="42" t="n">
        <f aca="false">IF($M4162="借",$O4162,0)</f>
        <v>0</v>
      </c>
      <c r="J4162" s="42" t="n">
        <f aca="false">IF($M4162="贷",$O4162,0)</f>
        <v>0</v>
      </c>
      <c r="K4162" s="48" t="str">
        <f aca="false">IF($H4162="","",资金流水!$F484)</f>
        <v/>
      </c>
      <c r="L4162" s="66" t="str">
        <f aca="false">IF(资金流水!$E484="","",IFERROR(INDEX(记账规则!$A$13:$H$32,MATCH(资金流水!$E484,记账规则!$A$13:$A$32,0),3),""))</f>
        <v/>
      </c>
      <c r="M4162" s="66" t="str">
        <f aca="false">IF($L4162="","",IFERROR(INDEX(记账规则!$A$13:$H$32,MATCH(资金流水!$E484,记账规则!$A$13:$A$32,0),4),""))</f>
        <v/>
      </c>
      <c r="N4162" s="66" t="str">
        <f aca="false">IF($L4162="","",IFERROR(INDEX(记账规则!$A$13:$H$32,MATCH(资金流水!$E484,记账规则!$A$13:$A$32,0),5),""))</f>
        <v/>
      </c>
      <c r="O4162" s="67" t="n">
        <f aca="false">IF($H4162="",0,ROUND(IF($N4162="金额",N(资金流水!$P484),0),2))</f>
        <v>0</v>
      </c>
      <c r="P4162" s="64" t="str">
        <f aca="false">IF(AND($H4162&lt;&gt;"",ROUND($O4162,2)&lt;&gt;0),"有","")</f>
        <v/>
      </c>
    </row>
    <row r="4163" customFormat="false" ht="15" hidden="true" customHeight="false" outlineLevel="0" collapsed="false">
      <c r="A4163" s="53" t="str">
        <f aca="false">IF($H4163="","",ROW()-5)</f>
        <v/>
      </c>
      <c r="B4163" s="64" t="s">
        <v>37</v>
      </c>
      <c r="C4163" s="53" t="n">
        <v>484</v>
      </c>
      <c r="D4163" s="53" t="n">
        <v>2</v>
      </c>
      <c r="E4163" s="65" t="str">
        <f aca="false">IF($H4163="","",资金流水!$B484)</f>
        <v/>
      </c>
      <c r="F4163" s="55" t="str">
        <f aca="false">IF($H4163="","",资金流水!$C484)</f>
        <v/>
      </c>
      <c r="G4163" s="48" t="str">
        <f aca="false">IF($H4163="","",资金流水!$K484)</f>
        <v/>
      </c>
      <c r="H4163" s="10" t="str">
        <f aca="false">IF($L4163="","",IF($L4163="@对方",资金流水!$G484,IF($L4163="@账户",资金流水!$Q484,$L4163)))</f>
        <v/>
      </c>
      <c r="I4163" s="42" t="n">
        <f aca="false">IF($M4163="借",$O4163,0)</f>
        <v>0</v>
      </c>
      <c r="J4163" s="42" t="n">
        <f aca="false">IF($M4163="贷",$O4163,0)</f>
        <v>0</v>
      </c>
      <c r="K4163" s="48" t="str">
        <f aca="false">IF($H4163="","",资金流水!$F484)</f>
        <v/>
      </c>
      <c r="L4163" s="66" t="str">
        <f aca="false">IF(资金流水!$E484="","",IFERROR(INDEX(记账规则!$A$13:$H$32,MATCH(资金流水!$E484,记账规则!$A$13:$A$32,0),6),""))</f>
        <v/>
      </c>
      <c r="M4163" s="66" t="str">
        <f aca="false">IF($L4163="","",IFERROR(INDEX(记账规则!$A$13:$H$32,MATCH(资金流水!$E484,记账规则!$A$13:$A$32,0),7),""))</f>
        <v/>
      </c>
      <c r="N4163" s="66" t="str">
        <f aca="false">IF($L4163="","",IFERROR(INDEX(记账规则!$A$13:$H$32,MATCH(资金流水!$E484,记账规则!$A$13:$A$32,0),8),""))</f>
        <v/>
      </c>
      <c r="O4163" s="67" t="n">
        <f aca="false">IF($H4163="",0,ROUND(IF($N4163="金额",N(资金流水!$P484),0),2))</f>
        <v>0</v>
      </c>
      <c r="P4163" s="64" t="str">
        <f aca="false">IF(AND($H4163&lt;&gt;"",ROUND($O4163,2)&lt;&gt;0),"有","")</f>
        <v/>
      </c>
    </row>
    <row r="4164" customFormat="false" ht="15" hidden="true" customHeight="false" outlineLevel="0" collapsed="false">
      <c r="A4164" s="53" t="str">
        <f aca="false">IF($H4164="","",ROW()-5)</f>
        <v/>
      </c>
      <c r="B4164" s="64" t="s">
        <v>37</v>
      </c>
      <c r="C4164" s="53" t="n">
        <v>485</v>
      </c>
      <c r="D4164" s="53" t="n">
        <v>1</v>
      </c>
      <c r="E4164" s="65" t="str">
        <f aca="false">IF($H4164="","",资金流水!$B485)</f>
        <v/>
      </c>
      <c r="F4164" s="55" t="str">
        <f aca="false">IF($H4164="","",资金流水!$C485)</f>
        <v/>
      </c>
      <c r="G4164" s="48" t="str">
        <f aca="false">IF($H4164="","",资金流水!$K485)</f>
        <v/>
      </c>
      <c r="H4164" s="10" t="str">
        <f aca="false">IF($L4164="","",IF($L4164="@对方",资金流水!$G485,IF($L4164="@账户",资金流水!$Q485,$L4164)))</f>
        <v/>
      </c>
      <c r="I4164" s="42" t="n">
        <f aca="false">IF($M4164="借",$O4164,0)</f>
        <v>0</v>
      </c>
      <c r="J4164" s="42" t="n">
        <f aca="false">IF($M4164="贷",$O4164,0)</f>
        <v>0</v>
      </c>
      <c r="K4164" s="48" t="str">
        <f aca="false">IF($H4164="","",资金流水!$F485)</f>
        <v/>
      </c>
      <c r="L4164" s="66" t="str">
        <f aca="false">IF(资金流水!$E485="","",IFERROR(INDEX(记账规则!$A$13:$H$32,MATCH(资金流水!$E485,记账规则!$A$13:$A$32,0),3),""))</f>
        <v/>
      </c>
      <c r="M4164" s="66" t="str">
        <f aca="false">IF($L4164="","",IFERROR(INDEX(记账规则!$A$13:$H$32,MATCH(资金流水!$E485,记账规则!$A$13:$A$32,0),4),""))</f>
        <v/>
      </c>
      <c r="N4164" s="66" t="str">
        <f aca="false">IF($L4164="","",IFERROR(INDEX(记账规则!$A$13:$H$32,MATCH(资金流水!$E485,记账规则!$A$13:$A$32,0),5),""))</f>
        <v/>
      </c>
      <c r="O4164" s="67" t="n">
        <f aca="false">IF($H4164="",0,ROUND(IF($N4164="金额",N(资金流水!$P485),0),2))</f>
        <v>0</v>
      </c>
      <c r="P4164" s="64" t="str">
        <f aca="false">IF(AND($H4164&lt;&gt;"",ROUND($O4164,2)&lt;&gt;0),"有","")</f>
        <v/>
      </c>
    </row>
    <row r="4165" customFormat="false" ht="15" hidden="true" customHeight="false" outlineLevel="0" collapsed="false">
      <c r="A4165" s="53" t="str">
        <f aca="false">IF($H4165="","",ROW()-5)</f>
        <v/>
      </c>
      <c r="B4165" s="64" t="s">
        <v>37</v>
      </c>
      <c r="C4165" s="53" t="n">
        <v>485</v>
      </c>
      <c r="D4165" s="53" t="n">
        <v>2</v>
      </c>
      <c r="E4165" s="65" t="str">
        <f aca="false">IF($H4165="","",资金流水!$B485)</f>
        <v/>
      </c>
      <c r="F4165" s="55" t="str">
        <f aca="false">IF($H4165="","",资金流水!$C485)</f>
        <v/>
      </c>
      <c r="G4165" s="48" t="str">
        <f aca="false">IF($H4165="","",资金流水!$K485)</f>
        <v/>
      </c>
      <c r="H4165" s="10" t="str">
        <f aca="false">IF($L4165="","",IF($L4165="@对方",资金流水!$G485,IF($L4165="@账户",资金流水!$Q485,$L4165)))</f>
        <v/>
      </c>
      <c r="I4165" s="42" t="n">
        <f aca="false">IF($M4165="借",$O4165,0)</f>
        <v>0</v>
      </c>
      <c r="J4165" s="42" t="n">
        <f aca="false">IF($M4165="贷",$O4165,0)</f>
        <v>0</v>
      </c>
      <c r="K4165" s="48" t="str">
        <f aca="false">IF($H4165="","",资金流水!$F485)</f>
        <v/>
      </c>
      <c r="L4165" s="66" t="str">
        <f aca="false">IF(资金流水!$E485="","",IFERROR(INDEX(记账规则!$A$13:$H$32,MATCH(资金流水!$E485,记账规则!$A$13:$A$32,0),6),""))</f>
        <v/>
      </c>
      <c r="M4165" s="66" t="str">
        <f aca="false">IF($L4165="","",IFERROR(INDEX(记账规则!$A$13:$H$32,MATCH(资金流水!$E485,记账规则!$A$13:$A$32,0),7),""))</f>
        <v/>
      </c>
      <c r="N4165" s="66" t="str">
        <f aca="false">IF($L4165="","",IFERROR(INDEX(记账规则!$A$13:$H$32,MATCH(资金流水!$E485,记账规则!$A$13:$A$32,0),8),""))</f>
        <v/>
      </c>
      <c r="O4165" s="67" t="n">
        <f aca="false">IF($H4165="",0,ROUND(IF($N4165="金额",N(资金流水!$P485),0),2))</f>
        <v>0</v>
      </c>
      <c r="P4165" s="64" t="str">
        <f aca="false">IF(AND($H4165&lt;&gt;"",ROUND($O4165,2)&lt;&gt;0),"有","")</f>
        <v/>
      </c>
    </row>
    <row r="4166" customFormat="false" ht="15" hidden="true" customHeight="false" outlineLevel="0" collapsed="false">
      <c r="A4166" s="53" t="str">
        <f aca="false">IF($H4166="","",ROW()-5)</f>
        <v/>
      </c>
      <c r="B4166" s="64" t="s">
        <v>37</v>
      </c>
      <c r="C4166" s="53" t="n">
        <v>486</v>
      </c>
      <c r="D4166" s="53" t="n">
        <v>1</v>
      </c>
      <c r="E4166" s="65" t="str">
        <f aca="false">IF($H4166="","",资金流水!$B486)</f>
        <v/>
      </c>
      <c r="F4166" s="55" t="str">
        <f aca="false">IF($H4166="","",资金流水!$C486)</f>
        <v/>
      </c>
      <c r="G4166" s="48" t="str">
        <f aca="false">IF($H4166="","",资金流水!$K486)</f>
        <v/>
      </c>
      <c r="H4166" s="10" t="str">
        <f aca="false">IF($L4166="","",IF($L4166="@对方",资金流水!$G486,IF($L4166="@账户",资金流水!$Q486,$L4166)))</f>
        <v/>
      </c>
      <c r="I4166" s="42" t="n">
        <f aca="false">IF($M4166="借",$O4166,0)</f>
        <v>0</v>
      </c>
      <c r="J4166" s="42" t="n">
        <f aca="false">IF($M4166="贷",$O4166,0)</f>
        <v>0</v>
      </c>
      <c r="K4166" s="48" t="str">
        <f aca="false">IF($H4166="","",资金流水!$F486)</f>
        <v/>
      </c>
      <c r="L4166" s="66" t="str">
        <f aca="false">IF(资金流水!$E486="","",IFERROR(INDEX(记账规则!$A$13:$H$32,MATCH(资金流水!$E486,记账规则!$A$13:$A$32,0),3),""))</f>
        <v/>
      </c>
      <c r="M4166" s="66" t="str">
        <f aca="false">IF($L4166="","",IFERROR(INDEX(记账规则!$A$13:$H$32,MATCH(资金流水!$E486,记账规则!$A$13:$A$32,0),4),""))</f>
        <v/>
      </c>
      <c r="N4166" s="66" t="str">
        <f aca="false">IF($L4166="","",IFERROR(INDEX(记账规则!$A$13:$H$32,MATCH(资金流水!$E486,记账规则!$A$13:$A$32,0),5),""))</f>
        <v/>
      </c>
      <c r="O4166" s="67" t="n">
        <f aca="false">IF($H4166="",0,ROUND(IF($N4166="金额",N(资金流水!$P486),0),2))</f>
        <v>0</v>
      </c>
      <c r="P4166" s="64" t="str">
        <f aca="false">IF(AND($H4166&lt;&gt;"",ROUND($O4166,2)&lt;&gt;0),"有","")</f>
        <v/>
      </c>
    </row>
    <row r="4167" customFormat="false" ht="15" hidden="true" customHeight="false" outlineLevel="0" collapsed="false">
      <c r="A4167" s="53" t="str">
        <f aca="false">IF($H4167="","",ROW()-5)</f>
        <v/>
      </c>
      <c r="B4167" s="64" t="s">
        <v>37</v>
      </c>
      <c r="C4167" s="53" t="n">
        <v>486</v>
      </c>
      <c r="D4167" s="53" t="n">
        <v>2</v>
      </c>
      <c r="E4167" s="65" t="str">
        <f aca="false">IF($H4167="","",资金流水!$B486)</f>
        <v/>
      </c>
      <c r="F4167" s="55" t="str">
        <f aca="false">IF($H4167="","",资金流水!$C486)</f>
        <v/>
      </c>
      <c r="G4167" s="48" t="str">
        <f aca="false">IF($H4167="","",资金流水!$K486)</f>
        <v/>
      </c>
      <c r="H4167" s="10" t="str">
        <f aca="false">IF($L4167="","",IF($L4167="@对方",资金流水!$G486,IF($L4167="@账户",资金流水!$Q486,$L4167)))</f>
        <v/>
      </c>
      <c r="I4167" s="42" t="n">
        <f aca="false">IF($M4167="借",$O4167,0)</f>
        <v>0</v>
      </c>
      <c r="J4167" s="42" t="n">
        <f aca="false">IF($M4167="贷",$O4167,0)</f>
        <v>0</v>
      </c>
      <c r="K4167" s="48" t="str">
        <f aca="false">IF($H4167="","",资金流水!$F486)</f>
        <v/>
      </c>
      <c r="L4167" s="66" t="str">
        <f aca="false">IF(资金流水!$E486="","",IFERROR(INDEX(记账规则!$A$13:$H$32,MATCH(资金流水!$E486,记账规则!$A$13:$A$32,0),6),""))</f>
        <v/>
      </c>
      <c r="M4167" s="66" t="str">
        <f aca="false">IF($L4167="","",IFERROR(INDEX(记账规则!$A$13:$H$32,MATCH(资金流水!$E486,记账规则!$A$13:$A$32,0),7),""))</f>
        <v/>
      </c>
      <c r="N4167" s="66" t="str">
        <f aca="false">IF($L4167="","",IFERROR(INDEX(记账规则!$A$13:$H$32,MATCH(资金流水!$E486,记账规则!$A$13:$A$32,0),8),""))</f>
        <v/>
      </c>
      <c r="O4167" s="67" t="n">
        <f aca="false">IF($H4167="",0,ROUND(IF($N4167="金额",N(资金流水!$P486),0),2))</f>
        <v>0</v>
      </c>
      <c r="P4167" s="64" t="str">
        <f aca="false">IF(AND($H4167&lt;&gt;"",ROUND($O4167,2)&lt;&gt;0),"有","")</f>
        <v/>
      </c>
    </row>
    <row r="4168" customFormat="false" ht="15" hidden="true" customHeight="false" outlineLevel="0" collapsed="false">
      <c r="A4168" s="53" t="str">
        <f aca="false">IF($H4168="","",ROW()-5)</f>
        <v/>
      </c>
      <c r="B4168" s="64" t="s">
        <v>37</v>
      </c>
      <c r="C4168" s="53" t="n">
        <v>487</v>
      </c>
      <c r="D4168" s="53" t="n">
        <v>1</v>
      </c>
      <c r="E4168" s="65" t="str">
        <f aca="false">IF($H4168="","",资金流水!$B487)</f>
        <v/>
      </c>
      <c r="F4168" s="55" t="str">
        <f aca="false">IF($H4168="","",资金流水!$C487)</f>
        <v/>
      </c>
      <c r="G4168" s="48" t="str">
        <f aca="false">IF($H4168="","",资金流水!$K487)</f>
        <v/>
      </c>
      <c r="H4168" s="10" t="str">
        <f aca="false">IF($L4168="","",IF($L4168="@对方",资金流水!$G487,IF($L4168="@账户",资金流水!$Q487,$L4168)))</f>
        <v/>
      </c>
      <c r="I4168" s="42" t="n">
        <f aca="false">IF($M4168="借",$O4168,0)</f>
        <v>0</v>
      </c>
      <c r="J4168" s="42" t="n">
        <f aca="false">IF($M4168="贷",$O4168,0)</f>
        <v>0</v>
      </c>
      <c r="K4168" s="48" t="str">
        <f aca="false">IF($H4168="","",资金流水!$F487)</f>
        <v/>
      </c>
      <c r="L4168" s="66" t="str">
        <f aca="false">IF(资金流水!$E487="","",IFERROR(INDEX(记账规则!$A$13:$H$32,MATCH(资金流水!$E487,记账规则!$A$13:$A$32,0),3),""))</f>
        <v/>
      </c>
      <c r="M4168" s="66" t="str">
        <f aca="false">IF($L4168="","",IFERROR(INDEX(记账规则!$A$13:$H$32,MATCH(资金流水!$E487,记账规则!$A$13:$A$32,0),4),""))</f>
        <v/>
      </c>
      <c r="N4168" s="66" t="str">
        <f aca="false">IF($L4168="","",IFERROR(INDEX(记账规则!$A$13:$H$32,MATCH(资金流水!$E487,记账规则!$A$13:$A$32,0),5),""))</f>
        <v/>
      </c>
      <c r="O4168" s="67" t="n">
        <f aca="false">IF($H4168="",0,ROUND(IF($N4168="金额",N(资金流水!$P487),0),2))</f>
        <v>0</v>
      </c>
      <c r="P4168" s="64" t="str">
        <f aca="false">IF(AND($H4168&lt;&gt;"",ROUND($O4168,2)&lt;&gt;0),"有","")</f>
        <v/>
      </c>
    </row>
    <row r="4169" customFormat="false" ht="15" hidden="true" customHeight="false" outlineLevel="0" collapsed="false">
      <c r="A4169" s="53" t="str">
        <f aca="false">IF($H4169="","",ROW()-5)</f>
        <v/>
      </c>
      <c r="B4169" s="64" t="s">
        <v>37</v>
      </c>
      <c r="C4169" s="53" t="n">
        <v>487</v>
      </c>
      <c r="D4169" s="53" t="n">
        <v>2</v>
      </c>
      <c r="E4169" s="65" t="str">
        <f aca="false">IF($H4169="","",资金流水!$B487)</f>
        <v/>
      </c>
      <c r="F4169" s="55" t="str">
        <f aca="false">IF($H4169="","",资金流水!$C487)</f>
        <v/>
      </c>
      <c r="G4169" s="48" t="str">
        <f aca="false">IF($H4169="","",资金流水!$K487)</f>
        <v/>
      </c>
      <c r="H4169" s="10" t="str">
        <f aca="false">IF($L4169="","",IF($L4169="@对方",资金流水!$G487,IF($L4169="@账户",资金流水!$Q487,$L4169)))</f>
        <v/>
      </c>
      <c r="I4169" s="42" t="n">
        <f aca="false">IF($M4169="借",$O4169,0)</f>
        <v>0</v>
      </c>
      <c r="J4169" s="42" t="n">
        <f aca="false">IF($M4169="贷",$O4169,0)</f>
        <v>0</v>
      </c>
      <c r="K4169" s="48" t="str">
        <f aca="false">IF($H4169="","",资金流水!$F487)</f>
        <v/>
      </c>
      <c r="L4169" s="66" t="str">
        <f aca="false">IF(资金流水!$E487="","",IFERROR(INDEX(记账规则!$A$13:$H$32,MATCH(资金流水!$E487,记账规则!$A$13:$A$32,0),6),""))</f>
        <v/>
      </c>
      <c r="M4169" s="66" t="str">
        <f aca="false">IF($L4169="","",IFERROR(INDEX(记账规则!$A$13:$H$32,MATCH(资金流水!$E487,记账规则!$A$13:$A$32,0),7),""))</f>
        <v/>
      </c>
      <c r="N4169" s="66" t="str">
        <f aca="false">IF($L4169="","",IFERROR(INDEX(记账规则!$A$13:$H$32,MATCH(资金流水!$E487,记账规则!$A$13:$A$32,0),8),""))</f>
        <v/>
      </c>
      <c r="O4169" s="67" t="n">
        <f aca="false">IF($H4169="",0,ROUND(IF($N4169="金额",N(资金流水!$P487),0),2))</f>
        <v>0</v>
      </c>
      <c r="P4169" s="64" t="str">
        <f aca="false">IF(AND($H4169&lt;&gt;"",ROUND($O4169,2)&lt;&gt;0),"有","")</f>
        <v/>
      </c>
    </row>
    <row r="4170" customFormat="false" ht="15" hidden="true" customHeight="false" outlineLevel="0" collapsed="false">
      <c r="A4170" s="53" t="str">
        <f aca="false">IF($H4170="","",ROW()-5)</f>
        <v/>
      </c>
      <c r="B4170" s="64" t="s">
        <v>37</v>
      </c>
      <c r="C4170" s="53" t="n">
        <v>488</v>
      </c>
      <c r="D4170" s="53" t="n">
        <v>1</v>
      </c>
      <c r="E4170" s="65" t="str">
        <f aca="false">IF($H4170="","",资金流水!$B488)</f>
        <v/>
      </c>
      <c r="F4170" s="55" t="str">
        <f aca="false">IF($H4170="","",资金流水!$C488)</f>
        <v/>
      </c>
      <c r="G4170" s="48" t="str">
        <f aca="false">IF($H4170="","",资金流水!$K488)</f>
        <v/>
      </c>
      <c r="H4170" s="10" t="str">
        <f aca="false">IF($L4170="","",IF($L4170="@对方",资金流水!$G488,IF($L4170="@账户",资金流水!$Q488,$L4170)))</f>
        <v/>
      </c>
      <c r="I4170" s="42" t="n">
        <f aca="false">IF($M4170="借",$O4170,0)</f>
        <v>0</v>
      </c>
      <c r="J4170" s="42" t="n">
        <f aca="false">IF($M4170="贷",$O4170,0)</f>
        <v>0</v>
      </c>
      <c r="K4170" s="48" t="str">
        <f aca="false">IF($H4170="","",资金流水!$F488)</f>
        <v/>
      </c>
      <c r="L4170" s="66" t="str">
        <f aca="false">IF(资金流水!$E488="","",IFERROR(INDEX(记账规则!$A$13:$H$32,MATCH(资金流水!$E488,记账规则!$A$13:$A$32,0),3),""))</f>
        <v/>
      </c>
      <c r="M4170" s="66" t="str">
        <f aca="false">IF($L4170="","",IFERROR(INDEX(记账规则!$A$13:$H$32,MATCH(资金流水!$E488,记账规则!$A$13:$A$32,0),4),""))</f>
        <v/>
      </c>
      <c r="N4170" s="66" t="str">
        <f aca="false">IF($L4170="","",IFERROR(INDEX(记账规则!$A$13:$H$32,MATCH(资金流水!$E488,记账规则!$A$13:$A$32,0),5),""))</f>
        <v/>
      </c>
      <c r="O4170" s="67" t="n">
        <f aca="false">IF($H4170="",0,ROUND(IF($N4170="金额",N(资金流水!$P488),0),2))</f>
        <v>0</v>
      </c>
      <c r="P4170" s="64" t="str">
        <f aca="false">IF(AND($H4170&lt;&gt;"",ROUND($O4170,2)&lt;&gt;0),"有","")</f>
        <v/>
      </c>
    </row>
    <row r="4171" customFormat="false" ht="15" hidden="true" customHeight="false" outlineLevel="0" collapsed="false">
      <c r="A4171" s="53" t="str">
        <f aca="false">IF($H4171="","",ROW()-5)</f>
        <v/>
      </c>
      <c r="B4171" s="64" t="s">
        <v>37</v>
      </c>
      <c r="C4171" s="53" t="n">
        <v>488</v>
      </c>
      <c r="D4171" s="53" t="n">
        <v>2</v>
      </c>
      <c r="E4171" s="65" t="str">
        <f aca="false">IF($H4171="","",资金流水!$B488)</f>
        <v/>
      </c>
      <c r="F4171" s="55" t="str">
        <f aca="false">IF($H4171="","",资金流水!$C488)</f>
        <v/>
      </c>
      <c r="G4171" s="48" t="str">
        <f aca="false">IF($H4171="","",资金流水!$K488)</f>
        <v/>
      </c>
      <c r="H4171" s="10" t="str">
        <f aca="false">IF($L4171="","",IF($L4171="@对方",资金流水!$G488,IF($L4171="@账户",资金流水!$Q488,$L4171)))</f>
        <v/>
      </c>
      <c r="I4171" s="42" t="n">
        <f aca="false">IF($M4171="借",$O4171,0)</f>
        <v>0</v>
      </c>
      <c r="J4171" s="42" t="n">
        <f aca="false">IF($M4171="贷",$O4171,0)</f>
        <v>0</v>
      </c>
      <c r="K4171" s="48" t="str">
        <f aca="false">IF($H4171="","",资金流水!$F488)</f>
        <v/>
      </c>
      <c r="L4171" s="66" t="str">
        <f aca="false">IF(资金流水!$E488="","",IFERROR(INDEX(记账规则!$A$13:$H$32,MATCH(资金流水!$E488,记账规则!$A$13:$A$32,0),6),""))</f>
        <v/>
      </c>
      <c r="M4171" s="66" t="str">
        <f aca="false">IF($L4171="","",IFERROR(INDEX(记账规则!$A$13:$H$32,MATCH(资金流水!$E488,记账规则!$A$13:$A$32,0),7),""))</f>
        <v/>
      </c>
      <c r="N4171" s="66" t="str">
        <f aca="false">IF($L4171="","",IFERROR(INDEX(记账规则!$A$13:$H$32,MATCH(资金流水!$E488,记账规则!$A$13:$A$32,0),8),""))</f>
        <v/>
      </c>
      <c r="O4171" s="67" t="n">
        <f aca="false">IF($H4171="",0,ROUND(IF($N4171="金额",N(资金流水!$P488),0),2))</f>
        <v>0</v>
      </c>
      <c r="P4171" s="64" t="str">
        <f aca="false">IF(AND($H4171&lt;&gt;"",ROUND($O4171,2)&lt;&gt;0),"有","")</f>
        <v/>
      </c>
    </row>
    <row r="4172" customFormat="false" ht="15" hidden="true" customHeight="false" outlineLevel="0" collapsed="false">
      <c r="A4172" s="53" t="str">
        <f aca="false">IF($H4172="","",ROW()-5)</f>
        <v/>
      </c>
      <c r="B4172" s="64" t="s">
        <v>37</v>
      </c>
      <c r="C4172" s="53" t="n">
        <v>489</v>
      </c>
      <c r="D4172" s="53" t="n">
        <v>1</v>
      </c>
      <c r="E4172" s="65" t="str">
        <f aca="false">IF($H4172="","",资金流水!$B489)</f>
        <v/>
      </c>
      <c r="F4172" s="55" t="str">
        <f aca="false">IF($H4172="","",资金流水!$C489)</f>
        <v/>
      </c>
      <c r="G4172" s="48" t="str">
        <f aca="false">IF($H4172="","",资金流水!$K489)</f>
        <v/>
      </c>
      <c r="H4172" s="10" t="str">
        <f aca="false">IF($L4172="","",IF($L4172="@对方",资金流水!$G489,IF($L4172="@账户",资金流水!$Q489,$L4172)))</f>
        <v/>
      </c>
      <c r="I4172" s="42" t="n">
        <f aca="false">IF($M4172="借",$O4172,0)</f>
        <v>0</v>
      </c>
      <c r="J4172" s="42" t="n">
        <f aca="false">IF($M4172="贷",$O4172,0)</f>
        <v>0</v>
      </c>
      <c r="K4172" s="48" t="str">
        <f aca="false">IF($H4172="","",资金流水!$F489)</f>
        <v/>
      </c>
      <c r="L4172" s="66" t="str">
        <f aca="false">IF(资金流水!$E489="","",IFERROR(INDEX(记账规则!$A$13:$H$32,MATCH(资金流水!$E489,记账规则!$A$13:$A$32,0),3),""))</f>
        <v/>
      </c>
      <c r="M4172" s="66" t="str">
        <f aca="false">IF($L4172="","",IFERROR(INDEX(记账规则!$A$13:$H$32,MATCH(资金流水!$E489,记账规则!$A$13:$A$32,0),4),""))</f>
        <v/>
      </c>
      <c r="N4172" s="66" t="str">
        <f aca="false">IF($L4172="","",IFERROR(INDEX(记账规则!$A$13:$H$32,MATCH(资金流水!$E489,记账规则!$A$13:$A$32,0),5),""))</f>
        <v/>
      </c>
      <c r="O4172" s="67" t="n">
        <f aca="false">IF($H4172="",0,ROUND(IF($N4172="金额",N(资金流水!$P489),0),2))</f>
        <v>0</v>
      </c>
      <c r="P4172" s="64" t="str">
        <f aca="false">IF(AND($H4172&lt;&gt;"",ROUND($O4172,2)&lt;&gt;0),"有","")</f>
        <v/>
      </c>
    </row>
    <row r="4173" customFormat="false" ht="15" hidden="true" customHeight="false" outlineLevel="0" collapsed="false">
      <c r="A4173" s="53" t="str">
        <f aca="false">IF($H4173="","",ROW()-5)</f>
        <v/>
      </c>
      <c r="B4173" s="64" t="s">
        <v>37</v>
      </c>
      <c r="C4173" s="53" t="n">
        <v>489</v>
      </c>
      <c r="D4173" s="53" t="n">
        <v>2</v>
      </c>
      <c r="E4173" s="65" t="str">
        <f aca="false">IF($H4173="","",资金流水!$B489)</f>
        <v/>
      </c>
      <c r="F4173" s="55" t="str">
        <f aca="false">IF($H4173="","",资金流水!$C489)</f>
        <v/>
      </c>
      <c r="G4173" s="48" t="str">
        <f aca="false">IF($H4173="","",资金流水!$K489)</f>
        <v/>
      </c>
      <c r="H4173" s="10" t="str">
        <f aca="false">IF($L4173="","",IF($L4173="@对方",资金流水!$G489,IF($L4173="@账户",资金流水!$Q489,$L4173)))</f>
        <v/>
      </c>
      <c r="I4173" s="42" t="n">
        <f aca="false">IF($M4173="借",$O4173,0)</f>
        <v>0</v>
      </c>
      <c r="J4173" s="42" t="n">
        <f aca="false">IF($M4173="贷",$O4173,0)</f>
        <v>0</v>
      </c>
      <c r="K4173" s="48" t="str">
        <f aca="false">IF($H4173="","",资金流水!$F489)</f>
        <v/>
      </c>
      <c r="L4173" s="66" t="str">
        <f aca="false">IF(资金流水!$E489="","",IFERROR(INDEX(记账规则!$A$13:$H$32,MATCH(资金流水!$E489,记账规则!$A$13:$A$32,0),6),""))</f>
        <v/>
      </c>
      <c r="M4173" s="66" t="str">
        <f aca="false">IF($L4173="","",IFERROR(INDEX(记账规则!$A$13:$H$32,MATCH(资金流水!$E489,记账规则!$A$13:$A$32,0),7),""))</f>
        <v/>
      </c>
      <c r="N4173" s="66" t="str">
        <f aca="false">IF($L4173="","",IFERROR(INDEX(记账规则!$A$13:$H$32,MATCH(资金流水!$E489,记账规则!$A$13:$A$32,0),8),""))</f>
        <v/>
      </c>
      <c r="O4173" s="67" t="n">
        <f aca="false">IF($H4173="",0,ROUND(IF($N4173="金额",N(资金流水!$P489),0),2))</f>
        <v>0</v>
      </c>
      <c r="P4173" s="64" t="str">
        <f aca="false">IF(AND($H4173&lt;&gt;"",ROUND($O4173,2)&lt;&gt;0),"有","")</f>
        <v/>
      </c>
    </row>
    <row r="4174" customFormat="false" ht="15" hidden="true" customHeight="false" outlineLevel="0" collapsed="false">
      <c r="A4174" s="53" t="str">
        <f aca="false">IF($H4174="","",ROW()-5)</f>
        <v/>
      </c>
      <c r="B4174" s="64" t="s">
        <v>37</v>
      </c>
      <c r="C4174" s="53" t="n">
        <v>490</v>
      </c>
      <c r="D4174" s="53" t="n">
        <v>1</v>
      </c>
      <c r="E4174" s="65" t="str">
        <f aca="false">IF($H4174="","",资金流水!$B490)</f>
        <v/>
      </c>
      <c r="F4174" s="55" t="str">
        <f aca="false">IF($H4174="","",资金流水!$C490)</f>
        <v/>
      </c>
      <c r="G4174" s="48" t="str">
        <f aca="false">IF($H4174="","",资金流水!$K490)</f>
        <v/>
      </c>
      <c r="H4174" s="10" t="str">
        <f aca="false">IF($L4174="","",IF($L4174="@对方",资金流水!$G490,IF($L4174="@账户",资金流水!$Q490,$L4174)))</f>
        <v/>
      </c>
      <c r="I4174" s="42" t="n">
        <f aca="false">IF($M4174="借",$O4174,0)</f>
        <v>0</v>
      </c>
      <c r="J4174" s="42" t="n">
        <f aca="false">IF($M4174="贷",$O4174,0)</f>
        <v>0</v>
      </c>
      <c r="K4174" s="48" t="str">
        <f aca="false">IF($H4174="","",资金流水!$F490)</f>
        <v/>
      </c>
      <c r="L4174" s="66" t="str">
        <f aca="false">IF(资金流水!$E490="","",IFERROR(INDEX(记账规则!$A$13:$H$32,MATCH(资金流水!$E490,记账规则!$A$13:$A$32,0),3),""))</f>
        <v/>
      </c>
      <c r="M4174" s="66" t="str">
        <f aca="false">IF($L4174="","",IFERROR(INDEX(记账规则!$A$13:$H$32,MATCH(资金流水!$E490,记账规则!$A$13:$A$32,0),4),""))</f>
        <v/>
      </c>
      <c r="N4174" s="66" t="str">
        <f aca="false">IF($L4174="","",IFERROR(INDEX(记账规则!$A$13:$H$32,MATCH(资金流水!$E490,记账规则!$A$13:$A$32,0),5),""))</f>
        <v/>
      </c>
      <c r="O4174" s="67" t="n">
        <f aca="false">IF($H4174="",0,ROUND(IF($N4174="金额",N(资金流水!$P490),0),2))</f>
        <v>0</v>
      </c>
      <c r="P4174" s="64" t="str">
        <f aca="false">IF(AND($H4174&lt;&gt;"",ROUND($O4174,2)&lt;&gt;0),"有","")</f>
        <v/>
      </c>
    </row>
    <row r="4175" customFormat="false" ht="15" hidden="true" customHeight="false" outlineLevel="0" collapsed="false">
      <c r="A4175" s="53" t="str">
        <f aca="false">IF($H4175="","",ROW()-5)</f>
        <v/>
      </c>
      <c r="B4175" s="64" t="s">
        <v>37</v>
      </c>
      <c r="C4175" s="53" t="n">
        <v>490</v>
      </c>
      <c r="D4175" s="53" t="n">
        <v>2</v>
      </c>
      <c r="E4175" s="65" t="str">
        <f aca="false">IF($H4175="","",资金流水!$B490)</f>
        <v/>
      </c>
      <c r="F4175" s="55" t="str">
        <f aca="false">IF($H4175="","",资金流水!$C490)</f>
        <v/>
      </c>
      <c r="G4175" s="48" t="str">
        <f aca="false">IF($H4175="","",资金流水!$K490)</f>
        <v/>
      </c>
      <c r="H4175" s="10" t="str">
        <f aca="false">IF($L4175="","",IF($L4175="@对方",资金流水!$G490,IF($L4175="@账户",资金流水!$Q490,$L4175)))</f>
        <v/>
      </c>
      <c r="I4175" s="42" t="n">
        <f aca="false">IF($M4175="借",$O4175,0)</f>
        <v>0</v>
      </c>
      <c r="J4175" s="42" t="n">
        <f aca="false">IF($M4175="贷",$O4175,0)</f>
        <v>0</v>
      </c>
      <c r="K4175" s="48" t="str">
        <f aca="false">IF($H4175="","",资金流水!$F490)</f>
        <v/>
      </c>
      <c r="L4175" s="66" t="str">
        <f aca="false">IF(资金流水!$E490="","",IFERROR(INDEX(记账规则!$A$13:$H$32,MATCH(资金流水!$E490,记账规则!$A$13:$A$32,0),6),""))</f>
        <v/>
      </c>
      <c r="M4175" s="66" t="str">
        <f aca="false">IF($L4175="","",IFERROR(INDEX(记账规则!$A$13:$H$32,MATCH(资金流水!$E490,记账规则!$A$13:$A$32,0),7),""))</f>
        <v/>
      </c>
      <c r="N4175" s="66" t="str">
        <f aca="false">IF($L4175="","",IFERROR(INDEX(记账规则!$A$13:$H$32,MATCH(资金流水!$E490,记账规则!$A$13:$A$32,0),8),""))</f>
        <v/>
      </c>
      <c r="O4175" s="67" t="n">
        <f aca="false">IF($H4175="",0,ROUND(IF($N4175="金额",N(资金流水!$P490),0),2))</f>
        <v>0</v>
      </c>
      <c r="P4175" s="64" t="str">
        <f aca="false">IF(AND($H4175&lt;&gt;"",ROUND($O4175,2)&lt;&gt;0),"有","")</f>
        <v/>
      </c>
    </row>
    <row r="4176" customFormat="false" ht="15" hidden="true" customHeight="false" outlineLevel="0" collapsed="false">
      <c r="A4176" s="53" t="str">
        <f aca="false">IF($H4176="","",ROW()-5)</f>
        <v/>
      </c>
      <c r="B4176" s="64" t="s">
        <v>37</v>
      </c>
      <c r="C4176" s="53" t="n">
        <v>491</v>
      </c>
      <c r="D4176" s="53" t="n">
        <v>1</v>
      </c>
      <c r="E4176" s="65" t="str">
        <f aca="false">IF($H4176="","",资金流水!$B491)</f>
        <v/>
      </c>
      <c r="F4176" s="55" t="str">
        <f aca="false">IF($H4176="","",资金流水!$C491)</f>
        <v/>
      </c>
      <c r="G4176" s="48" t="str">
        <f aca="false">IF($H4176="","",资金流水!$K491)</f>
        <v/>
      </c>
      <c r="H4176" s="10" t="str">
        <f aca="false">IF($L4176="","",IF($L4176="@对方",资金流水!$G491,IF($L4176="@账户",资金流水!$Q491,$L4176)))</f>
        <v/>
      </c>
      <c r="I4176" s="42" t="n">
        <f aca="false">IF($M4176="借",$O4176,0)</f>
        <v>0</v>
      </c>
      <c r="J4176" s="42" t="n">
        <f aca="false">IF($M4176="贷",$O4176,0)</f>
        <v>0</v>
      </c>
      <c r="K4176" s="48" t="str">
        <f aca="false">IF($H4176="","",资金流水!$F491)</f>
        <v/>
      </c>
      <c r="L4176" s="66" t="str">
        <f aca="false">IF(资金流水!$E491="","",IFERROR(INDEX(记账规则!$A$13:$H$32,MATCH(资金流水!$E491,记账规则!$A$13:$A$32,0),3),""))</f>
        <v/>
      </c>
      <c r="M4176" s="66" t="str">
        <f aca="false">IF($L4176="","",IFERROR(INDEX(记账规则!$A$13:$H$32,MATCH(资金流水!$E491,记账规则!$A$13:$A$32,0),4),""))</f>
        <v/>
      </c>
      <c r="N4176" s="66" t="str">
        <f aca="false">IF($L4176="","",IFERROR(INDEX(记账规则!$A$13:$H$32,MATCH(资金流水!$E491,记账规则!$A$13:$A$32,0),5),""))</f>
        <v/>
      </c>
      <c r="O4176" s="67" t="n">
        <f aca="false">IF($H4176="",0,ROUND(IF($N4176="金额",N(资金流水!$P491),0),2))</f>
        <v>0</v>
      </c>
      <c r="P4176" s="64" t="str">
        <f aca="false">IF(AND($H4176&lt;&gt;"",ROUND($O4176,2)&lt;&gt;0),"有","")</f>
        <v/>
      </c>
    </row>
    <row r="4177" customFormat="false" ht="15" hidden="true" customHeight="false" outlineLevel="0" collapsed="false">
      <c r="A4177" s="53" t="str">
        <f aca="false">IF($H4177="","",ROW()-5)</f>
        <v/>
      </c>
      <c r="B4177" s="64" t="s">
        <v>37</v>
      </c>
      <c r="C4177" s="53" t="n">
        <v>491</v>
      </c>
      <c r="D4177" s="53" t="n">
        <v>2</v>
      </c>
      <c r="E4177" s="65" t="str">
        <f aca="false">IF($H4177="","",资金流水!$B491)</f>
        <v/>
      </c>
      <c r="F4177" s="55" t="str">
        <f aca="false">IF($H4177="","",资金流水!$C491)</f>
        <v/>
      </c>
      <c r="G4177" s="48" t="str">
        <f aca="false">IF($H4177="","",资金流水!$K491)</f>
        <v/>
      </c>
      <c r="H4177" s="10" t="str">
        <f aca="false">IF($L4177="","",IF($L4177="@对方",资金流水!$G491,IF($L4177="@账户",资金流水!$Q491,$L4177)))</f>
        <v/>
      </c>
      <c r="I4177" s="42" t="n">
        <f aca="false">IF($M4177="借",$O4177,0)</f>
        <v>0</v>
      </c>
      <c r="J4177" s="42" t="n">
        <f aca="false">IF($M4177="贷",$O4177,0)</f>
        <v>0</v>
      </c>
      <c r="K4177" s="48" t="str">
        <f aca="false">IF($H4177="","",资金流水!$F491)</f>
        <v/>
      </c>
      <c r="L4177" s="66" t="str">
        <f aca="false">IF(资金流水!$E491="","",IFERROR(INDEX(记账规则!$A$13:$H$32,MATCH(资金流水!$E491,记账规则!$A$13:$A$32,0),6),""))</f>
        <v/>
      </c>
      <c r="M4177" s="66" t="str">
        <f aca="false">IF($L4177="","",IFERROR(INDEX(记账规则!$A$13:$H$32,MATCH(资金流水!$E491,记账规则!$A$13:$A$32,0),7),""))</f>
        <v/>
      </c>
      <c r="N4177" s="66" t="str">
        <f aca="false">IF($L4177="","",IFERROR(INDEX(记账规则!$A$13:$H$32,MATCH(资金流水!$E491,记账规则!$A$13:$A$32,0),8),""))</f>
        <v/>
      </c>
      <c r="O4177" s="67" t="n">
        <f aca="false">IF($H4177="",0,ROUND(IF($N4177="金额",N(资金流水!$P491),0),2))</f>
        <v>0</v>
      </c>
      <c r="P4177" s="64" t="str">
        <f aca="false">IF(AND($H4177&lt;&gt;"",ROUND($O4177,2)&lt;&gt;0),"有","")</f>
        <v/>
      </c>
    </row>
    <row r="4178" customFormat="false" ht="15" hidden="true" customHeight="false" outlineLevel="0" collapsed="false">
      <c r="A4178" s="53" t="str">
        <f aca="false">IF($H4178="","",ROW()-5)</f>
        <v/>
      </c>
      <c r="B4178" s="64" t="s">
        <v>37</v>
      </c>
      <c r="C4178" s="53" t="n">
        <v>492</v>
      </c>
      <c r="D4178" s="53" t="n">
        <v>1</v>
      </c>
      <c r="E4178" s="65" t="str">
        <f aca="false">IF($H4178="","",资金流水!$B492)</f>
        <v/>
      </c>
      <c r="F4178" s="55" t="str">
        <f aca="false">IF($H4178="","",资金流水!$C492)</f>
        <v/>
      </c>
      <c r="G4178" s="48" t="str">
        <f aca="false">IF($H4178="","",资金流水!$K492)</f>
        <v/>
      </c>
      <c r="H4178" s="10" t="str">
        <f aca="false">IF($L4178="","",IF($L4178="@对方",资金流水!$G492,IF($L4178="@账户",资金流水!$Q492,$L4178)))</f>
        <v/>
      </c>
      <c r="I4178" s="42" t="n">
        <f aca="false">IF($M4178="借",$O4178,0)</f>
        <v>0</v>
      </c>
      <c r="J4178" s="42" t="n">
        <f aca="false">IF($M4178="贷",$O4178,0)</f>
        <v>0</v>
      </c>
      <c r="K4178" s="48" t="str">
        <f aca="false">IF($H4178="","",资金流水!$F492)</f>
        <v/>
      </c>
      <c r="L4178" s="66" t="str">
        <f aca="false">IF(资金流水!$E492="","",IFERROR(INDEX(记账规则!$A$13:$H$32,MATCH(资金流水!$E492,记账规则!$A$13:$A$32,0),3),""))</f>
        <v/>
      </c>
      <c r="M4178" s="66" t="str">
        <f aca="false">IF($L4178="","",IFERROR(INDEX(记账规则!$A$13:$H$32,MATCH(资金流水!$E492,记账规则!$A$13:$A$32,0),4),""))</f>
        <v/>
      </c>
      <c r="N4178" s="66" t="str">
        <f aca="false">IF($L4178="","",IFERROR(INDEX(记账规则!$A$13:$H$32,MATCH(资金流水!$E492,记账规则!$A$13:$A$32,0),5),""))</f>
        <v/>
      </c>
      <c r="O4178" s="67" t="n">
        <f aca="false">IF($H4178="",0,ROUND(IF($N4178="金额",N(资金流水!$P492),0),2))</f>
        <v>0</v>
      </c>
      <c r="P4178" s="64" t="str">
        <f aca="false">IF(AND($H4178&lt;&gt;"",ROUND($O4178,2)&lt;&gt;0),"有","")</f>
        <v/>
      </c>
    </row>
    <row r="4179" customFormat="false" ht="15" hidden="true" customHeight="false" outlineLevel="0" collapsed="false">
      <c r="A4179" s="53" t="str">
        <f aca="false">IF($H4179="","",ROW()-5)</f>
        <v/>
      </c>
      <c r="B4179" s="64" t="s">
        <v>37</v>
      </c>
      <c r="C4179" s="53" t="n">
        <v>492</v>
      </c>
      <c r="D4179" s="53" t="n">
        <v>2</v>
      </c>
      <c r="E4179" s="65" t="str">
        <f aca="false">IF($H4179="","",资金流水!$B492)</f>
        <v/>
      </c>
      <c r="F4179" s="55" t="str">
        <f aca="false">IF($H4179="","",资金流水!$C492)</f>
        <v/>
      </c>
      <c r="G4179" s="48" t="str">
        <f aca="false">IF($H4179="","",资金流水!$K492)</f>
        <v/>
      </c>
      <c r="H4179" s="10" t="str">
        <f aca="false">IF($L4179="","",IF($L4179="@对方",资金流水!$G492,IF($L4179="@账户",资金流水!$Q492,$L4179)))</f>
        <v/>
      </c>
      <c r="I4179" s="42" t="n">
        <f aca="false">IF($M4179="借",$O4179,0)</f>
        <v>0</v>
      </c>
      <c r="J4179" s="42" t="n">
        <f aca="false">IF($M4179="贷",$O4179,0)</f>
        <v>0</v>
      </c>
      <c r="K4179" s="48" t="str">
        <f aca="false">IF($H4179="","",资金流水!$F492)</f>
        <v/>
      </c>
      <c r="L4179" s="66" t="str">
        <f aca="false">IF(资金流水!$E492="","",IFERROR(INDEX(记账规则!$A$13:$H$32,MATCH(资金流水!$E492,记账规则!$A$13:$A$32,0),6),""))</f>
        <v/>
      </c>
      <c r="M4179" s="66" t="str">
        <f aca="false">IF($L4179="","",IFERROR(INDEX(记账规则!$A$13:$H$32,MATCH(资金流水!$E492,记账规则!$A$13:$A$32,0),7),""))</f>
        <v/>
      </c>
      <c r="N4179" s="66" t="str">
        <f aca="false">IF($L4179="","",IFERROR(INDEX(记账规则!$A$13:$H$32,MATCH(资金流水!$E492,记账规则!$A$13:$A$32,0),8),""))</f>
        <v/>
      </c>
      <c r="O4179" s="67" t="n">
        <f aca="false">IF($H4179="",0,ROUND(IF($N4179="金额",N(资金流水!$P492),0),2))</f>
        <v>0</v>
      </c>
      <c r="P4179" s="64" t="str">
        <f aca="false">IF(AND($H4179&lt;&gt;"",ROUND($O4179,2)&lt;&gt;0),"有","")</f>
        <v/>
      </c>
    </row>
    <row r="4180" customFormat="false" ht="15" hidden="true" customHeight="false" outlineLevel="0" collapsed="false">
      <c r="A4180" s="53" t="str">
        <f aca="false">IF($H4180="","",ROW()-5)</f>
        <v/>
      </c>
      <c r="B4180" s="64" t="s">
        <v>37</v>
      </c>
      <c r="C4180" s="53" t="n">
        <v>493</v>
      </c>
      <c r="D4180" s="53" t="n">
        <v>1</v>
      </c>
      <c r="E4180" s="65" t="str">
        <f aca="false">IF($H4180="","",资金流水!$B493)</f>
        <v/>
      </c>
      <c r="F4180" s="55" t="str">
        <f aca="false">IF($H4180="","",资金流水!$C493)</f>
        <v/>
      </c>
      <c r="G4180" s="48" t="str">
        <f aca="false">IF($H4180="","",资金流水!$K493)</f>
        <v/>
      </c>
      <c r="H4180" s="10" t="str">
        <f aca="false">IF($L4180="","",IF($L4180="@对方",资金流水!$G493,IF($L4180="@账户",资金流水!$Q493,$L4180)))</f>
        <v/>
      </c>
      <c r="I4180" s="42" t="n">
        <f aca="false">IF($M4180="借",$O4180,0)</f>
        <v>0</v>
      </c>
      <c r="J4180" s="42" t="n">
        <f aca="false">IF($M4180="贷",$O4180,0)</f>
        <v>0</v>
      </c>
      <c r="K4180" s="48" t="str">
        <f aca="false">IF($H4180="","",资金流水!$F493)</f>
        <v/>
      </c>
      <c r="L4180" s="66" t="str">
        <f aca="false">IF(资金流水!$E493="","",IFERROR(INDEX(记账规则!$A$13:$H$32,MATCH(资金流水!$E493,记账规则!$A$13:$A$32,0),3),""))</f>
        <v/>
      </c>
      <c r="M4180" s="66" t="str">
        <f aca="false">IF($L4180="","",IFERROR(INDEX(记账规则!$A$13:$H$32,MATCH(资金流水!$E493,记账规则!$A$13:$A$32,0),4),""))</f>
        <v/>
      </c>
      <c r="N4180" s="66" t="str">
        <f aca="false">IF($L4180="","",IFERROR(INDEX(记账规则!$A$13:$H$32,MATCH(资金流水!$E493,记账规则!$A$13:$A$32,0),5),""))</f>
        <v/>
      </c>
      <c r="O4180" s="67" t="n">
        <f aca="false">IF($H4180="",0,ROUND(IF($N4180="金额",N(资金流水!$P493),0),2))</f>
        <v>0</v>
      </c>
      <c r="P4180" s="64" t="str">
        <f aca="false">IF(AND($H4180&lt;&gt;"",ROUND($O4180,2)&lt;&gt;0),"有","")</f>
        <v/>
      </c>
    </row>
    <row r="4181" customFormat="false" ht="15" hidden="true" customHeight="false" outlineLevel="0" collapsed="false">
      <c r="A4181" s="53" t="str">
        <f aca="false">IF($H4181="","",ROW()-5)</f>
        <v/>
      </c>
      <c r="B4181" s="64" t="s">
        <v>37</v>
      </c>
      <c r="C4181" s="53" t="n">
        <v>493</v>
      </c>
      <c r="D4181" s="53" t="n">
        <v>2</v>
      </c>
      <c r="E4181" s="65" t="str">
        <f aca="false">IF($H4181="","",资金流水!$B493)</f>
        <v/>
      </c>
      <c r="F4181" s="55" t="str">
        <f aca="false">IF($H4181="","",资金流水!$C493)</f>
        <v/>
      </c>
      <c r="G4181" s="48" t="str">
        <f aca="false">IF($H4181="","",资金流水!$K493)</f>
        <v/>
      </c>
      <c r="H4181" s="10" t="str">
        <f aca="false">IF($L4181="","",IF($L4181="@对方",资金流水!$G493,IF($L4181="@账户",资金流水!$Q493,$L4181)))</f>
        <v/>
      </c>
      <c r="I4181" s="42" t="n">
        <f aca="false">IF($M4181="借",$O4181,0)</f>
        <v>0</v>
      </c>
      <c r="J4181" s="42" t="n">
        <f aca="false">IF($M4181="贷",$O4181,0)</f>
        <v>0</v>
      </c>
      <c r="K4181" s="48" t="str">
        <f aca="false">IF($H4181="","",资金流水!$F493)</f>
        <v/>
      </c>
      <c r="L4181" s="66" t="str">
        <f aca="false">IF(资金流水!$E493="","",IFERROR(INDEX(记账规则!$A$13:$H$32,MATCH(资金流水!$E493,记账规则!$A$13:$A$32,0),6),""))</f>
        <v/>
      </c>
      <c r="M4181" s="66" t="str">
        <f aca="false">IF($L4181="","",IFERROR(INDEX(记账规则!$A$13:$H$32,MATCH(资金流水!$E493,记账规则!$A$13:$A$32,0),7),""))</f>
        <v/>
      </c>
      <c r="N4181" s="66" t="str">
        <f aca="false">IF($L4181="","",IFERROR(INDEX(记账规则!$A$13:$H$32,MATCH(资金流水!$E493,记账规则!$A$13:$A$32,0),8),""))</f>
        <v/>
      </c>
      <c r="O4181" s="67" t="n">
        <f aca="false">IF($H4181="",0,ROUND(IF($N4181="金额",N(资金流水!$P493),0),2))</f>
        <v>0</v>
      </c>
      <c r="P4181" s="64" t="str">
        <f aca="false">IF(AND($H4181&lt;&gt;"",ROUND($O4181,2)&lt;&gt;0),"有","")</f>
        <v/>
      </c>
    </row>
    <row r="4182" customFormat="false" ht="15" hidden="true" customHeight="false" outlineLevel="0" collapsed="false">
      <c r="A4182" s="53" t="str">
        <f aca="false">IF($H4182="","",ROW()-5)</f>
        <v/>
      </c>
      <c r="B4182" s="64" t="s">
        <v>37</v>
      </c>
      <c r="C4182" s="53" t="n">
        <v>494</v>
      </c>
      <c r="D4182" s="53" t="n">
        <v>1</v>
      </c>
      <c r="E4182" s="65" t="str">
        <f aca="false">IF($H4182="","",资金流水!$B494)</f>
        <v/>
      </c>
      <c r="F4182" s="55" t="str">
        <f aca="false">IF($H4182="","",资金流水!$C494)</f>
        <v/>
      </c>
      <c r="G4182" s="48" t="str">
        <f aca="false">IF($H4182="","",资金流水!$K494)</f>
        <v/>
      </c>
      <c r="H4182" s="10" t="str">
        <f aca="false">IF($L4182="","",IF($L4182="@对方",资金流水!$G494,IF($L4182="@账户",资金流水!$Q494,$L4182)))</f>
        <v/>
      </c>
      <c r="I4182" s="42" t="n">
        <f aca="false">IF($M4182="借",$O4182,0)</f>
        <v>0</v>
      </c>
      <c r="J4182" s="42" t="n">
        <f aca="false">IF($M4182="贷",$O4182,0)</f>
        <v>0</v>
      </c>
      <c r="K4182" s="48" t="str">
        <f aca="false">IF($H4182="","",资金流水!$F494)</f>
        <v/>
      </c>
      <c r="L4182" s="66" t="str">
        <f aca="false">IF(资金流水!$E494="","",IFERROR(INDEX(记账规则!$A$13:$H$32,MATCH(资金流水!$E494,记账规则!$A$13:$A$32,0),3),""))</f>
        <v/>
      </c>
      <c r="M4182" s="66" t="str">
        <f aca="false">IF($L4182="","",IFERROR(INDEX(记账规则!$A$13:$H$32,MATCH(资金流水!$E494,记账规则!$A$13:$A$32,0),4),""))</f>
        <v/>
      </c>
      <c r="N4182" s="66" t="str">
        <f aca="false">IF($L4182="","",IFERROR(INDEX(记账规则!$A$13:$H$32,MATCH(资金流水!$E494,记账规则!$A$13:$A$32,0),5),""))</f>
        <v/>
      </c>
      <c r="O4182" s="67" t="n">
        <f aca="false">IF($H4182="",0,ROUND(IF($N4182="金额",N(资金流水!$P494),0),2))</f>
        <v>0</v>
      </c>
      <c r="P4182" s="64" t="str">
        <f aca="false">IF(AND($H4182&lt;&gt;"",ROUND($O4182,2)&lt;&gt;0),"有","")</f>
        <v/>
      </c>
    </row>
    <row r="4183" customFormat="false" ht="15" hidden="true" customHeight="false" outlineLevel="0" collapsed="false">
      <c r="A4183" s="53" t="str">
        <f aca="false">IF($H4183="","",ROW()-5)</f>
        <v/>
      </c>
      <c r="B4183" s="64" t="s">
        <v>37</v>
      </c>
      <c r="C4183" s="53" t="n">
        <v>494</v>
      </c>
      <c r="D4183" s="53" t="n">
        <v>2</v>
      </c>
      <c r="E4183" s="65" t="str">
        <f aca="false">IF($H4183="","",资金流水!$B494)</f>
        <v/>
      </c>
      <c r="F4183" s="55" t="str">
        <f aca="false">IF($H4183="","",资金流水!$C494)</f>
        <v/>
      </c>
      <c r="G4183" s="48" t="str">
        <f aca="false">IF($H4183="","",资金流水!$K494)</f>
        <v/>
      </c>
      <c r="H4183" s="10" t="str">
        <f aca="false">IF($L4183="","",IF($L4183="@对方",资金流水!$G494,IF($L4183="@账户",资金流水!$Q494,$L4183)))</f>
        <v/>
      </c>
      <c r="I4183" s="42" t="n">
        <f aca="false">IF($M4183="借",$O4183,0)</f>
        <v>0</v>
      </c>
      <c r="J4183" s="42" t="n">
        <f aca="false">IF($M4183="贷",$O4183,0)</f>
        <v>0</v>
      </c>
      <c r="K4183" s="48" t="str">
        <f aca="false">IF($H4183="","",资金流水!$F494)</f>
        <v/>
      </c>
      <c r="L4183" s="66" t="str">
        <f aca="false">IF(资金流水!$E494="","",IFERROR(INDEX(记账规则!$A$13:$H$32,MATCH(资金流水!$E494,记账规则!$A$13:$A$32,0),6),""))</f>
        <v/>
      </c>
      <c r="M4183" s="66" t="str">
        <f aca="false">IF($L4183="","",IFERROR(INDEX(记账规则!$A$13:$H$32,MATCH(资金流水!$E494,记账规则!$A$13:$A$32,0),7),""))</f>
        <v/>
      </c>
      <c r="N4183" s="66" t="str">
        <f aca="false">IF($L4183="","",IFERROR(INDEX(记账规则!$A$13:$H$32,MATCH(资金流水!$E494,记账规则!$A$13:$A$32,0),8),""))</f>
        <v/>
      </c>
      <c r="O4183" s="67" t="n">
        <f aca="false">IF($H4183="",0,ROUND(IF($N4183="金额",N(资金流水!$P494),0),2))</f>
        <v>0</v>
      </c>
      <c r="P4183" s="64" t="str">
        <f aca="false">IF(AND($H4183&lt;&gt;"",ROUND($O4183,2)&lt;&gt;0),"有","")</f>
        <v/>
      </c>
    </row>
    <row r="4184" customFormat="false" ht="15" hidden="true" customHeight="false" outlineLevel="0" collapsed="false">
      <c r="A4184" s="53" t="str">
        <f aca="false">IF($H4184="","",ROW()-5)</f>
        <v/>
      </c>
      <c r="B4184" s="64" t="s">
        <v>37</v>
      </c>
      <c r="C4184" s="53" t="n">
        <v>495</v>
      </c>
      <c r="D4184" s="53" t="n">
        <v>1</v>
      </c>
      <c r="E4184" s="65" t="str">
        <f aca="false">IF($H4184="","",资金流水!$B495)</f>
        <v/>
      </c>
      <c r="F4184" s="55" t="str">
        <f aca="false">IF($H4184="","",资金流水!$C495)</f>
        <v/>
      </c>
      <c r="G4184" s="48" t="str">
        <f aca="false">IF($H4184="","",资金流水!$K495)</f>
        <v/>
      </c>
      <c r="H4184" s="10" t="str">
        <f aca="false">IF($L4184="","",IF($L4184="@对方",资金流水!$G495,IF($L4184="@账户",资金流水!$Q495,$L4184)))</f>
        <v/>
      </c>
      <c r="I4184" s="42" t="n">
        <f aca="false">IF($M4184="借",$O4184,0)</f>
        <v>0</v>
      </c>
      <c r="J4184" s="42" t="n">
        <f aca="false">IF($M4184="贷",$O4184,0)</f>
        <v>0</v>
      </c>
      <c r="K4184" s="48" t="str">
        <f aca="false">IF($H4184="","",资金流水!$F495)</f>
        <v/>
      </c>
      <c r="L4184" s="66" t="str">
        <f aca="false">IF(资金流水!$E495="","",IFERROR(INDEX(记账规则!$A$13:$H$32,MATCH(资金流水!$E495,记账规则!$A$13:$A$32,0),3),""))</f>
        <v/>
      </c>
      <c r="M4184" s="66" t="str">
        <f aca="false">IF($L4184="","",IFERROR(INDEX(记账规则!$A$13:$H$32,MATCH(资金流水!$E495,记账规则!$A$13:$A$32,0),4),""))</f>
        <v/>
      </c>
      <c r="N4184" s="66" t="str">
        <f aca="false">IF($L4184="","",IFERROR(INDEX(记账规则!$A$13:$H$32,MATCH(资金流水!$E495,记账规则!$A$13:$A$32,0),5),""))</f>
        <v/>
      </c>
      <c r="O4184" s="67" t="n">
        <f aca="false">IF($H4184="",0,ROUND(IF($N4184="金额",N(资金流水!$P495),0),2))</f>
        <v>0</v>
      </c>
      <c r="P4184" s="64" t="str">
        <f aca="false">IF(AND($H4184&lt;&gt;"",ROUND($O4184,2)&lt;&gt;0),"有","")</f>
        <v/>
      </c>
    </row>
    <row r="4185" customFormat="false" ht="15" hidden="true" customHeight="false" outlineLevel="0" collapsed="false">
      <c r="A4185" s="53" t="str">
        <f aca="false">IF($H4185="","",ROW()-5)</f>
        <v/>
      </c>
      <c r="B4185" s="64" t="s">
        <v>37</v>
      </c>
      <c r="C4185" s="53" t="n">
        <v>495</v>
      </c>
      <c r="D4185" s="53" t="n">
        <v>2</v>
      </c>
      <c r="E4185" s="65" t="str">
        <f aca="false">IF($H4185="","",资金流水!$B495)</f>
        <v/>
      </c>
      <c r="F4185" s="55" t="str">
        <f aca="false">IF($H4185="","",资金流水!$C495)</f>
        <v/>
      </c>
      <c r="G4185" s="48" t="str">
        <f aca="false">IF($H4185="","",资金流水!$K495)</f>
        <v/>
      </c>
      <c r="H4185" s="10" t="str">
        <f aca="false">IF($L4185="","",IF($L4185="@对方",资金流水!$G495,IF($L4185="@账户",资金流水!$Q495,$L4185)))</f>
        <v/>
      </c>
      <c r="I4185" s="42" t="n">
        <f aca="false">IF($M4185="借",$O4185,0)</f>
        <v>0</v>
      </c>
      <c r="J4185" s="42" t="n">
        <f aca="false">IF($M4185="贷",$O4185,0)</f>
        <v>0</v>
      </c>
      <c r="K4185" s="48" t="str">
        <f aca="false">IF($H4185="","",资金流水!$F495)</f>
        <v/>
      </c>
      <c r="L4185" s="66" t="str">
        <f aca="false">IF(资金流水!$E495="","",IFERROR(INDEX(记账规则!$A$13:$H$32,MATCH(资金流水!$E495,记账规则!$A$13:$A$32,0),6),""))</f>
        <v/>
      </c>
      <c r="M4185" s="66" t="str">
        <f aca="false">IF($L4185="","",IFERROR(INDEX(记账规则!$A$13:$H$32,MATCH(资金流水!$E495,记账规则!$A$13:$A$32,0),7),""))</f>
        <v/>
      </c>
      <c r="N4185" s="66" t="str">
        <f aca="false">IF($L4185="","",IFERROR(INDEX(记账规则!$A$13:$H$32,MATCH(资金流水!$E495,记账规则!$A$13:$A$32,0),8),""))</f>
        <v/>
      </c>
      <c r="O4185" s="67" t="n">
        <f aca="false">IF($H4185="",0,ROUND(IF($N4185="金额",N(资金流水!$P495),0),2))</f>
        <v>0</v>
      </c>
      <c r="P4185" s="64" t="str">
        <f aca="false">IF(AND($H4185&lt;&gt;"",ROUND($O4185,2)&lt;&gt;0),"有","")</f>
        <v/>
      </c>
    </row>
    <row r="4186" customFormat="false" ht="15" hidden="true" customHeight="false" outlineLevel="0" collapsed="false">
      <c r="A4186" s="53" t="str">
        <f aca="false">IF($H4186="","",ROW()-5)</f>
        <v/>
      </c>
      <c r="B4186" s="64" t="s">
        <v>37</v>
      </c>
      <c r="C4186" s="53" t="n">
        <v>496</v>
      </c>
      <c r="D4186" s="53" t="n">
        <v>1</v>
      </c>
      <c r="E4186" s="65" t="str">
        <f aca="false">IF($H4186="","",资金流水!$B496)</f>
        <v/>
      </c>
      <c r="F4186" s="55" t="str">
        <f aca="false">IF($H4186="","",资金流水!$C496)</f>
        <v/>
      </c>
      <c r="G4186" s="48" t="str">
        <f aca="false">IF($H4186="","",资金流水!$K496)</f>
        <v/>
      </c>
      <c r="H4186" s="10" t="str">
        <f aca="false">IF($L4186="","",IF($L4186="@对方",资金流水!$G496,IF($L4186="@账户",资金流水!$Q496,$L4186)))</f>
        <v/>
      </c>
      <c r="I4186" s="42" t="n">
        <f aca="false">IF($M4186="借",$O4186,0)</f>
        <v>0</v>
      </c>
      <c r="J4186" s="42" t="n">
        <f aca="false">IF($M4186="贷",$O4186,0)</f>
        <v>0</v>
      </c>
      <c r="K4186" s="48" t="str">
        <f aca="false">IF($H4186="","",资金流水!$F496)</f>
        <v/>
      </c>
      <c r="L4186" s="66" t="str">
        <f aca="false">IF(资金流水!$E496="","",IFERROR(INDEX(记账规则!$A$13:$H$32,MATCH(资金流水!$E496,记账规则!$A$13:$A$32,0),3),""))</f>
        <v/>
      </c>
      <c r="M4186" s="66" t="str">
        <f aca="false">IF($L4186="","",IFERROR(INDEX(记账规则!$A$13:$H$32,MATCH(资金流水!$E496,记账规则!$A$13:$A$32,0),4),""))</f>
        <v/>
      </c>
      <c r="N4186" s="66" t="str">
        <f aca="false">IF($L4186="","",IFERROR(INDEX(记账规则!$A$13:$H$32,MATCH(资金流水!$E496,记账规则!$A$13:$A$32,0),5),""))</f>
        <v/>
      </c>
      <c r="O4186" s="67" t="n">
        <f aca="false">IF($H4186="",0,ROUND(IF($N4186="金额",N(资金流水!$P496),0),2))</f>
        <v>0</v>
      </c>
      <c r="P4186" s="64" t="str">
        <f aca="false">IF(AND($H4186&lt;&gt;"",ROUND($O4186,2)&lt;&gt;0),"有","")</f>
        <v/>
      </c>
    </row>
    <row r="4187" customFormat="false" ht="15" hidden="true" customHeight="false" outlineLevel="0" collapsed="false">
      <c r="A4187" s="53" t="str">
        <f aca="false">IF($H4187="","",ROW()-5)</f>
        <v/>
      </c>
      <c r="B4187" s="64" t="s">
        <v>37</v>
      </c>
      <c r="C4187" s="53" t="n">
        <v>496</v>
      </c>
      <c r="D4187" s="53" t="n">
        <v>2</v>
      </c>
      <c r="E4187" s="65" t="str">
        <f aca="false">IF($H4187="","",资金流水!$B496)</f>
        <v/>
      </c>
      <c r="F4187" s="55" t="str">
        <f aca="false">IF($H4187="","",资金流水!$C496)</f>
        <v/>
      </c>
      <c r="G4187" s="48" t="str">
        <f aca="false">IF($H4187="","",资金流水!$K496)</f>
        <v/>
      </c>
      <c r="H4187" s="10" t="str">
        <f aca="false">IF($L4187="","",IF($L4187="@对方",资金流水!$G496,IF($L4187="@账户",资金流水!$Q496,$L4187)))</f>
        <v/>
      </c>
      <c r="I4187" s="42" t="n">
        <f aca="false">IF($M4187="借",$O4187,0)</f>
        <v>0</v>
      </c>
      <c r="J4187" s="42" t="n">
        <f aca="false">IF($M4187="贷",$O4187,0)</f>
        <v>0</v>
      </c>
      <c r="K4187" s="48" t="str">
        <f aca="false">IF($H4187="","",资金流水!$F496)</f>
        <v/>
      </c>
      <c r="L4187" s="66" t="str">
        <f aca="false">IF(资金流水!$E496="","",IFERROR(INDEX(记账规则!$A$13:$H$32,MATCH(资金流水!$E496,记账规则!$A$13:$A$32,0),6),""))</f>
        <v/>
      </c>
      <c r="M4187" s="66" t="str">
        <f aca="false">IF($L4187="","",IFERROR(INDEX(记账规则!$A$13:$H$32,MATCH(资金流水!$E496,记账规则!$A$13:$A$32,0),7),""))</f>
        <v/>
      </c>
      <c r="N4187" s="66" t="str">
        <f aca="false">IF($L4187="","",IFERROR(INDEX(记账规则!$A$13:$H$32,MATCH(资金流水!$E496,记账规则!$A$13:$A$32,0),8),""))</f>
        <v/>
      </c>
      <c r="O4187" s="67" t="n">
        <f aca="false">IF($H4187="",0,ROUND(IF($N4187="金额",N(资金流水!$P496),0),2))</f>
        <v>0</v>
      </c>
      <c r="P4187" s="64" t="str">
        <f aca="false">IF(AND($H4187&lt;&gt;"",ROUND($O4187,2)&lt;&gt;0),"有","")</f>
        <v/>
      </c>
    </row>
    <row r="4188" customFormat="false" ht="15" hidden="true" customHeight="false" outlineLevel="0" collapsed="false">
      <c r="A4188" s="53" t="str">
        <f aca="false">IF($H4188="","",ROW()-5)</f>
        <v/>
      </c>
      <c r="B4188" s="64" t="s">
        <v>37</v>
      </c>
      <c r="C4188" s="53" t="n">
        <v>497</v>
      </c>
      <c r="D4188" s="53" t="n">
        <v>1</v>
      </c>
      <c r="E4188" s="65" t="str">
        <f aca="false">IF($H4188="","",资金流水!$B497)</f>
        <v/>
      </c>
      <c r="F4188" s="55" t="str">
        <f aca="false">IF($H4188="","",资金流水!$C497)</f>
        <v/>
      </c>
      <c r="G4188" s="48" t="str">
        <f aca="false">IF($H4188="","",资金流水!$K497)</f>
        <v/>
      </c>
      <c r="H4188" s="10" t="str">
        <f aca="false">IF($L4188="","",IF($L4188="@对方",资金流水!$G497,IF($L4188="@账户",资金流水!$Q497,$L4188)))</f>
        <v/>
      </c>
      <c r="I4188" s="42" t="n">
        <f aca="false">IF($M4188="借",$O4188,0)</f>
        <v>0</v>
      </c>
      <c r="J4188" s="42" t="n">
        <f aca="false">IF($M4188="贷",$O4188,0)</f>
        <v>0</v>
      </c>
      <c r="K4188" s="48" t="str">
        <f aca="false">IF($H4188="","",资金流水!$F497)</f>
        <v/>
      </c>
      <c r="L4188" s="66" t="str">
        <f aca="false">IF(资金流水!$E497="","",IFERROR(INDEX(记账规则!$A$13:$H$32,MATCH(资金流水!$E497,记账规则!$A$13:$A$32,0),3),""))</f>
        <v/>
      </c>
      <c r="M4188" s="66" t="str">
        <f aca="false">IF($L4188="","",IFERROR(INDEX(记账规则!$A$13:$H$32,MATCH(资金流水!$E497,记账规则!$A$13:$A$32,0),4),""))</f>
        <v/>
      </c>
      <c r="N4188" s="66" t="str">
        <f aca="false">IF($L4188="","",IFERROR(INDEX(记账规则!$A$13:$H$32,MATCH(资金流水!$E497,记账规则!$A$13:$A$32,0),5),""))</f>
        <v/>
      </c>
      <c r="O4188" s="67" t="n">
        <f aca="false">IF($H4188="",0,ROUND(IF($N4188="金额",N(资金流水!$P497),0),2))</f>
        <v>0</v>
      </c>
      <c r="P4188" s="64" t="str">
        <f aca="false">IF(AND($H4188&lt;&gt;"",ROUND($O4188,2)&lt;&gt;0),"有","")</f>
        <v/>
      </c>
    </row>
    <row r="4189" customFormat="false" ht="15" hidden="true" customHeight="false" outlineLevel="0" collapsed="false">
      <c r="A4189" s="53" t="str">
        <f aca="false">IF($H4189="","",ROW()-5)</f>
        <v/>
      </c>
      <c r="B4189" s="64" t="s">
        <v>37</v>
      </c>
      <c r="C4189" s="53" t="n">
        <v>497</v>
      </c>
      <c r="D4189" s="53" t="n">
        <v>2</v>
      </c>
      <c r="E4189" s="65" t="str">
        <f aca="false">IF($H4189="","",资金流水!$B497)</f>
        <v/>
      </c>
      <c r="F4189" s="55" t="str">
        <f aca="false">IF($H4189="","",资金流水!$C497)</f>
        <v/>
      </c>
      <c r="G4189" s="48" t="str">
        <f aca="false">IF($H4189="","",资金流水!$K497)</f>
        <v/>
      </c>
      <c r="H4189" s="10" t="str">
        <f aca="false">IF($L4189="","",IF($L4189="@对方",资金流水!$G497,IF($L4189="@账户",资金流水!$Q497,$L4189)))</f>
        <v/>
      </c>
      <c r="I4189" s="42" t="n">
        <f aca="false">IF($M4189="借",$O4189,0)</f>
        <v>0</v>
      </c>
      <c r="J4189" s="42" t="n">
        <f aca="false">IF($M4189="贷",$O4189,0)</f>
        <v>0</v>
      </c>
      <c r="K4189" s="48" t="str">
        <f aca="false">IF($H4189="","",资金流水!$F497)</f>
        <v/>
      </c>
      <c r="L4189" s="66" t="str">
        <f aca="false">IF(资金流水!$E497="","",IFERROR(INDEX(记账规则!$A$13:$H$32,MATCH(资金流水!$E497,记账规则!$A$13:$A$32,0),6),""))</f>
        <v/>
      </c>
      <c r="M4189" s="66" t="str">
        <f aca="false">IF($L4189="","",IFERROR(INDEX(记账规则!$A$13:$H$32,MATCH(资金流水!$E497,记账规则!$A$13:$A$32,0),7),""))</f>
        <v/>
      </c>
      <c r="N4189" s="66" t="str">
        <f aca="false">IF($L4189="","",IFERROR(INDEX(记账规则!$A$13:$H$32,MATCH(资金流水!$E497,记账规则!$A$13:$A$32,0),8),""))</f>
        <v/>
      </c>
      <c r="O4189" s="67" t="n">
        <f aca="false">IF($H4189="",0,ROUND(IF($N4189="金额",N(资金流水!$P497),0),2))</f>
        <v>0</v>
      </c>
      <c r="P4189" s="64" t="str">
        <f aca="false">IF(AND($H4189&lt;&gt;"",ROUND($O4189,2)&lt;&gt;0),"有","")</f>
        <v/>
      </c>
    </row>
    <row r="4190" customFormat="false" ht="15" hidden="true" customHeight="false" outlineLevel="0" collapsed="false">
      <c r="A4190" s="53" t="str">
        <f aca="false">IF($H4190="","",ROW()-5)</f>
        <v/>
      </c>
      <c r="B4190" s="64" t="s">
        <v>37</v>
      </c>
      <c r="C4190" s="53" t="n">
        <v>498</v>
      </c>
      <c r="D4190" s="53" t="n">
        <v>1</v>
      </c>
      <c r="E4190" s="65" t="str">
        <f aca="false">IF($H4190="","",资金流水!$B498)</f>
        <v/>
      </c>
      <c r="F4190" s="55" t="str">
        <f aca="false">IF($H4190="","",资金流水!$C498)</f>
        <v/>
      </c>
      <c r="G4190" s="48" t="str">
        <f aca="false">IF($H4190="","",资金流水!$K498)</f>
        <v/>
      </c>
      <c r="H4190" s="10" t="str">
        <f aca="false">IF($L4190="","",IF($L4190="@对方",资金流水!$G498,IF($L4190="@账户",资金流水!$Q498,$L4190)))</f>
        <v/>
      </c>
      <c r="I4190" s="42" t="n">
        <f aca="false">IF($M4190="借",$O4190,0)</f>
        <v>0</v>
      </c>
      <c r="J4190" s="42" t="n">
        <f aca="false">IF($M4190="贷",$O4190,0)</f>
        <v>0</v>
      </c>
      <c r="K4190" s="48" t="str">
        <f aca="false">IF($H4190="","",资金流水!$F498)</f>
        <v/>
      </c>
      <c r="L4190" s="66" t="str">
        <f aca="false">IF(资金流水!$E498="","",IFERROR(INDEX(记账规则!$A$13:$H$32,MATCH(资金流水!$E498,记账规则!$A$13:$A$32,0),3),""))</f>
        <v/>
      </c>
      <c r="M4190" s="66" t="str">
        <f aca="false">IF($L4190="","",IFERROR(INDEX(记账规则!$A$13:$H$32,MATCH(资金流水!$E498,记账规则!$A$13:$A$32,0),4),""))</f>
        <v/>
      </c>
      <c r="N4190" s="66" t="str">
        <f aca="false">IF($L4190="","",IFERROR(INDEX(记账规则!$A$13:$H$32,MATCH(资金流水!$E498,记账规则!$A$13:$A$32,0),5),""))</f>
        <v/>
      </c>
      <c r="O4190" s="67" t="n">
        <f aca="false">IF($H4190="",0,ROUND(IF($N4190="金额",N(资金流水!$P498),0),2))</f>
        <v>0</v>
      </c>
      <c r="P4190" s="64" t="str">
        <f aca="false">IF(AND($H4190&lt;&gt;"",ROUND($O4190,2)&lt;&gt;0),"有","")</f>
        <v/>
      </c>
    </row>
    <row r="4191" customFormat="false" ht="15" hidden="true" customHeight="false" outlineLevel="0" collapsed="false">
      <c r="A4191" s="53" t="str">
        <f aca="false">IF($H4191="","",ROW()-5)</f>
        <v/>
      </c>
      <c r="B4191" s="64" t="s">
        <v>37</v>
      </c>
      <c r="C4191" s="53" t="n">
        <v>498</v>
      </c>
      <c r="D4191" s="53" t="n">
        <v>2</v>
      </c>
      <c r="E4191" s="65" t="str">
        <f aca="false">IF($H4191="","",资金流水!$B498)</f>
        <v/>
      </c>
      <c r="F4191" s="55" t="str">
        <f aca="false">IF($H4191="","",资金流水!$C498)</f>
        <v/>
      </c>
      <c r="G4191" s="48" t="str">
        <f aca="false">IF($H4191="","",资金流水!$K498)</f>
        <v/>
      </c>
      <c r="H4191" s="10" t="str">
        <f aca="false">IF($L4191="","",IF($L4191="@对方",资金流水!$G498,IF($L4191="@账户",资金流水!$Q498,$L4191)))</f>
        <v/>
      </c>
      <c r="I4191" s="42" t="n">
        <f aca="false">IF($M4191="借",$O4191,0)</f>
        <v>0</v>
      </c>
      <c r="J4191" s="42" t="n">
        <f aca="false">IF($M4191="贷",$O4191,0)</f>
        <v>0</v>
      </c>
      <c r="K4191" s="48" t="str">
        <f aca="false">IF($H4191="","",资金流水!$F498)</f>
        <v/>
      </c>
      <c r="L4191" s="66" t="str">
        <f aca="false">IF(资金流水!$E498="","",IFERROR(INDEX(记账规则!$A$13:$H$32,MATCH(资金流水!$E498,记账规则!$A$13:$A$32,0),6),""))</f>
        <v/>
      </c>
      <c r="M4191" s="66" t="str">
        <f aca="false">IF($L4191="","",IFERROR(INDEX(记账规则!$A$13:$H$32,MATCH(资金流水!$E498,记账规则!$A$13:$A$32,0),7),""))</f>
        <v/>
      </c>
      <c r="N4191" s="66" t="str">
        <f aca="false">IF($L4191="","",IFERROR(INDEX(记账规则!$A$13:$H$32,MATCH(资金流水!$E498,记账规则!$A$13:$A$32,0),8),""))</f>
        <v/>
      </c>
      <c r="O4191" s="67" t="n">
        <f aca="false">IF($H4191="",0,ROUND(IF($N4191="金额",N(资金流水!$P498),0),2))</f>
        <v>0</v>
      </c>
      <c r="P4191" s="64" t="str">
        <f aca="false">IF(AND($H4191&lt;&gt;"",ROUND($O4191,2)&lt;&gt;0),"有","")</f>
        <v/>
      </c>
    </row>
    <row r="4192" customFormat="false" ht="15" hidden="true" customHeight="false" outlineLevel="0" collapsed="false">
      <c r="A4192" s="53" t="str">
        <f aca="false">IF($H4192="","",ROW()-5)</f>
        <v/>
      </c>
      <c r="B4192" s="64" t="s">
        <v>37</v>
      </c>
      <c r="C4192" s="53" t="n">
        <v>499</v>
      </c>
      <c r="D4192" s="53" t="n">
        <v>1</v>
      </c>
      <c r="E4192" s="65" t="str">
        <f aca="false">IF($H4192="","",资金流水!$B499)</f>
        <v/>
      </c>
      <c r="F4192" s="55" t="str">
        <f aca="false">IF($H4192="","",资金流水!$C499)</f>
        <v/>
      </c>
      <c r="G4192" s="48" t="str">
        <f aca="false">IF($H4192="","",资金流水!$K499)</f>
        <v/>
      </c>
      <c r="H4192" s="10" t="str">
        <f aca="false">IF($L4192="","",IF($L4192="@对方",资金流水!$G499,IF($L4192="@账户",资金流水!$Q499,$L4192)))</f>
        <v/>
      </c>
      <c r="I4192" s="42" t="n">
        <f aca="false">IF($M4192="借",$O4192,0)</f>
        <v>0</v>
      </c>
      <c r="J4192" s="42" t="n">
        <f aca="false">IF($M4192="贷",$O4192,0)</f>
        <v>0</v>
      </c>
      <c r="K4192" s="48" t="str">
        <f aca="false">IF($H4192="","",资金流水!$F499)</f>
        <v/>
      </c>
      <c r="L4192" s="66" t="str">
        <f aca="false">IF(资金流水!$E499="","",IFERROR(INDEX(记账规则!$A$13:$H$32,MATCH(资金流水!$E499,记账规则!$A$13:$A$32,0),3),""))</f>
        <v/>
      </c>
      <c r="M4192" s="66" t="str">
        <f aca="false">IF($L4192="","",IFERROR(INDEX(记账规则!$A$13:$H$32,MATCH(资金流水!$E499,记账规则!$A$13:$A$32,0),4),""))</f>
        <v/>
      </c>
      <c r="N4192" s="66" t="str">
        <f aca="false">IF($L4192="","",IFERROR(INDEX(记账规则!$A$13:$H$32,MATCH(资金流水!$E499,记账规则!$A$13:$A$32,0),5),""))</f>
        <v/>
      </c>
      <c r="O4192" s="67" t="n">
        <f aca="false">IF($H4192="",0,ROUND(IF($N4192="金额",N(资金流水!$P499),0),2))</f>
        <v>0</v>
      </c>
      <c r="P4192" s="64" t="str">
        <f aca="false">IF(AND($H4192&lt;&gt;"",ROUND($O4192,2)&lt;&gt;0),"有","")</f>
        <v/>
      </c>
    </row>
    <row r="4193" customFormat="false" ht="15" hidden="true" customHeight="false" outlineLevel="0" collapsed="false">
      <c r="A4193" s="53" t="str">
        <f aca="false">IF($H4193="","",ROW()-5)</f>
        <v/>
      </c>
      <c r="B4193" s="64" t="s">
        <v>37</v>
      </c>
      <c r="C4193" s="53" t="n">
        <v>499</v>
      </c>
      <c r="D4193" s="53" t="n">
        <v>2</v>
      </c>
      <c r="E4193" s="65" t="str">
        <f aca="false">IF($H4193="","",资金流水!$B499)</f>
        <v/>
      </c>
      <c r="F4193" s="55" t="str">
        <f aca="false">IF($H4193="","",资金流水!$C499)</f>
        <v/>
      </c>
      <c r="G4193" s="48" t="str">
        <f aca="false">IF($H4193="","",资金流水!$K499)</f>
        <v/>
      </c>
      <c r="H4193" s="10" t="str">
        <f aca="false">IF($L4193="","",IF($L4193="@对方",资金流水!$G499,IF($L4193="@账户",资金流水!$Q499,$L4193)))</f>
        <v/>
      </c>
      <c r="I4193" s="42" t="n">
        <f aca="false">IF($M4193="借",$O4193,0)</f>
        <v>0</v>
      </c>
      <c r="J4193" s="42" t="n">
        <f aca="false">IF($M4193="贷",$O4193,0)</f>
        <v>0</v>
      </c>
      <c r="K4193" s="48" t="str">
        <f aca="false">IF($H4193="","",资金流水!$F499)</f>
        <v/>
      </c>
      <c r="L4193" s="66" t="str">
        <f aca="false">IF(资金流水!$E499="","",IFERROR(INDEX(记账规则!$A$13:$H$32,MATCH(资金流水!$E499,记账规则!$A$13:$A$32,0),6),""))</f>
        <v/>
      </c>
      <c r="M4193" s="66" t="str">
        <f aca="false">IF($L4193="","",IFERROR(INDEX(记账规则!$A$13:$H$32,MATCH(资金流水!$E499,记账规则!$A$13:$A$32,0),7),""))</f>
        <v/>
      </c>
      <c r="N4193" s="66" t="str">
        <f aca="false">IF($L4193="","",IFERROR(INDEX(记账规则!$A$13:$H$32,MATCH(资金流水!$E499,记账规则!$A$13:$A$32,0),8),""))</f>
        <v/>
      </c>
      <c r="O4193" s="67" t="n">
        <f aca="false">IF($H4193="",0,ROUND(IF($N4193="金额",N(资金流水!$P499),0),2))</f>
        <v>0</v>
      </c>
      <c r="P4193" s="64" t="str">
        <f aca="false">IF(AND($H4193&lt;&gt;"",ROUND($O4193,2)&lt;&gt;0),"有","")</f>
        <v/>
      </c>
    </row>
    <row r="4194" customFormat="false" ht="15" hidden="true" customHeight="false" outlineLevel="0" collapsed="false">
      <c r="A4194" s="53" t="str">
        <f aca="false">IF($H4194="","",ROW()-5)</f>
        <v/>
      </c>
      <c r="B4194" s="64" t="s">
        <v>37</v>
      </c>
      <c r="C4194" s="53" t="n">
        <v>500</v>
      </c>
      <c r="D4194" s="53" t="n">
        <v>1</v>
      </c>
      <c r="E4194" s="65" t="str">
        <f aca="false">IF($H4194="","",资金流水!$B500)</f>
        <v/>
      </c>
      <c r="F4194" s="55" t="str">
        <f aca="false">IF($H4194="","",资金流水!$C500)</f>
        <v/>
      </c>
      <c r="G4194" s="48" t="str">
        <f aca="false">IF($H4194="","",资金流水!$K500)</f>
        <v/>
      </c>
      <c r="H4194" s="10" t="str">
        <f aca="false">IF($L4194="","",IF($L4194="@对方",资金流水!$G500,IF($L4194="@账户",资金流水!$Q500,$L4194)))</f>
        <v/>
      </c>
      <c r="I4194" s="42" t="n">
        <f aca="false">IF($M4194="借",$O4194,0)</f>
        <v>0</v>
      </c>
      <c r="J4194" s="42" t="n">
        <f aca="false">IF($M4194="贷",$O4194,0)</f>
        <v>0</v>
      </c>
      <c r="K4194" s="48" t="str">
        <f aca="false">IF($H4194="","",资金流水!$F500)</f>
        <v/>
      </c>
      <c r="L4194" s="66" t="str">
        <f aca="false">IF(资金流水!$E500="","",IFERROR(INDEX(记账规则!$A$13:$H$32,MATCH(资金流水!$E500,记账规则!$A$13:$A$32,0),3),""))</f>
        <v/>
      </c>
      <c r="M4194" s="66" t="str">
        <f aca="false">IF($L4194="","",IFERROR(INDEX(记账规则!$A$13:$H$32,MATCH(资金流水!$E500,记账规则!$A$13:$A$32,0),4),""))</f>
        <v/>
      </c>
      <c r="N4194" s="66" t="str">
        <f aca="false">IF($L4194="","",IFERROR(INDEX(记账规则!$A$13:$H$32,MATCH(资金流水!$E500,记账规则!$A$13:$A$32,0),5),""))</f>
        <v/>
      </c>
      <c r="O4194" s="67" t="n">
        <f aca="false">IF($H4194="",0,ROUND(IF($N4194="金额",N(资金流水!$P500),0),2))</f>
        <v>0</v>
      </c>
      <c r="P4194" s="64" t="str">
        <f aca="false">IF(AND($H4194&lt;&gt;"",ROUND($O4194,2)&lt;&gt;0),"有","")</f>
        <v/>
      </c>
    </row>
    <row r="4195" customFormat="false" ht="15" hidden="true" customHeight="false" outlineLevel="0" collapsed="false">
      <c r="A4195" s="53" t="str">
        <f aca="false">IF($H4195="","",ROW()-5)</f>
        <v/>
      </c>
      <c r="B4195" s="64" t="s">
        <v>37</v>
      </c>
      <c r="C4195" s="53" t="n">
        <v>500</v>
      </c>
      <c r="D4195" s="53" t="n">
        <v>2</v>
      </c>
      <c r="E4195" s="65" t="str">
        <f aca="false">IF($H4195="","",资金流水!$B500)</f>
        <v/>
      </c>
      <c r="F4195" s="55" t="str">
        <f aca="false">IF($H4195="","",资金流水!$C500)</f>
        <v/>
      </c>
      <c r="G4195" s="48" t="str">
        <f aca="false">IF($H4195="","",资金流水!$K500)</f>
        <v/>
      </c>
      <c r="H4195" s="10" t="str">
        <f aca="false">IF($L4195="","",IF($L4195="@对方",资金流水!$G500,IF($L4195="@账户",资金流水!$Q500,$L4195)))</f>
        <v/>
      </c>
      <c r="I4195" s="42" t="n">
        <f aca="false">IF($M4195="借",$O4195,0)</f>
        <v>0</v>
      </c>
      <c r="J4195" s="42" t="n">
        <f aca="false">IF($M4195="贷",$O4195,0)</f>
        <v>0</v>
      </c>
      <c r="K4195" s="48" t="str">
        <f aca="false">IF($H4195="","",资金流水!$F500)</f>
        <v/>
      </c>
      <c r="L4195" s="66" t="str">
        <f aca="false">IF(资金流水!$E500="","",IFERROR(INDEX(记账规则!$A$13:$H$32,MATCH(资金流水!$E500,记账规则!$A$13:$A$32,0),6),""))</f>
        <v/>
      </c>
      <c r="M4195" s="66" t="str">
        <f aca="false">IF($L4195="","",IFERROR(INDEX(记账规则!$A$13:$H$32,MATCH(资金流水!$E500,记账规则!$A$13:$A$32,0),7),""))</f>
        <v/>
      </c>
      <c r="N4195" s="66" t="str">
        <f aca="false">IF($L4195="","",IFERROR(INDEX(记账规则!$A$13:$H$32,MATCH(资金流水!$E500,记账规则!$A$13:$A$32,0),8),""))</f>
        <v/>
      </c>
      <c r="O4195" s="67" t="n">
        <f aca="false">IF($H4195="",0,ROUND(IF($N4195="金额",N(资金流水!$P500),0),2))</f>
        <v>0</v>
      </c>
      <c r="P4195" s="64" t="str">
        <f aca="false">IF(AND($H4195&lt;&gt;"",ROUND($O4195,2)&lt;&gt;0),"有","")</f>
        <v/>
      </c>
    </row>
    <row r="4196" customFormat="false" ht="15" hidden="true" customHeight="false" outlineLevel="0" collapsed="false">
      <c r="A4196" s="53" t="str">
        <f aca="false">IF($H4196="","",ROW()-5)</f>
        <v/>
      </c>
      <c r="B4196" s="64" t="s">
        <v>37</v>
      </c>
      <c r="C4196" s="53" t="n">
        <v>501</v>
      </c>
      <c r="D4196" s="53" t="n">
        <v>1</v>
      </c>
      <c r="E4196" s="65" t="str">
        <f aca="false">IF($H4196="","",资金流水!$B501)</f>
        <v/>
      </c>
      <c r="F4196" s="55" t="str">
        <f aca="false">IF($H4196="","",资金流水!$C501)</f>
        <v/>
      </c>
      <c r="G4196" s="48" t="str">
        <f aca="false">IF($H4196="","",资金流水!$K501)</f>
        <v/>
      </c>
      <c r="H4196" s="10" t="str">
        <f aca="false">IF($L4196="","",IF($L4196="@对方",资金流水!$G501,IF($L4196="@账户",资金流水!$Q501,$L4196)))</f>
        <v/>
      </c>
      <c r="I4196" s="42" t="n">
        <f aca="false">IF($M4196="借",$O4196,0)</f>
        <v>0</v>
      </c>
      <c r="J4196" s="42" t="n">
        <f aca="false">IF($M4196="贷",$O4196,0)</f>
        <v>0</v>
      </c>
      <c r="K4196" s="48" t="str">
        <f aca="false">IF($H4196="","",资金流水!$F501)</f>
        <v/>
      </c>
      <c r="L4196" s="66" t="str">
        <f aca="false">IF(资金流水!$E501="","",IFERROR(INDEX(记账规则!$A$13:$H$32,MATCH(资金流水!$E501,记账规则!$A$13:$A$32,0),3),""))</f>
        <v/>
      </c>
      <c r="M4196" s="66" t="str">
        <f aca="false">IF($L4196="","",IFERROR(INDEX(记账规则!$A$13:$H$32,MATCH(资金流水!$E501,记账规则!$A$13:$A$32,0),4),""))</f>
        <v/>
      </c>
      <c r="N4196" s="66" t="str">
        <f aca="false">IF($L4196="","",IFERROR(INDEX(记账规则!$A$13:$H$32,MATCH(资金流水!$E501,记账规则!$A$13:$A$32,0),5),""))</f>
        <v/>
      </c>
      <c r="O4196" s="67" t="n">
        <f aca="false">IF($H4196="",0,ROUND(IF($N4196="金额",N(资金流水!$P501),0),2))</f>
        <v>0</v>
      </c>
      <c r="P4196" s="64" t="str">
        <f aca="false">IF(AND($H4196&lt;&gt;"",ROUND($O4196,2)&lt;&gt;0),"有","")</f>
        <v/>
      </c>
    </row>
    <row r="4197" customFormat="false" ht="15" hidden="true" customHeight="false" outlineLevel="0" collapsed="false">
      <c r="A4197" s="53" t="str">
        <f aca="false">IF($H4197="","",ROW()-5)</f>
        <v/>
      </c>
      <c r="B4197" s="64" t="s">
        <v>37</v>
      </c>
      <c r="C4197" s="53" t="n">
        <v>501</v>
      </c>
      <c r="D4197" s="53" t="n">
        <v>2</v>
      </c>
      <c r="E4197" s="65" t="str">
        <f aca="false">IF($H4197="","",资金流水!$B501)</f>
        <v/>
      </c>
      <c r="F4197" s="55" t="str">
        <f aca="false">IF($H4197="","",资金流水!$C501)</f>
        <v/>
      </c>
      <c r="G4197" s="48" t="str">
        <f aca="false">IF($H4197="","",资金流水!$K501)</f>
        <v/>
      </c>
      <c r="H4197" s="10" t="str">
        <f aca="false">IF($L4197="","",IF($L4197="@对方",资金流水!$G501,IF($L4197="@账户",资金流水!$Q501,$L4197)))</f>
        <v/>
      </c>
      <c r="I4197" s="42" t="n">
        <f aca="false">IF($M4197="借",$O4197,0)</f>
        <v>0</v>
      </c>
      <c r="J4197" s="42" t="n">
        <f aca="false">IF($M4197="贷",$O4197,0)</f>
        <v>0</v>
      </c>
      <c r="K4197" s="48" t="str">
        <f aca="false">IF($H4197="","",资金流水!$F501)</f>
        <v/>
      </c>
      <c r="L4197" s="66" t="str">
        <f aca="false">IF(资金流水!$E501="","",IFERROR(INDEX(记账规则!$A$13:$H$32,MATCH(资金流水!$E501,记账规则!$A$13:$A$32,0),6),""))</f>
        <v/>
      </c>
      <c r="M4197" s="66" t="str">
        <f aca="false">IF($L4197="","",IFERROR(INDEX(记账规则!$A$13:$H$32,MATCH(资金流水!$E501,记账规则!$A$13:$A$32,0),7),""))</f>
        <v/>
      </c>
      <c r="N4197" s="66" t="str">
        <f aca="false">IF($L4197="","",IFERROR(INDEX(记账规则!$A$13:$H$32,MATCH(资金流水!$E501,记账规则!$A$13:$A$32,0),8),""))</f>
        <v/>
      </c>
      <c r="O4197" s="67" t="n">
        <f aca="false">IF($H4197="",0,ROUND(IF($N4197="金额",N(资金流水!$P501),0),2))</f>
        <v>0</v>
      </c>
      <c r="P4197" s="64" t="str">
        <f aca="false">IF(AND($H4197&lt;&gt;"",ROUND($O4197,2)&lt;&gt;0),"有","")</f>
        <v/>
      </c>
    </row>
    <row r="4198" customFormat="false" ht="15" hidden="true" customHeight="false" outlineLevel="0" collapsed="false">
      <c r="A4198" s="53" t="str">
        <f aca="false">IF($H4198="","",ROW()-5)</f>
        <v/>
      </c>
      <c r="B4198" s="64" t="s">
        <v>37</v>
      </c>
      <c r="C4198" s="53" t="n">
        <v>502</v>
      </c>
      <c r="D4198" s="53" t="n">
        <v>1</v>
      </c>
      <c r="E4198" s="65" t="str">
        <f aca="false">IF($H4198="","",资金流水!$B502)</f>
        <v/>
      </c>
      <c r="F4198" s="55" t="str">
        <f aca="false">IF($H4198="","",资金流水!$C502)</f>
        <v/>
      </c>
      <c r="G4198" s="48" t="str">
        <f aca="false">IF($H4198="","",资金流水!$K502)</f>
        <v/>
      </c>
      <c r="H4198" s="10" t="str">
        <f aca="false">IF($L4198="","",IF($L4198="@对方",资金流水!$G502,IF($L4198="@账户",资金流水!$Q502,$L4198)))</f>
        <v/>
      </c>
      <c r="I4198" s="42" t="n">
        <f aca="false">IF($M4198="借",$O4198,0)</f>
        <v>0</v>
      </c>
      <c r="J4198" s="42" t="n">
        <f aca="false">IF($M4198="贷",$O4198,0)</f>
        <v>0</v>
      </c>
      <c r="K4198" s="48" t="str">
        <f aca="false">IF($H4198="","",资金流水!$F502)</f>
        <v/>
      </c>
      <c r="L4198" s="66" t="str">
        <f aca="false">IF(资金流水!$E502="","",IFERROR(INDEX(记账规则!$A$13:$H$32,MATCH(资金流水!$E502,记账规则!$A$13:$A$32,0),3),""))</f>
        <v/>
      </c>
      <c r="M4198" s="66" t="str">
        <f aca="false">IF($L4198="","",IFERROR(INDEX(记账规则!$A$13:$H$32,MATCH(资金流水!$E502,记账规则!$A$13:$A$32,0),4),""))</f>
        <v/>
      </c>
      <c r="N4198" s="66" t="str">
        <f aca="false">IF($L4198="","",IFERROR(INDEX(记账规则!$A$13:$H$32,MATCH(资金流水!$E502,记账规则!$A$13:$A$32,0),5),""))</f>
        <v/>
      </c>
      <c r="O4198" s="67" t="n">
        <f aca="false">IF($H4198="",0,ROUND(IF($N4198="金额",N(资金流水!$P502),0),2))</f>
        <v>0</v>
      </c>
      <c r="P4198" s="64" t="str">
        <f aca="false">IF(AND($H4198&lt;&gt;"",ROUND($O4198,2)&lt;&gt;0),"有","")</f>
        <v/>
      </c>
    </row>
    <row r="4199" customFormat="false" ht="15" hidden="true" customHeight="false" outlineLevel="0" collapsed="false">
      <c r="A4199" s="53" t="str">
        <f aca="false">IF($H4199="","",ROW()-5)</f>
        <v/>
      </c>
      <c r="B4199" s="64" t="s">
        <v>37</v>
      </c>
      <c r="C4199" s="53" t="n">
        <v>502</v>
      </c>
      <c r="D4199" s="53" t="n">
        <v>2</v>
      </c>
      <c r="E4199" s="65" t="str">
        <f aca="false">IF($H4199="","",资金流水!$B502)</f>
        <v/>
      </c>
      <c r="F4199" s="55" t="str">
        <f aca="false">IF($H4199="","",资金流水!$C502)</f>
        <v/>
      </c>
      <c r="G4199" s="48" t="str">
        <f aca="false">IF($H4199="","",资金流水!$K502)</f>
        <v/>
      </c>
      <c r="H4199" s="10" t="str">
        <f aca="false">IF($L4199="","",IF($L4199="@对方",资金流水!$G502,IF($L4199="@账户",资金流水!$Q502,$L4199)))</f>
        <v/>
      </c>
      <c r="I4199" s="42" t="n">
        <f aca="false">IF($M4199="借",$O4199,0)</f>
        <v>0</v>
      </c>
      <c r="J4199" s="42" t="n">
        <f aca="false">IF($M4199="贷",$O4199,0)</f>
        <v>0</v>
      </c>
      <c r="K4199" s="48" t="str">
        <f aca="false">IF($H4199="","",资金流水!$F502)</f>
        <v/>
      </c>
      <c r="L4199" s="66" t="str">
        <f aca="false">IF(资金流水!$E502="","",IFERROR(INDEX(记账规则!$A$13:$H$32,MATCH(资金流水!$E502,记账规则!$A$13:$A$32,0),6),""))</f>
        <v/>
      </c>
      <c r="M4199" s="66" t="str">
        <f aca="false">IF($L4199="","",IFERROR(INDEX(记账规则!$A$13:$H$32,MATCH(资金流水!$E502,记账规则!$A$13:$A$32,0),7),""))</f>
        <v/>
      </c>
      <c r="N4199" s="66" t="str">
        <f aca="false">IF($L4199="","",IFERROR(INDEX(记账规则!$A$13:$H$32,MATCH(资金流水!$E502,记账规则!$A$13:$A$32,0),8),""))</f>
        <v/>
      </c>
      <c r="O4199" s="67" t="n">
        <f aca="false">IF($H4199="",0,ROUND(IF($N4199="金额",N(资金流水!$P502),0),2))</f>
        <v>0</v>
      </c>
      <c r="P4199" s="64" t="str">
        <f aca="false">IF(AND($H4199&lt;&gt;"",ROUND($O4199,2)&lt;&gt;0),"有","")</f>
        <v/>
      </c>
    </row>
    <row r="4200" customFormat="false" ht="15" hidden="true" customHeight="false" outlineLevel="0" collapsed="false">
      <c r="A4200" s="53" t="str">
        <f aca="false">IF($H4200="","",ROW()-5)</f>
        <v/>
      </c>
      <c r="B4200" s="64" t="s">
        <v>37</v>
      </c>
      <c r="C4200" s="53" t="n">
        <v>503</v>
      </c>
      <c r="D4200" s="53" t="n">
        <v>1</v>
      </c>
      <c r="E4200" s="65" t="str">
        <f aca="false">IF($H4200="","",资金流水!$B503)</f>
        <v/>
      </c>
      <c r="F4200" s="55" t="str">
        <f aca="false">IF($H4200="","",资金流水!$C503)</f>
        <v/>
      </c>
      <c r="G4200" s="48" t="str">
        <f aca="false">IF($H4200="","",资金流水!$K503)</f>
        <v/>
      </c>
      <c r="H4200" s="10" t="str">
        <f aca="false">IF($L4200="","",IF($L4200="@对方",资金流水!$G503,IF($L4200="@账户",资金流水!$Q503,$L4200)))</f>
        <v/>
      </c>
      <c r="I4200" s="42" t="n">
        <f aca="false">IF($M4200="借",$O4200,0)</f>
        <v>0</v>
      </c>
      <c r="J4200" s="42" t="n">
        <f aca="false">IF($M4200="贷",$O4200,0)</f>
        <v>0</v>
      </c>
      <c r="K4200" s="48" t="str">
        <f aca="false">IF($H4200="","",资金流水!$F503)</f>
        <v/>
      </c>
      <c r="L4200" s="66" t="str">
        <f aca="false">IF(资金流水!$E503="","",IFERROR(INDEX(记账规则!$A$13:$H$32,MATCH(资金流水!$E503,记账规则!$A$13:$A$32,0),3),""))</f>
        <v/>
      </c>
      <c r="M4200" s="66" t="str">
        <f aca="false">IF($L4200="","",IFERROR(INDEX(记账规则!$A$13:$H$32,MATCH(资金流水!$E503,记账规则!$A$13:$A$32,0),4),""))</f>
        <v/>
      </c>
      <c r="N4200" s="66" t="str">
        <f aca="false">IF($L4200="","",IFERROR(INDEX(记账规则!$A$13:$H$32,MATCH(资金流水!$E503,记账规则!$A$13:$A$32,0),5),""))</f>
        <v/>
      </c>
      <c r="O4200" s="67" t="n">
        <f aca="false">IF($H4200="",0,ROUND(IF($N4200="金额",N(资金流水!$P503),0),2))</f>
        <v>0</v>
      </c>
      <c r="P4200" s="64" t="str">
        <f aca="false">IF(AND($H4200&lt;&gt;"",ROUND($O4200,2)&lt;&gt;0),"有","")</f>
        <v/>
      </c>
    </row>
    <row r="4201" customFormat="false" ht="15" hidden="true" customHeight="false" outlineLevel="0" collapsed="false">
      <c r="A4201" s="53" t="str">
        <f aca="false">IF($H4201="","",ROW()-5)</f>
        <v/>
      </c>
      <c r="B4201" s="64" t="s">
        <v>37</v>
      </c>
      <c r="C4201" s="53" t="n">
        <v>503</v>
      </c>
      <c r="D4201" s="53" t="n">
        <v>2</v>
      </c>
      <c r="E4201" s="65" t="str">
        <f aca="false">IF($H4201="","",资金流水!$B503)</f>
        <v/>
      </c>
      <c r="F4201" s="55" t="str">
        <f aca="false">IF($H4201="","",资金流水!$C503)</f>
        <v/>
      </c>
      <c r="G4201" s="48" t="str">
        <f aca="false">IF($H4201="","",资金流水!$K503)</f>
        <v/>
      </c>
      <c r="H4201" s="10" t="str">
        <f aca="false">IF($L4201="","",IF($L4201="@对方",资金流水!$G503,IF($L4201="@账户",资金流水!$Q503,$L4201)))</f>
        <v/>
      </c>
      <c r="I4201" s="42" t="n">
        <f aca="false">IF($M4201="借",$O4201,0)</f>
        <v>0</v>
      </c>
      <c r="J4201" s="42" t="n">
        <f aca="false">IF($M4201="贷",$O4201,0)</f>
        <v>0</v>
      </c>
      <c r="K4201" s="48" t="str">
        <f aca="false">IF($H4201="","",资金流水!$F503)</f>
        <v/>
      </c>
      <c r="L4201" s="66" t="str">
        <f aca="false">IF(资金流水!$E503="","",IFERROR(INDEX(记账规则!$A$13:$H$32,MATCH(资金流水!$E503,记账规则!$A$13:$A$32,0),6),""))</f>
        <v/>
      </c>
      <c r="M4201" s="66" t="str">
        <f aca="false">IF($L4201="","",IFERROR(INDEX(记账规则!$A$13:$H$32,MATCH(资金流水!$E503,记账规则!$A$13:$A$32,0),7),""))</f>
        <v/>
      </c>
      <c r="N4201" s="66" t="str">
        <f aca="false">IF($L4201="","",IFERROR(INDEX(记账规则!$A$13:$H$32,MATCH(资金流水!$E503,记账规则!$A$13:$A$32,0),8),""))</f>
        <v/>
      </c>
      <c r="O4201" s="67" t="n">
        <f aca="false">IF($H4201="",0,ROUND(IF($N4201="金额",N(资金流水!$P503),0),2))</f>
        <v>0</v>
      </c>
      <c r="P4201" s="64" t="str">
        <f aca="false">IF(AND($H4201&lt;&gt;"",ROUND($O4201,2)&lt;&gt;0),"有","")</f>
        <v/>
      </c>
    </row>
    <row r="4202" customFormat="false" ht="15" hidden="true" customHeight="false" outlineLevel="0" collapsed="false">
      <c r="A4202" s="53" t="str">
        <f aca="false">IF($H4202="","",ROW()-5)</f>
        <v/>
      </c>
      <c r="B4202" s="64" t="s">
        <v>37</v>
      </c>
      <c r="C4202" s="53" t="n">
        <v>504</v>
      </c>
      <c r="D4202" s="53" t="n">
        <v>1</v>
      </c>
      <c r="E4202" s="65" t="str">
        <f aca="false">IF($H4202="","",资金流水!$B504)</f>
        <v/>
      </c>
      <c r="F4202" s="55" t="str">
        <f aca="false">IF($H4202="","",资金流水!$C504)</f>
        <v/>
      </c>
      <c r="G4202" s="48" t="str">
        <f aca="false">IF($H4202="","",资金流水!$K504)</f>
        <v/>
      </c>
      <c r="H4202" s="10" t="str">
        <f aca="false">IF($L4202="","",IF($L4202="@对方",资金流水!$G504,IF($L4202="@账户",资金流水!$Q504,$L4202)))</f>
        <v/>
      </c>
      <c r="I4202" s="42" t="n">
        <f aca="false">IF($M4202="借",$O4202,0)</f>
        <v>0</v>
      </c>
      <c r="J4202" s="42" t="n">
        <f aca="false">IF($M4202="贷",$O4202,0)</f>
        <v>0</v>
      </c>
      <c r="K4202" s="48" t="str">
        <f aca="false">IF($H4202="","",资金流水!$F504)</f>
        <v/>
      </c>
      <c r="L4202" s="66" t="str">
        <f aca="false">IF(资金流水!$E504="","",IFERROR(INDEX(记账规则!$A$13:$H$32,MATCH(资金流水!$E504,记账规则!$A$13:$A$32,0),3),""))</f>
        <v/>
      </c>
      <c r="M4202" s="66" t="str">
        <f aca="false">IF($L4202="","",IFERROR(INDEX(记账规则!$A$13:$H$32,MATCH(资金流水!$E504,记账规则!$A$13:$A$32,0),4),""))</f>
        <v/>
      </c>
      <c r="N4202" s="66" t="str">
        <f aca="false">IF($L4202="","",IFERROR(INDEX(记账规则!$A$13:$H$32,MATCH(资金流水!$E504,记账规则!$A$13:$A$32,0),5),""))</f>
        <v/>
      </c>
      <c r="O4202" s="67" t="n">
        <f aca="false">IF($H4202="",0,ROUND(IF($N4202="金额",N(资金流水!$P504),0),2))</f>
        <v>0</v>
      </c>
      <c r="P4202" s="64" t="str">
        <f aca="false">IF(AND($H4202&lt;&gt;"",ROUND($O4202,2)&lt;&gt;0),"有","")</f>
        <v/>
      </c>
    </row>
    <row r="4203" customFormat="false" ht="15" hidden="true" customHeight="false" outlineLevel="0" collapsed="false">
      <c r="A4203" s="53" t="str">
        <f aca="false">IF($H4203="","",ROW()-5)</f>
        <v/>
      </c>
      <c r="B4203" s="64" t="s">
        <v>37</v>
      </c>
      <c r="C4203" s="53" t="n">
        <v>504</v>
      </c>
      <c r="D4203" s="53" t="n">
        <v>2</v>
      </c>
      <c r="E4203" s="65" t="str">
        <f aca="false">IF($H4203="","",资金流水!$B504)</f>
        <v/>
      </c>
      <c r="F4203" s="55" t="str">
        <f aca="false">IF($H4203="","",资金流水!$C504)</f>
        <v/>
      </c>
      <c r="G4203" s="48" t="str">
        <f aca="false">IF($H4203="","",资金流水!$K504)</f>
        <v/>
      </c>
      <c r="H4203" s="10" t="str">
        <f aca="false">IF($L4203="","",IF($L4203="@对方",资金流水!$G504,IF($L4203="@账户",资金流水!$Q504,$L4203)))</f>
        <v/>
      </c>
      <c r="I4203" s="42" t="n">
        <f aca="false">IF($M4203="借",$O4203,0)</f>
        <v>0</v>
      </c>
      <c r="J4203" s="42" t="n">
        <f aca="false">IF($M4203="贷",$O4203,0)</f>
        <v>0</v>
      </c>
      <c r="K4203" s="48" t="str">
        <f aca="false">IF($H4203="","",资金流水!$F504)</f>
        <v/>
      </c>
      <c r="L4203" s="66" t="str">
        <f aca="false">IF(资金流水!$E504="","",IFERROR(INDEX(记账规则!$A$13:$H$32,MATCH(资金流水!$E504,记账规则!$A$13:$A$32,0),6),""))</f>
        <v/>
      </c>
      <c r="M4203" s="66" t="str">
        <f aca="false">IF($L4203="","",IFERROR(INDEX(记账规则!$A$13:$H$32,MATCH(资金流水!$E504,记账规则!$A$13:$A$32,0),7),""))</f>
        <v/>
      </c>
      <c r="N4203" s="66" t="str">
        <f aca="false">IF($L4203="","",IFERROR(INDEX(记账规则!$A$13:$H$32,MATCH(资金流水!$E504,记账规则!$A$13:$A$32,0),8),""))</f>
        <v/>
      </c>
      <c r="O4203" s="67" t="n">
        <f aca="false">IF($H4203="",0,ROUND(IF($N4203="金额",N(资金流水!$P504),0),2))</f>
        <v>0</v>
      </c>
      <c r="P4203" s="64" t="str">
        <f aca="false">IF(AND($H4203&lt;&gt;"",ROUND($O4203,2)&lt;&gt;0),"有","")</f>
        <v/>
      </c>
    </row>
    <row r="4204" customFormat="false" ht="15" hidden="true" customHeight="false" outlineLevel="0" collapsed="false">
      <c r="A4204" s="53" t="str">
        <f aca="false">IF($H4204="","",ROW()-5)</f>
        <v/>
      </c>
      <c r="B4204" s="64" t="s">
        <v>37</v>
      </c>
      <c r="C4204" s="53" t="n">
        <v>505</v>
      </c>
      <c r="D4204" s="53" t="n">
        <v>1</v>
      </c>
      <c r="E4204" s="65" t="str">
        <f aca="false">IF($H4204="","",资金流水!$B505)</f>
        <v/>
      </c>
      <c r="F4204" s="55" t="str">
        <f aca="false">IF($H4204="","",资金流水!$C505)</f>
        <v/>
      </c>
      <c r="G4204" s="48" t="str">
        <f aca="false">IF($H4204="","",资金流水!$K505)</f>
        <v/>
      </c>
      <c r="H4204" s="10" t="str">
        <f aca="false">IF($L4204="","",IF($L4204="@对方",资金流水!$G505,IF($L4204="@账户",资金流水!$Q505,$L4204)))</f>
        <v/>
      </c>
      <c r="I4204" s="42" t="n">
        <f aca="false">IF($M4204="借",$O4204,0)</f>
        <v>0</v>
      </c>
      <c r="J4204" s="42" t="n">
        <f aca="false">IF($M4204="贷",$O4204,0)</f>
        <v>0</v>
      </c>
      <c r="K4204" s="48" t="str">
        <f aca="false">IF($H4204="","",资金流水!$F505)</f>
        <v/>
      </c>
      <c r="L4204" s="66" t="str">
        <f aca="false">IF(资金流水!$E505="","",IFERROR(INDEX(记账规则!$A$13:$H$32,MATCH(资金流水!$E505,记账规则!$A$13:$A$32,0),3),""))</f>
        <v/>
      </c>
      <c r="M4204" s="66" t="str">
        <f aca="false">IF($L4204="","",IFERROR(INDEX(记账规则!$A$13:$H$32,MATCH(资金流水!$E505,记账规则!$A$13:$A$32,0),4),""))</f>
        <v/>
      </c>
      <c r="N4204" s="66" t="str">
        <f aca="false">IF($L4204="","",IFERROR(INDEX(记账规则!$A$13:$H$32,MATCH(资金流水!$E505,记账规则!$A$13:$A$32,0),5),""))</f>
        <v/>
      </c>
      <c r="O4204" s="67" t="n">
        <f aca="false">IF($H4204="",0,ROUND(IF($N4204="金额",N(资金流水!$P505),0),2))</f>
        <v>0</v>
      </c>
      <c r="P4204" s="64" t="str">
        <f aca="false">IF(AND($H4204&lt;&gt;"",ROUND($O4204,2)&lt;&gt;0),"有","")</f>
        <v/>
      </c>
    </row>
    <row r="4205" customFormat="false" ht="15" hidden="true" customHeight="false" outlineLevel="0" collapsed="false">
      <c r="A4205" s="53" t="str">
        <f aca="false">IF($H4205="","",ROW()-5)</f>
        <v/>
      </c>
      <c r="B4205" s="64" t="s">
        <v>37</v>
      </c>
      <c r="C4205" s="53" t="n">
        <v>505</v>
      </c>
      <c r="D4205" s="53" t="n">
        <v>2</v>
      </c>
      <c r="E4205" s="65" t="str">
        <f aca="false">IF($H4205="","",资金流水!$B505)</f>
        <v/>
      </c>
      <c r="F4205" s="55" t="str">
        <f aca="false">IF($H4205="","",资金流水!$C505)</f>
        <v/>
      </c>
      <c r="G4205" s="48" t="str">
        <f aca="false">IF($H4205="","",资金流水!$K505)</f>
        <v/>
      </c>
      <c r="H4205" s="10" t="str">
        <f aca="false">IF($L4205="","",IF($L4205="@对方",资金流水!$G505,IF($L4205="@账户",资金流水!$Q505,$L4205)))</f>
        <v/>
      </c>
      <c r="I4205" s="42" t="n">
        <f aca="false">IF($M4205="借",$O4205,0)</f>
        <v>0</v>
      </c>
      <c r="J4205" s="42" t="n">
        <f aca="false">IF($M4205="贷",$O4205,0)</f>
        <v>0</v>
      </c>
      <c r="K4205" s="48" t="str">
        <f aca="false">IF($H4205="","",资金流水!$F505)</f>
        <v/>
      </c>
      <c r="L4205" s="66" t="str">
        <f aca="false">IF(资金流水!$E505="","",IFERROR(INDEX(记账规则!$A$13:$H$32,MATCH(资金流水!$E505,记账规则!$A$13:$A$32,0),6),""))</f>
        <v/>
      </c>
      <c r="M4205" s="66" t="str">
        <f aca="false">IF($L4205="","",IFERROR(INDEX(记账规则!$A$13:$H$32,MATCH(资金流水!$E505,记账规则!$A$13:$A$32,0),7),""))</f>
        <v/>
      </c>
      <c r="N4205" s="66" t="str">
        <f aca="false">IF($L4205="","",IFERROR(INDEX(记账规则!$A$13:$H$32,MATCH(资金流水!$E505,记账规则!$A$13:$A$32,0),8),""))</f>
        <v/>
      </c>
      <c r="O4205" s="67" t="n">
        <f aca="false">IF($H4205="",0,ROUND(IF($N4205="金额",N(资金流水!$P505),0),2))</f>
        <v>0</v>
      </c>
      <c r="P4205" s="64" t="str">
        <f aca="false">IF(AND($H4205&lt;&gt;"",ROUND($O4205,2)&lt;&gt;0),"有","")</f>
        <v/>
      </c>
    </row>
    <row r="4206" customFormat="false" ht="15" hidden="true" customHeight="false" outlineLevel="0" collapsed="false">
      <c r="A4206" s="53" t="str">
        <f aca="false">IF($H4206="","",ROW()-5)</f>
        <v/>
      </c>
      <c r="B4206" s="64" t="s">
        <v>37</v>
      </c>
      <c r="C4206" s="53" t="n">
        <v>506</v>
      </c>
      <c r="D4206" s="53" t="n">
        <v>1</v>
      </c>
      <c r="E4206" s="65" t="str">
        <f aca="false">IF($H4206="","",资金流水!$B506)</f>
        <v/>
      </c>
      <c r="F4206" s="55" t="str">
        <f aca="false">IF($H4206="","",资金流水!$C506)</f>
        <v/>
      </c>
      <c r="G4206" s="48" t="str">
        <f aca="false">IF($H4206="","",资金流水!$K506)</f>
        <v/>
      </c>
      <c r="H4206" s="10" t="str">
        <f aca="false">IF($L4206="","",IF($L4206="@对方",资金流水!$G506,IF($L4206="@账户",资金流水!$Q506,$L4206)))</f>
        <v/>
      </c>
      <c r="I4206" s="42" t="n">
        <f aca="false">IF($M4206="借",$O4206,0)</f>
        <v>0</v>
      </c>
      <c r="J4206" s="42" t="n">
        <f aca="false">IF($M4206="贷",$O4206,0)</f>
        <v>0</v>
      </c>
      <c r="K4206" s="48" t="str">
        <f aca="false">IF($H4206="","",资金流水!$F506)</f>
        <v/>
      </c>
      <c r="L4206" s="66" t="str">
        <f aca="false">IF(资金流水!$E506="","",IFERROR(INDEX(记账规则!$A$13:$H$32,MATCH(资金流水!$E506,记账规则!$A$13:$A$32,0),3),""))</f>
        <v/>
      </c>
      <c r="M4206" s="66" t="str">
        <f aca="false">IF($L4206="","",IFERROR(INDEX(记账规则!$A$13:$H$32,MATCH(资金流水!$E506,记账规则!$A$13:$A$32,0),4),""))</f>
        <v/>
      </c>
      <c r="N4206" s="66" t="str">
        <f aca="false">IF($L4206="","",IFERROR(INDEX(记账规则!$A$13:$H$32,MATCH(资金流水!$E506,记账规则!$A$13:$A$32,0),5),""))</f>
        <v/>
      </c>
      <c r="O4206" s="67" t="n">
        <f aca="false">IF($H4206="",0,ROUND(IF($N4206="金额",N(资金流水!$P506),0),2))</f>
        <v>0</v>
      </c>
      <c r="P4206" s="64" t="str">
        <f aca="false">IF(AND($H4206&lt;&gt;"",ROUND($O4206,2)&lt;&gt;0),"有","")</f>
        <v/>
      </c>
    </row>
    <row r="4207" customFormat="false" ht="15" hidden="true" customHeight="false" outlineLevel="0" collapsed="false">
      <c r="A4207" s="53" t="str">
        <f aca="false">IF($H4207="","",ROW()-5)</f>
        <v/>
      </c>
      <c r="B4207" s="64" t="s">
        <v>37</v>
      </c>
      <c r="C4207" s="53" t="n">
        <v>506</v>
      </c>
      <c r="D4207" s="53" t="n">
        <v>2</v>
      </c>
      <c r="E4207" s="65" t="str">
        <f aca="false">IF($H4207="","",资金流水!$B506)</f>
        <v/>
      </c>
      <c r="F4207" s="55" t="str">
        <f aca="false">IF($H4207="","",资金流水!$C506)</f>
        <v/>
      </c>
      <c r="G4207" s="48" t="str">
        <f aca="false">IF($H4207="","",资金流水!$K506)</f>
        <v/>
      </c>
      <c r="H4207" s="10" t="str">
        <f aca="false">IF($L4207="","",IF($L4207="@对方",资金流水!$G506,IF($L4207="@账户",资金流水!$Q506,$L4207)))</f>
        <v/>
      </c>
      <c r="I4207" s="42" t="n">
        <f aca="false">IF($M4207="借",$O4207,0)</f>
        <v>0</v>
      </c>
      <c r="J4207" s="42" t="n">
        <f aca="false">IF($M4207="贷",$O4207,0)</f>
        <v>0</v>
      </c>
      <c r="K4207" s="48" t="str">
        <f aca="false">IF($H4207="","",资金流水!$F506)</f>
        <v/>
      </c>
      <c r="L4207" s="66" t="str">
        <f aca="false">IF(资金流水!$E506="","",IFERROR(INDEX(记账规则!$A$13:$H$32,MATCH(资金流水!$E506,记账规则!$A$13:$A$32,0),6),""))</f>
        <v/>
      </c>
      <c r="M4207" s="66" t="str">
        <f aca="false">IF($L4207="","",IFERROR(INDEX(记账规则!$A$13:$H$32,MATCH(资金流水!$E506,记账规则!$A$13:$A$32,0),7),""))</f>
        <v/>
      </c>
      <c r="N4207" s="66" t="str">
        <f aca="false">IF($L4207="","",IFERROR(INDEX(记账规则!$A$13:$H$32,MATCH(资金流水!$E506,记账规则!$A$13:$A$32,0),8),""))</f>
        <v/>
      </c>
      <c r="O4207" s="67" t="n">
        <f aca="false">IF($H4207="",0,ROUND(IF($N4207="金额",N(资金流水!$P506),0),2))</f>
        <v>0</v>
      </c>
      <c r="P4207" s="64" t="str">
        <f aca="false">IF(AND($H4207&lt;&gt;"",ROUND($O4207,2)&lt;&gt;0),"有","")</f>
        <v/>
      </c>
    </row>
    <row r="4208" customFormat="false" ht="15" hidden="true" customHeight="false" outlineLevel="0" collapsed="false">
      <c r="A4208" s="53" t="str">
        <f aca="false">IF($H4208="","",ROW()-5)</f>
        <v/>
      </c>
      <c r="B4208" s="64" t="s">
        <v>37</v>
      </c>
      <c r="C4208" s="53" t="n">
        <v>507</v>
      </c>
      <c r="D4208" s="53" t="n">
        <v>1</v>
      </c>
      <c r="E4208" s="65" t="str">
        <f aca="false">IF($H4208="","",资金流水!$B507)</f>
        <v/>
      </c>
      <c r="F4208" s="55" t="str">
        <f aca="false">IF($H4208="","",资金流水!$C507)</f>
        <v/>
      </c>
      <c r="G4208" s="48" t="str">
        <f aca="false">IF($H4208="","",资金流水!$K507)</f>
        <v/>
      </c>
      <c r="H4208" s="10" t="str">
        <f aca="false">IF($L4208="","",IF($L4208="@对方",资金流水!$G507,IF($L4208="@账户",资金流水!$Q507,$L4208)))</f>
        <v/>
      </c>
      <c r="I4208" s="42" t="n">
        <f aca="false">IF($M4208="借",$O4208,0)</f>
        <v>0</v>
      </c>
      <c r="J4208" s="42" t="n">
        <f aca="false">IF($M4208="贷",$O4208,0)</f>
        <v>0</v>
      </c>
      <c r="K4208" s="48" t="str">
        <f aca="false">IF($H4208="","",资金流水!$F507)</f>
        <v/>
      </c>
      <c r="L4208" s="66" t="str">
        <f aca="false">IF(资金流水!$E507="","",IFERROR(INDEX(记账规则!$A$13:$H$32,MATCH(资金流水!$E507,记账规则!$A$13:$A$32,0),3),""))</f>
        <v/>
      </c>
      <c r="M4208" s="66" t="str">
        <f aca="false">IF($L4208="","",IFERROR(INDEX(记账规则!$A$13:$H$32,MATCH(资金流水!$E507,记账规则!$A$13:$A$32,0),4),""))</f>
        <v/>
      </c>
      <c r="N4208" s="66" t="str">
        <f aca="false">IF($L4208="","",IFERROR(INDEX(记账规则!$A$13:$H$32,MATCH(资金流水!$E507,记账规则!$A$13:$A$32,0),5),""))</f>
        <v/>
      </c>
      <c r="O4208" s="67" t="n">
        <f aca="false">IF($H4208="",0,ROUND(IF($N4208="金额",N(资金流水!$P507),0),2))</f>
        <v>0</v>
      </c>
      <c r="P4208" s="64" t="str">
        <f aca="false">IF(AND($H4208&lt;&gt;"",ROUND($O4208,2)&lt;&gt;0),"有","")</f>
        <v/>
      </c>
    </row>
    <row r="4209" customFormat="false" ht="15" hidden="true" customHeight="false" outlineLevel="0" collapsed="false">
      <c r="A4209" s="53" t="str">
        <f aca="false">IF($H4209="","",ROW()-5)</f>
        <v/>
      </c>
      <c r="B4209" s="64" t="s">
        <v>37</v>
      </c>
      <c r="C4209" s="53" t="n">
        <v>507</v>
      </c>
      <c r="D4209" s="53" t="n">
        <v>2</v>
      </c>
      <c r="E4209" s="65" t="str">
        <f aca="false">IF($H4209="","",资金流水!$B507)</f>
        <v/>
      </c>
      <c r="F4209" s="55" t="str">
        <f aca="false">IF($H4209="","",资金流水!$C507)</f>
        <v/>
      </c>
      <c r="G4209" s="48" t="str">
        <f aca="false">IF($H4209="","",资金流水!$K507)</f>
        <v/>
      </c>
      <c r="H4209" s="10" t="str">
        <f aca="false">IF($L4209="","",IF($L4209="@对方",资金流水!$G507,IF($L4209="@账户",资金流水!$Q507,$L4209)))</f>
        <v/>
      </c>
      <c r="I4209" s="42" t="n">
        <f aca="false">IF($M4209="借",$O4209,0)</f>
        <v>0</v>
      </c>
      <c r="J4209" s="42" t="n">
        <f aca="false">IF($M4209="贷",$O4209,0)</f>
        <v>0</v>
      </c>
      <c r="K4209" s="48" t="str">
        <f aca="false">IF($H4209="","",资金流水!$F507)</f>
        <v/>
      </c>
      <c r="L4209" s="66" t="str">
        <f aca="false">IF(资金流水!$E507="","",IFERROR(INDEX(记账规则!$A$13:$H$32,MATCH(资金流水!$E507,记账规则!$A$13:$A$32,0),6),""))</f>
        <v/>
      </c>
      <c r="M4209" s="66" t="str">
        <f aca="false">IF($L4209="","",IFERROR(INDEX(记账规则!$A$13:$H$32,MATCH(资金流水!$E507,记账规则!$A$13:$A$32,0),7),""))</f>
        <v/>
      </c>
      <c r="N4209" s="66" t="str">
        <f aca="false">IF($L4209="","",IFERROR(INDEX(记账规则!$A$13:$H$32,MATCH(资金流水!$E507,记账规则!$A$13:$A$32,0),8),""))</f>
        <v/>
      </c>
      <c r="O4209" s="67" t="n">
        <f aca="false">IF($H4209="",0,ROUND(IF($N4209="金额",N(资金流水!$P507),0),2))</f>
        <v>0</v>
      </c>
      <c r="P4209" s="64" t="str">
        <f aca="false">IF(AND($H4209&lt;&gt;"",ROUND($O4209,2)&lt;&gt;0),"有","")</f>
        <v/>
      </c>
    </row>
    <row r="4210" customFormat="false" ht="15" hidden="true" customHeight="false" outlineLevel="0" collapsed="false">
      <c r="A4210" s="53" t="str">
        <f aca="false">IF($H4210="","",ROW()-5)</f>
        <v/>
      </c>
      <c r="B4210" s="64" t="s">
        <v>37</v>
      </c>
      <c r="C4210" s="53" t="n">
        <v>508</v>
      </c>
      <c r="D4210" s="53" t="n">
        <v>1</v>
      </c>
      <c r="E4210" s="65" t="str">
        <f aca="false">IF($H4210="","",资金流水!$B508)</f>
        <v/>
      </c>
      <c r="F4210" s="55" t="str">
        <f aca="false">IF($H4210="","",资金流水!$C508)</f>
        <v/>
      </c>
      <c r="G4210" s="48" t="str">
        <f aca="false">IF($H4210="","",资金流水!$K508)</f>
        <v/>
      </c>
      <c r="H4210" s="10" t="str">
        <f aca="false">IF($L4210="","",IF($L4210="@对方",资金流水!$G508,IF($L4210="@账户",资金流水!$Q508,$L4210)))</f>
        <v/>
      </c>
      <c r="I4210" s="42" t="n">
        <f aca="false">IF($M4210="借",$O4210,0)</f>
        <v>0</v>
      </c>
      <c r="J4210" s="42" t="n">
        <f aca="false">IF($M4210="贷",$O4210,0)</f>
        <v>0</v>
      </c>
      <c r="K4210" s="48" t="str">
        <f aca="false">IF($H4210="","",资金流水!$F508)</f>
        <v/>
      </c>
      <c r="L4210" s="66" t="str">
        <f aca="false">IF(资金流水!$E508="","",IFERROR(INDEX(记账规则!$A$13:$H$32,MATCH(资金流水!$E508,记账规则!$A$13:$A$32,0),3),""))</f>
        <v/>
      </c>
      <c r="M4210" s="66" t="str">
        <f aca="false">IF($L4210="","",IFERROR(INDEX(记账规则!$A$13:$H$32,MATCH(资金流水!$E508,记账规则!$A$13:$A$32,0),4),""))</f>
        <v/>
      </c>
      <c r="N4210" s="66" t="str">
        <f aca="false">IF($L4210="","",IFERROR(INDEX(记账规则!$A$13:$H$32,MATCH(资金流水!$E508,记账规则!$A$13:$A$32,0),5),""))</f>
        <v/>
      </c>
      <c r="O4210" s="67" t="n">
        <f aca="false">IF($H4210="",0,ROUND(IF($N4210="金额",N(资金流水!$P508),0),2))</f>
        <v>0</v>
      </c>
      <c r="P4210" s="64" t="str">
        <f aca="false">IF(AND($H4210&lt;&gt;"",ROUND($O4210,2)&lt;&gt;0),"有","")</f>
        <v/>
      </c>
    </row>
    <row r="4211" customFormat="false" ht="15" hidden="true" customHeight="false" outlineLevel="0" collapsed="false">
      <c r="A4211" s="53" t="str">
        <f aca="false">IF($H4211="","",ROW()-5)</f>
        <v/>
      </c>
      <c r="B4211" s="64" t="s">
        <v>37</v>
      </c>
      <c r="C4211" s="53" t="n">
        <v>508</v>
      </c>
      <c r="D4211" s="53" t="n">
        <v>2</v>
      </c>
      <c r="E4211" s="65" t="str">
        <f aca="false">IF($H4211="","",资金流水!$B508)</f>
        <v/>
      </c>
      <c r="F4211" s="55" t="str">
        <f aca="false">IF($H4211="","",资金流水!$C508)</f>
        <v/>
      </c>
      <c r="G4211" s="48" t="str">
        <f aca="false">IF($H4211="","",资金流水!$K508)</f>
        <v/>
      </c>
      <c r="H4211" s="10" t="str">
        <f aca="false">IF($L4211="","",IF($L4211="@对方",资金流水!$G508,IF($L4211="@账户",资金流水!$Q508,$L4211)))</f>
        <v/>
      </c>
      <c r="I4211" s="42" t="n">
        <f aca="false">IF($M4211="借",$O4211,0)</f>
        <v>0</v>
      </c>
      <c r="J4211" s="42" t="n">
        <f aca="false">IF($M4211="贷",$O4211,0)</f>
        <v>0</v>
      </c>
      <c r="K4211" s="48" t="str">
        <f aca="false">IF($H4211="","",资金流水!$F508)</f>
        <v/>
      </c>
      <c r="L4211" s="66" t="str">
        <f aca="false">IF(资金流水!$E508="","",IFERROR(INDEX(记账规则!$A$13:$H$32,MATCH(资金流水!$E508,记账规则!$A$13:$A$32,0),6),""))</f>
        <v/>
      </c>
      <c r="M4211" s="66" t="str">
        <f aca="false">IF($L4211="","",IFERROR(INDEX(记账规则!$A$13:$H$32,MATCH(资金流水!$E508,记账规则!$A$13:$A$32,0),7),""))</f>
        <v/>
      </c>
      <c r="N4211" s="66" t="str">
        <f aca="false">IF($L4211="","",IFERROR(INDEX(记账规则!$A$13:$H$32,MATCH(资金流水!$E508,记账规则!$A$13:$A$32,0),8),""))</f>
        <v/>
      </c>
      <c r="O4211" s="67" t="n">
        <f aca="false">IF($H4211="",0,ROUND(IF($N4211="金额",N(资金流水!$P508),0),2))</f>
        <v>0</v>
      </c>
      <c r="P4211" s="64" t="str">
        <f aca="false">IF(AND($H4211&lt;&gt;"",ROUND($O4211,2)&lt;&gt;0),"有","")</f>
        <v/>
      </c>
    </row>
    <row r="4212" customFormat="false" ht="15" hidden="true" customHeight="false" outlineLevel="0" collapsed="false">
      <c r="A4212" s="53" t="str">
        <f aca="false">IF($H4212="","",ROW()-5)</f>
        <v/>
      </c>
      <c r="B4212" s="64" t="s">
        <v>37</v>
      </c>
      <c r="C4212" s="53" t="n">
        <v>509</v>
      </c>
      <c r="D4212" s="53" t="n">
        <v>1</v>
      </c>
      <c r="E4212" s="65" t="str">
        <f aca="false">IF($H4212="","",资金流水!$B509)</f>
        <v/>
      </c>
      <c r="F4212" s="55" t="str">
        <f aca="false">IF($H4212="","",资金流水!$C509)</f>
        <v/>
      </c>
      <c r="G4212" s="48" t="str">
        <f aca="false">IF($H4212="","",资金流水!$K509)</f>
        <v/>
      </c>
      <c r="H4212" s="10" t="str">
        <f aca="false">IF($L4212="","",IF($L4212="@对方",资金流水!$G509,IF($L4212="@账户",资金流水!$Q509,$L4212)))</f>
        <v/>
      </c>
      <c r="I4212" s="42" t="n">
        <f aca="false">IF($M4212="借",$O4212,0)</f>
        <v>0</v>
      </c>
      <c r="J4212" s="42" t="n">
        <f aca="false">IF($M4212="贷",$O4212,0)</f>
        <v>0</v>
      </c>
      <c r="K4212" s="48" t="str">
        <f aca="false">IF($H4212="","",资金流水!$F509)</f>
        <v/>
      </c>
      <c r="L4212" s="66" t="str">
        <f aca="false">IF(资金流水!$E509="","",IFERROR(INDEX(记账规则!$A$13:$H$32,MATCH(资金流水!$E509,记账规则!$A$13:$A$32,0),3),""))</f>
        <v/>
      </c>
      <c r="M4212" s="66" t="str">
        <f aca="false">IF($L4212="","",IFERROR(INDEX(记账规则!$A$13:$H$32,MATCH(资金流水!$E509,记账规则!$A$13:$A$32,0),4),""))</f>
        <v/>
      </c>
      <c r="N4212" s="66" t="str">
        <f aca="false">IF($L4212="","",IFERROR(INDEX(记账规则!$A$13:$H$32,MATCH(资金流水!$E509,记账规则!$A$13:$A$32,0),5),""))</f>
        <v/>
      </c>
      <c r="O4212" s="67" t="n">
        <f aca="false">IF($H4212="",0,ROUND(IF($N4212="金额",N(资金流水!$P509),0),2))</f>
        <v>0</v>
      </c>
      <c r="P4212" s="64" t="str">
        <f aca="false">IF(AND($H4212&lt;&gt;"",ROUND($O4212,2)&lt;&gt;0),"有","")</f>
        <v/>
      </c>
    </row>
    <row r="4213" customFormat="false" ht="15" hidden="true" customHeight="false" outlineLevel="0" collapsed="false">
      <c r="A4213" s="53" t="str">
        <f aca="false">IF($H4213="","",ROW()-5)</f>
        <v/>
      </c>
      <c r="B4213" s="64" t="s">
        <v>37</v>
      </c>
      <c r="C4213" s="53" t="n">
        <v>509</v>
      </c>
      <c r="D4213" s="53" t="n">
        <v>2</v>
      </c>
      <c r="E4213" s="65" t="str">
        <f aca="false">IF($H4213="","",资金流水!$B509)</f>
        <v/>
      </c>
      <c r="F4213" s="55" t="str">
        <f aca="false">IF($H4213="","",资金流水!$C509)</f>
        <v/>
      </c>
      <c r="G4213" s="48" t="str">
        <f aca="false">IF($H4213="","",资金流水!$K509)</f>
        <v/>
      </c>
      <c r="H4213" s="10" t="str">
        <f aca="false">IF($L4213="","",IF($L4213="@对方",资金流水!$G509,IF($L4213="@账户",资金流水!$Q509,$L4213)))</f>
        <v/>
      </c>
      <c r="I4213" s="42" t="n">
        <f aca="false">IF($M4213="借",$O4213,0)</f>
        <v>0</v>
      </c>
      <c r="J4213" s="42" t="n">
        <f aca="false">IF($M4213="贷",$O4213,0)</f>
        <v>0</v>
      </c>
      <c r="K4213" s="48" t="str">
        <f aca="false">IF($H4213="","",资金流水!$F509)</f>
        <v/>
      </c>
      <c r="L4213" s="66" t="str">
        <f aca="false">IF(资金流水!$E509="","",IFERROR(INDEX(记账规则!$A$13:$H$32,MATCH(资金流水!$E509,记账规则!$A$13:$A$32,0),6),""))</f>
        <v/>
      </c>
      <c r="M4213" s="66" t="str">
        <f aca="false">IF($L4213="","",IFERROR(INDEX(记账规则!$A$13:$H$32,MATCH(资金流水!$E509,记账规则!$A$13:$A$32,0),7),""))</f>
        <v/>
      </c>
      <c r="N4213" s="66" t="str">
        <f aca="false">IF($L4213="","",IFERROR(INDEX(记账规则!$A$13:$H$32,MATCH(资金流水!$E509,记账规则!$A$13:$A$32,0),8),""))</f>
        <v/>
      </c>
      <c r="O4213" s="67" t="n">
        <f aca="false">IF($H4213="",0,ROUND(IF($N4213="金额",N(资金流水!$P509),0),2))</f>
        <v>0</v>
      </c>
      <c r="P4213" s="64" t="str">
        <f aca="false">IF(AND($H4213&lt;&gt;"",ROUND($O4213,2)&lt;&gt;0),"有","")</f>
        <v/>
      </c>
    </row>
    <row r="4214" customFormat="false" ht="15" hidden="true" customHeight="false" outlineLevel="0" collapsed="false">
      <c r="A4214" s="53" t="str">
        <f aca="false">IF($H4214="","",ROW()-5)</f>
        <v/>
      </c>
      <c r="B4214" s="64" t="s">
        <v>37</v>
      </c>
      <c r="C4214" s="53" t="n">
        <v>510</v>
      </c>
      <c r="D4214" s="53" t="n">
        <v>1</v>
      </c>
      <c r="E4214" s="65" t="str">
        <f aca="false">IF($H4214="","",资金流水!$B510)</f>
        <v/>
      </c>
      <c r="F4214" s="55" t="str">
        <f aca="false">IF($H4214="","",资金流水!$C510)</f>
        <v/>
      </c>
      <c r="G4214" s="48" t="str">
        <f aca="false">IF($H4214="","",资金流水!$K510)</f>
        <v/>
      </c>
      <c r="H4214" s="10" t="str">
        <f aca="false">IF($L4214="","",IF($L4214="@对方",资金流水!$G510,IF($L4214="@账户",资金流水!$Q510,$L4214)))</f>
        <v/>
      </c>
      <c r="I4214" s="42" t="n">
        <f aca="false">IF($M4214="借",$O4214,0)</f>
        <v>0</v>
      </c>
      <c r="J4214" s="42" t="n">
        <f aca="false">IF($M4214="贷",$O4214,0)</f>
        <v>0</v>
      </c>
      <c r="K4214" s="48" t="str">
        <f aca="false">IF($H4214="","",资金流水!$F510)</f>
        <v/>
      </c>
      <c r="L4214" s="66" t="str">
        <f aca="false">IF(资金流水!$E510="","",IFERROR(INDEX(记账规则!$A$13:$H$32,MATCH(资金流水!$E510,记账规则!$A$13:$A$32,0),3),""))</f>
        <v/>
      </c>
      <c r="M4214" s="66" t="str">
        <f aca="false">IF($L4214="","",IFERROR(INDEX(记账规则!$A$13:$H$32,MATCH(资金流水!$E510,记账规则!$A$13:$A$32,0),4),""))</f>
        <v/>
      </c>
      <c r="N4214" s="66" t="str">
        <f aca="false">IF($L4214="","",IFERROR(INDEX(记账规则!$A$13:$H$32,MATCH(资金流水!$E510,记账规则!$A$13:$A$32,0),5),""))</f>
        <v/>
      </c>
      <c r="O4214" s="67" t="n">
        <f aca="false">IF($H4214="",0,ROUND(IF($N4214="金额",N(资金流水!$P510),0),2))</f>
        <v>0</v>
      </c>
      <c r="P4214" s="64" t="str">
        <f aca="false">IF(AND($H4214&lt;&gt;"",ROUND($O4214,2)&lt;&gt;0),"有","")</f>
        <v/>
      </c>
    </row>
    <row r="4215" customFormat="false" ht="15" hidden="true" customHeight="false" outlineLevel="0" collapsed="false">
      <c r="A4215" s="53" t="str">
        <f aca="false">IF($H4215="","",ROW()-5)</f>
        <v/>
      </c>
      <c r="B4215" s="64" t="s">
        <v>37</v>
      </c>
      <c r="C4215" s="53" t="n">
        <v>510</v>
      </c>
      <c r="D4215" s="53" t="n">
        <v>2</v>
      </c>
      <c r="E4215" s="65" t="str">
        <f aca="false">IF($H4215="","",资金流水!$B510)</f>
        <v/>
      </c>
      <c r="F4215" s="55" t="str">
        <f aca="false">IF($H4215="","",资金流水!$C510)</f>
        <v/>
      </c>
      <c r="G4215" s="48" t="str">
        <f aca="false">IF($H4215="","",资金流水!$K510)</f>
        <v/>
      </c>
      <c r="H4215" s="10" t="str">
        <f aca="false">IF($L4215="","",IF($L4215="@对方",资金流水!$G510,IF($L4215="@账户",资金流水!$Q510,$L4215)))</f>
        <v/>
      </c>
      <c r="I4215" s="42" t="n">
        <f aca="false">IF($M4215="借",$O4215,0)</f>
        <v>0</v>
      </c>
      <c r="J4215" s="42" t="n">
        <f aca="false">IF($M4215="贷",$O4215,0)</f>
        <v>0</v>
      </c>
      <c r="K4215" s="48" t="str">
        <f aca="false">IF($H4215="","",资金流水!$F510)</f>
        <v/>
      </c>
      <c r="L4215" s="66" t="str">
        <f aca="false">IF(资金流水!$E510="","",IFERROR(INDEX(记账规则!$A$13:$H$32,MATCH(资金流水!$E510,记账规则!$A$13:$A$32,0),6),""))</f>
        <v/>
      </c>
      <c r="M4215" s="66" t="str">
        <f aca="false">IF($L4215="","",IFERROR(INDEX(记账规则!$A$13:$H$32,MATCH(资金流水!$E510,记账规则!$A$13:$A$32,0),7),""))</f>
        <v/>
      </c>
      <c r="N4215" s="66" t="str">
        <f aca="false">IF($L4215="","",IFERROR(INDEX(记账规则!$A$13:$H$32,MATCH(资金流水!$E510,记账规则!$A$13:$A$32,0),8),""))</f>
        <v/>
      </c>
      <c r="O4215" s="67" t="n">
        <f aca="false">IF($H4215="",0,ROUND(IF($N4215="金额",N(资金流水!$P510),0),2))</f>
        <v>0</v>
      </c>
      <c r="P4215" s="64" t="str">
        <f aca="false">IF(AND($H4215&lt;&gt;"",ROUND($O4215,2)&lt;&gt;0),"有","")</f>
        <v/>
      </c>
    </row>
    <row r="4216" customFormat="false" ht="15" hidden="true" customHeight="false" outlineLevel="0" collapsed="false">
      <c r="A4216" s="53" t="str">
        <f aca="false">IF($H4216="","",ROW()-5)</f>
        <v/>
      </c>
      <c r="B4216" s="64" t="s">
        <v>37</v>
      </c>
      <c r="C4216" s="53" t="n">
        <v>511</v>
      </c>
      <c r="D4216" s="53" t="n">
        <v>1</v>
      </c>
      <c r="E4216" s="65" t="str">
        <f aca="false">IF($H4216="","",资金流水!$B511)</f>
        <v/>
      </c>
      <c r="F4216" s="55" t="str">
        <f aca="false">IF($H4216="","",资金流水!$C511)</f>
        <v/>
      </c>
      <c r="G4216" s="48" t="str">
        <f aca="false">IF($H4216="","",资金流水!$K511)</f>
        <v/>
      </c>
      <c r="H4216" s="10" t="str">
        <f aca="false">IF($L4216="","",IF($L4216="@对方",资金流水!$G511,IF($L4216="@账户",资金流水!$Q511,$L4216)))</f>
        <v/>
      </c>
      <c r="I4216" s="42" t="n">
        <f aca="false">IF($M4216="借",$O4216,0)</f>
        <v>0</v>
      </c>
      <c r="J4216" s="42" t="n">
        <f aca="false">IF($M4216="贷",$O4216,0)</f>
        <v>0</v>
      </c>
      <c r="K4216" s="48" t="str">
        <f aca="false">IF($H4216="","",资金流水!$F511)</f>
        <v/>
      </c>
      <c r="L4216" s="66" t="str">
        <f aca="false">IF(资金流水!$E511="","",IFERROR(INDEX(记账规则!$A$13:$H$32,MATCH(资金流水!$E511,记账规则!$A$13:$A$32,0),3),""))</f>
        <v/>
      </c>
      <c r="M4216" s="66" t="str">
        <f aca="false">IF($L4216="","",IFERROR(INDEX(记账规则!$A$13:$H$32,MATCH(资金流水!$E511,记账规则!$A$13:$A$32,0),4),""))</f>
        <v/>
      </c>
      <c r="N4216" s="66" t="str">
        <f aca="false">IF($L4216="","",IFERROR(INDEX(记账规则!$A$13:$H$32,MATCH(资金流水!$E511,记账规则!$A$13:$A$32,0),5),""))</f>
        <v/>
      </c>
      <c r="O4216" s="67" t="n">
        <f aca="false">IF($H4216="",0,ROUND(IF($N4216="金额",N(资金流水!$P511),0),2))</f>
        <v>0</v>
      </c>
      <c r="P4216" s="64" t="str">
        <f aca="false">IF(AND($H4216&lt;&gt;"",ROUND($O4216,2)&lt;&gt;0),"有","")</f>
        <v/>
      </c>
    </row>
    <row r="4217" customFormat="false" ht="15" hidden="true" customHeight="false" outlineLevel="0" collapsed="false">
      <c r="A4217" s="53" t="str">
        <f aca="false">IF($H4217="","",ROW()-5)</f>
        <v/>
      </c>
      <c r="B4217" s="64" t="s">
        <v>37</v>
      </c>
      <c r="C4217" s="53" t="n">
        <v>511</v>
      </c>
      <c r="D4217" s="53" t="n">
        <v>2</v>
      </c>
      <c r="E4217" s="65" t="str">
        <f aca="false">IF($H4217="","",资金流水!$B511)</f>
        <v/>
      </c>
      <c r="F4217" s="55" t="str">
        <f aca="false">IF($H4217="","",资金流水!$C511)</f>
        <v/>
      </c>
      <c r="G4217" s="48" t="str">
        <f aca="false">IF($H4217="","",资金流水!$K511)</f>
        <v/>
      </c>
      <c r="H4217" s="10" t="str">
        <f aca="false">IF($L4217="","",IF($L4217="@对方",资金流水!$G511,IF($L4217="@账户",资金流水!$Q511,$L4217)))</f>
        <v/>
      </c>
      <c r="I4217" s="42" t="n">
        <f aca="false">IF($M4217="借",$O4217,0)</f>
        <v>0</v>
      </c>
      <c r="J4217" s="42" t="n">
        <f aca="false">IF($M4217="贷",$O4217,0)</f>
        <v>0</v>
      </c>
      <c r="K4217" s="48" t="str">
        <f aca="false">IF($H4217="","",资金流水!$F511)</f>
        <v/>
      </c>
      <c r="L4217" s="66" t="str">
        <f aca="false">IF(资金流水!$E511="","",IFERROR(INDEX(记账规则!$A$13:$H$32,MATCH(资金流水!$E511,记账规则!$A$13:$A$32,0),6),""))</f>
        <v/>
      </c>
      <c r="M4217" s="66" t="str">
        <f aca="false">IF($L4217="","",IFERROR(INDEX(记账规则!$A$13:$H$32,MATCH(资金流水!$E511,记账规则!$A$13:$A$32,0),7),""))</f>
        <v/>
      </c>
      <c r="N4217" s="66" t="str">
        <f aca="false">IF($L4217="","",IFERROR(INDEX(记账规则!$A$13:$H$32,MATCH(资金流水!$E511,记账规则!$A$13:$A$32,0),8),""))</f>
        <v/>
      </c>
      <c r="O4217" s="67" t="n">
        <f aca="false">IF($H4217="",0,ROUND(IF($N4217="金额",N(资金流水!$P511),0),2))</f>
        <v>0</v>
      </c>
      <c r="P4217" s="64" t="str">
        <f aca="false">IF(AND($H4217&lt;&gt;"",ROUND($O4217,2)&lt;&gt;0),"有","")</f>
        <v/>
      </c>
    </row>
    <row r="4218" customFormat="false" ht="15" hidden="true" customHeight="false" outlineLevel="0" collapsed="false">
      <c r="A4218" s="53" t="str">
        <f aca="false">IF($H4218="","",ROW()-5)</f>
        <v/>
      </c>
      <c r="B4218" s="64" t="s">
        <v>37</v>
      </c>
      <c r="C4218" s="53" t="n">
        <v>512</v>
      </c>
      <c r="D4218" s="53" t="n">
        <v>1</v>
      </c>
      <c r="E4218" s="65" t="str">
        <f aca="false">IF($H4218="","",资金流水!$B512)</f>
        <v/>
      </c>
      <c r="F4218" s="55" t="str">
        <f aca="false">IF($H4218="","",资金流水!$C512)</f>
        <v/>
      </c>
      <c r="G4218" s="48" t="str">
        <f aca="false">IF($H4218="","",资金流水!$K512)</f>
        <v/>
      </c>
      <c r="H4218" s="10" t="str">
        <f aca="false">IF($L4218="","",IF($L4218="@对方",资金流水!$G512,IF($L4218="@账户",资金流水!$Q512,$L4218)))</f>
        <v/>
      </c>
      <c r="I4218" s="42" t="n">
        <f aca="false">IF($M4218="借",$O4218,0)</f>
        <v>0</v>
      </c>
      <c r="J4218" s="42" t="n">
        <f aca="false">IF($M4218="贷",$O4218,0)</f>
        <v>0</v>
      </c>
      <c r="K4218" s="48" t="str">
        <f aca="false">IF($H4218="","",资金流水!$F512)</f>
        <v/>
      </c>
      <c r="L4218" s="66" t="str">
        <f aca="false">IF(资金流水!$E512="","",IFERROR(INDEX(记账规则!$A$13:$H$32,MATCH(资金流水!$E512,记账规则!$A$13:$A$32,0),3),""))</f>
        <v/>
      </c>
      <c r="M4218" s="66" t="str">
        <f aca="false">IF($L4218="","",IFERROR(INDEX(记账规则!$A$13:$H$32,MATCH(资金流水!$E512,记账规则!$A$13:$A$32,0),4),""))</f>
        <v/>
      </c>
      <c r="N4218" s="66" t="str">
        <f aca="false">IF($L4218="","",IFERROR(INDEX(记账规则!$A$13:$H$32,MATCH(资金流水!$E512,记账规则!$A$13:$A$32,0),5),""))</f>
        <v/>
      </c>
      <c r="O4218" s="67" t="n">
        <f aca="false">IF($H4218="",0,ROUND(IF($N4218="金额",N(资金流水!$P512),0),2))</f>
        <v>0</v>
      </c>
      <c r="P4218" s="64" t="str">
        <f aca="false">IF(AND($H4218&lt;&gt;"",ROUND($O4218,2)&lt;&gt;0),"有","")</f>
        <v/>
      </c>
    </row>
    <row r="4219" customFormat="false" ht="15" hidden="true" customHeight="false" outlineLevel="0" collapsed="false">
      <c r="A4219" s="53" t="str">
        <f aca="false">IF($H4219="","",ROW()-5)</f>
        <v/>
      </c>
      <c r="B4219" s="64" t="s">
        <v>37</v>
      </c>
      <c r="C4219" s="53" t="n">
        <v>512</v>
      </c>
      <c r="D4219" s="53" t="n">
        <v>2</v>
      </c>
      <c r="E4219" s="65" t="str">
        <f aca="false">IF($H4219="","",资金流水!$B512)</f>
        <v/>
      </c>
      <c r="F4219" s="55" t="str">
        <f aca="false">IF($H4219="","",资金流水!$C512)</f>
        <v/>
      </c>
      <c r="G4219" s="48" t="str">
        <f aca="false">IF($H4219="","",资金流水!$K512)</f>
        <v/>
      </c>
      <c r="H4219" s="10" t="str">
        <f aca="false">IF($L4219="","",IF($L4219="@对方",资金流水!$G512,IF($L4219="@账户",资金流水!$Q512,$L4219)))</f>
        <v/>
      </c>
      <c r="I4219" s="42" t="n">
        <f aca="false">IF($M4219="借",$O4219,0)</f>
        <v>0</v>
      </c>
      <c r="J4219" s="42" t="n">
        <f aca="false">IF($M4219="贷",$O4219,0)</f>
        <v>0</v>
      </c>
      <c r="K4219" s="48" t="str">
        <f aca="false">IF($H4219="","",资金流水!$F512)</f>
        <v/>
      </c>
      <c r="L4219" s="66" t="str">
        <f aca="false">IF(资金流水!$E512="","",IFERROR(INDEX(记账规则!$A$13:$H$32,MATCH(资金流水!$E512,记账规则!$A$13:$A$32,0),6),""))</f>
        <v/>
      </c>
      <c r="M4219" s="66" t="str">
        <f aca="false">IF($L4219="","",IFERROR(INDEX(记账规则!$A$13:$H$32,MATCH(资金流水!$E512,记账规则!$A$13:$A$32,0),7),""))</f>
        <v/>
      </c>
      <c r="N4219" s="66" t="str">
        <f aca="false">IF($L4219="","",IFERROR(INDEX(记账规则!$A$13:$H$32,MATCH(资金流水!$E512,记账规则!$A$13:$A$32,0),8),""))</f>
        <v/>
      </c>
      <c r="O4219" s="67" t="n">
        <f aca="false">IF($H4219="",0,ROUND(IF($N4219="金额",N(资金流水!$P512),0),2))</f>
        <v>0</v>
      </c>
      <c r="P4219" s="64" t="str">
        <f aca="false">IF(AND($H4219&lt;&gt;"",ROUND($O4219,2)&lt;&gt;0),"有","")</f>
        <v/>
      </c>
    </row>
    <row r="4220" customFormat="false" ht="15" hidden="true" customHeight="false" outlineLevel="0" collapsed="false">
      <c r="A4220" s="53" t="str">
        <f aca="false">IF($H4220="","",ROW()-5)</f>
        <v/>
      </c>
      <c r="B4220" s="64" t="s">
        <v>37</v>
      </c>
      <c r="C4220" s="53" t="n">
        <v>513</v>
      </c>
      <c r="D4220" s="53" t="n">
        <v>1</v>
      </c>
      <c r="E4220" s="65" t="str">
        <f aca="false">IF($H4220="","",资金流水!$B513)</f>
        <v/>
      </c>
      <c r="F4220" s="55" t="str">
        <f aca="false">IF($H4220="","",资金流水!$C513)</f>
        <v/>
      </c>
      <c r="G4220" s="48" t="str">
        <f aca="false">IF($H4220="","",资金流水!$K513)</f>
        <v/>
      </c>
      <c r="H4220" s="10" t="str">
        <f aca="false">IF($L4220="","",IF($L4220="@对方",资金流水!$G513,IF($L4220="@账户",资金流水!$Q513,$L4220)))</f>
        <v/>
      </c>
      <c r="I4220" s="42" t="n">
        <f aca="false">IF($M4220="借",$O4220,0)</f>
        <v>0</v>
      </c>
      <c r="J4220" s="42" t="n">
        <f aca="false">IF($M4220="贷",$O4220,0)</f>
        <v>0</v>
      </c>
      <c r="K4220" s="48" t="str">
        <f aca="false">IF($H4220="","",资金流水!$F513)</f>
        <v/>
      </c>
      <c r="L4220" s="66" t="str">
        <f aca="false">IF(资金流水!$E513="","",IFERROR(INDEX(记账规则!$A$13:$H$32,MATCH(资金流水!$E513,记账规则!$A$13:$A$32,0),3),""))</f>
        <v/>
      </c>
      <c r="M4220" s="66" t="str">
        <f aca="false">IF($L4220="","",IFERROR(INDEX(记账规则!$A$13:$H$32,MATCH(资金流水!$E513,记账规则!$A$13:$A$32,0),4),""))</f>
        <v/>
      </c>
      <c r="N4220" s="66" t="str">
        <f aca="false">IF($L4220="","",IFERROR(INDEX(记账规则!$A$13:$H$32,MATCH(资金流水!$E513,记账规则!$A$13:$A$32,0),5),""))</f>
        <v/>
      </c>
      <c r="O4220" s="67" t="n">
        <f aca="false">IF($H4220="",0,ROUND(IF($N4220="金额",N(资金流水!$P513),0),2))</f>
        <v>0</v>
      </c>
      <c r="P4220" s="64" t="str">
        <f aca="false">IF(AND($H4220&lt;&gt;"",ROUND($O4220,2)&lt;&gt;0),"有","")</f>
        <v/>
      </c>
    </row>
    <row r="4221" customFormat="false" ht="15" hidden="true" customHeight="false" outlineLevel="0" collapsed="false">
      <c r="A4221" s="53" t="str">
        <f aca="false">IF($H4221="","",ROW()-5)</f>
        <v/>
      </c>
      <c r="B4221" s="64" t="s">
        <v>37</v>
      </c>
      <c r="C4221" s="53" t="n">
        <v>513</v>
      </c>
      <c r="D4221" s="53" t="n">
        <v>2</v>
      </c>
      <c r="E4221" s="65" t="str">
        <f aca="false">IF($H4221="","",资金流水!$B513)</f>
        <v/>
      </c>
      <c r="F4221" s="55" t="str">
        <f aca="false">IF($H4221="","",资金流水!$C513)</f>
        <v/>
      </c>
      <c r="G4221" s="48" t="str">
        <f aca="false">IF($H4221="","",资金流水!$K513)</f>
        <v/>
      </c>
      <c r="H4221" s="10" t="str">
        <f aca="false">IF($L4221="","",IF($L4221="@对方",资金流水!$G513,IF($L4221="@账户",资金流水!$Q513,$L4221)))</f>
        <v/>
      </c>
      <c r="I4221" s="42" t="n">
        <f aca="false">IF($M4221="借",$O4221,0)</f>
        <v>0</v>
      </c>
      <c r="J4221" s="42" t="n">
        <f aca="false">IF($M4221="贷",$O4221,0)</f>
        <v>0</v>
      </c>
      <c r="K4221" s="48" t="str">
        <f aca="false">IF($H4221="","",资金流水!$F513)</f>
        <v/>
      </c>
      <c r="L4221" s="66" t="str">
        <f aca="false">IF(资金流水!$E513="","",IFERROR(INDEX(记账规则!$A$13:$H$32,MATCH(资金流水!$E513,记账规则!$A$13:$A$32,0),6),""))</f>
        <v/>
      </c>
      <c r="M4221" s="66" t="str">
        <f aca="false">IF($L4221="","",IFERROR(INDEX(记账规则!$A$13:$H$32,MATCH(资金流水!$E513,记账规则!$A$13:$A$32,0),7),""))</f>
        <v/>
      </c>
      <c r="N4221" s="66" t="str">
        <f aca="false">IF($L4221="","",IFERROR(INDEX(记账规则!$A$13:$H$32,MATCH(资金流水!$E513,记账规则!$A$13:$A$32,0),8),""))</f>
        <v/>
      </c>
      <c r="O4221" s="67" t="n">
        <f aca="false">IF($H4221="",0,ROUND(IF($N4221="金额",N(资金流水!$P513),0),2))</f>
        <v>0</v>
      </c>
      <c r="P4221" s="64" t="str">
        <f aca="false">IF(AND($H4221&lt;&gt;"",ROUND($O4221,2)&lt;&gt;0),"有","")</f>
        <v/>
      </c>
    </row>
    <row r="4222" customFormat="false" ht="15" hidden="true" customHeight="false" outlineLevel="0" collapsed="false">
      <c r="A4222" s="53" t="str">
        <f aca="false">IF($H4222="","",ROW()-5)</f>
        <v/>
      </c>
      <c r="B4222" s="64" t="s">
        <v>37</v>
      </c>
      <c r="C4222" s="53" t="n">
        <v>514</v>
      </c>
      <c r="D4222" s="53" t="n">
        <v>1</v>
      </c>
      <c r="E4222" s="65" t="str">
        <f aca="false">IF($H4222="","",资金流水!$B514)</f>
        <v/>
      </c>
      <c r="F4222" s="55" t="str">
        <f aca="false">IF($H4222="","",资金流水!$C514)</f>
        <v/>
      </c>
      <c r="G4222" s="48" t="str">
        <f aca="false">IF($H4222="","",资金流水!$K514)</f>
        <v/>
      </c>
      <c r="H4222" s="10" t="str">
        <f aca="false">IF($L4222="","",IF($L4222="@对方",资金流水!$G514,IF($L4222="@账户",资金流水!$Q514,$L4222)))</f>
        <v/>
      </c>
      <c r="I4222" s="42" t="n">
        <f aca="false">IF($M4222="借",$O4222,0)</f>
        <v>0</v>
      </c>
      <c r="J4222" s="42" t="n">
        <f aca="false">IF($M4222="贷",$O4222,0)</f>
        <v>0</v>
      </c>
      <c r="K4222" s="48" t="str">
        <f aca="false">IF($H4222="","",资金流水!$F514)</f>
        <v/>
      </c>
      <c r="L4222" s="66" t="str">
        <f aca="false">IF(资金流水!$E514="","",IFERROR(INDEX(记账规则!$A$13:$H$32,MATCH(资金流水!$E514,记账规则!$A$13:$A$32,0),3),""))</f>
        <v/>
      </c>
      <c r="M4222" s="66" t="str">
        <f aca="false">IF($L4222="","",IFERROR(INDEX(记账规则!$A$13:$H$32,MATCH(资金流水!$E514,记账规则!$A$13:$A$32,0),4),""))</f>
        <v/>
      </c>
      <c r="N4222" s="66" t="str">
        <f aca="false">IF($L4222="","",IFERROR(INDEX(记账规则!$A$13:$H$32,MATCH(资金流水!$E514,记账规则!$A$13:$A$32,0),5),""))</f>
        <v/>
      </c>
      <c r="O4222" s="67" t="n">
        <f aca="false">IF($H4222="",0,ROUND(IF($N4222="金额",N(资金流水!$P514),0),2))</f>
        <v>0</v>
      </c>
      <c r="P4222" s="64" t="str">
        <f aca="false">IF(AND($H4222&lt;&gt;"",ROUND($O4222,2)&lt;&gt;0),"有","")</f>
        <v/>
      </c>
    </row>
    <row r="4223" customFormat="false" ht="15" hidden="true" customHeight="false" outlineLevel="0" collapsed="false">
      <c r="A4223" s="53" t="str">
        <f aca="false">IF($H4223="","",ROW()-5)</f>
        <v/>
      </c>
      <c r="B4223" s="64" t="s">
        <v>37</v>
      </c>
      <c r="C4223" s="53" t="n">
        <v>514</v>
      </c>
      <c r="D4223" s="53" t="n">
        <v>2</v>
      </c>
      <c r="E4223" s="65" t="str">
        <f aca="false">IF($H4223="","",资金流水!$B514)</f>
        <v/>
      </c>
      <c r="F4223" s="55" t="str">
        <f aca="false">IF($H4223="","",资金流水!$C514)</f>
        <v/>
      </c>
      <c r="G4223" s="48" t="str">
        <f aca="false">IF($H4223="","",资金流水!$K514)</f>
        <v/>
      </c>
      <c r="H4223" s="10" t="str">
        <f aca="false">IF($L4223="","",IF($L4223="@对方",资金流水!$G514,IF($L4223="@账户",资金流水!$Q514,$L4223)))</f>
        <v/>
      </c>
      <c r="I4223" s="42" t="n">
        <f aca="false">IF($M4223="借",$O4223,0)</f>
        <v>0</v>
      </c>
      <c r="J4223" s="42" t="n">
        <f aca="false">IF($M4223="贷",$O4223,0)</f>
        <v>0</v>
      </c>
      <c r="K4223" s="48" t="str">
        <f aca="false">IF($H4223="","",资金流水!$F514)</f>
        <v/>
      </c>
      <c r="L4223" s="66" t="str">
        <f aca="false">IF(资金流水!$E514="","",IFERROR(INDEX(记账规则!$A$13:$H$32,MATCH(资金流水!$E514,记账规则!$A$13:$A$32,0),6),""))</f>
        <v/>
      </c>
      <c r="M4223" s="66" t="str">
        <f aca="false">IF($L4223="","",IFERROR(INDEX(记账规则!$A$13:$H$32,MATCH(资金流水!$E514,记账规则!$A$13:$A$32,0),7),""))</f>
        <v/>
      </c>
      <c r="N4223" s="66" t="str">
        <f aca="false">IF($L4223="","",IFERROR(INDEX(记账规则!$A$13:$H$32,MATCH(资金流水!$E514,记账规则!$A$13:$A$32,0),8),""))</f>
        <v/>
      </c>
      <c r="O4223" s="67" t="n">
        <f aca="false">IF($H4223="",0,ROUND(IF($N4223="金额",N(资金流水!$P514),0),2))</f>
        <v>0</v>
      </c>
      <c r="P4223" s="64" t="str">
        <f aca="false">IF(AND($H4223&lt;&gt;"",ROUND($O4223,2)&lt;&gt;0),"有","")</f>
        <v/>
      </c>
    </row>
    <row r="4224" customFormat="false" ht="15" hidden="true" customHeight="false" outlineLevel="0" collapsed="false">
      <c r="A4224" s="53" t="str">
        <f aca="false">IF($H4224="","",ROW()-5)</f>
        <v/>
      </c>
      <c r="B4224" s="64" t="s">
        <v>37</v>
      </c>
      <c r="C4224" s="53" t="n">
        <v>515</v>
      </c>
      <c r="D4224" s="53" t="n">
        <v>1</v>
      </c>
      <c r="E4224" s="65" t="str">
        <f aca="false">IF($H4224="","",资金流水!$B515)</f>
        <v/>
      </c>
      <c r="F4224" s="55" t="str">
        <f aca="false">IF($H4224="","",资金流水!$C515)</f>
        <v/>
      </c>
      <c r="G4224" s="48" t="str">
        <f aca="false">IF($H4224="","",资金流水!$K515)</f>
        <v/>
      </c>
      <c r="H4224" s="10" t="str">
        <f aca="false">IF($L4224="","",IF($L4224="@对方",资金流水!$G515,IF($L4224="@账户",资金流水!$Q515,$L4224)))</f>
        <v/>
      </c>
      <c r="I4224" s="42" t="n">
        <f aca="false">IF($M4224="借",$O4224,0)</f>
        <v>0</v>
      </c>
      <c r="J4224" s="42" t="n">
        <f aca="false">IF($M4224="贷",$O4224,0)</f>
        <v>0</v>
      </c>
      <c r="K4224" s="48" t="str">
        <f aca="false">IF($H4224="","",资金流水!$F515)</f>
        <v/>
      </c>
      <c r="L4224" s="66" t="str">
        <f aca="false">IF(资金流水!$E515="","",IFERROR(INDEX(记账规则!$A$13:$H$32,MATCH(资金流水!$E515,记账规则!$A$13:$A$32,0),3),""))</f>
        <v/>
      </c>
      <c r="M4224" s="66" t="str">
        <f aca="false">IF($L4224="","",IFERROR(INDEX(记账规则!$A$13:$H$32,MATCH(资金流水!$E515,记账规则!$A$13:$A$32,0),4),""))</f>
        <v/>
      </c>
      <c r="N4224" s="66" t="str">
        <f aca="false">IF($L4224="","",IFERROR(INDEX(记账规则!$A$13:$H$32,MATCH(资金流水!$E515,记账规则!$A$13:$A$32,0),5),""))</f>
        <v/>
      </c>
      <c r="O4224" s="67" t="n">
        <f aca="false">IF($H4224="",0,ROUND(IF($N4224="金额",N(资金流水!$P515),0),2))</f>
        <v>0</v>
      </c>
      <c r="P4224" s="64" t="str">
        <f aca="false">IF(AND($H4224&lt;&gt;"",ROUND($O4224,2)&lt;&gt;0),"有","")</f>
        <v/>
      </c>
    </row>
    <row r="4225" customFormat="false" ht="15" hidden="true" customHeight="false" outlineLevel="0" collapsed="false">
      <c r="A4225" s="53" t="str">
        <f aca="false">IF($H4225="","",ROW()-5)</f>
        <v/>
      </c>
      <c r="B4225" s="64" t="s">
        <v>37</v>
      </c>
      <c r="C4225" s="53" t="n">
        <v>515</v>
      </c>
      <c r="D4225" s="53" t="n">
        <v>2</v>
      </c>
      <c r="E4225" s="65" t="str">
        <f aca="false">IF($H4225="","",资金流水!$B515)</f>
        <v/>
      </c>
      <c r="F4225" s="55" t="str">
        <f aca="false">IF($H4225="","",资金流水!$C515)</f>
        <v/>
      </c>
      <c r="G4225" s="48" t="str">
        <f aca="false">IF($H4225="","",资金流水!$K515)</f>
        <v/>
      </c>
      <c r="H4225" s="10" t="str">
        <f aca="false">IF($L4225="","",IF($L4225="@对方",资金流水!$G515,IF($L4225="@账户",资金流水!$Q515,$L4225)))</f>
        <v/>
      </c>
      <c r="I4225" s="42" t="n">
        <f aca="false">IF($M4225="借",$O4225,0)</f>
        <v>0</v>
      </c>
      <c r="J4225" s="42" t="n">
        <f aca="false">IF($M4225="贷",$O4225,0)</f>
        <v>0</v>
      </c>
      <c r="K4225" s="48" t="str">
        <f aca="false">IF($H4225="","",资金流水!$F515)</f>
        <v/>
      </c>
      <c r="L4225" s="66" t="str">
        <f aca="false">IF(资金流水!$E515="","",IFERROR(INDEX(记账规则!$A$13:$H$32,MATCH(资金流水!$E515,记账规则!$A$13:$A$32,0),6),""))</f>
        <v/>
      </c>
      <c r="M4225" s="66" t="str">
        <f aca="false">IF($L4225="","",IFERROR(INDEX(记账规则!$A$13:$H$32,MATCH(资金流水!$E515,记账规则!$A$13:$A$32,0),7),""))</f>
        <v/>
      </c>
      <c r="N4225" s="66" t="str">
        <f aca="false">IF($L4225="","",IFERROR(INDEX(记账规则!$A$13:$H$32,MATCH(资金流水!$E515,记账规则!$A$13:$A$32,0),8),""))</f>
        <v/>
      </c>
      <c r="O4225" s="67" t="n">
        <f aca="false">IF($H4225="",0,ROUND(IF($N4225="金额",N(资金流水!$P515),0),2))</f>
        <v>0</v>
      </c>
      <c r="P4225" s="64" t="str">
        <f aca="false">IF(AND($H4225&lt;&gt;"",ROUND($O4225,2)&lt;&gt;0),"有","")</f>
        <v/>
      </c>
    </row>
    <row r="4226" customFormat="false" ht="15" hidden="true" customHeight="false" outlineLevel="0" collapsed="false">
      <c r="A4226" s="53" t="str">
        <f aca="false">IF($H4226="","",ROW()-5)</f>
        <v/>
      </c>
      <c r="B4226" s="64" t="s">
        <v>37</v>
      </c>
      <c r="C4226" s="53" t="n">
        <v>516</v>
      </c>
      <c r="D4226" s="53" t="n">
        <v>1</v>
      </c>
      <c r="E4226" s="65" t="str">
        <f aca="false">IF($H4226="","",资金流水!$B516)</f>
        <v/>
      </c>
      <c r="F4226" s="55" t="str">
        <f aca="false">IF($H4226="","",资金流水!$C516)</f>
        <v/>
      </c>
      <c r="G4226" s="48" t="str">
        <f aca="false">IF($H4226="","",资金流水!$K516)</f>
        <v/>
      </c>
      <c r="H4226" s="10" t="str">
        <f aca="false">IF($L4226="","",IF($L4226="@对方",资金流水!$G516,IF($L4226="@账户",资金流水!$Q516,$L4226)))</f>
        <v/>
      </c>
      <c r="I4226" s="42" t="n">
        <f aca="false">IF($M4226="借",$O4226,0)</f>
        <v>0</v>
      </c>
      <c r="J4226" s="42" t="n">
        <f aca="false">IF($M4226="贷",$O4226,0)</f>
        <v>0</v>
      </c>
      <c r="K4226" s="48" t="str">
        <f aca="false">IF($H4226="","",资金流水!$F516)</f>
        <v/>
      </c>
      <c r="L4226" s="66" t="str">
        <f aca="false">IF(资金流水!$E516="","",IFERROR(INDEX(记账规则!$A$13:$H$32,MATCH(资金流水!$E516,记账规则!$A$13:$A$32,0),3),""))</f>
        <v/>
      </c>
      <c r="M4226" s="66" t="str">
        <f aca="false">IF($L4226="","",IFERROR(INDEX(记账规则!$A$13:$H$32,MATCH(资金流水!$E516,记账规则!$A$13:$A$32,0),4),""))</f>
        <v/>
      </c>
      <c r="N4226" s="66" t="str">
        <f aca="false">IF($L4226="","",IFERROR(INDEX(记账规则!$A$13:$H$32,MATCH(资金流水!$E516,记账规则!$A$13:$A$32,0),5),""))</f>
        <v/>
      </c>
      <c r="O4226" s="67" t="n">
        <f aca="false">IF($H4226="",0,ROUND(IF($N4226="金额",N(资金流水!$P516),0),2))</f>
        <v>0</v>
      </c>
      <c r="P4226" s="64" t="str">
        <f aca="false">IF(AND($H4226&lt;&gt;"",ROUND($O4226,2)&lt;&gt;0),"有","")</f>
        <v/>
      </c>
    </row>
    <row r="4227" customFormat="false" ht="15" hidden="true" customHeight="false" outlineLevel="0" collapsed="false">
      <c r="A4227" s="53" t="str">
        <f aca="false">IF($H4227="","",ROW()-5)</f>
        <v/>
      </c>
      <c r="B4227" s="64" t="s">
        <v>37</v>
      </c>
      <c r="C4227" s="53" t="n">
        <v>516</v>
      </c>
      <c r="D4227" s="53" t="n">
        <v>2</v>
      </c>
      <c r="E4227" s="65" t="str">
        <f aca="false">IF($H4227="","",资金流水!$B516)</f>
        <v/>
      </c>
      <c r="F4227" s="55" t="str">
        <f aca="false">IF($H4227="","",资金流水!$C516)</f>
        <v/>
      </c>
      <c r="G4227" s="48" t="str">
        <f aca="false">IF($H4227="","",资金流水!$K516)</f>
        <v/>
      </c>
      <c r="H4227" s="10" t="str">
        <f aca="false">IF($L4227="","",IF($L4227="@对方",资金流水!$G516,IF($L4227="@账户",资金流水!$Q516,$L4227)))</f>
        <v/>
      </c>
      <c r="I4227" s="42" t="n">
        <f aca="false">IF($M4227="借",$O4227,0)</f>
        <v>0</v>
      </c>
      <c r="J4227" s="42" t="n">
        <f aca="false">IF($M4227="贷",$O4227,0)</f>
        <v>0</v>
      </c>
      <c r="K4227" s="48" t="str">
        <f aca="false">IF($H4227="","",资金流水!$F516)</f>
        <v/>
      </c>
      <c r="L4227" s="66" t="str">
        <f aca="false">IF(资金流水!$E516="","",IFERROR(INDEX(记账规则!$A$13:$H$32,MATCH(资金流水!$E516,记账规则!$A$13:$A$32,0),6),""))</f>
        <v/>
      </c>
      <c r="M4227" s="66" t="str">
        <f aca="false">IF($L4227="","",IFERROR(INDEX(记账规则!$A$13:$H$32,MATCH(资金流水!$E516,记账规则!$A$13:$A$32,0),7),""))</f>
        <v/>
      </c>
      <c r="N4227" s="66" t="str">
        <f aca="false">IF($L4227="","",IFERROR(INDEX(记账规则!$A$13:$H$32,MATCH(资金流水!$E516,记账规则!$A$13:$A$32,0),8),""))</f>
        <v/>
      </c>
      <c r="O4227" s="67" t="n">
        <f aca="false">IF($H4227="",0,ROUND(IF($N4227="金额",N(资金流水!$P516),0),2))</f>
        <v>0</v>
      </c>
      <c r="P4227" s="64" t="str">
        <f aca="false">IF(AND($H4227&lt;&gt;"",ROUND($O4227,2)&lt;&gt;0),"有","")</f>
        <v/>
      </c>
    </row>
    <row r="4228" customFormat="false" ht="15" hidden="true" customHeight="false" outlineLevel="0" collapsed="false">
      <c r="A4228" s="53" t="str">
        <f aca="false">IF($H4228="","",ROW()-5)</f>
        <v/>
      </c>
      <c r="B4228" s="64" t="s">
        <v>37</v>
      </c>
      <c r="C4228" s="53" t="n">
        <v>517</v>
      </c>
      <c r="D4228" s="53" t="n">
        <v>1</v>
      </c>
      <c r="E4228" s="65" t="str">
        <f aca="false">IF($H4228="","",资金流水!$B517)</f>
        <v/>
      </c>
      <c r="F4228" s="55" t="str">
        <f aca="false">IF($H4228="","",资金流水!$C517)</f>
        <v/>
      </c>
      <c r="G4228" s="48" t="str">
        <f aca="false">IF($H4228="","",资金流水!$K517)</f>
        <v/>
      </c>
      <c r="H4228" s="10" t="str">
        <f aca="false">IF($L4228="","",IF($L4228="@对方",资金流水!$G517,IF($L4228="@账户",资金流水!$Q517,$L4228)))</f>
        <v/>
      </c>
      <c r="I4228" s="42" t="n">
        <f aca="false">IF($M4228="借",$O4228,0)</f>
        <v>0</v>
      </c>
      <c r="J4228" s="42" t="n">
        <f aca="false">IF($M4228="贷",$O4228,0)</f>
        <v>0</v>
      </c>
      <c r="K4228" s="48" t="str">
        <f aca="false">IF($H4228="","",资金流水!$F517)</f>
        <v/>
      </c>
      <c r="L4228" s="66" t="str">
        <f aca="false">IF(资金流水!$E517="","",IFERROR(INDEX(记账规则!$A$13:$H$32,MATCH(资金流水!$E517,记账规则!$A$13:$A$32,0),3),""))</f>
        <v/>
      </c>
      <c r="M4228" s="66" t="str">
        <f aca="false">IF($L4228="","",IFERROR(INDEX(记账规则!$A$13:$H$32,MATCH(资金流水!$E517,记账规则!$A$13:$A$32,0),4),""))</f>
        <v/>
      </c>
      <c r="N4228" s="66" t="str">
        <f aca="false">IF($L4228="","",IFERROR(INDEX(记账规则!$A$13:$H$32,MATCH(资金流水!$E517,记账规则!$A$13:$A$32,0),5),""))</f>
        <v/>
      </c>
      <c r="O4228" s="67" t="n">
        <f aca="false">IF($H4228="",0,ROUND(IF($N4228="金额",N(资金流水!$P517),0),2))</f>
        <v>0</v>
      </c>
      <c r="P4228" s="64" t="str">
        <f aca="false">IF(AND($H4228&lt;&gt;"",ROUND($O4228,2)&lt;&gt;0),"有","")</f>
        <v/>
      </c>
    </row>
    <row r="4229" customFormat="false" ht="15" hidden="true" customHeight="false" outlineLevel="0" collapsed="false">
      <c r="A4229" s="53" t="str">
        <f aca="false">IF($H4229="","",ROW()-5)</f>
        <v/>
      </c>
      <c r="B4229" s="64" t="s">
        <v>37</v>
      </c>
      <c r="C4229" s="53" t="n">
        <v>517</v>
      </c>
      <c r="D4229" s="53" t="n">
        <v>2</v>
      </c>
      <c r="E4229" s="65" t="str">
        <f aca="false">IF($H4229="","",资金流水!$B517)</f>
        <v/>
      </c>
      <c r="F4229" s="55" t="str">
        <f aca="false">IF($H4229="","",资金流水!$C517)</f>
        <v/>
      </c>
      <c r="G4229" s="48" t="str">
        <f aca="false">IF($H4229="","",资金流水!$K517)</f>
        <v/>
      </c>
      <c r="H4229" s="10" t="str">
        <f aca="false">IF($L4229="","",IF($L4229="@对方",资金流水!$G517,IF($L4229="@账户",资金流水!$Q517,$L4229)))</f>
        <v/>
      </c>
      <c r="I4229" s="42" t="n">
        <f aca="false">IF($M4229="借",$O4229,0)</f>
        <v>0</v>
      </c>
      <c r="J4229" s="42" t="n">
        <f aca="false">IF($M4229="贷",$O4229,0)</f>
        <v>0</v>
      </c>
      <c r="K4229" s="48" t="str">
        <f aca="false">IF($H4229="","",资金流水!$F517)</f>
        <v/>
      </c>
      <c r="L4229" s="66" t="str">
        <f aca="false">IF(资金流水!$E517="","",IFERROR(INDEX(记账规则!$A$13:$H$32,MATCH(资金流水!$E517,记账规则!$A$13:$A$32,0),6),""))</f>
        <v/>
      </c>
      <c r="M4229" s="66" t="str">
        <f aca="false">IF($L4229="","",IFERROR(INDEX(记账规则!$A$13:$H$32,MATCH(资金流水!$E517,记账规则!$A$13:$A$32,0),7),""))</f>
        <v/>
      </c>
      <c r="N4229" s="66" t="str">
        <f aca="false">IF($L4229="","",IFERROR(INDEX(记账规则!$A$13:$H$32,MATCH(资金流水!$E517,记账规则!$A$13:$A$32,0),8),""))</f>
        <v/>
      </c>
      <c r="O4229" s="67" t="n">
        <f aca="false">IF($H4229="",0,ROUND(IF($N4229="金额",N(资金流水!$P517),0),2))</f>
        <v>0</v>
      </c>
      <c r="P4229" s="64" t="str">
        <f aca="false">IF(AND($H4229&lt;&gt;"",ROUND($O4229,2)&lt;&gt;0),"有","")</f>
        <v/>
      </c>
    </row>
    <row r="4230" customFormat="false" ht="15" hidden="true" customHeight="false" outlineLevel="0" collapsed="false">
      <c r="A4230" s="53" t="str">
        <f aca="false">IF($H4230="","",ROW()-5)</f>
        <v/>
      </c>
      <c r="B4230" s="64" t="s">
        <v>37</v>
      </c>
      <c r="C4230" s="53" t="n">
        <v>518</v>
      </c>
      <c r="D4230" s="53" t="n">
        <v>1</v>
      </c>
      <c r="E4230" s="65" t="str">
        <f aca="false">IF($H4230="","",资金流水!$B518)</f>
        <v/>
      </c>
      <c r="F4230" s="55" t="str">
        <f aca="false">IF($H4230="","",资金流水!$C518)</f>
        <v/>
      </c>
      <c r="G4230" s="48" t="str">
        <f aca="false">IF($H4230="","",资金流水!$K518)</f>
        <v/>
      </c>
      <c r="H4230" s="10" t="str">
        <f aca="false">IF($L4230="","",IF($L4230="@对方",资金流水!$G518,IF($L4230="@账户",资金流水!$Q518,$L4230)))</f>
        <v/>
      </c>
      <c r="I4230" s="42" t="n">
        <f aca="false">IF($M4230="借",$O4230,0)</f>
        <v>0</v>
      </c>
      <c r="J4230" s="42" t="n">
        <f aca="false">IF($M4230="贷",$O4230,0)</f>
        <v>0</v>
      </c>
      <c r="K4230" s="48" t="str">
        <f aca="false">IF($H4230="","",资金流水!$F518)</f>
        <v/>
      </c>
      <c r="L4230" s="66" t="str">
        <f aca="false">IF(资金流水!$E518="","",IFERROR(INDEX(记账规则!$A$13:$H$32,MATCH(资金流水!$E518,记账规则!$A$13:$A$32,0),3),""))</f>
        <v/>
      </c>
      <c r="M4230" s="66" t="str">
        <f aca="false">IF($L4230="","",IFERROR(INDEX(记账规则!$A$13:$H$32,MATCH(资金流水!$E518,记账规则!$A$13:$A$32,0),4),""))</f>
        <v/>
      </c>
      <c r="N4230" s="66" t="str">
        <f aca="false">IF($L4230="","",IFERROR(INDEX(记账规则!$A$13:$H$32,MATCH(资金流水!$E518,记账规则!$A$13:$A$32,0),5),""))</f>
        <v/>
      </c>
      <c r="O4230" s="67" t="n">
        <f aca="false">IF($H4230="",0,ROUND(IF($N4230="金额",N(资金流水!$P518),0),2))</f>
        <v>0</v>
      </c>
      <c r="P4230" s="64" t="str">
        <f aca="false">IF(AND($H4230&lt;&gt;"",ROUND($O4230,2)&lt;&gt;0),"有","")</f>
        <v/>
      </c>
    </row>
    <row r="4231" customFormat="false" ht="15" hidden="true" customHeight="false" outlineLevel="0" collapsed="false">
      <c r="A4231" s="53" t="str">
        <f aca="false">IF($H4231="","",ROW()-5)</f>
        <v/>
      </c>
      <c r="B4231" s="64" t="s">
        <v>37</v>
      </c>
      <c r="C4231" s="53" t="n">
        <v>518</v>
      </c>
      <c r="D4231" s="53" t="n">
        <v>2</v>
      </c>
      <c r="E4231" s="65" t="str">
        <f aca="false">IF($H4231="","",资金流水!$B518)</f>
        <v/>
      </c>
      <c r="F4231" s="55" t="str">
        <f aca="false">IF($H4231="","",资金流水!$C518)</f>
        <v/>
      </c>
      <c r="G4231" s="48" t="str">
        <f aca="false">IF($H4231="","",资金流水!$K518)</f>
        <v/>
      </c>
      <c r="H4231" s="10" t="str">
        <f aca="false">IF($L4231="","",IF($L4231="@对方",资金流水!$G518,IF($L4231="@账户",资金流水!$Q518,$L4231)))</f>
        <v/>
      </c>
      <c r="I4231" s="42" t="n">
        <f aca="false">IF($M4231="借",$O4231,0)</f>
        <v>0</v>
      </c>
      <c r="J4231" s="42" t="n">
        <f aca="false">IF($M4231="贷",$O4231,0)</f>
        <v>0</v>
      </c>
      <c r="K4231" s="48" t="str">
        <f aca="false">IF($H4231="","",资金流水!$F518)</f>
        <v/>
      </c>
      <c r="L4231" s="66" t="str">
        <f aca="false">IF(资金流水!$E518="","",IFERROR(INDEX(记账规则!$A$13:$H$32,MATCH(资金流水!$E518,记账规则!$A$13:$A$32,0),6),""))</f>
        <v/>
      </c>
      <c r="M4231" s="66" t="str">
        <f aca="false">IF($L4231="","",IFERROR(INDEX(记账规则!$A$13:$H$32,MATCH(资金流水!$E518,记账规则!$A$13:$A$32,0),7),""))</f>
        <v/>
      </c>
      <c r="N4231" s="66" t="str">
        <f aca="false">IF($L4231="","",IFERROR(INDEX(记账规则!$A$13:$H$32,MATCH(资金流水!$E518,记账规则!$A$13:$A$32,0),8),""))</f>
        <v/>
      </c>
      <c r="O4231" s="67" t="n">
        <f aca="false">IF($H4231="",0,ROUND(IF($N4231="金额",N(资金流水!$P518),0),2))</f>
        <v>0</v>
      </c>
      <c r="P4231" s="64" t="str">
        <f aca="false">IF(AND($H4231&lt;&gt;"",ROUND($O4231,2)&lt;&gt;0),"有","")</f>
        <v/>
      </c>
    </row>
    <row r="4232" customFormat="false" ht="15" hidden="true" customHeight="false" outlineLevel="0" collapsed="false">
      <c r="A4232" s="53" t="str">
        <f aca="false">IF($H4232="","",ROW()-5)</f>
        <v/>
      </c>
      <c r="B4232" s="64" t="s">
        <v>37</v>
      </c>
      <c r="C4232" s="53" t="n">
        <v>519</v>
      </c>
      <c r="D4232" s="53" t="n">
        <v>1</v>
      </c>
      <c r="E4232" s="65" t="str">
        <f aca="false">IF($H4232="","",资金流水!$B519)</f>
        <v/>
      </c>
      <c r="F4232" s="55" t="str">
        <f aca="false">IF($H4232="","",资金流水!$C519)</f>
        <v/>
      </c>
      <c r="G4232" s="48" t="str">
        <f aca="false">IF($H4232="","",资金流水!$K519)</f>
        <v/>
      </c>
      <c r="H4232" s="10" t="str">
        <f aca="false">IF($L4232="","",IF($L4232="@对方",资金流水!$G519,IF($L4232="@账户",资金流水!$Q519,$L4232)))</f>
        <v/>
      </c>
      <c r="I4232" s="42" t="n">
        <f aca="false">IF($M4232="借",$O4232,0)</f>
        <v>0</v>
      </c>
      <c r="J4232" s="42" t="n">
        <f aca="false">IF($M4232="贷",$O4232,0)</f>
        <v>0</v>
      </c>
      <c r="K4232" s="48" t="str">
        <f aca="false">IF($H4232="","",资金流水!$F519)</f>
        <v/>
      </c>
      <c r="L4232" s="66" t="str">
        <f aca="false">IF(资金流水!$E519="","",IFERROR(INDEX(记账规则!$A$13:$H$32,MATCH(资金流水!$E519,记账规则!$A$13:$A$32,0),3),""))</f>
        <v/>
      </c>
      <c r="M4232" s="66" t="str">
        <f aca="false">IF($L4232="","",IFERROR(INDEX(记账规则!$A$13:$H$32,MATCH(资金流水!$E519,记账规则!$A$13:$A$32,0),4),""))</f>
        <v/>
      </c>
      <c r="N4232" s="66" t="str">
        <f aca="false">IF($L4232="","",IFERROR(INDEX(记账规则!$A$13:$H$32,MATCH(资金流水!$E519,记账规则!$A$13:$A$32,0),5),""))</f>
        <v/>
      </c>
      <c r="O4232" s="67" t="n">
        <f aca="false">IF($H4232="",0,ROUND(IF($N4232="金额",N(资金流水!$P519),0),2))</f>
        <v>0</v>
      </c>
      <c r="P4232" s="64" t="str">
        <f aca="false">IF(AND($H4232&lt;&gt;"",ROUND($O4232,2)&lt;&gt;0),"有","")</f>
        <v/>
      </c>
    </row>
    <row r="4233" customFormat="false" ht="15" hidden="true" customHeight="false" outlineLevel="0" collapsed="false">
      <c r="A4233" s="53" t="str">
        <f aca="false">IF($H4233="","",ROW()-5)</f>
        <v/>
      </c>
      <c r="B4233" s="64" t="s">
        <v>37</v>
      </c>
      <c r="C4233" s="53" t="n">
        <v>519</v>
      </c>
      <c r="D4233" s="53" t="n">
        <v>2</v>
      </c>
      <c r="E4233" s="65" t="str">
        <f aca="false">IF($H4233="","",资金流水!$B519)</f>
        <v/>
      </c>
      <c r="F4233" s="55" t="str">
        <f aca="false">IF($H4233="","",资金流水!$C519)</f>
        <v/>
      </c>
      <c r="G4233" s="48" t="str">
        <f aca="false">IF($H4233="","",资金流水!$K519)</f>
        <v/>
      </c>
      <c r="H4233" s="10" t="str">
        <f aca="false">IF($L4233="","",IF($L4233="@对方",资金流水!$G519,IF($L4233="@账户",资金流水!$Q519,$L4233)))</f>
        <v/>
      </c>
      <c r="I4233" s="42" t="n">
        <f aca="false">IF($M4233="借",$O4233,0)</f>
        <v>0</v>
      </c>
      <c r="J4233" s="42" t="n">
        <f aca="false">IF($M4233="贷",$O4233,0)</f>
        <v>0</v>
      </c>
      <c r="K4233" s="48" t="str">
        <f aca="false">IF($H4233="","",资金流水!$F519)</f>
        <v/>
      </c>
      <c r="L4233" s="66" t="str">
        <f aca="false">IF(资金流水!$E519="","",IFERROR(INDEX(记账规则!$A$13:$H$32,MATCH(资金流水!$E519,记账规则!$A$13:$A$32,0),6),""))</f>
        <v/>
      </c>
      <c r="M4233" s="66" t="str">
        <f aca="false">IF($L4233="","",IFERROR(INDEX(记账规则!$A$13:$H$32,MATCH(资金流水!$E519,记账规则!$A$13:$A$32,0),7),""))</f>
        <v/>
      </c>
      <c r="N4233" s="66" t="str">
        <f aca="false">IF($L4233="","",IFERROR(INDEX(记账规则!$A$13:$H$32,MATCH(资金流水!$E519,记账规则!$A$13:$A$32,0),8),""))</f>
        <v/>
      </c>
      <c r="O4233" s="67" t="n">
        <f aca="false">IF($H4233="",0,ROUND(IF($N4233="金额",N(资金流水!$P519),0),2))</f>
        <v>0</v>
      </c>
      <c r="P4233" s="64" t="str">
        <f aca="false">IF(AND($H4233&lt;&gt;"",ROUND($O4233,2)&lt;&gt;0),"有","")</f>
        <v/>
      </c>
    </row>
    <row r="4234" customFormat="false" ht="15" hidden="true" customHeight="false" outlineLevel="0" collapsed="false">
      <c r="A4234" s="53" t="str">
        <f aca="false">IF($H4234="","",ROW()-5)</f>
        <v/>
      </c>
      <c r="B4234" s="64" t="s">
        <v>37</v>
      </c>
      <c r="C4234" s="53" t="n">
        <v>520</v>
      </c>
      <c r="D4234" s="53" t="n">
        <v>1</v>
      </c>
      <c r="E4234" s="65" t="str">
        <f aca="false">IF($H4234="","",资金流水!$B520)</f>
        <v/>
      </c>
      <c r="F4234" s="55" t="str">
        <f aca="false">IF($H4234="","",资金流水!$C520)</f>
        <v/>
      </c>
      <c r="G4234" s="48" t="str">
        <f aca="false">IF($H4234="","",资金流水!$K520)</f>
        <v/>
      </c>
      <c r="H4234" s="10" t="str">
        <f aca="false">IF($L4234="","",IF($L4234="@对方",资金流水!$G520,IF($L4234="@账户",资金流水!$Q520,$L4234)))</f>
        <v/>
      </c>
      <c r="I4234" s="42" t="n">
        <f aca="false">IF($M4234="借",$O4234,0)</f>
        <v>0</v>
      </c>
      <c r="J4234" s="42" t="n">
        <f aca="false">IF($M4234="贷",$O4234,0)</f>
        <v>0</v>
      </c>
      <c r="K4234" s="48" t="str">
        <f aca="false">IF($H4234="","",资金流水!$F520)</f>
        <v/>
      </c>
      <c r="L4234" s="66" t="str">
        <f aca="false">IF(资金流水!$E520="","",IFERROR(INDEX(记账规则!$A$13:$H$32,MATCH(资金流水!$E520,记账规则!$A$13:$A$32,0),3),""))</f>
        <v/>
      </c>
      <c r="M4234" s="66" t="str">
        <f aca="false">IF($L4234="","",IFERROR(INDEX(记账规则!$A$13:$H$32,MATCH(资金流水!$E520,记账规则!$A$13:$A$32,0),4),""))</f>
        <v/>
      </c>
      <c r="N4234" s="66" t="str">
        <f aca="false">IF($L4234="","",IFERROR(INDEX(记账规则!$A$13:$H$32,MATCH(资金流水!$E520,记账规则!$A$13:$A$32,0),5),""))</f>
        <v/>
      </c>
      <c r="O4234" s="67" t="n">
        <f aca="false">IF($H4234="",0,ROUND(IF($N4234="金额",N(资金流水!$P520),0),2))</f>
        <v>0</v>
      </c>
      <c r="P4234" s="64" t="str">
        <f aca="false">IF(AND($H4234&lt;&gt;"",ROUND($O4234,2)&lt;&gt;0),"有","")</f>
        <v/>
      </c>
    </row>
    <row r="4235" customFormat="false" ht="15" hidden="true" customHeight="false" outlineLevel="0" collapsed="false">
      <c r="A4235" s="53" t="str">
        <f aca="false">IF($H4235="","",ROW()-5)</f>
        <v/>
      </c>
      <c r="B4235" s="64" t="s">
        <v>37</v>
      </c>
      <c r="C4235" s="53" t="n">
        <v>520</v>
      </c>
      <c r="D4235" s="53" t="n">
        <v>2</v>
      </c>
      <c r="E4235" s="65" t="str">
        <f aca="false">IF($H4235="","",资金流水!$B520)</f>
        <v/>
      </c>
      <c r="F4235" s="55" t="str">
        <f aca="false">IF($H4235="","",资金流水!$C520)</f>
        <v/>
      </c>
      <c r="G4235" s="48" t="str">
        <f aca="false">IF($H4235="","",资金流水!$K520)</f>
        <v/>
      </c>
      <c r="H4235" s="10" t="str">
        <f aca="false">IF($L4235="","",IF($L4235="@对方",资金流水!$G520,IF($L4235="@账户",资金流水!$Q520,$L4235)))</f>
        <v/>
      </c>
      <c r="I4235" s="42" t="n">
        <f aca="false">IF($M4235="借",$O4235,0)</f>
        <v>0</v>
      </c>
      <c r="J4235" s="42" t="n">
        <f aca="false">IF($M4235="贷",$O4235,0)</f>
        <v>0</v>
      </c>
      <c r="K4235" s="48" t="str">
        <f aca="false">IF($H4235="","",资金流水!$F520)</f>
        <v/>
      </c>
      <c r="L4235" s="66" t="str">
        <f aca="false">IF(资金流水!$E520="","",IFERROR(INDEX(记账规则!$A$13:$H$32,MATCH(资金流水!$E520,记账规则!$A$13:$A$32,0),6),""))</f>
        <v/>
      </c>
      <c r="M4235" s="66" t="str">
        <f aca="false">IF($L4235="","",IFERROR(INDEX(记账规则!$A$13:$H$32,MATCH(资金流水!$E520,记账规则!$A$13:$A$32,0),7),""))</f>
        <v/>
      </c>
      <c r="N4235" s="66" t="str">
        <f aca="false">IF($L4235="","",IFERROR(INDEX(记账规则!$A$13:$H$32,MATCH(资金流水!$E520,记账规则!$A$13:$A$32,0),8),""))</f>
        <v/>
      </c>
      <c r="O4235" s="67" t="n">
        <f aca="false">IF($H4235="",0,ROUND(IF($N4235="金额",N(资金流水!$P520),0),2))</f>
        <v>0</v>
      </c>
      <c r="P4235" s="64" t="str">
        <f aca="false">IF(AND($H4235&lt;&gt;"",ROUND($O4235,2)&lt;&gt;0),"有","")</f>
        <v/>
      </c>
    </row>
    <row r="4236" customFormat="false" ht="15" hidden="true" customHeight="false" outlineLevel="0" collapsed="false">
      <c r="A4236" s="53" t="str">
        <f aca="false">IF($H4236="","",ROW()-5)</f>
        <v/>
      </c>
      <c r="B4236" s="64" t="s">
        <v>37</v>
      </c>
      <c r="C4236" s="53" t="n">
        <v>521</v>
      </c>
      <c r="D4236" s="53" t="n">
        <v>1</v>
      </c>
      <c r="E4236" s="65" t="str">
        <f aca="false">IF($H4236="","",资金流水!$B521)</f>
        <v/>
      </c>
      <c r="F4236" s="55" t="str">
        <f aca="false">IF($H4236="","",资金流水!$C521)</f>
        <v/>
      </c>
      <c r="G4236" s="48" t="str">
        <f aca="false">IF($H4236="","",资金流水!$K521)</f>
        <v/>
      </c>
      <c r="H4236" s="10" t="str">
        <f aca="false">IF($L4236="","",IF($L4236="@对方",资金流水!$G521,IF($L4236="@账户",资金流水!$Q521,$L4236)))</f>
        <v/>
      </c>
      <c r="I4236" s="42" t="n">
        <f aca="false">IF($M4236="借",$O4236,0)</f>
        <v>0</v>
      </c>
      <c r="J4236" s="42" t="n">
        <f aca="false">IF($M4236="贷",$O4236,0)</f>
        <v>0</v>
      </c>
      <c r="K4236" s="48" t="str">
        <f aca="false">IF($H4236="","",资金流水!$F521)</f>
        <v/>
      </c>
      <c r="L4236" s="66" t="str">
        <f aca="false">IF(资金流水!$E521="","",IFERROR(INDEX(记账规则!$A$13:$H$32,MATCH(资金流水!$E521,记账规则!$A$13:$A$32,0),3),""))</f>
        <v/>
      </c>
      <c r="M4236" s="66" t="str">
        <f aca="false">IF($L4236="","",IFERROR(INDEX(记账规则!$A$13:$H$32,MATCH(资金流水!$E521,记账规则!$A$13:$A$32,0),4),""))</f>
        <v/>
      </c>
      <c r="N4236" s="66" t="str">
        <f aca="false">IF($L4236="","",IFERROR(INDEX(记账规则!$A$13:$H$32,MATCH(资金流水!$E521,记账规则!$A$13:$A$32,0),5),""))</f>
        <v/>
      </c>
      <c r="O4236" s="67" t="n">
        <f aca="false">IF($H4236="",0,ROUND(IF($N4236="金额",N(资金流水!$P521),0),2))</f>
        <v>0</v>
      </c>
      <c r="P4236" s="64" t="str">
        <f aca="false">IF(AND($H4236&lt;&gt;"",ROUND($O4236,2)&lt;&gt;0),"有","")</f>
        <v/>
      </c>
    </row>
    <row r="4237" customFormat="false" ht="15" hidden="true" customHeight="false" outlineLevel="0" collapsed="false">
      <c r="A4237" s="53" t="str">
        <f aca="false">IF($H4237="","",ROW()-5)</f>
        <v/>
      </c>
      <c r="B4237" s="64" t="s">
        <v>37</v>
      </c>
      <c r="C4237" s="53" t="n">
        <v>521</v>
      </c>
      <c r="D4237" s="53" t="n">
        <v>2</v>
      </c>
      <c r="E4237" s="65" t="str">
        <f aca="false">IF($H4237="","",资金流水!$B521)</f>
        <v/>
      </c>
      <c r="F4237" s="55" t="str">
        <f aca="false">IF($H4237="","",资金流水!$C521)</f>
        <v/>
      </c>
      <c r="G4237" s="48" t="str">
        <f aca="false">IF($H4237="","",资金流水!$K521)</f>
        <v/>
      </c>
      <c r="H4237" s="10" t="str">
        <f aca="false">IF($L4237="","",IF($L4237="@对方",资金流水!$G521,IF($L4237="@账户",资金流水!$Q521,$L4237)))</f>
        <v/>
      </c>
      <c r="I4237" s="42" t="n">
        <f aca="false">IF($M4237="借",$O4237,0)</f>
        <v>0</v>
      </c>
      <c r="J4237" s="42" t="n">
        <f aca="false">IF($M4237="贷",$O4237,0)</f>
        <v>0</v>
      </c>
      <c r="K4237" s="48" t="str">
        <f aca="false">IF($H4237="","",资金流水!$F521)</f>
        <v/>
      </c>
      <c r="L4237" s="66" t="str">
        <f aca="false">IF(资金流水!$E521="","",IFERROR(INDEX(记账规则!$A$13:$H$32,MATCH(资金流水!$E521,记账规则!$A$13:$A$32,0),6),""))</f>
        <v/>
      </c>
      <c r="M4237" s="66" t="str">
        <f aca="false">IF($L4237="","",IFERROR(INDEX(记账规则!$A$13:$H$32,MATCH(资金流水!$E521,记账规则!$A$13:$A$32,0),7),""))</f>
        <v/>
      </c>
      <c r="N4237" s="66" t="str">
        <f aca="false">IF($L4237="","",IFERROR(INDEX(记账规则!$A$13:$H$32,MATCH(资金流水!$E521,记账规则!$A$13:$A$32,0),8),""))</f>
        <v/>
      </c>
      <c r="O4237" s="67" t="n">
        <f aca="false">IF($H4237="",0,ROUND(IF($N4237="金额",N(资金流水!$P521),0),2))</f>
        <v>0</v>
      </c>
      <c r="P4237" s="64" t="str">
        <f aca="false">IF(AND($H4237&lt;&gt;"",ROUND($O4237,2)&lt;&gt;0),"有","")</f>
        <v/>
      </c>
    </row>
    <row r="4238" customFormat="false" ht="15" hidden="true" customHeight="false" outlineLevel="0" collapsed="false">
      <c r="A4238" s="53" t="str">
        <f aca="false">IF($H4238="","",ROW()-5)</f>
        <v/>
      </c>
      <c r="B4238" s="64" t="s">
        <v>37</v>
      </c>
      <c r="C4238" s="53" t="n">
        <v>522</v>
      </c>
      <c r="D4238" s="53" t="n">
        <v>1</v>
      </c>
      <c r="E4238" s="65" t="str">
        <f aca="false">IF($H4238="","",资金流水!$B522)</f>
        <v/>
      </c>
      <c r="F4238" s="55" t="str">
        <f aca="false">IF($H4238="","",资金流水!$C522)</f>
        <v/>
      </c>
      <c r="G4238" s="48" t="str">
        <f aca="false">IF($H4238="","",资金流水!$K522)</f>
        <v/>
      </c>
      <c r="H4238" s="10" t="str">
        <f aca="false">IF($L4238="","",IF($L4238="@对方",资金流水!$G522,IF($L4238="@账户",资金流水!$Q522,$L4238)))</f>
        <v/>
      </c>
      <c r="I4238" s="42" t="n">
        <f aca="false">IF($M4238="借",$O4238,0)</f>
        <v>0</v>
      </c>
      <c r="J4238" s="42" t="n">
        <f aca="false">IF($M4238="贷",$O4238,0)</f>
        <v>0</v>
      </c>
      <c r="K4238" s="48" t="str">
        <f aca="false">IF($H4238="","",资金流水!$F522)</f>
        <v/>
      </c>
      <c r="L4238" s="66" t="str">
        <f aca="false">IF(资金流水!$E522="","",IFERROR(INDEX(记账规则!$A$13:$H$32,MATCH(资金流水!$E522,记账规则!$A$13:$A$32,0),3),""))</f>
        <v/>
      </c>
      <c r="M4238" s="66" t="str">
        <f aca="false">IF($L4238="","",IFERROR(INDEX(记账规则!$A$13:$H$32,MATCH(资金流水!$E522,记账规则!$A$13:$A$32,0),4),""))</f>
        <v/>
      </c>
      <c r="N4238" s="66" t="str">
        <f aca="false">IF($L4238="","",IFERROR(INDEX(记账规则!$A$13:$H$32,MATCH(资金流水!$E522,记账规则!$A$13:$A$32,0),5),""))</f>
        <v/>
      </c>
      <c r="O4238" s="67" t="n">
        <f aca="false">IF($H4238="",0,ROUND(IF($N4238="金额",N(资金流水!$P522),0),2))</f>
        <v>0</v>
      </c>
      <c r="P4238" s="64" t="str">
        <f aca="false">IF(AND($H4238&lt;&gt;"",ROUND($O4238,2)&lt;&gt;0),"有","")</f>
        <v/>
      </c>
    </row>
    <row r="4239" customFormat="false" ht="15" hidden="true" customHeight="false" outlineLevel="0" collapsed="false">
      <c r="A4239" s="53" t="str">
        <f aca="false">IF($H4239="","",ROW()-5)</f>
        <v/>
      </c>
      <c r="B4239" s="64" t="s">
        <v>37</v>
      </c>
      <c r="C4239" s="53" t="n">
        <v>522</v>
      </c>
      <c r="D4239" s="53" t="n">
        <v>2</v>
      </c>
      <c r="E4239" s="65" t="str">
        <f aca="false">IF($H4239="","",资金流水!$B522)</f>
        <v/>
      </c>
      <c r="F4239" s="55" t="str">
        <f aca="false">IF($H4239="","",资金流水!$C522)</f>
        <v/>
      </c>
      <c r="G4239" s="48" t="str">
        <f aca="false">IF($H4239="","",资金流水!$K522)</f>
        <v/>
      </c>
      <c r="H4239" s="10" t="str">
        <f aca="false">IF($L4239="","",IF($L4239="@对方",资金流水!$G522,IF($L4239="@账户",资金流水!$Q522,$L4239)))</f>
        <v/>
      </c>
      <c r="I4239" s="42" t="n">
        <f aca="false">IF($M4239="借",$O4239,0)</f>
        <v>0</v>
      </c>
      <c r="J4239" s="42" t="n">
        <f aca="false">IF($M4239="贷",$O4239,0)</f>
        <v>0</v>
      </c>
      <c r="K4239" s="48" t="str">
        <f aca="false">IF($H4239="","",资金流水!$F522)</f>
        <v/>
      </c>
      <c r="L4239" s="66" t="str">
        <f aca="false">IF(资金流水!$E522="","",IFERROR(INDEX(记账规则!$A$13:$H$32,MATCH(资金流水!$E522,记账规则!$A$13:$A$32,0),6),""))</f>
        <v/>
      </c>
      <c r="M4239" s="66" t="str">
        <f aca="false">IF($L4239="","",IFERROR(INDEX(记账规则!$A$13:$H$32,MATCH(资金流水!$E522,记账规则!$A$13:$A$32,0),7),""))</f>
        <v/>
      </c>
      <c r="N4239" s="66" t="str">
        <f aca="false">IF($L4239="","",IFERROR(INDEX(记账规则!$A$13:$H$32,MATCH(资金流水!$E522,记账规则!$A$13:$A$32,0),8),""))</f>
        <v/>
      </c>
      <c r="O4239" s="67" t="n">
        <f aca="false">IF($H4239="",0,ROUND(IF($N4239="金额",N(资金流水!$P522),0),2))</f>
        <v>0</v>
      </c>
      <c r="P4239" s="64" t="str">
        <f aca="false">IF(AND($H4239&lt;&gt;"",ROUND($O4239,2)&lt;&gt;0),"有","")</f>
        <v/>
      </c>
    </row>
    <row r="4240" customFormat="false" ht="15" hidden="true" customHeight="false" outlineLevel="0" collapsed="false">
      <c r="A4240" s="53" t="str">
        <f aca="false">IF($H4240="","",ROW()-5)</f>
        <v/>
      </c>
      <c r="B4240" s="64" t="s">
        <v>37</v>
      </c>
      <c r="C4240" s="53" t="n">
        <v>523</v>
      </c>
      <c r="D4240" s="53" t="n">
        <v>1</v>
      </c>
      <c r="E4240" s="65" t="str">
        <f aca="false">IF($H4240="","",资金流水!$B523)</f>
        <v/>
      </c>
      <c r="F4240" s="55" t="str">
        <f aca="false">IF($H4240="","",资金流水!$C523)</f>
        <v/>
      </c>
      <c r="G4240" s="48" t="str">
        <f aca="false">IF($H4240="","",资金流水!$K523)</f>
        <v/>
      </c>
      <c r="H4240" s="10" t="str">
        <f aca="false">IF($L4240="","",IF($L4240="@对方",资金流水!$G523,IF($L4240="@账户",资金流水!$Q523,$L4240)))</f>
        <v/>
      </c>
      <c r="I4240" s="42" t="n">
        <f aca="false">IF($M4240="借",$O4240,0)</f>
        <v>0</v>
      </c>
      <c r="J4240" s="42" t="n">
        <f aca="false">IF($M4240="贷",$O4240,0)</f>
        <v>0</v>
      </c>
      <c r="K4240" s="48" t="str">
        <f aca="false">IF($H4240="","",资金流水!$F523)</f>
        <v/>
      </c>
      <c r="L4240" s="66" t="str">
        <f aca="false">IF(资金流水!$E523="","",IFERROR(INDEX(记账规则!$A$13:$H$32,MATCH(资金流水!$E523,记账规则!$A$13:$A$32,0),3),""))</f>
        <v/>
      </c>
      <c r="M4240" s="66" t="str">
        <f aca="false">IF($L4240="","",IFERROR(INDEX(记账规则!$A$13:$H$32,MATCH(资金流水!$E523,记账规则!$A$13:$A$32,0),4),""))</f>
        <v/>
      </c>
      <c r="N4240" s="66" t="str">
        <f aca="false">IF($L4240="","",IFERROR(INDEX(记账规则!$A$13:$H$32,MATCH(资金流水!$E523,记账规则!$A$13:$A$32,0),5),""))</f>
        <v/>
      </c>
      <c r="O4240" s="67" t="n">
        <f aca="false">IF($H4240="",0,ROUND(IF($N4240="金额",N(资金流水!$P523),0),2))</f>
        <v>0</v>
      </c>
      <c r="P4240" s="64" t="str">
        <f aca="false">IF(AND($H4240&lt;&gt;"",ROUND($O4240,2)&lt;&gt;0),"有","")</f>
        <v/>
      </c>
    </row>
    <row r="4241" customFormat="false" ht="15" hidden="true" customHeight="false" outlineLevel="0" collapsed="false">
      <c r="A4241" s="53" t="str">
        <f aca="false">IF($H4241="","",ROW()-5)</f>
        <v/>
      </c>
      <c r="B4241" s="64" t="s">
        <v>37</v>
      </c>
      <c r="C4241" s="53" t="n">
        <v>523</v>
      </c>
      <c r="D4241" s="53" t="n">
        <v>2</v>
      </c>
      <c r="E4241" s="65" t="str">
        <f aca="false">IF($H4241="","",资金流水!$B523)</f>
        <v/>
      </c>
      <c r="F4241" s="55" t="str">
        <f aca="false">IF($H4241="","",资金流水!$C523)</f>
        <v/>
      </c>
      <c r="G4241" s="48" t="str">
        <f aca="false">IF($H4241="","",资金流水!$K523)</f>
        <v/>
      </c>
      <c r="H4241" s="10" t="str">
        <f aca="false">IF($L4241="","",IF($L4241="@对方",资金流水!$G523,IF($L4241="@账户",资金流水!$Q523,$L4241)))</f>
        <v/>
      </c>
      <c r="I4241" s="42" t="n">
        <f aca="false">IF($M4241="借",$O4241,0)</f>
        <v>0</v>
      </c>
      <c r="J4241" s="42" t="n">
        <f aca="false">IF($M4241="贷",$O4241,0)</f>
        <v>0</v>
      </c>
      <c r="K4241" s="48" t="str">
        <f aca="false">IF($H4241="","",资金流水!$F523)</f>
        <v/>
      </c>
      <c r="L4241" s="66" t="str">
        <f aca="false">IF(资金流水!$E523="","",IFERROR(INDEX(记账规则!$A$13:$H$32,MATCH(资金流水!$E523,记账规则!$A$13:$A$32,0),6),""))</f>
        <v/>
      </c>
      <c r="M4241" s="66" t="str">
        <f aca="false">IF($L4241="","",IFERROR(INDEX(记账规则!$A$13:$H$32,MATCH(资金流水!$E523,记账规则!$A$13:$A$32,0),7),""))</f>
        <v/>
      </c>
      <c r="N4241" s="66" t="str">
        <f aca="false">IF($L4241="","",IFERROR(INDEX(记账规则!$A$13:$H$32,MATCH(资金流水!$E523,记账规则!$A$13:$A$32,0),8),""))</f>
        <v/>
      </c>
      <c r="O4241" s="67" t="n">
        <f aca="false">IF($H4241="",0,ROUND(IF($N4241="金额",N(资金流水!$P523),0),2))</f>
        <v>0</v>
      </c>
      <c r="P4241" s="64" t="str">
        <f aca="false">IF(AND($H4241&lt;&gt;"",ROUND($O4241,2)&lt;&gt;0),"有","")</f>
        <v/>
      </c>
    </row>
    <row r="4242" customFormat="false" ht="15" hidden="true" customHeight="false" outlineLevel="0" collapsed="false">
      <c r="A4242" s="53" t="str">
        <f aca="false">IF($H4242="","",ROW()-5)</f>
        <v/>
      </c>
      <c r="B4242" s="64" t="s">
        <v>37</v>
      </c>
      <c r="C4242" s="53" t="n">
        <v>524</v>
      </c>
      <c r="D4242" s="53" t="n">
        <v>1</v>
      </c>
      <c r="E4242" s="65" t="str">
        <f aca="false">IF($H4242="","",资金流水!$B524)</f>
        <v/>
      </c>
      <c r="F4242" s="55" t="str">
        <f aca="false">IF($H4242="","",资金流水!$C524)</f>
        <v/>
      </c>
      <c r="G4242" s="48" t="str">
        <f aca="false">IF($H4242="","",资金流水!$K524)</f>
        <v/>
      </c>
      <c r="H4242" s="10" t="str">
        <f aca="false">IF($L4242="","",IF($L4242="@对方",资金流水!$G524,IF($L4242="@账户",资金流水!$Q524,$L4242)))</f>
        <v/>
      </c>
      <c r="I4242" s="42" t="n">
        <f aca="false">IF($M4242="借",$O4242,0)</f>
        <v>0</v>
      </c>
      <c r="J4242" s="42" t="n">
        <f aca="false">IF($M4242="贷",$O4242,0)</f>
        <v>0</v>
      </c>
      <c r="K4242" s="48" t="str">
        <f aca="false">IF($H4242="","",资金流水!$F524)</f>
        <v/>
      </c>
      <c r="L4242" s="66" t="str">
        <f aca="false">IF(资金流水!$E524="","",IFERROR(INDEX(记账规则!$A$13:$H$32,MATCH(资金流水!$E524,记账规则!$A$13:$A$32,0),3),""))</f>
        <v/>
      </c>
      <c r="M4242" s="66" t="str">
        <f aca="false">IF($L4242="","",IFERROR(INDEX(记账规则!$A$13:$H$32,MATCH(资金流水!$E524,记账规则!$A$13:$A$32,0),4),""))</f>
        <v/>
      </c>
      <c r="N4242" s="66" t="str">
        <f aca="false">IF($L4242="","",IFERROR(INDEX(记账规则!$A$13:$H$32,MATCH(资金流水!$E524,记账规则!$A$13:$A$32,0),5),""))</f>
        <v/>
      </c>
      <c r="O4242" s="67" t="n">
        <f aca="false">IF($H4242="",0,ROUND(IF($N4242="金额",N(资金流水!$P524),0),2))</f>
        <v>0</v>
      </c>
      <c r="P4242" s="64" t="str">
        <f aca="false">IF(AND($H4242&lt;&gt;"",ROUND($O4242,2)&lt;&gt;0),"有","")</f>
        <v/>
      </c>
    </row>
    <row r="4243" customFormat="false" ht="15" hidden="true" customHeight="false" outlineLevel="0" collapsed="false">
      <c r="A4243" s="53" t="str">
        <f aca="false">IF($H4243="","",ROW()-5)</f>
        <v/>
      </c>
      <c r="B4243" s="64" t="s">
        <v>37</v>
      </c>
      <c r="C4243" s="53" t="n">
        <v>524</v>
      </c>
      <c r="D4243" s="53" t="n">
        <v>2</v>
      </c>
      <c r="E4243" s="65" t="str">
        <f aca="false">IF($H4243="","",资金流水!$B524)</f>
        <v/>
      </c>
      <c r="F4243" s="55" t="str">
        <f aca="false">IF($H4243="","",资金流水!$C524)</f>
        <v/>
      </c>
      <c r="G4243" s="48" t="str">
        <f aca="false">IF($H4243="","",资金流水!$K524)</f>
        <v/>
      </c>
      <c r="H4243" s="10" t="str">
        <f aca="false">IF($L4243="","",IF($L4243="@对方",资金流水!$G524,IF($L4243="@账户",资金流水!$Q524,$L4243)))</f>
        <v/>
      </c>
      <c r="I4243" s="42" t="n">
        <f aca="false">IF($M4243="借",$O4243,0)</f>
        <v>0</v>
      </c>
      <c r="J4243" s="42" t="n">
        <f aca="false">IF($M4243="贷",$O4243,0)</f>
        <v>0</v>
      </c>
      <c r="K4243" s="48" t="str">
        <f aca="false">IF($H4243="","",资金流水!$F524)</f>
        <v/>
      </c>
      <c r="L4243" s="66" t="str">
        <f aca="false">IF(资金流水!$E524="","",IFERROR(INDEX(记账规则!$A$13:$H$32,MATCH(资金流水!$E524,记账规则!$A$13:$A$32,0),6),""))</f>
        <v/>
      </c>
      <c r="M4243" s="66" t="str">
        <f aca="false">IF($L4243="","",IFERROR(INDEX(记账规则!$A$13:$H$32,MATCH(资金流水!$E524,记账规则!$A$13:$A$32,0),7),""))</f>
        <v/>
      </c>
      <c r="N4243" s="66" t="str">
        <f aca="false">IF($L4243="","",IFERROR(INDEX(记账规则!$A$13:$H$32,MATCH(资金流水!$E524,记账规则!$A$13:$A$32,0),8),""))</f>
        <v/>
      </c>
      <c r="O4243" s="67" t="n">
        <f aca="false">IF($H4243="",0,ROUND(IF($N4243="金额",N(资金流水!$P524),0),2))</f>
        <v>0</v>
      </c>
      <c r="P4243" s="64" t="str">
        <f aca="false">IF(AND($H4243&lt;&gt;"",ROUND($O4243,2)&lt;&gt;0),"有","")</f>
        <v/>
      </c>
    </row>
    <row r="4244" customFormat="false" ht="15" hidden="true" customHeight="false" outlineLevel="0" collapsed="false">
      <c r="A4244" s="53" t="str">
        <f aca="false">IF($H4244="","",ROW()-5)</f>
        <v/>
      </c>
      <c r="B4244" s="64" t="s">
        <v>37</v>
      </c>
      <c r="C4244" s="53" t="n">
        <v>525</v>
      </c>
      <c r="D4244" s="53" t="n">
        <v>1</v>
      </c>
      <c r="E4244" s="65" t="str">
        <f aca="false">IF($H4244="","",资金流水!$B525)</f>
        <v/>
      </c>
      <c r="F4244" s="55" t="str">
        <f aca="false">IF($H4244="","",资金流水!$C525)</f>
        <v/>
      </c>
      <c r="G4244" s="48" t="str">
        <f aca="false">IF($H4244="","",资金流水!$K525)</f>
        <v/>
      </c>
      <c r="H4244" s="10" t="str">
        <f aca="false">IF($L4244="","",IF($L4244="@对方",资金流水!$G525,IF($L4244="@账户",资金流水!$Q525,$L4244)))</f>
        <v/>
      </c>
      <c r="I4244" s="42" t="n">
        <f aca="false">IF($M4244="借",$O4244,0)</f>
        <v>0</v>
      </c>
      <c r="J4244" s="42" t="n">
        <f aca="false">IF($M4244="贷",$O4244,0)</f>
        <v>0</v>
      </c>
      <c r="K4244" s="48" t="str">
        <f aca="false">IF($H4244="","",资金流水!$F525)</f>
        <v/>
      </c>
      <c r="L4244" s="66" t="str">
        <f aca="false">IF(资金流水!$E525="","",IFERROR(INDEX(记账规则!$A$13:$H$32,MATCH(资金流水!$E525,记账规则!$A$13:$A$32,0),3),""))</f>
        <v/>
      </c>
      <c r="M4244" s="66" t="str">
        <f aca="false">IF($L4244="","",IFERROR(INDEX(记账规则!$A$13:$H$32,MATCH(资金流水!$E525,记账规则!$A$13:$A$32,0),4),""))</f>
        <v/>
      </c>
      <c r="N4244" s="66" t="str">
        <f aca="false">IF($L4244="","",IFERROR(INDEX(记账规则!$A$13:$H$32,MATCH(资金流水!$E525,记账规则!$A$13:$A$32,0),5),""))</f>
        <v/>
      </c>
      <c r="O4244" s="67" t="n">
        <f aca="false">IF($H4244="",0,ROUND(IF($N4244="金额",N(资金流水!$P525),0),2))</f>
        <v>0</v>
      </c>
      <c r="P4244" s="64" t="str">
        <f aca="false">IF(AND($H4244&lt;&gt;"",ROUND($O4244,2)&lt;&gt;0),"有","")</f>
        <v/>
      </c>
    </row>
    <row r="4245" customFormat="false" ht="15" hidden="true" customHeight="false" outlineLevel="0" collapsed="false">
      <c r="A4245" s="53" t="str">
        <f aca="false">IF($H4245="","",ROW()-5)</f>
        <v/>
      </c>
      <c r="B4245" s="64" t="s">
        <v>37</v>
      </c>
      <c r="C4245" s="53" t="n">
        <v>525</v>
      </c>
      <c r="D4245" s="53" t="n">
        <v>2</v>
      </c>
      <c r="E4245" s="65" t="str">
        <f aca="false">IF($H4245="","",资金流水!$B525)</f>
        <v/>
      </c>
      <c r="F4245" s="55" t="str">
        <f aca="false">IF($H4245="","",资金流水!$C525)</f>
        <v/>
      </c>
      <c r="G4245" s="48" t="str">
        <f aca="false">IF($H4245="","",资金流水!$K525)</f>
        <v/>
      </c>
      <c r="H4245" s="10" t="str">
        <f aca="false">IF($L4245="","",IF($L4245="@对方",资金流水!$G525,IF($L4245="@账户",资金流水!$Q525,$L4245)))</f>
        <v/>
      </c>
      <c r="I4245" s="42" t="n">
        <f aca="false">IF($M4245="借",$O4245,0)</f>
        <v>0</v>
      </c>
      <c r="J4245" s="42" t="n">
        <f aca="false">IF($M4245="贷",$O4245,0)</f>
        <v>0</v>
      </c>
      <c r="K4245" s="48" t="str">
        <f aca="false">IF($H4245="","",资金流水!$F525)</f>
        <v/>
      </c>
      <c r="L4245" s="66" t="str">
        <f aca="false">IF(资金流水!$E525="","",IFERROR(INDEX(记账规则!$A$13:$H$32,MATCH(资金流水!$E525,记账规则!$A$13:$A$32,0),6),""))</f>
        <v/>
      </c>
      <c r="M4245" s="66" t="str">
        <f aca="false">IF($L4245="","",IFERROR(INDEX(记账规则!$A$13:$H$32,MATCH(资金流水!$E525,记账规则!$A$13:$A$32,0),7),""))</f>
        <v/>
      </c>
      <c r="N4245" s="66" t="str">
        <f aca="false">IF($L4245="","",IFERROR(INDEX(记账规则!$A$13:$H$32,MATCH(资金流水!$E525,记账规则!$A$13:$A$32,0),8),""))</f>
        <v/>
      </c>
      <c r="O4245" s="67" t="n">
        <f aca="false">IF($H4245="",0,ROUND(IF($N4245="金额",N(资金流水!$P525),0),2))</f>
        <v>0</v>
      </c>
      <c r="P4245" s="64" t="str">
        <f aca="false">IF(AND($H4245&lt;&gt;"",ROUND($O4245,2)&lt;&gt;0),"有","")</f>
        <v/>
      </c>
    </row>
    <row r="4246" customFormat="false" ht="15" hidden="true" customHeight="false" outlineLevel="0" collapsed="false">
      <c r="A4246" s="53" t="str">
        <f aca="false">IF($H4246="","",ROW()-5)</f>
        <v/>
      </c>
      <c r="B4246" s="64" t="s">
        <v>37</v>
      </c>
      <c r="C4246" s="53" t="n">
        <v>526</v>
      </c>
      <c r="D4246" s="53" t="n">
        <v>1</v>
      </c>
      <c r="E4246" s="65" t="str">
        <f aca="false">IF($H4246="","",资金流水!$B526)</f>
        <v/>
      </c>
      <c r="F4246" s="55" t="str">
        <f aca="false">IF($H4246="","",资金流水!$C526)</f>
        <v/>
      </c>
      <c r="G4246" s="48" t="str">
        <f aca="false">IF($H4246="","",资金流水!$K526)</f>
        <v/>
      </c>
      <c r="H4246" s="10" t="str">
        <f aca="false">IF($L4246="","",IF($L4246="@对方",资金流水!$G526,IF($L4246="@账户",资金流水!$Q526,$L4246)))</f>
        <v/>
      </c>
      <c r="I4246" s="42" t="n">
        <f aca="false">IF($M4246="借",$O4246,0)</f>
        <v>0</v>
      </c>
      <c r="J4246" s="42" t="n">
        <f aca="false">IF($M4246="贷",$O4246,0)</f>
        <v>0</v>
      </c>
      <c r="K4246" s="48" t="str">
        <f aca="false">IF($H4246="","",资金流水!$F526)</f>
        <v/>
      </c>
      <c r="L4246" s="66" t="str">
        <f aca="false">IF(资金流水!$E526="","",IFERROR(INDEX(记账规则!$A$13:$H$32,MATCH(资金流水!$E526,记账规则!$A$13:$A$32,0),3),""))</f>
        <v/>
      </c>
      <c r="M4246" s="66" t="str">
        <f aca="false">IF($L4246="","",IFERROR(INDEX(记账规则!$A$13:$H$32,MATCH(资金流水!$E526,记账规则!$A$13:$A$32,0),4),""))</f>
        <v/>
      </c>
      <c r="N4246" s="66" t="str">
        <f aca="false">IF($L4246="","",IFERROR(INDEX(记账规则!$A$13:$H$32,MATCH(资金流水!$E526,记账规则!$A$13:$A$32,0),5),""))</f>
        <v/>
      </c>
      <c r="O4246" s="67" t="n">
        <f aca="false">IF($H4246="",0,ROUND(IF($N4246="金额",N(资金流水!$P526),0),2))</f>
        <v>0</v>
      </c>
      <c r="P4246" s="64" t="str">
        <f aca="false">IF(AND($H4246&lt;&gt;"",ROUND($O4246,2)&lt;&gt;0),"有","")</f>
        <v/>
      </c>
    </row>
    <row r="4247" customFormat="false" ht="15" hidden="true" customHeight="false" outlineLevel="0" collapsed="false">
      <c r="A4247" s="53" t="str">
        <f aca="false">IF($H4247="","",ROW()-5)</f>
        <v/>
      </c>
      <c r="B4247" s="64" t="s">
        <v>37</v>
      </c>
      <c r="C4247" s="53" t="n">
        <v>526</v>
      </c>
      <c r="D4247" s="53" t="n">
        <v>2</v>
      </c>
      <c r="E4247" s="65" t="str">
        <f aca="false">IF($H4247="","",资金流水!$B526)</f>
        <v/>
      </c>
      <c r="F4247" s="55" t="str">
        <f aca="false">IF($H4247="","",资金流水!$C526)</f>
        <v/>
      </c>
      <c r="G4247" s="48" t="str">
        <f aca="false">IF($H4247="","",资金流水!$K526)</f>
        <v/>
      </c>
      <c r="H4247" s="10" t="str">
        <f aca="false">IF($L4247="","",IF($L4247="@对方",资金流水!$G526,IF($L4247="@账户",资金流水!$Q526,$L4247)))</f>
        <v/>
      </c>
      <c r="I4247" s="42" t="n">
        <f aca="false">IF($M4247="借",$O4247,0)</f>
        <v>0</v>
      </c>
      <c r="J4247" s="42" t="n">
        <f aca="false">IF($M4247="贷",$O4247,0)</f>
        <v>0</v>
      </c>
      <c r="K4247" s="48" t="str">
        <f aca="false">IF($H4247="","",资金流水!$F526)</f>
        <v/>
      </c>
      <c r="L4247" s="66" t="str">
        <f aca="false">IF(资金流水!$E526="","",IFERROR(INDEX(记账规则!$A$13:$H$32,MATCH(资金流水!$E526,记账规则!$A$13:$A$32,0),6),""))</f>
        <v/>
      </c>
      <c r="M4247" s="66" t="str">
        <f aca="false">IF($L4247="","",IFERROR(INDEX(记账规则!$A$13:$H$32,MATCH(资金流水!$E526,记账规则!$A$13:$A$32,0),7),""))</f>
        <v/>
      </c>
      <c r="N4247" s="66" t="str">
        <f aca="false">IF($L4247="","",IFERROR(INDEX(记账规则!$A$13:$H$32,MATCH(资金流水!$E526,记账规则!$A$13:$A$32,0),8),""))</f>
        <v/>
      </c>
      <c r="O4247" s="67" t="n">
        <f aca="false">IF($H4247="",0,ROUND(IF($N4247="金额",N(资金流水!$P526),0),2))</f>
        <v>0</v>
      </c>
      <c r="P4247" s="64" t="str">
        <f aca="false">IF(AND($H4247&lt;&gt;"",ROUND($O4247,2)&lt;&gt;0),"有","")</f>
        <v/>
      </c>
    </row>
    <row r="4248" customFormat="false" ht="15" hidden="true" customHeight="false" outlineLevel="0" collapsed="false">
      <c r="A4248" s="53" t="str">
        <f aca="false">IF($H4248="","",ROW()-5)</f>
        <v/>
      </c>
      <c r="B4248" s="64" t="s">
        <v>37</v>
      </c>
      <c r="C4248" s="53" t="n">
        <v>527</v>
      </c>
      <c r="D4248" s="53" t="n">
        <v>1</v>
      </c>
      <c r="E4248" s="65" t="str">
        <f aca="false">IF($H4248="","",资金流水!$B527)</f>
        <v/>
      </c>
      <c r="F4248" s="55" t="str">
        <f aca="false">IF($H4248="","",资金流水!$C527)</f>
        <v/>
      </c>
      <c r="G4248" s="48" t="str">
        <f aca="false">IF($H4248="","",资金流水!$K527)</f>
        <v/>
      </c>
      <c r="H4248" s="10" t="str">
        <f aca="false">IF($L4248="","",IF($L4248="@对方",资金流水!$G527,IF($L4248="@账户",资金流水!$Q527,$L4248)))</f>
        <v/>
      </c>
      <c r="I4248" s="42" t="n">
        <f aca="false">IF($M4248="借",$O4248,0)</f>
        <v>0</v>
      </c>
      <c r="J4248" s="42" t="n">
        <f aca="false">IF($M4248="贷",$O4248,0)</f>
        <v>0</v>
      </c>
      <c r="K4248" s="48" t="str">
        <f aca="false">IF($H4248="","",资金流水!$F527)</f>
        <v/>
      </c>
      <c r="L4248" s="66" t="str">
        <f aca="false">IF(资金流水!$E527="","",IFERROR(INDEX(记账规则!$A$13:$H$32,MATCH(资金流水!$E527,记账规则!$A$13:$A$32,0),3),""))</f>
        <v/>
      </c>
      <c r="M4248" s="66" t="str">
        <f aca="false">IF($L4248="","",IFERROR(INDEX(记账规则!$A$13:$H$32,MATCH(资金流水!$E527,记账规则!$A$13:$A$32,0),4),""))</f>
        <v/>
      </c>
      <c r="N4248" s="66" t="str">
        <f aca="false">IF($L4248="","",IFERROR(INDEX(记账规则!$A$13:$H$32,MATCH(资金流水!$E527,记账规则!$A$13:$A$32,0),5),""))</f>
        <v/>
      </c>
      <c r="O4248" s="67" t="n">
        <f aca="false">IF($H4248="",0,ROUND(IF($N4248="金额",N(资金流水!$P527),0),2))</f>
        <v>0</v>
      </c>
      <c r="P4248" s="64" t="str">
        <f aca="false">IF(AND($H4248&lt;&gt;"",ROUND($O4248,2)&lt;&gt;0),"有","")</f>
        <v/>
      </c>
    </row>
    <row r="4249" customFormat="false" ht="15" hidden="true" customHeight="false" outlineLevel="0" collapsed="false">
      <c r="A4249" s="53" t="str">
        <f aca="false">IF($H4249="","",ROW()-5)</f>
        <v/>
      </c>
      <c r="B4249" s="64" t="s">
        <v>37</v>
      </c>
      <c r="C4249" s="53" t="n">
        <v>527</v>
      </c>
      <c r="D4249" s="53" t="n">
        <v>2</v>
      </c>
      <c r="E4249" s="65" t="str">
        <f aca="false">IF($H4249="","",资金流水!$B527)</f>
        <v/>
      </c>
      <c r="F4249" s="55" t="str">
        <f aca="false">IF($H4249="","",资金流水!$C527)</f>
        <v/>
      </c>
      <c r="G4249" s="48" t="str">
        <f aca="false">IF($H4249="","",资金流水!$K527)</f>
        <v/>
      </c>
      <c r="H4249" s="10" t="str">
        <f aca="false">IF($L4249="","",IF($L4249="@对方",资金流水!$G527,IF($L4249="@账户",资金流水!$Q527,$L4249)))</f>
        <v/>
      </c>
      <c r="I4249" s="42" t="n">
        <f aca="false">IF($M4249="借",$O4249,0)</f>
        <v>0</v>
      </c>
      <c r="J4249" s="42" t="n">
        <f aca="false">IF($M4249="贷",$O4249,0)</f>
        <v>0</v>
      </c>
      <c r="K4249" s="48" t="str">
        <f aca="false">IF($H4249="","",资金流水!$F527)</f>
        <v/>
      </c>
      <c r="L4249" s="66" t="str">
        <f aca="false">IF(资金流水!$E527="","",IFERROR(INDEX(记账规则!$A$13:$H$32,MATCH(资金流水!$E527,记账规则!$A$13:$A$32,0),6),""))</f>
        <v/>
      </c>
      <c r="M4249" s="66" t="str">
        <f aca="false">IF($L4249="","",IFERROR(INDEX(记账规则!$A$13:$H$32,MATCH(资金流水!$E527,记账规则!$A$13:$A$32,0),7),""))</f>
        <v/>
      </c>
      <c r="N4249" s="66" t="str">
        <f aca="false">IF($L4249="","",IFERROR(INDEX(记账规则!$A$13:$H$32,MATCH(资金流水!$E527,记账规则!$A$13:$A$32,0),8),""))</f>
        <v/>
      </c>
      <c r="O4249" s="67" t="n">
        <f aca="false">IF($H4249="",0,ROUND(IF($N4249="金额",N(资金流水!$P527),0),2))</f>
        <v>0</v>
      </c>
      <c r="P4249" s="64" t="str">
        <f aca="false">IF(AND($H4249&lt;&gt;"",ROUND($O4249,2)&lt;&gt;0),"有","")</f>
        <v/>
      </c>
    </row>
    <row r="4250" customFormat="false" ht="15" hidden="true" customHeight="false" outlineLevel="0" collapsed="false">
      <c r="A4250" s="53" t="str">
        <f aca="false">IF($H4250="","",ROW()-5)</f>
        <v/>
      </c>
      <c r="B4250" s="64" t="s">
        <v>37</v>
      </c>
      <c r="C4250" s="53" t="n">
        <v>528</v>
      </c>
      <c r="D4250" s="53" t="n">
        <v>1</v>
      </c>
      <c r="E4250" s="65" t="str">
        <f aca="false">IF($H4250="","",资金流水!$B528)</f>
        <v/>
      </c>
      <c r="F4250" s="55" t="str">
        <f aca="false">IF($H4250="","",资金流水!$C528)</f>
        <v/>
      </c>
      <c r="G4250" s="48" t="str">
        <f aca="false">IF($H4250="","",资金流水!$K528)</f>
        <v/>
      </c>
      <c r="H4250" s="10" t="str">
        <f aca="false">IF($L4250="","",IF($L4250="@对方",资金流水!$G528,IF($L4250="@账户",资金流水!$Q528,$L4250)))</f>
        <v/>
      </c>
      <c r="I4250" s="42" t="n">
        <f aca="false">IF($M4250="借",$O4250,0)</f>
        <v>0</v>
      </c>
      <c r="J4250" s="42" t="n">
        <f aca="false">IF($M4250="贷",$O4250,0)</f>
        <v>0</v>
      </c>
      <c r="K4250" s="48" t="str">
        <f aca="false">IF($H4250="","",资金流水!$F528)</f>
        <v/>
      </c>
      <c r="L4250" s="66" t="str">
        <f aca="false">IF(资金流水!$E528="","",IFERROR(INDEX(记账规则!$A$13:$H$32,MATCH(资金流水!$E528,记账规则!$A$13:$A$32,0),3),""))</f>
        <v/>
      </c>
      <c r="M4250" s="66" t="str">
        <f aca="false">IF($L4250="","",IFERROR(INDEX(记账规则!$A$13:$H$32,MATCH(资金流水!$E528,记账规则!$A$13:$A$32,0),4),""))</f>
        <v/>
      </c>
      <c r="N4250" s="66" t="str">
        <f aca="false">IF($L4250="","",IFERROR(INDEX(记账规则!$A$13:$H$32,MATCH(资金流水!$E528,记账规则!$A$13:$A$32,0),5),""))</f>
        <v/>
      </c>
      <c r="O4250" s="67" t="n">
        <f aca="false">IF($H4250="",0,ROUND(IF($N4250="金额",N(资金流水!$P528),0),2))</f>
        <v>0</v>
      </c>
      <c r="P4250" s="64" t="str">
        <f aca="false">IF(AND($H4250&lt;&gt;"",ROUND($O4250,2)&lt;&gt;0),"有","")</f>
        <v/>
      </c>
    </row>
    <row r="4251" customFormat="false" ht="15" hidden="true" customHeight="false" outlineLevel="0" collapsed="false">
      <c r="A4251" s="53" t="str">
        <f aca="false">IF($H4251="","",ROW()-5)</f>
        <v/>
      </c>
      <c r="B4251" s="64" t="s">
        <v>37</v>
      </c>
      <c r="C4251" s="53" t="n">
        <v>528</v>
      </c>
      <c r="D4251" s="53" t="n">
        <v>2</v>
      </c>
      <c r="E4251" s="65" t="str">
        <f aca="false">IF($H4251="","",资金流水!$B528)</f>
        <v/>
      </c>
      <c r="F4251" s="55" t="str">
        <f aca="false">IF($H4251="","",资金流水!$C528)</f>
        <v/>
      </c>
      <c r="G4251" s="48" t="str">
        <f aca="false">IF($H4251="","",资金流水!$K528)</f>
        <v/>
      </c>
      <c r="H4251" s="10" t="str">
        <f aca="false">IF($L4251="","",IF($L4251="@对方",资金流水!$G528,IF($L4251="@账户",资金流水!$Q528,$L4251)))</f>
        <v/>
      </c>
      <c r="I4251" s="42" t="n">
        <f aca="false">IF($M4251="借",$O4251,0)</f>
        <v>0</v>
      </c>
      <c r="J4251" s="42" t="n">
        <f aca="false">IF($M4251="贷",$O4251,0)</f>
        <v>0</v>
      </c>
      <c r="K4251" s="48" t="str">
        <f aca="false">IF($H4251="","",资金流水!$F528)</f>
        <v/>
      </c>
      <c r="L4251" s="66" t="str">
        <f aca="false">IF(资金流水!$E528="","",IFERROR(INDEX(记账规则!$A$13:$H$32,MATCH(资金流水!$E528,记账规则!$A$13:$A$32,0),6),""))</f>
        <v/>
      </c>
      <c r="M4251" s="66" t="str">
        <f aca="false">IF($L4251="","",IFERROR(INDEX(记账规则!$A$13:$H$32,MATCH(资金流水!$E528,记账规则!$A$13:$A$32,0),7),""))</f>
        <v/>
      </c>
      <c r="N4251" s="66" t="str">
        <f aca="false">IF($L4251="","",IFERROR(INDEX(记账规则!$A$13:$H$32,MATCH(资金流水!$E528,记账规则!$A$13:$A$32,0),8),""))</f>
        <v/>
      </c>
      <c r="O4251" s="67" t="n">
        <f aca="false">IF($H4251="",0,ROUND(IF($N4251="金额",N(资金流水!$P528),0),2))</f>
        <v>0</v>
      </c>
      <c r="P4251" s="64" t="str">
        <f aca="false">IF(AND($H4251&lt;&gt;"",ROUND($O4251,2)&lt;&gt;0),"有","")</f>
        <v/>
      </c>
    </row>
    <row r="4252" customFormat="false" ht="15" hidden="true" customHeight="false" outlineLevel="0" collapsed="false">
      <c r="A4252" s="53" t="str">
        <f aca="false">IF($H4252="","",ROW()-5)</f>
        <v/>
      </c>
      <c r="B4252" s="64" t="s">
        <v>37</v>
      </c>
      <c r="C4252" s="53" t="n">
        <v>529</v>
      </c>
      <c r="D4252" s="53" t="n">
        <v>1</v>
      </c>
      <c r="E4252" s="65" t="str">
        <f aca="false">IF($H4252="","",资金流水!$B529)</f>
        <v/>
      </c>
      <c r="F4252" s="55" t="str">
        <f aca="false">IF($H4252="","",资金流水!$C529)</f>
        <v/>
      </c>
      <c r="G4252" s="48" t="str">
        <f aca="false">IF($H4252="","",资金流水!$K529)</f>
        <v/>
      </c>
      <c r="H4252" s="10" t="str">
        <f aca="false">IF($L4252="","",IF($L4252="@对方",资金流水!$G529,IF($L4252="@账户",资金流水!$Q529,$L4252)))</f>
        <v/>
      </c>
      <c r="I4252" s="42" t="n">
        <f aca="false">IF($M4252="借",$O4252,0)</f>
        <v>0</v>
      </c>
      <c r="J4252" s="42" t="n">
        <f aca="false">IF($M4252="贷",$O4252,0)</f>
        <v>0</v>
      </c>
      <c r="K4252" s="48" t="str">
        <f aca="false">IF($H4252="","",资金流水!$F529)</f>
        <v/>
      </c>
      <c r="L4252" s="66" t="str">
        <f aca="false">IF(资金流水!$E529="","",IFERROR(INDEX(记账规则!$A$13:$H$32,MATCH(资金流水!$E529,记账规则!$A$13:$A$32,0),3),""))</f>
        <v/>
      </c>
      <c r="M4252" s="66" t="str">
        <f aca="false">IF($L4252="","",IFERROR(INDEX(记账规则!$A$13:$H$32,MATCH(资金流水!$E529,记账规则!$A$13:$A$32,0),4),""))</f>
        <v/>
      </c>
      <c r="N4252" s="66" t="str">
        <f aca="false">IF($L4252="","",IFERROR(INDEX(记账规则!$A$13:$H$32,MATCH(资金流水!$E529,记账规则!$A$13:$A$32,0),5),""))</f>
        <v/>
      </c>
      <c r="O4252" s="67" t="n">
        <f aca="false">IF($H4252="",0,ROUND(IF($N4252="金额",N(资金流水!$P529),0),2))</f>
        <v>0</v>
      </c>
      <c r="P4252" s="64" t="str">
        <f aca="false">IF(AND($H4252&lt;&gt;"",ROUND($O4252,2)&lt;&gt;0),"有","")</f>
        <v/>
      </c>
    </row>
    <row r="4253" customFormat="false" ht="15" hidden="true" customHeight="false" outlineLevel="0" collapsed="false">
      <c r="A4253" s="53" t="str">
        <f aca="false">IF($H4253="","",ROW()-5)</f>
        <v/>
      </c>
      <c r="B4253" s="64" t="s">
        <v>37</v>
      </c>
      <c r="C4253" s="53" t="n">
        <v>529</v>
      </c>
      <c r="D4253" s="53" t="n">
        <v>2</v>
      </c>
      <c r="E4253" s="65" t="str">
        <f aca="false">IF($H4253="","",资金流水!$B529)</f>
        <v/>
      </c>
      <c r="F4253" s="55" t="str">
        <f aca="false">IF($H4253="","",资金流水!$C529)</f>
        <v/>
      </c>
      <c r="G4253" s="48" t="str">
        <f aca="false">IF($H4253="","",资金流水!$K529)</f>
        <v/>
      </c>
      <c r="H4253" s="10" t="str">
        <f aca="false">IF($L4253="","",IF($L4253="@对方",资金流水!$G529,IF($L4253="@账户",资金流水!$Q529,$L4253)))</f>
        <v/>
      </c>
      <c r="I4253" s="42" t="n">
        <f aca="false">IF($M4253="借",$O4253,0)</f>
        <v>0</v>
      </c>
      <c r="J4253" s="42" t="n">
        <f aca="false">IF($M4253="贷",$O4253,0)</f>
        <v>0</v>
      </c>
      <c r="K4253" s="48" t="str">
        <f aca="false">IF($H4253="","",资金流水!$F529)</f>
        <v/>
      </c>
      <c r="L4253" s="66" t="str">
        <f aca="false">IF(资金流水!$E529="","",IFERROR(INDEX(记账规则!$A$13:$H$32,MATCH(资金流水!$E529,记账规则!$A$13:$A$32,0),6),""))</f>
        <v/>
      </c>
      <c r="M4253" s="66" t="str">
        <f aca="false">IF($L4253="","",IFERROR(INDEX(记账规则!$A$13:$H$32,MATCH(资金流水!$E529,记账规则!$A$13:$A$32,0),7),""))</f>
        <v/>
      </c>
      <c r="N4253" s="66" t="str">
        <f aca="false">IF($L4253="","",IFERROR(INDEX(记账规则!$A$13:$H$32,MATCH(资金流水!$E529,记账规则!$A$13:$A$32,0),8),""))</f>
        <v/>
      </c>
      <c r="O4253" s="67" t="n">
        <f aca="false">IF($H4253="",0,ROUND(IF($N4253="金额",N(资金流水!$P529),0),2))</f>
        <v>0</v>
      </c>
      <c r="P4253" s="64" t="str">
        <f aca="false">IF(AND($H4253&lt;&gt;"",ROUND($O4253,2)&lt;&gt;0),"有","")</f>
        <v/>
      </c>
    </row>
    <row r="4254" customFormat="false" ht="15" hidden="true" customHeight="false" outlineLevel="0" collapsed="false">
      <c r="A4254" s="53" t="str">
        <f aca="false">IF($H4254="","",ROW()-5)</f>
        <v/>
      </c>
      <c r="B4254" s="64" t="s">
        <v>37</v>
      </c>
      <c r="C4254" s="53" t="n">
        <v>530</v>
      </c>
      <c r="D4254" s="53" t="n">
        <v>1</v>
      </c>
      <c r="E4254" s="65" t="str">
        <f aca="false">IF($H4254="","",资金流水!$B530)</f>
        <v/>
      </c>
      <c r="F4254" s="55" t="str">
        <f aca="false">IF($H4254="","",资金流水!$C530)</f>
        <v/>
      </c>
      <c r="G4254" s="48" t="str">
        <f aca="false">IF($H4254="","",资金流水!$K530)</f>
        <v/>
      </c>
      <c r="H4254" s="10" t="str">
        <f aca="false">IF($L4254="","",IF($L4254="@对方",资金流水!$G530,IF($L4254="@账户",资金流水!$Q530,$L4254)))</f>
        <v/>
      </c>
      <c r="I4254" s="42" t="n">
        <f aca="false">IF($M4254="借",$O4254,0)</f>
        <v>0</v>
      </c>
      <c r="J4254" s="42" t="n">
        <f aca="false">IF($M4254="贷",$O4254,0)</f>
        <v>0</v>
      </c>
      <c r="K4254" s="48" t="str">
        <f aca="false">IF($H4254="","",资金流水!$F530)</f>
        <v/>
      </c>
      <c r="L4254" s="66" t="str">
        <f aca="false">IF(资金流水!$E530="","",IFERROR(INDEX(记账规则!$A$13:$H$32,MATCH(资金流水!$E530,记账规则!$A$13:$A$32,0),3),""))</f>
        <v/>
      </c>
      <c r="M4254" s="66" t="str">
        <f aca="false">IF($L4254="","",IFERROR(INDEX(记账规则!$A$13:$H$32,MATCH(资金流水!$E530,记账规则!$A$13:$A$32,0),4),""))</f>
        <v/>
      </c>
      <c r="N4254" s="66" t="str">
        <f aca="false">IF($L4254="","",IFERROR(INDEX(记账规则!$A$13:$H$32,MATCH(资金流水!$E530,记账规则!$A$13:$A$32,0),5),""))</f>
        <v/>
      </c>
      <c r="O4254" s="67" t="n">
        <f aca="false">IF($H4254="",0,ROUND(IF($N4254="金额",N(资金流水!$P530),0),2))</f>
        <v>0</v>
      </c>
      <c r="P4254" s="64" t="str">
        <f aca="false">IF(AND($H4254&lt;&gt;"",ROUND($O4254,2)&lt;&gt;0),"有","")</f>
        <v/>
      </c>
    </row>
    <row r="4255" customFormat="false" ht="15" hidden="true" customHeight="false" outlineLevel="0" collapsed="false">
      <c r="A4255" s="53" t="str">
        <f aca="false">IF($H4255="","",ROW()-5)</f>
        <v/>
      </c>
      <c r="B4255" s="64" t="s">
        <v>37</v>
      </c>
      <c r="C4255" s="53" t="n">
        <v>530</v>
      </c>
      <c r="D4255" s="53" t="n">
        <v>2</v>
      </c>
      <c r="E4255" s="65" t="str">
        <f aca="false">IF($H4255="","",资金流水!$B530)</f>
        <v/>
      </c>
      <c r="F4255" s="55" t="str">
        <f aca="false">IF($H4255="","",资金流水!$C530)</f>
        <v/>
      </c>
      <c r="G4255" s="48" t="str">
        <f aca="false">IF($H4255="","",资金流水!$K530)</f>
        <v/>
      </c>
      <c r="H4255" s="10" t="str">
        <f aca="false">IF($L4255="","",IF($L4255="@对方",资金流水!$G530,IF($L4255="@账户",资金流水!$Q530,$L4255)))</f>
        <v/>
      </c>
      <c r="I4255" s="42" t="n">
        <f aca="false">IF($M4255="借",$O4255,0)</f>
        <v>0</v>
      </c>
      <c r="J4255" s="42" t="n">
        <f aca="false">IF($M4255="贷",$O4255,0)</f>
        <v>0</v>
      </c>
      <c r="K4255" s="48" t="str">
        <f aca="false">IF($H4255="","",资金流水!$F530)</f>
        <v/>
      </c>
      <c r="L4255" s="66" t="str">
        <f aca="false">IF(资金流水!$E530="","",IFERROR(INDEX(记账规则!$A$13:$H$32,MATCH(资金流水!$E530,记账规则!$A$13:$A$32,0),6),""))</f>
        <v/>
      </c>
      <c r="M4255" s="66" t="str">
        <f aca="false">IF($L4255="","",IFERROR(INDEX(记账规则!$A$13:$H$32,MATCH(资金流水!$E530,记账规则!$A$13:$A$32,0),7),""))</f>
        <v/>
      </c>
      <c r="N4255" s="66" t="str">
        <f aca="false">IF($L4255="","",IFERROR(INDEX(记账规则!$A$13:$H$32,MATCH(资金流水!$E530,记账规则!$A$13:$A$32,0),8),""))</f>
        <v/>
      </c>
      <c r="O4255" s="67" t="n">
        <f aca="false">IF($H4255="",0,ROUND(IF($N4255="金额",N(资金流水!$P530),0),2))</f>
        <v>0</v>
      </c>
      <c r="P4255" s="64" t="str">
        <f aca="false">IF(AND($H4255&lt;&gt;"",ROUND($O4255,2)&lt;&gt;0),"有","")</f>
        <v/>
      </c>
    </row>
    <row r="4256" customFormat="false" ht="15" hidden="true" customHeight="false" outlineLevel="0" collapsed="false">
      <c r="A4256" s="53" t="str">
        <f aca="false">IF($H4256="","",ROW()-5)</f>
        <v/>
      </c>
      <c r="B4256" s="64" t="s">
        <v>37</v>
      </c>
      <c r="C4256" s="53" t="n">
        <v>531</v>
      </c>
      <c r="D4256" s="53" t="n">
        <v>1</v>
      </c>
      <c r="E4256" s="65" t="str">
        <f aca="false">IF($H4256="","",资金流水!$B531)</f>
        <v/>
      </c>
      <c r="F4256" s="55" t="str">
        <f aca="false">IF($H4256="","",资金流水!$C531)</f>
        <v/>
      </c>
      <c r="G4256" s="48" t="str">
        <f aca="false">IF($H4256="","",资金流水!$K531)</f>
        <v/>
      </c>
      <c r="H4256" s="10" t="str">
        <f aca="false">IF($L4256="","",IF($L4256="@对方",资金流水!$G531,IF($L4256="@账户",资金流水!$Q531,$L4256)))</f>
        <v/>
      </c>
      <c r="I4256" s="42" t="n">
        <f aca="false">IF($M4256="借",$O4256,0)</f>
        <v>0</v>
      </c>
      <c r="J4256" s="42" t="n">
        <f aca="false">IF($M4256="贷",$O4256,0)</f>
        <v>0</v>
      </c>
      <c r="K4256" s="48" t="str">
        <f aca="false">IF($H4256="","",资金流水!$F531)</f>
        <v/>
      </c>
      <c r="L4256" s="66" t="str">
        <f aca="false">IF(资金流水!$E531="","",IFERROR(INDEX(记账规则!$A$13:$H$32,MATCH(资金流水!$E531,记账规则!$A$13:$A$32,0),3),""))</f>
        <v/>
      </c>
      <c r="M4256" s="66" t="str">
        <f aca="false">IF($L4256="","",IFERROR(INDEX(记账规则!$A$13:$H$32,MATCH(资金流水!$E531,记账规则!$A$13:$A$32,0),4),""))</f>
        <v/>
      </c>
      <c r="N4256" s="66" t="str">
        <f aca="false">IF($L4256="","",IFERROR(INDEX(记账规则!$A$13:$H$32,MATCH(资金流水!$E531,记账规则!$A$13:$A$32,0),5),""))</f>
        <v/>
      </c>
      <c r="O4256" s="67" t="n">
        <f aca="false">IF($H4256="",0,ROUND(IF($N4256="金额",N(资金流水!$P531),0),2))</f>
        <v>0</v>
      </c>
      <c r="P4256" s="64" t="str">
        <f aca="false">IF(AND($H4256&lt;&gt;"",ROUND($O4256,2)&lt;&gt;0),"有","")</f>
        <v/>
      </c>
    </row>
    <row r="4257" customFormat="false" ht="15" hidden="true" customHeight="false" outlineLevel="0" collapsed="false">
      <c r="A4257" s="53" t="str">
        <f aca="false">IF($H4257="","",ROW()-5)</f>
        <v/>
      </c>
      <c r="B4257" s="64" t="s">
        <v>37</v>
      </c>
      <c r="C4257" s="53" t="n">
        <v>531</v>
      </c>
      <c r="D4257" s="53" t="n">
        <v>2</v>
      </c>
      <c r="E4257" s="65" t="str">
        <f aca="false">IF($H4257="","",资金流水!$B531)</f>
        <v/>
      </c>
      <c r="F4257" s="55" t="str">
        <f aca="false">IF($H4257="","",资金流水!$C531)</f>
        <v/>
      </c>
      <c r="G4257" s="48" t="str">
        <f aca="false">IF($H4257="","",资金流水!$K531)</f>
        <v/>
      </c>
      <c r="H4257" s="10" t="str">
        <f aca="false">IF($L4257="","",IF($L4257="@对方",资金流水!$G531,IF($L4257="@账户",资金流水!$Q531,$L4257)))</f>
        <v/>
      </c>
      <c r="I4257" s="42" t="n">
        <f aca="false">IF($M4257="借",$O4257,0)</f>
        <v>0</v>
      </c>
      <c r="J4257" s="42" t="n">
        <f aca="false">IF($M4257="贷",$O4257,0)</f>
        <v>0</v>
      </c>
      <c r="K4257" s="48" t="str">
        <f aca="false">IF($H4257="","",资金流水!$F531)</f>
        <v/>
      </c>
      <c r="L4257" s="66" t="str">
        <f aca="false">IF(资金流水!$E531="","",IFERROR(INDEX(记账规则!$A$13:$H$32,MATCH(资金流水!$E531,记账规则!$A$13:$A$32,0),6),""))</f>
        <v/>
      </c>
      <c r="M4257" s="66" t="str">
        <f aca="false">IF($L4257="","",IFERROR(INDEX(记账规则!$A$13:$H$32,MATCH(资金流水!$E531,记账规则!$A$13:$A$32,0),7),""))</f>
        <v/>
      </c>
      <c r="N4257" s="66" t="str">
        <f aca="false">IF($L4257="","",IFERROR(INDEX(记账规则!$A$13:$H$32,MATCH(资金流水!$E531,记账规则!$A$13:$A$32,0),8),""))</f>
        <v/>
      </c>
      <c r="O4257" s="67" t="n">
        <f aca="false">IF($H4257="",0,ROUND(IF($N4257="金额",N(资金流水!$P531),0),2))</f>
        <v>0</v>
      </c>
      <c r="P4257" s="64" t="str">
        <f aca="false">IF(AND($H4257&lt;&gt;"",ROUND($O4257,2)&lt;&gt;0),"有","")</f>
        <v/>
      </c>
    </row>
    <row r="4258" customFormat="false" ht="15" hidden="true" customHeight="false" outlineLevel="0" collapsed="false">
      <c r="A4258" s="53" t="str">
        <f aca="false">IF($H4258="","",ROW()-5)</f>
        <v/>
      </c>
      <c r="B4258" s="64" t="s">
        <v>37</v>
      </c>
      <c r="C4258" s="53" t="n">
        <v>532</v>
      </c>
      <c r="D4258" s="53" t="n">
        <v>1</v>
      </c>
      <c r="E4258" s="65" t="str">
        <f aca="false">IF($H4258="","",资金流水!$B532)</f>
        <v/>
      </c>
      <c r="F4258" s="55" t="str">
        <f aca="false">IF($H4258="","",资金流水!$C532)</f>
        <v/>
      </c>
      <c r="G4258" s="48" t="str">
        <f aca="false">IF($H4258="","",资金流水!$K532)</f>
        <v/>
      </c>
      <c r="H4258" s="10" t="str">
        <f aca="false">IF($L4258="","",IF($L4258="@对方",资金流水!$G532,IF($L4258="@账户",资金流水!$Q532,$L4258)))</f>
        <v/>
      </c>
      <c r="I4258" s="42" t="n">
        <f aca="false">IF($M4258="借",$O4258,0)</f>
        <v>0</v>
      </c>
      <c r="J4258" s="42" t="n">
        <f aca="false">IF($M4258="贷",$O4258,0)</f>
        <v>0</v>
      </c>
      <c r="K4258" s="48" t="str">
        <f aca="false">IF($H4258="","",资金流水!$F532)</f>
        <v/>
      </c>
      <c r="L4258" s="66" t="str">
        <f aca="false">IF(资金流水!$E532="","",IFERROR(INDEX(记账规则!$A$13:$H$32,MATCH(资金流水!$E532,记账规则!$A$13:$A$32,0),3),""))</f>
        <v/>
      </c>
      <c r="M4258" s="66" t="str">
        <f aca="false">IF($L4258="","",IFERROR(INDEX(记账规则!$A$13:$H$32,MATCH(资金流水!$E532,记账规则!$A$13:$A$32,0),4),""))</f>
        <v/>
      </c>
      <c r="N4258" s="66" t="str">
        <f aca="false">IF($L4258="","",IFERROR(INDEX(记账规则!$A$13:$H$32,MATCH(资金流水!$E532,记账规则!$A$13:$A$32,0),5),""))</f>
        <v/>
      </c>
      <c r="O4258" s="67" t="n">
        <f aca="false">IF($H4258="",0,ROUND(IF($N4258="金额",N(资金流水!$P532),0),2))</f>
        <v>0</v>
      </c>
      <c r="P4258" s="64" t="str">
        <f aca="false">IF(AND($H4258&lt;&gt;"",ROUND($O4258,2)&lt;&gt;0),"有","")</f>
        <v/>
      </c>
    </row>
    <row r="4259" customFormat="false" ht="15" hidden="true" customHeight="false" outlineLevel="0" collapsed="false">
      <c r="A4259" s="53" t="str">
        <f aca="false">IF($H4259="","",ROW()-5)</f>
        <v/>
      </c>
      <c r="B4259" s="64" t="s">
        <v>37</v>
      </c>
      <c r="C4259" s="53" t="n">
        <v>532</v>
      </c>
      <c r="D4259" s="53" t="n">
        <v>2</v>
      </c>
      <c r="E4259" s="65" t="str">
        <f aca="false">IF($H4259="","",资金流水!$B532)</f>
        <v/>
      </c>
      <c r="F4259" s="55" t="str">
        <f aca="false">IF($H4259="","",资金流水!$C532)</f>
        <v/>
      </c>
      <c r="G4259" s="48" t="str">
        <f aca="false">IF($H4259="","",资金流水!$K532)</f>
        <v/>
      </c>
      <c r="H4259" s="10" t="str">
        <f aca="false">IF($L4259="","",IF($L4259="@对方",资金流水!$G532,IF($L4259="@账户",资金流水!$Q532,$L4259)))</f>
        <v/>
      </c>
      <c r="I4259" s="42" t="n">
        <f aca="false">IF($M4259="借",$O4259,0)</f>
        <v>0</v>
      </c>
      <c r="J4259" s="42" t="n">
        <f aca="false">IF($M4259="贷",$O4259,0)</f>
        <v>0</v>
      </c>
      <c r="K4259" s="48" t="str">
        <f aca="false">IF($H4259="","",资金流水!$F532)</f>
        <v/>
      </c>
      <c r="L4259" s="66" t="str">
        <f aca="false">IF(资金流水!$E532="","",IFERROR(INDEX(记账规则!$A$13:$H$32,MATCH(资金流水!$E532,记账规则!$A$13:$A$32,0),6),""))</f>
        <v/>
      </c>
      <c r="M4259" s="66" t="str">
        <f aca="false">IF($L4259="","",IFERROR(INDEX(记账规则!$A$13:$H$32,MATCH(资金流水!$E532,记账规则!$A$13:$A$32,0),7),""))</f>
        <v/>
      </c>
      <c r="N4259" s="66" t="str">
        <f aca="false">IF($L4259="","",IFERROR(INDEX(记账规则!$A$13:$H$32,MATCH(资金流水!$E532,记账规则!$A$13:$A$32,0),8),""))</f>
        <v/>
      </c>
      <c r="O4259" s="67" t="n">
        <f aca="false">IF($H4259="",0,ROUND(IF($N4259="金额",N(资金流水!$P532),0),2))</f>
        <v>0</v>
      </c>
      <c r="P4259" s="64" t="str">
        <f aca="false">IF(AND($H4259&lt;&gt;"",ROUND($O4259,2)&lt;&gt;0),"有","")</f>
        <v/>
      </c>
    </row>
    <row r="4260" customFormat="false" ht="15" hidden="true" customHeight="false" outlineLevel="0" collapsed="false">
      <c r="A4260" s="53" t="str">
        <f aca="false">IF($H4260="","",ROW()-5)</f>
        <v/>
      </c>
      <c r="B4260" s="64" t="s">
        <v>37</v>
      </c>
      <c r="C4260" s="53" t="n">
        <v>533</v>
      </c>
      <c r="D4260" s="53" t="n">
        <v>1</v>
      </c>
      <c r="E4260" s="65" t="str">
        <f aca="false">IF($H4260="","",资金流水!$B533)</f>
        <v/>
      </c>
      <c r="F4260" s="55" t="str">
        <f aca="false">IF($H4260="","",资金流水!$C533)</f>
        <v/>
      </c>
      <c r="G4260" s="48" t="str">
        <f aca="false">IF($H4260="","",资金流水!$K533)</f>
        <v/>
      </c>
      <c r="H4260" s="10" t="str">
        <f aca="false">IF($L4260="","",IF($L4260="@对方",资金流水!$G533,IF($L4260="@账户",资金流水!$Q533,$L4260)))</f>
        <v/>
      </c>
      <c r="I4260" s="42" t="n">
        <f aca="false">IF($M4260="借",$O4260,0)</f>
        <v>0</v>
      </c>
      <c r="J4260" s="42" t="n">
        <f aca="false">IF($M4260="贷",$O4260,0)</f>
        <v>0</v>
      </c>
      <c r="K4260" s="48" t="str">
        <f aca="false">IF($H4260="","",资金流水!$F533)</f>
        <v/>
      </c>
      <c r="L4260" s="66" t="str">
        <f aca="false">IF(资金流水!$E533="","",IFERROR(INDEX(记账规则!$A$13:$H$32,MATCH(资金流水!$E533,记账规则!$A$13:$A$32,0),3),""))</f>
        <v/>
      </c>
      <c r="M4260" s="66" t="str">
        <f aca="false">IF($L4260="","",IFERROR(INDEX(记账规则!$A$13:$H$32,MATCH(资金流水!$E533,记账规则!$A$13:$A$32,0),4),""))</f>
        <v/>
      </c>
      <c r="N4260" s="66" t="str">
        <f aca="false">IF($L4260="","",IFERROR(INDEX(记账规则!$A$13:$H$32,MATCH(资金流水!$E533,记账规则!$A$13:$A$32,0),5),""))</f>
        <v/>
      </c>
      <c r="O4260" s="67" t="n">
        <f aca="false">IF($H4260="",0,ROUND(IF($N4260="金额",N(资金流水!$P533),0),2))</f>
        <v>0</v>
      </c>
      <c r="P4260" s="64" t="str">
        <f aca="false">IF(AND($H4260&lt;&gt;"",ROUND($O4260,2)&lt;&gt;0),"有","")</f>
        <v/>
      </c>
    </row>
    <row r="4261" customFormat="false" ht="15" hidden="true" customHeight="false" outlineLevel="0" collapsed="false">
      <c r="A4261" s="53" t="str">
        <f aca="false">IF($H4261="","",ROW()-5)</f>
        <v/>
      </c>
      <c r="B4261" s="64" t="s">
        <v>37</v>
      </c>
      <c r="C4261" s="53" t="n">
        <v>533</v>
      </c>
      <c r="D4261" s="53" t="n">
        <v>2</v>
      </c>
      <c r="E4261" s="65" t="str">
        <f aca="false">IF($H4261="","",资金流水!$B533)</f>
        <v/>
      </c>
      <c r="F4261" s="55" t="str">
        <f aca="false">IF($H4261="","",资金流水!$C533)</f>
        <v/>
      </c>
      <c r="G4261" s="48" t="str">
        <f aca="false">IF($H4261="","",资金流水!$K533)</f>
        <v/>
      </c>
      <c r="H4261" s="10" t="str">
        <f aca="false">IF($L4261="","",IF($L4261="@对方",资金流水!$G533,IF($L4261="@账户",资金流水!$Q533,$L4261)))</f>
        <v/>
      </c>
      <c r="I4261" s="42" t="n">
        <f aca="false">IF($M4261="借",$O4261,0)</f>
        <v>0</v>
      </c>
      <c r="J4261" s="42" t="n">
        <f aca="false">IF($M4261="贷",$O4261,0)</f>
        <v>0</v>
      </c>
      <c r="K4261" s="48" t="str">
        <f aca="false">IF($H4261="","",资金流水!$F533)</f>
        <v/>
      </c>
      <c r="L4261" s="66" t="str">
        <f aca="false">IF(资金流水!$E533="","",IFERROR(INDEX(记账规则!$A$13:$H$32,MATCH(资金流水!$E533,记账规则!$A$13:$A$32,0),6),""))</f>
        <v/>
      </c>
      <c r="M4261" s="66" t="str">
        <f aca="false">IF($L4261="","",IFERROR(INDEX(记账规则!$A$13:$H$32,MATCH(资金流水!$E533,记账规则!$A$13:$A$32,0),7),""))</f>
        <v/>
      </c>
      <c r="N4261" s="66" t="str">
        <f aca="false">IF($L4261="","",IFERROR(INDEX(记账规则!$A$13:$H$32,MATCH(资金流水!$E533,记账规则!$A$13:$A$32,0),8),""))</f>
        <v/>
      </c>
      <c r="O4261" s="67" t="n">
        <f aca="false">IF($H4261="",0,ROUND(IF($N4261="金额",N(资金流水!$P533),0),2))</f>
        <v>0</v>
      </c>
      <c r="P4261" s="64" t="str">
        <f aca="false">IF(AND($H4261&lt;&gt;"",ROUND($O4261,2)&lt;&gt;0),"有","")</f>
        <v/>
      </c>
    </row>
    <row r="4262" customFormat="false" ht="15" hidden="true" customHeight="false" outlineLevel="0" collapsed="false">
      <c r="A4262" s="53" t="str">
        <f aca="false">IF($H4262="","",ROW()-5)</f>
        <v/>
      </c>
      <c r="B4262" s="64" t="s">
        <v>37</v>
      </c>
      <c r="C4262" s="53" t="n">
        <v>534</v>
      </c>
      <c r="D4262" s="53" t="n">
        <v>1</v>
      </c>
      <c r="E4262" s="65" t="str">
        <f aca="false">IF($H4262="","",资金流水!$B534)</f>
        <v/>
      </c>
      <c r="F4262" s="55" t="str">
        <f aca="false">IF($H4262="","",资金流水!$C534)</f>
        <v/>
      </c>
      <c r="G4262" s="48" t="str">
        <f aca="false">IF($H4262="","",资金流水!$K534)</f>
        <v/>
      </c>
      <c r="H4262" s="10" t="str">
        <f aca="false">IF($L4262="","",IF($L4262="@对方",资金流水!$G534,IF($L4262="@账户",资金流水!$Q534,$L4262)))</f>
        <v/>
      </c>
      <c r="I4262" s="42" t="n">
        <f aca="false">IF($M4262="借",$O4262,0)</f>
        <v>0</v>
      </c>
      <c r="J4262" s="42" t="n">
        <f aca="false">IF($M4262="贷",$O4262,0)</f>
        <v>0</v>
      </c>
      <c r="K4262" s="48" t="str">
        <f aca="false">IF($H4262="","",资金流水!$F534)</f>
        <v/>
      </c>
      <c r="L4262" s="66" t="str">
        <f aca="false">IF(资金流水!$E534="","",IFERROR(INDEX(记账规则!$A$13:$H$32,MATCH(资金流水!$E534,记账规则!$A$13:$A$32,0),3),""))</f>
        <v/>
      </c>
      <c r="M4262" s="66" t="str">
        <f aca="false">IF($L4262="","",IFERROR(INDEX(记账规则!$A$13:$H$32,MATCH(资金流水!$E534,记账规则!$A$13:$A$32,0),4),""))</f>
        <v/>
      </c>
      <c r="N4262" s="66" t="str">
        <f aca="false">IF($L4262="","",IFERROR(INDEX(记账规则!$A$13:$H$32,MATCH(资金流水!$E534,记账规则!$A$13:$A$32,0),5),""))</f>
        <v/>
      </c>
      <c r="O4262" s="67" t="n">
        <f aca="false">IF($H4262="",0,ROUND(IF($N4262="金额",N(资金流水!$P534),0),2))</f>
        <v>0</v>
      </c>
      <c r="P4262" s="64" t="str">
        <f aca="false">IF(AND($H4262&lt;&gt;"",ROUND($O4262,2)&lt;&gt;0),"有","")</f>
        <v/>
      </c>
    </row>
    <row r="4263" customFormat="false" ht="15" hidden="true" customHeight="false" outlineLevel="0" collapsed="false">
      <c r="A4263" s="53" t="str">
        <f aca="false">IF($H4263="","",ROW()-5)</f>
        <v/>
      </c>
      <c r="B4263" s="64" t="s">
        <v>37</v>
      </c>
      <c r="C4263" s="53" t="n">
        <v>534</v>
      </c>
      <c r="D4263" s="53" t="n">
        <v>2</v>
      </c>
      <c r="E4263" s="65" t="str">
        <f aca="false">IF($H4263="","",资金流水!$B534)</f>
        <v/>
      </c>
      <c r="F4263" s="55" t="str">
        <f aca="false">IF($H4263="","",资金流水!$C534)</f>
        <v/>
      </c>
      <c r="G4263" s="48" t="str">
        <f aca="false">IF($H4263="","",资金流水!$K534)</f>
        <v/>
      </c>
      <c r="H4263" s="10" t="str">
        <f aca="false">IF($L4263="","",IF($L4263="@对方",资金流水!$G534,IF($L4263="@账户",资金流水!$Q534,$L4263)))</f>
        <v/>
      </c>
      <c r="I4263" s="42" t="n">
        <f aca="false">IF($M4263="借",$O4263,0)</f>
        <v>0</v>
      </c>
      <c r="J4263" s="42" t="n">
        <f aca="false">IF($M4263="贷",$O4263,0)</f>
        <v>0</v>
      </c>
      <c r="K4263" s="48" t="str">
        <f aca="false">IF($H4263="","",资金流水!$F534)</f>
        <v/>
      </c>
      <c r="L4263" s="66" t="str">
        <f aca="false">IF(资金流水!$E534="","",IFERROR(INDEX(记账规则!$A$13:$H$32,MATCH(资金流水!$E534,记账规则!$A$13:$A$32,0),6),""))</f>
        <v/>
      </c>
      <c r="M4263" s="66" t="str">
        <f aca="false">IF($L4263="","",IFERROR(INDEX(记账规则!$A$13:$H$32,MATCH(资金流水!$E534,记账规则!$A$13:$A$32,0),7),""))</f>
        <v/>
      </c>
      <c r="N4263" s="66" t="str">
        <f aca="false">IF($L4263="","",IFERROR(INDEX(记账规则!$A$13:$H$32,MATCH(资金流水!$E534,记账规则!$A$13:$A$32,0),8),""))</f>
        <v/>
      </c>
      <c r="O4263" s="67" t="n">
        <f aca="false">IF($H4263="",0,ROUND(IF($N4263="金额",N(资金流水!$P534),0),2))</f>
        <v>0</v>
      </c>
      <c r="P4263" s="64" t="str">
        <f aca="false">IF(AND($H4263&lt;&gt;"",ROUND($O4263,2)&lt;&gt;0),"有","")</f>
        <v/>
      </c>
    </row>
    <row r="4264" customFormat="false" ht="15" hidden="true" customHeight="false" outlineLevel="0" collapsed="false">
      <c r="A4264" s="53" t="str">
        <f aca="false">IF($H4264="","",ROW()-5)</f>
        <v/>
      </c>
      <c r="B4264" s="64" t="s">
        <v>37</v>
      </c>
      <c r="C4264" s="53" t="n">
        <v>535</v>
      </c>
      <c r="D4264" s="53" t="n">
        <v>1</v>
      </c>
      <c r="E4264" s="65" t="str">
        <f aca="false">IF($H4264="","",资金流水!$B535)</f>
        <v/>
      </c>
      <c r="F4264" s="55" t="str">
        <f aca="false">IF($H4264="","",资金流水!$C535)</f>
        <v/>
      </c>
      <c r="G4264" s="48" t="str">
        <f aca="false">IF($H4264="","",资金流水!$K535)</f>
        <v/>
      </c>
      <c r="H4264" s="10" t="str">
        <f aca="false">IF($L4264="","",IF($L4264="@对方",资金流水!$G535,IF($L4264="@账户",资金流水!$Q535,$L4264)))</f>
        <v/>
      </c>
      <c r="I4264" s="42" t="n">
        <f aca="false">IF($M4264="借",$O4264,0)</f>
        <v>0</v>
      </c>
      <c r="J4264" s="42" t="n">
        <f aca="false">IF($M4264="贷",$O4264,0)</f>
        <v>0</v>
      </c>
      <c r="K4264" s="48" t="str">
        <f aca="false">IF($H4264="","",资金流水!$F535)</f>
        <v/>
      </c>
      <c r="L4264" s="66" t="str">
        <f aca="false">IF(资金流水!$E535="","",IFERROR(INDEX(记账规则!$A$13:$H$32,MATCH(资金流水!$E535,记账规则!$A$13:$A$32,0),3),""))</f>
        <v/>
      </c>
      <c r="M4264" s="66" t="str">
        <f aca="false">IF($L4264="","",IFERROR(INDEX(记账规则!$A$13:$H$32,MATCH(资金流水!$E535,记账规则!$A$13:$A$32,0),4),""))</f>
        <v/>
      </c>
      <c r="N4264" s="66" t="str">
        <f aca="false">IF($L4264="","",IFERROR(INDEX(记账规则!$A$13:$H$32,MATCH(资金流水!$E535,记账规则!$A$13:$A$32,0),5),""))</f>
        <v/>
      </c>
      <c r="O4264" s="67" t="n">
        <f aca="false">IF($H4264="",0,ROUND(IF($N4264="金额",N(资金流水!$P535),0),2))</f>
        <v>0</v>
      </c>
      <c r="P4264" s="64" t="str">
        <f aca="false">IF(AND($H4264&lt;&gt;"",ROUND($O4264,2)&lt;&gt;0),"有","")</f>
        <v/>
      </c>
    </row>
    <row r="4265" customFormat="false" ht="15" hidden="true" customHeight="false" outlineLevel="0" collapsed="false">
      <c r="A4265" s="53" t="str">
        <f aca="false">IF($H4265="","",ROW()-5)</f>
        <v/>
      </c>
      <c r="B4265" s="64" t="s">
        <v>37</v>
      </c>
      <c r="C4265" s="53" t="n">
        <v>535</v>
      </c>
      <c r="D4265" s="53" t="n">
        <v>2</v>
      </c>
      <c r="E4265" s="65" t="str">
        <f aca="false">IF($H4265="","",资金流水!$B535)</f>
        <v/>
      </c>
      <c r="F4265" s="55" t="str">
        <f aca="false">IF($H4265="","",资金流水!$C535)</f>
        <v/>
      </c>
      <c r="G4265" s="48" t="str">
        <f aca="false">IF($H4265="","",资金流水!$K535)</f>
        <v/>
      </c>
      <c r="H4265" s="10" t="str">
        <f aca="false">IF($L4265="","",IF($L4265="@对方",资金流水!$G535,IF($L4265="@账户",资金流水!$Q535,$L4265)))</f>
        <v/>
      </c>
      <c r="I4265" s="42" t="n">
        <f aca="false">IF($M4265="借",$O4265,0)</f>
        <v>0</v>
      </c>
      <c r="J4265" s="42" t="n">
        <f aca="false">IF($M4265="贷",$O4265,0)</f>
        <v>0</v>
      </c>
      <c r="K4265" s="48" t="str">
        <f aca="false">IF($H4265="","",资金流水!$F535)</f>
        <v/>
      </c>
      <c r="L4265" s="66" t="str">
        <f aca="false">IF(资金流水!$E535="","",IFERROR(INDEX(记账规则!$A$13:$H$32,MATCH(资金流水!$E535,记账规则!$A$13:$A$32,0),6),""))</f>
        <v/>
      </c>
      <c r="M4265" s="66" t="str">
        <f aca="false">IF($L4265="","",IFERROR(INDEX(记账规则!$A$13:$H$32,MATCH(资金流水!$E535,记账规则!$A$13:$A$32,0),7),""))</f>
        <v/>
      </c>
      <c r="N4265" s="66" t="str">
        <f aca="false">IF($L4265="","",IFERROR(INDEX(记账规则!$A$13:$H$32,MATCH(资金流水!$E535,记账规则!$A$13:$A$32,0),8),""))</f>
        <v/>
      </c>
      <c r="O4265" s="67" t="n">
        <f aca="false">IF($H4265="",0,ROUND(IF($N4265="金额",N(资金流水!$P535),0),2))</f>
        <v>0</v>
      </c>
      <c r="P4265" s="64" t="str">
        <f aca="false">IF(AND($H4265&lt;&gt;"",ROUND($O4265,2)&lt;&gt;0),"有","")</f>
        <v/>
      </c>
    </row>
    <row r="4266" customFormat="false" ht="15" hidden="true" customHeight="false" outlineLevel="0" collapsed="false">
      <c r="A4266" s="53" t="str">
        <f aca="false">IF($H4266="","",ROW()-5)</f>
        <v/>
      </c>
      <c r="B4266" s="64" t="s">
        <v>37</v>
      </c>
      <c r="C4266" s="53" t="n">
        <v>536</v>
      </c>
      <c r="D4266" s="53" t="n">
        <v>1</v>
      </c>
      <c r="E4266" s="65" t="str">
        <f aca="false">IF($H4266="","",资金流水!$B536)</f>
        <v/>
      </c>
      <c r="F4266" s="55" t="str">
        <f aca="false">IF($H4266="","",资金流水!$C536)</f>
        <v/>
      </c>
      <c r="G4266" s="48" t="str">
        <f aca="false">IF($H4266="","",资金流水!$K536)</f>
        <v/>
      </c>
      <c r="H4266" s="10" t="str">
        <f aca="false">IF($L4266="","",IF($L4266="@对方",资金流水!$G536,IF($L4266="@账户",资金流水!$Q536,$L4266)))</f>
        <v/>
      </c>
      <c r="I4266" s="42" t="n">
        <f aca="false">IF($M4266="借",$O4266,0)</f>
        <v>0</v>
      </c>
      <c r="J4266" s="42" t="n">
        <f aca="false">IF($M4266="贷",$O4266,0)</f>
        <v>0</v>
      </c>
      <c r="K4266" s="48" t="str">
        <f aca="false">IF($H4266="","",资金流水!$F536)</f>
        <v/>
      </c>
      <c r="L4266" s="66" t="str">
        <f aca="false">IF(资金流水!$E536="","",IFERROR(INDEX(记账规则!$A$13:$H$32,MATCH(资金流水!$E536,记账规则!$A$13:$A$32,0),3),""))</f>
        <v/>
      </c>
      <c r="M4266" s="66" t="str">
        <f aca="false">IF($L4266="","",IFERROR(INDEX(记账规则!$A$13:$H$32,MATCH(资金流水!$E536,记账规则!$A$13:$A$32,0),4),""))</f>
        <v/>
      </c>
      <c r="N4266" s="66" t="str">
        <f aca="false">IF($L4266="","",IFERROR(INDEX(记账规则!$A$13:$H$32,MATCH(资金流水!$E536,记账规则!$A$13:$A$32,0),5),""))</f>
        <v/>
      </c>
      <c r="O4266" s="67" t="n">
        <f aca="false">IF($H4266="",0,ROUND(IF($N4266="金额",N(资金流水!$P536),0),2))</f>
        <v>0</v>
      </c>
      <c r="P4266" s="64" t="str">
        <f aca="false">IF(AND($H4266&lt;&gt;"",ROUND($O4266,2)&lt;&gt;0),"有","")</f>
        <v/>
      </c>
    </row>
    <row r="4267" customFormat="false" ht="15" hidden="true" customHeight="false" outlineLevel="0" collapsed="false">
      <c r="A4267" s="53" t="str">
        <f aca="false">IF($H4267="","",ROW()-5)</f>
        <v/>
      </c>
      <c r="B4267" s="64" t="s">
        <v>37</v>
      </c>
      <c r="C4267" s="53" t="n">
        <v>536</v>
      </c>
      <c r="D4267" s="53" t="n">
        <v>2</v>
      </c>
      <c r="E4267" s="65" t="str">
        <f aca="false">IF($H4267="","",资金流水!$B536)</f>
        <v/>
      </c>
      <c r="F4267" s="55" t="str">
        <f aca="false">IF($H4267="","",资金流水!$C536)</f>
        <v/>
      </c>
      <c r="G4267" s="48" t="str">
        <f aca="false">IF($H4267="","",资金流水!$K536)</f>
        <v/>
      </c>
      <c r="H4267" s="10" t="str">
        <f aca="false">IF($L4267="","",IF($L4267="@对方",资金流水!$G536,IF($L4267="@账户",资金流水!$Q536,$L4267)))</f>
        <v/>
      </c>
      <c r="I4267" s="42" t="n">
        <f aca="false">IF($M4267="借",$O4267,0)</f>
        <v>0</v>
      </c>
      <c r="J4267" s="42" t="n">
        <f aca="false">IF($M4267="贷",$O4267,0)</f>
        <v>0</v>
      </c>
      <c r="K4267" s="48" t="str">
        <f aca="false">IF($H4267="","",资金流水!$F536)</f>
        <v/>
      </c>
      <c r="L4267" s="66" t="str">
        <f aca="false">IF(资金流水!$E536="","",IFERROR(INDEX(记账规则!$A$13:$H$32,MATCH(资金流水!$E536,记账规则!$A$13:$A$32,0),6),""))</f>
        <v/>
      </c>
      <c r="M4267" s="66" t="str">
        <f aca="false">IF($L4267="","",IFERROR(INDEX(记账规则!$A$13:$H$32,MATCH(资金流水!$E536,记账规则!$A$13:$A$32,0),7),""))</f>
        <v/>
      </c>
      <c r="N4267" s="66" t="str">
        <f aca="false">IF($L4267="","",IFERROR(INDEX(记账规则!$A$13:$H$32,MATCH(资金流水!$E536,记账规则!$A$13:$A$32,0),8),""))</f>
        <v/>
      </c>
      <c r="O4267" s="67" t="n">
        <f aca="false">IF($H4267="",0,ROUND(IF($N4267="金额",N(资金流水!$P536),0),2))</f>
        <v>0</v>
      </c>
      <c r="P4267" s="64" t="str">
        <f aca="false">IF(AND($H4267&lt;&gt;"",ROUND($O4267,2)&lt;&gt;0),"有","")</f>
        <v/>
      </c>
    </row>
    <row r="4268" customFormat="false" ht="15" hidden="true" customHeight="false" outlineLevel="0" collapsed="false">
      <c r="A4268" s="53" t="str">
        <f aca="false">IF($H4268="","",ROW()-5)</f>
        <v/>
      </c>
      <c r="B4268" s="64" t="s">
        <v>37</v>
      </c>
      <c r="C4268" s="53" t="n">
        <v>537</v>
      </c>
      <c r="D4268" s="53" t="n">
        <v>1</v>
      </c>
      <c r="E4268" s="65" t="str">
        <f aca="false">IF($H4268="","",资金流水!$B537)</f>
        <v/>
      </c>
      <c r="F4268" s="55" t="str">
        <f aca="false">IF($H4268="","",资金流水!$C537)</f>
        <v/>
      </c>
      <c r="G4268" s="48" t="str">
        <f aca="false">IF($H4268="","",资金流水!$K537)</f>
        <v/>
      </c>
      <c r="H4268" s="10" t="str">
        <f aca="false">IF($L4268="","",IF($L4268="@对方",资金流水!$G537,IF($L4268="@账户",资金流水!$Q537,$L4268)))</f>
        <v/>
      </c>
      <c r="I4268" s="42" t="n">
        <f aca="false">IF($M4268="借",$O4268,0)</f>
        <v>0</v>
      </c>
      <c r="J4268" s="42" t="n">
        <f aca="false">IF($M4268="贷",$O4268,0)</f>
        <v>0</v>
      </c>
      <c r="K4268" s="48" t="str">
        <f aca="false">IF($H4268="","",资金流水!$F537)</f>
        <v/>
      </c>
      <c r="L4268" s="66" t="str">
        <f aca="false">IF(资金流水!$E537="","",IFERROR(INDEX(记账规则!$A$13:$H$32,MATCH(资金流水!$E537,记账规则!$A$13:$A$32,0),3),""))</f>
        <v/>
      </c>
      <c r="M4268" s="66" t="str">
        <f aca="false">IF($L4268="","",IFERROR(INDEX(记账规则!$A$13:$H$32,MATCH(资金流水!$E537,记账规则!$A$13:$A$32,0),4),""))</f>
        <v/>
      </c>
      <c r="N4268" s="66" t="str">
        <f aca="false">IF($L4268="","",IFERROR(INDEX(记账规则!$A$13:$H$32,MATCH(资金流水!$E537,记账规则!$A$13:$A$32,0),5),""))</f>
        <v/>
      </c>
      <c r="O4268" s="67" t="n">
        <f aca="false">IF($H4268="",0,ROUND(IF($N4268="金额",N(资金流水!$P537),0),2))</f>
        <v>0</v>
      </c>
      <c r="P4268" s="64" t="str">
        <f aca="false">IF(AND($H4268&lt;&gt;"",ROUND($O4268,2)&lt;&gt;0),"有","")</f>
        <v/>
      </c>
    </row>
    <row r="4269" customFormat="false" ht="15" hidden="true" customHeight="false" outlineLevel="0" collapsed="false">
      <c r="A4269" s="53" t="str">
        <f aca="false">IF($H4269="","",ROW()-5)</f>
        <v/>
      </c>
      <c r="B4269" s="64" t="s">
        <v>37</v>
      </c>
      <c r="C4269" s="53" t="n">
        <v>537</v>
      </c>
      <c r="D4269" s="53" t="n">
        <v>2</v>
      </c>
      <c r="E4269" s="65" t="str">
        <f aca="false">IF($H4269="","",资金流水!$B537)</f>
        <v/>
      </c>
      <c r="F4269" s="55" t="str">
        <f aca="false">IF($H4269="","",资金流水!$C537)</f>
        <v/>
      </c>
      <c r="G4269" s="48" t="str">
        <f aca="false">IF($H4269="","",资金流水!$K537)</f>
        <v/>
      </c>
      <c r="H4269" s="10" t="str">
        <f aca="false">IF($L4269="","",IF($L4269="@对方",资金流水!$G537,IF($L4269="@账户",资金流水!$Q537,$L4269)))</f>
        <v/>
      </c>
      <c r="I4269" s="42" t="n">
        <f aca="false">IF($M4269="借",$O4269,0)</f>
        <v>0</v>
      </c>
      <c r="J4269" s="42" t="n">
        <f aca="false">IF($M4269="贷",$O4269,0)</f>
        <v>0</v>
      </c>
      <c r="K4269" s="48" t="str">
        <f aca="false">IF($H4269="","",资金流水!$F537)</f>
        <v/>
      </c>
      <c r="L4269" s="66" t="str">
        <f aca="false">IF(资金流水!$E537="","",IFERROR(INDEX(记账规则!$A$13:$H$32,MATCH(资金流水!$E537,记账规则!$A$13:$A$32,0),6),""))</f>
        <v/>
      </c>
      <c r="M4269" s="66" t="str">
        <f aca="false">IF($L4269="","",IFERROR(INDEX(记账规则!$A$13:$H$32,MATCH(资金流水!$E537,记账规则!$A$13:$A$32,0),7),""))</f>
        <v/>
      </c>
      <c r="N4269" s="66" t="str">
        <f aca="false">IF($L4269="","",IFERROR(INDEX(记账规则!$A$13:$H$32,MATCH(资金流水!$E537,记账规则!$A$13:$A$32,0),8),""))</f>
        <v/>
      </c>
      <c r="O4269" s="67" t="n">
        <f aca="false">IF($H4269="",0,ROUND(IF($N4269="金额",N(资金流水!$P537),0),2))</f>
        <v>0</v>
      </c>
      <c r="P4269" s="64" t="str">
        <f aca="false">IF(AND($H4269&lt;&gt;"",ROUND($O4269,2)&lt;&gt;0),"有","")</f>
        <v/>
      </c>
    </row>
    <row r="4270" customFormat="false" ht="15" hidden="true" customHeight="false" outlineLevel="0" collapsed="false">
      <c r="A4270" s="53" t="str">
        <f aca="false">IF($H4270="","",ROW()-5)</f>
        <v/>
      </c>
      <c r="B4270" s="64" t="s">
        <v>37</v>
      </c>
      <c r="C4270" s="53" t="n">
        <v>538</v>
      </c>
      <c r="D4270" s="53" t="n">
        <v>1</v>
      </c>
      <c r="E4270" s="65" t="str">
        <f aca="false">IF($H4270="","",资金流水!$B538)</f>
        <v/>
      </c>
      <c r="F4270" s="55" t="str">
        <f aca="false">IF($H4270="","",资金流水!$C538)</f>
        <v/>
      </c>
      <c r="G4270" s="48" t="str">
        <f aca="false">IF($H4270="","",资金流水!$K538)</f>
        <v/>
      </c>
      <c r="H4270" s="10" t="str">
        <f aca="false">IF($L4270="","",IF($L4270="@对方",资金流水!$G538,IF($L4270="@账户",资金流水!$Q538,$L4270)))</f>
        <v/>
      </c>
      <c r="I4270" s="42" t="n">
        <f aca="false">IF($M4270="借",$O4270,0)</f>
        <v>0</v>
      </c>
      <c r="J4270" s="42" t="n">
        <f aca="false">IF($M4270="贷",$O4270,0)</f>
        <v>0</v>
      </c>
      <c r="K4270" s="48" t="str">
        <f aca="false">IF($H4270="","",资金流水!$F538)</f>
        <v/>
      </c>
      <c r="L4270" s="66" t="str">
        <f aca="false">IF(资金流水!$E538="","",IFERROR(INDEX(记账规则!$A$13:$H$32,MATCH(资金流水!$E538,记账规则!$A$13:$A$32,0),3),""))</f>
        <v/>
      </c>
      <c r="M4270" s="66" t="str">
        <f aca="false">IF($L4270="","",IFERROR(INDEX(记账规则!$A$13:$H$32,MATCH(资金流水!$E538,记账规则!$A$13:$A$32,0),4),""))</f>
        <v/>
      </c>
      <c r="N4270" s="66" t="str">
        <f aca="false">IF($L4270="","",IFERROR(INDEX(记账规则!$A$13:$H$32,MATCH(资金流水!$E538,记账规则!$A$13:$A$32,0),5),""))</f>
        <v/>
      </c>
      <c r="O4270" s="67" t="n">
        <f aca="false">IF($H4270="",0,ROUND(IF($N4270="金额",N(资金流水!$P538),0),2))</f>
        <v>0</v>
      </c>
      <c r="P4270" s="64" t="str">
        <f aca="false">IF(AND($H4270&lt;&gt;"",ROUND($O4270,2)&lt;&gt;0),"有","")</f>
        <v/>
      </c>
    </row>
    <row r="4271" customFormat="false" ht="15" hidden="true" customHeight="false" outlineLevel="0" collapsed="false">
      <c r="A4271" s="53" t="str">
        <f aca="false">IF($H4271="","",ROW()-5)</f>
        <v/>
      </c>
      <c r="B4271" s="64" t="s">
        <v>37</v>
      </c>
      <c r="C4271" s="53" t="n">
        <v>538</v>
      </c>
      <c r="D4271" s="53" t="n">
        <v>2</v>
      </c>
      <c r="E4271" s="65" t="str">
        <f aca="false">IF($H4271="","",资金流水!$B538)</f>
        <v/>
      </c>
      <c r="F4271" s="55" t="str">
        <f aca="false">IF($H4271="","",资金流水!$C538)</f>
        <v/>
      </c>
      <c r="G4271" s="48" t="str">
        <f aca="false">IF($H4271="","",资金流水!$K538)</f>
        <v/>
      </c>
      <c r="H4271" s="10" t="str">
        <f aca="false">IF($L4271="","",IF($L4271="@对方",资金流水!$G538,IF($L4271="@账户",资金流水!$Q538,$L4271)))</f>
        <v/>
      </c>
      <c r="I4271" s="42" t="n">
        <f aca="false">IF($M4271="借",$O4271,0)</f>
        <v>0</v>
      </c>
      <c r="J4271" s="42" t="n">
        <f aca="false">IF($M4271="贷",$O4271,0)</f>
        <v>0</v>
      </c>
      <c r="K4271" s="48" t="str">
        <f aca="false">IF($H4271="","",资金流水!$F538)</f>
        <v/>
      </c>
      <c r="L4271" s="66" t="str">
        <f aca="false">IF(资金流水!$E538="","",IFERROR(INDEX(记账规则!$A$13:$H$32,MATCH(资金流水!$E538,记账规则!$A$13:$A$32,0),6),""))</f>
        <v/>
      </c>
      <c r="M4271" s="66" t="str">
        <f aca="false">IF($L4271="","",IFERROR(INDEX(记账规则!$A$13:$H$32,MATCH(资金流水!$E538,记账规则!$A$13:$A$32,0),7),""))</f>
        <v/>
      </c>
      <c r="N4271" s="66" t="str">
        <f aca="false">IF($L4271="","",IFERROR(INDEX(记账规则!$A$13:$H$32,MATCH(资金流水!$E538,记账规则!$A$13:$A$32,0),8),""))</f>
        <v/>
      </c>
      <c r="O4271" s="67" t="n">
        <f aca="false">IF($H4271="",0,ROUND(IF($N4271="金额",N(资金流水!$P538),0),2))</f>
        <v>0</v>
      </c>
      <c r="P4271" s="64" t="str">
        <f aca="false">IF(AND($H4271&lt;&gt;"",ROUND($O4271,2)&lt;&gt;0),"有","")</f>
        <v/>
      </c>
    </row>
    <row r="4272" customFormat="false" ht="15" hidden="true" customHeight="false" outlineLevel="0" collapsed="false">
      <c r="A4272" s="53" t="str">
        <f aca="false">IF($H4272="","",ROW()-5)</f>
        <v/>
      </c>
      <c r="B4272" s="64" t="s">
        <v>37</v>
      </c>
      <c r="C4272" s="53" t="n">
        <v>539</v>
      </c>
      <c r="D4272" s="53" t="n">
        <v>1</v>
      </c>
      <c r="E4272" s="65" t="str">
        <f aca="false">IF($H4272="","",资金流水!$B539)</f>
        <v/>
      </c>
      <c r="F4272" s="55" t="str">
        <f aca="false">IF($H4272="","",资金流水!$C539)</f>
        <v/>
      </c>
      <c r="G4272" s="48" t="str">
        <f aca="false">IF($H4272="","",资金流水!$K539)</f>
        <v/>
      </c>
      <c r="H4272" s="10" t="str">
        <f aca="false">IF($L4272="","",IF($L4272="@对方",资金流水!$G539,IF($L4272="@账户",资金流水!$Q539,$L4272)))</f>
        <v/>
      </c>
      <c r="I4272" s="42" t="n">
        <f aca="false">IF($M4272="借",$O4272,0)</f>
        <v>0</v>
      </c>
      <c r="J4272" s="42" t="n">
        <f aca="false">IF($M4272="贷",$O4272,0)</f>
        <v>0</v>
      </c>
      <c r="K4272" s="48" t="str">
        <f aca="false">IF($H4272="","",资金流水!$F539)</f>
        <v/>
      </c>
      <c r="L4272" s="66" t="str">
        <f aca="false">IF(资金流水!$E539="","",IFERROR(INDEX(记账规则!$A$13:$H$32,MATCH(资金流水!$E539,记账规则!$A$13:$A$32,0),3),""))</f>
        <v/>
      </c>
      <c r="M4272" s="66" t="str">
        <f aca="false">IF($L4272="","",IFERROR(INDEX(记账规则!$A$13:$H$32,MATCH(资金流水!$E539,记账规则!$A$13:$A$32,0),4),""))</f>
        <v/>
      </c>
      <c r="N4272" s="66" t="str">
        <f aca="false">IF($L4272="","",IFERROR(INDEX(记账规则!$A$13:$H$32,MATCH(资金流水!$E539,记账规则!$A$13:$A$32,0),5),""))</f>
        <v/>
      </c>
      <c r="O4272" s="67" t="n">
        <f aca="false">IF($H4272="",0,ROUND(IF($N4272="金额",N(资金流水!$P539),0),2))</f>
        <v>0</v>
      </c>
      <c r="P4272" s="64" t="str">
        <f aca="false">IF(AND($H4272&lt;&gt;"",ROUND($O4272,2)&lt;&gt;0),"有","")</f>
        <v/>
      </c>
    </row>
    <row r="4273" customFormat="false" ht="15" hidden="true" customHeight="false" outlineLevel="0" collapsed="false">
      <c r="A4273" s="53" t="str">
        <f aca="false">IF($H4273="","",ROW()-5)</f>
        <v/>
      </c>
      <c r="B4273" s="64" t="s">
        <v>37</v>
      </c>
      <c r="C4273" s="53" t="n">
        <v>539</v>
      </c>
      <c r="D4273" s="53" t="n">
        <v>2</v>
      </c>
      <c r="E4273" s="65" t="str">
        <f aca="false">IF($H4273="","",资金流水!$B539)</f>
        <v/>
      </c>
      <c r="F4273" s="55" t="str">
        <f aca="false">IF($H4273="","",资金流水!$C539)</f>
        <v/>
      </c>
      <c r="G4273" s="48" t="str">
        <f aca="false">IF($H4273="","",资金流水!$K539)</f>
        <v/>
      </c>
      <c r="H4273" s="10" t="str">
        <f aca="false">IF($L4273="","",IF($L4273="@对方",资金流水!$G539,IF($L4273="@账户",资金流水!$Q539,$L4273)))</f>
        <v/>
      </c>
      <c r="I4273" s="42" t="n">
        <f aca="false">IF($M4273="借",$O4273,0)</f>
        <v>0</v>
      </c>
      <c r="J4273" s="42" t="n">
        <f aca="false">IF($M4273="贷",$O4273,0)</f>
        <v>0</v>
      </c>
      <c r="K4273" s="48" t="str">
        <f aca="false">IF($H4273="","",资金流水!$F539)</f>
        <v/>
      </c>
      <c r="L4273" s="66" t="str">
        <f aca="false">IF(资金流水!$E539="","",IFERROR(INDEX(记账规则!$A$13:$H$32,MATCH(资金流水!$E539,记账规则!$A$13:$A$32,0),6),""))</f>
        <v/>
      </c>
      <c r="M4273" s="66" t="str">
        <f aca="false">IF($L4273="","",IFERROR(INDEX(记账规则!$A$13:$H$32,MATCH(资金流水!$E539,记账规则!$A$13:$A$32,0),7),""))</f>
        <v/>
      </c>
      <c r="N4273" s="66" t="str">
        <f aca="false">IF($L4273="","",IFERROR(INDEX(记账规则!$A$13:$H$32,MATCH(资金流水!$E539,记账规则!$A$13:$A$32,0),8),""))</f>
        <v/>
      </c>
      <c r="O4273" s="67" t="n">
        <f aca="false">IF($H4273="",0,ROUND(IF($N4273="金额",N(资金流水!$P539),0),2))</f>
        <v>0</v>
      </c>
      <c r="P4273" s="64" t="str">
        <f aca="false">IF(AND($H4273&lt;&gt;"",ROUND($O4273,2)&lt;&gt;0),"有","")</f>
        <v/>
      </c>
    </row>
    <row r="4274" customFormat="false" ht="15" hidden="true" customHeight="false" outlineLevel="0" collapsed="false">
      <c r="A4274" s="53" t="str">
        <f aca="false">IF($H4274="","",ROW()-5)</f>
        <v/>
      </c>
      <c r="B4274" s="64" t="s">
        <v>37</v>
      </c>
      <c r="C4274" s="53" t="n">
        <v>540</v>
      </c>
      <c r="D4274" s="53" t="n">
        <v>1</v>
      </c>
      <c r="E4274" s="65" t="str">
        <f aca="false">IF($H4274="","",资金流水!$B540)</f>
        <v/>
      </c>
      <c r="F4274" s="55" t="str">
        <f aca="false">IF($H4274="","",资金流水!$C540)</f>
        <v/>
      </c>
      <c r="G4274" s="48" t="str">
        <f aca="false">IF($H4274="","",资金流水!$K540)</f>
        <v/>
      </c>
      <c r="H4274" s="10" t="str">
        <f aca="false">IF($L4274="","",IF($L4274="@对方",资金流水!$G540,IF($L4274="@账户",资金流水!$Q540,$L4274)))</f>
        <v/>
      </c>
      <c r="I4274" s="42" t="n">
        <f aca="false">IF($M4274="借",$O4274,0)</f>
        <v>0</v>
      </c>
      <c r="J4274" s="42" t="n">
        <f aca="false">IF($M4274="贷",$O4274,0)</f>
        <v>0</v>
      </c>
      <c r="K4274" s="48" t="str">
        <f aca="false">IF($H4274="","",资金流水!$F540)</f>
        <v/>
      </c>
      <c r="L4274" s="66" t="str">
        <f aca="false">IF(资金流水!$E540="","",IFERROR(INDEX(记账规则!$A$13:$H$32,MATCH(资金流水!$E540,记账规则!$A$13:$A$32,0),3),""))</f>
        <v/>
      </c>
      <c r="M4274" s="66" t="str">
        <f aca="false">IF($L4274="","",IFERROR(INDEX(记账规则!$A$13:$H$32,MATCH(资金流水!$E540,记账规则!$A$13:$A$32,0),4),""))</f>
        <v/>
      </c>
      <c r="N4274" s="66" t="str">
        <f aca="false">IF($L4274="","",IFERROR(INDEX(记账规则!$A$13:$H$32,MATCH(资金流水!$E540,记账规则!$A$13:$A$32,0),5),""))</f>
        <v/>
      </c>
      <c r="O4274" s="67" t="n">
        <f aca="false">IF($H4274="",0,ROUND(IF($N4274="金额",N(资金流水!$P540),0),2))</f>
        <v>0</v>
      </c>
      <c r="P4274" s="64" t="str">
        <f aca="false">IF(AND($H4274&lt;&gt;"",ROUND($O4274,2)&lt;&gt;0),"有","")</f>
        <v/>
      </c>
    </row>
    <row r="4275" customFormat="false" ht="15" hidden="true" customHeight="false" outlineLevel="0" collapsed="false">
      <c r="A4275" s="53" t="str">
        <f aca="false">IF($H4275="","",ROW()-5)</f>
        <v/>
      </c>
      <c r="B4275" s="64" t="s">
        <v>37</v>
      </c>
      <c r="C4275" s="53" t="n">
        <v>540</v>
      </c>
      <c r="D4275" s="53" t="n">
        <v>2</v>
      </c>
      <c r="E4275" s="65" t="str">
        <f aca="false">IF($H4275="","",资金流水!$B540)</f>
        <v/>
      </c>
      <c r="F4275" s="55" t="str">
        <f aca="false">IF($H4275="","",资金流水!$C540)</f>
        <v/>
      </c>
      <c r="G4275" s="48" t="str">
        <f aca="false">IF($H4275="","",资金流水!$K540)</f>
        <v/>
      </c>
      <c r="H4275" s="10" t="str">
        <f aca="false">IF($L4275="","",IF($L4275="@对方",资金流水!$G540,IF($L4275="@账户",资金流水!$Q540,$L4275)))</f>
        <v/>
      </c>
      <c r="I4275" s="42" t="n">
        <f aca="false">IF($M4275="借",$O4275,0)</f>
        <v>0</v>
      </c>
      <c r="J4275" s="42" t="n">
        <f aca="false">IF($M4275="贷",$O4275,0)</f>
        <v>0</v>
      </c>
      <c r="K4275" s="48" t="str">
        <f aca="false">IF($H4275="","",资金流水!$F540)</f>
        <v/>
      </c>
      <c r="L4275" s="66" t="str">
        <f aca="false">IF(资金流水!$E540="","",IFERROR(INDEX(记账规则!$A$13:$H$32,MATCH(资金流水!$E540,记账规则!$A$13:$A$32,0),6),""))</f>
        <v/>
      </c>
      <c r="M4275" s="66" t="str">
        <f aca="false">IF($L4275="","",IFERROR(INDEX(记账规则!$A$13:$H$32,MATCH(资金流水!$E540,记账规则!$A$13:$A$32,0),7),""))</f>
        <v/>
      </c>
      <c r="N4275" s="66" t="str">
        <f aca="false">IF($L4275="","",IFERROR(INDEX(记账规则!$A$13:$H$32,MATCH(资金流水!$E540,记账规则!$A$13:$A$32,0),8),""))</f>
        <v/>
      </c>
      <c r="O4275" s="67" t="n">
        <f aca="false">IF($H4275="",0,ROUND(IF($N4275="金额",N(资金流水!$P540),0),2))</f>
        <v>0</v>
      </c>
      <c r="P4275" s="64" t="str">
        <f aca="false">IF(AND($H4275&lt;&gt;"",ROUND($O4275,2)&lt;&gt;0),"有","")</f>
        <v/>
      </c>
    </row>
    <row r="4276" customFormat="false" ht="15" hidden="true" customHeight="false" outlineLevel="0" collapsed="false">
      <c r="A4276" s="53" t="str">
        <f aca="false">IF($H4276="","",ROW()-5)</f>
        <v/>
      </c>
      <c r="B4276" s="64" t="s">
        <v>37</v>
      </c>
      <c r="C4276" s="53" t="n">
        <v>541</v>
      </c>
      <c r="D4276" s="53" t="n">
        <v>1</v>
      </c>
      <c r="E4276" s="65" t="str">
        <f aca="false">IF($H4276="","",资金流水!$B541)</f>
        <v/>
      </c>
      <c r="F4276" s="55" t="str">
        <f aca="false">IF($H4276="","",资金流水!$C541)</f>
        <v/>
      </c>
      <c r="G4276" s="48" t="str">
        <f aca="false">IF($H4276="","",资金流水!$K541)</f>
        <v/>
      </c>
      <c r="H4276" s="10" t="str">
        <f aca="false">IF($L4276="","",IF($L4276="@对方",资金流水!$G541,IF($L4276="@账户",资金流水!$Q541,$L4276)))</f>
        <v/>
      </c>
      <c r="I4276" s="42" t="n">
        <f aca="false">IF($M4276="借",$O4276,0)</f>
        <v>0</v>
      </c>
      <c r="J4276" s="42" t="n">
        <f aca="false">IF($M4276="贷",$O4276,0)</f>
        <v>0</v>
      </c>
      <c r="K4276" s="48" t="str">
        <f aca="false">IF($H4276="","",资金流水!$F541)</f>
        <v/>
      </c>
      <c r="L4276" s="66" t="str">
        <f aca="false">IF(资金流水!$E541="","",IFERROR(INDEX(记账规则!$A$13:$H$32,MATCH(资金流水!$E541,记账规则!$A$13:$A$32,0),3),""))</f>
        <v/>
      </c>
      <c r="M4276" s="66" t="str">
        <f aca="false">IF($L4276="","",IFERROR(INDEX(记账规则!$A$13:$H$32,MATCH(资金流水!$E541,记账规则!$A$13:$A$32,0),4),""))</f>
        <v/>
      </c>
      <c r="N4276" s="66" t="str">
        <f aca="false">IF($L4276="","",IFERROR(INDEX(记账规则!$A$13:$H$32,MATCH(资金流水!$E541,记账规则!$A$13:$A$32,0),5),""))</f>
        <v/>
      </c>
      <c r="O4276" s="67" t="n">
        <f aca="false">IF($H4276="",0,ROUND(IF($N4276="金额",N(资金流水!$P541),0),2))</f>
        <v>0</v>
      </c>
      <c r="P4276" s="64" t="str">
        <f aca="false">IF(AND($H4276&lt;&gt;"",ROUND($O4276,2)&lt;&gt;0),"有","")</f>
        <v/>
      </c>
    </row>
    <row r="4277" customFormat="false" ht="15" hidden="true" customHeight="false" outlineLevel="0" collapsed="false">
      <c r="A4277" s="53" t="str">
        <f aca="false">IF($H4277="","",ROW()-5)</f>
        <v/>
      </c>
      <c r="B4277" s="64" t="s">
        <v>37</v>
      </c>
      <c r="C4277" s="53" t="n">
        <v>541</v>
      </c>
      <c r="D4277" s="53" t="n">
        <v>2</v>
      </c>
      <c r="E4277" s="65" t="str">
        <f aca="false">IF($H4277="","",资金流水!$B541)</f>
        <v/>
      </c>
      <c r="F4277" s="55" t="str">
        <f aca="false">IF($H4277="","",资金流水!$C541)</f>
        <v/>
      </c>
      <c r="G4277" s="48" t="str">
        <f aca="false">IF($H4277="","",资金流水!$K541)</f>
        <v/>
      </c>
      <c r="H4277" s="10" t="str">
        <f aca="false">IF($L4277="","",IF($L4277="@对方",资金流水!$G541,IF($L4277="@账户",资金流水!$Q541,$L4277)))</f>
        <v/>
      </c>
      <c r="I4277" s="42" t="n">
        <f aca="false">IF($M4277="借",$O4277,0)</f>
        <v>0</v>
      </c>
      <c r="J4277" s="42" t="n">
        <f aca="false">IF($M4277="贷",$O4277,0)</f>
        <v>0</v>
      </c>
      <c r="K4277" s="48" t="str">
        <f aca="false">IF($H4277="","",资金流水!$F541)</f>
        <v/>
      </c>
      <c r="L4277" s="66" t="str">
        <f aca="false">IF(资金流水!$E541="","",IFERROR(INDEX(记账规则!$A$13:$H$32,MATCH(资金流水!$E541,记账规则!$A$13:$A$32,0),6),""))</f>
        <v/>
      </c>
      <c r="M4277" s="66" t="str">
        <f aca="false">IF($L4277="","",IFERROR(INDEX(记账规则!$A$13:$H$32,MATCH(资金流水!$E541,记账规则!$A$13:$A$32,0),7),""))</f>
        <v/>
      </c>
      <c r="N4277" s="66" t="str">
        <f aca="false">IF($L4277="","",IFERROR(INDEX(记账规则!$A$13:$H$32,MATCH(资金流水!$E541,记账规则!$A$13:$A$32,0),8),""))</f>
        <v/>
      </c>
      <c r="O4277" s="67" t="n">
        <f aca="false">IF($H4277="",0,ROUND(IF($N4277="金额",N(资金流水!$P541),0),2))</f>
        <v>0</v>
      </c>
      <c r="P4277" s="64" t="str">
        <f aca="false">IF(AND($H4277&lt;&gt;"",ROUND($O4277,2)&lt;&gt;0),"有","")</f>
        <v/>
      </c>
    </row>
    <row r="4278" customFormat="false" ht="15" hidden="true" customHeight="false" outlineLevel="0" collapsed="false">
      <c r="A4278" s="53" t="str">
        <f aca="false">IF($H4278="","",ROW()-5)</f>
        <v/>
      </c>
      <c r="B4278" s="64" t="s">
        <v>37</v>
      </c>
      <c r="C4278" s="53" t="n">
        <v>542</v>
      </c>
      <c r="D4278" s="53" t="n">
        <v>1</v>
      </c>
      <c r="E4278" s="65" t="str">
        <f aca="false">IF($H4278="","",资金流水!$B542)</f>
        <v/>
      </c>
      <c r="F4278" s="55" t="str">
        <f aca="false">IF($H4278="","",资金流水!$C542)</f>
        <v/>
      </c>
      <c r="G4278" s="48" t="str">
        <f aca="false">IF($H4278="","",资金流水!$K542)</f>
        <v/>
      </c>
      <c r="H4278" s="10" t="str">
        <f aca="false">IF($L4278="","",IF($L4278="@对方",资金流水!$G542,IF($L4278="@账户",资金流水!$Q542,$L4278)))</f>
        <v/>
      </c>
      <c r="I4278" s="42" t="n">
        <f aca="false">IF($M4278="借",$O4278,0)</f>
        <v>0</v>
      </c>
      <c r="J4278" s="42" t="n">
        <f aca="false">IF($M4278="贷",$O4278,0)</f>
        <v>0</v>
      </c>
      <c r="K4278" s="48" t="str">
        <f aca="false">IF($H4278="","",资金流水!$F542)</f>
        <v/>
      </c>
      <c r="L4278" s="66" t="str">
        <f aca="false">IF(资金流水!$E542="","",IFERROR(INDEX(记账规则!$A$13:$H$32,MATCH(资金流水!$E542,记账规则!$A$13:$A$32,0),3),""))</f>
        <v/>
      </c>
      <c r="M4278" s="66" t="str">
        <f aca="false">IF($L4278="","",IFERROR(INDEX(记账规则!$A$13:$H$32,MATCH(资金流水!$E542,记账规则!$A$13:$A$32,0),4),""))</f>
        <v/>
      </c>
      <c r="N4278" s="66" t="str">
        <f aca="false">IF($L4278="","",IFERROR(INDEX(记账规则!$A$13:$H$32,MATCH(资金流水!$E542,记账规则!$A$13:$A$32,0),5),""))</f>
        <v/>
      </c>
      <c r="O4278" s="67" t="n">
        <f aca="false">IF($H4278="",0,ROUND(IF($N4278="金额",N(资金流水!$P542),0),2))</f>
        <v>0</v>
      </c>
      <c r="P4278" s="64" t="str">
        <f aca="false">IF(AND($H4278&lt;&gt;"",ROUND($O4278,2)&lt;&gt;0),"有","")</f>
        <v/>
      </c>
    </row>
    <row r="4279" customFormat="false" ht="15" hidden="true" customHeight="false" outlineLevel="0" collapsed="false">
      <c r="A4279" s="53" t="str">
        <f aca="false">IF($H4279="","",ROW()-5)</f>
        <v/>
      </c>
      <c r="B4279" s="64" t="s">
        <v>37</v>
      </c>
      <c r="C4279" s="53" t="n">
        <v>542</v>
      </c>
      <c r="D4279" s="53" t="n">
        <v>2</v>
      </c>
      <c r="E4279" s="65" t="str">
        <f aca="false">IF($H4279="","",资金流水!$B542)</f>
        <v/>
      </c>
      <c r="F4279" s="55" t="str">
        <f aca="false">IF($H4279="","",资金流水!$C542)</f>
        <v/>
      </c>
      <c r="G4279" s="48" t="str">
        <f aca="false">IF($H4279="","",资金流水!$K542)</f>
        <v/>
      </c>
      <c r="H4279" s="10" t="str">
        <f aca="false">IF($L4279="","",IF($L4279="@对方",资金流水!$G542,IF($L4279="@账户",资金流水!$Q542,$L4279)))</f>
        <v/>
      </c>
      <c r="I4279" s="42" t="n">
        <f aca="false">IF($M4279="借",$O4279,0)</f>
        <v>0</v>
      </c>
      <c r="J4279" s="42" t="n">
        <f aca="false">IF($M4279="贷",$O4279,0)</f>
        <v>0</v>
      </c>
      <c r="K4279" s="48" t="str">
        <f aca="false">IF($H4279="","",资金流水!$F542)</f>
        <v/>
      </c>
      <c r="L4279" s="66" t="str">
        <f aca="false">IF(资金流水!$E542="","",IFERROR(INDEX(记账规则!$A$13:$H$32,MATCH(资金流水!$E542,记账规则!$A$13:$A$32,0),6),""))</f>
        <v/>
      </c>
      <c r="M4279" s="66" t="str">
        <f aca="false">IF($L4279="","",IFERROR(INDEX(记账规则!$A$13:$H$32,MATCH(资金流水!$E542,记账规则!$A$13:$A$32,0),7),""))</f>
        <v/>
      </c>
      <c r="N4279" s="66" t="str">
        <f aca="false">IF($L4279="","",IFERROR(INDEX(记账规则!$A$13:$H$32,MATCH(资金流水!$E542,记账规则!$A$13:$A$32,0),8),""))</f>
        <v/>
      </c>
      <c r="O4279" s="67" t="n">
        <f aca="false">IF($H4279="",0,ROUND(IF($N4279="金额",N(资金流水!$P542),0),2))</f>
        <v>0</v>
      </c>
      <c r="P4279" s="64" t="str">
        <f aca="false">IF(AND($H4279&lt;&gt;"",ROUND($O4279,2)&lt;&gt;0),"有","")</f>
        <v/>
      </c>
    </row>
    <row r="4280" customFormat="false" ht="15" hidden="true" customHeight="false" outlineLevel="0" collapsed="false">
      <c r="A4280" s="53" t="str">
        <f aca="false">IF($H4280="","",ROW()-5)</f>
        <v/>
      </c>
      <c r="B4280" s="64" t="s">
        <v>37</v>
      </c>
      <c r="C4280" s="53" t="n">
        <v>543</v>
      </c>
      <c r="D4280" s="53" t="n">
        <v>1</v>
      </c>
      <c r="E4280" s="65" t="str">
        <f aca="false">IF($H4280="","",资金流水!$B543)</f>
        <v/>
      </c>
      <c r="F4280" s="55" t="str">
        <f aca="false">IF($H4280="","",资金流水!$C543)</f>
        <v/>
      </c>
      <c r="G4280" s="48" t="str">
        <f aca="false">IF($H4280="","",资金流水!$K543)</f>
        <v/>
      </c>
      <c r="H4280" s="10" t="str">
        <f aca="false">IF($L4280="","",IF($L4280="@对方",资金流水!$G543,IF($L4280="@账户",资金流水!$Q543,$L4280)))</f>
        <v/>
      </c>
      <c r="I4280" s="42" t="n">
        <f aca="false">IF($M4280="借",$O4280,0)</f>
        <v>0</v>
      </c>
      <c r="J4280" s="42" t="n">
        <f aca="false">IF($M4280="贷",$O4280,0)</f>
        <v>0</v>
      </c>
      <c r="K4280" s="48" t="str">
        <f aca="false">IF($H4280="","",资金流水!$F543)</f>
        <v/>
      </c>
      <c r="L4280" s="66" t="str">
        <f aca="false">IF(资金流水!$E543="","",IFERROR(INDEX(记账规则!$A$13:$H$32,MATCH(资金流水!$E543,记账规则!$A$13:$A$32,0),3),""))</f>
        <v/>
      </c>
      <c r="M4280" s="66" t="str">
        <f aca="false">IF($L4280="","",IFERROR(INDEX(记账规则!$A$13:$H$32,MATCH(资金流水!$E543,记账规则!$A$13:$A$32,0),4),""))</f>
        <v/>
      </c>
      <c r="N4280" s="66" t="str">
        <f aca="false">IF($L4280="","",IFERROR(INDEX(记账规则!$A$13:$H$32,MATCH(资金流水!$E543,记账规则!$A$13:$A$32,0),5),""))</f>
        <v/>
      </c>
      <c r="O4280" s="67" t="n">
        <f aca="false">IF($H4280="",0,ROUND(IF($N4280="金额",N(资金流水!$P543),0),2))</f>
        <v>0</v>
      </c>
      <c r="P4280" s="64" t="str">
        <f aca="false">IF(AND($H4280&lt;&gt;"",ROUND($O4280,2)&lt;&gt;0),"有","")</f>
        <v/>
      </c>
    </row>
    <row r="4281" customFormat="false" ht="15" hidden="true" customHeight="false" outlineLevel="0" collapsed="false">
      <c r="A4281" s="53" t="str">
        <f aca="false">IF($H4281="","",ROW()-5)</f>
        <v/>
      </c>
      <c r="B4281" s="64" t="s">
        <v>37</v>
      </c>
      <c r="C4281" s="53" t="n">
        <v>543</v>
      </c>
      <c r="D4281" s="53" t="n">
        <v>2</v>
      </c>
      <c r="E4281" s="65" t="str">
        <f aca="false">IF($H4281="","",资金流水!$B543)</f>
        <v/>
      </c>
      <c r="F4281" s="55" t="str">
        <f aca="false">IF($H4281="","",资金流水!$C543)</f>
        <v/>
      </c>
      <c r="G4281" s="48" t="str">
        <f aca="false">IF($H4281="","",资金流水!$K543)</f>
        <v/>
      </c>
      <c r="H4281" s="10" t="str">
        <f aca="false">IF($L4281="","",IF($L4281="@对方",资金流水!$G543,IF($L4281="@账户",资金流水!$Q543,$L4281)))</f>
        <v/>
      </c>
      <c r="I4281" s="42" t="n">
        <f aca="false">IF($M4281="借",$O4281,0)</f>
        <v>0</v>
      </c>
      <c r="J4281" s="42" t="n">
        <f aca="false">IF($M4281="贷",$O4281,0)</f>
        <v>0</v>
      </c>
      <c r="K4281" s="48" t="str">
        <f aca="false">IF($H4281="","",资金流水!$F543)</f>
        <v/>
      </c>
      <c r="L4281" s="66" t="str">
        <f aca="false">IF(资金流水!$E543="","",IFERROR(INDEX(记账规则!$A$13:$H$32,MATCH(资金流水!$E543,记账规则!$A$13:$A$32,0),6),""))</f>
        <v/>
      </c>
      <c r="M4281" s="66" t="str">
        <f aca="false">IF($L4281="","",IFERROR(INDEX(记账规则!$A$13:$H$32,MATCH(资金流水!$E543,记账规则!$A$13:$A$32,0),7),""))</f>
        <v/>
      </c>
      <c r="N4281" s="66" t="str">
        <f aca="false">IF($L4281="","",IFERROR(INDEX(记账规则!$A$13:$H$32,MATCH(资金流水!$E543,记账规则!$A$13:$A$32,0),8),""))</f>
        <v/>
      </c>
      <c r="O4281" s="67" t="n">
        <f aca="false">IF($H4281="",0,ROUND(IF($N4281="金额",N(资金流水!$P543),0),2))</f>
        <v>0</v>
      </c>
      <c r="P4281" s="64" t="str">
        <f aca="false">IF(AND($H4281&lt;&gt;"",ROUND($O4281,2)&lt;&gt;0),"有","")</f>
        <v/>
      </c>
    </row>
    <row r="4282" customFormat="false" ht="15" hidden="true" customHeight="false" outlineLevel="0" collapsed="false">
      <c r="A4282" s="53" t="str">
        <f aca="false">IF($H4282="","",ROW()-5)</f>
        <v/>
      </c>
      <c r="B4282" s="64" t="s">
        <v>37</v>
      </c>
      <c r="C4282" s="53" t="n">
        <v>544</v>
      </c>
      <c r="D4282" s="53" t="n">
        <v>1</v>
      </c>
      <c r="E4282" s="65" t="str">
        <f aca="false">IF($H4282="","",资金流水!$B544)</f>
        <v/>
      </c>
      <c r="F4282" s="55" t="str">
        <f aca="false">IF($H4282="","",资金流水!$C544)</f>
        <v/>
      </c>
      <c r="G4282" s="48" t="str">
        <f aca="false">IF($H4282="","",资金流水!$K544)</f>
        <v/>
      </c>
      <c r="H4282" s="10" t="str">
        <f aca="false">IF($L4282="","",IF($L4282="@对方",资金流水!$G544,IF($L4282="@账户",资金流水!$Q544,$L4282)))</f>
        <v/>
      </c>
      <c r="I4282" s="42" t="n">
        <f aca="false">IF($M4282="借",$O4282,0)</f>
        <v>0</v>
      </c>
      <c r="J4282" s="42" t="n">
        <f aca="false">IF($M4282="贷",$O4282,0)</f>
        <v>0</v>
      </c>
      <c r="K4282" s="48" t="str">
        <f aca="false">IF($H4282="","",资金流水!$F544)</f>
        <v/>
      </c>
      <c r="L4282" s="66" t="str">
        <f aca="false">IF(资金流水!$E544="","",IFERROR(INDEX(记账规则!$A$13:$H$32,MATCH(资金流水!$E544,记账规则!$A$13:$A$32,0),3),""))</f>
        <v/>
      </c>
      <c r="M4282" s="66" t="str">
        <f aca="false">IF($L4282="","",IFERROR(INDEX(记账规则!$A$13:$H$32,MATCH(资金流水!$E544,记账规则!$A$13:$A$32,0),4),""))</f>
        <v/>
      </c>
      <c r="N4282" s="66" t="str">
        <f aca="false">IF($L4282="","",IFERROR(INDEX(记账规则!$A$13:$H$32,MATCH(资金流水!$E544,记账规则!$A$13:$A$32,0),5),""))</f>
        <v/>
      </c>
      <c r="O4282" s="67" t="n">
        <f aca="false">IF($H4282="",0,ROUND(IF($N4282="金额",N(资金流水!$P544),0),2))</f>
        <v>0</v>
      </c>
      <c r="P4282" s="64" t="str">
        <f aca="false">IF(AND($H4282&lt;&gt;"",ROUND($O4282,2)&lt;&gt;0),"有","")</f>
        <v/>
      </c>
    </row>
    <row r="4283" customFormat="false" ht="15" hidden="true" customHeight="false" outlineLevel="0" collapsed="false">
      <c r="A4283" s="53" t="str">
        <f aca="false">IF($H4283="","",ROW()-5)</f>
        <v/>
      </c>
      <c r="B4283" s="64" t="s">
        <v>37</v>
      </c>
      <c r="C4283" s="53" t="n">
        <v>544</v>
      </c>
      <c r="D4283" s="53" t="n">
        <v>2</v>
      </c>
      <c r="E4283" s="65" t="str">
        <f aca="false">IF($H4283="","",资金流水!$B544)</f>
        <v/>
      </c>
      <c r="F4283" s="55" t="str">
        <f aca="false">IF($H4283="","",资金流水!$C544)</f>
        <v/>
      </c>
      <c r="G4283" s="48" t="str">
        <f aca="false">IF($H4283="","",资金流水!$K544)</f>
        <v/>
      </c>
      <c r="H4283" s="10" t="str">
        <f aca="false">IF($L4283="","",IF($L4283="@对方",资金流水!$G544,IF($L4283="@账户",资金流水!$Q544,$L4283)))</f>
        <v/>
      </c>
      <c r="I4283" s="42" t="n">
        <f aca="false">IF($M4283="借",$O4283,0)</f>
        <v>0</v>
      </c>
      <c r="J4283" s="42" t="n">
        <f aca="false">IF($M4283="贷",$O4283,0)</f>
        <v>0</v>
      </c>
      <c r="K4283" s="48" t="str">
        <f aca="false">IF($H4283="","",资金流水!$F544)</f>
        <v/>
      </c>
      <c r="L4283" s="66" t="str">
        <f aca="false">IF(资金流水!$E544="","",IFERROR(INDEX(记账规则!$A$13:$H$32,MATCH(资金流水!$E544,记账规则!$A$13:$A$32,0),6),""))</f>
        <v/>
      </c>
      <c r="M4283" s="66" t="str">
        <f aca="false">IF($L4283="","",IFERROR(INDEX(记账规则!$A$13:$H$32,MATCH(资金流水!$E544,记账规则!$A$13:$A$32,0),7),""))</f>
        <v/>
      </c>
      <c r="N4283" s="66" t="str">
        <f aca="false">IF($L4283="","",IFERROR(INDEX(记账规则!$A$13:$H$32,MATCH(资金流水!$E544,记账规则!$A$13:$A$32,0),8),""))</f>
        <v/>
      </c>
      <c r="O4283" s="67" t="n">
        <f aca="false">IF($H4283="",0,ROUND(IF($N4283="金额",N(资金流水!$P544),0),2))</f>
        <v>0</v>
      </c>
      <c r="P4283" s="64" t="str">
        <f aca="false">IF(AND($H4283&lt;&gt;"",ROUND($O4283,2)&lt;&gt;0),"有","")</f>
        <v/>
      </c>
    </row>
    <row r="4284" customFormat="false" ht="15" hidden="true" customHeight="false" outlineLevel="0" collapsed="false">
      <c r="A4284" s="53" t="str">
        <f aca="false">IF($H4284="","",ROW()-5)</f>
        <v/>
      </c>
      <c r="B4284" s="64" t="s">
        <v>37</v>
      </c>
      <c r="C4284" s="53" t="n">
        <v>545</v>
      </c>
      <c r="D4284" s="53" t="n">
        <v>1</v>
      </c>
      <c r="E4284" s="65" t="str">
        <f aca="false">IF($H4284="","",资金流水!$B545)</f>
        <v/>
      </c>
      <c r="F4284" s="55" t="str">
        <f aca="false">IF($H4284="","",资金流水!$C545)</f>
        <v/>
      </c>
      <c r="G4284" s="48" t="str">
        <f aca="false">IF($H4284="","",资金流水!$K545)</f>
        <v/>
      </c>
      <c r="H4284" s="10" t="str">
        <f aca="false">IF($L4284="","",IF($L4284="@对方",资金流水!$G545,IF($L4284="@账户",资金流水!$Q545,$L4284)))</f>
        <v/>
      </c>
      <c r="I4284" s="42" t="n">
        <f aca="false">IF($M4284="借",$O4284,0)</f>
        <v>0</v>
      </c>
      <c r="J4284" s="42" t="n">
        <f aca="false">IF($M4284="贷",$O4284,0)</f>
        <v>0</v>
      </c>
      <c r="K4284" s="48" t="str">
        <f aca="false">IF($H4284="","",资金流水!$F545)</f>
        <v/>
      </c>
      <c r="L4284" s="66" t="str">
        <f aca="false">IF(资金流水!$E545="","",IFERROR(INDEX(记账规则!$A$13:$H$32,MATCH(资金流水!$E545,记账规则!$A$13:$A$32,0),3),""))</f>
        <v/>
      </c>
      <c r="M4284" s="66" t="str">
        <f aca="false">IF($L4284="","",IFERROR(INDEX(记账规则!$A$13:$H$32,MATCH(资金流水!$E545,记账规则!$A$13:$A$32,0),4),""))</f>
        <v/>
      </c>
      <c r="N4284" s="66" t="str">
        <f aca="false">IF($L4284="","",IFERROR(INDEX(记账规则!$A$13:$H$32,MATCH(资金流水!$E545,记账规则!$A$13:$A$32,0),5),""))</f>
        <v/>
      </c>
      <c r="O4284" s="67" t="n">
        <f aca="false">IF($H4284="",0,ROUND(IF($N4284="金额",N(资金流水!$P545),0),2))</f>
        <v>0</v>
      </c>
      <c r="P4284" s="64" t="str">
        <f aca="false">IF(AND($H4284&lt;&gt;"",ROUND($O4284,2)&lt;&gt;0),"有","")</f>
        <v/>
      </c>
    </row>
    <row r="4285" customFormat="false" ht="15" hidden="true" customHeight="false" outlineLevel="0" collapsed="false">
      <c r="A4285" s="53" t="str">
        <f aca="false">IF($H4285="","",ROW()-5)</f>
        <v/>
      </c>
      <c r="B4285" s="64" t="s">
        <v>37</v>
      </c>
      <c r="C4285" s="53" t="n">
        <v>545</v>
      </c>
      <c r="D4285" s="53" t="n">
        <v>2</v>
      </c>
      <c r="E4285" s="65" t="str">
        <f aca="false">IF($H4285="","",资金流水!$B545)</f>
        <v/>
      </c>
      <c r="F4285" s="55" t="str">
        <f aca="false">IF($H4285="","",资金流水!$C545)</f>
        <v/>
      </c>
      <c r="G4285" s="48" t="str">
        <f aca="false">IF($H4285="","",资金流水!$K545)</f>
        <v/>
      </c>
      <c r="H4285" s="10" t="str">
        <f aca="false">IF($L4285="","",IF($L4285="@对方",资金流水!$G545,IF($L4285="@账户",资金流水!$Q545,$L4285)))</f>
        <v/>
      </c>
      <c r="I4285" s="42" t="n">
        <f aca="false">IF($M4285="借",$O4285,0)</f>
        <v>0</v>
      </c>
      <c r="J4285" s="42" t="n">
        <f aca="false">IF($M4285="贷",$O4285,0)</f>
        <v>0</v>
      </c>
      <c r="K4285" s="48" t="str">
        <f aca="false">IF($H4285="","",资金流水!$F545)</f>
        <v/>
      </c>
      <c r="L4285" s="66" t="str">
        <f aca="false">IF(资金流水!$E545="","",IFERROR(INDEX(记账规则!$A$13:$H$32,MATCH(资金流水!$E545,记账规则!$A$13:$A$32,0),6),""))</f>
        <v/>
      </c>
      <c r="M4285" s="66" t="str">
        <f aca="false">IF($L4285="","",IFERROR(INDEX(记账规则!$A$13:$H$32,MATCH(资金流水!$E545,记账规则!$A$13:$A$32,0),7),""))</f>
        <v/>
      </c>
      <c r="N4285" s="66" t="str">
        <f aca="false">IF($L4285="","",IFERROR(INDEX(记账规则!$A$13:$H$32,MATCH(资金流水!$E545,记账规则!$A$13:$A$32,0),8),""))</f>
        <v/>
      </c>
      <c r="O4285" s="67" t="n">
        <f aca="false">IF($H4285="",0,ROUND(IF($N4285="金额",N(资金流水!$P545),0),2))</f>
        <v>0</v>
      </c>
      <c r="P4285" s="64" t="str">
        <f aca="false">IF(AND($H4285&lt;&gt;"",ROUND($O4285,2)&lt;&gt;0),"有","")</f>
        <v/>
      </c>
    </row>
    <row r="4286" customFormat="false" ht="15" hidden="true" customHeight="false" outlineLevel="0" collapsed="false">
      <c r="A4286" s="53" t="str">
        <f aca="false">IF($H4286="","",ROW()-5)</f>
        <v/>
      </c>
      <c r="B4286" s="64" t="s">
        <v>37</v>
      </c>
      <c r="C4286" s="53" t="n">
        <v>546</v>
      </c>
      <c r="D4286" s="53" t="n">
        <v>1</v>
      </c>
      <c r="E4286" s="65" t="str">
        <f aca="false">IF($H4286="","",资金流水!$B546)</f>
        <v/>
      </c>
      <c r="F4286" s="55" t="str">
        <f aca="false">IF($H4286="","",资金流水!$C546)</f>
        <v/>
      </c>
      <c r="G4286" s="48" t="str">
        <f aca="false">IF($H4286="","",资金流水!$K546)</f>
        <v/>
      </c>
      <c r="H4286" s="10" t="str">
        <f aca="false">IF($L4286="","",IF($L4286="@对方",资金流水!$G546,IF($L4286="@账户",资金流水!$Q546,$L4286)))</f>
        <v/>
      </c>
      <c r="I4286" s="42" t="n">
        <f aca="false">IF($M4286="借",$O4286,0)</f>
        <v>0</v>
      </c>
      <c r="J4286" s="42" t="n">
        <f aca="false">IF($M4286="贷",$O4286,0)</f>
        <v>0</v>
      </c>
      <c r="K4286" s="48" t="str">
        <f aca="false">IF($H4286="","",资金流水!$F546)</f>
        <v/>
      </c>
      <c r="L4286" s="66" t="str">
        <f aca="false">IF(资金流水!$E546="","",IFERROR(INDEX(记账规则!$A$13:$H$32,MATCH(资金流水!$E546,记账规则!$A$13:$A$32,0),3),""))</f>
        <v/>
      </c>
      <c r="M4286" s="66" t="str">
        <f aca="false">IF($L4286="","",IFERROR(INDEX(记账规则!$A$13:$H$32,MATCH(资金流水!$E546,记账规则!$A$13:$A$32,0),4),""))</f>
        <v/>
      </c>
      <c r="N4286" s="66" t="str">
        <f aca="false">IF($L4286="","",IFERROR(INDEX(记账规则!$A$13:$H$32,MATCH(资金流水!$E546,记账规则!$A$13:$A$32,0),5),""))</f>
        <v/>
      </c>
      <c r="O4286" s="67" t="n">
        <f aca="false">IF($H4286="",0,ROUND(IF($N4286="金额",N(资金流水!$P546),0),2))</f>
        <v>0</v>
      </c>
      <c r="P4286" s="64" t="str">
        <f aca="false">IF(AND($H4286&lt;&gt;"",ROUND($O4286,2)&lt;&gt;0),"有","")</f>
        <v/>
      </c>
    </row>
    <row r="4287" customFormat="false" ht="15" hidden="true" customHeight="false" outlineLevel="0" collapsed="false">
      <c r="A4287" s="53" t="str">
        <f aca="false">IF($H4287="","",ROW()-5)</f>
        <v/>
      </c>
      <c r="B4287" s="64" t="s">
        <v>37</v>
      </c>
      <c r="C4287" s="53" t="n">
        <v>546</v>
      </c>
      <c r="D4287" s="53" t="n">
        <v>2</v>
      </c>
      <c r="E4287" s="65" t="str">
        <f aca="false">IF($H4287="","",资金流水!$B546)</f>
        <v/>
      </c>
      <c r="F4287" s="55" t="str">
        <f aca="false">IF($H4287="","",资金流水!$C546)</f>
        <v/>
      </c>
      <c r="G4287" s="48" t="str">
        <f aca="false">IF($H4287="","",资金流水!$K546)</f>
        <v/>
      </c>
      <c r="H4287" s="10" t="str">
        <f aca="false">IF($L4287="","",IF($L4287="@对方",资金流水!$G546,IF($L4287="@账户",资金流水!$Q546,$L4287)))</f>
        <v/>
      </c>
      <c r="I4287" s="42" t="n">
        <f aca="false">IF($M4287="借",$O4287,0)</f>
        <v>0</v>
      </c>
      <c r="J4287" s="42" t="n">
        <f aca="false">IF($M4287="贷",$O4287,0)</f>
        <v>0</v>
      </c>
      <c r="K4287" s="48" t="str">
        <f aca="false">IF($H4287="","",资金流水!$F546)</f>
        <v/>
      </c>
      <c r="L4287" s="66" t="str">
        <f aca="false">IF(资金流水!$E546="","",IFERROR(INDEX(记账规则!$A$13:$H$32,MATCH(资金流水!$E546,记账规则!$A$13:$A$32,0),6),""))</f>
        <v/>
      </c>
      <c r="M4287" s="66" t="str">
        <f aca="false">IF($L4287="","",IFERROR(INDEX(记账规则!$A$13:$H$32,MATCH(资金流水!$E546,记账规则!$A$13:$A$32,0),7),""))</f>
        <v/>
      </c>
      <c r="N4287" s="66" t="str">
        <f aca="false">IF($L4287="","",IFERROR(INDEX(记账规则!$A$13:$H$32,MATCH(资金流水!$E546,记账规则!$A$13:$A$32,0),8),""))</f>
        <v/>
      </c>
      <c r="O4287" s="67" t="n">
        <f aca="false">IF($H4287="",0,ROUND(IF($N4287="金额",N(资金流水!$P546),0),2))</f>
        <v>0</v>
      </c>
      <c r="P4287" s="64" t="str">
        <f aca="false">IF(AND($H4287&lt;&gt;"",ROUND($O4287,2)&lt;&gt;0),"有","")</f>
        <v/>
      </c>
    </row>
    <row r="4288" customFormat="false" ht="15" hidden="true" customHeight="false" outlineLevel="0" collapsed="false">
      <c r="A4288" s="53" t="str">
        <f aca="false">IF($H4288="","",ROW()-5)</f>
        <v/>
      </c>
      <c r="B4288" s="64" t="s">
        <v>37</v>
      </c>
      <c r="C4288" s="53" t="n">
        <v>547</v>
      </c>
      <c r="D4288" s="53" t="n">
        <v>1</v>
      </c>
      <c r="E4288" s="65" t="str">
        <f aca="false">IF($H4288="","",资金流水!$B547)</f>
        <v/>
      </c>
      <c r="F4288" s="55" t="str">
        <f aca="false">IF($H4288="","",资金流水!$C547)</f>
        <v/>
      </c>
      <c r="G4288" s="48" t="str">
        <f aca="false">IF($H4288="","",资金流水!$K547)</f>
        <v/>
      </c>
      <c r="H4288" s="10" t="str">
        <f aca="false">IF($L4288="","",IF($L4288="@对方",资金流水!$G547,IF($L4288="@账户",资金流水!$Q547,$L4288)))</f>
        <v/>
      </c>
      <c r="I4288" s="42" t="n">
        <f aca="false">IF($M4288="借",$O4288,0)</f>
        <v>0</v>
      </c>
      <c r="J4288" s="42" t="n">
        <f aca="false">IF($M4288="贷",$O4288,0)</f>
        <v>0</v>
      </c>
      <c r="K4288" s="48" t="str">
        <f aca="false">IF($H4288="","",资金流水!$F547)</f>
        <v/>
      </c>
      <c r="L4288" s="66" t="str">
        <f aca="false">IF(资金流水!$E547="","",IFERROR(INDEX(记账规则!$A$13:$H$32,MATCH(资金流水!$E547,记账规则!$A$13:$A$32,0),3),""))</f>
        <v/>
      </c>
      <c r="M4288" s="66" t="str">
        <f aca="false">IF($L4288="","",IFERROR(INDEX(记账规则!$A$13:$H$32,MATCH(资金流水!$E547,记账规则!$A$13:$A$32,0),4),""))</f>
        <v/>
      </c>
      <c r="N4288" s="66" t="str">
        <f aca="false">IF($L4288="","",IFERROR(INDEX(记账规则!$A$13:$H$32,MATCH(资金流水!$E547,记账规则!$A$13:$A$32,0),5),""))</f>
        <v/>
      </c>
      <c r="O4288" s="67" t="n">
        <f aca="false">IF($H4288="",0,ROUND(IF($N4288="金额",N(资金流水!$P547),0),2))</f>
        <v>0</v>
      </c>
      <c r="P4288" s="64" t="str">
        <f aca="false">IF(AND($H4288&lt;&gt;"",ROUND($O4288,2)&lt;&gt;0),"有","")</f>
        <v/>
      </c>
    </row>
    <row r="4289" customFormat="false" ht="15" hidden="true" customHeight="false" outlineLevel="0" collapsed="false">
      <c r="A4289" s="53" t="str">
        <f aca="false">IF($H4289="","",ROW()-5)</f>
        <v/>
      </c>
      <c r="B4289" s="64" t="s">
        <v>37</v>
      </c>
      <c r="C4289" s="53" t="n">
        <v>547</v>
      </c>
      <c r="D4289" s="53" t="n">
        <v>2</v>
      </c>
      <c r="E4289" s="65" t="str">
        <f aca="false">IF($H4289="","",资金流水!$B547)</f>
        <v/>
      </c>
      <c r="F4289" s="55" t="str">
        <f aca="false">IF($H4289="","",资金流水!$C547)</f>
        <v/>
      </c>
      <c r="G4289" s="48" t="str">
        <f aca="false">IF($H4289="","",资金流水!$K547)</f>
        <v/>
      </c>
      <c r="H4289" s="10" t="str">
        <f aca="false">IF($L4289="","",IF($L4289="@对方",资金流水!$G547,IF($L4289="@账户",资金流水!$Q547,$L4289)))</f>
        <v/>
      </c>
      <c r="I4289" s="42" t="n">
        <f aca="false">IF($M4289="借",$O4289,0)</f>
        <v>0</v>
      </c>
      <c r="J4289" s="42" t="n">
        <f aca="false">IF($M4289="贷",$O4289,0)</f>
        <v>0</v>
      </c>
      <c r="K4289" s="48" t="str">
        <f aca="false">IF($H4289="","",资金流水!$F547)</f>
        <v/>
      </c>
      <c r="L4289" s="66" t="str">
        <f aca="false">IF(资金流水!$E547="","",IFERROR(INDEX(记账规则!$A$13:$H$32,MATCH(资金流水!$E547,记账规则!$A$13:$A$32,0),6),""))</f>
        <v/>
      </c>
      <c r="M4289" s="66" t="str">
        <f aca="false">IF($L4289="","",IFERROR(INDEX(记账规则!$A$13:$H$32,MATCH(资金流水!$E547,记账规则!$A$13:$A$32,0),7),""))</f>
        <v/>
      </c>
      <c r="N4289" s="66" t="str">
        <f aca="false">IF($L4289="","",IFERROR(INDEX(记账规则!$A$13:$H$32,MATCH(资金流水!$E547,记账规则!$A$13:$A$32,0),8),""))</f>
        <v/>
      </c>
      <c r="O4289" s="67" t="n">
        <f aca="false">IF($H4289="",0,ROUND(IF($N4289="金额",N(资金流水!$P547),0),2))</f>
        <v>0</v>
      </c>
      <c r="P4289" s="64" t="str">
        <f aca="false">IF(AND($H4289&lt;&gt;"",ROUND($O4289,2)&lt;&gt;0),"有","")</f>
        <v/>
      </c>
    </row>
    <row r="4290" customFormat="false" ht="15" hidden="true" customHeight="false" outlineLevel="0" collapsed="false">
      <c r="A4290" s="53" t="str">
        <f aca="false">IF($H4290="","",ROW()-5)</f>
        <v/>
      </c>
      <c r="B4290" s="64" t="s">
        <v>37</v>
      </c>
      <c r="C4290" s="53" t="n">
        <v>548</v>
      </c>
      <c r="D4290" s="53" t="n">
        <v>1</v>
      </c>
      <c r="E4290" s="65" t="str">
        <f aca="false">IF($H4290="","",资金流水!$B548)</f>
        <v/>
      </c>
      <c r="F4290" s="55" t="str">
        <f aca="false">IF($H4290="","",资金流水!$C548)</f>
        <v/>
      </c>
      <c r="G4290" s="48" t="str">
        <f aca="false">IF($H4290="","",资金流水!$K548)</f>
        <v/>
      </c>
      <c r="H4290" s="10" t="str">
        <f aca="false">IF($L4290="","",IF($L4290="@对方",资金流水!$G548,IF($L4290="@账户",资金流水!$Q548,$L4290)))</f>
        <v/>
      </c>
      <c r="I4290" s="42" t="n">
        <f aca="false">IF($M4290="借",$O4290,0)</f>
        <v>0</v>
      </c>
      <c r="J4290" s="42" t="n">
        <f aca="false">IF($M4290="贷",$O4290,0)</f>
        <v>0</v>
      </c>
      <c r="K4290" s="48" t="str">
        <f aca="false">IF($H4290="","",资金流水!$F548)</f>
        <v/>
      </c>
      <c r="L4290" s="66" t="str">
        <f aca="false">IF(资金流水!$E548="","",IFERROR(INDEX(记账规则!$A$13:$H$32,MATCH(资金流水!$E548,记账规则!$A$13:$A$32,0),3),""))</f>
        <v/>
      </c>
      <c r="M4290" s="66" t="str">
        <f aca="false">IF($L4290="","",IFERROR(INDEX(记账规则!$A$13:$H$32,MATCH(资金流水!$E548,记账规则!$A$13:$A$32,0),4),""))</f>
        <v/>
      </c>
      <c r="N4290" s="66" t="str">
        <f aca="false">IF($L4290="","",IFERROR(INDEX(记账规则!$A$13:$H$32,MATCH(资金流水!$E548,记账规则!$A$13:$A$32,0),5),""))</f>
        <v/>
      </c>
      <c r="O4290" s="67" t="n">
        <f aca="false">IF($H4290="",0,ROUND(IF($N4290="金额",N(资金流水!$P548),0),2))</f>
        <v>0</v>
      </c>
      <c r="P4290" s="64" t="str">
        <f aca="false">IF(AND($H4290&lt;&gt;"",ROUND($O4290,2)&lt;&gt;0),"有","")</f>
        <v/>
      </c>
    </row>
    <row r="4291" customFormat="false" ht="15" hidden="true" customHeight="false" outlineLevel="0" collapsed="false">
      <c r="A4291" s="53" t="str">
        <f aca="false">IF($H4291="","",ROW()-5)</f>
        <v/>
      </c>
      <c r="B4291" s="64" t="s">
        <v>37</v>
      </c>
      <c r="C4291" s="53" t="n">
        <v>548</v>
      </c>
      <c r="D4291" s="53" t="n">
        <v>2</v>
      </c>
      <c r="E4291" s="65" t="str">
        <f aca="false">IF($H4291="","",资金流水!$B548)</f>
        <v/>
      </c>
      <c r="F4291" s="55" t="str">
        <f aca="false">IF($H4291="","",资金流水!$C548)</f>
        <v/>
      </c>
      <c r="G4291" s="48" t="str">
        <f aca="false">IF($H4291="","",资金流水!$K548)</f>
        <v/>
      </c>
      <c r="H4291" s="10" t="str">
        <f aca="false">IF($L4291="","",IF($L4291="@对方",资金流水!$G548,IF($L4291="@账户",资金流水!$Q548,$L4291)))</f>
        <v/>
      </c>
      <c r="I4291" s="42" t="n">
        <f aca="false">IF($M4291="借",$O4291,0)</f>
        <v>0</v>
      </c>
      <c r="J4291" s="42" t="n">
        <f aca="false">IF($M4291="贷",$O4291,0)</f>
        <v>0</v>
      </c>
      <c r="K4291" s="48" t="str">
        <f aca="false">IF($H4291="","",资金流水!$F548)</f>
        <v/>
      </c>
      <c r="L4291" s="66" t="str">
        <f aca="false">IF(资金流水!$E548="","",IFERROR(INDEX(记账规则!$A$13:$H$32,MATCH(资金流水!$E548,记账规则!$A$13:$A$32,0),6),""))</f>
        <v/>
      </c>
      <c r="M4291" s="66" t="str">
        <f aca="false">IF($L4291="","",IFERROR(INDEX(记账规则!$A$13:$H$32,MATCH(资金流水!$E548,记账规则!$A$13:$A$32,0),7),""))</f>
        <v/>
      </c>
      <c r="N4291" s="66" t="str">
        <f aca="false">IF($L4291="","",IFERROR(INDEX(记账规则!$A$13:$H$32,MATCH(资金流水!$E548,记账规则!$A$13:$A$32,0),8),""))</f>
        <v/>
      </c>
      <c r="O4291" s="67" t="n">
        <f aca="false">IF($H4291="",0,ROUND(IF($N4291="金额",N(资金流水!$P548),0),2))</f>
        <v>0</v>
      </c>
      <c r="P4291" s="64" t="str">
        <f aca="false">IF(AND($H4291&lt;&gt;"",ROUND($O4291,2)&lt;&gt;0),"有","")</f>
        <v/>
      </c>
    </row>
    <row r="4292" customFormat="false" ht="15" hidden="true" customHeight="false" outlineLevel="0" collapsed="false">
      <c r="A4292" s="53" t="str">
        <f aca="false">IF($H4292="","",ROW()-5)</f>
        <v/>
      </c>
      <c r="B4292" s="64" t="s">
        <v>37</v>
      </c>
      <c r="C4292" s="53" t="n">
        <v>549</v>
      </c>
      <c r="D4292" s="53" t="n">
        <v>1</v>
      </c>
      <c r="E4292" s="65" t="str">
        <f aca="false">IF($H4292="","",资金流水!$B549)</f>
        <v/>
      </c>
      <c r="F4292" s="55" t="str">
        <f aca="false">IF($H4292="","",资金流水!$C549)</f>
        <v/>
      </c>
      <c r="G4292" s="48" t="str">
        <f aca="false">IF($H4292="","",资金流水!$K549)</f>
        <v/>
      </c>
      <c r="H4292" s="10" t="str">
        <f aca="false">IF($L4292="","",IF($L4292="@对方",资金流水!$G549,IF($L4292="@账户",资金流水!$Q549,$L4292)))</f>
        <v/>
      </c>
      <c r="I4292" s="42" t="n">
        <f aca="false">IF($M4292="借",$O4292,0)</f>
        <v>0</v>
      </c>
      <c r="J4292" s="42" t="n">
        <f aca="false">IF($M4292="贷",$O4292,0)</f>
        <v>0</v>
      </c>
      <c r="K4292" s="48" t="str">
        <f aca="false">IF($H4292="","",资金流水!$F549)</f>
        <v/>
      </c>
      <c r="L4292" s="66" t="str">
        <f aca="false">IF(资金流水!$E549="","",IFERROR(INDEX(记账规则!$A$13:$H$32,MATCH(资金流水!$E549,记账规则!$A$13:$A$32,0),3),""))</f>
        <v/>
      </c>
      <c r="M4292" s="66" t="str">
        <f aca="false">IF($L4292="","",IFERROR(INDEX(记账规则!$A$13:$H$32,MATCH(资金流水!$E549,记账规则!$A$13:$A$32,0),4),""))</f>
        <v/>
      </c>
      <c r="N4292" s="66" t="str">
        <f aca="false">IF($L4292="","",IFERROR(INDEX(记账规则!$A$13:$H$32,MATCH(资金流水!$E549,记账规则!$A$13:$A$32,0),5),""))</f>
        <v/>
      </c>
      <c r="O4292" s="67" t="n">
        <f aca="false">IF($H4292="",0,ROUND(IF($N4292="金额",N(资金流水!$P549),0),2))</f>
        <v>0</v>
      </c>
      <c r="P4292" s="64" t="str">
        <f aca="false">IF(AND($H4292&lt;&gt;"",ROUND($O4292,2)&lt;&gt;0),"有","")</f>
        <v/>
      </c>
    </row>
    <row r="4293" customFormat="false" ht="15" hidden="true" customHeight="false" outlineLevel="0" collapsed="false">
      <c r="A4293" s="53" t="str">
        <f aca="false">IF($H4293="","",ROW()-5)</f>
        <v/>
      </c>
      <c r="B4293" s="64" t="s">
        <v>37</v>
      </c>
      <c r="C4293" s="53" t="n">
        <v>549</v>
      </c>
      <c r="D4293" s="53" t="n">
        <v>2</v>
      </c>
      <c r="E4293" s="65" t="str">
        <f aca="false">IF($H4293="","",资金流水!$B549)</f>
        <v/>
      </c>
      <c r="F4293" s="55" t="str">
        <f aca="false">IF($H4293="","",资金流水!$C549)</f>
        <v/>
      </c>
      <c r="G4293" s="48" t="str">
        <f aca="false">IF($H4293="","",资金流水!$K549)</f>
        <v/>
      </c>
      <c r="H4293" s="10" t="str">
        <f aca="false">IF($L4293="","",IF($L4293="@对方",资金流水!$G549,IF($L4293="@账户",资金流水!$Q549,$L4293)))</f>
        <v/>
      </c>
      <c r="I4293" s="42" t="n">
        <f aca="false">IF($M4293="借",$O4293,0)</f>
        <v>0</v>
      </c>
      <c r="J4293" s="42" t="n">
        <f aca="false">IF($M4293="贷",$O4293,0)</f>
        <v>0</v>
      </c>
      <c r="K4293" s="48" t="str">
        <f aca="false">IF($H4293="","",资金流水!$F549)</f>
        <v/>
      </c>
      <c r="L4293" s="66" t="str">
        <f aca="false">IF(资金流水!$E549="","",IFERROR(INDEX(记账规则!$A$13:$H$32,MATCH(资金流水!$E549,记账规则!$A$13:$A$32,0),6),""))</f>
        <v/>
      </c>
      <c r="M4293" s="66" t="str">
        <f aca="false">IF($L4293="","",IFERROR(INDEX(记账规则!$A$13:$H$32,MATCH(资金流水!$E549,记账规则!$A$13:$A$32,0),7),""))</f>
        <v/>
      </c>
      <c r="N4293" s="66" t="str">
        <f aca="false">IF($L4293="","",IFERROR(INDEX(记账规则!$A$13:$H$32,MATCH(资金流水!$E549,记账规则!$A$13:$A$32,0),8),""))</f>
        <v/>
      </c>
      <c r="O4293" s="67" t="n">
        <f aca="false">IF($H4293="",0,ROUND(IF($N4293="金额",N(资金流水!$P549),0),2))</f>
        <v>0</v>
      </c>
      <c r="P4293" s="64" t="str">
        <f aca="false">IF(AND($H4293&lt;&gt;"",ROUND($O4293,2)&lt;&gt;0),"有","")</f>
        <v/>
      </c>
    </row>
    <row r="4294" customFormat="false" ht="15" hidden="true" customHeight="false" outlineLevel="0" collapsed="false">
      <c r="A4294" s="53" t="str">
        <f aca="false">IF($H4294="","",ROW()-5)</f>
        <v/>
      </c>
      <c r="B4294" s="64" t="s">
        <v>37</v>
      </c>
      <c r="C4294" s="53" t="n">
        <v>550</v>
      </c>
      <c r="D4294" s="53" t="n">
        <v>1</v>
      </c>
      <c r="E4294" s="65" t="str">
        <f aca="false">IF($H4294="","",资金流水!$B550)</f>
        <v/>
      </c>
      <c r="F4294" s="55" t="str">
        <f aca="false">IF($H4294="","",资金流水!$C550)</f>
        <v/>
      </c>
      <c r="G4294" s="48" t="str">
        <f aca="false">IF($H4294="","",资金流水!$K550)</f>
        <v/>
      </c>
      <c r="H4294" s="10" t="str">
        <f aca="false">IF($L4294="","",IF($L4294="@对方",资金流水!$G550,IF($L4294="@账户",资金流水!$Q550,$L4294)))</f>
        <v/>
      </c>
      <c r="I4294" s="42" t="n">
        <f aca="false">IF($M4294="借",$O4294,0)</f>
        <v>0</v>
      </c>
      <c r="J4294" s="42" t="n">
        <f aca="false">IF($M4294="贷",$O4294,0)</f>
        <v>0</v>
      </c>
      <c r="K4294" s="48" t="str">
        <f aca="false">IF($H4294="","",资金流水!$F550)</f>
        <v/>
      </c>
      <c r="L4294" s="66" t="str">
        <f aca="false">IF(资金流水!$E550="","",IFERROR(INDEX(记账规则!$A$13:$H$32,MATCH(资金流水!$E550,记账规则!$A$13:$A$32,0),3),""))</f>
        <v/>
      </c>
      <c r="M4294" s="66" t="str">
        <f aca="false">IF($L4294="","",IFERROR(INDEX(记账规则!$A$13:$H$32,MATCH(资金流水!$E550,记账规则!$A$13:$A$32,0),4),""))</f>
        <v/>
      </c>
      <c r="N4294" s="66" t="str">
        <f aca="false">IF($L4294="","",IFERROR(INDEX(记账规则!$A$13:$H$32,MATCH(资金流水!$E550,记账规则!$A$13:$A$32,0),5),""))</f>
        <v/>
      </c>
      <c r="O4294" s="67" t="n">
        <f aca="false">IF($H4294="",0,ROUND(IF($N4294="金额",N(资金流水!$P550),0),2))</f>
        <v>0</v>
      </c>
      <c r="P4294" s="64" t="str">
        <f aca="false">IF(AND($H4294&lt;&gt;"",ROUND($O4294,2)&lt;&gt;0),"有","")</f>
        <v/>
      </c>
    </row>
    <row r="4295" customFormat="false" ht="15" hidden="true" customHeight="false" outlineLevel="0" collapsed="false">
      <c r="A4295" s="53" t="str">
        <f aca="false">IF($H4295="","",ROW()-5)</f>
        <v/>
      </c>
      <c r="B4295" s="64" t="s">
        <v>37</v>
      </c>
      <c r="C4295" s="53" t="n">
        <v>550</v>
      </c>
      <c r="D4295" s="53" t="n">
        <v>2</v>
      </c>
      <c r="E4295" s="65" t="str">
        <f aca="false">IF($H4295="","",资金流水!$B550)</f>
        <v/>
      </c>
      <c r="F4295" s="55" t="str">
        <f aca="false">IF($H4295="","",资金流水!$C550)</f>
        <v/>
      </c>
      <c r="G4295" s="48" t="str">
        <f aca="false">IF($H4295="","",资金流水!$K550)</f>
        <v/>
      </c>
      <c r="H4295" s="10" t="str">
        <f aca="false">IF($L4295="","",IF($L4295="@对方",资金流水!$G550,IF($L4295="@账户",资金流水!$Q550,$L4295)))</f>
        <v/>
      </c>
      <c r="I4295" s="42" t="n">
        <f aca="false">IF($M4295="借",$O4295,0)</f>
        <v>0</v>
      </c>
      <c r="J4295" s="42" t="n">
        <f aca="false">IF($M4295="贷",$O4295,0)</f>
        <v>0</v>
      </c>
      <c r="K4295" s="48" t="str">
        <f aca="false">IF($H4295="","",资金流水!$F550)</f>
        <v/>
      </c>
      <c r="L4295" s="66" t="str">
        <f aca="false">IF(资金流水!$E550="","",IFERROR(INDEX(记账规则!$A$13:$H$32,MATCH(资金流水!$E550,记账规则!$A$13:$A$32,0),6),""))</f>
        <v/>
      </c>
      <c r="M4295" s="66" t="str">
        <f aca="false">IF($L4295="","",IFERROR(INDEX(记账规则!$A$13:$H$32,MATCH(资金流水!$E550,记账规则!$A$13:$A$32,0),7),""))</f>
        <v/>
      </c>
      <c r="N4295" s="66" t="str">
        <f aca="false">IF($L4295="","",IFERROR(INDEX(记账规则!$A$13:$H$32,MATCH(资金流水!$E550,记账规则!$A$13:$A$32,0),8),""))</f>
        <v/>
      </c>
      <c r="O4295" s="67" t="n">
        <f aca="false">IF($H4295="",0,ROUND(IF($N4295="金额",N(资金流水!$P550),0),2))</f>
        <v>0</v>
      </c>
      <c r="P4295" s="64" t="str">
        <f aca="false">IF(AND($H4295&lt;&gt;"",ROUND($O4295,2)&lt;&gt;0),"有","")</f>
        <v/>
      </c>
    </row>
    <row r="4296" customFormat="false" ht="15" hidden="true" customHeight="false" outlineLevel="0" collapsed="false">
      <c r="A4296" s="53" t="str">
        <f aca="false">IF($H4296="","",ROW()-5)</f>
        <v/>
      </c>
      <c r="B4296" s="64" t="s">
        <v>37</v>
      </c>
      <c r="C4296" s="53" t="n">
        <v>551</v>
      </c>
      <c r="D4296" s="53" t="n">
        <v>1</v>
      </c>
      <c r="E4296" s="65" t="str">
        <f aca="false">IF($H4296="","",资金流水!$B551)</f>
        <v/>
      </c>
      <c r="F4296" s="55" t="str">
        <f aca="false">IF($H4296="","",资金流水!$C551)</f>
        <v/>
      </c>
      <c r="G4296" s="48" t="str">
        <f aca="false">IF($H4296="","",资金流水!$K551)</f>
        <v/>
      </c>
      <c r="H4296" s="10" t="str">
        <f aca="false">IF($L4296="","",IF($L4296="@对方",资金流水!$G551,IF($L4296="@账户",资金流水!$Q551,$L4296)))</f>
        <v/>
      </c>
      <c r="I4296" s="42" t="n">
        <f aca="false">IF($M4296="借",$O4296,0)</f>
        <v>0</v>
      </c>
      <c r="J4296" s="42" t="n">
        <f aca="false">IF($M4296="贷",$O4296,0)</f>
        <v>0</v>
      </c>
      <c r="K4296" s="48" t="str">
        <f aca="false">IF($H4296="","",资金流水!$F551)</f>
        <v/>
      </c>
      <c r="L4296" s="66" t="str">
        <f aca="false">IF(资金流水!$E551="","",IFERROR(INDEX(记账规则!$A$13:$H$32,MATCH(资金流水!$E551,记账规则!$A$13:$A$32,0),3),""))</f>
        <v/>
      </c>
      <c r="M4296" s="66" t="str">
        <f aca="false">IF($L4296="","",IFERROR(INDEX(记账规则!$A$13:$H$32,MATCH(资金流水!$E551,记账规则!$A$13:$A$32,0),4),""))</f>
        <v/>
      </c>
      <c r="N4296" s="66" t="str">
        <f aca="false">IF($L4296="","",IFERROR(INDEX(记账规则!$A$13:$H$32,MATCH(资金流水!$E551,记账规则!$A$13:$A$32,0),5),""))</f>
        <v/>
      </c>
      <c r="O4296" s="67" t="n">
        <f aca="false">IF($H4296="",0,ROUND(IF($N4296="金额",N(资金流水!$P551),0),2))</f>
        <v>0</v>
      </c>
      <c r="P4296" s="64" t="str">
        <f aca="false">IF(AND($H4296&lt;&gt;"",ROUND($O4296,2)&lt;&gt;0),"有","")</f>
        <v/>
      </c>
    </row>
    <row r="4297" customFormat="false" ht="15" hidden="true" customHeight="false" outlineLevel="0" collapsed="false">
      <c r="A4297" s="53" t="str">
        <f aca="false">IF($H4297="","",ROW()-5)</f>
        <v/>
      </c>
      <c r="B4297" s="64" t="s">
        <v>37</v>
      </c>
      <c r="C4297" s="53" t="n">
        <v>551</v>
      </c>
      <c r="D4297" s="53" t="n">
        <v>2</v>
      </c>
      <c r="E4297" s="65" t="str">
        <f aca="false">IF($H4297="","",资金流水!$B551)</f>
        <v/>
      </c>
      <c r="F4297" s="55" t="str">
        <f aca="false">IF($H4297="","",资金流水!$C551)</f>
        <v/>
      </c>
      <c r="G4297" s="48" t="str">
        <f aca="false">IF($H4297="","",资金流水!$K551)</f>
        <v/>
      </c>
      <c r="H4297" s="10" t="str">
        <f aca="false">IF($L4297="","",IF($L4297="@对方",资金流水!$G551,IF($L4297="@账户",资金流水!$Q551,$L4297)))</f>
        <v/>
      </c>
      <c r="I4297" s="42" t="n">
        <f aca="false">IF($M4297="借",$O4297,0)</f>
        <v>0</v>
      </c>
      <c r="J4297" s="42" t="n">
        <f aca="false">IF($M4297="贷",$O4297,0)</f>
        <v>0</v>
      </c>
      <c r="K4297" s="48" t="str">
        <f aca="false">IF($H4297="","",资金流水!$F551)</f>
        <v/>
      </c>
      <c r="L4297" s="66" t="str">
        <f aca="false">IF(资金流水!$E551="","",IFERROR(INDEX(记账规则!$A$13:$H$32,MATCH(资金流水!$E551,记账规则!$A$13:$A$32,0),6),""))</f>
        <v/>
      </c>
      <c r="M4297" s="66" t="str">
        <f aca="false">IF($L4297="","",IFERROR(INDEX(记账规则!$A$13:$H$32,MATCH(资金流水!$E551,记账规则!$A$13:$A$32,0),7),""))</f>
        <v/>
      </c>
      <c r="N4297" s="66" t="str">
        <f aca="false">IF($L4297="","",IFERROR(INDEX(记账规则!$A$13:$H$32,MATCH(资金流水!$E551,记账规则!$A$13:$A$32,0),8),""))</f>
        <v/>
      </c>
      <c r="O4297" s="67" t="n">
        <f aca="false">IF($H4297="",0,ROUND(IF($N4297="金额",N(资金流水!$P551),0),2))</f>
        <v>0</v>
      </c>
      <c r="P4297" s="64" t="str">
        <f aca="false">IF(AND($H4297&lt;&gt;"",ROUND($O4297,2)&lt;&gt;0),"有","")</f>
        <v/>
      </c>
    </row>
    <row r="4298" customFormat="false" ht="15" hidden="true" customHeight="false" outlineLevel="0" collapsed="false">
      <c r="A4298" s="53" t="str">
        <f aca="false">IF($H4298="","",ROW()-5)</f>
        <v/>
      </c>
      <c r="B4298" s="64" t="s">
        <v>37</v>
      </c>
      <c r="C4298" s="53" t="n">
        <v>552</v>
      </c>
      <c r="D4298" s="53" t="n">
        <v>1</v>
      </c>
      <c r="E4298" s="65" t="str">
        <f aca="false">IF($H4298="","",资金流水!$B552)</f>
        <v/>
      </c>
      <c r="F4298" s="55" t="str">
        <f aca="false">IF($H4298="","",资金流水!$C552)</f>
        <v/>
      </c>
      <c r="G4298" s="48" t="str">
        <f aca="false">IF($H4298="","",资金流水!$K552)</f>
        <v/>
      </c>
      <c r="H4298" s="10" t="str">
        <f aca="false">IF($L4298="","",IF($L4298="@对方",资金流水!$G552,IF($L4298="@账户",资金流水!$Q552,$L4298)))</f>
        <v/>
      </c>
      <c r="I4298" s="42" t="n">
        <f aca="false">IF($M4298="借",$O4298,0)</f>
        <v>0</v>
      </c>
      <c r="J4298" s="42" t="n">
        <f aca="false">IF($M4298="贷",$O4298,0)</f>
        <v>0</v>
      </c>
      <c r="K4298" s="48" t="str">
        <f aca="false">IF($H4298="","",资金流水!$F552)</f>
        <v/>
      </c>
      <c r="L4298" s="66" t="str">
        <f aca="false">IF(资金流水!$E552="","",IFERROR(INDEX(记账规则!$A$13:$H$32,MATCH(资金流水!$E552,记账规则!$A$13:$A$32,0),3),""))</f>
        <v/>
      </c>
      <c r="M4298" s="66" t="str">
        <f aca="false">IF($L4298="","",IFERROR(INDEX(记账规则!$A$13:$H$32,MATCH(资金流水!$E552,记账规则!$A$13:$A$32,0),4),""))</f>
        <v/>
      </c>
      <c r="N4298" s="66" t="str">
        <f aca="false">IF($L4298="","",IFERROR(INDEX(记账规则!$A$13:$H$32,MATCH(资金流水!$E552,记账规则!$A$13:$A$32,0),5),""))</f>
        <v/>
      </c>
      <c r="O4298" s="67" t="n">
        <f aca="false">IF($H4298="",0,ROUND(IF($N4298="金额",N(资金流水!$P552),0),2))</f>
        <v>0</v>
      </c>
      <c r="P4298" s="64" t="str">
        <f aca="false">IF(AND($H4298&lt;&gt;"",ROUND($O4298,2)&lt;&gt;0),"有","")</f>
        <v/>
      </c>
    </row>
    <row r="4299" customFormat="false" ht="15" hidden="true" customHeight="false" outlineLevel="0" collapsed="false">
      <c r="A4299" s="53" t="str">
        <f aca="false">IF($H4299="","",ROW()-5)</f>
        <v/>
      </c>
      <c r="B4299" s="64" t="s">
        <v>37</v>
      </c>
      <c r="C4299" s="53" t="n">
        <v>552</v>
      </c>
      <c r="D4299" s="53" t="n">
        <v>2</v>
      </c>
      <c r="E4299" s="65" t="str">
        <f aca="false">IF($H4299="","",资金流水!$B552)</f>
        <v/>
      </c>
      <c r="F4299" s="55" t="str">
        <f aca="false">IF($H4299="","",资金流水!$C552)</f>
        <v/>
      </c>
      <c r="G4299" s="48" t="str">
        <f aca="false">IF($H4299="","",资金流水!$K552)</f>
        <v/>
      </c>
      <c r="H4299" s="10" t="str">
        <f aca="false">IF($L4299="","",IF($L4299="@对方",资金流水!$G552,IF($L4299="@账户",资金流水!$Q552,$L4299)))</f>
        <v/>
      </c>
      <c r="I4299" s="42" t="n">
        <f aca="false">IF($M4299="借",$O4299,0)</f>
        <v>0</v>
      </c>
      <c r="J4299" s="42" t="n">
        <f aca="false">IF($M4299="贷",$O4299,0)</f>
        <v>0</v>
      </c>
      <c r="K4299" s="48" t="str">
        <f aca="false">IF($H4299="","",资金流水!$F552)</f>
        <v/>
      </c>
      <c r="L4299" s="66" t="str">
        <f aca="false">IF(资金流水!$E552="","",IFERROR(INDEX(记账规则!$A$13:$H$32,MATCH(资金流水!$E552,记账规则!$A$13:$A$32,0),6),""))</f>
        <v/>
      </c>
      <c r="M4299" s="66" t="str">
        <f aca="false">IF($L4299="","",IFERROR(INDEX(记账规则!$A$13:$H$32,MATCH(资金流水!$E552,记账规则!$A$13:$A$32,0),7),""))</f>
        <v/>
      </c>
      <c r="N4299" s="66" t="str">
        <f aca="false">IF($L4299="","",IFERROR(INDEX(记账规则!$A$13:$H$32,MATCH(资金流水!$E552,记账规则!$A$13:$A$32,0),8),""))</f>
        <v/>
      </c>
      <c r="O4299" s="67" t="n">
        <f aca="false">IF($H4299="",0,ROUND(IF($N4299="金额",N(资金流水!$P552),0),2))</f>
        <v>0</v>
      </c>
      <c r="P4299" s="64" t="str">
        <f aca="false">IF(AND($H4299&lt;&gt;"",ROUND($O4299,2)&lt;&gt;0),"有","")</f>
        <v/>
      </c>
    </row>
    <row r="4300" customFormat="false" ht="15" hidden="true" customHeight="false" outlineLevel="0" collapsed="false">
      <c r="A4300" s="53" t="str">
        <f aca="false">IF($H4300="","",ROW()-5)</f>
        <v/>
      </c>
      <c r="B4300" s="64" t="s">
        <v>37</v>
      </c>
      <c r="C4300" s="53" t="n">
        <v>553</v>
      </c>
      <c r="D4300" s="53" t="n">
        <v>1</v>
      </c>
      <c r="E4300" s="65" t="str">
        <f aca="false">IF($H4300="","",资金流水!$B553)</f>
        <v/>
      </c>
      <c r="F4300" s="55" t="str">
        <f aca="false">IF($H4300="","",资金流水!$C553)</f>
        <v/>
      </c>
      <c r="G4300" s="48" t="str">
        <f aca="false">IF($H4300="","",资金流水!$K553)</f>
        <v/>
      </c>
      <c r="H4300" s="10" t="str">
        <f aca="false">IF($L4300="","",IF($L4300="@对方",资金流水!$G553,IF($L4300="@账户",资金流水!$Q553,$L4300)))</f>
        <v/>
      </c>
      <c r="I4300" s="42" t="n">
        <f aca="false">IF($M4300="借",$O4300,0)</f>
        <v>0</v>
      </c>
      <c r="J4300" s="42" t="n">
        <f aca="false">IF($M4300="贷",$O4300,0)</f>
        <v>0</v>
      </c>
      <c r="K4300" s="48" t="str">
        <f aca="false">IF($H4300="","",资金流水!$F553)</f>
        <v/>
      </c>
      <c r="L4300" s="66" t="str">
        <f aca="false">IF(资金流水!$E553="","",IFERROR(INDEX(记账规则!$A$13:$H$32,MATCH(资金流水!$E553,记账规则!$A$13:$A$32,0),3),""))</f>
        <v/>
      </c>
      <c r="M4300" s="66" t="str">
        <f aca="false">IF($L4300="","",IFERROR(INDEX(记账规则!$A$13:$H$32,MATCH(资金流水!$E553,记账规则!$A$13:$A$32,0),4),""))</f>
        <v/>
      </c>
      <c r="N4300" s="66" t="str">
        <f aca="false">IF($L4300="","",IFERROR(INDEX(记账规则!$A$13:$H$32,MATCH(资金流水!$E553,记账规则!$A$13:$A$32,0),5),""))</f>
        <v/>
      </c>
      <c r="O4300" s="67" t="n">
        <f aca="false">IF($H4300="",0,ROUND(IF($N4300="金额",N(资金流水!$P553),0),2))</f>
        <v>0</v>
      </c>
      <c r="P4300" s="64" t="str">
        <f aca="false">IF(AND($H4300&lt;&gt;"",ROUND($O4300,2)&lt;&gt;0),"有","")</f>
        <v/>
      </c>
    </row>
    <row r="4301" customFormat="false" ht="15" hidden="true" customHeight="false" outlineLevel="0" collapsed="false">
      <c r="A4301" s="53" t="str">
        <f aca="false">IF($H4301="","",ROW()-5)</f>
        <v/>
      </c>
      <c r="B4301" s="64" t="s">
        <v>37</v>
      </c>
      <c r="C4301" s="53" t="n">
        <v>553</v>
      </c>
      <c r="D4301" s="53" t="n">
        <v>2</v>
      </c>
      <c r="E4301" s="65" t="str">
        <f aca="false">IF($H4301="","",资金流水!$B553)</f>
        <v/>
      </c>
      <c r="F4301" s="55" t="str">
        <f aca="false">IF($H4301="","",资金流水!$C553)</f>
        <v/>
      </c>
      <c r="G4301" s="48" t="str">
        <f aca="false">IF($H4301="","",资金流水!$K553)</f>
        <v/>
      </c>
      <c r="H4301" s="10" t="str">
        <f aca="false">IF($L4301="","",IF($L4301="@对方",资金流水!$G553,IF($L4301="@账户",资金流水!$Q553,$L4301)))</f>
        <v/>
      </c>
      <c r="I4301" s="42" t="n">
        <f aca="false">IF($M4301="借",$O4301,0)</f>
        <v>0</v>
      </c>
      <c r="J4301" s="42" t="n">
        <f aca="false">IF($M4301="贷",$O4301,0)</f>
        <v>0</v>
      </c>
      <c r="K4301" s="48" t="str">
        <f aca="false">IF($H4301="","",资金流水!$F553)</f>
        <v/>
      </c>
      <c r="L4301" s="66" t="str">
        <f aca="false">IF(资金流水!$E553="","",IFERROR(INDEX(记账规则!$A$13:$H$32,MATCH(资金流水!$E553,记账规则!$A$13:$A$32,0),6),""))</f>
        <v/>
      </c>
      <c r="M4301" s="66" t="str">
        <f aca="false">IF($L4301="","",IFERROR(INDEX(记账规则!$A$13:$H$32,MATCH(资金流水!$E553,记账规则!$A$13:$A$32,0),7),""))</f>
        <v/>
      </c>
      <c r="N4301" s="66" t="str">
        <f aca="false">IF($L4301="","",IFERROR(INDEX(记账规则!$A$13:$H$32,MATCH(资金流水!$E553,记账规则!$A$13:$A$32,0),8),""))</f>
        <v/>
      </c>
      <c r="O4301" s="67" t="n">
        <f aca="false">IF($H4301="",0,ROUND(IF($N4301="金额",N(资金流水!$P553),0),2))</f>
        <v>0</v>
      </c>
      <c r="P4301" s="64" t="str">
        <f aca="false">IF(AND($H4301&lt;&gt;"",ROUND($O4301,2)&lt;&gt;0),"有","")</f>
        <v/>
      </c>
    </row>
    <row r="4302" customFormat="false" ht="15" hidden="true" customHeight="false" outlineLevel="0" collapsed="false">
      <c r="A4302" s="53" t="str">
        <f aca="false">IF($H4302="","",ROW()-5)</f>
        <v/>
      </c>
      <c r="B4302" s="64" t="s">
        <v>37</v>
      </c>
      <c r="C4302" s="53" t="n">
        <v>554</v>
      </c>
      <c r="D4302" s="53" t="n">
        <v>1</v>
      </c>
      <c r="E4302" s="65" t="str">
        <f aca="false">IF($H4302="","",资金流水!$B554)</f>
        <v/>
      </c>
      <c r="F4302" s="55" t="str">
        <f aca="false">IF($H4302="","",资金流水!$C554)</f>
        <v/>
      </c>
      <c r="G4302" s="48" t="str">
        <f aca="false">IF($H4302="","",资金流水!$K554)</f>
        <v/>
      </c>
      <c r="H4302" s="10" t="str">
        <f aca="false">IF($L4302="","",IF($L4302="@对方",资金流水!$G554,IF($L4302="@账户",资金流水!$Q554,$L4302)))</f>
        <v/>
      </c>
      <c r="I4302" s="42" t="n">
        <f aca="false">IF($M4302="借",$O4302,0)</f>
        <v>0</v>
      </c>
      <c r="J4302" s="42" t="n">
        <f aca="false">IF($M4302="贷",$O4302,0)</f>
        <v>0</v>
      </c>
      <c r="K4302" s="48" t="str">
        <f aca="false">IF($H4302="","",资金流水!$F554)</f>
        <v/>
      </c>
      <c r="L4302" s="66" t="str">
        <f aca="false">IF(资金流水!$E554="","",IFERROR(INDEX(记账规则!$A$13:$H$32,MATCH(资金流水!$E554,记账规则!$A$13:$A$32,0),3),""))</f>
        <v/>
      </c>
      <c r="M4302" s="66" t="str">
        <f aca="false">IF($L4302="","",IFERROR(INDEX(记账规则!$A$13:$H$32,MATCH(资金流水!$E554,记账规则!$A$13:$A$32,0),4),""))</f>
        <v/>
      </c>
      <c r="N4302" s="66" t="str">
        <f aca="false">IF($L4302="","",IFERROR(INDEX(记账规则!$A$13:$H$32,MATCH(资金流水!$E554,记账规则!$A$13:$A$32,0),5),""))</f>
        <v/>
      </c>
      <c r="O4302" s="67" t="n">
        <f aca="false">IF($H4302="",0,ROUND(IF($N4302="金额",N(资金流水!$P554),0),2))</f>
        <v>0</v>
      </c>
      <c r="P4302" s="64" t="str">
        <f aca="false">IF(AND($H4302&lt;&gt;"",ROUND($O4302,2)&lt;&gt;0),"有","")</f>
        <v/>
      </c>
    </row>
    <row r="4303" customFormat="false" ht="15" hidden="true" customHeight="false" outlineLevel="0" collapsed="false">
      <c r="A4303" s="53" t="str">
        <f aca="false">IF($H4303="","",ROW()-5)</f>
        <v/>
      </c>
      <c r="B4303" s="64" t="s">
        <v>37</v>
      </c>
      <c r="C4303" s="53" t="n">
        <v>554</v>
      </c>
      <c r="D4303" s="53" t="n">
        <v>2</v>
      </c>
      <c r="E4303" s="65" t="str">
        <f aca="false">IF($H4303="","",资金流水!$B554)</f>
        <v/>
      </c>
      <c r="F4303" s="55" t="str">
        <f aca="false">IF($H4303="","",资金流水!$C554)</f>
        <v/>
      </c>
      <c r="G4303" s="48" t="str">
        <f aca="false">IF($H4303="","",资金流水!$K554)</f>
        <v/>
      </c>
      <c r="H4303" s="10" t="str">
        <f aca="false">IF($L4303="","",IF($L4303="@对方",资金流水!$G554,IF($L4303="@账户",资金流水!$Q554,$L4303)))</f>
        <v/>
      </c>
      <c r="I4303" s="42" t="n">
        <f aca="false">IF($M4303="借",$O4303,0)</f>
        <v>0</v>
      </c>
      <c r="J4303" s="42" t="n">
        <f aca="false">IF($M4303="贷",$O4303,0)</f>
        <v>0</v>
      </c>
      <c r="K4303" s="48" t="str">
        <f aca="false">IF($H4303="","",资金流水!$F554)</f>
        <v/>
      </c>
      <c r="L4303" s="66" t="str">
        <f aca="false">IF(资金流水!$E554="","",IFERROR(INDEX(记账规则!$A$13:$H$32,MATCH(资金流水!$E554,记账规则!$A$13:$A$32,0),6),""))</f>
        <v/>
      </c>
      <c r="M4303" s="66" t="str">
        <f aca="false">IF($L4303="","",IFERROR(INDEX(记账规则!$A$13:$H$32,MATCH(资金流水!$E554,记账规则!$A$13:$A$32,0),7),""))</f>
        <v/>
      </c>
      <c r="N4303" s="66" t="str">
        <f aca="false">IF($L4303="","",IFERROR(INDEX(记账规则!$A$13:$H$32,MATCH(资金流水!$E554,记账规则!$A$13:$A$32,0),8),""))</f>
        <v/>
      </c>
      <c r="O4303" s="67" t="n">
        <f aca="false">IF($H4303="",0,ROUND(IF($N4303="金额",N(资金流水!$P554),0),2))</f>
        <v>0</v>
      </c>
      <c r="P4303" s="64" t="str">
        <f aca="false">IF(AND($H4303&lt;&gt;"",ROUND($O4303,2)&lt;&gt;0),"有","")</f>
        <v/>
      </c>
    </row>
    <row r="4304" customFormat="false" ht="15" hidden="true" customHeight="false" outlineLevel="0" collapsed="false">
      <c r="A4304" s="53" t="str">
        <f aca="false">IF($H4304="","",ROW()-5)</f>
        <v/>
      </c>
      <c r="B4304" s="64" t="s">
        <v>37</v>
      </c>
      <c r="C4304" s="53" t="n">
        <v>555</v>
      </c>
      <c r="D4304" s="53" t="n">
        <v>1</v>
      </c>
      <c r="E4304" s="65" t="str">
        <f aca="false">IF($H4304="","",资金流水!$B555)</f>
        <v/>
      </c>
      <c r="F4304" s="55" t="str">
        <f aca="false">IF($H4304="","",资金流水!$C555)</f>
        <v/>
      </c>
      <c r="G4304" s="48" t="str">
        <f aca="false">IF($H4304="","",资金流水!$K555)</f>
        <v/>
      </c>
      <c r="H4304" s="10" t="str">
        <f aca="false">IF($L4304="","",IF($L4304="@对方",资金流水!$G555,IF($L4304="@账户",资金流水!$Q555,$L4304)))</f>
        <v/>
      </c>
      <c r="I4304" s="42" t="n">
        <f aca="false">IF($M4304="借",$O4304,0)</f>
        <v>0</v>
      </c>
      <c r="J4304" s="42" t="n">
        <f aca="false">IF($M4304="贷",$O4304,0)</f>
        <v>0</v>
      </c>
      <c r="K4304" s="48" t="str">
        <f aca="false">IF($H4304="","",资金流水!$F555)</f>
        <v/>
      </c>
      <c r="L4304" s="66" t="str">
        <f aca="false">IF(资金流水!$E555="","",IFERROR(INDEX(记账规则!$A$13:$H$32,MATCH(资金流水!$E555,记账规则!$A$13:$A$32,0),3),""))</f>
        <v/>
      </c>
      <c r="M4304" s="66" t="str">
        <f aca="false">IF($L4304="","",IFERROR(INDEX(记账规则!$A$13:$H$32,MATCH(资金流水!$E555,记账规则!$A$13:$A$32,0),4),""))</f>
        <v/>
      </c>
      <c r="N4304" s="66" t="str">
        <f aca="false">IF($L4304="","",IFERROR(INDEX(记账规则!$A$13:$H$32,MATCH(资金流水!$E555,记账规则!$A$13:$A$32,0),5),""))</f>
        <v/>
      </c>
      <c r="O4304" s="67" t="n">
        <f aca="false">IF($H4304="",0,ROUND(IF($N4304="金额",N(资金流水!$P555),0),2))</f>
        <v>0</v>
      </c>
      <c r="P4304" s="64" t="str">
        <f aca="false">IF(AND($H4304&lt;&gt;"",ROUND($O4304,2)&lt;&gt;0),"有","")</f>
        <v/>
      </c>
    </row>
    <row r="4305" customFormat="false" ht="15" hidden="true" customHeight="false" outlineLevel="0" collapsed="false">
      <c r="A4305" s="53" t="str">
        <f aca="false">IF($H4305="","",ROW()-5)</f>
        <v/>
      </c>
      <c r="B4305" s="64" t="s">
        <v>37</v>
      </c>
      <c r="C4305" s="53" t="n">
        <v>555</v>
      </c>
      <c r="D4305" s="53" t="n">
        <v>2</v>
      </c>
      <c r="E4305" s="65" t="str">
        <f aca="false">IF($H4305="","",资金流水!$B555)</f>
        <v/>
      </c>
      <c r="F4305" s="55" t="str">
        <f aca="false">IF($H4305="","",资金流水!$C555)</f>
        <v/>
      </c>
      <c r="G4305" s="48" t="str">
        <f aca="false">IF($H4305="","",资金流水!$K555)</f>
        <v/>
      </c>
      <c r="H4305" s="10" t="str">
        <f aca="false">IF($L4305="","",IF($L4305="@对方",资金流水!$G555,IF($L4305="@账户",资金流水!$Q555,$L4305)))</f>
        <v/>
      </c>
      <c r="I4305" s="42" t="n">
        <f aca="false">IF($M4305="借",$O4305,0)</f>
        <v>0</v>
      </c>
      <c r="J4305" s="42" t="n">
        <f aca="false">IF($M4305="贷",$O4305,0)</f>
        <v>0</v>
      </c>
      <c r="K4305" s="48" t="str">
        <f aca="false">IF($H4305="","",资金流水!$F555)</f>
        <v/>
      </c>
      <c r="L4305" s="66" t="str">
        <f aca="false">IF(资金流水!$E555="","",IFERROR(INDEX(记账规则!$A$13:$H$32,MATCH(资金流水!$E555,记账规则!$A$13:$A$32,0),6),""))</f>
        <v/>
      </c>
      <c r="M4305" s="66" t="str">
        <f aca="false">IF($L4305="","",IFERROR(INDEX(记账规则!$A$13:$H$32,MATCH(资金流水!$E555,记账规则!$A$13:$A$32,0),7),""))</f>
        <v/>
      </c>
      <c r="N4305" s="66" t="str">
        <f aca="false">IF($L4305="","",IFERROR(INDEX(记账规则!$A$13:$H$32,MATCH(资金流水!$E555,记账规则!$A$13:$A$32,0),8),""))</f>
        <v/>
      </c>
      <c r="O4305" s="67" t="n">
        <f aca="false">IF($H4305="",0,ROUND(IF($N4305="金额",N(资金流水!$P555),0),2))</f>
        <v>0</v>
      </c>
      <c r="P4305" s="64" t="str">
        <f aca="false">IF(AND($H4305&lt;&gt;"",ROUND($O4305,2)&lt;&gt;0),"有","")</f>
        <v/>
      </c>
    </row>
    <row r="4306" customFormat="false" ht="15" hidden="true" customHeight="false" outlineLevel="0" collapsed="false">
      <c r="A4306" s="53" t="str">
        <f aca="false">IF($H4306="","",ROW()-5)</f>
        <v/>
      </c>
      <c r="B4306" s="64" t="s">
        <v>37</v>
      </c>
      <c r="C4306" s="53" t="n">
        <v>556</v>
      </c>
      <c r="D4306" s="53" t="n">
        <v>1</v>
      </c>
      <c r="E4306" s="65" t="str">
        <f aca="false">IF($H4306="","",资金流水!$B556)</f>
        <v/>
      </c>
      <c r="F4306" s="55" t="str">
        <f aca="false">IF($H4306="","",资金流水!$C556)</f>
        <v/>
      </c>
      <c r="G4306" s="48" t="str">
        <f aca="false">IF($H4306="","",资金流水!$K556)</f>
        <v/>
      </c>
      <c r="H4306" s="10" t="str">
        <f aca="false">IF($L4306="","",IF($L4306="@对方",资金流水!$G556,IF($L4306="@账户",资金流水!$Q556,$L4306)))</f>
        <v/>
      </c>
      <c r="I4306" s="42" t="n">
        <f aca="false">IF($M4306="借",$O4306,0)</f>
        <v>0</v>
      </c>
      <c r="J4306" s="42" t="n">
        <f aca="false">IF($M4306="贷",$O4306,0)</f>
        <v>0</v>
      </c>
      <c r="K4306" s="48" t="str">
        <f aca="false">IF($H4306="","",资金流水!$F556)</f>
        <v/>
      </c>
      <c r="L4306" s="66" t="str">
        <f aca="false">IF(资金流水!$E556="","",IFERROR(INDEX(记账规则!$A$13:$H$32,MATCH(资金流水!$E556,记账规则!$A$13:$A$32,0),3),""))</f>
        <v/>
      </c>
      <c r="M4306" s="66" t="str">
        <f aca="false">IF($L4306="","",IFERROR(INDEX(记账规则!$A$13:$H$32,MATCH(资金流水!$E556,记账规则!$A$13:$A$32,0),4),""))</f>
        <v/>
      </c>
      <c r="N4306" s="66" t="str">
        <f aca="false">IF($L4306="","",IFERROR(INDEX(记账规则!$A$13:$H$32,MATCH(资金流水!$E556,记账规则!$A$13:$A$32,0),5),""))</f>
        <v/>
      </c>
      <c r="O4306" s="67" t="n">
        <f aca="false">IF($H4306="",0,ROUND(IF($N4306="金额",N(资金流水!$P556),0),2))</f>
        <v>0</v>
      </c>
      <c r="P4306" s="64" t="str">
        <f aca="false">IF(AND($H4306&lt;&gt;"",ROUND($O4306,2)&lt;&gt;0),"有","")</f>
        <v/>
      </c>
    </row>
    <row r="4307" customFormat="false" ht="15" hidden="true" customHeight="false" outlineLevel="0" collapsed="false">
      <c r="A4307" s="53" t="str">
        <f aca="false">IF($H4307="","",ROW()-5)</f>
        <v/>
      </c>
      <c r="B4307" s="64" t="s">
        <v>37</v>
      </c>
      <c r="C4307" s="53" t="n">
        <v>556</v>
      </c>
      <c r="D4307" s="53" t="n">
        <v>2</v>
      </c>
      <c r="E4307" s="65" t="str">
        <f aca="false">IF($H4307="","",资金流水!$B556)</f>
        <v/>
      </c>
      <c r="F4307" s="55" t="str">
        <f aca="false">IF($H4307="","",资金流水!$C556)</f>
        <v/>
      </c>
      <c r="G4307" s="48" t="str">
        <f aca="false">IF($H4307="","",资金流水!$K556)</f>
        <v/>
      </c>
      <c r="H4307" s="10" t="str">
        <f aca="false">IF($L4307="","",IF($L4307="@对方",资金流水!$G556,IF($L4307="@账户",资金流水!$Q556,$L4307)))</f>
        <v/>
      </c>
      <c r="I4307" s="42" t="n">
        <f aca="false">IF($M4307="借",$O4307,0)</f>
        <v>0</v>
      </c>
      <c r="J4307" s="42" t="n">
        <f aca="false">IF($M4307="贷",$O4307,0)</f>
        <v>0</v>
      </c>
      <c r="K4307" s="48" t="str">
        <f aca="false">IF($H4307="","",资金流水!$F556)</f>
        <v/>
      </c>
      <c r="L4307" s="66" t="str">
        <f aca="false">IF(资金流水!$E556="","",IFERROR(INDEX(记账规则!$A$13:$H$32,MATCH(资金流水!$E556,记账规则!$A$13:$A$32,0),6),""))</f>
        <v/>
      </c>
      <c r="M4307" s="66" t="str">
        <f aca="false">IF($L4307="","",IFERROR(INDEX(记账规则!$A$13:$H$32,MATCH(资金流水!$E556,记账规则!$A$13:$A$32,0),7),""))</f>
        <v/>
      </c>
      <c r="N4307" s="66" t="str">
        <f aca="false">IF($L4307="","",IFERROR(INDEX(记账规则!$A$13:$H$32,MATCH(资金流水!$E556,记账规则!$A$13:$A$32,0),8),""))</f>
        <v/>
      </c>
      <c r="O4307" s="67" t="n">
        <f aca="false">IF($H4307="",0,ROUND(IF($N4307="金额",N(资金流水!$P556),0),2))</f>
        <v>0</v>
      </c>
      <c r="P4307" s="64" t="str">
        <f aca="false">IF(AND($H4307&lt;&gt;"",ROUND($O4307,2)&lt;&gt;0),"有","")</f>
        <v/>
      </c>
    </row>
    <row r="4308" customFormat="false" ht="15" hidden="true" customHeight="false" outlineLevel="0" collapsed="false">
      <c r="A4308" s="53" t="str">
        <f aca="false">IF($H4308="","",ROW()-5)</f>
        <v/>
      </c>
      <c r="B4308" s="64" t="s">
        <v>37</v>
      </c>
      <c r="C4308" s="53" t="n">
        <v>557</v>
      </c>
      <c r="D4308" s="53" t="n">
        <v>1</v>
      </c>
      <c r="E4308" s="65" t="str">
        <f aca="false">IF($H4308="","",资金流水!$B557)</f>
        <v/>
      </c>
      <c r="F4308" s="55" t="str">
        <f aca="false">IF($H4308="","",资金流水!$C557)</f>
        <v/>
      </c>
      <c r="G4308" s="48" t="str">
        <f aca="false">IF($H4308="","",资金流水!$K557)</f>
        <v/>
      </c>
      <c r="H4308" s="10" t="str">
        <f aca="false">IF($L4308="","",IF($L4308="@对方",资金流水!$G557,IF($L4308="@账户",资金流水!$Q557,$L4308)))</f>
        <v/>
      </c>
      <c r="I4308" s="42" t="n">
        <f aca="false">IF($M4308="借",$O4308,0)</f>
        <v>0</v>
      </c>
      <c r="J4308" s="42" t="n">
        <f aca="false">IF($M4308="贷",$O4308,0)</f>
        <v>0</v>
      </c>
      <c r="K4308" s="48" t="str">
        <f aca="false">IF($H4308="","",资金流水!$F557)</f>
        <v/>
      </c>
      <c r="L4308" s="66" t="str">
        <f aca="false">IF(资金流水!$E557="","",IFERROR(INDEX(记账规则!$A$13:$H$32,MATCH(资金流水!$E557,记账规则!$A$13:$A$32,0),3),""))</f>
        <v/>
      </c>
      <c r="M4308" s="66" t="str">
        <f aca="false">IF($L4308="","",IFERROR(INDEX(记账规则!$A$13:$H$32,MATCH(资金流水!$E557,记账规则!$A$13:$A$32,0),4),""))</f>
        <v/>
      </c>
      <c r="N4308" s="66" t="str">
        <f aca="false">IF($L4308="","",IFERROR(INDEX(记账规则!$A$13:$H$32,MATCH(资金流水!$E557,记账规则!$A$13:$A$32,0),5),""))</f>
        <v/>
      </c>
      <c r="O4308" s="67" t="n">
        <f aca="false">IF($H4308="",0,ROUND(IF($N4308="金额",N(资金流水!$P557),0),2))</f>
        <v>0</v>
      </c>
      <c r="P4308" s="64" t="str">
        <f aca="false">IF(AND($H4308&lt;&gt;"",ROUND($O4308,2)&lt;&gt;0),"有","")</f>
        <v/>
      </c>
    </row>
    <row r="4309" customFormat="false" ht="15" hidden="true" customHeight="false" outlineLevel="0" collapsed="false">
      <c r="A4309" s="53" t="str">
        <f aca="false">IF($H4309="","",ROW()-5)</f>
        <v/>
      </c>
      <c r="B4309" s="64" t="s">
        <v>37</v>
      </c>
      <c r="C4309" s="53" t="n">
        <v>557</v>
      </c>
      <c r="D4309" s="53" t="n">
        <v>2</v>
      </c>
      <c r="E4309" s="65" t="str">
        <f aca="false">IF($H4309="","",资金流水!$B557)</f>
        <v/>
      </c>
      <c r="F4309" s="55" t="str">
        <f aca="false">IF($H4309="","",资金流水!$C557)</f>
        <v/>
      </c>
      <c r="G4309" s="48" t="str">
        <f aca="false">IF($H4309="","",资金流水!$K557)</f>
        <v/>
      </c>
      <c r="H4309" s="10" t="str">
        <f aca="false">IF($L4309="","",IF($L4309="@对方",资金流水!$G557,IF($L4309="@账户",资金流水!$Q557,$L4309)))</f>
        <v/>
      </c>
      <c r="I4309" s="42" t="n">
        <f aca="false">IF($M4309="借",$O4309,0)</f>
        <v>0</v>
      </c>
      <c r="J4309" s="42" t="n">
        <f aca="false">IF($M4309="贷",$O4309,0)</f>
        <v>0</v>
      </c>
      <c r="K4309" s="48" t="str">
        <f aca="false">IF($H4309="","",资金流水!$F557)</f>
        <v/>
      </c>
      <c r="L4309" s="66" t="str">
        <f aca="false">IF(资金流水!$E557="","",IFERROR(INDEX(记账规则!$A$13:$H$32,MATCH(资金流水!$E557,记账规则!$A$13:$A$32,0),6),""))</f>
        <v/>
      </c>
      <c r="M4309" s="66" t="str">
        <f aca="false">IF($L4309="","",IFERROR(INDEX(记账规则!$A$13:$H$32,MATCH(资金流水!$E557,记账规则!$A$13:$A$32,0),7),""))</f>
        <v/>
      </c>
      <c r="N4309" s="66" t="str">
        <f aca="false">IF($L4309="","",IFERROR(INDEX(记账规则!$A$13:$H$32,MATCH(资金流水!$E557,记账规则!$A$13:$A$32,0),8),""))</f>
        <v/>
      </c>
      <c r="O4309" s="67" t="n">
        <f aca="false">IF($H4309="",0,ROUND(IF($N4309="金额",N(资金流水!$P557),0),2))</f>
        <v>0</v>
      </c>
      <c r="P4309" s="64" t="str">
        <f aca="false">IF(AND($H4309&lt;&gt;"",ROUND($O4309,2)&lt;&gt;0),"有","")</f>
        <v/>
      </c>
    </row>
    <row r="4310" customFormat="false" ht="15" hidden="true" customHeight="false" outlineLevel="0" collapsed="false">
      <c r="A4310" s="53" t="str">
        <f aca="false">IF($H4310="","",ROW()-5)</f>
        <v/>
      </c>
      <c r="B4310" s="64" t="s">
        <v>37</v>
      </c>
      <c r="C4310" s="53" t="n">
        <v>558</v>
      </c>
      <c r="D4310" s="53" t="n">
        <v>1</v>
      </c>
      <c r="E4310" s="65" t="str">
        <f aca="false">IF($H4310="","",资金流水!$B558)</f>
        <v/>
      </c>
      <c r="F4310" s="55" t="str">
        <f aca="false">IF($H4310="","",资金流水!$C558)</f>
        <v/>
      </c>
      <c r="G4310" s="48" t="str">
        <f aca="false">IF($H4310="","",资金流水!$K558)</f>
        <v/>
      </c>
      <c r="H4310" s="10" t="str">
        <f aca="false">IF($L4310="","",IF($L4310="@对方",资金流水!$G558,IF($L4310="@账户",资金流水!$Q558,$L4310)))</f>
        <v/>
      </c>
      <c r="I4310" s="42" t="n">
        <f aca="false">IF($M4310="借",$O4310,0)</f>
        <v>0</v>
      </c>
      <c r="J4310" s="42" t="n">
        <f aca="false">IF($M4310="贷",$O4310,0)</f>
        <v>0</v>
      </c>
      <c r="K4310" s="48" t="str">
        <f aca="false">IF($H4310="","",资金流水!$F558)</f>
        <v/>
      </c>
      <c r="L4310" s="66" t="str">
        <f aca="false">IF(资金流水!$E558="","",IFERROR(INDEX(记账规则!$A$13:$H$32,MATCH(资金流水!$E558,记账规则!$A$13:$A$32,0),3),""))</f>
        <v/>
      </c>
      <c r="M4310" s="66" t="str">
        <f aca="false">IF($L4310="","",IFERROR(INDEX(记账规则!$A$13:$H$32,MATCH(资金流水!$E558,记账规则!$A$13:$A$32,0),4),""))</f>
        <v/>
      </c>
      <c r="N4310" s="66" t="str">
        <f aca="false">IF($L4310="","",IFERROR(INDEX(记账规则!$A$13:$H$32,MATCH(资金流水!$E558,记账规则!$A$13:$A$32,0),5),""))</f>
        <v/>
      </c>
      <c r="O4310" s="67" t="n">
        <f aca="false">IF($H4310="",0,ROUND(IF($N4310="金额",N(资金流水!$P558),0),2))</f>
        <v>0</v>
      </c>
      <c r="P4310" s="64" t="str">
        <f aca="false">IF(AND($H4310&lt;&gt;"",ROUND($O4310,2)&lt;&gt;0),"有","")</f>
        <v/>
      </c>
    </row>
    <row r="4311" customFormat="false" ht="15" hidden="true" customHeight="false" outlineLevel="0" collapsed="false">
      <c r="A4311" s="53" t="str">
        <f aca="false">IF($H4311="","",ROW()-5)</f>
        <v/>
      </c>
      <c r="B4311" s="64" t="s">
        <v>37</v>
      </c>
      <c r="C4311" s="53" t="n">
        <v>558</v>
      </c>
      <c r="D4311" s="53" t="n">
        <v>2</v>
      </c>
      <c r="E4311" s="65" t="str">
        <f aca="false">IF($H4311="","",资金流水!$B558)</f>
        <v/>
      </c>
      <c r="F4311" s="55" t="str">
        <f aca="false">IF($H4311="","",资金流水!$C558)</f>
        <v/>
      </c>
      <c r="G4311" s="48" t="str">
        <f aca="false">IF($H4311="","",资金流水!$K558)</f>
        <v/>
      </c>
      <c r="H4311" s="10" t="str">
        <f aca="false">IF($L4311="","",IF($L4311="@对方",资金流水!$G558,IF($L4311="@账户",资金流水!$Q558,$L4311)))</f>
        <v/>
      </c>
      <c r="I4311" s="42" t="n">
        <f aca="false">IF($M4311="借",$O4311,0)</f>
        <v>0</v>
      </c>
      <c r="J4311" s="42" t="n">
        <f aca="false">IF($M4311="贷",$O4311,0)</f>
        <v>0</v>
      </c>
      <c r="K4311" s="48" t="str">
        <f aca="false">IF($H4311="","",资金流水!$F558)</f>
        <v/>
      </c>
      <c r="L4311" s="66" t="str">
        <f aca="false">IF(资金流水!$E558="","",IFERROR(INDEX(记账规则!$A$13:$H$32,MATCH(资金流水!$E558,记账规则!$A$13:$A$32,0),6),""))</f>
        <v/>
      </c>
      <c r="M4311" s="66" t="str">
        <f aca="false">IF($L4311="","",IFERROR(INDEX(记账规则!$A$13:$H$32,MATCH(资金流水!$E558,记账规则!$A$13:$A$32,0),7),""))</f>
        <v/>
      </c>
      <c r="N4311" s="66" t="str">
        <f aca="false">IF($L4311="","",IFERROR(INDEX(记账规则!$A$13:$H$32,MATCH(资金流水!$E558,记账规则!$A$13:$A$32,0),8),""))</f>
        <v/>
      </c>
      <c r="O4311" s="67" t="n">
        <f aca="false">IF($H4311="",0,ROUND(IF($N4311="金额",N(资金流水!$P558),0),2))</f>
        <v>0</v>
      </c>
      <c r="P4311" s="64" t="str">
        <f aca="false">IF(AND($H4311&lt;&gt;"",ROUND($O4311,2)&lt;&gt;0),"有","")</f>
        <v/>
      </c>
    </row>
    <row r="4312" customFormat="false" ht="15" hidden="true" customHeight="false" outlineLevel="0" collapsed="false">
      <c r="A4312" s="53" t="str">
        <f aca="false">IF($H4312="","",ROW()-5)</f>
        <v/>
      </c>
      <c r="B4312" s="64" t="s">
        <v>37</v>
      </c>
      <c r="C4312" s="53" t="n">
        <v>559</v>
      </c>
      <c r="D4312" s="53" t="n">
        <v>1</v>
      </c>
      <c r="E4312" s="65" t="str">
        <f aca="false">IF($H4312="","",资金流水!$B559)</f>
        <v/>
      </c>
      <c r="F4312" s="55" t="str">
        <f aca="false">IF($H4312="","",资金流水!$C559)</f>
        <v/>
      </c>
      <c r="G4312" s="48" t="str">
        <f aca="false">IF($H4312="","",资金流水!$K559)</f>
        <v/>
      </c>
      <c r="H4312" s="10" t="str">
        <f aca="false">IF($L4312="","",IF($L4312="@对方",资金流水!$G559,IF($L4312="@账户",资金流水!$Q559,$L4312)))</f>
        <v/>
      </c>
      <c r="I4312" s="42" t="n">
        <f aca="false">IF($M4312="借",$O4312,0)</f>
        <v>0</v>
      </c>
      <c r="J4312" s="42" t="n">
        <f aca="false">IF($M4312="贷",$O4312,0)</f>
        <v>0</v>
      </c>
      <c r="K4312" s="48" t="str">
        <f aca="false">IF($H4312="","",资金流水!$F559)</f>
        <v/>
      </c>
      <c r="L4312" s="66" t="str">
        <f aca="false">IF(资金流水!$E559="","",IFERROR(INDEX(记账规则!$A$13:$H$32,MATCH(资金流水!$E559,记账规则!$A$13:$A$32,0),3),""))</f>
        <v/>
      </c>
      <c r="M4312" s="66" t="str">
        <f aca="false">IF($L4312="","",IFERROR(INDEX(记账规则!$A$13:$H$32,MATCH(资金流水!$E559,记账规则!$A$13:$A$32,0),4),""))</f>
        <v/>
      </c>
      <c r="N4312" s="66" t="str">
        <f aca="false">IF($L4312="","",IFERROR(INDEX(记账规则!$A$13:$H$32,MATCH(资金流水!$E559,记账规则!$A$13:$A$32,0),5),""))</f>
        <v/>
      </c>
      <c r="O4312" s="67" t="n">
        <f aca="false">IF($H4312="",0,ROUND(IF($N4312="金额",N(资金流水!$P559),0),2))</f>
        <v>0</v>
      </c>
      <c r="P4312" s="64" t="str">
        <f aca="false">IF(AND($H4312&lt;&gt;"",ROUND($O4312,2)&lt;&gt;0),"有","")</f>
        <v/>
      </c>
    </row>
    <row r="4313" customFormat="false" ht="15" hidden="true" customHeight="false" outlineLevel="0" collapsed="false">
      <c r="A4313" s="53" t="str">
        <f aca="false">IF($H4313="","",ROW()-5)</f>
        <v/>
      </c>
      <c r="B4313" s="64" t="s">
        <v>37</v>
      </c>
      <c r="C4313" s="53" t="n">
        <v>559</v>
      </c>
      <c r="D4313" s="53" t="n">
        <v>2</v>
      </c>
      <c r="E4313" s="65" t="str">
        <f aca="false">IF($H4313="","",资金流水!$B559)</f>
        <v/>
      </c>
      <c r="F4313" s="55" t="str">
        <f aca="false">IF($H4313="","",资金流水!$C559)</f>
        <v/>
      </c>
      <c r="G4313" s="48" t="str">
        <f aca="false">IF($H4313="","",资金流水!$K559)</f>
        <v/>
      </c>
      <c r="H4313" s="10" t="str">
        <f aca="false">IF($L4313="","",IF($L4313="@对方",资金流水!$G559,IF($L4313="@账户",资金流水!$Q559,$L4313)))</f>
        <v/>
      </c>
      <c r="I4313" s="42" t="n">
        <f aca="false">IF($M4313="借",$O4313,0)</f>
        <v>0</v>
      </c>
      <c r="J4313" s="42" t="n">
        <f aca="false">IF($M4313="贷",$O4313,0)</f>
        <v>0</v>
      </c>
      <c r="K4313" s="48" t="str">
        <f aca="false">IF($H4313="","",资金流水!$F559)</f>
        <v/>
      </c>
      <c r="L4313" s="66" t="str">
        <f aca="false">IF(资金流水!$E559="","",IFERROR(INDEX(记账规则!$A$13:$H$32,MATCH(资金流水!$E559,记账规则!$A$13:$A$32,0),6),""))</f>
        <v/>
      </c>
      <c r="M4313" s="66" t="str">
        <f aca="false">IF($L4313="","",IFERROR(INDEX(记账规则!$A$13:$H$32,MATCH(资金流水!$E559,记账规则!$A$13:$A$32,0),7),""))</f>
        <v/>
      </c>
      <c r="N4313" s="66" t="str">
        <f aca="false">IF($L4313="","",IFERROR(INDEX(记账规则!$A$13:$H$32,MATCH(资金流水!$E559,记账规则!$A$13:$A$32,0),8),""))</f>
        <v/>
      </c>
      <c r="O4313" s="67" t="n">
        <f aca="false">IF($H4313="",0,ROUND(IF($N4313="金额",N(资金流水!$P559),0),2))</f>
        <v>0</v>
      </c>
      <c r="P4313" s="64" t="str">
        <f aca="false">IF(AND($H4313&lt;&gt;"",ROUND($O4313,2)&lt;&gt;0),"有","")</f>
        <v/>
      </c>
    </row>
    <row r="4314" customFormat="false" ht="15" hidden="true" customHeight="false" outlineLevel="0" collapsed="false">
      <c r="A4314" s="53" t="str">
        <f aca="false">IF($H4314="","",ROW()-5)</f>
        <v/>
      </c>
      <c r="B4314" s="64" t="s">
        <v>37</v>
      </c>
      <c r="C4314" s="53" t="n">
        <v>560</v>
      </c>
      <c r="D4314" s="53" t="n">
        <v>1</v>
      </c>
      <c r="E4314" s="65" t="str">
        <f aca="false">IF($H4314="","",资金流水!$B560)</f>
        <v/>
      </c>
      <c r="F4314" s="55" t="str">
        <f aca="false">IF($H4314="","",资金流水!$C560)</f>
        <v/>
      </c>
      <c r="G4314" s="48" t="str">
        <f aca="false">IF($H4314="","",资金流水!$K560)</f>
        <v/>
      </c>
      <c r="H4314" s="10" t="str">
        <f aca="false">IF($L4314="","",IF($L4314="@对方",资金流水!$G560,IF($L4314="@账户",资金流水!$Q560,$L4314)))</f>
        <v/>
      </c>
      <c r="I4314" s="42" t="n">
        <f aca="false">IF($M4314="借",$O4314,0)</f>
        <v>0</v>
      </c>
      <c r="J4314" s="42" t="n">
        <f aca="false">IF($M4314="贷",$O4314,0)</f>
        <v>0</v>
      </c>
      <c r="K4314" s="48" t="str">
        <f aca="false">IF($H4314="","",资金流水!$F560)</f>
        <v/>
      </c>
      <c r="L4314" s="66" t="str">
        <f aca="false">IF(资金流水!$E560="","",IFERROR(INDEX(记账规则!$A$13:$H$32,MATCH(资金流水!$E560,记账规则!$A$13:$A$32,0),3),""))</f>
        <v/>
      </c>
      <c r="M4314" s="66" t="str">
        <f aca="false">IF($L4314="","",IFERROR(INDEX(记账规则!$A$13:$H$32,MATCH(资金流水!$E560,记账规则!$A$13:$A$32,0),4),""))</f>
        <v/>
      </c>
      <c r="N4314" s="66" t="str">
        <f aca="false">IF($L4314="","",IFERROR(INDEX(记账规则!$A$13:$H$32,MATCH(资金流水!$E560,记账规则!$A$13:$A$32,0),5),""))</f>
        <v/>
      </c>
      <c r="O4314" s="67" t="n">
        <f aca="false">IF($H4314="",0,ROUND(IF($N4314="金额",N(资金流水!$P560),0),2))</f>
        <v>0</v>
      </c>
      <c r="P4314" s="64" t="str">
        <f aca="false">IF(AND($H4314&lt;&gt;"",ROUND($O4314,2)&lt;&gt;0),"有","")</f>
        <v/>
      </c>
    </row>
    <row r="4315" customFormat="false" ht="15" hidden="true" customHeight="false" outlineLevel="0" collapsed="false">
      <c r="A4315" s="53" t="str">
        <f aca="false">IF($H4315="","",ROW()-5)</f>
        <v/>
      </c>
      <c r="B4315" s="64" t="s">
        <v>37</v>
      </c>
      <c r="C4315" s="53" t="n">
        <v>560</v>
      </c>
      <c r="D4315" s="53" t="n">
        <v>2</v>
      </c>
      <c r="E4315" s="65" t="str">
        <f aca="false">IF($H4315="","",资金流水!$B560)</f>
        <v/>
      </c>
      <c r="F4315" s="55" t="str">
        <f aca="false">IF($H4315="","",资金流水!$C560)</f>
        <v/>
      </c>
      <c r="G4315" s="48" t="str">
        <f aca="false">IF($H4315="","",资金流水!$K560)</f>
        <v/>
      </c>
      <c r="H4315" s="10" t="str">
        <f aca="false">IF($L4315="","",IF($L4315="@对方",资金流水!$G560,IF($L4315="@账户",资金流水!$Q560,$L4315)))</f>
        <v/>
      </c>
      <c r="I4315" s="42" t="n">
        <f aca="false">IF($M4315="借",$O4315,0)</f>
        <v>0</v>
      </c>
      <c r="J4315" s="42" t="n">
        <f aca="false">IF($M4315="贷",$O4315,0)</f>
        <v>0</v>
      </c>
      <c r="K4315" s="48" t="str">
        <f aca="false">IF($H4315="","",资金流水!$F560)</f>
        <v/>
      </c>
      <c r="L4315" s="66" t="str">
        <f aca="false">IF(资金流水!$E560="","",IFERROR(INDEX(记账规则!$A$13:$H$32,MATCH(资金流水!$E560,记账规则!$A$13:$A$32,0),6),""))</f>
        <v/>
      </c>
      <c r="M4315" s="66" t="str">
        <f aca="false">IF($L4315="","",IFERROR(INDEX(记账规则!$A$13:$H$32,MATCH(资金流水!$E560,记账规则!$A$13:$A$32,0),7),""))</f>
        <v/>
      </c>
      <c r="N4315" s="66" t="str">
        <f aca="false">IF($L4315="","",IFERROR(INDEX(记账规则!$A$13:$H$32,MATCH(资金流水!$E560,记账规则!$A$13:$A$32,0),8),""))</f>
        <v/>
      </c>
      <c r="O4315" s="67" t="n">
        <f aca="false">IF($H4315="",0,ROUND(IF($N4315="金额",N(资金流水!$P560),0),2))</f>
        <v>0</v>
      </c>
      <c r="P4315" s="64" t="str">
        <f aca="false">IF(AND($H4315&lt;&gt;"",ROUND($O4315,2)&lt;&gt;0),"有","")</f>
        <v/>
      </c>
    </row>
    <row r="4316" customFormat="false" ht="15" hidden="true" customHeight="false" outlineLevel="0" collapsed="false">
      <c r="A4316" s="53" t="str">
        <f aca="false">IF($H4316="","",ROW()-5)</f>
        <v/>
      </c>
      <c r="B4316" s="64" t="s">
        <v>37</v>
      </c>
      <c r="C4316" s="53" t="n">
        <v>561</v>
      </c>
      <c r="D4316" s="53" t="n">
        <v>1</v>
      </c>
      <c r="E4316" s="65" t="str">
        <f aca="false">IF($H4316="","",资金流水!$B561)</f>
        <v/>
      </c>
      <c r="F4316" s="55" t="str">
        <f aca="false">IF($H4316="","",资金流水!$C561)</f>
        <v/>
      </c>
      <c r="G4316" s="48" t="str">
        <f aca="false">IF($H4316="","",资金流水!$K561)</f>
        <v/>
      </c>
      <c r="H4316" s="10" t="str">
        <f aca="false">IF($L4316="","",IF($L4316="@对方",资金流水!$G561,IF($L4316="@账户",资金流水!$Q561,$L4316)))</f>
        <v/>
      </c>
      <c r="I4316" s="42" t="n">
        <f aca="false">IF($M4316="借",$O4316,0)</f>
        <v>0</v>
      </c>
      <c r="J4316" s="42" t="n">
        <f aca="false">IF($M4316="贷",$O4316,0)</f>
        <v>0</v>
      </c>
      <c r="K4316" s="48" t="str">
        <f aca="false">IF($H4316="","",资金流水!$F561)</f>
        <v/>
      </c>
      <c r="L4316" s="66" t="str">
        <f aca="false">IF(资金流水!$E561="","",IFERROR(INDEX(记账规则!$A$13:$H$32,MATCH(资金流水!$E561,记账规则!$A$13:$A$32,0),3),""))</f>
        <v/>
      </c>
      <c r="M4316" s="66" t="str">
        <f aca="false">IF($L4316="","",IFERROR(INDEX(记账规则!$A$13:$H$32,MATCH(资金流水!$E561,记账规则!$A$13:$A$32,0),4),""))</f>
        <v/>
      </c>
      <c r="N4316" s="66" t="str">
        <f aca="false">IF($L4316="","",IFERROR(INDEX(记账规则!$A$13:$H$32,MATCH(资金流水!$E561,记账规则!$A$13:$A$32,0),5),""))</f>
        <v/>
      </c>
      <c r="O4316" s="67" t="n">
        <f aca="false">IF($H4316="",0,ROUND(IF($N4316="金额",N(资金流水!$P561),0),2))</f>
        <v>0</v>
      </c>
      <c r="P4316" s="64" t="str">
        <f aca="false">IF(AND($H4316&lt;&gt;"",ROUND($O4316,2)&lt;&gt;0),"有","")</f>
        <v/>
      </c>
    </row>
    <row r="4317" customFormat="false" ht="15" hidden="true" customHeight="false" outlineLevel="0" collapsed="false">
      <c r="A4317" s="53" t="str">
        <f aca="false">IF($H4317="","",ROW()-5)</f>
        <v/>
      </c>
      <c r="B4317" s="64" t="s">
        <v>37</v>
      </c>
      <c r="C4317" s="53" t="n">
        <v>561</v>
      </c>
      <c r="D4317" s="53" t="n">
        <v>2</v>
      </c>
      <c r="E4317" s="65" t="str">
        <f aca="false">IF($H4317="","",资金流水!$B561)</f>
        <v/>
      </c>
      <c r="F4317" s="55" t="str">
        <f aca="false">IF($H4317="","",资金流水!$C561)</f>
        <v/>
      </c>
      <c r="G4317" s="48" t="str">
        <f aca="false">IF($H4317="","",资金流水!$K561)</f>
        <v/>
      </c>
      <c r="H4317" s="10" t="str">
        <f aca="false">IF($L4317="","",IF($L4317="@对方",资金流水!$G561,IF($L4317="@账户",资金流水!$Q561,$L4317)))</f>
        <v/>
      </c>
      <c r="I4317" s="42" t="n">
        <f aca="false">IF($M4317="借",$O4317,0)</f>
        <v>0</v>
      </c>
      <c r="J4317" s="42" t="n">
        <f aca="false">IF($M4317="贷",$O4317,0)</f>
        <v>0</v>
      </c>
      <c r="K4317" s="48" t="str">
        <f aca="false">IF($H4317="","",资金流水!$F561)</f>
        <v/>
      </c>
      <c r="L4317" s="66" t="str">
        <f aca="false">IF(资金流水!$E561="","",IFERROR(INDEX(记账规则!$A$13:$H$32,MATCH(资金流水!$E561,记账规则!$A$13:$A$32,0),6),""))</f>
        <v/>
      </c>
      <c r="M4317" s="66" t="str">
        <f aca="false">IF($L4317="","",IFERROR(INDEX(记账规则!$A$13:$H$32,MATCH(资金流水!$E561,记账规则!$A$13:$A$32,0),7),""))</f>
        <v/>
      </c>
      <c r="N4317" s="66" t="str">
        <f aca="false">IF($L4317="","",IFERROR(INDEX(记账规则!$A$13:$H$32,MATCH(资金流水!$E561,记账规则!$A$13:$A$32,0),8),""))</f>
        <v/>
      </c>
      <c r="O4317" s="67" t="n">
        <f aca="false">IF($H4317="",0,ROUND(IF($N4317="金额",N(资金流水!$P561),0),2))</f>
        <v>0</v>
      </c>
      <c r="P4317" s="64" t="str">
        <f aca="false">IF(AND($H4317&lt;&gt;"",ROUND($O4317,2)&lt;&gt;0),"有","")</f>
        <v/>
      </c>
    </row>
    <row r="4318" customFormat="false" ht="15" hidden="true" customHeight="false" outlineLevel="0" collapsed="false">
      <c r="A4318" s="53" t="str">
        <f aca="false">IF($H4318="","",ROW()-5)</f>
        <v/>
      </c>
      <c r="B4318" s="64" t="s">
        <v>37</v>
      </c>
      <c r="C4318" s="53" t="n">
        <v>562</v>
      </c>
      <c r="D4318" s="53" t="n">
        <v>1</v>
      </c>
      <c r="E4318" s="65" t="str">
        <f aca="false">IF($H4318="","",资金流水!$B562)</f>
        <v/>
      </c>
      <c r="F4318" s="55" t="str">
        <f aca="false">IF($H4318="","",资金流水!$C562)</f>
        <v/>
      </c>
      <c r="G4318" s="48" t="str">
        <f aca="false">IF($H4318="","",资金流水!$K562)</f>
        <v/>
      </c>
      <c r="H4318" s="10" t="str">
        <f aca="false">IF($L4318="","",IF($L4318="@对方",资金流水!$G562,IF($L4318="@账户",资金流水!$Q562,$L4318)))</f>
        <v/>
      </c>
      <c r="I4318" s="42" t="n">
        <f aca="false">IF($M4318="借",$O4318,0)</f>
        <v>0</v>
      </c>
      <c r="J4318" s="42" t="n">
        <f aca="false">IF($M4318="贷",$O4318,0)</f>
        <v>0</v>
      </c>
      <c r="K4318" s="48" t="str">
        <f aca="false">IF($H4318="","",资金流水!$F562)</f>
        <v/>
      </c>
      <c r="L4318" s="66" t="str">
        <f aca="false">IF(资金流水!$E562="","",IFERROR(INDEX(记账规则!$A$13:$H$32,MATCH(资金流水!$E562,记账规则!$A$13:$A$32,0),3),""))</f>
        <v/>
      </c>
      <c r="M4318" s="66" t="str">
        <f aca="false">IF($L4318="","",IFERROR(INDEX(记账规则!$A$13:$H$32,MATCH(资金流水!$E562,记账规则!$A$13:$A$32,0),4),""))</f>
        <v/>
      </c>
      <c r="N4318" s="66" t="str">
        <f aca="false">IF($L4318="","",IFERROR(INDEX(记账规则!$A$13:$H$32,MATCH(资金流水!$E562,记账规则!$A$13:$A$32,0),5),""))</f>
        <v/>
      </c>
      <c r="O4318" s="67" t="n">
        <f aca="false">IF($H4318="",0,ROUND(IF($N4318="金额",N(资金流水!$P562),0),2))</f>
        <v>0</v>
      </c>
      <c r="P4318" s="64" t="str">
        <f aca="false">IF(AND($H4318&lt;&gt;"",ROUND($O4318,2)&lt;&gt;0),"有","")</f>
        <v/>
      </c>
    </row>
    <row r="4319" customFormat="false" ht="15" hidden="true" customHeight="false" outlineLevel="0" collapsed="false">
      <c r="A4319" s="53" t="str">
        <f aca="false">IF($H4319="","",ROW()-5)</f>
        <v/>
      </c>
      <c r="B4319" s="64" t="s">
        <v>37</v>
      </c>
      <c r="C4319" s="53" t="n">
        <v>562</v>
      </c>
      <c r="D4319" s="53" t="n">
        <v>2</v>
      </c>
      <c r="E4319" s="65" t="str">
        <f aca="false">IF($H4319="","",资金流水!$B562)</f>
        <v/>
      </c>
      <c r="F4319" s="55" t="str">
        <f aca="false">IF($H4319="","",资金流水!$C562)</f>
        <v/>
      </c>
      <c r="G4319" s="48" t="str">
        <f aca="false">IF($H4319="","",资金流水!$K562)</f>
        <v/>
      </c>
      <c r="H4319" s="10" t="str">
        <f aca="false">IF($L4319="","",IF($L4319="@对方",资金流水!$G562,IF($L4319="@账户",资金流水!$Q562,$L4319)))</f>
        <v/>
      </c>
      <c r="I4319" s="42" t="n">
        <f aca="false">IF($M4319="借",$O4319,0)</f>
        <v>0</v>
      </c>
      <c r="J4319" s="42" t="n">
        <f aca="false">IF($M4319="贷",$O4319,0)</f>
        <v>0</v>
      </c>
      <c r="K4319" s="48" t="str">
        <f aca="false">IF($H4319="","",资金流水!$F562)</f>
        <v/>
      </c>
      <c r="L4319" s="66" t="str">
        <f aca="false">IF(资金流水!$E562="","",IFERROR(INDEX(记账规则!$A$13:$H$32,MATCH(资金流水!$E562,记账规则!$A$13:$A$32,0),6),""))</f>
        <v/>
      </c>
      <c r="M4319" s="66" t="str">
        <f aca="false">IF($L4319="","",IFERROR(INDEX(记账规则!$A$13:$H$32,MATCH(资金流水!$E562,记账规则!$A$13:$A$32,0),7),""))</f>
        <v/>
      </c>
      <c r="N4319" s="66" t="str">
        <f aca="false">IF($L4319="","",IFERROR(INDEX(记账规则!$A$13:$H$32,MATCH(资金流水!$E562,记账规则!$A$13:$A$32,0),8),""))</f>
        <v/>
      </c>
      <c r="O4319" s="67" t="n">
        <f aca="false">IF($H4319="",0,ROUND(IF($N4319="金额",N(资金流水!$P562),0),2))</f>
        <v>0</v>
      </c>
      <c r="P4319" s="64" t="str">
        <f aca="false">IF(AND($H4319&lt;&gt;"",ROUND($O4319,2)&lt;&gt;0),"有","")</f>
        <v/>
      </c>
    </row>
    <row r="4320" customFormat="false" ht="15" hidden="true" customHeight="false" outlineLevel="0" collapsed="false">
      <c r="A4320" s="53" t="str">
        <f aca="false">IF($H4320="","",ROW()-5)</f>
        <v/>
      </c>
      <c r="B4320" s="64" t="s">
        <v>37</v>
      </c>
      <c r="C4320" s="53" t="n">
        <v>563</v>
      </c>
      <c r="D4320" s="53" t="n">
        <v>1</v>
      </c>
      <c r="E4320" s="65" t="str">
        <f aca="false">IF($H4320="","",资金流水!$B563)</f>
        <v/>
      </c>
      <c r="F4320" s="55" t="str">
        <f aca="false">IF($H4320="","",资金流水!$C563)</f>
        <v/>
      </c>
      <c r="G4320" s="48" t="str">
        <f aca="false">IF($H4320="","",资金流水!$K563)</f>
        <v/>
      </c>
      <c r="H4320" s="10" t="str">
        <f aca="false">IF($L4320="","",IF($L4320="@对方",资金流水!$G563,IF($L4320="@账户",资金流水!$Q563,$L4320)))</f>
        <v/>
      </c>
      <c r="I4320" s="42" t="n">
        <f aca="false">IF($M4320="借",$O4320,0)</f>
        <v>0</v>
      </c>
      <c r="J4320" s="42" t="n">
        <f aca="false">IF($M4320="贷",$O4320,0)</f>
        <v>0</v>
      </c>
      <c r="K4320" s="48" t="str">
        <f aca="false">IF($H4320="","",资金流水!$F563)</f>
        <v/>
      </c>
      <c r="L4320" s="66" t="str">
        <f aca="false">IF(资金流水!$E563="","",IFERROR(INDEX(记账规则!$A$13:$H$32,MATCH(资金流水!$E563,记账规则!$A$13:$A$32,0),3),""))</f>
        <v/>
      </c>
      <c r="M4320" s="66" t="str">
        <f aca="false">IF($L4320="","",IFERROR(INDEX(记账规则!$A$13:$H$32,MATCH(资金流水!$E563,记账规则!$A$13:$A$32,0),4),""))</f>
        <v/>
      </c>
      <c r="N4320" s="66" t="str">
        <f aca="false">IF($L4320="","",IFERROR(INDEX(记账规则!$A$13:$H$32,MATCH(资金流水!$E563,记账规则!$A$13:$A$32,0),5),""))</f>
        <v/>
      </c>
      <c r="O4320" s="67" t="n">
        <f aca="false">IF($H4320="",0,ROUND(IF($N4320="金额",N(资金流水!$P563),0),2))</f>
        <v>0</v>
      </c>
      <c r="P4320" s="64" t="str">
        <f aca="false">IF(AND($H4320&lt;&gt;"",ROUND($O4320,2)&lt;&gt;0),"有","")</f>
        <v/>
      </c>
    </row>
    <row r="4321" customFormat="false" ht="15" hidden="true" customHeight="false" outlineLevel="0" collapsed="false">
      <c r="A4321" s="53" t="str">
        <f aca="false">IF($H4321="","",ROW()-5)</f>
        <v/>
      </c>
      <c r="B4321" s="64" t="s">
        <v>37</v>
      </c>
      <c r="C4321" s="53" t="n">
        <v>563</v>
      </c>
      <c r="D4321" s="53" t="n">
        <v>2</v>
      </c>
      <c r="E4321" s="65" t="str">
        <f aca="false">IF($H4321="","",资金流水!$B563)</f>
        <v/>
      </c>
      <c r="F4321" s="55" t="str">
        <f aca="false">IF($H4321="","",资金流水!$C563)</f>
        <v/>
      </c>
      <c r="G4321" s="48" t="str">
        <f aca="false">IF($H4321="","",资金流水!$K563)</f>
        <v/>
      </c>
      <c r="H4321" s="10" t="str">
        <f aca="false">IF($L4321="","",IF($L4321="@对方",资金流水!$G563,IF($L4321="@账户",资金流水!$Q563,$L4321)))</f>
        <v/>
      </c>
      <c r="I4321" s="42" t="n">
        <f aca="false">IF($M4321="借",$O4321,0)</f>
        <v>0</v>
      </c>
      <c r="J4321" s="42" t="n">
        <f aca="false">IF($M4321="贷",$O4321,0)</f>
        <v>0</v>
      </c>
      <c r="K4321" s="48" t="str">
        <f aca="false">IF($H4321="","",资金流水!$F563)</f>
        <v/>
      </c>
      <c r="L4321" s="66" t="str">
        <f aca="false">IF(资金流水!$E563="","",IFERROR(INDEX(记账规则!$A$13:$H$32,MATCH(资金流水!$E563,记账规则!$A$13:$A$32,0),6),""))</f>
        <v/>
      </c>
      <c r="M4321" s="66" t="str">
        <f aca="false">IF($L4321="","",IFERROR(INDEX(记账规则!$A$13:$H$32,MATCH(资金流水!$E563,记账规则!$A$13:$A$32,0),7),""))</f>
        <v/>
      </c>
      <c r="N4321" s="66" t="str">
        <f aca="false">IF($L4321="","",IFERROR(INDEX(记账规则!$A$13:$H$32,MATCH(资金流水!$E563,记账规则!$A$13:$A$32,0),8),""))</f>
        <v/>
      </c>
      <c r="O4321" s="67" t="n">
        <f aca="false">IF($H4321="",0,ROUND(IF($N4321="金额",N(资金流水!$P563),0),2))</f>
        <v>0</v>
      </c>
      <c r="P4321" s="64" t="str">
        <f aca="false">IF(AND($H4321&lt;&gt;"",ROUND($O4321,2)&lt;&gt;0),"有","")</f>
        <v/>
      </c>
    </row>
    <row r="4322" customFormat="false" ht="15" hidden="true" customHeight="false" outlineLevel="0" collapsed="false">
      <c r="A4322" s="53" t="str">
        <f aca="false">IF($H4322="","",ROW()-5)</f>
        <v/>
      </c>
      <c r="B4322" s="64" t="s">
        <v>37</v>
      </c>
      <c r="C4322" s="53" t="n">
        <v>564</v>
      </c>
      <c r="D4322" s="53" t="n">
        <v>1</v>
      </c>
      <c r="E4322" s="65" t="str">
        <f aca="false">IF($H4322="","",资金流水!$B564)</f>
        <v/>
      </c>
      <c r="F4322" s="55" t="str">
        <f aca="false">IF($H4322="","",资金流水!$C564)</f>
        <v/>
      </c>
      <c r="G4322" s="48" t="str">
        <f aca="false">IF($H4322="","",资金流水!$K564)</f>
        <v/>
      </c>
      <c r="H4322" s="10" t="str">
        <f aca="false">IF($L4322="","",IF($L4322="@对方",资金流水!$G564,IF($L4322="@账户",资金流水!$Q564,$L4322)))</f>
        <v/>
      </c>
      <c r="I4322" s="42" t="n">
        <f aca="false">IF($M4322="借",$O4322,0)</f>
        <v>0</v>
      </c>
      <c r="J4322" s="42" t="n">
        <f aca="false">IF($M4322="贷",$O4322,0)</f>
        <v>0</v>
      </c>
      <c r="K4322" s="48" t="str">
        <f aca="false">IF($H4322="","",资金流水!$F564)</f>
        <v/>
      </c>
      <c r="L4322" s="66" t="str">
        <f aca="false">IF(资金流水!$E564="","",IFERROR(INDEX(记账规则!$A$13:$H$32,MATCH(资金流水!$E564,记账规则!$A$13:$A$32,0),3),""))</f>
        <v/>
      </c>
      <c r="M4322" s="66" t="str">
        <f aca="false">IF($L4322="","",IFERROR(INDEX(记账规则!$A$13:$H$32,MATCH(资金流水!$E564,记账规则!$A$13:$A$32,0),4),""))</f>
        <v/>
      </c>
      <c r="N4322" s="66" t="str">
        <f aca="false">IF($L4322="","",IFERROR(INDEX(记账规则!$A$13:$H$32,MATCH(资金流水!$E564,记账规则!$A$13:$A$32,0),5),""))</f>
        <v/>
      </c>
      <c r="O4322" s="67" t="n">
        <f aca="false">IF($H4322="",0,ROUND(IF($N4322="金额",N(资金流水!$P564),0),2))</f>
        <v>0</v>
      </c>
      <c r="P4322" s="64" t="str">
        <f aca="false">IF(AND($H4322&lt;&gt;"",ROUND($O4322,2)&lt;&gt;0),"有","")</f>
        <v/>
      </c>
    </row>
    <row r="4323" customFormat="false" ht="15" hidden="true" customHeight="false" outlineLevel="0" collapsed="false">
      <c r="A4323" s="53" t="str">
        <f aca="false">IF($H4323="","",ROW()-5)</f>
        <v/>
      </c>
      <c r="B4323" s="64" t="s">
        <v>37</v>
      </c>
      <c r="C4323" s="53" t="n">
        <v>564</v>
      </c>
      <c r="D4323" s="53" t="n">
        <v>2</v>
      </c>
      <c r="E4323" s="65" t="str">
        <f aca="false">IF($H4323="","",资金流水!$B564)</f>
        <v/>
      </c>
      <c r="F4323" s="55" t="str">
        <f aca="false">IF($H4323="","",资金流水!$C564)</f>
        <v/>
      </c>
      <c r="G4323" s="48" t="str">
        <f aca="false">IF($H4323="","",资金流水!$K564)</f>
        <v/>
      </c>
      <c r="H4323" s="10" t="str">
        <f aca="false">IF($L4323="","",IF($L4323="@对方",资金流水!$G564,IF($L4323="@账户",资金流水!$Q564,$L4323)))</f>
        <v/>
      </c>
      <c r="I4323" s="42" t="n">
        <f aca="false">IF($M4323="借",$O4323,0)</f>
        <v>0</v>
      </c>
      <c r="J4323" s="42" t="n">
        <f aca="false">IF($M4323="贷",$O4323,0)</f>
        <v>0</v>
      </c>
      <c r="K4323" s="48" t="str">
        <f aca="false">IF($H4323="","",资金流水!$F564)</f>
        <v/>
      </c>
      <c r="L4323" s="66" t="str">
        <f aca="false">IF(资金流水!$E564="","",IFERROR(INDEX(记账规则!$A$13:$H$32,MATCH(资金流水!$E564,记账规则!$A$13:$A$32,0),6),""))</f>
        <v/>
      </c>
      <c r="M4323" s="66" t="str">
        <f aca="false">IF($L4323="","",IFERROR(INDEX(记账规则!$A$13:$H$32,MATCH(资金流水!$E564,记账规则!$A$13:$A$32,0),7),""))</f>
        <v/>
      </c>
      <c r="N4323" s="66" t="str">
        <f aca="false">IF($L4323="","",IFERROR(INDEX(记账规则!$A$13:$H$32,MATCH(资金流水!$E564,记账规则!$A$13:$A$32,0),8),""))</f>
        <v/>
      </c>
      <c r="O4323" s="67" t="n">
        <f aca="false">IF($H4323="",0,ROUND(IF($N4323="金额",N(资金流水!$P564),0),2))</f>
        <v>0</v>
      </c>
      <c r="P4323" s="64" t="str">
        <f aca="false">IF(AND($H4323&lt;&gt;"",ROUND($O4323,2)&lt;&gt;0),"有","")</f>
        <v/>
      </c>
    </row>
    <row r="4324" customFormat="false" ht="15" hidden="true" customHeight="false" outlineLevel="0" collapsed="false">
      <c r="A4324" s="53" t="str">
        <f aca="false">IF($H4324="","",ROW()-5)</f>
        <v/>
      </c>
      <c r="B4324" s="64" t="s">
        <v>37</v>
      </c>
      <c r="C4324" s="53" t="n">
        <v>565</v>
      </c>
      <c r="D4324" s="53" t="n">
        <v>1</v>
      </c>
      <c r="E4324" s="65" t="str">
        <f aca="false">IF($H4324="","",资金流水!$B565)</f>
        <v/>
      </c>
      <c r="F4324" s="55" t="str">
        <f aca="false">IF($H4324="","",资金流水!$C565)</f>
        <v/>
      </c>
      <c r="G4324" s="48" t="str">
        <f aca="false">IF($H4324="","",资金流水!$K565)</f>
        <v/>
      </c>
      <c r="H4324" s="10" t="str">
        <f aca="false">IF($L4324="","",IF($L4324="@对方",资金流水!$G565,IF($L4324="@账户",资金流水!$Q565,$L4324)))</f>
        <v/>
      </c>
      <c r="I4324" s="42" t="n">
        <f aca="false">IF($M4324="借",$O4324,0)</f>
        <v>0</v>
      </c>
      <c r="J4324" s="42" t="n">
        <f aca="false">IF($M4324="贷",$O4324,0)</f>
        <v>0</v>
      </c>
      <c r="K4324" s="48" t="str">
        <f aca="false">IF($H4324="","",资金流水!$F565)</f>
        <v/>
      </c>
      <c r="L4324" s="66" t="str">
        <f aca="false">IF(资金流水!$E565="","",IFERROR(INDEX(记账规则!$A$13:$H$32,MATCH(资金流水!$E565,记账规则!$A$13:$A$32,0),3),""))</f>
        <v/>
      </c>
      <c r="M4324" s="66" t="str">
        <f aca="false">IF($L4324="","",IFERROR(INDEX(记账规则!$A$13:$H$32,MATCH(资金流水!$E565,记账规则!$A$13:$A$32,0),4),""))</f>
        <v/>
      </c>
      <c r="N4324" s="66" t="str">
        <f aca="false">IF($L4324="","",IFERROR(INDEX(记账规则!$A$13:$H$32,MATCH(资金流水!$E565,记账规则!$A$13:$A$32,0),5),""))</f>
        <v/>
      </c>
      <c r="O4324" s="67" t="n">
        <f aca="false">IF($H4324="",0,ROUND(IF($N4324="金额",N(资金流水!$P565),0),2))</f>
        <v>0</v>
      </c>
      <c r="P4324" s="64" t="str">
        <f aca="false">IF(AND($H4324&lt;&gt;"",ROUND($O4324,2)&lt;&gt;0),"有","")</f>
        <v/>
      </c>
    </row>
    <row r="4325" customFormat="false" ht="15" hidden="true" customHeight="false" outlineLevel="0" collapsed="false">
      <c r="A4325" s="53" t="str">
        <f aca="false">IF($H4325="","",ROW()-5)</f>
        <v/>
      </c>
      <c r="B4325" s="64" t="s">
        <v>37</v>
      </c>
      <c r="C4325" s="53" t="n">
        <v>565</v>
      </c>
      <c r="D4325" s="53" t="n">
        <v>2</v>
      </c>
      <c r="E4325" s="65" t="str">
        <f aca="false">IF($H4325="","",资金流水!$B565)</f>
        <v/>
      </c>
      <c r="F4325" s="55" t="str">
        <f aca="false">IF($H4325="","",资金流水!$C565)</f>
        <v/>
      </c>
      <c r="G4325" s="48" t="str">
        <f aca="false">IF($H4325="","",资金流水!$K565)</f>
        <v/>
      </c>
      <c r="H4325" s="10" t="str">
        <f aca="false">IF($L4325="","",IF($L4325="@对方",资金流水!$G565,IF($L4325="@账户",资金流水!$Q565,$L4325)))</f>
        <v/>
      </c>
      <c r="I4325" s="42" t="n">
        <f aca="false">IF($M4325="借",$O4325,0)</f>
        <v>0</v>
      </c>
      <c r="J4325" s="42" t="n">
        <f aca="false">IF($M4325="贷",$O4325,0)</f>
        <v>0</v>
      </c>
      <c r="K4325" s="48" t="str">
        <f aca="false">IF($H4325="","",资金流水!$F565)</f>
        <v/>
      </c>
      <c r="L4325" s="66" t="str">
        <f aca="false">IF(资金流水!$E565="","",IFERROR(INDEX(记账规则!$A$13:$H$32,MATCH(资金流水!$E565,记账规则!$A$13:$A$32,0),6),""))</f>
        <v/>
      </c>
      <c r="M4325" s="66" t="str">
        <f aca="false">IF($L4325="","",IFERROR(INDEX(记账规则!$A$13:$H$32,MATCH(资金流水!$E565,记账规则!$A$13:$A$32,0),7),""))</f>
        <v/>
      </c>
      <c r="N4325" s="66" t="str">
        <f aca="false">IF($L4325="","",IFERROR(INDEX(记账规则!$A$13:$H$32,MATCH(资金流水!$E565,记账规则!$A$13:$A$32,0),8),""))</f>
        <v/>
      </c>
      <c r="O4325" s="67" t="n">
        <f aca="false">IF($H4325="",0,ROUND(IF($N4325="金额",N(资金流水!$P565),0),2))</f>
        <v>0</v>
      </c>
      <c r="P4325" s="64" t="str">
        <f aca="false">IF(AND($H4325&lt;&gt;"",ROUND($O4325,2)&lt;&gt;0),"有","")</f>
        <v/>
      </c>
    </row>
    <row r="4326" customFormat="false" ht="15" hidden="true" customHeight="false" outlineLevel="0" collapsed="false">
      <c r="A4326" s="53" t="str">
        <f aca="false">IF($H4326="","",ROW()-5)</f>
        <v/>
      </c>
      <c r="B4326" s="64" t="s">
        <v>37</v>
      </c>
      <c r="C4326" s="53" t="n">
        <v>566</v>
      </c>
      <c r="D4326" s="53" t="n">
        <v>1</v>
      </c>
      <c r="E4326" s="65" t="str">
        <f aca="false">IF($H4326="","",资金流水!$B566)</f>
        <v/>
      </c>
      <c r="F4326" s="55" t="str">
        <f aca="false">IF($H4326="","",资金流水!$C566)</f>
        <v/>
      </c>
      <c r="G4326" s="48" t="str">
        <f aca="false">IF($H4326="","",资金流水!$K566)</f>
        <v/>
      </c>
      <c r="H4326" s="10" t="str">
        <f aca="false">IF($L4326="","",IF($L4326="@对方",资金流水!$G566,IF($L4326="@账户",资金流水!$Q566,$L4326)))</f>
        <v/>
      </c>
      <c r="I4326" s="42" t="n">
        <f aca="false">IF($M4326="借",$O4326,0)</f>
        <v>0</v>
      </c>
      <c r="J4326" s="42" t="n">
        <f aca="false">IF($M4326="贷",$O4326,0)</f>
        <v>0</v>
      </c>
      <c r="K4326" s="48" t="str">
        <f aca="false">IF($H4326="","",资金流水!$F566)</f>
        <v/>
      </c>
      <c r="L4326" s="66" t="str">
        <f aca="false">IF(资金流水!$E566="","",IFERROR(INDEX(记账规则!$A$13:$H$32,MATCH(资金流水!$E566,记账规则!$A$13:$A$32,0),3),""))</f>
        <v/>
      </c>
      <c r="M4326" s="66" t="str">
        <f aca="false">IF($L4326="","",IFERROR(INDEX(记账规则!$A$13:$H$32,MATCH(资金流水!$E566,记账规则!$A$13:$A$32,0),4),""))</f>
        <v/>
      </c>
      <c r="N4326" s="66" t="str">
        <f aca="false">IF($L4326="","",IFERROR(INDEX(记账规则!$A$13:$H$32,MATCH(资金流水!$E566,记账规则!$A$13:$A$32,0),5),""))</f>
        <v/>
      </c>
      <c r="O4326" s="67" t="n">
        <f aca="false">IF($H4326="",0,ROUND(IF($N4326="金额",N(资金流水!$P566),0),2))</f>
        <v>0</v>
      </c>
      <c r="P4326" s="64" t="str">
        <f aca="false">IF(AND($H4326&lt;&gt;"",ROUND($O4326,2)&lt;&gt;0),"有","")</f>
        <v/>
      </c>
    </row>
    <row r="4327" customFormat="false" ht="15" hidden="true" customHeight="false" outlineLevel="0" collapsed="false">
      <c r="A4327" s="53" t="str">
        <f aca="false">IF($H4327="","",ROW()-5)</f>
        <v/>
      </c>
      <c r="B4327" s="64" t="s">
        <v>37</v>
      </c>
      <c r="C4327" s="53" t="n">
        <v>566</v>
      </c>
      <c r="D4327" s="53" t="n">
        <v>2</v>
      </c>
      <c r="E4327" s="65" t="str">
        <f aca="false">IF($H4327="","",资金流水!$B566)</f>
        <v/>
      </c>
      <c r="F4327" s="55" t="str">
        <f aca="false">IF($H4327="","",资金流水!$C566)</f>
        <v/>
      </c>
      <c r="G4327" s="48" t="str">
        <f aca="false">IF($H4327="","",资金流水!$K566)</f>
        <v/>
      </c>
      <c r="H4327" s="10" t="str">
        <f aca="false">IF($L4327="","",IF($L4327="@对方",资金流水!$G566,IF($L4327="@账户",资金流水!$Q566,$L4327)))</f>
        <v/>
      </c>
      <c r="I4327" s="42" t="n">
        <f aca="false">IF($M4327="借",$O4327,0)</f>
        <v>0</v>
      </c>
      <c r="J4327" s="42" t="n">
        <f aca="false">IF($M4327="贷",$O4327,0)</f>
        <v>0</v>
      </c>
      <c r="K4327" s="48" t="str">
        <f aca="false">IF($H4327="","",资金流水!$F566)</f>
        <v/>
      </c>
      <c r="L4327" s="66" t="str">
        <f aca="false">IF(资金流水!$E566="","",IFERROR(INDEX(记账规则!$A$13:$H$32,MATCH(资金流水!$E566,记账规则!$A$13:$A$32,0),6),""))</f>
        <v/>
      </c>
      <c r="M4327" s="66" t="str">
        <f aca="false">IF($L4327="","",IFERROR(INDEX(记账规则!$A$13:$H$32,MATCH(资金流水!$E566,记账规则!$A$13:$A$32,0),7),""))</f>
        <v/>
      </c>
      <c r="N4327" s="66" t="str">
        <f aca="false">IF($L4327="","",IFERROR(INDEX(记账规则!$A$13:$H$32,MATCH(资金流水!$E566,记账规则!$A$13:$A$32,0),8),""))</f>
        <v/>
      </c>
      <c r="O4327" s="67" t="n">
        <f aca="false">IF($H4327="",0,ROUND(IF($N4327="金额",N(资金流水!$P566),0),2))</f>
        <v>0</v>
      </c>
      <c r="P4327" s="64" t="str">
        <f aca="false">IF(AND($H4327&lt;&gt;"",ROUND($O4327,2)&lt;&gt;0),"有","")</f>
        <v/>
      </c>
    </row>
    <row r="4328" customFormat="false" ht="15" hidden="true" customHeight="false" outlineLevel="0" collapsed="false">
      <c r="A4328" s="53" t="str">
        <f aca="false">IF($H4328="","",ROW()-5)</f>
        <v/>
      </c>
      <c r="B4328" s="64" t="s">
        <v>37</v>
      </c>
      <c r="C4328" s="53" t="n">
        <v>567</v>
      </c>
      <c r="D4328" s="53" t="n">
        <v>1</v>
      </c>
      <c r="E4328" s="65" t="str">
        <f aca="false">IF($H4328="","",资金流水!$B567)</f>
        <v/>
      </c>
      <c r="F4328" s="55" t="str">
        <f aca="false">IF($H4328="","",资金流水!$C567)</f>
        <v/>
      </c>
      <c r="G4328" s="48" t="str">
        <f aca="false">IF($H4328="","",资金流水!$K567)</f>
        <v/>
      </c>
      <c r="H4328" s="10" t="str">
        <f aca="false">IF($L4328="","",IF($L4328="@对方",资金流水!$G567,IF($L4328="@账户",资金流水!$Q567,$L4328)))</f>
        <v/>
      </c>
      <c r="I4328" s="42" t="n">
        <f aca="false">IF($M4328="借",$O4328,0)</f>
        <v>0</v>
      </c>
      <c r="J4328" s="42" t="n">
        <f aca="false">IF($M4328="贷",$O4328,0)</f>
        <v>0</v>
      </c>
      <c r="K4328" s="48" t="str">
        <f aca="false">IF($H4328="","",资金流水!$F567)</f>
        <v/>
      </c>
      <c r="L4328" s="66" t="str">
        <f aca="false">IF(资金流水!$E567="","",IFERROR(INDEX(记账规则!$A$13:$H$32,MATCH(资金流水!$E567,记账规则!$A$13:$A$32,0),3),""))</f>
        <v/>
      </c>
      <c r="M4328" s="66" t="str">
        <f aca="false">IF($L4328="","",IFERROR(INDEX(记账规则!$A$13:$H$32,MATCH(资金流水!$E567,记账规则!$A$13:$A$32,0),4),""))</f>
        <v/>
      </c>
      <c r="N4328" s="66" t="str">
        <f aca="false">IF($L4328="","",IFERROR(INDEX(记账规则!$A$13:$H$32,MATCH(资金流水!$E567,记账规则!$A$13:$A$32,0),5),""))</f>
        <v/>
      </c>
      <c r="O4328" s="67" t="n">
        <f aca="false">IF($H4328="",0,ROUND(IF($N4328="金额",N(资金流水!$P567),0),2))</f>
        <v>0</v>
      </c>
      <c r="P4328" s="64" t="str">
        <f aca="false">IF(AND($H4328&lt;&gt;"",ROUND($O4328,2)&lt;&gt;0),"有","")</f>
        <v/>
      </c>
    </row>
    <row r="4329" customFormat="false" ht="15" hidden="true" customHeight="false" outlineLevel="0" collapsed="false">
      <c r="A4329" s="53" t="str">
        <f aca="false">IF($H4329="","",ROW()-5)</f>
        <v/>
      </c>
      <c r="B4329" s="64" t="s">
        <v>37</v>
      </c>
      <c r="C4329" s="53" t="n">
        <v>567</v>
      </c>
      <c r="D4329" s="53" t="n">
        <v>2</v>
      </c>
      <c r="E4329" s="65" t="str">
        <f aca="false">IF($H4329="","",资金流水!$B567)</f>
        <v/>
      </c>
      <c r="F4329" s="55" t="str">
        <f aca="false">IF($H4329="","",资金流水!$C567)</f>
        <v/>
      </c>
      <c r="G4329" s="48" t="str">
        <f aca="false">IF($H4329="","",资金流水!$K567)</f>
        <v/>
      </c>
      <c r="H4329" s="10" t="str">
        <f aca="false">IF($L4329="","",IF($L4329="@对方",资金流水!$G567,IF($L4329="@账户",资金流水!$Q567,$L4329)))</f>
        <v/>
      </c>
      <c r="I4329" s="42" t="n">
        <f aca="false">IF($M4329="借",$O4329,0)</f>
        <v>0</v>
      </c>
      <c r="J4329" s="42" t="n">
        <f aca="false">IF($M4329="贷",$O4329,0)</f>
        <v>0</v>
      </c>
      <c r="K4329" s="48" t="str">
        <f aca="false">IF($H4329="","",资金流水!$F567)</f>
        <v/>
      </c>
      <c r="L4329" s="66" t="str">
        <f aca="false">IF(资金流水!$E567="","",IFERROR(INDEX(记账规则!$A$13:$H$32,MATCH(资金流水!$E567,记账规则!$A$13:$A$32,0),6),""))</f>
        <v/>
      </c>
      <c r="M4329" s="66" t="str">
        <f aca="false">IF($L4329="","",IFERROR(INDEX(记账规则!$A$13:$H$32,MATCH(资金流水!$E567,记账规则!$A$13:$A$32,0),7),""))</f>
        <v/>
      </c>
      <c r="N4329" s="66" t="str">
        <f aca="false">IF($L4329="","",IFERROR(INDEX(记账规则!$A$13:$H$32,MATCH(资金流水!$E567,记账规则!$A$13:$A$32,0),8),""))</f>
        <v/>
      </c>
      <c r="O4329" s="67" t="n">
        <f aca="false">IF($H4329="",0,ROUND(IF($N4329="金额",N(资金流水!$P567),0),2))</f>
        <v>0</v>
      </c>
      <c r="P4329" s="64" t="str">
        <f aca="false">IF(AND($H4329&lt;&gt;"",ROUND($O4329,2)&lt;&gt;0),"有","")</f>
        <v/>
      </c>
    </row>
    <row r="4330" customFormat="false" ht="15" hidden="true" customHeight="false" outlineLevel="0" collapsed="false">
      <c r="A4330" s="53" t="str">
        <f aca="false">IF($H4330="","",ROW()-5)</f>
        <v/>
      </c>
      <c r="B4330" s="64" t="s">
        <v>37</v>
      </c>
      <c r="C4330" s="53" t="n">
        <v>568</v>
      </c>
      <c r="D4330" s="53" t="n">
        <v>1</v>
      </c>
      <c r="E4330" s="65" t="str">
        <f aca="false">IF($H4330="","",资金流水!$B568)</f>
        <v/>
      </c>
      <c r="F4330" s="55" t="str">
        <f aca="false">IF($H4330="","",资金流水!$C568)</f>
        <v/>
      </c>
      <c r="G4330" s="48" t="str">
        <f aca="false">IF($H4330="","",资金流水!$K568)</f>
        <v/>
      </c>
      <c r="H4330" s="10" t="str">
        <f aca="false">IF($L4330="","",IF($L4330="@对方",资金流水!$G568,IF($L4330="@账户",资金流水!$Q568,$L4330)))</f>
        <v/>
      </c>
      <c r="I4330" s="42" t="n">
        <f aca="false">IF($M4330="借",$O4330,0)</f>
        <v>0</v>
      </c>
      <c r="J4330" s="42" t="n">
        <f aca="false">IF($M4330="贷",$O4330,0)</f>
        <v>0</v>
      </c>
      <c r="K4330" s="48" t="str">
        <f aca="false">IF($H4330="","",资金流水!$F568)</f>
        <v/>
      </c>
      <c r="L4330" s="66" t="str">
        <f aca="false">IF(资金流水!$E568="","",IFERROR(INDEX(记账规则!$A$13:$H$32,MATCH(资金流水!$E568,记账规则!$A$13:$A$32,0),3),""))</f>
        <v/>
      </c>
      <c r="M4330" s="66" t="str">
        <f aca="false">IF($L4330="","",IFERROR(INDEX(记账规则!$A$13:$H$32,MATCH(资金流水!$E568,记账规则!$A$13:$A$32,0),4),""))</f>
        <v/>
      </c>
      <c r="N4330" s="66" t="str">
        <f aca="false">IF($L4330="","",IFERROR(INDEX(记账规则!$A$13:$H$32,MATCH(资金流水!$E568,记账规则!$A$13:$A$32,0),5),""))</f>
        <v/>
      </c>
      <c r="O4330" s="67" t="n">
        <f aca="false">IF($H4330="",0,ROUND(IF($N4330="金额",N(资金流水!$P568),0),2))</f>
        <v>0</v>
      </c>
      <c r="P4330" s="64" t="str">
        <f aca="false">IF(AND($H4330&lt;&gt;"",ROUND($O4330,2)&lt;&gt;0),"有","")</f>
        <v/>
      </c>
    </row>
    <row r="4331" customFormat="false" ht="15" hidden="true" customHeight="false" outlineLevel="0" collapsed="false">
      <c r="A4331" s="53" t="str">
        <f aca="false">IF($H4331="","",ROW()-5)</f>
        <v/>
      </c>
      <c r="B4331" s="64" t="s">
        <v>37</v>
      </c>
      <c r="C4331" s="53" t="n">
        <v>568</v>
      </c>
      <c r="D4331" s="53" t="n">
        <v>2</v>
      </c>
      <c r="E4331" s="65" t="str">
        <f aca="false">IF($H4331="","",资金流水!$B568)</f>
        <v/>
      </c>
      <c r="F4331" s="55" t="str">
        <f aca="false">IF($H4331="","",资金流水!$C568)</f>
        <v/>
      </c>
      <c r="G4331" s="48" t="str">
        <f aca="false">IF($H4331="","",资金流水!$K568)</f>
        <v/>
      </c>
      <c r="H4331" s="10" t="str">
        <f aca="false">IF($L4331="","",IF($L4331="@对方",资金流水!$G568,IF($L4331="@账户",资金流水!$Q568,$L4331)))</f>
        <v/>
      </c>
      <c r="I4331" s="42" t="n">
        <f aca="false">IF($M4331="借",$O4331,0)</f>
        <v>0</v>
      </c>
      <c r="J4331" s="42" t="n">
        <f aca="false">IF($M4331="贷",$O4331,0)</f>
        <v>0</v>
      </c>
      <c r="K4331" s="48" t="str">
        <f aca="false">IF($H4331="","",资金流水!$F568)</f>
        <v/>
      </c>
      <c r="L4331" s="66" t="str">
        <f aca="false">IF(资金流水!$E568="","",IFERROR(INDEX(记账规则!$A$13:$H$32,MATCH(资金流水!$E568,记账规则!$A$13:$A$32,0),6),""))</f>
        <v/>
      </c>
      <c r="M4331" s="66" t="str">
        <f aca="false">IF($L4331="","",IFERROR(INDEX(记账规则!$A$13:$H$32,MATCH(资金流水!$E568,记账规则!$A$13:$A$32,0),7),""))</f>
        <v/>
      </c>
      <c r="N4331" s="66" t="str">
        <f aca="false">IF($L4331="","",IFERROR(INDEX(记账规则!$A$13:$H$32,MATCH(资金流水!$E568,记账规则!$A$13:$A$32,0),8),""))</f>
        <v/>
      </c>
      <c r="O4331" s="67" t="n">
        <f aca="false">IF($H4331="",0,ROUND(IF($N4331="金额",N(资金流水!$P568),0),2))</f>
        <v>0</v>
      </c>
      <c r="P4331" s="64" t="str">
        <f aca="false">IF(AND($H4331&lt;&gt;"",ROUND($O4331,2)&lt;&gt;0),"有","")</f>
        <v/>
      </c>
    </row>
    <row r="4332" customFormat="false" ht="15" hidden="true" customHeight="false" outlineLevel="0" collapsed="false">
      <c r="A4332" s="53" t="str">
        <f aca="false">IF($H4332="","",ROW()-5)</f>
        <v/>
      </c>
      <c r="B4332" s="64" t="s">
        <v>37</v>
      </c>
      <c r="C4332" s="53" t="n">
        <v>569</v>
      </c>
      <c r="D4332" s="53" t="n">
        <v>1</v>
      </c>
      <c r="E4332" s="65" t="str">
        <f aca="false">IF($H4332="","",资金流水!$B569)</f>
        <v/>
      </c>
      <c r="F4332" s="55" t="str">
        <f aca="false">IF($H4332="","",资金流水!$C569)</f>
        <v/>
      </c>
      <c r="G4332" s="48" t="str">
        <f aca="false">IF($H4332="","",资金流水!$K569)</f>
        <v/>
      </c>
      <c r="H4332" s="10" t="str">
        <f aca="false">IF($L4332="","",IF($L4332="@对方",资金流水!$G569,IF($L4332="@账户",资金流水!$Q569,$L4332)))</f>
        <v/>
      </c>
      <c r="I4332" s="42" t="n">
        <f aca="false">IF($M4332="借",$O4332,0)</f>
        <v>0</v>
      </c>
      <c r="J4332" s="42" t="n">
        <f aca="false">IF($M4332="贷",$O4332,0)</f>
        <v>0</v>
      </c>
      <c r="K4332" s="48" t="str">
        <f aca="false">IF($H4332="","",资金流水!$F569)</f>
        <v/>
      </c>
      <c r="L4332" s="66" t="str">
        <f aca="false">IF(资金流水!$E569="","",IFERROR(INDEX(记账规则!$A$13:$H$32,MATCH(资金流水!$E569,记账规则!$A$13:$A$32,0),3),""))</f>
        <v/>
      </c>
      <c r="M4332" s="66" t="str">
        <f aca="false">IF($L4332="","",IFERROR(INDEX(记账规则!$A$13:$H$32,MATCH(资金流水!$E569,记账规则!$A$13:$A$32,0),4),""))</f>
        <v/>
      </c>
      <c r="N4332" s="66" t="str">
        <f aca="false">IF($L4332="","",IFERROR(INDEX(记账规则!$A$13:$H$32,MATCH(资金流水!$E569,记账规则!$A$13:$A$32,0),5),""))</f>
        <v/>
      </c>
      <c r="O4332" s="67" t="n">
        <f aca="false">IF($H4332="",0,ROUND(IF($N4332="金额",N(资金流水!$P569),0),2))</f>
        <v>0</v>
      </c>
      <c r="P4332" s="64" t="str">
        <f aca="false">IF(AND($H4332&lt;&gt;"",ROUND($O4332,2)&lt;&gt;0),"有","")</f>
        <v/>
      </c>
    </row>
    <row r="4333" customFormat="false" ht="15" hidden="true" customHeight="false" outlineLevel="0" collapsed="false">
      <c r="A4333" s="53" t="str">
        <f aca="false">IF($H4333="","",ROW()-5)</f>
        <v/>
      </c>
      <c r="B4333" s="64" t="s">
        <v>37</v>
      </c>
      <c r="C4333" s="53" t="n">
        <v>569</v>
      </c>
      <c r="D4333" s="53" t="n">
        <v>2</v>
      </c>
      <c r="E4333" s="65" t="str">
        <f aca="false">IF($H4333="","",资金流水!$B569)</f>
        <v/>
      </c>
      <c r="F4333" s="55" t="str">
        <f aca="false">IF($H4333="","",资金流水!$C569)</f>
        <v/>
      </c>
      <c r="G4333" s="48" t="str">
        <f aca="false">IF($H4333="","",资金流水!$K569)</f>
        <v/>
      </c>
      <c r="H4333" s="10" t="str">
        <f aca="false">IF($L4333="","",IF($L4333="@对方",资金流水!$G569,IF($L4333="@账户",资金流水!$Q569,$L4333)))</f>
        <v/>
      </c>
      <c r="I4333" s="42" t="n">
        <f aca="false">IF($M4333="借",$O4333,0)</f>
        <v>0</v>
      </c>
      <c r="J4333" s="42" t="n">
        <f aca="false">IF($M4333="贷",$O4333,0)</f>
        <v>0</v>
      </c>
      <c r="K4333" s="48" t="str">
        <f aca="false">IF($H4333="","",资金流水!$F569)</f>
        <v/>
      </c>
      <c r="L4333" s="66" t="str">
        <f aca="false">IF(资金流水!$E569="","",IFERROR(INDEX(记账规则!$A$13:$H$32,MATCH(资金流水!$E569,记账规则!$A$13:$A$32,0),6),""))</f>
        <v/>
      </c>
      <c r="M4333" s="66" t="str">
        <f aca="false">IF($L4333="","",IFERROR(INDEX(记账规则!$A$13:$H$32,MATCH(资金流水!$E569,记账规则!$A$13:$A$32,0),7),""))</f>
        <v/>
      </c>
      <c r="N4333" s="66" t="str">
        <f aca="false">IF($L4333="","",IFERROR(INDEX(记账规则!$A$13:$H$32,MATCH(资金流水!$E569,记账规则!$A$13:$A$32,0),8),""))</f>
        <v/>
      </c>
      <c r="O4333" s="67" t="n">
        <f aca="false">IF($H4333="",0,ROUND(IF($N4333="金额",N(资金流水!$P569),0),2))</f>
        <v>0</v>
      </c>
      <c r="P4333" s="64" t="str">
        <f aca="false">IF(AND($H4333&lt;&gt;"",ROUND($O4333,2)&lt;&gt;0),"有","")</f>
        <v/>
      </c>
    </row>
    <row r="4334" customFormat="false" ht="15" hidden="true" customHeight="false" outlineLevel="0" collapsed="false">
      <c r="A4334" s="53" t="str">
        <f aca="false">IF($H4334="","",ROW()-5)</f>
        <v/>
      </c>
      <c r="B4334" s="64" t="s">
        <v>37</v>
      </c>
      <c r="C4334" s="53" t="n">
        <v>570</v>
      </c>
      <c r="D4334" s="53" t="n">
        <v>1</v>
      </c>
      <c r="E4334" s="65" t="str">
        <f aca="false">IF($H4334="","",资金流水!$B570)</f>
        <v/>
      </c>
      <c r="F4334" s="55" t="str">
        <f aca="false">IF($H4334="","",资金流水!$C570)</f>
        <v/>
      </c>
      <c r="G4334" s="48" t="str">
        <f aca="false">IF($H4334="","",资金流水!$K570)</f>
        <v/>
      </c>
      <c r="H4334" s="10" t="str">
        <f aca="false">IF($L4334="","",IF($L4334="@对方",资金流水!$G570,IF($L4334="@账户",资金流水!$Q570,$L4334)))</f>
        <v/>
      </c>
      <c r="I4334" s="42" t="n">
        <f aca="false">IF($M4334="借",$O4334,0)</f>
        <v>0</v>
      </c>
      <c r="J4334" s="42" t="n">
        <f aca="false">IF($M4334="贷",$O4334,0)</f>
        <v>0</v>
      </c>
      <c r="K4334" s="48" t="str">
        <f aca="false">IF($H4334="","",资金流水!$F570)</f>
        <v/>
      </c>
      <c r="L4334" s="66" t="str">
        <f aca="false">IF(资金流水!$E570="","",IFERROR(INDEX(记账规则!$A$13:$H$32,MATCH(资金流水!$E570,记账规则!$A$13:$A$32,0),3),""))</f>
        <v/>
      </c>
      <c r="M4334" s="66" t="str">
        <f aca="false">IF($L4334="","",IFERROR(INDEX(记账规则!$A$13:$H$32,MATCH(资金流水!$E570,记账规则!$A$13:$A$32,0),4),""))</f>
        <v/>
      </c>
      <c r="N4334" s="66" t="str">
        <f aca="false">IF($L4334="","",IFERROR(INDEX(记账规则!$A$13:$H$32,MATCH(资金流水!$E570,记账规则!$A$13:$A$32,0),5),""))</f>
        <v/>
      </c>
      <c r="O4334" s="67" t="n">
        <f aca="false">IF($H4334="",0,ROUND(IF($N4334="金额",N(资金流水!$P570),0),2))</f>
        <v>0</v>
      </c>
      <c r="P4334" s="64" t="str">
        <f aca="false">IF(AND($H4334&lt;&gt;"",ROUND($O4334,2)&lt;&gt;0),"有","")</f>
        <v/>
      </c>
    </row>
    <row r="4335" customFormat="false" ht="15" hidden="true" customHeight="false" outlineLevel="0" collapsed="false">
      <c r="A4335" s="53" t="str">
        <f aca="false">IF($H4335="","",ROW()-5)</f>
        <v/>
      </c>
      <c r="B4335" s="64" t="s">
        <v>37</v>
      </c>
      <c r="C4335" s="53" t="n">
        <v>570</v>
      </c>
      <c r="D4335" s="53" t="n">
        <v>2</v>
      </c>
      <c r="E4335" s="65" t="str">
        <f aca="false">IF($H4335="","",资金流水!$B570)</f>
        <v/>
      </c>
      <c r="F4335" s="55" t="str">
        <f aca="false">IF($H4335="","",资金流水!$C570)</f>
        <v/>
      </c>
      <c r="G4335" s="48" t="str">
        <f aca="false">IF($H4335="","",资金流水!$K570)</f>
        <v/>
      </c>
      <c r="H4335" s="10" t="str">
        <f aca="false">IF($L4335="","",IF($L4335="@对方",资金流水!$G570,IF($L4335="@账户",资金流水!$Q570,$L4335)))</f>
        <v/>
      </c>
      <c r="I4335" s="42" t="n">
        <f aca="false">IF($M4335="借",$O4335,0)</f>
        <v>0</v>
      </c>
      <c r="J4335" s="42" t="n">
        <f aca="false">IF($M4335="贷",$O4335,0)</f>
        <v>0</v>
      </c>
      <c r="K4335" s="48" t="str">
        <f aca="false">IF($H4335="","",资金流水!$F570)</f>
        <v/>
      </c>
      <c r="L4335" s="66" t="str">
        <f aca="false">IF(资金流水!$E570="","",IFERROR(INDEX(记账规则!$A$13:$H$32,MATCH(资金流水!$E570,记账规则!$A$13:$A$32,0),6),""))</f>
        <v/>
      </c>
      <c r="M4335" s="66" t="str">
        <f aca="false">IF($L4335="","",IFERROR(INDEX(记账规则!$A$13:$H$32,MATCH(资金流水!$E570,记账规则!$A$13:$A$32,0),7),""))</f>
        <v/>
      </c>
      <c r="N4335" s="66" t="str">
        <f aca="false">IF($L4335="","",IFERROR(INDEX(记账规则!$A$13:$H$32,MATCH(资金流水!$E570,记账规则!$A$13:$A$32,0),8),""))</f>
        <v/>
      </c>
      <c r="O4335" s="67" t="n">
        <f aca="false">IF($H4335="",0,ROUND(IF($N4335="金额",N(资金流水!$P570),0),2))</f>
        <v>0</v>
      </c>
      <c r="P4335" s="64" t="str">
        <f aca="false">IF(AND($H4335&lt;&gt;"",ROUND($O4335,2)&lt;&gt;0),"有","")</f>
        <v/>
      </c>
    </row>
    <row r="4336" customFormat="false" ht="15" hidden="true" customHeight="false" outlineLevel="0" collapsed="false">
      <c r="A4336" s="53" t="str">
        <f aca="false">IF($H4336="","",ROW()-5)</f>
        <v/>
      </c>
      <c r="B4336" s="64" t="s">
        <v>37</v>
      </c>
      <c r="C4336" s="53" t="n">
        <v>571</v>
      </c>
      <c r="D4336" s="53" t="n">
        <v>1</v>
      </c>
      <c r="E4336" s="65" t="str">
        <f aca="false">IF($H4336="","",资金流水!$B571)</f>
        <v/>
      </c>
      <c r="F4336" s="55" t="str">
        <f aca="false">IF($H4336="","",资金流水!$C571)</f>
        <v/>
      </c>
      <c r="G4336" s="48" t="str">
        <f aca="false">IF($H4336="","",资金流水!$K571)</f>
        <v/>
      </c>
      <c r="H4336" s="10" t="str">
        <f aca="false">IF($L4336="","",IF($L4336="@对方",资金流水!$G571,IF($L4336="@账户",资金流水!$Q571,$L4336)))</f>
        <v/>
      </c>
      <c r="I4336" s="42" t="n">
        <f aca="false">IF($M4336="借",$O4336,0)</f>
        <v>0</v>
      </c>
      <c r="J4336" s="42" t="n">
        <f aca="false">IF($M4336="贷",$O4336,0)</f>
        <v>0</v>
      </c>
      <c r="K4336" s="48" t="str">
        <f aca="false">IF($H4336="","",资金流水!$F571)</f>
        <v/>
      </c>
      <c r="L4336" s="66" t="str">
        <f aca="false">IF(资金流水!$E571="","",IFERROR(INDEX(记账规则!$A$13:$H$32,MATCH(资金流水!$E571,记账规则!$A$13:$A$32,0),3),""))</f>
        <v/>
      </c>
      <c r="M4336" s="66" t="str">
        <f aca="false">IF($L4336="","",IFERROR(INDEX(记账规则!$A$13:$H$32,MATCH(资金流水!$E571,记账规则!$A$13:$A$32,0),4),""))</f>
        <v/>
      </c>
      <c r="N4336" s="66" t="str">
        <f aca="false">IF($L4336="","",IFERROR(INDEX(记账规则!$A$13:$H$32,MATCH(资金流水!$E571,记账规则!$A$13:$A$32,0),5),""))</f>
        <v/>
      </c>
      <c r="O4336" s="67" t="n">
        <f aca="false">IF($H4336="",0,ROUND(IF($N4336="金额",N(资金流水!$P571),0),2))</f>
        <v>0</v>
      </c>
      <c r="P4336" s="64" t="str">
        <f aca="false">IF(AND($H4336&lt;&gt;"",ROUND($O4336,2)&lt;&gt;0),"有","")</f>
        <v/>
      </c>
    </row>
    <row r="4337" customFormat="false" ht="15" hidden="true" customHeight="false" outlineLevel="0" collapsed="false">
      <c r="A4337" s="53" t="str">
        <f aca="false">IF($H4337="","",ROW()-5)</f>
        <v/>
      </c>
      <c r="B4337" s="64" t="s">
        <v>37</v>
      </c>
      <c r="C4337" s="53" t="n">
        <v>571</v>
      </c>
      <c r="D4337" s="53" t="n">
        <v>2</v>
      </c>
      <c r="E4337" s="65" t="str">
        <f aca="false">IF($H4337="","",资金流水!$B571)</f>
        <v/>
      </c>
      <c r="F4337" s="55" t="str">
        <f aca="false">IF($H4337="","",资金流水!$C571)</f>
        <v/>
      </c>
      <c r="G4337" s="48" t="str">
        <f aca="false">IF($H4337="","",资金流水!$K571)</f>
        <v/>
      </c>
      <c r="H4337" s="10" t="str">
        <f aca="false">IF($L4337="","",IF($L4337="@对方",资金流水!$G571,IF($L4337="@账户",资金流水!$Q571,$L4337)))</f>
        <v/>
      </c>
      <c r="I4337" s="42" t="n">
        <f aca="false">IF($M4337="借",$O4337,0)</f>
        <v>0</v>
      </c>
      <c r="J4337" s="42" t="n">
        <f aca="false">IF($M4337="贷",$O4337,0)</f>
        <v>0</v>
      </c>
      <c r="K4337" s="48" t="str">
        <f aca="false">IF($H4337="","",资金流水!$F571)</f>
        <v/>
      </c>
      <c r="L4337" s="66" t="str">
        <f aca="false">IF(资金流水!$E571="","",IFERROR(INDEX(记账规则!$A$13:$H$32,MATCH(资金流水!$E571,记账规则!$A$13:$A$32,0),6),""))</f>
        <v/>
      </c>
      <c r="M4337" s="66" t="str">
        <f aca="false">IF($L4337="","",IFERROR(INDEX(记账规则!$A$13:$H$32,MATCH(资金流水!$E571,记账规则!$A$13:$A$32,0),7),""))</f>
        <v/>
      </c>
      <c r="N4337" s="66" t="str">
        <f aca="false">IF($L4337="","",IFERROR(INDEX(记账规则!$A$13:$H$32,MATCH(资金流水!$E571,记账规则!$A$13:$A$32,0),8),""))</f>
        <v/>
      </c>
      <c r="O4337" s="67" t="n">
        <f aca="false">IF($H4337="",0,ROUND(IF($N4337="金额",N(资金流水!$P571),0),2))</f>
        <v>0</v>
      </c>
      <c r="P4337" s="64" t="str">
        <f aca="false">IF(AND($H4337&lt;&gt;"",ROUND($O4337,2)&lt;&gt;0),"有","")</f>
        <v/>
      </c>
    </row>
    <row r="4338" customFormat="false" ht="15" hidden="true" customHeight="false" outlineLevel="0" collapsed="false">
      <c r="A4338" s="53" t="str">
        <f aca="false">IF($H4338="","",ROW()-5)</f>
        <v/>
      </c>
      <c r="B4338" s="64" t="s">
        <v>37</v>
      </c>
      <c r="C4338" s="53" t="n">
        <v>572</v>
      </c>
      <c r="D4338" s="53" t="n">
        <v>1</v>
      </c>
      <c r="E4338" s="65" t="str">
        <f aca="false">IF($H4338="","",资金流水!$B572)</f>
        <v/>
      </c>
      <c r="F4338" s="55" t="str">
        <f aca="false">IF($H4338="","",资金流水!$C572)</f>
        <v/>
      </c>
      <c r="G4338" s="48" t="str">
        <f aca="false">IF($H4338="","",资金流水!$K572)</f>
        <v/>
      </c>
      <c r="H4338" s="10" t="str">
        <f aca="false">IF($L4338="","",IF($L4338="@对方",资金流水!$G572,IF($L4338="@账户",资金流水!$Q572,$L4338)))</f>
        <v/>
      </c>
      <c r="I4338" s="42" t="n">
        <f aca="false">IF($M4338="借",$O4338,0)</f>
        <v>0</v>
      </c>
      <c r="J4338" s="42" t="n">
        <f aca="false">IF($M4338="贷",$O4338,0)</f>
        <v>0</v>
      </c>
      <c r="K4338" s="48" t="str">
        <f aca="false">IF($H4338="","",资金流水!$F572)</f>
        <v/>
      </c>
      <c r="L4338" s="66" t="str">
        <f aca="false">IF(资金流水!$E572="","",IFERROR(INDEX(记账规则!$A$13:$H$32,MATCH(资金流水!$E572,记账规则!$A$13:$A$32,0),3),""))</f>
        <v/>
      </c>
      <c r="M4338" s="66" t="str">
        <f aca="false">IF($L4338="","",IFERROR(INDEX(记账规则!$A$13:$H$32,MATCH(资金流水!$E572,记账规则!$A$13:$A$32,0),4),""))</f>
        <v/>
      </c>
      <c r="N4338" s="66" t="str">
        <f aca="false">IF($L4338="","",IFERROR(INDEX(记账规则!$A$13:$H$32,MATCH(资金流水!$E572,记账规则!$A$13:$A$32,0),5),""))</f>
        <v/>
      </c>
      <c r="O4338" s="67" t="n">
        <f aca="false">IF($H4338="",0,ROUND(IF($N4338="金额",N(资金流水!$P572),0),2))</f>
        <v>0</v>
      </c>
      <c r="P4338" s="64" t="str">
        <f aca="false">IF(AND($H4338&lt;&gt;"",ROUND($O4338,2)&lt;&gt;0),"有","")</f>
        <v/>
      </c>
    </row>
    <row r="4339" customFormat="false" ht="15" hidden="true" customHeight="false" outlineLevel="0" collapsed="false">
      <c r="A4339" s="53" t="str">
        <f aca="false">IF($H4339="","",ROW()-5)</f>
        <v/>
      </c>
      <c r="B4339" s="64" t="s">
        <v>37</v>
      </c>
      <c r="C4339" s="53" t="n">
        <v>572</v>
      </c>
      <c r="D4339" s="53" t="n">
        <v>2</v>
      </c>
      <c r="E4339" s="65" t="str">
        <f aca="false">IF($H4339="","",资金流水!$B572)</f>
        <v/>
      </c>
      <c r="F4339" s="55" t="str">
        <f aca="false">IF($H4339="","",资金流水!$C572)</f>
        <v/>
      </c>
      <c r="G4339" s="48" t="str">
        <f aca="false">IF($H4339="","",资金流水!$K572)</f>
        <v/>
      </c>
      <c r="H4339" s="10" t="str">
        <f aca="false">IF($L4339="","",IF($L4339="@对方",资金流水!$G572,IF($L4339="@账户",资金流水!$Q572,$L4339)))</f>
        <v/>
      </c>
      <c r="I4339" s="42" t="n">
        <f aca="false">IF($M4339="借",$O4339,0)</f>
        <v>0</v>
      </c>
      <c r="J4339" s="42" t="n">
        <f aca="false">IF($M4339="贷",$O4339,0)</f>
        <v>0</v>
      </c>
      <c r="K4339" s="48" t="str">
        <f aca="false">IF($H4339="","",资金流水!$F572)</f>
        <v/>
      </c>
      <c r="L4339" s="66" t="str">
        <f aca="false">IF(资金流水!$E572="","",IFERROR(INDEX(记账规则!$A$13:$H$32,MATCH(资金流水!$E572,记账规则!$A$13:$A$32,0),6),""))</f>
        <v/>
      </c>
      <c r="M4339" s="66" t="str">
        <f aca="false">IF($L4339="","",IFERROR(INDEX(记账规则!$A$13:$H$32,MATCH(资金流水!$E572,记账规则!$A$13:$A$32,0),7),""))</f>
        <v/>
      </c>
      <c r="N4339" s="66" t="str">
        <f aca="false">IF($L4339="","",IFERROR(INDEX(记账规则!$A$13:$H$32,MATCH(资金流水!$E572,记账规则!$A$13:$A$32,0),8),""))</f>
        <v/>
      </c>
      <c r="O4339" s="67" t="n">
        <f aca="false">IF($H4339="",0,ROUND(IF($N4339="金额",N(资金流水!$P572),0),2))</f>
        <v>0</v>
      </c>
      <c r="P4339" s="64" t="str">
        <f aca="false">IF(AND($H4339&lt;&gt;"",ROUND($O4339,2)&lt;&gt;0),"有","")</f>
        <v/>
      </c>
    </row>
    <row r="4340" customFormat="false" ht="15" hidden="true" customHeight="false" outlineLevel="0" collapsed="false">
      <c r="A4340" s="53" t="str">
        <f aca="false">IF($H4340="","",ROW()-5)</f>
        <v/>
      </c>
      <c r="B4340" s="64" t="s">
        <v>37</v>
      </c>
      <c r="C4340" s="53" t="n">
        <v>573</v>
      </c>
      <c r="D4340" s="53" t="n">
        <v>1</v>
      </c>
      <c r="E4340" s="65" t="str">
        <f aca="false">IF($H4340="","",资金流水!$B573)</f>
        <v/>
      </c>
      <c r="F4340" s="55" t="str">
        <f aca="false">IF($H4340="","",资金流水!$C573)</f>
        <v/>
      </c>
      <c r="G4340" s="48" t="str">
        <f aca="false">IF($H4340="","",资金流水!$K573)</f>
        <v/>
      </c>
      <c r="H4340" s="10" t="str">
        <f aca="false">IF($L4340="","",IF($L4340="@对方",资金流水!$G573,IF($L4340="@账户",资金流水!$Q573,$L4340)))</f>
        <v/>
      </c>
      <c r="I4340" s="42" t="n">
        <f aca="false">IF($M4340="借",$O4340,0)</f>
        <v>0</v>
      </c>
      <c r="J4340" s="42" t="n">
        <f aca="false">IF($M4340="贷",$O4340,0)</f>
        <v>0</v>
      </c>
      <c r="K4340" s="48" t="str">
        <f aca="false">IF($H4340="","",资金流水!$F573)</f>
        <v/>
      </c>
      <c r="L4340" s="66" t="str">
        <f aca="false">IF(资金流水!$E573="","",IFERROR(INDEX(记账规则!$A$13:$H$32,MATCH(资金流水!$E573,记账规则!$A$13:$A$32,0),3),""))</f>
        <v/>
      </c>
      <c r="M4340" s="66" t="str">
        <f aca="false">IF($L4340="","",IFERROR(INDEX(记账规则!$A$13:$H$32,MATCH(资金流水!$E573,记账规则!$A$13:$A$32,0),4),""))</f>
        <v/>
      </c>
      <c r="N4340" s="66" t="str">
        <f aca="false">IF($L4340="","",IFERROR(INDEX(记账规则!$A$13:$H$32,MATCH(资金流水!$E573,记账规则!$A$13:$A$32,0),5),""))</f>
        <v/>
      </c>
      <c r="O4340" s="67" t="n">
        <f aca="false">IF($H4340="",0,ROUND(IF($N4340="金额",N(资金流水!$P573),0),2))</f>
        <v>0</v>
      </c>
      <c r="P4340" s="64" t="str">
        <f aca="false">IF(AND($H4340&lt;&gt;"",ROUND($O4340,2)&lt;&gt;0),"有","")</f>
        <v/>
      </c>
    </row>
    <row r="4341" customFormat="false" ht="15" hidden="true" customHeight="false" outlineLevel="0" collapsed="false">
      <c r="A4341" s="53" t="str">
        <f aca="false">IF($H4341="","",ROW()-5)</f>
        <v/>
      </c>
      <c r="B4341" s="64" t="s">
        <v>37</v>
      </c>
      <c r="C4341" s="53" t="n">
        <v>573</v>
      </c>
      <c r="D4341" s="53" t="n">
        <v>2</v>
      </c>
      <c r="E4341" s="65" t="str">
        <f aca="false">IF($H4341="","",资金流水!$B573)</f>
        <v/>
      </c>
      <c r="F4341" s="55" t="str">
        <f aca="false">IF($H4341="","",资金流水!$C573)</f>
        <v/>
      </c>
      <c r="G4341" s="48" t="str">
        <f aca="false">IF($H4341="","",资金流水!$K573)</f>
        <v/>
      </c>
      <c r="H4341" s="10" t="str">
        <f aca="false">IF($L4341="","",IF($L4341="@对方",资金流水!$G573,IF($L4341="@账户",资金流水!$Q573,$L4341)))</f>
        <v/>
      </c>
      <c r="I4341" s="42" t="n">
        <f aca="false">IF($M4341="借",$O4341,0)</f>
        <v>0</v>
      </c>
      <c r="J4341" s="42" t="n">
        <f aca="false">IF($M4341="贷",$O4341,0)</f>
        <v>0</v>
      </c>
      <c r="K4341" s="48" t="str">
        <f aca="false">IF($H4341="","",资金流水!$F573)</f>
        <v/>
      </c>
      <c r="L4341" s="66" t="str">
        <f aca="false">IF(资金流水!$E573="","",IFERROR(INDEX(记账规则!$A$13:$H$32,MATCH(资金流水!$E573,记账规则!$A$13:$A$32,0),6),""))</f>
        <v/>
      </c>
      <c r="M4341" s="66" t="str">
        <f aca="false">IF($L4341="","",IFERROR(INDEX(记账规则!$A$13:$H$32,MATCH(资金流水!$E573,记账规则!$A$13:$A$32,0),7),""))</f>
        <v/>
      </c>
      <c r="N4341" s="66" t="str">
        <f aca="false">IF($L4341="","",IFERROR(INDEX(记账规则!$A$13:$H$32,MATCH(资金流水!$E573,记账规则!$A$13:$A$32,0),8),""))</f>
        <v/>
      </c>
      <c r="O4341" s="67" t="n">
        <f aca="false">IF($H4341="",0,ROUND(IF($N4341="金额",N(资金流水!$P573),0),2))</f>
        <v>0</v>
      </c>
      <c r="P4341" s="64" t="str">
        <f aca="false">IF(AND($H4341&lt;&gt;"",ROUND($O4341,2)&lt;&gt;0),"有","")</f>
        <v/>
      </c>
    </row>
    <row r="4342" customFormat="false" ht="15" hidden="true" customHeight="false" outlineLevel="0" collapsed="false">
      <c r="A4342" s="53" t="str">
        <f aca="false">IF($H4342="","",ROW()-5)</f>
        <v/>
      </c>
      <c r="B4342" s="64" t="s">
        <v>37</v>
      </c>
      <c r="C4342" s="53" t="n">
        <v>574</v>
      </c>
      <c r="D4342" s="53" t="n">
        <v>1</v>
      </c>
      <c r="E4342" s="65" t="str">
        <f aca="false">IF($H4342="","",资金流水!$B574)</f>
        <v/>
      </c>
      <c r="F4342" s="55" t="str">
        <f aca="false">IF($H4342="","",资金流水!$C574)</f>
        <v/>
      </c>
      <c r="G4342" s="48" t="str">
        <f aca="false">IF($H4342="","",资金流水!$K574)</f>
        <v/>
      </c>
      <c r="H4342" s="10" t="str">
        <f aca="false">IF($L4342="","",IF($L4342="@对方",资金流水!$G574,IF($L4342="@账户",资金流水!$Q574,$L4342)))</f>
        <v/>
      </c>
      <c r="I4342" s="42" t="n">
        <f aca="false">IF($M4342="借",$O4342,0)</f>
        <v>0</v>
      </c>
      <c r="J4342" s="42" t="n">
        <f aca="false">IF($M4342="贷",$O4342,0)</f>
        <v>0</v>
      </c>
      <c r="K4342" s="48" t="str">
        <f aca="false">IF($H4342="","",资金流水!$F574)</f>
        <v/>
      </c>
      <c r="L4342" s="66" t="str">
        <f aca="false">IF(资金流水!$E574="","",IFERROR(INDEX(记账规则!$A$13:$H$32,MATCH(资金流水!$E574,记账规则!$A$13:$A$32,0),3),""))</f>
        <v/>
      </c>
      <c r="M4342" s="66" t="str">
        <f aca="false">IF($L4342="","",IFERROR(INDEX(记账规则!$A$13:$H$32,MATCH(资金流水!$E574,记账规则!$A$13:$A$32,0),4),""))</f>
        <v/>
      </c>
      <c r="N4342" s="66" t="str">
        <f aca="false">IF($L4342="","",IFERROR(INDEX(记账规则!$A$13:$H$32,MATCH(资金流水!$E574,记账规则!$A$13:$A$32,0),5),""))</f>
        <v/>
      </c>
      <c r="O4342" s="67" t="n">
        <f aca="false">IF($H4342="",0,ROUND(IF($N4342="金额",N(资金流水!$P574),0),2))</f>
        <v>0</v>
      </c>
      <c r="P4342" s="64" t="str">
        <f aca="false">IF(AND($H4342&lt;&gt;"",ROUND($O4342,2)&lt;&gt;0),"有","")</f>
        <v/>
      </c>
    </row>
    <row r="4343" customFormat="false" ht="15" hidden="true" customHeight="false" outlineLevel="0" collapsed="false">
      <c r="A4343" s="53" t="str">
        <f aca="false">IF($H4343="","",ROW()-5)</f>
        <v/>
      </c>
      <c r="B4343" s="64" t="s">
        <v>37</v>
      </c>
      <c r="C4343" s="53" t="n">
        <v>574</v>
      </c>
      <c r="D4343" s="53" t="n">
        <v>2</v>
      </c>
      <c r="E4343" s="65" t="str">
        <f aca="false">IF($H4343="","",资金流水!$B574)</f>
        <v/>
      </c>
      <c r="F4343" s="55" t="str">
        <f aca="false">IF($H4343="","",资金流水!$C574)</f>
        <v/>
      </c>
      <c r="G4343" s="48" t="str">
        <f aca="false">IF($H4343="","",资金流水!$K574)</f>
        <v/>
      </c>
      <c r="H4343" s="10" t="str">
        <f aca="false">IF($L4343="","",IF($L4343="@对方",资金流水!$G574,IF($L4343="@账户",资金流水!$Q574,$L4343)))</f>
        <v/>
      </c>
      <c r="I4343" s="42" t="n">
        <f aca="false">IF($M4343="借",$O4343,0)</f>
        <v>0</v>
      </c>
      <c r="J4343" s="42" t="n">
        <f aca="false">IF($M4343="贷",$O4343,0)</f>
        <v>0</v>
      </c>
      <c r="K4343" s="48" t="str">
        <f aca="false">IF($H4343="","",资金流水!$F574)</f>
        <v/>
      </c>
      <c r="L4343" s="66" t="str">
        <f aca="false">IF(资金流水!$E574="","",IFERROR(INDEX(记账规则!$A$13:$H$32,MATCH(资金流水!$E574,记账规则!$A$13:$A$32,0),6),""))</f>
        <v/>
      </c>
      <c r="M4343" s="66" t="str">
        <f aca="false">IF($L4343="","",IFERROR(INDEX(记账规则!$A$13:$H$32,MATCH(资金流水!$E574,记账规则!$A$13:$A$32,0),7),""))</f>
        <v/>
      </c>
      <c r="N4343" s="66" t="str">
        <f aca="false">IF($L4343="","",IFERROR(INDEX(记账规则!$A$13:$H$32,MATCH(资金流水!$E574,记账规则!$A$13:$A$32,0),8),""))</f>
        <v/>
      </c>
      <c r="O4343" s="67" t="n">
        <f aca="false">IF($H4343="",0,ROUND(IF($N4343="金额",N(资金流水!$P574),0),2))</f>
        <v>0</v>
      </c>
      <c r="P4343" s="64" t="str">
        <f aca="false">IF(AND($H4343&lt;&gt;"",ROUND($O4343,2)&lt;&gt;0),"有","")</f>
        <v/>
      </c>
    </row>
    <row r="4344" customFormat="false" ht="15" hidden="true" customHeight="false" outlineLevel="0" collapsed="false">
      <c r="A4344" s="53" t="str">
        <f aca="false">IF($H4344="","",ROW()-5)</f>
        <v/>
      </c>
      <c r="B4344" s="64" t="s">
        <v>37</v>
      </c>
      <c r="C4344" s="53" t="n">
        <v>575</v>
      </c>
      <c r="D4344" s="53" t="n">
        <v>1</v>
      </c>
      <c r="E4344" s="65" t="str">
        <f aca="false">IF($H4344="","",资金流水!$B575)</f>
        <v/>
      </c>
      <c r="F4344" s="55" t="str">
        <f aca="false">IF($H4344="","",资金流水!$C575)</f>
        <v/>
      </c>
      <c r="G4344" s="48" t="str">
        <f aca="false">IF($H4344="","",资金流水!$K575)</f>
        <v/>
      </c>
      <c r="H4344" s="10" t="str">
        <f aca="false">IF($L4344="","",IF($L4344="@对方",资金流水!$G575,IF($L4344="@账户",资金流水!$Q575,$L4344)))</f>
        <v/>
      </c>
      <c r="I4344" s="42" t="n">
        <f aca="false">IF($M4344="借",$O4344,0)</f>
        <v>0</v>
      </c>
      <c r="J4344" s="42" t="n">
        <f aca="false">IF($M4344="贷",$O4344,0)</f>
        <v>0</v>
      </c>
      <c r="K4344" s="48" t="str">
        <f aca="false">IF($H4344="","",资金流水!$F575)</f>
        <v/>
      </c>
      <c r="L4344" s="66" t="str">
        <f aca="false">IF(资金流水!$E575="","",IFERROR(INDEX(记账规则!$A$13:$H$32,MATCH(资金流水!$E575,记账规则!$A$13:$A$32,0),3),""))</f>
        <v/>
      </c>
      <c r="M4344" s="66" t="str">
        <f aca="false">IF($L4344="","",IFERROR(INDEX(记账规则!$A$13:$H$32,MATCH(资金流水!$E575,记账规则!$A$13:$A$32,0),4),""))</f>
        <v/>
      </c>
      <c r="N4344" s="66" t="str">
        <f aca="false">IF($L4344="","",IFERROR(INDEX(记账规则!$A$13:$H$32,MATCH(资金流水!$E575,记账规则!$A$13:$A$32,0),5),""))</f>
        <v/>
      </c>
      <c r="O4344" s="67" t="n">
        <f aca="false">IF($H4344="",0,ROUND(IF($N4344="金额",N(资金流水!$P575),0),2))</f>
        <v>0</v>
      </c>
      <c r="P4344" s="64" t="str">
        <f aca="false">IF(AND($H4344&lt;&gt;"",ROUND($O4344,2)&lt;&gt;0),"有","")</f>
        <v/>
      </c>
    </row>
    <row r="4345" customFormat="false" ht="15" hidden="true" customHeight="false" outlineLevel="0" collapsed="false">
      <c r="A4345" s="53" t="str">
        <f aca="false">IF($H4345="","",ROW()-5)</f>
        <v/>
      </c>
      <c r="B4345" s="64" t="s">
        <v>37</v>
      </c>
      <c r="C4345" s="53" t="n">
        <v>575</v>
      </c>
      <c r="D4345" s="53" t="n">
        <v>2</v>
      </c>
      <c r="E4345" s="65" t="str">
        <f aca="false">IF($H4345="","",资金流水!$B575)</f>
        <v/>
      </c>
      <c r="F4345" s="55" t="str">
        <f aca="false">IF($H4345="","",资金流水!$C575)</f>
        <v/>
      </c>
      <c r="G4345" s="48" t="str">
        <f aca="false">IF($H4345="","",资金流水!$K575)</f>
        <v/>
      </c>
      <c r="H4345" s="10" t="str">
        <f aca="false">IF($L4345="","",IF($L4345="@对方",资金流水!$G575,IF($L4345="@账户",资金流水!$Q575,$L4345)))</f>
        <v/>
      </c>
      <c r="I4345" s="42" t="n">
        <f aca="false">IF($M4345="借",$O4345,0)</f>
        <v>0</v>
      </c>
      <c r="J4345" s="42" t="n">
        <f aca="false">IF($M4345="贷",$O4345,0)</f>
        <v>0</v>
      </c>
      <c r="K4345" s="48" t="str">
        <f aca="false">IF($H4345="","",资金流水!$F575)</f>
        <v/>
      </c>
      <c r="L4345" s="66" t="str">
        <f aca="false">IF(资金流水!$E575="","",IFERROR(INDEX(记账规则!$A$13:$H$32,MATCH(资金流水!$E575,记账规则!$A$13:$A$32,0),6),""))</f>
        <v/>
      </c>
      <c r="M4345" s="66" t="str">
        <f aca="false">IF($L4345="","",IFERROR(INDEX(记账规则!$A$13:$H$32,MATCH(资金流水!$E575,记账规则!$A$13:$A$32,0),7),""))</f>
        <v/>
      </c>
      <c r="N4345" s="66" t="str">
        <f aca="false">IF($L4345="","",IFERROR(INDEX(记账规则!$A$13:$H$32,MATCH(资金流水!$E575,记账规则!$A$13:$A$32,0),8),""))</f>
        <v/>
      </c>
      <c r="O4345" s="67" t="n">
        <f aca="false">IF($H4345="",0,ROUND(IF($N4345="金额",N(资金流水!$P575),0),2))</f>
        <v>0</v>
      </c>
      <c r="P4345" s="64" t="str">
        <f aca="false">IF(AND($H4345&lt;&gt;"",ROUND($O4345,2)&lt;&gt;0),"有","")</f>
        <v/>
      </c>
    </row>
    <row r="4346" customFormat="false" ht="15" hidden="true" customHeight="false" outlineLevel="0" collapsed="false">
      <c r="A4346" s="53" t="str">
        <f aca="false">IF($H4346="","",ROW()-5)</f>
        <v/>
      </c>
      <c r="B4346" s="64" t="s">
        <v>37</v>
      </c>
      <c r="C4346" s="53" t="n">
        <v>576</v>
      </c>
      <c r="D4346" s="53" t="n">
        <v>1</v>
      </c>
      <c r="E4346" s="65" t="str">
        <f aca="false">IF($H4346="","",资金流水!$B576)</f>
        <v/>
      </c>
      <c r="F4346" s="55" t="str">
        <f aca="false">IF($H4346="","",资金流水!$C576)</f>
        <v/>
      </c>
      <c r="G4346" s="48" t="str">
        <f aca="false">IF($H4346="","",资金流水!$K576)</f>
        <v/>
      </c>
      <c r="H4346" s="10" t="str">
        <f aca="false">IF($L4346="","",IF($L4346="@对方",资金流水!$G576,IF($L4346="@账户",资金流水!$Q576,$L4346)))</f>
        <v/>
      </c>
      <c r="I4346" s="42" t="n">
        <f aca="false">IF($M4346="借",$O4346,0)</f>
        <v>0</v>
      </c>
      <c r="J4346" s="42" t="n">
        <f aca="false">IF($M4346="贷",$O4346,0)</f>
        <v>0</v>
      </c>
      <c r="K4346" s="48" t="str">
        <f aca="false">IF($H4346="","",资金流水!$F576)</f>
        <v/>
      </c>
      <c r="L4346" s="66" t="str">
        <f aca="false">IF(资金流水!$E576="","",IFERROR(INDEX(记账规则!$A$13:$H$32,MATCH(资金流水!$E576,记账规则!$A$13:$A$32,0),3),""))</f>
        <v/>
      </c>
      <c r="M4346" s="66" t="str">
        <f aca="false">IF($L4346="","",IFERROR(INDEX(记账规则!$A$13:$H$32,MATCH(资金流水!$E576,记账规则!$A$13:$A$32,0),4),""))</f>
        <v/>
      </c>
      <c r="N4346" s="66" t="str">
        <f aca="false">IF($L4346="","",IFERROR(INDEX(记账规则!$A$13:$H$32,MATCH(资金流水!$E576,记账规则!$A$13:$A$32,0),5),""))</f>
        <v/>
      </c>
      <c r="O4346" s="67" t="n">
        <f aca="false">IF($H4346="",0,ROUND(IF($N4346="金额",N(资金流水!$P576),0),2))</f>
        <v>0</v>
      </c>
      <c r="P4346" s="64" t="str">
        <f aca="false">IF(AND($H4346&lt;&gt;"",ROUND($O4346,2)&lt;&gt;0),"有","")</f>
        <v/>
      </c>
    </row>
    <row r="4347" customFormat="false" ht="15" hidden="true" customHeight="false" outlineLevel="0" collapsed="false">
      <c r="A4347" s="53" t="str">
        <f aca="false">IF($H4347="","",ROW()-5)</f>
        <v/>
      </c>
      <c r="B4347" s="64" t="s">
        <v>37</v>
      </c>
      <c r="C4347" s="53" t="n">
        <v>576</v>
      </c>
      <c r="D4347" s="53" t="n">
        <v>2</v>
      </c>
      <c r="E4347" s="65" t="str">
        <f aca="false">IF($H4347="","",资金流水!$B576)</f>
        <v/>
      </c>
      <c r="F4347" s="55" t="str">
        <f aca="false">IF($H4347="","",资金流水!$C576)</f>
        <v/>
      </c>
      <c r="G4347" s="48" t="str">
        <f aca="false">IF($H4347="","",资金流水!$K576)</f>
        <v/>
      </c>
      <c r="H4347" s="10" t="str">
        <f aca="false">IF($L4347="","",IF($L4347="@对方",资金流水!$G576,IF($L4347="@账户",资金流水!$Q576,$L4347)))</f>
        <v/>
      </c>
      <c r="I4347" s="42" t="n">
        <f aca="false">IF($M4347="借",$O4347,0)</f>
        <v>0</v>
      </c>
      <c r="J4347" s="42" t="n">
        <f aca="false">IF($M4347="贷",$O4347,0)</f>
        <v>0</v>
      </c>
      <c r="K4347" s="48" t="str">
        <f aca="false">IF($H4347="","",资金流水!$F576)</f>
        <v/>
      </c>
      <c r="L4347" s="66" t="str">
        <f aca="false">IF(资金流水!$E576="","",IFERROR(INDEX(记账规则!$A$13:$H$32,MATCH(资金流水!$E576,记账规则!$A$13:$A$32,0),6),""))</f>
        <v/>
      </c>
      <c r="M4347" s="66" t="str">
        <f aca="false">IF($L4347="","",IFERROR(INDEX(记账规则!$A$13:$H$32,MATCH(资金流水!$E576,记账规则!$A$13:$A$32,0),7),""))</f>
        <v/>
      </c>
      <c r="N4347" s="66" t="str">
        <f aca="false">IF($L4347="","",IFERROR(INDEX(记账规则!$A$13:$H$32,MATCH(资金流水!$E576,记账规则!$A$13:$A$32,0),8),""))</f>
        <v/>
      </c>
      <c r="O4347" s="67" t="n">
        <f aca="false">IF($H4347="",0,ROUND(IF($N4347="金额",N(资金流水!$P576),0),2))</f>
        <v>0</v>
      </c>
      <c r="P4347" s="64" t="str">
        <f aca="false">IF(AND($H4347&lt;&gt;"",ROUND($O4347,2)&lt;&gt;0),"有","")</f>
        <v/>
      </c>
    </row>
    <row r="4348" customFormat="false" ht="15" hidden="true" customHeight="false" outlineLevel="0" collapsed="false">
      <c r="A4348" s="53" t="str">
        <f aca="false">IF($H4348="","",ROW()-5)</f>
        <v/>
      </c>
      <c r="B4348" s="64" t="s">
        <v>37</v>
      </c>
      <c r="C4348" s="53" t="n">
        <v>577</v>
      </c>
      <c r="D4348" s="53" t="n">
        <v>1</v>
      </c>
      <c r="E4348" s="65" t="str">
        <f aca="false">IF($H4348="","",资金流水!$B577)</f>
        <v/>
      </c>
      <c r="F4348" s="55" t="str">
        <f aca="false">IF($H4348="","",资金流水!$C577)</f>
        <v/>
      </c>
      <c r="G4348" s="48" t="str">
        <f aca="false">IF($H4348="","",资金流水!$K577)</f>
        <v/>
      </c>
      <c r="H4348" s="10" t="str">
        <f aca="false">IF($L4348="","",IF($L4348="@对方",资金流水!$G577,IF($L4348="@账户",资金流水!$Q577,$L4348)))</f>
        <v/>
      </c>
      <c r="I4348" s="42" t="n">
        <f aca="false">IF($M4348="借",$O4348,0)</f>
        <v>0</v>
      </c>
      <c r="J4348" s="42" t="n">
        <f aca="false">IF($M4348="贷",$O4348,0)</f>
        <v>0</v>
      </c>
      <c r="K4348" s="48" t="str">
        <f aca="false">IF($H4348="","",资金流水!$F577)</f>
        <v/>
      </c>
      <c r="L4348" s="66" t="str">
        <f aca="false">IF(资金流水!$E577="","",IFERROR(INDEX(记账规则!$A$13:$H$32,MATCH(资金流水!$E577,记账规则!$A$13:$A$32,0),3),""))</f>
        <v/>
      </c>
      <c r="M4348" s="66" t="str">
        <f aca="false">IF($L4348="","",IFERROR(INDEX(记账规则!$A$13:$H$32,MATCH(资金流水!$E577,记账规则!$A$13:$A$32,0),4),""))</f>
        <v/>
      </c>
      <c r="N4348" s="66" t="str">
        <f aca="false">IF($L4348="","",IFERROR(INDEX(记账规则!$A$13:$H$32,MATCH(资金流水!$E577,记账规则!$A$13:$A$32,0),5),""))</f>
        <v/>
      </c>
      <c r="O4348" s="67" t="n">
        <f aca="false">IF($H4348="",0,ROUND(IF($N4348="金额",N(资金流水!$P577),0),2))</f>
        <v>0</v>
      </c>
      <c r="P4348" s="64" t="str">
        <f aca="false">IF(AND($H4348&lt;&gt;"",ROUND($O4348,2)&lt;&gt;0),"有","")</f>
        <v/>
      </c>
    </row>
    <row r="4349" customFormat="false" ht="15" hidden="true" customHeight="false" outlineLevel="0" collapsed="false">
      <c r="A4349" s="53" t="str">
        <f aca="false">IF($H4349="","",ROW()-5)</f>
        <v/>
      </c>
      <c r="B4349" s="64" t="s">
        <v>37</v>
      </c>
      <c r="C4349" s="53" t="n">
        <v>577</v>
      </c>
      <c r="D4349" s="53" t="n">
        <v>2</v>
      </c>
      <c r="E4349" s="65" t="str">
        <f aca="false">IF($H4349="","",资金流水!$B577)</f>
        <v/>
      </c>
      <c r="F4349" s="55" t="str">
        <f aca="false">IF($H4349="","",资金流水!$C577)</f>
        <v/>
      </c>
      <c r="G4349" s="48" t="str">
        <f aca="false">IF($H4349="","",资金流水!$K577)</f>
        <v/>
      </c>
      <c r="H4349" s="10" t="str">
        <f aca="false">IF($L4349="","",IF($L4349="@对方",资金流水!$G577,IF($L4349="@账户",资金流水!$Q577,$L4349)))</f>
        <v/>
      </c>
      <c r="I4349" s="42" t="n">
        <f aca="false">IF($M4349="借",$O4349,0)</f>
        <v>0</v>
      </c>
      <c r="J4349" s="42" t="n">
        <f aca="false">IF($M4349="贷",$O4349,0)</f>
        <v>0</v>
      </c>
      <c r="K4349" s="48" t="str">
        <f aca="false">IF($H4349="","",资金流水!$F577)</f>
        <v/>
      </c>
      <c r="L4349" s="66" t="str">
        <f aca="false">IF(资金流水!$E577="","",IFERROR(INDEX(记账规则!$A$13:$H$32,MATCH(资金流水!$E577,记账规则!$A$13:$A$32,0),6),""))</f>
        <v/>
      </c>
      <c r="M4349" s="66" t="str">
        <f aca="false">IF($L4349="","",IFERROR(INDEX(记账规则!$A$13:$H$32,MATCH(资金流水!$E577,记账规则!$A$13:$A$32,0),7),""))</f>
        <v/>
      </c>
      <c r="N4349" s="66" t="str">
        <f aca="false">IF($L4349="","",IFERROR(INDEX(记账规则!$A$13:$H$32,MATCH(资金流水!$E577,记账规则!$A$13:$A$32,0),8),""))</f>
        <v/>
      </c>
      <c r="O4349" s="67" t="n">
        <f aca="false">IF($H4349="",0,ROUND(IF($N4349="金额",N(资金流水!$P577),0),2))</f>
        <v>0</v>
      </c>
      <c r="P4349" s="64" t="str">
        <f aca="false">IF(AND($H4349&lt;&gt;"",ROUND($O4349,2)&lt;&gt;0),"有","")</f>
        <v/>
      </c>
    </row>
    <row r="4350" customFormat="false" ht="15" hidden="true" customHeight="false" outlineLevel="0" collapsed="false">
      <c r="A4350" s="53" t="str">
        <f aca="false">IF($H4350="","",ROW()-5)</f>
        <v/>
      </c>
      <c r="B4350" s="64" t="s">
        <v>37</v>
      </c>
      <c r="C4350" s="53" t="n">
        <v>578</v>
      </c>
      <c r="D4350" s="53" t="n">
        <v>1</v>
      </c>
      <c r="E4350" s="65" t="str">
        <f aca="false">IF($H4350="","",资金流水!$B578)</f>
        <v/>
      </c>
      <c r="F4350" s="55" t="str">
        <f aca="false">IF($H4350="","",资金流水!$C578)</f>
        <v/>
      </c>
      <c r="G4350" s="48" t="str">
        <f aca="false">IF($H4350="","",资金流水!$K578)</f>
        <v/>
      </c>
      <c r="H4350" s="10" t="str">
        <f aca="false">IF($L4350="","",IF($L4350="@对方",资金流水!$G578,IF($L4350="@账户",资金流水!$Q578,$L4350)))</f>
        <v/>
      </c>
      <c r="I4350" s="42" t="n">
        <f aca="false">IF($M4350="借",$O4350,0)</f>
        <v>0</v>
      </c>
      <c r="J4350" s="42" t="n">
        <f aca="false">IF($M4350="贷",$O4350,0)</f>
        <v>0</v>
      </c>
      <c r="K4350" s="48" t="str">
        <f aca="false">IF($H4350="","",资金流水!$F578)</f>
        <v/>
      </c>
      <c r="L4350" s="66" t="str">
        <f aca="false">IF(资金流水!$E578="","",IFERROR(INDEX(记账规则!$A$13:$H$32,MATCH(资金流水!$E578,记账规则!$A$13:$A$32,0),3),""))</f>
        <v/>
      </c>
      <c r="M4350" s="66" t="str">
        <f aca="false">IF($L4350="","",IFERROR(INDEX(记账规则!$A$13:$H$32,MATCH(资金流水!$E578,记账规则!$A$13:$A$32,0),4),""))</f>
        <v/>
      </c>
      <c r="N4350" s="66" t="str">
        <f aca="false">IF($L4350="","",IFERROR(INDEX(记账规则!$A$13:$H$32,MATCH(资金流水!$E578,记账规则!$A$13:$A$32,0),5),""))</f>
        <v/>
      </c>
      <c r="O4350" s="67" t="n">
        <f aca="false">IF($H4350="",0,ROUND(IF($N4350="金额",N(资金流水!$P578),0),2))</f>
        <v>0</v>
      </c>
      <c r="P4350" s="64" t="str">
        <f aca="false">IF(AND($H4350&lt;&gt;"",ROUND($O4350,2)&lt;&gt;0),"有","")</f>
        <v/>
      </c>
    </row>
    <row r="4351" customFormat="false" ht="15" hidden="true" customHeight="false" outlineLevel="0" collapsed="false">
      <c r="A4351" s="53" t="str">
        <f aca="false">IF($H4351="","",ROW()-5)</f>
        <v/>
      </c>
      <c r="B4351" s="64" t="s">
        <v>37</v>
      </c>
      <c r="C4351" s="53" t="n">
        <v>578</v>
      </c>
      <c r="D4351" s="53" t="n">
        <v>2</v>
      </c>
      <c r="E4351" s="65" t="str">
        <f aca="false">IF($H4351="","",资金流水!$B578)</f>
        <v/>
      </c>
      <c r="F4351" s="55" t="str">
        <f aca="false">IF($H4351="","",资金流水!$C578)</f>
        <v/>
      </c>
      <c r="G4351" s="48" t="str">
        <f aca="false">IF($H4351="","",资金流水!$K578)</f>
        <v/>
      </c>
      <c r="H4351" s="10" t="str">
        <f aca="false">IF($L4351="","",IF($L4351="@对方",资金流水!$G578,IF($L4351="@账户",资金流水!$Q578,$L4351)))</f>
        <v/>
      </c>
      <c r="I4351" s="42" t="n">
        <f aca="false">IF($M4351="借",$O4351,0)</f>
        <v>0</v>
      </c>
      <c r="J4351" s="42" t="n">
        <f aca="false">IF($M4351="贷",$O4351,0)</f>
        <v>0</v>
      </c>
      <c r="K4351" s="48" t="str">
        <f aca="false">IF($H4351="","",资金流水!$F578)</f>
        <v/>
      </c>
      <c r="L4351" s="66" t="str">
        <f aca="false">IF(资金流水!$E578="","",IFERROR(INDEX(记账规则!$A$13:$H$32,MATCH(资金流水!$E578,记账规则!$A$13:$A$32,0),6),""))</f>
        <v/>
      </c>
      <c r="M4351" s="66" t="str">
        <f aca="false">IF($L4351="","",IFERROR(INDEX(记账规则!$A$13:$H$32,MATCH(资金流水!$E578,记账规则!$A$13:$A$32,0),7),""))</f>
        <v/>
      </c>
      <c r="N4351" s="66" t="str">
        <f aca="false">IF($L4351="","",IFERROR(INDEX(记账规则!$A$13:$H$32,MATCH(资金流水!$E578,记账规则!$A$13:$A$32,0),8),""))</f>
        <v/>
      </c>
      <c r="O4351" s="67" t="n">
        <f aca="false">IF($H4351="",0,ROUND(IF($N4351="金额",N(资金流水!$P578),0),2))</f>
        <v>0</v>
      </c>
      <c r="P4351" s="64" t="str">
        <f aca="false">IF(AND($H4351&lt;&gt;"",ROUND($O4351,2)&lt;&gt;0),"有","")</f>
        <v/>
      </c>
    </row>
    <row r="4352" customFormat="false" ht="15" hidden="true" customHeight="false" outlineLevel="0" collapsed="false">
      <c r="A4352" s="53" t="str">
        <f aca="false">IF($H4352="","",ROW()-5)</f>
        <v/>
      </c>
      <c r="B4352" s="64" t="s">
        <v>37</v>
      </c>
      <c r="C4352" s="53" t="n">
        <v>579</v>
      </c>
      <c r="D4352" s="53" t="n">
        <v>1</v>
      </c>
      <c r="E4352" s="65" t="str">
        <f aca="false">IF($H4352="","",资金流水!$B579)</f>
        <v/>
      </c>
      <c r="F4352" s="55" t="str">
        <f aca="false">IF($H4352="","",资金流水!$C579)</f>
        <v/>
      </c>
      <c r="G4352" s="48" t="str">
        <f aca="false">IF($H4352="","",资金流水!$K579)</f>
        <v/>
      </c>
      <c r="H4352" s="10" t="str">
        <f aca="false">IF($L4352="","",IF($L4352="@对方",资金流水!$G579,IF($L4352="@账户",资金流水!$Q579,$L4352)))</f>
        <v/>
      </c>
      <c r="I4352" s="42" t="n">
        <f aca="false">IF($M4352="借",$O4352,0)</f>
        <v>0</v>
      </c>
      <c r="J4352" s="42" t="n">
        <f aca="false">IF($M4352="贷",$O4352,0)</f>
        <v>0</v>
      </c>
      <c r="K4352" s="48" t="str">
        <f aca="false">IF($H4352="","",资金流水!$F579)</f>
        <v/>
      </c>
      <c r="L4352" s="66" t="str">
        <f aca="false">IF(资金流水!$E579="","",IFERROR(INDEX(记账规则!$A$13:$H$32,MATCH(资金流水!$E579,记账规则!$A$13:$A$32,0),3),""))</f>
        <v/>
      </c>
      <c r="M4352" s="66" t="str">
        <f aca="false">IF($L4352="","",IFERROR(INDEX(记账规则!$A$13:$H$32,MATCH(资金流水!$E579,记账规则!$A$13:$A$32,0),4),""))</f>
        <v/>
      </c>
      <c r="N4352" s="66" t="str">
        <f aca="false">IF($L4352="","",IFERROR(INDEX(记账规则!$A$13:$H$32,MATCH(资金流水!$E579,记账规则!$A$13:$A$32,0),5),""))</f>
        <v/>
      </c>
      <c r="O4352" s="67" t="n">
        <f aca="false">IF($H4352="",0,ROUND(IF($N4352="金额",N(资金流水!$P579),0),2))</f>
        <v>0</v>
      </c>
      <c r="P4352" s="64" t="str">
        <f aca="false">IF(AND($H4352&lt;&gt;"",ROUND($O4352,2)&lt;&gt;0),"有","")</f>
        <v/>
      </c>
    </row>
    <row r="4353" customFormat="false" ht="15" hidden="true" customHeight="false" outlineLevel="0" collapsed="false">
      <c r="A4353" s="53" t="str">
        <f aca="false">IF($H4353="","",ROW()-5)</f>
        <v/>
      </c>
      <c r="B4353" s="64" t="s">
        <v>37</v>
      </c>
      <c r="C4353" s="53" t="n">
        <v>579</v>
      </c>
      <c r="D4353" s="53" t="n">
        <v>2</v>
      </c>
      <c r="E4353" s="65" t="str">
        <f aca="false">IF($H4353="","",资金流水!$B579)</f>
        <v/>
      </c>
      <c r="F4353" s="55" t="str">
        <f aca="false">IF($H4353="","",资金流水!$C579)</f>
        <v/>
      </c>
      <c r="G4353" s="48" t="str">
        <f aca="false">IF($H4353="","",资金流水!$K579)</f>
        <v/>
      </c>
      <c r="H4353" s="10" t="str">
        <f aca="false">IF($L4353="","",IF($L4353="@对方",资金流水!$G579,IF($L4353="@账户",资金流水!$Q579,$L4353)))</f>
        <v/>
      </c>
      <c r="I4353" s="42" t="n">
        <f aca="false">IF($M4353="借",$O4353,0)</f>
        <v>0</v>
      </c>
      <c r="J4353" s="42" t="n">
        <f aca="false">IF($M4353="贷",$O4353,0)</f>
        <v>0</v>
      </c>
      <c r="K4353" s="48" t="str">
        <f aca="false">IF($H4353="","",资金流水!$F579)</f>
        <v/>
      </c>
      <c r="L4353" s="66" t="str">
        <f aca="false">IF(资金流水!$E579="","",IFERROR(INDEX(记账规则!$A$13:$H$32,MATCH(资金流水!$E579,记账规则!$A$13:$A$32,0),6),""))</f>
        <v/>
      </c>
      <c r="M4353" s="66" t="str">
        <f aca="false">IF($L4353="","",IFERROR(INDEX(记账规则!$A$13:$H$32,MATCH(资金流水!$E579,记账规则!$A$13:$A$32,0),7),""))</f>
        <v/>
      </c>
      <c r="N4353" s="66" t="str">
        <f aca="false">IF($L4353="","",IFERROR(INDEX(记账规则!$A$13:$H$32,MATCH(资金流水!$E579,记账规则!$A$13:$A$32,0),8),""))</f>
        <v/>
      </c>
      <c r="O4353" s="67" t="n">
        <f aca="false">IF($H4353="",0,ROUND(IF($N4353="金额",N(资金流水!$P579),0),2))</f>
        <v>0</v>
      </c>
      <c r="P4353" s="64" t="str">
        <f aca="false">IF(AND($H4353&lt;&gt;"",ROUND($O4353,2)&lt;&gt;0),"有","")</f>
        <v/>
      </c>
    </row>
    <row r="4354" customFormat="false" ht="15" hidden="true" customHeight="false" outlineLevel="0" collapsed="false">
      <c r="A4354" s="53" t="str">
        <f aca="false">IF($H4354="","",ROW()-5)</f>
        <v/>
      </c>
      <c r="B4354" s="64" t="s">
        <v>37</v>
      </c>
      <c r="C4354" s="53" t="n">
        <v>580</v>
      </c>
      <c r="D4354" s="53" t="n">
        <v>1</v>
      </c>
      <c r="E4354" s="65" t="str">
        <f aca="false">IF($H4354="","",资金流水!$B580)</f>
        <v/>
      </c>
      <c r="F4354" s="55" t="str">
        <f aca="false">IF($H4354="","",资金流水!$C580)</f>
        <v/>
      </c>
      <c r="G4354" s="48" t="str">
        <f aca="false">IF($H4354="","",资金流水!$K580)</f>
        <v/>
      </c>
      <c r="H4354" s="10" t="str">
        <f aca="false">IF($L4354="","",IF($L4354="@对方",资金流水!$G580,IF($L4354="@账户",资金流水!$Q580,$L4354)))</f>
        <v/>
      </c>
      <c r="I4354" s="42" t="n">
        <f aca="false">IF($M4354="借",$O4354,0)</f>
        <v>0</v>
      </c>
      <c r="J4354" s="42" t="n">
        <f aca="false">IF($M4354="贷",$O4354,0)</f>
        <v>0</v>
      </c>
      <c r="K4354" s="48" t="str">
        <f aca="false">IF($H4354="","",资金流水!$F580)</f>
        <v/>
      </c>
      <c r="L4354" s="66" t="str">
        <f aca="false">IF(资金流水!$E580="","",IFERROR(INDEX(记账规则!$A$13:$H$32,MATCH(资金流水!$E580,记账规则!$A$13:$A$32,0),3),""))</f>
        <v/>
      </c>
      <c r="M4354" s="66" t="str">
        <f aca="false">IF($L4354="","",IFERROR(INDEX(记账规则!$A$13:$H$32,MATCH(资金流水!$E580,记账规则!$A$13:$A$32,0),4),""))</f>
        <v/>
      </c>
      <c r="N4354" s="66" t="str">
        <f aca="false">IF($L4354="","",IFERROR(INDEX(记账规则!$A$13:$H$32,MATCH(资金流水!$E580,记账规则!$A$13:$A$32,0),5),""))</f>
        <v/>
      </c>
      <c r="O4354" s="67" t="n">
        <f aca="false">IF($H4354="",0,ROUND(IF($N4354="金额",N(资金流水!$P580),0),2))</f>
        <v>0</v>
      </c>
      <c r="P4354" s="64" t="str">
        <f aca="false">IF(AND($H4354&lt;&gt;"",ROUND($O4354,2)&lt;&gt;0),"有","")</f>
        <v/>
      </c>
    </row>
    <row r="4355" customFormat="false" ht="15" hidden="true" customHeight="false" outlineLevel="0" collapsed="false">
      <c r="A4355" s="53" t="str">
        <f aca="false">IF($H4355="","",ROW()-5)</f>
        <v/>
      </c>
      <c r="B4355" s="64" t="s">
        <v>37</v>
      </c>
      <c r="C4355" s="53" t="n">
        <v>580</v>
      </c>
      <c r="D4355" s="53" t="n">
        <v>2</v>
      </c>
      <c r="E4355" s="65" t="str">
        <f aca="false">IF($H4355="","",资金流水!$B580)</f>
        <v/>
      </c>
      <c r="F4355" s="55" t="str">
        <f aca="false">IF($H4355="","",资金流水!$C580)</f>
        <v/>
      </c>
      <c r="G4355" s="48" t="str">
        <f aca="false">IF($H4355="","",资金流水!$K580)</f>
        <v/>
      </c>
      <c r="H4355" s="10" t="str">
        <f aca="false">IF($L4355="","",IF($L4355="@对方",资金流水!$G580,IF($L4355="@账户",资金流水!$Q580,$L4355)))</f>
        <v/>
      </c>
      <c r="I4355" s="42" t="n">
        <f aca="false">IF($M4355="借",$O4355,0)</f>
        <v>0</v>
      </c>
      <c r="J4355" s="42" t="n">
        <f aca="false">IF($M4355="贷",$O4355,0)</f>
        <v>0</v>
      </c>
      <c r="K4355" s="48" t="str">
        <f aca="false">IF($H4355="","",资金流水!$F580)</f>
        <v/>
      </c>
      <c r="L4355" s="66" t="str">
        <f aca="false">IF(资金流水!$E580="","",IFERROR(INDEX(记账规则!$A$13:$H$32,MATCH(资金流水!$E580,记账规则!$A$13:$A$32,0),6),""))</f>
        <v/>
      </c>
      <c r="M4355" s="66" t="str">
        <f aca="false">IF($L4355="","",IFERROR(INDEX(记账规则!$A$13:$H$32,MATCH(资金流水!$E580,记账规则!$A$13:$A$32,0),7),""))</f>
        <v/>
      </c>
      <c r="N4355" s="66" t="str">
        <f aca="false">IF($L4355="","",IFERROR(INDEX(记账规则!$A$13:$H$32,MATCH(资金流水!$E580,记账规则!$A$13:$A$32,0),8),""))</f>
        <v/>
      </c>
      <c r="O4355" s="67" t="n">
        <f aca="false">IF($H4355="",0,ROUND(IF($N4355="金额",N(资金流水!$P580),0),2))</f>
        <v>0</v>
      </c>
      <c r="P4355" s="64" t="str">
        <f aca="false">IF(AND($H4355&lt;&gt;"",ROUND($O4355,2)&lt;&gt;0),"有","")</f>
        <v/>
      </c>
    </row>
    <row r="4356" customFormat="false" ht="15" hidden="true" customHeight="false" outlineLevel="0" collapsed="false">
      <c r="A4356" s="53" t="str">
        <f aca="false">IF($H4356="","",ROW()-5)</f>
        <v/>
      </c>
      <c r="B4356" s="64" t="s">
        <v>37</v>
      </c>
      <c r="C4356" s="53" t="n">
        <v>581</v>
      </c>
      <c r="D4356" s="53" t="n">
        <v>1</v>
      </c>
      <c r="E4356" s="65" t="str">
        <f aca="false">IF($H4356="","",资金流水!$B581)</f>
        <v/>
      </c>
      <c r="F4356" s="55" t="str">
        <f aca="false">IF($H4356="","",资金流水!$C581)</f>
        <v/>
      </c>
      <c r="G4356" s="48" t="str">
        <f aca="false">IF($H4356="","",资金流水!$K581)</f>
        <v/>
      </c>
      <c r="H4356" s="10" t="str">
        <f aca="false">IF($L4356="","",IF($L4356="@对方",资金流水!$G581,IF($L4356="@账户",资金流水!$Q581,$L4356)))</f>
        <v/>
      </c>
      <c r="I4356" s="42" t="n">
        <f aca="false">IF($M4356="借",$O4356,0)</f>
        <v>0</v>
      </c>
      <c r="J4356" s="42" t="n">
        <f aca="false">IF($M4356="贷",$O4356,0)</f>
        <v>0</v>
      </c>
      <c r="K4356" s="48" t="str">
        <f aca="false">IF($H4356="","",资金流水!$F581)</f>
        <v/>
      </c>
      <c r="L4356" s="66" t="str">
        <f aca="false">IF(资金流水!$E581="","",IFERROR(INDEX(记账规则!$A$13:$H$32,MATCH(资金流水!$E581,记账规则!$A$13:$A$32,0),3),""))</f>
        <v/>
      </c>
      <c r="M4356" s="66" t="str">
        <f aca="false">IF($L4356="","",IFERROR(INDEX(记账规则!$A$13:$H$32,MATCH(资金流水!$E581,记账规则!$A$13:$A$32,0),4),""))</f>
        <v/>
      </c>
      <c r="N4356" s="66" t="str">
        <f aca="false">IF($L4356="","",IFERROR(INDEX(记账规则!$A$13:$H$32,MATCH(资金流水!$E581,记账规则!$A$13:$A$32,0),5),""))</f>
        <v/>
      </c>
      <c r="O4356" s="67" t="n">
        <f aca="false">IF($H4356="",0,ROUND(IF($N4356="金额",N(资金流水!$P581),0),2))</f>
        <v>0</v>
      </c>
      <c r="P4356" s="64" t="str">
        <f aca="false">IF(AND($H4356&lt;&gt;"",ROUND($O4356,2)&lt;&gt;0),"有","")</f>
        <v/>
      </c>
    </row>
    <row r="4357" customFormat="false" ht="15" hidden="true" customHeight="false" outlineLevel="0" collapsed="false">
      <c r="A4357" s="53" t="str">
        <f aca="false">IF($H4357="","",ROW()-5)</f>
        <v/>
      </c>
      <c r="B4357" s="64" t="s">
        <v>37</v>
      </c>
      <c r="C4357" s="53" t="n">
        <v>581</v>
      </c>
      <c r="D4357" s="53" t="n">
        <v>2</v>
      </c>
      <c r="E4357" s="65" t="str">
        <f aca="false">IF($H4357="","",资金流水!$B581)</f>
        <v/>
      </c>
      <c r="F4357" s="55" t="str">
        <f aca="false">IF($H4357="","",资金流水!$C581)</f>
        <v/>
      </c>
      <c r="G4357" s="48" t="str">
        <f aca="false">IF($H4357="","",资金流水!$K581)</f>
        <v/>
      </c>
      <c r="H4357" s="10" t="str">
        <f aca="false">IF($L4357="","",IF($L4357="@对方",资金流水!$G581,IF($L4357="@账户",资金流水!$Q581,$L4357)))</f>
        <v/>
      </c>
      <c r="I4357" s="42" t="n">
        <f aca="false">IF($M4357="借",$O4357,0)</f>
        <v>0</v>
      </c>
      <c r="J4357" s="42" t="n">
        <f aca="false">IF($M4357="贷",$O4357,0)</f>
        <v>0</v>
      </c>
      <c r="K4357" s="48" t="str">
        <f aca="false">IF($H4357="","",资金流水!$F581)</f>
        <v/>
      </c>
      <c r="L4357" s="66" t="str">
        <f aca="false">IF(资金流水!$E581="","",IFERROR(INDEX(记账规则!$A$13:$H$32,MATCH(资金流水!$E581,记账规则!$A$13:$A$32,0),6),""))</f>
        <v/>
      </c>
      <c r="M4357" s="66" t="str">
        <f aca="false">IF($L4357="","",IFERROR(INDEX(记账规则!$A$13:$H$32,MATCH(资金流水!$E581,记账规则!$A$13:$A$32,0),7),""))</f>
        <v/>
      </c>
      <c r="N4357" s="66" t="str">
        <f aca="false">IF($L4357="","",IFERROR(INDEX(记账规则!$A$13:$H$32,MATCH(资金流水!$E581,记账规则!$A$13:$A$32,0),8),""))</f>
        <v/>
      </c>
      <c r="O4357" s="67" t="n">
        <f aca="false">IF($H4357="",0,ROUND(IF($N4357="金额",N(资金流水!$P581),0),2))</f>
        <v>0</v>
      </c>
      <c r="P4357" s="64" t="str">
        <f aca="false">IF(AND($H4357&lt;&gt;"",ROUND($O4357,2)&lt;&gt;0),"有","")</f>
        <v/>
      </c>
    </row>
    <row r="4358" customFormat="false" ht="15" hidden="true" customHeight="false" outlineLevel="0" collapsed="false">
      <c r="A4358" s="53" t="str">
        <f aca="false">IF($H4358="","",ROW()-5)</f>
        <v/>
      </c>
      <c r="B4358" s="64" t="s">
        <v>37</v>
      </c>
      <c r="C4358" s="53" t="n">
        <v>582</v>
      </c>
      <c r="D4358" s="53" t="n">
        <v>1</v>
      </c>
      <c r="E4358" s="65" t="str">
        <f aca="false">IF($H4358="","",资金流水!$B582)</f>
        <v/>
      </c>
      <c r="F4358" s="55" t="str">
        <f aca="false">IF($H4358="","",资金流水!$C582)</f>
        <v/>
      </c>
      <c r="G4358" s="48" t="str">
        <f aca="false">IF($H4358="","",资金流水!$K582)</f>
        <v/>
      </c>
      <c r="H4358" s="10" t="str">
        <f aca="false">IF($L4358="","",IF($L4358="@对方",资金流水!$G582,IF($L4358="@账户",资金流水!$Q582,$L4358)))</f>
        <v/>
      </c>
      <c r="I4358" s="42" t="n">
        <f aca="false">IF($M4358="借",$O4358,0)</f>
        <v>0</v>
      </c>
      <c r="J4358" s="42" t="n">
        <f aca="false">IF($M4358="贷",$O4358,0)</f>
        <v>0</v>
      </c>
      <c r="K4358" s="48" t="str">
        <f aca="false">IF($H4358="","",资金流水!$F582)</f>
        <v/>
      </c>
      <c r="L4358" s="66" t="str">
        <f aca="false">IF(资金流水!$E582="","",IFERROR(INDEX(记账规则!$A$13:$H$32,MATCH(资金流水!$E582,记账规则!$A$13:$A$32,0),3),""))</f>
        <v/>
      </c>
      <c r="M4358" s="66" t="str">
        <f aca="false">IF($L4358="","",IFERROR(INDEX(记账规则!$A$13:$H$32,MATCH(资金流水!$E582,记账规则!$A$13:$A$32,0),4),""))</f>
        <v/>
      </c>
      <c r="N4358" s="66" t="str">
        <f aca="false">IF($L4358="","",IFERROR(INDEX(记账规则!$A$13:$H$32,MATCH(资金流水!$E582,记账规则!$A$13:$A$32,0),5),""))</f>
        <v/>
      </c>
      <c r="O4358" s="67" t="n">
        <f aca="false">IF($H4358="",0,ROUND(IF($N4358="金额",N(资金流水!$P582),0),2))</f>
        <v>0</v>
      </c>
      <c r="P4358" s="64" t="str">
        <f aca="false">IF(AND($H4358&lt;&gt;"",ROUND($O4358,2)&lt;&gt;0),"有","")</f>
        <v/>
      </c>
    </row>
    <row r="4359" customFormat="false" ht="15" hidden="true" customHeight="false" outlineLevel="0" collapsed="false">
      <c r="A4359" s="53" t="str">
        <f aca="false">IF($H4359="","",ROW()-5)</f>
        <v/>
      </c>
      <c r="B4359" s="64" t="s">
        <v>37</v>
      </c>
      <c r="C4359" s="53" t="n">
        <v>582</v>
      </c>
      <c r="D4359" s="53" t="n">
        <v>2</v>
      </c>
      <c r="E4359" s="65" t="str">
        <f aca="false">IF($H4359="","",资金流水!$B582)</f>
        <v/>
      </c>
      <c r="F4359" s="55" t="str">
        <f aca="false">IF($H4359="","",资金流水!$C582)</f>
        <v/>
      </c>
      <c r="G4359" s="48" t="str">
        <f aca="false">IF($H4359="","",资金流水!$K582)</f>
        <v/>
      </c>
      <c r="H4359" s="10" t="str">
        <f aca="false">IF($L4359="","",IF($L4359="@对方",资金流水!$G582,IF($L4359="@账户",资金流水!$Q582,$L4359)))</f>
        <v/>
      </c>
      <c r="I4359" s="42" t="n">
        <f aca="false">IF($M4359="借",$O4359,0)</f>
        <v>0</v>
      </c>
      <c r="J4359" s="42" t="n">
        <f aca="false">IF($M4359="贷",$O4359,0)</f>
        <v>0</v>
      </c>
      <c r="K4359" s="48" t="str">
        <f aca="false">IF($H4359="","",资金流水!$F582)</f>
        <v/>
      </c>
      <c r="L4359" s="66" t="str">
        <f aca="false">IF(资金流水!$E582="","",IFERROR(INDEX(记账规则!$A$13:$H$32,MATCH(资金流水!$E582,记账规则!$A$13:$A$32,0),6),""))</f>
        <v/>
      </c>
      <c r="M4359" s="66" t="str">
        <f aca="false">IF($L4359="","",IFERROR(INDEX(记账规则!$A$13:$H$32,MATCH(资金流水!$E582,记账规则!$A$13:$A$32,0),7),""))</f>
        <v/>
      </c>
      <c r="N4359" s="66" t="str">
        <f aca="false">IF($L4359="","",IFERROR(INDEX(记账规则!$A$13:$H$32,MATCH(资金流水!$E582,记账规则!$A$13:$A$32,0),8),""))</f>
        <v/>
      </c>
      <c r="O4359" s="67" t="n">
        <f aca="false">IF($H4359="",0,ROUND(IF($N4359="金额",N(资金流水!$P582),0),2))</f>
        <v>0</v>
      </c>
      <c r="P4359" s="64" t="str">
        <f aca="false">IF(AND($H4359&lt;&gt;"",ROUND($O4359,2)&lt;&gt;0),"有","")</f>
        <v/>
      </c>
    </row>
    <row r="4360" customFormat="false" ht="15" hidden="true" customHeight="false" outlineLevel="0" collapsed="false">
      <c r="A4360" s="53" t="str">
        <f aca="false">IF($H4360="","",ROW()-5)</f>
        <v/>
      </c>
      <c r="B4360" s="64" t="s">
        <v>37</v>
      </c>
      <c r="C4360" s="53" t="n">
        <v>583</v>
      </c>
      <c r="D4360" s="53" t="n">
        <v>1</v>
      </c>
      <c r="E4360" s="65" t="str">
        <f aca="false">IF($H4360="","",资金流水!$B583)</f>
        <v/>
      </c>
      <c r="F4360" s="55" t="str">
        <f aca="false">IF($H4360="","",资金流水!$C583)</f>
        <v/>
      </c>
      <c r="G4360" s="48" t="str">
        <f aca="false">IF($H4360="","",资金流水!$K583)</f>
        <v/>
      </c>
      <c r="H4360" s="10" t="str">
        <f aca="false">IF($L4360="","",IF($L4360="@对方",资金流水!$G583,IF($L4360="@账户",资金流水!$Q583,$L4360)))</f>
        <v/>
      </c>
      <c r="I4360" s="42" t="n">
        <f aca="false">IF($M4360="借",$O4360,0)</f>
        <v>0</v>
      </c>
      <c r="J4360" s="42" t="n">
        <f aca="false">IF($M4360="贷",$O4360,0)</f>
        <v>0</v>
      </c>
      <c r="K4360" s="48" t="str">
        <f aca="false">IF($H4360="","",资金流水!$F583)</f>
        <v/>
      </c>
      <c r="L4360" s="66" t="str">
        <f aca="false">IF(资金流水!$E583="","",IFERROR(INDEX(记账规则!$A$13:$H$32,MATCH(资金流水!$E583,记账规则!$A$13:$A$32,0),3),""))</f>
        <v/>
      </c>
      <c r="M4360" s="66" t="str">
        <f aca="false">IF($L4360="","",IFERROR(INDEX(记账规则!$A$13:$H$32,MATCH(资金流水!$E583,记账规则!$A$13:$A$32,0),4),""))</f>
        <v/>
      </c>
      <c r="N4360" s="66" t="str">
        <f aca="false">IF($L4360="","",IFERROR(INDEX(记账规则!$A$13:$H$32,MATCH(资金流水!$E583,记账规则!$A$13:$A$32,0),5),""))</f>
        <v/>
      </c>
      <c r="O4360" s="67" t="n">
        <f aca="false">IF($H4360="",0,ROUND(IF($N4360="金额",N(资金流水!$P583),0),2))</f>
        <v>0</v>
      </c>
      <c r="P4360" s="64" t="str">
        <f aca="false">IF(AND($H4360&lt;&gt;"",ROUND($O4360,2)&lt;&gt;0),"有","")</f>
        <v/>
      </c>
    </row>
    <row r="4361" customFormat="false" ht="15" hidden="true" customHeight="false" outlineLevel="0" collapsed="false">
      <c r="A4361" s="53" t="str">
        <f aca="false">IF($H4361="","",ROW()-5)</f>
        <v/>
      </c>
      <c r="B4361" s="64" t="s">
        <v>37</v>
      </c>
      <c r="C4361" s="53" t="n">
        <v>583</v>
      </c>
      <c r="D4361" s="53" t="n">
        <v>2</v>
      </c>
      <c r="E4361" s="65" t="str">
        <f aca="false">IF($H4361="","",资金流水!$B583)</f>
        <v/>
      </c>
      <c r="F4361" s="55" t="str">
        <f aca="false">IF($H4361="","",资金流水!$C583)</f>
        <v/>
      </c>
      <c r="G4361" s="48" t="str">
        <f aca="false">IF($H4361="","",资金流水!$K583)</f>
        <v/>
      </c>
      <c r="H4361" s="10" t="str">
        <f aca="false">IF($L4361="","",IF($L4361="@对方",资金流水!$G583,IF($L4361="@账户",资金流水!$Q583,$L4361)))</f>
        <v/>
      </c>
      <c r="I4361" s="42" t="n">
        <f aca="false">IF($M4361="借",$O4361,0)</f>
        <v>0</v>
      </c>
      <c r="J4361" s="42" t="n">
        <f aca="false">IF($M4361="贷",$O4361,0)</f>
        <v>0</v>
      </c>
      <c r="K4361" s="48" t="str">
        <f aca="false">IF($H4361="","",资金流水!$F583)</f>
        <v/>
      </c>
      <c r="L4361" s="66" t="str">
        <f aca="false">IF(资金流水!$E583="","",IFERROR(INDEX(记账规则!$A$13:$H$32,MATCH(资金流水!$E583,记账规则!$A$13:$A$32,0),6),""))</f>
        <v/>
      </c>
      <c r="M4361" s="66" t="str">
        <f aca="false">IF($L4361="","",IFERROR(INDEX(记账规则!$A$13:$H$32,MATCH(资金流水!$E583,记账规则!$A$13:$A$32,0),7),""))</f>
        <v/>
      </c>
      <c r="N4361" s="66" t="str">
        <f aca="false">IF($L4361="","",IFERROR(INDEX(记账规则!$A$13:$H$32,MATCH(资金流水!$E583,记账规则!$A$13:$A$32,0),8),""))</f>
        <v/>
      </c>
      <c r="O4361" s="67" t="n">
        <f aca="false">IF($H4361="",0,ROUND(IF($N4361="金额",N(资金流水!$P583),0),2))</f>
        <v>0</v>
      </c>
      <c r="P4361" s="64" t="str">
        <f aca="false">IF(AND($H4361&lt;&gt;"",ROUND($O4361,2)&lt;&gt;0),"有","")</f>
        <v/>
      </c>
    </row>
    <row r="4362" customFormat="false" ht="15" hidden="true" customHeight="false" outlineLevel="0" collapsed="false">
      <c r="A4362" s="53" t="str">
        <f aca="false">IF($H4362="","",ROW()-5)</f>
        <v/>
      </c>
      <c r="B4362" s="64" t="s">
        <v>37</v>
      </c>
      <c r="C4362" s="53" t="n">
        <v>584</v>
      </c>
      <c r="D4362" s="53" t="n">
        <v>1</v>
      </c>
      <c r="E4362" s="65" t="str">
        <f aca="false">IF($H4362="","",资金流水!$B584)</f>
        <v/>
      </c>
      <c r="F4362" s="55" t="str">
        <f aca="false">IF($H4362="","",资金流水!$C584)</f>
        <v/>
      </c>
      <c r="G4362" s="48" t="str">
        <f aca="false">IF($H4362="","",资金流水!$K584)</f>
        <v/>
      </c>
      <c r="H4362" s="10" t="str">
        <f aca="false">IF($L4362="","",IF($L4362="@对方",资金流水!$G584,IF($L4362="@账户",资金流水!$Q584,$L4362)))</f>
        <v/>
      </c>
      <c r="I4362" s="42" t="n">
        <f aca="false">IF($M4362="借",$O4362,0)</f>
        <v>0</v>
      </c>
      <c r="J4362" s="42" t="n">
        <f aca="false">IF($M4362="贷",$O4362,0)</f>
        <v>0</v>
      </c>
      <c r="K4362" s="48" t="str">
        <f aca="false">IF($H4362="","",资金流水!$F584)</f>
        <v/>
      </c>
      <c r="L4362" s="66" t="str">
        <f aca="false">IF(资金流水!$E584="","",IFERROR(INDEX(记账规则!$A$13:$H$32,MATCH(资金流水!$E584,记账规则!$A$13:$A$32,0),3),""))</f>
        <v/>
      </c>
      <c r="M4362" s="66" t="str">
        <f aca="false">IF($L4362="","",IFERROR(INDEX(记账规则!$A$13:$H$32,MATCH(资金流水!$E584,记账规则!$A$13:$A$32,0),4),""))</f>
        <v/>
      </c>
      <c r="N4362" s="66" t="str">
        <f aca="false">IF($L4362="","",IFERROR(INDEX(记账规则!$A$13:$H$32,MATCH(资金流水!$E584,记账规则!$A$13:$A$32,0),5),""))</f>
        <v/>
      </c>
      <c r="O4362" s="67" t="n">
        <f aca="false">IF($H4362="",0,ROUND(IF($N4362="金额",N(资金流水!$P584),0),2))</f>
        <v>0</v>
      </c>
      <c r="P4362" s="64" t="str">
        <f aca="false">IF(AND($H4362&lt;&gt;"",ROUND($O4362,2)&lt;&gt;0),"有","")</f>
        <v/>
      </c>
    </row>
    <row r="4363" customFormat="false" ht="15" hidden="true" customHeight="false" outlineLevel="0" collapsed="false">
      <c r="A4363" s="53" t="str">
        <f aca="false">IF($H4363="","",ROW()-5)</f>
        <v/>
      </c>
      <c r="B4363" s="64" t="s">
        <v>37</v>
      </c>
      <c r="C4363" s="53" t="n">
        <v>584</v>
      </c>
      <c r="D4363" s="53" t="n">
        <v>2</v>
      </c>
      <c r="E4363" s="65" t="str">
        <f aca="false">IF($H4363="","",资金流水!$B584)</f>
        <v/>
      </c>
      <c r="F4363" s="55" t="str">
        <f aca="false">IF($H4363="","",资金流水!$C584)</f>
        <v/>
      </c>
      <c r="G4363" s="48" t="str">
        <f aca="false">IF($H4363="","",资金流水!$K584)</f>
        <v/>
      </c>
      <c r="H4363" s="10" t="str">
        <f aca="false">IF($L4363="","",IF($L4363="@对方",资金流水!$G584,IF($L4363="@账户",资金流水!$Q584,$L4363)))</f>
        <v/>
      </c>
      <c r="I4363" s="42" t="n">
        <f aca="false">IF($M4363="借",$O4363,0)</f>
        <v>0</v>
      </c>
      <c r="J4363" s="42" t="n">
        <f aca="false">IF($M4363="贷",$O4363,0)</f>
        <v>0</v>
      </c>
      <c r="K4363" s="48" t="str">
        <f aca="false">IF($H4363="","",资金流水!$F584)</f>
        <v/>
      </c>
      <c r="L4363" s="66" t="str">
        <f aca="false">IF(资金流水!$E584="","",IFERROR(INDEX(记账规则!$A$13:$H$32,MATCH(资金流水!$E584,记账规则!$A$13:$A$32,0),6),""))</f>
        <v/>
      </c>
      <c r="M4363" s="66" t="str">
        <f aca="false">IF($L4363="","",IFERROR(INDEX(记账规则!$A$13:$H$32,MATCH(资金流水!$E584,记账规则!$A$13:$A$32,0),7),""))</f>
        <v/>
      </c>
      <c r="N4363" s="66" t="str">
        <f aca="false">IF($L4363="","",IFERROR(INDEX(记账规则!$A$13:$H$32,MATCH(资金流水!$E584,记账规则!$A$13:$A$32,0),8),""))</f>
        <v/>
      </c>
      <c r="O4363" s="67" t="n">
        <f aca="false">IF($H4363="",0,ROUND(IF($N4363="金额",N(资金流水!$P584),0),2))</f>
        <v>0</v>
      </c>
      <c r="P4363" s="64" t="str">
        <f aca="false">IF(AND($H4363&lt;&gt;"",ROUND($O4363,2)&lt;&gt;0),"有","")</f>
        <v/>
      </c>
    </row>
    <row r="4364" customFormat="false" ht="15" hidden="true" customHeight="false" outlineLevel="0" collapsed="false">
      <c r="A4364" s="53" t="str">
        <f aca="false">IF($H4364="","",ROW()-5)</f>
        <v/>
      </c>
      <c r="B4364" s="64" t="s">
        <v>37</v>
      </c>
      <c r="C4364" s="53" t="n">
        <v>585</v>
      </c>
      <c r="D4364" s="53" t="n">
        <v>1</v>
      </c>
      <c r="E4364" s="65" t="str">
        <f aca="false">IF($H4364="","",资金流水!$B585)</f>
        <v/>
      </c>
      <c r="F4364" s="55" t="str">
        <f aca="false">IF($H4364="","",资金流水!$C585)</f>
        <v/>
      </c>
      <c r="G4364" s="48" t="str">
        <f aca="false">IF($H4364="","",资金流水!$K585)</f>
        <v/>
      </c>
      <c r="H4364" s="10" t="str">
        <f aca="false">IF($L4364="","",IF($L4364="@对方",资金流水!$G585,IF($L4364="@账户",资金流水!$Q585,$L4364)))</f>
        <v/>
      </c>
      <c r="I4364" s="42" t="n">
        <f aca="false">IF($M4364="借",$O4364,0)</f>
        <v>0</v>
      </c>
      <c r="J4364" s="42" t="n">
        <f aca="false">IF($M4364="贷",$O4364,0)</f>
        <v>0</v>
      </c>
      <c r="K4364" s="48" t="str">
        <f aca="false">IF($H4364="","",资金流水!$F585)</f>
        <v/>
      </c>
      <c r="L4364" s="66" t="str">
        <f aca="false">IF(资金流水!$E585="","",IFERROR(INDEX(记账规则!$A$13:$H$32,MATCH(资金流水!$E585,记账规则!$A$13:$A$32,0),3),""))</f>
        <v/>
      </c>
      <c r="M4364" s="66" t="str">
        <f aca="false">IF($L4364="","",IFERROR(INDEX(记账规则!$A$13:$H$32,MATCH(资金流水!$E585,记账规则!$A$13:$A$32,0),4),""))</f>
        <v/>
      </c>
      <c r="N4364" s="66" t="str">
        <f aca="false">IF($L4364="","",IFERROR(INDEX(记账规则!$A$13:$H$32,MATCH(资金流水!$E585,记账规则!$A$13:$A$32,0),5),""))</f>
        <v/>
      </c>
      <c r="O4364" s="67" t="n">
        <f aca="false">IF($H4364="",0,ROUND(IF($N4364="金额",N(资金流水!$P585),0),2))</f>
        <v>0</v>
      </c>
      <c r="P4364" s="64" t="str">
        <f aca="false">IF(AND($H4364&lt;&gt;"",ROUND($O4364,2)&lt;&gt;0),"有","")</f>
        <v/>
      </c>
    </row>
    <row r="4365" customFormat="false" ht="15" hidden="true" customHeight="false" outlineLevel="0" collapsed="false">
      <c r="A4365" s="53" t="str">
        <f aca="false">IF($H4365="","",ROW()-5)</f>
        <v/>
      </c>
      <c r="B4365" s="64" t="s">
        <v>37</v>
      </c>
      <c r="C4365" s="53" t="n">
        <v>585</v>
      </c>
      <c r="D4365" s="53" t="n">
        <v>2</v>
      </c>
      <c r="E4365" s="65" t="str">
        <f aca="false">IF($H4365="","",资金流水!$B585)</f>
        <v/>
      </c>
      <c r="F4365" s="55" t="str">
        <f aca="false">IF($H4365="","",资金流水!$C585)</f>
        <v/>
      </c>
      <c r="G4365" s="48" t="str">
        <f aca="false">IF($H4365="","",资金流水!$K585)</f>
        <v/>
      </c>
      <c r="H4365" s="10" t="str">
        <f aca="false">IF($L4365="","",IF($L4365="@对方",资金流水!$G585,IF($L4365="@账户",资金流水!$Q585,$L4365)))</f>
        <v/>
      </c>
      <c r="I4365" s="42" t="n">
        <f aca="false">IF($M4365="借",$O4365,0)</f>
        <v>0</v>
      </c>
      <c r="J4365" s="42" t="n">
        <f aca="false">IF($M4365="贷",$O4365,0)</f>
        <v>0</v>
      </c>
      <c r="K4365" s="48" t="str">
        <f aca="false">IF($H4365="","",资金流水!$F585)</f>
        <v/>
      </c>
      <c r="L4365" s="66" t="str">
        <f aca="false">IF(资金流水!$E585="","",IFERROR(INDEX(记账规则!$A$13:$H$32,MATCH(资金流水!$E585,记账规则!$A$13:$A$32,0),6),""))</f>
        <v/>
      </c>
      <c r="M4365" s="66" t="str">
        <f aca="false">IF($L4365="","",IFERROR(INDEX(记账规则!$A$13:$H$32,MATCH(资金流水!$E585,记账规则!$A$13:$A$32,0),7),""))</f>
        <v/>
      </c>
      <c r="N4365" s="66" t="str">
        <f aca="false">IF($L4365="","",IFERROR(INDEX(记账规则!$A$13:$H$32,MATCH(资金流水!$E585,记账规则!$A$13:$A$32,0),8),""))</f>
        <v/>
      </c>
      <c r="O4365" s="67" t="n">
        <f aca="false">IF($H4365="",0,ROUND(IF($N4365="金额",N(资金流水!$P585),0),2))</f>
        <v>0</v>
      </c>
      <c r="P4365" s="64" t="str">
        <f aca="false">IF(AND($H4365&lt;&gt;"",ROUND($O4365,2)&lt;&gt;0),"有","")</f>
        <v/>
      </c>
    </row>
    <row r="4366" customFormat="false" ht="15" hidden="true" customHeight="false" outlineLevel="0" collapsed="false">
      <c r="A4366" s="53" t="str">
        <f aca="false">IF($H4366="","",ROW()-5)</f>
        <v/>
      </c>
      <c r="B4366" s="64" t="s">
        <v>37</v>
      </c>
      <c r="C4366" s="53" t="n">
        <v>586</v>
      </c>
      <c r="D4366" s="53" t="n">
        <v>1</v>
      </c>
      <c r="E4366" s="65" t="str">
        <f aca="false">IF($H4366="","",资金流水!$B586)</f>
        <v/>
      </c>
      <c r="F4366" s="55" t="str">
        <f aca="false">IF($H4366="","",资金流水!$C586)</f>
        <v/>
      </c>
      <c r="G4366" s="48" t="str">
        <f aca="false">IF($H4366="","",资金流水!$K586)</f>
        <v/>
      </c>
      <c r="H4366" s="10" t="str">
        <f aca="false">IF($L4366="","",IF($L4366="@对方",资金流水!$G586,IF($L4366="@账户",资金流水!$Q586,$L4366)))</f>
        <v/>
      </c>
      <c r="I4366" s="42" t="n">
        <f aca="false">IF($M4366="借",$O4366,0)</f>
        <v>0</v>
      </c>
      <c r="J4366" s="42" t="n">
        <f aca="false">IF($M4366="贷",$O4366,0)</f>
        <v>0</v>
      </c>
      <c r="K4366" s="48" t="str">
        <f aca="false">IF($H4366="","",资金流水!$F586)</f>
        <v/>
      </c>
      <c r="L4366" s="66" t="str">
        <f aca="false">IF(资金流水!$E586="","",IFERROR(INDEX(记账规则!$A$13:$H$32,MATCH(资金流水!$E586,记账规则!$A$13:$A$32,0),3),""))</f>
        <v/>
      </c>
      <c r="M4366" s="66" t="str">
        <f aca="false">IF($L4366="","",IFERROR(INDEX(记账规则!$A$13:$H$32,MATCH(资金流水!$E586,记账规则!$A$13:$A$32,0),4),""))</f>
        <v/>
      </c>
      <c r="N4366" s="66" t="str">
        <f aca="false">IF($L4366="","",IFERROR(INDEX(记账规则!$A$13:$H$32,MATCH(资金流水!$E586,记账规则!$A$13:$A$32,0),5),""))</f>
        <v/>
      </c>
      <c r="O4366" s="67" t="n">
        <f aca="false">IF($H4366="",0,ROUND(IF($N4366="金额",N(资金流水!$P586),0),2))</f>
        <v>0</v>
      </c>
      <c r="P4366" s="64" t="str">
        <f aca="false">IF(AND($H4366&lt;&gt;"",ROUND($O4366,2)&lt;&gt;0),"有","")</f>
        <v/>
      </c>
    </row>
    <row r="4367" customFormat="false" ht="15" hidden="true" customHeight="false" outlineLevel="0" collapsed="false">
      <c r="A4367" s="53" t="str">
        <f aca="false">IF($H4367="","",ROW()-5)</f>
        <v/>
      </c>
      <c r="B4367" s="64" t="s">
        <v>37</v>
      </c>
      <c r="C4367" s="53" t="n">
        <v>586</v>
      </c>
      <c r="D4367" s="53" t="n">
        <v>2</v>
      </c>
      <c r="E4367" s="65" t="str">
        <f aca="false">IF($H4367="","",资金流水!$B586)</f>
        <v/>
      </c>
      <c r="F4367" s="55" t="str">
        <f aca="false">IF($H4367="","",资金流水!$C586)</f>
        <v/>
      </c>
      <c r="G4367" s="48" t="str">
        <f aca="false">IF($H4367="","",资金流水!$K586)</f>
        <v/>
      </c>
      <c r="H4367" s="10" t="str">
        <f aca="false">IF($L4367="","",IF($L4367="@对方",资金流水!$G586,IF($L4367="@账户",资金流水!$Q586,$L4367)))</f>
        <v/>
      </c>
      <c r="I4367" s="42" t="n">
        <f aca="false">IF($M4367="借",$O4367,0)</f>
        <v>0</v>
      </c>
      <c r="J4367" s="42" t="n">
        <f aca="false">IF($M4367="贷",$O4367,0)</f>
        <v>0</v>
      </c>
      <c r="K4367" s="48" t="str">
        <f aca="false">IF($H4367="","",资金流水!$F586)</f>
        <v/>
      </c>
      <c r="L4367" s="66" t="str">
        <f aca="false">IF(资金流水!$E586="","",IFERROR(INDEX(记账规则!$A$13:$H$32,MATCH(资金流水!$E586,记账规则!$A$13:$A$32,0),6),""))</f>
        <v/>
      </c>
      <c r="M4367" s="66" t="str">
        <f aca="false">IF($L4367="","",IFERROR(INDEX(记账规则!$A$13:$H$32,MATCH(资金流水!$E586,记账规则!$A$13:$A$32,0),7),""))</f>
        <v/>
      </c>
      <c r="N4367" s="66" t="str">
        <f aca="false">IF($L4367="","",IFERROR(INDEX(记账规则!$A$13:$H$32,MATCH(资金流水!$E586,记账规则!$A$13:$A$32,0),8),""))</f>
        <v/>
      </c>
      <c r="O4367" s="67" t="n">
        <f aca="false">IF($H4367="",0,ROUND(IF($N4367="金额",N(资金流水!$P586),0),2))</f>
        <v>0</v>
      </c>
      <c r="P4367" s="64" t="str">
        <f aca="false">IF(AND($H4367&lt;&gt;"",ROUND($O4367,2)&lt;&gt;0),"有","")</f>
        <v/>
      </c>
    </row>
    <row r="4368" customFormat="false" ht="15" hidden="true" customHeight="false" outlineLevel="0" collapsed="false">
      <c r="A4368" s="53" t="str">
        <f aca="false">IF($H4368="","",ROW()-5)</f>
        <v/>
      </c>
      <c r="B4368" s="64" t="s">
        <v>37</v>
      </c>
      <c r="C4368" s="53" t="n">
        <v>587</v>
      </c>
      <c r="D4368" s="53" t="n">
        <v>1</v>
      </c>
      <c r="E4368" s="65" t="str">
        <f aca="false">IF($H4368="","",资金流水!$B587)</f>
        <v/>
      </c>
      <c r="F4368" s="55" t="str">
        <f aca="false">IF($H4368="","",资金流水!$C587)</f>
        <v/>
      </c>
      <c r="G4368" s="48" t="str">
        <f aca="false">IF($H4368="","",资金流水!$K587)</f>
        <v/>
      </c>
      <c r="H4368" s="10" t="str">
        <f aca="false">IF($L4368="","",IF($L4368="@对方",资金流水!$G587,IF($L4368="@账户",资金流水!$Q587,$L4368)))</f>
        <v/>
      </c>
      <c r="I4368" s="42" t="n">
        <f aca="false">IF($M4368="借",$O4368,0)</f>
        <v>0</v>
      </c>
      <c r="J4368" s="42" t="n">
        <f aca="false">IF($M4368="贷",$O4368,0)</f>
        <v>0</v>
      </c>
      <c r="K4368" s="48" t="str">
        <f aca="false">IF($H4368="","",资金流水!$F587)</f>
        <v/>
      </c>
      <c r="L4368" s="66" t="str">
        <f aca="false">IF(资金流水!$E587="","",IFERROR(INDEX(记账规则!$A$13:$H$32,MATCH(资金流水!$E587,记账规则!$A$13:$A$32,0),3),""))</f>
        <v/>
      </c>
      <c r="M4368" s="66" t="str">
        <f aca="false">IF($L4368="","",IFERROR(INDEX(记账规则!$A$13:$H$32,MATCH(资金流水!$E587,记账规则!$A$13:$A$32,0),4),""))</f>
        <v/>
      </c>
      <c r="N4368" s="66" t="str">
        <f aca="false">IF($L4368="","",IFERROR(INDEX(记账规则!$A$13:$H$32,MATCH(资金流水!$E587,记账规则!$A$13:$A$32,0),5),""))</f>
        <v/>
      </c>
      <c r="O4368" s="67" t="n">
        <f aca="false">IF($H4368="",0,ROUND(IF($N4368="金额",N(资金流水!$P587),0),2))</f>
        <v>0</v>
      </c>
      <c r="P4368" s="64" t="str">
        <f aca="false">IF(AND($H4368&lt;&gt;"",ROUND($O4368,2)&lt;&gt;0),"有","")</f>
        <v/>
      </c>
    </row>
    <row r="4369" customFormat="false" ht="15" hidden="true" customHeight="false" outlineLevel="0" collapsed="false">
      <c r="A4369" s="53" t="str">
        <f aca="false">IF($H4369="","",ROW()-5)</f>
        <v/>
      </c>
      <c r="B4369" s="64" t="s">
        <v>37</v>
      </c>
      <c r="C4369" s="53" t="n">
        <v>587</v>
      </c>
      <c r="D4369" s="53" t="n">
        <v>2</v>
      </c>
      <c r="E4369" s="65" t="str">
        <f aca="false">IF($H4369="","",资金流水!$B587)</f>
        <v/>
      </c>
      <c r="F4369" s="55" t="str">
        <f aca="false">IF($H4369="","",资金流水!$C587)</f>
        <v/>
      </c>
      <c r="G4369" s="48" t="str">
        <f aca="false">IF($H4369="","",资金流水!$K587)</f>
        <v/>
      </c>
      <c r="H4369" s="10" t="str">
        <f aca="false">IF($L4369="","",IF($L4369="@对方",资金流水!$G587,IF($L4369="@账户",资金流水!$Q587,$L4369)))</f>
        <v/>
      </c>
      <c r="I4369" s="42" t="n">
        <f aca="false">IF($M4369="借",$O4369,0)</f>
        <v>0</v>
      </c>
      <c r="J4369" s="42" t="n">
        <f aca="false">IF($M4369="贷",$O4369,0)</f>
        <v>0</v>
      </c>
      <c r="K4369" s="48" t="str">
        <f aca="false">IF($H4369="","",资金流水!$F587)</f>
        <v/>
      </c>
      <c r="L4369" s="66" t="str">
        <f aca="false">IF(资金流水!$E587="","",IFERROR(INDEX(记账规则!$A$13:$H$32,MATCH(资金流水!$E587,记账规则!$A$13:$A$32,0),6),""))</f>
        <v/>
      </c>
      <c r="M4369" s="66" t="str">
        <f aca="false">IF($L4369="","",IFERROR(INDEX(记账规则!$A$13:$H$32,MATCH(资金流水!$E587,记账规则!$A$13:$A$32,0),7),""))</f>
        <v/>
      </c>
      <c r="N4369" s="66" t="str">
        <f aca="false">IF($L4369="","",IFERROR(INDEX(记账规则!$A$13:$H$32,MATCH(资金流水!$E587,记账规则!$A$13:$A$32,0),8),""))</f>
        <v/>
      </c>
      <c r="O4369" s="67" t="n">
        <f aca="false">IF($H4369="",0,ROUND(IF($N4369="金额",N(资金流水!$P587),0),2))</f>
        <v>0</v>
      </c>
      <c r="P4369" s="64" t="str">
        <f aca="false">IF(AND($H4369&lt;&gt;"",ROUND($O4369,2)&lt;&gt;0),"有","")</f>
        <v/>
      </c>
    </row>
    <row r="4370" customFormat="false" ht="15" hidden="true" customHeight="false" outlineLevel="0" collapsed="false">
      <c r="A4370" s="53" t="str">
        <f aca="false">IF($H4370="","",ROW()-5)</f>
        <v/>
      </c>
      <c r="B4370" s="64" t="s">
        <v>37</v>
      </c>
      <c r="C4370" s="53" t="n">
        <v>588</v>
      </c>
      <c r="D4370" s="53" t="n">
        <v>1</v>
      </c>
      <c r="E4370" s="65" t="str">
        <f aca="false">IF($H4370="","",资金流水!$B588)</f>
        <v/>
      </c>
      <c r="F4370" s="55" t="str">
        <f aca="false">IF($H4370="","",资金流水!$C588)</f>
        <v/>
      </c>
      <c r="G4370" s="48" t="str">
        <f aca="false">IF($H4370="","",资金流水!$K588)</f>
        <v/>
      </c>
      <c r="H4370" s="10" t="str">
        <f aca="false">IF($L4370="","",IF($L4370="@对方",资金流水!$G588,IF($L4370="@账户",资金流水!$Q588,$L4370)))</f>
        <v/>
      </c>
      <c r="I4370" s="42" t="n">
        <f aca="false">IF($M4370="借",$O4370,0)</f>
        <v>0</v>
      </c>
      <c r="J4370" s="42" t="n">
        <f aca="false">IF($M4370="贷",$O4370,0)</f>
        <v>0</v>
      </c>
      <c r="K4370" s="48" t="str">
        <f aca="false">IF($H4370="","",资金流水!$F588)</f>
        <v/>
      </c>
      <c r="L4370" s="66" t="str">
        <f aca="false">IF(资金流水!$E588="","",IFERROR(INDEX(记账规则!$A$13:$H$32,MATCH(资金流水!$E588,记账规则!$A$13:$A$32,0),3),""))</f>
        <v/>
      </c>
      <c r="M4370" s="66" t="str">
        <f aca="false">IF($L4370="","",IFERROR(INDEX(记账规则!$A$13:$H$32,MATCH(资金流水!$E588,记账规则!$A$13:$A$32,0),4),""))</f>
        <v/>
      </c>
      <c r="N4370" s="66" t="str">
        <f aca="false">IF($L4370="","",IFERROR(INDEX(记账规则!$A$13:$H$32,MATCH(资金流水!$E588,记账规则!$A$13:$A$32,0),5),""))</f>
        <v/>
      </c>
      <c r="O4370" s="67" t="n">
        <f aca="false">IF($H4370="",0,ROUND(IF($N4370="金额",N(资金流水!$P588),0),2))</f>
        <v>0</v>
      </c>
      <c r="P4370" s="64" t="str">
        <f aca="false">IF(AND($H4370&lt;&gt;"",ROUND($O4370,2)&lt;&gt;0),"有","")</f>
        <v/>
      </c>
    </row>
    <row r="4371" customFormat="false" ht="15" hidden="true" customHeight="false" outlineLevel="0" collapsed="false">
      <c r="A4371" s="53" t="str">
        <f aca="false">IF($H4371="","",ROW()-5)</f>
        <v/>
      </c>
      <c r="B4371" s="64" t="s">
        <v>37</v>
      </c>
      <c r="C4371" s="53" t="n">
        <v>588</v>
      </c>
      <c r="D4371" s="53" t="n">
        <v>2</v>
      </c>
      <c r="E4371" s="65" t="str">
        <f aca="false">IF($H4371="","",资金流水!$B588)</f>
        <v/>
      </c>
      <c r="F4371" s="55" t="str">
        <f aca="false">IF($H4371="","",资金流水!$C588)</f>
        <v/>
      </c>
      <c r="G4371" s="48" t="str">
        <f aca="false">IF($H4371="","",资金流水!$K588)</f>
        <v/>
      </c>
      <c r="H4371" s="10" t="str">
        <f aca="false">IF($L4371="","",IF($L4371="@对方",资金流水!$G588,IF($L4371="@账户",资金流水!$Q588,$L4371)))</f>
        <v/>
      </c>
      <c r="I4371" s="42" t="n">
        <f aca="false">IF($M4371="借",$O4371,0)</f>
        <v>0</v>
      </c>
      <c r="J4371" s="42" t="n">
        <f aca="false">IF($M4371="贷",$O4371,0)</f>
        <v>0</v>
      </c>
      <c r="K4371" s="48" t="str">
        <f aca="false">IF($H4371="","",资金流水!$F588)</f>
        <v/>
      </c>
      <c r="L4371" s="66" t="str">
        <f aca="false">IF(资金流水!$E588="","",IFERROR(INDEX(记账规则!$A$13:$H$32,MATCH(资金流水!$E588,记账规则!$A$13:$A$32,0),6),""))</f>
        <v/>
      </c>
      <c r="M4371" s="66" t="str">
        <f aca="false">IF($L4371="","",IFERROR(INDEX(记账规则!$A$13:$H$32,MATCH(资金流水!$E588,记账规则!$A$13:$A$32,0),7),""))</f>
        <v/>
      </c>
      <c r="N4371" s="66" t="str">
        <f aca="false">IF($L4371="","",IFERROR(INDEX(记账规则!$A$13:$H$32,MATCH(资金流水!$E588,记账规则!$A$13:$A$32,0),8),""))</f>
        <v/>
      </c>
      <c r="O4371" s="67" t="n">
        <f aca="false">IF($H4371="",0,ROUND(IF($N4371="金额",N(资金流水!$P588),0),2))</f>
        <v>0</v>
      </c>
      <c r="P4371" s="64" t="str">
        <f aca="false">IF(AND($H4371&lt;&gt;"",ROUND($O4371,2)&lt;&gt;0),"有","")</f>
        <v/>
      </c>
    </row>
    <row r="4372" customFormat="false" ht="15" hidden="true" customHeight="false" outlineLevel="0" collapsed="false">
      <c r="A4372" s="53" t="str">
        <f aca="false">IF($H4372="","",ROW()-5)</f>
        <v/>
      </c>
      <c r="B4372" s="64" t="s">
        <v>37</v>
      </c>
      <c r="C4372" s="53" t="n">
        <v>589</v>
      </c>
      <c r="D4372" s="53" t="n">
        <v>1</v>
      </c>
      <c r="E4372" s="65" t="str">
        <f aca="false">IF($H4372="","",资金流水!$B589)</f>
        <v/>
      </c>
      <c r="F4372" s="55" t="str">
        <f aca="false">IF($H4372="","",资金流水!$C589)</f>
        <v/>
      </c>
      <c r="G4372" s="48" t="str">
        <f aca="false">IF($H4372="","",资金流水!$K589)</f>
        <v/>
      </c>
      <c r="H4372" s="10" t="str">
        <f aca="false">IF($L4372="","",IF($L4372="@对方",资金流水!$G589,IF($L4372="@账户",资金流水!$Q589,$L4372)))</f>
        <v/>
      </c>
      <c r="I4372" s="42" t="n">
        <f aca="false">IF($M4372="借",$O4372,0)</f>
        <v>0</v>
      </c>
      <c r="J4372" s="42" t="n">
        <f aca="false">IF($M4372="贷",$O4372,0)</f>
        <v>0</v>
      </c>
      <c r="K4372" s="48" t="str">
        <f aca="false">IF($H4372="","",资金流水!$F589)</f>
        <v/>
      </c>
      <c r="L4372" s="66" t="str">
        <f aca="false">IF(资金流水!$E589="","",IFERROR(INDEX(记账规则!$A$13:$H$32,MATCH(资金流水!$E589,记账规则!$A$13:$A$32,0),3),""))</f>
        <v/>
      </c>
      <c r="M4372" s="66" t="str">
        <f aca="false">IF($L4372="","",IFERROR(INDEX(记账规则!$A$13:$H$32,MATCH(资金流水!$E589,记账规则!$A$13:$A$32,0),4),""))</f>
        <v/>
      </c>
      <c r="N4372" s="66" t="str">
        <f aca="false">IF($L4372="","",IFERROR(INDEX(记账规则!$A$13:$H$32,MATCH(资金流水!$E589,记账规则!$A$13:$A$32,0),5),""))</f>
        <v/>
      </c>
      <c r="O4372" s="67" t="n">
        <f aca="false">IF($H4372="",0,ROUND(IF($N4372="金额",N(资金流水!$P589),0),2))</f>
        <v>0</v>
      </c>
      <c r="P4372" s="64" t="str">
        <f aca="false">IF(AND($H4372&lt;&gt;"",ROUND($O4372,2)&lt;&gt;0),"有","")</f>
        <v/>
      </c>
    </row>
    <row r="4373" customFormat="false" ht="15" hidden="true" customHeight="false" outlineLevel="0" collapsed="false">
      <c r="A4373" s="53" t="str">
        <f aca="false">IF($H4373="","",ROW()-5)</f>
        <v/>
      </c>
      <c r="B4373" s="64" t="s">
        <v>37</v>
      </c>
      <c r="C4373" s="53" t="n">
        <v>589</v>
      </c>
      <c r="D4373" s="53" t="n">
        <v>2</v>
      </c>
      <c r="E4373" s="65" t="str">
        <f aca="false">IF($H4373="","",资金流水!$B589)</f>
        <v/>
      </c>
      <c r="F4373" s="55" t="str">
        <f aca="false">IF($H4373="","",资金流水!$C589)</f>
        <v/>
      </c>
      <c r="G4373" s="48" t="str">
        <f aca="false">IF($H4373="","",资金流水!$K589)</f>
        <v/>
      </c>
      <c r="H4373" s="10" t="str">
        <f aca="false">IF($L4373="","",IF($L4373="@对方",资金流水!$G589,IF($L4373="@账户",资金流水!$Q589,$L4373)))</f>
        <v/>
      </c>
      <c r="I4373" s="42" t="n">
        <f aca="false">IF($M4373="借",$O4373,0)</f>
        <v>0</v>
      </c>
      <c r="J4373" s="42" t="n">
        <f aca="false">IF($M4373="贷",$O4373,0)</f>
        <v>0</v>
      </c>
      <c r="K4373" s="48" t="str">
        <f aca="false">IF($H4373="","",资金流水!$F589)</f>
        <v/>
      </c>
      <c r="L4373" s="66" t="str">
        <f aca="false">IF(资金流水!$E589="","",IFERROR(INDEX(记账规则!$A$13:$H$32,MATCH(资金流水!$E589,记账规则!$A$13:$A$32,0),6),""))</f>
        <v/>
      </c>
      <c r="M4373" s="66" t="str">
        <f aca="false">IF($L4373="","",IFERROR(INDEX(记账规则!$A$13:$H$32,MATCH(资金流水!$E589,记账规则!$A$13:$A$32,0),7),""))</f>
        <v/>
      </c>
      <c r="N4373" s="66" t="str">
        <f aca="false">IF($L4373="","",IFERROR(INDEX(记账规则!$A$13:$H$32,MATCH(资金流水!$E589,记账规则!$A$13:$A$32,0),8),""))</f>
        <v/>
      </c>
      <c r="O4373" s="67" t="n">
        <f aca="false">IF($H4373="",0,ROUND(IF($N4373="金额",N(资金流水!$P589),0),2))</f>
        <v>0</v>
      </c>
      <c r="P4373" s="64" t="str">
        <f aca="false">IF(AND($H4373&lt;&gt;"",ROUND($O4373,2)&lt;&gt;0),"有","")</f>
        <v/>
      </c>
    </row>
    <row r="4374" customFormat="false" ht="15" hidden="true" customHeight="false" outlineLevel="0" collapsed="false">
      <c r="A4374" s="53" t="str">
        <f aca="false">IF($H4374="","",ROW()-5)</f>
        <v/>
      </c>
      <c r="B4374" s="64" t="s">
        <v>37</v>
      </c>
      <c r="C4374" s="53" t="n">
        <v>590</v>
      </c>
      <c r="D4374" s="53" t="n">
        <v>1</v>
      </c>
      <c r="E4374" s="65" t="str">
        <f aca="false">IF($H4374="","",资金流水!$B590)</f>
        <v/>
      </c>
      <c r="F4374" s="55" t="str">
        <f aca="false">IF($H4374="","",资金流水!$C590)</f>
        <v/>
      </c>
      <c r="G4374" s="48" t="str">
        <f aca="false">IF($H4374="","",资金流水!$K590)</f>
        <v/>
      </c>
      <c r="H4374" s="10" t="str">
        <f aca="false">IF($L4374="","",IF($L4374="@对方",资金流水!$G590,IF($L4374="@账户",资金流水!$Q590,$L4374)))</f>
        <v/>
      </c>
      <c r="I4374" s="42" t="n">
        <f aca="false">IF($M4374="借",$O4374,0)</f>
        <v>0</v>
      </c>
      <c r="J4374" s="42" t="n">
        <f aca="false">IF($M4374="贷",$O4374,0)</f>
        <v>0</v>
      </c>
      <c r="K4374" s="48" t="str">
        <f aca="false">IF($H4374="","",资金流水!$F590)</f>
        <v/>
      </c>
      <c r="L4374" s="66" t="str">
        <f aca="false">IF(资金流水!$E590="","",IFERROR(INDEX(记账规则!$A$13:$H$32,MATCH(资金流水!$E590,记账规则!$A$13:$A$32,0),3),""))</f>
        <v/>
      </c>
      <c r="M4374" s="66" t="str">
        <f aca="false">IF($L4374="","",IFERROR(INDEX(记账规则!$A$13:$H$32,MATCH(资金流水!$E590,记账规则!$A$13:$A$32,0),4),""))</f>
        <v/>
      </c>
      <c r="N4374" s="66" t="str">
        <f aca="false">IF($L4374="","",IFERROR(INDEX(记账规则!$A$13:$H$32,MATCH(资金流水!$E590,记账规则!$A$13:$A$32,0),5),""))</f>
        <v/>
      </c>
      <c r="O4374" s="67" t="n">
        <f aca="false">IF($H4374="",0,ROUND(IF($N4374="金额",N(资金流水!$P590),0),2))</f>
        <v>0</v>
      </c>
      <c r="P4374" s="64" t="str">
        <f aca="false">IF(AND($H4374&lt;&gt;"",ROUND($O4374,2)&lt;&gt;0),"有","")</f>
        <v/>
      </c>
    </row>
    <row r="4375" customFormat="false" ht="15" hidden="true" customHeight="false" outlineLevel="0" collapsed="false">
      <c r="A4375" s="53" t="str">
        <f aca="false">IF($H4375="","",ROW()-5)</f>
        <v/>
      </c>
      <c r="B4375" s="64" t="s">
        <v>37</v>
      </c>
      <c r="C4375" s="53" t="n">
        <v>590</v>
      </c>
      <c r="D4375" s="53" t="n">
        <v>2</v>
      </c>
      <c r="E4375" s="65" t="str">
        <f aca="false">IF($H4375="","",资金流水!$B590)</f>
        <v/>
      </c>
      <c r="F4375" s="55" t="str">
        <f aca="false">IF($H4375="","",资金流水!$C590)</f>
        <v/>
      </c>
      <c r="G4375" s="48" t="str">
        <f aca="false">IF($H4375="","",资金流水!$K590)</f>
        <v/>
      </c>
      <c r="H4375" s="10" t="str">
        <f aca="false">IF($L4375="","",IF($L4375="@对方",资金流水!$G590,IF($L4375="@账户",资金流水!$Q590,$L4375)))</f>
        <v/>
      </c>
      <c r="I4375" s="42" t="n">
        <f aca="false">IF($M4375="借",$O4375,0)</f>
        <v>0</v>
      </c>
      <c r="J4375" s="42" t="n">
        <f aca="false">IF($M4375="贷",$O4375,0)</f>
        <v>0</v>
      </c>
      <c r="K4375" s="48" t="str">
        <f aca="false">IF($H4375="","",资金流水!$F590)</f>
        <v/>
      </c>
      <c r="L4375" s="66" t="str">
        <f aca="false">IF(资金流水!$E590="","",IFERROR(INDEX(记账规则!$A$13:$H$32,MATCH(资金流水!$E590,记账规则!$A$13:$A$32,0),6),""))</f>
        <v/>
      </c>
      <c r="M4375" s="66" t="str">
        <f aca="false">IF($L4375="","",IFERROR(INDEX(记账规则!$A$13:$H$32,MATCH(资金流水!$E590,记账规则!$A$13:$A$32,0),7),""))</f>
        <v/>
      </c>
      <c r="N4375" s="66" t="str">
        <f aca="false">IF($L4375="","",IFERROR(INDEX(记账规则!$A$13:$H$32,MATCH(资金流水!$E590,记账规则!$A$13:$A$32,0),8),""))</f>
        <v/>
      </c>
      <c r="O4375" s="67" t="n">
        <f aca="false">IF($H4375="",0,ROUND(IF($N4375="金额",N(资金流水!$P590),0),2))</f>
        <v>0</v>
      </c>
      <c r="P4375" s="64" t="str">
        <f aca="false">IF(AND($H4375&lt;&gt;"",ROUND($O4375,2)&lt;&gt;0),"有","")</f>
        <v/>
      </c>
    </row>
    <row r="4376" customFormat="false" ht="15" hidden="true" customHeight="false" outlineLevel="0" collapsed="false">
      <c r="A4376" s="53" t="str">
        <f aca="false">IF($H4376="","",ROW()-5)</f>
        <v/>
      </c>
      <c r="B4376" s="64" t="s">
        <v>37</v>
      </c>
      <c r="C4376" s="53" t="n">
        <v>591</v>
      </c>
      <c r="D4376" s="53" t="n">
        <v>1</v>
      </c>
      <c r="E4376" s="65" t="str">
        <f aca="false">IF($H4376="","",资金流水!$B591)</f>
        <v/>
      </c>
      <c r="F4376" s="55" t="str">
        <f aca="false">IF($H4376="","",资金流水!$C591)</f>
        <v/>
      </c>
      <c r="G4376" s="48" t="str">
        <f aca="false">IF($H4376="","",资金流水!$K591)</f>
        <v/>
      </c>
      <c r="H4376" s="10" t="str">
        <f aca="false">IF($L4376="","",IF($L4376="@对方",资金流水!$G591,IF($L4376="@账户",资金流水!$Q591,$L4376)))</f>
        <v/>
      </c>
      <c r="I4376" s="42" t="n">
        <f aca="false">IF($M4376="借",$O4376,0)</f>
        <v>0</v>
      </c>
      <c r="J4376" s="42" t="n">
        <f aca="false">IF($M4376="贷",$O4376,0)</f>
        <v>0</v>
      </c>
      <c r="K4376" s="48" t="str">
        <f aca="false">IF($H4376="","",资金流水!$F591)</f>
        <v/>
      </c>
      <c r="L4376" s="66" t="str">
        <f aca="false">IF(资金流水!$E591="","",IFERROR(INDEX(记账规则!$A$13:$H$32,MATCH(资金流水!$E591,记账规则!$A$13:$A$32,0),3),""))</f>
        <v/>
      </c>
      <c r="M4376" s="66" t="str">
        <f aca="false">IF($L4376="","",IFERROR(INDEX(记账规则!$A$13:$H$32,MATCH(资金流水!$E591,记账规则!$A$13:$A$32,0),4),""))</f>
        <v/>
      </c>
      <c r="N4376" s="66" t="str">
        <f aca="false">IF($L4376="","",IFERROR(INDEX(记账规则!$A$13:$H$32,MATCH(资金流水!$E591,记账规则!$A$13:$A$32,0),5),""))</f>
        <v/>
      </c>
      <c r="O4376" s="67" t="n">
        <f aca="false">IF($H4376="",0,ROUND(IF($N4376="金额",N(资金流水!$P591),0),2))</f>
        <v>0</v>
      </c>
      <c r="P4376" s="64" t="str">
        <f aca="false">IF(AND($H4376&lt;&gt;"",ROUND($O4376,2)&lt;&gt;0),"有","")</f>
        <v/>
      </c>
    </row>
    <row r="4377" customFormat="false" ht="15" hidden="true" customHeight="false" outlineLevel="0" collapsed="false">
      <c r="A4377" s="53" t="str">
        <f aca="false">IF($H4377="","",ROW()-5)</f>
        <v/>
      </c>
      <c r="B4377" s="64" t="s">
        <v>37</v>
      </c>
      <c r="C4377" s="53" t="n">
        <v>591</v>
      </c>
      <c r="D4377" s="53" t="n">
        <v>2</v>
      </c>
      <c r="E4377" s="65" t="str">
        <f aca="false">IF($H4377="","",资金流水!$B591)</f>
        <v/>
      </c>
      <c r="F4377" s="55" t="str">
        <f aca="false">IF($H4377="","",资金流水!$C591)</f>
        <v/>
      </c>
      <c r="G4377" s="48" t="str">
        <f aca="false">IF($H4377="","",资金流水!$K591)</f>
        <v/>
      </c>
      <c r="H4377" s="10" t="str">
        <f aca="false">IF($L4377="","",IF($L4377="@对方",资金流水!$G591,IF($L4377="@账户",资金流水!$Q591,$L4377)))</f>
        <v/>
      </c>
      <c r="I4377" s="42" t="n">
        <f aca="false">IF($M4377="借",$O4377,0)</f>
        <v>0</v>
      </c>
      <c r="J4377" s="42" t="n">
        <f aca="false">IF($M4377="贷",$O4377,0)</f>
        <v>0</v>
      </c>
      <c r="K4377" s="48" t="str">
        <f aca="false">IF($H4377="","",资金流水!$F591)</f>
        <v/>
      </c>
      <c r="L4377" s="66" t="str">
        <f aca="false">IF(资金流水!$E591="","",IFERROR(INDEX(记账规则!$A$13:$H$32,MATCH(资金流水!$E591,记账规则!$A$13:$A$32,0),6),""))</f>
        <v/>
      </c>
      <c r="M4377" s="66" t="str">
        <f aca="false">IF($L4377="","",IFERROR(INDEX(记账规则!$A$13:$H$32,MATCH(资金流水!$E591,记账规则!$A$13:$A$32,0),7),""))</f>
        <v/>
      </c>
      <c r="N4377" s="66" t="str">
        <f aca="false">IF($L4377="","",IFERROR(INDEX(记账规则!$A$13:$H$32,MATCH(资金流水!$E591,记账规则!$A$13:$A$32,0),8),""))</f>
        <v/>
      </c>
      <c r="O4377" s="67" t="n">
        <f aca="false">IF($H4377="",0,ROUND(IF($N4377="金额",N(资金流水!$P591),0),2))</f>
        <v>0</v>
      </c>
      <c r="P4377" s="64" t="str">
        <f aca="false">IF(AND($H4377&lt;&gt;"",ROUND($O4377,2)&lt;&gt;0),"有","")</f>
        <v/>
      </c>
    </row>
    <row r="4378" customFormat="false" ht="15" hidden="true" customHeight="false" outlineLevel="0" collapsed="false">
      <c r="A4378" s="53" t="str">
        <f aca="false">IF($H4378="","",ROW()-5)</f>
        <v/>
      </c>
      <c r="B4378" s="64" t="s">
        <v>37</v>
      </c>
      <c r="C4378" s="53" t="n">
        <v>592</v>
      </c>
      <c r="D4378" s="53" t="n">
        <v>1</v>
      </c>
      <c r="E4378" s="65" t="str">
        <f aca="false">IF($H4378="","",资金流水!$B592)</f>
        <v/>
      </c>
      <c r="F4378" s="55" t="str">
        <f aca="false">IF($H4378="","",资金流水!$C592)</f>
        <v/>
      </c>
      <c r="G4378" s="48" t="str">
        <f aca="false">IF($H4378="","",资金流水!$K592)</f>
        <v/>
      </c>
      <c r="H4378" s="10" t="str">
        <f aca="false">IF($L4378="","",IF($L4378="@对方",资金流水!$G592,IF($L4378="@账户",资金流水!$Q592,$L4378)))</f>
        <v/>
      </c>
      <c r="I4378" s="42" t="n">
        <f aca="false">IF($M4378="借",$O4378,0)</f>
        <v>0</v>
      </c>
      <c r="J4378" s="42" t="n">
        <f aca="false">IF($M4378="贷",$O4378,0)</f>
        <v>0</v>
      </c>
      <c r="K4378" s="48" t="str">
        <f aca="false">IF($H4378="","",资金流水!$F592)</f>
        <v/>
      </c>
      <c r="L4378" s="66" t="str">
        <f aca="false">IF(资金流水!$E592="","",IFERROR(INDEX(记账规则!$A$13:$H$32,MATCH(资金流水!$E592,记账规则!$A$13:$A$32,0),3),""))</f>
        <v/>
      </c>
      <c r="M4378" s="66" t="str">
        <f aca="false">IF($L4378="","",IFERROR(INDEX(记账规则!$A$13:$H$32,MATCH(资金流水!$E592,记账规则!$A$13:$A$32,0),4),""))</f>
        <v/>
      </c>
      <c r="N4378" s="66" t="str">
        <f aca="false">IF($L4378="","",IFERROR(INDEX(记账规则!$A$13:$H$32,MATCH(资金流水!$E592,记账规则!$A$13:$A$32,0),5),""))</f>
        <v/>
      </c>
      <c r="O4378" s="67" t="n">
        <f aca="false">IF($H4378="",0,ROUND(IF($N4378="金额",N(资金流水!$P592),0),2))</f>
        <v>0</v>
      </c>
      <c r="P4378" s="64" t="str">
        <f aca="false">IF(AND($H4378&lt;&gt;"",ROUND($O4378,2)&lt;&gt;0),"有","")</f>
        <v/>
      </c>
    </row>
    <row r="4379" customFormat="false" ht="15" hidden="true" customHeight="false" outlineLevel="0" collapsed="false">
      <c r="A4379" s="53" t="str">
        <f aca="false">IF($H4379="","",ROW()-5)</f>
        <v/>
      </c>
      <c r="B4379" s="64" t="s">
        <v>37</v>
      </c>
      <c r="C4379" s="53" t="n">
        <v>592</v>
      </c>
      <c r="D4379" s="53" t="n">
        <v>2</v>
      </c>
      <c r="E4379" s="65" t="str">
        <f aca="false">IF($H4379="","",资金流水!$B592)</f>
        <v/>
      </c>
      <c r="F4379" s="55" t="str">
        <f aca="false">IF($H4379="","",资金流水!$C592)</f>
        <v/>
      </c>
      <c r="G4379" s="48" t="str">
        <f aca="false">IF($H4379="","",资金流水!$K592)</f>
        <v/>
      </c>
      <c r="H4379" s="10" t="str">
        <f aca="false">IF($L4379="","",IF($L4379="@对方",资金流水!$G592,IF($L4379="@账户",资金流水!$Q592,$L4379)))</f>
        <v/>
      </c>
      <c r="I4379" s="42" t="n">
        <f aca="false">IF($M4379="借",$O4379,0)</f>
        <v>0</v>
      </c>
      <c r="J4379" s="42" t="n">
        <f aca="false">IF($M4379="贷",$O4379,0)</f>
        <v>0</v>
      </c>
      <c r="K4379" s="48" t="str">
        <f aca="false">IF($H4379="","",资金流水!$F592)</f>
        <v/>
      </c>
      <c r="L4379" s="66" t="str">
        <f aca="false">IF(资金流水!$E592="","",IFERROR(INDEX(记账规则!$A$13:$H$32,MATCH(资金流水!$E592,记账规则!$A$13:$A$32,0),6),""))</f>
        <v/>
      </c>
      <c r="M4379" s="66" t="str">
        <f aca="false">IF($L4379="","",IFERROR(INDEX(记账规则!$A$13:$H$32,MATCH(资金流水!$E592,记账规则!$A$13:$A$32,0),7),""))</f>
        <v/>
      </c>
      <c r="N4379" s="66" t="str">
        <f aca="false">IF($L4379="","",IFERROR(INDEX(记账规则!$A$13:$H$32,MATCH(资金流水!$E592,记账规则!$A$13:$A$32,0),8),""))</f>
        <v/>
      </c>
      <c r="O4379" s="67" t="n">
        <f aca="false">IF($H4379="",0,ROUND(IF($N4379="金额",N(资金流水!$P592),0),2))</f>
        <v>0</v>
      </c>
      <c r="P4379" s="64" t="str">
        <f aca="false">IF(AND($H4379&lt;&gt;"",ROUND($O4379,2)&lt;&gt;0),"有","")</f>
        <v/>
      </c>
    </row>
    <row r="4380" customFormat="false" ht="15" hidden="true" customHeight="false" outlineLevel="0" collapsed="false">
      <c r="A4380" s="53" t="str">
        <f aca="false">IF($H4380="","",ROW()-5)</f>
        <v/>
      </c>
      <c r="B4380" s="64" t="s">
        <v>37</v>
      </c>
      <c r="C4380" s="53" t="n">
        <v>593</v>
      </c>
      <c r="D4380" s="53" t="n">
        <v>1</v>
      </c>
      <c r="E4380" s="65" t="str">
        <f aca="false">IF($H4380="","",资金流水!$B593)</f>
        <v/>
      </c>
      <c r="F4380" s="55" t="str">
        <f aca="false">IF($H4380="","",资金流水!$C593)</f>
        <v/>
      </c>
      <c r="G4380" s="48" t="str">
        <f aca="false">IF($H4380="","",资金流水!$K593)</f>
        <v/>
      </c>
      <c r="H4380" s="10" t="str">
        <f aca="false">IF($L4380="","",IF($L4380="@对方",资金流水!$G593,IF($L4380="@账户",资金流水!$Q593,$L4380)))</f>
        <v/>
      </c>
      <c r="I4380" s="42" t="n">
        <f aca="false">IF($M4380="借",$O4380,0)</f>
        <v>0</v>
      </c>
      <c r="J4380" s="42" t="n">
        <f aca="false">IF($M4380="贷",$O4380,0)</f>
        <v>0</v>
      </c>
      <c r="K4380" s="48" t="str">
        <f aca="false">IF($H4380="","",资金流水!$F593)</f>
        <v/>
      </c>
      <c r="L4380" s="66" t="str">
        <f aca="false">IF(资金流水!$E593="","",IFERROR(INDEX(记账规则!$A$13:$H$32,MATCH(资金流水!$E593,记账规则!$A$13:$A$32,0),3),""))</f>
        <v/>
      </c>
      <c r="M4380" s="66" t="str">
        <f aca="false">IF($L4380="","",IFERROR(INDEX(记账规则!$A$13:$H$32,MATCH(资金流水!$E593,记账规则!$A$13:$A$32,0),4),""))</f>
        <v/>
      </c>
      <c r="N4380" s="66" t="str">
        <f aca="false">IF($L4380="","",IFERROR(INDEX(记账规则!$A$13:$H$32,MATCH(资金流水!$E593,记账规则!$A$13:$A$32,0),5),""))</f>
        <v/>
      </c>
      <c r="O4380" s="67" t="n">
        <f aca="false">IF($H4380="",0,ROUND(IF($N4380="金额",N(资金流水!$P593),0),2))</f>
        <v>0</v>
      </c>
      <c r="P4380" s="64" t="str">
        <f aca="false">IF(AND($H4380&lt;&gt;"",ROUND($O4380,2)&lt;&gt;0),"有","")</f>
        <v/>
      </c>
    </row>
    <row r="4381" customFormat="false" ht="15" hidden="true" customHeight="false" outlineLevel="0" collapsed="false">
      <c r="A4381" s="53" t="str">
        <f aca="false">IF($H4381="","",ROW()-5)</f>
        <v/>
      </c>
      <c r="B4381" s="64" t="s">
        <v>37</v>
      </c>
      <c r="C4381" s="53" t="n">
        <v>593</v>
      </c>
      <c r="D4381" s="53" t="n">
        <v>2</v>
      </c>
      <c r="E4381" s="65" t="str">
        <f aca="false">IF($H4381="","",资金流水!$B593)</f>
        <v/>
      </c>
      <c r="F4381" s="55" t="str">
        <f aca="false">IF($H4381="","",资金流水!$C593)</f>
        <v/>
      </c>
      <c r="G4381" s="48" t="str">
        <f aca="false">IF($H4381="","",资金流水!$K593)</f>
        <v/>
      </c>
      <c r="H4381" s="10" t="str">
        <f aca="false">IF($L4381="","",IF($L4381="@对方",资金流水!$G593,IF($L4381="@账户",资金流水!$Q593,$L4381)))</f>
        <v/>
      </c>
      <c r="I4381" s="42" t="n">
        <f aca="false">IF($M4381="借",$O4381,0)</f>
        <v>0</v>
      </c>
      <c r="J4381" s="42" t="n">
        <f aca="false">IF($M4381="贷",$O4381,0)</f>
        <v>0</v>
      </c>
      <c r="K4381" s="48" t="str">
        <f aca="false">IF($H4381="","",资金流水!$F593)</f>
        <v/>
      </c>
      <c r="L4381" s="66" t="str">
        <f aca="false">IF(资金流水!$E593="","",IFERROR(INDEX(记账规则!$A$13:$H$32,MATCH(资金流水!$E593,记账规则!$A$13:$A$32,0),6),""))</f>
        <v/>
      </c>
      <c r="M4381" s="66" t="str">
        <f aca="false">IF($L4381="","",IFERROR(INDEX(记账规则!$A$13:$H$32,MATCH(资金流水!$E593,记账规则!$A$13:$A$32,0),7),""))</f>
        <v/>
      </c>
      <c r="N4381" s="66" t="str">
        <f aca="false">IF($L4381="","",IFERROR(INDEX(记账规则!$A$13:$H$32,MATCH(资金流水!$E593,记账规则!$A$13:$A$32,0),8),""))</f>
        <v/>
      </c>
      <c r="O4381" s="67" t="n">
        <f aca="false">IF($H4381="",0,ROUND(IF($N4381="金额",N(资金流水!$P593),0),2))</f>
        <v>0</v>
      </c>
      <c r="P4381" s="64" t="str">
        <f aca="false">IF(AND($H4381&lt;&gt;"",ROUND($O4381,2)&lt;&gt;0),"有","")</f>
        <v/>
      </c>
    </row>
    <row r="4382" customFormat="false" ht="15" hidden="true" customHeight="false" outlineLevel="0" collapsed="false">
      <c r="A4382" s="53" t="str">
        <f aca="false">IF($H4382="","",ROW()-5)</f>
        <v/>
      </c>
      <c r="B4382" s="64" t="s">
        <v>37</v>
      </c>
      <c r="C4382" s="53" t="n">
        <v>594</v>
      </c>
      <c r="D4382" s="53" t="n">
        <v>1</v>
      </c>
      <c r="E4382" s="65" t="str">
        <f aca="false">IF($H4382="","",资金流水!$B594)</f>
        <v/>
      </c>
      <c r="F4382" s="55" t="str">
        <f aca="false">IF($H4382="","",资金流水!$C594)</f>
        <v/>
      </c>
      <c r="G4382" s="48" t="str">
        <f aca="false">IF($H4382="","",资金流水!$K594)</f>
        <v/>
      </c>
      <c r="H4382" s="10" t="str">
        <f aca="false">IF($L4382="","",IF($L4382="@对方",资金流水!$G594,IF($L4382="@账户",资金流水!$Q594,$L4382)))</f>
        <v/>
      </c>
      <c r="I4382" s="42" t="n">
        <f aca="false">IF($M4382="借",$O4382,0)</f>
        <v>0</v>
      </c>
      <c r="J4382" s="42" t="n">
        <f aca="false">IF($M4382="贷",$O4382,0)</f>
        <v>0</v>
      </c>
      <c r="K4382" s="48" t="str">
        <f aca="false">IF($H4382="","",资金流水!$F594)</f>
        <v/>
      </c>
      <c r="L4382" s="66" t="str">
        <f aca="false">IF(资金流水!$E594="","",IFERROR(INDEX(记账规则!$A$13:$H$32,MATCH(资金流水!$E594,记账规则!$A$13:$A$32,0),3),""))</f>
        <v/>
      </c>
      <c r="M4382" s="66" t="str">
        <f aca="false">IF($L4382="","",IFERROR(INDEX(记账规则!$A$13:$H$32,MATCH(资金流水!$E594,记账规则!$A$13:$A$32,0),4),""))</f>
        <v/>
      </c>
      <c r="N4382" s="66" t="str">
        <f aca="false">IF($L4382="","",IFERROR(INDEX(记账规则!$A$13:$H$32,MATCH(资金流水!$E594,记账规则!$A$13:$A$32,0),5),""))</f>
        <v/>
      </c>
      <c r="O4382" s="67" t="n">
        <f aca="false">IF($H4382="",0,ROUND(IF($N4382="金额",N(资金流水!$P594),0),2))</f>
        <v>0</v>
      </c>
      <c r="P4382" s="64" t="str">
        <f aca="false">IF(AND($H4382&lt;&gt;"",ROUND($O4382,2)&lt;&gt;0),"有","")</f>
        <v/>
      </c>
    </row>
    <row r="4383" customFormat="false" ht="15" hidden="true" customHeight="false" outlineLevel="0" collapsed="false">
      <c r="A4383" s="53" t="str">
        <f aca="false">IF($H4383="","",ROW()-5)</f>
        <v/>
      </c>
      <c r="B4383" s="64" t="s">
        <v>37</v>
      </c>
      <c r="C4383" s="53" t="n">
        <v>594</v>
      </c>
      <c r="D4383" s="53" t="n">
        <v>2</v>
      </c>
      <c r="E4383" s="65" t="str">
        <f aca="false">IF($H4383="","",资金流水!$B594)</f>
        <v/>
      </c>
      <c r="F4383" s="55" t="str">
        <f aca="false">IF($H4383="","",资金流水!$C594)</f>
        <v/>
      </c>
      <c r="G4383" s="48" t="str">
        <f aca="false">IF($H4383="","",资金流水!$K594)</f>
        <v/>
      </c>
      <c r="H4383" s="10" t="str">
        <f aca="false">IF($L4383="","",IF($L4383="@对方",资金流水!$G594,IF($L4383="@账户",资金流水!$Q594,$L4383)))</f>
        <v/>
      </c>
      <c r="I4383" s="42" t="n">
        <f aca="false">IF($M4383="借",$O4383,0)</f>
        <v>0</v>
      </c>
      <c r="J4383" s="42" t="n">
        <f aca="false">IF($M4383="贷",$O4383,0)</f>
        <v>0</v>
      </c>
      <c r="K4383" s="48" t="str">
        <f aca="false">IF($H4383="","",资金流水!$F594)</f>
        <v/>
      </c>
      <c r="L4383" s="66" t="str">
        <f aca="false">IF(资金流水!$E594="","",IFERROR(INDEX(记账规则!$A$13:$H$32,MATCH(资金流水!$E594,记账规则!$A$13:$A$32,0),6),""))</f>
        <v/>
      </c>
      <c r="M4383" s="66" t="str">
        <f aca="false">IF($L4383="","",IFERROR(INDEX(记账规则!$A$13:$H$32,MATCH(资金流水!$E594,记账规则!$A$13:$A$32,0),7),""))</f>
        <v/>
      </c>
      <c r="N4383" s="66" t="str">
        <f aca="false">IF($L4383="","",IFERROR(INDEX(记账规则!$A$13:$H$32,MATCH(资金流水!$E594,记账规则!$A$13:$A$32,0),8),""))</f>
        <v/>
      </c>
      <c r="O4383" s="67" t="n">
        <f aca="false">IF($H4383="",0,ROUND(IF($N4383="金额",N(资金流水!$P594),0),2))</f>
        <v>0</v>
      </c>
      <c r="P4383" s="64" t="str">
        <f aca="false">IF(AND($H4383&lt;&gt;"",ROUND($O4383,2)&lt;&gt;0),"有","")</f>
        <v/>
      </c>
    </row>
    <row r="4384" customFormat="false" ht="15" hidden="true" customHeight="false" outlineLevel="0" collapsed="false">
      <c r="A4384" s="53" t="str">
        <f aca="false">IF($H4384="","",ROW()-5)</f>
        <v/>
      </c>
      <c r="B4384" s="64" t="s">
        <v>37</v>
      </c>
      <c r="C4384" s="53" t="n">
        <v>595</v>
      </c>
      <c r="D4384" s="53" t="n">
        <v>1</v>
      </c>
      <c r="E4384" s="65" t="str">
        <f aca="false">IF($H4384="","",资金流水!$B595)</f>
        <v/>
      </c>
      <c r="F4384" s="55" t="str">
        <f aca="false">IF($H4384="","",资金流水!$C595)</f>
        <v/>
      </c>
      <c r="G4384" s="48" t="str">
        <f aca="false">IF($H4384="","",资金流水!$K595)</f>
        <v/>
      </c>
      <c r="H4384" s="10" t="str">
        <f aca="false">IF($L4384="","",IF($L4384="@对方",资金流水!$G595,IF($L4384="@账户",资金流水!$Q595,$L4384)))</f>
        <v/>
      </c>
      <c r="I4384" s="42" t="n">
        <f aca="false">IF($M4384="借",$O4384,0)</f>
        <v>0</v>
      </c>
      <c r="J4384" s="42" t="n">
        <f aca="false">IF($M4384="贷",$O4384,0)</f>
        <v>0</v>
      </c>
      <c r="K4384" s="48" t="str">
        <f aca="false">IF($H4384="","",资金流水!$F595)</f>
        <v/>
      </c>
      <c r="L4384" s="66" t="str">
        <f aca="false">IF(资金流水!$E595="","",IFERROR(INDEX(记账规则!$A$13:$H$32,MATCH(资金流水!$E595,记账规则!$A$13:$A$32,0),3),""))</f>
        <v/>
      </c>
      <c r="M4384" s="66" t="str">
        <f aca="false">IF($L4384="","",IFERROR(INDEX(记账规则!$A$13:$H$32,MATCH(资金流水!$E595,记账规则!$A$13:$A$32,0),4),""))</f>
        <v/>
      </c>
      <c r="N4384" s="66" t="str">
        <f aca="false">IF($L4384="","",IFERROR(INDEX(记账规则!$A$13:$H$32,MATCH(资金流水!$E595,记账规则!$A$13:$A$32,0),5),""))</f>
        <v/>
      </c>
      <c r="O4384" s="67" t="n">
        <f aca="false">IF($H4384="",0,ROUND(IF($N4384="金额",N(资金流水!$P595),0),2))</f>
        <v>0</v>
      </c>
      <c r="P4384" s="64" t="str">
        <f aca="false">IF(AND($H4384&lt;&gt;"",ROUND($O4384,2)&lt;&gt;0),"有","")</f>
        <v/>
      </c>
    </row>
    <row r="4385" customFormat="false" ht="15" hidden="true" customHeight="false" outlineLevel="0" collapsed="false">
      <c r="A4385" s="53" t="str">
        <f aca="false">IF($H4385="","",ROW()-5)</f>
        <v/>
      </c>
      <c r="B4385" s="64" t="s">
        <v>37</v>
      </c>
      <c r="C4385" s="53" t="n">
        <v>595</v>
      </c>
      <c r="D4385" s="53" t="n">
        <v>2</v>
      </c>
      <c r="E4385" s="65" t="str">
        <f aca="false">IF($H4385="","",资金流水!$B595)</f>
        <v/>
      </c>
      <c r="F4385" s="55" t="str">
        <f aca="false">IF($H4385="","",资金流水!$C595)</f>
        <v/>
      </c>
      <c r="G4385" s="48" t="str">
        <f aca="false">IF($H4385="","",资金流水!$K595)</f>
        <v/>
      </c>
      <c r="H4385" s="10" t="str">
        <f aca="false">IF($L4385="","",IF($L4385="@对方",资金流水!$G595,IF($L4385="@账户",资金流水!$Q595,$L4385)))</f>
        <v/>
      </c>
      <c r="I4385" s="42" t="n">
        <f aca="false">IF($M4385="借",$O4385,0)</f>
        <v>0</v>
      </c>
      <c r="J4385" s="42" t="n">
        <f aca="false">IF($M4385="贷",$O4385,0)</f>
        <v>0</v>
      </c>
      <c r="K4385" s="48" t="str">
        <f aca="false">IF($H4385="","",资金流水!$F595)</f>
        <v/>
      </c>
      <c r="L4385" s="66" t="str">
        <f aca="false">IF(资金流水!$E595="","",IFERROR(INDEX(记账规则!$A$13:$H$32,MATCH(资金流水!$E595,记账规则!$A$13:$A$32,0),6),""))</f>
        <v/>
      </c>
      <c r="M4385" s="66" t="str">
        <f aca="false">IF($L4385="","",IFERROR(INDEX(记账规则!$A$13:$H$32,MATCH(资金流水!$E595,记账规则!$A$13:$A$32,0),7),""))</f>
        <v/>
      </c>
      <c r="N4385" s="66" t="str">
        <f aca="false">IF($L4385="","",IFERROR(INDEX(记账规则!$A$13:$H$32,MATCH(资金流水!$E595,记账规则!$A$13:$A$32,0),8),""))</f>
        <v/>
      </c>
      <c r="O4385" s="67" t="n">
        <f aca="false">IF($H4385="",0,ROUND(IF($N4385="金额",N(资金流水!$P595),0),2))</f>
        <v>0</v>
      </c>
      <c r="P4385" s="64" t="str">
        <f aca="false">IF(AND($H4385&lt;&gt;"",ROUND($O4385,2)&lt;&gt;0),"有","")</f>
        <v/>
      </c>
    </row>
    <row r="4386" customFormat="false" ht="15" hidden="true" customHeight="false" outlineLevel="0" collapsed="false">
      <c r="A4386" s="53" t="str">
        <f aca="false">IF($H4386="","",ROW()-5)</f>
        <v/>
      </c>
      <c r="B4386" s="64" t="s">
        <v>37</v>
      </c>
      <c r="C4386" s="53" t="n">
        <v>596</v>
      </c>
      <c r="D4386" s="53" t="n">
        <v>1</v>
      </c>
      <c r="E4386" s="65" t="str">
        <f aca="false">IF($H4386="","",资金流水!$B596)</f>
        <v/>
      </c>
      <c r="F4386" s="55" t="str">
        <f aca="false">IF($H4386="","",资金流水!$C596)</f>
        <v/>
      </c>
      <c r="G4386" s="48" t="str">
        <f aca="false">IF($H4386="","",资金流水!$K596)</f>
        <v/>
      </c>
      <c r="H4386" s="10" t="str">
        <f aca="false">IF($L4386="","",IF($L4386="@对方",资金流水!$G596,IF($L4386="@账户",资金流水!$Q596,$L4386)))</f>
        <v/>
      </c>
      <c r="I4386" s="42" t="n">
        <f aca="false">IF($M4386="借",$O4386,0)</f>
        <v>0</v>
      </c>
      <c r="J4386" s="42" t="n">
        <f aca="false">IF($M4386="贷",$O4386,0)</f>
        <v>0</v>
      </c>
      <c r="K4386" s="48" t="str">
        <f aca="false">IF($H4386="","",资金流水!$F596)</f>
        <v/>
      </c>
      <c r="L4386" s="66" t="str">
        <f aca="false">IF(资金流水!$E596="","",IFERROR(INDEX(记账规则!$A$13:$H$32,MATCH(资金流水!$E596,记账规则!$A$13:$A$32,0),3),""))</f>
        <v/>
      </c>
      <c r="M4386" s="66" t="str">
        <f aca="false">IF($L4386="","",IFERROR(INDEX(记账规则!$A$13:$H$32,MATCH(资金流水!$E596,记账规则!$A$13:$A$32,0),4),""))</f>
        <v/>
      </c>
      <c r="N4386" s="66" t="str">
        <f aca="false">IF($L4386="","",IFERROR(INDEX(记账规则!$A$13:$H$32,MATCH(资金流水!$E596,记账规则!$A$13:$A$32,0),5),""))</f>
        <v/>
      </c>
      <c r="O4386" s="67" t="n">
        <f aca="false">IF($H4386="",0,ROUND(IF($N4386="金额",N(资金流水!$P596),0),2))</f>
        <v>0</v>
      </c>
      <c r="P4386" s="64" t="str">
        <f aca="false">IF(AND($H4386&lt;&gt;"",ROUND($O4386,2)&lt;&gt;0),"有","")</f>
        <v/>
      </c>
    </row>
    <row r="4387" customFormat="false" ht="15" hidden="true" customHeight="false" outlineLevel="0" collapsed="false">
      <c r="A4387" s="53" t="str">
        <f aca="false">IF($H4387="","",ROW()-5)</f>
        <v/>
      </c>
      <c r="B4387" s="64" t="s">
        <v>37</v>
      </c>
      <c r="C4387" s="53" t="n">
        <v>596</v>
      </c>
      <c r="D4387" s="53" t="n">
        <v>2</v>
      </c>
      <c r="E4387" s="65" t="str">
        <f aca="false">IF($H4387="","",资金流水!$B596)</f>
        <v/>
      </c>
      <c r="F4387" s="55" t="str">
        <f aca="false">IF($H4387="","",资金流水!$C596)</f>
        <v/>
      </c>
      <c r="G4387" s="48" t="str">
        <f aca="false">IF($H4387="","",资金流水!$K596)</f>
        <v/>
      </c>
      <c r="H4387" s="10" t="str">
        <f aca="false">IF($L4387="","",IF($L4387="@对方",资金流水!$G596,IF($L4387="@账户",资金流水!$Q596,$L4387)))</f>
        <v/>
      </c>
      <c r="I4387" s="42" t="n">
        <f aca="false">IF($M4387="借",$O4387,0)</f>
        <v>0</v>
      </c>
      <c r="J4387" s="42" t="n">
        <f aca="false">IF($M4387="贷",$O4387,0)</f>
        <v>0</v>
      </c>
      <c r="K4387" s="48" t="str">
        <f aca="false">IF($H4387="","",资金流水!$F596)</f>
        <v/>
      </c>
      <c r="L4387" s="66" t="str">
        <f aca="false">IF(资金流水!$E596="","",IFERROR(INDEX(记账规则!$A$13:$H$32,MATCH(资金流水!$E596,记账规则!$A$13:$A$32,0),6),""))</f>
        <v/>
      </c>
      <c r="M4387" s="66" t="str">
        <f aca="false">IF($L4387="","",IFERROR(INDEX(记账规则!$A$13:$H$32,MATCH(资金流水!$E596,记账规则!$A$13:$A$32,0),7),""))</f>
        <v/>
      </c>
      <c r="N4387" s="66" t="str">
        <f aca="false">IF($L4387="","",IFERROR(INDEX(记账规则!$A$13:$H$32,MATCH(资金流水!$E596,记账规则!$A$13:$A$32,0),8),""))</f>
        <v/>
      </c>
      <c r="O4387" s="67" t="n">
        <f aca="false">IF($H4387="",0,ROUND(IF($N4387="金额",N(资金流水!$P596),0),2))</f>
        <v>0</v>
      </c>
      <c r="P4387" s="64" t="str">
        <f aca="false">IF(AND($H4387&lt;&gt;"",ROUND($O4387,2)&lt;&gt;0),"有","")</f>
        <v/>
      </c>
    </row>
    <row r="4388" customFormat="false" ht="15" hidden="true" customHeight="false" outlineLevel="0" collapsed="false">
      <c r="A4388" s="53" t="str">
        <f aca="false">IF($H4388="","",ROW()-5)</f>
        <v/>
      </c>
      <c r="B4388" s="64" t="s">
        <v>37</v>
      </c>
      <c r="C4388" s="53" t="n">
        <v>597</v>
      </c>
      <c r="D4388" s="53" t="n">
        <v>1</v>
      </c>
      <c r="E4388" s="65" t="str">
        <f aca="false">IF($H4388="","",资金流水!$B597)</f>
        <v/>
      </c>
      <c r="F4388" s="55" t="str">
        <f aca="false">IF($H4388="","",资金流水!$C597)</f>
        <v/>
      </c>
      <c r="G4388" s="48" t="str">
        <f aca="false">IF($H4388="","",资金流水!$K597)</f>
        <v/>
      </c>
      <c r="H4388" s="10" t="str">
        <f aca="false">IF($L4388="","",IF($L4388="@对方",资金流水!$G597,IF($L4388="@账户",资金流水!$Q597,$L4388)))</f>
        <v/>
      </c>
      <c r="I4388" s="42" t="n">
        <f aca="false">IF($M4388="借",$O4388,0)</f>
        <v>0</v>
      </c>
      <c r="J4388" s="42" t="n">
        <f aca="false">IF($M4388="贷",$O4388,0)</f>
        <v>0</v>
      </c>
      <c r="K4388" s="48" t="str">
        <f aca="false">IF($H4388="","",资金流水!$F597)</f>
        <v/>
      </c>
      <c r="L4388" s="66" t="str">
        <f aca="false">IF(资金流水!$E597="","",IFERROR(INDEX(记账规则!$A$13:$H$32,MATCH(资金流水!$E597,记账规则!$A$13:$A$32,0),3),""))</f>
        <v/>
      </c>
      <c r="M4388" s="66" t="str">
        <f aca="false">IF($L4388="","",IFERROR(INDEX(记账规则!$A$13:$H$32,MATCH(资金流水!$E597,记账规则!$A$13:$A$32,0),4),""))</f>
        <v/>
      </c>
      <c r="N4388" s="66" t="str">
        <f aca="false">IF($L4388="","",IFERROR(INDEX(记账规则!$A$13:$H$32,MATCH(资金流水!$E597,记账规则!$A$13:$A$32,0),5),""))</f>
        <v/>
      </c>
      <c r="O4388" s="67" t="n">
        <f aca="false">IF($H4388="",0,ROUND(IF($N4388="金额",N(资金流水!$P597),0),2))</f>
        <v>0</v>
      </c>
      <c r="P4388" s="64" t="str">
        <f aca="false">IF(AND($H4388&lt;&gt;"",ROUND($O4388,2)&lt;&gt;0),"有","")</f>
        <v/>
      </c>
    </row>
    <row r="4389" customFormat="false" ht="15" hidden="true" customHeight="false" outlineLevel="0" collapsed="false">
      <c r="A4389" s="53" t="str">
        <f aca="false">IF($H4389="","",ROW()-5)</f>
        <v/>
      </c>
      <c r="B4389" s="64" t="s">
        <v>37</v>
      </c>
      <c r="C4389" s="53" t="n">
        <v>597</v>
      </c>
      <c r="D4389" s="53" t="n">
        <v>2</v>
      </c>
      <c r="E4389" s="65" t="str">
        <f aca="false">IF($H4389="","",资金流水!$B597)</f>
        <v/>
      </c>
      <c r="F4389" s="55" t="str">
        <f aca="false">IF($H4389="","",资金流水!$C597)</f>
        <v/>
      </c>
      <c r="G4389" s="48" t="str">
        <f aca="false">IF($H4389="","",资金流水!$K597)</f>
        <v/>
      </c>
      <c r="H4389" s="10" t="str">
        <f aca="false">IF($L4389="","",IF($L4389="@对方",资金流水!$G597,IF($L4389="@账户",资金流水!$Q597,$L4389)))</f>
        <v/>
      </c>
      <c r="I4389" s="42" t="n">
        <f aca="false">IF($M4389="借",$O4389,0)</f>
        <v>0</v>
      </c>
      <c r="J4389" s="42" t="n">
        <f aca="false">IF($M4389="贷",$O4389,0)</f>
        <v>0</v>
      </c>
      <c r="K4389" s="48" t="str">
        <f aca="false">IF($H4389="","",资金流水!$F597)</f>
        <v/>
      </c>
      <c r="L4389" s="66" t="str">
        <f aca="false">IF(资金流水!$E597="","",IFERROR(INDEX(记账规则!$A$13:$H$32,MATCH(资金流水!$E597,记账规则!$A$13:$A$32,0),6),""))</f>
        <v/>
      </c>
      <c r="M4389" s="66" t="str">
        <f aca="false">IF($L4389="","",IFERROR(INDEX(记账规则!$A$13:$H$32,MATCH(资金流水!$E597,记账规则!$A$13:$A$32,0),7),""))</f>
        <v/>
      </c>
      <c r="N4389" s="66" t="str">
        <f aca="false">IF($L4389="","",IFERROR(INDEX(记账规则!$A$13:$H$32,MATCH(资金流水!$E597,记账规则!$A$13:$A$32,0),8),""))</f>
        <v/>
      </c>
      <c r="O4389" s="67" t="n">
        <f aca="false">IF($H4389="",0,ROUND(IF($N4389="金额",N(资金流水!$P597),0),2))</f>
        <v>0</v>
      </c>
      <c r="P4389" s="64" t="str">
        <f aca="false">IF(AND($H4389&lt;&gt;"",ROUND($O4389,2)&lt;&gt;0),"有","")</f>
        <v/>
      </c>
    </row>
    <row r="4390" customFormat="false" ht="15" hidden="true" customHeight="false" outlineLevel="0" collapsed="false">
      <c r="A4390" s="53" t="str">
        <f aca="false">IF($H4390="","",ROW()-5)</f>
        <v/>
      </c>
      <c r="B4390" s="64" t="s">
        <v>37</v>
      </c>
      <c r="C4390" s="53" t="n">
        <v>598</v>
      </c>
      <c r="D4390" s="53" t="n">
        <v>1</v>
      </c>
      <c r="E4390" s="65" t="str">
        <f aca="false">IF($H4390="","",资金流水!$B598)</f>
        <v/>
      </c>
      <c r="F4390" s="55" t="str">
        <f aca="false">IF($H4390="","",资金流水!$C598)</f>
        <v/>
      </c>
      <c r="G4390" s="48" t="str">
        <f aca="false">IF($H4390="","",资金流水!$K598)</f>
        <v/>
      </c>
      <c r="H4390" s="10" t="str">
        <f aca="false">IF($L4390="","",IF($L4390="@对方",资金流水!$G598,IF($L4390="@账户",资金流水!$Q598,$L4390)))</f>
        <v/>
      </c>
      <c r="I4390" s="42" t="n">
        <f aca="false">IF($M4390="借",$O4390,0)</f>
        <v>0</v>
      </c>
      <c r="J4390" s="42" t="n">
        <f aca="false">IF($M4390="贷",$O4390,0)</f>
        <v>0</v>
      </c>
      <c r="K4390" s="48" t="str">
        <f aca="false">IF($H4390="","",资金流水!$F598)</f>
        <v/>
      </c>
      <c r="L4390" s="66" t="str">
        <f aca="false">IF(资金流水!$E598="","",IFERROR(INDEX(记账规则!$A$13:$H$32,MATCH(资金流水!$E598,记账规则!$A$13:$A$32,0),3),""))</f>
        <v/>
      </c>
      <c r="M4390" s="66" t="str">
        <f aca="false">IF($L4390="","",IFERROR(INDEX(记账规则!$A$13:$H$32,MATCH(资金流水!$E598,记账规则!$A$13:$A$32,0),4),""))</f>
        <v/>
      </c>
      <c r="N4390" s="66" t="str">
        <f aca="false">IF($L4390="","",IFERROR(INDEX(记账规则!$A$13:$H$32,MATCH(资金流水!$E598,记账规则!$A$13:$A$32,0),5),""))</f>
        <v/>
      </c>
      <c r="O4390" s="67" t="n">
        <f aca="false">IF($H4390="",0,ROUND(IF($N4390="金额",N(资金流水!$P598),0),2))</f>
        <v>0</v>
      </c>
      <c r="P4390" s="64" t="str">
        <f aca="false">IF(AND($H4390&lt;&gt;"",ROUND($O4390,2)&lt;&gt;0),"有","")</f>
        <v/>
      </c>
    </row>
    <row r="4391" customFormat="false" ht="15" hidden="true" customHeight="false" outlineLevel="0" collapsed="false">
      <c r="A4391" s="53" t="str">
        <f aca="false">IF($H4391="","",ROW()-5)</f>
        <v/>
      </c>
      <c r="B4391" s="64" t="s">
        <v>37</v>
      </c>
      <c r="C4391" s="53" t="n">
        <v>598</v>
      </c>
      <c r="D4391" s="53" t="n">
        <v>2</v>
      </c>
      <c r="E4391" s="65" t="str">
        <f aca="false">IF($H4391="","",资金流水!$B598)</f>
        <v/>
      </c>
      <c r="F4391" s="55" t="str">
        <f aca="false">IF($H4391="","",资金流水!$C598)</f>
        <v/>
      </c>
      <c r="G4391" s="48" t="str">
        <f aca="false">IF($H4391="","",资金流水!$K598)</f>
        <v/>
      </c>
      <c r="H4391" s="10" t="str">
        <f aca="false">IF($L4391="","",IF($L4391="@对方",资金流水!$G598,IF($L4391="@账户",资金流水!$Q598,$L4391)))</f>
        <v/>
      </c>
      <c r="I4391" s="42" t="n">
        <f aca="false">IF($M4391="借",$O4391,0)</f>
        <v>0</v>
      </c>
      <c r="J4391" s="42" t="n">
        <f aca="false">IF($M4391="贷",$O4391,0)</f>
        <v>0</v>
      </c>
      <c r="K4391" s="48" t="str">
        <f aca="false">IF($H4391="","",资金流水!$F598)</f>
        <v/>
      </c>
      <c r="L4391" s="66" t="str">
        <f aca="false">IF(资金流水!$E598="","",IFERROR(INDEX(记账规则!$A$13:$H$32,MATCH(资金流水!$E598,记账规则!$A$13:$A$32,0),6),""))</f>
        <v/>
      </c>
      <c r="M4391" s="66" t="str">
        <f aca="false">IF($L4391="","",IFERROR(INDEX(记账规则!$A$13:$H$32,MATCH(资金流水!$E598,记账规则!$A$13:$A$32,0),7),""))</f>
        <v/>
      </c>
      <c r="N4391" s="66" t="str">
        <f aca="false">IF($L4391="","",IFERROR(INDEX(记账规则!$A$13:$H$32,MATCH(资金流水!$E598,记账规则!$A$13:$A$32,0),8),""))</f>
        <v/>
      </c>
      <c r="O4391" s="67" t="n">
        <f aca="false">IF($H4391="",0,ROUND(IF($N4391="金额",N(资金流水!$P598),0),2))</f>
        <v>0</v>
      </c>
      <c r="P4391" s="64" t="str">
        <f aca="false">IF(AND($H4391&lt;&gt;"",ROUND($O4391,2)&lt;&gt;0),"有","")</f>
        <v/>
      </c>
    </row>
    <row r="4392" customFormat="false" ht="15" hidden="true" customHeight="false" outlineLevel="0" collapsed="false">
      <c r="A4392" s="53" t="str">
        <f aca="false">IF($H4392="","",ROW()-5)</f>
        <v/>
      </c>
      <c r="B4392" s="64" t="s">
        <v>37</v>
      </c>
      <c r="C4392" s="53" t="n">
        <v>599</v>
      </c>
      <c r="D4392" s="53" t="n">
        <v>1</v>
      </c>
      <c r="E4392" s="65" t="str">
        <f aca="false">IF($H4392="","",资金流水!$B599)</f>
        <v/>
      </c>
      <c r="F4392" s="55" t="str">
        <f aca="false">IF($H4392="","",资金流水!$C599)</f>
        <v/>
      </c>
      <c r="G4392" s="48" t="str">
        <f aca="false">IF($H4392="","",资金流水!$K599)</f>
        <v/>
      </c>
      <c r="H4392" s="10" t="str">
        <f aca="false">IF($L4392="","",IF($L4392="@对方",资金流水!$G599,IF($L4392="@账户",资金流水!$Q599,$L4392)))</f>
        <v/>
      </c>
      <c r="I4392" s="42" t="n">
        <f aca="false">IF($M4392="借",$O4392,0)</f>
        <v>0</v>
      </c>
      <c r="J4392" s="42" t="n">
        <f aca="false">IF($M4392="贷",$O4392,0)</f>
        <v>0</v>
      </c>
      <c r="K4392" s="48" t="str">
        <f aca="false">IF($H4392="","",资金流水!$F599)</f>
        <v/>
      </c>
      <c r="L4392" s="66" t="str">
        <f aca="false">IF(资金流水!$E599="","",IFERROR(INDEX(记账规则!$A$13:$H$32,MATCH(资金流水!$E599,记账规则!$A$13:$A$32,0),3),""))</f>
        <v/>
      </c>
      <c r="M4392" s="66" t="str">
        <f aca="false">IF($L4392="","",IFERROR(INDEX(记账规则!$A$13:$H$32,MATCH(资金流水!$E599,记账规则!$A$13:$A$32,0),4),""))</f>
        <v/>
      </c>
      <c r="N4392" s="66" t="str">
        <f aca="false">IF($L4392="","",IFERROR(INDEX(记账规则!$A$13:$H$32,MATCH(资金流水!$E599,记账规则!$A$13:$A$32,0),5),""))</f>
        <v/>
      </c>
      <c r="O4392" s="67" t="n">
        <f aca="false">IF($H4392="",0,ROUND(IF($N4392="金额",N(资金流水!$P599),0),2))</f>
        <v>0</v>
      </c>
      <c r="P4392" s="64" t="str">
        <f aca="false">IF(AND($H4392&lt;&gt;"",ROUND($O4392,2)&lt;&gt;0),"有","")</f>
        <v/>
      </c>
    </row>
    <row r="4393" customFormat="false" ht="15" hidden="true" customHeight="false" outlineLevel="0" collapsed="false">
      <c r="A4393" s="53" t="str">
        <f aca="false">IF($H4393="","",ROW()-5)</f>
        <v/>
      </c>
      <c r="B4393" s="64" t="s">
        <v>37</v>
      </c>
      <c r="C4393" s="53" t="n">
        <v>599</v>
      </c>
      <c r="D4393" s="53" t="n">
        <v>2</v>
      </c>
      <c r="E4393" s="65" t="str">
        <f aca="false">IF($H4393="","",资金流水!$B599)</f>
        <v/>
      </c>
      <c r="F4393" s="55" t="str">
        <f aca="false">IF($H4393="","",资金流水!$C599)</f>
        <v/>
      </c>
      <c r="G4393" s="48" t="str">
        <f aca="false">IF($H4393="","",资金流水!$K599)</f>
        <v/>
      </c>
      <c r="H4393" s="10" t="str">
        <f aca="false">IF($L4393="","",IF($L4393="@对方",资金流水!$G599,IF($L4393="@账户",资金流水!$Q599,$L4393)))</f>
        <v/>
      </c>
      <c r="I4393" s="42" t="n">
        <f aca="false">IF($M4393="借",$O4393,0)</f>
        <v>0</v>
      </c>
      <c r="J4393" s="42" t="n">
        <f aca="false">IF($M4393="贷",$O4393,0)</f>
        <v>0</v>
      </c>
      <c r="K4393" s="48" t="str">
        <f aca="false">IF($H4393="","",资金流水!$F599)</f>
        <v/>
      </c>
      <c r="L4393" s="66" t="str">
        <f aca="false">IF(资金流水!$E599="","",IFERROR(INDEX(记账规则!$A$13:$H$32,MATCH(资金流水!$E599,记账规则!$A$13:$A$32,0),6),""))</f>
        <v/>
      </c>
      <c r="M4393" s="66" t="str">
        <f aca="false">IF($L4393="","",IFERROR(INDEX(记账规则!$A$13:$H$32,MATCH(资金流水!$E599,记账规则!$A$13:$A$32,0),7),""))</f>
        <v/>
      </c>
      <c r="N4393" s="66" t="str">
        <f aca="false">IF($L4393="","",IFERROR(INDEX(记账规则!$A$13:$H$32,MATCH(资金流水!$E599,记账规则!$A$13:$A$32,0),8),""))</f>
        <v/>
      </c>
      <c r="O4393" s="67" t="n">
        <f aca="false">IF($H4393="",0,ROUND(IF($N4393="金额",N(资金流水!$P599),0),2))</f>
        <v>0</v>
      </c>
      <c r="P4393" s="64" t="str">
        <f aca="false">IF(AND($H4393&lt;&gt;"",ROUND($O4393,2)&lt;&gt;0),"有","")</f>
        <v/>
      </c>
    </row>
    <row r="4394" customFormat="false" ht="15" hidden="true" customHeight="false" outlineLevel="0" collapsed="false">
      <c r="A4394" s="53" t="str">
        <f aca="false">IF($H4394="","",ROW()-5)</f>
        <v/>
      </c>
      <c r="B4394" s="64" t="s">
        <v>37</v>
      </c>
      <c r="C4394" s="53" t="n">
        <v>600</v>
      </c>
      <c r="D4394" s="53" t="n">
        <v>1</v>
      </c>
      <c r="E4394" s="65" t="str">
        <f aca="false">IF($H4394="","",资金流水!$B600)</f>
        <v/>
      </c>
      <c r="F4394" s="55" t="str">
        <f aca="false">IF($H4394="","",资金流水!$C600)</f>
        <v/>
      </c>
      <c r="G4394" s="48" t="str">
        <f aca="false">IF($H4394="","",资金流水!$K600)</f>
        <v/>
      </c>
      <c r="H4394" s="10" t="str">
        <f aca="false">IF($L4394="","",IF($L4394="@对方",资金流水!$G600,IF($L4394="@账户",资金流水!$Q600,$L4394)))</f>
        <v/>
      </c>
      <c r="I4394" s="42" t="n">
        <f aca="false">IF($M4394="借",$O4394,0)</f>
        <v>0</v>
      </c>
      <c r="J4394" s="42" t="n">
        <f aca="false">IF($M4394="贷",$O4394,0)</f>
        <v>0</v>
      </c>
      <c r="K4394" s="48" t="str">
        <f aca="false">IF($H4394="","",资金流水!$F600)</f>
        <v/>
      </c>
      <c r="L4394" s="66" t="str">
        <f aca="false">IF(资金流水!$E600="","",IFERROR(INDEX(记账规则!$A$13:$H$32,MATCH(资金流水!$E600,记账规则!$A$13:$A$32,0),3),""))</f>
        <v/>
      </c>
      <c r="M4394" s="66" t="str">
        <f aca="false">IF($L4394="","",IFERROR(INDEX(记账规则!$A$13:$H$32,MATCH(资金流水!$E600,记账规则!$A$13:$A$32,0),4),""))</f>
        <v/>
      </c>
      <c r="N4394" s="66" t="str">
        <f aca="false">IF($L4394="","",IFERROR(INDEX(记账规则!$A$13:$H$32,MATCH(资金流水!$E600,记账规则!$A$13:$A$32,0),5),""))</f>
        <v/>
      </c>
      <c r="O4394" s="67" t="n">
        <f aca="false">IF($H4394="",0,ROUND(IF($N4394="金额",N(资金流水!$P600),0),2))</f>
        <v>0</v>
      </c>
      <c r="P4394" s="64" t="str">
        <f aca="false">IF(AND($H4394&lt;&gt;"",ROUND($O4394,2)&lt;&gt;0),"有","")</f>
        <v/>
      </c>
    </row>
    <row r="4395" customFormat="false" ht="15" hidden="true" customHeight="false" outlineLevel="0" collapsed="false">
      <c r="A4395" s="53" t="str">
        <f aca="false">IF($H4395="","",ROW()-5)</f>
        <v/>
      </c>
      <c r="B4395" s="64" t="s">
        <v>37</v>
      </c>
      <c r="C4395" s="53" t="n">
        <v>600</v>
      </c>
      <c r="D4395" s="53" t="n">
        <v>2</v>
      </c>
      <c r="E4395" s="65" t="str">
        <f aca="false">IF($H4395="","",资金流水!$B600)</f>
        <v/>
      </c>
      <c r="F4395" s="55" t="str">
        <f aca="false">IF($H4395="","",资金流水!$C600)</f>
        <v/>
      </c>
      <c r="G4395" s="48" t="str">
        <f aca="false">IF($H4395="","",资金流水!$K600)</f>
        <v/>
      </c>
      <c r="H4395" s="10" t="str">
        <f aca="false">IF($L4395="","",IF($L4395="@对方",资金流水!$G600,IF($L4395="@账户",资金流水!$Q600,$L4395)))</f>
        <v/>
      </c>
      <c r="I4395" s="42" t="n">
        <f aca="false">IF($M4395="借",$O4395,0)</f>
        <v>0</v>
      </c>
      <c r="J4395" s="42" t="n">
        <f aca="false">IF($M4395="贷",$O4395,0)</f>
        <v>0</v>
      </c>
      <c r="K4395" s="48" t="str">
        <f aca="false">IF($H4395="","",资金流水!$F600)</f>
        <v/>
      </c>
      <c r="L4395" s="66" t="str">
        <f aca="false">IF(资金流水!$E600="","",IFERROR(INDEX(记账规则!$A$13:$H$32,MATCH(资金流水!$E600,记账规则!$A$13:$A$32,0),6),""))</f>
        <v/>
      </c>
      <c r="M4395" s="66" t="str">
        <f aca="false">IF($L4395="","",IFERROR(INDEX(记账规则!$A$13:$H$32,MATCH(资金流水!$E600,记账规则!$A$13:$A$32,0),7),""))</f>
        <v/>
      </c>
      <c r="N4395" s="66" t="str">
        <f aca="false">IF($L4395="","",IFERROR(INDEX(记账规则!$A$13:$H$32,MATCH(资金流水!$E600,记账规则!$A$13:$A$32,0),8),""))</f>
        <v/>
      </c>
      <c r="O4395" s="67" t="n">
        <f aca="false">IF($H4395="",0,ROUND(IF($N4395="金额",N(资金流水!$P600),0),2))</f>
        <v>0</v>
      </c>
      <c r="P4395" s="64" t="str">
        <f aca="false">IF(AND($H4395&lt;&gt;"",ROUND($O4395,2)&lt;&gt;0),"有","")</f>
        <v/>
      </c>
    </row>
    <row r="4396" customFormat="false" ht="15" hidden="true" customHeight="false" outlineLevel="0" collapsed="false">
      <c r="A4396" s="53" t="str">
        <f aca="false">IF($H4396="","",ROW()-5)</f>
        <v/>
      </c>
      <c r="B4396" s="64" t="s">
        <v>37</v>
      </c>
      <c r="C4396" s="53" t="n">
        <v>601</v>
      </c>
      <c r="D4396" s="53" t="n">
        <v>1</v>
      </c>
      <c r="E4396" s="65" t="str">
        <f aca="false">IF($H4396="","",资金流水!$B601)</f>
        <v/>
      </c>
      <c r="F4396" s="55" t="str">
        <f aca="false">IF($H4396="","",资金流水!$C601)</f>
        <v/>
      </c>
      <c r="G4396" s="48" t="str">
        <f aca="false">IF($H4396="","",资金流水!$K601)</f>
        <v/>
      </c>
      <c r="H4396" s="10" t="str">
        <f aca="false">IF($L4396="","",IF($L4396="@对方",资金流水!$G601,IF($L4396="@账户",资金流水!$Q601,$L4396)))</f>
        <v/>
      </c>
      <c r="I4396" s="42" t="n">
        <f aca="false">IF($M4396="借",$O4396,0)</f>
        <v>0</v>
      </c>
      <c r="J4396" s="42" t="n">
        <f aca="false">IF($M4396="贷",$O4396,0)</f>
        <v>0</v>
      </c>
      <c r="K4396" s="48" t="str">
        <f aca="false">IF($H4396="","",资金流水!$F601)</f>
        <v/>
      </c>
      <c r="L4396" s="66" t="str">
        <f aca="false">IF(资金流水!$E601="","",IFERROR(INDEX(记账规则!$A$13:$H$32,MATCH(资金流水!$E601,记账规则!$A$13:$A$32,0),3),""))</f>
        <v/>
      </c>
      <c r="M4396" s="66" t="str">
        <f aca="false">IF($L4396="","",IFERROR(INDEX(记账规则!$A$13:$H$32,MATCH(资金流水!$E601,记账规则!$A$13:$A$32,0),4),""))</f>
        <v/>
      </c>
      <c r="N4396" s="66" t="str">
        <f aca="false">IF($L4396="","",IFERROR(INDEX(记账规则!$A$13:$H$32,MATCH(资金流水!$E601,记账规则!$A$13:$A$32,0),5),""))</f>
        <v/>
      </c>
      <c r="O4396" s="67" t="n">
        <f aca="false">IF($H4396="",0,ROUND(IF($N4396="金额",N(资金流水!$P601),0),2))</f>
        <v>0</v>
      </c>
      <c r="P4396" s="64" t="str">
        <f aca="false">IF(AND($H4396&lt;&gt;"",ROUND($O4396,2)&lt;&gt;0),"有","")</f>
        <v/>
      </c>
    </row>
    <row r="4397" customFormat="false" ht="15" hidden="true" customHeight="false" outlineLevel="0" collapsed="false">
      <c r="A4397" s="53" t="str">
        <f aca="false">IF($H4397="","",ROW()-5)</f>
        <v/>
      </c>
      <c r="B4397" s="64" t="s">
        <v>37</v>
      </c>
      <c r="C4397" s="53" t="n">
        <v>601</v>
      </c>
      <c r="D4397" s="53" t="n">
        <v>2</v>
      </c>
      <c r="E4397" s="65" t="str">
        <f aca="false">IF($H4397="","",资金流水!$B601)</f>
        <v/>
      </c>
      <c r="F4397" s="55" t="str">
        <f aca="false">IF($H4397="","",资金流水!$C601)</f>
        <v/>
      </c>
      <c r="G4397" s="48" t="str">
        <f aca="false">IF($H4397="","",资金流水!$K601)</f>
        <v/>
      </c>
      <c r="H4397" s="10" t="str">
        <f aca="false">IF($L4397="","",IF($L4397="@对方",资金流水!$G601,IF($L4397="@账户",资金流水!$Q601,$L4397)))</f>
        <v/>
      </c>
      <c r="I4397" s="42" t="n">
        <f aca="false">IF($M4397="借",$O4397,0)</f>
        <v>0</v>
      </c>
      <c r="J4397" s="42" t="n">
        <f aca="false">IF($M4397="贷",$O4397,0)</f>
        <v>0</v>
      </c>
      <c r="K4397" s="48" t="str">
        <f aca="false">IF($H4397="","",资金流水!$F601)</f>
        <v/>
      </c>
      <c r="L4397" s="66" t="str">
        <f aca="false">IF(资金流水!$E601="","",IFERROR(INDEX(记账规则!$A$13:$H$32,MATCH(资金流水!$E601,记账规则!$A$13:$A$32,0),6),""))</f>
        <v/>
      </c>
      <c r="M4397" s="66" t="str">
        <f aca="false">IF($L4397="","",IFERROR(INDEX(记账规则!$A$13:$H$32,MATCH(资金流水!$E601,记账规则!$A$13:$A$32,0),7),""))</f>
        <v/>
      </c>
      <c r="N4397" s="66" t="str">
        <f aca="false">IF($L4397="","",IFERROR(INDEX(记账规则!$A$13:$H$32,MATCH(资金流水!$E601,记账规则!$A$13:$A$32,0),8),""))</f>
        <v/>
      </c>
      <c r="O4397" s="67" t="n">
        <f aca="false">IF($H4397="",0,ROUND(IF($N4397="金额",N(资金流水!$P601),0),2))</f>
        <v>0</v>
      </c>
      <c r="P4397" s="64" t="str">
        <f aca="false">IF(AND($H4397&lt;&gt;"",ROUND($O4397,2)&lt;&gt;0),"有","")</f>
        <v/>
      </c>
    </row>
    <row r="4398" customFormat="false" ht="15" hidden="true" customHeight="false" outlineLevel="0" collapsed="false">
      <c r="A4398" s="53" t="str">
        <f aca="false">IF($H4398="","",ROW()-5)</f>
        <v/>
      </c>
      <c r="B4398" s="64" t="s">
        <v>37</v>
      </c>
      <c r="C4398" s="53" t="n">
        <v>602</v>
      </c>
      <c r="D4398" s="53" t="n">
        <v>1</v>
      </c>
      <c r="E4398" s="65" t="str">
        <f aca="false">IF($H4398="","",资金流水!$B602)</f>
        <v/>
      </c>
      <c r="F4398" s="55" t="str">
        <f aca="false">IF($H4398="","",资金流水!$C602)</f>
        <v/>
      </c>
      <c r="G4398" s="48" t="str">
        <f aca="false">IF($H4398="","",资金流水!$K602)</f>
        <v/>
      </c>
      <c r="H4398" s="10" t="str">
        <f aca="false">IF($L4398="","",IF($L4398="@对方",资金流水!$G602,IF($L4398="@账户",资金流水!$Q602,$L4398)))</f>
        <v/>
      </c>
      <c r="I4398" s="42" t="n">
        <f aca="false">IF($M4398="借",$O4398,0)</f>
        <v>0</v>
      </c>
      <c r="J4398" s="42" t="n">
        <f aca="false">IF($M4398="贷",$O4398,0)</f>
        <v>0</v>
      </c>
      <c r="K4398" s="48" t="str">
        <f aca="false">IF($H4398="","",资金流水!$F602)</f>
        <v/>
      </c>
      <c r="L4398" s="66" t="str">
        <f aca="false">IF(资金流水!$E602="","",IFERROR(INDEX(记账规则!$A$13:$H$32,MATCH(资金流水!$E602,记账规则!$A$13:$A$32,0),3),""))</f>
        <v/>
      </c>
      <c r="M4398" s="66" t="str">
        <f aca="false">IF($L4398="","",IFERROR(INDEX(记账规则!$A$13:$H$32,MATCH(资金流水!$E602,记账规则!$A$13:$A$32,0),4),""))</f>
        <v/>
      </c>
      <c r="N4398" s="66" t="str">
        <f aca="false">IF($L4398="","",IFERROR(INDEX(记账规则!$A$13:$H$32,MATCH(资金流水!$E602,记账规则!$A$13:$A$32,0),5),""))</f>
        <v/>
      </c>
      <c r="O4398" s="67" t="n">
        <f aca="false">IF($H4398="",0,ROUND(IF($N4398="金额",N(资金流水!$P602),0),2))</f>
        <v>0</v>
      </c>
      <c r="P4398" s="64" t="str">
        <f aca="false">IF(AND($H4398&lt;&gt;"",ROUND($O4398,2)&lt;&gt;0),"有","")</f>
        <v/>
      </c>
    </row>
    <row r="4399" customFormat="false" ht="15" hidden="true" customHeight="false" outlineLevel="0" collapsed="false">
      <c r="A4399" s="53" t="str">
        <f aca="false">IF($H4399="","",ROW()-5)</f>
        <v/>
      </c>
      <c r="B4399" s="64" t="s">
        <v>37</v>
      </c>
      <c r="C4399" s="53" t="n">
        <v>602</v>
      </c>
      <c r="D4399" s="53" t="n">
        <v>2</v>
      </c>
      <c r="E4399" s="65" t="str">
        <f aca="false">IF($H4399="","",资金流水!$B602)</f>
        <v/>
      </c>
      <c r="F4399" s="55" t="str">
        <f aca="false">IF($H4399="","",资金流水!$C602)</f>
        <v/>
      </c>
      <c r="G4399" s="48" t="str">
        <f aca="false">IF($H4399="","",资金流水!$K602)</f>
        <v/>
      </c>
      <c r="H4399" s="10" t="str">
        <f aca="false">IF($L4399="","",IF($L4399="@对方",资金流水!$G602,IF($L4399="@账户",资金流水!$Q602,$L4399)))</f>
        <v/>
      </c>
      <c r="I4399" s="42" t="n">
        <f aca="false">IF($M4399="借",$O4399,0)</f>
        <v>0</v>
      </c>
      <c r="J4399" s="42" t="n">
        <f aca="false">IF($M4399="贷",$O4399,0)</f>
        <v>0</v>
      </c>
      <c r="K4399" s="48" t="str">
        <f aca="false">IF($H4399="","",资金流水!$F602)</f>
        <v/>
      </c>
      <c r="L4399" s="66" t="str">
        <f aca="false">IF(资金流水!$E602="","",IFERROR(INDEX(记账规则!$A$13:$H$32,MATCH(资金流水!$E602,记账规则!$A$13:$A$32,0),6),""))</f>
        <v/>
      </c>
      <c r="M4399" s="66" t="str">
        <f aca="false">IF($L4399="","",IFERROR(INDEX(记账规则!$A$13:$H$32,MATCH(资金流水!$E602,记账规则!$A$13:$A$32,0),7),""))</f>
        <v/>
      </c>
      <c r="N4399" s="66" t="str">
        <f aca="false">IF($L4399="","",IFERROR(INDEX(记账规则!$A$13:$H$32,MATCH(资金流水!$E602,记账规则!$A$13:$A$32,0),8),""))</f>
        <v/>
      </c>
      <c r="O4399" s="67" t="n">
        <f aca="false">IF($H4399="",0,ROUND(IF($N4399="金额",N(资金流水!$P602),0),2))</f>
        <v>0</v>
      </c>
      <c r="P4399" s="64" t="str">
        <f aca="false">IF(AND($H4399&lt;&gt;"",ROUND($O4399,2)&lt;&gt;0),"有","")</f>
        <v/>
      </c>
    </row>
    <row r="4400" customFormat="false" ht="15" hidden="true" customHeight="false" outlineLevel="0" collapsed="false">
      <c r="A4400" s="53" t="str">
        <f aca="false">IF($H4400="","",ROW()-5)</f>
        <v/>
      </c>
      <c r="B4400" s="64" t="s">
        <v>37</v>
      </c>
      <c r="C4400" s="53" t="n">
        <v>603</v>
      </c>
      <c r="D4400" s="53" t="n">
        <v>1</v>
      </c>
      <c r="E4400" s="65" t="str">
        <f aca="false">IF($H4400="","",资金流水!$B603)</f>
        <v/>
      </c>
      <c r="F4400" s="55" t="str">
        <f aca="false">IF($H4400="","",资金流水!$C603)</f>
        <v/>
      </c>
      <c r="G4400" s="48" t="str">
        <f aca="false">IF($H4400="","",资金流水!$K603)</f>
        <v/>
      </c>
      <c r="H4400" s="10" t="str">
        <f aca="false">IF($L4400="","",IF($L4400="@对方",资金流水!$G603,IF($L4400="@账户",资金流水!$Q603,$L4400)))</f>
        <v/>
      </c>
      <c r="I4400" s="42" t="n">
        <f aca="false">IF($M4400="借",$O4400,0)</f>
        <v>0</v>
      </c>
      <c r="J4400" s="42" t="n">
        <f aca="false">IF($M4400="贷",$O4400,0)</f>
        <v>0</v>
      </c>
      <c r="K4400" s="48" t="str">
        <f aca="false">IF($H4400="","",资金流水!$F603)</f>
        <v/>
      </c>
      <c r="L4400" s="66" t="str">
        <f aca="false">IF(资金流水!$E603="","",IFERROR(INDEX(记账规则!$A$13:$H$32,MATCH(资金流水!$E603,记账规则!$A$13:$A$32,0),3),""))</f>
        <v/>
      </c>
      <c r="M4400" s="66" t="str">
        <f aca="false">IF($L4400="","",IFERROR(INDEX(记账规则!$A$13:$H$32,MATCH(资金流水!$E603,记账规则!$A$13:$A$32,0),4),""))</f>
        <v/>
      </c>
      <c r="N4400" s="66" t="str">
        <f aca="false">IF($L4400="","",IFERROR(INDEX(记账规则!$A$13:$H$32,MATCH(资金流水!$E603,记账规则!$A$13:$A$32,0),5),""))</f>
        <v/>
      </c>
      <c r="O4400" s="67" t="n">
        <f aca="false">IF($H4400="",0,ROUND(IF($N4400="金额",N(资金流水!$P603),0),2))</f>
        <v>0</v>
      </c>
      <c r="P4400" s="64" t="str">
        <f aca="false">IF(AND($H4400&lt;&gt;"",ROUND($O4400,2)&lt;&gt;0),"有","")</f>
        <v/>
      </c>
    </row>
    <row r="4401" customFormat="false" ht="15" hidden="true" customHeight="false" outlineLevel="0" collapsed="false">
      <c r="A4401" s="53" t="str">
        <f aca="false">IF($H4401="","",ROW()-5)</f>
        <v/>
      </c>
      <c r="B4401" s="64" t="s">
        <v>37</v>
      </c>
      <c r="C4401" s="53" t="n">
        <v>603</v>
      </c>
      <c r="D4401" s="53" t="n">
        <v>2</v>
      </c>
      <c r="E4401" s="65" t="str">
        <f aca="false">IF($H4401="","",资金流水!$B603)</f>
        <v/>
      </c>
      <c r="F4401" s="55" t="str">
        <f aca="false">IF($H4401="","",资金流水!$C603)</f>
        <v/>
      </c>
      <c r="G4401" s="48" t="str">
        <f aca="false">IF($H4401="","",资金流水!$K603)</f>
        <v/>
      </c>
      <c r="H4401" s="10" t="str">
        <f aca="false">IF($L4401="","",IF($L4401="@对方",资金流水!$G603,IF($L4401="@账户",资金流水!$Q603,$L4401)))</f>
        <v/>
      </c>
      <c r="I4401" s="42" t="n">
        <f aca="false">IF($M4401="借",$O4401,0)</f>
        <v>0</v>
      </c>
      <c r="J4401" s="42" t="n">
        <f aca="false">IF($M4401="贷",$O4401,0)</f>
        <v>0</v>
      </c>
      <c r="K4401" s="48" t="str">
        <f aca="false">IF($H4401="","",资金流水!$F603)</f>
        <v/>
      </c>
      <c r="L4401" s="66" t="str">
        <f aca="false">IF(资金流水!$E603="","",IFERROR(INDEX(记账规则!$A$13:$H$32,MATCH(资金流水!$E603,记账规则!$A$13:$A$32,0),6),""))</f>
        <v/>
      </c>
      <c r="M4401" s="66" t="str">
        <f aca="false">IF($L4401="","",IFERROR(INDEX(记账规则!$A$13:$H$32,MATCH(资金流水!$E603,记账规则!$A$13:$A$32,0),7),""))</f>
        <v/>
      </c>
      <c r="N4401" s="66" t="str">
        <f aca="false">IF($L4401="","",IFERROR(INDEX(记账规则!$A$13:$H$32,MATCH(资金流水!$E603,记账规则!$A$13:$A$32,0),8),""))</f>
        <v/>
      </c>
      <c r="O4401" s="67" t="n">
        <f aca="false">IF($H4401="",0,ROUND(IF($N4401="金额",N(资金流水!$P603),0),2))</f>
        <v>0</v>
      </c>
      <c r="P4401" s="64" t="str">
        <f aca="false">IF(AND($H4401&lt;&gt;"",ROUND($O4401,2)&lt;&gt;0),"有","")</f>
        <v/>
      </c>
    </row>
    <row r="4402" customFormat="false" ht="15" hidden="true" customHeight="false" outlineLevel="0" collapsed="false">
      <c r="A4402" s="53" t="str">
        <f aca="false">IF($H4402="","",ROW()-5)</f>
        <v/>
      </c>
      <c r="B4402" s="64" t="s">
        <v>37</v>
      </c>
      <c r="C4402" s="53" t="n">
        <v>604</v>
      </c>
      <c r="D4402" s="53" t="n">
        <v>1</v>
      </c>
      <c r="E4402" s="65" t="str">
        <f aca="false">IF($H4402="","",资金流水!$B604)</f>
        <v/>
      </c>
      <c r="F4402" s="55" t="str">
        <f aca="false">IF($H4402="","",资金流水!$C604)</f>
        <v/>
      </c>
      <c r="G4402" s="48" t="str">
        <f aca="false">IF($H4402="","",资金流水!$K604)</f>
        <v/>
      </c>
      <c r="H4402" s="10" t="str">
        <f aca="false">IF($L4402="","",IF($L4402="@对方",资金流水!$G604,IF($L4402="@账户",资金流水!$Q604,$L4402)))</f>
        <v/>
      </c>
      <c r="I4402" s="42" t="n">
        <f aca="false">IF($M4402="借",$O4402,0)</f>
        <v>0</v>
      </c>
      <c r="J4402" s="42" t="n">
        <f aca="false">IF($M4402="贷",$O4402,0)</f>
        <v>0</v>
      </c>
      <c r="K4402" s="48" t="str">
        <f aca="false">IF($H4402="","",资金流水!$F604)</f>
        <v/>
      </c>
      <c r="L4402" s="66" t="str">
        <f aca="false">IF(资金流水!$E604="","",IFERROR(INDEX(记账规则!$A$13:$H$32,MATCH(资金流水!$E604,记账规则!$A$13:$A$32,0),3),""))</f>
        <v/>
      </c>
      <c r="M4402" s="66" t="str">
        <f aca="false">IF($L4402="","",IFERROR(INDEX(记账规则!$A$13:$H$32,MATCH(资金流水!$E604,记账规则!$A$13:$A$32,0),4),""))</f>
        <v/>
      </c>
      <c r="N4402" s="66" t="str">
        <f aca="false">IF($L4402="","",IFERROR(INDEX(记账规则!$A$13:$H$32,MATCH(资金流水!$E604,记账规则!$A$13:$A$32,0),5),""))</f>
        <v/>
      </c>
      <c r="O4402" s="67" t="n">
        <f aca="false">IF($H4402="",0,ROUND(IF($N4402="金额",N(资金流水!$P604),0),2))</f>
        <v>0</v>
      </c>
      <c r="P4402" s="64" t="str">
        <f aca="false">IF(AND($H4402&lt;&gt;"",ROUND($O4402,2)&lt;&gt;0),"有","")</f>
        <v/>
      </c>
    </row>
    <row r="4403" customFormat="false" ht="15" hidden="true" customHeight="false" outlineLevel="0" collapsed="false">
      <c r="A4403" s="53" t="str">
        <f aca="false">IF($H4403="","",ROW()-5)</f>
        <v/>
      </c>
      <c r="B4403" s="64" t="s">
        <v>37</v>
      </c>
      <c r="C4403" s="53" t="n">
        <v>604</v>
      </c>
      <c r="D4403" s="53" t="n">
        <v>2</v>
      </c>
      <c r="E4403" s="65" t="str">
        <f aca="false">IF($H4403="","",资金流水!$B604)</f>
        <v/>
      </c>
      <c r="F4403" s="55" t="str">
        <f aca="false">IF($H4403="","",资金流水!$C604)</f>
        <v/>
      </c>
      <c r="G4403" s="48" t="str">
        <f aca="false">IF($H4403="","",资金流水!$K604)</f>
        <v/>
      </c>
      <c r="H4403" s="10" t="str">
        <f aca="false">IF($L4403="","",IF($L4403="@对方",资金流水!$G604,IF($L4403="@账户",资金流水!$Q604,$L4403)))</f>
        <v/>
      </c>
      <c r="I4403" s="42" t="n">
        <f aca="false">IF($M4403="借",$O4403,0)</f>
        <v>0</v>
      </c>
      <c r="J4403" s="42" t="n">
        <f aca="false">IF($M4403="贷",$O4403,0)</f>
        <v>0</v>
      </c>
      <c r="K4403" s="48" t="str">
        <f aca="false">IF($H4403="","",资金流水!$F604)</f>
        <v/>
      </c>
      <c r="L4403" s="66" t="str">
        <f aca="false">IF(资金流水!$E604="","",IFERROR(INDEX(记账规则!$A$13:$H$32,MATCH(资金流水!$E604,记账规则!$A$13:$A$32,0),6),""))</f>
        <v/>
      </c>
      <c r="M4403" s="66" t="str">
        <f aca="false">IF($L4403="","",IFERROR(INDEX(记账规则!$A$13:$H$32,MATCH(资金流水!$E604,记账规则!$A$13:$A$32,0),7),""))</f>
        <v/>
      </c>
      <c r="N4403" s="66" t="str">
        <f aca="false">IF($L4403="","",IFERROR(INDEX(记账规则!$A$13:$H$32,MATCH(资金流水!$E604,记账规则!$A$13:$A$32,0),8),""))</f>
        <v/>
      </c>
      <c r="O4403" s="67" t="n">
        <f aca="false">IF($H4403="",0,ROUND(IF($N4403="金额",N(资金流水!$P604),0),2))</f>
        <v>0</v>
      </c>
      <c r="P4403" s="64" t="str">
        <f aca="false">IF(AND($H4403&lt;&gt;"",ROUND($O4403,2)&lt;&gt;0),"有","")</f>
        <v/>
      </c>
    </row>
    <row r="4404" customFormat="false" ht="15" hidden="true" customHeight="false" outlineLevel="0" collapsed="false">
      <c r="A4404" s="53" t="str">
        <f aca="false">IF($H4404="","",ROW()-5)</f>
        <v/>
      </c>
      <c r="B4404" s="64" t="s">
        <v>37</v>
      </c>
      <c r="C4404" s="53" t="n">
        <v>605</v>
      </c>
      <c r="D4404" s="53" t="n">
        <v>1</v>
      </c>
      <c r="E4404" s="65" t="str">
        <f aca="false">IF($H4404="","",资金流水!$B605)</f>
        <v/>
      </c>
      <c r="F4404" s="55" t="str">
        <f aca="false">IF($H4404="","",资金流水!$C605)</f>
        <v/>
      </c>
      <c r="G4404" s="48" t="str">
        <f aca="false">IF($H4404="","",资金流水!$K605)</f>
        <v/>
      </c>
      <c r="H4404" s="10" t="str">
        <f aca="false">IF($L4404="","",IF($L4404="@对方",资金流水!$G605,IF($L4404="@账户",资金流水!$Q605,$L4404)))</f>
        <v/>
      </c>
      <c r="I4404" s="42" t="n">
        <f aca="false">IF($M4404="借",$O4404,0)</f>
        <v>0</v>
      </c>
      <c r="J4404" s="42" t="n">
        <f aca="false">IF($M4404="贷",$O4404,0)</f>
        <v>0</v>
      </c>
      <c r="K4404" s="48" t="str">
        <f aca="false">IF($H4404="","",资金流水!$F605)</f>
        <v/>
      </c>
      <c r="L4404" s="66" t="str">
        <f aca="false">IF(资金流水!$E605="","",IFERROR(INDEX(记账规则!$A$13:$H$32,MATCH(资金流水!$E605,记账规则!$A$13:$A$32,0),3),""))</f>
        <v/>
      </c>
      <c r="M4404" s="66" t="str">
        <f aca="false">IF($L4404="","",IFERROR(INDEX(记账规则!$A$13:$H$32,MATCH(资金流水!$E605,记账规则!$A$13:$A$32,0),4),""))</f>
        <v/>
      </c>
      <c r="N4404" s="66" t="str">
        <f aca="false">IF($L4404="","",IFERROR(INDEX(记账规则!$A$13:$H$32,MATCH(资金流水!$E605,记账规则!$A$13:$A$32,0),5),""))</f>
        <v/>
      </c>
      <c r="O4404" s="67" t="n">
        <f aca="false">IF($H4404="",0,ROUND(IF($N4404="金额",N(资金流水!$P605),0),2))</f>
        <v>0</v>
      </c>
      <c r="P4404" s="64" t="str">
        <f aca="false">IF(AND($H4404&lt;&gt;"",ROUND($O4404,2)&lt;&gt;0),"有","")</f>
        <v/>
      </c>
    </row>
    <row r="4405" customFormat="false" ht="15" hidden="true" customHeight="false" outlineLevel="0" collapsed="false">
      <c r="A4405" s="53" t="str">
        <f aca="false">IF($H4405="","",ROW()-5)</f>
        <v/>
      </c>
      <c r="B4405" s="64" t="s">
        <v>37</v>
      </c>
      <c r="C4405" s="53" t="n">
        <v>605</v>
      </c>
      <c r="D4405" s="53" t="n">
        <v>2</v>
      </c>
      <c r="E4405" s="65" t="str">
        <f aca="false">IF($H4405="","",资金流水!$B605)</f>
        <v/>
      </c>
      <c r="F4405" s="55" t="str">
        <f aca="false">IF($H4405="","",资金流水!$C605)</f>
        <v/>
      </c>
      <c r="G4405" s="48" t="str">
        <f aca="false">IF($H4405="","",资金流水!$K605)</f>
        <v/>
      </c>
      <c r="H4405" s="10" t="str">
        <f aca="false">IF($L4405="","",IF($L4405="@对方",资金流水!$G605,IF($L4405="@账户",资金流水!$Q605,$L4405)))</f>
        <v/>
      </c>
      <c r="I4405" s="42" t="n">
        <f aca="false">IF($M4405="借",$O4405,0)</f>
        <v>0</v>
      </c>
      <c r="J4405" s="42" t="n">
        <f aca="false">IF($M4405="贷",$O4405,0)</f>
        <v>0</v>
      </c>
      <c r="K4405" s="48" t="str">
        <f aca="false">IF($H4405="","",资金流水!$F605)</f>
        <v/>
      </c>
      <c r="L4405" s="66" t="str">
        <f aca="false">IF(资金流水!$E605="","",IFERROR(INDEX(记账规则!$A$13:$H$32,MATCH(资金流水!$E605,记账规则!$A$13:$A$32,0),6),""))</f>
        <v/>
      </c>
      <c r="M4405" s="66" t="str">
        <f aca="false">IF($L4405="","",IFERROR(INDEX(记账规则!$A$13:$H$32,MATCH(资金流水!$E605,记账规则!$A$13:$A$32,0),7),""))</f>
        <v/>
      </c>
      <c r="N4405" s="66" t="str">
        <f aca="false">IF($L4405="","",IFERROR(INDEX(记账规则!$A$13:$H$32,MATCH(资金流水!$E605,记账规则!$A$13:$A$32,0),8),""))</f>
        <v/>
      </c>
      <c r="O4405" s="67" t="n">
        <f aca="false">IF($H4405="",0,ROUND(IF($N4405="金额",N(资金流水!$P605),0),2))</f>
        <v>0</v>
      </c>
      <c r="P4405" s="64" t="str">
        <f aca="false">IF(AND($H4405&lt;&gt;"",ROUND($O4405,2)&lt;&gt;0),"有","")</f>
        <v/>
      </c>
    </row>
    <row r="4406" customFormat="false" ht="15" hidden="false" customHeight="false" outlineLevel="0" collapsed="false">
      <c r="A4406" s="53" t="n">
        <f aca="false">IF($H4406="","",ROW()-5)</f>
        <v>4401</v>
      </c>
      <c r="B4406" s="64" t="s">
        <v>38</v>
      </c>
      <c r="C4406" s="53" t="n">
        <v>6</v>
      </c>
      <c r="D4406" s="53" t="n">
        <v>1</v>
      </c>
      <c r="E4406" s="65" t="n">
        <f aca="false">IF($H4406="","",生产加工!$B6)</f>
        <v>46132</v>
      </c>
      <c r="F4406" s="55" t="str">
        <f aca="false">IF($H4406="","",生产加工!$C6)</f>
        <v>农业</v>
      </c>
      <c r="G4406" s="48" t="str">
        <f aca="false">IF($H4406="","",生产加工!$N6)</f>
        <v>造林苗木</v>
      </c>
      <c r="H4406" s="10" t="str">
        <f aca="false">IF($L4406="","",IF($L4406="@对方",生产加工!$K6,IF($L4406="@存货",生产加工!$Q6,$L4406)))</f>
        <v>生产成本</v>
      </c>
      <c r="I4406" s="42" t="n">
        <f aca="false">IF($M4406="借",$O4406,0)</f>
        <v>7800</v>
      </c>
      <c r="J4406" s="42" t="n">
        <f aca="false">IF($M4406="贷",$O4406,0)</f>
        <v>0</v>
      </c>
      <c r="K4406" s="48"/>
      <c r="L4406" s="66" t="str">
        <f aca="false">IF(生产加工!$E6="","",IFERROR(INDEX(记账规则!$A$36:$H$38,MATCH(生产加工!$E6,记账规则!$A$36:$A$38,0),3),""))</f>
        <v>生产成本</v>
      </c>
      <c r="M4406" s="66" t="str">
        <f aca="false">IF($L4406="","",IFERROR(INDEX(记账规则!$A$36:$H$38,MATCH(生产加工!$E6,记账规则!$A$36:$A$38,0),4),""))</f>
        <v>借</v>
      </c>
      <c r="N4406" s="66" t="str">
        <f aca="false">IF($L4406="","",IFERROR(INDEX(记账规则!$A$36:$H$38,MATCH(生产加工!$E6,记账规则!$A$36:$A$38,0),5),""))</f>
        <v>记账金额</v>
      </c>
      <c r="O4406" s="67" t="n">
        <f aca="false">IF($H4406="",0,ROUND(IF($N4406="记账金额",N(生产加工!$U6),0),2))</f>
        <v>7800</v>
      </c>
      <c r="P4406" s="64" t="str">
        <f aca="false">IF(AND($H4406&lt;&gt;"",ROUND($O4406,2)&lt;&gt;0),"有","")</f>
        <v>有</v>
      </c>
    </row>
    <row r="4407" customFormat="false" ht="15" hidden="false" customHeight="false" outlineLevel="0" collapsed="false">
      <c r="A4407" s="53" t="n">
        <f aca="false">IF($H4407="","",ROW()-5)</f>
        <v>4402</v>
      </c>
      <c r="B4407" s="64" t="s">
        <v>38</v>
      </c>
      <c r="C4407" s="53" t="n">
        <v>6</v>
      </c>
      <c r="D4407" s="53" t="n">
        <v>2</v>
      </c>
      <c r="E4407" s="65" t="n">
        <f aca="false">IF($H4407="","",生产加工!$B6)</f>
        <v>46132</v>
      </c>
      <c r="F4407" s="55" t="str">
        <f aca="false">IF($H4407="","",生产加工!$C6)</f>
        <v>农业</v>
      </c>
      <c r="G4407" s="48" t="str">
        <f aca="false">IF($H4407="","",生产加工!$N6)</f>
        <v>造林苗木</v>
      </c>
      <c r="H4407" s="10" t="str">
        <f aca="false">IF($L4407="","",IF($L4407="@对方",生产加工!$K6,IF($L4407="@存货",生产加工!$Q6,$L4407)))</f>
        <v>原材料</v>
      </c>
      <c r="I4407" s="42" t="n">
        <f aca="false">IF($M4407="借",$O4407,0)</f>
        <v>0</v>
      </c>
      <c r="J4407" s="42" t="n">
        <f aca="false">IF($M4407="贷",$O4407,0)</f>
        <v>7800</v>
      </c>
      <c r="K4407" s="48"/>
      <c r="L4407" s="66" t="str">
        <f aca="false">IF(生产加工!$E6="","",IFERROR(INDEX(记账规则!$A$36:$H$38,MATCH(生产加工!$E6,记账规则!$A$36:$A$38,0),6),""))</f>
        <v>@存货</v>
      </c>
      <c r="M4407" s="66" t="str">
        <f aca="false">IF($L4407="","",IFERROR(INDEX(记账规则!$A$36:$H$38,MATCH(生产加工!$E6,记账规则!$A$36:$A$38,0),7),""))</f>
        <v>贷</v>
      </c>
      <c r="N4407" s="66" t="str">
        <f aca="false">IF($L4407="","",IFERROR(INDEX(记账规则!$A$36:$H$38,MATCH(生产加工!$E6,记账规则!$A$36:$A$38,0),8),""))</f>
        <v>记账金额</v>
      </c>
      <c r="O4407" s="67" t="n">
        <f aca="false">IF($H4407="",0,ROUND(IF($N4407="记账金额",N(生产加工!$U6),0),2))</f>
        <v>7800</v>
      </c>
      <c r="P4407" s="64" t="str">
        <f aca="false">IF(AND($H4407&lt;&gt;"",ROUND($O4407,2)&lt;&gt;0),"有","")</f>
        <v>有</v>
      </c>
    </row>
    <row r="4408" customFormat="false" ht="15" hidden="false" customHeight="false" outlineLevel="0" collapsed="false">
      <c r="A4408" s="53" t="n">
        <f aca="false">IF($H4408="","",ROW()-5)</f>
        <v>4403</v>
      </c>
      <c r="B4408" s="64" t="s">
        <v>38</v>
      </c>
      <c r="C4408" s="53" t="n">
        <v>7</v>
      </c>
      <c r="D4408" s="53" t="n">
        <v>1</v>
      </c>
      <c r="E4408" s="65" t="n">
        <f aca="false">IF($H4408="","",生产加工!$B7)</f>
        <v>46162</v>
      </c>
      <c r="F4408" s="55" t="str">
        <f aca="false">IF($H4408="","",生产加工!$C7)</f>
        <v>农业</v>
      </c>
      <c r="G4408" s="48" t="str">
        <f aca="false">IF($H4408="","",生产加工!$N7)</f>
        <v>林地施肥</v>
      </c>
      <c r="H4408" s="10" t="str">
        <f aca="false">IF($L4408="","",IF($L4408="@对方",生产加工!$K7,IF($L4408="@存货",生产加工!$Q7,$L4408)))</f>
        <v>生产成本</v>
      </c>
      <c r="I4408" s="42" t="n">
        <f aca="false">IF($M4408="借",$O4408,0)</f>
        <v>4488.89</v>
      </c>
      <c r="J4408" s="42" t="n">
        <f aca="false">IF($M4408="贷",$O4408,0)</f>
        <v>0</v>
      </c>
      <c r="K4408" s="48"/>
      <c r="L4408" s="66" t="str">
        <f aca="false">IF(生产加工!$E7="","",IFERROR(INDEX(记账规则!$A$36:$H$38,MATCH(生产加工!$E7,记账规则!$A$36:$A$38,0),3),""))</f>
        <v>生产成本</v>
      </c>
      <c r="M4408" s="66" t="str">
        <f aca="false">IF($L4408="","",IFERROR(INDEX(记账规则!$A$36:$H$38,MATCH(生产加工!$E7,记账规则!$A$36:$A$38,0),4),""))</f>
        <v>借</v>
      </c>
      <c r="N4408" s="66" t="str">
        <f aca="false">IF($L4408="","",IFERROR(INDEX(记账规则!$A$36:$H$38,MATCH(生产加工!$E7,记账规则!$A$36:$A$38,0),5),""))</f>
        <v>记账金额</v>
      </c>
      <c r="O4408" s="67" t="n">
        <f aca="false">IF($H4408="",0,ROUND(IF($N4408="记账金额",N(生产加工!$U7),0),2))</f>
        <v>4488.89</v>
      </c>
      <c r="P4408" s="64" t="str">
        <f aca="false">IF(AND($H4408&lt;&gt;"",ROUND($O4408,2)&lt;&gt;0),"有","")</f>
        <v>有</v>
      </c>
    </row>
    <row r="4409" customFormat="false" ht="15" hidden="false" customHeight="false" outlineLevel="0" collapsed="false">
      <c r="A4409" s="53" t="n">
        <f aca="false">IF($H4409="","",ROW()-5)</f>
        <v>4404</v>
      </c>
      <c r="B4409" s="64" t="s">
        <v>38</v>
      </c>
      <c r="C4409" s="53" t="n">
        <v>7</v>
      </c>
      <c r="D4409" s="53" t="n">
        <v>2</v>
      </c>
      <c r="E4409" s="65" t="n">
        <f aca="false">IF($H4409="","",生产加工!$B7)</f>
        <v>46162</v>
      </c>
      <c r="F4409" s="55" t="str">
        <f aca="false">IF($H4409="","",生产加工!$C7)</f>
        <v>农业</v>
      </c>
      <c r="G4409" s="48" t="str">
        <f aca="false">IF($H4409="","",生产加工!$N7)</f>
        <v>林地施肥</v>
      </c>
      <c r="H4409" s="10" t="str">
        <f aca="false">IF($L4409="","",IF($L4409="@对方",生产加工!$K7,IF($L4409="@存货",生产加工!$Q7,$L4409)))</f>
        <v>原材料</v>
      </c>
      <c r="I4409" s="42" t="n">
        <f aca="false">IF($M4409="借",$O4409,0)</f>
        <v>0</v>
      </c>
      <c r="J4409" s="42" t="n">
        <f aca="false">IF($M4409="贷",$O4409,0)</f>
        <v>4488.89</v>
      </c>
      <c r="K4409" s="48"/>
      <c r="L4409" s="66" t="str">
        <f aca="false">IF(生产加工!$E7="","",IFERROR(INDEX(记账规则!$A$36:$H$38,MATCH(生产加工!$E7,记账规则!$A$36:$A$38,0),6),""))</f>
        <v>@存货</v>
      </c>
      <c r="M4409" s="66" t="str">
        <f aca="false">IF($L4409="","",IFERROR(INDEX(记账规则!$A$36:$H$38,MATCH(生产加工!$E7,记账规则!$A$36:$A$38,0),7),""))</f>
        <v>贷</v>
      </c>
      <c r="N4409" s="66" t="str">
        <f aca="false">IF($L4409="","",IFERROR(INDEX(记账规则!$A$36:$H$38,MATCH(生产加工!$E7,记账规则!$A$36:$A$38,0),8),""))</f>
        <v>记账金额</v>
      </c>
      <c r="O4409" s="67" t="n">
        <f aca="false">IF($H4409="",0,ROUND(IF($N4409="记账金额",N(生产加工!$U7),0),2))</f>
        <v>4488.89</v>
      </c>
      <c r="P4409" s="64" t="str">
        <f aca="false">IF(AND($H4409&lt;&gt;"",ROUND($O4409,2)&lt;&gt;0),"有","")</f>
        <v>有</v>
      </c>
    </row>
    <row r="4410" customFormat="false" ht="15" hidden="false" customHeight="false" outlineLevel="0" collapsed="false">
      <c r="A4410" s="53" t="n">
        <f aca="false">IF($H4410="","",ROW()-5)</f>
        <v>4405</v>
      </c>
      <c r="B4410" s="64" t="s">
        <v>38</v>
      </c>
      <c r="C4410" s="53" t="n">
        <v>8</v>
      </c>
      <c r="D4410" s="53" t="n">
        <v>1</v>
      </c>
      <c r="E4410" s="65" t="n">
        <f aca="false">IF($H4410="","",生产加工!$B8)</f>
        <v>46173</v>
      </c>
      <c r="F4410" s="55" t="str">
        <f aca="false">IF($H4410="","",生产加工!$C8)</f>
        <v>农业</v>
      </c>
      <c r="G4410" s="48" t="str">
        <f aca="false">IF($H4410="","",生产加工!$N8)</f>
        <v>造林抚育及采伐人工</v>
      </c>
      <c r="H4410" s="10" t="str">
        <f aca="false">IF($L4410="","",IF($L4410="@对方",生产加工!$K8,IF($L4410="@存货",生产加工!$Q8,$L4410)))</f>
        <v>生产成本</v>
      </c>
      <c r="I4410" s="42" t="n">
        <f aca="false">IF($M4410="借",$O4410,0)</f>
        <v>68000</v>
      </c>
      <c r="J4410" s="42" t="n">
        <f aca="false">IF($M4410="贷",$O4410,0)</f>
        <v>0</v>
      </c>
      <c r="K4410" s="48"/>
      <c r="L4410" s="66" t="str">
        <f aca="false">IF(生产加工!$E8="","",IFERROR(INDEX(记账规则!$A$36:$H$38,MATCH(生产加工!$E8,记账规则!$A$36:$A$38,0),3),""))</f>
        <v>生产成本</v>
      </c>
      <c r="M4410" s="66" t="str">
        <f aca="false">IF($L4410="","",IFERROR(INDEX(记账规则!$A$36:$H$38,MATCH(生产加工!$E8,记账规则!$A$36:$A$38,0),4),""))</f>
        <v>借</v>
      </c>
      <c r="N4410" s="66" t="str">
        <f aca="false">IF($L4410="","",IFERROR(INDEX(记账规则!$A$36:$H$38,MATCH(生产加工!$E8,记账规则!$A$36:$A$38,0),5),""))</f>
        <v>记账金额</v>
      </c>
      <c r="O4410" s="67" t="n">
        <f aca="false">IF($H4410="",0,ROUND(IF($N4410="记账金额",N(生产加工!$U8),0),2))</f>
        <v>68000</v>
      </c>
      <c r="P4410" s="64" t="str">
        <f aca="false">IF(AND($H4410&lt;&gt;"",ROUND($O4410,2)&lt;&gt;0),"有","")</f>
        <v>有</v>
      </c>
    </row>
    <row r="4411" customFormat="false" ht="15" hidden="false" customHeight="false" outlineLevel="0" collapsed="false">
      <c r="A4411" s="53" t="n">
        <f aca="false">IF($H4411="","",ROW()-5)</f>
        <v>4406</v>
      </c>
      <c r="B4411" s="64" t="s">
        <v>38</v>
      </c>
      <c r="C4411" s="53" t="n">
        <v>8</v>
      </c>
      <c r="D4411" s="53" t="n">
        <v>2</v>
      </c>
      <c r="E4411" s="65" t="n">
        <f aca="false">IF($H4411="","",生产加工!$B8)</f>
        <v>46173</v>
      </c>
      <c r="F4411" s="55" t="str">
        <f aca="false">IF($H4411="","",生产加工!$C8)</f>
        <v>农业</v>
      </c>
      <c r="G4411" s="48" t="str">
        <f aca="false">IF($H4411="","",生产加工!$N8)</f>
        <v>造林抚育及采伐人工</v>
      </c>
      <c r="H4411" s="10" t="str">
        <f aca="false">IF($L4411="","",IF($L4411="@对方",生产加工!$K8,IF($L4411="@存货",生产加工!$Q8,$L4411)))</f>
        <v>应付职工薪酬</v>
      </c>
      <c r="I4411" s="42" t="n">
        <f aca="false">IF($M4411="借",$O4411,0)</f>
        <v>0</v>
      </c>
      <c r="J4411" s="42" t="n">
        <f aca="false">IF($M4411="贷",$O4411,0)</f>
        <v>68000</v>
      </c>
      <c r="K4411" s="48"/>
      <c r="L4411" s="66" t="str">
        <f aca="false">IF(生产加工!$E8="","",IFERROR(INDEX(记账规则!$A$36:$H$38,MATCH(生产加工!$E8,记账规则!$A$36:$A$38,0),6),""))</f>
        <v>@对方</v>
      </c>
      <c r="M4411" s="66" t="str">
        <f aca="false">IF($L4411="","",IFERROR(INDEX(记账规则!$A$36:$H$38,MATCH(生产加工!$E8,记账规则!$A$36:$A$38,0),7),""))</f>
        <v>贷</v>
      </c>
      <c r="N4411" s="66" t="str">
        <f aca="false">IF($L4411="","",IFERROR(INDEX(记账规则!$A$36:$H$38,MATCH(生产加工!$E8,记账规则!$A$36:$A$38,0),8),""))</f>
        <v>记账金额</v>
      </c>
      <c r="O4411" s="67" t="n">
        <f aca="false">IF($H4411="",0,ROUND(IF($N4411="记账金额",N(生产加工!$U8),0),2))</f>
        <v>68000</v>
      </c>
      <c r="P4411" s="64" t="str">
        <f aca="false">IF(AND($H4411&lt;&gt;"",ROUND($O4411,2)&lt;&gt;0),"有","")</f>
        <v>有</v>
      </c>
    </row>
    <row r="4412" customFormat="false" ht="15" hidden="false" customHeight="false" outlineLevel="0" collapsed="false">
      <c r="A4412" s="53" t="n">
        <f aca="false">IF($H4412="","",ROW()-5)</f>
        <v>4407</v>
      </c>
      <c r="B4412" s="64" t="s">
        <v>38</v>
      </c>
      <c r="C4412" s="53" t="n">
        <v>9</v>
      </c>
      <c r="D4412" s="53" t="n">
        <v>1</v>
      </c>
      <c r="E4412" s="65" t="n">
        <f aca="false">IF($H4412="","",生产加工!$B9)</f>
        <v>46173</v>
      </c>
      <c r="F4412" s="55" t="str">
        <f aca="false">IF($H4412="","",生产加工!$C9)</f>
        <v>农业</v>
      </c>
      <c r="G4412" s="48" t="str">
        <f aca="false">IF($H4412="","",生产加工!$N9)</f>
        <v>采伐运输费</v>
      </c>
      <c r="H4412" s="10" t="str">
        <f aca="false">IF($L4412="","",IF($L4412="@对方",生产加工!$K9,IF($L4412="@存货",生产加工!$Q9,$L4412)))</f>
        <v>生产成本</v>
      </c>
      <c r="I4412" s="42" t="n">
        <f aca="false">IF($M4412="借",$O4412,0)</f>
        <v>25000</v>
      </c>
      <c r="J4412" s="42" t="n">
        <f aca="false">IF($M4412="贷",$O4412,0)</f>
        <v>0</v>
      </c>
      <c r="K4412" s="48"/>
      <c r="L4412" s="66" t="str">
        <f aca="false">IF(生产加工!$E9="","",IFERROR(INDEX(记账规则!$A$36:$H$38,MATCH(生产加工!$E9,记账规则!$A$36:$A$38,0),3),""))</f>
        <v>生产成本</v>
      </c>
      <c r="M4412" s="66" t="str">
        <f aca="false">IF($L4412="","",IFERROR(INDEX(记账规则!$A$36:$H$38,MATCH(生产加工!$E9,记账规则!$A$36:$A$38,0),4),""))</f>
        <v>借</v>
      </c>
      <c r="N4412" s="66" t="str">
        <f aca="false">IF($L4412="","",IFERROR(INDEX(记账规则!$A$36:$H$38,MATCH(生产加工!$E9,记账规则!$A$36:$A$38,0),5),""))</f>
        <v>记账金额</v>
      </c>
      <c r="O4412" s="67" t="n">
        <f aca="false">IF($H4412="",0,ROUND(IF($N4412="记账金额",N(生产加工!$U9),0),2))</f>
        <v>25000</v>
      </c>
      <c r="P4412" s="64" t="str">
        <f aca="false">IF(AND($H4412&lt;&gt;"",ROUND($O4412,2)&lt;&gt;0),"有","")</f>
        <v>有</v>
      </c>
    </row>
    <row r="4413" customFormat="false" ht="15" hidden="false" customHeight="false" outlineLevel="0" collapsed="false">
      <c r="A4413" s="53" t="n">
        <f aca="false">IF($H4413="","",ROW()-5)</f>
        <v>4408</v>
      </c>
      <c r="B4413" s="64" t="s">
        <v>38</v>
      </c>
      <c r="C4413" s="53" t="n">
        <v>9</v>
      </c>
      <c r="D4413" s="53" t="n">
        <v>2</v>
      </c>
      <c r="E4413" s="65" t="n">
        <f aca="false">IF($H4413="","",生产加工!$B9)</f>
        <v>46173</v>
      </c>
      <c r="F4413" s="55" t="str">
        <f aca="false">IF($H4413="","",生产加工!$C9)</f>
        <v>农业</v>
      </c>
      <c r="G4413" s="48" t="str">
        <f aca="false">IF($H4413="","",生产加工!$N9)</f>
        <v>采伐运输费</v>
      </c>
      <c r="H4413" s="10" t="str">
        <f aca="false">IF($L4413="","",IF($L4413="@对方",生产加工!$K9,IF($L4413="@存货",生产加工!$Q9,$L4413)))</f>
        <v>应付账款</v>
      </c>
      <c r="I4413" s="42" t="n">
        <f aca="false">IF($M4413="借",$O4413,0)</f>
        <v>0</v>
      </c>
      <c r="J4413" s="42" t="n">
        <f aca="false">IF($M4413="贷",$O4413,0)</f>
        <v>25000</v>
      </c>
      <c r="K4413" s="48"/>
      <c r="L4413" s="66" t="str">
        <f aca="false">IF(生产加工!$E9="","",IFERROR(INDEX(记账规则!$A$36:$H$38,MATCH(生产加工!$E9,记账规则!$A$36:$A$38,0),6),""))</f>
        <v>@对方</v>
      </c>
      <c r="M4413" s="66" t="str">
        <f aca="false">IF($L4413="","",IFERROR(INDEX(记账规则!$A$36:$H$38,MATCH(生产加工!$E9,记账规则!$A$36:$A$38,0),7),""))</f>
        <v>贷</v>
      </c>
      <c r="N4413" s="66" t="str">
        <f aca="false">IF($L4413="","",IFERROR(INDEX(记账规则!$A$36:$H$38,MATCH(生产加工!$E9,记账规则!$A$36:$A$38,0),8),""))</f>
        <v>记账金额</v>
      </c>
      <c r="O4413" s="67" t="n">
        <f aca="false">IF($H4413="",0,ROUND(IF($N4413="记账金额",N(生产加工!$U9),0),2))</f>
        <v>25000</v>
      </c>
      <c r="P4413" s="64" t="str">
        <f aca="false">IF(AND($H4413&lt;&gt;"",ROUND($O4413,2)&lt;&gt;0),"有","")</f>
        <v>有</v>
      </c>
    </row>
    <row r="4414" customFormat="false" ht="15" hidden="false" customHeight="false" outlineLevel="0" collapsed="false">
      <c r="A4414" s="53" t="n">
        <f aca="false">IF($H4414="","",ROW()-5)</f>
        <v>4409</v>
      </c>
      <c r="B4414" s="64" t="s">
        <v>38</v>
      </c>
      <c r="C4414" s="53" t="n">
        <v>10</v>
      </c>
      <c r="D4414" s="53" t="n">
        <v>1</v>
      </c>
      <c r="E4414" s="65" t="n">
        <f aca="false">IF($H4414="","",生产加工!$B10)</f>
        <v>46188</v>
      </c>
      <c r="F4414" s="55" t="str">
        <f aca="false">IF($H4414="","",生产加工!$C10)</f>
        <v>农业</v>
      </c>
      <c r="G4414" s="48" t="str">
        <f aca="false">IF($H4414="","",生产加工!$N10)</f>
        <v>原木入库</v>
      </c>
      <c r="H4414" s="10" t="str">
        <f aca="false">IF($L4414="","",IF($L4414="@对方",生产加工!$K10,IF($L4414="@存货",生产加工!$Q10,$L4414)))</f>
        <v>库存商品</v>
      </c>
      <c r="I4414" s="42" t="n">
        <f aca="false">IF($M4414="借",$O4414,0)</f>
        <v>105288.89</v>
      </c>
      <c r="J4414" s="42" t="n">
        <f aca="false">IF($M4414="贷",$O4414,0)</f>
        <v>0</v>
      </c>
      <c r="K4414" s="48"/>
      <c r="L4414" s="66" t="str">
        <f aca="false">IF(生产加工!$E10="","",IFERROR(INDEX(记账规则!$A$36:$H$38,MATCH(生产加工!$E10,记账规则!$A$36:$A$38,0),3),""))</f>
        <v>@存货</v>
      </c>
      <c r="M4414" s="66" t="str">
        <f aca="false">IF($L4414="","",IFERROR(INDEX(记账规则!$A$36:$H$38,MATCH(生产加工!$E10,记账规则!$A$36:$A$38,0),4),""))</f>
        <v>借</v>
      </c>
      <c r="N4414" s="66" t="str">
        <f aca="false">IF($L4414="","",IFERROR(INDEX(记账规则!$A$36:$H$38,MATCH(生产加工!$E10,记账规则!$A$36:$A$38,0),5),""))</f>
        <v>记账金额</v>
      </c>
      <c r="O4414" s="67" t="n">
        <f aca="false">IF($H4414="",0,ROUND(IF($N4414="记账金额",N(生产加工!$U10),0),2))</f>
        <v>105288.89</v>
      </c>
      <c r="P4414" s="64" t="str">
        <f aca="false">IF(AND($H4414&lt;&gt;"",ROUND($O4414,2)&lt;&gt;0),"有","")</f>
        <v>有</v>
      </c>
    </row>
    <row r="4415" customFormat="false" ht="15" hidden="false" customHeight="false" outlineLevel="0" collapsed="false">
      <c r="A4415" s="53" t="n">
        <f aca="false">IF($H4415="","",ROW()-5)</f>
        <v>4410</v>
      </c>
      <c r="B4415" s="64" t="s">
        <v>38</v>
      </c>
      <c r="C4415" s="53" t="n">
        <v>10</v>
      </c>
      <c r="D4415" s="53" t="n">
        <v>2</v>
      </c>
      <c r="E4415" s="65" t="n">
        <f aca="false">IF($H4415="","",生产加工!$B10)</f>
        <v>46188</v>
      </c>
      <c r="F4415" s="55" t="str">
        <f aca="false">IF($H4415="","",生产加工!$C10)</f>
        <v>农业</v>
      </c>
      <c r="G4415" s="48" t="str">
        <f aca="false">IF($H4415="","",生产加工!$N10)</f>
        <v>原木入库</v>
      </c>
      <c r="H4415" s="10" t="str">
        <f aca="false">IF($L4415="","",IF($L4415="@对方",生产加工!$K10,IF($L4415="@存货",生产加工!$Q10,$L4415)))</f>
        <v>生产成本</v>
      </c>
      <c r="I4415" s="42" t="n">
        <f aca="false">IF($M4415="借",$O4415,0)</f>
        <v>0</v>
      </c>
      <c r="J4415" s="42" t="n">
        <f aca="false">IF($M4415="贷",$O4415,0)</f>
        <v>105288.89</v>
      </c>
      <c r="K4415" s="48"/>
      <c r="L4415" s="66" t="str">
        <f aca="false">IF(生产加工!$E10="","",IFERROR(INDEX(记账规则!$A$36:$H$38,MATCH(生产加工!$E10,记账规则!$A$36:$A$38,0),6),""))</f>
        <v>生产成本</v>
      </c>
      <c r="M4415" s="66" t="str">
        <f aca="false">IF($L4415="","",IFERROR(INDEX(记账规则!$A$36:$H$38,MATCH(生产加工!$E10,记账规则!$A$36:$A$38,0),7),""))</f>
        <v>贷</v>
      </c>
      <c r="N4415" s="66" t="str">
        <f aca="false">IF($L4415="","",IFERROR(INDEX(记账规则!$A$36:$H$38,MATCH(生产加工!$E10,记账规则!$A$36:$A$38,0),8),""))</f>
        <v>记账金额</v>
      </c>
      <c r="O4415" s="67" t="n">
        <f aca="false">IF($H4415="",0,ROUND(IF($N4415="记账金额",N(生产加工!$U10),0),2))</f>
        <v>105288.89</v>
      </c>
      <c r="P4415" s="64" t="str">
        <f aca="false">IF(AND($H4415&lt;&gt;"",ROUND($O4415,2)&lt;&gt;0),"有","")</f>
        <v>有</v>
      </c>
    </row>
    <row r="4416" customFormat="false" ht="15" hidden="false" customHeight="false" outlineLevel="0" collapsed="false">
      <c r="A4416" s="53" t="n">
        <f aca="false">IF($H4416="","",ROW()-5)</f>
        <v>4411</v>
      </c>
      <c r="B4416" s="64" t="s">
        <v>38</v>
      </c>
      <c r="C4416" s="53" t="n">
        <v>11</v>
      </c>
      <c r="D4416" s="53" t="n">
        <v>1</v>
      </c>
      <c r="E4416" s="65" t="n">
        <f aca="false">IF($H4416="","",生产加工!$B11)</f>
        <v>46132</v>
      </c>
      <c r="F4416" s="55" t="str">
        <f aca="false">IF($H4416="","",生产加工!$C11)</f>
        <v>农业</v>
      </c>
      <c r="G4416" s="48" t="str">
        <f aca="false">IF($H4416="","",生产加工!$N11)</f>
        <v>艾草地施肥</v>
      </c>
      <c r="H4416" s="10" t="str">
        <f aca="false">IF($L4416="","",IF($L4416="@对方",生产加工!$K11,IF($L4416="@存货",生产加工!$Q11,$L4416)))</f>
        <v>生产成本</v>
      </c>
      <c r="I4416" s="42" t="n">
        <f aca="false">IF($M4416="借",$O4416,0)</f>
        <v>4488.89</v>
      </c>
      <c r="J4416" s="42" t="n">
        <f aca="false">IF($M4416="贷",$O4416,0)</f>
        <v>0</v>
      </c>
      <c r="K4416" s="48"/>
      <c r="L4416" s="66" t="str">
        <f aca="false">IF(生产加工!$E11="","",IFERROR(INDEX(记账规则!$A$36:$H$38,MATCH(生产加工!$E11,记账规则!$A$36:$A$38,0),3),""))</f>
        <v>生产成本</v>
      </c>
      <c r="M4416" s="66" t="str">
        <f aca="false">IF($L4416="","",IFERROR(INDEX(记账规则!$A$36:$H$38,MATCH(生产加工!$E11,记账规则!$A$36:$A$38,0),4),""))</f>
        <v>借</v>
      </c>
      <c r="N4416" s="66" t="str">
        <f aca="false">IF($L4416="","",IFERROR(INDEX(记账规则!$A$36:$H$38,MATCH(生产加工!$E11,记账规则!$A$36:$A$38,0),5),""))</f>
        <v>记账金额</v>
      </c>
      <c r="O4416" s="67" t="n">
        <f aca="false">IF($H4416="",0,ROUND(IF($N4416="记账金额",N(生产加工!$U11),0),2))</f>
        <v>4488.89</v>
      </c>
      <c r="P4416" s="64" t="str">
        <f aca="false">IF(AND($H4416&lt;&gt;"",ROUND($O4416,2)&lt;&gt;0),"有","")</f>
        <v>有</v>
      </c>
    </row>
    <row r="4417" customFormat="false" ht="15" hidden="false" customHeight="false" outlineLevel="0" collapsed="false">
      <c r="A4417" s="53" t="n">
        <f aca="false">IF($H4417="","",ROW()-5)</f>
        <v>4412</v>
      </c>
      <c r="B4417" s="64" t="s">
        <v>38</v>
      </c>
      <c r="C4417" s="53" t="n">
        <v>11</v>
      </c>
      <c r="D4417" s="53" t="n">
        <v>2</v>
      </c>
      <c r="E4417" s="65" t="n">
        <f aca="false">IF($H4417="","",生产加工!$B11)</f>
        <v>46132</v>
      </c>
      <c r="F4417" s="55" t="str">
        <f aca="false">IF($H4417="","",生产加工!$C11)</f>
        <v>农业</v>
      </c>
      <c r="G4417" s="48" t="str">
        <f aca="false">IF($H4417="","",生产加工!$N11)</f>
        <v>艾草地施肥</v>
      </c>
      <c r="H4417" s="10" t="str">
        <f aca="false">IF($L4417="","",IF($L4417="@对方",生产加工!$K11,IF($L4417="@存货",生产加工!$Q11,$L4417)))</f>
        <v>原材料</v>
      </c>
      <c r="I4417" s="42" t="n">
        <f aca="false">IF($M4417="借",$O4417,0)</f>
        <v>0</v>
      </c>
      <c r="J4417" s="42" t="n">
        <f aca="false">IF($M4417="贷",$O4417,0)</f>
        <v>4488.89</v>
      </c>
      <c r="K4417" s="48"/>
      <c r="L4417" s="66" t="str">
        <f aca="false">IF(生产加工!$E11="","",IFERROR(INDEX(记账规则!$A$36:$H$38,MATCH(生产加工!$E11,记账规则!$A$36:$A$38,0),6),""))</f>
        <v>@存货</v>
      </c>
      <c r="M4417" s="66" t="str">
        <f aca="false">IF($L4417="","",IFERROR(INDEX(记账规则!$A$36:$H$38,MATCH(生产加工!$E11,记账规则!$A$36:$A$38,0),7),""))</f>
        <v>贷</v>
      </c>
      <c r="N4417" s="66" t="str">
        <f aca="false">IF($L4417="","",IFERROR(INDEX(记账规则!$A$36:$H$38,MATCH(生产加工!$E11,记账规则!$A$36:$A$38,0),8),""))</f>
        <v>记账金额</v>
      </c>
      <c r="O4417" s="67" t="n">
        <f aca="false">IF($H4417="",0,ROUND(IF($N4417="记账金额",N(生产加工!$U11),0),2))</f>
        <v>4488.89</v>
      </c>
      <c r="P4417" s="64" t="str">
        <f aca="false">IF(AND($H4417&lt;&gt;"",ROUND($O4417,2)&lt;&gt;0),"有","")</f>
        <v>有</v>
      </c>
    </row>
    <row r="4418" customFormat="false" ht="15" hidden="false" customHeight="false" outlineLevel="0" collapsed="false">
      <c r="A4418" s="53" t="n">
        <f aca="false">IF($H4418="","",ROW()-5)</f>
        <v>4413</v>
      </c>
      <c r="B4418" s="64" t="s">
        <v>38</v>
      </c>
      <c r="C4418" s="53" t="n">
        <v>12</v>
      </c>
      <c r="D4418" s="53" t="n">
        <v>1</v>
      </c>
      <c r="E4418" s="65" t="n">
        <f aca="false">IF($H4418="","",生产加工!$B12)</f>
        <v>46203</v>
      </c>
      <c r="F4418" s="55" t="str">
        <f aca="false">IF($H4418="","",生产加工!$C12)</f>
        <v>农业</v>
      </c>
      <c r="G4418" s="48" t="str">
        <f aca="false">IF($H4418="","",生产加工!$N12)</f>
        <v>艾草采收人工</v>
      </c>
      <c r="H4418" s="10" t="str">
        <f aca="false">IF($L4418="","",IF($L4418="@对方",生产加工!$K12,IF($L4418="@存货",生产加工!$Q12,$L4418)))</f>
        <v>生产成本</v>
      </c>
      <c r="I4418" s="42" t="n">
        <f aca="false">IF($M4418="借",$O4418,0)</f>
        <v>32000</v>
      </c>
      <c r="J4418" s="42" t="n">
        <f aca="false">IF($M4418="贷",$O4418,0)</f>
        <v>0</v>
      </c>
      <c r="K4418" s="48"/>
      <c r="L4418" s="66" t="str">
        <f aca="false">IF(生产加工!$E12="","",IFERROR(INDEX(记账规则!$A$36:$H$38,MATCH(生产加工!$E12,记账规则!$A$36:$A$38,0),3),""))</f>
        <v>生产成本</v>
      </c>
      <c r="M4418" s="66" t="str">
        <f aca="false">IF($L4418="","",IFERROR(INDEX(记账规则!$A$36:$H$38,MATCH(生产加工!$E12,记账规则!$A$36:$A$38,0),4),""))</f>
        <v>借</v>
      </c>
      <c r="N4418" s="66" t="str">
        <f aca="false">IF($L4418="","",IFERROR(INDEX(记账规则!$A$36:$H$38,MATCH(生产加工!$E12,记账规则!$A$36:$A$38,0),5),""))</f>
        <v>记账金额</v>
      </c>
      <c r="O4418" s="67" t="n">
        <f aca="false">IF($H4418="",0,ROUND(IF($N4418="记账金额",N(生产加工!$U12),0),2))</f>
        <v>32000</v>
      </c>
      <c r="P4418" s="64" t="str">
        <f aca="false">IF(AND($H4418&lt;&gt;"",ROUND($O4418,2)&lt;&gt;0),"有","")</f>
        <v>有</v>
      </c>
    </row>
    <row r="4419" customFormat="false" ht="15" hidden="false" customHeight="false" outlineLevel="0" collapsed="false">
      <c r="A4419" s="53" t="n">
        <f aca="false">IF($H4419="","",ROW()-5)</f>
        <v>4414</v>
      </c>
      <c r="B4419" s="64" t="s">
        <v>38</v>
      </c>
      <c r="C4419" s="53" t="n">
        <v>12</v>
      </c>
      <c r="D4419" s="53" t="n">
        <v>2</v>
      </c>
      <c r="E4419" s="65" t="n">
        <f aca="false">IF($H4419="","",生产加工!$B12)</f>
        <v>46203</v>
      </c>
      <c r="F4419" s="55" t="str">
        <f aca="false">IF($H4419="","",生产加工!$C12)</f>
        <v>农业</v>
      </c>
      <c r="G4419" s="48" t="str">
        <f aca="false">IF($H4419="","",生产加工!$N12)</f>
        <v>艾草采收人工</v>
      </c>
      <c r="H4419" s="10" t="str">
        <f aca="false">IF($L4419="","",IF($L4419="@对方",生产加工!$K12,IF($L4419="@存货",生产加工!$Q12,$L4419)))</f>
        <v>应付职工薪酬</v>
      </c>
      <c r="I4419" s="42" t="n">
        <f aca="false">IF($M4419="借",$O4419,0)</f>
        <v>0</v>
      </c>
      <c r="J4419" s="42" t="n">
        <f aca="false">IF($M4419="贷",$O4419,0)</f>
        <v>32000</v>
      </c>
      <c r="K4419" s="48"/>
      <c r="L4419" s="66" t="str">
        <f aca="false">IF(生产加工!$E12="","",IFERROR(INDEX(记账规则!$A$36:$H$38,MATCH(生产加工!$E12,记账规则!$A$36:$A$38,0),6),""))</f>
        <v>@对方</v>
      </c>
      <c r="M4419" s="66" t="str">
        <f aca="false">IF($L4419="","",IFERROR(INDEX(记账规则!$A$36:$H$38,MATCH(生产加工!$E12,记账规则!$A$36:$A$38,0),7),""))</f>
        <v>贷</v>
      </c>
      <c r="N4419" s="66" t="str">
        <f aca="false">IF($L4419="","",IFERROR(INDEX(记账规则!$A$36:$H$38,MATCH(生产加工!$E12,记账规则!$A$36:$A$38,0),8),""))</f>
        <v>记账金额</v>
      </c>
      <c r="O4419" s="67" t="n">
        <f aca="false">IF($H4419="",0,ROUND(IF($N4419="记账金额",N(生产加工!$U12),0),2))</f>
        <v>32000</v>
      </c>
      <c r="P4419" s="64" t="str">
        <f aca="false">IF(AND($H4419&lt;&gt;"",ROUND($O4419,2)&lt;&gt;0),"有","")</f>
        <v>有</v>
      </c>
    </row>
    <row r="4420" customFormat="false" ht="15" hidden="false" customHeight="false" outlineLevel="0" collapsed="false">
      <c r="A4420" s="53" t="n">
        <f aca="false">IF($H4420="","",ROW()-5)</f>
        <v>4415</v>
      </c>
      <c r="B4420" s="64" t="s">
        <v>38</v>
      </c>
      <c r="C4420" s="53" t="n">
        <v>13</v>
      </c>
      <c r="D4420" s="53" t="n">
        <v>1</v>
      </c>
      <c r="E4420" s="65" t="n">
        <f aca="false">IF($H4420="","",生产加工!$B13)</f>
        <v>46203</v>
      </c>
      <c r="F4420" s="55" t="str">
        <f aca="false">IF($H4420="","",生产加工!$C13)</f>
        <v>农业</v>
      </c>
      <c r="G4420" s="48" t="str">
        <f aca="false">IF($H4420="","",生产加工!$N13)</f>
        <v>湿艾草入库</v>
      </c>
      <c r="H4420" s="10" t="str">
        <f aca="false">IF($L4420="","",IF($L4420="@对方",生产加工!$K13,IF($L4420="@存货",生产加工!$Q13,$L4420)))</f>
        <v>库存商品</v>
      </c>
      <c r="I4420" s="42" t="n">
        <f aca="false">IF($M4420="借",$O4420,0)</f>
        <v>36488.89</v>
      </c>
      <c r="J4420" s="42" t="n">
        <f aca="false">IF($M4420="贷",$O4420,0)</f>
        <v>0</v>
      </c>
      <c r="K4420" s="48"/>
      <c r="L4420" s="66" t="str">
        <f aca="false">IF(生产加工!$E13="","",IFERROR(INDEX(记账规则!$A$36:$H$38,MATCH(生产加工!$E13,记账规则!$A$36:$A$38,0),3),""))</f>
        <v>@存货</v>
      </c>
      <c r="M4420" s="66" t="str">
        <f aca="false">IF($L4420="","",IFERROR(INDEX(记账规则!$A$36:$H$38,MATCH(生产加工!$E13,记账规则!$A$36:$A$38,0),4),""))</f>
        <v>借</v>
      </c>
      <c r="N4420" s="66" t="str">
        <f aca="false">IF($L4420="","",IFERROR(INDEX(记账规则!$A$36:$H$38,MATCH(生产加工!$E13,记账规则!$A$36:$A$38,0),5),""))</f>
        <v>记账金额</v>
      </c>
      <c r="O4420" s="67" t="n">
        <f aca="false">IF($H4420="",0,ROUND(IF($N4420="记账金额",N(生产加工!$U13),0),2))</f>
        <v>36488.89</v>
      </c>
      <c r="P4420" s="64" t="str">
        <f aca="false">IF(AND($H4420&lt;&gt;"",ROUND($O4420,2)&lt;&gt;0),"有","")</f>
        <v>有</v>
      </c>
    </row>
    <row r="4421" customFormat="false" ht="15" hidden="false" customHeight="false" outlineLevel="0" collapsed="false">
      <c r="A4421" s="53" t="n">
        <f aca="false">IF($H4421="","",ROW()-5)</f>
        <v>4416</v>
      </c>
      <c r="B4421" s="64" t="s">
        <v>38</v>
      </c>
      <c r="C4421" s="53" t="n">
        <v>13</v>
      </c>
      <c r="D4421" s="53" t="n">
        <v>2</v>
      </c>
      <c r="E4421" s="65" t="n">
        <f aca="false">IF($H4421="","",生产加工!$B13)</f>
        <v>46203</v>
      </c>
      <c r="F4421" s="55" t="str">
        <f aca="false">IF($H4421="","",生产加工!$C13)</f>
        <v>农业</v>
      </c>
      <c r="G4421" s="48" t="str">
        <f aca="false">IF($H4421="","",生产加工!$N13)</f>
        <v>湿艾草入库</v>
      </c>
      <c r="H4421" s="10" t="str">
        <f aca="false">IF($L4421="","",IF($L4421="@对方",生产加工!$K13,IF($L4421="@存货",生产加工!$Q13,$L4421)))</f>
        <v>生产成本</v>
      </c>
      <c r="I4421" s="42" t="n">
        <f aca="false">IF($M4421="借",$O4421,0)</f>
        <v>0</v>
      </c>
      <c r="J4421" s="42" t="n">
        <f aca="false">IF($M4421="贷",$O4421,0)</f>
        <v>36488.89</v>
      </c>
      <c r="K4421" s="48"/>
      <c r="L4421" s="66" t="str">
        <f aca="false">IF(生产加工!$E13="","",IFERROR(INDEX(记账规则!$A$36:$H$38,MATCH(生产加工!$E13,记账规则!$A$36:$A$38,0),6),""))</f>
        <v>生产成本</v>
      </c>
      <c r="M4421" s="66" t="str">
        <f aca="false">IF($L4421="","",IFERROR(INDEX(记账规则!$A$36:$H$38,MATCH(生产加工!$E13,记账规则!$A$36:$A$38,0),7),""))</f>
        <v>贷</v>
      </c>
      <c r="N4421" s="66" t="str">
        <f aca="false">IF($L4421="","",IFERROR(INDEX(记账规则!$A$36:$H$38,MATCH(生产加工!$E13,记账规则!$A$36:$A$38,0),8),""))</f>
        <v>记账金额</v>
      </c>
      <c r="O4421" s="67" t="n">
        <f aca="false">IF($H4421="",0,ROUND(IF($N4421="记账金额",N(生产加工!$U13),0),2))</f>
        <v>36488.89</v>
      </c>
      <c r="P4421" s="64" t="str">
        <f aca="false">IF(AND($H4421&lt;&gt;"",ROUND($O4421,2)&lt;&gt;0),"有","")</f>
        <v>有</v>
      </c>
    </row>
    <row r="4422" customFormat="false" ht="15" hidden="false" customHeight="false" outlineLevel="0" collapsed="false">
      <c r="A4422" s="53" t="n">
        <f aca="false">IF($H4422="","",ROW()-5)</f>
        <v>4417</v>
      </c>
      <c r="B4422" s="64" t="s">
        <v>38</v>
      </c>
      <c r="C4422" s="53" t="n">
        <v>14</v>
      </c>
      <c r="D4422" s="53" t="n">
        <v>1</v>
      </c>
      <c r="E4422" s="65" t="n">
        <f aca="false">IF($H4422="","",生产加工!$B14)</f>
        <v>46208</v>
      </c>
      <c r="F4422" s="55" t="str">
        <f aca="false">IF($H4422="","",生产加工!$C14)</f>
        <v>农业</v>
      </c>
      <c r="G4422" s="48" t="str">
        <f aca="false">IF($H4422="","",生产加工!$N14)</f>
        <v>湿艾草投入烘干</v>
      </c>
      <c r="H4422" s="10" t="str">
        <f aca="false">IF($L4422="","",IF($L4422="@对方",生产加工!$K14,IF($L4422="@存货",生产加工!$Q14,$L4422)))</f>
        <v>生产成本</v>
      </c>
      <c r="I4422" s="42" t="n">
        <f aca="false">IF($M4422="借",$O4422,0)</f>
        <v>36488.89</v>
      </c>
      <c r="J4422" s="42" t="n">
        <f aca="false">IF($M4422="贷",$O4422,0)</f>
        <v>0</v>
      </c>
      <c r="K4422" s="48"/>
      <c r="L4422" s="66" t="str">
        <f aca="false">IF(生产加工!$E14="","",IFERROR(INDEX(记账规则!$A$36:$H$38,MATCH(生产加工!$E14,记账规则!$A$36:$A$38,0),3),""))</f>
        <v>生产成本</v>
      </c>
      <c r="M4422" s="66" t="str">
        <f aca="false">IF($L4422="","",IFERROR(INDEX(记账规则!$A$36:$H$38,MATCH(生产加工!$E14,记账规则!$A$36:$A$38,0),4),""))</f>
        <v>借</v>
      </c>
      <c r="N4422" s="66" t="str">
        <f aca="false">IF($L4422="","",IFERROR(INDEX(记账规则!$A$36:$H$38,MATCH(生产加工!$E14,记账规则!$A$36:$A$38,0),5),""))</f>
        <v>记账金额</v>
      </c>
      <c r="O4422" s="67" t="n">
        <f aca="false">IF($H4422="",0,ROUND(IF($N4422="记账金额",N(生产加工!$U14),0),2))</f>
        <v>36488.89</v>
      </c>
      <c r="P4422" s="64" t="str">
        <f aca="false">IF(AND($H4422&lt;&gt;"",ROUND($O4422,2)&lt;&gt;0),"有","")</f>
        <v>有</v>
      </c>
    </row>
    <row r="4423" customFormat="false" ht="15" hidden="false" customHeight="false" outlineLevel="0" collapsed="false">
      <c r="A4423" s="53" t="n">
        <f aca="false">IF($H4423="","",ROW()-5)</f>
        <v>4418</v>
      </c>
      <c r="B4423" s="64" t="s">
        <v>38</v>
      </c>
      <c r="C4423" s="53" t="n">
        <v>14</v>
      </c>
      <c r="D4423" s="53" t="n">
        <v>2</v>
      </c>
      <c r="E4423" s="65" t="n">
        <f aca="false">IF($H4423="","",生产加工!$B14)</f>
        <v>46208</v>
      </c>
      <c r="F4423" s="55" t="str">
        <f aca="false">IF($H4423="","",生产加工!$C14)</f>
        <v>农业</v>
      </c>
      <c r="G4423" s="48" t="str">
        <f aca="false">IF($H4423="","",生产加工!$N14)</f>
        <v>湿艾草投入烘干</v>
      </c>
      <c r="H4423" s="10" t="str">
        <f aca="false">IF($L4423="","",IF($L4423="@对方",生产加工!$K14,IF($L4423="@存货",生产加工!$Q14,$L4423)))</f>
        <v>库存商品</v>
      </c>
      <c r="I4423" s="42" t="n">
        <f aca="false">IF($M4423="借",$O4423,0)</f>
        <v>0</v>
      </c>
      <c r="J4423" s="42" t="n">
        <f aca="false">IF($M4423="贷",$O4423,0)</f>
        <v>36488.89</v>
      </c>
      <c r="K4423" s="48"/>
      <c r="L4423" s="66" t="str">
        <f aca="false">IF(生产加工!$E14="","",IFERROR(INDEX(记账规则!$A$36:$H$38,MATCH(生产加工!$E14,记账规则!$A$36:$A$38,0),6),""))</f>
        <v>@存货</v>
      </c>
      <c r="M4423" s="66" t="str">
        <f aca="false">IF($L4423="","",IFERROR(INDEX(记账规则!$A$36:$H$38,MATCH(生产加工!$E14,记账规则!$A$36:$A$38,0),7),""))</f>
        <v>贷</v>
      </c>
      <c r="N4423" s="66" t="str">
        <f aca="false">IF($L4423="","",IFERROR(INDEX(记账规则!$A$36:$H$38,MATCH(生产加工!$E14,记账规则!$A$36:$A$38,0),8),""))</f>
        <v>记账金额</v>
      </c>
      <c r="O4423" s="67" t="n">
        <f aca="false">IF($H4423="",0,ROUND(IF($N4423="记账金额",N(生产加工!$U14),0),2))</f>
        <v>36488.89</v>
      </c>
      <c r="P4423" s="64" t="str">
        <f aca="false">IF(AND($H4423&lt;&gt;"",ROUND($O4423,2)&lt;&gt;0),"有","")</f>
        <v>有</v>
      </c>
    </row>
    <row r="4424" customFormat="false" ht="15" hidden="false" customHeight="false" outlineLevel="0" collapsed="false">
      <c r="A4424" s="53" t="n">
        <f aca="false">IF($H4424="","",ROW()-5)</f>
        <v>4419</v>
      </c>
      <c r="B4424" s="64" t="s">
        <v>38</v>
      </c>
      <c r="C4424" s="53" t="n">
        <v>15</v>
      </c>
      <c r="D4424" s="53" t="n">
        <v>1</v>
      </c>
      <c r="E4424" s="65" t="n">
        <f aca="false">IF($H4424="","",生产加工!$B15)</f>
        <v>46208</v>
      </c>
      <c r="F4424" s="55" t="str">
        <f aca="false">IF($H4424="","",生产加工!$C15)</f>
        <v>农业</v>
      </c>
      <c r="G4424" s="48" t="str">
        <f aca="false">IF($H4424="","",生产加工!$N15)</f>
        <v>烘干燃料电费</v>
      </c>
      <c r="H4424" s="10" t="str">
        <f aca="false">IF($L4424="","",IF($L4424="@对方",生产加工!$K15,IF($L4424="@存货",生产加工!$Q15,$L4424)))</f>
        <v>生产成本</v>
      </c>
      <c r="I4424" s="42" t="n">
        <f aca="false">IF($M4424="借",$O4424,0)</f>
        <v>14000</v>
      </c>
      <c r="J4424" s="42" t="n">
        <f aca="false">IF($M4424="贷",$O4424,0)</f>
        <v>0</v>
      </c>
      <c r="K4424" s="48"/>
      <c r="L4424" s="66" t="str">
        <f aca="false">IF(生产加工!$E15="","",IFERROR(INDEX(记账规则!$A$36:$H$38,MATCH(生产加工!$E15,记账规则!$A$36:$A$38,0),3),""))</f>
        <v>生产成本</v>
      </c>
      <c r="M4424" s="66" t="str">
        <f aca="false">IF($L4424="","",IFERROR(INDEX(记账规则!$A$36:$H$38,MATCH(生产加工!$E15,记账规则!$A$36:$A$38,0),4),""))</f>
        <v>借</v>
      </c>
      <c r="N4424" s="66" t="str">
        <f aca="false">IF($L4424="","",IFERROR(INDEX(记账规则!$A$36:$H$38,MATCH(生产加工!$E15,记账规则!$A$36:$A$38,0),5),""))</f>
        <v>记账金额</v>
      </c>
      <c r="O4424" s="67" t="n">
        <f aca="false">IF($H4424="",0,ROUND(IF($N4424="记账金额",N(生产加工!$U15),0),2))</f>
        <v>14000</v>
      </c>
      <c r="P4424" s="64" t="str">
        <f aca="false">IF(AND($H4424&lt;&gt;"",ROUND($O4424,2)&lt;&gt;0),"有","")</f>
        <v>有</v>
      </c>
    </row>
    <row r="4425" customFormat="false" ht="15" hidden="false" customHeight="false" outlineLevel="0" collapsed="false">
      <c r="A4425" s="53" t="n">
        <f aca="false">IF($H4425="","",ROW()-5)</f>
        <v>4420</v>
      </c>
      <c r="B4425" s="64" t="s">
        <v>38</v>
      </c>
      <c r="C4425" s="53" t="n">
        <v>15</v>
      </c>
      <c r="D4425" s="53" t="n">
        <v>2</v>
      </c>
      <c r="E4425" s="65" t="n">
        <f aca="false">IF($H4425="","",生产加工!$B15)</f>
        <v>46208</v>
      </c>
      <c r="F4425" s="55" t="str">
        <f aca="false">IF($H4425="","",生产加工!$C15)</f>
        <v>农业</v>
      </c>
      <c r="G4425" s="48" t="str">
        <f aca="false">IF($H4425="","",生产加工!$N15)</f>
        <v>烘干燃料电费</v>
      </c>
      <c r="H4425" s="10" t="str">
        <f aca="false">IF($L4425="","",IF($L4425="@对方",生产加工!$K15,IF($L4425="@存货",生产加工!$Q15,$L4425)))</f>
        <v>应付账款</v>
      </c>
      <c r="I4425" s="42" t="n">
        <f aca="false">IF($M4425="借",$O4425,0)</f>
        <v>0</v>
      </c>
      <c r="J4425" s="42" t="n">
        <f aca="false">IF($M4425="贷",$O4425,0)</f>
        <v>14000</v>
      </c>
      <c r="K4425" s="48"/>
      <c r="L4425" s="66" t="str">
        <f aca="false">IF(生产加工!$E15="","",IFERROR(INDEX(记账规则!$A$36:$H$38,MATCH(生产加工!$E15,记账规则!$A$36:$A$38,0),6),""))</f>
        <v>@对方</v>
      </c>
      <c r="M4425" s="66" t="str">
        <f aca="false">IF($L4425="","",IFERROR(INDEX(记账规则!$A$36:$H$38,MATCH(生产加工!$E15,记账规则!$A$36:$A$38,0),7),""))</f>
        <v>贷</v>
      </c>
      <c r="N4425" s="66" t="str">
        <f aca="false">IF($L4425="","",IFERROR(INDEX(记账规则!$A$36:$H$38,MATCH(生产加工!$E15,记账规则!$A$36:$A$38,0),8),""))</f>
        <v>记账金额</v>
      </c>
      <c r="O4425" s="67" t="n">
        <f aca="false">IF($H4425="",0,ROUND(IF($N4425="记账金额",N(生产加工!$U15),0),2))</f>
        <v>14000</v>
      </c>
      <c r="P4425" s="64" t="str">
        <f aca="false">IF(AND($H4425&lt;&gt;"",ROUND($O4425,2)&lt;&gt;0),"有","")</f>
        <v>有</v>
      </c>
    </row>
    <row r="4426" customFormat="false" ht="15" hidden="false" customHeight="false" outlineLevel="0" collapsed="false">
      <c r="A4426" s="53" t="n">
        <f aca="false">IF($H4426="","",ROW()-5)</f>
        <v>4421</v>
      </c>
      <c r="B4426" s="64" t="s">
        <v>38</v>
      </c>
      <c r="C4426" s="53" t="n">
        <v>16</v>
      </c>
      <c r="D4426" s="53" t="n">
        <v>1</v>
      </c>
      <c r="E4426" s="65" t="n">
        <f aca="false">IF($H4426="","",生产加工!$B16)</f>
        <v>46213</v>
      </c>
      <c r="F4426" s="55" t="str">
        <f aca="false">IF($H4426="","",生产加工!$C16)</f>
        <v>农业</v>
      </c>
      <c r="G4426" s="48" t="str">
        <f aca="false">IF($H4426="","",生产加工!$N16)</f>
        <v>干艾草入库</v>
      </c>
      <c r="H4426" s="10" t="str">
        <f aca="false">IF($L4426="","",IF($L4426="@对方",生产加工!$K16,IF($L4426="@存货",生产加工!$Q16,$L4426)))</f>
        <v>库存商品</v>
      </c>
      <c r="I4426" s="42" t="n">
        <f aca="false">IF($M4426="借",$O4426,0)</f>
        <v>50488.89</v>
      </c>
      <c r="J4426" s="42" t="n">
        <f aca="false">IF($M4426="贷",$O4426,0)</f>
        <v>0</v>
      </c>
      <c r="K4426" s="48"/>
      <c r="L4426" s="66" t="str">
        <f aca="false">IF(生产加工!$E16="","",IFERROR(INDEX(记账规则!$A$36:$H$38,MATCH(生产加工!$E16,记账规则!$A$36:$A$38,0),3),""))</f>
        <v>@存货</v>
      </c>
      <c r="M4426" s="66" t="str">
        <f aca="false">IF($L4426="","",IFERROR(INDEX(记账规则!$A$36:$H$38,MATCH(生产加工!$E16,记账规则!$A$36:$A$38,0),4),""))</f>
        <v>借</v>
      </c>
      <c r="N4426" s="66" t="str">
        <f aca="false">IF($L4426="","",IFERROR(INDEX(记账规则!$A$36:$H$38,MATCH(生产加工!$E16,记账规则!$A$36:$A$38,0),5),""))</f>
        <v>记账金额</v>
      </c>
      <c r="O4426" s="67" t="n">
        <f aca="false">IF($H4426="",0,ROUND(IF($N4426="记账金额",N(生产加工!$U16),0),2))</f>
        <v>50488.89</v>
      </c>
      <c r="P4426" s="64" t="str">
        <f aca="false">IF(AND($H4426&lt;&gt;"",ROUND($O4426,2)&lt;&gt;0),"有","")</f>
        <v>有</v>
      </c>
    </row>
    <row r="4427" customFormat="false" ht="15" hidden="false" customHeight="false" outlineLevel="0" collapsed="false">
      <c r="A4427" s="53" t="n">
        <f aca="false">IF($H4427="","",ROW()-5)</f>
        <v>4422</v>
      </c>
      <c r="B4427" s="64" t="s">
        <v>38</v>
      </c>
      <c r="C4427" s="53" t="n">
        <v>16</v>
      </c>
      <c r="D4427" s="53" t="n">
        <v>2</v>
      </c>
      <c r="E4427" s="65" t="n">
        <f aca="false">IF($H4427="","",生产加工!$B16)</f>
        <v>46213</v>
      </c>
      <c r="F4427" s="55" t="str">
        <f aca="false">IF($H4427="","",生产加工!$C16)</f>
        <v>农业</v>
      </c>
      <c r="G4427" s="48" t="str">
        <f aca="false">IF($H4427="","",生产加工!$N16)</f>
        <v>干艾草入库</v>
      </c>
      <c r="H4427" s="10" t="str">
        <f aca="false">IF($L4427="","",IF($L4427="@对方",生产加工!$K16,IF($L4427="@存货",生产加工!$Q16,$L4427)))</f>
        <v>生产成本</v>
      </c>
      <c r="I4427" s="42" t="n">
        <f aca="false">IF($M4427="借",$O4427,0)</f>
        <v>0</v>
      </c>
      <c r="J4427" s="42" t="n">
        <f aca="false">IF($M4427="贷",$O4427,0)</f>
        <v>50488.89</v>
      </c>
      <c r="K4427" s="48"/>
      <c r="L4427" s="66" t="str">
        <f aca="false">IF(生产加工!$E16="","",IFERROR(INDEX(记账规则!$A$36:$H$38,MATCH(生产加工!$E16,记账规则!$A$36:$A$38,0),6),""))</f>
        <v>生产成本</v>
      </c>
      <c r="M4427" s="66" t="str">
        <f aca="false">IF($L4427="","",IFERROR(INDEX(记账规则!$A$36:$H$38,MATCH(生产加工!$E16,记账规则!$A$36:$A$38,0),7),""))</f>
        <v>贷</v>
      </c>
      <c r="N4427" s="66" t="str">
        <f aca="false">IF($L4427="","",IFERROR(INDEX(记账规则!$A$36:$H$38,MATCH(生产加工!$E16,记账规则!$A$36:$A$38,0),8),""))</f>
        <v>记账金额</v>
      </c>
      <c r="O4427" s="67" t="n">
        <f aca="false">IF($H4427="",0,ROUND(IF($N4427="记账金额",N(生产加工!$U16),0),2))</f>
        <v>50488.89</v>
      </c>
      <c r="P4427" s="64" t="str">
        <f aca="false">IF(AND($H4427&lt;&gt;"",ROUND($O4427,2)&lt;&gt;0),"有","")</f>
        <v>有</v>
      </c>
    </row>
    <row r="4428" customFormat="false" ht="15" hidden="false" customHeight="false" outlineLevel="0" collapsed="false">
      <c r="A4428" s="53" t="n">
        <f aca="false">IF($H4428="","",ROW()-5)</f>
        <v>4423</v>
      </c>
      <c r="B4428" s="64" t="s">
        <v>38</v>
      </c>
      <c r="C4428" s="53" t="n">
        <v>17</v>
      </c>
      <c r="D4428" s="53" t="n">
        <v>1</v>
      </c>
      <c r="E4428" s="65" t="n">
        <f aca="false">IF($H4428="","",生产加工!$B17)</f>
        <v>46198</v>
      </c>
      <c r="F4428" s="55" t="str">
        <f aca="false">IF($H4428="","",生产加工!$C17)</f>
        <v>木业</v>
      </c>
      <c r="G4428" s="48" t="str">
        <f aca="false">IF($H4428="","",生产加工!$N17)</f>
        <v>原木开料</v>
      </c>
      <c r="H4428" s="10" t="str">
        <f aca="false">IF($L4428="","",IF($L4428="@对方",生产加工!$K17,IF($L4428="@存货",生产加工!$Q17,$L4428)))</f>
        <v>生产成本</v>
      </c>
      <c r="I4428" s="42" t="n">
        <f aca="false">IF($M4428="借",$O4428,0)</f>
        <v>121249.32</v>
      </c>
      <c r="J4428" s="42" t="n">
        <f aca="false">IF($M4428="贷",$O4428,0)</f>
        <v>0</v>
      </c>
      <c r="K4428" s="48"/>
      <c r="L4428" s="66" t="str">
        <f aca="false">IF(生产加工!$E17="","",IFERROR(INDEX(记账规则!$A$36:$H$38,MATCH(生产加工!$E17,记账规则!$A$36:$A$38,0),3),""))</f>
        <v>生产成本</v>
      </c>
      <c r="M4428" s="66" t="str">
        <f aca="false">IF($L4428="","",IFERROR(INDEX(记账规则!$A$36:$H$38,MATCH(生产加工!$E17,记账规则!$A$36:$A$38,0),4),""))</f>
        <v>借</v>
      </c>
      <c r="N4428" s="66" t="str">
        <f aca="false">IF($L4428="","",IFERROR(INDEX(记账规则!$A$36:$H$38,MATCH(生产加工!$E17,记账规则!$A$36:$A$38,0),5),""))</f>
        <v>记账金额</v>
      </c>
      <c r="O4428" s="67" t="n">
        <f aca="false">IF($H4428="",0,ROUND(IF($N4428="记账金额",N(生产加工!$U17),0),2))</f>
        <v>121249.32</v>
      </c>
      <c r="P4428" s="64" t="str">
        <f aca="false">IF(AND($H4428&lt;&gt;"",ROUND($O4428,2)&lt;&gt;0),"有","")</f>
        <v>有</v>
      </c>
    </row>
    <row r="4429" customFormat="false" ht="15" hidden="false" customHeight="false" outlineLevel="0" collapsed="false">
      <c r="A4429" s="53" t="n">
        <f aca="false">IF($H4429="","",ROW()-5)</f>
        <v>4424</v>
      </c>
      <c r="B4429" s="64" t="s">
        <v>38</v>
      </c>
      <c r="C4429" s="53" t="n">
        <v>17</v>
      </c>
      <c r="D4429" s="53" t="n">
        <v>2</v>
      </c>
      <c r="E4429" s="65" t="n">
        <f aca="false">IF($H4429="","",生产加工!$B17)</f>
        <v>46198</v>
      </c>
      <c r="F4429" s="55" t="str">
        <f aca="false">IF($H4429="","",生产加工!$C17)</f>
        <v>木业</v>
      </c>
      <c r="G4429" s="48" t="str">
        <f aca="false">IF($H4429="","",生产加工!$N17)</f>
        <v>原木开料</v>
      </c>
      <c r="H4429" s="10" t="str">
        <f aca="false">IF($L4429="","",IF($L4429="@对方",生产加工!$K17,IF($L4429="@存货",生产加工!$Q17,$L4429)))</f>
        <v>原材料</v>
      </c>
      <c r="I4429" s="42" t="n">
        <f aca="false">IF($M4429="借",$O4429,0)</f>
        <v>0</v>
      </c>
      <c r="J4429" s="42" t="n">
        <f aca="false">IF($M4429="贷",$O4429,0)</f>
        <v>121249.32</v>
      </c>
      <c r="K4429" s="48"/>
      <c r="L4429" s="66" t="str">
        <f aca="false">IF(生产加工!$E17="","",IFERROR(INDEX(记账规则!$A$36:$H$38,MATCH(生产加工!$E17,记账规则!$A$36:$A$38,0),6),""))</f>
        <v>@存货</v>
      </c>
      <c r="M4429" s="66" t="str">
        <f aca="false">IF($L4429="","",IFERROR(INDEX(记账规则!$A$36:$H$38,MATCH(生产加工!$E17,记账规则!$A$36:$A$38,0),7),""))</f>
        <v>贷</v>
      </c>
      <c r="N4429" s="66" t="str">
        <f aca="false">IF($L4429="","",IFERROR(INDEX(记账规则!$A$36:$H$38,MATCH(生产加工!$E17,记账规则!$A$36:$A$38,0),8),""))</f>
        <v>记账金额</v>
      </c>
      <c r="O4429" s="67" t="n">
        <f aca="false">IF($H4429="",0,ROUND(IF($N4429="记账金额",N(生产加工!$U17),0),2))</f>
        <v>121249.32</v>
      </c>
      <c r="P4429" s="64" t="str">
        <f aca="false">IF(AND($H4429&lt;&gt;"",ROUND($O4429,2)&lt;&gt;0),"有","")</f>
        <v>有</v>
      </c>
    </row>
    <row r="4430" customFormat="false" ht="15" hidden="false" customHeight="false" outlineLevel="0" collapsed="false">
      <c r="A4430" s="53" t="n">
        <f aca="false">IF($H4430="","",ROW()-5)</f>
        <v>4425</v>
      </c>
      <c r="B4430" s="64" t="s">
        <v>38</v>
      </c>
      <c r="C4430" s="53" t="n">
        <v>18</v>
      </c>
      <c r="D4430" s="53" t="n">
        <v>1</v>
      </c>
      <c r="E4430" s="65" t="n">
        <f aca="false">IF($H4430="","",生产加工!$B18)</f>
        <v>46203</v>
      </c>
      <c r="F4430" s="55" t="str">
        <f aca="false">IF($H4430="","",生产加工!$C18)</f>
        <v>木业</v>
      </c>
      <c r="G4430" s="48" t="str">
        <f aca="false">IF($H4430="","",生产加工!$N18)</f>
        <v>车间人工</v>
      </c>
      <c r="H4430" s="10" t="str">
        <f aca="false">IF($L4430="","",IF($L4430="@对方",生产加工!$K18,IF($L4430="@存货",生产加工!$Q18,$L4430)))</f>
        <v>生产成本</v>
      </c>
      <c r="I4430" s="42" t="n">
        <f aca="false">IF($M4430="借",$O4430,0)</f>
        <v>42000</v>
      </c>
      <c r="J4430" s="42" t="n">
        <f aca="false">IF($M4430="贷",$O4430,0)</f>
        <v>0</v>
      </c>
      <c r="K4430" s="48"/>
      <c r="L4430" s="66" t="str">
        <f aca="false">IF(生产加工!$E18="","",IFERROR(INDEX(记账规则!$A$36:$H$38,MATCH(生产加工!$E18,记账规则!$A$36:$A$38,0),3),""))</f>
        <v>生产成本</v>
      </c>
      <c r="M4430" s="66" t="str">
        <f aca="false">IF($L4430="","",IFERROR(INDEX(记账规则!$A$36:$H$38,MATCH(生产加工!$E18,记账规则!$A$36:$A$38,0),4),""))</f>
        <v>借</v>
      </c>
      <c r="N4430" s="66" t="str">
        <f aca="false">IF($L4430="","",IFERROR(INDEX(记账规则!$A$36:$H$38,MATCH(生产加工!$E18,记账规则!$A$36:$A$38,0),5),""))</f>
        <v>记账金额</v>
      </c>
      <c r="O4430" s="67" t="n">
        <f aca="false">IF($H4430="",0,ROUND(IF($N4430="记账金额",N(生产加工!$U18),0),2))</f>
        <v>42000</v>
      </c>
      <c r="P4430" s="64" t="str">
        <f aca="false">IF(AND($H4430&lt;&gt;"",ROUND($O4430,2)&lt;&gt;0),"有","")</f>
        <v>有</v>
      </c>
    </row>
    <row r="4431" customFormat="false" ht="15" hidden="false" customHeight="false" outlineLevel="0" collapsed="false">
      <c r="A4431" s="53" t="n">
        <f aca="false">IF($H4431="","",ROW()-5)</f>
        <v>4426</v>
      </c>
      <c r="B4431" s="64" t="s">
        <v>38</v>
      </c>
      <c r="C4431" s="53" t="n">
        <v>18</v>
      </c>
      <c r="D4431" s="53" t="n">
        <v>2</v>
      </c>
      <c r="E4431" s="65" t="n">
        <f aca="false">IF($H4431="","",生产加工!$B18)</f>
        <v>46203</v>
      </c>
      <c r="F4431" s="55" t="str">
        <f aca="false">IF($H4431="","",生产加工!$C18)</f>
        <v>木业</v>
      </c>
      <c r="G4431" s="48" t="str">
        <f aca="false">IF($H4431="","",生产加工!$N18)</f>
        <v>车间人工</v>
      </c>
      <c r="H4431" s="10" t="str">
        <f aca="false">IF($L4431="","",IF($L4431="@对方",生产加工!$K18,IF($L4431="@存货",生产加工!$Q18,$L4431)))</f>
        <v>应付职工薪酬</v>
      </c>
      <c r="I4431" s="42" t="n">
        <f aca="false">IF($M4431="借",$O4431,0)</f>
        <v>0</v>
      </c>
      <c r="J4431" s="42" t="n">
        <f aca="false">IF($M4431="贷",$O4431,0)</f>
        <v>42000</v>
      </c>
      <c r="K4431" s="48"/>
      <c r="L4431" s="66" t="str">
        <f aca="false">IF(生产加工!$E18="","",IFERROR(INDEX(记账规则!$A$36:$H$38,MATCH(生产加工!$E18,记账规则!$A$36:$A$38,0),6),""))</f>
        <v>@对方</v>
      </c>
      <c r="M4431" s="66" t="str">
        <f aca="false">IF($L4431="","",IFERROR(INDEX(记账规则!$A$36:$H$38,MATCH(生产加工!$E18,记账规则!$A$36:$A$38,0),7),""))</f>
        <v>贷</v>
      </c>
      <c r="N4431" s="66" t="str">
        <f aca="false">IF($L4431="","",IFERROR(INDEX(记账规则!$A$36:$H$38,MATCH(生产加工!$E18,记账规则!$A$36:$A$38,0),8),""))</f>
        <v>记账金额</v>
      </c>
      <c r="O4431" s="67" t="n">
        <f aca="false">IF($H4431="",0,ROUND(IF($N4431="记账金额",N(生产加工!$U18),0),2))</f>
        <v>42000</v>
      </c>
      <c r="P4431" s="64" t="str">
        <f aca="false">IF(AND($H4431&lt;&gt;"",ROUND($O4431,2)&lt;&gt;0),"有","")</f>
        <v>有</v>
      </c>
    </row>
    <row r="4432" customFormat="false" ht="15" hidden="false" customHeight="false" outlineLevel="0" collapsed="false">
      <c r="A4432" s="53" t="n">
        <f aca="false">IF($H4432="","",ROW()-5)</f>
        <v>4427</v>
      </c>
      <c r="B4432" s="64" t="s">
        <v>38</v>
      </c>
      <c r="C4432" s="53" t="n">
        <v>19</v>
      </c>
      <c r="D4432" s="53" t="n">
        <v>1</v>
      </c>
      <c r="E4432" s="65" t="n">
        <f aca="false">IF($H4432="","",生产加工!$B19)</f>
        <v>46203</v>
      </c>
      <c r="F4432" s="55" t="str">
        <f aca="false">IF($H4432="","",生产加工!$C19)</f>
        <v>木业</v>
      </c>
      <c r="G4432" s="48" t="str">
        <f aca="false">IF($H4432="","",生产加工!$N19)</f>
        <v>车间设备折旧</v>
      </c>
      <c r="H4432" s="10" t="str">
        <f aca="false">IF($L4432="","",IF($L4432="@对方",生产加工!$K19,IF($L4432="@存货",生产加工!$Q19,$L4432)))</f>
        <v>生产成本</v>
      </c>
      <c r="I4432" s="42" t="n">
        <f aca="false">IF($M4432="借",$O4432,0)</f>
        <v>18000</v>
      </c>
      <c r="J4432" s="42" t="n">
        <f aca="false">IF($M4432="贷",$O4432,0)</f>
        <v>0</v>
      </c>
      <c r="K4432" s="48"/>
      <c r="L4432" s="66" t="str">
        <f aca="false">IF(生产加工!$E19="","",IFERROR(INDEX(记账规则!$A$36:$H$38,MATCH(生产加工!$E19,记账规则!$A$36:$A$38,0),3),""))</f>
        <v>生产成本</v>
      </c>
      <c r="M4432" s="66" t="str">
        <f aca="false">IF($L4432="","",IFERROR(INDEX(记账规则!$A$36:$H$38,MATCH(生产加工!$E19,记账规则!$A$36:$A$38,0),4),""))</f>
        <v>借</v>
      </c>
      <c r="N4432" s="66" t="str">
        <f aca="false">IF($L4432="","",IFERROR(INDEX(记账规则!$A$36:$H$38,MATCH(生产加工!$E19,记账规则!$A$36:$A$38,0),5),""))</f>
        <v>记账金额</v>
      </c>
      <c r="O4432" s="67" t="n">
        <f aca="false">IF($H4432="",0,ROUND(IF($N4432="记账金额",N(生产加工!$U19),0),2))</f>
        <v>18000</v>
      </c>
      <c r="P4432" s="64" t="str">
        <f aca="false">IF(AND($H4432&lt;&gt;"",ROUND($O4432,2)&lt;&gt;0),"有","")</f>
        <v>有</v>
      </c>
    </row>
    <row r="4433" customFormat="false" ht="15" hidden="false" customHeight="false" outlineLevel="0" collapsed="false">
      <c r="A4433" s="53" t="n">
        <f aca="false">IF($H4433="","",ROW()-5)</f>
        <v>4428</v>
      </c>
      <c r="B4433" s="64" t="s">
        <v>38</v>
      </c>
      <c r="C4433" s="53" t="n">
        <v>19</v>
      </c>
      <c r="D4433" s="53" t="n">
        <v>2</v>
      </c>
      <c r="E4433" s="65" t="n">
        <f aca="false">IF($H4433="","",生产加工!$B19)</f>
        <v>46203</v>
      </c>
      <c r="F4433" s="55" t="str">
        <f aca="false">IF($H4433="","",生产加工!$C19)</f>
        <v>木业</v>
      </c>
      <c r="G4433" s="48" t="str">
        <f aca="false">IF($H4433="","",生产加工!$N19)</f>
        <v>车间设备折旧</v>
      </c>
      <c r="H4433" s="10" t="str">
        <f aca="false">IF($L4433="","",IF($L4433="@对方",生产加工!$K19,IF($L4433="@存货",生产加工!$Q19,$L4433)))</f>
        <v>累计折旧</v>
      </c>
      <c r="I4433" s="42" t="n">
        <f aca="false">IF($M4433="借",$O4433,0)</f>
        <v>0</v>
      </c>
      <c r="J4433" s="42" t="n">
        <f aca="false">IF($M4433="贷",$O4433,0)</f>
        <v>18000</v>
      </c>
      <c r="K4433" s="48"/>
      <c r="L4433" s="66" t="str">
        <f aca="false">IF(生产加工!$E19="","",IFERROR(INDEX(记账规则!$A$36:$H$38,MATCH(生产加工!$E19,记账规则!$A$36:$A$38,0),6),""))</f>
        <v>@对方</v>
      </c>
      <c r="M4433" s="66" t="str">
        <f aca="false">IF($L4433="","",IFERROR(INDEX(记账规则!$A$36:$H$38,MATCH(生产加工!$E19,记账规则!$A$36:$A$38,0),7),""))</f>
        <v>贷</v>
      </c>
      <c r="N4433" s="66" t="str">
        <f aca="false">IF($L4433="","",IFERROR(INDEX(记账规则!$A$36:$H$38,MATCH(生产加工!$E19,记账规则!$A$36:$A$38,0),8),""))</f>
        <v>记账金额</v>
      </c>
      <c r="O4433" s="67" t="n">
        <f aca="false">IF($H4433="",0,ROUND(IF($N4433="记账金额",N(生产加工!$U19),0),2))</f>
        <v>18000</v>
      </c>
      <c r="P4433" s="64" t="str">
        <f aca="false">IF(AND($H4433&lt;&gt;"",ROUND($O4433,2)&lt;&gt;0),"有","")</f>
        <v>有</v>
      </c>
    </row>
    <row r="4434" customFormat="false" ht="15" hidden="false" customHeight="false" outlineLevel="0" collapsed="false">
      <c r="A4434" s="53" t="n">
        <f aca="false">IF($H4434="","",ROW()-5)</f>
        <v>4429</v>
      </c>
      <c r="B4434" s="64" t="s">
        <v>38</v>
      </c>
      <c r="C4434" s="53" t="n">
        <v>20</v>
      </c>
      <c r="D4434" s="53" t="n">
        <v>1</v>
      </c>
      <c r="E4434" s="65" t="n">
        <f aca="false">IF($H4434="","",生产加工!$B20)</f>
        <v>46203</v>
      </c>
      <c r="F4434" s="55" t="str">
        <f aca="false">IF($H4434="","",生产加工!$C20)</f>
        <v>木业</v>
      </c>
      <c r="G4434" s="48" t="str">
        <f aca="false">IF($H4434="","",生产加工!$N20)</f>
        <v>木板入库</v>
      </c>
      <c r="H4434" s="10" t="str">
        <f aca="false">IF($L4434="","",IF($L4434="@对方",生产加工!$K20,IF($L4434="@存货",生产加工!$Q20,$L4434)))</f>
        <v>库存商品</v>
      </c>
      <c r="I4434" s="42" t="n">
        <f aca="false">IF($M4434="借",$O4434,0)</f>
        <v>181249.32</v>
      </c>
      <c r="J4434" s="42" t="n">
        <f aca="false">IF($M4434="贷",$O4434,0)</f>
        <v>0</v>
      </c>
      <c r="K4434" s="48"/>
      <c r="L4434" s="66" t="str">
        <f aca="false">IF(生产加工!$E20="","",IFERROR(INDEX(记账规则!$A$36:$H$38,MATCH(生产加工!$E20,记账规则!$A$36:$A$38,0),3),""))</f>
        <v>@存货</v>
      </c>
      <c r="M4434" s="66" t="str">
        <f aca="false">IF($L4434="","",IFERROR(INDEX(记账规则!$A$36:$H$38,MATCH(生产加工!$E20,记账规则!$A$36:$A$38,0),4),""))</f>
        <v>借</v>
      </c>
      <c r="N4434" s="66" t="str">
        <f aca="false">IF($L4434="","",IFERROR(INDEX(记账规则!$A$36:$H$38,MATCH(生产加工!$E20,记账规则!$A$36:$A$38,0),5),""))</f>
        <v>记账金额</v>
      </c>
      <c r="O4434" s="67" t="n">
        <f aca="false">IF($H4434="",0,ROUND(IF($N4434="记账金额",N(生产加工!$U20),0),2))</f>
        <v>181249.32</v>
      </c>
      <c r="P4434" s="64" t="str">
        <f aca="false">IF(AND($H4434&lt;&gt;"",ROUND($O4434,2)&lt;&gt;0),"有","")</f>
        <v>有</v>
      </c>
    </row>
    <row r="4435" customFormat="false" ht="15" hidden="false" customHeight="false" outlineLevel="0" collapsed="false">
      <c r="A4435" s="53" t="n">
        <f aca="false">IF($H4435="","",ROW()-5)</f>
        <v>4430</v>
      </c>
      <c r="B4435" s="64" t="s">
        <v>38</v>
      </c>
      <c r="C4435" s="53" t="n">
        <v>20</v>
      </c>
      <c r="D4435" s="53" t="n">
        <v>2</v>
      </c>
      <c r="E4435" s="65" t="n">
        <f aca="false">IF($H4435="","",生产加工!$B20)</f>
        <v>46203</v>
      </c>
      <c r="F4435" s="55" t="str">
        <f aca="false">IF($H4435="","",生产加工!$C20)</f>
        <v>木业</v>
      </c>
      <c r="G4435" s="48" t="str">
        <f aca="false">IF($H4435="","",生产加工!$N20)</f>
        <v>木板入库</v>
      </c>
      <c r="H4435" s="10" t="str">
        <f aca="false">IF($L4435="","",IF($L4435="@对方",生产加工!$K20,IF($L4435="@存货",生产加工!$Q20,$L4435)))</f>
        <v>生产成本</v>
      </c>
      <c r="I4435" s="42" t="n">
        <f aca="false">IF($M4435="借",$O4435,0)</f>
        <v>0</v>
      </c>
      <c r="J4435" s="42" t="n">
        <f aca="false">IF($M4435="贷",$O4435,0)</f>
        <v>181249.32</v>
      </c>
      <c r="K4435" s="48"/>
      <c r="L4435" s="66" t="str">
        <f aca="false">IF(生产加工!$E20="","",IFERROR(INDEX(记账规则!$A$36:$H$38,MATCH(生产加工!$E20,记账规则!$A$36:$A$38,0),6),""))</f>
        <v>生产成本</v>
      </c>
      <c r="M4435" s="66" t="str">
        <f aca="false">IF($L4435="","",IFERROR(INDEX(记账规则!$A$36:$H$38,MATCH(生产加工!$E20,记账规则!$A$36:$A$38,0),7),""))</f>
        <v>贷</v>
      </c>
      <c r="N4435" s="66" t="str">
        <f aca="false">IF($L4435="","",IFERROR(INDEX(记账规则!$A$36:$H$38,MATCH(生产加工!$E20,记账规则!$A$36:$A$38,0),8),""))</f>
        <v>记账金额</v>
      </c>
      <c r="O4435" s="67" t="n">
        <f aca="false">IF($H4435="",0,ROUND(IF($N4435="记账金额",N(生产加工!$U20),0),2))</f>
        <v>181249.32</v>
      </c>
      <c r="P4435" s="64" t="str">
        <f aca="false">IF(AND($H4435&lt;&gt;"",ROUND($O4435,2)&lt;&gt;0),"有","")</f>
        <v>有</v>
      </c>
    </row>
    <row r="4436" customFormat="false" ht="15" hidden="false" customHeight="false" outlineLevel="0" collapsed="false">
      <c r="A4436" s="53" t="n">
        <f aca="false">IF($H4436="","",ROW()-5)</f>
        <v>4431</v>
      </c>
      <c r="B4436" s="64" t="s">
        <v>38</v>
      </c>
      <c r="C4436" s="53" t="n">
        <v>21</v>
      </c>
      <c r="D4436" s="53" t="n">
        <v>1</v>
      </c>
      <c r="E4436" s="65" t="n">
        <f aca="false">IF($H4436="","",生产加工!$B21)</f>
        <v>46223</v>
      </c>
      <c r="F4436" s="55" t="str">
        <f aca="false">IF($H4436="","",生产加工!$C21)</f>
        <v>木业</v>
      </c>
      <c r="G4436" s="48" t="str">
        <f aca="false">IF($H4436="","",生产加工!$N21)</f>
        <v>原木开料</v>
      </c>
      <c r="H4436" s="10" t="str">
        <f aca="false">IF($L4436="","",IF($L4436="@对方",生产加工!$K21,IF($L4436="@存货",生产加工!$Q21,$L4436)))</f>
        <v>生产成本</v>
      </c>
      <c r="I4436" s="42" t="n">
        <f aca="false">IF($M4436="借",$O4436,0)</f>
        <v>60624.66</v>
      </c>
      <c r="J4436" s="42" t="n">
        <f aca="false">IF($M4436="贷",$O4436,0)</f>
        <v>0</v>
      </c>
      <c r="K4436" s="48"/>
      <c r="L4436" s="66" t="str">
        <f aca="false">IF(生产加工!$E21="","",IFERROR(INDEX(记账规则!$A$36:$H$38,MATCH(生产加工!$E21,记账规则!$A$36:$A$38,0),3),""))</f>
        <v>生产成本</v>
      </c>
      <c r="M4436" s="66" t="str">
        <f aca="false">IF($L4436="","",IFERROR(INDEX(记账规则!$A$36:$H$38,MATCH(生产加工!$E21,记账规则!$A$36:$A$38,0),4),""))</f>
        <v>借</v>
      </c>
      <c r="N4436" s="66" t="str">
        <f aca="false">IF($L4436="","",IFERROR(INDEX(记账规则!$A$36:$H$38,MATCH(生产加工!$E21,记账规则!$A$36:$A$38,0),5),""))</f>
        <v>记账金额</v>
      </c>
      <c r="O4436" s="67" t="n">
        <f aca="false">IF($H4436="",0,ROUND(IF($N4436="记账金额",N(生产加工!$U21),0),2))</f>
        <v>60624.66</v>
      </c>
      <c r="P4436" s="64" t="str">
        <f aca="false">IF(AND($H4436&lt;&gt;"",ROUND($O4436,2)&lt;&gt;0),"有","")</f>
        <v>有</v>
      </c>
    </row>
    <row r="4437" customFormat="false" ht="15" hidden="false" customHeight="false" outlineLevel="0" collapsed="false">
      <c r="A4437" s="53" t="n">
        <f aca="false">IF($H4437="","",ROW()-5)</f>
        <v>4432</v>
      </c>
      <c r="B4437" s="64" t="s">
        <v>38</v>
      </c>
      <c r="C4437" s="53" t="n">
        <v>21</v>
      </c>
      <c r="D4437" s="53" t="n">
        <v>2</v>
      </c>
      <c r="E4437" s="65" t="n">
        <f aca="false">IF($H4437="","",生产加工!$B21)</f>
        <v>46223</v>
      </c>
      <c r="F4437" s="55" t="str">
        <f aca="false">IF($H4437="","",生产加工!$C21)</f>
        <v>木业</v>
      </c>
      <c r="G4437" s="48" t="str">
        <f aca="false">IF($H4437="","",生产加工!$N21)</f>
        <v>原木开料</v>
      </c>
      <c r="H4437" s="10" t="str">
        <f aca="false">IF($L4437="","",IF($L4437="@对方",生产加工!$K21,IF($L4437="@存货",生产加工!$Q21,$L4437)))</f>
        <v>原材料</v>
      </c>
      <c r="I4437" s="42" t="n">
        <f aca="false">IF($M4437="借",$O4437,0)</f>
        <v>0</v>
      </c>
      <c r="J4437" s="42" t="n">
        <f aca="false">IF($M4437="贷",$O4437,0)</f>
        <v>60624.66</v>
      </c>
      <c r="K4437" s="48"/>
      <c r="L4437" s="66" t="str">
        <f aca="false">IF(生产加工!$E21="","",IFERROR(INDEX(记账规则!$A$36:$H$38,MATCH(生产加工!$E21,记账规则!$A$36:$A$38,0),6),""))</f>
        <v>@存货</v>
      </c>
      <c r="M4437" s="66" t="str">
        <f aca="false">IF($L4437="","",IFERROR(INDEX(记账规则!$A$36:$H$38,MATCH(生产加工!$E21,记账规则!$A$36:$A$38,0),7),""))</f>
        <v>贷</v>
      </c>
      <c r="N4437" s="66" t="str">
        <f aca="false">IF($L4437="","",IFERROR(INDEX(记账规则!$A$36:$H$38,MATCH(生产加工!$E21,记账规则!$A$36:$A$38,0),8),""))</f>
        <v>记账金额</v>
      </c>
      <c r="O4437" s="67" t="n">
        <f aca="false">IF($H4437="",0,ROUND(IF($N4437="记账金额",N(生产加工!$U21),0),2))</f>
        <v>60624.66</v>
      </c>
      <c r="P4437" s="64" t="str">
        <f aca="false">IF(AND($H4437&lt;&gt;"",ROUND($O4437,2)&lt;&gt;0),"有","")</f>
        <v>有</v>
      </c>
    </row>
    <row r="4438" customFormat="false" ht="15" hidden="false" customHeight="false" outlineLevel="0" collapsed="false">
      <c r="A4438" s="53" t="n">
        <f aca="false">IF($H4438="","",ROW()-5)</f>
        <v>4433</v>
      </c>
      <c r="B4438" s="64" t="s">
        <v>38</v>
      </c>
      <c r="C4438" s="53" t="n">
        <v>22</v>
      </c>
      <c r="D4438" s="53" t="n">
        <v>1</v>
      </c>
      <c r="E4438" s="65" t="n">
        <f aca="false">IF($H4438="","",生产加工!$B22)</f>
        <v>46228</v>
      </c>
      <c r="F4438" s="55" t="str">
        <f aca="false">IF($H4438="","",生产加工!$C22)</f>
        <v>木业</v>
      </c>
      <c r="G4438" s="48" t="str">
        <f aca="false">IF($H4438="","",生产加工!$N22)</f>
        <v>车间人工</v>
      </c>
      <c r="H4438" s="10" t="str">
        <f aca="false">IF($L4438="","",IF($L4438="@对方",生产加工!$K22,IF($L4438="@存货",生产加工!$Q22,$L4438)))</f>
        <v>生产成本</v>
      </c>
      <c r="I4438" s="42" t="n">
        <f aca="false">IF($M4438="借",$O4438,0)</f>
        <v>16000</v>
      </c>
      <c r="J4438" s="42" t="n">
        <f aca="false">IF($M4438="贷",$O4438,0)</f>
        <v>0</v>
      </c>
      <c r="K4438" s="48"/>
      <c r="L4438" s="66" t="str">
        <f aca="false">IF(生产加工!$E22="","",IFERROR(INDEX(记账规则!$A$36:$H$38,MATCH(生产加工!$E22,记账规则!$A$36:$A$38,0),3),""))</f>
        <v>生产成本</v>
      </c>
      <c r="M4438" s="66" t="str">
        <f aca="false">IF($L4438="","",IFERROR(INDEX(记账规则!$A$36:$H$38,MATCH(生产加工!$E22,记账规则!$A$36:$A$38,0),4),""))</f>
        <v>借</v>
      </c>
      <c r="N4438" s="66" t="str">
        <f aca="false">IF($L4438="","",IFERROR(INDEX(记账规则!$A$36:$H$38,MATCH(生产加工!$E22,记账规则!$A$36:$A$38,0),5),""))</f>
        <v>记账金额</v>
      </c>
      <c r="O4438" s="67" t="n">
        <f aca="false">IF($H4438="",0,ROUND(IF($N4438="记账金额",N(生产加工!$U22),0),2))</f>
        <v>16000</v>
      </c>
      <c r="P4438" s="64" t="str">
        <f aca="false">IF(AND($H4438&lt;&gt;"",ROUND($O4438,2)&lt;&gt;0),"有","")</f>
        <v>有</v>
      </c>
    </row>
    <row r="4439" customFormat="false" ht="15" hidden="false" customHeight="false" outlineLevel="0" collapsed="false">
      <c r="A4439" s="53" t="n">
        <f aca="false">IF($H4439="","",ROW()-5)</f>
        <v>4434</v>
      </c>
      <c r="B4439" s="64" t="s">
        <v>38</v>
      </c>
      <c r="C4439" s="53" t="n">
        <v>22</v>
      </c>
      <c r="D4439" s="53" t="n">
        <v>2</v>
      </c>
      <c r="E4439" s="65" t="n">
        <f aca="false">IF($H4439="","",生产加工!$B22)</f>
        <v>46228</v>
      </c>
      <c r="F4439" s="55" t="str">
        <f aca="false">IF($H4439="","",生产加工!$C22)</f>
        <v>木业</v>
      </c>
      <c r="G4439" s="48" t="str">
        <f aca="false">IF($H4439="","",生产加工!$N22)</f>
        <v>车间人工</v>
      </c>
      <c r="H4439" s="10" t="str">
        <f aca="false">IF($L4439="","",IF($L4439="@对方",生产加工!$K22,IF($L4439="@存货",生产加工!$Q22,$L4439)))</f>
        <v>应付职工薪酬</v>
      </c>
      <c r="I4439" s="42" t="n">
        <f aca="false">IF($M4439="借",$O4439,0)</f>
        <v>0</v>
      </c>
      <c r="J4439" s="42" t="n">
        <f aca="false">IF($M4439="贷",$O4439,0)</f>
        <v>16000</v>
      </c>
      <c r="K4439" s="48"/>
      <c r="L4439" s="66" t="str">
        <f aca="false">IF(生产加工!$E22="","",IFERROR(INDEX(记账规则!$A$36:$H$38,MATCH(生产加工!$E22,记账规则!$A$36:$A$38,0),6),""))</f>
        <v>@对方</v>
      </c>
      <c r="M4439" s="66" t="str">
        <f aca="false">IF($L4439="","",IFERROR(INDEX(记账规则!$A$36:$H$38,MATCH(生产加工!$E22,记账规则!$A$36:$A$38,0),7),""))</f>
        <v>贷</v>
      </c>
      <c r="N4439" s="66" t="str">
        <f aca="false">IF($L4439="","",IFERROR(INDEX(记账规则!$A$36:$H$38,MATCH(生产加工!$E22,记账规则!$A$36:$A$38,0),8),""))</f>
        <v>记账金额</v>
      </c>
      <c r="O4439" s="67" t="n">
        <f aca="false">IF($H4439="",0,ROUND(IF($N4439="记账金额",N(生产加工!$U22),0),2))</f>
        <v>16000</v>
      </c>
      <c r="P4439" s="64" t="str">
        <f aca="false">IF(AND($H4439&lt;&gt;"",ROUND($O4439,2)&lt;&gt;0),"有","")</f>
        <v>有</v>
      </c>
    </row>
    <row r="4440" customFormat="false" ht="15" hidden="false" customHeight="false" outlineLevel="0" collapsed="false">
      <c r="A4440" s="53" t="n">
        <f aca="false">IF($H4440="","",ROW()-5)</f>
        <v>4435</v>
      </c>
      <c r="B4440" s="64" t="s">
        <v>38</v>
      </c>
      <c r="C4440" s="53" t="n">
        <v>23</v>
      </c>
      <c r="D4440" s="53" t="n">
        <v>1</v>
      </c>
      <c r="E4440" s="65" t="n">
        <f aca="false">IF($H4440="","",生产加工!$B23)</f>
        <v>46228</v>
      </c>
      <c r="F4440" s="55" t="str">
        <f aca="false">IF($H4440="","",生产加工!$C23)</f>
        <v>木业</v>
      </c>
      <c r="G4440" s="48" t="str">
        <f aca="false">IF($H4440="","",生产加工!$N23)</f>
        <v>模板入库（一批两产出，按权重 3 分摊）</v>
      </c>
      <c r="H4440" s="10" t="str">
        <f aca="false">IF($L4440="","",IF($L4440="@对方",生产加工!$K23,IF($L4440="@存货",生产加工!$Q23,$L4440)))</f>
        <v>库存商品</v>
      </c>
      <c r="I4440" s="42" t="n">
        <f aca="false">IF($M4440="借",$O4440,0)</f>
        <v>57468.5</v>
      </c>
      <c r="J4440" s="42" t="n">
        <f aca="false">IF($M4440="贷",$O4440,0)</f>
        <v>0</v>
      </c>
      <c r="K4440" s="48"/>
      <c r="L4440" s="66" t="str">
        <f aca="false">IF(生产加工!$E23="","",IFERROR(INDEX(记账规则!$A$36:$H$38,MATCH(生产加工!$E23,记账规则!$A$36:$A$38,0),3),""))</f>
        <v>@存货</v>
      </c>
      <c r="M4440" s="66" t="str">
        <f aca="false">IF($L4440="","",IFERROR(INDEX(记账规则!$A$36:$H$38,MATCH(生产加工!$E23,记账规则!$A$36:$A$38,0),4),""))</f>
        <v>借</v>
      </c>
      <c r="N4440" s="66" t="str">
        <f aca="false">IF($L4440="","",IFERROR(INDEX(记账规则!$A$36:$H$38,MATCH(生产加工!$E23,记账规则!$A$36:$A$38,0),5),""))</f>
        <v>记账金额</v>
      </c>
      <c r="O4440" s="67" t="n">
        <f aca="false">IF($H4440="",0,ROUND(IF($N4440="记账金额",N(生产加工!$U23),0),2))</f>
        <v>57468.5</v>
      </c>
      <c r="P4440" s="64" t="str">
        <f aca="false">IF(AND($H4440&lt;&gt;"",ROUND($O4440,2)&lt;&gt;0),"有","")</f>
        <v>有</v>
      </c>
    </row>
    <row r="4441" customFormat="false" ht="15" hidden="false" customHeight="false" outlineLevel="0" collapsed="false">
      <c r="A4441" s="53" t="n">
        <f aca="false">IF($H4441="","",ROW()-5)</f>
        <v>4436</v>
      </c>
      <c r="B4441" s="64" t="s">
        <v>38</v>
      </c>
      <c r="C4441" s="53" t="n">
        <v>23</v>
      </c>
      <c r="D4441" s="53" t="n">
        <v>2</v>
      </c>
      <c r="E4441" s="65" t="n">
        <f aca="false">IF($H4441="","",生产加工!$B23)</f>
        <v>46228</v>
      </c>
      <c r="F4441" s="55" t="str">
        <f aca="false">IF($H4441="","",生产加工!$C23)</f>
        <v>木业</v>
      </c>
      <c r="G4441" s="48" t="str">
        <f aca="false">IF($H4441="","",生产加工!$N23)</f>
        <v>模板入库（一批两产出，按权重 3 分摊）</v>
      </c>
      <c r="H4441" s="10" t="str">
        <f aca="false">IF($L4441="","",IF($L4441="@对方",生产加工!$K23,IF($L4441="@存货",生产加工!$Q23,$L4441)))</f>
        <v>生产成本</v>
      </c>
      <c r="I4441" s="42" t="n">
        <f aca="false">IF($M4441="借",$O4441,0)</f>
        <v>0</v>
      </c>
      <c r="J4441" s="42" t="n">
        <f aca="false">IF($M4441="贷",$O4441,0)</f>
        <v>57468.5</v>
      </c>
      <c r="K4441" s="48"/>
      <c r="L4441" s="66" t="str">
        <f aca="false">IF(生产加工!$E23="","",IFERROR(INDEX(记账规则!$A$36:$H$38,MATCH(生产加工!$E23,记账规则!$A$36:$A$38,0),6),""))</f>
        <v>生产成本</v>
      </c>
      <c r="M4441" s="66" t="str">
        <f aca="false">IF($L4441="","",IFERROR(INDEX(记账规则!$A$36:$H$38,MATCH(生产加工!$E23,记账规则!$A$36:$A$38,0),7),""))</f>
        <v>贷</v>
      </c>
      <c r="N4441" s="66" t="str">
        <f aca="false">IF($L4441="","",IFERROR(INDEX(记账规则!$A$36:$H$38,MATCH(生产加工!$E23,记账规则!$A$36:$A$38,0),8),""))</f>
        <v>记账金额</v>
      </c>
      <c r="O4441" s="67" t="n">
        <f aca="false">IF($H4441="",0,ROUND(IF($N4441="记账金额",N(生产加工!$U23),0),2))</f>
        <v>57468.5</v>
      </c>
      <c r="P4441" s="64" t="str">
        <f aca="false">IF(AND($H4441&lt;&gt;"",ROUND($O4441,2)&lt;&gt;0),"有","")</f>
        <v>有</v>
      </c>
    </row>
    <row r="4442" customFormat="false" ht="15" hidden="false" customHeight="false" outlineLevel="0" collapsed="false">
      <c r="A4442" s="53" t="n">
        <f aca="false">IF($H4442="","",ROW()-5)</f>
        <v>4437</v>
      </c>
      <c r="B4442" s="64" t="s">
        <v>38</v>
      </c>
      <c r="C4442" s="53" t="n">
        <v>24</v>
      </c>
      <c r="D4442" s="53" t="n">
        <v>1</v>
      </c>
      <c r="E4442" s="65" t="n">
        <f aca="false">IF($H4442="","",生产加工!$B24)</f>
        <v>46228</v>
      </c>
      <c r="F4442" s="55" t="str">
        <f aca="false">IF($H4442="","",生产加工!$C24)</f>
        <v>木业</v>
      </c>
      <c r="G4442" s="48" t="str">
        <f aca="false">IF($H4442="","",生产加工!$N24)</f>
        <v>建筑木方料入库（权重 1）</v>
      </c>
      <c r="H4442" s="10" t="str">
        <f aca="false">IF($L4442="","",IF($L4442="@对方",生产加工!$K24,IF($L4442="@存货",生产加工!$Q24,$L4442)))</f>
        <v>库存商品</v>
      </c>
      <c r="I4442" s="42" t="n">
        <f aca="false">IF($M4442="借",$O4442,0)</f>
        <v>19156.16</v>
      </c>
      <c r="J4442" s="42" t="n">
        <f aca="false">IF($M4442="贷",$O4442,0)</f>
        <v>0</v>
      </c>
      <c r="K4442" s="48"/>
      <c r="L4442" s="66" t="str">
        <f aca="false">IF(生产加工!$E24="","",IFERROR(INDEX(记账规则!$A$36:$H$38,MATCH(生产加工!$E24,记账规则!$A$36:$A$38,0),3),""))</f>
        <v>@存货</v>
      </c>
      <c r="M4442" s="66" t="str">
        <f aca="false">IF($L4442="","",IFERROR(INDEX(记账规则!$A$36:$H$38,MATCH(生产加工!$E24,记账规则!$A$36:$A$38,0),4),""))</f>
        <v>借</v>
      </c>
      <c r="N4442" s="66" t="str">
        <f aca="false">IF($L4442="","",IFERROR(INDEX(记账规则!$A$36:$H$38,MATCH(生产加工!$E24,记账规则!$A$36:$A$38,0),5),""))</f>
        <v>记账金额</v>
      </c>
      <c r="O4442" s="67" t="n">
        <f aca="false">IF($H4442="",0,ROUND(IF($N4442="记账金额",N(生产加工!$U24),0),2))</f>
        <v>19156.16</v>
      </c>
      <c r="P4442" s="64" t="str">
        <f aca="false">IF(AND($H4442&lt;&gt;"",ROUND($O4442,2)&lt;&gt;0),"有","")</f>
        <v>有</v>
      </c>
    </row>
    <row r="4443" customFormat="false" ht="15" hidden="false" customHeight="false" outlineLevel="0" collapsed="false">
      <c r="A4443" s="53" t="n">
        <f aca="false">IF($H4443="","",ROW()-5)</f>
        <v>4438</v>
      </c>
      <c r="B4443" s="64" t="s">
        <v>38</v>
      </c>
      <c r="C4443" s="53" t="n">
        <v>24</v>
      </c>
      <c r="D4443" s="53" t="n">
        <v>2</v>
      </c>
      <c r="E4443" s="65" t="n">
        <f aca="false">IF($H4443="","",生产加工!$B24)</f>
        <v>46228</v>
      </c>
      <c r="F4443" s="55" t="str">
        <f aca="false">IF($H4443="","",生产加工!$C24)</f>
        <v>木业</v>
      </c>
      <c r="G4443" s="48" t="str">
        <f aca="false">IF($H4443="","",生产加工!$N24)</f>
        <v>建筑木方料入库（权重 1）</v>
      </c>
      <c r="H4443" s="10" t="str">
        <f aca="false">IF($L4443="","",IF($L4443="@对方",生产加工!$K24,IF($L4443="@存货",生产加工!$Q24,$L4443)))</f>
        <v>生产成本</v>
      </c>
      <c r="I4443" s="42" t="n">
        <f aca="false">IF($M4443="借",$O4443,0)</f>
        <v>0</v>
      </c>
      <c r="J4443" s="42" t="n">
        <f aca="false">IF($M4443="贷",$O4443,0)</f>
        <v>19156.16</v>
      </c>
      <c r="K4443" s="48"/>
      <c r="L4443" s="66" t="str">
        <f aca="false">IF(生产加工!$E24="","",IFERROR(INDEX(记账规则!$A$36:$H$38,MATCH(生产加工!$E24,记账规则!$A$36:$A$38,0),6),""))</f>
        <v>生产成本</v>
      </c>
      <c r="M4443" s="66" t="str">
        <f aca="false">IF($L4443="","",IFERROR(INDEX(记账规则!$A$36:$H$38,MATCH(生产加工!$E24,记账规则!$A$36:$A$38,0),7),""))</f>
        <v>贷</v>
      </c>
      <c r="N4443" s="66" t="str">
        <f aca="false">IF($L4443="","",IFERROR(INDEX(记账规则!$A$36:$H$38,MATCH(生产加工!$E24,记账规则!$A$36:$A$38,0),8),""))</f>
        <v>记账金额</v>
      </c>
      <c r="O4443" s="67" t="n">
        <f aca="false">IF($H4443="",0,ROUND(IF($N4443="记账金额",N(生产加工!$U24),0),2))</f>
        <v>19156.16</v>
      </c>
      <c r="P4443" s="64" t="str">
        <f aca="false">IF(AND($H4443&lt;&gt;"",ROUND($O4443,2)&lt;&gt;0),"有","")</f>
        <v>有</v>
      </c>
    </row>
    <row r="4444" customFormat="false" ht="15" hidden="false" customHeight="false" outlineLevel="0" collapsed="false">
      <c r="A4444" s="53" t="n">
        <f aca="false">IF($H4444="","",ROW()-5)</f>
        <v>4439</v>
      </c>
      <c r="B4444" s="64" t="s">
        <v>38</v>
      </c>
      <c r="C4444" s="53" t="n">
        <v>25</v>
      </c>
      <c r="D4444" s="53" t="n">
        <v>1</v>
      </c>
      <c r="E4444" s="65" t="n">
        <f aca="false">IF($H4444="","",生产加工!$B25)</f>
        <v>46239</v>
      </c>
      <c r="F4444" s="55" t="str">
        <f aca="false">IF($H4444="","",生产加工!$C25)</f>
        <v>木业</v>
      </c>
      <c r="G4444" s="48" t="str">
        <f aca="false">IF($H4444="","",生产加工!$N25)</f>
        <v>原木开料</v>
      </c>
      <c r="H4444" s="10" t="str">
        <f aca="false">IF($L4444="","",IF($L4444="@对方",生产加工!$K25,IF($L4444="@存货",生产加工!$Q25,$L4444)))</f>
        <v>生产成本</v>
      </c>
      <c r="I4444" s="42" t="n">
        <f aca="false">IF($M4444="借",$O4444,0)</f>
        <v>60624.66</v>
      </c>
      <c r="J4444" s="42" t="n">
        <f aca="false">IF($M4444="贷",$O4444,0)</f>
        <v>0</v>
      </c>
      <c r="K4444" s="48"/>
      <c r="L4444" s="66" t="str">
        <f aca="false">IF(生产加工!$E25="","",IFERROR(INDEX(记账规则!$A$36:$H$38,MATCH(生产加工!$E25,记账规则!$A$36:$A$38,0),3),""))</f>
        <v>生产成本</v>
      </c>
      <c r="M4444" s="66" t="str">
        <f aca="false">IF($L4444="","",IFERROR(INDEX(记账规则!$A$36:$H$38,MATCH(生产加工!$E25,记账规则!$A$36:$A$38,0),4),""))</f>
        <v>借</v>
      </c>
      <c r="N4444" s="66" t="str">
        <f aca="false">IF($L4444="","",IFERROR(INDEX(记账规则!$A$36:$H$38,MATCH(生产加工!$E25,记账规则!$A$36:$A$38,0),5),""))</f>
        <v>记账金额</v>
      </c>
      <c r="O4444" s="67" t="n">
        <f aca="false">IF($H4444="",0,ROUND(IF($N4444="记账金额",N(生产加工!$U25),0),2))</f>
        <v>60624.66</v>
      </c>
      <c r="P4444" s="64" t="str">
        <f aca="false">IF(AND($H4444&lt;&gt;"",ROUND($O4444,2)&lt;&gt;0),"有","")</f>
        <v>有</v>
      </c>
    </row>
    <row r="4445" customFormat="false" ht="15" hidden="false" customHeight="false" outlineLevel="0" collapsed="false">
      <c r="A4445" s="53" t="n">
        <f aca="false">IF($H4445="","",ROW()-5)</f>
        <v>4440</v>
      </c>
      <c r="B4445" s="64" t="s">
        <v>38</v>
      </c>
      <c r="C4445" s="53" t="n">
        <v>25</v>
      </c>
      <c r="D4445" s="53" t="n">
        <v>2</v>
      </c>
      <c r="E4445" s="65" t="n">
        <f aca="false">IF($H4445="","",生产加工!$B25)</f>
        <v>46239</v>
      </c>
      <c r="F4445" s="55" t="str">
        <f aca="false">IF($H4445="","",生产加工!$C25)</f>
        <v>木业</v>
      </c>
      <c r="G4445" s="48" t="str">
        <f aca="false">IF($H4445="","",生产加工!$N25)</f>
        <v>原木开料</v>
      </c>
      <c r="H4445" s="10" t="str">
        <f aca="false">IF($L4445="","",IF($L4445="@对方",生产加工!$K25,IF($L4445="@存货",生产加工!$Q25,$L4445)))</f>
        <v>原材料</v>
      </c>
      <c r="I4445" s="42" t="n">
        <f aca="false">IF($M4445="借",$O4445,0)</f>
        <v>0</v>
      </c>
      <c r="J4445" s="42" t="n">
        <f aca="false">IF($M4445="贷",$O4445,0)</f>
        <v>60624.66</v>
      </c>
      <c r="K4445" s="48"/>
      <c r="L4445" s="66" t="str">
        <f aca="false">IF(生产加工!$E25="","",IFERROR(INDEX(记账规则!$A$36:$H$38,MATCH(生产加工!$E25,记账规则!$A$36:$A$38,0),6),""))</f>
        <v>@存货</v>
      </c>
      <c r="M4445" s="66" t="str">
        <f aca="false">IF($L4445="","",IFERROR(INDEX(记账规则!$A$36:$H$38,MATCH(生产加工!$E25,记账规则!$A$36:$A$38,0),7),""))</f>
        <v>贷</v>
      </c>
      <c r="N4445" s="66" t="str">
        <f aca="false">IF($L4445="","",IFERROR(INDEX(记账规则!$A$36:$H$38,MATCH(生产加工!$E25,记账规则!$A$36:$A$38,0),8),""))</f>
        <v>记账金额</v>
      </c>
      <c r="O4445" s="67" t="n">
        <f aca="false">IF($H4445="",0,ROUND(IF($N4445="记账金额",N(生产加工!$U25),0),2))</f>
        <v>60624.66</v>
      </c>
      <c r="P4445" s="64" t="str">
        <f aca="false">IF(AND($H4445&lt;&gt;"",ROUND($O4445,2)&lt;&gt;0),"有","")</f>
        <v>有</v>
      </c>
    </row>
    <row r="4446" customFormat="false" ht="15" hidden="false" customHeight="false" outlineLevel="0" collapsed="false">
      <c r="A4446" s="53" t="n">
        <f aca="false">IF($H4446="","",ROW()-5)</f>
        <v>4441</v>
      </c>
      <c r="B4446" s="64" t="s">
        <v>38</v>
      </c>
      <c r="C4446" s="53" t="n">
        <v>26</v>
      </c>
      <c r="D4446" s="53" t="n">
        <v>1</v>
      </c>
      <c r="E4446" s="65" t="n">
        <f aca="false">IF($H4446="","",生产加工!$B26)</f>
        <v>46244</v>
      </c>
      <c r="F4446" s="55" t="str">
        <f aca="false">IF($H4446="","",生产加工!$C26)</f>
        <v>木业</v>
      </c>
      <c r="G4446" s="48" t="str">
        <f aca="false">IF($H4446="","",生产加工!$N26)</f>
        <v>车间人工</v>
      </c>
      <c r="H4446" s="10" t="str">
        <f aca="false">IF($L4446="","",IF($L4446="@对方",生产加工!$K26,IF($L4446="@存货",生产加工!$Q26,$L4446)))</f>
        <v>生产成本</v>
      </c>
      <c r="I4446" s="42" t="n">
        <f aca="false">IF($M4446="借",$O4446,0)</f>
        <v>11000</v>
      </c>
      <c r="J4446" s="42" t="n">
        <f aca="false">IF($M4446="贷",$O4446,0)</f>
        <v>0</v>
      </c>
      <c r="K4446" s="48"/>
      <c r="L4446" s="66" t="str">
        <f aca="false">IF(生产加工!$E26="","",IFERROR(INDEX(记账规则!$A$36:$H$38,MATCH(生产加工!$E26,记账规则!$A$36:$A$38,0),3),""))</f>
        <v>生产成本</v>
      </c>
      <c r="M4446" s="66" t="str">
        <f aca="false">IF($L4446="","",IFERROR(INDEX(记账规则!$A$36:$H$38,MATCH(生产加工!$E26,记账规则!$A$36:$A$38,0),4),""))</f>
        <v>借</v>
      </c>
      <c r="N4446" s="66" t="str">
        <f aca="false">IF($L4446="","",IFERROR(INDEX(记账规则!$A$36:$H$38,MATCH(生产加工!$E26,记账规则!$A$36:$A$38,0),5),""))</f>
        <v>记账金额</v>
      </c>
      <c r="O4446" s="67" t="n">
        <f aca="false">IF($H4446="",0,ROUND(IF($N4446="记账金额",N(生产加工!$U26),0),2))</f>
        <v>11000</v>
      </c>
      <c r="P4446" s="64" t="str">
        <f aca="false">IF(AND($H4446&lt;&gt;"",ROUND($O4446,2)&lt;&gt;0),"有","")</f>
        <v>有</v>
      </c>
    </row>
    <row r="4447" customFormat="false" ht="15" hidden="false" customHeight="false" outlineLevel="0" collapsed="false">
      <c r="A4447" s="53" t="n">
        <f aca="false">IF($H4447="","",ROW()-5)</f>
        <v>4442</v>
      </c>
      <c r="B4447" s="64" t="s">
        <v>38</v>
      </c>
      <c r="C4447" s="53" t="n">
        <v>26</v>
      </c>
      <c r="D4447" s="53" t="n">
        <v>2</v>
      </c>
      <c r="E4447" s="65" t="n">
        <f aca="false">IF($H4447="","",生产加工!$B26)</f>
        <v>46244</v>
      </c>
      <c r="F4447" s="55" t="str">
        <f aca="false">IF($H4447="","",生产加工!$C26)</f>
        <v>木业</v>
      </c>
      <c r="G4447" s="48" t="str">
        <f aca="false">IF($H4447="","",生产加工!$N26)</f>
        <v>车间人工</v>
      </c>
      <c r="H4447" s="10" t="str">
        <f aca="false">IF($L4447="","",IF($L4447="@对方",生产加工!$K26,IF($L4447="@存货",生产加工!$Q26,$L4447)))</f>
        <v>应付职工薪酬</v>
      </c>
      <c r="I4447" s="42" t="n">
        <f aca="false">IF($M4447="借",$O4447,0)</f>
        <v>0</v>
      </c>
      <c r="J4447" s="42" t="n">
        <f aca="false">IF($M4447="贷",$O4447,0)</f>
        <v>11000</v>
      </c>
      <c r="K4447" s="48"/>
      <c r="L4447" s="66" t="str">
        <f aca="false">IF(生产加工!$E26="","",IFERROR(INDEX(记账规则!$A$36:$H$38,MATCH(生产加工!$E26,记账规则!$A$36:$A$38,0),6),""))</f>
        <v>@对方</v>
      </c>
      <c r="M4447" s="66" t="str">
        <f aca="false">IF($L4447="","",IFERROR(INDEX(记账规则!$A$36:$H$38,MATCH(生产加工!$E26,记账规则!$A$36:$A$38,0),7),""))</f>
        <v>贷</v>
      </c>
      <c r="N4447" s="66" t="str">
        <f aca="false">IF($L4447="","",IFERROR(INDEX(记账规则!$A$36:$H$38,MATCH(生产加工!$E26,记账规则!$A$36:$A$38,0),8),""))</f>
        <v>记账金额</v>
      </c>
      <c r="O4447" s="67" t="n">
        <f aca="false">IF($H4447="",0,ROUND(IF($N4447="记账金额",N(生产加工!$U26),0),2))</f>
        <v>11000</v>
      </c>
      <c r="P4447" s="64" t="str">
        <f aca="false">IF(AND($H4447&lt;&gt;"",ROUND($O4447,2)&lt;&gt;0),"有","")</f>
        <v>有</v>
      </c>
    </row>
    <row r="4448" customFormat="false" ht="15" hidden="false" customHeight="false" outlineLevel="0" collapsed="false">
      <c r="A4448" s="53" t="n">
        <f aca="false">IF($H4448="","",ROW()-5)</f>
        <v>4443</v>
      </c>
      <c r="B4448" s="64" t="s">
        <v>38</v>
      </c>
      <c r="C4448" s="53" t="n">
        <v>27</v>
      </c>
      <c r="D4448" s="53" t="n">
        <v>1</v>
      </c>
      <c r="E4448" s="65" t="n">
        <f aca="false">IF($H4448="","",生产加工!$B27)</f>
        <v>46246</v>
      </c>
      <c r="F4448" s="55" t="str">
        <f aca="false">IF($H4448="","",生产加工!$C27)</f>
        <v>木业</v>
      </c>
      <c r="G4448" s="48" t="str">
        <f aca="false">IF($H4448="","",生产加工!$N27)</f>
        <v>包装箱板材入库</v>
      </c>
      <c r="H4448" s="10" t="str">
        <f aca="false">IF($L4448="","",IF($L4448="@对方",生产加工!$K27,IF($L4448="@存货",生产加工!$Q27,$L4448)))</f>
        <v>库存商品</v>
      </c>
      <c r="I4448" s="42" t="n">
        <f aca="false">IF($M4448="借",$O4448,0)</f>
        <v>71624.66</v>
      </c>
      <c r="J4448" s="42" t="n">
        <f aca="false">IF($M4448="贷",$O4448,0)</f>
        <v>0</v>
      </c>
      <c r="K4448" s="48"/>
      <c r="L4448" s="66" t="str">
        <f aca="false">IF(生产加工!$E27="","",IFERROR(INDEX(记账规则!$A$36:$H$38,MATCH(生产加工!$E27,记账规则!$A$36:$A$38,0),3),""))</f>
        <v>@存货</v>
      </c>
      <c r="M4448" s="66" t="str">
        <f aca="false">IF($L4448="","",IFERROR(INDEX(记账规则!$A$36:$H$38,MATCH(生产加工!$E27,记账规则!$A$36:$A$38,0),4),""))</f>
        <v>借</v>
      </c>
      <c r="N4448" s="66" t="str">
        <f aca="false">IF($L4448="","",IFERROR(INDEX(记账规则!$A$36:$H$38,MATCH(生产加工!$E27,记账规则!$A$36:$A$38,0),5),""))</f>
        <v>记账金额</v>
      </c>
      <c r="O4448" s="67" t="n">
        <f aca="false">IF($H4448="",0,ROUND(IF($N4448="记账金额",N(生产加工!$U27),0),2))</f>
        <v>71624.66</v>
      </c>
      <c r="P4448" s="64" t="str">
        <f aca="false">IF(AND($H4448&lt;&gt;"",ROUND($O4448,2)&lt;&gt;0),"有","")</f>
        <v>有</v>
      </c>
    </row>
    <row r="4449" customFormat="false" ht="15" hidden="false" customHeight="false" outlineLevel="0" collapsed="false">
      <c r="A4449" s="53" t="n">
        <f aca="false">IF($H4449="","",ROW()-5)</f>
        <v>4444</v>
      </c>
      <c r="B4449" s="64" t="s">
        <v>38</v>
      </c>
      <c r="C4449" s="53" t="n">
        <v>27</v>
      </c>
      <c r="D4449" s="53" t="n">
        <v>2</v>
      </c>
      <c r="E4449" s="65" t="n">
        <f aca="false">IF($H4449="","",生产加工!$B27)</f>
        <v>46246</v>
      </c>
      <c r="F4449" s="55" t="str">
        <f aca="false">IF($H4449="","",生产加工!$C27)</f>
        <v>木业</v>
      </c>
      <c r="G4449" s="48" t="str">
        <f aca="false">IF($H4449="","",生产加工!$N27)</f>
        <v>包装箱板材入库</v>
      </c>
      <c r="H4449" s="10" t="str">
        <f aca="false">IF($L4449="","",IF($L4449="@对方",生产加工!$K27,IF($L4449="@存货",生产加工!$Q27,$L4449)))</f>
        <v>生产成本</v>
      </c>
      <c r="I4449" s="42" t="n">
        <f aca="false">IF($M4449="借",$O4449,0)</f>
        <v>0</v>
      </c>
      <c r="J4449" s="42" t="n">
        <f aca="false">IF($M4449="贷",$O4449,0)</f>
        <v>71624.66</v>
      </c>
      <c r="K4449" s="48"/>
      <c r="L4449" s="66" t="str">
        <f aca="false">IF(生产加工!$E27="","",IFERROR(INDEX(记账规则!$A$36:$H$38,MATCH(生产加工!$E27,记账规则!$A$36:$A$38,0),6),""))</f>
        <v>生产成本</v>
      </c>
      <c r="M4449" s="66" t="str">
        <f aca="false">IF($L4449="","",IFERROR(INDEX(记账规则!$A$36:$H$38,MATCH(生产加工!$E27,记账规则!$A$36:$A$38,0),7),""))</f>
        <v>贷</v>
      </c>
      <c r="N4449" s="66" t="str">
        <f aca="false">IF($L4449="","",IFERROR(INDEX(记账规则!$A$36:$H$38,MATCH(生产加工!$E27,记账规则!$A$36:$A$38,0),8),""))</f>
        <v>记账金额</v>
      </c>
      <c r="O4449" s="67" t="n">
        <f aca="false">IF($H4449="",0,ROUND(IF($N4449="记账金额",N(生产加工!$U27),0),2))</f>
        <v>71624.66</v>
      </c>
      <c r="P4449" s="64" t="str">
        <f aca="false">IF(AND($H4449&lt;&gt;"",ROUND($O4449,2)&lt;&gt;0),"有","")</f>
        <v>有</v>
      </c>
    </row>
    <row r="4450" customFormat="false" ht="15" hidden="false" customHeight="false" outlineLevel="0" collapsed="false">
      <c r="A4450" s="53" t="n">
        <f aca="false">IF($H4450="","",ROW()-5)</f>
        <v>4445</v>
      </c>
      <c r="B4450" s="64" t="s">
        <v>38</v>
      </c>
      <c r="C4450" s="53" t="n">
        <v>28</v>
      </c>
      <c r="D4450" s="53" t="n">
        <v>1</v>
      </c>
      <c r="E4450" s="65" t="n">
        <f aca="false">IF($H4450="","",生产加工!$B28)</f>
        <v>46223</v>
      </c>
      <c r="F4450" s="55" t="str">
        <f aca="false">IF($H4450="","",生产加工!$C28)</f>
        <v>科技</v>
      </c>
      <c r="G4450" s="48" t="str">
        <f aca="false">IF($H4450="","",生产加工!$N28)</f>
        <v>干艾草投料</v>
      </c>
      <c r="H4450" s="10" t="str">
        <f aca="false">IF($L4450="","",IF($L4450="@对方",生产加工!$K28,IF($L4450="@存货",生产加工!$Q28,$L4450)))</f>
        <v>生产成本</v>
      </c>
      <c r="I4450" s="42" t="n">
        <f aca="false">IF($M4450="借",$O4450,0)</f>
        <v>51127.27</v>
      </c>
      <c r="J4450" s="42" t="n">
        <f aca="false">IF($M4450="贷",$O4450,0)</f>
        <v>0</v>
      </c>
      <c r="K4450" s="48"/>
      <c r="L4450" s="66" t="str">
        <f aca="false">IF(生产加工!$E28="","",IFERROR(INDEX(记账规则!$A$36:$H$38,MATCH(生产加工!$E28,记账规则!$A$36:$A$38,0),3),""))</f>
        <v>生产成本</v>
      </c>
      <c r="M4450" s="66" t="str">
        <f aca="false">IF($L4450="","",IFERROR(INDEX(记账规则!$A$36:$H$38,MATCH(生产加工!$E28,记账规则!$A$36:$A$38,0),4),""))</f>
        <v>借</v>
      </c>
      <c r="N4450" s="66" t="str">
        <f aca="false">IF($L4450="","",IFERROR(INDEX(记账规则!$A$36:$H$38,MATCH(生产加工!$E28,记账规则!$A$36:$A$38,0),5),""))</f>
        <v>记账金额</v>
      </c>
      <c r="O4450" s="67" t="n">
        <f aca="false">IF($H4450="",0,ROUND(IF($N4450="记账金额",N(生产加工!$U28),0),2))</f>
        <v>51127.27</v>
      </c>
      <c r="P4450" s="64" t="str">
        <f aca="false">IF(AND($H4450&lt;&gt;"",ROUND($O4450,2)&lt;&gt;0),"有","")</f>
        <v>有</v>
      </c>
    </row>
    <row r="4451" customFormat="false" ht="15" hidden="false" customHeight="false" outlineLevel="0" collapsed="false">
      <c r="A4451" s="53" t="n">
        <f aca="false">IF($H4451="","",ROW()-5)</f>
        <v>4446</v>
      </c>
      <c r="B4451" s="64" t="s">
        <v>38</v>
      </c>
      <c r="C4451" s="53" t="n">
        <v>28</v>
      </c>
      <c r="D4451" s="53" t="n">
        <v>2</v>
      </c>
      <c r="E4451" s="65" t="n">
        <f aca="false">IF($H4451="","",生产加工!$B28)</f>
        <v>46223</v>
      </c>
      <c r="F4451" s="55" t="str">
        <f aca="false">IF($H4451="","",生产加工!$C28)</f>
        <v>科技</v>
      </c>
      <c r="G4451" s="48" t="str">
        <f aca="false">IF($H4451="","",生产加工!$N28)</f>
        <v>干艾草投料</v>
      </c>
      <c r="H4451" s="10" t="str">
        <f aca="false">IF($L4451="","",IF($L4451="@对方",生产加工!$K28,IF($L4451="@存货",生产加工!$Q28,$L4451)))</f>
        <v>原材料</v>
      </c>
      <c r="I4451" s="42" t="n">
        <f aca="false">IF($M4451="借",$O4451,0)</f>
        <v>0</v>
      </c>
      <c r="J4451" s="42" t="n">
        <f aca="false">IF($M4451="贷",$O4451,0)</f>
        <v>51127.27</v>
      </c>
      <c r="K4451" s="48"/>
      <c r="L4451" s="66" t="str">
        <f aca="false">IF(生产加工!$E28="","",IFERROR(INDEX(记账规则!$A$36:$H$38,MATCH(生产加工!$E28,记账规则!$A$36:$A$38,0),6),""))</f>
        <v>@存货</v>
      </c>
      <c r="M4451" s="66" t="str">
        <f aca="false">IF($L4451="","",IFERROR(INDEX(记账规则!$A$36:$H$38,MATCH(生产加工!$E28,记账规则!$A$36:$A$38,0),7),""))</f>
        <v>贷</v>
      </c>
      <c r="N4451" s="66" t="str">
        <f aca="false">IF($L4451="","",IFERROR(INDEX(记账规则!$A$36:$H$38,MATCH(生产加工!$E28,记账规则!$A$36:$A$38,0),8),""))</f>
        <v>记账金额</v>
      </c>
      <c r="O4451" s="67" t="n">
        <f aca="false">IF($H4451="",0,ROUND(IF($N4451="记账金额",N(生产加工!$U28),0),2))</f>
        <v>51127.27</v>
      </c>
      <c r="P4451" s="64" t="str">
        <f aca="false">IF(AND($H4451&lt;&gt;"",ROUND($O4451,2)&lt;&gt;0),"有","")</f>
        <v>有</v>
      </c>
    </row>
    <row r="4452" customFormat="false" ht="15" hidden="false" customHeight="false" outlineLevel="0" collapsed="false">
      <c r="A4452" s="53" t="n">
        <f aca="false">IF($H4452="","",ROW()-5)</f>
        <v>4447</v>
      </c>
      <c r="B4452" s="64" t="s">
        <v>38</v>
      </c>
      <c r="C4452" s="53" t="n">
        <v>29</v>
      </c>
      <c r="D4452" s="53" t="n">
        <v>1</v>
      </c>
      <c r="E4452" s="65" t="n">
        <f aca="false">IF($H4452="","",生产加工!$B29)</f>
        <v>46228</v>
      </c>
      <c r="F4452" s="55" t="str">
        <f aca="false">IF($H4452="","",生产加工!$C29)</f>
        <v>科技</v>
      </c>
      <c r="G4452" s="48" t="str">
        <f aca="false">IF($H4452="","",生产加工!$N29)</f>
        <v>提取人工及能耗</v>
      </c>
      <c r="H4452" s="10" t="str">
        <f aca="false">IF($L4452="","",IF($L4452="@对方",生产加工!$K29,IF($L4452="@存货",生产加工!$Q29,$L4452)))</f>
        <v>生产成本</v>
      </c>
      <c r="I4452" s="42" t="n">
        <f aca="false">IF($M4452="借",$O4452,0)</f>
        <v>36000</v>
      </c>
      <c r="J4452" s="42" t="n">
        <f aca="false">IF($M4452="贷",$O4452,0)</f>
        <v>0</v>
      </c>
      <c r="K4452" s="48"/>
      <c r="L4452" s="66" t="str">
        <f aca="false">IF(生产加工!$E29="","",IFERROR(INDEX(记账规则!$A$36:$H$38,MATCH(生产加工!$E29,记账规则!$A$36:$A$38,0),3),""))</f>
        <v>生产成本</v>
      </c>
      <c r="M4452" s="66" t="str">
        <f aca="false">IF($L4452="","",IFERROR(INDEX(记账规则!$A$36:$H$38,MATCH(生产加工!$E29,记账规则!$A$36:$A$38,0),4),""))</f>
        <v>借</v>
      </c>
      <c r="N4452" s="66" t="str">
        <f aca="false">IF($L4452="","",IFERROR(INDEX(记账规则!$A$36:$H$38,MATCH(生产加工!$E29,记账规则!$A$36:$A$38,0),5),""))</f>
        <v>记账金额</v>
      </c>
      <c r="O4452" s="67" t="n">
        <f aca="false">IF($H4452="",0,ROUND(IF($N4452="记账金额",N(生产加工!$U29),0),2))</f>
        <v>36000</v>
      </c>
      <c r="P4452" s="64" t="str">
        <f aca="false">IF(AND($H4452&lt;&gt;"",ROUND($O4452,2)&lt;&gt;0),"有","")</f>
        <v>有</v>
      </c>
    </row>
    <row r="4453" customFormat="false" ht="15" hidden="false" customHeight="false" outlineLevel="0" collapsed="false">
      <c r="A4453" s="53" t="n">
        <f aca="false">IF($H4453="","",ROW()-5)</f>
        <v>4448</v>
      </c>
      <c r="B4453" s="64" t="s">
        <v>38</v>
      </c>
      <c r="C4453" s="53" t="n">
        <v>29</v>
      </c>
      <c r="D4453" s="53" t="n">
        <v>2</v>
      </c>
      <c r="E4453" s="65" t="n">
        <f aca="false">IF($H4453="","",生产加工!$B29)</f>
        <v>46228</v>
      </c>
      <c r="F4453" s="55" t="str">
        <f aca="false">IF($H4453="","",生产加工!$C29)</f>
        <v>科技</v>
      </c>
      <c r="G4453" s="48" t="str">
        <f aca="false">IF($H4453="","",生产加工!$N29)</f>
        <v>提取人工及能耗</v>
      </c>
      <c r="H4453" s="10" t="str">
        <f aca="false">IF($L4453="","",IF($L4453="@对方",生产加工!$K29,IF($L4453="@存货",生产加工!$Q29,$L4453)))</f>
        <v>应付职工薪酬</v>
      </c>
      <c r="I4453" s="42" t="n">
        <f aca="false">IF($M4453="借",$O4453,0)</f>
        <v>0</v>
      </c>
      <c r="J4453" s="42" t="n">
        <f aca="false">IF($M4453="贷",$O4453,0)</f>
        <v>36000</v>
      </c>
      <c r="K4453" s="48"/>
      <c r="L4453" s="66" t="str">
        <f aca="false">IF(生产加工!$E29="","",IFERROR(INDEX(记账规则!$A$36:$H$38,MATCH(生产加工!$E29,记账规则!$A$36:$A$38,0),6),""))</f>
        <v>@对方</v>
      </c>
      <c r="M4453" s="66" t="str">
        <f aca="false">IF($L4453="","",IFERROR(INDEX(记账规则!$A$36:$H$38,MATCH(生产加工!$E29,记账规则!$A$36:$A$38,0),7),""))</f>
        <v>贷</v>
      </c>
      <c r="N4453" s="66" t="str">
        <f aca="false">IF($L4453="","",IFERROR(INDEX(记账规则!$A$36:$H$38,MATCH(生产加工!$E29,记账规则!$A$36:$A$38,0),8),""))</f>
        <v>记账金额</v>
      </c>
      <c r="O4453" s="67" t="n">
        <f aca="false">IF($H4453="",0,ROUND(IF($N4453="记账金额",N(生产加工!$U29),0),2))</f>
        <v>36000</v>
      </c>
      <c r="P4453" s="64" t="str">
        <f aca="false">IF(AND($H4453&lt;&gt;"",ROUND($O4453,2)&lt;&gt;0),"有","")</f>
        <v>有</v>
      </c>
    </row>
    <row r="4454" customFormat="false" ht="15" hidden="false" customHeight="false" outlineLevel="0" collapsed="false">
      <c r="A4454" s="53" t="n">
        <f aca="false">IF($H4454="","",ROW()-5)</f>
        <v>4449</v>
      </c>
      <c r="B4454" s="64" t="s">
        <v>38</v>
      </c>
      <c r="C4454" s="53" t="n">
        <v>30</v>
      </c>
      <c r="D4454" s="53" t="n">
        <v>1</v>
      </c>
      <c r="E4454" s="65" t="n">
        <f aca="false">IF($H4454="","",生产加工!$B30)</f>
        <v>46231</v>
      </c>
      <c r="F4454" s="55" t="str">
        <f aca="false">IF($H4454="","",生产加工!$C30)</f>
        <v>科技</v>
      </c>
      <c r="G4454" s="48" t="str">
        <f aca="false">IF($H4454="","",生产加工!$N30)</f>
        <v>精油原液入库</v>
      </c>
      <c r="H4454" s="10" t="str">
        <f aca="false">IF($L4454="","",IF($L4454="@对方",生产加工!$K30,IF($L4454="@存货",生产加工!$Q30,$L4454)))</f>
        <v>库存商品</v>
      </c>
      <c r="I4454" s="42" t="n">
        <f aca="false">IF($M4454="借",$O4454,0)</f>
        <v>87127.27</v>
      </c>
      <c r="J4454" s="42" t="n">
        <f aca="false">IF($M4454="贷",$O4454,0)</f>
        <v>0</v>
      </c>
      <c r="K4454" s="48"/>
      <c r="L4454" s="66" t="str">
        <f aca="false">IF(生产加工!$E30="","",IFERROR(INDEX(记账规则!$A$36:$H$38,MATCH(生产加工!$E30,记账规则!$A$36:$A$38,0),3),""))</f>
        <v>@存货</v>
      </c>
      <c r="M4454" s="66" t="str">
        <f aca="false">IF($L4454="","",IFERROR(INDEX(记账规则!$A$36:$H$38,MATCH(生产加工!$E30,记账规则!$A$36:$A$38,0),4),""))</f>
        <v>借</v>
      </c>
      <c r="N4454" s="66" t="str">
        <f aca="false">IF($L4454="","",IFERROR(INDEX(记账规则!$A$36:$H$38,MATCH(生产加工!$E30,记账规则!$A$36:$A$38,0),5),""))</f>
        <v>记账金额</v>
      </c>
      <c r="O4454" s="67" t="n">
        <f aca="false">IF($H4454="",0,ROUND(IF($N4454="记账金额",N(生产加工!$U30),0),2))</f>
        <v>87127.27</v>
      </c>
      <c r="P4454" s="64" t="str">
        <f aca="false">IF(AND($H4454&lt;&gt;"",ROUND($O4454,2)&lt;&gt;0),"有","")</f>
        <v>有</v>
      </c>
    </row>
    <row r="4455" customFormat="false" ht="15" hidden="false" customHeight="false" outlineLevel="0" collapsed="false">
      <c r="A4455" s="53" t="n">
        <f aca="false">IF($H4455="","",ROW()-5)</f>
        <v>4450</v>
      </c>
      <c r="B4455" s="64" t="s">
        <v>38</v>
      </c>
      <c r="C4455" s="53" t="n">
        <v>30</v>
      </c>
      <c r="D4455" s="53" t="n">
        <v>2</v>
      </c>
      <c r="E4455" s="65" t="n">
        <f aca="false">IF($H4455="","",生产加工!$B30)</f>
        <v>46231</v>
      </c>
      <c r="F4455" s="55" t="str">
        <f aca="false">IF($H4455="","",生产加工!$C30)</f>
        <v>科技</v>
      </c>
      <c r="G4455" s="48" t="str">
        <f aca="false">IF($H4455="","",生产加工!$N30)</f>
        <v>精油原液入库</v>
      </c>
      <c r="H4455" s="10" t="str">
        <f aca="false">IF($L4455="","",IF($L4455="@对方",生产加工!$K30,IF($L4455="@存货",生产加工!$Q30,$L4455)))</f>
        <v>生产成本</v>
      </c>
      <c r="I4455" s="42" t="n">
        <f aca="false">IF($M4455="借",$O4455,0)</f>
        <v>0</v>
      </c>
      <c r="J4455" s="42" t="n">
        <f aca="false">IF($M4455="贷",$O4455,0)</f>
        <v>87127.27</v>
      </c>
      <c r="K4455" s="48"/>
      <c r="L4455" s="66" t="str">
        <f aca="false">IF(生产加工!$E30="","",IFERROR(INDEX(记账规则!$A$36:$H$38,MATCH(生产加工!$E30,记账规则!$A$36:$A$38,0),6),""))</f>
        <v>生产成本</v>
      </c>
      <c r="M4455" s="66" t="str">
        <f aca="false">IF($L4455="","",IFERROR(INDEX(记账规则!$A$36:$H$38,MATCH(生产加工!$E30,记账规则!$A$36:$A$38,0),7),""))</f>
        <v>贷</v>
      </c>
      <c r="N4455" s="66" t="str">
        <f aca="false">IF($L4455="","",IFERROR(INDEX(记账规则!$A$36:$H$38,MATCH(生产加工!$E30,记账规则!$A$36:$A$38,0),8),""))</f>
        <v>记账金额</v>
      </c>
      <c r="O4455" s="67" t="n">
        <f aca="false">IF($H4455="",0,ROUND(IF($N4455="记账金额",N(生产加工!$U30),0),2))</f>
        <v>87127.27</v>
      </c>
      <c r="P4455" s="64" t="str">
        <f aca="false">IF(AND($H4455&lt;&gt;"",ROUND($O4455,2)&lt;&gt;0),"有","")</f>
        <v>有</v>
      </c>
    </row>
    <row r="4456" customFormat="false" ht="15" hidden="false" customHeight="false" outlineLevel="0" collapsed="false">
      <c r="A4456" s="53" t="n">
        <f aca="false">IF($H4456="","",ROW()-5)</f>
        <v>4451</v>
      </c>
      <c r="B4456" s="64" t="s">
        <v>38</v>
      </c>
      <c r="C4456" s="53" t="n">
        <v>31</v>
      </c>
      <c r="D4456" s="53" t="n">
        <v>1</v>
      </c>
      <c r="E4456" s="65" t="n">
        <f aca="false">IF($H4456="","",生产加工!$B31)</f>
        <v>46235</v>
      </c>
      <c r="F4456" s="55" t="str">
        <f aca="false">IF($H4456="","",生产加工!$C31)</f>
        <v>科技</v>
      </c>
      <c r="G4456" s="48" t="str">
        <f aca="false">IF($H4456="","",生产加工!$N31)</f>
        <v>原液投料</v>
      </c>
      <c r="H4456" s="10" t="str">
        <f aca="false">IF($L4456="","",IF($L4456="@对方",生产加工!$K31,IF($L4456="@存货",生产加工!$Q31,$L4456)))</f>
        <v>生产成本</v>
      </c>
      <c r="I4456" s="42" t="n">
        <f aca="false">IF($M4456="借",$O4456,0)</f>
        <v>67556.15</v>
      </c>
      <c r="J4456" s="42" t="n">
        <f aca="false">IF($M4456="贷",$O4456,0)</f>
        <v>0</v>
      </c>
      <c r="K4456" s="48"/>
      <c r="L4456" s="66" t="str">
        <f aca="false">IF(生产加工!$E31="","",IFERROR(INDEX(记账规则!$A$36:$H$38,MATCH(生产加工!$E31,记账规则!$A$36:$A$38,0),3),""))</f>
        <v>生产成本</v>
      </c>
      <c r="M4456" s="66" t="str">
        <f aca="false">IF($L4456="","",IFERROR(INDEX(记账规则!$A$36:$H$38,MATCH(生产加工!$E31,记账规则!$A$36:$A$38,0),4),""))</f>
        <v>借</v>
      </c>
      <c r="N4456" s="66" t="str">
        <f aca="false">IF($L4456="","",IFERROR(INDEX(记账规则!$A$36:$H$38,MATCH(生产加工!$E31,记账规则!$A$36:$A$38,0),5),""))</f>
        <v>记账金额</v>
      </c>
      <c r="O4456" s="67" t="n">
        <f aca="false">IF($H4456="",0,ROUND(IF($N4456="记账金额",N(生产加工!$U31),0),2))</f>
        <v>67556.15</v>
      </c>
      <c r="P4456" s="64" t="str">
        <f aca="false">IF(AND($H4456&lt;&gt;"",ROUND($O4456,2)&lt;&gt;0),"有","")</f>
        <v>有</v>
      </c>
    </row>
    <row r="4457" customFormat="false" ht="15" hidden="false" customHeight="false" outlineLevel="0" collapsed="false">
      <c r="A4457" s="53" t="n">
        <f aca="false">IF($H4457="","",ROW()-5)</f>
        <v>4452</v>
      </c>
      <c r="B4457" s="64" t="s">
        <v>38</v>
      </c>
      <c r="C4457" s="53" t="n">
        <v>31</v>
      </c>
      <c r="D4457" s="53" t="n">
        <v>2</v>
      </c>
      <c r="E4457" s="65" t="n">
        <f aca="false">IF($H4457="","",生产加工!$B31)</f>
        <v>46235</v>
      </c>
      <c r="F4457" s="55" t="str">
        <f aca="false">IF($H4457="","",生产加工!$C31)</f>
        <v>科技</v>
      </c>
      <c r="G4457" s="48" t="str">
        <f aca="false">IF($H4457="","",生产加工!$N31)</f>
        <v>原液投料</v>
      </c>
      <c r="H4457" s="10" t="str">
        <f aca="false">IF($L4457="","",IF($L4457="@对方",生产加工!$K31,IF($L4457="@存货",生产加工!$Q31,$L4457)))</f>
        <v>库存商品</v>
      </c>
      <c r="I4457" s="42" t="n">
        <f aca="false">IF($M4457="借",$O4457,0)</f>
        <v>0</v>
      </c>
      <c r="J4457" s="42" t="n">
        <f aca="false">IF($M4457="贷",$O4457,0)</f>
        <v>67556.15</v>
      </c>
      <c r="K4457" s="48"/>
      <c r="L4457" s="66" t="str">
        <f aca="false">IF(生产加工!$E31="","",IFERROR(INDEX(记账规则!$A$36:$H$38,MATCH(生产加工!$E31,记账规则!$A$36:$A$38,0),6),""))</f>
        <v>@存货</v>
      </c>
      <c r="M4457" s="66" t="str">
        <f aca="false">IF($L4457="","",IFERROR(INDEX(记账规则!$A$36:$H$38,MATCH(生产加工!$E31,记账规则!$A$36:$A$38,0),7),""))</f>
        <v>贷</v>
      </c>
      <c r="N4457" s="66" t="str">
        <f aca="false">IF($L4457="","",IFERROR(INDEX(记账规则!$A$36:$H$38,MATCH(生产加工!$E31,记账规则!$A$36:$A$38,0),8),""))</f>
        <v>记账金额</v>
      </c>
      <c r="O4457" s="67" t="n">
        <f aca="false">IF($H4457="",0,ROUND(IF($N4457="记账金额",N(生产加工!$U31),0),2))</f>
        <v>67556.15</v>
      </c>
      <c r="P4457" s="64" t="str">
        <f aca="false">IF(AND($H4457&lt;&gt;"",ROUND($O4457,2)&lt;&gt;0),"有","")</f>
        <v>有</v>
      </c>
    </row>
    <row r="4458" customFormat="false" ht="15" hidden="false" customHeight="false" outlineLevel="0" collapsed="false">
      <c r="A4458" s="53" t="n">
        <f aca="false">IF($H4458="","",ROW()-5)</f>
        <v>4453</v>
      </c>
      <c r="B4458" s="64" t="s">
        <v>38</v>
      </c>
      <c r="C4458" s="53" t="n">
        <v>32</v>
      </c>
      <c r="D4458" s="53" t="n">
        <v>1</v>
      </c>
      <c r="E4458" s="65" t="n">
        <f aca="false">IF($H4458="","",生产加工!$B32)</f>
        <v>46235</v>
      </c>
      <c r="F4458" s="55" t="str">
        <f aca="false">IF($H4458="","",生产加工!$C32)</f>
        <v>科技</v>
      </c>
      <c r="G4458" s="48" t="str">
        <f aca="false">IF($H4458="","",生产加工!$N32)</f>
        <v>玻璃瓶</v>
      </c>
      <c r="H4458" s="10" t="str">
        <f aca="false">IF($L4458="","",IF($L4458="@对方",生产加工!$K32,IF($L4458="@存货",生产加工!$Q32,$L4458)))</f>
        <v>生产成本</v>
      </c>
      <c r="I4458" s="42" t="n">
        <f aca="false">IF($M4458="借",$O4458,0)</f>
        <v>7497.14</v>
      </c>
      <c r="J4458" s="42" t="n">
        <f aca="false">IF($M4458="贷",$O4458,0)</f>
        <v>0</v>
      </c>
      <c r="K4458" s="48"/>
      <c r="L4458" s="66" t="str">
        <f aca="false">IF(生产加工!$E32="","",IFERROR(INDEX(记账规则!$A$36:$H$38,MATCH(生产加工!$E32,记账规则!$A$36:$A$38,0),3),""))</f>
        <v>生产成本</v>
      </c>
      <c r="M4458" s="66" t="str">
        <f aca="false">IF($L4458="","",IFERROR(INDEX(记账规则!$A$36:$H$38,MATCH(生产加工!$E32,记账规则!$A$36:$A$38,0),4),""))</f>
        <v>借</v>
      </c>
      <c r="N4458" s="66" t="str">
        <f aca="false">IF($L4458="","",IFERROR(INDEX(记账规则!$A$36:$H$38,MATCH(生产加工!$E32,记账规则!$A$36:$A$38,0),5),""))</f>
        <v>记账金额</v>
      </c>
      <c r="O4458" s="67" t="n">
        <f aca="false">IF($H4458="",0,ROUND(IF($N4458="记账金额",N(生产加工!$U32),0),2))</f>
        <v>7497.14</v>
      </c>
      <c r="P4458" s="64" t="str">
        <f aca="false">IF(AND($H4458&lt;&gt;"",ROUND($O4458,2)&lt;&gt;0),"有","")</f>
        <v>有</v>
      </c>
    </row>
    <row r="4459" customFormat="false" ht="15" hidden="false" customHeight="false" outlineLevel="0" collapsed="false">
      <c r="A4459" s="53" t="n">
        <f aca="false">IF($H4459="","",ROW()-5)</f>
        <v>4454</v>
      </c>
      <c r="B4459" s="64" t="s">
        <v>38</v>
      </c>
      <c r="C4459" s="53" t="n">
        <v>32</v>
      </c>
      <c r="D4459" s="53" t="n">
        <v>2</v>
      </c>
      <c r="E4459" s="65" t="n">
        <f aca="false">IF($H4459="","",生产加工!$B32)</f>
        <v>46235</v>
      </c>
      <c r="F4459" s="55" t="str">
        <f aca="false">IF($H4459="","",生产加工!$C32)</f>
        <v>科技</v>
      </c>
      <c r="G4459" s="48" t="str">
        <f aca="false">IF($H4459="","",生产加工!$N32)</f>
        <v>玻璃瓶</v>
      </c>
      <c r="H4459" s="10" t="str">
        <f aca="false">IF($L4459="","",IF($L4459="@对方",生产加工!$K32,IF($L4459="@存货",生产加工!$Q32,$L4459)))</f>
        <v>原材料</v>
      </c>
      <c r="I4459" s="42" t="n">
        <f aca="false">IF($M4459="借",$O4459,0)</f>
        <v>0</v>
      </c>
      <c r="J4459" s="42" t="n">
        <f aca="false">IF($M4459="贷",$O4459,0)</f>
        <v>7497.14</v>
      </c>
      <c r="K4459" s="48"/>
      <c r="L4459" s="66" t="str">
        <f aca="false">IF(生产加工!$E32="","",IFERROR(INDEX(记账规则!$A$36:$H$38,MATCH(生产加工!$E32,记账规则!$A$36:$A$38,0),6),""))</f>
        <v>@存货</v>
      </c>
      <c r="M4459" s="66" t="str">
        <f aca="false">IF($L4459="","",IFERROR(INDEX(记账规则!$A$36:$H$38,MATCH(生产加工!$E32,记账规则!$A$36:$A$38,0),7),""))</f>
        <v>贷</v>
      </c>
      <c r="N4459" s="66" t="str">
        <f aca="false">IF($L4459="","",IFERROR(INDEX(记账规则!$A$36:$H$38,MATCH(生产加工!$E32,记账规则!$A$36:$A$38,0),8),""))</f>
        <v>记账金额</v>
      </c>
      <c r="O4459" s="67" t="n">
        <f aca="false">IF($H4459="",0,ROUND(IF($N4459="记账金额",N(生产加工!$U32),0),2))</f>
        <v>7497.14</v>
      </c>
      <c r="P4459" s="64" t="str">
        <f aca="false">IF(AND($H4459&lt;&gt;"",ROUND($O4459,2)&lt;&gt;0),"有","")</f>
        <v>有</v>
      </c>
    </row>
    <row r="4460" customFormat="false" ht="15" hidden="false" customHeight="false" outlineLevel="0" collapsed="false">
      <c r="A4460" s="53" t="n">
        <f aca="false">IF($H4460="","",ROW()-5)</f>
        <v>4455</v>
      </c>
      <c r="B4460" s="64" t="s">
        <v>38</v>
      </c>
      <c r="C4460" s="53" t="n">
        <v>33</v>
      </c>
      <c r="D4460" s="53" t="n">
        <v>1</v>
      </c>
      <c r="E4460" s="65" t="n">
        <f aca="false">IF($H4460="","",生产加工!$B33)</f>
        <v>46235</v>
      </c>
      <c r="F4460" s="55" t="str">
        <f aca="false">IF($H4460="","",生产加工!$C33)</f>
        <v>科技</v>
      </c>
      <c r="G4460" s="48" t="str">
        <f aca="false">IF($H4460="","",生产加工!$N33)</f>
        <v>纸盒</v>
      </c>
      <c r="H4460" s="10" t="str">
        <f aca="false">IF($L4460="","",IF($L4460="@对方",生产加工!$K33,IF($L4460="@存货",生产加工!$Q33,$L4460)))</f>
        <v>生产成本</v>
      </c>
      <c r="I4460" s="42" t="n">
        <f aca="false">IF($M4460="借",$O4460,0)</f>
        <v>2683.64</v>
      </c>
      <c r="J4460" s="42" t="n">
        <f aca="false">IF($M4460="贷",$O4460,0)</f>
        <v>0</v>
      </c>
      <c r="K4460" s="48"/>
      <c r="L4460" s="66" t="str">
        <f aca="false">IF(生产加工!$E33="","",IFERROR(INDEX(记账规则!$A$36:$H$38,MATCH(生产加工!$E33,记账规则!$A$36:$A$38,0),3),""))</f>
        <v>生产成本</v>
      </c>
      <c r="M4460" s="66" t="str">
        <f aca="false">IF($L4460="","",IFERROR(INDEX(记账规则!$A$36:$H$38,MATCH(生产加工!$E33,记账规则!$A$36:$A$38,0),4),""))</f>
        <v>借</v>
      </c>
      <c r="N4460" s="66" t="str">
        <f aca="false">IF($L4460="","",IFERROR(INDEX(记账规则!$A$36:$H$38,MATCH(生产加工!$E33,记账规则!$A$36:$A$38,0),5),""))</f>
        <v>记账金额</v>
      </c>
      <c r="O4460" s="67" t="n">
        <f aca="false">IF($H4460="",0,ROUND(IF($N4460="记账金额",N(生产加工!$U33),0),2))</f>
        <v>2683.64</v>
      </c>
      <c r="P4460" s="64" t="str">
        <f aca="false">IF(AND($H4460&lt;&gt;"",ROUND($O4460,2)&lt;&gt;0),"有","")</f>
        <v>有</v>
      </c>
    </row>
    <row r="4461" customFormat="false" ht="15" hidden="false" customHeight="false" outlineLevel="0" collapsed="false">
      <c r="A4461" s="53" t="n">
        <f aca="false">IF($H4461="","",ROW()-5)</f>
        <v>4456</v>
      </c>
      <c r="B4461" s="64" t="s">
        <v>38</v>
      </c>
      <c r="C4461" s="53" t="n">
        <v>33</v>
      </c>
      <c r="D4461" s="53" t="n">
        <v>2</v>
      </c>
      <c r="E4461" s="65" t="n">
        <f aca="false">IF($H4461="","",生产加工!$B33)</f>
        <v>46235</v>
      </c>
      <c r="F4461" s="55" t="str">
        <f aca="false">IF($H4461="","",生产加工!$C33)</f>
        <v>科技</v>
      </c>
      <c r="G4461" s="48" t="str">
        <f aca="false">IF($H4461="","",生产加工!$N33)</f>
        <v>纸盒</v>
      </c>
      <c r="H4461" s="10" t="str">
        <f aca="false">IF($L4461="","",IF($L4461="@对方",生产加工!$K33,IF($L4461="@存货",生产加工!$Q33,$L4461)))</f>
        <v>原材料</v>
      </c>
      <c r="I4461" s="42" t="n">
        <f aca="false">IF($M4461="借",$O4461,0)</f>
        <v>0</v>
      </c>
      <c r="J4461" s="42" t="n">
        <f aca="false">IF($M4461="贷",$O4461,0)</f>
        <v>2683.64</v>
      </c>
      <c r="K4461" s="48"/>
      <c r="L4461" s="66" t="str">
        <f aca="false">IF(生产加工!$E33="","",IFERROR(INDEX(记账规则!$A$36:$H$38,MATCH(生产加工!$E33,记账规则!$A$36:$A$38,0),6),""))</f>
        <v>@存货</v>
      </c>
      <c r="M4461" s="66" t="str">
        <f aca="false">IF($L4461="","",IFERROR(INDEX(记账规则!$A$36:$H$38,MATCH(生产加工!$E33,记账规则!$A$36:$A$38,0),7),""))</f>
        <v>贷</v>
      </c>
      <c r="N4461" s="66" t="str">
        <f aca="false">IF($L4461="","",IFERROR(INDEX(记账规则!$A$36:$H$38,MATCH(生产加工!$E33,记账规则!$A$36:$A$38,0),8),""))</f>
        <v>记账金额</v>
      </c>
      <c r="O4461" s="67" t="n">
        <f aca="false">IF($H4461="",0,ROUND(IF($N4461="记账金额",N(生产加工!$U33),0),2))</f>
        <v>2683.64</v>
      </c>
      <c r="P4461" s="64" t="str">
        <f aca="false">IF(AND($H4461&lt;&gt;"",ROUND($O4461,2)&lt;&gt;0),"有","")</f>
        <v>有</v>
      </c>
    </row>
    <row r="4462" customFormat="false" ht="15" hidden="false" customHeight="false" outlineLevel="0" collapsed="false">
      <c r="A4462" s="53" t="n">
        <f aca="false">IF($H4462="","",ROW()-5)</f>
        <v>4457</v>
      </c>
      <c r="B4462" s="64" t="s">
        <v>38</v>
      </c>
      <c r="C4462" s="53" t="n">
        <v>34</v>
      </c>
      <c r="D4462" s="53" t="n">
        <v>1</v>
      </c>
      <c r="E4462" s="65" t="n">
        <f aca="false">IF($H4462="","",生产加工!$B34)</f>
        <v>46237</v>
      </c>
      <c r="F4462" s="55" t="str">
        <f aca="false">IF($H4462="","",生产加工!$C34)</f>
        <v>科技</v>
      </c>
      <c r="G4462" s="48" t="str">
        <f aca="false">IF($H4462="","",生产加工!$N34)</f>
        <v>灌装人工</v>
      </c>
      <c r="H4462" s="10" t="str">
        <f aca="false">IF($L4462="","",IF($L4462="@对方",生产加工!$K34,IF($L4462="@存货",生产加工!$Q34,$L4462)))</f>
        <v>生产成本</v>
      </c>
      <c r="I4462" s="42" t="n">
        <f aca="false">IF($M4462="借",$O4462,0)</f>
        <v>9000</v>
      </c>
      <c r="J4462" s="42" t="n">
        <f aca="false">IF($M4462="贷",$O4462,0)</f>
        <v>0</v>
      </c>
      <c r="K4462" s="48"/>
      <c r="L4462" s="66" t="str">
        <f aca="false">IF(生产加工!$E34="","",IFERROR(INDEX(记账规则!$A$36:$H$38,MATCH(生产加工!$E34,记账规则!$A$36:$A$38,0),3),""))</f>
        <v>生产成本</v>
      </c>
      <c r="M4462" s="66" t="str">
        <f aca="false">IF($L4462="","",IFERROR(INDEX(记账规则!$A$36:$H$38,MATCH(生产加工!$E34,记账规则!$A$36:$A$38,0),4),""))</f>
        <v>借</v>
      </c>
      <c r="N4462" s="66" t="str">
        <f aca="false">IF($L4462="","",IFERROR(INDEX(记账规则!$A$36:$H$38,MATCH(生产加工!$E34,记账规则!$A$36:$A$38,0),5),""))</f>
        <v>记账金额</v>
      </c>
      <c r="O4462" s="67" t="n">
        <f aca="false">IF($H4462="",0,ROUND(IF($N4462="记账金额",N(生产加工!$U34),0),2))</f>
        <v>9000</v>
      </c>
      <c r="P4462" s="64" t="str">
        <f aca="false">IF(AND($H4462&lt;&gt;"",ROUND($O4462,2)&lt;&gt;0),"有","")</f>
        <v>有</v>
      </c>
    </row>
    <row r="4463" customFormat="false" ht="15" hidden="false" customHeight="false" outlineLevel="0" collapsed="false">
      <c r="A4463" s="53" t="n">
        <f aca="false">IF($H4463="","",ROW()-5)</f>
        <v>4458</v>
      </c>
      <c r="B4463" s="64" t="s">
        <v>38</v>
      </c>
      <c r="C4463" s="53" t="n">
        <v>34</v>
      </c>
      <c r="D4463" s="53" t="n">
        <v>2</v>
      </c>
      <c r="E4463" s="65" t="n">
        <f aca="false">IF($H4463="","",生产加工!$B34)</f>
        <v>46237</v>
      </c>
      <c r="F4463" s="55" t="str">
        <f aca="false">IF($H4463="","",生产加工!$C34)</f>
        <v>科技</v>
      </c>
      <c r="G4463" s="48" t="str">
        <f aca="false">IF($H4463="","",生产加工!$N34)</f>
        <v>灌装人工</v>
      </c>
      <c r="H4463" s="10" t="str">
        <f aca="false">IF($L4463="","",IF($L4463="@对方",生产加工!$K34,IF($L4463="@存货",生产加工!$Q34,$L4463)))</f>
        <v>应付职工薪酬</v>
      </c>
      <c r="I4463" s="42" t="n">
        <f aca="false">IF($M4463="借",$O4463,0)</f>
        <v>0</v>
      </c>
      <c r="J4463" s="42" t="n">
        <f aca="false">IF($M4463="贷",$O4463,0)</f>
        <v>9000</v>
      </c>
      <c r="K4463" s="48"/>
      <c r="L4463" s="66" t="str">
        <f aca="false">IF(生产加工!$E34="","",IFERROR(INDEX(记账规则!$A$36:$H$38,MATCH(生产加工!$E34,记账规则!$A$36:$A$38,0),6),""))</f>
        <v>@对方</v>
      </c>
      <c r="M4463" s="66" t="str">
        <f aca="false">IF($L4463="","",IFERROR(INDEX(记账规则!$A$36:$H$38,MATCH(生产加工!$E34,记账规则!$A$36:$A$38,0),7),""))</f>
        <v>贷</v>
      </c>
      <c r="N4463" s="66" t="str">
        <f aca="false">IF($L4463="","",IFERROR(INDEX(记账规则!$A$36:$H$38,MATCH(生产加工!$E34,记账规则!$A$36:$A$38,0),8),""))</f>
        <v>记账金额</v>
      </c>
      <c r="O4463" s="67" t="n">
        <f aca="false">IF($H4463="",0,ROUND(IF($N4463="记账金额",N(生产加工!$U34),0),2))</f>
        <v>9000</v>
      </c>
      <c r="P4463" s="64" t="str">
        <f aca="false">IF(AND($H4463&lt;&gt;"",ROUND($O4463,2)&lt;&gt;0),"有","")</f>
        <v>有</v>
      </c>
    </row>
    <row r="4464" customFormat="false" ht="15" hidden="false" customHeight="false" outlineLevel="0" collapsed="false">
      <c r="A4464" s="53" t="n">
        <f aca="false">IF($H4464="","",ROW()-5)</f>
        <v>4459</v>
      </c>
      <c r="B4464" s="64" t="s">
        <v>38</v>
      </c>
      <c r="C4464" s="53" t="n">
        <v>35</v>
      </c>
      <c r="D4464" s="53" t="n">
        <v>1</v>
      </c>
      <c r="E4464" s="65" t="n">
        <f aca="false">IF($H4464="","",生产加工!$B35)</f>
        <v>46239</v>
      </c>
      <c r="F4464" s="55" t="str">
        <f aca="false">IF($H4464="","",生产加工!$C35)</f>
        <v>科技</v>
      </c>
      <c r="G4464" s="48" t="str">
        <f aca="false">IF($H4464="","",生产加工!$N35)</f>
        <v>10ml 精油入库</v>
      </c>
      <c r="H4464" s="10" t="str">
        <f aca="false">IF($L4464="","",IF($L4464="@对方",生产加工!$K35,IF($L4464="@存货",生产加工!$Q35,$L4464)))</f>
        <v>库存商品</v>
      </c>
      <c r="I4464" s="42" t="n">
        <f aca="false">IF($M4464="借",$O4464,0)</f>
        <v>86736.93</v>
      </c>
      <c r="J4464" s="42" t="n">
        <f aca="false">IF($M4464="贷",$O4464,0)</f>
        <v>0</v>
      </c>
      <c r="K4464" s="48"/>
      <c r="L4464" s="66" t="str">
        <f aca="false">IF(生产加工!$E35="","",IFERROR(INDEX(记账规则!$A$36:$H$38,MATCH(生产加工!$E35,记账规则!$A$36:$A$38,0),3),""))</f>
        <v>@存货</v>
      </c>
      <c r="M4464" s="66" t="str">
        <f aca="false">IF($L4464="","",IFERROR(INDEX(记账规则!$A$36:$H$38,MATCH(生产加工!$E35,记账规则!$A$36:$A$38,0),4),""))</f>
        <v>借</v>
      </c>
      <c r="N4464" s="66" t="str">
        <f aca="false">IF($L4464="","",IFERROR(INDEX(记账规则!$A$36:$H$38,MATCH(生产加工!$E35,记账规则!$A$36:$A$38,0),5),""))</f>
        <v>记账金额</v>
      </c>
      <c r="O4464" s="67" t="n">
        <f aca="false">IF($H4464="",0,ROUND(IF($N4464="记账金额",N(生产加工!$U35),0),2))</f>
        <v>86736.93</v>
      </c>
      <c r="P4464" s="64" t="str">
        <f aca="false">IF(AND($H4464&lt;&gt;"",ROUND($O4464,2)&lt;&gt;0),"有","")</f>
        <v>有</v>
      </c>
    </row>
    <row r="4465" customFormat="false" ht="15" hidden="false" customHeight="false" outlineLevel="0" collapsed="false">
      <c r="A4465" s="53" t="n">
        <f aca="false">IF($H4465="","",ROW()-5)</f>
        <v>4460</v>
      </c>
      <c r="B4465" s="64" t="s">
        <v>38</v>
      </c>
      <c r="C4465" s="53" t="n">
        <v>35</v>
      </c>
      <c r="D4465" s="53" t="n">
        <v>2</v>
      </c>
      <c r="E4465" s="65" t="n">
        <f aca="false">IF($H4465="","",生产加工!$B35)</f>
        <v>46239</v>
      </c>
      <c r="F4465" s="55" t="str">
        <f aca="false">IF($H4465="","",生产加工!$C35)</f>
        <v>科技</v>
      </c>
      <c r="G4465" s="48" t="str">
        <f aca="false">IF($H4465="","",生产加工!$N35)</f>
        <v>10ml 精油入库</v>
      </c>
      <c r="H4465" s="10" t="str">
        <f aca="false">IF($L4465="","",IF($L4465="@对方",生产加工!$K35,IF($L4465="@存货",生产加工!$Q35,$L4465)))</f>
        <v>生产成本</v>
      </c>
      <c r="I4465" s="42" t="n">
        <f aca="false">IF($M4465="借",$O4465,0)</f>
        <v>0</v>
      </c>
      <c r="J4465" s="42" t="n">
        <f aca="false">IF($M4465="贷",$O4465,0)</f>
        <v>86736.93</v>
      </c>
      <c r="K4465" s="48"/>
      <c r="L4465" s="66" t="str">
        <f aca="false">IF(生产加工!$E35="","",IFERROR(INDEX(记账规则!$A$36:$H$38,MATCH(生产加工!$E35,记账规则!$A$36:$A$38,0),6),""))</f>
        <v>生产成本</v>
      </c>
      <c r="M4465" s="66" t="str">
        <f aca="false">IF($L4465="","",IFERROR(INDEX(记账规则!$A$36:$H$38,MATCH(生产加工!$E35,记账规则!$A$36:$A$38,0),7),""))</f>
        <v>贷</v>
      </c>
      <c r="N4465" s="66" t="str">
        <f aca="false">IF($L4465="","",IFERROR(INDEX(记账规则!$A$36:$H$38,MATCH(生产加工!$E35,记账规则!$A$36:$A$38,0),8),""))</f>
        <v>记账金额</v>
      </c>
      <c r="O4465" s="67" t="n">
        <f aca="false">IF($H4465="",0,ROUND(IF($N4465="记账金额",N(生产加工!$U35),0),2))</f>
        <v>86736.93</v>
      </c>
      <c r="P4465" s="64" t="str">
        <f aca="false">IF(AND($H4465&lt;&gt;"",ROUND($O4465,2)&lt;&gt;0),"有","")</f>
        <v>有</v>
      </c>
    </row>
    <row r="4466" customFormat="false" ht="15" hidden="false" customHeight="false" outlineLevel="0" collapsed="false">
      <c r="A4466" s="53" t="n">
        <f aca="false">IF($H4466="","",ROW()-5)</f>
        <v>4461</v>
      </c>
      <c r="B4466" s="64" t="s">
        <v>38</v>
      </c>
      <c r="C4466" s="53" t="n">
        <v>36</v>
      </c>
      <c r="D4466" s="53" t="n">
        <v>1</v>
      </c>
      <c r="E4466" s="65" t="n">
        <f aca="false">IF($H4466="","",生产加工!$B36)</f>
        <v>46249</v>
      </c>
      <c r="F4466" s="55" t="str">
        <f aca="false">IF($H4466="","",生产加工!$C36)</f>
        <v>科技</v>
      </c>
      <c r="G4466" s="48" t="str">
        <f aca="false">IF($H4466="","",生产加工!$N36)</f>
        <v>干艾草蒸馏</v>
      </c>
      <c r="H4466" s="10" t="str">
        <f aca="false">IF($L4466="","",IF($L4466="@对方",生产加工!$K36,IF($L4466="@存货",生产加工!$Q36,$L4466)))</f>
        <v>生产成本</v>
      </c>
      <c r="I4466" s="42" t="n">
        <f aca="false">IF($M4466="借",$O4466,0)</f>
        <v>20181.82</v>
      </c>
      <c r="J4466" s="42" t="n">
        <f aca="false">IF($M4466="贷",$O4466,0)</f>
        <v>0</v>
      </c>
      <c r="K4466" s="48"/>
      <c r="L4466" s="66" t="str">
        <f aca="false">IF(生产加工!$E36="","",IFERROR(INDEX(记账规则!$A$36:$H$38,MATCH(生产加工!$E36,记账规则!$A$36:$A$38,0),3),""))</f>
        <v>生产成本</v>
      </c>
      <c r="M4466" s="66" t="str">
        <f aca="false">IF($L4466="","",IFERROR(INDEX(记账规则!$A$36:$H$38,MATCH(生产加工!$E36,记账规则!$A$36:$A$38,0),4),""))</f>
        <v>借</v>
      </c>
      <c r="N4466" s="66" t="str">
        <f aca="false">IF($L4466="","",IFERROR(INDEX(记账规则!$A$36:$H$38,MATCH(生产加工!$E36,记账规则!$A$36:$A$38,0),5),""))</f>
        <v>记账金额</v>
      </c>
      <c r="O4466" s="67" t="n">
        <f aca="false">IF($H4466="",0,ROUND(IF($N4466="记账金额",N(生产加工!$U36),0),2))</f>
        <v>20181.82</v>
      </c>
      <c r="P4466" s="64" t="str">
        <f aca="false">IF(AND($H4466&lt;&gt;"",ROUND($O4466,2)&lt;&gt;0),"有","")</f>
        <v>有</v>
      </c>
    </row>
    <row r="4467" customFormat="false" ht="15" hidden="false" customHeight="false" outlineLevel="0" collapsed="false">
      <c r="A4467" s="53" t="n">
        <f aca="false">IF($H4467="","",ROW()-5)</f>
        <v>4462</v>
      </c>
      <c r="B4467" s="64" t="s">
        <v>38</v>
      </c>
      <c r="C4467" s="53" t="n">
        <v>36</v>
      </c>
      <c r="D4467" s="53" t="n">
        <v>2</v>
      </c>
      <c r="E4467" s="65" t="n">
        <f aca="false">IF($H4467="","",生产加工!$B36)</f>
        <v>46249</v>
      </c>
      <c r="F4467" s="55" t="str">
        <f aca="false">IF($H4467="","",生产加工!$C36)</f>
        <v>科技</v>
      </c>
      <c r="G4467" s="48" t="str">
        <f aca="false">IF($H4467="","",生产加工!$N36)</f>
        <v>干艾草蒸馏</v>
      </c>
      <c r="H4467" s="10" t="str">
        <f aca="false">IF($L4467="","",IF($L4467="@对方",生产加工!$K36,IF($L4467="@存货",生产加工!$Q36,$L4467)))</f>
        <v>原材料</v>
      </c>
      <c r="I4467" s="42" t="n">
        <f aca="false">IF($M4467="借",$O4467,0)</f>
        <v>0</v>
      </c>
      <c r="J4467" s="42" t="n">
        <f aca="false">IF($M4467="贷",$O4467,0)</f>
        <v>20181.82</v>
      </c>
      <c r="K4467" s="48"/>
      <c r="L4467" s="66" t="str">
        <f aca="false">IF(生产加工!$E36="","",IFERROR(INDEX(记账规则!$A$36:$H$38,MATCH(生产加工!$E36,记账规则!$A$36:$A$38,0),6),""))</f>
        <v>@存货</v>
      </c>
      <c r="M4467" s="66" t="str">
        <f aca="false">IF($L4467="","",IFERROR(INDEX(记账规则!$A$36:$H$38,MATCH(生产加工!$E36,记账规则!$A$36:$A$38,0),7),""))</f>
        <v>贷</v>
      </c>
      <c r="N4467" s="66" t="str">
        <f aca="false">IF($L4467="","",IFERROR(INDEX(记账规则!$A$36:$H$38,MATCH(生产加工!$E36,记账规则!$A$36:$A$38,0),8),""))</f>
        <v>记账金额</v>
      </c>
      <c r="O4467" s="67" t="n">
        <f aca="false">IF($H4467="",0,ROUND(IF($N4467="记账金额",N(生产加工!$U36),0),2))</f>
        <v>20181.82</v>
      </c>
      <c r="P4467" s="64" t="str">
        <f aca="false">IF(AND($H4467&lt;&gt;"",ROUND($O4467,2)&lt;&gt;0),"有","")</f>
        <v>有</v>
      </c>
    </row>
    <row r="4468" customFormat="false" ht="15" hidden="false" customHeight="false" outlineLevel="0" collapsed="false">
      <c r="A4468" s="53" t="n">
        <f aca="false">IF($H4468="","",ROW()-5)</f>
        <v>4463</v>
      </c>
      <c r="B4468" s="64" t="s">
        <v>38</v>
      </c>
      <c r="C4468" s="53" t="n">
        <v>37</v>
      </c>
      <c r="D4468" s="53" t="n">
        <v>1</v>
      </c>
      <c r="E4468" s="65" t="n">
        <f aca="false">IF($H4468="","",生产加工!$B37)</f>
        <v>46249</v>
      </c>
      <c r="F4468" s="55" t="str">
        <f aca="false">IF($H4468="","",生产加工!$C37)</f>
        <v>科技</v>
      </c>
      <c r="G4468" s="48" t="str">
        <f aca="false">IF($H4468="","",生产加工!$N37)</f>
        <v>蒸馏人工及能耗</v>
      </c>
      <c r="H4468" s="10" t="str">
        <f aca="false">IF($L4468="","",IF($L4468="@对方",生产加工!$K37,IF($L4468="@存货",生产加工!$Q37,$L4468)))</f>
        <v>生产成本</v>
      </c>
      <c r="I4468" s="42" t="n">
        <f aca="false">IF($M4468="借",$O4468,0)</f>
        <v>12000</v>
      </c>
      <c r="J4468" s="42" t="n">
        <f aca="false">IF($M4468="贷",$O4468,0)</f>
        <v>0</v>
      </c>
      <c r="K4468" s="48"/>
      <c r="L4468" s="66" t="str">
        <f aca="false">IF(生产加工!$E37="","",IFERROR(INDEX(记账规则!$A$36:$H$38,MATCH(生产加工!$E37,记账规则!$A$36:$A$38,0),3),""))</f>
        <v>生产成本</v>
      </c>
      <c r="M4468" s="66" t="str">
        <f aca="false">IF($L4468="","",IFERROR(INDEX(记账规则!$A$36:$H$38,MATCH(生产加工!$E37,记账规则!$A$36:$A$38,0),4),""))</f>
        <v>借</v>
      </c>
      <c r="N4468" s="66" t="str">
        <f aca="false">IF($L4468="","",IFERROR(INDEX(记账规则!$A$36:$H$38,MATCH(生产加工!$E37,记账规则!$A$36:$A$38,0),5),""))</f>
        <v>记账金额</v>
      </c>
      <c r="O4468" s="67" t="n">
        <f aca="false">IF($H4468="",0,ROUND(IF($N4468="记账金额",N(生产加工!$U37),0),2))</f>
        <v>12000</v>
      </c>
      <c r="P4468" s="64" t="str">
        <f aca="false">IF(AND($H4468&lt;&gt;"",ROUND($O4468,2)&lt;&gt;0),"有","")</f>
        <v>有</v>
      </c>
    </row>
    <row r="4469" customFormat="false" ht="15" hidden="false" customHeight="false" outlineLevel="0" collapsed="false">
      <c r="A4469" s="53" t="n">
        <f aca="false">IF($H4469="","",ROW()-5)</f>
        <v>4464</v>
      </c>
      <c r="B4469" s="64" t="s">
        <v>38</v>
      </c>
      <c r="C4469" s="53" t="n">
        <v>37</v>
      </c>
      <c r="D4469" s="53" t="n">
        <v>2</v>
      </c>
      <c r="E4469" s="65" t="n">
        <f aca="false">IF($H4469="","",生产加工!$B37)</f>
        <v>46249</v>
      </c>
      <c r="F4469" s="55" t="str">
        <f aca="false">IF($H4469="","",生产加工!$C37)</f>
        <v>科技</v>
      </c>
      <c r="G4469" s="48" t="str">
        <f aca="false">IF($H4469="","",生产加工!$N37)</f>
        <v>蒸馏人工及能耗</v>
      </c>
      <c r="H4469" s="10" t="str">
        <f aca="false">IF($L4469="","",IF($L4469="@对方",生产加工!$K37,IF($L4469="@存货",生产加工!$Q37,$L4469)))</f>
        <v>应付职工薪酬</v>
      </c>
      <c r="I4469" s="42" t="n">
        <f aca="false">IF($M4469="借",$O4469,0)</f>
        <v>0</v>
      </c>
      <c r="J4469" s="42" t="n">
        <f aca="false">IF($M4469="贷",$O4469,0)</f>
        <v>12000</v>
      </c>
      <c r="K4469" s="48"/>
      <c r="L4469" s="66" t="str">
        <f aca="false">IF(生产加工!$E37="","",IFERROR(INDEX(记账规则!$A$36:$H$38,MATCH(生产加工!$E37,记账规则!$A$36:$A$38,0),6),""))</f>
        <v>@对方</v>
      </c>
      <c r="M4469" s="66" t="str">
        <f aca="false">IF($L4469="","",IFERROR(INDEX(记账规则!$A$36:$H$38,MATCH(生产加工!$E37,记账规则!$A$36:$A$38,0),7),""))</f>
        <v>贷</v>
      </c>
      <c r="N4469" s="66" t="str">
        <f aca="false">IF($L4469="","",IFERROR(INDEX(记账规则!$A$36:$H$38,MATCH(生产加工!$E37,记账规则!$A$36:$A$38,0),8),""))</f>
        <v>记账金额</v>
      </c>
      <c r="O4469" s="67" t="n">
        <f aca="false">IF($H4469="",0,ROUND(IF($N4469="记账金额",N(生产加工!$U37),0),2))</f>
        <v>12000</v>
      </c>
      <c r="P4469" s="64" t="str">
        <f aca="false">IF(AND($H4469&lt;&gt;"",ROUND($O4469,2)&lt;&gt;0),"有","")</f>
        <v>有</v>
      </c>
    </row>
    <row r="4470" customFormat="false" ht="15" hidden="false" customHeight="false" outlineLevel="0" collapsed="false">
      <c r="A4470" s="53" t="n">
        <f aca="false">IF($H4470="","",ROW()-5)</f>
        <v>4465</v>
      </c>
      <c r="B4470" s="64" t="s">
        <v>38</v>
      </c>
      <c r="C4470" s="53" t="n">
        <v>38</v>
      </c>
      <c r="D4470" s="53" t="n">
        <v>1</v>
      </c>
      <c r="E4470" s="65" t="n">
        <f aca="false">IF($H4470="","",生产加工!$B38)</f>
        <v>46252</v>
      </c>
      <c r="F4470" s="55" t="str">
        <f aca="false">IF($H4470="","",生产加工!$C38)</f>
        <v>科技</v>
      </c>
      <c r="G4470" s="48" t="str">
        <f aca="false">IF($H4470="","",生产加工!$N38)</f>
        <v>纯露入库</v>
      </c>
      <c r="H4470" s="10" t="str">
        <f aca="false">IF($L4470="","",IF($L4470="@对方",生产加工!$K38,IF($L4470="@存货",生产加工!$Q38,$L4470)))</f>
        <v>库存商品</v>
      </c>
      <c r="I4470" s="42" t="n">
        <f aca="false">IF($M4470="借",$O4470,0)</f>
        <v>32181.82</v>
      </c>
      <c r="J4470" s="42" t="n">
        <f aca="false">IF($M4470="贷",$O4470,0)</f>
        <v>0</v>
      </c>
      <c r="K4470" s="48"/>
      <c r="L4470" s="66" t="str">
        <f aca="false">IF(生产加工!$E38="","",IFERROR(INDEX(记账规则!$A$36:$H$38,MATCH(生产加工!$E38,记账规则!$A$36:$A$38,0),3),""))</f>
        <v>@存货</v>
      </c>
      <c r="M4470" s="66" t="str">
        <f aca="false">IF($L4470="","",IFERROR(INDEX(记账规则!$A$36:$H$38,MATCH(生产加工!$E38,记账规则!$A$36:$A$38,0),4),""))</f>
        <v>借</v>
      </c>
      <c r="N4470" s="66" t="str">
        <f aca="false">IF($L4470="","",IFERROR(INDEX(记账规则!$A$36:$H$38,MATCH(生产加工!$E38,记账规则!$A$36:$A$38,0),5),""))</f>
        <v>记账金额</v>
      </c>
      <c r="O4470" s="67" t="n">
        <f aca="false">IF($H4470="",0,ROUND(IF($N4470="记账金额",N(生产加工!$U38),0),2))</f>
        <v>32181.82</v>
      </c>
      <c r="P4470" s="64" t="str">
        <f aca="false">IF(AND($H4470&lt;&gt;"",ROUND($O4470,2)&lt;&gt;0),"有","")</f>
        <v>有</v>
      </c>
    </row>
    <row r="4471" customFormat="false" ht="15" hidden="false" customHeight="false" outlineLevel="0" collapsed="false">
      <c r="A4471" s="53" t="n">
        <f aca="false">IF($H4471="","",ROW()-5)</f>
        <v>4466</v>
      </c>
      <c r="B4471" s="64" t="s">
        <v>38</v>
      </c>
      <c r="C4471" s="53" t="n">
        <v>38</v>
      </c>
      <c r="D4471" s="53" t="n">
        <v>2</v>
      </c>
      <c r="E4471" s="65" t="n">
        <f aca="false">IF($H4471="","",生产加工!$B38)</f>
        <v>46252</v>
      </c>
      <c r="F4471" s="55" t="str">
        <f aca="false">IF($H4471="","",生产加工!$C38)</f>
        <v>科技</v>
      </c>
      <c r="G4471" s="48" t="str">
        <f aca="false">IF($H4471="","",生产加工!$N38)</f>
        <v>纯露入库</v>
      </c>
      <c r="H4471" s="10" t="str">
        <f aca="false">IF($L4471="","",IF($L4471="@对方",生产加工!$K38,IF($L4471="@存货",生产加工!$Q38,$L4471)))</f>
        <v>生产成本</v>
      </c>
      <c r="I4471" s="42" t="n">
        <f aca="false">IF($M4471="借",$O4471,0)</f>
        <v>0</v>
      </c>
      <c r="J4471" s="42" t="n">
        <f aca="false">IF($M4471="贷",$O4471,0)</f>
        <v>32181.82</v>
      </c>
      <c r="K4471" s="48"/>
      <c r="L4471" s="66" t="str">
        <f aca="false">IF(生产加工!$E38="","",IFERROR(INDEX(记账规则!$A$36:$H$38,MATCH(生产加工!$E38,记账规则!$A$36:$A$38,0),6),""))</f>
        <v>生产成本</v>
      </c>
      <c r="M4471" s="66" t="str">
        <f aca="false">IF($L4471="","",IFERROR(INDEX(记账规则!$A$36:$H$38,MATCH(生产加工!$E38,记账规则!$A$36:$A$38,0),7),""))</f>
        <v>贷</v>
      </c>
      <c r="N4471" s="66" t="str">
        <f aca="false">IF($L4471="","",IFERROR(INDEX(记账规则!$A$36:$H$38,MATCH(生产加工!$E38,记账规则!$A$36:$A$38,0),8),""))</f>
        <v>记账金额</v>
      </c>
      <c r="O4471" s="67" t="n">
        <f aca="false">IF($H4471="",0,ROUND(IF($N4471="记账金额",N(生产加工!$U38),0),2))</f>
        <v>32181.82</v>
      </c>
      <c r="P4471" s="64" t="str">
        <f aca="false">IF(AND($H4471&lt;&gt;"",ROUND($O4471,2)&lt;&gt;0),"有","")</f>
        <v>有</v>
      </c>
    </row>
    <row r="4472" customFormat="false" ht="15" hidden="false" customHeight="false" outlineLevel="0" collapsed="false">
      <c r="A4472" s="53" t="n">
        <f aca="false">IF($H4472="","",ROW()-5)</f>
        <v>4467</v>
      </c>
      <c r="B4472" s="64" t="s">
        <v>38</v>
      </c>
      <c r="C4472" s="53" t="n">
        <v>39</v>
      </c>
      <c r="D4472" s="53" t="n">
        <v>1</v>
      </c>
      <c r="E4472" s="65" t="n">
        <f aca="false">IF($H4472="","",生产加工!$B39)</f>
        <v>46266</v>
      </c>
      <c r="F4472" s="55" t="str">
        <f aca="false">IF($H4472="","",生产加工!$C39)</f>
        <v>科技</v>
      </c>
      <c r="G4472" s="48" t="str">
        <f aca="false">IF($H4472="","",生产加工!$N39)</f>
        <v>原液投料</v>
      </c>
      <c r="H4472" s="10" t="str">
        <f aca="false">IF($L4472="","",IF($L4472="@对方",生产加工!$K39,IF($L4472="@存货",生产加工!$Q39,$L4472)))</f>
        <v>生产成本</v>
      </c>
      <c r="I4472" s="42" t="n">
        <f aca="false">IF($M4472="借",$O4472,0)</f>
        <v>5629.68</v>
      </c>
      <c r="J4472" s="42" t="n">
        <f aca="false">IF($M4472="贷",$O4472,0)</f>
        <v>0</v>
      </c>
      <c r="K4472" s="48"/>
      <c r="L4472" s="66" t="str">
        <f aca="false">IF(生产加工!$E39="","",IFERROR(INDEX(记账规则!$A$36:$H$38,MATCH(生产加工!$E39,记账规则!$A$36:$A$38,0),3),""))</f>
        <v>生产成本</v>
      </c>
      <c r="M4472" s="66" t="str">
        <f aca="false">IF($L4472="","",IFERROR(INDEX(记账规则!$A$36:$H$38,MATCH(生产加工!$E39,记账规则!$A$36:$A$38,0),4),""))</f>
        <v>借</v>
      </c>
      <c r="N4472" s="66" t="str">
        <f aca="false">IF($L4472="","",IFERROR(INDEX(记账规则!$A$36:$H$38,MATCH(生产加工!$E39,记账规则!$A$36:$A$38,0),5),""))</f>
        <v>记账金额</v>
      </c>
      <c r="O4472" s="67" t="n">
        <f aca="false">IF($H4472="",0,ROUND(IF($N4472="记账金额",N(生产加工!$U39),0),2))</f>
        <v>5629.68</v>
      </c>
      <c r="P4472" s="64" t="str">
        <f aca="false">IF(AND($H4472&lt;&gt;"",ROUND($O4472,2)&lt;&gt;0),"有","")</f>
        <v>有</v>
      </c>
    </row>
    <row r="4473" customFormat="false" ht="15" hidden="false" customHeight="false" outlineLevel="0" collapsed="false">
      <c r="A4473" s="53" t="n">
        <f aca="false">IF($H4473="","",ROW()-5)</f>
        <v>4468</v>
      </c>
      <c r="B4473" s="64" t="s">
        <v>38</v>
      </c>
      <c r="C4473" s="53" t="n">
        <v>39</v>
      </c>
      <c r="D4473" s="53" t="n">
        <v>2</v>
      </c>
      <c r="E4473" s="65" t="n">
        <f aca="false">IF($H4473="","",生产加工!$B39)</f>
        <v>46266</v>
      </c>
      <c r="F4473" s="55" t="str">
        <f aca="false">IF($H4473="","",生产加工!$C39)</f>
        <v>科技</v>
      </c>
      <c r="G4473" s="48" t="str">
        <f aca="false">IF($H4473="","",生产加工!$N39)</f>
        <v>原液投料</v>
      </c>
      <c r="H4473" s="10" t="str">
        <f aca="false">IF($L4473="","",IF($L4473="@对方",生产加工!$K39,IF($L4473="@存货",生产加工!$Q39,$L4473)))</f>
        <v>库存商品</v>
      </c>
      <c r="I4473" s="42" t="n">
        <f aca="false">IF($M4473="借",$O4473,0)</f>
        <v>0</v>
      </c>
      <c r="J4473" s="42" t="n">
        <f aca="false">IF($M4473="贷",$O4473,0)</f>
        <v>5629.68</v>
      </c>
      <c r="K4473" s="48"/>
      <c r="L4473" s="66" t="str">
        <f aca="false">IF(生产加工!$E39="","",IFERROR(INDEX(记账规则!$A$36:$H$38,MATCH(生产加工!$E39,记账规则!$A$36:$A$38,0),6),""))</f>
        <v>@存货</v>
      </c>
      <c r="M4473" s="66" t="str">
        <f aca="false">IF($L4473="","",IFERROR(INDEX(记账规则!$A$36:$H$38,MATCH(生产加工!$E39,记账规则!$A$36:$A$38,0),7),""))</f>
        <v>贷</v>
      </c>
      <c r="N4473" s="66" t="str">
        <f aca="false">IF($L4473="","",IFERROR(INDEX(记账规则!$A$36:$H$38,MATCH(生产加工!$E39,记账规则!$A$36:$A$38,0),8),""))</f>
        <v>记账金额</v>
      </c>
      <c r="O4473" s="67" t="n">
        <f aca="false">IF($H4473="",0,ROUND(IF($N4473="记账金额",N(生产加工!$U39),0),2))</f>
        <v>5629.68</v>
      </c>
      <c r="P4473" s="64" t="str">
        <f aca="false">IF(AND($H4473&lt;&gt;"",ROUND($O4473,2)&lt;&gt;0),"有","")</f>
        <v>有</v>
      </c>
    </row>
    <row r="4474" customFormat="false" ht="15" hidden="false" customHeight="false" outlineLevel="0" collapsed="false">
      <c r="A4474" s="53" t="n">
        <f aca="false">IF($H4474="","",ROW()-5)</f>
        <v>4469</v>
      </c>
      <c r="B4474" s="64" t="s">
        <v>38</v>
      </c>
      <c r="C4474" s="53" t="n">
        <v>40</v>
      </c>
      <c r="D4474" s="53" t="n">
        <v>1</v>
      </c>
      <c r="E4474" s="65" t="n">
        <f aca="false">IF($H4474="","",生产加工!$B40)</f>
        <v>46266</v>
      </c>
      <c r="F4474" s="55" t="str">
        <f aca="false">IF($H4474="","",生产加工!$C40)</f>
        <v>科技</v>
      </c>
      <c r="G4474" s="48" t="str">
        <f aca="false">IF($H4474="","",生产加工!$N40)</f>
        <v>皂基及加工</v>
      </c>
      <c r="H4474" s="10" t="str">
        <f aca="false">IF($L4474="","",IF($L4474="@对方",生产加工!$K40,IF($L4474="@存货",生产加工!$Q40,$L4474)))</f>
        <v>生产成本</v>
      </c>
      <c r="I4474" s="42" t="n">
        <f aca="false">IF($M4474="借",$O4474,0)</f>
        <v>18000</v>
      </c>
      <c r="J4474" s="42" t="n">
        <f aca="false">IF($M4474="贷",$O4474,0)</f>
        <v>0</v>
      </c>
      <c r="K4474" s="48"/>
      <c r="L4474" s="66" t="str">
        <f aca="false">IF(生产加工!$E40="","",IFERROR(INDEX(记账规则!$A$36:$H$38,MATCH(生产加工!$E40,记账规则!$A$36:$A$38,0),3),""))</f>
        <v>生产成本</v>
      </c>
      <c r="M4474" s="66" t="str">
        <f aca="false">IF($L4474="","",IFERROR(INDEX(记账规则!$A$36:$H$38,MATCH(生产加工!$E40,记账规则!$A$36:$A$38,0),4),""))</f>
        <v>借</v>
      </c>
      <c r="N4474" s="66" t="str">
        <f aca="false">IF($L4474="","",IFERROR(INDEX(记账规则!$A$36:$H$38,MATCH(生产加工!$E40,记账规则!$A$36:$A$38,0),5),""))</f>
        <v>记账金额</v>
      </c>
      <c r="O4474" s="67" t="n">
        <f aca="false">IF($H4474="",0,ROUND(IF($N4474="记账金额",N(生产加工!$U40),0),2))</f>
        <v>18000</v>
      </c>
      <c r="P4474" s="64" t="str">
        <f aca="false">IF(AND($H4474&lt;&gt;"",ROUND($O4474,2)&lt;&gt;0),"有","")</f>
        <v>有</v>
      </c>
    </row>
    <row r="4475" customFormat="false" ht="15" hidden="false" customHeight="false" outlineLevel="0" collapsed="false">
      <c r="A4475" s="53" t="n">
        <f aca="false">IF($H4475="","",ROW()-5)</f>
        <v>4470</v>
      </c>
      <c r="B4475" s="64" t="s">
        <v>38</v>
      </c>
      <c r="C4475" s="53" t="n">
        <v>40</v>
      </c>
      <c r="D4475" s="53" t="n">
        <v>2</v>
      </c>
      <c r="E4475" s="65" t="n">
        <f aca="false">IF($H4475="","",生产加工!$B40)</f>
        <v>46266</v>
      </c>
      <c r="F4475" s="55" t="str">
        <f aca="false">IF($H4475="","",生产加工!$C40)</f>
        <v>科技</v>
      </c>
      <c r="G4475" s="48" t="str">
        <f aca="false">IF($H4475="","",生产加工!$N40)</f>
        <v>皂基及加工</v>
      </c>
      <c r="H4475" s="10" t="str">
        <f aca="false">IF($L4475="","",IF($L4475="@对方",生产加工!$K40,IF($L4475="@存货",生产加工!$Q40,$L4475)))</f>
        <v>应付职工薪酬</v>
      </c>
      <c r="I4475" s="42" t="n">
        <f aca="false">IF($M4475="借",$O4475,0)</f>
        <v>0</v>
      </c>
      <c r="J4475" s="42" t="n">
        <f aca="false">IF($M4475="贷",$O4475,0)</f>
        <v>18000</v>
      </c>
      <c r="K4475" s="48"/>
      <c r="L4475" s="66" t="str">
        <f aca="false">IF(生产加工!$E40="","",IFERROR(INDEX(记账规则!$A$36:$H$38,MATCH(生产加工!$E40,记账规则!$A$36:$A$38,0),6),""))</f>
        <v>@对方</v>
      </c>
      <c r="M4475" s="66" t="str">
        <f aca="false">IF($L4475="","",IFERROR(INDEX(记账规则!$A$36:$H$38,MATCH(生产加工!$E40,记账规则!$A$36:$A$38,0),7),""))</f>
        <v>贷</v>
      </c>
      <c r="N4475" s="66" t="str">
        <f aca="false">IF($L4475="","",IFERROR(INDEX(记账规则!$A$36:$H$38,MATCH(生产加工!$E40,记账规则!$A$36:$A$38,0),8),""))</f>
        <v>记账金额</v>
      </c>
      <c r="O4475" s="67" t="n">
        <f aca="false">IF($H4475="",0,ROUND(IF($N4475="记账金额",N(生产加工!$U40),0),2))</f>
        <v>18000</v>
      </c>
      <c r="P4475" s="64" t="str">
        <f aca="false">IF(AND($H4475&lt;&gt;"",ROUND($O4475,2)&lt;&gt;0),"有","")</f>
        <v>有</v>
      </c>
    </row>
    <row r="4476" customFormat="false" ht="15" hidden="false" customHeight="false" outlineLevel="0" collapsed="false">
      <c r="A4476" s="53" t="n">
        <f aca="false">IF($H4476="","",ROW()-5)</f>
        <v>4471</v>
      </c>
      <c r="B4476" s="64" t="s">
        <v>38</v>
      </c>
      <c r="C4476" s="53" t="n">
        <v>41</v>
      </c>
      <c r="D4476" s="53" t="n">
        <v>1</v>
      </c>
      <c r="E4476" s="65" t="n">
        <f aca="false">IF($H4476="","",生产加工!$B41)</f>
        <v>46268</v>
      </c>
      <c r="F4476" s="55" t="str">
        <f aca="false">IF($H4476="","",生产加工!$C41)</f>
        <v>科技</v>
      </c>
      <c r="G4476" s="48" t="str">
        <f aca="false">IF($H4476="","",生产加工!$N41)</f>
        <v>精油皂入库</v>
      </c>
      <c r="H4476" s="10" t="str">
        <f aca="false">IF($L4476="","",IF($L4476="@对方",生产加工!$K41,IF($L4476="@存货",生产加工!$Q41,$L4476)))</f>
        <v>库存商品</v>
      </c>
      <c r="I4476" s="42" t="n">
        <f aca="false">IF($M4476="借",$O4476,0)</f>
        <v>23629.68</v>
      </c>
      <c r="J4476" s="42" t="n">
        <f aca="false">IF($M4476="贷",$O4476,0)</f>
        <v>0</v>
      </c>
      <c r="K4476" s="48"/>
      <c r="L4476" s="66" t="str">
        <f aca="false">IF(生产加工!$E41="","",IFERROR(INDEX(记账规则!$A$36:$H$38,MATCH(生产加工!$E41,记账规则!$A$36:$A$38,0),3),""))</f>
        <v>@存货</v>
      </c>
      <c r="M4476" s="66" t="str">
        <f aca="false">IF($L4476="","",IFERROR(INDEX(记账规则!$A$36:$H$38,MATCH(生产加工!$E41,记账规则!$A$36:$A$38,0),4),""))</f>
        <v>借</v>
      </c>
      <c r="N4476" s="66" t="str">
        <f aca="false">IF($L4476="","",IFERROR(INDEX(记账规则!$A$36:$H$38,MATCH(生产加工!$E41,记账规则!$A$36:$A$38,0),5),""))</f>
        <v>记账金额</v>
      </c>
      <c r="O4476" s="67" t="n">
        <f aca="false">IF($H4476="",0,ROUND(IF($N4476="记账金额",N(生产加工!$U41),0),2))</f>
        <v>23629.68</v>
      </c>
      <c r="P4476" s="64" t="str">
        <f aca="false">IF(AND($H4476&lt;&gt;"",ROUND($O4476,2)&lt;&gt;0),"有","")</f>
        <v>有</v>
      </c>
    </row>
    <row r="4477" customFormat="false" ht="15" hidden="false" customHeight="false" outlineLevel="0" collapsed="false">
      <c r="A4477" s="53" t="n">
        <f aca="false">IF($H4477="","",ROW()-5)</f>
        <v>4472</v>
      </c>
      <c r="B4477" s="64" t="s">
        <v>38</v>
      </c>
      <c r="C4477" s="53" t="n">
        <v>41</v>
      </c>
      <c r="D4477" s="53" t="n">
        <v>2</v>
      </c>
      <c r="E4477" s="65" t="n">
        <f aca="false">IF($H4477="","",生产加工!$B41)</f>
        <v>46268</v>
      </c>
      <c r="F4477" s="55" t="str">
        <f aca="false">IF($H4477="","",生产加工!$C41)</f>
        <v>科技</v>
      </c>
      <c r="G4477" s="48" t="str">
        <f aca="false">IF($H4477="","",生产加工!$N41)</f>
        <v>精油皂入库</v>
      </c>
      <c r="H4477" s="10" t="str">
        <f aca="false">IF($L4477="","",IF($L4477="@对方",生产加工!$K41,IF($L4477="@存货",生产加工!$Q41,$L4477)))</f>
        <v>生产成本</v>
      </c>
      <c r="I4477" s="42" t="n">
        <f aca="false">IF($M4477="借",$O4477,0)</f>
        <v>0</v>
      </c>
      <c r="J4477" s="42" t="n">
        <f aca="false">IF($M4477="贷",$O4477,0)</f>
        <v>23629.68</v>
      </c>
      <c r="K4477" s="48"/>
      <c r="L4477" s="66" t="str">
        <f aca="false">IF(生产加工!$E41="","",IFERROR(INDEX(记账规则!$A$36:$H$38,MATCH(生产加工!$E41,记账规则!$A$36:$A$38,0),6),""))</f>
        <v>生产成本</v>
      </c>
      <c r="M4477" s="66" t="str">
        <f aca="false">IF($L4477="","",IFERROR(INDEX(记账规则!$A$36:$H$38,MATCH(生产加工!$E41,记账规则!$A$36:$A$38,0),7),""))</f>
        <v>贷</v>
      </c>
      <c r="N4477" s="66" t="str">
        <f aca="false">IF($L4477="","",IFERROR(INDEX(记账规则!$A$36:$H$38,MATCH(生产加工!$E41,记账规则!$A$36:$A$38,0),8),""))</f>
        <v>记账金额</v>
      </c>
      <c r="O4477" s="67" t="n">
        <f aca="false">IF($H4477="",0,ROUND(IF($N4477="记账金额",N(生产加工!$U41),0),2))</f>
        <v>23629.68</v>
      </c>
      <c r="P4477" s="64" t="str">
        <f aca="false">IF(AND($H4477&lt;&gt;"",ROUND($O4477,2)&lt;&gt;0),"有","")</f>
        <v>有</v>
      </c>
    </row>
    <row r="4478" customFormat="false" ht="15" hidden="true" customHeight="false" outlineLevel="0" collapsed="false">
      <c r="A4478" s="53" t="str">
        <f aca="false">IF($H4478="","",ROW()-5)</f>
        <v/>
      </c>
      <c r="B4478" s="64" t="s">
        <v>38</v>
      </c>
      <c r="C4478" s="53" t="n">
        <v>42</v>
      </c>
      <c r="D4478" s="53" t="n">
        <v>1</v>
      </c>
      <c r="E4478" s="65" t="str">
        <f aca="false">IF($H4478="","",生产加工!$B42)</f>
        <v/>
      </c>
      <c r="F4478" s="55" t="str">
        <f aca="false">IF($H4478="","",生产加工!$C42)</f>
        <v/>
      </c>
      <c r="G4478" s="48" t="str">
        <f aca="false">IF($H4478="","",生产加工!$N42)</f>
        <v/>
      </c>
      <c r="H4478" s="10" t="str">
        <f aca="false">IF($L4478="","",IF($L4478="@对方",生产加工!$K42,IF($L4478="@存货",生产加工!$Q42,$L4478)))</f>
        <v/>
      </c>
      <c r="I4478" s="42" t="n">
        <f aca="false">IF($M4478="借",$O4478,0)</f>
        <v>0</v>
      </c>
      <c r="J4478" s="42" t="n">
        <f aca="false">IF($M4478="贷",$O4478,0)</f>
        <v>0</v>
      </c>
      <c r="K4478" s="48"/>
      <c r="L4478" s="66" t="str">
        <f aca="false">IF(生产加工!$E42="","",IFERROR(INDEX(记账规则!$A$36:$H$38,MATCH(生产加工!$E42,记账规则!$A$36:$A$38,0),3),""))</f>
        <v/>
      </c>
      <c r="M4478" s="66" t="str">
        <f aca="false">IF($L4478="","",IFERROR(INDEX(记账规则!$A$36:$H$38,MATCH(生产加工!$E42,记账规则!$A$36:$A$38,0),4),""))</f>
        <v/>
      </c>
      <c r="N4478" s="66" t="str">
        <f aca="false">IF($L4478="","",IFERROR(INDEX(记账规则!$A$36:$H$38,MATCH(生产加工!$E42,记账规则!$A$36:$A$38,0),5),""))</f>
        <v/>
      </c>
      <c r="O4478" s="67" t="n">
        <f aca="false">IF($H4478="",0,ROUND(IF($N4478="记账金额",N(生产加工!$U42),0),2))</f>
        <v>0</v>
      </c>
      <c r="P4478" s="64" t="str">
        <f aca="false">IF(AND($H4478&lt;&gt;"",ROUND($O4478,2)&lt;&gt;0),"有","")</f>
        <v/>
      </c>
    </row>
    <row r="4479" customFormat="false" ht="15" hidden="true" customHeight="false" outlineLevel="0" collapsed="false">
      <c r="A4479" s="53" t="str">
        <f aca="false">IF($H4479="","",ROW()-5)</f>
        <v/>
      </c>
      <c r="B4479" s="64" t="s">
        <v>38</v>
      </c>
      <c r="C4479" s="53" t="n">
        <v>42</v>
      </c>
      <c r="D4479" s="53" t="n">
        <v>2</v>
      </c>
      <c r="E4479" s="65" t="str">
        <f aca="false">IF($H4479="","",生产加工!$B42)</f>
        <v/>
      </c>
      <c r="F4479" s="55" t="str">
        <f aca="false">IF($H4479="","",生产加工!$C42)</f>
        <v/>
      </c>
      <c r="G4479" s="48" t="str">
        <f aca="false">IF($H4479="","",生产加工!$N42)</f>
        <v/>
      </c>
      <c r="H4479" s="10" t="str">
        <f aca="false">IF($L4479="","",IF($L4479="@对方",生产加工!$K42,IF($L4479="@存货",生产加工!$Q42,$L4479)))</f>
        <v/>
      </c>
      <c r="I4479" s="42" t="n">
        <f aca="false">IF($M4479="借",$O4479,0)</f>
        <v>0</v>
      </c>
      <c r="J4479" s="42" t="n">
        <f aca="false">IF($M4479="贷",$O4479,0)</f>
        <v>0</v>
      </c>
      <c r="K4479" s="48"/>
      <c r="L4479" s="66" t="str">
        <f aca="false">IF(生产加工!$E42="","",IFERROR(INDEX(记账规则!$A$36:$H$38,MATCH(生产加工!$E42,记账规则!$A$36:$A$38,0),6),""))</f>
        <v/>
      </c>
      <c r="M4479" s="66" t="str">
        <f aca="false">IF($L4479="","",IFERROR(INDEX(记账规则!$A$36:$H$38,MATCH(生产加工!$E42,记账规则!$A$36:$A$38,0),7),""))</f>
        <v/>
      </c>
      <c r="N4479" s="66" t="str">
        <f aca="false">IF($L4479="","",IFERROR(INDEX(记账规则!$A$36:$H$38,MATCH(生产加工!$E42,记账规则!$A$36:$A$38,0),8),""))</f>
        <v/>
      </c>
      <c r="O4479" s="67" t="n">
        <f aca="false">IF($H4479="",0,ROUND(IF($N4479="记账金额",N(生产加工!$U42),0),2))</f>
        <v>0</v>
      </c>
      <c r="P4479" s="64" t="str">
        <f aca="false">IF(AND($H4479&lt;&gt;"",ROUND($O4479,2)&lt;&gt;0),"有","")</f>
        <v/>
      </c>
    </row>
    <row r="4480" customFormat="false" ht="15" hidden="true" customHeight="false" outlineLevel="0" collapsed="false">
      <c r="A4480" s="53" t="str">
        <f aca="false">IF($H4480="","",ROW()-5)</f>
        <v/>
      </c>
      <c r="B4480" s="64" t="s">
        <v>38</v>
      </c>
      <c r="C4480" s="53" t="n">
        <v>43</v>
      </c>
      <c r="D4480" s="53" t="n">
        <v>1</v>
      </c>
      <c r="E4480" s="65" t="str">
        <f aca="false">IF($H4480="","",生产加工!$B43)</f>
        <v/>
      </c>
      <c r="F4480" s="55" t="str">
        <f aca="false">IF($H4480="","",生产加工!$C43)</f>
        <v/>
      </c>
      <c r="G4480" s="48" t="str">
        <f aca="false">IF($H4480="","",生产加工!$N43)</f>
        <v/>
      </c>
      <c r="H4480" s="10" t="str">
        <f aca="false">IF($L4480="","",IF($L4480="@对方",生产加工!$K43,IF($L4480="@存货",生产加工!$Q43,$L4480)))</f>
        <v/>
      </c>
      <c r="I4480" s="42" t="n">
        <f aca="false">IF($M4480="借",$O4480,0)</f>
        <v>0</v>
      </c>
      <c r="J4480" s="42" t="n">
        <f aca="false">IF($M4480="贷",$O4480,0)</f>
        <v>0</v>
      </c>
      <c r="K4480" s="48"/>
      <c r="L4480" s="66" t="str">
        <f aca="false">IF(生产加工!$E43="","",IFERROR(INDEX(记账规则!$A$36:$H$38,MATCH(生产加工!$E43,记账规则!$A$36:$A$38,0),3),""))</f>
        <v/>
      </c>
      <c r="M4480" s="66" t="str">
        <f aca="false">IF($L4480="","",IFERROR(INDEX(记账规则!$A$36:$H$38,MATCH(生产加工!$E43,记账规则!$A$36:$A$38,0),4),""))</f>
        <v/>
      </c>
      <c r="N4480" s="66" t="str">
        <f aca="false">IF($L4480="","",IFERROR(INDEX(记账规则!$A$36:$H$38,MATCH(生产加工!$E43,记账规则!$A$36:$A$38,0),5),""))</f>
        <v/>
      </c>
      <c r="O4480" s="67" t="n">
        <f aca="false">IF($H4480="",0,ROUND(IF($N4480="记账金额",N(生产加工!$U43),0),2))</f>
        <v>0</v>
      </c>
      <c r="P4480" s="64" t="str">
        <f aca="false">IF(AND($H4480&lt;&gt;"",ROUND($O4480,2)&lt;&gt;0),"有","")</f>
        <v/>
      </c>
    </row>
    <row r="4481" customFormat="false" ht="15" hidden="true" customHeight="false" outlineLevel="0" collapsed="false">
      <c r="A4481" s="53" t="str">
        <f aca="false">IF($H4481="","",ROW()-5)</f>
        <v/>
      </c>
      <c r="B4481" s="64" t="s">
        <v>38</v>
      </c>
      <c r="C4481" s="53" t="n">
        <v>43</v>
      </c>
      <c r="D4481" s="53" t="n">
        <v>2</v>
      </c>
      <c r="E4481" s="65" t="str">
        <f aca="false">IF($H4481="","",生产加工!$B43)</f>
        <v/>
      </c>
      <c r="F4481" s="55" t="str">
        <f aca="false">IF($H4481="","",生产加工!$C43)</f>
        <v/>
      </c>
      <c r="G4481" s="48" t="str">
        <f aca="false">IF($H4481="","",生产加工!$N43)</f>
        <v/>
      </c>
      <c r="H4481" s="10" t="str">
        <f aca="false">IF($L4481="","",IF($L4481="@对方",生产加工!$K43,IF($L4481="@存货",生产加工!$Q43,$L4481)))</f>
        <v/>
      </c>
      <c r="I4481" s="42" t="n">
        <f aca="false">IF($M4481="借",$O4481,0)</f>
        <v>0</v>
      </c>
      <c r="J4481" s="42" t="n">
        <f aca="false">IF($M4481="贷",$O4481,0)</f>
        <v>0</v>
      </c>
      <c r="K4481" s="48"/>
      <c r="L4481" s="66" t="str">
        <f aca="false">IF(生产加工!$E43="","",IFERROR(INDEX(记账规则!$A$36:$H$38,MATCH(生产加工!$E43,记账规则!$A$36:$A$38,0),6),""))</f>
        <v/>
      </c>
      <c r="M4481" s="66" t="str">
        <f aca="false">IF($L4481="","",IFERROR(INDEX(记账规则!$A$36:$H$38,MATCH(生产加工!$E43,记账规则!$A$36:$A$38,0),7),""))</f>
        <v/>
      </c>
      <c r="N4481" s="66" t="str">
        <f aca="false">IF($L4481="","",IFERROR(INDEX(记账规则!$A$36:$H$38,MATCH(生产加工!$E43,记账规则!$A$36:$A$38,0),8),""))</f>
        <v/>
      </c>
      <c r="O4481" s="67" t="n">
        <f aca="false">IF($H4481="",0,ROUND(IF($N4481="记账金额",N(生产加工!$U43),0),2))</f>
        <v>0</v>
      </c>
      <c r="P4481" s="64" t="str">
        <f aca="false">IF(AND($H4481&lt;&gt;"",ROUND($O4481,2)&lt;&gt;0),"有","")</f>
        <v/>
      </c>
    </row>
    <row r="4482" customFormat="false" ht="15" hidden="true" customHeight="false" outlineLevel="0" collapsed="false">
      <c r="A4482" s="53" t="str">
        <f aca="false">IF($H4482="","",ROW()-5)</f>
        <v/>
      </c>
      <c r="B4482" s="64" t="s">
        <v>38</v>
      </c>
      <c r="C4482" s="53" t="n">
        <v>44</v>
      </c>
      <c r="D4482" s="53" t="n">
        <v>1</v>
      </c>
      <c r="E4482" s="65" t="str">
        <f aca="false">IF($H4482="","",生产加工!$B44)</f>
        <v/>
      </c>
      <c r="F4482" s="55" t="str">
        <f aca="false">IF($H4482="","",生产加工!$C44)</f>
        <v/>
      </c>
      <c r="G4482" s="48" t="str">
        <f aca="false">IF($H4482="","",生产加工!$N44)</f>
        <v/>
      </c>
      <c r="H4482" s="10" t="str">
        <f aca="false">IF($L4482="","",IF($L4482="@对方",生产加工!$K44,IF($L4482="@存货",生产加工!$Q44,$L4482)))</f>
        <v/>
      </c>
      <c r="I4482" s="42" t="n">
        <f aca="false">IF($M4482="借",$O4482,0)</f>
        <v>0</v>
      </c>
      <c r="J4482" s="42" t="n">
        <f aca="false">IF($M4482="贷",$O4482,0)</f>
        <v>0</v>
      </c>
      <c r="K4482" s="48"/>
      <c r="L4482" s="66" t="str">
        <f aca="false">IF(生产加工!$E44="","",IFERROR(INDEX(记账规则!$A$36:$H$38,MATCH(生产加工!$E44,记账规则!$A$36:$A$38,0),3),""))</f>
        <v/>
      </c>
      <c r="M4482" s="66" t="str">
        <f aca="false">IF($L4482="","",IFERROR(INDEX(记账规则!$A$36:$H$38,MATCH(生产加工!$E44,记账规则!$A$36:$A$38,0),4),""))</f>
        <v/>
      </c>
      <c r="N4482" s="66" t="str">
        <f aca="false">IF($L4482="","",IFERROR(INDEX(记账规则!$A$36:$H$38,MATCH(生产加工!$E44,记账规则!$A$36:$A$38,0),5),""))</f>
        <v/>
      </c>
      <c r="O4482" s="67" t="n">
        <f aca="false">IF($H4482="",0,ROUND(IF($N4482="记账金额",N(生产加工!$U44),0),2))</f>
        <v>0</v>
      </c>
      <c r="P4482" s="64" t="str">
        <f aca="false">IF(AND($H4482&lt;&gt;"",ROUND($O4482,2)&lt;&gt;0),"有","")</f>
        <v/>
      </c>
    </row>
    <row r="4483" customFormat="false" ht="15" hidden="true" customHeight="false" outlineLevel="0" collapsed="false">
      <c r="A4483" s="53" t="str">
        <f aca="false">IF($H4483="","",ROW()-5)</f>
        <v/>
      </c>
      <c r="B4483" s="64" t="s">
        <v>38</v>
      </c>
      <c r="C4483" s="53" t="n">
        <v>44</v>
      </c>
      <c r="D4483" s="53" t="n">
        <v>2</v>
      </c>
      <c r="E4483" s="65" t="str">
        <f aca="false">IF($H4483="","",生产加工!$B44)</f>
        <v/>
      </c>
      <c r="F4483" s="55" t="str">
        <f aca="false">IF($H4483="","",生产加工!$C44)</f>
        <v/>
      </c>
      <c r="G4483" s="48" t="str">
        <f aca="false">IF($H4483="","",生产加工!$N44)</f>
        <v/>
      </c>
      <c r="H4483" s="10" t="str">
        <f aca="false">IF($L4483="","",IF($L4483="@对方",生产加工!$K44,IF($L4483="@存货",生产加工!$Q44,$L4483)))</f>
        <v/>
      </c>
      <c r="I4483" s="42" t="n">
        <f aca="false">IF($M4483="借",$O4483,0)</f>
        <v>0</v>
      </c>
      <c r="J4483" s="42" t="n">
        <f aca="false">IF($M4483="贷",$O4483,0)</f>
        <v>0</v>
      </c>
      <c r="K4483" s="48"/>
      <c r="L4483" s="66" t="str">
        <f aca="false">IF(生产加工!$E44="","",IFERROR(INDEX(记账规则!$A$36:$H$38,MATCH(生产加工!$E44,记账规则!$A$36:$A$38,0),6),""))</f>
        <v/>
      </c>
      <c r="M4483" s="66" t="str">
        <f aca="false">IF($L4483="","",IFERROR(INDEX(记账规则!$A$36:$H$38,MATCH(生产加工!$E44,记账规则!$A$36:$A$38,0),7),""))</f>
        <v/>
      </c>
      <c r="N4483" s="66" t="str">
        <f aca="false">IF($L4483="","",IFERROR(INDEX(记账规则!$A$36:$H$38,MATCH(生产加工!$E44,记账规则!$A$36:$A$38,0),8),""))</f>
        <v/>
      </c>
      <c r="O4483" s="67" t="n">
        <f aca="false">IF($H4483="",0,ROUND(IF($N4483="记账金额",N(生产加工!$U44),0),2))</f>
        <v>0</v>
      </c>
      <c r="P4483" s="64" t="str">
        <f aca="false">IF(AND($H4483&lt;&gt;"",ROUND($O4483,2)&lt;&gt;0),"有","")</f>
        <v/>
      </c>
    </row>
    <row r="4484" customFormat="false" ht="15" hidden="true" customHeight="false" outlineLevel="0" collapsed="false">
      <c r="A4484" s="53" t="str">
        <f aca="false">IF($H4484="","",ROW()-5)</f>
        <v/>
      </c>
      <c r="B4484" s="64" t="s">
        <v>38</v>
      </c>
      <c r="C4484" s="53" t="n">
        <v>45</v>
      </c>
      <c r="D4484" s="53" t="n">
        <v>1</v>
      </c>
      <c r="E4484" s="65" t="str">
        <f aca="false">IF($H4484="","",生产加工!$B45)</f>
        <v/>
      </c>
      <c r="F4484" s="55" t="str">
        <f aca="false">IF($H4484="","",生产加工!$C45)</f>
        <v/>
      </c>
      <c r="G4484" s="48" t="str">
        <f aca="false">IF($H4484="","",生产加工!$N45)</f>
        <v/>
      </c>
      <c r="H4484" s="10" t="str">
        <f aca="false">IF($L4484="","",IF($L4484="@对方",生产加工!$K45,IF($L4484="@存货",生产加工!$Q45,$L4484)))</f>
        <v/>
      </c>
      <c r="I4484" s="42" t="n">
        <f aca="false">IF($M4484="借",$O4484,0)</f>
        <v>0</v>
      </c>
      <c r="J4484" s="42" t="n">
        <f aca="false">IF($M4484="贷",$O4484,0)</f>
        <v>0</v>
      </c>
      <c r="K4484" s="48"/>
      <c r="L4484" s="66" t="str">
        <f aca="false">IF(生产加工!$E45="","",IFERROR(INDEX(记账规则!$A$36:$H$38,MATCH(生产加工!$E45,记账规则!$A$36:$A$38,0),3),""))</f>
        <v/>
      </c>
      <c r="M4484" s="66" t="str">
        <f aca="false">IF($L4484="","",IFERROR(INDEX(记账规则!$A$36:$H$38,MATCH(生产加工!$E45,记账规则!$A$36:$A$38,0),4),""))</f>
        <v/>
      </c>
      <c r="N4484" s="66" t="str">
        <f aca="false">IF($L4484="","",IFERROR(INDEX(记账规则!$A$36:$H$38,MATCH(生产加工!$E45,记账规则!$A$36:$A$38,0),5),""))</f>
        <v/>
      </c>
      <c r="O4484" s="67" t="n">
        <f aca="false">IF($H4484="",0,ROUND(IF($N4484="记账金额",N(生产加工!$U45),0),2))</f>
        <v>0</v>
      </c>
      <c r="P4484" s="64" t="str">
        <f aca="false">IF(AND($H4484&lt;&gt;"",ROUND($O4484,2)&lt;&gt;0),"有","")</f>
        <v/>
      </c>
    </row>
    <row r="4485" customFormat="false" ht="15" hidden="true" customHeight="false" outlineLevel="0" collapsed="false">
      <c r="A4485" s="53" t="str">
        <f aca="false">IF($H4485="","",ROW()-5)</f>
        <v/>
      </c>
      <c r="B4485" s="64" t="s">
        <v>38</v>
      </c>
      <c r="C4485" s="53" t="n">
        <v>45</v>
      </c>
      <c r="D4485" s="53" t="n">
        <v>2</v>
      </c>
      <c r="E4485" s="65" t="str">
        <f aca="false">IF($H4485="","",生产加工!$B45)</f>
        <v/>
      </c>
      <c r="F4485" s="55" t="str">
        <f aca="false">IF($H4485="","",生产加工!$C45)</f>
        <v/>
      </c>
      <c r="G4485" s="48" t="str">
        <f aca="false">IF($H4485="","",生产加工!$N45)</f>
        <v/>
      </c>
      <c r="H4485" s="10" t="str">
        <f aca="false">IF($L4485="","",IF($L4485="@对方",生产加工!$K45,IF($L4485="@存货",生产加工!$Q45,$L4485)))</f>
        <v/>
      </c>
      <c r="I4485" s="42" t="n">
        <f aca="false">IF($M4485="借",$O4485,0)</f>
        <v>0</v>
      </c>
      <c r="J4485" s="42" t="n">
        <f aca="false">IF($M4485="贷",$O4485,0)</f>
        <v>0</v>
      </c>
      <c r="K4485" s="48"/>
      <c r="L4485" s="66" t="str">
        <f aca="false">IF(生产加工!$E45="","",IFERROR(INDEX(记账规则!$A$36:$H$38,MATCH(生产加工!$E45,记账规则!$A$36:$A$38,0),6),""))</f>
        <v/>
      </c>
      <c r="M4485" s="66" t="str">
        <f aca="false">IF($L4485="","",IFERROR(INDEX(记账规则!$A$36:$H$38,MATCH(生产加工!$E45,记账规则!$A$36:$A$38,0),7),""))</f>
        <v/>
      </c>
      <c r="N4485" s="66" t="str">
        <f aca="false">IF($L4485="","",IFERROR(INDEX(记账规则!$A$36:$H$38,MATCH(生产加工!$E45,记账规则!$A$36:$A$38,0),8),""))</f>
        <v/>
      </c>
      <c r="O4485" s="67" t="n">
        <f aca="false">IF($H4485="",0,ROUND(IF($N4485="记账金额",N(生产加工!$U45),0),2))</f>
        <v>0</v>
      </c>
      <c r="P4485" s="64" t="str">
        <f aca="false">IF(AND($H4485&lt;&gt;"",ROUND($O4485,2)&lt;&gt;0),"有","")</f>
        <v/>
      </c>
    </row>
    <row r="4486" customFormat="false" ht="15" hidden="true" customHeight="false" outlineLevel="0" collapsed="false">
      <c r="A4486" s="53" t="str">
        <f aca="false">IF($H4486="","",ROW()-5)</f>
        <v/>
      </c>
      <c r="B4486" s="64" t="s">
        <v>38</v>
      </c>
      <c r="C4486" s="53" t="n">
        <v>46</v>
      </c>
      <c r="D4486" s="53" t="n">
        <v>1</v>
      </c>
      <c r="E4486" s="65" t="str">
        <f aca="false">IF($H4486="","",生产加工!$B46)</f>
        <v/>
      </c>
      <c r="F4486" s="55" t="str">
        <f aca="false">IF($H4486="","",生产加工!$C46)</f>
        <v/>
      </c>
      <c r="G4486" s="48" t="str">
        <f aca="false">IF($H4486="","",生产加工!$N46)</f>
        <v/>
      </c>
      <c r="H4486" s="10" t="str">
        <f aca="false">IF($L4486="","",IF($L4486="@对方",生产加工!$K46,IF($L4486="@存货",生产加工!$Q46,$L4486)))</f>
        <v/>
      </c>
      <c r="I4486" s="42" t="n">
        <f aca="false">IF($M4486="借",$O4486,0)</f>
        <v>0</v>
      </c>
      <c r="J4486" s="42" t="n">
        <f aca="false">IF($M4486="贷",$O4486,0)</f>
        <v>0</v>
      </c>
      <c r="K4486" s="48"/>
      <c r="L4486" s="66" t="str">
        <f aca="false">IF(生产加工!$E46="","",IFERROR(INDEX(记账规则!$A$36:$H$38,MATCH(生产加工!$E46,记账规则!$A$36:$A$38,0),3),""))</f>
        <v/>
      </c>
      <c r="M4486" s="66" t="str">
        <f aca="false">IF($L4486="","",IFERROR(INDEX(记账规则!$A$36:$H$38,MATCH(生产加工!$E46,记账规则!$A$36:$A$38,0),4),""))</f>
        <v/>
      </c>
      <c r="N4486" s="66" t="str">
        <f aca="false">IF($L4486="","",IFERROR(INDEX(记账规则!$A$36:$H$38,MATCH(生产加工!$E46,记账规则!$A$36:$A$38,0),5),""))</f>
        <v/>
      </c>
      <c r="O4486" s="67" t="n">
        <f aca="false">IF($H4486="",0,ROUND(IF($N4486="记账金额",N(生产加工!$U46),0),2))</f>
        <v>0</v>
      </c>
      <c r="P4486" s="64" t="str">
        <f aca="false">IF(AND($H4486&lt;&gt;"",ROUND($O4486,2)&lt;&gt;0),"有","")</f>
        <v/>
      </c>
    </row>
    <row r="4487" customFormat="false" ht="15" hidden="true" customHeight="false" outlineLevel="0" collapsed="false">
      <c r="A4487" s="53" t="str">
        <f aca="false">IF($H4487="","",ROW()-5)</f>
        <v/>
      </c>
      <c r="B4487" s="64" t="s">
        <v>38</v>
      </c>
      <c r="C4487" s="53" t="n">
        <v>46</v>
      </c>
      <c r="D4487" s="53" t="n">
        <v>2</v>
      </c>
      <c r="E4487" s="65" t="str">
        <f aca="false">IF($H4487="","",生产加工!$B46)</f>
        <v/>
      </c>
      <c r="F4487" s="55" t="str">
        <f aca="false">IF($H4487="","",生产加工!$C46)</f>
        <v/>
      </c>
      <c r="G4487" s="48" t="str">
        <f aca="false">IF($H4487="","",生产加工!$N46)</f>
        <v/>
      </c>
      <c r="H4487" s="10" t="str">
        <f aca="false">IF($L4487="","",IF($L4487="@对方",生产加工!$K46,IF($L4487="@存货",生产加工!$Q46,$L4487)))</f>
        <v/>
      </c>
      <c r="I4487" s="42" t="n">
        <f aca="false">IF($M4487="借",$O4487,0)</f>
        <v>0</v>
      </c>
      <c r="J4487" s="42" t="n">
        <f aca="false">IF($M4487="贷",$O4487,0)</f>
        <v>0</v>
      </c>
      <c r="K4487" s="48"/>
      <c r="L4487" s="66" t="str">
        <f aca="false">IF(生产加工!$E46="","",IFERROR(INDEX(记账规则!$A$36:$H$38,MATCH(生产加工!$E46,记账规则!$A$36:$A$38,0),6),""))</f>
        <v/>
      </c>
      <c r="M4487" s="66" t="str">
        <f aca="false">IF($L4487="","",IFERROR(INDEX(记账规则!$A$36:$H$38,MATCH(生产加工!$E46,记账规则!$A$36:$A$38,0),7),""))</f>
        <v/>
      </c>
      <c r="N4487" s="66" t="str">
        <f aca="false">IF($L4487="","",IFERROR(INDEX(记账规则!$A$36:$H$38,MATCH(生产加工!$E46,记账规则!$A$36:$A$38,0),8),""))</f>
        <v/>
      </c>
      <c r="O4487" s="67" t="n">
        <f aca="false">IF($H4487="",0,ROUND(IF($N4487="记账金额",N(生产加工!$U46),0),2))</f>
        <v>0</v>
      </c>
      <c r="P4487" s="64" t="str">
        <f aca="false">IF(AND($H4487&lt;&gt;"",ROUND($O4487,2)&lt;&gt;0),"有","")</f>
        <v/>
      </c>
    </row>
    <row r="4488" customFormat="false" ht="15" hidden="true" customHeight="false" outlineLevel="0" collapsed="false">
      <c r="A4488" s="53" t="str">
        <f aca="false">IF($H4488="","",ROW()-5)</f>
        <v/>
      </c>
      <c r="B4488" s="64" t="s">
        <v>38</v>
      </c>
      <c r="C4488" s="53" t="n">
        <v>47</v>
      </c>
      <c r="D4488" s="53" t="n">
        <v>1</v>
      </c>
      <c r="E4488" s="65" t="str">
        <f aca="false">IF($H4488="","",生产加工!$B47)</f>
        <v/>
      </c>
      <c r="F4488" s="55" t="str">
        <f aca="false">IF($H4488="","",生产加工!$C47)</f>
        <v/>
      </c>
      <c r="G4488" s="48" t="str">
        <f aca="false">IF($H4488="","",生产加工!$N47)</f>
        <v/>
      </c>
      <c r="H4488" s="10" t="str">
        <f aca="false">IF($L4488="","",IF($L4488="@对方",生产加工!$K47,IF($L4488="@存货",生产加工!$Q47,$L4488)))</f>
        <v/>
      </c>
      <c r="I4488" s="42" t="n">
        <f aca="false">IF($M4488="借",$O4488,0)</f>
        <v>0</v>
      </c>
      <c r="J4488" s="42" t="n">
        <f aca="false">IF($M4488="贷",$O4488,0)</f>
        <v>0</v>
      </c>
      <c r="K4488" s="48"/>
      <c r="L4488" s="66" t="str">
        <f aca="false">IF(生产加工!$E47="","",IFERROR(INDEX(记账规则!$A$36:$H$38,MATCH(生产加工!$E47,记账规则!$A$36:$A$38,0),3),""))</f>
        <v/>
      </c>
      <c r="M4488" s="66" t="str">
        <f aca="false">IF($L4488="","",IFERROR(INDEX(记账规则!$A$36:$H$38,MATCH(生产加工!$E47,记账规则!$A$36:$A$38,0),4),""))</f>
        <v/>
      </c>
      <c r="N4488" s="66" t="str">
        <f aca="false">IF($L4488="","",IFERROR(INDEX(记账规则!$A$36:$H$38,MATCH(生产加工!$E47,记账规则!$A$36:$A$38,0),5),""))</f>
        <v/>
      </c>
      <c r="O4488" s="67" t="n">
        <f aca="false">IF($H4488="",0,ROUND(IF($N4488="记账金额",N(生产加工!$U47),0),2))</f>
        <v>0</v>
      </c>
      <c r="P4488" s="64" t="str">
        <f aca="false">IF(AND($H4488&lt;&gt;"",ROUND($O4488,2)&lt;&gt;0),"有","")</f>
        <v/>
      </c>
    </row>
    <row r="4489" customFormat="false" ht="15" hidden="true" customHeight="false" outlineLevel="0" collapsed="false">
      <c r="A4489" s="53" t="str">
        <f aca="false">IF($H4489="","",ROW()-5)</f>
        <v/>
      </c>
      <c r="B4489" s="64" t="s">
        <v>38</v>
      </c>
      <c r="C4489" s="53" t="n">
        <v>47</v>
      </c>
      <c r="D4489" s="53" t="n">
        <v>2</v>
      </c>
      <c r="E4489" s="65" t="str">
        <f aca="false">IF($H4489="","",生产加工!$B47)</f>
        <v/>
      </c>
      <c r="F4489" s="55" t="str">
        <f aca="false">IF($H4489="","",生产加工!$C47)</f>
        <v/>
      </c>
      <c r="G4489" s="48" t="str">
        <f aca="false">IF($H4489="","",生产加工!$N47)</f>
        <v/>
      </c>
      <c r="H4489" s="10" t="str">
        <f aca="false">IF($L4489="","",IF($L4489="@对方",生产加工!$K47,IF($L4489="@存货",生产加工!$Q47,$L4489)))</f>
        <v/>
      </c>
      <c r="I4489" s="42" t="n">
        <f aca="false">IF($M4489="借",$O4489,0)</f>
        <v>0</v>
      </c>
      <c r="J4489" s="42" t="n">
        <f aca="false">IF($M4489="贷",$O4489,0)</f>
        <v>0</v>
      </c>
      <c r="K4489" s="48"/>
      <c r="L4489" s="66" t="str">
        <f aca="false">IF(生产加工!$E47="","",IFERROR(INDEX(记账规则!$A$36:$H$38,MATCH(生产加工!$E47,记账规则!$A$36:$A$38,0),6),""))</f>
        <v/>
      </c>
      <c r="M4489" s="66" t="str">
        <f aca="false">IF($L4489="","",IFERROR(INDEX(记账规则!$A$36:$H$38,MATCH(生产加工!$E47,记账规则!$A$36:$A$38,0),7),""))</f>
        <v/>
      </c>
      <c r="N4489" s="66" t="str">
        <f aca="false">IF($L4489="","",IFERROR(INDEX(记账规则!$A$36:$H$38,MATCH(生产加工!$E47,记账规则!$A$36:$A$38,0),8),""))</f>
        <v/>
      </c>
      <c r="O4489" s="67" t="n">
        <f aca="false">IF($H4489="",0,ROUND(IF($N4489="记账金额",N(生产加工!$U47),0),2))</f>
        <v>0</v>
      </c>
      <c r="P4489" s="64" t="str">
        <f aca="false">IF(AND($H4489&lt;&gt;"",ROUND($O4489,2)&lt;&gt;0),"有","")</f>
        <v/>
      </c>
    </row>
    <row r="4490" customFormat="false" ht="15" hidden="true" customHeight="false" outlineLevel="0" collapsed="false">
      <c r="A4490" s="53" t="str">
        <f aca="false">IF($H4490="","",ROW()-5)</f>
        <v/>
      </c>
      <c r="B4490" s="64" t="s">
        <v>38</v>
      </c>
      <c r="C4490" s="53" t="n">
        <v>48</v>
      </c>
      <c r="D4490" s="53" t="n">
        <v>1</v>
      </c>
      <c r="E4490" s="65" t="str">
        <f aca="false">IF($H4490="","",生产加工!$B48)</f>
        <v/>
      </c>
      <c r="F4490" s="55" t="str">
        <f aca="false">IF($H4490="","",生产加工!$C48)</f>
        <v/>
      </c>
      <c r="G4490" s="48" t="str">
        <f aca="false">IF($H4490="","",生产加工!$N48)</f>
        <v/>
      </c>
      <c r="H4490" s="10" t="str">
        <f aca="false">IF($L4490="","",IF($L4490="@对方",生产加工!$K48,IF($L4490="@存货",生产加工!$Q48,$L4490)))</f>
        <v/>
      </c>
      <c r="I4490" s="42" t="n">
        <f aca="false">IF($M4490="借",$O4490,0)</f>
        <v>0</v>
      </c>
      <c r="J4490" s="42" t="n">
        <f aca="false">IF($M4490="贷",$O4490,0)</f>
        <v>0</v>
      </c>
      <c r="K4490" s="48"/>
      <c r="L4490" s="66" t="str">
        <f aca="false">IF(生产加工!$E48="","",IFERROR(INDEX(记账规则!$A$36:$H$38,MATCH(生产加工!$E48,记账规则!$A$36:$A$38,0),3),""))</f>
        <v/>
      </c>
      <c r="M4490" s="66" t="str">
        <f aca="false">IF($L4490="","",IFERROR(INDEX(记账规则!$A$36:$H$38,MATCH(生产加工!$E48,记账规则!$A$36:$A$38,0),4),""))</f>
        <v/>
      </c>
      <c r="N4490" s="66" t="str">
        <f aca="false">IF($L4490="","",IFERROR(INDEX(记账规则!$A$36:$H$38,MATCH(生产加工!$E48,记账规则!$A$36:$A$38,0),5),""))</f>
        <v/>
      </c>
      <c r="O4490" s="67" t="n">
        <f aca="false">IF($H4490="",0,ROUND(IF($N4490="记账金额",N(生产加工!$U48),0),2))</f>
        <v>0</v>
      </c>
      <c r="P4490" s="64" t="str">
        <f aca="false">IF(AND($H4490&lt;&gt;"",ROUND($O4490,2)&lt;&gt;0),"有","")</f>
        <v/>
      </c>
    </row>
    <row r="4491" customFormat="false" ht="15" hidden="true" customHeight="false" outlineLevel="0" collapsed="false">
      <c r="A4491" s="53" t="str">
        <f aca="false">IF($H4491="","",ROW()-5)</f>
        <v/>
      </c>
      <c r="B4491" s="64" t="s">
        <v>38</v>
      </c>
      <c r="C4491" s="53" t="n">
        <v>48</v>
      </c>
      <c r="D4491" s="53" t="n">
        <v>2</v>
      </c>
      <c r="E4491" s="65" t="str">
        <f aca="false">IF($H4491="","",生产加工!$B48)</f>
        <v/>
      </c>
      <c r="F4491" s="55" t="str">
        <f aca="false">IF($H4491="","",生产加工!$C48)</f>
        <v/>
      </c>
      <c r="G4491" s="48" t="str">
        <f aca="false">IF($H4491="","",生产加工!$N48)</f>
        <v/>
      </c>
      <c r="H4491" s="10" t="str">
        <f aca="false">IF($L4491="","",IF($L4491="@对方",生产加工!$K48,IF($L4491="@存货",生产加工!$Q48,$L4491)))</f>
        <v/>
      </c>
      <c r="I4491" s="42" t="n">
        <f aca="false">IF($M4491="借",$O4491,0)</f>
        <v>0</v>
      </c>
      <c r="J4491" s="42" t="n">
        <f aca="false">IF($M4491="贷",$O4491,0)</f>
        <v>0</v>
      </c>
      <c r="K4491" s="48"/>
      <c r="L4491" s="66" t="str">
        <f aca="false">IF(生产加工!$E48="","",IFERROR(INDEX(记账规则!$A$36:$H$38,MATCH(生产加工!$E48,记账规则!$A$36:$A$38,0),6),""))</f>
        <v/>
      </c>
      <c r="M4491" s="66" t="str">
        <f aca="false">IF($L4491="","",IFERROR(INDEX(记账规则!$A$36:$H$38,MATCH(生产加工!$E48,记账规则!$A$36:$A$38,0),7),""))</f>
        <v/>
      </c>
      <c r="N4491" s="66" t="str">
        <f aca="false">IF($L4491="","",IFERROR(INDEX(记账规则!$A$36:$H$38,MATCH(生产加工!$E48,记账规则!$A$36:$A$38,0),8),""))</f>
        <v/>
      </c>
      <c r="O4491" s="67" t="n">
        <f aca="false">IF($H4491="",0,ROUND(IF($N4491="记账金额",N(生产加工!$U48),0),2))</f>
        <v>0</v>
      </c>
      <c r="P4491" s="64" t="str">
        <f aca="false">IF(AND($H4491&lt;&gt;"",ROUND($O4491,2)&lt;&gt;0),"有","")</f>
        <v/>
      </c>
    </row>
    <row r="4492" customFormat="false" ht="15" hidden="true" customHeight="false" outlineLevel="0" collapsed="false">
      <c r="A4492" s="53" t="str">
        <f aca="false">IF($H4492="","",ROW()-5)</f>
        <v/>
      </c>
      <c r="B4492" s="64" t="s">
        <v>38</v>
      </c>
      <c r="C4492" s="53" t="n">
        <v>49</v>
      </c>
      <c r="D4492" s="53" t="n">
        <v>1</v>
      </c>
      <c r="E4492" s="65" t="str">
        <f aca="false">IF($H4492="","",生产加工!$B49)</f>
        <v/>
      </c>
      <c r="F4492" s="55" t="str">
        <f aca="false">IF($H4492="","",生产加工!$C49)</f>
        <v/>
      </c>
      <c r="G4492" s="48" t="str">
        <f aca="false">IF($H4492="","",生产加工!$N49)</f>
        <v/>
      </c>
      <c r="H4492" s="10" t="str">
        <f aca="false">IF($L4492="","",IF($L4492="@对方",生产加工!$K49,IF($L4492="@存货",生产加工!$Q49,$L4492)))</f>
        <v/>
      </c>
      <c r="I4492" s="42" t="n">
        <f aca="false">IF($M4492="借",$O4492,0)</f>
        <v>0</v>
      </c>
      <c r="J4492" s="42" t="n">
        <f aca="false">IF($M4492="贷",$O4492,0)</f>
        <v>0</v>
      </c>
      <c r="K4492" s="48"/>
      <c r="L4492" s="66" t="str">
        <f aca="false">IF(生产加工!$E49="","",IFERROR(INDEX(记账规则!$A$36:$H$38,MATCH(生产加工!$E49,记账规则!$A$36:$A$38,0),3),""))</f>
        <v/>
      </c>
      <c r="M4492" s="66" t="str">
        <f aca="false">IF($L4492="","",IFERROR(INDEX(记账规则!$A$36:$H$38,MATCH(生产加工!$E49,记账规则!$A$36:$A$38,0),4),""))</f>
        <v/>
      </c>
      <c r="N4492" s="66" t="str">
        <f aca="false">IF($L4492="","",IFERROR(INDEX(记账规则!$A$36:$H$38,MATCH(生产加工!$E49,记账规则!$A$36:$A$38,0),5),""))</f>
        <v/>
      </c>
      <c r="O4492" s="67" t="n">
        <f aca="false">IF($H4492="",0,ROUND(IF($N4492="记账金额",N(生产加工!$U49),0),2))</f>
        <v>0</v>
      </c>
      <c r="P4492" s="64" t="str">
        <f aca="false">IF(AND($H4492&lt;&gt;"",ROUND($O4492,2)&lt;&gt;0),"有","")</f>
        <v/>
      </c>
    </row>
    <row r="4493" customFormat="false" ht="15" hidden="true" customHeight="false" outlineLevel="0" collapsed="false">
      <c r="A4493" s="53" t="str">
        <f aca="false">IF($H4493="","",ROW()-5)</f>
        <v/>
      </c>
      <c r="B4493" s="64" t="s">
        <v>38</v>
      </c>
      <c r="C4493" s="53" t="n">
        <v>49</v>
      </c>
      <c r="D4493" s="53" t="n">
        <v>2</v>
      </c>
      <c r="E4493" s="65" t="str">
        <f aca="false">IF($H4493="","",生产加工!$B49)</f>
        <v/>
      </c>
      <c r="F4493" s="55" t="str">
        <f aca="false">IF($H4493="","",生产加工!$C49)</f>
        <v/>
      </c>
      <c r="G4493" s="48" t="str">
        <f aca="false">IF($H4493="","",生产加工!$N49)</f>
        <v/>
      </c>
      <c r="H4493" s="10" t="str">
        <f aca="false">IF($L4493="","",IF($L4493="@对方",生产加工!$K49,IF($L4493="@存货",生产加工!$Q49,$L4493)))</f>
        <v/>
      </c>
      <c r="I4493" s="42" t="n">
        <f aca="false">IF($M4493="借",$O4493,0)</f>
        <v>0</v>
      </c>
      <c r="J4493" s="42" t="n">
        <f aca="false">IF($M4493="贷",$O4493,0)</f>
        <v>0</v>
      </c>
      <c r="K4493" s="48"/>
      <c r="L4493" s="66" t="str">
        <f aca="false">IF(生产加工!$E49="","",IFERROR(INDEX(记账规则!$A$36:$H$38,MATCH(生产加工!$E49,记账规则!$A$36:$A$38,0),6),""))</f>
        <v/>
      </c>
      <c r="M4493" s="66" t="str">
        <f aca="false">IF($L4493="","",IFERROR(INDEX(记账规则!$A$36:$H$38,MATCH(生产加工!$E49,记账规则!$A$36:$A$38,0),7),""))</f>
        <v/>
      </c>
      <c r="N4493" s="66" t="str">
        <f aca="false">IF($L4493="","",IFERROR(INDEX(记账规则!$A$36:$H$38,MATCH(生产加工!$E49,记账规则!$A$36:$A$38,0),8),""))</f>
        <v/>
      </c>
      <c r="O4493" s="67" t="n">
        <f aca="false">IF($H4493="",0,ROUND(IF($N4493="记账金额",N(生产加工!$U49),0),2))</f>
        <v>0</v>
      </c>
      <c r="P4493" s="64" t="str">
        <f aca="false">IF(AND($H4493&lt;&gt;"",ROUND($O4493,2)&lt;&gt;0),"有","")</f>
        <v/>
      </c>
    </row>
    <row r="4494" customFormat="false" ht="15" hidden="true" customHeight="false" outlineLevel="0" collapsed="false">
      <c r="A4494" s="53" t="str">
        <f aca="false">IF($H4494="","",ROW()-5)</f>
        <v/>
      </c>
      <c r="B4494" s="64" t="s">
        <v>38</v>
      </c>
      <c r="C4494" s="53" t="n">
        <v>50</v>
      </c>
      <c r="D4494" s="53" t="n">
        <v>1</v>
      </c>
      <c r="E4494" s="65" t="str">
        <f aca="false">IF($H4494="","",生产加工!$B50)</f>
        <v/>
      </c>
      <c r="F4494" s="55" t="str">
        <f aca="false">IF($H4494="","",生产加工!$C50)</f>
        <v/>
      </c>
      <c r="G4494" s="48" t="str">
        <f aca="false">IF($H4494="","",生产加工!$N50)</f>
        <v/>
      </c>
      <c r="H4494" s="10" t="str">
        <f aca="false">IF($L4494="","",IF($L4494="@对方",生产加工!$K50,IF($L4494="@存货",生产加工!$Q50,$L4494)))</f>
        <v/>
      </c>
      <c r="I4494" s="42" t="n">
        <f aca="false">IF($M4494="借",$O4494,0)</f>
        <v>0</v>
      </c>
      <c r="J4494" s="42" t="n">
        <f aca="false">IF($M4494="贷",$O4494,0)</f>
        <v>0</v>
      </c>
      <c r="K4494" s="48"/>
      <c r="L4494" s="66" t="str">
        <f aca="false">IF(生产加工!$E50="","",IFERROR(INDEX(记账规则!$A$36:$H$38,MATCH(生产加工!$E50,记账规则!$A$36:$A$38,0),3),""))</f>
        <v/>
      </c>
      <c r="M4494" s="66" t="str">
        <f aca="false">IF($L4494="","",IFERROR(INDEX(记账规则!$A$36:$H$38,MATCH(生产加工!$E50,记账规则!$A$36:$A$38,0),4),""))</f>
        <v/>
      </c>
      <c r="N4494" s="66" t="str">
        <f aca="false">IF($L4494="","",IFERROR(INDEX(记账规则!$A$36:$H$38,MATCH(生产加工!$E50,记账规则!$A$36:$A$38,0),5),""))</f>
        <v/>
      </c>
      <c r="O4494" s="67" t="n">
        <f aca="false">IF($H4494="",0,ROUND(IF($N4494="记账金额",N(生产加工!$U50),0),2))</f>
        <v>0</v>
      </c>
      <c r="P4494" s="64" t="str">
        <f aca="false">IF(AND($H4494&lt;&gt;"",ROUND($O4494,2)&lt;&gt;0),"有","")</f>
        <v/>
      </c>
    </row>
    <row r="4495" customFormat="false" ht="15" hidden="true" customHeight="false" outlineLevel="0" collapsed="false">
      <c r="A4495" s="53" t="str">
        <f aca="false">IF($H4495="","",ROW()-5)</f>
        <v/>
      </c>
      <c r="B4495" s="64" t="s">
        <v>38</v>
      </c>
      <c r="C4495" s="53" t="n">
        <v>50</v>
      </c>
      <c r="D4495" s="53" t="n">
        <v>2</v>
      </c>
      <c r="E4495" s="65" t="str">
        <f aca="false">IF($H4495="","",生产加工!$B50)</f>
        <v/>
      </c>
      <c r="F4495" s="55" t="str">
        <f aca="false">IF($H4495="","",生产加工!$C50)</f>
        <v/>
      </c>
      <c r="G4495" s="48" t="str">
        <f aca="false">IF($H4495="","",生产加工!$N50)</f>
        <v/>
      </c>
      <c r="H4495" s="10" t="str">
        <f aca="false">IF($L4495="","",IF($L4495="@对方",生产加工!$K50,IF($L4495="@存货",生产加工!$Q50,$L4495)))</f>
        <v/>
      </c>
      <c r="I4495" s="42" t="n">
        <f aca="false">IF($M4495="借",$O4495,0)</f>
        <v>0</v>
      </c>
      <c r="J4495" s="42" t="n">
        <f aca="false">IF($M4495="贷",$O4495,0)</f>
        <v>0</v>
      </c>
      <c r="K4495" s="48"/>
      <c r="L4495" s="66" t="str">
        <f aca="false">IF(生产加工!$E50="","",IFERROR(INDEX(记账规则!$A$36:$H$38,MATCH(生产加工!$E50,记账规则!$A$36:$A$38,0),6),""))</f>
        <v/>
      </c>
      <c r="M4495" s="66" t="str">
        <f aca="false">IF($L4495="","",IFERROR(INDEX(记账规则!$A$36:$H$38,MATCH(生产加工!$E50,记账规则!$A$36:$A$38,0),7),""))</f>
        <v/>
      </c>
      <c r="N4495" s="66" t="str">
        <f aca="false">IF($L4495="","",IFERROR(INDEX(记账规则!$A$36:$H$38,MATCH(生产加工!$E50,记账规则!$A$36:$A$38,0),8),""))</f>
        <v/>
      </c>
      <c r="O4495" s="67" t="n">
        <f aca="false">IF($H4495="",0,ROUND(IF($N4495="记账金额",N(生产加工!$U50),0),2))</f>
        <v>0</v>
      </c>
      <c r="P4495" s="64" t="str">
        <f aca="false">IF(AND($H4495&lt;&gt;"",ROUND($O4495,2)&lt;&gt;0),"有","")</f>
        <v/>
      </c>
    </row>
    <row r="4496" customFormat="false" ht="15" hidden="true" customHeight="false" outlineLevel="0" collapsed="false">
      <c r="A4496" s="53" t="str">
        <f aca="false">IF($H4496="","",ROW()-5)</f>
        <v/>
      </c>
      <c r="B4496" s="64" t="s">
        <v>38</v>
      </c>
      <c r="C4496" s="53" t="n">
        <v>51</v>
      </c>
      <c r="D4496" s="53" t="n">
        <v>1</v>
      </c>
      <c r="E4496" s="65" t="str">
        <f aca="false">IF($H4496="","",生产加工!$B51)</f>
        <v/>
      </c>
      <c r="F4496" s="55" t="str">
        <f aca="false">IF($H4496="","",生产加工!$C51)</f>
        <v/>
      </c>
      <c r="G4496" s="48" t="str">
        <f aca="false">IF($H4496="","",生产加工!$N51)</f>
        <v/>
      </c>
      <c r="H4496" s="10" t="str">
        <f aca="false">IF($L4496="","",IF($L4496="@对方",生产加工!$K51,IF($L4496="@存货",生产加工!$Q51,$L4496)))</f>
        <v/>
      </c>
      <c r="I4496" s="42" t="n">
        <f aca="false">IF($M4496="借",$O4496,0)</f>
        <v>0</v>
      </c>
      <c r="J4496" s="42" t="n">
        <f aca="false">IF($M4496="贷",$O4496,0)</f>
        <v>0</v>
      </c>
      <c r="K4496" s="48"/>
      <c r="L4496" s="66" t="str">
        <f aca="false">IF(生产加工!$E51="","",IFERROR(INDEX(记账规则!$A$36:$H$38,MATCH(生产加工!$E51,记账规则!$A$36:$A$38,0),3),""))</f>
        <v/>
      </c>
      <c r="M4496" s="66" t="str">
        <f aca="false">IF($L4496="","",IFERROR(INDEX(记账规则!$A$36:$H$38,MATCH(生产加工!$E51,记账规则!$A$36:$A$38,0),4),""))</f>
        <v/>
      </c>
      <c r="N4496" s="66" t="str">
        <f aca="false">IF($L4496="","",IFERROR(INDEX(记账规则!$A$36:$H$38,MATCH(生产加工!$E51,记账规则!$A$36:$A$38,0),5),""))</f>
        <v/>
      </c>
      <c r="O4496" s="67" t="n">
        <f aca="false">IF($H4496="",0,ROUND(IF($N4496="记账金额",N(生产加工!$U51),0),2))</f>
        <v>0</v>
      </c>
      <c r="P4496" s="64" t="str">
        <f aca="false">IF(AND($H4496&lt;&gt;"",ROUND($O4496,2)&lt;&gt;0),"有","")</f>
        <v/>
      </c>
    </row>
    <row r="4497" customFormat="false" ht="15" hidden="true" customHeight="false" outlineLevel="0" collapsed="false">
      <c r="A4497" s="53" t="str">
        <f aca="false">IF($H4497="","",ROW()-5)</f>
        <v/>
      </c>
      <c r="B4497" s="64" t="s">
        <v>38</v>
      </c>
      <c r="C4497" s="53" t="n">
        <v>51</v>
      </c>
      <c r="D4497" s="53" t="n">
        <v>2</v>
      </c>
      <c r="E4497" s="65" t="str">
        <f aca="false">IF($H4497="","",生产加工!$B51)</f>
        <v/>
      </c>
      <c r="F4497" s="55" t="str">
        <f aca="false">IF($H4497="","",生产加工!$C51)</f>
        <v/>
      </c>
      <c r="G4497" s="48" t="str">
        <f aca="false">IF($H4497="","",生产加工!$N51)</f>
        <v/>
      </c>
      <c r="H4497" s="10" t="str">
        <f aca="false">IF($L4497="","",IF($L4497="@对方",生产加工!$K51,IF($L4497="@存货",生产加工!$Q51,$L4497)))</f>
        <v/>
      </c>
      <c r="I4497" s="42" t="n">
        <f aca="false">IF($M4497="借",$O4497,0)</f>
        <v>0</v>
      </c>
      <c r="J4497" s="42" t="n">
        <f aca="false">IF($M4497="贷",$O4497,0)</f>
        <v>0</v>
      </c>
      <c r="K4497" s="48"/>
      <c r="L4497" s="66" t="str">
        <f aca="false">IF(生产加工!$E51="","",IFERROR(INDEX(记账规则!$A$36:$H$38,MATCH(生产加工!$E51,记账规则!$A$36:$A$38,0),6),""))</f>
        <v/>
      </c>
      <c r="M4497" s="66" t="str">
        <f aca="false">IF($L4497="","",IFERROR(INDEX(记账规则!$A$36:$H$38,MATCH(生产加工!$E51,记账规则!$A$36:$A$38,0),7),""))</f>
        <v/>
      </c>
      <c r="N4497" s="66" t="str">
        <f aca="false">IF($L4497="","",IFERROR(INDEX(记账规则!$A$36:$H$38,MATCH(生产加工!$E51,记账规则!$A$36:$A$38,0),8),""))</f>
        <v/>
      </c>
      <c r="O4497" s="67" t="n">
        <f aca="false">IF($H4497="",0,ROUND(IF($N4497="记账金额",N(生产加工!$U51),0),2))</f>
        <v>0</v>
      </c>
      <c r="P4497" s="64" t="str">
        <f aca="false">IF(AND($H4497&lt;&gt;"",ROUND($O4497,2)&lt;&gt;0),"有","")</f>
        <v/>
      </c>
    </row>
    <row r="4498" customFormat="false" ht="15" hidden="true" customHeight="false" outlineLevel="0" collapsed="false">
      <c r="A4498" s="53" t="str">
        <f aca="false">IF($H4498="","",ROW()-5)</f>
        <v/>
      </c>
      <c r="B4498" s="64" t="s">
        <v>38</v>
      </c>
      <c r="C4498" s="53" t="n">
        <v>52</v>
      </c>
      <c r="D4498" s="53" t="n">
        <v>1</v>
      </c>
      <c r="E4498" s="65" t="str">
        <f aca="false">IF($H4498="","",生产加工!$B52)</f>
        <v/>
      </c>
      <c r="F4498" s="55" t="str">
        <f aca="false">IF($H4498="","",生产加工!$C52)</f>
        <v/>
      </c>
      <c r="G4498" s="48" t="str">
        <f aca="false">IF($H4498="","",生产加工!$N52)</f>
        <v/>
      </c>
      <c r="H4498" s="10" t="str">
        <f aca="false">IF($L4498="","",IF($L4498="@对方",生产加工!$K52,IF($L4498="@存货",生产加工!$Q52,$L4498)))</f>
        <v/>
      </c>
      <c r="I4498" s="42" t="n">
        <f aca="false">IF($M4498="借",$O4498,0)</f>
        <v>0</v>
      </c>
      <c r="J4498" s="42" t="n">
        <f aca="false">IF($M4498="贷",$O4498,0)</f>
        <v>0</v>
      </c>
      <c r="K4498" s="48"/>
      <c r="L4498" s="66" t="str">
        <f aca="false">IF(生产加工!$E52="","",IFERROR(INDEX(记账规则!$A$36:$H$38,MATCH(生产加工!$E52,记账规则!$A$36:$A$38,0),3),""))</f>
        <v/>
      </c>
      <c r="M4498" s="66" t="str">
        <f aca="false">IF($L4498="","",IFERROR(INDEX(记账规则!$A$36:$H$38,MATCH(生产加工!$E52,记账规则!$A$36:$A$38,0),4),""))</f>
        <v/>
      </c>
      <c r="N4498" s="66" t="str">
        <f aca="false">IF($L4498="","",IFERROR(INDEX(记账规则!$A$36:$H$38,MATCH(生产加工!$E52,记账规则!$A$36:$A$38,0),5),""))</f>
        <v/>
      </c>
      <c r="O4498" s="67" t="n">
        <f aca="false">IF($H4498="",0,ROUND(IF($N4498="记账金额",N(生产加工!$U52),0),2))</f>
        <v>0</v>
      </c>
      <c r="P4498" s="64" t="str">
        <f aca="false">IF(AND($H4498&lt;&gt;"",ROUND($O4498,2)&lt;&gt;0),"有","")</f>
        <v/>
      </c>
    </row>
    <row r="4499" customFormat="false" ht="15" hidden="true" customHeight="false" outlineLevel="0" collapsed="false">
      <c r="A4499" s="53" t="str">
        <f aca="false">IF($H4499="","",ROW()-5)</f>
        <v/>
      </c>
      <c r="B4499" s="64" t="s">
        <v>38</v>
      </c>
      <c r="C4499" s="53" t="n">
        <v>52</v>
      </c>
      <c r="D4499" s="53" t="n">
        <v>2</v>
      </c>
      <c r="E4499" s="65" t="str">
        <f aca="false">IF($H4499="","",生产加工!$B52)</f>
        <v/>
      </c>
      <c r="F4499" s="55" t="str">
        <f aca="false">IF($H4499="","",生产加工!$C52)</f>
        <v/>
      </c>
      <c r="G4499" s="48" t="str">
        <f aca="false">IF($H4499="","",生产加工!$N52)</f>
        <v/>
      </c>
      <c r="H4499" s="10" t="str">
        <f aca="false">IF($L4499="","",IF($L4499="@对方",生产加工!$K52,IF($L4499="@存货",生产加工!$Q52,$L4499)))</f>
        <v/>
      </c>
      <c r="I4499" s="42" t="n">
        <f aca="false">IF($M4499="借",$O4499,0)</f>
        <v>0</v>
      </c>
      <c r="J4499" s="42" t="n">
        <f aca="false">IF($M4499="贷",$O4499,0)</f>
        <v>0</v>
      </c>
      <c r="K4499" s="48"/>
      <c r="L4499" s="66" t="str">
        <f aca="false">IF(生产加工!$E52="","",IFERROR(INDEX(记账规则!$A$36:$H$38,MATCH(生产加工!$E52,记账规则!$A$36:$A$38,0),6),""))</f>
        <v/>
      </c>
      <c r="M4499" s="66" t="str">
        <f aca="false">IF($L4499="","",IFERROR(INDEX(记账规则!$A$36:$H$38,MATCH(生产加工!$E52,记账规则!$A$36:$A$38,0),7),""))</f>
        <v/>
      </c>
      <c r="N4499" s="66" t="str">
        <f aca="false">IF($L4499="","",IFERROR(INDEX(记账规则!$A$36:$H$38,MATCH(生产加工!$E52,记账规则!$A$36:$A$38,0),8),""))</f>
        <v/>
      </c>
      <c r="O4499" s="67" t="n">
        <f aca="false">IF($H4499="",0,ROUND(IF($N4499="记账金额",N(生产加工!$U52),0),2))</f>
        <v>0</v>
      </c>
      <c r="P4499" s="64" t="str">
        <f aca="false">IF(AND($H4499&lt;&gt;"",ROUND($O4499,2)&lt;&gt;0),"有","")</f>
        <v/>
      </c>
    </row>
    <row r="4500" customFormat="false" ht="15" hidden="true" customHeight="false" outlineLevel="0" collapsed="false">
      <c r="A4500" s="53" t="str">
        <f aca="false">IF($H4500="","",ROW()-5)</f>
        <v/>
      </c>
      <c r="B4500" s="64" t="s">
        <v>38</v>
      </c>
      <c r="C4500" s="53" t="n">
        <v>53</v>
      </c>
      <c r="D4500" s="53" t="n">
        <v>1</v>
      </c>
      <c r="E4500" s="65" t="str">
        <f aca="false">IF($H4500="","",生产加工!$B53)</f>
        <v/>
      </c>
      <c r="F4500" s="55" t="str">
        <f aca="false">IF($H4500="","",生产加工!$C53)</f>
        <v/>
      </c>
      <c r="G4500" s="48" t="str">
        <f aca="false">IF($H4500="","",生产加工!$N53)</f>
        <v/>
      </c>
      <c r="H4500" s="10" t="str">
        <f aca="false">IF($L4500="","",IF($L4500="@对方",生产加工!$K53,IF($L4500="@存货",生产加工!$Q53,$L4500)))</f>
        <v/>
      </c>
      <c r="I4500" s="42" t="n">
        <f aca="false">IF($M4500="借",$O4500,0)</f>
        <v>0</v>
      </c>
      <c r="J4500" s="42" t="n">
        <f aca="false">IF($M4500="贷",$O4500,0)</f>
        <v>0</v>
      </c>
      <c r="K4500" s="48"/>
      <c r="L4500" s="66" t="str">
        <f aca="false">IF(生产加工!$E53="","",IFERROR(INDEX(记账规则!$A$36:$H$38,MATCH(生产加工!$E53,记账规则!$A$36:$A$38,0),3),""))</f>
        <v/>
      </c>
      <c r="M4500" s="66" t="str">
        <f aca="false">IF($L4500="","",IFERROR(INDEX(记账规则!$A$36:$H$38,MATCH(生产加工!$E53,记账规则!$A$36:$A$38,0),4),""))</f>
        <v/>
      </c>
      <c r="N4500" s="66" t="str">
        <f aca="false">IF($L4500="","",IFERROR(INDEX(记账规则!$A$36:$H$38,MATCH(生产加工!$E53,记账规则!$A$36:$A$38,0),5),""))</f>
        <v/>
      </c>
      <c r="O4500" s="67" t="n">
        <f aca="false">IF($H4500="",0,ROUND(IF($N4500="记账金额",N(生产加工!$U53),0),2))</f>
        <v>0</v>
      </c>
      <c r="P4500" s="64" t="str">
        <f aca="false">IF(AND($H4500&lt;&gt;"",ROUND($O4500,2)&lt;&gt;0),"有","")</f>
        <v/>
      </c>
    </row>
    <row r="4501" customFormat="false" ht="15" hidden="true" customHeight="false" outlineLevel="0" collapsed="false">
      <c r="A4501" s="53" t="str">
        <f aca="false">IF($H4501="","",ROW()-5)</f>
        <v/>
      </c>
      <c r="B4501" s="64" t="s">
        <v>38</v>
      </c>
      <c r="C4501" s="53" t="n">
        <v>53</v>
      </c>
      <c r="D4501" s="53" t="n">
        <v>2</v>
      </c>
      <c r="E4501" s="65" t="str">
        <f aca="false">IF($H4501="","",生产加工!$B53)</f>
        <v/>
      </c>
      <c r="F4501" s="55" t="str">
        <f aca="false">IF($H4501="","",生产加工!$C53)</f>
        <v/>
      </c>
      <c r="G4501" s="48" t="str">
        <f aca="false">IF($H4501="","",生产加工!$N53)</f>
        <v/>
      </c>
      <c r="H4501" s="10" t="str">
        <f aca="false">IF($L4501="","",IF($L4501="@对方",生产加工!$K53,IF($L4501="@存货",生产加工!$Q53,$L4501)))</f>
        <v/>
      </c>
      <c r="I4501" s="42" t="n">
        <f aca="false">IF($M4501="借",$O4501,0)</f>
        <v>0</v>
      </c>
      <c r="J4501" s="42" t="n">
        <f aca="false">IF($M4501="贷",$O4501,0)</f>
        <v>0</v>
      </c>
      <c r="K4501" s="48"/>
      <c r="L4501" s="66" t="str">
        <f aca="false">IF(生产加工!$E53="","",IFERROR(INDEX(记账规则!$A$36:$H$38,MATCH(生产加工!$E53,记账规则!$A$36:$A$38,0),6),""))</f>
        <v/>
      </c>
      <c r="M4501" s="66" t="str">
        <f aca="false">IF($L4501="","",IFERROR(INDEX(记账规则!$A$36:$H$38,MATCH(生产加工!$E53,记账规则!$A$36:$A$38,0),7),""))</f>
        <v/>
      </c>
      <c r="N4501" s="66" t="str">
        <f aca="false">IF($L4501="","",IFERROR(INDEX(记账规则!$A$36:$H$38,MATCH(生产加工!$E53,记账规则!$A$36:$A$38,0),8),""))</f>
        <v/>
      </c>
      <c r="O4501" s="67" t="n">
        <f aca="false">IF($H4501="",0,ROUND(IF($N4501="记账金额",N(生产加工!$U53),0),2))</f>
        <v>0</v>
      </c>
      <c r="P4501" s="64" t="str">
        <f aca="false">IF(AND($H4501&lt;&gt;"",ROUND($O4501,2)&lt;&gt;0),"有","")</f>
        <v/>
      </c>
    </row>
    <row r="4502" customFormat="false" ht="15" hidden="true" customHeight="false" outlineLevel="0" collapsed="false">
      <c r="A4502" s="53" t="str">
        <f aca="false">IF($H4502="","",ROW()-5)</f>
        <v/>
      </c>
      <c r="B4502" s="64" t="s">
        <v>38</v>
      </c>
      <c r="C4502" s="53" t="n">
        <v>54</v>
      </c>
      <c r="D4502" s="53" t="n">
        <v>1</v>
      </c>
      <c r="E4502" s="65" t="str">
        <f aca="false">IF($H4502="","",生产加工!$B54)</f>
        <v/>
      </c>
      <c r="F4502" s="55" t="str">
        <f aca="false">IF($H4502="","",生产加工!$C54)</f>
        <v/>
      </c>
      <c r="G4502" s="48" t="str">
        <f aca="false">IF($H4502="","",生产加工!$N54)</f>
        <v/>
      </c>
      <c r="H4502" s="10" t="str">
        <f aca="false">IF($L4502="","",IF($L4502="@对方",生产加工!$K54,IF($L4502="@存货",生产加工!$Q54,$L4502)))</f>
        <v/>
      </c>
      <c r="I4502" s="42" t="n">
        <f aca="false">IF($M4502="借",$O4502,0)</f>
        <v>0</v>
      </c>
      <c r="J4502" s="42" t="n">
        <f aca="false">IF($M4502="贷",$O4502,0)</f>
        <v>0</v>
      </c>
      <c r="K4502" s="48"/>
      <c r="L4502" s="66" t="str">
        <f aca="false">IF(生产加工!$E54="","",IFERROR(INDEX(记账规则!$A$36:$H$38,MATCH(生产加工!$E54,记账规则!$A$36:$A$38,0),3),""))</f>
        <v/>
      </c>
      <c r="M4502" s="66" t="str">
        <f aca="false">IF($L4502="","",IFERROR(INDEX(记账规则!$A$36:$H$38,MATCH(生产加工!$E54,记账规则!$A$36:$A$38,0),4),""))</f>
        <v/>
      </c>
      <c r="N4502" s="66" t="str">
        <f aca="false">IF($L4502="","",IFERROR(INDEX(记账规则!$A$36:$H$38,MATCH(生产加工!$E54,记账规则!$A$36:$A$38,0),5),""))</f>
        <v/>
      </c>
      <c r="O4502" s="67" t="n">
        <f aca="false">IF($H4502="",0,ROUND(IF($N4502="记账金额",N(生产加工!$U54),0),2))</f>
        <v>0</v>
      </c>
      <c r="P4502" s="64" t="str">
        <f aca="false">IF(AND($H4502&lt;&gt;"",ROUND($O4502,2)&lt;&gt;0),"有","")</f>
        <v/>
      </c>
    </row>
    <row r="4503" customFormat="false" ht="15" hidden="true" customHeight="false" outlineLevel="0" collapsed="false">
      <c r="A4503" s="53" t="str">
        <f aca="false">IF($H4503="","",ROW()-5)</f>
        <v/>
      </c>
      <c r="B4503" s="64" t="s">
        <v>38</v>
      </c>
      <c r="C4503" s="53" t="n">
        <v>54</v>
      </c>
      <c r="D4503" s="53" t="n">
        <v>2</v>
      </c>
      <c r="E4503" s="65" t="str">
        <f aca="false">IF($H4503="","",生产加工!$B54)</f>
        <v/>
      </c>
      <c r="F4503" s="55" t="str">
        <f aca="false">IF($H4503="","",生产加工!$C54)</f>
        <v/>
      </c>
      <c r="G4503" s="48" t="str">
        <f aca="false">IF($H4503="","",生产加工!$N54)</f>
        <v/>
      </c>
      <c r="H4503" s="10" t="str">
        <f aca="false">IF($L4503="","",IF($L4503="@对方",生产加工!$K54,IF($L4503="@存货",生产加工!$Q54,$L4503)))</f>
        <v/>
      </c>
      <c r="I4503" s="42" t="n">
        <f aca="false">IF($M4503="借",$O4503,0)</f>
        <v>0</v>
      </c>
      <c r="J4503" s="42" t="n">
        <f aca="false">IF($M4503="贷",$O4503,0)</f>
        <v>0</v>
      </c>
      <c r="K4503" s="48"/>
      <c r="L4503" s="66" t="str">
        <f aca="false">IF(生产加工!$E54="","",IFERROR(INDEX(记账规则!$A$36:$H$38,MATCH(生产加工!$E54,记账规则!$A$36:$A$38,0),6),""))</f>
        <v/>
      </c>
      <c r="M4503" s="66" t="str">
        <f aca="false">IF($L4503="","",IFERROR(INDEX(记账规则!$A$36:$H$38,MATCH(生产加工!$E54,记账规则!$A$36:$A$38,0),7),""))</f>
        <v/>
      </c>
      <c r="N4503" s="66" t="str">
        <f aca="false">IF($L4503="","",IFERROR(INDEX(记账规则!$A$36:$H$38,MATCH(生产加工!$E54,记账规则!$A$36:$A$38,0),8),""))</f>
        <v/>
      </c>
      <c r="O4503" s="67" t="n">
        <f aca="false">IF($H4503="",0,ROUND(IF($N4503="记账金额",N(生产加工!$U54),0),2))</f>
        <v>0</v>
      </c>
      <c r="P4503" s="64" t="str">
        <f aca="false">IF(AND($H4503&lt;&gt;"",ROUND($O4503,2)&lt;&gt;0),"有","")</f>
        <v/>
      </c>
    </row>
    <row r="4504" customFormat="false" ht="15" hidden="true" customHeight="false" outlineLevel="0" collapsed="false">
      <c r="A4504" s="53" t="str">
        <f aca="false">IF($H4504="","",ROW()-5)</f>
        <v/>
      </c>
      <c r="B4504" s="64" t="s">
        <v>38</v>
      </c>
      <c r="C4504" s="53" t="n">
        <v>55</v>
      </c>
      <c r="D4504" s="53" t="n">
        <v>1</v>
      </c>
      <c r="E4504" s="65" t="str">
        <f aca="false">IF($H4504="","",生产加工!$B55)</f>
        <v/>
      </c>
      <c r="F4504" s="55" t="str">
        <f aca="false">IF($H4504="","",生产加工!$C55)</f>
        <v/>
      </c>
      <c r="G4504" s="48" t="str">
        <f aca="false">IF($H4504="","",生产加工!$N55)</f>
        <v/>
      </c>
      <c r="H4504" s="10" t="str">
        <f aca="false">IF($L4504="","",IF($L4504="@对方",生产加工!$K55,IF($L4504="@存货",生产加工!$Q55,$L4504)))</f>
        <v/>
      </c>
      <c r="I4504" s="42" t="n">
        <f aca="false">IF($M4504="借",$O4504,0)</f>
        <v>0</v>
      </c>
      <c r="J4504" s="42" t="n">
        <f aca="false">IF($M4504="贷",$O4504,0)</f>
        <v>0</v>
      </c>
      <c r="K4504" s="48"/>
      <c r="L4504" s="66" t="str">
        <f aca="false">IF(生产加工!$E55="","",IFERROR(INDEX(记账规则!$A$36:$H$38,MATCH(生产加工!$E55,记账规则!$A$36:$A$38,0),3),""))</f>
        <v/>
      </c>
      <c r="M4504" s="66" t="str">
        <f aca="false">IF($L4504="","",IFERROR(INDEX(记账规则!$A$36:$H$38,MATCH(生产加工!$E55,记账规则!$A$36:$A$38,0),4),""))</f>
        <v/>
      </c>
      <c r="N4504" s="66" t="str">
        <f aca="false">IF($L4504="","",IFERROR(INDEX(记账规则!$A$36:$H$38,MATCH(生产加工!$E55,记账规则!$A$36:$A$38,0),5),""))</f>
        <v/>
      </c>
      <c r="O4504" s="67" t="n">
        <f aca="false">IF($H4504="",0,ROUND(IF($N4504="记账金额",N(生产加工!$U55),0),2))</f>
        <v>0</v>
      </c>
      <c r="P4504" s="64" t="str">
        <f aca="false">IF(AND($H4504&lt;&gt;"",ROUND($O4504,2)&lt;&gt;0),"有","")</f>
        <v/>
      </c>
    </row>
    <row r="4505" customFormat="false" ht="15" hidden="true" customHeight="false" outlineLevel="0" collapsed="false">
      <c r="A4505" s="53" t="str">
        <f aca="false">IF($H4505="","",ROW()-5)</f>
        <v/>
      </c>
      <c r="B4505" s="64" t="s">
        <v>38</v>
      </c>
      <c r="C4505" s="53" t="n">
        <v>55</v>
      </c>
      <c r="D4505" s="53" t="n">
        <v>2</v>
      </c>
      <c r="E4505" s="65" t="str">
        <f aca="false">IF($H4505="","",生产加工!$B55)</f>
        <v/>
      </c>
      <c r="F4505" s="55" t="str">
        <f aca="false">IF($H4505="","",生产加工!$C55)</f>
        <v/>
      </c>
      <c r="G4505" s="48" t="str">
        <f aca="false">IF($H4505="","",生产加工!$N55)</f>
        <v/>
      </c>
      <c r="H4505" s="10" t="str">
        <f aca="false">IF($L4505="","",IF($L4505="@对方",生产加工!$K55,IF($L4505="@存货",生产加工!$Q55,$L4505)))</f>
        <v/>
      </c>
      <c r="I4505" s="42" t="n">
        <f aca="false">IF($M4505="借",$O4505,0)</f>
        <v>0</v>
      </c>
      <c r="J4505" s="42" t="n">
        <f aca="false">IF($M4505="贷",$O4505,0)</f>
        <v>0</v>
      </c>
      <c r="K4505" s="48"/>
      <c r="L4505" s="66" t="str">
        <f aca="false">IF(生产加工!$E55="","",IFERROR(INDEX(记账规则!$A$36:$H$38,MATCH(生产加工!$E55,记账规则!$A$36:$A$38,0),6),""))</f>
        <v/>
      </c>
      <c r="M4505" s="66" t="str">
        <f aca="false">IF($L4505="","",IFERROR(INDEX(记账规则!$A$36:$H$38,MATCH(生产加工!$E55,记账规则!$A$36:$A$38,0),7),""))</f>
        <v/>
      </c>
      <c r="N4505" s="66" t="str">
        <f aca="false">IF($L4505="","",IFERROR(INDEX(记账规则!$A$36:$H$38,MATCH(生产加工!$E55,记账规则!$A$36:$A$38,0),8),""))</f>
        <v/>
      </c>
      <c r="O4505" s="67" t="n">
        <f aca="false">IF($H4505="",0,ROUND(IF($N4505="记账金额",N(生产加工!$U55),0),2))</f>
        <v>0</v>
      </c>
      <c r="P4505" s="64" t="str">
        <f aca="false">IF(AND($H4505&lt;&gt;"",ROUND($O4505,2)&lt;&gt;0),"有","")</f>
        <v/>
      </c>
    </row>
    <row r="4506" customFormat="false" ht="15" hidden="true" customHeight="false" outlineLevel="0" collapsed="false">
      <c r="A4506" s="53" t="str">
        <f aca="false">IF($H4506="","",ROW()-5)</f>
        <v/>
      </c>
      <c r="B4506" s="64" t="s">
        <v>38</v>
      </c>
      <c r="C4506" s="53" t="n">
        <v>56</v>
      </c>
      <c r="D4506" s="53" t="n">
        <v>1</v>
      </c>
      <c r="E4506" s="65" t="str">
        <f aca="false">IF($H4506="","",生产加工!$B56)</f>
        <v/>
      </c>
      <c r="F4506" s="55" t="str">
        <f aca="false">IF($H4506="","",生产加工!$C56)</f>
        <v/>
      </c>
      <c r="G4506" s="48" t="str">
        <f aca="false">IF($H4506="","",生产加工!$N56)</f>
        <v/>
      </c>
      <c r="H4506" s="10" t="str">
        <f aca="false">IF($L4506="","",IF($L4506="@对方",生产加工!$K56,IF($L4506="@存货",生产加工!$Q56,$L4506)))</f>
        <v/>
      </c>
      <c r="I4506" s="42" t="n">
        <f aca="false">IF($M4506="借",$O4506,0)</f>
        <v>0</v>
      </c>
      <c r="J4506" s="42" t="n">
        <f aca="false">IF($M4506="贷",$O4506,0)</f>
        <v>0</v>
      </c>
      <c r="K4506" s="48"/>
      <c r="L4506" s="66" t="str">
        <f aca="false">IF(生产加工!$E56="","",IFERROR(INDEX(记账规则!$A$36:$H$38,MATCH(生产加工!$E56,记账规则!$A$36:$A$38,0),3),""))</f>
        <v/>
      </c>
      <c r="M4506" s="66" t="str">
        <f aca="false">IF($L4506="","",IFERROR(INDEX(记账规则!$A$36:$H$38,MATCH(生产加工!$E56,记账规则!$A$36:$A$38,0),4),""))</f>
        <v/>
      </c>
      <c r="N4506" s="66" t="str">
        <f aca="false">IF($L4506="","",IFERROR(INDEX(记账规则!$A$36:$H$38,MATCH(生产加工!$E56,记账规则!$A$36:$A$38,0),5),""))</f>
        <v/>
      </c>
      <c r="O4506" s="67" t="n">
        <f aca="false">IF($H4506="",0,ROUND(IF($N4506="记账金额",N(生产加工!$U56),0),2))</f>
        <v>0</v>
      </c>
      <c r="P4506" s="64" t="str">
        <f aca="false">IF(AND($H4506&lt;&gt;"",ROUND($O4506,2)&lt;&gt;0),"有","")</f>
        <v/>
      </c>
    </row>
    <row r="4507" customFormat="false" ht="15" hidden="true" customHeight="false" outlineLevel="0" collapsed="false">
      <c r="A4507" s="53" t="str">
        <f aca="false">IF($H4507="","",ROW()-5)</f>
        <v/>
      </c>
      <c r="B4507" s="64" t="s">
        <v>38</v>
      </c>
      <c r="C4507" s="53" t="n">
        <v>56</v>
      </c>
      <c r="D4507" s="53" t="n">
        <v>2</v>
      </c>
      <c r="E4507" s="65" t="str">
        <f aca="false">IF($H4507="","",生产加工!$B56)</f>
        <v/>
      </c>
      <c r="F4507" s="55" t="str">
        <f aca="false">IF($H4507="","",生产加工!$C56)</f>
        <v/>
      </c>
      <c r="G4507" s="48" t="str">
        <f aca="false">IF($H4507="","",生产加工!$N56)</f>
        <v/>
      </c>
      <c r="H4507" s="10" t="str">
        <f aca="false">IF($L4507="","",IF($L4507="@对方",生产加工!$K56,IF($L4507="@存货",生产加工!$Q56,$L4507)))</f>
        <v/>
      </c>
      <c r="I4507" s="42" t="n">
        <f aca="false">IF($M4507="借",$O4507,0)</f>
        <v>0</v>
      </c>
      <c r="J4507" s="42" t="n">
        <f aca="false">IF($M4507="贷",$O4507,0)</f>
        <v>0</v>
      </c>
      <c r="K4507" s="48"/>
      <c r="L4507" s="66" t="str">
        <f aca="false">IF(生产加工!$E56="","",IFERROR(INDEX(记账规则!$A$36:$H$38,MATCH(生产加工!$E56,记账规则!$A$36:$A$38,0),6),""))</f>
        <v/>
      </c>
      <c r="M4507" s="66" t="str">
        <f aca="false">IF($L4507="","",IFERROR(INDEX(记账规则!$A$36:$H$38,MATCH(生产加工!$E56,记账规则!$A$36:$A$38,0),7),""))</f>
        <v/>
      </c>
      <c r="N4507" s="66" t="str">
        <f aca="false">IF($L4507="","",IFERROR(INDEX(记账规则!$A$36:$H$38,MATCH(生产加工!$E56,记账规则!$A$36:$A$38,0),8),""))</f>
        <v/>
      </c>
      <c r="O4507" s="67" t="n">
        <f aca="false">IF($H4507="",0,ROUND(IF($N4507="记账金额",N(生产加工!$U56),0),2))</f>
        <v>0</v>
      </c>
      <c r="P4507" s="64" t="str">
        <f aca="false">IF(AND($H4507&lt;&gt;"",ROUND($O4507,2)&lt;&gt;0),"有","")</f>
        <v/>
      </c>
    </row>
    <row r="4508" customFormat="false" ht="15" hidden="true" customHeight="false" outlineLevel="0" collapsed="false">
      <c r="A4508" s="53" t="str">
        <f aca="false">IF($H4508="","",ROW()-5)</f>
        <v/>
      </c>
      <c r="B4508" s="64" t="s">
        <v>38</v>
      </c>
      <c r="C4508" s="53" t="n">
        <v>57</v>
      </c>
      <c r="D4508" s="53" t="n">
        <v>1</v>
      </c>
      <c r="E4508" s="65" t="str">
        <f aca="false">IF($H4508="","",生产加工!$B57)</f>
        <v/>
      </c>
      <c r="F4508" s="55" t="str">
        <f aca="false">IF($H4508="","",生产加工!$C57)</f>
        <v/>
      </c>
      <c r="G4508" s="48" t="str">
        <f aca="false">IF($H4508="","",生产加工!$N57)</f>
        <v/>
      </c>
      <c r="H4508" s="10" t="str">
        <f aca="false">IF($L4508="","",IF($L4508="@对方",生产加工!$K57,IF($L4508="@存货",生产加工!$Q57,$L4508)))</f>
        <v/>
      </c>
      <c r="I4508" s="42" t="n">
        <f aca="false">IF($M4508="借",$O4508,0)</f>
        <v>0</v>
      </c>
      <c r="J4508" s="42" t="n">
        <f aca="false">IF($M4508="贷",$O4508,0)</f>
        <v>0</v>
      </c>
      <c r="K4508" s="48"/>
      <c r="L4508" s="66" t="str">
        <f aca="false">IF(生产加工!$E57="","",IFERROR(INDEX(记账规则!$A$36:$H$38,MATCH(生产加工!$E57,记账规则!$A$36:$A$38,0),3),""))</f>
        <v/>
      </c>
      <c r="M4508" s="66" t="str">
        <f aca="false">IF($L4508="","",IFERROR(INDEX(记账规则!$A$36:$H$38,MATCH(生产加工!$E57,记账规则!$A$36:$A$38,0),4),""))</f>
        <v/>
      </c>
      <c r="N4508" s="66" t="str">
        <f aca="false">IF($L4508="","",IFERROR(INDEX(记账规则!$A$36:$H$38,MATCH(生产加工!$E57,记账规则!$A$36:$A$38,0),5),""))</f>
        <v/>
      </c>
      <c r="O4508" s="67" t="n">
        <f aca="false">IF($H4508="",0,ROUND(IF($N4508="记账金额",N(生产加工!$U57),0),2))</f>
        <v>0</v>
      </c>
      <c r="P4508" s="64" t="str">
        <f aca="false">IF(AND($H4508&lt;&gt;"",ROUND($O4508,2)&lt;&gt;0),"有","")</f>
        <v/>
      </c>
    </row>
    <row r="4509" customFormat="false" ht="15" hidden="true" customHeight="false" outlineLevel="0" collapsed="false">
      <c r="A4509" s="53" t="str">
        <f aca="false">IF($H4509="","",ROW()-5)</f>
        <v/>
      </c>
      <c r="B4509" s="64" t="s">
        <v>38</v>
      </c>
      <c r="C4509" s="53" t="n">
        <v>57</v>
      </c>
      <c r="D4509" s="53" t="n">
        <v>2</v>
      </c>
      <c r="E4509" s="65" t="str">
        <f aca="false">IF($H4509="","",生产加工!$B57)</f>
        <v/>
      </c>
      <c r="F4509" s="55" t="str">
        <f aca="false">IF($H4509="","",生产加工!$C57)</f>
        <v/>
      </c>
      <c r="G4509" s="48" t="str">
        <f aca="false">IF($H4509="","",生产加工!$N57)</f>
        <v/>
      </c>
      <c r="H4509" s="10" t="str">
        <f aca="false">IF($L4509="","",IF($L4509="@对方",生产加工!$K57,IF($L4509="@存货",生产加工!$Q57,$L4509)))</f>
        <v/>
      </c>
      <c r="I4509" s="42" t="n">
        <f aca="false">IF($M4509="借",$O4509,0)</f>
        <v>0</v>
      </c>
      <c r="J4509" s="42" t="n">
        <f aca="false">IF($M4509="贷",$O4509,0)</f>
        <v>0</v>
      </c>
      <c r="K4509" s="48"/>
      <c r="L4509" s="66" t="str">
        <f aca="false">IF(生产加工!$E57="","",IFERROR(INDEX(记账规则!$A$36:$H$38,MATCH(生产加工!$E57,记账规则!$A$36:$A$38,0),6),""))</f>
        <v/>
      </c>
      <c r="M4509" s="66" t="str">
        <f aca="false">IF($L4509="","",IFERROR(INDEX(记账规则!$A$36:$H$38,MATCH(生产加工!$E57,记账规则!$A$36:$A$38,0),7),""))</f>
        <v/>
      </c>
      <c r="N4509" s="66" t="str">
        <f aca="false">IF($L4509="","",IFERROR(INDEX(记账规则!$A$36:$H$38,MATCH(生产加工!$E57,记账规则!$A$36:$A$38,0),8),""))</f>
        <v/>
      </c>
      <c r="O4509" s="67" t="n">
        <f aca="false">IF($H4509="",0,ROUND(IF($N4509="记账金额",N(生产加工!$U57),0),2))</f>
        <v>0</v>
      </c>
      <c r="P4509" s="64" t="str">
        <f aca="false">IF(AND($H4509&lt;&gt;"",ROUND($O4509,2)&lt;&gt;0),"有","")</f>
        <v/>
      </c>
    </row>
    <row r="4510" customFormat="false" ht="15" hidden="true" customHeight="false" outlineLevel="0" collapsed="false">
      <c r="A4510" s="53" t="str">
        <f aca="false">IF($H4510="","",ROW()-5)</f>
        <v/>
      </c>
      <c r="B4510" s="64" t="s">
        <v>38</v>
      </c>
      <c r="C4510" s="53" t="n">
        <v>58</v>
      </c>
      <c r="D4510" s="53" t="n">
        <v>1</v>
      </c>
      <c r="E4510" s="65" t="str">
        <f aca="false">IF($H4510="","",生产加工!$B58)</f>
        <v/>
      </c>
      <c r="F4510" s="55" t="str">
        <f aca="false">IF($H4510="","",生产加工!$C58)</f>
        <v/>
      </c>
      <c r="G4510" s="48" t="str">
        <f aca="false">IF($H4510="","",生产加工!$N58)</f>
        <v/>
      </c>
      <c r="H4510" s="10" t="str">
        <f aca="false">IF($L4510="","",IF($L4510="@对方",生产加工!$K58,IF($L4510="@存货",生产加工!$Q58,$L4510)))</f>
        <v/>
      </c>
      <c r="I4510" s="42" t="n">
        <f aca="false">IF($M4510="借",$O4510,0)</f>
        <v>0</v>
      </c>
      <c r="J4510" s="42" t="n">
        <f aca="false">IF($M4510="贷",$O4510,0)</f>
        <v>0</v>
      </c>
      <c r="K4510" s="48"/>
      <c r="L4510" s="66" t="str">
        <f aca="false">IF(生产加工!$E58="","",IFERROR(INDEX(记账规则!$A$36:$H$38,MATCH(生产加工!$E58,记账规则!$A$36:$A$38,0),3),""))</f>
        <v/>
      </c>
      <c r="M4510" s="66" t="str">
        <f aca="false">IF($L4510="","",IFERROR(INDEX(记账规则!$A$36:$H$38,MATCH(生产加工!$E58,记账规则!$A$36:$A$38,0),4),""))</f>
        <v/>
      </c>
      <c r="N4510" s="66" t="str">
        <f aca="false">IF($L4510="","",IFERROR(INDEX(记账规则!$A$36:$H$38,MATCH(生产加工!$E58,记账规则!$A$36:$A$38,0),5),""))</f>
        <v/>
      </c>
      <c r="O4510" s="67" t="n">
        <f aca="false">IF($H4510="",0,ROUND(IF($N4510="记账金额",N(生产加工!$U58),0),2))</f>
        <v>0</v>
      </c>
      <c r="P4510" s="64" t="str">
        <f aca="false">IF(AND($H4510&lt;&gt;"",ROUND($O4510,2)&lt;&gt;0),"有","")</f>
        <v/>
      </c>
    </row>
    <row r="4511" customFormat="false" ht="15" hidden="true" customHeight="false" outlineLevel="0" collapsed="false">
      <c r="A4511" s="53" t="str">
        <f aca="false">IF($H4511="","",ROW()-5)</f>
        <v/>
      </c>
      <c r="B4511" s="64" t="s">
        <v>38</v>
      </c>
      <c r="C4511" s="53" t="n">
        <v>58</v>
      </c>
      <c r="D4511" s="53" t="n">
        <v>2</v>
      </c>
      <c r="E4511" s="65" t="str">
        <f aca="false">IF($H4511="","",生产加工!$B58)</f>
        <v/>
      </c>
      <c r="F4511" s="55" t="str">
        <f aca="false">IF($H4511="","",生产加工!$C58)</f>
        <v/>
      </c>
      <c r="G4511" s="48" t="str">
        <f aca="false">IF($H4511="","",生产加工!$N58)</f>
        <v/>
      </c>
      <c r="H4511" s="10" t="str">
        <f aca="false">IF($L4511="","",IF($L4511="@对方",生产加工!$K58,IF($L4511="@存货",生产加工!$Q58,$L4511)))</f>
        <v/>
      </c>
      <c r="I4511" s="42" t="n">
        <f aca="false">IF($M4511="借",$O4511,0)</f>
        <v>0</v>
      </c>
      <c r="J4511" s="42" t="n">
        <f aca="false">IF($M4511="贷",$O4511,0)</f>
        <v>0</v>
      </c>
      <c r="K4511" s="48"/>
      <c r="L4511" s="66" t="str">
        <f aca="false">IF(生产加工!$E58="","",IFERROR(INDEX(记账规则!$A$36:$H$38,MATCH(生产加工!$E58,记账规则!$A$36:$A$38,0),6),""))</f>
        <v/>
      </c>
      <c r="M4511" s="66" t="str">
        <f aca="false">IF($L4511="","",IFERROR(INDEX(记账规则!$A$36:$H$38,MATCH(生产加工!$E58,记账规则!$A$36:$A$38,0),7),""))</f>
        <v/>
      </c>
      <c r="N4511" s="66" t="str">
        <f aca="false">IF($L4511="","",IFERROR(INDEX(记账规则!$A$36:$H$38,MATCH(生产加工!$E58,记账规则!$A$36:$A$38,0),8),""))</f>
        <v/>
      </c>
      <c r="O4511" s="67" t="n">
        <f aca="false">IF($H4511="",0,ROUND(IF($N4511="记账金额",N(生产加工!$U58),0),2))</f>
        <v>0</v>
      </c>
      <c r="P4511" s="64" t="str">
        <f aca="false">IF(AND($H4511&lt;&gt;"",ROUND($O4511,2)&lt;&gt;0),"有","")</f>
        <v/>
      </c>
    </row>
    <row r="4512" customFormat="false" ht="15" hidden="true" customHeight="false" outlineLevel="0" collapsed="false">
      <c r="A4512" s="53" t="str">
        <f aca="false">IF($H4512="","",ROW()-5)</f>
        <v/>
      </c>
      <c r="B4512" s="64" t="s">
        <v>38</v>
      </c>
      <c r="C4512" s="53" t="n">
        <v>59</v>
      </c>
      <c r="D4512" s="53" t="n">
        <v>1</v>
      </c>
      <c r="E4512" s="65" t="str">
        <f aca="false">IF($H4512="","",生产加工!$B59)</f>
        <v/>
      </c>
      <c r="F4512" s="55" t="str">
        <f aca="false">IF($H4512="","",生产加工!$C59)</f>
        <v/>
      </c>
      <c r="G4512" s="48" t="str">
        <f aca="false">IF($H4512="","",生产加工!$N59)</f>
        <v/>
      </c>
      <c r="H4512" s="10" t="str">
        <f aca="false">IF($L4512="","",IF($L4512="@对方",生产加工!$K59,IF($L4512="@存货",生产加工!$Q59,$L4512)))</f>
        <v/>
      </c>
      <c r="I4512" s="42" t="n">
        <f aca="false">IF($M4512="借",$O4512,0)</f>
        <v>0</v>
      </c>
      <c r="J4512" s="42" t="n">
        <f aca="false">IF($M4512="贷",$O4512,0)</f>
        <v>0</v>
      </c>
      <c r="K4512" s="48"/>
      <c r="L4512" s="66" t="str">
        <f aca="false">IF(生产加工!$E59="","",IFERROR(INDEX(记账规则!$A$36:$H$38,MATCH(生产加工!$E59,记账规则!$A$36:$A$38,0),3),""))</f>
        <v/>
      </c>
      <c r="M4512" s="66" t="str">
        <f aca="false">IF($L4512="","",IFERROR(INDEX(记账规则!$A$36:$H$38,MATCH(生产加工!$E59,记账规则!$A$36:$A$38,0),4),""))</f>
        <v/>
      </c>
      <c r="N4512" s="66" t="str">
        <f aca="false">IF($L4512="","",IFERROR(INDEX(记账规则!$A$36:$H$38,MATCH(生产加工!$E59,记账规则!$A$36:$A$38,0),5),""))</f>
        <v/>
      </c>
      <c r="O4512" s="67" t="n">
        <f aca="false">IF($H4512="",0,ROUND(IF($N4512="记账金额",N(生产加工!$U59),0),2))</f>
        <v>0</v>
      </c>
      <c r="P4512" s="64" t="str">
        <f aca="false">IF(AND($H4512&lt;&gt;"",ROUND($O4512,2)&lt;&gt;0),"有","")</f>
        <v/>
      </c>
    </row>
    <row r="4513" customFormat="false" ht="15" hidden="true" customHeight="false" outlineLevel="0" collapsed="false">
      <c r="A4513" s="53" t="str">
        <f aca="false">IF($H4513="","",ROW()-5)</f>
        <v/>
      </c>
      <c r="B4513" s="64" t="s">
        <v>38</v>
      </c>
      <c r="C4513" s="53" t="n">
        <v>59</v>
      </c>
      <c r="D4513" s="53" t="n">
        <v>2</v>
      </c>
      <c r="E4513" s="65" t="str">
        <f aca="false">IF($H4513="","",生产加工!$B59)</f>
        <v/>
      </c>
      <c r="F4513" s="55" t="str">
        <f aca="false">IF($H4513="","",生产加工!$C59)</f>
        <v/>
      </c>
      <c r="G4513" s="48" t="str">
        <f aca="false">IF($H4513="","",生产加工!$N59)</f>
        <v/>
      </c>
      <c r="H4513" s="10" t="str">
        <f aca="false">IF($L4513="","",IF($L4513="@对方",生产加工!$K59,IF($L4513="@存货",生产加工!$Q59,$L4513)))</f>
        <v/>
      </c>
      <c r="I4513" s="42" t="n">
        <f aca="false">IF($M4513="借",$O4513,0)</f>
        <v>0</v>
      </c>
      <c r="J4513" s="42" t="n">
        <f aca="false">IF($M4513="贷",$O4513,0)</f>
        <v>0</v>
      </c>
      <c r="K4513" s="48"/>
      <c r="L4513" s="66" t="str">
        <f aca="false">IF(生产加工!$E59="","",IFERROR(INDEX(记账规则!$A$36:$H$38,MATCH(生产加工!$E59,记账规则!$A$36:$A$38,0),6),""))</f>
        <v/>
      </c>
      <c r="M4513" s="66" t="str">
        <f aca="false">IF($L4513="","",IFERROR(INDEX(记账规则!$A$36:$H$38,MATCH(生产加工!$E59,记账规则!$A$36:$A$38,0),7),""))</f>
        <v/>
      </c>
      <c r="N4513" s="66" t="str">
        <f aca="false">IF($L4513="","",IFERROR(INDEX(记账规则!$A$36:$H$38,MATCH(生产加工!$E59,记账规则!$A$36:$A$38,0),8),""))</f>
        <v/>
      </c>
      <c r="O4513" s="67" t="n">
        <f aca="false">IF($H4513="",0,ROUND(IF($N4513="记账金额",N(生产加工!$U59),0),2))</f>
        <v>0</v>
      </c>
      <c r="P4513" s="64" t="str">
        <f aca="false">IF(AND($H4513&lt;&gt;"",ROUND($O4513,2)&lt;&gt;0),"有","")</f>
        <v/>
      </c>
    </row>
    <row r="4514" customFormat="false" ht="15" hidden="true" customHeight="false" outlineLevel="0" collapsed="false">
      <c r="A4514" s="53" t="str">
        <f aca="false">IF($H4514="","",ROW()-5)</f>
        <v/>
      </c>
      <c r="B4514" s="64" t="s">
        <v>38</v>
      </c>
      <c r="C4514" s="53" t="n">
        <v>60</v>
      </c>
      <c r="D4514" s="53" t="n">
        <v>1</v>
      </c>
      <c r="E4514" s="65" t="str">
        <f aca="false">IF($H4514="","",生产加工!$B60)</f>
        <v/>
      </c>
      <c r="F4514" s="55" t="str">
        <f aca="false">IF($H4514="","",生产加工!$C60)</f>
        <v/>
      </c>
      <c r="G4514" s="48" t="str">
        <f aca="false">IF($H4514="","",生产加工!$N60)</f>
        <v/>
      </c>
      <c r="H4514" s="10" t="str">
        <f aca="false">IF($L4514="","",IF($L4514="@对方",生产加工!$K60,IF($L4514="@存货",生产加工!$Q60,$L4514)))</f>
        <v/>
      </c>
      <c r="I4514" s="42" t="n">
        <f aca="false">IF($M4514="借",$O4514,0)</f>
        <v>0</v>
      </c>
      <c r="J4514" s="42" t="n">
        <f aca="false">IF($M4514="贷",$O4514,0)</f>
        <v>0</v>
      </c>
      <c r="K4514" s="48"/>
      <c r="L4514" s="66" t="str">
        <f aca="false">IF(生产加工!$E60="","",IFERROR(INDEX(记账规则!$A$36:$H$38,MATCH(生产加工!$E60,记账规则!$A$36:$A$38,0),3),""))</f>
        <v/>
      </c>
      <c r="M4514" s="66" t="str">
        <f aca="false">IF($L4514="","",IFERROR(INDEX(记账规则!$A$36:$H$38,MATCH(生产加工!$E60,记账规则!$A$36:$A$38,0),4),""))</f>
        <v/>
      </c>
      <c r="N4514" s="66" t="str">
        <f aca="false">IF($L4514="","",IFERROR(INDEX(记账规则!$A$36:$H$38,MATCH(生产加工!$E60,记账规则!$A$36:$A$38,0),5),""))</f>
        <v/>
      </c>
      <c r="O4514" s="67" t="n">
        <f aca="false">IF($H4514="",0,ROUND(IF($N4514="记账金额",N(生产加工!$U60),0),2))</f>
        <v>0</v>
      </c>
      <c r="P4514" s="64" t="str">
        <f aca="false">IF(AND($H4514&lt;&gt;"",ROUND($O4514,2)&lt;&gt;0),"有","")</f>
        <v/>
      </c>
    </row>
    <row r="4515" customFormat="false" ht="15" hidden="true" customHeight="false" outlineLevel="0" collapsed="false">
      <c r="A4515" s="53" t="str">
        <f aca="false">IF($H4515="","",ROW()-5)</f>
        <v/>
      </c>
      <c r="B4515" s="64" t="s">
        <v>38</v>
      </c>
      <c r="C4515" s="53" t="n">
        <v>60</v>
      </c>
      <c r="D4515" s="53" t="n">
        <v>2</v>
      </c>
      <c r="E4515" s="65" t="str">
        <f aca="false">IF($H4515="","",生产加工!$B60)</f>
        <v/>
      </c>
      <c r="F4515" s="55" t="str">
        <f aca="false">IF($H4515="","",生产加工!$C60)</f>
        <v/>
      </c>
      <c r="G4515" s="48" t="str">
        <f aca="false">IF($H4515="","",生产加工!$N60)</f>
        <v/>
      </c>
      <c r="H4515" s="10" t="str">
        <f aca="false">IF($L4515="","",IF($L4515="@对方",生产加工!$K60,IF($L4515="@存货",生产加工!$Q60,$L4515)))</f>
        <v/>
      </c>
      <c r="I4515" s="42" t="n">
        <f aca="false">IF($M4515="借",$O4515,0)</f>
        <v>0</v>
      </c>
      <c r="J4515" s="42" t="n">
        <f aca="false">IF($M4515="贷",$O4515,0)</f>
        <v>0</v>
      </c>
      <c r="K4515" s="48"/>
      <c r="L4515" s="66" t="str">
        <f aca="false">IF(生产加工!$E60="","",IFERROR(INDEX(记账规则!$A$36:$H$38,MATCH(生产加工!$E60,记账规则!$A$36:$A$38,0),6),""))</f>
        <v/>
      </c>
      <c r="M4515" s="66" t="str">
        <f aca="false">IF($L4515="","",IFERROR(INDEX(记账规则!$A$36:$H$38,MATCH(生产加工!$E60,记账规则!$A$36:$A$38,0),7),""))</f>
        <v/>
      </c>
      <c r="N4515" s="66" t="str">
        <f aca="false">IF($L4515="","",IFERROR(INDEX(记账规则!$A$36:$H$38,MATCH(生产加工!$E60,记账规则!$A$36:$A$38,0),8),""))</f>
        <v/>
      </c>
      <c r="O4515" s="67" t="n">
        <f aca="false">IF($H4515="",0,ROUND(IF($N4515="记账金额",N(生产加工!$U60),0),2))</f>
        <v>0</v>
      </c>
      <c r="P4515" s="64" t="str">
        <f aca="false">IF(AND($H4515&lt;&gt;"",ROUND($O4515,2)&lt;&gt;0),"有","")</f>
        <v/>
      </c>
    </row>
    <row r="4516" customFormat="false" ht="15" hidden="true" customHeight="false" outlineLevel="0" collapsed="false">
      <c r="A4516" s="53" t="str">
        <f aca="false">IF($H4516="","",ROW()-5)</f>
        <v/>
      </c>
      <c r="B4516" s="64" t="s">
        <v>38</v>
      </c>
      <c r="C4516" s="53" t="n">
        <v>61</v>
      </c>
      <c r="D4516" s="53" t="n">
        <v>1</v>
      </c>
      <c r="E4516" s="65" t="str">
        <f aca="false">IF($H4516="","",生产加工!$B61)</f>
        <v/>
      </c>
      <c r="F4516" s="55" t="str">
        <f aca="false">IF($H4516="","",生产加工!$C61)</f>
        <v/>
      </c>
      <c r="G4516" s="48" t="str">
        <f aca="false">IF($H4516="","",生产加工!$N61)</f>
        <v/>
      </c>
      <c r="H4516" s="10" t="str">
        <f aca="false">IF($L4516="","",IF($L4516="@对方",生产加工!$K61,IF($L4516="@存货",生产加工!$Q61,$L4516)))</f>
        <v/>
      </c>
      <c r="I4516" s="42" t="n">
        <f aca="false">IF($M4516="借",$O4516,0)</f>
        <v>0</v>
      </c>
      <c r="J4516" s="42" t="n">
        <f aca="false">IF($M4516="贷",$O4516,0)</f>
        <v>0</v>
      </c>
      <c r="K4516" s="48"/>
      <c r="L4516" s="66" t="str">
        <f aca="false">IF(生产加工!$E61="","",IFERROR(INDEX(记账规则!$A$36:$H$38,MATCH(生产加工!$E61,记账规则!$A$36:$A$38,0),3),""))</f>
        <v/>
      </c>
      <c r="M4516" s="66" t="str">
        <f aca="false">IF($L4516="","",IFERROR(INDEX(记账规则!$A$36:$H$38,MATCH(生产加工!$E61,记账规则!$A$36:$A$38,0),4),""))</f>
        <v/>
      </c>
      <c r="N4516" s="66" t="str">
        <f aca="false">IF($L4516="","",IFERROR(INDEX(记账规则!$A$36:$H$38,MATCH(生产加工!$E61,记账规则!$A$36:$A$38,0),5),""))</f>
        <v/>
      </c>
      <c r="O4516" s="67" t="n">
        <f aca="false">IF($H4516="",0,ROUND(IF($N4516="记账金额",N(生产加工!$U61),0),2))</f>
        <v>0</v>
      </c>
      <c r="P4516" s="64" t="str">
        <f aca="false">IF(AND($H4516&lt;&gt;"",ROUND($O4516,2)&lt;&gt;0),"有","")</f>
        <v/>
      </c>
    </row>
    <row r="4517" customFormat="false" ht="15" hidden="true" customHeight="false" outlineLevel="0" collapsed="false">
      <c r="A4517" s="53" t="str">
        <f aca="false">IF($H4517="","",ROW()-5)</f>
        <v/>
      </c>
      <c r="B4517" s="64" t="s">
        <v>38</v>
      </c>
      <c r="C4517" s="53" t="n">
        <v>61</v>
      </c>
      <c r="D4517" s="53" t="n">
        <v>2</v>
      </c>
      <c r="E4517" s="65" t="str">
        <f aca="false">IF($H4517="","",生产加工!$B61)</f>
        <v/>
      </c>
      <c r="F4517" s="55" t="str">
        <f aca="false">IF($H4517="","",生产加工!$C61)</f>
        <v/>
      </c>
      <c r="G4517" s="48" t="str">
        <f aca="false">IF($H4517="","",生产加工!$N61)</f>
        <v/>
      </c>
      <c r="H4517" s="10" t="str">
        <f aca="false">IF($L4517="","",IF($L4517="@对方",生产加工!$K61,IF($L4517="@存货",生产加工!$Q61,$L4517)))</f>
        <v/>
      </c>
      <c r="I4517" s="42" t="n">
        <f aca="false">IF($M4517="借",$O4517,0)</f>
        <v>0</v>
      </c>
      <c r="J4517" s="42" t="n">
        <f aca="false">IF($M4517="贷",$O4517,0)</f>
        <v>0</v>
      </c>
      <c r="K4517" s="48"/>
      <c r="L4517" s="66" t="str">
        <f aca="false">IF(生产加工!$E61="","",IFERROR(INDEX(记账规则!$A$36:$H$38,MATCH(生产加工!$E61,记账规则!$A$36:$A$38,0),6),""))</f>
        <v/>
      </c>
      <c r="M4517" s="66" t="str">
        <f aca="false">IF($L4517="","",IFERROR(INDEX(记账规则!$A$36:$H$38,MATCH(生产加工!$E61,记账规则!$A$36:$A$38,0),7),""))</f>
        <v/>
      </c>
      <c r="N4517" s="66" t="str">
        <f aca="false">IF($L4517="","",IFERROR(INDEX(记账规则!$A$36:$H$38,MATCH(生产加工!$E61,记账规则!$A$36:$A$38,0),8),""))</f>
        <v/>
      </c>
      <c r="O4517" s="67" t="n">
        <f aca="false">IF($H4517="",0,ROUND(IF($N4517="记账金额",N(生产加工!$U61),0),2))</f>
        <v>0</v>
      </c>
      <c r="P4517" s="64" t="str">
        <f aca="false">IF(AND($H4517&lt;&gt;"",ROUND($O4517,2)&lt;&gt;0),"有","")</f>
        <v/>
      </c>
    </row>
    <row r="4518" customFormat="false" ht="15" hidden="true" customHeight="false" outlineLevel="0" collapsed="false">
      <c r="A4518" s="53" t="str">
        <f aca="false">IF($H4518="","",ROW()-5)</f>
        <v/>
      </c>
      <c r="B4518" s="64" t="s">
        <v>38</v>
      </c>
      <c r="C4518" s="53" t="n">
        <v>62</v>
      </c>
      <c r="D4518" s="53" t="n">
        <v>1</v>
      </c>
      <c r="E4518" s="65" t="str">
        <f aca="false">IF($H4518="","",生产加工!$B62)</f>
        <v/>
      </c>
      <c r="F4518" s="55" t="str">
        <f aca="false">IF($H4518="","",生产加工!$C62)</f>
        <v/>
      </c>
      <c r="G4518" s="48" t="str">
        <f aca="false">IF($H4518="","",生产加工!$N62)</f>
        <v/>
      </c>
      <c r="H4518" s="10" t="str">
        <f aca="false">IF($L4518="","",IF($L4518="@对方",生产加工!$K62,IF($L4518="@存货",生产加工!$Q62,$L4518)))</f>
        <v/>
      </c>
      <c r="I4518" s="42" t="n">
        <f aca="false">IF($M4518="借",$O4518,0)</f>
        <v>0</v>
      </c>
      <c r="J4518" s="42" t="n">
        <f aca="false">IF($M4518="贷",$O4518,0)</f>
        <v>0</v>
      </c>
      <c r="K4518" s="48"/>
      <c r="L4518" s="66" t="str">
        <f aca="false">IF(生产加工!$E62="","",IFERROR(INDEX(记账规则!$A$36:$H$38,MATCH(生产加工!$E62,记账规则!$A$36:$A$38,0),3),""))</f>
        <v/>
      </c>
      <c r="M4518" s="66" t="str">
        <f aca="false">IF($L4518="","",IFERROR(INDEX(记账规则!$A$36:$H$38,MATCH(生产加工!$E62,记账规则!$A$36:$A$38,0),4),""))</f>
        <v/>
      </c>
      <c r="N4518" s="66" t="str">
        <f aca="false">IF($L4518="","",IFERROR(INDEX(记账规则!$A$36:$H$38,MATCH(生产加工!$E62,记账规则!$A$36:$A$38,0),5),""))</f>
        <v/>
      </c>
      <c r="O4518" s="67" t="n">
        <f aca="false">IF($H4518="",0,ROUND(IF($N4518="记账金额",N(生产加工!$U62),0),2))</f>
        <v>0</v>
      </c>
      <c r="P4518" s="64" t="str">
        <f aca="false">IF(AND($H4518&lt;&gt;"",ROUND($O4518,2)&lt;&gt;0),"有","")</f>
        <v/>
      </c>
    </row>
    <row r="4519" customFormat="false" ht="15" hidden="true" customHeight="false" outlineLevel="0" collapsed="false">
      <c r="A4519" s="53" t="str">
        <f aca="false">IF($H4519="","",ROW()-5)</f>
        <v/>
      </c>
      <c r="B4519" s="64" t="s">
        <v>38</v>
      </c>
      <c r="C4519" s="53" t="n">
        <v>62</v>
      </c>
      <c r="D4519" s="53" t="n">
        <v>2</v>
      </c>
      <c r="E4519" s="65" t="str">
        <f aca="false">IF($H4519="","",生产加工!$B62)</f>
        <v/>
      </c>
      <c r="F4519" s="55" t="str">
        <f aca="false">IF($H4519="","",生产加工!$C62)</f>
        <v/>
      </c>
      <c r="G4519" s="48" t="str">
        <f aca="false">IF($H4519="","",生产加工!$N62)</f>
        <v/>
      </c>
      <c r="H4519" s="10" t="str">
        <f aca="false">IF($L4519="","",IF($L4519="@对方",生产加工!$K62,IF($L4519="@存货",生产加工!$Q62,$L4519)))</f>
        <v/>
      </c>
      <c r="I4519" s="42" t="n">
        <f aca="false">IF($M4519="借",$O4519,0)</f>
        <v>0</v>
      </c>
      <c r="J4519" s="42" t="n">
        <f aca="false">IF($M4519="贷",$O4519,0)</f>
        <v>0</v>
      </c>
      <c r="K4519" s="48"/>
      <c r="L4519" s="66" t="str">
        <f aca="false">IF(生产加工!$E62="","",IFERROR(INDEX(记账规则!$A$36:$H$38,MATCH(生产加工!$E62,记账规则!$A$36:$A$38,0),6),""))</f>
        <v/>
      </c>
      <c r="M4519" s="66" t="str">
        <f aca="false">IF($L4519="","",IFERROR(INDEX(记账规则!$A$36:$H$38,MATCH(生产加工!$E62,记账规则!$A$36:$A$38,0),7),""))</f>
        <v/>
      </c>
      <c r="N4519" s="66" t="str">
        <f aca="false">IF($L4519="","",IFERROR(INDEX(记账规则!$A$36:$H$38,MATCH(生产加工!$E62,记账规则!$A$36:$A$38,0),8),""))</f>
        <v/>
      </c>
      <c r="O4519" s="67" t="n">
        <f aca="false">IF($H4519="",0,ROUND(IF($N4519="记账金额",N(生产加工!$U62),0),2))</f>
        <v>0</v>
      </c>
      <c r="P4519" s="64" t="str">
        <f aca="false">IF(AND($H4519&lt;&gt;"",ROUND($O4519,2)&lt;&gt;0),"有","")</f>
        <v/>
      </c>
    </row>
    <row r="4520" customFormat="false" ht="15" hidden="true" customHeight="false" outlineLevel="0" collapsed="false">
      <c r="A4520" s="53" t="str">
        <f aca="false">IF($H4520="","",ROW()-5)</f>
        <v/>
      </c>
      <c r="B4520" s="64" t="s">
        <v>38</v>
      </c>
      <c r="C4520" s="53" t="n">
        <v>63</v>
      </c>
      <c r="D4520" s="53" t="n">
        <v>1</v>
      </c>
      <c r="E4520" s="65" t="str">
        <f aca="false">IF($H4520="","",生产加工!$B63)</f>
        <v/>
      </c>
      <c r="F4520" s="55" t="str">
        <f aca="false">IF($H4520="","",生产加工!$C63)</f>
        <v/>
      </c>
      <c r="G4520" s="48" t="str">
        <f aca="false">IF($H4520="","",生产加工!$N63)</f>
        <v/>
      </c>
      <c r="H4520" s="10" t="str">
        <f aca="false">IF($L4520="","",IF($L4520="@对方",生产加工!$K63,IF($L4520="@存货",生产加工!$Q63,$L4520)))</f>
        <v/>
      </c>
      <c r="I4520" s="42" t="n">
        <f aca="false">IF($M4520="借",$O4520,0)</f>
        <v>0</v>
      </c>
      <c r="J4520" s="42" t="n">
        <f aca="false">IF($M4520="贷",$O4520,0)</f>
        <v>0</v>
      </c>
      <c r="K4520" s="48"/>
      <c r="L4520" s="66" t="str">
        <f aca="false">IF(生产加工!$E63="","",IFERROR(INDEX(记账规则!$A$36:$H$38,MATCH(生产加工!$E63,记账规则!$A$36:$A$38,0),3),""))</f>
        <v/>
      </c>
      <c r="M4520" s="66" t="str">
        <f aca="false">IF($L4520="","",IFERROR(INDEX(记账规则!$A$36:$H$38,MATCH(生产加工!$E63,记账规则!$A$36:$A$38,0),4),""))</f>
        <v/>
      </c>
      <c r="N4520" s="66" t="str">
        <f aca="false">IF($L4520="","",IFERROR(INDEX(记账规则!$A$36:$H$38,MATCH(生产加工!$E63,记账规则!$A$36:$A$38,0),5),""))</f>
        <v/>
      </c>
      <c r="O4520" s="67" t="n">
        <f aca="false">IF($H4520="",0,ROUND(IF($N4520="记账金额",N(生产加工!$U63),0),2))</f>
        <v>0</v>
      </c>
      <c r="P4520" s="64" t="str">
        <f aca="false">IF(AND($H4520&lt;&gt;"",ROUND($O4520,2)&lt;&gt;0),"有","")</f>
        <v/>
      </c>
    </row>
    <row r="4521" customFormat="false" ht="15" hidden="true" customHeight="false" outlineLevel="0" collapsed="false">
      <c r="A4521" s="53" t="str">
        <f aca="false">IF($H4521="","",ROW()-5)</f>
        <v/>
      </c>
      <c r="B4521" s="64" t="s">
        <v>38</v>
      </c>
      <c r="C4521" s="53" t="n">
        <v>63</v>
      </c>
      <c r="D4521" s="53" t="n">
        <v>2</v>
      </c>
      <c r="E4521" s="65" t="str">
        <f aca="false">IF($H4521="","",生产加工!$B63)</f>
        <v/>
      </c>
      <c r="F4521" s="55" t="str">
        <f aca="false">IF($H4521="","",生产加工!$C63)</f>
        <v/>
      </c>
      <c r="G4521" s="48" t="str">
        <f aca="false">IF($H4521="","",生产加工!$N63)</f>
        <v/>
      </c>
      <c r="H4521" s="10" t="str">
        <f aca="false">IF($L4521="","",IF($L4521="@对方",生产加工!$K63,IF($L4521="@存货",生产加工!$Q63,$L4521)))</f>
        <v/>
      </c>
      <c r="I4521" s="42" t="n">
        <f aca="false">IF($M4521="借",$O4521,0)</f>
        <v>0</v>
      </c>
      <c r="J4521" s="42" t="n">
        <f aca="false">IF($M4521="贷",$O4521,0)</f>
        <v>0</v>
      </c>
      <c r="K4521" s="48"/>
      <c r="L4521" s="66" t="str">
        <f aca="false">IF(生产加工!$E63="","",IFERROR(INDEX(记账规则!$A$36:$H$38,MATCH(生产加工!$E63,记账规则!$A$36:$A$38,0),6),""))</f>
        <v/>
      </c>
      <c r="M4521" s="66" t="str">
        <f aca="false">IF($L4521="","",IFERROR(INDEX(记账规则!$A$36:$H$38,MATCH(生产加工!$E63,记账规则!$A$36:$A$38,0),7),""))</f>
        <v/>
      </c>
      <c r="N4521" s="66" t="str">
        <f aca="false">IF($L4521="","",IFERROR(INDEX(记账规则!$A$36:$H$38,MATCH(生产加工!$E63,记账规则!$A$36:$A$38,0),8),""))</f>
        <v/>
      </c>
      <c r="O4521" s="67" t="n">
        <f aca="false">IF($H4521="",0,ROUND(IF($N4521="记账金额",N(生产加工!$U63),0),2))</f>
        <v>0</v>
      </c>
      <c r="P4521" s="64" t="str">
        <f aca="false">IF(AND($H4521&lt;&gt;"",ROUND($O4521,2)&lt;&gt;0),"有","")</f>
        <v/>
      </c>
    </row>
    <row r="4522" customFormat="false" ht="15" hidden="true" customHeight="false" outlineLevel="0" collapsed="false">
      <c r="A4522" s="53" t="str">
        <f aca="false">IF($H4522="","",ROW()-5)</f>
        <v/>
      </c>
      <c r="B4522" s="64" t="s">
        <v>38</v>
      </c>
      <c r="C4522" s="53" t="n">
        <v>64</v>
      </c>
      <c r="D4522" s="53" t="n">
        <v>1</v>
      </c>
      <c r="E4522" s="65" t="str">
        <f aca="false">IF($H4522="","",生产加工!$B64)</f>
        <v/>
      </c>
      <c r="F4522" s="55" t="str">
        <f aca="false">IF($H4522="","",生产加工!$C64)</f>
        <v/>
      </c>
      <c r="G4522" s="48" t="str">
        <f aca="false">IF($H4522="","",生产加工!$N64)</f>
        <v/>
      </c>
      <c r="H4522" s="10" t="str">
        <f aca="false">IF($L4522="","",IF($L4522="@对方",生产加工!$K64,IF($L4522="@存货",生产加工!$Q64,$L4522)))</f>
        <v/>
      </c>
      <c r="I4522" s="42" t="n">
        <f aca="false">IF($M4522="借",$O4522,0)</f>
        <v>0</v>
      </c>
      <c r="J4522" s="42" t="n">
        <f aca="false">IF($M4522="贷",$O4522,0)</f>
        <v>0</v>
      </c>
      <c r="K4522" s="48"/>
      <c r="L4522" s="66" t="str">
        <f aca="false">IF(生产加工!$E64="","",IFERROR(INDEX(记账规则!$A$36:$H$38,MATCH(生产加工!$E64,记账规则!$A$36:$A$38,0),3),""))</f>
        <v/>
      </c>
      <c r="M4522" s="66" t="str">
        <f aca="false">IF($L4522="","",IFERROR(INDEX(记账规则!$A$36:$H$38,MATCH(生产加工!$E64,记账规则!$A$36:$A$38,0),4),""))</f>
        <v/>
      </c>
      <c r="N4522" s="66" t="str">
        <f aca="false">IF($L4522="","",IFERROR(INDEX(记账规则!$A$36:$H$38,MATCH(生产加工!$E64,记账规则!$A$36:$A$38,0),5),""))</f>
        <v/>
      </c>
      <c r="O4522" s="67" t="n">
        <f aca="false">IF($H4522="",0,ROUND(IF($N4522="记账金额",N(生产加工!$U64),0),2))</f>
        <v>0</v>
      </c>
      <c r="P4522" s="64" t="str">
        <f aca="false">IF(AND($H4522&lt;&gt;"",ROUND($O4522,2)&lt;&gt;0),"有","")</f>
        <v/>
      </c>
    </row>
    <row r="4523" customFormat="false" ht="15" hidden="true" customHeight="false" outlineLevel="0" collapsed="false">
      <c r="A4523" s="53" t="str">
        <f aca="false">IF($H4523="","",ROW()-5)</f>
        <v/>
      </c>
      <c r="B4523" s="64" t="s">
        <v>38</v>
      </c>
      <c r="C4523" s="53" t="n">
        <v>64</v>
      </c>
      <c r="D4523" s="53" t="n">
        <v>2</v>
      </c>
      <c r="E4523" s="65" t="str">
        <f aca="false">IF($H4523="","",生产加工!$B64)</f>
        <v/>
      </c>
      <c r="F4523" s="55" t="str">
        <f aca="false">IF($H4523="","",生产加工!$C64)</f>
        <v/>
      </c>
      <c r="G4523" s="48" t="str">
        <f aca="false">IF($H4523="","",生产加工!$N64)</f>
        <v/>
      </c>
      <c r="H4523" s="10" t="str">
        <f aca="false">IF($L4523="","",IF($L4523="@对方",生产加工!$K64,IF($L4523="@存货",生产加工!$Q64,$L4523)))</f>
        <v/>
      </c>
      <c r="I4523" s="42" t="n">
        <f aca="false">IF($M4523="借",$O4523,0)</f>
        <v>0</v>
      </c>
      <c r="J4523" s="42" t="n">
        <f aca="false">IF($M4523="贷",$O4523,0)</f>
        <v>0</v>
      </c>
      <c r="K4523" s="48"/>
      <c r="L4523" s="66" t="str">
        <f aca="false">IF(生产加工!$E64="","",IFERROR(INDEX(记账规则!$A$36:$H$38,MATCH(生产加工!$E64,记账规则!$A$36:$A$38,0),6),""))</f>
        <v/>
      </c>
      <c r="M4523" s="66" t="str">
        <f aca="false">IF($L4523="","",IFERROR(INDEX(记账规则!$A$36:$H$38,MATCH(生产加工!$E64,记账规则!$A$36:$A$38,0),7),""))</f>
        <v/>
      </c>
      <c r="N4523" s="66" t="str">
        <f aca="false">IF($L4523="","",IFERROR(INDEX(记账规则!$A$36:$H$38,MATCH(生产加工!$E64,记账规则!$A$36:$A$38,0),8),""))</f>
        <v/>
      </c>
      <c r="O4523" s="67" t="n">
        <f aca="false">IF($H4523="",0,ROUND(IF($N4523="记账金额",N(生产加工!$U64),0),2))</f>
        <v>0</v>
      </c>
      <c r="P4523" s="64" t="str">
        <f aca="false">IF(AND($H4523&lt;&gt;"",ROUND($O4523,2)&lt;&gt;0),"有","")</f>
        <v/>
      </c>
    </row>
    <row r="4524" customFormat="false" ht="15" hidden="true" customHeight="false" outlineLevel="0" collapsed="false">
      <c r="A4524" s="53" t="str">
        <f aca="false">IF($H4524="","",ROW()-5)</f>
        <v/>
      </c>
      <c r="B4524" s="64" t="s">
        <v>38</v>
      </c>
      <c r="C4524" s="53" t="n">
        <v>65</v>
      </c>
      <c r="D4524" s="53" t="n">
        <v>1</v>
      </c>
      <c r="E4524" s="65" t="str">
        <f aca="false">IF($H4524="","",生产加工!$B65)</f>
        <v/>
      </c>
      <c r="F4524" s="55" t="str">
        <f aca="false">IF($H4524="","",生产加工!$C65)</f>
        <v/>
      </c>
      <c r="G4524" s="48" t="str">
        <f aca="false">IF($H4524="","",生产加工!$N65)</f>
        <v/>
      </c>
      <c r="H4524" s="10" t="str">
        <f aca="false">IF($L4524="","",IF($L4524="@对方",生产加工!$K65,IF($L4524="@存货",生产加工!$Q65,$L4524)))</f>
        <v/>
      </c>
      <c r="I4524" s="42" t="n">
        <f aca="false">IF($M4524="借",$O4524,0)</f>
        <v>0</v>
      </c>
      <c r="J4524" s="42" t="n">
        <f aca="false">IF($M4524="贷",$O4524,0)</f>
        <v>0</v>
      </c>
      <c r="K4524" s="48"/>
      <c r="L4524" s="66" t="str">
        <f aca="false">IF(生产加工!$E65="","",IFERROR(INDEX(记账规则!$A$36:$H$38,MATCH(生产加工!$E65,记账规则!$A$36:$A$38,0),3),""))</f>
        <v/>
      </c>
      <c r="M4524" s="66" t="str">
        <f aca="false">IF($L4524="","",IFERROR(INDEX(记账规则!$A$36:$H$38,MATCH(生产加工!$E65,记账规则!$A$36:$A$38,0),4),""))</f>
        <v/>
      </c>
      <c r="N4524" s="66" t="str">
        <f aca="false">IF($L4524="","",IFERROR(INDEX(记账规则!$A$36:$H$38,MATCH(生产加工!$E65,记账规则!$A$36:$A$38,0),5),""))</f>
        <v/>
      </c>
      <c r="O4524" s="67" t="n">
        <f aca="false">IF($H4524="",0,ROUND(IF($N4524="记账金额",N(生产加工!$U65),0),2))</f>
        <v>0</v>
      </c>
      <c r="P4524" s="64" t="str">
        <f aca="false">IF(AND($H4524&lt;&gt;"",ROUND($O4524,2)&lt;&gt;0),"有","")</f>
        <v/>
      </c>
    </row>
    <row r="4525" customFormat="false" ht="15" hidden="true" customHeight="false" outlineLevel="0" collapsed="false">
      <c r="A4525" s="53" t="str">
        <f aca="false">IF($H4525="","",ROW()-5)</f>
        <v/>
      </c>
      <c r="B4525" s="64" t="s">
        <v>38</v>
      </c>
      <c r="C4525" s="53" t="n">
        <v>65</v>
      </c>
      <c r="D4525" s="53" t="n">
        <v>2</v>
      </c>
      <c r="E4525" s="65" t="str">
        <f aca="false">IF($H4525="","",生产加工!$B65)</f>
        <v/>
      </c>
      <c r="F4525" s="55" t="str">
        <f aca="false">IF($H4525="","",生产加工!$C65)</f>
        <v/>
      </c>
      <c r="G4525" s="48" t="str">
        <f aca="false">IF($H4525="","",生产加工!$N65)</f>
        <v/>
      </c>
      <c r="H4525" s="10" t="str">
        <f aca="false">IF($L4525="","",IF($L4525="@对方",生产加工!$K65,IF($L4525="@存货",生产加工!$Q65,$L4525)))</f>
        <v/>
      </c>
      <c r="I4525" s="42" t="n">
        <f aca="false">IF($M4525="借",$O4525,0)</f>
        <v>0</v>
      </c>
      <c r="J4525" s="42" t="n">
        <f aca="false">IF($M4525="贷",$O4525,0)</f>
        <v>0</v>
      </c>
      <c r="K4525" s="48"/>
      <c r="L4525" s="66" t="str">
        <f aca="false">IF(生产加工!$E65="","",IFERROR(INDEX(记账规则!$A$36:$H$38,MATCH(生产加工!$E65,记账规则!$A$36:$A$38,0),6),""))</f>
        <v/>
      </c>
      <c r="M4525" s="66" t="str">
        <f aca="false">IF($L4525="","",IFERROR(INDEX(记账规则!$A$36:$H$38,MATCH(生产加工!$E65,记账规则!$A$36:$A$38,0),7),""))</f>
        <v/>
      </c>
      <c r="N4525" s="66" t="str">
        <f aca="false">IF($L4525="","",IFERROR(INDEX(记账规则!$A$36:$H$38,MATCH(生产加工!$E65,记账规则!$A$36:$A$38,0),8),""))</f>
        <v/>
      </c>
      <c r="O4525" s="67" t="n">
        <f aca="false">IF($H4525="",0,ROUND(IF($N4525="记账金额",N(生产加工!$U65),0),2))</f>
        <v>0</v>
      </c>
      <c r="P4525" s="64" t="str">
        <f aca="false">IF(AND($H4525&lt;&gt;"",ROUND($O4525,2)&lt;&gt;0),"有","")</f>
        <v/>
      </c>
    </row>
    <row r="4526" customFormat="false" ht="15" hidden="true" customHeight="false" outlineLevel="0" collapsed="false">
      <c r="A4526" s="53" t="str">
        <f aca="false">IF($H4526="","",ROW()-5)</f>
        <v/>
      </c>
      <c r="B4526" s="64" t="s">
        <v>38</v>
      </c>
      <c r="C4526" s="53" t="n">
        <v>66</v>
      </c>
      <c r="D4526" s="53" t="n">
        <v>1</v>
      </c>
      <c r="E4526" s="65" t="str">
        <f aca="false">IF($H4526="","",生产加工!$B66)</f>
        <v/>
      </c>
      <c r="F4526" s="55" t="str">
        <f aca="false">IF($H4526="","",生产加工!$C66)</f>
        <v/>
      </c>
      <c r="G4526" s="48" t="str">
        <f aca="false">IF($H4526="","",生产加工!$N66)</f>
        <v/>
      </c>
      <c r="H4526" s="10" t="str">
        <f aca="false">IF($L4526="","",IF($L4526="@对方",生产加工!$K66,IF($L4526="@存货",生产加工!$Q66,$L4526)))</f>
        <v/>
      </c>
      <c r="I4526" s="42" t="n">
        <f aca="false">IF($M4526="借",$O4526,0)</f>
        <v>0</v>
      </c>
      <c r="J4526" s="42" t="n">
        <f aca="false">IF($M4526="贷",$O4526,0)</f>
        <v>0</v>
      </c>
      <c r="K4526" s="48"/>
      <c r="L4526" s="66" t="str">
        <f aca="false">IF(生产加工!$E66="","",IFERROR(INDEX(记账规则!$A$36:$H$38,MATCH(生产加工!$E66,记账规则!$A$36:$A$38,0),3),""))</f>
        <v/>
      </c>
      <c r="M4526" s="66" t="str">
        <f aca="false">IF($L4526="","",IFERROR(INDEX(记账规则!$A$36:$H$38,MATCH(生产加工!$E66,记账规则!$A$36:$A$38,0),4),""))</f>
        <v/>
      </c>
      <c r="N4526" s="66" t="str">
        <f aca="false">IF($L4526="","",IFERROR(INDEX(记账规则!$A$36:$H$38,MATCH(生产加工!$E66,记账规则!$A$36:$A$38,0),5),""))</f>
        <v/>
      </c>
      <c r="O4526" s="67" t="n">
        <f aca="false">IF($H4526="",0,ROUND(IF($N4526="记账金额",N(生产加工!$U66),0),2))</f>
        <v>0</v>
      </c>
      <c r="P4526" s="64" t="str">
        <f aca="false">IF(AND($H4526&lt;&gt;"",ROUND($O4526,2)&lt;&gt;0),"有","")</f>
        <v/>
      </c>
    </row>
    <row r="4527" customFormat="false" ht="15" hidden="true" customHeight="false" outlineLevel="0" collapsed="false">
      <c r="A4527" s="53" t="str">
        <f aca="false">IF($H4527="","",ROW()-5)</f>
        <v/>
      </c>
      <c r="B4527" s="64" t="s">
        <v>38</v>
      </c>
      <c r="C4527" s="53" t="n">
        <v>66</v>
      </c>
      <c r="D4527" s="53" t="n">
        <v>2</v>
      </c>
      <c r="E4527" s="65" t="str">
        <f aca="false">IF($H4527="","",生产加工!$B66)</f>
        <v/>
      </c>
      <c r="F4527" s="55" t="str">
        <f aca="false">IF($H4527="","",生产加工!$C66)</f>
        <v/>
      </c>
      <c r="G4527" s="48" t="str">
        <f aca="false">IF($H4527="","",生产加工!$N66)</f>
        <v/>
      </c>
      <c r="H4527" s="10" t="str">
        <f aca="false">IF($L4527="","",IF($L4527="@对方",生产加工!$K66,IF($L4527="@存货",生产加工!$Q66,$L4527)))</f>
        <v/>
      </c>
      <c r="I4527" s="42" t="n">
        <f aca="false">IF($M4527="借",$O4527,0)</f>
        <v>0</v>
      </c>
      <c r="J4527" s="42" t="n">
        <f aca="false">IF($M4527="贷",$O4527,0)</f>
        <v>0</v>
      </c>
      <c r="K4527" s="48"/>
      <c r="L4527" s="66" t="str">
        <f aca="false">IF(生产加工!$E66="","",IFERROR(INDEX(记账规则!$A$36:$H$38,MATCH(生产加工!$E66,记账规则!$A$36:$A$38,0),6),""))</f>
        <v/>
      </c>
      <c r="M4527" s="66" t="str">
        <f aca="false">IF($L4527="","",IFERROR(INDEX(记账规则!$A$36:$H$38,MATCH(生产加工!$E66,记账规则!$A$36:$A$38,0),7),""))</f>
        <v/>
      </c>
      <c r="N4527" s="66" t="str">
        <f aca="false">IF($L4527="","",IFERROR(INDEX(记账规则!$A$36:$H$38,MATCH(生产加工!$E66,记账规则!$A$36:$A$38,0),8),""))</f>
        <v/>
      </c>
      <c r="O4527" s="67" t="n">
        <f aca="false">IF($H4527="",0,ROUND(IF($N4527="记账金额",N(生产加工!$U66),0),2))</f>
        <v>0</v>
      </c>
      <c r="P4527" s="64" t="str">
        <f aca="false">IF(AND($H4527&lt;&gt;"",ROUND($O4527,2)&lt;&gt;0),"有","")</f>
        <v/>
      </c>
    </row>
    <row r="4528" customFormat="false" ht="15" hidden="true" customHeight="false" outlineLevel="0" collapsed="false">
      <c r="A4528" s="53" t="str">
        <f aca="false">IF($H4528="","",ROW()-5)</f>
        <v/>
      </c>
      <c r="B4528" s="64" t="s">
        <v>38</v>
      </c>
      <c r="C4528" s="53" t="n">
        <v>67</v>
      </c>
      <c r="D4528" s="53" t="n">
        <v>1</v>
      </c>
      <c r="E4528" s="65" t="str">
        <f aca="false">IF($H4528="","",生产加工!$B67)</f>
        <v/>
      </c>
      <c r="F4528" s="55" t="str">
        <f aca="false">IF($H4528="","",生产加工!$C67)</f>
        <v/>
      </c>
      <c r="G4528" s="48" t="str">
        <f aca="false">IF($H4528="","",生产加工!$N67)</f>
        <v/>
      </c>
      <c r="H4528" s="10" t="str">
        <f aca="false">IF($L4528="","",IF($L4528="@对方",生产加工!$K67,IF($L4528="@存货",生产加工!$Q67,$L4528)))</f>
        <v/>
      </c>
      <c r="I4528" s="42" t="n">
        <f aca="false">IF($M4528="借",$O4528,0)</f>
        <v>0</v>
      </c>
      <c r="J4528" s="42" t="n">
        <f aca="false">IF($M4528="贷",$O4528,0)</f>
        <v>0</v>
      </c>
      <c r="K4528" s="48"/>
      <c r="L4528" s="66" t="str">
        <f aca="false">IF(生产加工!$E67="","",IFERROR(INDEX(记账规则!$A$36:$H$38,MATCH(生产加工!$E67,记账规则!$A$36:$A$38,0),3),""))</f>
        <v/>
      </c>
      <c r="M4528" s="66" t="str">
        <f aca="false">IF($L4528="","",IFERROR(INDEX(记账规则!$A$36:$H$38,MATCH(生产加工!$E67,记账规则!$A$36:$A$38,0),4),""))</f>
        <v/>
      </c>
      <c r="N4528" s="66" t="str">
        <f aca="false">IF($L4528="","",IFERROR(INDEX(记账规则!$A$36:$H$38,MATCH(生产加工!$E67,记账规则!$A$36:$A$38,0),5),""))</f>
        <v/>
      </c>
      <c r="O4528" s="67" t="n">
        <f aca="false">IF($H4528="",0,ROUND(IF($N4528="记账金额",N(生产加工!$U67),0),2))</f>
        <v>0</v>
      </c>
      <c r="P4528" s="64" t="str">
        <f aca="false">IF(AND($H4528&lt;&gt;"",ROUND($O4528,2)&lt;&gt;0),"有","")</f>
        <v/>
      </c>
    </row>
    <row r="4529" customFormat="false" ht="15" hidden="true" customHeight="false" outlineLevel="0" collapsed="false">
      <c r="A4529" s="53" t="str">
        <f aca="false">IF($H4529="","",ROW()-5)</f>
        <v/>
      </c>
      <c r="B4529" s="64" t="s">
        <v>38</v>
      </c>
      <c r="C4529" s="53" t="n">
        <v>67</v>
      </c>
      <c r="D4529" s="53" t="n">
        <v>2</v>
      </c>
      <c r="E4529" s="65" t="str">
        <f aca="false">IF($H4529="","",生产加工!$B67)</f>
        <v/>
      </c>
      <c r="F4529" s="55" t="str">
        <f aca="false">IF($H4529="","",生产加工!$C67)</f>
        <v/>
      </c>
      <c r="G4529" s="48" t="str">
        <f aca="false">IF($H4529="","",生产加工!$N67)</f>
        <v/>
      </c>
      <c r="H4529" s="10" t="str">
        <f aca="false">IF($L4529="","",IF($L4529="@对方",生产加工!$K67,IF($L4529="@存货",生产加工!$Q67,$L4529)))</f>
        <v/>
      </c>
      <c r="I4529" s="42" t="n">
        <f aca="false">IF($M4529="借",$O4529,0)</f>
        <v>0</v>
      </c>
      <c r="J4529" s="42" t="n">
        <f aca="false">IF($M4529="贷",$O4529,0)</f>
        <v>0</v>
      </c>
      <c r="K4529" s="48"/>
      <c r="L4529" s="66" t="str">
        <f aca="false">IF(生产加工!$E67="","",IFERROR(INDEX(记账规则!$A$36:$H$38,MATCH(生产加工!$E67,记账规则!$A$36:$A$38,0),6),""))</f>
        <v/>
      </c>
      <c r="M4529" s="66" t="str">
        <f aca="false">IF($L4529="","",IFERROR(INDEX(记账规则!$A$36:$H$38,MATCH(生产加工!$E67,记账规则!$A$36:$A$38,0),7),""))</f>
        <v/>
      </c>
      <c r="N4529" s="66" t="str">
        <f aca="false">IF($L4529="","",IFERROR(INDEX(记账规则!$A$36:$H$38,MATCH(生产加工!$E67,记账规则!$A$36:$A$38,0),8),""))</f>
        <v/>
      </c>
      <c r="O4529" s="67" t="n">
        <f aca="false">IF($H4529="",0,ROUND(IF($N4529="记账金额",N(生产加工!$U67),0),2))</f>
        <v>0</v>
      </c>
      <c r="P4529" s="64" t="str">
        <f aca="false">IF(AND($H4529&lt;&gt;"",ROUND($O4529,2)&lt;&gt;0),"有","")</f>
        <v/>
      </c>
    </row>
    <row r="4530" customFormat="false" ht="15" hidden="true" customHeight="false" outlineLevel="0" collapsed="false">
      <c r="A4530" s="53" t="str">
        <f aca="false">IF($H4530="","",ROW()-5)</f>
        <v/>
      </c>
      <c r="B4530" s="64" t="s">
        <v>38</v>
      </c>
      <c r="C4530" s="53" t="n">
        <v>68</v>
      </c>
      <c r="D4530" s="53" t="n">
        <v>1</v>
      </c>
      <c r="E4530" s="65" t="str">
        <f aca="false">IF($H4530="","",生产加工!$B68)</f>
        <v/>
      </c>
      <c r="F4530" s="55" t="str">
        <f aca="false">IF($H4530="","",生产加工!$C68)</f>
        <v/>
      </c>
      <c r="G4530" s="48" t="str">
        <f aca="false">IF($H4530="","",生产加工!$N68)</f>
        <v/>
      </c>
      <c r="H4530" s="10" t="str">
        <f aca="false">IF($L4530="","",IF($L4530="@对方",生产加工!$K68,IF($L4530="@存货",生产加工!$Q68,$L4530)))</f>
        <v/>
      </c>
      <c r="I4530" s="42" t="n">
        <f aca="false">IF($M4530="借",$O4530,0)</f>
        <v>0</v>
      </c>
      <c r="J4530" s="42" t="n">
        <f aca="false">IF($M4530="贷",$O4530,0)</f>
        <v>0</v>
      </c>
      <c r="K4530" s="48"/>
      <c r="L4530" s="66" t="str">
        <f aca="false">IF(生产加工!$E68="","",IFERROR(INDEX(记账规则!$A$36:$H$38,MATCH(生产加工!$E68,记账规则!$A$36:$A$38,0),3),""))</f>
        <v/>
      </c>
      <c r="M4530" s="66" t="str">
        <f aca="false">IF($L4530="","",IFERROR(INDEX(记账规则!$A$36:$H$38,MATCH(生产加工!$E68,记账规则!$A$36:$A$38,0),4),""))</f>
        <v/>
      </c>
      <c r="N4530" s="66" t="str">
        <f aca="false">IF($L4530="","",IFERROR(INDEX(记账规则!$A$36:$H$38,MATCH(生产加工!$E68,记账规则!$A$36:$A$38,0),5),""))</f>
        <v/>
      </c>
      <c r="O4530" s="67" t="n">
        <f aca="false">IF($H4530="",0,ROUND(IF($N4530="记账金额",N(生产加工!$U68),0),2))</f>
        <v>0</v>
      </c>
      <c r="P4530" s="64" t="str">
        <f aca="false">IF(AND($H4530&lt;&gt;"",ROUND($O4530,2)&lt;&gt;0),"有","")</f>
        <v/>
      </c>
    </row>
    <row r="4531" customFormat="false" ht="15" hidden="true" customHeight="false" outlineLevel="0" collapsed="false">
      <c r="A4531" s="53" t="str">
        <f aca="false">IF($H4531="","",ROW()-5)</f>
        <v/>
      </c>
      <c r="B4531" s="64" t="s">
        <v>38</v>
      </c>
      <c r="C4531" s="53" t="n">
        <v>68</v>
      </c>
      <c r="D4531" s="53" t="n">
        <v>2</v>
      </c>
      <c r="E4531" s="65" t="str">
        <f aca="false">IF($H4531="","",生产加工!$B68)</f>
        <v/>
      </c>
      <c r="F4531" s="55" t="str">
        <f aca="false">IF($H4531="","",生产加工!$C68)</f>
        <v/>
      </c>
      <c r="G4531" s="48" t="str">
        <f aca="false">IF($H4531="","",生产加工!$N68)</f>
        <v/>
      </c>
      <c r="H4531" s="10" t="str">
        <f aca="false">IF($L4531="","",IF($L4531="@对方",生产加工!$K68,IF($L4531="@存货",生产加工!$Q68,$L4531)))</f>
        <v/>
      </c>
      <c r="I4531" s="42" t="n">
        <f aca="false">IF($M4531="借",$O4531,0)</f>
        <v>0</v>
      </c>
      <c r="J4531" s="42" t="n">
        <f aca="false">IF($M4531="贷",$O4531,0)</f>
        <v>0</v>
      </c>
      <c r="K4531" s="48"/>
      <c r="L4531" s="66" t="str">
        <f aca="false">IF(生产加工!$E68="","",IFERROR(INDEX(记账规则!$A$36:$H$38,MATCH(生产加工!$E68,记账规则!$A$36:$A$38,0),6),""))</f>
        <v/>
      </c>
      <c r="M4531" s="66" t="str">
        <f aca="false">IF($L4531="","",IFERROR(INDEX(记账规则!$A$36:$H$38,MATCH(生产加工!$E68,记账规则!$A$36:$A$38,0),7),""))</f>
        <v/>
      </c>
      <c r="N4531" s="66" t="str">
        <f aca="false">IF($L4531="","",IFERROR(INDEX(记账规则!$A$36:$H$38,MATCH(生产加工!$E68,记账规则!$A$36:$A$38,0),8),""))</f>
        <v/>
      </c>
      <c r="O4531" s="67" t="n">
        <f aca="false">IF($H4531="",0,ROUND(IF($N4531="记账金额",N(生产加工!$U68),0),2))</f>
        <v>0</v>
      </c>
      <c r="P4531" s="64" t="str">
        <f aca="false">IF(AND($H4531&lt;&gt;"",ROUND($O4531,2)&lt;&gt;0),"有","")</f>
        <v/>
      </c>
    </row>
    <row r="4532" customFormat="false" ht="15" hidden="true" customHeight="false" outlineLevel="0" collapsed="false">
      <c r="A4532" s="53" t="str">
        <f aca="false">IF($H4532="","",ROW()-5)</f>
        <v/>
      </c>
      <c r="B4532" s="64" t="s">
        <v>38</v>
      </c>
      <c r="C4532" s="53" t="n">
        <v>69</v>
      </c>
      <c r="D4532" s="53" t="n">
        <v>1</v>
      </c>
      <c r="E4532" s="65" t="str">
        <f aca="false">IF($H4532="","",生产加工!$B69)</f>
        <v/>
      </c>
      <c r="F4532" s="55" t="str">
        <f aca="false">IF($H4532="","",生产加工!$C69)</f>
        <v/>
      </c>
      <c r="G4532" s="48" t="str">
        <f aca="false">IF($H4532="","",生产加工!$N69)</f>
        <v/>
      </c>
      <c r="H4532" s="10" t="str">
        <f aca="false">IF($L4532="","",IF($L4532="@对方",生产加工!$K69,IF($L4532="@存货",生产加工!$Q69,$L4532)))</f>
        <v/>
      </c>
      <c r="I4532" s="42" t="n">
        <f aca="false">IF($M4532="借",$O4532,0)</f>
        <v>0</v>
      </c>
      <c r="J4532" s="42" t="n">
        <f aca="false">IF($M4532="贷",$O4532,0)</f>
        <v>0</v>
      </c>
      <c r="K4532" s="48"/>
      <c r="L4532" s="66" t="str">
        <f aca="false">IF(生产加工!$E69="","",IFERROR(INDEX(记账规则!$A$36:$H$38,MATCH(生产加工!$E69,记账规则!$A$36:$A$38,0),3),""))</f>
        <v/>
      </c>
      <c r="M4532" s="66" t="str">
        <f aca="false">IF($L4532="","",IFERROR(INDEX(记账规则!$A$36:$H$38,MATCH(生产加工!$E69,记账规则!$A$36:$A$38,0),4),""))</f>
        <v/>
      </c>
      <c r="N4532" s="66" t="str">
        <f aca="false">IF($L4532="","",IFERROR(INDEX(记账规则!$A$36:$H$38,MATCH(生产加工!$E69,记账规则!$A$36:$A$38,0),5),""))</f>
        <v/>
      </c>
      <c r="O4532" s="67" t="n">
        <f aca="false">IF($H4532="",0,ROUND(IF($N4532="记账金额",N(生产加工!$U69),0),2))</f>
        <v>0</v>
      </c>
      <c r="P4532" s="64" t="str">
        <f aca="false">IF(AND($H4532&lt;&gt;"",ROUND($O4532,2)&lt;&gt;0),"有","")</f>
        <v/>
      </c>
    </row>
    <row r="4533" customFormat="false" ht="15" hidden="true" customHeight="false" outlineLevel="0" collapsed="false">
      <c r="A4533" s="53" t="str">
        <f aca="false">IF($H4533="","",ROW()-5)</f>
        <v/>
      </c>
      <c r="B4533" s="64" t="s">
        <v>38</v>
      </c>
      <c r="C4533" s="53" t="n">
        <v>69</v>
      </c>
      <c r="D4533" s="53" t="n">
        <v>2</v>
      </c>
      <c r="E4533" s="65" t="str">
        <f aca="false">IF($H4533="","",生产加工!$B69)</f>
        <v/>
      </c>
      <c r="F4533" s="55" t="str">
        <f aca="false">IF($H4533="","",生产加工!$C69)</f>
        <v/>
      </c>
      <c r="G4533" s="48" t="str">
        <f aca="false">IF($H4533="","",生产加工!$N69)</f>
        <v/>
      </c>
      <c r="H4533" s="10" t="str">
        <f aca="false">IF($L4533="","",IF($L4533="@对方",生产加工!$K69,IF($L4533="@存货",生产加工!$Q69,$L4533)))</f>
        <v/>
      </c>
      <c r="I4533" s="42" t="n">
        <f aca="false">IF($M4533="借",$O4533,0)</f>
        <v>0</v>
      </c>
      <c r="J4533" s="42" t="n">
        <f aca="false">IF($M4533="贷",$O4533,0)</f>
        <v>0</v>
      </c>
      <c r="K4533" s="48"/>
      <c r="L4533" s="66" t="str">
        <f aca="false">IF(生产加工!$E69="","",IFERROR(INDEX(记账规则!$A$36:$H$38,MATCH(生产加工!$E69,记账规则!$A$36:$A$38,0),6),""))</f>
        <v/>
      </c>
      <c r="M4533" s="66" t="str">
        <f aca="false">IF($L4533="","",IFERROR(INDEX(记账规则!$A$36:$H$38,MATCH(生产加工!$E69,记账规则!$A$36:$A$38,0),7),""))</f>
        <v/>
      </c>
      <c r="N4533" s="66" t="str">
        <f aca="false">IF($L4533="","",IFERROR(INDEX(记账规则!$A$36:$H$38,MATCH(生产加工!$E69,记账规则!$A$36:$A$38,0),8),""))</f>
        <v/>
      </c>
      <c r="O4533" s="67" t="n">
        <f aca="false">IF($H4533="",0,ROUND(IF($N4533="记账金额",N(生产加工!$U69),0),2))</f>
        <v>0</v>
      </c>
      <c r="P4533" s="64" t="str">
        <f aca="false">IF(AND($H4533&lt;&gt;"",ROUND($O4533,2)&lt;&gt;0),"有","")</f>
        <v/>
      </c>
    </row>
    <row r="4534" customFormat="false" ht="15" hidden="true" customHeight="false" outlineLevel="0" collapsed="false">
      <c r="A4534" s="53" t="str">
        <f aca="false">IF($H4534="","",ROW()-5)</f>
        <v/>
      </c>
      <c r="B4534" s="64" t="s">
        <v>38</v>
      </c>
      <c r="C4534" s="53" t="n">
        <v>70</v>
      </c>
      <c r="D4534" s="53" t="n">
        <v>1</v>
      </c>
      <c r="E4534" s="65" t="str">
        <f aca="false">IF($H4534="","",生产加工!$B70)</f>
        <v/>
      </c>
      <c r="F4534" s="55" t="str">
        <f aca="false">IF($H4534="","",生产加工!$C70)</f>
        <v/>
      </c>
      <c r="G4534" s="48" t="str">
        <f aca="false">IF($H4534="","",生产加工!$N70)</f>
        <v/>
      </c>
      <c r="H4534" s="10" t="str">
        <f aca="false">IF($L4534="","",IF($L4534="@对方",生产加工!$K70,IF($L4534="@存货",生产加工!$Q70,$L4534)))</f>
        <v/>
      </c>
      <c r="I4534" s="42" t="n">
        <f aca="false">IF($M4534="借",$O4534,0)</f>
        <v>0</v>
      </c>
      <c r="J4534" s="42" t="n">
        <f aca="false">IF($M4534="贷",$O4534,0)</f>
        <v>0</v>
      </c>
      <c r="K4534" s="48"/>
      <c r="L4534" s="66" t="str">
        <f aca="false">IF(生产加工!$E70="","",IFERROR(INDEX(记账规则!$A$36:$H$38,MATCH(生产加工!$E70,记账规则!$A$36:$A$38,0),3),""))</f>
        <v/>
      </c>
      <c r="M4534" s="66" t="str">
        <f aca="false">IF($L4534="","",IFERROR(INDEX(记账规则!$A$36:$H$38,MATCH(生产加工!$E70,记账规则!$A$36:$A$38,0),4),""))</f>
        <v/>
      </c>
      <c r="N4534" s="66" t="str">
        <f aca="false">IF($L4534="","",IFERROR(INDEX(记账规则!$A$36:$H$38,MATCH(生产加工!$E70,记账规则!$A$36:$A$38,0),5),""))</f>
        <v/>
      </c>
      <c r="O4534" s="67" t="n">
        <f aca="false">IF($H4534="",0,ROUND(IF($N4534="记账金额",N(生产加工!$U70),0),2))</f>
        <v>0</v>
      </c>
      <c r="P4534" s="64" t="str">
        <f aca="false">IF(AND($H4534&lt;&gt;"",ROUND($O4534,2)&lt;&gt;0),"有","")</f>
        <v/>
      </c>
    </row>
    <row r="4535" customFormat="false" ht="15" hidden="true" customHeight="false" outlineLevel="0" collapsed="false">
      <c r="A4535" s="53" t="str">
        <f aca="false">IF($H4535="","",ROW()-5)</f>
        <v/>
      </c>
      <c r="B4535" s="64" t="s">
        <v>38</v>
      </c>
      <c r="C4535" s="53" t="n">
        <v>70</v>
      </c>
      <c r="D4535" s="53" t="n">
        <v>2</v>
      </c>
      <c r="E4535" s="65" t="str">
        <f aca="false">IF($H4535="","",生产加工!$B70)</f>
        <v/>
      </c>
      <c r="F4535" s="55" t="str">
        <f aca="false">IF($H4535="","",生产加工!$C70)</f>
        <v/>
      </c>
      <c r="G4535" s="48" t="str">
        <f aca="false">IF($H4535="","",生产加工!$N70)</f>
        <v/>
      </c>
      <c r="H4535" s="10" t="str">
        <f aca="false">IF($L4535="","",IF($L4535="@对方",生产加工!$K70,IF($L4535="@存货",生产加工!$Q70,$L4535)))</f>
        <v/>
      </c>
      <c r="I4535" s="42" t="n">
        <f aca="false">IF($M4535="借",$O4535,0)</f>
        <v>0</v>
      </c>
      <c r="J4535" s="42" t="n">
        <f aca="false">IF($M4535="贷",$O4535,0)</f>
        <v>0</v>
      </c>
      <c r="K4535" s="48"/>
      <c r="L4535" s="66" t="str">
        <f aca="false">IF(生产加工!$E70="","",IFERROR(INDEX(记账规则!$A$36:$H$38,MATCH(生产加工!$E70,记账规则!$A$36:$A$38,0),6),""))</f>
        <v/>
      </c>
      <c r="M4535" s="66" t="str">
        <f aca="false">IF($L4535="","",IFERROR(INDEX(记账规则!$A$36:$H$38,MATCH(生产加工!$E70,记账规则!$A$36:$A$38,0),7),""))</f>
        <v/>
      </c>
      <c r="N4535" s="66" t="str">
        <f aca="false">IF($L4535="","",IFERROR(INDEX(记账规则!$A$36:$H$38,MATCH(生产加工!$E70,记账规则!$A$36:$A$38,0),8),""))</f>
        <v/>
      </c>
      <c r="O4535" s="67" t="n">
        <f aca="false">IF($H4535="",0,ROUND(IF($N4535="记账金额",N(生产加工!$U70),0),2))</f>
        <v>0</v>
      </c>
      <c r="P4535" s="64" t="str">
        <f aca="false">IF(AND($H4535&lt;&gt;"",ROUND($O4535,2)&lt;&gt;0),"有","")</f>
        <v/>
      </c>
    </row>
    <row r="4536" customFormat="false" ht="15" hidden="true" customHeight="false" outlineLevel="0" collapsed="false">
      <c r="A4536" s="53" t="str">
        <f aca="false">IF($H4536="","",ROW()-5)</f>
        <v/>
      </c>
      <c r="B4536" s="64" t="s">
        <v>38</v>
      </c>
      <c r="C4536" s="53" t="n">
        <v>71</v>
      </c>
      <c r="D4536" s="53" t="n">
        <v>1</v>
      </c>
      <c r="E4536" s="65" t="str">
        <f aca="false">IF($H4536="","",生产加工!$B71)</f>
        <v/>
      </c>
      <c r="F4536" s="55" t="str">
        <f aca="false">IF($H4536="","",生产加工!$C71)</f>
        <v/>
      </c>
      <c r="G4536" s="48" t="str">
        <f aca="false">IF($H4536="","",生产加工!$N71)</f>
        <v/>
      </c>
      <c r="H4536" s="10" t="str">
        <f aca="false">IF($L4536="","",IF($L4536="@对方",生产加工!$K71,IF($L4536="@存货",生产加工!$Q71,$L4536)))</f>
        <v/>
      </c>
      <c r="I4536" s="42" t="n">
        <f aca="false">IF($M4536="借",$O4536,0)</f>
        <v>0</v>
      </c>
      <c r="J4536" s="42" t="n">
        <f aca="false">IF($M4536="贷",$O4536,0)</f>
        <v>0</v>
      </c>
      <c r="K4536" s="48"/>
      <c r="L4536" s="66" t="str">
        <f aca="false">IF(生产加工!$E71="","",IFERROR(INDEX(记账规则!$A$36:$H$38,MATCH(生产加工!$E71,记账规则!$A$36:$A$38,0),3),""))</f>
        <v/>
      </c>
      <c r="M4536" s="66" t="str">
        <f aca="false">IF($L4536="","",IFERROR(INDEX(记账规则!$A$36:$H$38,MATCH(生产加工!$E71,记账规则!$A$36:$A$38,0),4),""))</f>
        <v/>
      </c>
      <c r="N4536" s="66" t="str">
        <f aca="false">IF($L4536="","",IFERROR(INDEX(记账规则!$A$36:$H$38,MATCH(生产加工!$E71,记账规则!$A$36:$A$38,0),5),""))</f>
        <v/>
      </c>
      <c r="O4536" s="67" t="n">
        <f aca="false">IF($H4536="",0,ROUND(IF($N4536="记账金额",N(生产加工!$U71),0),2))</f>
        <v>0</v>
      </c>
      <c r="P4536" s="64" t="str">
        <f aca="false">IF(AND($H4536&lt;&gt;"",ROUND($O4536,2)&lt;&gt;0),"有","")</f>
        <v/>
      </c>
    </row>
    <row r="4537" customFormat="false" ht="15" hidden="true" customHeight="false" outlineLevel="0" collapsed="false">
      <c r="A4537" s="53" t="str">
        <f aca="false">IF($H4537="","",ROW()-5)</f>
        <v/>
      </c>
      <c r="B4537" s="64" t="s">
        <v>38</v>
      </c>
      <c r="C4537" s="53" t="n">
        <v>71</v>
      </c>
      <c r="D4537" s="53" t="n">
        <v>2</v>
      </c>
      <c r="E4537" s="65" t="str">
        <f aca="false">IF($H4537="","",生产加工!$B71)</f>
        <v/>
      </c>
      <c r="F4537" s="55" t="str">
        <f aca="false">IF($H4537="","",生产加工!$C71)</f>
        <v/>
      </c>
      <c r="G4537" s="48" t="str">
        <f aca="false">IF($H4537="","",生产加工!$N71)</f>
        <v/>
      </c>
      <c r="H4537" s="10" t="str">
        <f aca="false">IF($L4537="","",IF($L4537="@对方",生产加工!$K71,IF($L4537="@存货",生产加工!$Q71,$L4537)))</f>
        <v/>
      </c>
      <c r="I4537" s="42" t="n">
        <f aca="false">IF($M4537="借",$O4537,0)</f>
        <v>0</v>
      </c>
      <c r="J4537" s="42" t="n">
        <f aca="false">IF($M4537="贷",$O4537,0)</f>
        <v>0</v>
      </c>
      <c r="K4537" s="48"/>
      <c r="L4537" s="66" t="str">
        <f aca="false">IF(生产加工!$E71="","",IFERROR(INDEX(记账规则!$A$36:$H$38,MATCH(生产加工!$E71,记账规则!$A$36:$A$38,0),6),""))</f>
        <v/>
      </c>
      <c r="M4537" s="66" t="str">
        <f aca="false">IF($L4537="","",IFERROR(INDEX(记账规则!$A$36:$H$38,MATCH(生产加工!$E71,记账规则!$A$36:$A$38,0),7),""))</f>
        <v/>
      </c>
      <c r="N4537" s="66" t="str">
        <f aca="false">IF($L4537="","",IFERROR(INDEX(记账规则!$A$36:$H$38,MATCH(生产加工!$E71,记账规则!$A$36:$A$38,0),8),""))</f>
        <v/>
      </c>
      <c r="O4537" s="67" t="n">
        <f aca="false">IF($H4537="",0,ROUND(IF($N4537="记账金额",N(生产加工!$U71),0),2))</f>
        <v>0</v>
      </c>
      <c r="P4537" s="64" t="str">
        <f aca="false">IF(AND($H4537&lt;&gt;"",ROUND($O4537,2)&lt;&gt;0),"有","")</f>
        <v/>
      </c>
    </row>
    <row r="4538" customFormat="false" ht="15" hidden="true" customHeight="false" outlineLevel="0" collapsed="false">
      <c r="A4538" s="53" t="str">
        <f aca="false">IF($H4538="","",ROW()-5)</f>
        <v/>
      </c>
      <c r="B4538" s="64" t="s">
        <v>38</v>
      </c>
      <c r="C4538" s="53" t="n">
        <v>72</v>
      </c>
      <c r="D4538" s="53" t="n">
        <v>1</v>
      </c>
      <c r="E4538" s="65" t="str">
        <f aca="false">IF($H4538="","",生产加工!$B72)</f>
        <v/>
      </c>
      <c r="F4538" s="55" t="str">
        <f aca="false">IF($H4538="","",生产加工!$C72)</f>
        <v/>
      </c>
      <c r="G4538" s="48" t="str">
        <f aca="false">IF($H4538="","",生产加工!$N72)</f>
        <v/>
      </c>
      <c r="H4538" s="10" t="str">
        <f aca="false">IF($L4538="","",IF($L4538="@对方",生产加工!$K72,IF($L4538="@存货",生产加工!$Q72,$L4538)))</f>
        <v/>
      </c>
      <c r="I4538" s="42" t="n">
        <f aca="false">IF($M4538="借",$O4538,0)</f>
        <v>0</v>
      </c>
      <c r="J4538" s="42" t="n">
        <f aca="false">IF($M4538="贷",$O4538,0)</f>
        <v>0</v>
      </c>
      <c r="K4538" s="48"/>
      <c r="L4538" s="66" t="str">
        <f aca="false">IF(生产加工!$E72="","",IFERROR(INDEX(记账规则!$A$36:$H$38,MATCH(生产加工!$E72,记账规则!$A$36:$A$38,0),3),""))</f>
        <v/>
      </c>
      <c r="M4538" s="66" t="str">
        <f aca="false">IF($L4538="","",IFERROR(INDEX(记账规则!$A$36:$H$38,MATCH(生产加工!$E72,记账规则!$A$36:$A$38,0),4),""))</f>
        <v/>
      </c>
      <c r="N4538" s="66" t="str">
        <f aca="false">IF($L4538="","",IFERROR(INDEX(记账规则!$A$36:$H$38,MATCH(生产加工!$E72,记账规则!$A$36:$A$38,0),5),""))</f>
        <v/>
      </c>
      <c r="O4538" s="67" t="n">
        <f aca="false">IF($H4538="",0,ROUND(IF($N4538="记账金额",N(生产加工!$U72),0),2))</f>
        <v>0</v>
      </c>
      <c r="P4538" s="64" t="str">
        <f aca="false">IF(AND($H4538&lt;&gt;"",ROUND($O4538,2)&lt;&gt;0),"有","")</f>
        <v/>
      </c>
    </row>
    <row r="4539" customFormat="false" ht="15" hidden="true" customHeight="false" outlineLevel="0" collapsed="false">
      <c r="A4539" s="53" t="str">
        <f aca="false">IF($H4539="","",ROW()-5)</f>
        <v/>
      </c>
      <c r="B4539" s="64" t="s">
        <v>38</v>
      </c>
      <c r="C4539" s="53" t="n">
        <v>72</v>
      </c>
      <c r="D4539" s="53" t="n">
        <v>2</v>
      </c>
      <c r="E4539" s="65" t="str">
        <f aca="false">IF($H4539="","",生产加工!$B72)</f>
        <v/>
      </c>
      <c r="F4539" s="55" t="str">
        <f aca="false">IF($H4539="","",生产加工!$C72)</f>
        <v/>
      </c>
      <c r="G4539" s="48" t="str">
        <f aca="false">IF($H4539="","",生产加工!$N72)</f>
        <v/>
      </c>
      <c r="H4539" s="10" t="str">
        <f aca="false">IF($L4539="","",IF($L4539="@对方",生产加工!$K72,IF($L4539="@存货",生产加工!$Q72,$L4539)))</f>
        <v/>
      </c>
      <c r="I4539" s="42" t="n">
        <f aca="false">IF($M4539="借",$O4539,0)</f>
        <v>0</v>
      </c>
      <c r="J4539" s="42" t="n">
        <f aca="false">IF($M4539="贷",$O4539,0)</f>
        <v>0</v>
      </c>
      <c r="K4539" s="48"/>
      <c r="L4539" s="66" t="str">
        <f aca="false">IF(生产加工!$E72="","",IFERROR(INDEX(记账规则!$A$36:$H$38,MATCH(生产加工!$E72,记账规则!$A$36:$A$38,0),6),""))</f>
        <v/>
      </c>
      <c r="M4539" s="66" t="str">
        <f aca="false">IF($L4539="","",IFERROR(INDEX(记账规则!$A$36:$H$38,MATCH(生产加工!$E72,记账规则!$A$36:$A$38,0),7),""))</f>
        <v/>
      </c>
      <c r="N4539" s="66" t="str">
        <f aca="false">IF($L4539="","",IFERROR(INDEX(记账规则!$A$36:$H$38,MATCH(生产加工!$E72,记账规则!$A$36:$A$38,0),8),""))</f>
        <v/>
      </c>
      <c r="O4539" s="67" t="n">
        <f aca="false">IF($H4539="",0,ROUND(IF($N4539="记账金额",N(生产加工!$U72),0),2))</f>
        <v>0</v>
      </c>
      <c r="P4539" s="64" t="str">
        <f aca="false">IF(AND($H4539&lt;&gt;"",ROUND($O4539,2)&lt;&gt;0),"有","")</f>
        <v/>
      </c>
    </row>
    <row r="4540" customFormat="false" ht="15" hidden="true" customHeight="false" outlineLevel="0" collapsed="false">
      <c r="A4540" s="53" t="str">
        <f aca="false">IF($H4540="","",ROW()-5)</f>
        <v/>
      </c>
      <c r="B4540" s="64" t="s">
        <v>38</v>
      </c>
      <c r="C4540" s="53" t="n">
        <v>73</v>
      </c>
      <c r="D4540" s="53" t="n">
        <v>1</v>
      </c>
      <c r="E4540" s="65" t="str">
        <f aca="false">IF($H4540="","",生产加工!$B73)</f>
        <v/>
      </c>
      <c r="F4540" s="55" t="str">
        <f aca="false">IF($H4540="","",生产加工!$C73)</f>
        <v/>
      </c>
      <c r="G4540" s="48" t="str">
        <f aca="false">IF($H4540="","",生产加工!$N73)</f>
        <v/>
      </c>
      <c r="H4540" s="10" t="str">
        <f aca="false">IF($L4540="","",IF($L4540="@对方",生产加工!$K73,IF($L4540="@存货",生产加工!$Q73,$L4540)))</f>
        <v/>
      </c>
      <c r="I4540" s="42" t="n">
        <f aca="false">IF($M4540="借",$O4540,0)</f>
        <v>0</v>
      </c>
      <c r="J4540" s="42" t="n">
        <f aca="false">IF($M4540="贷",$O4540,0)</f>
        <v>0</v>
      </c>
      <c r="K4540" s="48"/>
      <c r="L4540" s="66" t="str">
        <f aca="false">IF(生产加工!$E73="","",IFERROR(INDEX(记账规则!$A$36:$H$38,MATCH(生产加工!$E73,记账规则!$A$36:$A$38,0),3),""))</f>
        <v/>
      </c>
      <c r="M4540" s="66" t="str">
        <f aca="false">IF($L4540="","",IFERROR(INDEX(记账规则!$A$36:$H$38,MATCH(生产加工!$E73,记账规则!$A$36:$A$38,0),4),""))</f>
        <v/>
      </c>
      <c r="N4540" s="66" t="str">
        <f aca="false">IF($L4540="","",IFERROR(INDEX(记账规则!$A$36:$H$38,MATCH(生产加工!$E73,记账规则!$A$36:$A$38,0),5),""))</f>
        <v/>
      </c>
      <c r="O4540" s="67" t="n">
        <f aca="false">IF($H4540="",0,ROUND(IF($N4540="记账金额",N(生产加工!$U73),0),2))</f>
        <v>0</v>
      </c>
      <c r="P4540" s="64" t="str">
        <f aca="false">IF(AND($H4540&lt;&gt;"",ROUND($O4540,2)&lt;&gt;0),"有","")</f>
        <v/>
      </c>
    </row>
    <row r="4541" customFormat="false" ht="15" hidden="true" customHeight="false" outlineLevel="0" collapsed="false">
      <c r="A4541" s="53" t="str">
        <f aca="false">IF($H4541="","",ROW()-5)</f>
        <v/>
      </c>
      <c r="B4541" s="64" t="s">
        <v>38</v>
      </c>
      <c r="C4541" s="53" t="n">
        <v>73</v>
      </c>
      <c r="D4541" s="53" t="n">
        <v>2</v>
      </c>
      <c r="E4541" s="65" t="str">
        <f aca="false">IF($H4541="","",生产加工!$B73)</f>
        <v/>
      </c>
      <c r="F4541" s="55" t="str">
        <f aca="false">IF($H4541="","",生产加工!$C73)</f>
        <v/>
      </c>
      <c r="G4541" s="48" t="str">
        <f aca="false">IF($H4541="","",生产加工!$N73)</f>
        <v/>
      </c>
      <c r="H4541" s="10" t="str">
        <f aca="false">IF($L4541="","",IF($L4541="@对方",生产加工!$K73,IF($L4541="@存货",生产加工!$Q73,$L4541)))</f>
        <v/>
      </c>
      <c r="I4541" s="42" t="n">
        <f aca="false">IF($M4541="借",$O4541,0)</f>
        <v>0</v>
      </c>
      <c r="J4541" s="42" t="n">
        <f aca="false">IF($M4541="贷",$O4541,0)</f>
        <v>0</v>
      </c>
      <c r="K4541" s="48"/>
      <c r="L4541" s="66" t="str">
        <f aca="false">IF(生产加工!$E73="","",IFERROR(INDEX(记账规则!$A$36:$H$38,MATCH(生产加工!$E73,记账规则!$A$36:$A$38,0),6),""))</f>
        <v/>
      </c>
      <c r="M4541" s="66" t="str">
        <f aca="false">IF($L4541="","",IFERROR(INDEX(记账规则!$A$36:$H$38,MATCH(生产加工!$E73,记账规则!$A$36:$A$38,0),7),""))</f>
        <v/>
      </c>
      <c r="N4541" s="66" t="str">
        <f aca="false">IF($L4541="","",IFERROR(INDEX(记账规则!$A$36:$H$38,MATCH(生产加工!$E73,记账规则!$A$36:$A$38,0),8),""))</f>
        <v/>
      </c>
      <c r="O4541" s="67" t="n">
        <f aca="false">IF($H4541="",0,ROUND(IF($N4541="记账金额",N(生产加工!$U73),0),2))</f>
        <v>0</v>
      </c>
      <c r="P4541" s="64" t="str">
        <f aca="false">IF(AND($H4541&lt;&gt;"",ROUND($O4541,2)&lt;&gt;0),"有","")</f>
        <v/>
      </c>
    </row>
    <row r="4542" customFormat="false" ht="15" hidden="true" customHeight="false" outlineLevel="0" collapsed="false">
      <c r="A4542" s="53" t="str">
        <f aca="false">IF($H4542="","",ROW()-5)</f>
        <v/>
      </c>
      <c r="B4542" s="64" t="s">
        <v>38</v>
      </c>
      <c r="C4542" s="53" t="n">
        <v>74</v>
      </c>
      <c r="D4542" s="53" t="n">
        <v>1</v>
      </c>
      <c r="E4542" s="65" t="str">
        <f aca="false">IF($H4542="","",生产加工!$B74)</f>
        <v/>
      </c>
      <c r="F4542" s="55" t="str">
        <f aca="false">IF($H4542="","",生产加工!$C74)</f>
        <v/>
      </c>
      <c r="G4542" s="48" t="str">
        <f aca="false">IF($H4542="","",生产加工!$N74)</f>
        <v/>
      </c>
      <c r="H4542" s="10" t="str">
        <f aca="false">IF($L4542="","",IF($L4542="@对方",生产加工!$K74,IF($L4542="@存货",生产加工!$Q74,$L4542)))</f>
        <v/>
      </c>
      <c r="I4542" s="42" t="n">
        <f aca="false">IF($M4542="借",$O4542,0)</f>
        <v>0</v>
      </c>
      <c r="J4542" s="42" t="n">
        <f aca="false">IF($M4542="贷",$O4542,0)</f>
        <v>0</v>
      </c>
      <c r="K4542" s="48"/>
      <c r="L4542" s="66" t="str">
        <f aca="false">IF(生产加工!$E74="","",IFERROR(INDEX(记账规则!$A$36:$H$38,MATCH(生产加工!$E74,记账规则!$A$36:$A$38,0),3),""))</f>
        <v/>
      </c>
      <c r="M4542" s="66" t="str">
        <f aca="false">IF($L4542="","",IFERROR(INDEX(记账规则!$A$36:$H$38,MATCH(生产加工!$E74,记账规则!$A$36:$A$38,0),4),""))</f>
        <v/>
      </c>
      <c r="N4542" s="66" t="str">
        <f aca="false">IF($L4542="","",IFERROR(INDEX(记账规则!$A$36:$H$38,MATCH(生产加工!$E74,记账规则!$A$36:$A$38,0),5),""))</f>
        <v/>
      </c>
      <c r="O4542" s="67" t="n">
        <f aca="false">IF($H4542="",0,ROUND(IF($N4542="记账金额",N(生产加工!$U74),0),2))</f>
        <v>0</v>
      </c>
      <c r="P4542" s="64" t="str">
        <f aca="false">IF(AND($H4542&lt;&gt;"",ROUND($O4542,2)&lt;&gt;0),"有","")</f>
        <v/>
      </c>
    </row>
    <row r="4543" customFormat="false" ht="15" hidden="true" customHeight="false" outlineLevel="0" collapsed="false">
      <c r="A4543" s="53" t="str">
        <f aca="false">IF($H4543="","",ROW()-5)</f>
        <v/>
      </c>
      <c r="B4543" s="64" t="s">
        <v>38</v>
      </c>
      <c r="C4543" s="53" t="n">
        <v>74</v>
      </c>
      <c r="D4543" s="53" t="n">
        <v>2</v>
      </c>
      <c r="E4543" s="65" t="str">
        <f aca="false">IF($H4543="","",生产加工!$B74)</f>
        <v/>
      </c>
      <c r="F4543" s="55" t="str">
        <f aca="false">IF($H4543="","",生产加工!$C74)</f>
        <v/>
      </c>
      <c r="G4543" s="48" t="str">
        <f aca="false">IF($H4543="","",生产加工!$N74)</f>
        <v/>
      </c>
      <c r="H4543" s="10" t="str">
        <f aca="false">IF($L4543="","",IF($L4543="@对方",生产加工!$K74,IF($L4543="@存货",生产加工!$Q74,$L4543)))</f>
        <v/>
      </c>
      <c r="I4543" s="42" t="n">
        <f aca="false">IF($M4543="借",$O4543,0)</f>
        <v>0</v>
      </c>
      <c r="J4543" s="42" t="n">
        <f aca="false">IF($M4543="贷",$O4543,0)</f>
        <v>0</v>
      </c>
      <c r="K4543" s="48"/>
      <c r="L4543" s="66" t="str">
        <f aca="false">IF(生产加工!$E74="","",IFERROR(INDEX(记账规则!$A$36:$H$38,MATCH(生产加工!$E74,记账规则!$A$36:$A$38,0),6),""))</f>
        <v/>
      </c>
      <c r="M4543" s="66" t="str">
        <f aca="false">IF($L4543="","",IFERROR(INDEX(记账规则!$A$36:$H$38,MATCH(生产加工!$E74,记账规则!$A$36:$A$38,0),7),""))</f>
        <v/>
      </c>
      <c r="N4543" s="66" t="str">
        <f aca="false">IF($L4543="","",IFERROR(INDEX(记账规则!$A$36:$H$38,MATCH(生产加工!$E74,记账规则!$A$36:$A$38,0),8),""))</f>
        <v/>
      </c>
      <c r="O4543" s="67" t="n">
        <f aca="false">IF($H4543="",0,ROUND(IF($N4543="记账金额",N(生产加工!$U74),0),2))</f>
        <v>0</v>
      </c>
      <c r="P4543" s="64" t="str">
        <f aca="false">IF(AND($H4543&lt;&gt;"",ROUND($O4543,2)&lt;&gt;0),"有","")</f>
        <v/>
      </c>
    </row>
    <row r="4544" customFormat="false" ht="15" hidden="true" customHeight="false" outlineLevel="0" collapsed="false">
      <c r="A4544" s="53" t="str">
        <f aca="false">IF($H4544="","",ROW()-5)</f>
        <v/>
      </c>
      <c r="B4544" s="64" t="s">
        <v>38</v>
      </c>
      <c r="C4544" s="53" t="n">
        <v>75</v>
      </c>
      <c r="D4544" s="53" t="n">
        <v>1</v>
      </c>
      <c r="E4544" s="65" t="str">
        <f aca="false">IF($H4544="","",生产加工!$B75)</f>
        <v/>
      </c>
      <c r="F4544" s="55" t="str">
        <f aca="false">IF($H4544="","",生产加工!$C75)</f>
        <v/>
      </c>
      <c r="G4544" s="48" t="str">
        <f aca="false">IF($H4544="","",生产加工!$N75)</f>
        <v/>
      </c>
      <c r="H4544" s="10" t="str">
        <f aca="false">IF($L4544="","",IF($L4544="@对方",生产加工!$K75,IF($L4544="@存货",生产加工!$Q75,$L4544)))</f>
        <v/>
      </c>
      <c r="I4544" s="42" t="n">
        <f aca="false">IF($M4544="借",$O4544,0)</f>
        <v>0</v>
      </c>
      <c r="J4544" s="42" t="n">
        <f aca="false">IF($M4544="贷",$O4544,0)</f>
        <v>0</v>
      </c>
      <c r="K4544" s="48"/>
      <c r="L4544" s="66" t="str">
        <f aca="false">IF(生产加工!$E75="","",IFERROR(INDEX(记账规则!$A$36:$H$38,MATCH(生产加工!$E75,记账规则!$A$36:$A$38,0),3),""))</f>
        <v/>
      </c>
      <c r="M4544" s="66" t="str">
        <f aca="false">IF($L4544="","",IFERROR(INDEX(记账规则!$A$36:$H$38,MATCH(生产加工!$E75,记账规则!$A$36:$A$38,0),4),""))</f>
        <v/>
      </c>
      <c r="N4544" s="66" t="str">
        <f aca="false">IF($L4544="","",IFERROR(INDEX(记账规则!$A$36:$H$38,MATCH(生产加工!$E75,记账规则!$A$36:$A$38,0),5),""))</f>
        <v/>
      </c>
      <c r="O4544" s="67" t="n">
        <f aca="false">IF($H4544="",0,ROUND(IF($N4544="记账金额",N(生产加工!$U75),0),2))</f>
        <v>0</v>
      </c>
      <c r="P4544" s="64" t="str">
        <f aca="false">IF(AND($H4544&lt;&gt;"",ROUND($O4544,2)&lt;&gt;0),"有","")</f>
        <v/>
      </c>
    </row>
    <row r="4545" customFormat="false" ht="15" hidden="true" customHeight="false" outlineLevel="0" collapsed="false">
      <c r="A4545" s="53" t="str">
        <f aca="false">IF($H4545="","",ROW()-5)</f>
        <v/>
      </c>
      <c r="B4545" s="64" t="s">
        <v>38</v>
      </c>
      <c r="C4545" s="53" t="n">
        <v>75</v>
      </c>
      <c r="D4545" s="53" t="n">
        <v>2</v>
      </c>
      <c r="E4545" s="65" t="str">
        <f aca="false">IF($H4545="","",生产加工!$B75)</f>
        <v/>
      </c>
      <c r="F4545" s="55" t="str">
        <f aca="false">IF($H4545="","",生产加工!$C75)</f>
        <v/>
      </c>
      <c r="G4545" s="48" t="str">
        <f aca="false">IF($H4545="","",生产加工!$N75)</f>
        <v/>
      </c>
      <c r="H4545" s="10" t="str">
        <f aca="false">IF($L4545="","",IF($L4545="@对方",生产加工!$K75,IF($L4545="@存货",生产加工!$Q75,$L4545)))</f>
        <v/>
      </c>
      <c r="I4545" s="42" t="n">
        <f aca="false">IF($M4545="借",$O4545,0)</f>
        <v>0</v>
      </c>
      <c r="J4545" s="42" t="n">
        <f aca="false">IF($M4545="贷",$O4545,0)</f>
        <v>0</v>
      </c>
      <c r="K4545" s="48"/>
      <c r="L4545" s="66" t="str">
        <f aca="false">IF(生产加工!$E75="","",IFERROR(INDEX(记账规则!$A$36:$H$38,MATCH(生产加工!$E75,记账规则!$A$36:$A$38,0),6),""))</f>
        <v/>
      </c>
      <c r="M4545" s="66" t="str">
        <f aca="false">IF($L4545="","",IFERROR(INDEX(记账规则!$A$36:$H$38,MATCH(生产加工!$E75,记账规则!$A$36:$A$38,0),7),""))</f>
        <v/>
      </c>
      <c r="N4545" s="66" t="str">
        <f aca="false">IF($L4545="","",IFERROR(INDEX(记账规则!$A$36:$H$38,MATCH(生产加工!$E75,记账规则!$A$36:$A$38,0),8),""))</f>
        <v/>
      </c>
      <c r="O4545" s="67" t="n">
        <f aca="false">IF($H4545="",0,ROUND(IF($N4545="记账金额",N(生产加工!$U75),0),2))</f>
        <v>0</v>
      </c>
      <c r="P4545" s="64" t="str">
        <f aca="false">IF(AND($H4545&lt;&gt;"",ROUND($O4545,2)&lt;&gt;0),"有","")</f>
        <v/>
      </c>
    </row>
    <row r="4546" customFormat="false" ht="15" hidden="true" customHeight="false" outlineLevel="0" collapsed="false">
      <c r="A4546" s="53" t="str">
        <f aca="false">IF($H4546="","",ROW()-5)</f>
        <v/>
      </c>
      <c r="B4546" s="64" t="s">
        <v>38</v>
      </c>
      <c r="C4546" s="53" t="n">
        <v>76</v>
      </c>
      <c r="D4546" s="53" t="n">
        <v>1</v>
      </c>
      <c r="E4546" s="65" t="str">
        <f aca="false">IF($H4546="","",生产加工!$B76)</f>
        <v/>
      </c>
      <c r="F4546" s="55" t="str">
        <f aca="false">IF($H4546="","",生产加工!$C76)</f>
        <v/>
      </c>
      <c r="G4546" s="48" t="str">
        <f aca="false">IF($H4546="","",生产加工!$N76)</f>
        <v/>
      </c>
      <c r="H4546" s="10" t="str">
        <f aca="false">IF($L4546="","",IF($L4546="@对方",生产加工!$K76,IF($L4546="@存货",生产加工!$Q76,$L4546)))</f>
        <v/>
      </c>
      <c r="I4546" s="42" t="n">
        <f aca="false">IF($M4546="借",$O4546,0)</f>
        <v>0</v>
      </c>
      <c r="J4546" s="42" t="n">
        <f aca="false">IF($M4546="贷",$O4546,0)</f>
        <v>0</v>
      </c>
      <c r="K4546" s="48"/>
      <c r="L4546" s="66" t="str">
        <f aca="false">IF(生产加工!$E76="","",IFERROR(INDEX(记账规则!$A$36:$H$38,MATCH(生产加工!$E76,记账规则!$A$36:$A$38,0),3),""))</f>
        <v/>
      </c>
      <c r="M4546" s="66" t="str">
        <f aca="false">IF($L4546="","",IFERROR(INDEX(记账规则!$A$36:$H$38,MATCH(生产加工!$E76,记账规则!$A$36:$A$38,0),4),""))</f>
        <v/>
      </c>
      <c r="N4546" s="66" t="str">
        <f aca="false">IF($L4546="","",IFERROR(INDEX(记账规则!$A$36:$H$38,MATCH(生产加工!$E76,记账规则!$A$36:$A$38,0),5),""))</f>
        <v/>
      </c>
      <c r="O4546" s="67" t="n">
        <f aca="false">IF($H4546="",0,ROUND(IF($N4546="记账金额",N(生产加工!$U76),0),2))</f>
        <v>0</v>
      </c>
      <c r="P4546" s="64" t="str">
        <f aca="false">IF(AND($H4546&lt;&gt;"",ROUND($O4546,2)&lt;&gt;0),"有","")</f>
        <v/>
      </c>
    </row>
    <row r="4547" customFormat="false" ht="15" hidden="true" customHeight="false" outlineLevel="0" collapsed="false">
      <c r="A4547" s="53" t="str">
        <f aca="false">IF($H4547="","",ROW()-5)</f>
        <v/>
      </c>
      <c r="B4547" s="64" t="s">
        <v>38</v>
      </c>
      <c r="C4547" s="53" t="n">
        <v>76</v>
      </c>
      <c r="D4547" s="53" t="n">
        <v>2</v>
      </c>
      <c r="E4547" s="65" t="str">
        <f aca="false">IF($H4547="","",生产加工!$B76)</f>
        <v/>
      </c>
      <c r="F4547" s="55" t="str">
        <f aca="false">IF($H4547="","",生产加工!$C76)</f>
        <v/>
      </c>
      <c r="G4547" s="48" t="str">
        <f aca="false">IF($H4547="","",生产加工!$N76)</f>
        <v/>
      </c>
      <c r="H4547" s="10" t="str">
        <f aca="false">IF($L4547="","",IF($L4547="@对方",生产加工!$K76,IF($L4547="@存货",生产加工!$Q76,$L4547)))</f>
        <v/>
      </c>
      <c r="I4547" s="42" t="n">
        <f aca="false">IF($M4547="借",$O4547,0)</f>
        <v>0</v>
      </c>
      <c r="J4547" s="42" t="n">
        <f aca="false">IF($M4547="贷",$O4547,0)</f>
        <v>0</v>
      </c>
      <c r="K4547" s="48"/>
      <c r="L4547" s="66" t="str">
        <f aca="false">IF(生产加工!$E76="","",IFERROR(INDEX(记账规则!$A$36:$H$38,MATCH(生产加工!$E76,记账规则!$A$36:$A$38,0),6),""))</f>
        <v/>
      </c>
      <c r="M4547" s="66" t="str">
        <f aca="false">IF($L4547="","",IFERROR(INDEX(记账规则!$A$36:$H$38,MATCH(生产加工!$E76,记账规则!$A$36:$A$38,0),7),""))</f>
        <v/>
      </c>
      <c r="N4547" s="66" t="str">
        <f aca="false">IF($L4547="","",IFERROR(INDEX(记账规则!$A$36:$H$38,MATCH(生产加工!$E76,记账规则!$A$36:$A$38,0),8),""))</f>
        <v/>
      </c>
      <c r="O4547" s="67" t="n">
        <f aca="false">IF($H4547="",0,ROUND(IF($N4547="记账金额",N(生产加工!$U76),0),2))</f>
        <v>0</v>
      </c>
      <c r="P4547" s="64" t="str">
        <f aca="false">IF(AND($H4547&lt;&gt;"",ROUND($O4547,2)&lt;&gt;0),"有","")</f>
        <v/>
      </c>
    </row>
    <row r="4548" customFormat="false" ht="15" hidden="true" customHeight="false" outlineLevel="0" collapsed="false">
      <c r="A4548" s="53" t="str">
        <f aca="false">IF($H4548="","",ROW()-5)</f>
        <v/>
      </c>
      <c r="B4548" s="64" t="s">
        <v>38</v>
      </c>
      <c r="C4548" s="53" t="n">
        <v>77</v>
      </c>
      <c r="D4548" s="53" t="n">
        <v>1</v>
      </c>
      <c r="E4548" s="65" t="str">
        <f aca="false">IF($H4548="","",生产加工!$B77)</f>
        <v/>
      </c>
      <c r="F4548" s="55" t="str">
        <f aca="false">IF($H4548="","",生产加工!$C77)</f>
        <v/>
      </c>
      <c r="G4548" s="48" t="str">
        <f aca="false">IF($H4548="","",生产加工!$N77)</f>
        <v/>
      </c>
      <c r="H4548" s="10" t="str">
        <f aca="false">IF($L4548="","",IF($L4548="@对方",生产加工!$K77,IF($L4548="@存货",生产加工!$Q77,$L4548)))</f>
        <v/>
      </c>
      <c r="I4548" s="42" t="n">
        <f aca="false">IF($M4548="借",$O4548,0)</f>
        <v>0</v>
      </c>
      <c r="J4548" s="42" t="n">
        <f aca="false">IF($M4548="贷",$O4548,0)</f>
        <v>0</v>
      </c>
      <c r="K4548" s="48"/>
      <c r="L4548" s="66" t="str">
        <f aca="false">IF(生产加工!$E77="","",IFERROR(INDEX(记账规则!$A$36:$H$38,MATCH(生产加工!$E77,记账规则!$A$36:$A$38,0),3),""))</f>
        <v/>
      </c>
      <c r="M4548" s="66" t="str">
        <f aca="false">IF($L4548="","",IFERROR(INDEX(记账规则!$A$36:$H$38,MATCH(生产加工!$E77,记账规则!$A$36:$A$38,0),4),""))</f>
        <v/>
      </c>
      <c r="N4548" s="66" t="str">
        <f aca="false">IF($L4548="","",IFERROR(INDEX(记账规则!$A$36:$H$38,MATCH(生产加工!$E77,记账规则!$A$36:$A$38,0),5),""))</f>
        <v/>
      </c>
      <c r="O4548" s="67" t="n">
        <f aca="false">IF($H4548="",0,ROUND(IF($N4548="记账金额",N(生产加工!$U77),0),2))</f>
        <v>0</v>
      </c>
      <c r="P4548" s="64" t="str">
        <f aca="false">IF(AND($H4548&lt;&gt;"",ROUND($O4548,2)&lt;&gt;0),"有","")</f>
        <v/>
      </c>
    </row>
    <row r="4549" customFormat="false" ht="15" hidden="true" customHeight="false" outlineLevel="0" collapsed="false">
      <c r="A4549" s="53" t="str">
        <f aca="false">IF($H4549="","",ROW()-5)</f>
        <v/>
      </c>
      <c r="B4549" s="64" t="s">
        <v>38</v>
      </c>
      <c r="C4549" s="53" t="n">
        <v>77</v>
      </c>
      <c r="D4549" s="53" t="n">
        <v>2</v>
      </c>
      <c r="E4549" s="65" t="str">
        <f aca="false">IF($H4549="","",生产加工!$B77)</f>
        <v/>
      </c>
      <c r="F4549" s="55" t="str">
        <f aca="false">IF($H4549="","",生产加工!$C77)</f>
        <v/>
      </c>
      <c r="G4549" s="48" t="str">
        <f aca="false">IF($H4549="","",生产加工!$N77)</f>
        <v/>
      </c>
      <c r="H4549" s="10" t="str">
        <f aca="false">IF($L4549="","",IF($L4549="@对方",生产加工!$K77,IF($L4549="@存货",生产加工!$Q77,$L4549)))</f>
        <v/>
      </c>
      <c r="I4549" s="42" t="n">
        <f aca="false">IF($M4549="借",$O4549,0)</f>
        <v>0</v>
      </c>
      <c r="J4549" s="42" t="n">
        <f aca="false">IF($M4549="贷",$O4549,0)</f>
        <v>0</v>
      </c>
      <c r="K4549" s="48"/>
      <c r="L4549" s="66" t="str">
        <f aca="false">IF(生产加工!$E77="","",IFERROR(INDEX(记账规则!$A$36:$H$38,MATCH(生产加工!$E77,记账规则!$A$36:$A$38,0),6),""))</f>
        <v/>
      </c>
      <c r="M4549" s="66" t="str">
        <f aca="false">IF($L4549="","",IFERROR(INDEX(记账规则!$A$36:$H$38,MATCH(生产加工!$E77,记账规则!$A$36:$A$38,0),7),""))</f>
        <v/>
      </c>
      <c r="N4549" s="66" t="str">
        <f aca="false">IF($L4549="","",IFERROR(INDEX(记账规则!$A$36:$H$38,MATCH(生产加工!$E77,记账规则!$A$36:$A$38,0),8),""))</f>
        <v/>
      </c>
      <c r="O4549" s="67" t="n">
        <f aca="false">IF($H4549="",0,ROUND(IF($N4549="记账金额",N(生产加工!$U77),0),2))</f>
        <v>0</v>
      </c>
      <c r="P4549" s="64" t="str">
        <f aca="false">IF(AND($H4549&lt;&gt;"",ROUND($O4549,2)&lt;&gt;0),"有","")</f>
        <v/>
      </c>
    </row>
    <row r="4550" customFormat="false" ht="15" hidden="true" customHeight="false" outlineLevel="0" collapsed="false">
      <c r="A4550" s="53" t="str">
        <f aca="false">IF($H4550="","",ROW()-5)</f>
        <v/>
      </c>
      <c r="B4550" s="64" t="s">
        <v>38</v>
      </c>
      <c r="C4550" s="53" t="n">
        <v>78</v>
      </c>
      <c r="D4550" s="53" t="n">
        <v>1</v>
      </c>
      <c r="E4550" s="65" t="str">
        <f aca="false">IF($H4550="","",生产加工!$B78)</f>
        <v/>
      </c>
      <c r="F4550" s="55" t="str">
        <f aca="false">IF($H4550="","",生产加工!$C78)</f>
        <v/>
      </c>
      <c r="G4550" s="48" t="str">
        <f aca="false">IF($H4550="","",生产加工!$N78)</f>
        <v/>
      </c>
      <c r="H4550" s="10" t="str">
        <f aca="false">IF($L4550="","",IF($L4550="@对方",生产加工!$K78,IF($L4550="@存货",生产加工!$Q78,$L4550)))</f>
        <v/>
      </c>
      <c r="I4550" s="42" t="n">
        <f aca="false">IF($M4550="借",$O4550,0)</f>
        <v>0</v>
      </c>
      <c r="J4550" s="42" t="n">
        <f aca="false">IF($M4550="贷",$O4550,0)</f>
        <v>0</v>
      </c>
      <c r="K4550" s="48"/>
      <c r="L4550" s="66" t="str">
        <f aca="false">IF(生产加工!$E78="","",IFERROR(INDEX(记账规则!$A$36:$H$38,MATCH(生产加工!$E78,记账规则!$A$36:$A$38,0),3),""))</f>
        <v/>
      </c>
      <c r="M4550" s="66" t="str">
        <f aca="false">IF($L4550="","",IFERROR(INDEX(记账规则!$A$36:$H$38,MATCH(生产加工!$E78,记账规则!$A$36:$A$38,0),4),""))</f>
        <v/>
      </c>
      <c r="N4550" s="66" t="str">
        <f aca="false">IF($L4550="","",IFERROR(INDEX(记账规则!$A$36:$H$38,MATCH(生产加工!$E78,记账规则!$A$36:$A$38,0),5),""))</f>
        <v/>
      </c>
      <c r="O4550" s="67" t="n">
        <f aca="false">IF($H4550="",0,ROUND(IF($N4550="记账金额",N(生产加工!$U78),0),2))</f>
        <v>0</v>
      </c>
      <c r="P4550" s="64" t="str">
        <f aca="false">IF(AND($H4550&lt;&gt;"",ROUND($O4550,2)&lt;&gt;0),"有","")</f>
        <v/>
      </c>
    </row>
    <row r="4551" customFormat="false" ht="15" hidden="true" customHeight="false" outlineLevel="0" collapsed="false">
      <c r="A4551" s="53" t="str">
        <f aca="false">IF($H4551="","",ROW()-5)</f>
        <v/>
      </c>
      <c r="B4551" s="64" t="s">
        <v>38</v>
      </c>
      <c r="C4551" s="53" t="n">
        <v>78</v>
      </c>
      <c r="D4551" s="53" t="n">
        <v>2</v>
      </c>
      <c r="E4551" s="65" t="str">
        <f aca="false">IF($H4551="","",生产加工!$B78)</f>
        <v/>
      </c>
      <c r="F4551" s="55" t="str">
        <f aca="false">IF($H4551="","",生产加工!$C78)</f>
        <v/>
      </c>
      <c r="G4551" s="48" t="str">
        <f aca="false">IF($H4551="","",生产加工!$N78)</f>
        <v/>
      </c>
      <c r="H4551" s="10" t="str">
        <f aca="false">IF($L4551="","",IF($L4551="@对方",生产加工!$K78,IF($L4551="@存货",生产加工!$Q78,$L4551)))</f>
        <v/>
      </c>
      <c r="I4551" s="42" t="n">
        <f aca="false">IF($M4551="借",$O4551,0)</f>
        <v>0</v>
      </c>
      <c r="J4551" s="42" t="n">
        <f aca="false">IF($M4551="贷",$O4551,0)</f>
        <v>0</v>
      </c>
      <c r="K4551" s="48"/>
      <c r="L4551" s="66" t="str">
        <f aca="false">IF(生产加工!$E78="","",IFERROR(INDEX(记账规则!$A$36:$H$38,MATCH(生产加工!$E78,记账规则!$A$36:$A$38,0),6),""))</f>
        <v/>
      </c>
      <c r="M4551" s="66" t="str">
        <f aca="false">IF($L4551="","",IFERROR(INDEX(记账规则!$A$36:$H$38,MATCH(生产加工!$E78,记账规则!$A$36:$A$38,0),7),""))</f>
        <v/>
      </c>
      <c r="N4551" s="66" t="str">
        <f aca="false">IF($L4551="","",IFERROR(INDEX(记账规则!$A$36:$H$38,MATCH(生产加工!$E78,记账规则!$A$36:$A$38,0),8),""))</f>
        <v/>
      </c>
      <c r="O4551" s="67" t="n">
        <f aca="false">IF($H4551="",0,ROUND(IF($N4551="记账金额",N(生产加工!$U78),0),2))</f>
        <v>0</v>
      </c>
      <c r="P4551" s="64" t="str">
        <f aca="false">IF(AND($H4551&lt;&gt;"",ROUND($O4551,2)&lt;&gt;0),"有","")</f>
        <v/>
      </c>
    </row>
    <row r="4552" customFormat="false" ht="15" hidden="true" customHeight="false" outlineLevel="0" collapsed="false">
      <c r="A4552" s="53" t="str">
        <f aca="false">IF($H4552="","",ROW()-5)</f>
        <v/>
      </c>
      <c r="B4552" s="64" t="s">
        <v>38</v>
      </c>
      <c r="C4552" s="53" t="n">
        <v>79</v>
      </c>
      <c r="D4552" s="53" t="n">
        <v>1</v>
      </c>
      <c r="E4552" s="65" t="str">
        <f aca="false">IF($H4552="","",生产加工!$B79)</f>
        <v/>
      </c>
      <c r="F4552" s="55" t="str">
        <f aca="false">IF($H4552="","",生产加工!$C79)</f>
        <v/>
      </c>
      <c r="G4552" s="48" t="str">
        <f aca="false">IF($H4552="","",生产加工!$N79)</f>
        <v/>
      </c>
      <c r="H4552" s="10" t="str">
        <f aca="false">IF($L4552="","",IF($L4552="@对方",生产加工!$K79,IF($L4552="@存货",生产加工!$Q79,$L4552)))</f>
        <v/>
      </c>
      <c r="I4552" s="42" t="n">
        <f aca="false">IF($M4552="借",$O4552,0)</f>
        <v>0</v>
      </c>
      <c r="J4552" s="42" t="n">
        <f aca="false">IF($M4552="贷",$O4552,0)</f>
        <v>0</v>
      </c>
      <c r="K4552" s="48"/>
      <c r="L4552" s="66" t="str">
        <f aca="false">IF(生产加工!$E79="","",IFERROR(INDEX(记账规则!$A$36:$H$38,MATCH(生产加工!$E79,记账规则!$A$36:$A$38,0),3),""))</f>
        <v/>
      </c>
      <c r="M4552" s="66" t="str">
        <f aca="false">IF($L4552="","",IFERROR(INDEX(记账规则!$A$36:$H$38,MATCH(生产加工!$E79,记账规则!$A$36:$A$38,0),4),""))</f>
        <v/>
      </c>
      <c r="N4552" s="66" t="str">
        <f aca="false">IF($L4552="","",IFERROR(INDEX(记账规则!$A$36:$H$38,MATCH(生产加工!$E79,记账规则!$A$36:$A$38,0),5),""))</f>
        <v/>
      </c>
      <c r="O4552" s="67" t="n">
        <f aca="false">IF($H4552="",0,ROUND(IF($N4552="记账金额",N(生产加工!$U79),0),2))</f>
        <v>0</v>
      </c>
      <c r="P4552" s="64" t="str">
        <f aca="false">IF(AND($H4552&lt;&gt;"",ROUND($O4552,2)&lt;&gt;0),"有","")</f>
        <v/>
      </c>
    </row>
    <row r="4553" customFormat="false" ht="15" hidden="true" customHeight="false" outlineLevel="0" collapsed="false">
      <c r="A4553" s="53" t="str">
        <f aca="false">IF($H4553="","",ROW()-5)</f>
        <v/>
      </c>
      <c r="B4553" s="64" t="s">
        <v>38</v>
      </c>
      <c r="C4553" s="53" t="n">
        <v>79</v>
      </c>
      <c r="D4553" s="53" t="n">
        <v>2</v>
      </c>
      <c r="E4553" s="65" t="str">
        <f aca="false">IF($H4553="","",生产加工!$B79)</f>
        <v/>
      </c>
      <c r="F4553" s="55" t="str">
        <f aca="false">IF($H4553="","",生产加工!$C79)</f>
        <v/>
      </c>
      <c r="G4553" s="48" t="str">
        <f aca="false">IF($H4553="","",生产加工!$N79)</f>
        <v/>
      </c>
      <c r="H4553" s="10" t="str">
        <f aca="false">IF($L4553="","",IF($L4553="@对方",生产加工!$K79,IF($L4553="@存货",生产加工!$Q79,$L4553)))</f>
        <v/>
      </c>
      <c r="I4553" s="42" t="n">
        <f aca="false">IF($M4553="借",$O4553,0)</f>
        <v>0</v>
      </c>
      <c r="J4553" s="42" t="n">
        <f aca="false">IF($M4553="贷",$O4553,0)</f>
        <v>0</v>
      </c>
      <c r="K4553" s="48"/>
      <c r="L4553" s="66" t="str">
        <f aca="false">IF(生产加工!$E79="","",IFERROR(INDEX(记账规则!$A$36:$H$38,MATCH(生产加工!$E79,记账规则!$A$36:$A$38,0),6),""))</f>
        <v/>
      </c>
      <c r="M4553" s="66" t="str">
        <f aca="false">IF($L4553="","",IFERROR(INDEX(记账规则!$A$36:$H$38,MATCH(生产加工!$E79,记账规则!$A$36:$A$38,0),7),""))</f>
        <v/>
      </c>
      <c r="N4553" s="66" t="str">
        <f aca="false">IF($L4553="","",IFERROR(INDEX(记账规则!$A$36:$H$38,MATCH(生产加工!$E79,记账规则!$A$36:$A$38,0),8),""))</f>
        <v/>
      </c>
      <c r="O4553" s="67" t="n">
        <f aca="false">IF($H4553="",0,ROUND(IF($N4553="记账金额",N(生产加工!$U79),0),2))</f>
        <v>0</v>
      </c>
      <c r="P4553" s="64" t="str">
        <f aca="false">IF(AND($H4553&lt;&gt;"",ROUND($O4553,2)&lt;&gt;0),"有","")</f>
        <v/>
      </c>
    </row>
    <row r="4554" customFormat="false" ht="15" hidden="true" customHeight="false" outlineLevel="0" collapsed="false">
      <c r="A4554" s="53" t="str">
        <f aca="false">IF($H4554="","",ROW()-5)</f>
        <v/>
      </c>
      <c r="B4554" s="64" t="s">
        <v>38</v>
      </c>
      <c r="C4554" s="53" t="n">
        <v>80</v>
      </c>
      <c r="D4554" s="53" t="n">
        <v>1</v>
      </c>
      <c r="E4554" s="65" t="str">
        <f aca="false">IF($H4554="","",生产加工!$B80)</f>
        <v/>
      </c>
      <c r="F4554" s="55" t="str">
        <f aca="false">IF($H4554="","",生产加工!$C80)</f>
        <v/>
      </c>
      <c r="G4554" s="48" t="str">
        <f aca="false">IF($H4554="","",生产加工!$N80)</f>
        <v/>
      </c>
      <c r="H4554" s="10" t="str">
        <f aca="false">IF($L4554="","",IF($L4554="@对方",生产加工!$K80,IF($L4554="@存货",生产加工!$Q80,$L4554)))</f>
        <v/>
      </c>
      <c r="I4554" s="42" t="n">
        <f aca="false">IF($M4554="借",$O4554,0)</f>
        <v>0</v>
      </c>
      <c r="J4554" s="42" t="n">
        <f aca="false">IF($M4554="贷",$O4554,0)</f>
        <v>0</v>
      </c>
      <c r="K4554" s="48"/>
      <c r="L4554" s="66" t="str">
        <f aca="false">IF(生产加工!$E80="","",IFERROR(INDEX(记账规则!$A$36:$H$38,MATCH(生产加工!$E80,记账规则!$A$36:$A$38,0),3),""))</f>
        <v/>
      </c>
      <c r="M4554" s="66" t="str">
        <f aca="false">IF($L4554="","",IFERROR(INDEX(记账规则!$A$36:$H$38,MATCH(生产加工!$E80,记账规则!$A$36:$A$38,0),4),""))</f>
        <v/>
      </c>
      <c r="N4554" s="66" t="str">
        <f aca="false">IF($L4554="","",IFERROR(INDEX(记账规则!$A$36:$H$38,MATCH(生产加工!$E80,记账规则!$A$36:$A$38,0),5),""))</f>
        <v/>
      </c>
      <c r="O4554" s="67" t="n">
        <f aca="false">IF($H4554="",0,ROUND(IF($N4554="记账金额",N(生产加工!$U80),0),2))</f>
        <v>0</v>
      </c>
      <c r="P4554" s="64" t="str">
        <f aca="false">IF(AND($H4554&lt;&gt;"",ROUND($O4554,2)&lt;&gt;0),"有","")</f>
        <v/>
      </c>
    </row>
    <row r="4555" customFormat="false" ht="15" hidden="true" customHeight="false" outlineLevel="0" collapsed="false">
      <c r="A4555" s="53" t="str">
        <f aca="false">IF($H4555="","",ROW()-5)</f>
        <v/>
      </c>
      <c r="B4555" s="64" t="s">
        <v>38</v>
      </c>
      <c r="C4555" s="53" t="n">
        <v>80</v>
      </c>
      <c r="D4555" s="53" t="n">
        <v>2</v>
      </c>
      <c r="E4555" s="65" t="str">
        <f aca="false">IF($H4555="","",生产加工!$B80)</f>
        <v/>
      </c>
      <c r="F4555" s="55" t="str">
        <f aca="false">IF($H4555="","",生产加工!$C80)</f>
        <v/>
      </c>
      <c r="G4555" s="48" t="str">
        <f aca="false">IF($H4555="","",生产加工!$N80)</f>
        <v/>
      </c>
      <c r="H4555" s="10" t="str">
        <f aca="false">IF($L4555="","",IF($L4555="@对方",生产加工!$K80,IF($L4555="@存货",生产加工!$Q80,$L4555)))</f>
        <v/>
      </c>
      <c r="I4555" s="42" t="n">
        <f aca="false">IF($M4555="借",$O4555,0)</f>
        <v>0</v>
      </c>
      <c r="J4555" s="42" t="n">
        <f aca="false">IF($M4555="贷",$O4555,0)</f>
        <v>0</v>
      </c>
      <c r="K4555" s="48"/>
      <c r="L4555" s="66" t="str">
        <f aca="false">IF(生产加工!$E80="","",IFERROR(INDEX(记账规则!$A$36:$H$38,MATCH(生产加工!$E80,记账规则!$A$36:$A$38,0),6),""))</f>
        <v/>
      </c>
      <c r="M4555" s="66" t="str">
        <f aca="false">IF($L4555="","",IFERROR(INDEX(记账规则!$A$36:$H$38,MATCH(生产加工!$E80,记账规则!$A$36:$A$38,0),7),""))</f>
        <v/>
      </c>
      <c r="N4555" s="66" t="str">
        <f aca="false">IF($L4555="","",IFERROR(INDEX(记账规则!$A$36:$H$38,MATCH(生产加工!$E80,记账规则!$A$36:$A$38,0),8),""))</f>
        <v/>
      </c>
      <c r="O4555" s="67" t="n">
        <f aca="false">IF($H4555="",0,ROUND(IF($N4555="记账金额",N(生产加工!$U80),0),2))</f>
        <v>0</v>
      </c>
      <c r="P4555" s="64" t="str">
        <f aca="false">IF(AND($H4555&lt;&gt;"",ROUND($O4555,2)&lt;&gt;0),"有","")</f>
        <v/>
      </c>
    </row>
    <row r="4556" customFormat="false" ht="15" hidden="true" customHeight="false" outlineLevel="0" collapsed="false">
      <c r="A4556" s="53" t="str">
        <f aca="false">IF($H4556="","",ROW()-5)</f>
        <v/>
      </c>
      <c r="B4556" s="64" t="s">
        <v>38</v>
      </c>
      <c r="C4556" s="53" t="n">
        <v>81</v>
      </c>
      <c r="D4556" s="53" t="n">
        <v>1</v>
      </c>
      <c r="E4556" s="65" t="str">
        <f aca="false">IF($H4556="","",生产加工!$B81)</f>
        <v/>
      </c>
      <c r="F4556" s="55" t="str">
        <f aca="false">IF($H4556="","",生产加工!$C81)</f>
        <v/>
      </c>
      <c r="G4556" s="48" t="str">
        <f aca="false">IF($H4556="","",生产加工!$N81)</f>
        <v/>
      </c>
      <c r="H4556" s="10" t="str">
        <f aca="false">IF($L4556="","",IF($L4556="@对方",生产加工!$K81,IF($L4556="@存货",生产加工!$Q81,$L4556)))</f>
        <v/>
      </c>
      <c r="I4556" s="42" t="n">
        <f aca="false">IF($M4556="借",$O4556,0)</f>
        <v>0</v>
      </c>
      <c r="J4556" s="42" t="n">
        <f aca="false">IF($M4556="贷",$O4556,0)</f>
        <v>0</v>
      </c>
      <c r="K4556" s="48"/>
      <c r="L4556" s="66" t="str">
        <f aca="false">IF(生产加工!$E81="","",IFERROR(INDEX(记账规则!$A$36:$H$38,MATCH(生产加工!$E81,记账规则!$A$36:$A$38,0),3),""))</f>
        <v/>
      </c>
      <c r="M4556" s="66" t="str">
        <f aca="false">IF($L4556="","",IFERROR(INDEX(记账规则!$A$36:$H$38,MATCH(生产加工!$E81,记账规则!$A$36:$A$38,0),4),""))</f>
        <v/>
      </c>
      <c r="N4556" s="66" t="str">
        <f aca="false">IF($L4556="","",IFERROR(INDEX(记账规则!$A$36:$H$38,MATCH(生产加工!$E81,记账规则!$A$36:$A$38,0),5),""))</f>
        <v/>
      </c>
      <c r="O4556" s="67" t="n">
        <f aca="false">IF($H4556="",0,ROUND(IF($N4556="记账金额",N(生产加工!$U81),0),2))</f>
        <v>0</v>
      </c>
      <c r="P4556" s="64" t="str">
        <f aca="false">IF(AND($H4556&lt;&gt;"",ROUND($O4556,2)&lt;&gt;0),"有","")</f>
        <v/>
      </c>
    </row>
    <row r="4557" customFormat="false" ht="15" hidden="true" customHeight="false" outlineLevel="0" collapsed="false">
      <c r="A4557" s="53" t="str">
        <f aca="false">IF($H4557="","",ROW()-5)</f>
        <v/>
      </c>
      <c r="B4557" s="64" t="s">
        <v>38</v>
      </c>
      <c r="C4557" s="53" t="n">
        <v>81</v>
      </c>
      <c r="D4557" s="53" t="n">
        <v>2</v>
      </c>
      <c r="E4557" s="65" t="str">
        <f aca="false">IF($H4557="","",生产加工!$B81)</f>
        <v/>
      </c>
      <c r="F4557" s="55" t="str">
        <f aca="false">IF($H4557="","",生产加工!$C81)</f>
        <v/>
      </c>
      <c r="G4557" s="48" t="str">
        <f aca="false">IF($H4557="","",生产加工!$N81)</f>
        <v/>
      </c>
      <c r="H4557" s="10" t="str">
        <f aca="false">IF($L4557="","",IF($L4557="@对方",生产加工!$K81,IF($L4557="@存货",生产加工!$Q81,$L4557)))</f>
        <v/>
      </c>
      <c r="I4557" s="42" t="n">
        <f aca="false">IF($M4557="借",$O4557,0)</f>
        <v>0</v>
      </c>
      <c r="J4557" s="42" t="n">
        <f aca="false">IF($M4557="贷",$O4557,0)</f>
        <v>0</v>
      </c>
      <c r="K4557" s="48"/>
      <c r="L4557" s="66" t="str">
        <f aca="false">IF(生产加工!$E81="","",IFERROR(INDEX(记账规则!$A$36:$H$38,MATCH(生产加工!$E81,记账规则!$A$36:$A$38,0),6),""))</f>
        <v/>
      </c>
      <c r="M4557" s="66" t="str">
        <f aca="false">IF($L4557="","",IFERROR(INDEX(记账规则!$A$36:$H$38,MATCH(生产加工!$E81,记账规则!$A$36:$A$38,0),7),""))</f>
        <v/>
      </c>
      <c r="N4557" s="66" t="str">
        <f aca="false">IF($L4557="","",IFERROR(INDEX(记账规则!$A$36:$H$38,MATCH(生产加工!$E81,记账规则!$A$36:$A$38,0),8),""))</f>
        <v/>
      </c>
      <c r="O4557" s="67" t="n">
        <f aca="false">IF($H4557="",0,ROUND(IF($N4557="记账金额",N(生产加工!$U81),0),2))</f>
        <v>0</v>
      </c>
      <c r="P4557" s="64" t="str">
        <f aca="false">IF(AND($H4557&lt;&gt;"",ROUND($O4557,2)&lt;&gt;0),"有","")</f>
        <v/>
      </c>
    </row>
    <row r="4558" customFormat="false" ht="15" hidden="true" customHeight="false" outlineLevel="0" collapsed="false">
      <c r="A4558" s="53" t="str">
        <f aca="false">IF($H4558="","",ROW()-5)</f>
        <v/>
      </c>
      <c r="B4558" s="64" t="s">
        <v>38</v>
      </c>
      <c r="C4558" s="53" t="n">
        <v>82</v>
      </c>
      <c r="D4558" s="53" t="n">
        <v>1</v>
      </c>
      <c r="E4558" s="65" t="str">
        <f aca="false">IF($H4558="","",生产加工!$B82)</f>
        <v/>
      </c>
      <c r="F4558" s="55" t="str">
        <f aca="false">IF($H4558="","",生产加工!$C82)</f>
        <v/>
      </c>
      <c r="G4558" s="48" t="str">
        <f aca="false">IF($H4558="","",生产加工!$N82)</f>
        <v/>
      </c>
      <c r="H4558" s="10" t="str">
        <f aca="false">IF($L4558="","",IF($L4558="@对方",生产加工!$K82,IF($L4558="@存货",生产加工!$Q82,$L4558)))</f>
        <v/>
      </c>
      <c r="I4558" s="42" t="n">
        <f aca="false">IF($M4558="借",$O4558,0)</f>
        <v>0</v>
      </c>
      <c r="J4558" s="42" t="n">
        <f aca="false">IF($M4558="贷",$O4558,0)</f>
        <v>0</v>
      </c>
      <c r="K4558" s="48"/>
      <c r="L4558" s="66" t="str">
        <f aca="false">IF(生产加工!$E82="","",IFERROR(INDEX(记账规则!$A$36:$H$38,MATCH(生产加工!$E82,记账规则!$A$36:$A$38,0),3),""))</f>
        <v/>
      </c>
      <c r="M4558" s="66" t="str">
        <f aca="false">IF($L4558="","",IFERROR(INDEX(记账规则!$A$36:$H$38,MATCH(生产加工!$E82,记账规则!$A$36:$A$38,0),4),""))</f>
        <v/>
      </c>
      <c r="N4558" s="66" t="str">
        <f aca="false">IF($L4558="","",IFERROR(INDEX(记账规则!$A$36:$H$38,MATCH(生产加工!$E82,记账规则!$A$36:$A$38,0),5),""))</f>
        <v/>
      </c>
      <c r="O4558" s="67" t="n">
        <f aca="false">IF($H4558="",0,ROUND(IF($N4558="记账金额",N(生产加工!$U82),0),2))</f>
        <v>0</v>
      </c>
      <c r="P4558" s="64" t="str">
        <f aca="false">IF(AND($H4558&lt;&gt;"",ROUND($O4558,2)&lt;&gt;0),"有","")</f>
        <v/>
      </c>
    </row>
    <row r="4559" customFormat="false" ht="15" hidden="true" customHeight="false" outlineLevel="0" collapsed="false">
      <c r="A4559" s="53" t="str">
        <f aca="false">IF($H4559="","",ROW()-5)</f>
        <v/>
      </c>
      <c r="B4559" s="64" t="s">
        <v>38</v>
      </c>
      <c r="C4559" s="53" t="n">
        <v>82</v>
      </c>
      <c r="D4559" s="53" t="n">
        <v>2</v>
      </c>
      <c r="E4559" s="65" t="str">
        <f aca="false">IF($H4559="","",生产加工!$B82)</f>
        <v/>
      </c>
      <c r="F4559" s="55" t="str">
        <f aca="false">IF($H4559="","",生产加工!$C82)</f>
        <v/>
      </c>
      <c r="G4559" s="48" t="str">
        <f aca="false">IF($H4559="","",生产加工!$N82)</f>
        <v/>
      </c>
      <c r="H4559" s="10" t="str">
        <f aca="false">IF($L4559="","",IF($L4559="@对方",生产加工!$K82,IF($L4559="@存货",生产加工!$Q82,$L4559)))</f>
        <v/>
      </c>
      <c r="I4559" s="42" t="n">
        <f aca="false">IF($M4559="借",$O4559,0)</f>
        <v>0</v>
      </c>
      <c r="J4559" s="42" t="n">
        <f aca="false">IF($M4559="贷",$O4559,0)</f>
        <v>0</v>
      </c>
      <c r="K4559" s="48"/>
      <c r="L4559" s="66" t="str">
        <f aca="false">IF(生产加工!$E82="","",IFERROR(INDEX(记账规则!$A$36:$H$38,MATCH(生产加工!$E82,记账规则!$A$36:$A$38,0),6),""))</f>
        <v/>
      </c>
      <c r="M4559" s="66" t="str">
        <f aca="false">IF($L4559="","",IFERROR(INDEX(记账规则!$A$36:$H$38,MATCH(生产加工!$E82,记账规则!$A$36:$A$38,0),7),""))</f>
        <v/>
      </c>
      <c r="N4559" s="66" t="str">
        <f aca="false">IF($L4559="","",IFERROR(INDEX(记账规则!$A$36:$H$38,MATCH(生产加工!$E82,记账规则!$A$36:$A$38,0),8),""))</f>
        <v/>
      </c>
      <c r="O4559" s="67" t="n">
        <f aca="false">IF($H4559="",0,ROUND(IF($N4559="记账金额",N(生产加工!$U82),0),2))</f>
        <v>0</v>
      </c>
      <c r="P4559" s="64" t="str">
        <f aca="false">IF(AND($H4559&lt;&gt;"",ROUND($O4559,2)&lt;&gt;0),"有","")</f>
        <v/>
      </c>
    </row>
    <row r="4560" customFormat="false" ht="15" hidden="true" customHeight="false" outlineLevel="0" collapsed="false">
      <c r="A4560" s="53" t="str">
        <f aca="false">IF($H4560="","",ROW()-5)</f>
        <v/>
      </c>
      <c r="B4560" s="64" t="s">
        <v>38</v>
      </c>
      <c r="C4560" s="53" t="n">
        <v>83</v>
      </c>
      <c r="D4560" s="53" t="n">
        <v>1</v>
      </c>
      <c r="E4560" s="65" t="str">
        <f aca="false">IF($H4560="","",生产加工!$B83)</f>
        <v/>
      </c>
      <c r="F4560" s="55" t="str">
        <f aca="false">IF($H4560="","",生产加工!$C83)</f>
        <v/>
      </c>
      <c r="G4560" s="48" t="str">
        <f aca="false">IF($H4560="","",生产加工!$N83)</f>
        <v/>
      </c>
      <c r="H4560" s="10" t="str">
        <f aca="false">IF($L4560="","",IF($L4560="@对方",生产加工!$K83,IF($L4560="@存货",生产加工!$Q83,$L4560)))</f>
        <v/>
      </c>
      <c r="I4560" s="42" t="n">
        <f aca="false">IF($M4560="借",$O4560,0)</f>
        <v>0</v>
      </c>
      <c r="J4560" s="42" t="n">
        <f aca="false">IF($M4560="贷",$O4560,0)</f>
        <v>0</v>
      </c>
      <c r="K4560" s="48"/>
      <c r="L4560" s="66" t="str">
        <f aca="false">IF(生产加工!$E83="","",IFERROR(INDEX(记账规则!$A$36:$H$38,MATCH(生产加工!$E83,记账规则!$A$36:$A$38,0),3),""))</f>
        <v/>
      </c>
      <c r="M4560" s="66" t="str">
        <f aca="false">IF($L4560="","",IFERROR(INDEX(记账规则!$A$36:$H$38,MATCH(生产加工!$E83,记账规则!$A$36:$A$38,0),4),""))</f>
        <v/>
      </c>
      <c r="N4560" s="66" t="str">
        <f aca="false">IF($L4560="","",IFERROR(INDEX(记账规则!$A$36:$H$38,MATCH(生产加工!$E83,记账规则!$A$36:$A$38,0),5),""))</f>
        <v/>
      </c>
      <c r="O4560" s="67" t="n">
        <f aca="false">IF($H4560="",0,ROUND(IF($N4560="记账金额",N(生产加工!$U83),0),2))</f>
        <v>0</v>
      </c>
      <c r="P4560" s="64" t="str">
        <f aca="false">IF(AND($H4560&lt;&gt;"",ROUND($O4560,2)&lt;&gt;0),"有","")</f>
        <v/>
      </c>
    </row>
    <row r="4561" customFormat="false" ht="15" hidden="true" customHeight="false" outlineLevel="0" collapsed="false">
      <c r="A4561" s="53" t="str">
        <f aca="false">IF($H4561="","",ROW()-5)</f>
        <v/>
      </c>
      <c r="B4561" s="64" t="s">
        <v>38</v>
      </c>
      <c r="C4561" s="53" t="n">
        <v>83</v>
      </c>
      <c r="D4561" s="53" t="n">
        <v>2</v>
      </c>
      <c r="E4561" s="65" t="str">
        <f aca="false">IF($H4561="","",生产加工!$B83)</f>
        <v/>
      </c>
      <c r="F4561" s="55" t="str">
        <f aca="false">IF($H4561="","",生产加工!$C83)</f>
        <v/>
      </c>
      <c r="G4561" s="48" t="str">
        <f aca="false">IF($H4561="","",生产加工!$N83)</f>
        <v/>
      </c>
      <c r="H4561" s="10" t="str">
        <f aca="false">IF($L4561="","",IF($L4561="@对方",生产加工!$K83,IF($L4561="@存货",生产加工!$Q83,$L4561)))</f>
        <v/>
      </c>
      <c r="I4561" s="42" t="n">
        <f aca="false">IF($M4561="借",$O4561,0)</f>
        <v>0</v>
      </c>
      <c r="J4561" s="42" t="n">
        <f aca="false">IF($M4561="贷",$O4561,0)</f>
        <v>0</v>
      </c>
      <c r="K4561" s="48"/>
      <c r="L4561" s="66" t="str">
        <f aca="false">IF(生产加工!$E83="","",IFERROR(INDEX(记账规则!$A$36:$H$38,MATCH(生产加工!$E83,记账规则!$A$36:$A$38,0),6),""))</f>
        <v/>
      </c>
      <c r="M4561" s="66" t="str">
        <f aca="false">IF($L4561="","",IFERROR(INDEX(记账规则!$A$36:$H$38,MATCH(生产加工!$E83,记账规则!$A$36:$A$38,0),7),""))</f>
        <v/>
      </c>
      <c r="N4561" s="66" t="str">
        <f aca="false">IF($L4561="","",IFERROR(INDEX(记账规则!$A$36:$H$38,MATCH(生产加工!$E83,记账规则!$A$36:$A$38,0),8),""))</f>
        <v/>
      </c>
      <c r="O4561" s="67" t="n">
        <f aca="false">IF($H4561="",0,ROUND(IF($N4561="记账金额",N(生产加工!$U83),0),2))</f>
        <v>0</v>
      </c>
      <c r="P4561" s="64" t="str">
        <f aca="false">IF(AND($H4561&lt;&gt;"",ROUND($O4561,2)&lt;&gt;0),"有","")</f>
        <v/>
      </c>
    </row>
    <row r="4562" customFormat="false" ht="15" hidden="true" customHeight="false" outlineLevel="0" collapsed="false">
      <c r="A4562" s="53" t="str">
        <f aca="false">IF($H4562="","",ROW()-5)</f>
        <v/>
      </c>
      <c r="B4562" s="64" t="s">
        <v>38</v>
      </c>
      <c r="C4562" s="53" t="n">
        <v>84</v>
      </c>
      <c r="D4562" s="53" t="n">
        <v>1</v>
      </c>
      <c r="E4562" s="65" t="str">
        <f aca="false">IF($H4562="","",生产加工!$B84)</f>
        <v/>
      </c>
      <c r="F4562" s="55" t="str">
        <f aca="false">IF($H4562="","",生产加工!$C84)</f>
        <v/>
      </c>
      <c r="G4562" s="48" t="str">
        <f aca="false">IF($H4562="","",生产加工!$N84)</f>
        <v/>
      </c>
      <c r="H4562" s="10" t="str">
        <f aca="false">IF($L4562="","",IF($L4562="@对方",生产加工!$K84,IF($L4562="@存货",生产加工!$Q84,$L4562)))</f>
        <v/>
      </c>
      <c r="I4562" s="42" t="n">
        <f aca="false">IF($M4562="借",$O4562,0)</f>
        <v>0</v>
      </c>
      <c r="J4562" s="42" t="n">
        <f aca="false">IF($M4562="贷",$O4562,0)</f>
        <v>0</v>
      </c>
      <c r="K4562" s="48"/>
      <c r="L4562" s="66" t="str">
        <f aca="false">IF(生产加工!$E84="","",IFERROR(INDEX(记账规则!$A$36:$H$38,MATCH(生产加工!$E84,记账规则!$A$36:$A$38,0),3),""))</f>
        <v/>
      </c>
      <c r="M4562" s="66" t="str">
        <f aca="false">IF($L4562="","",IFERROR(INDEX(记账规则!$A$36:$H$38,MATCH(生产加工!$E84,记账规则!$A$36:$A$38,0),4),""))</f>
        <v/>
      </c>
      <c r="N4562" s="66" t="str">
        <f aca="false">IF($L4562="","",IFERROR(INDEX(记账规则!$A$36:$H$38,MATCH(生产加工!$E84,记账规则!$A$36:$A$38,0),5),""))</f>
        <v/>
      </c>
      <c r="O4562" s="67" t="n">
        <f aca="false">IF($H4562="",0,ROUND(IF($N4562="记账金额",N(生产加工!$U84),0),2))</f>
        <v>0</v>
      </c>
      <c r="P4562" s="64" t="str">
        <f aca="false">IF(AND($H4562&lt;&gt;"",ROUND($O4562,2)&lt;&gt;0),"有","")</f>
        <v/>
      </c>
    </row>
    <row r="4563" customFormat="false" ht="15" hidden="true" customHeight="false" outlineLevel="0" collapsed="false">
      <c r="A4563" s="53" t="str">
        <f aca="false">IF($H4563="","",ROW()-5)</f>
        <v/>
      </c>
      <c r="B4563" s="64" t="s">
        <v>38</v>
      </c>
      <c r="C4563" s="53" t="n">
        <v>84</v>
      </c>
      <c r="D4563" s="53" t="n">
        <v>2</v>
      </c>
      <c r="E4563" s="65" t="str">
        <f aca="false">IF($H4563="","",生产加工!$B84)</f>
        <v/>
      </c>
      <c r="F4563" s="55" t="str">
        <f aca="false">IF($H4563="","",生产加工!$C84)</f>
        <v/>
      </c>
      <c r="G4563" s="48" t="str">
        <f aca="false">IF($H4563="","",生产加工!$N84)</f>
        <v/>
      </c>
      <c r="H4563" s="10" t="str">
        <f aca="false">IF($L4563="","",IF($L4563="@对方",生产加工!$K84,IF($L4563="@存货",生产加工!$Q84,$L4563)))</f>
        <v/>
      </c>
      <c r="I4563" s="42" t="n">
        <f aca="false">IF($M4563="借",$O4563,0)</f>
        <v>0</v>
      </c>
      <c r="J4563" s="42" t="n">
        <f aca="false">IF($M4563="贷",$O4563,0)</f>
        <v>0</v>
      </c>
      <c r="K4563" s="48"/>
      <c r="L4563" s="66" t="str">
        <f aca="false">IF(生产加工!$E84="","",IFERROR(INDEX(记账规则!$A$36:$H$38,MATCH(生产加工!$E84,记账规则!$A$36:$A$38,0),6),""))</f>
        <v/>
      </c>
      <c r="M4563" s="66" t="str">
        <f aca="false">IF($L4563="","",IFERROR(INDEX(记账规则!$A$36:$H$38,MATCH(生产加工!$E84,记账规则!$A$36:$A$38,0),7),""))</f>
        <v/>
      </c>
      <c r="N4563" s="66" t="str">
        <f aca="false">IF($L4563="","",IFERROR(INDEX(记账规则!$A$36:$H$38,MATCH(生产加工!$E84,记账规则!$A$36:$A$38,0),8),""))</f>
        <v/>
      </c>
      <c r="O4563" s="67" t="n">
        <f aca="false">IF($H4563="",0,ROUND(IF($N4563="记账金额",N(生产加工!$U84),0),2))</f>
        <v>0</v>
      </c>
      <c r="P4563" s="64" t="str">
        <f aca="false">IF(AND($H4563&lt;&gt;"",ROUND($O4563,2)&lt;&gt;0),"有","")</f>
        <v/>
      </c>
    </row>
    <row r="4564" customFormat="false" ht="15" hidden="true" customHeight="false" outlineLevel="0" collapsed="false">
      <c r="A4564" s="53" t="str">
        <f aca="false">IF($H4564="","",ROW()-5)</f>
        <v/>
      </c>
      <c r="B4564" s="64" t="s">
        <v>38</v>
      </c>
      <c r="C4564" s="53" t="n">
        <v>85</v>
      </c>
      <c r="D4564" s="53" t="n">
        <v>1</v>
      </c>
      <c r="E4564" s="65" t="str">
        <f aca="false">IF($H4564="","",生产加工!$B85)</f>
        <v/>
      </c>
      <c r="F4564" s="55" t="str">
        <f aca="false">IF($H4564="","",生产加工!$C85)</f>
        <v/>
      </c>
      <c r="G4564" s="48" t="str">
        <f aca="false">IF($H4564="","",生产加工!$N85)</f>
        <v/>
      </c>
      <c r="H4564" s="10" t="str">
        <f aca="false">IF($L4564="","",IF($L4564="@对方",生产加工!$K85,IF($L4564="@存货",生产加工!$Q85,$L4564)))</f>
        <v/>
      </c>
      <c r="I4564" s="42" t="n">
        <f aca="false">IF($M4564="借",$O4564,0)</f>
        <v>0</v>
      </c>
      <c r="J4564" s="42" t="n">
        <f aca="false">IF($M4564="贷",$O4564,0)</f>
        <v>0</v>
      </c>
      <c r="K4564" s="48"/>
      <c r="L4564" s="66" t="str">
        <f aca="false">IF(生产加工!$E85="","",IFERROR(INDEX(记账规则!$A$36:$H$38,MATCH(生产加工!$E85,记账规则!$A$36:$A$38,0),3),""))</f>
        <v/>
      </c>
      <c r="M4564" s="66" t="str">
        <f aca="false">IF($L4564="","",IFERROR(INDEX(记账规则!$A$36:$H$38,MATCH(生产加工!$E85,记账规则!$A$36:$A$38,0),4),""))</f>
        <v/>
      </c>
      <c r="N4564" s="66" t="str">
        <f aca="false">IF($L4564="","",IFERROR(INDEX(记账规则!$A$36:$H$38,MATCH(生产加工!$E85,记账规则!$A$36:$A$38,0),5),""))</f>
        <v/>
      </c>
      <c r="O4564" s="67" t="n">
        <f aca="false">IF($H4564="",0,ROUND(IF($N4564="记账金额",N(生产加工!$U85),0),2))</f>
        <v>0</v>
      </c>
      <c r="P4564" s="64" t="str">
        <f aca="false">IF(AND($H4564&lt;&gt;"",ROUND($O4564,2)&lt;&gt;0),"有","")</f>
        <v/>
      </c>
    </row>
    <row r="4565" customFormat="false" ht="15" hidden="true" customHeight="false" outlineLevel="0" collapsed="false">
      <c r="A4565" s="53" t="str">
        <f aca="false">IF($H4565="","",ROW()-5)</f>
        <v/>
      </c>
      <c r="B4565" s="64" t="s">
        <v>38</v>
      </c>
      <c r="C4565" s="53" t="n">
        <v>85</v>
      </c>
      <c r="D4565" s="53" t="n">
        <v>2</v>
      </c>
      <c r="E4565" s="65" t="str">
        <f aca="false">IF($H4565="","",生产加工!$B85)</f>
        <v/>
      </c>
      <c r="F4565" s="55" t="str">
        <f aca="false">IF($H4565="","",生产加工!$C85)</f>
        <v/>
      </c>
      <c r="G4565" s="48" t="str">
        <f aca="false">IF($H4565="","",生产加工!$N85)</f>
        <v/>
      </c>
      <c r="H4565" s="10" t="str">
        <f aca="false">IF($L4565="","",IF($L4565="@对方",生产加工!$K85,IF($L4565="@存货",生产加工!$Q85,$L4565)))</f>
        <v/>
      </c>
      <c r="I4565" s="42" t="n">
        <f aca="false">IF($M4565="借",$O4565,0)</f>
        <v>0</v>
      </c>
      <c r="J4565" s="42" t="n">
        <f aca="false">IF($M4565="贷",$O4565,0)</f>
        <v>0</v>
      </c>
      <c r="K4565" s="48"/>
      <c r="L4565" s="66" t="str">
        <f aca="false">IF(生产加工!$E85="","",IFERROR(INDEX(记账规则!$A$36:$H$38,MATCH(生产加工!$E85,记账规则!$A$36:$A$38,0),6),""))</f>
        <v/>
      </c>
      <c r="M4565" s="66" t="str">
        <f aca="false">IF($L4565="","",IFERROR(INDEX(记账规则!$A$36:$H$38,MATCH(生产加工!$E85,记账规则!$A$36:$A$38,0),7),""))</f>
        <v/>
      </c>
      <c r="N4565" s="66" t="str">
        <f aca="false">IF($L4565="","",IFERROR(INDEX(记账规则!$A$36:$H$38,MATCH(生产加工!$E85,记账规则!$A$36:$A$38,0),8),""))</f>
        <v/>
      </c>
      <c r="O4565" s="67" t="n">
        <f aca="false">IF($H4565="",0,ROUND(IF($N4565="记账金额",N(生产加工!$U85),0),2))</f>
        <v>0</v>
      </c>
      <c r="P4565" s="64" t="str">
        <f aca="false">IF(AND($H4565&lt;&gt;"",ROUND($O4565,2)&lt;&gt;0),"有","")</f>
        <v/>
      </c>
    </row>
    <row r="4566" customFormat="false" ht="15" hidden="true" customHeight="false" outlineLevel="0" collapsed="false">
      <c r="A4566" s="53" t="str">
        <f aca="false">IF($H4566="","",ROW()-5)</f>
        <v/>
      </c>
      <c r="B4566" s="64" t="s">
        <v>38</v>
      </c>
      <c r="C4566" s="53" t="n">
        <v>86</v>
      </c>
      <c r="D4566" s="53" t="n">
        <v>1</v>
      </c>
      <c r="E4566" s="65" t="str">
        <f aca="false">IF($H4566="","",生产加工!$B86)</f>
        <v/>
      </c>
      <c r="F4566" s="55" t="str">
        <f aca="false">IF($H4566="","",生产加工!$C86)</f>
        <v/>
      </c>
      <c r="G4566" s="48" t="str">
        <f aca="false">IF($H4566="","",生产加工!$N86)</f>
        <v/>
      </c>
      <c r="H4566" s="10" t="str">
        <f aca="false">IF($L4566="","",IF($L4566="@对方",生产加工!$K86,IF($L4566="@存货",生产加工!$Q86,$L4566)))</f>
        <v/>
      </c>
      <c r="I4566" s="42" t="n">
        <f aca="false">IF($M4566="借",$O4566,0)</f>
        <v>0</v>
      </c>
      <c r="J4566" s="42" t="n">
        <f aca="false">IF($M4566="贷",$O4566,0)</f>
        <v>0</v>
      </c>
      <c r="K4566" s="48"/>
      <c r="L4566" s="66" t="str">
        <f aca="false">IF(生产加工!$E86="","",IFERROR(INDEX(记账规则!$A$36:$H$38,MATCH(生产加工!$E86,记账规则!$A$36:$A$38,0),3),""))</f>
        <v/>
      </c>
      <c r="M4566" s="66" t="str">
        <f aca="false">IF($L4566="","",IFERROR(INDEX(记账规则!$A$36:$H$38,MATCH(生产加工!$E86,记账规则!$A$36:$A$38,0),4),""))</f>
        <v/>
      </c>
      <c r="N4566" s="66" t="str">
        <f aca="false">IF($L4566="","",IFERROR(INDEX(记账规则!$A$36:$H$38,MATCH(生产加工!$E86,记账规则!$A$36:$A$38,0),5),""))</f>
        <v/>
      </c>
      <c r="O4566" s="67" t="n">
        <f aca="false">IF($H4566="",0,ROUND(IF($N4566="记账金额",N(生产加工!$U86),0),2))</f>
        <v>0</v>
      </c>
      <c r="P4566" s="64" t="str">
        <f aca="false">IF(AND($H4566&lt;&gt;"",ROUND($O4566,2)&lt;&gt;0),"有","")</f>
        <v/>
      </c>
    </row>
    <row r="4567" customFormat="false" ht="15" hidden="true" customHeight="false" outlineLevel="0" collapsed="false">
      <c r="A4567" s="53" t="str">
        <f aca="false">IF($H4567="","",ROW()-5)</f>
        <v/>
      </c>
      <c r="B4567" s="64" t="s">
        <v>38</v>
      </c>
      <c r="C4567" s="53" t="n">
        <v>86</v>
      </c>
      <c r="D4567" s="53" t="n">
        <v>2</v>
      </c>
      <c r="E4567" s="65" t="str">
        <f aca="false">IF($H4567="","",生产加工!$B86)</f>
        <v/>
      </c>
      <c r="F4567" s="55" t="str">
        <f aca="false">IF($H4567="","",生产加工!$C86)</f>
        <v/>
      </c>
      <c r="G4567" s="48" t="str">
        <f aca="false">IF($H4567="","",生产加工!$N86)</f>
        <v/>
      </c>
      <c r="H4567" s="10" t="str">
        <f aca="false">IF($L4567="","",IF($L4567="@对方",生产加工!$K86,IF($L4567="@存货",生产加工!$Q86,$L4567)))</f>
        <v/>
      </c>
      <c r="I4567" s="42" t="n">
        <f aca="false">IF($M4567="借",$O4567,0)</f>
        <v>0</v>
      </c>
      <c r="J4567" s="42" t="n">
        <f aca="false">IF($M4567="贷",$O4567,0)</f>
        <v>0</v>
      </c>
      <c r="K4567" s="48"/>
      <c r="L4567" s="66" t="str">
        <f aca="false">IF(生产加工!$E86="","",IFERROR(INDEX(记账规则!$A$36:$H$38,MATCH(生产加工!$E86,记账规则!$A$36:$A$38,0),6),""))</f>
        <v/>
      </c>
      <c r="M4567" s="66" t="str">
        <f aca="false">IF($L4567="","",IFERROR(INDEX(记账规则!$A$36:$H$38,MATCH(生产加工!$E86,记账规则!$A$36:$A$38,0),7),""))</f>
        <v/>
      </c>
      <c r="N4567" s="66" t="str">
        <f aca="false">IF($L4567="","",IFERROR(INDEX(记账规则!$A$36:$H$38,MATCH(生产加工!$E86,记账规则!$A$36:$A$38,0),8),""))</f>
        <v/>
      </c>
      <c r="O4567" s="67" t="n">
        <f aca="false">IF($H4567="",0,ROUND(IF($N4567="记账金额",N(生产加工!$U86),0),2))</f>
        <v>0</v>
      </c>
      <c r="P4567" s="64" t="str">
        <f aca="false">IF(AND($H4567&lt;&gt;"",ROUND($O4567,2)&lt;&gt;0),"有","")</f>
        <v/>
      </c>
    </row>
    <row r="4568" customFormat="false" ht="15" hidden="true" customHeight="false" outlineLevel="0" collapsed="false">
      <c r="A4568" s="53" t="str">
        <f aca="false">IF($H4568="","",ROW()-5)</f>
        <v/>
      </c>
      <c r="B4568" s="64" t="s">
        <v>38</v>
      </c>
      <c r="C4568" s="53" t="n">
        <v>87</v>
      </c>
      <c r="D4568" s="53" t="n">
        <v>1</v>
      </c>
      <c r="E4568" s="65" t="str">
        <f aca="false">IF($H4568="","",生产加工!$B87)</f>
        <v/>
      </c>
      <c r="F4568" s="55" t="str">
        <f aca="false">IF($H4568="","",生产加工!$C87)</f>
        <v/>
      </c>
      <c r="G4568" s="48" t="str">
        <f aca="false">IF($H4568="","",生产加工!$N87)</f>
        <v/>
      </c>
      <c r="H4568" s="10" t="str">
        <f aca="false">IF($L4568="","",IF($L4568="@对方",生产加工!$K87,IF($L4568="@存货",生产加工!$Q87,$L4568)))</f>
        <v/>
      </c>
      <c r="I4568" s="42" t="n">
        <f aca="false">IF($M4568="借",$O4568,0)</f>
        <v>0</v>
      </c>
      <c r="J4568" s="42" t="n">
        <f aca="false">IF($M4568="贷",$O4568,0)</f>
        <v>0</v>
      </c>
      <c r="K4568" s="48"/>
      <c r="L4568" s="66" t="str">
        <f aca="false">IF(生产加工!$E87="","",IFERROR(INDEX(记账规则!$A$36:$H$38,MATCH(生产加工!$E87,记账规则!$A$36:$A$38,0),3),""))</f>
        <v/>
      </c>
      <c r="M4568" s="66" t="str">
        <f aca="false">IF($L4568="","",IFERROR(INDEX(记账规则!$A$36:$H$38,MATCH(生产加工!$E87,记账规则!$A$36:$A$38,0),4),""))</f>
        <v/>
      </c>
      <c r="N4568" s="66" t="str">
        <f aca="false">IF($L4568="","",IFERROR(INDEX(记账规则!$A$36:$H$38,MATCH(生产加工!$E87,记账规则!$A$36:$A$38,0),5),""))</f>
        <v/>
      </c>
      <c r="O4568" s="67" t="n">
        <f aca="false">IF($H4568="",0,ROUND(IF($N4568="记账金额",N(生产加工!$U87),0),2))</f>
        <v>0</v>
      </c>
      <c r="P4568" s="64" t="str">
        <f aca="false">IF(AND($H4568&lt;&gt;"",ROUND($O4568,2)&lt;&gt;0),"有","")</f>
        <v/>
      </c>
    </row>
    <row r="4569" customFormat="false" ht="15" hidden="true" customHeight="false" outlineLevel="0" collapsed="false">
      <c r="A4569" s="53" t="str">
        <f aca="false">IF($H4569="","",ROW()-5)</f>
        <v/>
      </c>
      <c r="B4569" s="64" t="s">
        <v>38</v>
      </c>
      <c r="C4569" s="53" t="n">
        <v>87</v>
      </c>
      <c r="D4569" s="53" t="n">
        <v>2</v>
      </c>
      <c r="E4569" s="65" t="str">
        <f aca="false">IF($H4569="","",生产加工!$B87)</f>
        <v/>
      </c>
      <c r="F4569" s="55" t="str">
        <f aca="false">IF($H4569="","",生产加工!$C87)</f>
        <v/>
      </c>
      <c r="G4569" s="48" t="str">
        <f aca="false">IF($H4569="","",生产加工!$N87)</f>
        <v/>
      </c>
      <c r="H4569" s="10" t="str">
        <f aca="false">IF($L4569="","",IF($L4569="@对方",生产加工!$K87,IF($L4569="@存货",生产加工!$Q87,$L4569)))</f>
        <v/>
      </c>
      <c r="I4569" s="42" t="n">
        <f aca="false">IF($M4569="借",$O4569,0)</f>
        <v>0</v>
      </c>
      <c r="J4569" s="42" t="n">
        <f aca="false">IF($M4569="贷",$O4569,0)</f>
        <v>0</v>
      </c>
      <c r="K4569" s="48"/>
      <c r="L4569" s="66" t="str">
        <f aca="false">IF(生产加工!$E87="","",IFERROR(INDEX(记账规则!$A$36:$H$38,MATCH(生产加工!$E87,记账规则!$A$36:$A$38,0),6),""))</f>
        <v/>
      </c>
      <c r="M4569" s="66" t="str">
        <f aca="false">IF($L4569="","",IFERROR(INDEX(记账规则!$A$36:$H$38,MATCH(生产加工!$E87,记账规则!$A$36:$A$38,0),7),""))</f>
        <v/>
      </c>
      <c r="N4569" s="66" t="str">
        <f aca="false">IF($L4569="","",IFERROR(INDEX(记账规则!$A$36:$H$38,MATCH(生产加工!$E87,记账规则!$A$36:$A$38,0),8),""))</f>
        <v/>
      </c>
      <c r="O4569" s="67" t="n">
        <f aca="false">IF($H4569="",0,ROUND(IF($N4569="记账金额",N(生产加工!$U87),0),2))</f>
        <v>0</v>
      </c>
      <c r="P4569" s="64" t="str">
        <f aca="false">IF(AND($H4569&lt;&gt;"",ROUND($O4569,2)&lt;&gt;0),"有","")</f>
        <v/>
      </c>
    </row>
    <row r="4570" customFormat="false" ht="15" hidden="true" customHeight="false" outlineLevel="0" collapsed="false">
      <c r="A4570" s="53" t="str">
        <f aca="false">IF($H4570="","",ROW()-5)</f>
        <v/>
      </c>
      <c r="B4570" s="64" t="s">
        <v>38</v>
      </c>
      <c r="C4570" s="53" t="n">
        <v>88</v>
      </c>
      <c r="D4570" s="53" t="n">
        <v>1</v>
      </c>
      <c r="E4570" s="65" t="str">
        <f aca="false">IF($H4570="","",生产加工!$B88)</f>
        <v/>
      </c>
      <c r="F4570" s="55" t="str">
        <f aca="false">IF($H4570="","",生产加工!$C88)</f>
        <v/>
      </c>
      <c r="G4570" s="48" t="str">
        <f aca="false">IF($H4570="","",生产加工!$N88)</f>
        <v/>
      </c>
      <c r="H4570" s="10" t="str">
        <f aca="false">IF($L4570="","",IF($L4570="@对方",生产加工!$K88,IF($L4570="@存货",生产加工!$Q88,$L4570)))</f>
        <v/>
      </c>
      <c r="I4570" s="42" t="n">
        <f aca="false">IF($M4570="借",$O4570,0)</f>
        <v>0</v>
      </c>
      <c r="J4570" s="42" t="n">
        <f aca="false">IF($M4570="贷",$O4570,0)</f>
        <v>0</v>
      </c>
      <c r="K4570" s="48"/>
      <c r="L4570" s="66" t="str">
        <f aca="false">IF(生产加工!$E88="","",IFERROR(INDEX(记账规则!$A$36:$H$38,MATCH(生产加工!$E88,记账规则!$A$36:$A$38,0),3),""))</f>
        <v/>
      </c>
      <c r="M4570" s="66" t="str">
        <f aca="false">IF($L4570="","",IFERROR(INDEX(记账规则!$A$36:$H$38,MATCH(生产加工!$E88,记账规则!$A$36:$A$38,0),4),""))</f>
        <v/>
      </c>
      <c r="N4570" s="66" t="str">
        <f aca="false">IF($L4570="","",IFERROR(INDEX(记账规则!$A$36:$H$38,MATCH(生产加工!$E88,记账规则!$A$36:$A$38,0),5),""))</f>
        <v/>
      </c>
      <c r="O4570" s="67" t="n">
        <f aca="false">IF($H4570="",0,ROUND(IF($N4570="记账金额",N(生产加工!$U88),0),2))</f>
        <v>0</v>
      </c>
      <c r="P4570" s="64" t="str">
        <f aca="false">IF(AND($H4570&lt;&gt;"",ROUND($O4570,2)&lt;&gt;0),"有","")</f>
        <v/>
      </c>
    </row>
    <row r="4571" customFormat="false" ht="15" hidden="true" customHeight="false" outlineLevel="0" collapsed="false">
      <c r="A4571" s="53" t="str">
        <f aca="false">IF($H4571="","",ROW()-5)</f>
        <v/>
      </c>
      <c r="B4571" s="64" t="s">
        <v>38</v>
      </c>
      <c r="C4571" s="53" t="n">
        <v>88</v>
      </c>
      <c r="D4571" s="53" t="n">
        <v>2</v>
      </c>
      <c r="E4571" s="65" t="str">
        <f aca="false">IF($H4571="","",生产加工!$B88)</f>
        <v/>
      </c>
      <c r="F4571" s="55" t="str">
        <f aca="false">IF($H4571="","",生产加工!$C88)</f>
        <v/>
      </c>
      <c r="G4571" s="48" t="str">
        <f aca="false">IF($H4571="","",生产加工!$N88)</f>
        <v/>
      </c>
      <c r="H4571" s="10" t="str">
        <f aca="false">IF($L4571="","",IF($L4571="@对方",生产加工!$K88,IF($L4571="@存货",生产加工!$Q88,$L4571)))</f>
        <v/>
      </c>
      <c r="I4571" s="42" t="n">
        <f aca="false">IF($M4571="借",$O4571,0)</f>
        <v>0</v>
      </c>
      <c r="J4571" s="42" t="n">
        <f aca="false">IF($M4571="贷",$O4571,0)</f>
        <v>0</v>
      </c>
      <c r="K4571" s="48"/>
      <c r="L4571" s="66" t="str">
        <f aca="false">IF(生产加工!$E88="","",IFERROR(INDEX(记账规则!$A$36:$H$38,MATCH(生产加工!$E88,记账规则!$A$36:$A$38,0),6),""))</f>
        <v/>
      </c>
      <c r="M4571" s="66" t="str">
        <f aca="false">IF($L4571="","",IFERROR(INDEX(记账规则!$A$36:$H$38,MATCH(生产加工!$E88,记账规则!$A$36:$A$38,0),7),""))</f>
        <v/>
      </c>
      <c r="N4571" s="66" t="str">
        <f aca="false">IF($L4571="","",IFERROR(INDEX(记账规则!$A$36:$H$38,MATCH(生产加工!$E88,记账规则!$A$36:$A$38,0),8),""))</f>
        <v/>
      </c>
      <c r="O4571" s="67" t="n">
        <f aca="false">IF($H4571="",0,ROUND(IF($N4571="记账金额",N(生产加工!$U88),0),2))</f>
        <v>0</v>
      </c>
      <c r="P4571" s="64" t="str">
        <f aca="false">IF(AND($H4571&lt;&gt;"",ROUND($O4571,2)&lt;&gt;0),"有","")</f>
        <v/>
      </c>
    </row>
    <row r="4572" customFormat="false" ht="15" hidden="true" customHeight="false" outlineLevel="0" collapsed="false">
      <c r="A4572" s="53" t="str">
        <f aca="false">IF($H4572="","",ROW()-5)</f>
        <v/>
      </c>
      <c r="B4572" s="64" t="s">
        <v>38</v>
      </c>
      <c r="C4572" s="53" t="n">
        <v>89</v>
      </c>
      <c r="D4572" s="53" t="n">
        <v>1</v>
      </c>
      <c r="E4572" s="65" t="str">
        <f aca="false">IF($H4572="","",生产加工!$B89)</f>
        <v/>
      </c>
      <c r="F4572" s="55" t="str">
        <f aca="false">IF($H4572="","",生产加工!$C89)</f>
        <v/>
      </c>
      <c r="G4572" s="48" t="str">
        <f aca="false">IF($H4572="","",生产加工!$N89)</f>
        <v/>
      </c>
      <c r="H4572" s="10" t="str">
        <f aca="false">IF($L4572="","",IF($L4572="@对方",生产加工!$K89,IF($L4572="@存货",生产加工!$Q89,$L4572)))</f>
        <v/>
      </c>
      <c r="I4572" s="42" t="n">
        <f aca="false">IF($M4572="借",$O4572,0)</f>
        <v>0</v>
      </c>
      <c r="J4572" s="42" t="n">
        <f aca="false">IF($M4572="贷",$O4572,0)</f>
        <v>0</v>
      </c>
      <c r="K4572" s="48"/>
      <c r="L4572" s="66" t="str">
        <f aca="false">IF(生产加工!$E89="","",IFERROR(INDEX(记账规则!$A$36:$H$38,MATCH(生产加工!$E89,记账规则!$A$36:$A$38,0),3),""))</f>
        <v/>
      </c>
      <c r="M4572" s="66" t="str">
        <f aca="false">IF($L4572="","",IFERROR(INDEX(记账规则!$A$36:$H$38,MATCH(生产加工!$E89,记账规则!$A$36:$A$38,0),4),""))</f>
        <v/>
      </c>
      <c r="N4572" s="66" t="str">
        <f aca="false">IF($L4572="","",IFERROR(INDEX(记账规则!$A$36:$H$38,MATCH(生产加工!$E89,记账规则!$A$36:$A$38,0),5),""))</f>
        <v/>
      </c>
      <c r="O4572" s="67" t="n">
        <f aca="false">IF($H4572="",0,ROUND(IF($N4572="记账金额",N(生产加工!$U89),0),2))</f>
        <v>0</v>
      </c>
      <c r="P4572" s="64" t="str">
        <f aca="false">IF(AND($H4572&lt;&gt;"",ROUND($O4572,2)&lt;&gt;0),"有","")</f>
        <v/>
      </c>
    </row>
    <row r="4573" customFormat="false" ht="15" hidden="true" customHeight="false" outlineLevel="0" collapsed="false">
      <c r="A4573" s="53" t="str">
        <f aca="false">IF($H4573="","",ROW()-5)</f>
        <v/>
      </c>
      <c r="B4573" s="64" t="s">
        <v>38</v>
      </c>
      <c r="C4573" s="53" t="n">
        <v>89</v>
      </c>
      <c r="D4573" s="53" t="n">
        <v>2</v>
      </c>
      <c r="E4573" s="65" t="str">
        <f aca="false">IF($H4573="","",生产加工!$B89)</f>
        <v/>
      </c>
      <c r="F4573" s="55" t="str">
        <f aca="false">IF($H4573="","",生产加工!$C89)</f>
        <v/>
      </c>
      <c r="G4573" s="48" t="str">
        <f aca="false">IF($H4573="","",生产加工!$N89)</f>
        <v/>
      </c>
      <c r="H4573" s="10" t="str">
        <f aca="false">IF($L4573="","",IF($L4573="@对方",生产加工!$K89,IF($L4573="@存货",生产加工!$Q89,$L4573)))</f>
        <v/>
      </c>
      <c r="I4573" s="42" t="n">
        <f aca="false">IF($M4573="借",$O4573,0)</f>
        <v>0</v>
      </c>
      <c r="J4573" s="42" t="n">
        <f aca="false">IF($M4573="贷",$O4573,0)</f>
        <v>0</v>
      </c>
      <c r="K4573" s="48"/>
      <c r="L4573" s="66" t="str">
        <f aca="false">IF(生产加工!$E89="","",IFERROR(INDEX(记账规则!$A$36:$H$38,MATCH(生产加工!$E89,记账规则!$A$36:$A$38,0),6),""))</f>
        <v/>
      </c>
      <c r="M4573" s="66" t="str">
        <f aca="false">IF($L4573="","",IFERROR(INDEX(记账规则!$A$36:$H$38,MATCH(生产加工!$E89,记账规则!$A$36:$A$38,0),7),""))</f>
        <v/>
      </c>
      <c r="N4573" s="66" t="str">
        <f aca="false">IF($L4573="","",IFERROR(INDEX(记账规则!$A$36:$H$38,MATCH(生产加工!$E89,记账规则!$A$36:$A$38,0),8),""))</f>
        <v/>
      </c>
      <c r="O4573" s="67" t="n">
        <f aca="false">IF($H4573="",0,ROUND(IF($N4573="记账金额",N(生产加工!$U89),0),2))</f>
        <v>0</v>
      </c>
      <c r="P4573" s="64" t="str">
        <f aca="false">IF(AND($H4573&lt;&gt;"",ROUND($O4573,2)&lt;&gt;0),"有","")</f>
        <v/>
      </c>
    </row>
    <row r="4574" customFormat="false" ht="15" hidden="true" customHeight="false" outlineLevel="0" collapsed="false">
      <c r="A4574" s="53" t="str">
        <f aca="false">IF($H4574="","",ROW()-5)</f>
        <v/>
      </c>
      <c r="B4574" s="64" t="s">
        <v>38</v>
      </c>
      <c r="C4574" s="53" t="n">
        <v>90</v>
      </c>
      <c r="D4574" s="53" t="n">
        <v>1</v>
      </c>
      <c r="E4574" s="65" t="str">
        <f aca="false">IF($H4574="","",生产加工!$B90)</f>
        <v/>
      </c>
      <c r="F4574" s="55" t="str">
        <f aca="false">IF($H4574="","",生产加工!$C90)</f>
        <v/>
      </c>
      <c r="G4574" s="48" t="str">
        <f aca="false">IF($H4574="","",生产加工!$N90)</f>
        <v/>
      </c>
      <c r="H4574" s="10" t="str">
        <f aca="false">IF($L4574="","",IF($L4574="@对方",生产加工!$K90,IF($L4574="@存货",生产加工!$Q90,$L4574)))</f>
        <v/>
      </c>
      <c r="I4574" s="42" t="n">
        <f aca="false">IF($M4574="借",$O4574,0)</f>
        <v>0</v>
      </c>
      <c r="J4574" s="42" t="n">
        <f aca="false">IF($M4574="贷",$O4574,0)</f>
        <v>0</v>
      </c>
      <c r="K4574" s="48"/>
      <c r="L4574" s="66" t="str">
        <f aca="false">IF(生产加工!$E90="","",IFERROR(INDEX(记账规则!$A$36:$H$38,MATCH(生产加工!$E90,记账规则!$A$36:$A$38,0),3),""))</f>
        <v/>
      </c>
      <c r="M4574" s="66" t="str">
        <f aca="false">IF($L4574="","",IFERROR(INDEX(记账规则!$A$36:$H$38,MATCH(生产加工!$E90,记账规则!$A$36:$A$38,0),4),""))</f>
        <v/>
      </c>
      <c r="N4574" s="66" t="str">
        <f aca="false">IF($L4574="","",IFERROR(INDEX(记账规则!$A$36:$H$38,MATCH(生产加工!$E90,记账规则!$A$36:$A$38,0),5),""))</f>
        <v/>
      </c>
      <c r="O4574" s="67" t="n">
        <f aca="false">IF($H4574="",0,ROUND(IF($N4574="记账金额",N(生产加工!$U90),0),2))</f>
        <v>0</v>
      </c>
      <c r="P4574" s="64" t="str">
        <f aca="false">IF(AND($H4574&lt;&gt;"",ROUND($O4574,2)&lt;&gt;0),"有","")</f>
        <v/>
      </c>
    </row>
    <row r="4575" customFormat="false" ht="15" hidden="true" customHeight="false" outlineLevel="0" collapsed="false">
      <c r="A4575" s="53" t="str">
        <f aca="false">IF($H4575="","",ROW()-5)</f>
        <v/>
      </c>
      <c r="B4575" s="64" t="s">
        <v>38</v>
      </c>
      <c r="C4575" s="53" t="n">
        <v>90</v>
      </c>
      <c r="D4575" s="53" t="n">
        <v>2</v>
      </c>
      <c r="E4575" s="65" t="str">
        <f aca="false">IF($H4575="","",生产加工!$B90)</f>
        <v/>
      </c>
      <c r="F4575" s="55" t="str">
        <f aca="false">IF($H4575="","",生产加工!$C90)</f>
        <v/>
      </c>
      <c r="G4575" s="48" t="str">
        <f aca="false">IF($H4575="","",生产加工!$N90)</f>
        <v/>
      </c>
      <c r="H4575" s="10" t="str">
        <f aca="false">IF($L4575="","",IF($L4575="@对方",生产加工!$K90,IF($L4575="@存货",生产加工!$Q90,$L4575)))</f>
        <v/>
      </c>
      <c r="I4575" s="42" t="n">
        <f aca="false">IF($M4575="借",$O4575,0)</f>
        <v>0</v>
      </c>
      <c r="J4575" s="42" t="n">
        <f aca="false">IF($M4575="贷",$O4575,0)</f>
        <v>0</v>
      </c>
      <c r="K4575" s="48"/>
      <c r="L4575" s="66" t="str">
        <f aca="false">IF(生产加工!$E90="","",IFERROR(INDEX(记账规则!$A$36:$H$38,MATCH(生产加工!$E90,记账规则!$A$36:$A$38,0),6),""))</f>
        <v/>
      </c>
      <c r="M4575" s="66" t="str">
        <f aca="false">IF($L4575="","",IFERROR(INDEX(记账规则!$A$36:$H$38,MATCH(生产加工!$E90,记账规则!$A$36:$A$38,0),7),""))</f>
        <v/>
      </c>
      <c r="N4575" s="66" t="str">
        <f aca="false">IF($L4575="","",IFERROR(INDEX(记账规则!$A$36:$H$38,MATCH(生产加工!$E90,记账规则!$A$36:$A$38,0),8),""))</f>
        <v/>
      </c>
      <c r="O4575" s="67" t="n">
        <f aca="false">IF($H4575="",0,ROUND(IF($N4575="记账金额",N(生产加工!$U90),0),2))</f>
        <v>0</v>
      </c>
      <c r="P4575" s="64" t="str">
        <f aca="false">IF(AND($H4575&lt;&gt;"",ROUND($O4575,2)&lt;&gt;0),"有","")</f>
        <v/>
      </c>
    </row>
    <row r="4576" customFormat="false" ht="15" hidden="true" customHeight="false" outlineLevel="0" collapsed="false">
      <c r="A4576" s="53" t="str">
        <f aca="false">IF($H4576="","",ROW()-5)</f>
        <v/>
      </c>
      <c r="B4576" s="64" t="s">
        <v>38</v>
      </c>
      <c r="C4576" s="53" t="n">
        <v>91</v>
      </c>
      <c r="D4576" s="53" t="n">
        <v>1</v>
      </c>
      <c r="E4576" s="65" t="str">
        <f aca="false">IF($H4576="","",生产加工!$B91)</f>
        <v/>
      </c>
      <c r="F4576" s="55" t="str">
        <f aca="false">IF($H4576="","",生产加工!$C91)</f>
        <v/>
      </c>
      <c r="G4576" s="48" t="str">
        <f aca="false">IF($H4576="","",生产加工!$N91)</f>
        <v/>
      </c>
      <c r="H4576" s="10" t="str">
        <f aca="false">IF($L4576="","",IF($L4576="@对方",生产加工!$K91,IF($L4576="@存货",生产加工!$Q91,$L4576)))</f>
        <v/>
      </c>
      <c r="I4576" s="42" t="n">
        <f aca="false">IF($M4576="借",$O4576,0)</f>
        <v>0</v>
      </c>
      <c r="J4576" s="42" t="n">
        <f aca="false">IF($M4576="贷",$O4576,0)</f>
        <v>0</v>
      </c>
      <c r="K4576" s="48"/>
      <c r="L4576" s="66" t="str">
        <f aca="false">IF(生产加工!$E91="","",IFERROR(INDEX(记账规则!$A$36:$H$38,MATCH(生产加工!$E91,记账规则!$A$36:$A$38,0),3),""))</f>
        <v/>
      </c>
      <c r="M4576" s="66" t="str">
        <f aca="false">IF($L4576="","",IFERROR(INDEX(记账规则!$A$36:$H$38,MATCH(生产加工!$E91,记账规则!$A$36:$A$38,0),4),""))</f>
        <v/>
      </c>
      <c r="N4576" s="66" t="str">
        <f aca="false">IF($L4576="","",IFERROR(INDEX(记账规则!$A$36:$H$38,MATCH(生产加工!$E91,记账规则!$A$36:$A$38,0),5),""))</f>
        <v/>
      </c>
      <c r="O4576" s="67" t="n">
        <f aca="false">IF($H4576="",0,ROUND(IF($N4576="记账金额",N(生产加工!$U91),0),2))</f>
        <v>0</v>
      </c>
      <c r="P4576" s="64" t="str">
        <f aca="false">IF(AND($H4576&lt;&gt;"",ROUND($O4576,2)&lt;&gt;0),"有","")</f>
        <v/>
      </c>
    </row>
    <row r="4577" customFormat="false" ht="15" hidden="true" customHeight="false" outlineLevel="0" collapsed="false">
      <c r="A4577" s="53" t="str">
        <f aca="false">IF($H4577="","",ROW()-5)</f>
        <v/>
      </c>
      <c r="B4577" s="64" t="s">
        <v>38</v>
      </c>
      <c r="C4577" s="53" t="n">
        <v>91</v>
      </c>
      <c r="D4577" s="53" t="n">
        <v>2</v>
      </c>
      <c r="E4577" s="65" t="str">
        <f aca="false">IF($H4577="","",生产加工!$B91)</f>
        <v/>
      </c>
      <c r="F4577" s="55" t="str">
        <f aca="false">IF($H4577="","",生产加工!$C91)</f>
        <v/>
      </c>
      <c r="G4577" s="48" t="str">
        <f aca="false">IF($H4577="","",生产加工!$N91)</f>
        <v/>
      </c>
      <c r="H4577" s="10" t="str">
        <f aca="false">IF($L4577="","",IF($L4577="@对方",生产加工!$K91,IF($L4577="@存货",生产加工!$Q91,$L4577)))</f>
        <v/>
      </c>
      <c r="I4577" s="42" t="n">
        <f aca="false">IF($M4577="借",$O4577,0)</f>
        <v>0</v>
      </c>
      <c r="J4577" s="42" t="n">
        <f aca="false">IF($M4577="贷",$O4577,0)</f>
        <v>0</v>
      </c>
      <c r="K4577" s="48"/>
      <c r="L4577" s="66" t="str">
        <f aca="false">IF(生产加工!$E91="","",IFERROR(INDEX(记账规则!$A$36:$H$38,MATCH(生产加工!$E91,记账规则!$A$36:$A$38,0),6),""))</f>
        <v/>
      </c>
      <c r="M4577" s="66" t="str">
        <f aca="false">IF($L4577="","",IFERROR(INDEX(记账规则!$A$36:$H$38,MATCH(生产加工!$E91,记账规则!$A$36:$A$38,0),7),""))</f>
        <v/>
      </c>
      <c r="N4577" s="66" t="str">
        <f aca="false">IF($L4577="","",IFERROR(INDEX(记账规则!$A$36:$H$38,MATCH(生产加工!$E91,记账规则!$A$36:$A$38,0),8),""))</f>
        <v/>
      </c>
      <c r="O4577" s="67" t="n">
        <f aca="false">IF($H4577="",0,ROUND(IF($N4577="记账金额",N(生产加工!$U91),0),2))</f>
        <v>0</v>
      </c>
      <c r="P4577" s="64" t="str">
        <f aca="false">IF(AND($H4577&lt;&gt;"",ROUND($O4577,2)&lt;&gt;0),"有","")</f>
        <v/>
      </c>
    </row>
    <row r="4578" customFormat="false" ht="15" hidden="true" customHeight="false" outlineLevel="0" collapsed="false">
      <c r="A4578" s="53" t="str">
        <f aca="false">IF($H4578="","",ROW()-5)</f>
        <v/>
      </c>
      <c r="B4578" s="64" t="s">
        <v>38</v>
      </c>
      <c r="C4578" s="53" t="n">
        <v>92</v>
      </c>
      <c r="D4578" s="53" t="n">
        <v>1</v>
      </c>
      <c r="E4578" s="65" t="str">
        <f aca="false">IF($H4578="","",生产加工!$B92)</f>
        <v/>
      </c>
      <c r="F4578" s="55" t="str">
        <f aca="false">IF($H4578="","",生产加工!$C92)</f>
        <v/>
      </c>
      <c r="G4578" s="48" t="str">
        <f aca="false">IF($H4578="","",生产加工!$N92)</f>
        <v/>
      </c>
      <c r="H4578" s="10" t="str">
        <f aca="false">IF($L4578="","",IF($L4578="@对方",生产加工!$K92,IF($L4578="@存货",生产加工!$Q92,$L4578)))</f>
        <v/>
      </c>
      <c r="I4578" s="42" t="n">
        <f aca="false">IF($M4578="借",$O4578,0)</f>
        <v>0</v>
      </c>
      <c r="J4578" s="42" t="n">
        <f aca="false">IF($M4578="贷",$O4578,0)</f>
        <v>0</v>
      </c>
      <c r="K4578" s="48"/>
      <c r="L4578" s="66" t="str">
        <f aca="false">IF(生产加工!$E92="","",IFERROR(INDEX(记账规则!$A$36:$H$38,MATCH(生产加工!$E92,记账规则!$A$36:$A$38,0),3),""))</f>
        <v/>
      </c>
      <c r="M4578" s="66" t="str">
        <f aca="false">IF($L4578="","",IFERROR(INDEX(记账规则!$A$36:$H$38,MATCH(生产加工!$E92,记账规则!$A$36:$A$38,0),4),""))</f>
        <v/>
      </c>
      <c r="N4578" s="66" t="str">
        <f aca="false">IF($L4578="","",IFERROR(INDEX(记账规则!$A$36:$H$38,MATCH(生产加工!$E92,记账规则!$A$36:$A$38,0),5),""))</f>
        <v/>
      </c>
      <c r="O4578" s="67" t="n">
        <f aca="false">IF($H4578="",0,ROUND(IF($N4578="记账金额",N(生产加工!$U92),0),2))</f>
        <v>0</v>
      </c>
      <c r="P4578" s="64" t="str">
        <f aca="false">IF(AND($H4578&lt;&gt;"",ROUND($O4578,2)&lt;&gt;0),"有","")</f>
        <v/>
      </c>
    </row>
    <row r="4579" customFormat="false" ht="15" hidden="true" customHeight="false" outlineLevel="0" collapsed="false">
      <c r="A4579" s="53" t="str">
        <f aca="false">IF($H4579="","",ROW()-5)</f>
        <v/>
      </c>
      <c r="B4579" s="64" t="s">
        <v>38</v>
      </c>
      <c r="C4579" s="53" t="n">
        <v>92</v>
      </c>
      <c r="D4579" s="53" t="n">
        <v>2</v>
      </c>
      <c r="E4579" s="65" t="str">
        <f aca="false">IF($H4579="","",生产加工!$B92)</f>
        <v/>
      </c>
      <c r="F4579" s="55" t="str">
        <f aca="false">IF($H4579="","",生产加工!$C92)</f>
        <v/>
      </c>
      <c r="G4579" s="48" t="str">
        <f aca="false">IF($H4579="","",生产加工!$N92)</f>
        <v/>
      </c>
      <c r="H4579" s="10" t="str">
        <f aca="false">IF($L4579="","",IF($L4579="@对方",生产加工!$K92,IF($L4579="@存货",生产加工!$Q92,$L4579)))</f>
        <v/>
      </c>
      <c r="I4579" s="42" t="n">
        <f aca="false">IF($M4579="借",$O4579,0)</f>
        <v>0</v>
      </c>
      <c r="J4579" s="42" t="n">
        <f aca="false">IF($M4579="贷",$O4579,0)</f>
        <v>0</v>
      </c>
      <c r="K4579" s="48"/>
      <c r="L4579" s="66" t="str">
        <f aca="false">IF(生产加工!$E92="","",IFERROR(INDEX(记账规则!$A$36:$H$38,MATCH(生产加工!$E92,记账规则!$A$36:$A$38,0),6),""))</f>
        <v/>
      </c>
      <c r="M4579" s="66" t="str">
        <f aca="false">IF($L4579="","",IFERROR(INDEX(记账规则!$A$36:$H$38,MATCH(生产加工!$E92,记账规则!$A$36:$A$38,0),7),""))</f>
        <v/>
      </c>
      <c r="N4579" s="66" t="str">
        <f aca="false">IF($L4579="","",IFERROR(INDEX(记账规则!$A$36:$H$38,MATCH(生产加工!$E92,记账规则!$A$36:$A$38,0),8),""))</f>
        <v/>
      </c>
      <c r="O4579" s="67" t="n">
        <f aca="false">IF($H4579="",0,ROUND(IF($N4579="记账金额",N(生产加工!$U92),0),2))</f>
        <v>0</v>
      </c>
      <c r="P4579" s="64" t="str">
        <f aca="false">IF(AND($H4579&lt;&gt;"",ROUND($O4579,2)&lt;&gt;0),"有","")</f>
        <v/>
      </c>
    </row>
    <row r="4580" customFormat="false" ht="15" hidden="true" customHeight="false" outlineLevel="0" collapsed="false">
      <c r="A4580" s="53" t="str">
        <f aca="false">IF($H4580="","",ROW()-5)</f>
        <v/>
      </c>
      <c r="B4580" s="64" t="s">
        <v>38</v>
      </c>
      <c r="C4580" s="53" t="n">
        <v>93</v>
      </c>
      <c r="D4580" s="53" t="n">
        <v>1</v>
      </c>
      <c r="E4580" s="65" t="str">
        <f aca="false">IF($H4580="","",生产加工!$B93)</f>
        <v/>
      </c>
      <c r="F4580" s="55" t="str">
        <f aca="false">IF($H4580="","",生产加工!$C93)</f>
        <v/>
      </c>
      <c r="G4580" s="48" t="str">
        <f aca="false">IF($H4580="","",生产加工!$N93)</f>
        <v/>
      </c>
      <c r="H4580" s="10" t="str">
        <f aca="false">IF($L4580="","",IF($L4580="@对方",生产加工!$K93,IF($L4580="@存货",生产加工!$Q93,$L4580)))</f>
        <v/>
      </c>
      <c r="I4580" s="42" t="n">
        <f aca="false">IF($M4580="借",$O4580,0)</f>
        <v>0</v>
      </c>
      <c r="J4580" s="42" t="n">
        <f aca="false">IF($M4580="贷",$O4580,0)</f>
        <v>0</v>
      </c>
      <c r="K4580" s="48"/>
      <c r="L4580" s="66" t="str">
        <f aca="false">IF(生产加工!$E93="","",IFERROR(INDEX(记账规则!$A$36:$H$38,MATCH(生产加工!$E93,记账规则!$A$36:$A$38,0),3),""))</f>
        <v/>
      </c>
      <c r="M4580" s="66" t="str">
        <f aca="false">IF($L4580="","",IFERROR(INDEX(记账规则!$A$36:$H$38,MATCH(生产加工!$E93,记账规则!$A$36:$A$38,0),4),""))</f>
        <v/>
      </c>
      <c r="N4580" s="66" t="str">
        <f aca="false">IF($L4580="","",IFERROR(INDEX(记账规则!$A$36:$H$38,MATCH(生产加工!$E93,记账规则!$A$36:$A$38,0),5),""))</f>
        <v/>
      </c>
      <c r="O4580" s="67" t="n">
        <f aca="false">IF($H4580="",0,ROUND(IF($N4580="记账金额",N(生产加工!$U93),0),2))</f>
        <v>0</v>
      </c>
      <c r="P4580" s="64" t="str">
        <f aca="false">IF(AND($H4580&lt;&gt;"",ROUND($O4580,2)&lt;&gt;0),"有","")</f>
        <v/>
      </c>
    </row>
    <row r="4581" customFormat="false" ht="15" hidden="true" customHeight="false" outlineLevel="0" collapsed="false">
      <c r="A4581" s="53" t="str">
        <f aca="false">IF($H4581="","",ROW()-5)</f>
        <v/>
      </c>
      <c r="B4581" s="64" t="s">
        <v>38</v>
      </c>
      <c r="C4581" s="53" t="n">
        <v>93</v>
      </c>
      <c r="D4581" s="53" t="n">
        <v>2</v>
      </c>
      <c r="E4581" s="65" t="str">
        <f aca="false">IF($H4581="","",生产加工!$B93)</f>
        <v/>
      </c>
      <c r="F4581" s="55" t="str">
        <f aca="false">IF($H4581="","",生产加工!$C93)</f>
        <v/>
      </c>
      <c r="G4581" s="48" t="str">
        <f aca="false">IF($H4581="","",生产加工!$N93)</f>
        <v/>
      </c>
      <c r="H4581" s="10" t="str">
        <f aca="false">IF($L4581="","",IF($L4581="@对方",生产加工!$K93,IF($L4581="@存货",生产加工!$Q93,$L4581)))</f>
        <v/>
      </c>
      <c r="I4581" s="42" t="n">
        <f aca="false">IF($M4581="借",$O4581,0)</f>
        <v>0</v>
      </c>
      <c r="J4581" s="42" t="n">
        <f aca="false">IF($M4581="贷",$O4581,0)</f>
        <v>0</v>
      </c>
      <c r="K4581" s="48"/>
      <c r="L4581" s="66" t="str">
        <f aca="false">IF(生产加工!$E93="","",IFERROR(INDEX(记账规则!$A$36:$H$38,MATCH(生产加工!$E93,记账规则!$A$36:$A$38,0),6),""))</f>
        <v/>
      </c>
      <c r="M4581" s="66" t="str">
        <f aca="false">IF($L4581="","",IFERROR(INDEX(记账规则!$A$36:$H$38,MATCH(生产加工!$E93,记账规则!$A$36:$A$38,0),7),""))</f>
        <v/>
      </c>
      <c r="N4581" s="66" t="str">
        <f aca="false">IF($L4581="","",IFERROR(INDEX(记账规则!$A$36:$H$38,MATCH(生产加工!$E93,记账规则!$A$36:$A$38,0),8),""))</f>
        <v/>
      </c>
      <c r="O4581" s="67" t="n">
        <f aca="false">IF($H4581="",0,ROUND(IF($N4581="记账金额",N(生产加工!$U93),0),2))</f>
        <v>0</v>
      </c>
      <c r="P4581" s="64" t="str">
        <f aca="false">IF(AND($H4581&lt;&gt;"",ROUND($O4581,2)&lt;&gt;0),"有","")</f>
        <v/>
      </c>
    </row>
    <row r="4582" customFormat="false" ht="15" hidden="true" customHeight="false" outlineLevel="0" collapsed="false">
      <c r="A4582" s="53" t="str">
        <f aca="false">IF($H4582="","",ROW()-5)</f>
        <v/>
      </c>
      <c r="B4582" s="64" t="s">
        <v>38</v>
      </c>
      <c r="C4582" s="53" t="n">
        <v>94</v>
      </c>
      <c r="D4582" s="53" t="n">
        <v>1</v>
      </c>
      <c r="E4582" s="65" t="str">
        <f aca="false">IF($H4582="","",生产加工!$B94)</f>
        <v/>
      </c>
      <c r="F4582" s="55" t="str">
        <f aca="false">IF($H4582="","",生产加工!$C94)</f>
        <v/>
      </c>
      <c r="G4582" s="48" t="str">
        <f aca="false">IF($H4582="","",生产加工!$N94)</f>
        <v/>
      </c>
      <c r="H4582" s="10" t="str">
        <f aca="false">IF($L4582="","",IF($L4582="@对方",生产加工!$K94,IF($L4582="@存货",生产加工!$Q94,$L4582)))</f>
        <v/>
      </c>
      <c r="I4582" s="42" t="n">
        <f aca="false">IF($M4582="借",$O4582,0)</f>
        <v>0</v>
      </c>
      <c r="J4582" s="42" t="n">
        <f aca="false">IF($M4582="贷",$O4582,0)</f>
        <v>0</v>
      </c>
      <c r="K4582" s="48"/>
      <c r="L4582" s="66" t="str">
        <f aca="false">IF(生产加工!$E94="","",IFERROR(INDEX(记账规则!$A$36:$H$38,MATCH(生产加工!$E94,记账规则!$A$36:$A$38,0),3),""))</f>
        <v/>
      </c>
      <c r="M4582" s="66" t="str">
        <f aca="false">IF($L4582="","",IFERROR(INDEX(记账规则!$A$36:$H$38,MATCH(生产加工!$E94,记账规则!$A$36:$A$38,0),4),""))</f>
        <v/>
      </c>
      <c r="N4582" s="66" t="str">
        <f aca="false">IF($L4582="","",IFERROR(INDEX(记账规则!$A$36:$H$38,MATCH(生产加工!$E94,记账规则!$A$36:$A$38,0),5),""))</f>
        <v/>
      </c>
      <c r="O4582" s="67" t="n">
        <f aca="false">IF($H4582="",0,ROUND(IF($N4582="记账金额",N(生产加工!$U94),0),2))</f>
        <v>0</v>
      </c>
      <c r="P4582" s="64" t="str">
        <f aca="false">IF(AND($H4582&lt;&gt;"",ROUND($O4582,2)&lt;&gt;0),"有","")</f>
        <v/>
      </c>
    </row>
    <row r="4583" customFormat="false" ht="15" hidden="true" customHeight="false" outlineLevel="0" collapsed="false">
      <c r="A4583" s="53" t="str">
        <f aca="false">IF($H4583="","",ROW()-5)</f>
        <v/>
      </c>
      <c r="B4583" s="64" t="s">
        <v>38</v>
      </c>
      <c r="C4583" s="53" t="n">
        <v>94</v>
      </c>
      <c r="D4583" s="53" t="n">
        <v>2</v>
      </c>
      <c r="E4583" s="65" t="str">
        <f aca="false">IF($H4583="","",生产加工!$B94)</f>
        <v/>
      </c>
      <c r="F4583" s="55" t="str">
        <f aca="false">IF($H4583="","",生产加工!$C94)</f>
        <v/>
      </c>
      <c r="G4583" s="48" t="str">
        <f aca="false">IF($H4583="","",生产加工!$N94)</f>
        <v/>
      </c>
      <c r="H4583" s="10" t="str">
        <f aca="false">IF($L4583="","",IF($L4583="@对方",生产加工!$K94,IF($L4583="@存货",生产加工!$Q94,$L4583)))</f>
        <v/>
      </c>
      <c r="I4583" s="42" t="n">
        <f aca="false">IF($M4583="借",$O4583,0)</f>
        <v>0</v>
      </c>
      <c r="J4583" s="42" t="n">
        <f aca="false">IF($M4583="贷",$O4583,0)</f>
        <v>0</v>
      </c>
      <c r="K4583" s="48"/>
      <c r="L4583" s="66" t="str">
        <f aca="false">IF(生产加工!$E94="","",IFERROR(INDEX(记账规则!$A$36:$H$38,MATCH(生产加工!$E94,记账规则!$A$36:$A$38,0),6),""))</f>
        <v/>
      </c>
      <c r="M4583" s="66" t="str">
        <f aca="false">IF($L4583="","",IFERROR(INDEX(记账规则!$A$36:$H$38,MATCH(生产加工!$E94,记账规则!$A$36:$A$38,0),7),""))</f>
        <v/>
      </c>
      <c r="N4583" s="66" t="str">
        <f aca="false">IF($L4583="","",IFERROR(INDEX(记账规则!$A$36:$H$38,MATCH(生产加工!$E94,记账规则!$A$36:$A$38,0),8),""))</f>
        <v/>
      </c>
      <c r="O4583" s="67" t="n">
        <f aca="false">IF($H4583="",0,ROUND(IF($N4583="记账金额",N(生产加工!$U94),0),2))</f>
        <v>0</v>
      </c>
      <c r="P4583" s="64" t="str">
        <f aca="false">IF(AND($H4583&lt;&gt;"",ROUND($O4583,2)&lt;&gt;0),"有","")</f>
        <v/>
      </c>
    </row>
    <row r="4584" customFormat="false" ht="15" hidden="true" customHeight="false" outlineLevel="0" collapsed="false">
      <c r="A4584" s="53" t="str">
        <f aca="false">IF($H4584="","",ROW()-5)</f>
        <v/>
      </c>
      <c r="B4584" s="64" t="s">
        <v>38</v>
      </c>
      <c r="C4584" s="53" t="n">
        <v>95</v>
      </c>
      <c r="D4584" s="53" t="n">
        <v>1</v>
      </c>
      <c r="E4584" s="65" t="str">
        <f aca="false">IF($H4584="","",生产加工!$B95)</f>
        <v/>
      </c>
      <c r="F4584" s="55" t="str">
        <f aca="false">IF($H4584="","",生产加工!$C95)</f>
        <v/>
      </c>
      <c r="G4584" s="48" t="str">
        <f aca="false">IF($H4584="","",生产加工!$N95)</f>
        <v/>
      </c>
      <c r="H4584" s="10" t="str">
        <f aca="false">IF($L4584="","",IF($L4584="@对方",生产加工!$K95,IF($L4584="@存货",生产加工!$Q95,$L4584)))</f>
        <v/>
      </c>
      <c r="I4584" s="42" t="n">
        <f aca="false">IF($M4584="借",$O4584,0)</f>
        <v>0</v>
      </c>
      <c r="J4584" s="42" t="n">
        <f aca="false">IF($M4584="贷",$O4584,0)</f>
        <v>0</v>
      </c>
      <c r="K4584" s="48"/>
      <c r="L4584" s="66" t="str">
        <f aca="false">IF(生产加工!$E95="","",IFERROR(INDEX(记账规则!$A$36:$H$38,MATCH(生产加工!$E95,记账规则!$A$36:$A$38,0),3),""))</f>
        <v/>
      </c>
      <c r="M4584" s="66" t="str">
        <f aca="false">IF($L4584="","",IFERROR(INDEX(记账规则!$A$36:$H$38,MATCH(生产加工!$E95,记账规则!$A$36:$A$38,0),4),""))</f>
        <v/>
      </c>
      <c r="N4584" s="66" t="str">
        <f aca="false">IF($L4584="","",IFERROR(INDEX(记账规则!$A$36:$H$38,MATCH(生产加工!$E95,记账规则!$A$36:$A$38,0),5),""))</f>
        <v/>
      </c>
      <c r="O4584" s="67" t="n">
        <f aca="false">IF($H4584="",0,ROUND(IF($N4584="记账金额",N(生产加工!$U95),0),2))</f>
        <v>0</v>
      </c>
      <c r="P4584" s="64" t="str">
        <f aca="false">IF(AND($H4584&lt;&gt;"",ROUND($O4584,2)&lt;&gt;0),"有","")</f>
        <v/>
      </c>
    </row>
    <row r="4585" customFormat="false" ht="15" hidden="true" customHeight="false" outlineLevel="0" collapsed="false">
      <c r="A4585" s="53" t="str">
        <f aca="false">IF($H4585="","",ROW()-5)</f>
        <v/>
      </c>
      <c r="B4585" s="64" t="s">
        <v>38</v>
      </c>
      <c r="C4585" s="53" t="n">
        <v>95</v>
      </c>
      <c r="D4585" s="53" t="n">
        <v>2</v>
      </c>
      <c r="E4585" s="65" t="str">
        <f aca="false">IF($H4585="","",生产加工!$B95)</f>
        <v/>
      </c>
      <c r="F4585" s="55" t="str">
        <f aca="false">IF($H4585="","",生产加工!$C95)</f>
        <v/>
      </c>
      <c r="G4585" s="48" t="str">
        <f aca="false">IF($H4585="","",生产加工!$N95)</f>
        <v/>
      </c>
      <c r="H4585" s="10" t="str">
        <f aca="false">IF($L4585="","",IF($L4585="@对方",生产加工!$K95,IF($L4585="@存货",生产加工!$Q95,$L4585)))</f>
        <v/>
      </c>
      <c r="I4585" s="42" t="n">
        <f aca="false">IF($M4585="借",$O4585,0)</f>
        <v>0</v>
      </c>
      <c r="J4585" s="42" t="n">
        <f aca="false">IF($M4585="贷",$O4585,0)</f>
        <v>0</v>
      </c>
      <c r="K4585" s="48"/>
      <c r="L4585" s="66" t="str">
        <f aca="false">IF(生产加工!$E95="","",IFERROR(INDEX(记账规则!$A$36:$H$38,MATCH(生产加工!$E95,记账规则!$A$36:$A$38,0),6),""))</f>
        <v/>
      </c>
      <c r="M4585" s="66" t="str">
        <f aca="false">IF($L4585="","",IFERROR(INDEX(记账规则!$A$36:$H$38,MATCH(生产加工!$E95,记账规则!$A$36:$A$38,0),7),""))</f>
        <v/>
      </c>
      <c r="N4585" s="66" t="str">
        <f aca="false">IF($L4585="","",IFERROR(INDEX(记账规则!$A$36:$H$38,MATCH(生产加工!$E95,记账规则!$A$36:$A$38,0),8),""))</f>
        <v/>
      </c>
      <c r="O4585" s="67" t="n">
        <f aca="false">IF($H4585="",0,ROUND(IF($N4585="记账金额",N(生产加工!$U95),0),2))</f>
        <v>0</v>
      </c>
      <c r="P4585" s="64" t="str">
        <f aca="false">IF(AND($H4585&lt;&gt;"",ROUND($O4585,2)&lt;&gt;0),"有","")</f>
        <v/>
      </c>
    </row>
    <row r="4586" customFormat="false" ht="15" hidden="true" customHeight="false" outlineLevel="0" collapsed="false">
      <c r="A4586" s="53" t="str">
        <f aca="false">IF($H4586="","",ROW()-5)</f>
        <v/>
      </c>
      <c r="B4586" s="64" t="s">
        <v>38</v>
      </c>
      <c r="C4586" s="53" t="n">
        <v>96</v>
      </c>
      <c r="D4586" s="53" t="n">
        <v>1</v>
      </c>
      <c r="E4586" s="65" t="str">
        <f aca="false">IF($H4586="","",生产加工!$B96)</f>
        <v/>
      </c>
      <c r="F4586" s="55" t="str">
        <f aca="false">IF($H4586="","",生产加工!$C96)</f>
        <v/>
      </c>
      <c r="G4586" s="48" t="str">
        <f aca="false">IF($H4586="","",生产加工!$N96)</f>
        <v/>
      </c>
      <c r="H4586" s="10" t="str">
        <f aca="false">IF($L4586="","",IF($L4586="@对方",生产加工!$K96,IF($L4586="@存货",生产加工!$Q96,$L4586)))</f>
        <v/>
      </c>
      <c r="I4586" s="42" t="n">
        <f aca="false">IF($M4586="借",$O4586,0)</f>
        <v>0</v>
      </c>
      <c r="J4586" s="42" t="n">
        <f aca="false">IF($M4586="贷",$O4586,0)</f>
        <v>0</v>
      </c>
      <c r="K4586" s="48"/>
      <c r="L4586" s="66" t="str">
        <f aca="false">IF(生产加工!$E96="","",IFERROR(INDEX(记账规则!$A$36:$H$38,MATCH(生产加工!$E96,记账规则!$A$36:$A$38,0),3),""))</f>
        <v/>
      </c>
      <c r="M4586" s="66" t="str">
        <f aca="false">IF($L4586="","",IFERROR(INDEX(记账规则!$A$36:$H$38,MATCH(生产加工!$E96,记账规则!$A$36:$A$38,0),4),""))</f>
        <v/>
      </c>
      <c r="N4586" s="66" t="str">
        <f aca="false">IF($L4586="","",IFERROR(INDEX(记账规则!$A$36:$H$38,MATCH(生产加工!$E96,记账规则!$A$36:$A$38,0),5),""))</f>
        <v/>
      </c>
      <c r="O4586" s="67" t="n">
        <f aca="false">IF($H4586="",0,ROUND(IF($N4586="记账金额",N(生产加工!$U96),0),2))</f>
        <v>0</v>
      </c>
      <c r="P4586" s="64" t="str">
        <f aca="false">IF(AND($H4586&lt;&gt;"",ROUND($O4586,2)&lt;&gt;0),"有","")</f>
        <v/>
      </c>
    </row>
    <row r="4587" customFormat="false" ht="15" hidden="true" customHeight="false" outlineLevel="0" collapsed="false">
      <c r="A4587" s="53" t="str">
        <f aca="false">IF($H4587="","",ROW()-5)</f>
        <v/>
      </c>
      <c r="B4587" s="64" t="s">
        <v>38</v>
      </c>
      <c r="C4587" s="53" t="n">
        <v>96</v>
      </c>
      <c r="D4587" s="53" t="n">
        <v>2</v>
      </c>
      <c r="E4587" s="65" t="str">
        <f aca="false">IF($H4587="","",生产加工!$B96)</f>
        <v/>
      </c>
      <c r="F4587" s="55" t="str">
        <f aca="false">IF($H4587="","",生产加工!$C96)</f>
        <v/>
      </c>
      <c r="G4587" s="48" t="str">
        <f aca="false">IF($H4587="","",生产加工!$N96)</f>
        <v/>
      </c>
      <c r="H4587" s="10" t="str">
        <f aca="false">IF($L4587="","",IF($L4587="@对方",生产加工!$K96,IF($L4587="@存货",生产加工!$Q96,$L4587)))</f>
        <v/>
      </c>
      <c r="I4587" s="42" t="n">
        <f aca="false">IF($M4587="借",$O4587,0)</f>
        <v>0</v>
      </c>
      <c r="J4587" s="42" t="n">
        <f aca="false">IF($M4587="贷",$O4587,0)</f>
        <v>0</v>
      </c>
      <c r="K4587" s="48"/>
      <c r="L4587" s="66" t="str">
        <f aca="false">IF(生产加工!$E96="","",IFERROR(INDEX(记账规则!$A$36:$H$38,MATCH(生产加工!$E96,记账规则!$A$36:$A$38,0),6),""))</f>
        <v/>
      </c>
      <c r="M4587" s="66" t="str">
        <f aca="false">IF($L4587="","",IFERROR(INDEX(记账规则!$A$36:$H$38,MATCH(生产加工!$E96,记账规则!$A$36:$A$38,0),7),""))</f>
        <v/>
      </c>
      <c r="N4587" s="66" t="str">
        <f aca="false">IF($L4587="","",IFERROR(INDEX(记账规则!$A$36:$H$38,MATCH(生产加工!$E96,记账规则!$A$36:$A$38,0),8),""))</f>
        <v/>
      </c>
      <c r="O4587" s="67" t="n">
        <f aca="false">IF($H4587="",0,ROUND(IF($N4587="记账金额",N(生产加工!$U96),0),2))</f>
        <v>0</v>
      </c>
      <c r="P4587" s="64" t="str">
        <f aca="false">IF(AND($H4587&lt;&gt;"",ROUND($O4587,2)&lt;&gt;0),"有","")</f>
        <v/>
      </c>
    </row>
    <row r="4588" customFormat="false" ht="15" hidden="true" customHeight="false" outlineLevel="0" collapsed="false">
      <c r="A4588" s="53" t="str">
        <f aca="false">IF($H4588="","",ROW()-5)</f>
        <v/>
      </c>
      <c r="B4588" s="64" t="s">
        <v>38</v>
      </c>
      <c r="C4588" s="53" t="n">
        <v>97</v>
      </c>
      <c r="D4588" s="53" t="n">
        <v>1</v>
      </c>
      <c r="E4588" s="65" t="str">
        <f aca="false">IF($H4588="","",生产加工!$B97)</f>
        <v/>
      </c>
      <c r="F4588" s="55" t="str">
        <f aca="false">IF($H4588="","",生产加工!$C97)</f>
        <v/>
      </c>
      <c r="G4588" s="48" t="str">
        <f aca="false">IF($H4588="","",生产加工!$N97)</f>
        <v/>
      </c>
      <c r="H4588" s="10" t="str">
        <f aca="false">IF($L4588="","",IF($L4588="@对方",生产加工!$K97,IF($L4588="@存货",生产加工!$Q97,$L4588)))</f>
        <v/>
      </c>
      <c r="I4588" s="42" t="n">
        <f aca="false">IF($M4588="借",$O4588,0)</f>
        <v>0</v>
      </c>
      <c r="J4588" s="42" t="n">
        <f aca="false">IF($M4588="贷",$O4588,0)</f>
        <v>0</v>
      </c>
      <c r="K4588" s="48"/>
      <c r="L4588" s="66" t="str">
        <f aca="false">IF(生产加工!$E97="","",IFERROR(INDEX(记账规则!$A$36:$H$38,MATCH(生产加工!$E97,记账规则!$A$36:$A$38,0),3),""))</f>
        <v/>
      </c>
      <c r="M4588" s="66" t="str">
        <f aca="false">IF($L4588="","",IFERROR(INDEX(记账规则!$A$36:$H$38,MATCH(生产加工!$E97,记账规则!$A$36:$A$38,0),4),""))</f>
        <v/>
      </c>
      <c r="N4588" s="66" t="str">
        <f aca="false">IF($L4588="","",IFERROR(INDEX(记账规则!$A$36:$H$38,MATCH(生产加工!$E97,记账规则!$A$36:$A$38,0),5),""))</f>
        <v/>
      </c>
      <c r="O4588" s="67" t="n">
        <f aca="false">IF($H4588="",0,ROUND(IF($N4588="记账金额",N(生产加工!$U97),0),2))</f>
        <v>0</v>
      </c>
      <c r="P4588" s="64" t="str">
        <f aca="false">IF(AND($H4588&lt;&gt;"",ROUND($O4588,2)&lt;&gt;0),"有","")</f>
        <v/>
      </c>
    </row>
    <row r="4589" customFormat="false" ht="15" hidden="true" customHeight="false" outlineLevel="0" collapsed="false">
      <c r="A4589" s="53" t="str">
        <f aca="false">IF($H4589="","",ROW()-5)</f>
        <v/>
      </c>
      <c r="B4589" s="64" t="s">
        <v>38</v>
      </c>
      <c r="C4589" s="53" t="n">
        <v>97</v>
      </c>
      <c r="D4589" s="53" t="n">
        <v>2</v>
      </c>
      <c r="E4589" s="65" t="str">
        <f aca="false">IF($H4589="","",生产加工!$B97)</f>
        <v/>
      </c>
      <c r="F4589" s="55" t="str">
        <f aca="false">IF($H4589="","",生产加工!$C97)</f>
        <v/>
      </c>
      <c r="G4589" s="48" t="str">
        <f aca="false">IF($H4589="","",生产加工!$N97)</f>
        <v/>
      </c>
      <c r="H4589" s="10" t="str">
        <f aca="false">IF($L4589="","",IF($L4589="@对方",生产加工!$K97,IF($L4589="@存货",生产加工!$Q97,$L4589)))</f>
        <v/>
      </c>
      <c r="I4589" s="42" t="n">
        <f aca="false">IF($M4589="借",$O4589,0)</f>
        <v>0</v>
      </c>
      <c r="J4589" s="42" t="n">
        <f aca="false">IF($M4589="贷",$O4589,0)</f>
        <v>0</v>
      </c>
      <c r="K4589" s="48"/>
      <c r="L4589" s="66" t="str">
        <f aca="false">IF(生产加工!$E97="","",IFERROR(INDEX(记账规则!$A$36:$H$38,MATCH(生产加工!$E97,记账规则!$A$36:$A$38,0),6),""))</f>
        <v/>
      </c>
      <c r="M4589" s="66" t="str">
        <f aca="false">IF($L4589="","",IFERROR(INDEX(记账规则!$A$36:$H$38,MATCH(生产加工!$E97,记账规则!$A$36:$A$38,0),7),""))</f>
        <v/>
      </c>
      <c r="N4589" s="66" t="str">
        <f aca="false">IF($L4589="","",IFERROR(INDEX(记账规则!$A$36:$H$38,MATCH(生产加工!$E97,记账规则!$A$36:$A$38,0),8),""))</f>
        <v/>
      </c>
      <c r="O4589" s="67" t="n">
        <f aca="false">IF($H4589="",0,ROUND(IF($N4589="记账金额",N(生产加工!$U97),0),2))</f>
        <v>0</v>
      </c>
      <c r="P4589" s="64" t="str">
        <f aca="false">IF(AND($H4589&lt;&gt;"",ROUND($O4589,2)&lt;&gt;0),"有","")</f>
        <v/>
      </c>
    </row>
    <row r="4590" customFormat="false" ht="15" hidden="true" customHeight="false" outlineLevel="0" collapsed="false">
      <c r="A4590" s="53" t="str">
        <f aca="false">IF($H4590="","",ROW()-5)</f>
        <v/>
      </c>
      <c r="B4590" s="64" t="s">
        <v>38</v>
      </c>
      <c r="C4590" s="53" t="n">
        <v>98</v>
      </c>
      <c r="D4590" s="53" t="n">
        <v>1</v>
      </c>
      <c r="E4590" s="65" t="str">
        <f aca="false">IF($H4590="","",生产加工!$B98)</f>
        <v/>
      </c>
      <c r="F4590" s="55" t="str">
        <f aca="false">IF($H4590="","",生产加工!$C98)</f>
        <v/>
      </c>
      <c r="G4590" s="48" t="str">
        <f aca="false">IF($H4590="","",生产加工!$N98)</f>
        <v/>
      </c>
      <c r="H4590" s="10" t="str">
        <f aca="false">IF($L4590="","",IF($L4590="@对方",生产加工!$K98,IF($L4590="@存货",生产加工!$Q98,$L4590)))</f>
        <v/>
      </c>
      <c r="I4590" s="42" t="n">
        <f aca="false">IF($M4590="借",$O4590,0)</f>
        <v>0</v>
      </c>
      <c r="J4590" s="42" t="n">
        <f aca="false">IF($M4590="贷",$O4590,0)</f>
        <v>0</v>
      </c>
      <c r="K4590" s="48"/>
      <c r="L4590" s="66" t="str">
        <f aca="false">IF(生产加工!$E98="","",IFERROR(INDEX(记账规则!$A$36:$H$38,MATCH(生产加工!$E98,记账规则!$A$36:$A$38,0),3),""))</f>
        <v/>
      </c>
      <c r="M4590" s="66" t="str">
        <f aca="false">IF($L4590="","",IFERROR(INDEX(记账规则!$A$36:$H$38,MATCH(生产加工!$E98,记账规则!$A$36:$A$38,0),4),""))</f>
        <v/>
      </c>
      <c r="N4590" s="66" t="str">
        <f aca="false">IF($L4590="","",IFERROR(INDEX(记账规则!$A$36:$H$38,MATCH(生产加工!$E98,记账规则!$A$36:$A$38,0),5),""))</f>
        <v/>
      </c>
      <c r="O4590" s="67" t="n">
        <f aca="false">IF($H4590="",0,ROUND(IF($N4590="记账金额",N(生产加工!$U98),0),2))</f>
        <v>0</v>
      </c>
      <c r="P4590" s="64" t="str">
        <f aca="false">IF(AND($H4590&lt;&gt;"",ROUND($O4590,2)&lt;&gt;0),"有","")</f>
        <v/>
      </c>
    </row>
    <row r="4591" customFormat="false" ht="15" hidden="true" customHeight="false" outlineLevel="0" collapsed="false">
      <c r="A4591" s="53" t="str">
        <f aca="false">IF($H4591="","",ROW()-5)</f>
        <v/>
      </c>
      <c r="B4591" s="64" t="s">
        <v>38</v>
      </c>
      <c r="C4591" s="53" t="n">
        <v>98</v>
      </c>
      <c r="D4591" s="53" t="n">
        <v>2</v>
      </c>
      <c r="E4591" s="65" t="str">
        <f aca="false">IF($H4591="","",生产加工!$B98)</f>
        <v/>
      </c>
      <c r="F4591" s="55" t="str">
        <f aca="false">IF($H4591="","",生产加工!$C98)</f>
        <v/>
      </c>
      <c r="G4591" s="48" t="str">
        <f aca="false">IF($H4591="","",生产加工!$N98)</f>
        <v/>
      </c>
      <c r="H4591" s="10" t="str">
        <f aca="false">IF($L4591="","",IF($L4591="@对方",生产加工!$K98,IF($L4591="@存货",生产加工!$Q98,$L4591)))</f>
        <v/>
      </c>
      <c r="I4591" s="42" t="n">
        <f aca="false">IF($M4591="借",$O4591,0)</f>
        <v>0</v>
      </c>
      <c r="J4591" s="42" t="n">
        <f aca="false">IF($M4591="贷",$O4591,0)</f>
        <v>0</v>
      </c>
      <c r="K4591" s="48"/>
      <c r="L4591" s="66" t="str">
        <f aca="false">IF(生产加工!$E98="","",IFERROR(INDEX(记账规则!$A$36:$H$38,MATCH(生产加工!$E98,记账规则!$A$36:$A$38,0),6),""))</f>
        <v/>
      </c>
      <c r="M4591" s="66" t="str">
        <f aca="false">IF($L4591="","",IFERROR(INDEX(记账规则!$A$36:$H$38,MATCH(生产加工!$E98,记账规则!$A$36:$A$38,0),7),""))</f>
        <v/>
      </c>
      <c r="N4591" s="66" t="str">
        <f aca="false">IF($L4591="","",IFERROR(INDEX(记账规则!$A$36:$H$38,MATCH(生产加工!$E98,记账规则!$A$36:$A$38,0),8),""))</f>
        <v/>
      </c>
      <c r="O4591" s="67" t="n">
        <f aca="false">IF($H4591="",0,ROUND(IF($N4591="记账金额",N(生产加工!$U98),0),2))</f>
        <v>0</v>
      </c>
      <c r="P4591" s="64" t="str">
        <f aca="false">IF(AND($H4591&lt;&gt;"",ROUND($O4591,2)&lt;&gt;0),"有","")</f>
        <v/>
      </c>
    </row>
    <row r="4592" customFormat="false" ht="15" hidden="true" customHeight="false" outlineLevel="0" collapsed="false">
      <c r="A4592" s="53" t="str">
        <f aca="false">IF($H4592="","",ROW()-5)</f>
        <v/>
      </c>
      <c r="B4592" s="64" t="s">
        <v>38</v>
      </c>
      <c r="C4592" s="53" t="n">
        <v>99</v>
      </c>
      <c r="D4592" s="53" t="n">
        <v>1</v>
      </c>
      <c r="E4592" s="65" t="str">
        <f aca="false">IF($H4592="","",生产加工!$B99)</f>
        <v/>
      </c>
      <c r="F4592" s="55" t="str">
        <f aca="false">IF($H4592="","",生产加工!$C99)</f>
        <v/>
      </c>
      <c r="G4592" s="48" t="str">
        <f aca="false">IF($H4592="","",生产加工!$N99)</f>
        <v/>
      </c>
      <c r="H4592" s="10" t="str">
        <f aca="false">IF($L4592="","",IF($L4592="@对方",生产加工!$K99,IF($L4592="@存货",生产加工!$Q99,$L4592)))</f>
        <v/>
      </c>
      <c r="I4592" s="42" t="n">
        <f aca="false">IF($M4592="借",$O4592,0)</f>
        <v>0</v>
      </c>
      <c r="J4592" s="42" t="n">
        <f aca="false">IF($M4592="贷",$O4592,0)</f>
        <v>0</v>
      </c>
      <c r="K4592" s="48"/>
      <c r="L4592" s="66" t="str">
        <f aca="false">IF(生产加工!$E99="","",IFERROR(INDEX(记账规则!$A$36:$H$38,MATCH(生产加工!$E99,记账规则!$A$36:$A$38,0),3),""))</f>
        <v/>
      </c>
      <c r="M4592" s="66" t="str">
        <f aca="false">IF($L4592="","",IFERROR(INDEX(记账规则!$A$36:$H$38,MATCH(生产加工!$E99,记账规则!$A$36:$A$38,0),4),""))</f>
        <v/>
      </c>
      <c r="N4592" s="66" t="str">
        <f aca="false">IF($L4592="","",IFERROR(INDEX(记账规则!$A$36:$H$38,MATCH(生产加工!$E99,记账规则!$A$36:$A$38,0),5),""))</f>
        <v/>
      </c>
      <c r="O4592" s="67" t="n">
        <f aca="false">IF($H4592="",0,ROUND(IF($N4592="记账金额",N(生产加工!$U99),0),2))</f>
        <v>0</v>
      </c>
      <c r="P4592" s="64" t="str">
        <f aca="false">IF(AND($H4592&lt;&gt;"",ROUND($O4592,2)&lt;&gt;0),"有","")</f>
        <v/>
      </c>
    </row>
    <row r="4593" customFormat="false" ht="15" hidden="true" customHeight="false" outlineLevel="0" collapsed="false">
      <c r="A4593" s="53" t="str">
        <f aca="false">IF($H4593="","",ROW()-5)</f>
        <v/>
      </c>
      <c r="B4593" s="64" t="s">
        <v>38</v>
      </c>
      <c r="C4593" s="53" t="n">
        <v>99</v>
      </c>
      <c r="D4593" s="53" t="n">
        <v>2</v>
      </c>
      <c r="E4593" s="65" t="str">
        <f aca="false">IF($H4593="","",生产加工!$B99)</f>
        <v/>
      </c>
      <c r="F4593" s="55" t="str">
        <f aca="false">IF($H4593="","",生产加工!$C99)</f>
        <v/>
      </c>
      <c r="G4593" s="48" t="str">
        <f aca="false">IF($H4593="","",生产加工!$N99)</f>
        <v/>
      </c>
      <c r="H4593" s="10" t="str">
        <f aca="false">IF($L4593="","",IF($L4593="@对方",生产加工!$K99,IF($L4593="@存货",生产加工!$Q99,$L4593)))</f>
        <v/>
      </c>
      <c r="I4593" s="42" t="n">
        <f aca="false">IF($M4593="借",$O4593,0)</f>
        <v>0</v>
      </c>
      <c r="J4593" s="42" t="n">
        <f aca="false">IF($M4593="贷",$O4593,0)</f>
        <v>0</v>
      </c>
      <c r="K4593" s="48"/>
      <c r="L4593" s="66" t="str">
        <f aca="false">IF(生产加工!$E99="","",IFERROR(INDEX(记账规则!$A$36:$H$38,MATCH(生产加工!$E99,记账规则!$A$36:$A$38,0),6),""))</f>
        <v/>
      </c>
      <c r="M4593" s="66" t="str">
        <f aca="false">IF($L4593="","",IFERROR(INDEX(记账规则!$A$36:$H$38,MATCH(生产加工!$E99,记账规则!$A$36:$A$38,0),7),""))</f>
        <v/>
      </c>
      <c r="N4593" s="66" t="str">
        <f aca="false">IF($L4593="","",IFERROR(INDEX(记账规则!$A$36:$H$38,MATCH(生产加工!$E99,记账规则!$A$36:$A$38,0),8),""))</f>
        <v/>
      </c>
      <c r="O4593" s="67" t="n">
        <f aca="false">IF($H4593="",0,ROUND(IF($N4593="记账金额",N(生产加工!$U99),0),2))</f>
        <v>0</v>
      </c>
      <c r="P4593" s="64" t="str">
        <f aca="false">IF(AND($H4593&lt;&gt;"",ROUND($O4593,2)&lt;&gt;0),"有","")</f>
        <v/>
      </c>
    </row>
    <row r="4594" customFormat="false" ht="15" hidden="true" customHeight="false" outlineLevel="0" collapsed="false">
      <c r="A4594" s="53" t="str">
        <f aca="false">IF($H4594="","",ROW()-5)</f>
        <v/>
      </c>
      <c r="B4594" s="64" t="s">
        <v>38</v>
      </c>
      <c r="C4594" s="53" t="n">
        <v>100</v>
      </c>
      <c r="D4594" s="53" t="n">
        <v>1</v>
      </c>
      <c r="E4594" s="65" t="str">
        <f aca="false">IF($H4594="","",生产加工!$B100)</f>
        <v/>
      </c>
      <c r="F4594" s="55" t="str">
        <f aca="false">IF($H4594="","",生产加工!$C100)</f>
        <v/>
      </c>
      <c r="G4594" s="48" t="str">
        <f aca="false">IF($H4594="","",生产加工!$N100)</f>
        <v/>
      </c>
      <c r="H4594" s="10" t="str">
        <f aca="false">IF($L4594="","",IF($L4594="@对方",生产加工!$K100,IF($L4594="@存货",生产加工!$Q100,$L4594)))</f>
        <v/>
      </c>
      <c r="I4594" s="42" t="n">
        <f aca="false">IF($M4594="借",$O4594,0)</f>
        <v>0</v>
      </c>
      <c r="J4594" s="42" t="n">
        <f aca="false">IF($M4594="贷",$O4594,0)</f>
        <v>0</v>
      </c>
      <c r="K4594" s="48"/>
      <c r="L4594" s="66" t="str">
        <f aca="false">IF(生产加工!$E100="","",IFERROR(INDEX(记账规则!$A$36:$H$38,MATCH(生产加工!$E100,记账规则!$A$36:$A$38,0),3),""))</f>
        <v/>
      </c>
      <c r="M4594" s="66" t="str">
        <f aca="false">IF($L4594="","",IFERROR(INDEX(记账规则!$A$36:$H$38,MATCH(生产加工!$E100,记账规则!$A$36:$A$38,0),4),""))</f>
        <v/>
      </c>
      <c r="N4594" s="66" t="str">
        <f aca="false">IF($L4594="","",IFERROR(INDEX(记账规则!$A$36:$H$38,MATCH(生产加工!$E100,记账规则!$A$36:$A$38,0),5),""))</f>
        <v/>
      </c>
      <c r="O4594" s="67" t="n">
        <f aca="false">IF($H4594="",0,ROUND(IF($N4594="记账金额",N(生产加工!$U100),0),2))</f>
        <v>0</v>
      </c>
      <c r="P4594" s="64" t="str">
        <f aca="false">IF(AND($H4594&lt;&gt;"",ROUND($O4594,2)&lt;&gt;0),"有","")</f>
        <v/>
      </c>
    </row>
    <row r="4595" customFormat="false" ht="15" hidden="true" customHeight="false" outlineLevel="0" collapsed="false">
      <c r="A4595" s="53" t="str">
        <f aca="false">IF($H4595="","",ROW()-5)</f>
        <v/>
      </c>
      <c r="B4595" s="64" t="s">
        <v>38</v>
      </c>
      <c r="C4595" s="53" t="n">
        <v>100</v>
      </c>
      <c r="D4595" s="53" t="n">
        <v>2</v>
      </c>
      <c r="E4595" s="65" t="str">
        <f aca="false">IF($H4595="","",生产加工!$B100)</f>
        <v/>
      </c>
      <c r="F4595" s="55" t="str">
        <f aca="false">IF($H4595="","",生产加工!$C100)</f>
        <v/>
      </c>
      <c r="G4595" s="48" t="str">
        <f aca="false">IF($H4595="","",生产加工!$N100)</f>
        <v/>
      </c>
      <c r="H4595" s="10" t="str">
        <f aca="false">IF($L4595="","",IF($L4595="@对方",生产加工!$K100,IF($L4595="@存货",生产加工!$Q100,$L4595)))</f>
        <v/>
      </c>
      <c r="I4595" s="42" t="n">
        <f aca="false">IF($M4595="借",$O4595,0)</f>
        <v>0</v>
      </c>
      <c r="J4595" s="42" t="n">
        <f aca="false">IF($M4595="贷",$O4595,0)</f>
        <v>0</v>
      </c>
      <c r="K4595" s="48"/>
      <c r="L4595" s="66" t="str">
        <f aca="false">IF(生产加工!$E100="","",IFERROR(INDEX(记账规则!$A$36:$H$38,MATCH(生产加工!$E100,记账规则!$A$36:$A$38,0),6),""))</f>
        <v/>
      </c>
      <c r="M4595" s="66" t="str">
        <f aca="false">IF($L4595="","",IFERROR(INDEX(记账规则!$A$36:$H$38,MATCH(生产加工!$E100,记账规则!$A$36:$A$38,0),7),""))</f>
        <v/>
      </c>
      <c r="N4595" s="66" t="str">
        <f aca="false">IF($L4595="","",IFERROR(INDEX(记账规则!$A$36:$H$38,MATCH(生产加工!$E100,记账规则!$A$36:$A$38,0),8),""))</f>
        <v/>
      </c>
      <c r="O4595" s="67" t="n">
        <f aca="false">IF($H4595="",0,ROUND(IF($N4595="记账金额",N(生产加工!$U100),0),2))</f>
        <v>0</v>
      </c>
      <c r="P4595" s="64" t="str">
        <f aca="false">IF(AND($H4595&lt;&gt;"",ROUND($O4595,2)&lt;&gt;0),"有","")</f>
        <v/>
      </c>
    </row>
    <row r="4596" customFormat="false" ht="15" hidden="true" customHeight="false" outlineLevel="0" collapsed="false">
      <c r="A4596" s="53" t="str">
        <f aca="false">IF($H4596="","",ROW()-5)</f>
        <v/>
      </c>
      <c r="B4596" s="64" t="s">
        <v>38</v>
      </c>
      <c r="C4596" s="53" t="n">
        <v>101</v>
      </c>
      <c r="D4596" s="53" t="n">
        <v>1</v>
      </c>
      <c r="E4596" s="65" t="str">
        <f aca="false">IF($H4596="","",生产加工!$B101)</f>
        <v/>
      </c>
      <c r="F4596" s="55" t="str">
        <f aca="false">IF($H4596="","",生产加工!$C101)</f>
        <v/>
      </c>
      <c r="G4596" s="48" t="str">
        <f aca="false">IF($H4596="","",生产加工!$N101)</f>
        <v/>
      </c>
      <c r="H4596" s="10" t="str">
        <f aca="false">IF($L4596="","",IF($L4596="@对方",生产加工!$K101,IF($L4596="@存货",生产加工!$Q101,$L4596)))</f>
        <v/>
      </c>
      <c r="I4596" s="42" t="n">
        <f aca="false">IF($M4596="借",$O4596,0)</f>
        <v>0</v>
      </c>
      <c r="J4596" s="42" t="n">
        <f aca="false">IF($M4596="贷",$O4596,0)</f>
        <v>0</v>
      </c>
      <c r="K4596" s="48"/>
      <c r="L4596" s="66" t="str">
        <f aca="false">IF(生产加工!$E101="","",IFERROR(INDEX(记账规则!$A$36:$H$38,MATCH(生产加工!$E101,记账规则!$A$36:$A$38,0),3),""))</f>
        <v/>
      </c>
      <c r="M4596" s="66" t="str">
        <f aca="false">IF($L4596="","",IFERROR(INDEX(记账规则!$A$36:$H$38,MATCH(生产加工!$E101,记账规则!$A$36:$A$38,0),4),""))</f>
        <v/>
      </c>
      <c r="N4596" s="66" t="str">
        <f aca="false">IF($L4596="","",IFERROR(INDEX(记账规则!$A$36:$H$38,MATCH(生产加工!$E101,记账规则!$A$36:$A$38,0),5),""))</f>
        <v/>
      </c>
      <c r="O4596" s="67" t="n">
        <f aca="false">IF($H4596="",0,ROUND(IF($N4596="记账金额",N(生产加工!$U101),0),2))</f>
        <v>0</v>
      </c>
      <c r="P4596" s="64" t="str">
        <f aca="false">IF(AND($H4596&lt;&gt;"",ROUND($O4596,2)&lt;&gt;0),"有","")</f>
        <v/>
      </c>
    </row>
    <row r="4597" customFormat="false" ht="15" hidden="true" customHeight="false" outlineLevel="0" collapsed="false">
      <c r="A4597" s="53" t="str">
        <f aca="false">IF($H4597="","",ROW()-5)</f>
        <v/>
      </c>
      <c r="B4597" s="64" t="s">
        <v>38</v>
      </c>
      <c r="C4597" s="53" t="n">
        <v>101</v>
      </c>
      <c r="D4597" s="53" t="n">
        <v>2</v>
      </c>
      <c r="E4597" s="65" t="str">
        <f aca="false">IF($H4597="","",生产加工!$B101)</f>
        <v/>
      </c>
      <c r="F4597" s="55" t="str">
        <f aca="false">IF($H4597="","",生产加工!$C101)</f>
        <v/>
      </c>
      <c r="G4597" s="48" t="str">
        <f aca="false">IF($H4597="","",生产加工!$N101)</f>
        <v/>
      </c>
      <c r="H4597" s="10" t="str">
        <f aca="false">IF($L4597="","",IF($L4597="@对方",生产加工!$K101,IF($L4597="@存货",生产加工!$Q101,$L4597)))</f>
        <v/>
      </c>
      <c r="I4597" s="42" t="n">
        <f aca="false">IF($M4597="借",$O4597,0)</f>
        <v>0</v>
      </c>
      <c r="J4597" s="42" t="n">
        <f aca="false">IF($M4597="贷",$O4597,0)</f>
        <v>0</v>
      </c>
      <c r="K4597" s="48"/>
      <c r="L4597" s="66" t="str">
        <f aca="false">IF(生产加工!$E101="","",IFERROR(INDEX(记账规则!$A$36:$H$38,MATCH(生产加工!$E101,记账规则!$A$36:$A$38,0),6),""))</f>
        <v/>
      </c>
      <c r="M4597" s="66" t="str">
        <f aca="false">IF($L4597="","",IFERROR(INDEX(记账规则!$A$36:$H$38,MATCH(生产加工!$E101,记账规则!$A$36:$A$38,0),7),""))</f>
        <v/>
      </c>
      <c r="N4597" s="66" t="str">
        <f aca="false">IF($L4597="","",IFERROR(INDEX(记账规则!$A$36:$H$38,MATCH(生产加工!$E101,记账规则!$A$36:$A$38,0),8),""))</f>
        <v/>
      </c>
      <c r="O4597" s="67" t="n">
        <f aca="false">IF($H4597="",0,ROUND(IF($N4597="记账金额",N(生产加工!$U101),0),2))</f>
        <v>0</v>
      </c>
      <c r="P4597" s="64" t="str">
        <f aca="false">IF(AND($H4597&lt;&gt;"",ROUND($O4597,2)&lt;&gt;0),"有","")</f>
        <v/>
      </c>
    </row>
    <row r="4598" customFormat="false" ht="15" hidden="true" customHeight="false" outlineLevel="0" collapsed="false">
      <c r="A4598" s="53" t="str">
        <f aca="false">IF($H4598="","",ROW()-5)</f>
        <v/>
      </c>
      <c r="B4598" s="64" t="s">
        <v>38</v>
      </c>
      <c r="C4598" s="53" t="n">
        <v>102</v>
      </c>
      <c r="D4598" s="53" t="n">
        <v>1</v>
      </c>
      <c r="E4598" s="65" t="str">
        <f aca="false">IF($H4598="","",生产加工!$B102)</f>
        <v/>
      </c>
      <c r="F4598" s="55" t="str">
        <f aca="false">IF($H4598="","",生产加工!$C102)</f>
        <v/>
      </c>
      <c r="G4598" s="48" t="str">
        <f aca="false">IF($H4598="","",生产加工!$N102)</f>
        <v/>
      </c>
      <c r="H4598" s="10" t="str">
        <f aca="false">IF($L4598="","",IF($L4598="@对方",生产加工!$K102,IF($L4598="@存货",生产加工!$Q102,$L4598)))</f>
        <v/>
      </c>
      <c r="I4598" s="42" t="n">
        <f aca="false">IF($M4598="借",$O4598,0)</f>
        <v>0</v>
      </c>
      <c r="J4598" s="42" t="n">
        <f aca="false">IF($M4598="贷",$O4598,0)</f>
        <v>0</v>
      </c>
      <c r="K4598" s="48"/>
      <c r="L4598" s="66" t="str">
        <f aca="false">IF(生产加工!$E102="","",IFERROR(INDEX(记账规则!$A$36:$H$38,MATCH(生产加工!$E102,记账规则!$A$36:$A$38,0),3),""))</f>
        <v/>
      </c>
      <c r="M4598" s="66" t="str">
        <f aca="false">IF($L4598="","",IFERROR(INDEX(记账规则!$A$36:$H$38,MATCH(生产加工!$E102,记账规则!$A$36:$A$38,0),4),""))</f>
        <v/>
      </c>
      <c r="N4598" s="66" t="str">
        <f aca="false">IF($L4598="","",IFERROR(INDEX(记账规则!$A$36:$H$38,MATCH(生产加工!$E102,记账规则!$A$36:$A$38,0),5),""))</f>
        <v/>
      </c>
      <c r="O4598" s="67" t="n">
        <f aca="false">IF($H4598="",0,ROUND(IF($N4598="记账金额",N(生产加工!$U102),0),2))</f>
        <v>0</v>
      </c>
      <c r="P4598" s="64" t="str">
        <f aca="false">IF(AND($H4598&lt;&gt;"",ROUND($O4598,2)&lt;&gt;0),"有","")</f>
        <v/>
      </c>
    </row>
    <row r="4599" customFormat="false" ht="15" hidden="true" customHeight="false" outlineLevel="0" collapsed="false">
      <c r="A4599" s="53" t="str">
        <f aca="false">IF($H4599="","",ROW()-5)</f>
        <v/>
      </c>
      <c r="B4599" s="64" t="s">
        <v>38</v>
      </c>
      <c r="C4599" s="53" t="n">
        <v>102</v>
      </c>
      <c r="D4599" s="53" t="n">
        <v>2</v>
      </c>
      <c r="E4599" s="65" t="str">
        <f aca="false">IF($H4599="","",生产加工!$B102)</f>
        <v/>
      </c>
      <c r="F4599" s="55" t="str">
        <f aca="false">IF($H4599="","",生产加工!$C102)</f>
        <v/>
      </c>
      <c r="G4599" s="48" t="str">
        <f aca="false">IF($H4599="","",生产加工!$N102)</f>
        <v/>
      </c>
      <c r="H4599" s="10" t="str">
        <f aca="false">IF($L4599="","",IF($L4599="@对方",生产加工!$K102,IF($L4599="@存货",生产加工!$Q102,$L4599)))</f>
        <v/>
      </c>
      <c r="I4599" s="42" t="n">
        <f aca="false">IF($M4599="借",$O4599,0)</f>
        <v>0</v>
      </c>
      <c r="J4599" s="42" t="n">
        <f aca="false">IF($M4599="贷",$O4599,0)</f>
        <v>0</v>
      </c>
      <c r="K4599" s="48"/>
      <c r="L4599" s="66" t="str">
        <f aca="false">IF(生产加工!$E102="","",IFERROR(INDEX(记账规则!$A$36:$H$38,MATCH(生产加工!$E102,记账规则!$A$36:$A$38,0),6),""))</f>
        <v/>
      </c>
      <c r="M4599" s="66" t="str">
        <f aca="false">IF($L4599="","",IFERROR(INDEX(记账规则!$A$36:$H$38,MATCH(生产加工!$E102,记账规则!$A$36:$A$38,0),7),""))</f>
        <v/>
      </c>
      <c r="N4599" s="66" t="str">
        <f aca="false">IF($L4599="","",IFERROR(INDEX(记账规则!$A$36:$H$38,MATCH(生产加工!$E102,记账规则!$A$36:$A$38,0),8),""))</f>
        <v/>
      </c>
      <c r="O4599" s="67" t="n">
        <f aca="false">IF($H4599="",0,ROUND(IF($N4599="记账金额",N(生产加工!$U102),0),2))</f>
        <v>0</v>
      </c>
      <c r="P4599" s="64" t="str">
        <f aca="false">IF(AND($H4599&lt;&gt;"",ROUND($O4599,2)&lt;&gt;0),"有","")</f>
        <v/>
      </c>
    </row>
    <row r="4600" customFormat="false" ht="15" hidden="true" customHeight="false" outlineLevel="0" collapsed="false">
      <c r="A4600" s="53" t="str">
        <f aca="false">IF($H4600="","",ROW()-5)</f>
        <v/>
      </c>
      <c r="B4600" s="64" t="s">
        <v>38</v>
      </c>
      <c r="C4600" s="53" t="n">
        <v>103</v>
      </c>
      <c r="D4600" s="53" t="n">
        <v>1</v>
      </c>
      <c r="E4600" s="65" t="str">
        <f aca="false">IF($H4600="","",生产加工!$B103)</f>
        <v/>
      </c>
      <c r="F4600" s="55" t="str">
        <f aca="false">IF($H4600="","",生产加工!$C103)</f>
        <v/>
      </c>
      <c r="G4600" s="48" t="str">
        <f aca="false">IF($H4600="","",生产加工!$N103)</f>
        <v/>
      </c>
      <c r="H4600" s="10" t="str">
        <f aca="false">IF($L4600="","",IF($L4600="@对方",生产加工!$K103,IF($L4600="@存货",生产加工!$Q103,$L4600)))</f>
        <v/>
      </c>
      <c r="I4600" s="42" t="n">
        <f aca="false">IF($M4600="借",$O4600,0)</f>
        <v>0</v>
      </c>
      <c r="J4600" s="42" t="n">
        <f aca="false">IF($M4600="贷",$O4600,0)</f>
        <v>0</v>
      </c>
      <c r="K4600" s="48"/>
      <c r="L4600" s="66" t="str">
        <f aca="false">IF(生产加工!$E103="","",IFERROR(INDEX(记账规则!$A$36:$H$38,MATCH(生产加工!$E103,记账规则!$A$36:$A$38,0),3),""))</f>
        <v/>
      </c>
      <c r="M4600" s="66" t="str">
        <f aca="false">IF($L4600="","",IFERROR(INDEX(记账规则!$A$36:$H$38,MATCH(生产加工!$E103,记账规则!$A$36:$A$38,0),4),""))</f>
        <v/>
      </c>
      <c r="N4600" s="66" t="str">
        <f aca="false">IF($L4600="","",IFERROR(INDEX(记账规则!$A$36:$H$38,MATCH(生产加工!$E103,记账规则!$A$36:$A$38,0),5),""))</f>
        <v/>
      </c>
      <c r="O4600" s="67" t="n">
        <f aca="false">IF($H4600="",0,ROUND(IF($N4600="记账金额",N(生产加工!$U103),0),2))</f>
        <v>0</v>
      </c>
      <c r="P4600" s="64" t="str">
        <f aca="false">IF(AND($H4600&lt;&gt;"",ROUND($O4600,2)&lt;&gt;0),"有","")</f>
        <v/>
      </c>
    </row>
    <row r="4601" customFormat="false" ht="15" hidden="true" customHeight="false" outlineLevel="0" collapsed="false">
      <c r="A4601" s="53" t="str">
        <f aca="false">IF($H4601="","",ROW()-5)</f>
        <v/>
      </c>
      <c r="B4601" s="64" t="s">
        <v>38</v>
      </c>
      <c r="C4601" s="53" t="n">
        <v>103</v>
      </c>
      <c r="D4601" s="53" t="n">
        <v>2</v>
      </c>
      <c r="E4601" s="65" t="str">
        <f aca="false">IF($H4601="","",生产加工!$B103)</f>
        <v/>
      </c>
      <c r="F4601" s="55" t="str">
        <f aca="false">IF($H4601="","",生产加工!$C103)</f>
        <v/>
      </c>
      <c r="G4601" s="48" t="str">
        <f aca="false">IF($H4601="","",生产加工!$N103)</f>
        <v/>
      </c>
      <c r="H4601" s="10" t="str">
        <f aca="false">IF($L4601="","",IF($L4601="@对方",生产加工!$K103,IF($L4601="@存货",生产加工!$Q103,$L4601)))</f>
        <v/>
      </c>
      <c r="I4601" s="42" t="n">
        <f aca="false">IF($M4601="借",$O4601,0)</f>
        <v>0</v>
      </c>
      <c r="J4601" s="42" t="n">
        <f aca="false">IF($M4601="贷",$O4601,0)</f>
        <v>0</v>
      </c>
      <c r="K4601" s="48"/>
      <c r="L4601" s="66" t="str">
        <f aca="false">IF(生产加工!$E103="","",IFERROR(INDEX(记账规则!$A$36:$H$38,MATCH(生产加工!$E103,记账规则!$A$36:$A$38,0),6),""))</f>
        <v/>
      </c>
      <c r="M4601" s="66" t="str">
        <f aca="false">IF($L4601="","",IFERROR(INDEX(记账规则!$A$36:$H$38,MATCH(生产加工!$E103,记账规则!$A$36:$A$38,0),7),""))</f>
        <v/>
      </c>
      <c r="N4601" s="66" t="str">
        <f aca="false">IF($L4601="","",IFERROR(INDEX(记账规则!$A$36:$H$38,MATCH(生产加工!$E103,记账规则!$A$36:$A$38,0),8),""))</f>
        <v/>
      </c>
      <c r="O4601" s="67" t="n">
        <f aca="false">IF($H4601="",0,ROUND(IF($N4601="记账金额",N(生产加工!$U103),0),2))</f>
        <v>0</v>
      </c>
      <c r="P4601" s="64" t="str">
        <f aca="false">IF(AND($H4601&lt;&gt;"",ROUND($O4601,2)&lt;&gt;0),"有","")</f>
        <v/>
      </c>
    </row>
    <row r="4602" customFormat="false" ht="15" hidden="true" customHeight="false" outlineLevel="0" collapsed="false">
      <c r="A4602" s="53" t="str">
        <f aca="false">IF($H4602="","",ROW()-5)</f>
        <v/>
      </c>
      <c r="B4602" s="64" t="s">
        <v>38</v>
      </c>
      <c r="C4602" s="53" t="n">
        <v>104</v>
      </c>
      <c r="D4602" s="53" t="n">
        <v>1</v>
      </c>
      <c r="E4602" s="65" t="str">
        <f aca="false">IF($H4602="","",生产加工!$B104)</f>
        <v/>
      </c>
      <c r="F4602" s="55" t="str">
        <f aca="false">IF($H4602="","",生产加工!$C104)</f>
        <v/>
      </c>
      <c r="G4602" s="48" t="str">
        <f aca="false">IF($H4602="","",生产加工!$N104)</f>
        <v/>
      </c>
      <c r="H4602" s="10" t="str">
        <f aca="false">IF($L4602="","",IF($L4602="@对方",生产加工!$K104,IF($L4602="@存货",生产加工!$Q104,$L4602)))</f>
        <v/>
      </c>
      <c r="I4602" s="42" t="n">
        <f aca="false">IF($M4602="借",$O4602,0)</f>
        <v>0</v>
      </c>
      <c r="J4602" s="42" t="n">
        <f aca="false">IF($M4602="贷",$O4602,0)</f>
        <v>0</v>
      </c>
      <c r="K4602" s="48"/>
      <c r="L4602" s="66" t="str">
        <f aca="false">IF(生产加工!$E104="","",IFERROR(INDEX(记账规则!$A$36:$H$38,MATCH(生产加工!$E104,记账规则!$A$36:$A$38,0),3),""))</f>
        <v/>
      </c>
      <c r="M4602" s="66" t="str">
        <f aca="false">IF($L4602="","",IFERROR(INDEX(记账规则!$A$36:$H$38,MATCH(生产加工!$E104,记账规则!$A$36:$A$38,0),4),""))</f>
        <v/>
      </c>
      <c r="N4602" s="66" t="str">
        <f aca="false">IF($L4602="","",IFERROR(INDEX(记账规则!$A$36:$H$38,MATCH(生产加工!$E104,记账规则!$A$36:$A$38,0),5),""))</f>
        <v/>
      </c>
      <c r="O4602" s="67" t="n">
        <f aca="false">IF($H4602="",0,ROUND(IF($N4602="记账金额",N(生产加工!$U104),0),2))</f>
        <v>0</v>
      </c>
      <c r="P4602" s="64" t="str">
        <f aca="false">IF(AND($H4602&lt;&gt;"",ROUND($O4602,2)&lt;&gt;0),"有","")</f>
        <v/>
      </c>
    </row>
    <row r="4603" customFormat="false" ht="15" hidden="true" customHeight="false" outlineLevel="0" collapsed="false">
      <c r="A4603" s="53" t="str">
        <f aca="false">IF($H4603="","",ROW()-5)</f>
        <v/>
      </c>
      <c r="B4603" s="64" t="s">
        <v>38</v>
      </c>
      <c r="C4603" s="53" t="n">
        <v>104</v>
      </c>
      <c r="D4603" s="53" t="n">
        <v>2</v>
      </c>
      <c r="E4603" s="65" t="str">
        <f aca="false">IF($H4603="","",生产加工!$B104)</f>
        <v/>
      </c>
      <c r="F4603" s="55" t="str">
        <f aca="false">IF($H4603="","",生产加工!$C104)</f>
        <v/>
      </c>
      <c r="G4603" s="48" t="str">
        <f aca="false">IF($H4603="","",生产加工!$N104)</f>
        <v/>
      </c>
      <c r="H4603" s="10" t="str">
        <f aca="false">IF($L4603="","",IF($L4603="@对方",生产加工!$K104,IF($L4603="@存货",生产加工!$Q104,$L4603)))</f>
        <v/>
      </c>
      <c r="I4603" s="42" t="n">
        <f aca="false">IF($M4603="借",$O4603,0)</f>
        <v>0</v>
      </c>
      <c r="J4603" s="42" t="n">
        <f aca="false">IF($M4603="贷",$O4603,0)</f>
        <v>0</v>
      </c>
      <c r="K4603" s="48"/>
      <c r="L4603" s="66" t="str">
        <f aca="false">IF(生产加工!$E104="","",IFERROR(INDEX(记账规则!$A$36:$H$38,MATCH(生产加工!$E104,记账规则!$A$36:$A$38,0),6),""))</f>
        <v/>
      </c>
      <c r="M4603" s="66" t="str">
        <f aca="false">IF($L4603="","",IFERROR(INDEX(记账规则!$A$36:$H$38,MATCH(生产加工!$E104,记账规则!$A$36:$A$38,0),7),""))</f>
        <v/>
      </c>
      <c r="N4603" s="66" t="str">
        <f aca="false">IF($L4603="","",IFERROR(INDEX(记账规则!$A$36:$H$38,MATCH(生产加工!$E104,记账规则!$A$36:$A$38,0),8),""))</f>
        <v/>
      </c>
      <c r="O4603" s="67" t="n">
        <f aca="false">IF($H4603="",0,ROUND(IF($N4603="记账金额",N(生产加工!$U104),0),2))</f>
        <v>0</v>
      </c>
      <c r="P4603" s="64" t="str">
        <f aca="false">IF(AND($H4603&lt;&gt;"",ROUND($O4603,2)&lt;&gt;0),"有","")</f>
        <v/>
      </c>
    </row>
    <row r="4604" customFormat="false" ht="15" hidden="true" customHeight="false" outlineLevel="0" collapsed="false">
      <c r="A4604" s="53" t="str">
        <f aca="false">IF($H4604="","",ROW()-5)</f>
        <v/>
      </c>
      <c r="B4604" s="64" t="s">
        <v>38</v>
      </c>
      <c r="C4604" s="53" t="n">
        <v>105</v>
      </c>
      <c r="D4604" s="53" t="n">
        <v>1</v>
      </c>
      <c r="E4604" s="65" t="str">
        <f aca="false">IF($H4604="","",生产加工!$B105)</f>
        <v/>
      </c>
      <c r="F4604" s="55" t="str">
        <f aca="false">IF($H4604="","",生产加工!$C105)</f>
        <v/>
      </c>
      <c r="G4604" s="48" t="str">
        <f aca="false">IF($H4604="","",生产加工!$N105)</f>
        <v/>
      </c>
      <c r="H4604" s="10" t="str">
        <f aca="false">IF($L4604="","",IF($L4604="@对方",生产加工!$K105,IF($L4604="@存货",生产加工!$Q105,$L4604)))</f>
        <v/>
      </c>
      <c r="I4604" s="42" t="n">
        <f aca="false">IF($M4604="借",$O4604,0)</f>
        <v>0</v>
      </c>
      <c r="J4604" s="42" t="n">
        <f aca="false">IF($M4604="贷",$O4604,0)</f>
        <v>0</v>
      </c>
      <c r="K4604" s="48"/>
      <c r="L4604" s="66" t="str">
        <f aca="false">IF(生产加工!$E105="","",IFERROR(INDEX(记账规则!$A$36:$H$38,MATCH(生产加工!$E105,记账规则!$A$36:$A$38,0),3),""))</f>
        <v/>
      </c>
      <c r="M4604" s="66" t="str">
        <f aca="false">IF($L4604="","",IFERROR(INDEX(记账规则!$A$36:$H$38,MATCH(生产加工!$E105,记账规则!$A$36:$A$38,0),4),""))</f>
        <v/>
      </c>
      <c r="N4604" s="66" t="str">
        <f aca="false">IF($L4604="","",IFERROR(INDEX(记账规则!$A$36:$H$38,MATCH(生产加工!$E105,记账规则!$A$36:$A$38,0),5),""))</f>
        <v/>
      </c>
      <c r="O4604" s="67" t="n">
        <f aca="false">IF($H4604="",0,ROUND(IF($N4604="记账金额",N(生产加工!$U105),0),2))</f>
        <v>0</v>
      </c>
      <c r="P4604" s="64" t="str">
        <f aca="false">IF(AND($H4604&lt;&gt;"",ROUND($O4604,2)&lt;&gt;0),"有","")</f>
        <v/>
      </c>
    </row>
    <row r="4605" customFormat="false" ht="15" hidden="true" customHeight="false" outlineLevel="0" collapsed="false">
      <c r="A4605" s="53" t="str">
        <f aca="false">IF($H4605="","",ROW()-5)</f>
        <v/>
      </c>
      <c r="B4605" s="64" t="s">
        <v>38</v>
      </c>
      <c r="C4605" s="53" t="n">
        <v>105</v>
      </c>
      <c r="D4605" s="53" t="n">
        <v>2</v>
      </c>
      <c r="E4605" s="65" t="str">
        <f aca="false">IF($H4605="","",生产加工!$B105)</f>
        <v/>
      </c>
      <c r="F4605" s="55" t="str">
        <f aca="false">IF($H4605="","",生产加工!$C105)</f>
        <v/>
      </c>
      <c r="G4605" s="48" t="str">
        <f aca="false">IF($H4605="","",生产加工!$N105)</f>
        <v/>
      </c>
      <c r="H4605" s="10" t="str">
        <f aca="false">IF($L4605="","",IF($L4605="@对方",生产加工!$K105,IF($L4605="@存货",生产加工!$Q105,$L4605)))</f>
        <v/>
      </c>
      <c r="I4605" s="42" t="n">
        <f aca="false">IF($M4605="借",$O4605,0)</f>
        <v>0</v>
      </c>
      <c r="J4605" s="42" t="n">
        <f aca="false">IF($M4605="贷",$O4605,0)</f>
        <v>0</v>
      </c>
      <c r="K4605" s="48"/>
      <c r="L4605" s="66" t="str">
        <f aca="false">IF(生产加工!$E105="","",IFERROR(INDEX(记账规则!$A$36:$H$38,MATCH(生产加工!$E105,记账规则!$A$36:$A$38,0),6),""))</f>
        <v/>
      </c>
      <c r="M4605" s="66" t="str">
        <f aca="false">IF($L4605="","",IFERROR(INDEX(记账规则!$A$36:$H$38,MATCH(生产加工!$E105,记账规则!$A$36:$A$38,0),7),""))</f>
        <v/>
      </c>
      <c r="N4605" s="66" t="str">
        <f aca="false">IF($L4605="","",IFERROR(INDEX(记账规则!$A$36:$H$38,MATCH(生产加工!$E105,记账规则!$A$36:$A$38,0),8),""))</f>
        <v/>
      </c>
      <c r="O4605" s="67" t="n">
        <f aca="false">IF($H4605="",0,ROUND(IF($N4605="记账金额",N(生产加工!$U105),0),2))</f>
        <v>0</v>
      </c>
      <c r="P4605" s="64" t="str">
        <f aca="false">IF(AND($H4605&lt;&gt;"",ROUND($O4605,2)&lt;&gt;0),"有","")</f>
        <v/>
      </c>
    </row>
    <row r="4606" customFormat="false" ht="15" hidden="true" customHeight="false" outlineLevel="0" collapsed="false">
      <c r="A4606" s="53" t="str">
        <f aca="false">IF($H4606="","",ROW()-5)</f>
        <v/>
      </c>
      <c r="B4606" s="64" t="s">
        <v>38</v>
      </c>
      <c r="C4606" s="53" t="n">
        <v>106</v>
      </c>
      <c r="D4606" s="53" t="n">
        <v>1</v>
      </c>
      <c r="E4606" s="65" t="str">
        <f aca="false">IF($H4606="","",生产加工!$B106)</f>
        <v/>
      </c>
      <c r="F4606" s="55" t="str">
        <f aca="false">IF($H4606="","",生产加工!$C106)</f>
        <v/>
      </c>
      <c r="G4606" s="48" t="str">
        <f aca="false">IF($H4606="","",生产加工!$N106)</f>
        <v/>
      </c>
      <c r="H4606" s="10" t="str">
        <f aca="false">IF($L4606="","",IF($L4606="@对方",生产加工!$K106,IF($L4606="@存货",生产加工!$Q106,$L4606)))</f>
        <v/>
      </c>
      <c r="I4606" s="42" t="n">
        <f aca="false">IF($M4606="借",$O4606,0)</f>
        <v>0</v>
      </c>
      <c r="J4606" s="42" t="n">
        <f aca="false">IF($M4606="贷",$O4606,0)</f>
        <v>0</v>
      </c>
      <c r="K4606" s="48"/>
      <c r="L4606" s="66" t="str">
        <f aca="false">IF(生产加工!$E106="","",IFERROR(INDEX(记账规则!$A$36:$H$38,MATCH(生产加工!$E106,记账规则!$A$36:$A$38,0),3),""))</f>
        <v/>
      </c>
      <c r="M4606" s="66" t="str">
        <f aca="false">IF($L4606="","",IFERROR(INDEX(记账规则!$A$36:$H$38,MATCH(生产加工!$E106,记账规则!$A$36:$A$38,0),4),""))</f>
        <v/>
      </c>
      <c r="N4606" s="66" t="str">
        <f aca="false">IF($L4606="","",IFERROR(INDEX(记账规则!$A$36:$H$38,MATCH(生产加工!$E106,记账规则!$A$36:$A$38,0),5),""))</f>
        <v/>
      </c>
      <c r="O4606" s="67" t="n">
        <f aca="false">IF($H4606="",0,ROUND(IF($N4606="记账金额",N(生产加工!$U106),0),2))</f>
        <v>0</v>
      </c>
      <c r="P4606" s="64" t="str">
        <f aca="false">IF(AND($H4606&lt;&gt;"",ROUND($O4606,2)&lt;&gt;0),"有","")</f>
        <v/>
      </c>
    </row>
    <row r="4607" customFormat="false" ht="15" hidden="true" customHeight="false" outlineLevel="0" collapsed="false">
      <c r="A4607" s="53" t="str">
        <f aca="false">IF($H4607="","",ROW()-5)</f>
        <v/>
      </c>
      <c r="B4607" s="64" t="s">
        <v>38</v>
      </c>
      <c r="C4607" s="53" t="n">
        <v>106</v>
      </c>
      <c r="D4607" s="53" t="n">
        <v>2</v>
      </c>
      <c r="E4607" s="65" t="str">
        <f aca="false">IF($H4607="","",生产加工!$B106)</f>
        <v/>
      </c>
      <c r="F4607" s="55" t="str">
        <f aca="false">IF($H4607="","",生产加工!$C106)</f>
        <v/>
      </c>
      <c r="G4607" s="48" t="str">
        <f aca="false">IF($H4607="","",生产加工!$N106)</f>
        <v/>
      </c>
      <c r="H4607" s="10" t="str">
        <f aca="false">IF($L4607="","",IF($L4607="@对方",生产加工!$K106,IF($L4607="@存货",生产加工!$Q106,$L4607)))</f>
        <v/>
      </c>
      <c r="I4607" s="42" t="n">
        <f aca="false">IF($M4607="借",$O4607,0)</f>
        <v>0</v>
      </c>
      <c r="J4607" s="42" t="n">
        <f aca="false">IF($M4607="贷",$O4607,0)</f>
        <v>0</v>
      </c>
      <c r="K4607" s="48"/>
      <c r="L4607" s="66" t="str">
        <f aca="false">IF(生产加工!$E106="","",IFERROR(INDEX(记账规则!$A$36:$H$38,MATCH(生产加工!$E106,记账规则!$A$36:$A$38,0),6),""))</f>
        <v/>
      </c>
      <c r="M4607" s="66" t="str">
        <f aca="false">IF($L4607="","",IFERROR(INDEX(记账规则!$A$36:$H$38,MATCH(生产加工!$E106,记账规则!$A$36:$A$38,0),7),""))</f>
        <v/>
      </c>
      <c r="N4607" s="66" t="str">
        <f aca="false">IF($L4607="","",IFERROR(INDEX(记账规则!$A$36:$H$38,MATCH(生产加工!$E106,记账规则!$A$36:$A$38,0),8),""))</f>
        <v/>
      </c>
      <c r="O4607" s="67" t="n">
        <f aca="false">IF($H4607="",0,ROUND(IF($N4607="记账金额",N(生产加工!$U106),0),2))</f>
        <v>0</v>
      </c>
      <c r="P4607" s="64" t="str">
        <f aca="false">IF(AND($H4607&lt;&gt;"",ROUND($O4607,2)&lt;&gt;0),"有","")</f>
        <v/>
      </c>
    </row>
    <row r="4608" customFormat="false" ht="15" hidden="true" customHeight="false" outlineLevel="0" collapsed="false">
      <c r="A4608" s="53" t="str">
        <f aca="false">IF($H4608="","",ROW()-5)</f>
        <v/>
      </c>
      <c r="B4608" s="64" t="s">
        <v>38</v>
      </c>
      <c r="C4608" s="53" t="n">
        <v>107</v>
      </c>
      <c r="D4608" s="53" t="n">
        <v>1</v>
      </c>
      <c r="E4608" s="65" t="str">
        <f aca="false">IF($H4608="","",生产加工!$B107)</f>
        <v/>
      </c>
      <c r="F4608" s="55" t="str">
        <f aca="false">IF($H4608="","",生产加工!$C107)</f>
        <v/>
      </c>
      <c r="G4608" s="48" t="str">
        <f aca="false">IF($H4608="","",生产加工!$N107)</f>
        <v/>
      </c>
      <c r="H4608" s="10" t="str">
        <f aca="false">IF($L4608="","",IF($L4608="@对方",生产加工!$K107,IF($L4608="@存货",生产加工!$Q107,$L4608)))</f>
        <v/>
      </c>
      <c r="I4608" s="42" t="n">
        <f aca="false">IF($M4608="借",$O4608,0)</f>
        <v>0</v>
      </c>
      <c r="J4608" s="42" t="n">
        <f aca="false">IF($M4608="贷",$O4608,0)</f>
        <v>0</v>
      </c>
      <c r="K4608" s="48"/>
      <c r="L4608" s="66" t="str">
        <f aca="false">IF(生产加工!$E107="","",IFERROR(INDEX(记账规则!$A$36:$H$38,MATCH(生产加工!$E107,记账规则!$A$36:$A$38,0),3),""))</f>
        <v/>
      </c>
      <c r="M4608" s="66" t="str">
        <f aca="false">IF($L4608="","",IFERROR(INDEX(记账规则!$A$36:$H$38,MATCH(生产加工!$E107,记账规则!$A$36:$A$38,0),4),""))</f>
        <v/>
      </c>
      <c r="N4608" s="66" t="str">
        <f aca="false">IF($L4608="","",IFERROR(INDEX(记账规则!$A$36:$H$38,MATCH(生产加工!$E107,记账规则!$A$36:$A$38,0),5),""))</f>
        <v/>
      </c>
      <c r="O4608" s="67" t="n">
        <f aca="false">IF($H4608="",0,ROUND(IF($N4608="记账金额",N(生产加工!$U107),0),2))</f>
        <v>0</v>
      </c>
      <c r="P4608" s="64" t="str">
        <f aca="false">IF(AND($H4608&lt;&gt;"",ROUND($O4608,2)&lt;&gt;0),"有","")</f>
        <v/>
      </c>
    </row>
    <row r="4609" customFormat="false" ht="15" hidden="true" customHeight="false" outlineLevel="0" collapsed="false">
      <c r="A4609" s="53" t="str">
        <f aca="false">IF($H4609="","",ROW()-5)</f>
        <v/>
      </c>
      <c r="B4609" s="64" t="s">
        <v>38</v>
      </c>
      <c r="C4609" s="53" t="n">
        <v>107</v>
      </c>
      <c r="D4609" s="53" t="n">
        <v>2</v>
      </c>
      <c r="E4609" s="65" t="str">
        <f aca="false">IF($H4609="","",生产加工!$B107)</f>
        <v/>
      </c>
      <c r="F4609" s="55" t="str">
        <f aca="false">IF($H4609="","",生产加工!$C107)</f>
        <v/>
      </c>
      <c r="G4609" s="48" t="str">
        <f aca="false">IF($H4609="","",生产加工!$N107)</f>
        <v/>
      </c>
      <c r="H4609" s="10" t="str">
        <f aca="false">IF($L4609="","",IF($L4609="@对方",生产加工!$K107,IF($L4609="@存货",生产加工!$Q107,$L4609)))</f>
        <v/>
      </c>
      <c r="I4609" s="42" t="n">
        <f aca="false">IF($M4609="借",$O4609,0)</f>
        <v>0</v>
      </c>
      <c r="J4609" s="42" t="n">
        <f aca="false">IF($M4609="贷",$O4609,0)</f>
        <v>0</v>
      </c>
      <c r="K4609" s="48"/>
      <c r="L4609" s="66" t="str">
        <f aca="false">IF(生产加工!$E107="","",IFERROR(INDEX(记账规则!$A$36:$H$38,MATCH(生产加工!$E107,记账规则!$A$36:$A$38,0),6),""))</f>
        <v/>
      </c>
      <c r="M4609" s="66" t="str">
        <f aca="false">IF($L4609="","",IFERROR(INDEX(记账规则!$A$36:$H$38,MATCH(生产加工!$E107,记账规则!$A$36:$A$38,0),7),""))</f>
        <v/>
      </c>
      <c r="N4609" s="66" t="str">
        <f aca="false">IF($L4609="","",IFERROR(INDEX(记账规则!$A$36:$H$38,MATCH(生产加工!$E107,记账规则!$A$36:$A$38,0),8),""))</f>
        <v/>
      </c>
      <c r="O4609" s="67" t="n">
        <f aca="false">IF($H4609="",0,ROUND(IF($N4609="记账金额",N(生产加工!$U107),0),2))</f>
        <v>0</v>
      </c>
      <c r="P4609" s="64" t="str">
        <f aca="false">IF(AND($H4609&lt;&gt;"",ROUND($O4609,2)&lt;&gt;0),"有","")</f>
        <v/>
      </c>
    </row>
    <row r="4610" customFormat="false" ht="15" hidden="true" customHeight="false" outlineLevel="0" collapsed="false">
      <c r="A4610" s="53" t="str">
        <f aca="false">IF($H4610="","",ROW()-5)</f>
        <v/>
      </c>
      <c r="B4610" s="64" t="s">
        <v>38</v>
      </c>
      <c r="C4610" s="53" t="n">
        <v>108</v>
      </c>
      <c r="D4610" s="53" t="n">
        <v>1</v>
      </c>
      <c r="E4610" s="65" t="str">
        <f aca="false">IF($H4610="","",生产加工!$B108)</f>
        <v/>
      </c>
      <c r="F4610" s="55" t="str">
        <f aca="false">IF($H4610="","",生产加工!$C108)</f>
        <v/>
      </c>
      <c r="G4610" s="48" t="str">
        <f aca="false">IF($H4610="","",生产加工!$N108)</f>
        <v/>
      </c>
      <c r="H4610" s="10" t="str">
        <f aca="false">IF($L4610="","",IF($L4610="@对方",生产加工!$K108,IF($L4610="@存货",生产加工!$Q108,$L4610)))</f>
        <v/>
      </c>
      <c r="I4610" s="42" t="n">
        <f aca="false">IF($M4610="借",$O4610,0)</f>
        <v>0</v>
      </c>
      <c r="J4610" s="42" t="n">
        <f aca="false">IF($M4610="贷",$O4610,0)</f>
        <v>0</v>
      </c>
      <c r="K4610" s="48"/>
      <c r="L4610" s="66" t="str">
        <f aca="false">IF(生产加工!$E108="","",IFERROR(INDEX(记账规则!$A$36:$H$38,MATCH(生产加工!$E108,记账规则!$A$36:$A$38,0),3),""))</f>
        <v/>
      </c>
      <c r="M4610" s="66" t="str">
        <f aca="false">IF($L4610="","",IFERROR(INDEX(记账规则!$A$36:$H$38,MATCH(生产加工!$E108,记账规则!$A$36:$A$38,0),4),""))</f>
        <v/>
      </c>
      <c r="N4610" s="66" t="str">
        <f aca="false">IF($L4610="","",IFERROR(INDEX(记账规则!$A$36:$H$38,MATCH(生产加工!$E108,记账规则!$A$36:$A$38,0),5),""))</f>
        <v/>
      </c>
      <c r="O4610" s="67" t="n">
        <f aca="false">IF($H4610="",0,ROUND(IF($N4610="记账金额",N(生产加工!$U108),0),2))</f>
        <v>0</v>
      </c>
      <c r="P4610" s="64" t="str">
        <f aca="false">IF(AND($H4610&lt;&gt;"",ROUND($O4610,2)&lt;&gt;0),"有","")</f>
        <v/>
      </c>
    </row>
    <row r="4611" customFormat="false" ht="15" hidden="true" customHeight="false" outlineLevel="0" collapsed="false">
      <c r="A4611" s="53" t="str">
        <f aca="false">IF($H4611="","",ROW()-5)</f>
        <v/>
      </c>
      <c r="B4611" s="64" t="s">
        <v>38</v>
      </c>
      <c r="C4611" s="53" t="n">
        <v>108</v>
      </c>
      <c r="D4611" s="53" t="n">
        <v>2</v>
      </c>
      <c r="E4611" s="65" t="str">
        <f aca="false">IF($H4611="","",生产加工!$B108)</f>
        <v/>
      </c>
      <c r="F4611" s="55" t="str">
        <f aca="false">IF($H4611="","",生产加工!$C108)</f>
        <v/>
      </c>
      <c r="G4611" s="48" t="str">
        <f aca="false">IF($H4611="","",生产加工!$N108)</f>
        <v/>
      </c>
      <c r="H4611" s="10" t="str">
        <f aca="false">IF($L4611="","",IF($L4611="@对方",生产加工!$K108,IF($L4611="@存货",生产加工!$Q108,$L4611)))</f>
        <v/>
      </c>
      <c r="I4611" s="42" t="n">
        <f aca="false">IF($M4611="借",$O4611,0)</f>
        <v>0</v>
      </c>
      <c r="J4611" s="42" t="n">
        <f aca="false">IF($M4611="贷",$O4611,0)</f>
        <v>0</v>
      </c>
      <c r="K4611" s="48"/>
      <c r="L4611" s="66" t="str">
        <f aca="false">IF(生产加工!$E108="","",IFERROR(INDEX(记账规则!$A$36:$H$38,MATCH(生产加工!$E108,记账规则!$A$36:$A$38,0),6),""))</f>
        <v/>
      </c>
      <c r="M4611" s="66" t="str">
        <f aca="false">IF($L4611="","",IFERROR(INDEX(记账规则!$A$36:$H$38,MATCH(生产加工!$E108,记账规则!$A$36:$A$38,0),7),""))</f>
        <v/>
      </c>
      <c r="N4611" s="66" t="str">
        <f aca="false">IF($L4611="","",IFERROR(INDEX(记账规则!$A$36:$H$38,MATCH(生产加工!$E108,记账规则!$A$36:$A$38,0),8),""))</f>
        <v/>
      </c>
      <c r="O4611" s="67" t="n">
        <f aca="false">IF($H4611="",0,ROUND(IF($N4611="记账金额",N(生产加工!$U108),0),2))</f>
        <v>0</v>
      </c>
      <c r="P4611" s="64" t="str">
        <f aca="false">IF(AND($H4611&lt;&gt;"",ROUND($O4611,2)&lt;&gt;0),"有","")</f>
        <v/>
      </c>
    </row>
    <row r="4612" customFormat="false" ht="15" hidden="true" customHeight="false" outlineLevel="0" collapsed="false">
      <c r="A4612" s="53" t="str">
        <f aca="false">IF($H4612="","",ROW()-5)</f>
        <v/>
      </c>
      <c r="B4612" s="64" t="s">
        <v>38</v>
      </c>
      <c r="C4612" s="53" t="n">
        <v>109</v>
      </c>
      <c r="D4612" s="53" t="n">
        <v>1</v>
      </c>
      <c r="E4612" s="65" t="str">
        <f aca="false">IF($H4612="","",生产加工!$B109)</f>
        <v/>
      </c>
      <c r="F4612" s="55" t="str">
        <f aca="false">IF($H4612="","",生产加工!$C109)</f>
        <v/>
      </c>
      <c r="G4612" s="48" t="str">
        <f aca="false">IF($H4612="","",生产加工!$N109)</f>
        <v/>
      </c>
      <c r="H4612" s="10" t="str">
        <f aca="false">IF($L4612="","",IF($L4612="@对方",生产加工!$K109,IF($L4612="@存货",生产加工!$Q109,$L4612)))</f>
        <v/>
      </c>
      <c r="I4612" s="42" t="n">
        <f aca="false">IF($M4612="借",$O4612,0)</f>
        <v>0</v>
      </c>
      <c r="J4612" s="42" t="n">
        <f aca="false">IF($M4612="贷",$O4612,0)</f>
        <v>0</v>
      </c>
      <c r="K4612" s="48"/>
      <c r="L4612" s="66" t="str">
        <f aca="false">IF(生产加工!$E109="","",IFERROR(INDEX(记账规则!$A$36:$H$38,MATCH(生产加工!$E109,记账规则!$A$36:$A$38,0),3),""))</f>
        <v/>
      </c>
      <c r="M4612" s="66" t="str">
        <f aca="false">IF($L4612="","",IFERROR(INDEX(记账规则!$A$36:$H$38,MATCH(生产加工!$E109,记账规则!$A$36:$A$38,0),4),""))</f>
        <v/>
      </c>
      <c r="N4612" s="66" t="str">
        <f aca="false">IF($L4612="","",IFERROR(INDEX(记账规则!$A$36:$H$38,MATCH(生产加工!$E109,记账规则!$A$36:$A$38,0),5),""))</f>
        <v/>
      </c>
      <c r="O4612" s="67" t="n">
        <f aca="false">IF($H4612="",0,ROUND(IF($N4612="记账金额",N(生产加工!$U109),0),2))</f>
        <v>0</v>
      </c>
      <c r="P4612" s="64" t="str">
        <f aca="false">IF(AND($H4612&lt;&gt;"",ROUND($O4612,2)&lt;&gt;0),"有","")</f>
        <v/>
      </c>
    </row>
    <row r="4613" customFormat="false" ht="15" hidden="true" customHeight="false" outlineLevel="0" collapsed="false">
      <c r="A4613" s="53" t="str">
        <f aca="false">IF($H4613="","",ROW()-5)</f>
        <v/>
      </c>
      <c r="B4613" s="64" t="s">
        <v>38</v>
      </c>
      <c r="C4613" s="53" t="n">
        <v>109</v>
      </c>
      <c r="D4613" s="53" t="n">
        <v>2</v>
      </c>
      <c r="E4613" s="65" t="str">
        <f aca="false">IF($H4613="","",生产加工!$B109)</f>
        <v/>
      </c>
      <c r="F4613" s="55" t="str">
        <f aca="false">IF($H4613="","",生产加工!$C109)</f>
        <v/>
      </c>
      <c r="G4613" s="48" t="str">
        <f aca="false">IF($H4613="","",生产加工!$N109)</f>
        <v/>
      </c>
      <c r="H4613" s="10" t="str">
        <f aca="false">IF($L4613="","",IF($L4613="@对方",生产加工!$K109,IF($L4613="@存货",生产加工!$Q109,$L4613)))</f>
        <v/>
      </c>
      <c r="I4613" s="42" t="n">
        <f aca="false">IF($M4613="借",$O4613,0)</f>
        <v>0</v>
      </c>
      <c r="J4613" s="42" t="n">
        <f aca="false">IF($M4613="贷",$O4613,0)</f>
        <v>0</v>
      </c>
      <c r="K4613" s="48"/>
      <c r="L4613" s="66" t="str">
        <f aca="false">IF(生产加工!$E109="","",IFERROR(INDEX(记账规则!$A$36:$H$38,MATCH(生产加工!$E109,记账规则!$A$36:$A$38,0),6),""))</f>
        <v/>
      </c>
      <c r="M4613" s="66" t="str">
        <f aca="false">IF($L4613="","",IFERROR(INDEX(记账规则!$A$36:$H$38,MATCH(生产加工!$E109,记账规则!$A$36:$A$38,0),7),""))</f>
        <v/>
      </c>
      <c r="N4613" s="66" t="str">
        <f aca="false">IF($L4613="","",IFERROR(INDEX(记账规则!$A$36:$H$38,MATCH(生产加工!$E109,记账规则!$A$36:$A$38,0),8),""))</f>
        <v/>
      </c>
      <c r="O4613" s="67" t="n">
        <f aca="false">IF($H4613="",0,ROUND(IF($N4613="记账金额",N(生产加工!$U109),0),2))</f>
        <v>0</v>
      </c>
      <c r="P4613" s="64" t="str">
        <f aca="false">IF(AND($H4613&lt;&gt;"",ROUND($O4613,2)&lt;&gt;0),"有","")</f>
        <v/>
      </c>
    </row>
    <row r="4614" customFormat="false" ht="15" hidden="true" customHeight="false" outlineLevel="0" collapsed="false">
      <c r="A4614" s="53" t="str">
        <f aca="false">IF($H4614="","",ROW()-5)</f>
        <v/>
      </c>
      <c r="B4614" s="64" t="s">
        <v>38</v>
      </c>
      <c r="C4614" s="53" t="n">
        <v>110</v>
      </c>
      <c r="D4614" s="53" t="n">
        <v>1</v>
      </c>
      <c r="E4614" s="65" t="str">
        <f aca="false">IF($H4614="","",生产加工!$B110)</f>
        <v/>
      </c>
      <c r="F4614" s="55" t="str">
        <f aca="false">IF($H4614="","",生产加工!$C110)</f>
        <v/>
      </c>
      <c r="G4614" s="48" t="str">
        <f aca="false">IF($H4614="","",生产加工!$N110)</f>
        <v/>
      </c>
      <c r="H4614" s="10" t="str">
        <f aca="false">IF($L4614="","",IF($L4614="@对方",生产加工!$K110,IF($L4614="@存货",生产加工!$Q110,$L4614)))</f>
        <v/>
      </c>
      <c r="I4614" s="42" t="n">
        <f aca="false">IF($M4614="借",$O4614,0)</f>
        <v>0</v>
      </c>
      <c r="J4614" s="42" t="n">
        <f aca="false">IF($M4614="贷",$O4614,0)</f>
        <v>0</v>
      </c>
      <c r="K4614" s="48"/>
      <c r="L4614" s="66" t="str">
        <f aca="false">IF(生产加工!$E110="","",IFERROR(INDEX(记账规则!$A$36:$H$38,MATCH(生产加工!$E110,记账规则!$A$36:$A$38,0),3),""))</f>
        <v/>
      </c>
      <c r="M4614" s="66" t="str">
        <f aca="false">IF($L4614="","",IFERROR(INDEX(记账规则!$A$36:$H$38,MATCH(生产加工!$E110,记账规则!$A$36:$A$38,0),4),""))</f>
        <v/>
      </c>
      <c r="N4614" s="66" t="str">
        <f aca="false">IF($L4614="","",IFERROR(INDEX(记账规则!$A$36:$H$38,MATCH(生产加工!$E110,记账规则!$A$36:$A$38,0),5),""))</f>
        <v/>
      </c>
      <c r="O4614" s="67" t="n">
        <f aca="false">IF($H4614="",0,ROUND(IF($N4614="记账金额",N(生产加工!$U110),0),2))</f>
        <v>0</v>
      </c>
      <c r="P4614" s="64" t="str">
        <f aca="false">IF(AND($H4614&lt;&gt;"",ROUND($O4614,2)&lt;&gt;0),"有","")</f>
        <v/>
      </c>
    </row>
    <row r="4615" customFormat="false" ht="15" hidden="true" customHeight="false" outlineLevel="0" collapsed="false">
      <c r="A4615" s="53" t="str">
        <f aca="false">IF($H4615="","",ROW()-5)</f>
        <v/>
      </c>
      <c r="B4615" s="64" t="s">
        <v>38</v>
      </c>
      <c r="C4615" s="53" t="n">
        <v>110</v>
      </c>
      <c r="D4615" s="53" t="n">
        <v>2</v>
      </c>
      <c r="E4615" s="65" t="str">
        <f aca="false">IF($H4615="","",生产加工!$B110)</f>
        <v/>
      </c>
      <c r="F4615" s="55" t="str">
        <f aca="false">IF($H4615="","",生产加工!$C110)</f>
        <v/>
      </c>
      <c r="G4615" s="48" t="str">
        <f aca="false">IF($H4615="","",生产加工!$N110)</f>
        <v/>
      </c>
      <c r="H4615" s="10" t="str">
        <f aca="false">IF($L4615="","",IF($L4615="@对方",生产加工!$K110,IF($L4615="@存货",生产加工!$Q110,$L4615)))</f>
        <v/>
      </c>
      <c r="I4615" s="42" t="n">
        <f aca="false">IF($M4615="借",$O4615,0)</f>
        <v>0</v>
      </c>
      <c r="J4615" s="42" t="n">
        <f aca="false">IF($M4615="贷",$O4615,0)</f>
        <v>0</v>
      </c>
      <c r="K4615" s="48"/>
      <c r="L4615" s="66" t="str">
        <f aca="false">IF(生产加工!$E110="","",IFERROR(INDEX(记账规则!$A$36:$H$38,MATCH(生产加工!$E110,记账规则!$A$36:$A$38,0),6),""))</f>
        <v/>
      </c>
      <c r="M4615" s="66" t="str">
        <f aca="false">IF($L4615="","",IFERROR(INDEX(记账规则!$A$36:$H$38,MATCH(生产加工!$E110,记账规则!$A$36:$A$38,0),7),""))</f>
        <v/>
      </c>
      <c r="N4615" s="66" t="str">
        <f aca="false">IF($L4615="","",IFERROR(INDEX(记账规则!$A$36:$H$38,MATCH(生产加工!$E110,记账规则!$A$36:$A$38,0),8),""))</f>
        <v/>
      </c>
      <c r="O4615" s="67" t="n">
        <f aca="false">IF($H4615="",0,ROUND(IF($N4615="记账金额",N(生产加工!$U110),0),2))</f>
        <v>0</v>
      </c>
      <c r="P4615" s="64" t="str">
        <f aca="false">IF(AND($H4615&lt;&gt;"",ROUND($O4615,2)&lt;&gt;0),"有","")</f>
        <v/>
      </c>
    </row>
    <row r="4616" customFormat="false" ht="15" hidden="true" customHeight="false" outlineLevel="0" collapsed="false">
      <c r="A4616" s="53" t="str">
        <f aca="false">IF($H4616="","",ROW()-5)</f>
        <v/>
      </c>
      <c r="B4616" s="64" t="s">
        <v>38</v>
      </c>
      <c r="C4616" s="53" t="n">
        <v>111</v>
      </c>
      <c r="D4616" s="53" t="n">
        <v>1</v>
      </c>
      <c r="E4616" s="65" t="str">
        <f aca="false">IF($H4616="","",生产加工!$B111)</f>
        <v/>
      </c>
      <c r="F4616" s="55" t="str">
        <f aca="false">IF($H4616="","",生产加工!$C111)</f>
        <v/>
      </c>
      <c r="G4616" s="48" t="str">
        <f aca="false">IF($H4616="","",生产加工!$N111)</f>
        <v/>
      </c>
      <c r="H4616" s="10" t="str">
        <f aca="false">IF($L4616="","",IF($L4616="@对方",生产加工!$K111,IF($L4616="@存货",生产加工!$Q111,$L4616)))</f>
        <v/>
      </c>
      <c r="I4616" s="42" t="n">
        <f aca="false">IF($M4616="借",$O4616,0)</f>
        <v>0</v>
      </c>
      <c r="J4616" s="42" t="n">
        <f aca="false">IF($M4616="贷",$O4616,0)</f>
        <v>0</v>
      </c>
      <c r="K4616" s="48"/>
      <c r="L4616" s="66" t="str">
        <f aca="false">IF(生产加工!$E111="","",IFERROR(INDEX(记账规则!$A$36:$H$38,MATCH(生产加工!$E111,记账规则!$A$36:$A$38,0),3),""))</f>
        <v/>
      </c>
      <c r="M4616" s="66" t="str">
        <f aca="false">IF($L4616="","",IFERROR(INDEX(记账规则!$A$36:$H$38,MATCH(生产加工!$E111,记账规则!$A$36:$A$38,0),4),""))</f>
        <v/>
      </c>
      <c r="N4616" s="66" t="str">
        <f aca="false">IF($L4616="","",IFERROR(INDEX(记账规则!$A$36:$H$38,MATCH(生产加工!$E111,记账规则!$A$36:$A$38,0),5),""))</f>
        <v/>
      </c>
      <c r="O4616" s="67" t="n">
        <f aca="false">IF($H4616="",0,ROUND(IF($N4616="记账金额",N(生产加工!$U111),0),2))</f>
        <v>0</v>
      </c>
      <c r="P4616" s="64" t="str">
        <f aca="false">IF(AND($H4616&lt;&gt;"",ROUND($O4616,2)&lt;&gt;0),"有","")</f>
        <v/>
      </c>
    </row>
    <row r="4617" customFormat="false" ht="15" hidden="true" customHeight="false" outlineLevel="0" collapsed="false">
      <c r="A4617" s="53" t="str">
        <f aca="false">IF($H4617="","",ROW()-5)</f>
        <v/>
      </c>
      <c r="B4617" s="64" t="s">
        <v>38</v>
      </c>
      <c r="C4617" s="53" t="n">
        <v>111</v>
      </c>
      <c r="D4617" s="53" t="n">
        <v>2</v>
      </c>
      <c r="E4617" s="65" t="str">
        <f aca="false">IF($H4617="","",生产加工!$B111)</f>
        <v/>
      </c>
      <c r="F4617" s="55" t="str">
        <f aca="false">IF($H4617="","",生产加工!$C111)</f>
        <v/>
      </c>
      <c r="G4617" s="48" t="str">
        <f aca="false">IF($H4617="","",生产加工!$N111)</f>
        <v/>
      </c>
      <c r="H4617" s="10" t="str">
        <f aca="false">IF($L4617="","",IF($L4617="@对方",生产加工!$K111,IF($L4617="@存货",生产加工!$Q111,$L4617)))</f>
        <v/>
      </c>
      <c r="I4617" s="42" t="n">
        <f aca="false">IF($M4617="借",$O4617,0)</f>
        <v>0</v>
      </c>
      <c r="J4617" s="42" t="n">
        <f aca="false">IF($M4617="贷",$O4617,0)</f>
        <v>0</v>
      </c>
      <c r="K4617" s="48"/>
      <c r="L4617" s="66" t="str">
        <f aca="false">IF(生产加工!$E111="","",IFERROR(INDEX(记账规则!$A$36:$H$38,MATCH(生产加工!$E111,记账规则!$A$36:$A$38,0),6),""))</f>
        <v/>
      </c>
      <c r="M4617" s="66" t="str">
        <f aca="false">IF($L4617="","",IFERROR(INDEX(记账规则!$A$36:$H$38,MATCH(生产加工!$E111,记账规则!$A$36:$A$38,0),7),""))</f>
        <v/>
      </c>
      <c r="N4617" s="66" t="str">
        <f aca="false">IF($L4617="","",IFERROR(INDEX(记账规则!$A$36:$H$38,MATCH(生产加工!$E111,记账规则!$A$36:$A$38,0),8),""))</f>
        <v/>
      </c>
      <c r="O4617" s="67" t="n">
        <f aca="false">IF($H4617="",0,ROUND(IF($N4617="记账金额",N(生产加工!$U111),0),2))</f>
        <v>0</v>
      </c>
      <c r="P4617" s="64" t="str">
        <f aca="false">IF(AND($H4617&lt;&gt;"",ROUND($O4617,2)&lt;&gt;0),"有","")</f>
        <v/>
      </c>
    </row>
    <row r="4618" customFormat="false" ht="15" hidden="true" customHeight="false" outlineLevel="0" collapsed="false">
      <c r="A4618" s="53" t="str">
        <f aca="false">IF($H4618="","",ROW()-5)</f>
        <v/>
      </c>
      <c r="B4618" s="64" t="s">
        <v>38</v>
      </c>
      <c r="C4618" s="53" t="n">
        <v>112</v>
      </c>
      <c r="D4618" s="53" t="n">
        <v>1</v>
      </c>
      <c r="E4618" s="65" t="str">
        <f aca="false">IF($H4618="","",生产加工!$B112)</f>
        <v/>
      </c>
      <c r="F4618" s="55" t="str">
        <f aca="false">IF($H4618="","",生产加工!$C112)</f>
        <v/>
      </c>
      <c r="G4618" s="48" t="str">
        <f aca="false">IF($H4618="","",生产加工!$N112)</f>
        <v/>
      </c>
      <c r="H4618" s="10" t="str">
        <f aca="false">IF($L4618="","",IF($L4618="@对方",生产加工!$K112,IF($L4618="@存货",生产加工!$Q112,$L4618)))</f>
        <v/>
      </c>
      <c r="I4618" s="42" t="n">
        <f aca="false">IF($M4618="借",$O4618,0)</f>
        <v>0</v>
      </c>
      <c r="J4618" s="42" t="n">
        <f aca="false">IF($M4618="贷",$O4618,0)</f>
        <v>0</v>
      </c>
      <c r="K4618" s="48"/>
      <c r="L4618" s="66" t="str">
        <f aca="false">IF(生产加工!$E112="","",IFERROR(INDEX(记账规则!$A$36:$H$38,MATCH(生产加工!$E112,记账规则!$A$36:$A$38,0),3),""))</f>
        <v/>
      </c>
      <c r="M4618" s="66" t="str">
        <f aca="false">IF($L4618="","",IFERROR(INDEX(记账规则!$A$36:$H$38,MATCH(生产加工!$E112,记账规则!$A$36:$A$38,0),4),""))</f>
        <v/>
      </c>
      <c r="N4618" s="66" t="str">
        <f aca="false">IF($L4618="","",IFERROR(INDEX(记账规则!$A$36:$H$38,MATCH(生产加工!$E112,记账规则!$A$36:$A$38,0),5),""))</f>
        <v/>
      </c>
      <c r="O4618" s="67" t="n">
        <f aca="false">IF($H4618="",0,ROUND(IF($N4618="记账金额",N(生产加工!$U112),0),2))</f>
        <v>0</v>
      </c>
      <c r="P4618" s="64" t="str">
        <f aca="false">IF(AND($H4618&lt;&gt;"",ROUND($O4618,2)&lt;&gt;0),"有","")</f>
        <v/>
      </c>
    </row>
    <row r="4619" customFormat="false" ht="15" hidden="true" customHeight="false" outlineLevel="0" collapsed="false">
      <c r="A4619" s="53" t="str">
        <f aca="false">IF($H4619="","",ROW()-5)</f>
        <v/>
      </c>
      <c r="B4619" s="64" t="s">
        <v>38</v>
      </c>
      <c r="C4619" s="53" t="n">
        <v>112</v>
      </c>
      <c r="D4619" s="53" t="n">
        <v>2</v>
      </c>
      <c r="E4619" s="65" t="str">
        <f aca="false">IF($H4619="","",生产加工!$B112)</f>
        <v/>
      </c>
      <c r="F4619" s="55" t="str">
        <f aca="false">IF($H4619="","",生产加工!$C112)</f>
        <v/>
      </c>
      <c r="G4619" s="48" t="str">
        <f aca="false">IF($H4619="","",生产加工!$N112)</f>
        <v/>
      </c>
      <c r="H4619" s="10" t="str">
        <f aca="false">IF($L4619="","",IF($L4619="@对方",生产加工!$K112,IF($L4619="@存货",生产加工!$Q112,$L4619)))</f>
        <v/>
      </c>
      <c r="I4619" s="42" t="n">
        <f aca="false">IF($M4619="借",$O4619,0)</f>
        <v>0</v>
      </c>
      <c r="J4619" s="42" t="n">
        <f aca="false">IF($M4619="贷",$O4619,0)</f>
        <v>0</v>
      </c>
      <c r="K4619" s="48"/>
      <c r="L4619" s="66" t="str">
        <f aca="false">IF(生产加工!$E112="","",IFERROR(INDEX(记账规则!$A$36:$H$38,MATCH(生产加工!$E112,记账规则!$A$36:$A$38,0),6),""))</f>
        <v/>
      </c>
      <c r="M4619" s="66" t="str">
        <f aca="false">IF($L4619="","",IFERROR(INDEX(记账规则!$A$36:$H$38,MATCH(生产加工!$E112,记账规则!$A$36:$A$38,0),7),""))</f>
        <v/>
      </c>
      <c r="N4619" s="66" t="str">
        <f aca="false">IF($L4619="","",IFERROR(INDEX(记账规则!$A$36:$H$38,MATCH(生产加工!$E112,记账规则!$A$36:$A$38,0),8),""))</f>
        <v/>
      </c>
      <c r="O4619" s="67" t="n">
        <f aca="false">IF($H4619="",0,ROUND(IF($N4619="记账金额",N(生产加工!$U112),0),2))</f>
        <v>0</v>
      </c>
      <c r="P4619" s="64" t="str">
        <f aca="false">IF(AND($H4619&lt;&gt;"",ROUND($O4619,2)&lt;&gt;0),"有","")</f>
        <v/>
      </c>
    </row>
    <row r="4620" customFormat="false" ht="15" hidden="true" customHeight="false" outlineLevel="0" collapsed="false">
      <c r="A4620" s="53" t="str">
        <f aca="false">IF($H4620="","",ROW()-5)</f>
        <v/>
      </c>
      <c r="B4620" s="64" t="s">
        <v>38</v>
      </c>
      <c r="C4620" s="53" t="n">
        <v>113</v>
      </c>
      <c r="D4620" s="53" t="n">
        <v>1</v>
      </c>
      <c r="E4620" s="65" t="str">
        <f aca="false">IF($H4620="","",生产加工!$B113)</f>
        <v/>
      </c>
      <c r="F4620" s="55" t="str">
        <f aca="false">IF($H4620="","",生产加工!$C113)</f>
        <v/>
      </c>
      <c r="G4620" s="48" t="str">
        <f aca="false">IF($H4620="","",生产加工!$N113)</f>
        <v/>
      </c>
      <c r="H4620" s="10" t="str">
        <f aca="false">IF($L4620="","",IF($L4620="@对方",生产加工!$K113,IF($L4620="@存货",生产加工!$Q113,$L4620)))</f>
        <v/>
      </c>
      <c r="I4620" s="42" t="n">
        <f aca="false">IF($M4620="借",$O4620,0)</f>
        <v>0</v>
      </c>
      <c r="J4620" s="42" t="n">
        <f aca="false">IF($M4620="贷",$O4620,0)</f>
        <v>0</v>
      </c>
      <c r="K4620" s="48"/>
      <c r="L4620" s="66" t="str">
        <f aca="false">IF(生产加工!$E113="","",IFERROR(INDEX(记账规则!$A$36:$H$38,MATCH(生产加工!$E113,记账规则!$A$36:$A$38,0),3),""))</f>
        <v/>
      </c>
      <c r="M4620" s="66" t="str">
        <f aca="false">IF($L4620="","",IFERROR(INDEX(记账规则!$A$36:$H$38,MATCH(生产加工!$E113,记账规则!$A$36:$A$38,0),4),""))</f>
        <v/>
      </c>
      <c r="N4620" s="66" t="str">
        <f aca="false">IF($L4620="","",IFERROR(INDEX(记账规则!$A$36:$H$38,MATCH(生产加工!$E113,记账规则!$A$36:$A$38,0),5),""))</f>
        <v/>
      </c>
      <c r="O4620" s="67" t="n">
        <f aca="false">IF($H4620="",0,ROUND(IF($N4620="记账金额",N(生产加工!$U113),0),2))</f>
        <v>0</v>
      </c>
      <c r="P4620" s="64" t="str">
        <f aca="false">IF(AND($H4620&lt;&gt;"",ROUND($O4620,2)&lt;&gt;0),"有","")</f>
        <v/>
      </c>
    </row>
    <row r="4621" customFormat="false" ht="15" hidden="true" customHeight="false" outlineLevel="0" collapsed="false">
      <c r="A4621" s="53" t="str">
        <f aca="false">IF($H4621="","",ROW()-5)</f>
        <v/>
      </c>
      <c r="B4621" s="64" t="s">
        <v>38</v>
      </c>
      <c r="C4621" s="53" t="n">
        <v>113</v>
      </c>
      <c r="D4621" s="53" t="n">
        <v>2</v>
      </c>
      <c r="E4621" s="65" t="str">
        <f aca="false">IF($H4621="","",生产加工!$B113)</f>
        <v/>
      </c>
      <c r="F4621" s="55" t="str">
        <f aca="false">IF($H4621="","",生产加工!$C113)</f>
        <v/>
      </c>
      <c r="G4621" s="48" t="str">
        <f aca="false">IF($H4621="","",生产加工!$N113)</f>
        <v/>
      </c>
      <c r="H4621" s="10" t="str">
        <f aca="false">IF($L4621="","",IF($L4621="@对方",生产加工!$K113,IF($L4621="@存货",生产加工!$Q113,$L4621)))</f>
        <v/>
      </c>
      <c r="I4621" s="42" t="n">
        <f aca="false">IF($M4621="借",$O4621,0)</f>
        <v>0</v>
      </c>
      <c r="J4621" s="42" t="n">
        <f aca="false">IF($M4621="贷",$O4621,0)</f>
        <v>0</v>
      </c>
      <c r="K4621" s="48"/>
      <c r="L4621" s="66" t="str">
        <f aca="false">IF(生产加工!$E113="","",IFERROR(INDEX(记账规则!$A$36:$H$38,MATCH(生产加工!$E113,记账规则!$A$36:$A$38,0),6),""))</f>
        <v/>
      </c>
      <c r="M4621" s="66" t="str">
        <f aca="false">IF($L4621="","",IFERROR(INDEX(记账规则!$A$36:$H$38,MATCH(生产加工!$E113,记账规则!$A$36:$A$38,0),7),""))</f>
        <v/>
      </c>
      <c r="N4621" s="66" t="str">
        <f aca="false">IF($L4621="","",IFERROR(INDEX(记账规则!$A$36:$H$38,MATCH(生产加工!$E113,记账规则!$A$36:$A$38,0),8),""))</f>
        <v/>
      </c>
      <c r="O4621" s="67" t="n">
        <f aca="false">IF($H4621="",0,ROUND(IF($N4621="记账金额",N(生产加工!$U113),0),2))</f>
        <v>0</v>
      </c>
      <c r="P4621" s="64" t="str">
        <f aca="false">IF(AND($H4621&lt;&gt;"",ROUND($O4621,2)&lt;&gt;0),"有","")</f>
        <v/>
      </c>
    </row>
    <row r="4622" customFormat="false" ht="15" hidden="true" customHeight="false" outlineLevel="0" collapsed="false">
      <c r="A4622" s="53" t="str">
        <f aca="false">IF($H4622="","",ROW()-5)</f>
        <v/>
      </c>
      <c r="B4622" s="64" t="s">
        <v>38</v>
      </c>
      <c r="C4622" s="53" t="n">
        <v>114</v>
      </c>
      <c r="D4622" s="53" t="n">
        <v>1</v>
      </c>
      <c r="E4622" s="65" t="str">
        <f aca="false">IF($H4622="","",生产加工!$B114)</f>
        <v/>
      </c>
      <c r="F4622" s="55" t="str">
        <f aca="false">IF($H4622="","",生产加工!$C114)</f>
        <v/>
      </c>
      <c r="G4622" s="48" t="str">
        <f aca="false">IF($H4622="","",生产加工!$N114)</f>
        <v/>
      </c>
      <c r="H4622" s="10" t="str">
        <f aca="false">IF($L4622="","",IF($L4622="@对方",生产加工!$K114,IF($L4622="@存货",生产加工!$Q114,$L4622)))</f>
        <v/>
      </c>
      <c r="I4622" s="42" t="n">
        <f aca="false">IF($M4622="借",$O4622,0)</f>
        <v>0</v>
      </c>
      <c r="J4622" s="42" t="n">
        <f aca="false">IF($M4622="贷",$O4622,0)</f>
        <v>0</v>
      </c>
      <c r="K4622" s="48"/>
      <c r="L4622" s="66" t="str">
        <f aca="false">IF(生产加工!$E114="","",IFERROR(INDEX(记账规则!$A$36:$H$38,MATCH(生产加工!$E114,记账规则!$A$36:$A$38,0),3),""))</f>
        <v/>
      </c>
      <c r="M4622" s="66" t="str">
        <f aca="false">IF($L4622="","",IFERROR(INDEX(记账规则!$A$36:$H$38,MATCH(生产加工!$E114,记账规则!$A$36:$A$38,0),4),""))</f>
        <v/>
      </c>
      <c r="N4622" s="66" t="str">
        <f aca="false">IF($L4622="","",IFERROR(INDEX(记账规则!$A$36:$H$38,MATCH(生产加工!$E114,记账规则!$A$36:$A$38,0),5),""))</f>
        <v/>
      </c>
      <c r="O4622" s="67" t="n">
        <f aca="false">IF($H4622="",0,ROUND(IF($N4622="记账金额",N(生产加工!$U114),0),2))</f>
        <v>0</v>
      </c>
      <c r="P4622" s="64" t="str">
        <f aca="false">IF(AND($H4622&lt;&gt;"",ROUND($O4622,2)&lt;&gt;0),"有","")</f>
        <v/>
      </c>
    </row>
    <row r="4623" customFormat="false" ht="15" hidden="true" customHeight="false" outlineLevel="0" collapsed="false">
      <c r="A4623" s="53" t="str">
        <f aca="false">IF($H4623="","",ROW()-5)</f>
        <v/>
      </c>
      <c r="B4623" s="64" t="s">
        <v>38</v>
      </c>
      <c r="C4623" s="53" t="n">
        <v>114</v>
      </c>
      <c r="D4623" s="53" t="n">
        <v>2</v>
      </c>
      <c r="E4623" s="65" t="str">
        <f aca="false">IF($H4623="","",生产加工!$B114)</f>
        <v/>
      </c>
      <c r="F4623" s="55" t="str">
        <f aca="false">IF($H4623="","",生产加工!$C114)</f>
        <v/>
      </c>
      <c r="G4623" s="48" t="str">
        <f aca="false">IF($H4623="","",生产加工!$N114)</f>
        <v/>
      </c>
      <c r="H4623" s="10" t="str">
        <f aca="false">IF($L4623="","",IF($L4623="@对方",生产加工!$K114,IF($L4623="@存货",生产加工!$Q114,$L4623)))</f>
        <v/>
      </c>
      <c r="I4623" s="42" t="n">
        <f aca="false">IF($M4623="借",$O4623,0)</f>
        <v>0</v>
      </c>
      <c r="J4623" s="42" t="n">
        <f aca="false">IF($M4623="贷",$O4623,0)</f>
        <v>0</v>
      </c>
      <c r="K4623" s="48"/>
      <c r="L4623" s="66" t="str">
        <f aca="false">IF(生产加工!$E114="","",IFERROR(INDEX(记账规则!$A$36:$H$38,MATCH(生产加工!$E114,记账规则!$A$36:$A$38,0),6),""))</f>
        <v/>
      </c>
      <c r="M4623" s="66" t="str">
        <f aca="false">IF($L4623="","",IFERROR(INDEX(记账规则!$A$36:$H$38,MATCH(生产加工!$E114,记账规则!$A$36:$A$38,0),7),""))</f>
        <v/>
      </c>
      <c r="N4623" s="66" t="str">
        <f aca="false">IF($L4623="","",IFERROR(INDEX(记账规则!$A$36:$H$38,MATCH(生产加工!$E114,记账规则!$A$36:$A$38,0),8),""))</f>
        <v/>
      </c>
      <c r="O4623" s="67" t="n">
        <f aca="false">IF($H4623="",0,ROUND(IF($N4623="记账金额",N(生产加工!$U114),0),2))</f>
        <v>0</v>
      </c>
      <c r="P4623" s="64" t="str">
        <f aca="false">IF(AND($H4623&lt;&gt;"",ROUND($O4623,2)&lt;&gt;0),"有","")</f>
        <v/>
      </c>
    </row>
    <row r="4624" customFormat="false" ht="15" hidden="true" customHeight="false" outlineLevel="0" collapsed="false">
      <c r="A4624" s="53" t="str">
        <f aca="false">IF($H4624="","",ROW()-5)</f>
        <v/>
      </c>
      <c r="B4624" s="64" t="s">
        <v>38</v>
      </c>
      <c r="C4624" s="53" t="n">
        <v>115</v>
      </c>
      <c r="D4624" s="53" t="n">
        <v>1</v>
      </c>
      <c r="E4624" s="65" t="str">
        <f aca="false">IF($H4624="","",生产加工!$B115)</f>
        <v/>
      </c>
      <c r="F4624" s="55" t="str">
        <f aca="false">IF($H4624="","",生产加工!$C115)</f>
        <v/>
      </c>
      <c r="G4624" s="48" t="str">
        <f aca="false">IF($H4624="","",生产加工!$N115)</f>
        <v/>
      </c>
      <c r="H4624" s="10" t="str">
        <f aca="false">IF($L4624="","",IF($L4624="@对方",生产加工!$K115,IF($L4624="@存货",生产加工!$Q115,$L4624)))</f>
        <v/>
      </c>
      <c r="I4624" s="42" t="n">
        <f aca="false">IF($M4624="借",$O4624,0)</f>
        <v>0</v>
      </c>
      <c r="J4624" s="42" t="n">
        <f aca="false">IF($M4624="贷",$O4624,0)</f>
        <v>0</v>
      </c>
      <c r="K4624" s="48"/>
      <c r="L4624" s="66" t="str">
        <f aca="false">IF(生产加工!$E115="","",IFERROR(INDEX(记账规则!$A$36:$H$38,MATCH(生产加工!$E115,记账规则!$A$36:$A$38,0),3),""))</f>
        <v/>
      </c>
      <c r="M4624" s="66" t="str">
        <f aca="false">IF($L4624="","",IFERROR(INDEX(记账规则!$A$36:$H$38,MATCH(生产加工!$E115,记账规则!$A$36:$A$38,0),4),""))</f>
        <v/>
      </c>
      <c r="N4624" s="66" t="str">
        <f aca="false">IF($L4624="","",IFERROR(INDEX(记账规则!$A$36:$H$38,MATCH(生产加工!$E115,记账规则!$A$36:$A$38,0),5),""))</f>
        <v/>
      </c>
      <c r="O4624" s="67" t="n">
        <f aca="false">IF($H4624="",0,ROUND(IF($N4624="记账金额",N(生产加工!$U115),0),2))</f>
        <v>0</v>
      </c>
      <c r="P4624" s="64" t="str">
        <f aca="false">IF(AND($H4624&lt;&gt;"",ROUND($O4624,2)&lt;&gt;0),"有","")</f>
        <v/>
      </c>
    </row>
    <row r="4625" customFormat="false" ht="15" hidden="true" customHeight="false" outlineLevel="0" collapsed="false">
      <c r="A4625" s="53" t="str">
        <f aca="false">IF($H4625="","",ROW()-5)</f>
        <v/>
      </c>
      <c r="B4625" s="64" t="s">
        <v>38</v>
      </c>
      <c r="C4625" s="53" t="n">
        <v>115</v>
      </c>
      <c r="D4625" s="53" t="n">
        <v>2</v>
      </c>
      <c r="E4625" s="65" t="str">
        <f aca="false">IF($H4625="","",生产加工!$B115)</f>
        <v/>
      </c>
      <c r="F4625" s="55" t="str">
        <f aca="false">IF($H4625="","",生产加工!$C115)</f>
        <v/>
      </c>
      <c r="G4625" s="48" t="str">
        <f aca="false">IF($H4625="","",生产加工!$N115)</f>
        <v/>
      </c>
      <c r="H4625" s="10" t="str">
        <f aca="false">IF($L4625="","",IF($L4625="@对方",生产加工!$K115,IF($L4625="@存货",生产加工!$Q115,$L4625)))</f>
        <v/>
      </c>
      <c r="I4625" s="42" t="n">
        <f aca="false">IF($M4625="借",$O4625,0)</f>
        <v>0</v>
      </c>
      <c r="J4625" s="42" t="n">
        <f aca="false">IF($M4625="贷",$O4625,0)</f>
        <v>0</v>
      </c>
      <c r="K4625" s="48"/>
      <c r="L4625" s="66" t="str">
        <f aca="false">IF(生产加工!$E115="","",IFERROR(INDEX(记账规则!$A$36:$H$38,MATCH(生产加工!$E115,记账规则!$A$36:$A$38,0),6),""))</f>
        <v/>
      </c>
      <c r="M4625" s="66" t="str">
        <f aca="false">IF($L4625="","",IFERROR(INDEX(记账规则!$A$36:$H$38,MATCH(生产加工!$E115,记账规则!$A$36:$A$38,0),7),""))</f>
        <v/>
      </c>
      <c r="N4625" s="66" t="str">
        <f aca="false">IF($L4625="","",IFERROR(INDEX(记账规则!$A$36:$H$38,MATCH(生产加工!$E115,记账规则!$A$36:$A$38,0),8),""))</f>
        <v/>
      </c>
      <c r="O4625" s="67" t="n">
        <f aca="false">IF($H4625="",0,ROUND(IF($N4625="记账金额",N(生产加工!$U115),0),2))</f>
        <v>0</v>
      </c>
      <c r="P4625" s="64" t="str">
        <f aca="false">IF(AND($H4625&lt;&gt;"",ROUND($O4625,2)&lt;&gt;0),"有","")</f>
        <v/>
      </c>
    </row>
    <row r="4626" customFormat="false" ht="15" hidden="true" customHeight="false" outlineLevel="0" collapsed="false">
      <c r="A4626" s="53" t="str">
        <f aca="false">IF($H4626="","",ROW()-5)</f>
        <v/>
      </c>
      <c r="B4626" s="64" t="s">
        <v>38</v>
      </c>
      <c r="C4626" s="53" t="n">
        <v>116</v>
      </c>
      <c r="D4626" s="53" t="n">
        <v>1</v>
      </c>
      <c r="E4626" s="65" t="str">
        <f aca="false">IF($H4626="","",生产加工!$B116)</f>
        <v/>
      </c>
      <c r="F4626" s="55" t="str">
        <f aca="false">IF($H4626="","",生产加工!$C116)</f>
        <v/>
      </c>
      <c r="G4626" s="48" t="str">
        <f aca="false">IF($H4626="","",生产加工!$N116)</f>
        <v/>
      </c>
      <c r="H4626" s="10" t="str">
        <f aca="false">IF($L4626="","",IF($L4626="@对方",生产加工!$K116,IF($L4626="@存货",生产加工!$Q116,$L4626)))</f>
        <v/>
      </c>
      <c r="I4626" s="42" t="n">
        <f aca="false">IF($M4626="借",$O4626,0)</f>
        <v>0</v>
      </c>
      <c r="J4626" s="42" t="n">
        <f aca="false">IF($M4626="贷",$O4626,0)</f>
        <v>0</v>
      </c>
      <c r="K4626" s="48"/>
      <c r="L4626" s="66" t="str">
        <f aca="false">IF(生产加工!$E116="","",IFERROR(INDEX(记账规则!$A$36:$H$38,MATCH(生产加工!$E116,记账规则!$A$36:$A$38,0),3),""))</f>
        <v/>
      </c>
      <c r="M4626" s="66" t="str">
        <f aca="false">IF($L4626="","",IFERROR(INDEX(记账规则!$A$36:$H$38,MATCH(生产加工!$E116,记账规则!$A$36:$A$38,0),4),""))</f>
        <v/>
      </c>
      <c r="N4626" s="66" t="str">
        <f aca="false">IF($L4626="","",IFERROR(INDEX(记账规则!$A$36:$H$38,MATCH(生产加工!$E116,记账规则!$A$36:$A$38,0),5),""))</f>
        <v/>
      </c>
      <c r="O4626" s="67" t="n">
        <f aca="false">IF($H4626="",0,ROUND(IF($N4626="记账金额",N(生产加工!$U116),0),2))</f>
        <v>0</v>
      </c>
      <c r="P4626" s="64" t="str">
        <f aca="false">IF(AND($H4626&lt;&gt;"",ROUND($O4626,2)&lt;&gt;0),"有","")</f>
        <v/>
      </c>
    </row>
    <row r="4627" customFormat="false" ht="15" hidden="true" customHeight="false" outlineLevel="0" collapsed="false">
      <c r="A4627" s="53" t="str">
        <f aca="false">IF($H4627="","",ROW()-5)</f>
        <v/>
      </c>
      <c r="B4627" s="64" t="s">
        <v>38</v>
      </c>
      <c r="C4627" s="53" t="n">
        <v>116</v>
      </c>
      <c r="D4627" s="53" t="n">
        <v>2</v>
      </c>
      <c r="E4627" s="65" t="str">
        <f aca="false">IF($H4627="","",生产加工!$B116)</f>
        <v/>
      </c>
      <c r="F4627" s="55" t="str">
        <f aca="false">IF($H4627="","",生产加工!$C116)</f>
        <v/>
      </c>
      <c r="G4627" s="48" t="str">
        <f aca="false">IF($H4627="","",生产加工!$N116)</f>
        <v/>
      </c>
      <c r="H4627" s="10" t="str">
        <f aca="false">IF($L4627="","",IF($L4627="@对方",生产加工!$K116,IF($L4627="@存货",生产加工!$Q116,$L4627)))</f>
        <v/>
      </c>
      <c r="I4627" s="42" t="n">
        <f aca="false">IF($M4627="借",$O4627,0)</f>
        <v>0</v>
      </c>
      <c r="J4627" s="42" t="n">
        <f aca="false">IF($M4627="贷",$O4627,0)</f>
        <v>0</v>
      </c>
      <c r="K4627" s="48"/>
      <c r="L4627" s="66" t="str">
        <f aca="false">IF(生产加工!$E116="","",IFERROR(INDEX(记账规则!$A$36:$H$38,MATCH(生产加工!$E116,记账规则!$A$36:$A$38,0),6),""))</f>
        <v/>
      </c>
      <c r="M4627" s="66" t="str">
        <f aca="false">IF($L4627="","",IFERROR(INDEX(记账规则!$A$36:$H$38,MATCH(生产加工!$E116,记账规则!$A$36:$A$38,0),7),""))</f>
        <v/>
      </c>
      <c r="N4627" s="66" t="str">
        <f aca="false">IF($L4627="","",IFERROR(INDEX(记账规则!$A$36:$H$38,MATCH(生产加工!$E116,记账规则!$A$36:$A$38,0),8),""))</f>
        <v/>
      </c>
      <c r="O4627" s="67" t="n">
        <f aca="false">IF($H4627="",0,ROUND(IF($N4627="记账金额",N(生产加工!$U116),0),2))</f>
        <v>0</v>
      </c>
      <c r="P4627" s="64" t="str">
        <f aca="false">IF(AND($H4627&lt;&gt;"",ROUND($O4627,2)&lt;&gt;0),"有","")</f>
        <v/>
      </c>
    </row>
    <row r="4628" customFormat="false" ht="15" hidden="true" customHeight="false" outlineLevel="0" collapsed="false">
      <c r="A4628" s="53" t="str">
        <f aca="false">IF($H4628="","",ROW()-5)</f>
        <v/>
      </c>
      <c r="B4628" s="64" t="s">
        <v>38</v>
      </c>
      <c r="C4628" s="53" t="n">
        <v>117</v>
      </c>
      <c r="D4628" s="53" t="n">
        <v>1</v>
      </c>
      <c r="E4628" s="65" t="str">
        <f aca="false">IF($H4628="","",生产加工!$B117)</f>
        <v/>
      </c>
      <c r="F4628" s="55" t="str">
        <f aca="false">IF($H4628="","",生产加工!$C117)</f>
        <v/>
      </c>
      <c r="G4628" s="48" t="str">
        <f aca="false">IF($H4628="","",生产加工!$N117)</f>
        <v/>
      </c>
      <c r="H4628" s="10" t="str">
        <f aca="false">IF($L4628="","",IF($L4628="@对方",生产加工!$K117,IF($L4628="@存货",生产加工!$Q117,$L4628)))</f>
        <v/>
      </c>
      <c r="I4628" s="42" t="n">
        <f aca="false">IF($M4628="借",$O4628,0)</f>
        <v>0</v>
      </c>
      <c r="J4628" s="42" t="n">
        <f aca="false">IF($M4628="贷",$O4628,0)</f>
        <v>0</v>
      </c>
      <c r="K4628" s="48"/>
      <c r="L4628" s="66" t="str">
        <f aca="false">IF(生产加工!$E117="","",IFERROR(INDEX(记账规则!$A$36:$H$38,MATCH(生产加工!$E117,记账规则!$A$36:$A$38,0),3),""))</f>
        <v/>
      </c>
      <c r="M4628" s="66" t="str">
        <f aca="false">IF($L4628="","",IFERROR(INDEX(记账规则!$A$36:$H$38,MATCH(生产加工!$E117,记账规则!$A$36:$A$38,0),4),""))</f>
        <v/>
      </c>
      <c r="N4628" s="66" t="str">
        <f aca="false">IF($L4628="","",IFERROR(INDEX(记账规则!$A$36:$H$38,MATCH(生产加工!$E117,记账规则!$A$36:$A$38,0),5),""))</f>
        <v/>
      </c>
      <c r="O4628" s="67" t="n">
        <f aca="false">IF($H4628="",0,ROUND(IF($N4628="记账金额",N(生产加工!$U117),0),2))</f>
        <v>0</v>
      </c>
      <c r="P4628" s="64" t="str">
        <f aca="false">IF(AND($H4628&lt;&gt;"",ROUND($O4628,2)&lt;&gt;0),"有","")</f>
        <v/>
      </c>
    </row>
    <row r="4629" customFormat="false" ht="15" hidden="true" customHeight="false" outlineLevel="0" collapsed="false">
      <c r="A4629" s="53" t="str">
        <f aca="false">IF($H4629="","",ROW()-5)</f>
        <v/>
      </c>
      <c r="B4629" s="64" t="s">
        <v>38</v>
      </c>
      <c r="C4629" s="53" t="n">
        <v>117</v>
      </c>
      <c r="D4629" s="53" t="n">
        <v>2</v>
      </c>
      <c r="E4629" s="65" t="str">
        <f aca="false">IF($H4629="","",生产加工!$B117)</f>
        <v/>
      </c>
      <c r="F4629" s="55" t="str">
        <f aca="false">IF($H4629="","",生产加工!$C117)</f>
        <v/>
      </c>
      <c r="G4629" s="48" t="str">
        <f aca="false">IF($H4629="","",生产加工!$N117)</f>
        <v/>
      </c>
      <c r="H4629" s="10" t="str">
        <f aca="false">IF($L4629="","",IF($L4629="@对方",生产加工!$K117,IF($L4629="@存货",生产加工!$Q117,$L4629)))</f>
        <v/>
      </c>
      <c r="I4629" s="42" t="n">
        <f aca="false">IF($M4629="借",$O4629,0)</f>
        <v>0</v>
      </c>
      <c r="J4629" s="42" t="n">
        <f aca="false">IF($M4629="贷",$O4629,0)</f>
        <v>0</v>
      </c>
      <c r="K4629" s="48"/>
      <c r="L4629" s="66" t="str">
        <f aca="false">IF(生产加工!$E117="","",IFERROR(INDEX(记账规则!$A$36:$H$38,MATCH(生产加工!$E117,记账规则!$A$36:$A$38,0),6),""))</f>
        <v/>
      </c>
      <c r="M4629" s="66" t="str">
        <f aca="false">IF($L4629="","",IFERROR(INDEX(记账规则!$A$36:$H$38,MATCH(生产加工!$E117,记账规则!$A$36:$A$38,0),7),""))</f>
        <v/>
      </c>
      <c r="N4629" s="66" t="str">
        <f aca="false">IF($L4629="","",IFERROR(INDEX(记账规则!$A$36:$H$38,MATCH(生产加工!$E117,记账规则!$A$36:$A$38,0),8),""))</f>
        <v/>
      </c>
      <c r="O4629" s="67" t="n">
        <f aca="false">IF($H4629="",0,ROUND(IF($N4629="记账金额",N(生产加工!$U117),0),2))</f>
        <v>0</v>
      </c>
      <c r="P4629" s="64" t="str">
        <f aca="false">IF(AND($H4629&lt;&gt;"",ROUND($O4629,2)&lt;&gt;0),"有","")</f>
        <v/>
      </c>
    </row>
    <row r="4630" customFormat="false" ht="15" hidden="true" customHeight="false" outlineLevel="0" collapsed="false">
      <c r="A4630" s="53" t="str">
        <f aca="false">IF($H4630="","",ROW()-5)</f>
        <v/>
      </c>
      <c r="B4630" s="64" t="s">
        <v>38</v>
      </c>
      <c r="C4630" s="53" t="n">
        <v>118</v>
      </c>
      <c r="D4630" s="53" t="n">
        <v>1</v>
      </c>
      <c r="E4630" s="65" t="str">
        <f aca="false">IF($H4630="","",生产加工!$B118)</f>
        <v/>
      </c>
      <c r="F4630" s="55" t="str">
        <f aca="false">IF($H4630="","",生产加工!$C118)</f>
        <v/>
      </c>
      <c r="G4630" s="48" t="str">
        <f aca="false">IF($H4630="","",生产加工!$N118)</f>
        <v/>
      </c>
      <c r="H4630" s="10" t="str">
        <f aca="false">IF($L4630="","",IF($L4630="@对方",生产加工!$K118,IF($L4630="@存货",生产加工!$Q118,$L4630)))</f>
        <v/>
      </c>
      <c r="I4630" s="42" t="n">
        <f aca="false">IF($M4630="借",$O4630,0)</f>
        <v>0</v>
      </c>
      <c r="J4630" s="42" t="n">
        <f aca="false">IF($M4630="贷",$O4630,0)</f>
        <v>0</v>
      </c>
      <c r="K4630" s="48"/>
      <c r="L4630" s="66" t="str">
        <f aca="false">IF(生产加工!$E118="","",IFERROR(INDEX(记账规则!$A$36:$H$38,MATCH(生产加工!$E118,记账规则!$A$36:$A$38,0),3),""))</f>
        <v/>
      </c>
      <c r="M4630" s="66" t="str">
        <f aca="false">IF($L4630="","",IFERROR(INDEX(记账规则!$A$36:$H$38,MATCH(生产加工!$E118,记账规则!$A$36:$A$38,0),4),""))</f>
        <v/>
      </c>
      <c r="N4630" s="66" t="str">
        <f aca="false">IF($L4630="","",IFERROR(INDEX(记账规则!$A$36:$H$38,MATCH(生产加工!$E118,记账规则!$A$36:$A$38,0),5),""))</f>
        <v/>
      </c>
      <c r="O4630" s="67" t="n">
        <f aca="false">IF($H4630="",0,ROUND(IF($N4630="记账金额",N(生产加工!$U118),0),2))</f>
        <v>0</v>
      </c>
      <c r="P4630" s="64" t="str">
        <f aca="false">IF(AND($H4630&lt;&gt;"",ROUND($O4630,2)&lt;&gt;0),"有","")</f>
        <v/>
      </c>
    </row>
    <row r="4631" customFormat="false" ht="15" hidden="true" customHeight="false" outlineLevel="0" collapsed="false">
      <c r="A4631" s="53" t="str">
        <f aca="false">IF($H4631="","",ROW()-5)</f>
        <v/>
      </c>
      <c r="B4631" s="64" t="s">
        <v>38</v>
      </c>
      <c r="C4631" s="53" t="n">
        <v>118</v>
      </c>
      <c r="D4631" s="53" t="n">
        <v>2</v>
      </c>
      <c r="E4631" s="65" t="str">
        <f aca="false">IF($H4631="","",生产加工!$B118)</f>
        <v/>
      </c>
      <c r="F4631" s="55" t="str">
        <f aca="false">IF($H4631="","",生产加工!$C118)</f>
        <v/>
      </c>
      <c r="G4631" s="48" t="str">
        <f aca="false">IF($H4631="","",生产加工!$N118)</f>
        <v/>
      </c>
      <c r="H4631" s="10" t="str">
        <f aca="false">IF($L4631="","",IF($L4631="@对方",生产加工!$K118,IF($L4631="@存货",生产加工!$Q118,$L4631)))</f>
        <v/>
      </c>
      <c r="I4631" s="42" t="n">
        <f aca="false">IF($M4631="借",$O4631,0)</f>
        <v>0</v>
      </c>
      <c r="J4631" s="42" t="n">
        <f aca="false">IF($M4631="贷",$O4631,0)</f>
        <v>0</v>
      </c>
      <c r="K4631" s="48"/>
      <c r="L4631" s="66" t="str">
        <f aca="false">IF(生产加工!$E118="","",IFERROR(INDEX(记账规则!$A$36:$H$38,MATCH(生产加工!$E118,记账规则!$A$36:$A$38,0),6),""))</f>
        <v/>
      </c>
      <c r="M4631" s="66" t="str">
        <f aca="false">IF($L4631="","",IFERROR(INDEX(记账规则!$A$36:$H$38,MATCH(生产加工!$E118,记账规则!$A$36:$A$38,0),7),""))</f>
        <v/>
      </c>
      <c r="N4631" s="66" t="str">
        <f aca="false">IF($L4631="","",IFERROR(INDEX(记账规则!$A$36:$H$38,MATCH(生产加工!$E118,记账规则!$A$36:$A$38,0),8),""))</f>
        <v/>
      </c>
      <c r="O4631" s="67" t="n">
        <f aca="false">IF($H4631="",0,ROUND(IF($N4631="记账金额",N(生产加工!$U118),0),2))</f>
        <v>0</v>
      </c>
      <c r="P4631" s="64" t="str">
        <f aca="false">IF(AND($H4631&lt;&gt;"",ROUND($O4631,2)&lt;&gt;0),"有","")</f>
        <v/>
      </c>
    </row>
    <row r="4632" customFormat="false" ht="15" hidden="true" customHeight="false" outlineLevel="0" collapsed="false">
      <c r="A4632" s="53" t="str">
        <f aca="false">IF($H4632="","",ROW()-5)</f>
        <v/>
      </c>
      <c r="B4632" s="64" t="s">
        <v>38</v>
      </c>
      <c r="C4632" s="53" t="n">
        <v>119</v>
      </c>
      <c r="D4632" s="53" t="n">
        <v>1</v>
      </c>
      <c r="E4632" s="65" t="str">
        <f aca="false">IF($H4632="","",生产加工!$B119)</f>
        <v/>
      </c>
      <c r="F4632" s="55" t="str">
        <f aca="false">IF($H4632="","",生产加工!$C119)</f>
        <v/>
      </c>
      <c r="G4632" s="48" t="str">
        <f aca="false">IF($H4632="","",生产加工!$N119)</f>
        <v/>
      </c>
      <c r="H4632" s="10" t="str">
        <f aca="false">IF($L4632="","",IF($L4632="@对方",生产加工!$K119,IF($L4632="@存货",生产加工!$Q119,$L4632)))</f>
        <v/>
      </c>
      <c r="I4632" s="42" t="n">
        <f aca="false">IF($M4632="借",$O4632,0)</f>
        <v>0</v>
      </c>
      <c r="J4632" s="42" t="n">
        <f aca="false">IF($M4632="贷",$O4632,0)</f>
        <v>0</v>
      </c>
      <c r="K4632" s="48"/>
      <c r="L4632" s="66" t="str">
        <f aca="false">IF(生产加工!$E119="","",IFERROR(INDEX(记账规则!$A$36:$H$38,MATCH(生产加工!$E119,记账规则!$A$36:$A$38,0),3),""))</f>
        <v/>
      </c>
      <c r="M4632" s="66" t="str">
        <f aca="false">IF($L4632="","",IFERROR(INDEX(记账规则!$A$36:$H$38,MATCH(生产加工!$E119,记账规则!$A$36:$A$38,0),4),""))</f>
        <v/>
      </c>
      <c r="N4632" s="66" t="str">
        <f aca="false">IF($L4632="","",IFERROR(INDEX(记账规则!$A$36:$H$38,MATCH(生产加工!$E119,记账规则!$A$36:$A$38,0),5),""))</f>
        <v/>
      </c>
      <c r="O4632" s="67" t="n">
        <f aca="false">IF($H4632="",0,ROUND(IF($N4632="记账金额",N(生产加工!$U119),0),2))</f>
        <v>0</v>
      </c>
      <c r="P4632" s="64" t="str">
        <f aca="false">IF(AND($H4632&lt;&gt;"",ROUND($O4632,2)&lt;&gt;0),"有","")</f>
        <v/>
      </c>
    </row>
    <row r="4633" customFormat="false" ht="15" hidden="true" customHeight="false" outlineLevel="0" collapsed="false">
      <c r="A4633" s="53" t="str">
        <f aca="false">IF($H4633="","",ROW()-5)</f>
        <v/>
      </c>
      <c r="B4633" s="64" t="s">
        <v>38</v>
      </c>
      <c r="C4633" s="53" t="n">
        <v>119</v>
      </c>
      <c r="D4633" s="53" t="n">
        <v>2</v>
      </c>
      <c r="E4633" s="65" t="str">
        <f aca="false">IF($H4633="","",生产加工!$B119)</f>
        <v/>
      </c>
      <c r="F4633" s="55" t="str">
        <f aca="false">IF($H4633="","",生产加工!$C119)</f>
        <v/>
      </c>
      <c r="G4633" s="48" t="str">
        <f aca="false">IF($H4633="","",生产加工!$N119)</f>
        <v/>
      </c>
      <c r="H4633" s="10" t="str">
        <f aca="false">IF($L4633="","",IF($L4633="@对方",生产加工!$K119,IF($L4633="@存货",生产加工!$Q119,$L4633)))</f>
        <v/>
      </c>
      <c r="I4633" s="42" t="n">
        <f aca="false">IF($M4633="借",$O4633,0)</f>
        <v>0</v>
      </c>
      <c r="J4633" s="42" t="n">
        <f aca="false">IF($M4633="贷",$O4633,0)</f>
        <v>0</v>
      </c>
      <c r="K4633" s="48"/>
      <c r="L4633" s="66" t="str">
        <f aca="false">IF(生产加工!$E119="","",IFERROR(INDEX(记账规则!$A$36:$H$38,MATCH(生产加工!$E119,记账规则!$A$36:$A$38,0),6),""))</f>
        <v/>
      </c>
      <c r="M4633" s="66" t="str">
        <f aca="false">IF($L4633="","",IFERROR(INDEX(记账规则!$A$36:$H$38,MATCH(生产加工!$E119,记账规则!$A$36:$A$38,0),7),""))</f>
        <v/>
      </c>
      <c r="N4633" s="66" t="str">
        <f aca="false">IF($L4633="","",IFERROR(INDEX(记账规则!$A$36:$H$38,MATCH(生产加工!$E119,记账规则!$A$36:$A$38,0),8),""))</f>
        <v/>
      </c>
      <c r="O4633" s="67" t="n">
        <f aca="false">IF($H4633="",0,ROUND(IF($N4633="记账金额",N(生产加工!$U119),0),2))</f>
        <v>0</v>
      </c>
      <c r="P4633" s="64" t="str">
        <f aca="false">IF(AND($H4633&lt;&gt;"",ROUND($O4633,2)&lt;&gt;0),"有","")</f>
        <v/>
      </c>
    </row>
    <row r="4634" customFormat="false" ht="15" hidden="true" customHeight="false" outlineLevel="0" collapsed="false">
      <c r="A4634" s="53" t="str">
        <f aca="false">IF($H4634="","",ROW()-5)</f>
        <v/>
      </c>
      <c r="B4634" s="64" t="s">
        <v>38</v>
      </c>
      <c r="C4634" s="53" t="n">
        <v>120</v>
      </c>
      <c r="D4634" s="53" t="n">
        <v>1</v>
      </c>
      <c r="E4634" s="65" t="str">
        <f aca="false">IF($H4634="","",生产加工!$B120)</f>
        <v/>
      </c>
      <c r="F4634" s="55" t="str">
        <f aca="false">IF($H4634="","",生产加工!$C120)</f>
        <v/>
      </c>
      <c r="G4634" s="48" t="str">
        <f aca="false">IF($H4634="","",生产加工!$N120)</f>
        <v/>
      </c>
      <c r="H4634" s="10" t="str">
        <f aca="false">IF($L4634="","",IF($L4634="@对方",生产加工!$K120,IF($L4634="@存货",生产加工!$Q120,$L4634)))</f>
        <v/>
      </c>
      <c r="I4634" s="42" t="n">
        <f aca="false">IF($M4634="借",$O4634,0)</f>
        <v>0</v>
      </c>
      <c r="J4634" s="42" t="n">
        <f aca="false">IF($M4634="贷",$O4634,0)</f>
        <v>0</v>
      </c>
      <c r="K4634" s="48"/>
      <c r="L4634" s="66" t="str">
        <f aca="false">IF(生产加工!$E120="","",IFERROR(INDEX(记账规则!$A$36:$H$38,MATCH(生产加工!$E120,记账规则!$A$36:$A$38,0),3),""))</f>
        <v/>
      </c>
      <c r="M4634" s="66" t="str">
        <f aca="false">IF($L4634="","",IFERROR(INDEX(记账规则!$A$36:$H$38,MATCH(生产加工!$E120,记账规则!$A$36:$A$38,0),4),""))</f>
        <v/>
      </c>
      <c r="N4634" s="66" t="str">
        <f aca="false">IF($L4634="","",IFERROR(INDEX(记账规则!$A$36:$H$38,MATCH(生产加工!$E120,记账规则!$A$36:$A$38,0),5),""))</f>
        <v/>
      </c>
      <c r="O4634" s="67" t="n">
        <f aca="false">IF($H4634="",0,ROUND(IF($N4634="记账金额",N(生产加工!$U120),0),2))</f>
        <v>0</v>
      </c>
      <c r="P4634" s="64" t="str">
        <f aca="false">IF(AND($H4634&lt;&gt;"",ROUND($O4634,2)&lt;&gt;0),"有","")</f>
        <v/>
      </c>
    </row>
    <row r="4635" customFormat="false" ht="15" hidden="true" customHeight="false" outlineLevel="0" collapsed="false">
      <c r="A4635" s="53" t="str">
        <f aca="false">IF($H4635="","",ROW()-5)</f>
        <v/>
      </c>
      <c r="B4635" s="64" t="s">
        <v>38</v>
      </c>
      <c r="C4635" s="53" t="n">
        <v>120</v>
      </c>
      <c r="D4635" s="53" t="n">
        <v>2</v>
      </c>
      <c r="E4635" s="65" t="str">
        <f aca="false">IF($H4635="","",生产加工!$B120)</f>
        <v/>
      </c>
      <c r="F4635" s="55" t="str">
        <f aca="false">IF($H4635="","",生产加工!$C120)</f>
        <v/>
      </c>
      <c r="G4635" s="48" t="str">
        <f aca="false">IF($H4635="","",生产加工!$N120)</f>
        <v/>
      </c>
      <c r="H4635" s="10" t="str">
        <f aca="false">IF($L4635="","",IF($L4635="@对方",生产加工!$K120,IF($L4635="@存货",生产加工!$Q120,$L4635)))</f>
        <v/>
      </c>
      <c r="I4635" s="42" t="n">
        <f aca="false">IF($M4635="借",$O4635,0)</f>
        <v>0</v>
      </c>
      <c r="J4635" s="42" t="n">
        <f aca="false">IF($M4635="贷",$O4635,0)</f>
        <v>0</v>
      </c>
      <c r="K4635" s="48"/>
      <c r="L4635" s="66" t="str">
        <f aca="false">IF(生产加工!$E120="","",IFERROR(INDEX(记账规则!$A$36:$H$38,MATCH(生产加工!$E120,记账规则!$A$36:$A$38,0),6),""))</f>
        <v/>
      </c>
      <c r="M4635" s="66" t="str">
        <f aca="false">IF($L4635="","",IFERROR(INDEX(记账规则!$A$36:$H$38,MATCH(生产加工!$E120,记账规则!$A$36:$A$38,0),7),""))</f>
        <v/>
      </c>
      <c r="N4635" s="66" t="str">
        <f aca="false">IF($L4635="","",IFERROR(INDEX(记账规则!$A$36:$H$38,MATCH(生产加工!$E120,记账规则!$A$36:$A$38,0),8),""))</f>
        <v/>
      </c>
      <c r="O4635" s="67" t="n">
        <f aca="false">IF($H4635="",0,ROUND(IF($N4635="记账金额",N(生产加工!$U120),0),2))</f>
        <v>0</v>
      </c>
      <c r="P4635" s="64" t="str">
        <f aca="false">IF(AND($H4635&lt;&gt;"",ROUND($O4635,2)&lt;&gt;0),"有","")</f>
        <v/>
      </c>
    </row>
    <row r="4636" customFormat="false" ht="15" hidden="true" customHeight="false" outlineLevel="0" collapsed="false">
      <c r="A4636" s="53" t="str">
        <f aca="false">IF($H4636="","",ROW()-5)</f>
        <v/>
      </c>
      <c r="B4636" s="64" t="s">
        <v>38</v>
      </c>
      <c r="C4636" s="53" t="n">
        <v>121</v>
      </c>
      <c r="D4636" s="53" t="n">
        <v>1</v>
      </c>
      <c r="E4636" s="65" t="str">
        <f aca="false">IF($H4636="","",生产加工!$B121)</f>
        <v/>
      </c>
      <c r="F4636" s="55" t="str">
        <f aca="false">IF($H4636="","",生产加工!$C121)</f>
        <v/>
      </c>
      <c r="G4636" s="48" t="str">
        <f aca="false">IF($H4636="","",生产加工!$N121)</f>
        <v/>
      </c>
      <c r="H4636" s="10" t="str">
        <f aca="false">IF($L4636="","",IF($L4636="@对方",生产加工!$K121,IF($L4636="@存货",生产加工!$Q121,$L4636)))</f>
        <v/>
      </c>
      <c r="I4636" s="42" t="n">
        <f aca="false">IF($M4636="借",$O4636,0)</f>
        <v>0</v>
      </c>
      <c r="J4636" s="42" t="n">
        <f aca="false">IF($M4636="贷",$O4636,0)</f>
        <v>0</v>
      </c>
      <c r="K4636" s="48"/>
      <c r="L4636" s="66" t="str">
        <f aca="false">IF(生产加工!$E121="","",IFERROR(INDEX(记账规则!$A$36:$H$38,MATCH(生产加工!$E121,记账规则!$A$36:$A$38,0),3),""))</f>
        <v/>
      </c>
      <c r="M4636" s="66" t="str">
        <f aca="false">IF($L4636="","",IFERROR(INDEX(记账规则!$A$36:$H$38,MATCH(生产加工!$E121,记账规则!$A$36:$A$38,0),4),""))</f>
        <v/>
      </c>
      <c r="N4636" s="66" t="str">
        <f aca="false">IF($L4636="","",IFERROR(INDEX(记账规则!$A$36:$H$38,MATCH(生产加工!$E121,记账规则!$A$36:$A$38,0),5),""))</f>
        <v/>
      </c>
      <c r="O4636" s="67" t="n">
        <f aca="false">IF($H4636="",0,ROUND(IF($N4636="记账金额",N(生产加工!$U121),0),2))</f>
        <v>0</v>
      </c>
      <c r="P4636" s="64" t="str">
        <f aca="false">IF(AND($H4636&lt;&gt;"",ROUND($O4636,2)&lt;&gt;0),"有","")</f>
        <v/>
      </c>
    </row>
    <row r="4637" customFormat="false" ht="15" hidden="true" customHeight="false" outlineLevel="0" collapsed="false">
      <c r="A4637" s="53" t="str">
        <f aca="false">IF($H4637="","",ROW()-5)</f>
        <v/>
      </c>
      <c r="B4637" s="64" t="s">
        <v>38</v>
      </c>
      <c r="C4637" s="53" t="n">
        <v>121</v>
      </c>
      <c r="D4637" s="53" t="n">
        <v>2</v>
      </c>
      <c r="E4637" s="65" t="str">
        <f aca="false">IF($H4637="","",生产加工!$B121)</f>
        <v/>
      </c>
      <c r="F4637" s="55" t="str">
        <f aca="false">IF($H4637="","",生产加工!$C121)</f>
        <v/>
      </c>
      <c r="G4637" s="48" t="str">
        <f aca="false">IF($H4637="","",生产加工!$N121)</f>
        <v/>
      </c>
      <c r="H4637" s="10" t="str">
        <f aca="false">IF($L4637="","",IF($L4637="@对方",生产加工!$K121,IF($L4637="@存货",生产加工!$Q121,$L4637)))</f>
        <v/>
      </c>
      <c r="I4637" s="42" t="n">
        <f aca="false">IF($M4637="借",$O4637,0)</f>
        <v>0</v>
      </c>
      <c r="J4637" s="42" t="n">
        <f aca="false">IF($M4637="贷",$O4637,0)</f>
        <v>0</v>
      </c>
      <c r="K4637" s="48"/>
      <c r="L4637" s="66" t="str">
        <f aca="false">IF(生产加工!$E121="","",IFERROR(INDEX(记账规则!$A$36:$H$38,MATCH(生产加工!$E121,记账规则!$A$36:$A$38,0),6),""))</f>
        <v/>
      </c>
      <c r="M4637" s="66" t="str">
        <f aca="false">IF($L4637="","",IFERROR(INDEX(记账规则!$A$36:$H$38,MATCH(生产加工!$E121,记账规则!$A$36:$A$38,0),7),""))</f>
        <v/>
      </c>
      <c r="N4637" s="66" t="str">
        <f aca="false">IF($L4637="","",IFERROR(INDEX(记账规则!$A$36:$H$38,MATCH(生产加工!$E121,记账规则!$A$36:$A$38,0),8),""))</f>
        <v/>
      </c>
      <c r="O4637" s="67" t="n">
        <f aca="false">IF($H4637="",0,ROUND(IF($N4637="记账金额",N(生产加工!$U121),0),2))</f>
        <v>0</v>
      </c>
      <c r="P4637" s="64" t="str">
        <f aca="false">IF(AND($H4637&lt;&gt;"",ROUND($O4637,2)&lt;&gt;0),"有","")</f>
        <v/>
      </c>
    </row>
    <row r="4638" customFormat="false" ht="15" hidden="true" customHeight="false" outlineLevel="0" collapsed="false">
      <c r="A4638" s="53" t="str">
        <f aca="false">IF($H4638="","",ROW()-5)</f>
        <v/>
      </c>
      <c r="B4638" s="64" t="s">
        <v>38</v>
      </c>
      <c r="C4638" s="53" t="n">
        <v>122</v>
      </c>
      <c r="D4638" s="53" t="n">
        <v>1</v>
      </c>
      <c r="E4638" s="65" t="str">
        <f aca="false">IF($H4638="","",生产加工!$B122)</f>
        <v/>
      </c>
      <c r="F4638" s="55" t="str">
        <f aca="false">IF($H4638="","",生产加工!$C122)</f>
        <v/>
      </c>
      <c r="G4638" s="48" t="str">
        <f aca="false">IF($H4638="","",生产加工!$N122)</f>
        <v/>
      </c>
      <c r="H4638" s="10" t="str">
        <f aca="false">IF($L4638="","",IF($L4638="@对方",生产加工!$K122,IF($L4638="@存货",生产加工!$Q122,$L4638)))</f>
        <v/>
      </c>
      <c r="I4638" s="42" t="n">
        <f aca="false">IF($M4638="借",$O4638,0)</f>
        <v>0</v>
      </c>
      <c r="J4638" s="42" t="n">
        <f aca="false">IF($M4638="贷",$O4638,0)</f>
        <v>0</v>
      </c>
      <c r="K4638" s="48"/>
      <c r="L4638" s="66" t="str">
        <f aca="false">IF(生产加工!$E122="","",IFERROR(INDEX(记账规则!$A$36:$H$38,MATCH(生产加工!$E122,记账规则!$A$36:$A$38,0),3),""))</f>
        <v/>
      </c>
      <c r="M4638" s="66" t="str">
        <f aca="false">IF($L4638="","",IFERROR(INDEX(记账规则!$A$36:$H$38,MATCH(生产加工!$E122,记账规则!$A$36:$A$38,0),4),""))</f>
        <v/>
      </c>
      <c r="N4638" s="66" t="str">
        <f aca="false">IF($L4638="","",IFERROR(INDEX(记账规则!$A$36:$H$38,MATCH(生产加工!$E122,记账规则!$A$36:$A$38,0),5),""))</f>
        <v/>
      </c>
      <c r="O4638" s="67" t="n">
        <f aca="false">IF($H4638="",0,ROUND(IF($N4638="记账金额",N(生产加工!$U122),0),2))</f>
        <v>0</v>
      </c>
      <c r="P4638" s="64" t="str">
        <f aca="false">IF(AND($H4638&lt;&gt;"",ROUND($O4638,2)&lt;&gt;0),"有","")</f>
        <v/>
      </c>
    </row>
    <row r="4639" customFormat="false" ht="15" hidden="true" customHeight="false" outlineLevel="0" collapsed="false">
      <c r="A4639" s="53" t="str">
        <f aca="false">IF($H4639="","",ROW()-5)</f>
        <v/>
      </c>
      <c r="B4639" s="64" t="s">
        <v>38</v>
      </c>
      <c r="C4639" s="53" t="n">
        <v>122</v>
      </c>
      <c r="D4639" s="53" t="n">
        <v>2</v>
      </c>
      <c r="E4639" s="65" t="str">
        <f aca="false">IF($H4639="","",生产加工!$B122)</f>
        <v/>
      </c>
      <c r="F4639" s="55" t="str">
        <f aca="false">IF($H4639="","",生产加工!$C122)</f>
        <v/>
      </c>
      <c r="G4639" s="48" t="str">
        <f aca="false">IF($H4639="","",生产加工!$N122)</f>
        <v/>
      </c>
      <c r="H4639" s="10" t="str">
        <f aca="false">IF($L4639="","",IF($L4639="@对方",生产加工!$K122,IF($L4639="@存货",生产加工!$Q122,$L4639)))</f>
        <v/>
      </c>
      <c r="I4639" s="42" t="n">
        <f aca="false">IF($M4639="借",$O4639,0)</f>
        <v>0</v>
      </c>
      <c r="J4639" s="42" t="n">
        <f aca="false">IF($M4639="贷",$O4639,0)</f>
        <v>0</v>
      </c>
      <c r="K4639" s="48"/>
      <c r="L4639" s="66" t="str">
        <f aca="false">IF(生产加工!$E122="","",IFERROR(INDEX(记账规则!$A$36:$H$38,MATCH(生产加工!$E122,记账规则!$A$36:$A$38,0),6),""))</f>
        <v/>
      </c>
      <c r="M4639" s="66" t="str">
        <f aca="false">IF($L4639="","",IFERROR(INDEX(记账规则!$A$36:$H$38,MATCH(生产加工!$E122,记账规则!$A$36:$A$38,0),7),""))</f>
        <v/>
      </c>
      <c r="N4639" s="66" t="str">
        <f aca="false">IF($L4639="","",IFERROR(INDEX(记账规则!$A$36:$H$38,MATCH(生产加工!$E122,记账规则!$A$36:$A$38,0),8),""))</f>
        <v/>
      </c>
      <c r="O4639" s="67" t="n">
        <f aca="false">IF($H4639="",0,ROUND(IF($N4639="记账金额",N(生产加工!$U122),0),2))</f>
        <v>0</v>
      </c>
      <c r="P4639" s="64" t="str">
        <f aca="false">IF(AND($H4639&lt;&gt;"",ROUND($O4639,2)&lt;&gt;0),"有","")</f>
        <v/>
      </c>
    </row>
    <row r="4640" customFormat="false" ht="15" hidden="true" customHeight="false" outlineLevel="0" collapsed="false">
      <c r="A4640" s="53" t="str">
        <f aca="false">IF($H4640="","",ROW()-5)</f>
        <v/>
      </c>
      <c r="B4640" s="64" t="s">
        <v>38</v>
      </c>
      <c r="C4640" s="53" t="n">
        <v>123</v>
      </c>
      <c r="D4640" s="53" t="n">
        <v>1</v>
      </c>
      <c r="E4640" s="65" t="str">
        <f aca="false">IF($H4640="","",生产加工!$B123)</f>
        <v/>
      </c>
      <c r="F4640" s="55" t="str">
        <f aca="false">IF($H4640="","",生产加工!$C123)</f>
        <v/>
      </c>
      <c r="G4640" s="48" t="str">
        <f aca="false">IF($H4640="","",生产加工!$N123)</f>
        <v/>
      </c>
      <c r="H4640" s="10" t="str">
        <f aca="false">IF($L4640="","",IF($L4640="@对方",生产加工!$K123,IF($L4640="@存货",生产加工!$Q123,$L4640)))</f>
        <v/>
      </c>
      <c r="I4640" s="42" t="n">
        <f aca="false">IF($M4640="借",$O4640,0)</f>
        <v>0</v>
      </c>
      <c r="J4640" s="42" t="n">
        <f aca="false">IF($M4640="贷",$O4640,0)</f>
        <v>0</v>
      </c>
      <c r="K4640" s="48"/>
      <c r="L4640" s="66" t="str">
        <f aca="false">IF(生产加工!$E123="","",IFERROR(INDEX(记账规则!$A$36:$H$38,MATCH(生产加工!$E123,记账规则!$A$36:$A$38,0),3),""))</f>
        <v/>
      </c>
      <c r="M4640" s="66" t="str">
        <f aca="false">IF($L4640="","",IFERROR(INDEX(记账规则!$A$36:$H$38,MATCH(生产加工!$E123,记账规则!$A$36:$A$38,0),4),""))</f>
        <v/>
      </c>
      <c r="N4640" s="66" t="str">
        <f aca="false">IF($L4640="","",IFERROR(INDEX(记账规则!$A$36:$H$38,MATCH(生产加工!$E123,记账规则!$A$36:$A$38,0),5),""))</f>
        <v/>
      </c>
      <c r="O4640" s="67" t="n">
        <f aca="false">IF($H4640="",0,ROUND(IF($N4640="记账金额",N(生产加工!$U123),0),2))</f>
        <v>0</v>
      </c>
      <c r="P4640" s="64" t="str">
        <f aca="false">IF(AND($H4640&lt;&gt;"",ROUND($O4640,2)&lt;&gt;0),"有","")</f>
        <v/>
      </c>
    </row>
    <row r="4641" customFormat="false" ht="15" hidden="true" customHeight="false" outlineLevel="0" collapsed="false">
      <c r="A4641" s="53" t="str">
        <f aca="false">IF($H4641="","",ROW()-5)</f>
        <v/>
      </c>
      <c r="B4641" s="64" t="s">
        <v>38</v>
      </c>
      <c r="C4641" s="53" t="n">
        <v>123</v>
      </c>
      <c r="D4641" s="53" t="n">
        <v>2</v>
      </c>
      <c r="E4641" s="65" t="str">
        <f aca="false">IF($H4641="","",生产加工!$B123)</f>
        <v/>
      </c>
      <c r="F4641" s="55" t="str">
        <f aca="false">IF($H4641="","",生产加工!$C123)</f>
        <v/>
      </c>
      <c r="G4641" s="48" t="str">
        <f aca="false">IF($H4641="","",生产加工!$N123)</f>
        <v/>
      </c>
      <c r="H4641" s="10" t="str">
        <f aca="false">IF($L4641="","",IF($L4641="@对方",生产加工!$K123,IF($L4641="@存货",生产加工!$Q123,$L4641)))</f>
        <v/>
      </c>
      <c r="I4641" s="42" t="n">
        <f aca="false">IF($M4641="借",$O4641,0)</f>
        <v>0</v>
      </c>
      <c r="J4641" s="42" t="n">
        <f aca="false">IF($M4641="贷",$O4641,0)</f>
        <v>0</v>
      </c>
      <c r="K4641" s="48"/>
      <c r="L4641" s="66" t="str">
        <f aca="false">IF(生产加工!$E123="","",IFERROR(INDEX(记账规则!$A$36:$H$38,MATCH(生产加工!$E123,记账规则!$A$36:$A$38,0),6),""))</f>
        <v/>
      </c>
      <c r="M4641" s="66" t="str">
        <f aca="false">IF($L4641="","",IFERROR(INDEX(记账规则!$A$36:$H$38,MATCH(生产加工!$E123,记账规则!$A$36:$A$38,0),7),""))</f>
        <v/>
      </c>
      <c r="N4641" s="66" t="str">
        <f aca="false">IF($L4641="","",IFERROR(INDEX(记账规则!$A$36:$H$38,MATCH(生产加工!$E123,记账规则!$A$36:$A$38,0),8),""))</f>
        <v/>
      </c>
      <c r="O4641" s="67" t="n">
        <f aca="false">IF($H4641="",0,ROUND(IF($N4641="记账金额",N(生产加工!$U123),0),2))</f>
        <v>0</v>
      </c>
      <c r="P4641" s="64" t="str">
        <f aca="false">IF(AND($H4641&lt;&gt;"",ROUND($O4641,2)&lt;&gt;0),"有","")</f>
        <v/>
      </c>
    </row>
    <row r="4642" customFormat="false" ht="15" hidden="true" customHeight="false" outlineLevel="0" collapsed="false">
      <c r="A4642" s="53" t="str">
        <f aca="false">IF($H4642="","",ROW()-5)</f>
        <v/>
      </c>
      <c r="B4642" s="64" t="s">
        <v>38</v>
      </c>
      <c r="C4642" s="53" t="n">
        <v>124</v>
      </c>
      <c r="D4642" s="53" t="n">
        <v>1</v>
      </c>
      <c r="E4642" s="65" t="str">
        <f aca="false">IF($H4642="","",生产加工!$B124)</f>
        <v/>
      </c>
      <c r="F4642" s="55" t="str">
        <f aca="false">IF($H4642="","",生产加工!$C124)</f>
        <v/>
      </c>
      <c r="G4642" s="48" t="str">
        <f aca="false">IF($H4642="","",生产加工!$N124)</f>
        <v/>
      </c>
      <c r="H4642" s="10" t="str">
        <f aca="false">IF($L4642="","",IF($L4642="@对方",生产加工!$K124,IF($L4642="@存货",生产加工!$Q124,$L4642)))</f>
        <v/>
      </c>
      <c r="I4642" s="42" t="n">
        <f aca="false">IF($M4642="借",$O4642,0)</f>
        <v>0</v>
      </c>
      <c r="J4642" s="42" t="n">
        <f aca="false">IF($M4642="贷",$O4642,0)</f>
        <v>0</v>
      </c>
      <c r="K4642" s="48"/>
      <c r="L4642" s="66" t="str">
        <f aca="false">IF(生产加工!$E124="","",IFERROR(INDEX(记账规则!$A$36:$H$38,MATCH(生产加工!$E124,记账规则!$A$36:$A$38,0),3),""))</f>
        <v/>
      </c>
      <c r="M4642" s="66" t="str">
        <f aca="false">IF($L4642="","",IFERROR(INDEX(记账规则!$A$36:$H$38,MATCH(生产加工!$E124,记账规则!$A$36:$A$38,0),4),""))</f>
        <v/>
      </c>
      <c r="N4642" s="66" t="str">
        <f aca="false">IF($L4642="","",IFERROR(INDEX(记账规则!$A$36:$H$38,MATCH(生产加工!$E124,记账规则!$A$36:$A$38,0),5),""))</f>
        <v/>
      </c>
      <c r="O4642" s="67" t="n">
        <f aca="false">IF($H4642="",0,ROUND(IF($N4642="记账金额",N(生产加工!$U124),0),2))</f>
        <v>0</v>
      </c>
      <c r="P4642" s="64" t="str">
        <f aca="false">IF(AND($H4642&lt;&gt;"",ROUND($O4642,2)&lt;&gt;0),"有","")</f>
        <v/>
      </c>
    </row>
    <row r="4643" customFormat="false" ht="15" hidden="true" customHeight="false" outlineLevel="0" collapsed="false">
      <c r="A4643" s="53" t="str">
        <f aca="false">IF($H4643="","",ROW()-5)</f>
        <v/>
      </c>
      <c r="B4643" s="64" t="s">
        <v>38</v>
      </c>
      <c r="C4643" s="53" t="n">
        <v>124</v>
      </c>
      <c r="D4643" s="53" t="n">
        <v>2</v>
      </c>
      <c r="E4643" s="65" t="str">
        <f aca="false">IF($H4643="","",生产加工!$B124)</f>
        <v/>
      </c>
      <c r="F4643" s="55" t="str">
        <f aca="false">IF($H4643="","",生产加工!$C124)</f>
        <v/>
      </c>
      <c r="G4643" s="48" t="str">
        <f aca="false">IF($H4643="","",生产加工!$N124)</f>
        <v/>
      </c>
      <c r="H4643" s="10" t="str">
        <f aca="false">IF($L4643="","",IF($L4643="@对方",生产加工!$K124,IF($L4643="@存货",生产加工!$Q124,$L4643)))</f>
        <v/>
      </c>
      <c r="I4643" s="42" t="n">
        <f aca="false">IF($M4643="借",$O4643,0)</f>
        <v>0</v>
      </c>
      <c r="J4643" s="42" t="n">
        <f aca="false">IF($M4643="贷",$O4643,0)</f>
        <v>0</v>
      </c>
      <c r="K4643" s="48"/>
      <c r="L4643" s="66" t="str">
        <f aca="false">IF(生产加工!$E124="","",IFERROR(INDEX(记账规则!$A$36:$H$38,MATCH(生产加工!$E124,记账规则!$A$36:$A$38,0),6),""))</f>
        <v/>
      </c>
      <c r="M4643" s="66" t="str">
        <f aca="false">IF($L4643="","",IFERROR(INDEX(记账规则!$A$36:$H$38,MATCH(生产加工!$E124,记账规则!$A$36:$A$38,0),7),""))</f>
        <v/>
      </c>
      <c r="N4643" s="66" t="str">
        <f aca="false">IF($L4643="","",IFERROR(INDEX(记账规则!$A$36:$H$38,MATCH(生产加工!$E124,记账规则!$A$36:$A$38,0),8),""))</f>
        <v/>
      </c>
      <c r="O4643" s="67" t="n">
        <f aca="false">IF($H4643="",0,ROUND(IF($N4643="记账金额",N(生产加工!$U124),0),2))</f>
        <v>0</v>
      </c>
      <c r="P4643" s="64" t="str">
        <f aca="false">IF(AND($H4643&lt;&gt;"",ROUND($O4643,2)&lt;&gt;0),"有","")</f>
        <v/>
      </c>
    </row>
    <row r="4644" customFormat="false" ht="15" hidden="true" customHeight="false" outlineLevel="0" collapsed="false">
      <c r="A4644" s="53" t="str">
        <f aca="false">IF($H4644="","",ROW()-5)</f>
        <v/>
      </c>
      <c r="B4644" s="64" t="s">
        <v>38</v>
      </c>
      <c r="C4644" s="53" t="n">
        <v>125</v>
      </c>
      <c r="D4644" s="53" t="n">
        <v>1</v>
      </c>
      <c r="E4644" s="65" t="str">
        <f aca="false">IF($H4644="","",生产加工!$B125)</f>
        <v/>
      </c>
      <c r="F4644" s="55" t="str">
        <f aca="false">IF($H4644="","",生产加工!$C125)</f>
        <v/>
      </c>
      <c r="G4644" s="48" t="str">
        <f aca="false">IF($H4644="","",生产加工!$N125)</f>
        <v/>
      </c>
      <c r="H4644" s="10" t="str">
        <f aca="false">IF($L4644="","",IF($L4644="@对方",生产加工!$K125,IF($L4644="@存货",生产加工!$Q125,$L4644)))</f>
        <v/>
      </c>
      <c r="I4644" s="42" t="n">
        <f aca="false">IF($M4644="借",$O4644,0)</f>
        <v>0</v>
      </c>
      <c r="J4644" s="42" t="n">
        <f aca="false">IF($M4644="贷",$O4644,0)</f>
        <v>0</v>
      </c>
      <c r="K4644" s="48"/>
      <c r="L4644" s="66" t="str">
        <f aca="false">IF(生产加工!$E125="","",IFERROR(INDEX(记账规则!$A$36:$H$38,MATCH(生产加工!$E125,记账规则!$A$36:$A$38,0),3),""))</f>
        <v/>
      </c>
      <c r="M4644" s="66" t="str">
        <f aca="false">IF($L4644="","",IFERROR(INDEX(记账规则!$A$36:$H$38,MATCH(生产加工!$E125,记账规则!$A$36:$A$38,0),4),""))</f>
        <v/>
      </c>
      <c r="N4644" s="66" t="str">
        <f aca="false">IF($L4644="","",IFERROR(INDEX(记账规则!$A$36:$H$38,MATCH(生产加工!$E125,记账规则!$A$36:$A$38,0),5),""))</f>
        <v/>
      </c>
      <c r="O4644" s="67" t="n">
        <f aca="false">IF($H4644="",0,ROUND(IF($N4644="记账金额",N(生产加工!$U125),0),2))</f>
        <v>0</v>
      </c>
      <c r="P4644" s="64" t="str">
        <f aca="false">IF(AND($H4644&lt;&gt;"",ROUND($O4644,2)&lt;&gt;0),"有","")</f>
        <v/>
      </c>
    </row>
    <row r="4645" customFormat="false" ht="15" hidden="true" customHeight="false" outlineLevel="0" collapsed="false">
      <c r="A4645" s="53" t="str">
        <f aca="false">IF($H4645="","",ROW()-5)</f>
        <v/>
      </c>
      <c r="B4645" s="64" t="s">
        <v>38</v>
      </c>
      <c r="C4645" s="53" t="n">
        <v>125</v>
      </c>
      <c r="D4645" s="53" t="n">
        <v>2</v>
      </c>
      <c r="E4645" s="65" t="str">
        <f aca="false">IF($H4645="","",生产加工!$B125)</f>
        <v/>
      </c>
      <c r="F4645" s="55" t="str">
        <f aca="false">IF($H4645="","",生产加工!$C125)</f>
        <v/>
      </c>
      <c r="G4645" s="48" t="str">
        <f aca="false">IF($H4645="","",生产加工!$N125)</f>
        <v/>
      </c>
      <c r="H4645" s="10" t="str">
        <f aca="false">IF($L4645="","",IF($L4645="@对方",生产加工!$K125,IF($L4645="@存货",生产加工!$Q125,$L4645)))</f>
        <v/>
      </c>
      <c r="I4645" s="42" t="n">
        <f aca="false">IF($M4645="借",$O4645,0)</f>
        <v>0</v>
      </c>
      <c r="J4645" s="42" t="n">
        <f aca="false">IF($M4645="贷",$O4645,0)</f>
        <v>0</v>
      </c>
      <c r="K4645" s="48"/>
      <c r="L4645" s="66" t="str">
        <f aca="false">IF(生产加工!$E125="","",IFERROR(INDEX(记账规则!$A$36:$H$38,MATCH(生产加工!$E125,记账规则!$A$36:$A$38,0),6),""))</f>
        <v/>
      </c>
      <c r="M4645" s="66" t="str">
        <f aca="false">IF($L4645="","",IFERROR(INDEX(记账规则!$A$36:$H$38,MATCH(生产加工!$E125,记账规则!$A$36:$A$38,0),7),""))</f>
        <v/>
      </c>
      <c r="N4645" s="66" t="str">
        <f aca="false">IF($L4645="","",IFERROR(INDEX(记账规则!$A$36:$H$38,MATCH(生产加工!$E125,记账规则!$A$36:$A$38,0),8),""))</f>
        <v/>
      </c>
      <c r="O4645" s="67" t="n">
        <f aca="false">IF($H4645="",0,ROUND(IF($N4645="记账金额",N(生产加工!$U125),0),2))</f>
        <v>0</v>
      </c>
      <c r="P4645" s="64" t="str">
        <f aca="false">IF(AND($H4645&lt;&gt;"",ROUND($O4645,2)&lt;&gt;0),"有","")</f>
        <v/>
      </c>
    </row>
    <row r="4646" customFormat="false" ht="15" hidden="true" customHeight="false" outlineLevel="0" collapsed="false">
      <c r="A4646" s="53" t="str">
        <f aca="false">IF($H4646="","",ROW()-5)</f>
        <v/>
      </c>
      <c r="B4646" s="64" t="s">
        <v>38</v>
      </c>
      <c r="C4646" s="53" t="n">
        <v>126</v>
      </c>
      <c r="D4646" s="53" t="n">
        <v>1</v>
      </c>
      <c r="E4646" s="65" t="str">
        <f aca="false">IF($H4646="","",生产加工!$B126)</f>
        <v/>
      </c>
      <c r="F4646" s="55" t="str">
        <f aca="false">IF($H4646="","",生产加工!$C126)</f>
        <v/>
      </c>
      <c r="G4646" s="48" t="str">
        <f aca="false">IF($H4646="","",生产加工!$N126)</f>
        <v/>
      </c>
      <c r="H4646" s="10" t="str">
        <f aca="false">IF($L4646="","",IF($L4646="@对方",生产加工!$K126,IF($L4646="@存货",生产加工!$Q126,$L4646)))</f>
        <v/>
      </c>
      <c r="I4646" s="42" t="n">
        <f aca="false">IF($M4646="借",$O4646,0)</f>
        <v>0</v>
      </c>
      <c r="J4646" s="42" t="n">
        <f aca="false">IF($M4646="贷",$O4646,0)</f>
        <v>0</v>
      </c>
      <c r="K4646" s="48"/>
      <c r="L4646" s="66" t="str">
        <f aca="false">IF(生产加工!$E126="","",IFERROR(INDEX(记账规则!$A$36:$H$38,MATCH(生产加工!$E126,记账规则!$A$36:$A$38,0),3),""))</f>
        <v/>
      </c>
      <c r="M4646" s="66" t="str">
        <f aca="false">IF($L4646="","",IFERROR(INDEX(记账规则!$A$36:$H$38,MATCH(生产加工!$E126,记账规则!$A$36:$A$38,0),4),""))</f>
        <v/>
      </c>
      <c r="N4646" s="66" t="str">
        <f aca="false">IF($L4646="","",IFERROR(INDEX(记账规则!$A$36:$H$38,MATCH(生产加工!$E126,记账规则!$A$36:$A$38,0),5),""))</f>
        <v/>
      </c>
      <c r="O4646" s="67" t="n">
        <f aca="false">IF($H4646="",0,ROUND(IF($N4646="记账金额",N(生产加工!$U126),0),2))</f>
        <v>0</v>
      </c>
      <c r="P4646" s="64" t="str">
        <f aca="false">IF(AND($H4646&lt;&gt;"",ROUND($O4646,2)&lt;&gt;0),"有","")</f>
        <v/>
      </c>
    </row>
    <row r="4647" customFormat="false" ht="15" hidden="true" customHeight="false" outlineLevel="0" collapsed="false">
      <c r="A4647" s="53" t="str">
        <f aca="false">IF($H4647="","",ROW()-5)</f>
        <v/>
      </c>
      <c r="B4647" s="64" t="s">
        <v>38</v>
      </c>
      <c r="C4647" s="53" t="n">
        <v>126</v>
      </c>
      <c r="D4647" s="53" t="n">
        <v>2</v>
      </c>
      <c r="E4647" s="65" t="str">
        <f aca="false">IF($H4647="","",生产加工!$B126)</f>
        <v/>
      </c>
      <c r="F4647" s="55" t="str">
        <f aca="false">IF($H4647="","",生产加工!$C126)</f>
        <v/>
      </c>
      <c r="G4647" s="48" t="str">
        <f aca="false">IF($H4647="","",生产加工!$N126)</f>
        <v/>
      </c>
      <c r="H4647" s="10" t="str">
        <f aca="false">IF($L4647="","",IF($L4647="@对方",生产加工!$K126,IF($L4647="@存货",生产加工!$Q126,$L4647)))</f>
        <v/>
      </c>
      <c r="I4647" s="42" t="n">
        <f aca="false">IF($M4647="借",$O4647,0)</f>
        <v>0</v>
      </c>
      <c r="J4647" s="42" t="n">
        <f aca="false">IF($M4647="贷",$O4647,0)</f>
        <v>0</v>
      </c>
      <c r="K4647" s="48"/>
      <c r="L4647" s="66" t="str">
        <f aca="false">IF(生产加工!$E126="","",IFERROR(INDEX(记账规则!$A$36:$H$38,MATCH(生产加工!$E126,记账规则!$A$36:$A$38,0),6),""))</f>
        <v/>
      </c>
      <c r="M4647" s="66" t="str">
        <f aca="false">IF($L4647="","",IFERROR(INDEX(记账规则!$A$36:$H$38,MATCH(生产加工!$E126,记账规则!$A$36:$A$38,0),7),""))</f>
        <v/>
      </c>
      <c r="N4647" s="66" t="str">
        <f aca="false">IF($L4647="","",IFERROR(INDEX(记账规则!$A$36:$H$38,MATCH(生产加工!$E126,记账规则!$A$36:$A$38,0),8),""))</f>
        <v/>
      </c>
      <c r="O4647" s="67" t="n">
        <f aca="false">IF($H4647="",0,ROUND(IF($N4647="记账金额",N(生产加工!$U126),0),2))</f>
        <v>0</v>
      </c>
      <c r="P4647" s="64" t="str">
        <f aca="false">IF(AND($H4647&lt;&gt;"",ROUND($O4647,2)&lt;&gt;0),"有","")</f>
        <v/>
      </c>
    </row>
    <row r="4648" customFormat="false" ht="15" hidden="true" customHeight="false" outlineLevel="0" collapsed="false">
      <c r="A4648" s="53" t="str">
        <f aca="false">IF($H4648="","",ROW()-5)</f>
        <v/>
      </c>
      <c r="B4648" s="64" t="s">
        <v>38</v>
      </c>
      <c r="C4648" s="53" t="n">
        <v>127</v>
      </c>
      <c r="D4648" s="53" t="n">
        <v>1</v>
      </c>
      <c r="E4648" s="65" t="str">
        <f aca="false">IF($H4648="","",生产加工!$B127)</f>
        <v/>
      </c>
      <c r="F4648" s="55" t="str">
        <f aca="false">IF($H4648="","",生产加工!$C127)</f>
        <v/>
      </c>
      <c r="G4648" s="48" t="str">
        <f aca="false">IF($H4648="","",生产加工!$N127)</f>
        <v/>
      </c>
      <c r="H4648" s="10" t="str">
        <f aca="false">IF($L4648="","",IF($L4648="@对方",生产加工!$K127,IF($L4648="@存货",生产加工!$Q127,$L4648)))</f>
        <v/>
      </c>
      <c r="I4648" s="42" t="n">
        <f aca="false">IF($M4648="借",$O4648,0)</f>
        <v>0</v>
      </c>
      <c r="J4648" s="42" t="n">
        <f aca="false">IF($M4648="贷",$O4648,0)</f>
        <v>0</v>
      </c>
      <c r="K4648" s="48"/>
      <c r="L4648" s="66" t="str">
        <f aca="false">IF(生产加工!$E127="","",IFERROR(INDEX(记账规则!$A$36:$H$38,MATCH(生产加工!$E127,记账规则!$A$36:$A$38,0),3),""))</f>
        <v/>
      </c>
      <c r="M4648" s="66" t="str">
        <f aca="false">IF($L4648="","",IFERROR(INDEX(记账规则!$A$36:$H$38,MATCH(生产加工!$E127,记账规则!$A$36:$A$38,0),4),""))</f>
        <v/>
      </c>
      <c r="N4648" s="66" t="str">
        <f aca="false">IF($L4648="","",IFERROR(INDEX(记账规则!$A$36:$H$38,MATCH(生产加工!$E127,记账规则!$A$36:$A$38,0),5),""))</f>
        <v/>
      </c>
      <c r="O4648" s="67" t="n">
        <f aca="false">IF($H4648="",0,ROUND(IF($N4648="记账金额",N(生产加工!$U127),0),2))</f>
        <v>0</v>
      </c>
      <c r="P4648" s="64" t="str">
        <f aca="false">IF(AND($H4648&lt;&gt;"",ROUND($O4648,2)&lt;&gt;0),"有","")</f>
        <v/>
      </c>
    </row>
    <row r="4649" customFormat="false" ht="15" hidden="true" customHeight="false" outlineLevel="0" collapsed="false">
      <c r="A4649" s="53" t="str">
        <f aca="false">IF($H4649="","",ROW()-5)</f>
        <v/>
      </c>
      <c r="B4649" s="64" t="s">
        <v>38</v>
      </c>
      <c r="C4649" s="53" t="n">
        <v>127</v>
      </c>
      <c r="D4649" s="53" t="n">
        <v>2</v>
      </c>
      <c r="E4649" s="65" t="str">
        <f aca="false">IF($H4649="","",生产加工!$B127)</f>
        <v/>
      </c>
      <c r="F4649" s="55" t="str">
        <f aca="false">IF($H4649="","",生产加工!$C127)</f>
        <v/>
      </c>
      <c r="G4649" s="48" t="str">
        <f aca="false">IF($H4649="","",生产加工!$N127)</f>
        <v/>
      </c>
      <c r="H4649" s="10" t="str">
        <f aca="false">IF($L4649="","",IF($L4649="@对方",生产加工!$K127,IF($L4649="@存货",生产加工!$Q127,$L4649)))</f>
        <v/>
      </c>
      <c r="I4649" s="42" t="n">
        <f aca="false">IF($M4649="借",$O4649,0)</f>
        <v>0</v>
      </c>
      <c r="J4649" s="42" t="n">
        <f aca="false">IF($M4649="贷",$O4649,0)</f>
        <v>0</v>
      </c>
      <c r="K4649" s="48"/>
      <c r="L4649" s="66" t="str">
        <f aca="false">IF(生产加工!$E127="","",IFERROR(INDEX(记账规则!$A$36:$H$38,MATCH(生产加工!$E127,记账规则!$A$36:$A$38,0),6),""))</f>
        <v/>
      </c>
      <c r="M4649" s="66" t="str">
        <f aca="false">IF($L4649="","",IFERROR(INDEX(记账规则!$A$36:$H$38,MATCH(生产加工!$E127,记账规则!$A$36:$A$38,0),7),""))</f>
        <v/>
      </c>
      <c r="N4649" s="66" t="str">
        <f aca="false">IF($L4649="","",IFERROR(INDEX(记账规则!$A$36:$H$38,MATCH(生产加工!$E127,记账规则!$A$36:$A$38,0),8),""))</f>
        <v/>
      </c>
      <c r="O4649" s="67" t="n">
        <f aca="false">IF($H4649="",0,ROUND(IF($N4649="记账金额",N(生产加工!$U127),0),2))</f>
        <v>0</v>
      </c>
      <c r="P4649" s="64" t="str">
        <f aca="false">IF(AND($H4649&lt;&gt;"",ROUND($O4649,2)&lt;&gt;0),"有","")</f>
        <v/>
      </c>
    </row>
    <row r="4650" customFormat="false" ht="15" hidden="true" customHeight="false" outlineLevel="0" collapsed="false">
      <c r="A4650" s="53" t="str">
        <f aca="false">IF($H4650="","",ROW()-5)</f>
        <v/>
      </c>
      <c r="B4650" s="64" t="s">
        <v>38</v>
      </c>
      <c r="C4650" s="53" t="n">
        <v>128</v>
      </c>
      <c r="D4650" s="53" t="n">
        <v>1</v>
      </c>
      <c r="E4650" s="65" t="str">
        <f aca="false">IF($H4650="","",生产加工!$B128)</f>
        <v/>
      </c>
      <c r="F4650" s="55" t="str">
        <f aca="false">IF($H4650="","",生产加工!$C128)</f>
        <v/>
      </c>
      <c r="G4650" s="48" t="str">
        <f aca="false">IF($H4650="","",生产加工!$N128)</f>
        <v/>
      </c>
      <c r="H4650" s="10" t="str">
        <f aca="false">IF($L4650="","",IF($L4650="@对方",生产加工!$K128,IF($L4650="@存货",生产加工!$Q128,$L4650)))</f>
        <v/>
      </c>
      <c r="I4650" s="42" t="n">
        <f aca="false">IF($M4650="借",$O4650,0)</f>
        <v>0</v>
      </c>
      <c r="J4650" s="42" t="n">
        <f aca="false">IF($M4650="贷",$O4650,0)</f>
        <v>0</v>
      </c>
      <c r="K4650" s="48"/>
      <c r="L4650" s="66" t="str">
        <f aca="false">IF(生产加工!$E128="","",IFERROR(INDEX(记账规则!$A$36:$H$38,MATCH(生产加工!$E128,记账规则!$A$36:$A$38,0),3),""))</f>
        <v/>
      </c>
      <c r="M4650" s="66" t="str">
        <f aca="false">IF($L4650="","",IFERROR(INDEX(记账规则!$A$36:$H$38,MATCH(生产加工!$E128,记账规则!$A$36:$A$38,0),4),""))</f>
        <v/>
      </c>
      <c r="N4650" s="66" t="str">
        <f aca="false">IF($L4650="","",IFERROR(INDEX(记账规则!$A$36:$H$38,MATCH(生产加工!$E128,记账规则!$A$36:$A$38,0),5),""))</f>
        <v/>
      </c>
      <c r="O4650" s="67" t="n">
        <f aca="false">IF($H4650="",0,ROUND(IF($N4650="记账金额",N(生产加工!$U128),0),2))</f>
        <v>0</v>
      </c>
      <c r="P4650" s="64" t="str">
        <f aca="false">IF(AND($H4650&lt;&gt;"",ROUND($O4650,2)&lt;&gt;0),"有","")</f>
        <v/>
      </c>
    </row>
    <row r="4651" customFormat="false" ht="15" hidden="true" customHeight="false" outlineLevel="0" collapsed="false">
      <c r="A4651" s="53" t="str">
        <f aca="false">IF($H4651="","",ROW()-5)</f>
        <v/>
      </c>
      <c r="B4651" s="64" t="s">
        <v>38</v>
      </c>
      <c r="C4651" s="53" t="n">
        <v>128</v>
      </c>
      <c r="D4651" s="53" t="n">
        <v>2</v>
      </c>
      <c r="E4651" s="65" t="str">
        <f aca="false">IF($H4651="","",生产加工!$B128)</f>
        <v/>
      </c>
      <c r="F4651" s="55" t="str">
        <f aca="false">IF($H4651="","",生产加工!$C128)</f>
        <v/>
      </c>
      <c r="G4651" s="48" t="str">
        <f aca="false">IF($H4651="","",生产加工!$N128)</f>
        <v/>
      </c>
      <c r="H4651" s="10" t="str">
        <f aca="false">IF($L4651="","",IF($L4651="@对方",生产加工!$K128,IF($L4651="@存货",生产加工!$Q128,$L4651)))</f>
        <v/>
      </c>
      <c r="I4651" s="42" t="n">
        <f aca="false">IF($M4651="借",$O4651,0)</f>
        <v>0</v>
      </c>
      <c r="J4651" s="42" t="n">
        <f aca="false">IF($M4651="贷",$O4651,0)</f>
        <v>0</v>
      </c>
      <c r="K4651" s="48"/>
      <c r="L4651" s="66" t="str">
        <f aca="false">IF(生产加工!$E128="","",IFERROR(INDEX(记账规则!$A$36:$H$38,MATCH(生产加工!$E128,记账规则!$A$36:$A$38,0),6),""))</f>
        <v/>
      </c>
      <c r="M4651" s="66" t="str">
        <f aca="false">IF($L4651="","",IFERROR(INDEX(记账规则!$A$36:$H$38,MATCH(生产加工!$E128,记账规则!$A$36:$A$38,0),7),""))</f>
        <v/>
      </c>
      <c r="N4651" s="66" t="str">
        <f aca="false">IF($L4651="","",IFERROR(INDEX(记账规则!$A$36:$H$38,MATCH(生产加工!$E128,记账规则!$A$36:$A$38,0),8),""))</f>
        <v/>
      </c>
      <c r="O4651" s="67" t="n">
        <f aca="false">IF($H4651="",0,ROUND(IF($N4651="记账金额",N(生产加工!$U128),0),2))</f>
        <v>0</v>
      </c>
      <c r="P4651" s="64" t="str">
        <f aca="false">IF(AND($H4651&lt;&gt;"",ROUND($O4651,2)&lt;&gt;0),"有","")</f>
        <v/>
      </c>
    </row>
    <row r="4652" customFormat="false" ht="15" hidden="true" customHeight="false" outlineLevel="0" collapsed="false">
      <c r="A4652" s="53" t="str">
        <f aca="false">IF($H4652="","",ROW()-5)</f>
        <v/>
      </c>
      <c r="B4652" s="64" t="s">
        <v>38</v>
      </c>
      <c r="C4652" s="53" t="n">
        <v>129</v>
      </c>
      <c r="D4652" s="53" t="n">
        <v>1</v>
      </c>
      <c r="E4652" s="65" t="str">
        <f aca="false">IF($H4652="","",生产加工!$B129)</f>
        <v/>
      </c>
      <c r="F4652" s="55" t="str">
        <f aca="false">IF($H4652="","",生产加工!$C129)</f>
        <v/>
      </c>
      <c r="G4652" s="48" t="str">
        <f aca="false">IF($H4652="","",生产加工!$N129)</f>
        <v/>
      </c>
      <c r="H4652" s="10" t="str">
        <f aca="false">IF($L4652="","",IF($L4652="@对方",生产加工!$K129,IF($L4652="@存货",生产加工!$Q129,$L4652)))</f>
        <v/>
      </c>
      <c r="I4652" s="42" t="n">
        <f aca="false">IF($M4652="借",$O4652,0)</f>
        <v>0</v>
      </c>
      <c r="J4652" s="42" t="n">
        <f aca="false">IF($M4652="贷",$O4652,0)</f>
        <v>0</v>
      </c>
      <c r="K4652" s="48"/>
      <c r="L4652" s="66" t="str">
        <f aca="false">IF(生产加工!$E129="","",IFERROR(INDEX(记账规则!$A$36:$H$38,MATCH(生产加工!$E129,记账规则!$A$36:$A$38,0),3),""))</f>
        <v/>
      </c>
      <c r="M4652" s="66" t="str">
        <f aca="false">IF($L4652="","",IFERROR(INDEX(记账规则!$A$36:$H$38,MATCH(生产加工!$E129,记账规则!$A$36:$A$38,0),4),""))</f>
        <v/>
      </c>
      <c r="N4652" s="66" t="str">
        <f aca="false">IF($L4652="","",IFERROR(INDEX(记账规则!$A$36:$H$38,MATCH(生产加工!$E129,记账规则!$A$36:$A$38,0),5),""))</f>
        <v/>
      </c>
      <c r="O4652" s="67" t="n">
        <f aca="false">IF($H4652="",0,ROUND(IF($N4652="记账金额",N(生产加工!$U129),0),2))</f>
        <v>0</v>
      </c>
      <c r="P4652" s="64" t="str">
        <f aca="false">IF(AND($H4652&lt;&gt;"",ROUND($O4652,2)&lt;&gt;0),"有","")</f>
        <v/>
      </c>
    </row>
    <row r="4653" customFormat="false" ht="15" hidden="true" customHeight="false" outlineLevel="0" collapsed="false">
      <c r="A4653" s="53" t="str">
        <f aca="false">IF($H4653="","",ROW()-5)</f>
        <v/>
      </c>
      <c r="B4653" s="64" t="s">
        <v>38</v>
      </c>
      <c r="C4653" s="53" t="n">
        <v>129</v>
      </c>
      <c r="D4653" s="53" t="n">
        <v>2</v>
      </c>
      <c r="E4653" s="65" t="str">
        <f aca="false">IF($H4653="","",生产加工!$B129)</f>
        <v/>
      </c>
      <c r="F4653" s="55" t="str">
        <f aca="false">IF($H4653="","",生产加工!$C129)</f>
        <v/>
      </c>
      <c r="G4653" s="48" t="str">
        <f aca="false">IF($H4653="","",生产加工!$N129)</f>
        <v/>
      </c>
      <c r="H4653" s="10" t="str">
        <f aca="false">IF($L4653="","",IF($L4653="@对方",生产加工!$K129,IF($L4653="@存货",生产加工!$Q129,$L4653)))</f>
        <v/>
      </c>
      <c r="I4653" s="42" t="n">
        <f aca="false">IF($M4653="借",$O4653,0)</f>
        <v>0</v>
      </c>
      <c r="J4653" s="42" t="n">
        <f aca="false">IF($M4653="贷",$O4653,0)</f>
        <v>0</v>
      </c>
      <c r="K4653" s="48"/>
      <c r="L4653" s="66" t="str">
        <f aca="false">IF(生产加工!$E129="","",IFERROR(INDEX(记账规则!$A$36:$H$38,MATCH(生产加工!$E129,记账规则!$A$36:$A$38,0),6),""))</f>
        <v/>
      </c>
      <c r="M4653" s="66" t="str">
        <f aca="false">IF($L4653="","",IFERROR(INDEX(记账规则!$A$36:$H$38,MATCH(生产加工!$E129,记账规则!$A$36:$A$38,0),7),""))</f>
        <v/>
      </c>
      <c r="N4653" s="66" t="str">
        <f aca="false">IF($L4653="","",IFERROR(INDEX(记账规则!$A$36:$H$38,MATCH(生产加工!$E129,记账规则!$A$36:$A$38,0),8),""))</f>
        <v/>
      </c>
      <c r="O4653" s="67" t="n">
        <f aca="false">IF($H4653="",0,ROUND(IF($N4653="记账金额",N(生产加工!$U129),0),2))</f>
        <v>0</v>
      </c>
      <c r="P4653" s="64" t="str">
        <f aca="false">IF(AND($H4653&lt;&gt;"",ROUND($O4653,2)&lt;&gt;0),"有","")</f>
        <v/>
      </c>
    </row>
    <row r="4654" customFormat="false" ht="15" hidden="true" customHeight="false" outlineLevel="0" collapsed="false">
      <c r="A4654" s="53" t="str">
        <f aca="false">IF($H4654="","",ROW()-5)</f>
        <v/>
      </c>
      <c r="B4654" s="64" t="s">
        <v>38</v>
      </c>
      <c r="C4654" s="53" t="n">
        <v>130</v>
      </c>
      <c r="D4654" s="53" t="n">
        <v>1</v>
      </c>
      <c r="E4654" s="65" t="str">
        <f aca="false">IF($H4654="","",生产加工!$B130)</f>
        <v/>
      </c>
      <c r="F4654" s="55" t="str">
        <f aca="false">IF($H4654="","",生产加工!$C130)</f>
        <v/>
      </c>
      <c r="G4654" s="48" t="str">
        <f aca="false">IF($H4654="","",生产加工!$N130)</f>
        <v/>
      </c>
      <c r="H4654" s="10" t="str">
        <f aca="false">IF($L4654="","",IF($L4654="@对方",生产加工!$K130,IF($L4654="@存货",生产加工!$Q130,$L4654)))</f>
        <v/>
      </c>
      <c r="I4654" s="42" t="n">
        <f aca="false">IF($M4654="借",$O4654,0)</f>
        <v>0</v>
      </c>
      <c r="J4654" s="42" t="n">
        <f aca="false">IF($M4654="贷",$O4654,0)</f>
        <v>0</v>
      </c>
      <c r="K4654" s="48"/>
      <c r="L4654" s="66" t="str">
        <f aca="false">IF(生产加工!$E130="","",IFERROR(INDEX(记账规则!$A$36:$H$38,MATCH(生产加工!$E130,记账规则!$A$36:$A$38,0),3),""))</f>
        <v/>
      </c>
      <c r="M4654" s="66" t="str">
        <f aca="false">IF($L4654="","",IFERROR(INDEX(记账规则!$A$36:$H$38,MATCH(生产加工!$E130,记账规则!$A$36:$A$38,0),4),""))</f>
        <v/>
      </c>
      <c r="N4654" s="66" t="str">
        <f aca="false">IF($L4654="","",IFERROR(INDEX(记账规则!$A$36:$H$38,MATCH(生产加工!$E130,记账规则!$A$36:$A$38,0),5),""))</f>
        <v/>
      </c>
      <c r="O4654" s="67" t="n">
        <f aca="false">IF($H4654="",0,ROUND(IF($N4654="记账金额",N(生产加工!$U130),0),2))</f>
        <v>0</v>
      </c>
      <c r="P4654" s="64" t="str">
        <f aca="false">IF(AND($H4654&lt;&gt;"",ROUND($O4654,2)&lt;&gt;0),"有","")</f>
        <v/>
      </c>
    </row>
    <row r="4655" customFormat="false" ht="15" hidden="true" customHeight="false" outlineLevel="0" collapsed="false">
      <c r="A4655" s="53" t="str">
        <f aca="false">IF($H4655="","",ROW()-5)</f>
        <v/>
      </c>
      <c r="B4655" s="64" t="s">
        <v>38</v>
      </c>
      <c r="C4655" s="53" t="n">
        <v>130</v>
      </c>
      <c r="D4655" s="53" t="n">
        <v>2</v>
      </c>
      <c r="E4655" s="65" t="str">
        <f aca="false">IF($H4655="","",生产加工!$B130)</f>
        <v/>
      </c>
      <c r="F4655" s="55" t="str">
        <f aca="false">IF($H4655="","",生产加工!$C130)</f>
        <v/>
      </c>
      <c r="G4655" s="48" t="str">
        <f aca="false">IF($H4655="","",生产加工!$N130)</f>
        <v/>
      </c>
      <c r="H4655" s="10" t="str">
        <f aca="false">IF($L4655="","",IF($L4655="@对方",生产加工!$K130,IF($L4655="@存货",生产加工!$Q130,$L4655)))</f>
        <v/>
      </c>
      <c r="I4655" s="42" t="n">
        <f aca="false">IF($M4655="借",$O4655,0)</f>
        <v>0</v>
      </c>
      <c r="J4655" s="42" t="n">
        <f aca="false">IF($M4655="贷",$O4655,0)</f>
        <v>0</v>
      </c>
      <c r="K4655" s="48"/>
      <c r="L4655" s="66" t="str">
        <f aca="false">IF(生产加工!$E130="","",IFERROR(INDEX(记账规则!$A$36:$H$38,MATCH(生产加工!$E130,记账规则!$A$36:$A$38,0),6),""))</f>
        <v/>
      </c>
      <c r="M4655" s="66" t="str">
        <f aca="false">IF($L4655="","",IFERROR(INDEX(记账规则!$A$36:$H$38,MATCH(生产加工!$E130,记账规则!$A$36:$A$38,0),7),""))</f>
        <v/>
      </c>
      <c r="N4655" s="66" t="str">
        <f aca="false">IF($L4655="","",IFERROR(INDEX(记账规则!$A$36:$H$38,MATCH(生产加工!$E130,记账规则!$A$36:$A$38,0),8),""))</f>
        <v/>
      </c>
      <c r="O4655" s="67" t="n">
        <f aca="false">IF($H4655="",0,ROUND(IF($N4655="记账金额",N(生产加工!$U130),0),2))</f>
        <v>0</v>
      </c>
      <c r="P4655" s="64" t="str">
        <f aca="false">IF(AND($H4655&lt;&gt;"",ROUND($O4655,2)&lt;&gt;0),"有","")</f>
        <v/>
      </c>
    </row>
    <row r="4656" customFormat="false" ht="15" hidden="true" customHeight="false" outlineLevel="0" collapsed="false">
      <c r="A4656" s="53" t="str">
        <f aca="false">IF($H4656="","",ROW()-5)</f>
        <v/>
      </c>
      <c r="B4656" s="64" t="s">
        <v>38</v>
      </c>
      <c r="C4656" s="53" t="n">
        <v>131</v>
      </c>
      <c r="D4656" s="53" t="n">
        <v>1</v>
      </c>
      <c r="E4656" s="65" t="str">
        <f aca="false">IF($H4656="","",生产加工!$B131)</f>
        <v/>
      </c>
      <c r="F4656" s="55" t="str">
        <f aca="false">IF($H4656="","",生产加工!$C131)</f>
        <v/>
      </c>
      <c r="G4656" s="48" t="str">
        <f aca="false">IF($H4656="","",生产加工!$N131)</f>
        <v/>
      </c>
      <c r="H4656" s="10" t="str">
        <f aca="false">IF($L4656="","",IF($L4656="@对方",生产加工!$K131,IF($L4656="@存货",生产加工!$Q131,$L4656)))</f>
        <v/>
      </c>
      <c r="I4656" s="42" t="n">
        <f aca="false">IF($M4656="借",$O4656,0)</f>
        <v>0</v>
      </c>
      <c r="J4656" s="42" t="n">
        <f aca="false">IF($M4656="贷",$O4656,0)</f>
        <v>0</v>
      </c>
      <c r="K4656" s="48"/>
      <c r="L4656" s="66" t="str">
        <f aca="false">IF(生产加工!$E131="","",IFERROR(INDEX(记账规则!$A$36:$H$38,MATCH(生产加工!$E131,记账规则!$A$36:$A$38,0),3),""))</f>
        <v/>
      </c>
      <c r="M4656" s="66" t="str">
        <f aca="false">IF($L4656="","",IFERROR(INDEX(记账规则!$A$36:$H$38,MATCH(生产加工!$E131,记账规则!$A$36:$A$38,0),4),""))</f>
        <v/>
      </c>
      <c r="N4656" s="66" t="str">
        <f aca="false">IF($L4656="","",IFERROR(INDEX(记账规则!$A$36:$H$38,MATCH(生产加工!$E131,记账规则!$A$36:$A$38,0),5),""))</f>
        <v/>
      </c>
      <c r="O4656" s="67" t="n">
        <f aca="false">IF($H4656="",0,ROUND(IF($N4656="记账金额",N(生产加工!$U131),0),2))</f>
        <v>0</v>
      </c>
      <c r="P4656" s="64" t="str">
        <f aca="false">IF(AND($H4656&lt;&gt;"",ROUND($O4656,2)&lt;&gt;0),"有","")</f>
        <v/>
      </c>
    </row>
    <row r="4657" customFormat="false" ht="15" hidden="true" customHeight="false" outlineLevel="0" collapsed="false">
      <c r="A4657" s="53" t="str">
        <f aca="false">IF($H4657="","",ROW()-5)</f>
        <v/>
      </c>
      <c r="B4657" s="64" t="s">
        <v>38</v>
      </c>
      <c r="C4657" s="53" t="n">
        <v>131</v>
      </c>
      <c r="D4657" s="53" t="n">
        <v>2</v>
      </c>
      <c r="E4657" s="65" t="str">
        <f aca="false">IF($H4657="","",生产加工!$B131)</f>
        <v/>
      </c>
      <c r="F4657" s="55" t="str">
        <f aca="false">IF($H4657="","",生产加工!$C131)</f>
        <v/>
      </c>
      <c r="G4657" s="48" t="str">
        <f aca="false">IF($H4657="","",生产加工!$N131)</f>
        <v/>
      </c>
      <c r="H4657" s="10" t="str">
        <f aca="false">IF($L4657="","",IF($L4657="@对方",生产加工!$K131,IF($L4657="@存货",生产加工!$Q131,$L4657)))</f>
        <v/>
      </c>
      <c r="I4657" s="42" t="n">
        <f aca="false">IF($M4657="借",$O4657,0)</f>
        <v>0</v>
      </c>
      <c r="J4657" s="42" t="n">
        <f aca="false">IF($M4657="贷",$O4657,0)</f>
        <v>0</v>
      </c>
      <c r="K4657" s="48"/>
      <c r="L4657" s="66" t="str">
        <f aca="false">IF(生产加工!$E131="","",IFERROR(INDEX(记账规则!$A$36:$H$38,MATCH(生产加工!$E131,记账规则!$A$36:$A$38,0),6),""))</f>
        <v/>
      </c>
      <c r="M4657" s="66" t="str">
        <f aca="false">IF($L4657="","",IFERROR(INDEX(记账规则!$A$36:$H$38,MATCH(生产加工!$E131,记账规则!$A$36:$A$38,0),7),""))</f>
        <v/>
      </c>
      <c r="N4657" s="66" t="str">
        <f aca="false">IF($L4657="","",IFERROR(INDEX(记账规则!$A$36:$H$38,MATCH(生产加工!$E131,记账规则!$A$36:$A$38,0),8),""))</f>
        <v/>
      </c>
      <c r="O4657" s="67" t="n">
        <f aca="false">IF($H4657="",0,ROUND(IF($N4657="记账金额",N(生产加工!$U131),0),2))</f>
        <v>0</v>
      </c>
      <c r="P4657" s="64" t="str">
        <f aca="false">IF(AND($H4657&lt;&gt;"",ROUND($O4657,2)&lt;&gt;0),"有","")</f>
        <v/>
      </c>
    </row>
    <row r="4658" customFormat="false" ht="15" hidden="true" customHeight="false" outlineLevel="0" collapsed="false">
      <c r="A4658" s="53" t="str">
        <f aca="false">IF($H4658="","",ROW()-5)</f>
        <v/>
      </c>
      <c r="B4658" s="64" t="s">
        <v>38</v>
      </c>
      <c r="C4658" s="53" t="n">
        <v>132</v>
      </c>
      <c r="D4658" s="53" t="n">
        <v>1</v>
      </c>
      <c r="E4658" s="65" t="str">
        <f aca="false">IF($H4658="","",生产加工!$B132)</f>
        <v/>
      </c>
      <c r="F4658" s="55" t="str">
        <f aca="false">IF($H4658="","",生产加工!$C132)</f>
        <v/>
      </c>
      <c r="G4658" s="48" t="str">
        <f aca="false">IF($H4658="","",生产加工!$N132)</f>
        <v/>
      </c>
      <c r="H4658" s="10" t="str">
        <f aca="false">IF($L4658="","",IF($L4658="@对方",生产加工!$K132,IF($L4658="@存货",生产加工!$Q132,$L4658)))</f>
        <v/>
      </c>
      <c r="I4658" s="42" t="n">
        <f aca="false">IF($M4658="借",$O4658,0)</f>
        <v>0</v>
      </c>
      <c r="J4658" s="42" t="n">
        <f aca="false">IF($M4658="贷",$O4658,0)</f>
        <v>0</v>
      </c>
      <c r="K4658" s="48"/>
      <c r="L4658" s="66" t="str">
        <f aca="false">IF(生产加工!$E132="","",IFERROR(INDEX(记账规则!$A$36:$H$38,MATCH(生产加工!$E132,记账规则!$A$36:$A$38,0),3),""))</f>
        <v/>
      </c>
      <c r="M4658" s="66" t="str">
        <f aca="false">IF($L4658="","",IFERROR(INDEX(记账规则!$A$36:$H$38,MATCH(生产加工!$E132,记账规则!$A$36:$A$38,0),4),""))</f>
        <v/>
      </c>
      <c r="N4658" s="66" t="str">
        <f aca="false">IF($L4658="","",IFERROR(INDEX(记账规则!$A$36:$H$38,MATCH(生产加工!$E132,记账规则!$A$36:$A$38,0),5),""))</f>
        <v/>
      </c>
      <c r="O4658" s="67" t="n">
        <f aca="false">IF($H4658="",0,ROUND(IF($N4658="记账金额",N(生产加工!$U132),0),2))</f>
        <v>0</v>
      </c>
      <c r="P4658" s="64" t="str">
        <f aca="false">IF(AND($H4658&lt;&gt;"",ROUND($O4658,2)&lt;&gt;0),"有","")</f>
        <v/>
      </c>
    </row>
    <row r="4659" customFormat="false" ht="15" hidden="true" customHeight="false" outlineLevel="0" collapsed="false">
      <c r="A4659" s="53" t="str">
        <f aca="false">IF($H4659="","",ROW()-5)</f>
        <v/>
      </c>
      <c r="B4659" s="64" t="s">
        <v>38</v>
      </c>
      <c r="C4659" s="53" t="n">
        <v>132</v>
      </c>
      <c r="D4659" s="53" t="n">
        <v>2</v>
      </c>
      <c r="E4659" s="65" t="str">
        <f aca="false">IF($H4659="","",生产加工!$B132)</f>
        <v/>
      </c>
      <c r="F4659" s="55" t="str">
        <f aca="false">IF($H4659="","",生产加工!$C132)</f>
        <v/>
      </c>
      <c r="G4659" s="48" t="str">
        <f aca="false">IF($H4659="","",生产加工!$N132)</f>
        <v/>
      </c>
      <c r="H4659" s="10" t="str">
        <f aca="false">IF($L4659="","",IF($L4659="@对方",生产加工!$K132,IF($L4659="@存货",生产加工!$Q132,$L4659)))</f>
        <v/>
      </c>
      <c r="I4659" s="42" t="n">
        <f aca="false">IF($M4659="借",$O4659,0)</f>
        <v>0</v>
      </c>
      <c r="J4659" s="42" t="n">
        <f aca="false">IF($M4659="贷",$O4659,0)</f>
        <v>0</v>
      </c>
      <c r="K4659" s="48"/>
      <c r="L4659" s="66" t="str">
        <f aca="false">IF(生产加工!$E132="","",IFERROR(INDEX(记账规则!$A$36:$H$38,MATCH(生产加工!$E132,记账规则!$A$36:$A$38,0),6),""))</f>
        <v/>
      </c>
      <c r="M4659" s="66" t="str">
        <f aca="false">IF($L4659="","",IFERROR(INDEX(记账规则!$A$36:$H$38,MATCH(生产加工!$E132,记账规则!$A$36:$A$38,0),7),""))</f>
        <v/>
      </c>
      <c r="N4659" s="66" t="str">
        <f aca="false">IF($L4659="","",IFERROR(INDEX(记账规则!$A$36:$H$38,MATCH(生产加工!$E132,记账规则!$A$36:$A$38,0),8),""))</f>
        <v/>
      </c>
      <c r="O4659" s="67" t="n">
        <f aca="false">IF($H4659="",0,ROUND(IF($N4659="记账金额",N(生产加工!$U132),0),2))</f>
        <v>0</v>
      </c>
      <c r="P4659" s="64" t="str">
        <f aca="false">IF(AND($H4659&lt;&gt;"",ROUND($O4659,2)&lt;&gt;0),"有","")</f>
        <v/>
      </c>
    </row>
    <row r="4660" customFormat="false" ht="15" hidden="true" customHeight="false" outlineLevel="0" collapsed="false">
      <c r="A4660" s="53" t="str">
        <f aca="false">IF($H4660="","",ROW()-5)</f>
        <v/>
      </c>
      <c r="B4660" s="64" t="s">
        <v>38</v>
      </c>
      <c r="C4660" s="53" t="n">
        <v>133</v>
      </c>
      <c r="D4660" s="53" t="n">
        <v>1</v>
      </c>
      <c r="E4660" s="65" t="str">
        <f aca="false">IF($H4660="","",生产加工!$B133)</f>
        <v/>
      </c>
      <c r="F4660" s="55" t="str">
        <f aca="false">IF($H4660="","",生产加工!$C133)</f>
        <v/>
      </c>
      <c r="G4660" s="48" t="str">
        <f aca="false">IF($H4660="","",生产加工!$N133)</f>
        <v/>
      </c>
      <c r="H4660" s="10" t="str">
        <f aca="false">IF($L4660="","",IF($L4660="@对方",生产加工!$K133,IF($L4660="@存货",生产加工!$Q133,$L4660)))</f>
        <v/>
      </c>
      <c r="I4660" s="42" t="n">
        <f aca="false">IF($M4660="借",$O4660,0)</f>
        <v>0</v>
      </c>
      <c r="J4660" s="42" t="n">
        <f aca="false">IF($M4660="贷",$O4660,0)</f>
        <v>0</v>
      </c>
      <c r="K4660" s="48"/>
      <c r="L4660" s="66" t="str">
        <f aca="false">IF(生产加工!$E133="","",IFERROR(INDEX(记账规则!$A$36:$H$38,MATCH(生产加工!$E133,记账规则!$A$36:$A$38,0),3),""))</f>
        <v/>
      </c>
      <c r="M4660" s="66" t="str">
        <f aca="false">IF($L4660="","",IFERROR(INDEX(记账规则!$A$36:$H$38,MATCH(生产加工!$E133,记账规则!$A$36:$A$38,0),4),""))</f>
        <v/>
      </c>
      <c r="N4660" s="66" t="str">
        <f aca="false">IF($L4660="","",IFERROR(INDEX(记账规则!$A$36:$H$38,MATCH(生产加工!$E133,记账规则!$A$36:$A$38,0),5),""))</f>
        <v/>
      </c>
      <c r="O4660" s="67" t="n">
        <f aca="false">IF($H4660="",0,ROUND(IF($N4660="记账金额",N(生产加工!$U133),0),2))</f>
        <v>0</v>
      </c>
      <c r="P4660" s="64" t="str">
        <f aca="false">IF(AND($H4660&lt;&gt;"",ROUND($O4660,2)&lt;&gt;0),"有","")</f>
        <v/>
      </c>
    </row>
    <row r="4661" customFormat="false" ht="15" hidden="true" customHeight="false" outlineLevel="0" collapsed="false">
      <c r="A4661" s="53" t="str">
        <f aca="false">IF($H4661="","",ROW()-5)</f>
        <v/>
      </c>
      <c r="B4661" s="64" t="s">
        <v>38</v>
      </c>
      <c r="C4661" s="53" t="n">
        <v>133</v>
      </c>
      <c r="D4661" s="53" t="n">
        <v>2</v>
      </c>
      <c r="E4661" s="65" t="str">
        <f aca="false">IF($H4661="","",生产加工!$B133)</f>
        <v/>
      </c>
      <c r="F4661" s="55" t="str">
        <f aca="false">IF($H4661="","",生产加工!$C133)</f>
        <v/>
      </c>
      <c r="G4661" s="48" t="str">
        <f aca="false">IF($H4661="","",生产加工!$N133)</f>
        <v/>
      </c>
      <c r="H4661" s="10" t="str">
        <f aca="false">IF($L4661="","",IF($L4661="@对方",生产加工!$K133,IF($L4661="@存货",生产加工!$Q133,$L4661)))</f>
        <v/>
      </c>
      <c r="I4661" s="42" t="n">
        <f aca="false">IF($M4661="借",$O4661,0)</f>
        <v>0</v>
      </c>
      <c r="J4661" s="42" t="n">
        <f aca="false">IF($M4661="贷",$O4661,0)</f>
        <v>0</v>
      </c>
      <c r="K4661" s="48"/>
      <c r="L4661" s="66" t="str">
        <f aca="false">IF(生产加工!$E133="","",IFERROR(INDEX(记账规则!$A$36:$H$38,MATCH(生产加工!$E133,记账规则!$A$36:$A$38,0),6),""))</f>
        <v/>
      </c>
      <c r="M4661" s="66" t="str">
        <f aca="false">IF($L4661="","",IFERROR(INDEX(记账规则!$A$36:$H$38,MATCH(生产加工!$E133,记账规则!$A$36:$A$38,0),7),""))</f>
        <v/>
      </c>
      <c r="N4661" s="66" t="str">
        <f aca="false">IF($L4661="","",IFERROR(INDEX(记账规则!$A$36:$H$38,MATCH(生产加工!$E133,记账规则!$A$36:$A$38,0),8),""))</f>
        <v/>
      </c>
      <c r="O4661" s="67" t="n">
        <f aca="false">IF($H4661="",0,ROUND(IF($N4661="记账金额",N(生产加工!$U133),0),2))</f>
        <v>0</v>
      </c>
      <c r="P4661" s="64" t="str">
        <f aca="false">IF(AND($H4661&lt;&gt;"",ROUND($O4661,2)&lt;&gt;0),"有","")</f>
        <v/>
      </c>
    </row>
    <row r="4662" customFormat="false" ht="15" hidden="true" customHeight="false" outlineLevel="0" collapsed="false">
      <c r="A4662" s="53" t="str">
        <f aca="false">IF($H4662="","",ROW()-5)</f>
        <v/>
      </c>
      <c r="B4662" s="64" t="s">
        <v>38</v>
      </c>
      <c r="C4662" s="53" t="n">
        <v>134</v>
      </c>
      <c r="D4662" s="53" t="n">
        <v>1</v>
      </c>
      <c r="E4662" s="65" t="str">
        <f aca="false">IF($H4662="","",生产加工!$B134)</f>
        <v/>
      </c>
      <c r="F4662" s="55" t="str">
        <f aca="false">IF($H4662="","",生产加工!$C134)</f>
        <v/>
      </c>
      <c r="G4662" s="48" t="str">
        <f aca="false">IF($H4662="","",生产加工!$N134)</f>
        <v/>
      </c>
      <c r="H4662" s="10" t="str">
        <f aca="false">IF($L4662="","",IF($L4662="@对方",生产加工!$K134,IF($L4662="@存货",生产加工!$Q134,$L4662)))</f>
        <v/>
      </c>
      <c r="I4662" s="42" t="n">
        <f aca="false">IF($M4662="借",$O4662,0)</f>
        <v>0</v>
      </c>
      <c r="J4662" s="42" t="n">
        <f aca="false">IF($M4662="贷",$O4662,0)</f>
        <v>0</v>
      </c>
      <c r="K4662" s="48"/>
      <c r="L4662" s="66" t="str">
        <f aca="false">IF(生产加工!$E134="","",IFERROR(INDEX(记账规则!$A$36:$H$38,MATCH(生产加工!$E134,记账规则!$A$36:$A$38,0),3),""))</f>
        <v/>
      </c>
      <c r="M4662" s="66" t="str">
        <f aca="false">IF($L4662="","",IFERROR(INDEX(记账规则!$A$36:$H$38,MATCH(生产加工!$E134,记账规则!$A$36:$A$38,0),4),""))</f>
        <v/>
      </c>
      <c r="N4662" s="66" t="str">
        <f aca="false">IF($L4662="","",IFERROR(INDEX(记账规则!$A$36:$H$38,MATCH(生产加工!$E134,记账规则!$A$36:$A$38,0),5),""))</f>
        <v/>
      </c>
      <c r="O4662" s="67" t="n">
        <f aca="false">IF($H4662="",0,ROUND(IF($N4662="记账金额",N(生产加工!$U134),0),2))</f>
        <v>0</v>
      </c>
      <c r="P4662" s="64" t="str">
        <f aca="false">IF(AND($H4662&lt;&gt;"",ROUND($O4662,2)&lt;&gt;0),"有","")</f>
        <v/>
      </c>
    </row>
    <row r="4663" customFormat="false" ht="15" hidden="true" customHeight="false" outlineLevel="0" collapsed="false">
      <c r="A4663" s="53" t="str">
        <f aca="false">IF($H4663="","",ROW()-5)</f>
        <v/>
      </c>
      <c r="B4663" s="64" t="s">
        <v>38</v>
      </c>
      <c r="C4663" s="53" t="n">
        <v>134</v>
      </c>
      <c r="D4663" s="53" t="n">
        <v>2</v>
      </c>
      <c r="E4663" s="65" t="str">
        <f aca="false">IF($H4663="","",生产加工!$B134)</f>
        <v/>
      </c>
      <c r="F4663" s="55" t="str">
        <f aca="false">IF($H4663="","",生产加工!$C134)</f>
        <v/>
      </c>
      <c r="G4663" s="48" t="str">
        <f aca="false">IF($H4663="","",生产加工!$N134)</f>
        <v/>
      </c>
      <c r="H4663" s="10" t="str">
        <f aca="false">IF($L4663="","",IF($L4663="@对方",生产加工!$K134,IF($L4663="@存货",生产加工!$Q134,$L4663)))</f>
        <v/>
      </c>
      <c r="I4663" s="42" t="n">
        <f aca="false">IF($M4663="借",$O4663,0)</f>
        <v>0</v>
      </c>
      <c r="J4663" s="42" t="n">
        <f aca="false">IF($M4663="贷",$O4663,0)</f>
        <v>0</v>
      </c>
      <c r="K4663" s="48"/>
      <c r="L4663" s="66" t="str">
        <f aca="false">IF(生产加工!$E134="","",IFERROR(INDEX(记账规则!$A$36:$H$38,MATCH(生产加工!$E134,记账规则!$A$36:$A$38,0),6),""))</f>
        <v/>
      </c>
      <c r="M4663" s="66" t="str">
        <f aca="false">IF($L4663="","",IFERROR(INDEX(记账规则!$A$36:$H$38,MATCH(生产加工!$E134,记账规则!$A$36:$A$38,0),7),""))</f>
        <v/>
      </c>
      <c r="N4663" s="66" t="str">
        <f aca="false">IF($L4663="","",IFERROR(INDEX(记账规则!$A$36:$H$38,MATCH(生产加工!$E134,记账规则!$A$36:$A$38,0),8),""))</f>
        <v/>
      </c>
      <c r="O4663" s="67" t="n">
        <f aca="false">IF($H4663="",0,ROUND(IF($N4663="记账金额",N(生产加工!$U134),0),2))</f>
        <v>0</v>
      </c>
      <c r="P4663" s="64" t="str">
        <f aca="false">IF(AND($H4663&lt;&gt;"",ROUND($O4663,2)&lt;&gt;0),"有","")</f>
        <v/>
      </c>
    </row>
    <row r="4664" customFormat="false" ht="15" hidden="true" customHeight="false" outlineLevel="0" collapsed="false">
      <c r="A4664" s="53" t="str">
        <f aca="false">IF($H4664="","",ROW()-5)</f>
        <v/>
      </c>
      <c r="B4664" s="64" t="s">
        <v>38</v>
      </c>
      <c r="C4664" s="53" t="n">
        <v>135</v>
      </c>
      <c r="D4664" s="53" t="n">
        <v>1</v>
      </c>
      <c r="E4664" s="65" t="str">
        <f aca="false">IF($H4664="","",生产加工!$B135)</f>
        <v/>
      </c>
      <c r="F4664" s="55" t="str">
        <f aca="false">IF($H4664="","",生产加工!$C135)</f>
        <v/>
      </c>
      <c r="G4664" s="48" t="str">
        <f aca="false">IF($H4664="","",生产加工!$N135)</f>
        <v/>
      </c>
      <c r="H4664" s="10" t="str">
        <f aca="false">IF($L4664="","",IF($L4664="@对方",生产加工!$K135,IF($L4664="@存货",生产加工!$Q135,$L4664)))</f>
        <v/>
      </c>
      <c r="I4664" s="42" t="n">
        <f aca="false">IF($M4664="借",$O4664,0)</f>
        <v>0</v>
      </c>
      <c r="J4664" s="42" t="n">
        <f aca="false">IF($M4664="贷",$O4664,0)</f>
        <v>0</v>
      </c>
      <c r="K4664" s="48"/>
      <c r="L4664" s="66" t="str">
        <f aca="false">IF(生产加工!$E135="","",IFERROR(INDEX(记账规则!$A$36:$H$38,MATCH(生产加工!$E135,记账规则!$A$36:$A$38,0),3),""))</f>
        <v/>
      </c>
      <c r="M4664" s="66" t="str">
        <f aca="false">IF($L4664="","",IFERROR(INDEX(记账规则!$A$36:$H$38,MATCH(生产加工!$E135,记账规则!$A$36:$A$38,0),4),""))</f>
        <v/>
      </c>
      <c r="N4664" s="66" t="str">
        <f aca="false">IF($L4664="","",IFERROR(INDEX(记账规则!$A$36:$H$38,MATCH(生产加工!$E135,记账规则!$A$36:$A$38,0),5),""))</f>
        <v/>
      </c>
      <c r="O4664" s="67" t="n">
        <f aca="false">IF($H4664="",0,ROUND(IF($N4664="记账金额",N(生产加工!$U135),0),2))</f>
        <v>0</v>
      </c>
      <c r="P4664" s="64" t="str">
        <f aca="false">IF(AND($H4664&lt;&gt;"",ROUND($O4664,2)&lt;&gt;0),"有","")</f>
        <v/>
      </c>
    </row>
    <row r="4665" customFormat="false" ht="15" hidden="true" customHeight="false" outlineLevel="0" collapsed="false">
      <c r="A4665" s="53" t="str">
        <f aca="false">IF($H4665="","",ROW()-5)</f>
        <v/>
      </c>
      <c r="B4665" s="64" t="s">
        <v>38</v>
      </c>
      <c r="C4665" s="53" t="n">
        <v>135</v>
      </c>
      <c r="D4665" s="53" t="n">
        <v>2</v>
      </c>
      <c r="E4665" s="65" t="str">
        <f aca="false">IF($H4665="","",生产加工!$B135)</f>
        <v/>
      </c>
      <c r="F4665" s="55" t="str">
        <f aca="false">IF($H4665="","",生产加工!$C135)</f>
        <v/>
      </c>
      <c r="G4665" s="48" t="str">
        <f aca="false">IF($H4665="","",生产加工!$N135)</f>
        <v/>
      </c>
      <c r="H4665" s="10" t="str">
        <f aca="false">IF($L4665="","",IF($L4665="@对方",生产加工!$K135,IF($L4665="@存货",生产加工!$Q135,$L4665)))</f>
        <v/>
      </c>
      <c r="I4665" s="42" t="n">
        <f aca="false">IF($M4665="借",$O4665,0)</f>
        <v>0</v>
      </c>
      <c r="J4665" s="42" t="n">
        <f aca="false">IF($M4665="贷",$O4665,0)</f>
        <v>0</v>
      </c>
      <c r="K4665" s="48"/>
      <c r="L4665" s="66" t="str">
        <f aca="false">IF(生产加工!$E135="","",IFERROR(INDEX(记账规则!$A$36:$H$38,MATCH(生产加工!$E135,记账规则!$A$36:$A$38,0),6),""))</f>
        <v/>
      </c>
      <c r="M4665" s="66" t="str">
        <f aca="false">IF($L4665="","",IFERROR(INDEX(记账规则!$A$36:$H$38,MATCH(生产加工!$E135,记账规则!$A$36:$A$38,0),7),""))</f>
        <v/>
      </c>
      <c r="N4665" s="66" t="str">
        <f aca="false">IF($L4665="","",IFERROR(INDEX(记账规则!$A$36:$H$38,MATCH(生产加工!$E135,记账规则!$A$36:$A$38,0),8),""))</f>
        <v/>
      </c>
      <c r="O4665" s="67" t="n">
        <f aca="false">IF($H4665="",0,ROUND(IF($N4665="记账金额",N(生产加工!$U135),0),2))</f>
        <v>0</v>
      </c>
      <c r="P4665" s="64" t="str">
        <f aca="false">IF(AND($H4665&lt;&gt;"",ROUND($O4665,2)&lt;&gt;0),"有","")</f>
        <v/>
      </c>
    </row>
    <row r="4666" customFormat="false" ht="15" hidden="true" customHeight="false" outlineLevel="0" collapsed="false">
      <c r="A4666" s="53" t="str">
        <f aca="false">IF($H4666="","",ROW()-5)</f>
        <v/>
      </c>
      <c r="B4666" s="64" t="s">
        <v>38</v>
      </c>
      <c r="C4666" s="53" t="n">
        <v>136</v>
      </c>
      <c r="D4666" s="53" t="n">
        <v>1</v>
      </c>
      <c r="E4666" s="65" t="str">
        <f aca="false">IF($H4666="","",生产加工!$B136)</f>
        <v/>
      </c>
      <c r="F4666" s="55" t="str">
        <f aca="false">IF($H4666="","",生产加工!$C136)</f>
        <v/>
      </c>
      <c r="G4666" s="48" t="str">
        <f aca="false">IF($H4666="","",生产加工!$N136)</f>
        <v/>
      </c>
      <c r="H4666" s="10" t="str">
        <f aca="false">IF($L4666="","",IF($L4666="@对方",生产加工!$K136,IF($L4666="@存货",生产加工!$Q136,$L4666)))</f>
        <v/>
      </c>
      <c r="I4666" s="42" t="n">
        <f aca="false">IF($M4666="借",$O4666,0)</f>
        <v>0</v>
      </c>
      <c r="J4666" s="42" t="n">
        <f aca="false">IF($M4666="贷",$O4666,0)</f>
        <v>0</v>
      </c>
      <c r="K4666" s="48"/>
      <c r="L4666" s="66" t="str">
        <f aca="false">IF(生产加工!$E136="","",IFERROR(INDEX(记账规则!$A$36:$H$38,MATCH(生产加工!$E136,记账规则!$A$36:$A$38,0),3),""))</f>
        <v/>
      </c>
      <c r="M4666" s="66" t="str">
        <f aca="false">IF($L4666="","",IFERROR(INDEX(记账规则!$A$36:$H$38,MATCH(生产加工!$E136,记账规则!$A$36:$A$38,0),4),""))</f>
        <v/>
      </c>
      <c r="N4666" s="66" t="str">
        <f aca="false">IF($L4666="","",IFERROR(INDEX(记账规则!$A$36:$H$38,MATCH(生产加工!$E136,记账规则!$A$36:$A$38,0),5),""))</f>
        <v/>
      </c>
      <c r="O4666" s="67" t="n">
        <f aca="false">IF($H4666="",0,ROUND(IF($N4666="记账金额",N(生产加工!$U136),0),2))</f>
        <v>0</v>
      </c>
      <c r="P4666" s="64" t="str">
        <f aca="false">IF(AND($H4666&lt;&gt;"",ROUND($O4666,2)&lt;&gt;0),"有","")</f>
        <v/>
      </c>
    </row>
    <row r="4667" customFormat="false" ht="15" hidden="true" customHeight="false" outlineLevel="0" collapsed="false">
      <c r="A4667" s="53" t="str">
        <f aca="false">IF($H4667="","",ROW()-5)</f>
        <v/>
      </c>
      <c r="B4667" s="64" t="s">
        <v>38</v>
      </c>
      <c r="C4667" s="53" t="n">
        <v>136</v>
      </c>
      <c r="D4667" s="53" t="n">
        <v>2</v>
      </c>
      <c r="E4667" s="65" t="str">
        <f aca="false">IF($H4667="","",生产加工!$B136)</f>
        <v/>
      </c>
      <c r="F4667" s="55" t="str">
        <f aca="false">IF($H4667="","",生产加工!$C136)</f>
        <v/>
      </c>
      <c r="G4667" s="48" t="str">
        <f aca="false">IF($H4667="","",生产加工!$N136)</f>
        <v/>
      </c>
      <c r="H4667" s="10" t="str">
        <f aca="false">IF($L4667="","",IF($L4667="@对方",生产加工!$K136,IF($L4667="@存货",生产加工!$Q136,$L4667)))</f>
        <v/>
      </c>
      <c r="I4667" s="42" t="n">
        <f aca="false">IF($M4667="借",$O4667,0)</f>
        <v>0</v>
      </c>
      <c r="J4667" s="42" t="n">
        <f aca="false">IF($M4667="贷",$O4667,0)</f>
        <v>0</v>
      </c>
      <c r="K4667" s="48"/>
      <c r="L4667" s="66" t="str">
        <f aca="false">IF(生产加工!$E136="","",IFERROR(INDEX(记账规则!$A$36:$H$38,MATCH(生产加工!$E136,记账规则!$A$36:$A$38,0),6),""))</f>
        <v/>
      </c>
      <c r="M4667" s="66" t="str">
        <f aca="false">IF($L4667="","",IFERROR(INDEX(记账规则!$A$36:$H$38,MATCH(生产加工!$E136,记账规则!$A$36:$A$38,0),7),""))</f>
        <v/>
      </c>
      <c r="N4667" s="66" t="str">
        <f aca="false">IF($L4667="","",IFERROR(INDEX(记账规则!$A$36:$H$38,MATCH(生产加工!$E136,记账规则!$A$36:$A$38,0),8),""))</f>
        <v/>
      </c>
      <c r="O4667" s="67" t="n">
        <f aca="false">IF($H4667="",0,ROUND(IF($N4667="记账金额",N(生产加工!$U136),0),2))</f>
        <v>0</v>
      </c>
      <c r="P4667" s="64" t="str">
        <f aca="false">IF(AND($H4667&lt;&gt;"",ROUND($O4667,2)&lt;&gt;0),"有","")</f>
        <v/>
      </c>
    </row>
    <row r="4668" customFormat="false" ht="15" hidden="true" customHeight="false" outlineLevel="0" collapsed="false">
      <c r="A4668" s="53" t="str">
        <f aca="false">IF($H4668="","",ROW()-5)</f>
        <v/>
      </c>
      <c r="B4668" s="64" t="s">
        <v>38</v>
      </c>
      <c r="C4668" s="53" t="n">
        <v>137</v>
      </c>
      <c r="D4668" s="53" t="n">
        <v>1</v>
      </c>
      <c r="E4668" s="65" t="str">
        <f aca="false">IF($H4668="","",生产加工!$B137)</f>
        <v/>
      </c>
      <c r="F4668" s="55" t="str">
        <f aca="false">IF($H4668="","",生产加工!$C137)</f>
        <v/>
      </c>
      <c r="G4668" s="48" t="str">
        <f aca="false">IF($H4668="","",生产加工!$N137)</f>
        <v/>
      </c>
      <c r="H4668" s="10" t="str">
        <f aca="false">IF($L4668="","",IF($L4668="@对方",生产加工!$K137,IF($L4668="@存货",生产加工!$Q137,$L4668)))</f>
        <v/>
      </c>
      <c r="I4668" s="42" t="n">
        <f aca="false">IF($M4668="借",$O4668,0)</f>
        <v>0</v>
      </c>
      <c r="J4668" s="42" t="n">
        <f aca="false">IF($M4668="贷",$O4668,0)</f>
        <v>0</v>
      </c>
      <c r="K4668" s="48"/>
      <c r="L4668" s="66" t="str">
        <f aca="false">IF(生产加工!$E137="","",IFERROR(INDEX(记账规则!$A$36:$H$38,MATCH(生产加工!$E137,记账规则!$A$36:$A$38,0),3),""))</f>
        <v/>
      </c>
      <c r="M4668" s="66" t="str">
        <f aca="false">IF($L4668="","",IFERROR(INDEX(记账规则!$A$36:$H$38,MATCH(生产加工!$E137,记账规则!$A$36:$A$38,0),4),""))</f>
        <v/>
      </c>
      <c r="N4668" s="66" t="str">
        <f aca="false">IF($L4668="","",IFERROR(INDEX(记账规则!$A$36:$H$38,MATCH(生产加工!$E137,记账规则!$A$36:$A$38,0),5),""))</f>
        <v/>
      </c>
      <c r="O4668" s="67" t="n">
        <f aca="false">IF($H4668="",0,ROUND(IF($N4668="记账金额",N(生产加工!$U137),0),2))</f>
        <v>0</v>
      </c>
      <c r="P4668" s="64" t="str">
        <f aca="false">IF(AND($H4668&lt;&gt;"",ROUND($O4668,2)&lt;&gt;0),"有","")</f>
        <v/>
      </c>
    </row>
    <row r="4669" customFormat="false" ht="15" hidden="true" customHeight="false" outlineLevel="0" collapsed="false">
      <c r="A4669" s="53" t="str">
        <f aca="false">IF($H4669="","",ROW()-5)</f>
        <v/>
      </c>
      <c r="B4669" s="64" t="s">
        <v>38</v>
      </c>
      <c r="C4669" s="53" t="n">
        <v>137</v>
      </c>
      <c r="D4669" s="53" t="n">
        <v>2</v>
      </c>
      <c r="E4669" s="65" t="str">
        <f aca="false">IF($H4669="","",生产加工!$B137)</f>
        <v/>
      </c>
      <c r="F4669" s="55" t="str">
        <f aca="false">IF($H4669="","",生产加工!$C137)</f>
        <v/>
      </c>
      <c r="G4669" s="48" t="str">
        <f aca="false">IF($H4669="","",生产加工!$N137)</f>
        <v/>
      </c>
      <c r="H4669" s="10" t="str">
        <f aca="false">IF($L4669="","",IF($L4669="@对方",生产加工!$K137,IF($L4669="@存货",生产加工!$Q137,$L4669)))</f>
        <v/>
      </c>
      <c r="I4669" s="42" t="n">
        <f aca="false">IF($M4669="借",$O4669,0)</f>
        <v>0</v>
      </c>
      <c r="J4669" s="42" t="n">
        <f aca="false">IF($M4669="贷",$O4669,0)</f>
        <v>0</v>
      </c>
      <c r="K4669" s="48"/>
      <c r="L4669" s="66" t="str">
        <f aca="false">IF(生产加工!$E137="","",IFERROR(INDEX(记账规则!$A$36:$H$38,MATCH(生产加工!$E137,记账规则!$A$36:$A$38,0),6),""))</f>
        <v/>
      </c>
      <c r="M4669" s="66" t="str">
        <f aca="false">IF($L4669="","",IFERROR(INDEX(记账规则!$A$36:$H$38,MATCH(生产加工!$E137,记账规则!$A$36:$A$38,0),7),""))</f>
        <v/>
      </c>
      <c r="N4669" s="66" t="str">
        <f aca="false">IF($L4669="","",IFERROR(INDEX(记账规则!$A$36:$H$38,MATCH(生产加工!$E137,记账规则!$A$36:$A$38,0),8),""))</f>
        <v/>
      </c>
      <c r="O4669" s="67" t="n">
        <f aca="false">IF($H4669="",0,ROUND(IF($N4669="记账金额",N(生产加工!$U137),0),2))</f>
        <v>0</v>
      </c>
      <c r="P4669" s="64" t="str">
        <f aca="false">IF(AND($H4669&lt;&gt;"",ROUND($O4669,2)&lt;&gt;0),"有","")</f>
        <v/>
      </c>
    </row>
    <row r="4670" customFormat="false" ht="15" hidden="true" customHeight="false" outlineLevel="0" collapsed="false">
      <c r="A4670" s="53" t="str">
        <f aca="false">IF($H4670="","",ROW()-5)</f>
        <v/>
      </c>
      <c r="B4670" s="64" t="s">
        <v>38</v>
      </c>
      <c r="C4670" s="53" t="n">
        <v>138</v>
      </c>
      <c r="D4670" s="53" t="n">
        <v>1</v>
      </c>
      <c r="E4670" s="65" t="str">
        <f aca="false">IF($H4670="","",生产加工!$B138)</f>
        <v/>
      </c>
      <c r="F4670" s="55" t="str">
        <f aca="false">IF($H4670="","",生产加工!$C138)</f>
        <v/>
      </c>
      <c r="G4670" s="48" t="str">
        <f aca="false">IF($H4670="","",生产加工!$N138)</f>
        <v/>
      </c>
      <c r="H4670" s="10" t="str">
        <f aca="false">IF($L4670="","",IF($L4670="@对方",生产加工!$K138,IF($L4670="@存货",生产加工!$Q138,$L4670)))</f>
        <v/>
      </c>
      <c r="I4670" s="42" t="n">
        <f aca="false">IF($M4670="借",$O4670,0)</f>
        <v>0</v>
      </c>
      <c r="J4670" s="42" t="n">
        <f aca="false">IF($M4670="贷",$O4670,0)</f>
        <v>0</v>
      </c>
      <c r="K4670" s="48"/>
      <c r="L4670" s="66" t="str">
        <f aca="false">IF(生产加工!$E138="","",IFERROR(INDEX(记账规则!$A$36:$H$38,MATCH(生产加工!$E138,记账规则!$A$36:$A$38,0),3),""))</f>
        <v/>
      </c>
      <c r="M4670" s="66" t="str">
        <f aca="false">IF($L4670="","",IFERROR(INDEX(记账规则!$A$36:$H$38,MATCH(生产加工!$E138,记账规则!$A$36:$A$38,0),4),""))</f>
        <v/>
      </c>
      <c r="N4670" s="66" t="str">
        <f aca="false">IF($L4670="","",IFERROR(INDEX(记账规则!$A$36:$H$38,MATCH(生产加工!$E138,记账规则!$A$36:$A$38,0),5),""))</f>
        <v/>
      </c>
      <c r="O4670" s="67" t="n">
        <f aca="false">IF($H4670="",0,ROUND(IF($N4670="记账金额",N(生产加工!$U138),0),2))</f>
        <v>0</v>
      </c>
      <c r="P4670" s="64" t="str">
        <f aca="false">IF(AND($H4670&lt;&gt;"",ROUND($O4670,2)&lt;&gt;0),"有","")</f>
        <v/>
      </c>
    </row>
    <row r="4671" customFormat="false" ht="15" hidden="true" customHeight="false" outlineLevel="0" collapsed="false">
      <c r="A4671" s="53" t="str">
        <f aca="false">IF($H4671="","",ROW()-5)</f>
        <v/>
      </c>
      <c r="B4671" s="64" t="s">
        <v>38</v>
      </c>
      <c r="C4671" s="53" t="n">
        <v>138</v>
      </c>
      <c r="D4671" s="53" t="n">
        <v>2</v>
      </c>
      <c r="E4671" s="65" t="str">
        <f aca="false">IF($H4671="","",生产加工!$B138)</f>
        <v/>
      </c>
      <c r="F4671" s="55" t="str">
        <f aca="false">IF($H4671="","",生产加工!$C138)</f>
        <v/>
      </c>
      <c r="G4671" s="48" t="str">
        <f aca="false">IF($H4671="","",生产加工!$N138)</f>
        <v/>
      </c>
      <c r="H4671" s="10" t="str">
        <f aca="false">IF($L4671="","",IF($L4671="@对方",生产加工!$K138,IF($L4671="@存货",生产加工!$Q138,$L4671)))</f>
        <v/>
      </c>
      <c r="I4671" s="42" t="n">
        <f aca="false">IF($M4671="借",$O4671,0)</f>
        <v>0</v>
      </c>
      <c r="J4671" s="42" t="n">
        <f aca="false">IF($M4671="贷",$O4671,0)</f>
        <v>0</v>
      </c>
      <c r="K4671" s="48"/>
      <c r="L4671" s="66" t="str">
        <f aca="false">IF(生产加工!$E138="","",IFERROR(INDEX(记账规则!$A$36:$H$38,MATCH(生产加工!$E138,记账规则!$A$36:$A$38,0),6),""))</f>
        <v/>
      </c>
      <c r="M4671" s="66" t="str">
        <f aca="false">IF($L4671="","",IFERROR(INDEX(记账规则!$A$36:$H$38,MATCH(生产加工!$E138,记账规则!$A$36:$A$38,0),7),""))</f>
        <v/>
      </c>
      <c r="N4671" s="66" t="str">
        <f aca="false">IF($L4671="","",IFERROR(INDEX(记账规则!$A$36:$H$38,MATCH(生产加工!$E138,记账规则!$A$36:$A$38,0),8),""))</f>
        <v/>
      </c>
      <c r="O4671" s="67" t="n">
        <f aca="false">IF($H4671="",0,ROUND(IF($N4671="记账金额",N(生产加工!$U138),0),2))</f>
        <v>0</v>
      </c>
      <c r="P4671" s="64" t="str">
        <f aca="false">IF(AND($H4671&lt;&gt;"",ROUND($O4671,2)&lt;&gt;0),"有","")</f>
        <v/>
      </c>
    </row>
    <row r="4672" customFormat="false" ht="15" hidden="true" customHeight="false" outlineLevel="0" collapsed="false">
      <c r="A4672" s="53" t="str">
        <f aca="false">IF($H4672="","",ROW()-5)</f>
        <v/>
      </c>
      <c r="B4672" s="64" t="s">
        <v>38</v>
      </c>
      <c r="C4672" s="53" t="n">
        <v>139</v>
      </c>
      <c r="D4672" s="53" t="n">
        <v>1</v>
      </c>
      <c r="E4672" s="65" t="str">
        <f aca="false">IF($H4672="","",生产加工!$B139)</f>
        <v/>
      </c>
      <c r="F4672" s="55" t="str">
        <f aca="false">IF($H4672="","",生产加工!$C139)</f>
        <v/>
      </c>
      <c r="G4672" s="48" t="str">
        <f aca="false">IF($H4672="","",生产加工!$N139)</f>
        <v/>
      </c>
      <c r="H4672" s="10" t="str">
        <f aca="false">IF($L4672="","",IF($L4672="@对方",生产加工!$K139,IF($L4672="@存货",生产加工!$Q139,$L4672)))</f>
        <v/>
      </c>
      <c r="I4672" s="42" t="n">
        <f aca="false">IF($M4672="借",$O4672,0)</f>
        <v>0</v>
      </c>
      <c r="J4672" s="42" t="n">
        <f aca="false">IF($M4672="贷",$O4672,0)</f>
        <v>0</v>
      </c>
      <c r="K4672" s="48"/>
      <c r="L4672" s="66" t="str">
        <f aca="false">IF(生产加工!$E139="","",IFERROR(INDEX(记账规则!$A$36:$H$38,MATCH(生产加工!$E139,记账规则!$A$36:$A$38,0),3),""))</f>
        <v/>
      </c>
      <c r="M4672" s="66" t="str">
        <f aca="false">IF($L4672="","",IFERROR(INDEX(记账规则!$A$36:$H$38,MATCH(生产加工!$E139,记账规则!$A$36:$A$38,0),4),""))</f>
        <v/>
      </c>
      <c r="N4672" s="66" t="str">
        <f aca="false">IF($L4672="","",IFERROR(INDEX(记账规则!$A$36:$H$38,MATCH(生产加工!$E139,记账规则!$A$36:$A$38,0),5),""))</f>
        <v/>
      </c>
      <c r="O4672" s="67" t="n">
        <f aca="false">IF($H4672="",0,ROUND(IF($N4672="记账金额",N(生产加工!$U139),0),2))</f>
        <v>0</v>
      </c>
      <c r="P4672" s="64" t="str">
        <f aca="false">IF(AND($H4672&lt;&gt;"",ROUND($O4672,2)&lt;&gt;0),"有","")</f>
        <v/>
      </c>
    </row>
    <row r="4673" customFormat="false" ht="15" hidden="true" customHeight="false" outlineLevel="0" collapsed="false">
      <c r="A4673" s="53" t="str">
        <f aca="false">IF($H4673="","",ROW()-5)</f>
        <v/>
      </c>
      <c r="B4673" s="64" t="s">
        <v>38</v>
      </c>
      <c r="C4673" s="53" t="n">
        <v>139</v>
      </c>
      <c r="D4673" s="53" t="n">
        <v>2</v>
      </c>
      <c r="E4673" s="65" t="str">
        <f aca="false">IF($H4673="","",生产加工!$B139)</f>
        <v/>
      </c>
      <c r="F4673" s="55" t="str">
        <f aca="false">IF($H4673="","",生产加工!$C139)</f>
        <v/>
      </c>
      <c r="G4673" s="48" t="str">
        <f aca="false">IF($H4673="","",生产加工!$N139)</f>
        <v/>
      </c>
      <c r="H4673" s="10" t="str">
        <f aca="false">IF($L4673="","",IF($L4673="@对方",生产加工!$K139,IF($L4673="@存货",生产加工!$Q139,$L4673)))</f>
        <v/>
      </c>
      <c r="I4673" s="42" t="n">
        <f aca="false">IF($M4673="借",$O4673,0)</f>
        <v>0</v>
      </c>
      <c r="J4673" s="42" t="n">
        <f aca="false">IF($M4673="贷",$O4673,0)</f>
        <v>0</v>
      </c>
      <c r="K4673" s="48"/>
      <c r="L4673" s="66" t="str">
        <f aca="false">IF(生产加工!$E139="","",IFERROR(INDEX(记账规则!$A$36:$H$38,MATCH(生产加工!$E139,记账规则!$A$36:$A$38,0),6),""))</f>
        <v/>
      </c>
      <c r="M4673" s="66" t="str">
        <f aca="false">IF($L4673="","",IFERROR(INDEX(记账规则!$A$36:$H$38,MATCH(生产加工!$E139,记账规则!$A$36:$A$38,0),7),""))</f>
        <v/>
      </c>
      <c r="N4673" s="66" t="str">
        <f aca="false">IF($L4673="","",IFERROR(INDEX(记账规则!$A$36:$H$38,MATCH(生产加工!$E139,记账规则!$A$36:$A$38,0),8),""))</f>
        <v/>
      </c>
      <c r="O4673" s="67" t="n">
        <f aca="false">IF($H4673="",0,ROUND(IF($N4673="记账金额",N(生产加工!$U139),0),2))</f>
        <v>0</v>
      </c>
      <c r="P4673" s="64" t="str">
        <f aca="false">IF(AND($H4673&lt;&gt;"",ROUND($O4673,2)&lt;&gt;0),"有","")</f>
        <v/>
      </c>
    </row>
    <row r="4674" customFormat="false" ht="15" hidden="true" customHeight="false" outlineLevel="0" collapsed="false">
      <c r="A4674" s="53" t="str">
        <f aca="false">IF($H4674="","",ROW()-5)</f>
        <v/>
      </c>
      <c r="B4674" s="64" t="s">
        <v>38</v>
      </c>
      <c r="C4674" s="53" t="n">
        <v>140</v>
      </c>
      <c r="D4674" s="53" t="n">
        <v>1</v>
      </c>
      <c r="E4674" s="65" t="str">
        <f aca="false">IF($H4674="","",生产加工!$B140)</f>
        <v/>
      </c>
      <c r="F4674" s="55" t="str">
        <f aca="false">IF($H4674="","",生产加工!$C140)</f>
        <v/>
      </c>
      <c r="G4674" s="48" t="str">
        <f aca="false">IF($H4674="","",生产加工!$N140)</f>
        <v/>
      </c>
      <c r="H4674" s="10" t="str">
        <f aca="false">IF($L4674="","",IF($L4674="@对方",生产加工!$K140,IF($L4674="@存货",生产加工!$Q140,$L4674)))</f>
        <v/>
      </c>
      <c r="I4674" s="42" t="n">
        <f aca="false">IF($M4674="借",$O4674,0)</f>
        <v>0</v>
      </c>
      <c r="J4674" s="42" t="n">
        <f aca="false">IF($M4674="贷",$O4674,0)</f>
        <v>0</v>
      </c>
      <c r="K4674" s="48"/>
      <c r="L4674" s="66" t="str">
        <f aca="false">IF(生产加工!$E140="","",IFERROR(INDEX(记账规则!$A$36:$H$38,MATCH(生产加工!$E140,记账规则!$A$36:$A$38,0),3),""))</f>
        <v/>
      </c>
      <c r="M4674" s="66" t="str">
        <f aca="false">IF($L4674="","",IFERROR(INDEX(记账规则!$A$36:$H$38,MATCH(生产加工!$E140,记账规则!$A$36:$A$38,0),4),""))</f>
        <v/>
      </c>
      <c r="N4674" s="66" t="str">
        <f aca="false">IF($L4674="","",IFERROR(INDEX(记账规则!$A$36:$H$38,MATCH(生产加工!$E140,记账规则!$A$36:$A$38,0),5),""))</f>
        <v/>
      </c>
      <c r="O4674" s="67" t="n">
        <f aca="false">IF($H4674="",0,ROUND(IF($N4674="记账金额",N(生产加工!$U140),0),2))</f>
        <v>0</v>
      </c>
      <c r="P4674" s="64" t="str">
        <f aca="false">IF(AND($H4674&lt;&gt;"",ROUND($O4674,2)&lt;&gt;0),"有","")</f>
        <v/>
      </c>
    </row>
    <row r="4675" customFormat="false" ht="15" hidden="true" customHeight="false" outlineLevel="0" collapsed="false">
      <c r="A4675" s="53" t="str">
        <f aca="false">IF($H4675="","",ROW()-5)</f>
        <v/>
      </c>
      <c r="B4675" s="64" t="s">
        <v>38</v>
      </c>
      <c r="C4675" s="53" t="n">
        <v>140</v>
      </c>
      <c r="D4675" s="53" t="n">
        <v>2</v>
      </c>
      <c r="E4675" s="65" t="str">
        <f aca="false">IF($H4675="","",生产加工!$B140)</f>
        <v/>
      </c>
      <c r="F4675" s="55" t="str">
        <f aca="false">IF($H4675="","",生产加工!$C140)</f>
        <v/>
      </c>
      <c r="G4675" s="48" t="str">
        <f aca="false">IF($H4675="","",生产加工!$N140)</f>
        <v/>
      </c>
      <c r="H4675" s="10" t="str">
        <f aca="false">IF($L4675="","",IF($L4675="@对方",生产加工!$K140,IF($L4675="@存货",生产加工!$Q140,$L4675)))</f>
        <v/>
      </c>
      <c r="I4675" s="42" t="n">
        <f aca="false">IF($M4675="借",$O4675,0)</f>
        <v>0</v>
      </c>
      <c r="J4675" s="42" t="n">
        <f aca="false">IF($M4675="贷",$O4675,0)</f>
        <v>0</v>
      </c>
      <c r="K4675" s="48"/>
      <c r="L4675" s="66" t="str">
        <f aca="false">IF(生产加工!$E140="","",IFERROR(INDEX(记账规则!$A$36:$H$38,MATCH(生产加工!$E140,记账规则!$A$36:$A$38,0),6),""))</f>
        <v/>
      </c>
      <c r="M4675" s="66" t="str">
        <f aca="false">IF($L4675="","",IFERROR(INDEX(记账规则!$A$36:$H$38,MATCH(生产加工!$E140,记账规则!$A$36:$A$38,0),7),""))</f>
        <v/>
      </c>
      <c r="N4675" s="66" t="str">
        <f aca="false">IF($L4675="","",IFERROR(INDEX(记账规则!$A$36:$H$38,MATCH(生产加工!$E140,记账规则!$A$36:$A$38,0),8),""))</f>
        <v/>
      </c>
      <c r="O4675" s="67" t="n">
        <f aca="false">IF($H4675="",0,ROUND(IF($N4675="记账金额",N(生产加工!$U140),0),2))</f>
        <v>0</v>
      </c>
      <c r="P4675" s="64" t="str">
        <f aca="false">IF(AND($H4675&lt;&gt;"",ROUND($O4675,2)&lt;&gt;0),"有","")</f>
        <v/>
      </c>
    </row>
    <row r="4676" customFormat="false" ht="15" hidden="true" customHeight="false" outlineLevel="0" collapsed="false">
      <c r="A4676" s="53" t="str">
        <f aca="false">IF($H4676="","",ROW()-5)</f>
        <v/>
      </c>
      <c r="B4676" s="64" t="s">
        <v>38</v>
      </c>
      <c r="C4676" s="53" t="n">
        <v>141</v>
      </c>
      <c r="D4676" s="53" t="n">
        <v>1</v>
      </c>
      <c r="E4676" s="65" t="str">
        <f aca="false">IF($H4676="","",生产加工!$B141)</f>
        <v/>
      </c>
      <c r="F4676" s="55" t="str">
        <f aca="false">IF($H4676="","",生产加工!$C141)</f>
        <v/>
      </c>
      <c r="G4676" s="48" t="str">
        <f aca="false">IF($H4676="","",生产加工!$N141)</f>
        <v/>
      </c>
      <c r="H4676" s="10" t="str">
        <f aca="false">IF($L4676="","",IF($L4676="@对方",生产加工!$K141,IF($L4676="@存货",生产加工!$Q141,$L4676)))</f>
        <v/>
      </c>
      <c r="I4676" s="42" t="n">
        <f aca="false">IF($M4676="借",$O4676,0)</f>
        <v>0</v>
      </c>
      <c r="J4676" s="42" t="n">
        <f aca="false">IF($M4676="贷",$O4676,0)</f>
        <v>0</v>
      </c>
      <c r="K4676" s="48"/>
      <c r="L4676" s="66" t="str">
        <f aca="false">IF(生产加工!$E141="","",IFERROR(INDEX(记账规则!$A$36:$H$38,MATCH(生产加工!$E141,记账规则!$A$36:$A$38,0),3),""))</f>
        <v/>
      </c>
      <c r="M4676" s="66" t="str">
        <f aca="false">IF($L4676="","",IFERROR(INDEX(记账规则!$A$36:$H$38,MATCH(生产加工!$E141,记账规则!$A$36:$A$38,0),4),""))</f>
        <v/>
      </c>
      <c r="N4676" s="66" t="str">
        <f aca="false">IF($L4676="","",IFERROR(INDEX(记账规则!$A$36:$H$38,MATCH(生产加工!$E141,记账规则!$A$36:$A$38,0),5),""))</f>
        <v/>
      </c>
      <c r="O4676" s="67" t="n">
        <f aca="false">IF($H4676="",0,ROUND(IF($N4676="记账金额",N(生产加工!$U141),0),2))</f>
        <v>0</v>
      </c>
      <c r="P4676" s="64" t="str">
        <f aca="false">IF(AND($H4676&lt;&gt;"",ROUND($O4676,2)&lt;&gt;0),"有","")</f>
        <v/>
      </c>
    </row>
    <row r="4677" customFormat="false" ht="15" hidden="true" customHeight="false" outlineLevel="0" collapsed="false">
      <c r="A4677" s="53" t="str">
        <f aca="false">IF($H4677="","",ROW()-5)</f>
        <v/>
      </c>
      <c r="B4677" s="64" t="s">
        <v>38</v>
      </c>
      <c r="C4677" s="53" t="n">
        <v>141</v>
      </c>
      <c r="D4677" s="53" t="n">
        <v>2</v>
      </c>
      <c r="E4677" s="65" t="str">
        <f aca="false">IF($H4677="","",生产加工!$B141)</f>
        <v/>
      </c>
      <c r="F4677" s="55" t="str">
        <f aca="false">IF($H4677="","",生产加工!$C141)</f>
        <v/>
      </c>
      <c r="G4677" s="48" t="str">
        <f aca="false">IF($H4677="","",生产加工!$N141)</f>
        <v/>
      </c>
      <c r="H4677" s="10" t="str">
        <f aca="false">IF($L4677="","",IF($L4677="@对方",生产加工!$K141,IF($L4677="@存货",生产加工!$Q141,$L4677)))</f>
        <v/>
      </c>
      <c r="I4677" s="42" t="n">
        <f aca="false">IF($M4677="借",$O4677,0)</f>
        <v>0</v>
      </c>
      <c r="J4677" s="42" t="n">
        <f aca="false">IF($M4677="贷",$O4677,0)</f>
        <v>0</v>
      </c>
      <c r="K4677" s="48"/>
      <c r="L4677" s="66" t="str">
        <f aca="false">IF(生产加工!$E141="","",IFERROR(INDEX(记账规则!$A$36:$H$38,MATCH(生产加工!$E141,记账规则!$A$36:$A$38,0),6),""))</f>
        <v/>
      </c>
      <c r="M4677" s="66" t="str">
        <f aca="false">IF($L4677="","",IFERROR(INDEX(记账规则!$A$36:$H$38,MATCH(生产加工!$E141,记账规则!$A$36:$A$38,0),7),""))</f>
        <v/>
      </c>
      <c r="N4677" s="66" t="str">
        <f aca="false">IF($L4677="","",IFERROR(INDEX(记账规则!$A$36:$H$38,MATCH(生产加工!$E141,记账规则!$A$36:$A$38,0),8),""))</f>
        <v/>
      </c>
      <c r="O4677" s="67" t="n">
        <f aca="false">IF($H4677="",0,ROUND(IF($N4677="记账金额",N(生产加工!$U141),0),2))</f>
        <v>0</v>
      </c>
      <c r="P4677" s="64" t="str">
        <f aca="false">IF(AND($H4677&lt;&gt;"",ROUND($O4677,2)&lt;&gt;0),"有","")</f>
        <v/>
      </c>
    </row>
    <row r="4678" customFormat="false" ht="15" hidden="true" customHeight="false" outlineLevel="0" collapsed="false">
      <c r="A4678" s="53" t="str">
        <f aca="false">IF($H4678="","",ROW()-5)</f>
        <v/>
      </c>
      <c r="B4678" s="64" t="s">
        <v>38</v>
      </c>
      <c r="C4678" s="53" t="n">
        <v>142</v>
      </c>
      <c r="D4678" s="53" t="n">
        <v>1</v>
      </c>
      <c r="E4678" s="65" t="str">
        <f aca="false">IF($H4678="","",生产加工!$B142)</f>
        <v/>
      </c>
      <c r="F4678" s="55" t="str">
        <f aca="false">IF($H4678="","",生产加工!$C142)</f>
        <v/>
      </c>
      <c r="G4678" s="48" t="str">
        <f aca="false">IF($H4678="","",生产加工!$N142)</f>
        <v/>
      </c>
      <c r="H4678" s="10" t="str">
        <f aca="false">IF($L4678="","",IF($L4678="@对方",生产加工!$K142,IF($L4678="@存货",生产加工!$Q142,$L4678)))</f>
        <v/>
      </c>
      <c r="I4678" s="42" t="n">
        <f aca="false">IF($M4678="借",$O4678,0)</f>
        <v>0</v>
      </c>
      <c r="J4678" s="42" t="n">
        <f aca="false">IF($M4678="贷",$O4678,0)</f>
        <v>0</v>
      </c>
      <c r="K4678" s="48"/>
      <c r="L4678" s="66" t="str">
        <f aca="false">IF(生产加工!$E142="","",IFERROR(INDEX(记账规则!$A$36:$H$38,MATCH(生产加工!$E142,记账规则!$A$36:$A$38,0),3),""))</f>
        <v/>
      </c>
      <c r="M4678" s="66" t="str">
        <f aca="false">IF($L4678="","",IFERROR(INDEX(记账规则!$A$36:$H$38,MATCH(生产加工!$E142,记账规则!$A$36:$A$38,0),4),""))</f>
        <v/>
      </c>
      <c r="N4678" s="66" t="str">
        <f aca="false">IF($L4678="","",IFERROR(INDEX(记账规则!$A$36:$H$38,MATCH(生产加工!$E142,记账规则!$A$36:$A$38,0),5),""))</f>
        <v/>
      </c>
      <c r="O4678" s="67" t="n">
        <f aca="false">IF($H4678="",0,ROUND(IF($N4678="记账金额",N(生产加工!$U142),0),2))</f>
        <v>0</v>
      </c>
      <c r="P4678" s="64" t="str">
        <f aca="false">IF(AND($H4678&lt;&gt;"",ROUND($O4678,2)&lt;&gt;0),"有","")</f>
        <v/>
      </c>
    </row>
    <row r="4679" customFormat="false" ht="15" hidden="true" customHeight="false" outlineLevel="0" collapsed="false">
      <c r="A4679" s="53" t="str">
        <f aca="false">IF($H4679="","",ROW()-5)</f>
        <v/>
      </c>
      <c r="B4679" s="64" t="s">
        <v>38</v>
      </c>
      <c r="C4679" s="53" t="n">
        <v>142</v>
      </c>
      <c r="D4679" s="53" t="n">
        <v>2</v>
      </c>
      <c r="E4679" s="65" t="str">
        <f aca="false">IF($H4679="","",生产加工!$B142)</f>
        <v/>
      </c>
      <c r="F4679" s="55" t="str">
        <f aca="false">IF($H4679="","",生产加工!$C142)</f>
        <v/>
      </c>
      <c r="G4679" s="48" t="str">
        <f aca="false">IF($H4679="","",生产加工!$N142)</f>
        <v/>
      </c>
      <c r="H4679" s="10" t="str">
        <f aca="false">IF($L4679="","",IF($L4679="@对方",生产加工!$K142,IF($L4679="@存货",生产加工!$Q142,$L4679)))</f>
        <v/>
      </c>
      <c r="I4679" s="42" t="n">
        <f aca="false">IF($M4679="借",$O4679,0)</f>
        <v>0</v>
      </c>
      <c r="J4679" s="42" t="n">
        <f aca="false">IF($M4679="贷",$O4679,0)</f>
        <v>0</v>
      </c>
      <c r="K4679" s="48"/>
      <c r="L4679" s="66" t="str">
        <f aca="false">IF(生产加工!$E142="","",IFERROR(INDEX(记账规则!$A$36:$H$38,MATCH(生产加工!$E142,记账规则!$A$36:$A$38,0),6),""))</f>
        <v/>
      </c>
      <c r="M4679" s="66" t="str">
        <f aca="false">IF($L4679="","",IFERROR(INDEX(记账规则!$A$36:$H$38,MATCH(生产加工!$E142,记账规则!$A$36:$A$38,0),7),""))</f>
        <v/>
      </c>
      <c r="N4679" s="66" t="str">
        <f aca="false">IF($L4679="","",IFERROR(INDEX(记账规则!$A$36:$H$38,MATCH(生产加工!$E142,记账规则!$A$36:$A$38,0),8),""))</f>
        <v/>
      </c>
      <c r="O4679" s="67" t="n">
        <f aca="false">IF($H4679="",0,ROUND(IF($N4679="记账金额",N(生产加工!$U142),0),2))</f>
        <v>0</v>
      </c>
      <c r="P4679" s="64" t="str">
        <f aca="false">IF(AND($H4679&lt;&gt;"",ROUND($O4679,2)&lt;&gt;0),"有","")</f>
        <v/>
      </c>
    </row>
    <row r="4680" customFormat="false" ht="15" hidden="true" customHeight="false" outlineLevel="0" collapsed="false">
      <c r="A4680" s="53" t="str">
        <f aca="false">IF($H4680="","",ROW()-5)</f>
        <v/>
      </c>
      <c r="B4680" s="64" t="s">
        <v>38</v>
      </c>
      <c r="C4680" s="53" t="n">
        <v>143</v>
      </c>
      <c r="D4680" s="53" t="n">
        <v>1</v>
      </c>
      <c r="E4680" s="65" t="str">
        <f aca="false">IF($H4680="","",生产加工!$B143)</f>
        <v/>
      </c>
      <c r="F4680" s="55" t="str">
        <f aca="false">IF($H4680="","",生产加工!$C143)</f>
        <v/>
      </c>
      <c r="G4680" s="48" t="str">
        <f aca="false">IF($H4680="","",生产加工!$N143)</f>
        <v/>
      </c>
      <c r="H4680" s="10" t="str">
        <f aca="false">IF($L4680="","",IF($L4680="@对方",生产加工!$K143,IF($L4680="@存货",生产加工!$Q143,$L4680)))</f>
        <v/>
      </c>
      <c r="I4680" s="42" t="n">
        <f aca="false">IF($M4680="借",$O4680,0)</f>
        <v>0</v>
      </c>
      <c r="J4680" s="42" t="n">
        <f aca="false">IF($M4680="贷",$O4680,0)</f>
        <v>0</v>
      </c>
      <c r="K4680" s="48"/>
      <c r="L4680" s="66" t="str">
        <f aca="false">IF(生产加工!$E143="","",IFERROR(INDEX(记账规则!$A$36:$H$38,MATCH(生产加工!$E143,记账规则!$A$36:$A$38,0),3),""))</f>
        <v/>
      </c>
      <c r="M4680" s="66" t="str">
        <f aca="false">IF($L4680="","",IFERROR(INDEX(记账规则!$A$36:$H$38,MATCH(生产加工!$E143,记账规则!$A$36:$A$38,0),4),""))</f>
        <v/>
      </c>
      <c r="N4680" s="66" t="str">
        <f aca="false">IF($L4680="","",IFERROR(INDEX(记账规则!$A$36:$H$38,MATCH(生产加工!$E143,记账规则!$A$36:$A$38,0),5),""))</f>
        <v/>
      </c>
      <c r="O4680" s="67" t="n">
        <f aca="false">IF($H4680="",0,ROUND(IF($N4680="记账金额",N(生产加工!$U143),0),2))</f>
        <v>0</v>
      </c>
      <c r="P4680" s="64" t="str">
        <f aca="false">IF(AND($H4680&lt;&gt;"",ROUND($O4680,2)&lt;&gt;0),"有","")</f>
        <v/>
      </c>
    </row>
    <row r="4681" customFormat="false" ht="15" hidden="true" customHeight="false" outlineLevel="0" collapsed="false">
      <c r="A4681" s="53" t="str">
        <f aca="false">IF($H4681="","",ROW()-5)</f>
        <v/>
      </c>
      <c r="B4681" s="64" t="s">
        <v>38</v>
      </c>
      <c r="C4681" s="53" t="n">
        <v>143</v>
      </c>
      <c r="D4681" s="53" t="n">
        <v>2</v>
      </c>
      <c r="E4681" s="65" t="str">
        <f aca="false">IF($H4681="","",生产加工!$B143)</f>
        <v/>
      </c>
      <c r="F4681" s="55" t="str">
        <f aca="false">IF($H4681="","",生产加工!$C143)</f>
        <v/>
      </c>
      <c r="G4681" s="48" t="str">
        <f aca="false">IF($H4681="","",生产加工!$N143)</f>
        <v/>
      </c>
      <c r="H4681" s="10" t="str">
        <f aca="false">IF($L4681="","",IF($L4681="@对方",生产加工!$K143,IF($L4681="@存货",生产加工!$Q143,$L4681)))</f>
        <v/>
      </c>
      <c r="I4681" s="42" t="n">
        <f aca="false">IF($M4681="借",$O4681,0)</f>
        <v>0</v>
      </c>
      <c r="J4681" s="42" t="n">
        <f aca="false">IF($M4681="贷",$O4681,0)</f>
        <v>0</v>
      </c>
      <c r="K4681" s="48"/>
      <c r="L4681" s="66" t="str">
        <f aca="false">IF(生产加工!$E143="","",IFERROR(INDEX(记账规则!$A$36:$H$38,MATCH(生产加工!$E143,记账规则!$A$36:$A$38,0),6),""))</f>
        <v/>
      </c>
      <c r="M4681" s="66" t="str">
        <f aca="false">IF($L4681="","",IFERROR(INDEX(记账规则!$A$36:$H$38,MATCH(生产加工!$E143,记账规则!$A$36:$A$38,0),7),""))</f>
        <v/>
      </c>
      <c r="N4681" s="66" t="str">
        <f aca="false">IF($L4681="","",IFERROR(INDEX(记账规则!$A$36:$H$38,MATCH(生产加工!$E143,记账规则!$A$36:$A$38,0),8),""))</f>
        <v/>
      </c>
      <c r="O4681" s="67" t="n">
        <f aca="false">IF($H4681="",0,ROUND(IF($N4681="记账金额",N(生产加工!$U143),0),2))</f>
        <v>0</v>
      </c>
      <c r="P4681" s="64" t="str">
        <f aca="false">IF(AND($H4681&lt;&gt;"",ROUND($O4681,2)&lt;&gt;0),"有","")</f>
        <v/>
      </c>
    </row>
    <row r="4682" customFormat="false" ht="15" hidden="true" customHeight="false" outlineLevel="0" collapsed="false">
      <c r="A4682" s="53" t="str">
        <f aca="false">IF($H4682="","",ROW()-5)</f>
        <v/>
      </c>
      <c r="B4682" s="64" t="s">
        <v>38</v>
      </c>
      <c r="C4682" s="53" t="n">
        <v>144</v>
      </c>
      <c r="D4682" s="53" t="n">
        <v>1</v>
      </c>
      <c r="E4682" s="65" t="str">
        <f aca="false">IF($H4682="","",生产加工!$B144)</f>
        <v/>
      </c>
      <c r="F4682" s="55" t="str">
        <f aca="false">IF($H4682="","",生产加工!$C144)</f>
        <v/>
      </c>
      <c r="G4682" s="48" t="str">
        <f aca="false">IF($H4682="","",生产加工!$N144)</f>
        <v/>
      </c>
      <c r="H4682" s="10" t="str">
        <f aca="false">IF($L4682="","",IF($L4682="@对方",生产加工!$K144,IF($L4682="@存货",生产加工!$Q144,$L4682)))</f>
        <v/>
      </c>
      <c r="I4682" s="42" t="n">
        <f aca="false">IF($M4682="借",$O4682,0)</f>
        <v>0</v>
      </c>
      <c r="J4682" s="42" t="n">
        <f aca="false">IF($M4682="贷",$O4682,0)</f>
        <v>0</v>
      </c>
      <c r="K4682" s="48"/>
      <c r="L4682" s="66" t="str">
        <f aca="false">IF(生产加工!$E144="","",IFERROR(INDEX(记账规则!$A$36:$H$38,MATCH(生产加工!$E144,记账规则!$A$36:$A$38,0),3),""))</f>
        <v/>
      </c>
      <c r="M4682" s="66" t="str">
        <f aca="false">IF($L4682="","",IFERROR(INDEX(记账规则!$A$36:$H$38,MATCH(生产加工!$E144,记账规则!$A$36:$A$38,0),4),""))</f>
        <v/>
      </c>
      <c r="N4682" s="66" t="str">
        <f aca="false">IF($L4682="","",IFERROR(INDEX(记账规则!$A$36:$H$38,MATCH(生产加工!$E144,记账规则!$A$36:$A$38,0),5),""))</f>
        <v/>
      </c>
      <c r="O4682" s="67" t="n">
        <f aca="false">IF($H4682="",0,ROUND(IF($N4682="记账金额",N(生产加工!$U144),0),2))</f>
        <v>0</v>
      </c>
      <c r="P4682" s="64" t="str">
        <f aca="false">IF(AND($H4682&lt;&gt;"",ROUND($O4682,2)&lt;&gt;0),"有","")</f>
        <v/>
      </c>
    </row>
    <row r="4683" customFormat="false" ht="15" hidden="true" customHeight="false" outlineLevel="0" collapsed="false">
      <c r="A4683" s="53" t="str">
        <f aca="false">IF($H4683="","",ROW()-5)</f>
        <v/>
      </c>
      <c r="B4683" s="64" t="s">
        <v>38</v>
      </c>
      <c r="C4683" s="53" t="n">
        <v>144</v>
      </c>
      <c r="D4683" s="53" t="n">
        <v>2</v>
      </c>
      <c r="E4683" s="65" t="str">
        <f aca="false">IF($H4683="","",生产加工!$B144)</f>
        <v/>
      </c>
      <c r="F4683" s="55" t="str">
        <f aca="false">IF($H4683="","",生产加工!$C144)</f>
        <v/>
      </c>
      <c r="G4683" s="48" t="str">
        <f aca="false">IF($H4683="","",生产加工!$N144)</f>
        <v/>
      </c>
      <c r="H4683" s="10" t="str">
        <f aca="false">IF($L4683="","",IF($L4683="@对方",生产加工!$K144,IF($L4683="@存货",生产加工!$Q144,$L4683)))</f>
        <v/>
      </c>
      <c r="I4683" s="42" t="n">
        <f aca="false">IF($M4683="借",$O4683,0)</f>
        <v>0</v>
      </c>
      <c r="J4683" s="42" t="n">
        <f aca="false">IF($M4683="贷",$O4683,0)</f>
        <v>0</v>
      </c>
      <c r="K4683" s="48"/>
      <c r="L4683" s="66" t="str">
        <f aca="false">IF(生产加工!$E144="","",IFERROR(INDEX(记账规则!$A$36:$H$38,MATCH(生产加工!$E144,记账规则!$A$36:$A$38,0),6),""))</f>
        <v/>
      </c>
      <c r="M4683" s="66" t="str">
        <f aca="false">IF($L4683="","",IFERROR(INDEX(记账规则!$A$36:$H$38,MATCH(生产加工!$E144,记账规则!$A$36:$A$38,0),7),""))</f>
        <v/>
      </c>
      <c r="N4683" s="66" t="str">
        <f aca="false">IF($L4683="","",IFERROR(INDEX(记账规则!$A$36:$H$38,MATCH(生产加工!$E144,记账规则!$A$36:$A$38,0),8),""))</f>
        <v/>
      </c>
      <c r="O4683" s="67" t="n">
        <f aca="false">IF($H4683="",0,ROUND(IF($N4683="记账金额",N(生产加工!$U144),0),2))</f>
        <v>0</v>
      </c>
      <c r="P4683" s="64" t="str">
        <f aca="false">IF(AND($H4683&lt;&gt;"",ROUND($O4683,2)&lt;&gt;0),"有","")</f>
        <v/>
      </c>
    </row>
    <row r="4684" customFormat="false" ht="15" hidden="true" customHeight="false" outlineLevel="0" collapsed="false">
      <c r="A4684" s="53" t="str">
        <f aca="false">IF($H4684="","",ROW()-5)</f>
        <v/>
      </c>
      <c r="B4684" s="64" t="s">
        <v>38</v>
      </c>
      <c r="C4684" s="53" t="n">
        <v>145</v>
      </c>
      <c r="D4684" s="53" t="n">
        <v>1</v>
      </c>
      <c r="E4684" s="65" t="str">
        <f aca="false">IF($H4684="","",生产加工!$B145)</f>
        <v/>
      </c>
      <c r="F4684" s="55" t="str">
        <f aca="false">IF($H4684="","",生产加工!$C145)</f>
        <v/>
      </c>
      <c r="G4684" s="48" t="str">
        <f aca="false">IF($H4684="","",生产加工!$N145)</f>
        <v/>
      </c>
      <c r="H4684" s="10" t="str">
        <f aca="false">IF($L4684="","",IF($L4684="@对方",生产加工!$K145,IF($L4684="@存货",生产加工!$Q145,$L4684)))</f>
        <v/>
      </c>
      <c r="I4684" s="42" t="n">
        <f aca="false">IF($M4684="借",$O4684,0)</f>
        <v>0</v>
      </c>
      <c r="J4684" s="42" t="n">
        <f aca="false">IF($M4684="贷",$O4684,0)</f>
        <v>0</v>
      </c>
      <c r="K4684" s="48"/>
      <c r="L4684" s="66" t="str">
        <f aca="false">IF(生产加工!$E145="","",IFERROR(INDEX(记账规则!$A$36:$H$38,MATCH(生产加工!$E145,记账规则!$A$36:$A$38,0),3),""))</f>
        <v/>
      </c>
      <c r="M4684" s="66" t="str">
        <f aca="false">IF($L4684="","",IFERROR(INDEX(记账规则!$A$36:$H$38,MATCH(生产加工!$E145,记账规则!$A$36:$A$38,0),4),""))</f>
        <v/>
      </c>
      <c r="N4684" s="66" t="str">
        <f aca="false">IF($L4684="","",IFERROR(INDEX(记账规则!$A$36:$H$38,MATCH(生产加工!$E145,记账规则!$A$36:$A$38,0),5),""))</f>
        <v/>
      </c>
      <c r="O4684" s="67" t="n">
        <f aca="false">IF($H4684="",0,ROUND(IF($N4684="记账金额",N(生产加工!$U145),0),2))</f>
        <v>0</v>
      </c>
      <c r="P4684" s="64" t="str">
        <f aca="false">IF(AND($H4684&lt;&gt;"",ROUND($O4684,2)&lt;&gt;0),"有","")</f>
        <v/>
      </c>
    </row>
    <row r="4685" customFormat="false" ht="15" hidden="true" customHeight="false" outlineLevel="0" collapsed="false">
      <c r="A4685" s="53" t="str">
        <f aca="false">IF($H4685="","",ROW()-5)</f>
        <v/>
      </c>
      <c r="B4685" s="64" t="s">
        <v>38</v>
      </c>
      <c r="C4685" s="53" t="n">
        <v>145</v>
      </c>
      <c r="D4685" s="53" t="n">
        <v>2</v>
      </c>
      <c r="E4685" s="65" t="str">
        <f aca="false">IF($H4685="","",生产加工!$B145)</f>
        <v/>
      </c>
      <c r="F4685" s="55" t="str">
        <f aca="false">IF($H4685="","",生产加工!$C145)</f>
        <v/>
      </c>
      <c r="G4685" s="48" t="str">
        <f aca="false">IF($H4685="","",生产加工!$N145)</f>
        <v/>
      </c>
      <c r="H4685" s="10" t="str">
        <f aca="false">IF($L4685="","",IF($L4685="@对方",生产加工!$K145,IF($L4685="@存货",生产加工!$Q145,$L4685)))</f>
        <v/>
      </c>
      <c r="I4685" s="42" t="n">
        <f aca="false">IF($M4685="借",$O4685,0)</f>
        <v>0</v>
      </c>
      <c r="J4685" s="42" t="n">
        <f aca="false">IF($M4685="贷",$O4685,0)</f>
        <v>0</v>
      </c>
      <c r="K4685" s="48"/>
      <c r="L4685" s="66" t="str">
        <f aca="false">IF(生产加工!$E145="","",IFERROR(INDEX(记账规则!$A$36:$H$38,MATCH(生产加工!$E145,记账规则!$A$36:$A$38,0),6),""))</f>
        <v/>
      </c>
      <c r="M4685" s="66" t="str">
        <f aca="false">IF($L4685="","",IFERROR(INDEX(记账规则!$A$36:$H$38,MATCH(生产加工!$E145,记账规则!$A$36:$A$38,0),7),""))</f>
        <v/>
      </c>
      <c r="N4685" s="66" t="str">
        <f aca="false">IF($L4685="","",IFERROR(INDEX(记账规则!$A$36:$H$38,MATCH(生产加工!$E145,记账规则!$A$36:$A$38,0),8),""))</f>
        <v/>
      </c>
      <c r="O4685" s="67" t="n">
        <f aca="false">IF($H4685="",0,ROUND(IF($N4685="记账金额",N(生产加工!$U145),0),2))</f>
        <v>0</v>
      </c>
      <c r="P4685" s="64" t="str">
        <f aca="false">IF(AND($H4685&lt;&gt;"",ROUND($O4685,2)&lt;&gt;0),"有","")</f>
        <v/>
      </c>
    </row>
    <row r="4686" customFormat="false" ht="15" hidden="true" customHeight="false" outlineLevel="0" collapsed="false">
      <c r="A4686" s="53" t="str">
        <f aca="false">IF($H4686="","",ROW()-5)</f>
        <v/>
      </c>
      <c r="B4686" s="64" t="s">
        <v>38</v>
      </c>
      <c r="C4686" s="53" t="n">
        <v>146</v>
      </c>
      <c r="D4686" s="53" t="n">
        <v>1</v>
      </c>
      <c r="E4686" s="65" t="str">
        <f aca="false">IF($H4686="","",生产加工!$B146)</f>
        <v/>
      </c>
      <c r="F4686" s="55" t="str">
        <f aca="false">IF($H4686="","",生产加工!$C146)</f>
        <v/>
      </c>
      <c r="G4686" s="48" t="str">
        <f aca="false">IF($H4686="","",生产加工!$N146)</f>
        <v/>
      </c>
      <c r="H4686" s="10" t="str">
        <f aca="false">IF($L4686="","",IF($L4686="@对方",生产加工!$K146,IF($L4686="@存货",生产加工!$Q146,$L4686)))</f>
        <v/>
      </c>
      <c r="I4686" s="42" t="n">
        <f aca="false">IF($M4686="借",$O4686,0)</f>
        <v>0</v>
      </c>
      <c r="J4686" s="42" t="n">
        <f aca="false">IF($M4686="贷",$O4686,0)</f>
        <v>0</v>
      </c>
      <c r="K4686" s="48"/>
      <c r="L4686" s="66" t="str">
        <f aca="false">IF(生产加工!$E146="","",IFERROR(INDEX(记账规则!$A$36:$H$38,MATCH(生产加工!$E146,记账规则!$A$36:$A$38,0),3),""))</f>
        <v/>
      </c>
      <c r="M4686" s="66" t="str">
        <f aca="false">IF($L4686="","",IFERROR(INDEX(记账规则!$A$36:$H$38,MATCH(生产加工!$E146,记账规则!$A$36:$A$38,0),4),""))</f>
        <v/>
      </c>
      <c r="N4686" s="66" t="str">
        <f aca="false">IF($L4686="","",IFERROR(INDEX(记账规则!$A$36:$H$38,MATCH(生产加工!$E146,记账规则!$A$36:$A$38,0),5),""))</f>
        <v/>
      </c>
      <c r="O4686" s="67" t="n">
        <f aca="false">IF($H4686="",0,ROUND(IF($N4686="记账金额",N(生产加工!$U146),0),2))</f>
        <v>0</v>
      </c>
      <c r="P4686" s="64" t="str">
        <f aca="false">IF(AND($H4686&lt;&gt;"",ROUND($O4686,2)&lt;&gt;0),"有","")</f>
        <v/>
      </c>
    </row>
    <row r="4687" customFormat="false" ht="15" hidden="true" customHeight="false" outlineLevel="0" collapsed="false">
      <c r="A4687" s="53" t="str">
        <f aca="false">IF($H4687="","",ROW()-5)</f>
        <v/>
      </c>
      <c r="B4687" s="64" t="s">
        <v>38</v>
      </c>
      <c r="C4687" s="53" t="n">
        <v>146</v>
      </c>
      <c r="D4687" s="53" t="n">
        <v>2</v>
      </c>
      <c r="E4687" s="65" t="str">
        <f aca="false">IF($H4687="","",生产加工!$B146)</f>
        <v/>
      </c>
      <c r="F4687" s="55" t="str">
        <f aca="false">IF($H4687="","",生产加工!$C146)</f>
        <v/>
      </c>
      <c r="G4687" s="48" t="str">
        <f aca="false">IF($H4687="","",生产加工!$N146)</f>
        <v/>
      </c>
      <c r="H4687" s="10" t="str">
        <f aca="false">IF($L4687="","",IF($L4687="@对方",生产加工!$K146,IF($L4687="@存货",生产加工!$Q146,$L4687)))</f>
        <v/>
      </c>
      <c r="I4687" s="42" t="n">
        <f aca="false">IF($M4687="借",$O4687,0)</f>
        <v>0</v>
      </c>
      <c r="J4687" s="42" t="n">
        <f aca="false">IF($M4687="贷",$O4687,0)</f>
        <v>0</v>
      </c>
      <c r="K4687" s="48"/>
      <c r="L4687" s="66" t="str">
        <f aca="false">IF(生产加工!$E146="","",IFERROR(INDEX(记账规则!$A$36:$H$38,MATCH(生产加工!$E146,记账规则!$A$36:$A$38,0),6),""))</f>
        <v/>
      </c>
      <c r="M4687" s="66" t="str">
        <f aca="false">IF($L4687="","",IFERROR(INDEX(记账规则!$A$36:$H$38,MATCH(生产加工!$E146,记账规则!$A$36:$A$38,0),7),""))</f>
        <v/>
      </c>
      <c r="N4687" s="66" t="str">
        <f aca="false">IF($L4687="","",IFERROR(INDEX(记账规则!$A$36:$H$38,MATCH(生产加工!$E146,记账规则!$A$36:$A$38,0),8),""))</f>
        <v/>
      </c>
      <c r="O4687" s="67" t="n">
        <f aca="false">IF($H4687="",0,ROUND(IF($N4687="记账金额",N(生产加工!$U146),0),2))</f>
        <v>0</v>
      </c>
      <c r="P4687" s="64" t="str">
        <f aca="false">IF(AND($H4687&lt;&gt;"",ROUND($O4687,2)&lt;&gt;0),"有","")</f>
        <v/>
      </c>
    </row>
    <row r="4688" customFormat="false" ht="15" hidden="true" customHeight="false" outlineLevel="0" collapsed="false">
      <c r="A4688" s="53" t="str">
        <f aca="false">IF($H4688="","",ROW()-5)</f>
        <v/>
      </c>
      <c r="B4688" s="64" t="s">
        <v>38</v>
      </c>
      <c r="C4688" s="53" t="n">
        <v>147</v>
      </c>
      <c r="D4688" s="53" t="n">
        <v>1</v>
      </c>
      <c r="E4688" s="65" t="str">
        <f aca="false">IF($H4688="","",生产加工!$B147)</f>
        <v/>
      </c>
      <c r="F4688" s="55" t="str">
        <f aca="false">IF($H4688="","",生产加工!$C147)</f>
        <v/>
      </c>
      <c r="G4688" s="48" t="str">
        <f aca="false">IF($H4688="","",生产加工!$N147)</f>
        <v/>
      </c>
      <c r="H4688" s="10" t="str">
        <f aca="false">IF($L4688="","",IF($L4688="@对方",生产加工!$K147,IF($L4688="@存货",生产加工!$Q147,$L4688)))</f>
        <v/>
      </c>
      <c r="I4688" s="42" t="n">
        <f aca="false">IF($M4688="借",$O4688,0)</f>
        <v>0</v>
      </c>
      <c r="J4688" s="42" t="n">
        <f aca="false">IF($M4688="贷",$O4688,0)</f>
        <v>0</v>
      </c>
      <c r="K4688" s="48"/>
      <c r="L4688" s="66" t="str">
        <f aca="false">IF(生产加工!$E147="","",IFERROR(INDEX(记账规则!$A$36:$H$38,MATCH(生产加工!$E147,记账规则!$A$36:$A$38,0),3),""))</f>
        <v/>
      </c>
      <c r="M4688" s="66" t="str">
        <f aca="false">IF($L4688="","",IFERROR(INDEX(记账规则!$A$36:$H$38,MATCH(生产加工!$E147,记账规则!$A$36:$A$38,0),4),""))</f>
        <v/>
      </c>
      <c r="N4688" s="66" t="str">
        <f aca="false">IF($L4688="","",IFERROR(INDEX(记账规则!$A$36:$H$38,MATCH(生产加工!$E147,记账规则!$A$36:$A$38,0),5),""))</f>
        <v/>
      </c>
      <c r="O4688" s="67" t="n">
        <f aca="false">IF($H4688="",0,ROUND(IF($N4688="记账金额",N(生产加工!$U147),0),2))</f>
        <v>0</v>
      </c>
      <c r="P4688" s="64" t="str">
        <f aca="false">IF(AND($H4688&lt;&gt;"",ROUND($O4688,2)&lt;&gt;0),"有","")</f>
        <v/>
      </c>
    </row>
    <row r="4689" customFormat="false" ht="15" hidden="true" customHeight="false" outlineLevel="0" collapsed="false">
      <c r="A4689" s="53" t="str">
        <f aca="false">IF($H4689="","",ROW()-5)</f>
        <v/>
      </c>
      <c r="B4689" s="64" t="s">
        <v>38</v>
      </c>
      <c r="C4689" s="53" t="n">
        <v>147</v>
      </c>
      <c r="D4689" s="53" t="n">
        <v>2</v>
      </c>
      <c r="E4689" s="65" t="str">
        <f aca="false">IF($H4689="","",生产加工!$B147)</f>
        <v/>
      </c>
      <c r="F4689" s="55" t="str">
        <f aca="false">IF($H4689="","",生产加工!$C147)</f>
        <v/>
      </c>
      <c r="G4689" s="48" t="str">
        <f aca="false">IF($H4689="","",生产加工!$N147)</f>
        <v/>
      </c>
      <c r="H4689" s="10" t="str">
        <f aca="false">IF($L4689="","",IF($L4689="@对方",生产加工!$K147,IF($L4689="@存货",生产加工!$Q147,$L4689)))</f>
        <v/>
      </c>
      <c r="I4689" s="42" t="n">
        <f aca="false">IF($M4689="借",$O4689,0)</f>
        <v>0</v>
      </c>
      <c r="J4689" s="42" t="n">
        <f aca="false">IF($M4689="贷",$O4689,0)</f>
        <v>0</v>
      </c>
      <c r="K4689" s="48"/>
      <c r="L4689" s="66" t="str">
        <f aca="false">IF(生产加工!$E147="","",IFERROR(INDEX(记账规则!$A$36:$H$38,MATCH(生产加工!$E147,记账规则!$A$36:$A$38,0),6),""))</f>
        <v/>
      </c>
      <c r="M4689" s="66" t="str">
        <f aca="false">IF($L4689="","",IFERROR(INDEX(记账规则!$A$36:$H$38,MATCH(生产加工!$E147,记账规则!$A$36:$A$38,0),7),""))</f>
        <v/>
      </c>
      <c r="N4689" s="66" t="str">
        <f aca="false">IF($L4689="","",IFERROR(INDEX(记账规则!$A$36:$H$38,MATCH(生产加工!$E147,记账规则!$A$36:$A$38,0),8),""))</f>
        <v/>
      </c>
      <c r="O4689" s="67" t="n">
        <f aca="false">IF($H4689="",0,ROUND(IF($N4689="记账金额",N(生产加工!$U147),0),2))</f>
        <v>0</v>
      </c>
      <c r="P4689" s="64" t="str">
        <f aca="false">IF(AND($H4689&lt;&gt;"",ROUND($O4689,2)&lt;&gt;0),"有","")</f>
        <v/>
      </c>
    </row>
    <row r="4690" customFormat="false" ht="15" hidden="true" customHeight="false" outlineLevel="0" collapsed="false">
      <c r="A4690" s="53" t="str">
        <f aca="false">IF($H4690="","",ROW()-5)</f>
        <v/>
      </c>
      <c r="B4690" s="64" t="s">
        <v>38</v>
      </c>
      <c r="C4690" s="53" t="n">
        <v>148</v>
      </c>
      <c r="D4690" s="53" t="n">
        <v>1</v>
      </c>
      <c r="E4690" s="65" t="str">
        <f aca="false">IF($H4690="","",生产加工!$B148)</f>
        <v/>
      </c>
      <c r="F4690" s="55" t="str">
        <f aca="false">IF($H4690="","",生产加工!$C148)</f>
        <v/>
      </c>
      <c r="G4690" s="48" t="str">
        <f aca="false">IF($H4690="","",生产加工!$N148)</f>
        <v/>
      </c>
      <c r="H4690" s="10" t="str">
        <f aca="false">IF($L4690="","",IF($L4690="@对方",生产加工!$K148,IF($L4690="@存货",生产加工!$Q148,$L4690)))</f>
        <v/>
      </c>
      <c r="I4690" s="42" t="n">
        <f aca="false">IF($M4690="借",$O4690,0)</f>
        <v>0</v>
      </c>
      <c r="J4690" s="42" t="n">
        <f aca="false">IF($M4690="贷",$O4690,0)</f>
        <v>0</v>
      </c>
      <c r="K4690" s="48"/>
      <c r="L4690" s="66" t="str">
        <f aca="false">IF(生产加工!$E148="","",IFERROR(INDEX(记账规则!$A$36:$H$38,MATCH(生产加工!$E148,记账规则!$A$36:$A$38,0),3),""))</f>
        <v/>
      </c>
      <c r="M4690" s="66" t="str">
        <f aca="false">IF($L4690="","",IFERROR(INDEX(记账规则!$A$36:$H$38,MATCH(生产加工!$E148,记账规则!$A$36:$A$38,0),4),""))</f>
        <v/>
      </c>
      <c r="N4690" s="66" t="str">
        <f aca="false">IF($L4690="","",IFERROR(INDEX(记账规则!$A$36:$H$38,MATCH(生产加工!$E148,记账规则!$A$36:$A$38,0),5),""))</f>
        <v/>
      </c>
      <c r="O4690" s="67" t="n">
        <f aca="false">IF($H4690="",0,ROUND(IF($N4690="记账金额",N(生产加工!$U148),0),2))</f>
        <v>0</v>
      </c>
      <c r="P4690" s="64" t="str">
        <f aca="false">IF(AND($H4690&lt;&gt;"",ROUND($O4690,2)&lt;&gt;0),"有","")</f>
        <v/>
      </c>
    </row>
    <row r="4691" customFormat="false" ht="15" hidden="true" customHeight="false" outlineLevel="0" collapsed="false">
      <c r="A4691" s="53" t="str">
        <f aca="false">IF($H4691="","",ROW()-5)</f>
        <v/>
      </c>
      <c r="B4691" s="64" t="s">
        <v>38</v>
      </c>
      <c r="C4691" s="53" t="n">
        <v>148</v>
      </c>
      <c r="D4691" s="53" t="n">
        <v>2</v>
      </c>
      <c r="E4691" s="65" t="str">
        <f aca="false">IF($H4691="","",生产加工!$B148)</f>
        <v/>
      </c>
      <c r="F4691" s="55" t="str">
        <f aca="false">IF($H4691="","",生产加工!$C148)</f>
        <v/>
      </c>
      <c r="G4691" s="48" t="str">
        <f aca="false">IF($H4691="","",生产加工!$N148)</f>
        <v/>
      </c>
      <c r="H4691" s="10" t="str">
        <f aca="false">IF($L4691="","",IF($L4691="@对方",生产加工!$K148,IF($L4691="@存货",生产加工!$Q148,$L4691)))</f>
        <v/>
      </c>
      <c r="I4691" s="42" t="n">
        <f aca="false">IF($M4691="借",$O4691,0)</f>
        <v>0</v>
      </c>
      <c r="J4691" s="42" t="n">
        <f aca="false">IF($M4691="贷",$O4691,0)</f>
        <v>0</v>
      </c>
      <c r="K4691" s="48"/>
      <c r="L4691" s="66" t="str">
        <f aca="false">IF(生产加工!$E148="","",IFERROR(INDEX(记账规则!$A$36:$H$38,MATCH(生产加工!$E148,记账规则!$A$36:$A$38,0),6),""))</f>
        <v/>
      </c>
      <c r="M4691" s="66" t="str">
        <f aca="false">IF($L4691="","",IFERROR(INDEX(记账规则!$A$36:$H$38,MATCH(生产加工!$E148,记账规则!$A$36:$A$38,0),7),""))</f>
        <v/>
      </c>
      <c r="N4691" s="66" t="str">
        <f aca="false">IF($L4691="","",IFERROR(INDEX(记账规则!$A$36:$H$38,MATCH(生产加工!$E148,记账规则!$A$36:$A$38,0),8),""))</f>
        <v/>
      </c>
      <c r="O4691" s="67" t="n">
        <f aca="false">IF($H4691="",0,ROUND(IF($N4691="记账金额",N(生产加工!$U148),0),2))</f>
        <v>0</v>
      </c>
      <c r="P4691" s="64" t="str">
        <f aca="false">IF(AND($H4691&lt;&gt;"",ROUND($O4691,2)&lt;&gt;0),"有","")</f>
        <v/>
      </c>
    </row>
    <row r="4692" customFormat="false" ht="15" hidden="true" customHeight="false" outlineLevel="0" collapsed="false">
      <c r="A4692" s="53" t="str">
        <f aca="false">IF($H4692="","",ROW()-5)</f>
        <v/>
      </c>
      <c r="B4692" s="64" t="s">
        <v>38</v>
      </c>
      <c r="C4692" s="53" t="n">
        <v>149</v>
      </c>
      <c r="D4692" s="53" t="n">
        <v>1</v>
      </c>
      <c r="E4692" s="65" t="str">
        <f aca="false">IF($H4692="","",生产加工!$B149)</f>
        <v/>
      </c>
      <c r="F4692" s="55" t="str">
        <f aca="false">IF($H4692="","",生产加工!$C149)</f>
        <v/>
      </c>
      <c r="G4692" s="48" t="str">
        <f aca="false">IF($H4692="","",生产加工!$N149)</f>
        <v/>
      </c>
      <c r="H4692" s="10" t="str">
        <f aca="false">IF($L4692="","",IF($L4692="@对方",生产加工!$K149,IF($L4692="@存货",生产加工!$Q149,$L4692)))</f>
        <v/>
      </c>
      <c r="I4692" s="42" t="n">
        <f aca="false">IF($M4692="借",$O4692,0)</f>
        <v>0</v>
      </c>
      <c r="J4692" s="42" t="n">
        <f aca="false">IF($M4692="贷",$O4692,0)</f>
        <v>0</v>
      </c>
      <c r="K4692" s="48"/>
      <c r="L4692" s="66" t="str">
        <f aca="false">IF(生产加工!$E149="","",IFERROR(INDEX(记账规则!$A$36:$H$38,MATCH(生产加工!$E149,记账规则!$A$36:$A$38,0),3),""))</f>
        <v/>
      </c>
      <c r="M4692" s="66" t="str">
        <f aca="false">IF($L4692="","",IFERROR(INDEX(记账规则!$A$36:$H$38,MATCH(生产加工!$E149,记账规则!$A$36:$A$38,0),4),""))</f>
        <v/>
      </c>
      <c r="N4692" s="66" t="str">
        <f aca="false">IF($L4692="","",IFERROR(INDEX(记账规则!$A$36:$H$38,MATCH(生产加工!$E149,记账规则!$A$36:$A$38,0),5),""))</f>
        <v/>
      </c>
      <c r="O4692" s="67" t="n">
        <f aca="false">IF($H4692="",0,ROUND(IF($N4692="记账金额",N(生产加工!$U149),0),2))</f>
        <v>0</v>
      </c>
      <c r="P4692" s="64" t="str">
        <f aca="false">IF(AND($H4692&lt;&gt;"",ROUND($O4692,2)&lt;&gt;0),"有","")</f>
        <v/>
      </c>
    </row>
    <row r="4693" customFormat="false" ht="15" hidden="true" customHeight="false" outlineLevel="0" collapsed="false">
      <c r="A4693" s="53" t="str">
        <f aca="false">IF($H4693="","",ROW()-5)</f>
        <v/>
      </c>
      <c r="B4693" s="64" t="s">
        <v>38</v>
      </c>
      <c r="C4693" s="53" t="n">
        <v>149</v>
      </c>
      <c r="D4693" s="53" t="n">
        <v>2</v>
      </c>
      <c r="E4693" s="65" t="str">
        <f aca="false">IF($H4693="","",生产加工!$B149)</f>
        <v/>
      </c>
      <c r="F4693" s="55" t="str">
        <f aca="false">IF($H4693="","",生产加工!$C149)</f>
        <v/>
      </c>
      <c r="G4693" s="48" t="str">
        <f aca="false">IF($H4693="","",生产加工!$N149)</f>
        <v/>
      </c>
      <c r="H4693" s="10" t="str">
        <f aca="false">IF($L4693="","",IF($L4693="@对方",生产加工!$K149,IF($L4693="@存货",生产加工!$Q149,$L4693)))</f>
        <v/>
      </c>
      <c r="I4693" s="42" t="n">
        <f aca="false">IF($M4693="借",$O4693,0)</f>
        <v>0</v>
      </c>
      <c r="J4693" s="42" t="n">
        <f aca="false">IF($M4693="贷",$O4693,0)</f>
        <v>0</v>
      </c>
      <c r="K4693" s="48"/>
      <c r="L4693" s="66" t="str">
        <f aca="false">IF(生产加工!$E149="","",IFERROR(INDEX(记账规则!$A$36:$H$38,MATCH(生产加工!$E149,记账规则!$A$36:$A$38,0),6),""))</f>
        <v/>
      </c>
      <c r="M4693" s="66" t="str">
        <f aca="false">IF($L4693="","",IFERROR(INDEX(记账规则!$A$36:$H$38,MATCH(生产加工!$E149,记账规则!$A$36:$A$38,0),7),""))</f>
        <v/>
      </c>
      <c r="N4693" s="66" t="str">
        <f aca="false">IF($L4693="","",IFERROR(INDEX(记账规则!$A$36:$H$38,MATCH(生产加工!$E149,记账规则!$A$36:$A$38,0),8),""))</f>
        <v/>
      </c>
      <c r="O4693" s="67" t="n">
        <f aca="false">IF($H4693="",0,ROUND(IF($N4693="记账金额",N(生产加工!$U149),0),2))</f>
        <v>0</v>
      </c>
      <c r="P4693" s="64" t="str">
        <f aca="false">IF(AND($H4693&lt;&gt;"",ROUND($O4693,2)&lt;&gt;0),"有","")</f>
        <v/>
      </c>
    </row>
    <row r="4694" customFormat="false" ht="15" hidden="true" customHeight="false" outlineLevel="0" collapsed="false">
      <c r="A4694" s="53" t="str">
        <f aca="false">IF($H4694="","",ROW()-5)</f>
        <v/>
      </c>
      <c r="B4694" s="64" t="s">
        <v>38</v>
      </c>
      <c r="C4694" s="53" t="n">
        <v>150</v>
      </c>
      <c r="D4694" s="53" t="n">
        <v>1</v>
      </c>
      <c r="E4694" s="65" t="str">
        <f aca="false">IF($H4694="","",生产加工!$B150)</f>
        <v/>
      </c>
      <c r="F4694" s="55" t="str">
        <f aca="false">IF($H4694="","",生产加工!$C150)</f>
        <v/>
      </c>
      <c r="G4694" s="48" t="str">
        <f aca="false">IF($H4694="","",生产加工!$N150)</f>
        <v/>
      </c>
      <c r="H4694" s="10" t="str">
        <f aca="false">IF($L4694="","",IF($L4694="@对方",生产加工!$K150,IF($L4694="@存货",生产加工!$Q150,$L4694)))</f>
        <v/>
      </c>
      <c r="I4694" s="42" t="n">
        <f aca="false">IF($M4694="借",$O4694,0)</f>
        <v>0</v>
      </c>
      <c r="J4694" s="42" t="n">
        <f aca="false">IF($M4694="贷",$O4694,0)</f>
        <v>0</v>
      </c>
      <c r="K4694" s="48"/>
      <c r="L4694" s="66" t="str">
        <f aca="false">IF(生产加工!$E150="","",IFERROR(INDEX(记账规则!$A$36:$H$38,MATCH(生产加工!$E150,记账规则!$A$36:$A$38,0),3),""))</f>
        <v/>
      </c>
      <c r="M4694" s="66" t="str">
        <f aca="false">IF($L4694="","",IFERROR(INDEX(记账规则!$A$36:$H$38,MATCH(生产加工!$E150,记账规则!$A$36:$A$38,0),4),""))</f>
        <v/>
      </c>
      <c r="N4694" s="66" t="str">
        <f aca="false">IF($L4694="","",IFERROR(INDEX(记账规则!$A$36:$H$38,MATCH(生产加工!$E150,记账规则!$A$36:$A$38,0),5),""))</f>
        <v/>
      </c>
      <c r="O4694" s="67" t="n">
        <f aca="false">IF($H4694="",0,ROUND(IF($N4694="记账金额",N(生产加工!$U150),0),2))</f>
        <v>0</v>
      </c>
      <c r="P4694" s="64" t="str">
        <f aca="false">IF(AND($H4694&lt;&gt;"",ROUND($O4694,2)&lt;&gt;0),"有","")</f>
        <v/>
      </c>
    </row>
    <row r="4695" customFormat="false" ht="15" hidden="true" customHeight="false" outlineLevel="0" collapsed="false">
      <c r="A4695" s="53" t="str">
        <f aca="false">IF($H4695="","",ROW()-5)</f>
        <v/>
      </c>
      <c r="B4695" s="64" t="s">
        <v>38</v>
      </c>
      <c r="C4695" s="53" t="n">
        <v>150</v>
      </c>
      <c r="D4695" s="53" t="n">
        <v>2</v>
      </c>
      <c r="E4695" s="65" t="str">
        <f aca="false">IF($H4695="","",生产加工!$B150)</f>
        <v/>
      </c>
      <c r="F4695" s="55" t="str">
        <f aca="false">IF($H4695="","",生产加工!$C150)</f>
        <v/>
      </c>
      <c r="G4695" s="48" t="str">
        <f aca="false">IF($H4695="","",生产加工!$N150)</f>
        <v/>
      </c>
      <c r="H4695" s="10" t="str">
        <f aca="false">IF($L4695="","",IF($L4695="@对方",生产加工!$K150,IF($L4695="@存货",生产加工!$Q150,$L4695)))</f>
        <v/>
      </c>
      <c r="I4695" s="42" t="n">
        <f aca="false">IF($M4695="借",$O4695,0)</f>
        <v>0</v>
      </c>
      <c r="J4695" s="42" t="n">
        <f aca="false">IF($M4695="贷",$O4695,0)</f>
        <v>0</v>
      </c>
      <c r="K4695" s="48"/>
      <c r="L4695" s="66" t="str">
        <f aca="false">IF(生产加工!$E150="","",IFERROR(INDEX(记账规则!$A$36:$H$38,MATCH(生产加工!$E150,记账规则!$A$36:$A$38,0),6),""))</f>
        <v/>
      </c>
      <c r="M4695" s="66" t="str">
        <f aca="false">IF($L4695="","",IFERROR(INDEX(记账规则!$A$36:$H$38,MATCH(生产加工!$E150,记账规则!$A$36:$A$38,0),7),""))</f>
        <v/>
      </c>
      <c r="N4695" s="66" t="str">
        <f aca="false">IF($L4695="","",IFERROR(INDEX(记账规则!$A$36:$H$38,MATCH(生产加工!$E150,记账规则!$A$36:$A$38,0),8),""))</f>
        <v/>
      </c>
      <c r="O4695" s="67" t="n">
        <f aca="false">IF($H4695="",0,ROUND(IF($N4695="记账金额",N(生产加工!$U150),0),2))</f>
        <v>0</v>
      </c>
      <c r="P4695" s="64" t="str">
        <f aca="false">IF(AND($H4695&lt;&gt;"",ROUND($O4695,2)&lt;&gt;0),"有","")</f>
        <v/>
      </c>
    </row>
    <row r="4696" customFormat="false" ht="15" hidden="true" customHeight="false" outlineLevel="0" collapsed="false">
      <c r="A4696" s="53" t="str">
        <f aca="false">IF($H4696="","",ROW()-5)</f>
        <v/>
      </c>
      <c r="B4696" s="64" t="s">
        <v>38</v>
      </c>
      <c r="C4696" s="53" t="n">
        <v>151</v>
      </c>
      <c r="D4696" s="53" t="n">
        <v>1</v>
      </c>
      <c r="E4696" s="65" t="str">
        <f aca="false">IF($H4696="","",生产加工!$B151)</f>
        <v/>
      </c>
      <c r="F4696" s="55" t="str">
        <f aca="false">IF($H4696="","",生产加工!$C151)</f>
        <v/>
      </c>
      <c r="G4696" s="48" t="str">
        <f aca="false">IF($H4696="","",生产加工!$N151)</f>
        <v/>
      </c>
      <c r="H4696" s="10" t="str">
        <f aca="false">IF($L4696="","",IF($L4696="@对方",生产加工!$K151,IF($L4696="@存货",生产加工!$Q151,$L4696)))</f>
        <v/>
      </c>
      <c r="I4696" s="42" t="n">
        <f aca="false">IF($M4696="借",$O4696,0)</f>
        <v>0</v>
      </c>
      <c r="J4696" s="42" t="n">
        <f aca="false">IF($M4696="贷",$O4696,0)</f>
        <v>0</v>
      </c>
      <c r="K4696" s="48"/>
      <c r="L4696" s="66" t="str">
        <f aca="false">IF(生产加工!$E151="","",IFERROR(INDEX(记账规则!$A$36:$H$38,MATCH(生产加工!$E151,记账规则!$A$36:$A$38,0),3),""))</f>
        <v/>
      </c>
      <c r="M4696" s="66" t="str">
        <f aca="false">IF($L4696="","",IFERROR(INDEX(记账规则!$A$36:$H$38,MATCH(生产加工!$E151,记账规则!$A$36:$A$38,0),4),""))</f>
        <v/>
      </c>
      <c r="N4696" s="66" t="str">
        <f aca="false">IF($L4696="","",IFERROR(INDEX(记账规则!$A$36:$H$38,MATCH(生产加工!$E151,记账规则!$A$36:$A$38,0),5),""))</f>
        <v/>
      </c>
      <c r="O4696" s="67" t="n">
        <f aca="false">IF($H4696="",0,ROUND(IF($N4696="记账金额",N(生产加工!$U151),0),2))</f>
        <v>0</v>
      </c>
      <c r="P4696" s="64" t="str">
        <f aca="false">IF(AND($H4696&lt;&gt;"",ROUND($O4696,2)&lt;&gt;0),"有","")</f>
        <v/>
      </c>
    </row>
    <row r="4697" customFormat="false" ht="15" hidden="true" customHeight="false" outlineLevel="0" collapsed="false">
      <c r="A4697" s="53" t="str">
        <f aca="false">IF($H4697="","",ROW()-5)</f>
        <v/>
      </c>
      <c r="B4697" s="64" t="s">
        <v>38</v>
      </c>
      <c r="C4697" s="53" t="n">
        <v>151</v>
      </c>
      <c r="D4697" s="53" t="n">
        <v>2</v>
      </c>
      <c r="E4697" s="65" t="str">
        <f aca="false">IF($H4697="","",生产加工!$B151)</f>
        <v/>
      </c>
      <c r="F4697" s="55" t="str">
        <f aca="false">IF($H4697="","",生产加工!$C151)</f>
        <v/>
      </c>
      <c r="G4697" s="48" t="str">
        <f aca="false">IF($H4697="","",生产加工!$N151)</f>
        <v/>
      </c>
      <c r="H4697" s="10" t="str">
        <f aca="false">IF($L4697="","",IF($L4697="@对方",生产加工!$K151,IF($L4697="@存货",生产加工!$Q151,$L4697)))</f>
        <v/>
      </c>
      <c r="I4697" s="42" t="n">
        <f aca="false">IF($M4697="借",$O4697,0)</f>
        <v>0</v>
      </c>
      <c r="J4697" s="42" t="n">
        <f aca="false">IF($M4697="贷",$O4697,0)</f>
        <v>0</v>
      </c>
      <c r="K4697" s="48"/>
      <c r="L4697" s="66" t="str">
        <f aca="false">IF(生产加工!$E151="","",IFERROR(INDEX(记账规则!$A$36:$H$38,MATCH(生产加工!$E151,记账规则!$A$36:$A$38,0),6),""))</f>
        <v/>
      </c>
      <c r="M4697" s="66" t="str">
        <f aca="false">IF($L4697="","",IFERROR(INDEX(记账规则!$A$36:$H$38,MATCH(生产加工!$E151,记账规则!$A$36:$A$38,0),7),""))</f>
        <v/>
      </c>
      <c r="N4697" s="66" t="str">
        <f aca="false">IF($L4697="","",IFERROR(INDEX(记账规则!$A$36:$H$38,MATCH(生产加工!$E151,记账规则!$A$36:$A$38,0),8),""))</f>
        <v/>
      </c>
      <c r="O4697" s="67" t="n">
        <f aca="false">IF($H4697="",0,ROUND(IF($N4697="记账金额",N(生产加工!$U151),0),2))</f>
        <v>0</v>
      </c>
      <c r="P4697" s="64" t="str">
        <f aca="false">IF(AND($H4697&lt;&gt;"",ROUND($O4697,2)&lt;&gt;0),"有","")</f>
        <v/>
      </c>
    </row>
    <row r="4698" customFormat="false" ht="15" hidden="true" customHeight="false" outlineLevel="0" collapsed="false">
      <c r="A4698" s="53" t="str">
        <f aca="false">IF($H4698="","",ROW()-5)</f>
        <v/>
      </c>
      <c r="B4698" s="64" t="s">
        <v>38</v>
      </c>
      <c r="C4698" s="53" t="n">
        <v>152</v>
      </c>
      <c r="D4698" s="53" t="n">
        <v>1</v>
      </c>
      <c r="E4698" s="65" t="str">
        <f aca="false">IF($H4698="","",生产加工!$B152)</f>
        <v/>
      </c>
      <c r="F4698" s="55" t="str">
        <f aca="false">IF($H4698="","",生产加工!$C152)</f>
        <v/>
      </c>
      <c r="G4698" s="48" t="str">
        <f aca="false">IF($H4698="","",生产加工!$N152)</f>
        <v/>
      </c>
      <c r="H4698" s="10" t="str">
        <f aca="false">IF($L4698="","",IF($L4698="@对方",生产加工!$K152,IF($L4698="@存货",生产加工!$Q152,$L4698)))</f>
        <v/>
      </c>
      <c r="I4698" s="42" t="n">
        <f aca="false">IF($M4698="借",$O4698,0)</f>
        <v>0</v>
      </c>
      <c r="J4698" s="42" t="n">
        <f aca="false">IF($M4698="贷",$O4698,0)</f>
        <v>0</v>
      </c>
      <c r="K4698" s="48"/>
      <c r="L4698" s="66" t="str">
        <f aca="false">IF(生产加工!$E152="","",IFERROR(INDEX(记账规则!$A$36:$H$38,MATCH(生产加工!$E152,记账规则!$A$36:$A$38,0),3),""))</f>
        <v/>
      </c>
      <c r="M4698" s="66" t="str">
        <f aca="false">IF($L4698="","",IFERROR(INDEX(记账规则!$A$36:$H$38,MATCH(生产加工!$E152,记账规则!$A$36:$A$38,0),4),""))</f>
        <v/>
      </c>
      <c r="N4698" s="66" t="str">
        <f aca="false">IF($L4698="","",IFERROR(INDEX(记账规则!$A$36:$H$38,MATCH(生产加工!$E152,记账规则!$A$36:$A$38,0),5),""))</f>
        <v/>
      </c>
      <c r="O4698" s="67" t="n">
        <f aca="false">IF($H4698="",0,ROUND(IF($N4698="记账金额",N(生产加工!$U152),0),2))</f>
        <v>0</v>
      </c>
      <c r="P4698" s="64" t="str">
        <f aca="false">IF(AND($H4698&lt;&gt;"",ROUND($O4698,2)&lt;&gt;0),"有","")</f>
        <v/>
      </c>
    </row>
    <row r="4699" customFormat="false" ht="15" hidden="true" customHeight="false" outlineLevel="0" collapsed="false">
      <c r="A4699" s="53" t="str">
        <f aca="false">IF($H4699="","",ROW()-5)</f>
        <v/>
      </c>
      <c r="B4699" s="64" t="s">
        <v>38</v>
      </c>
      <c r="C4699" s="53" t="n">
        <v>152</v>
      </c>
      <c r="D4699" s="53" t="n">
        <v>2</v>
      </c>
      <c r="E4699" s="65" t="str">
        <f aca="false">IF($H4699="","",生产加工!$B152)</f>
        <v/>
      </c>
      <c r="F4699" s="55" t="str">
        <f aca="false">IF($H4699="","",生产加工!$C152)</f>
        <v/>
      </c>
      <c r="G4699" s="48" t="str">
        <f aca="false">IF($H4699="","",生产加工!$N152)</f>
        <v/>
      </c>
      <c r="H4699" s="10" t="str">
        <f aca="false">IF($L4699="","",IF($L4699="@对方",生产加工!$K152,IF($L4699="@存货",生产加工!$Q152,$L4699)))</f>
        <v/>
      </c>
      <c r="I4699" s="42" t="n">
        <f aca="false">IF($M4699="借",$O4699,0)</f>
        <v>0</v>
      </c>
      <c r="J4699" s="42" t="n">
        <f aca="false">IF($M4699="贷",$O4699,0)</f>
        <v>0</v>
      </c>
      <c r="K4699" s="48"/>
      <c r="L4699" s="66" t="str">
        <f aca="false">IF(生产加工!$E152="","",IFERROR(INDEX(记账规则!$A$36:$H$38,MATCH(生产加工!$E152,记账规则!$A$36:$A$38,0),6),""))</f>
        <v/>
      </c>
      <c r="M4699" s="66" t="str">
        <f aca="false">IF($L4699="","",IFERROR(INDEX(记账规则!$A$36:$H$38,MATCH(生产加工!$E152,记账规则!$A$36:$A$38,0),7),""))</f>
        <v/>
      </c>
      <c r="N4699" s="66" t="str">
        <f aca="false">IF($L4699="","",IFERROR(INDEX(记账规则!$A$36:$H$38,MATCH(生产加工!$E152,记账规则!$A$36:$A$38,0),8),""))</f>
        <v/>
      </c>
      <c r="O4699" s="67" t="n">
        <f aca="false">IF($H4699="",0,ROUND(IF($N4699="记账金额",N(生产加工!$U152),0),2))</f>
        <v>0</v>
      </c>
      <c r="P4699" s="64" t="str">
        <f aca="false">IF(AND($H4699&lt;&gt;"",ROUND($O4699,2)&lt;&gt;0),"有","")</f>
        <v/>
      </c>
    </row>
    <row r="4700" customFormat="false" ht="15" hidden="true" customHeight="false" outlineLevel="0" collapsed="false">
      <c r="A4700" s="53" t="str">
        <f aca="false">IF($H4700="","",ROW()-5)</f>
        <v/>
      </c>
      <c r="B4700" s="64" t="s">
        <v>38</v>
      </c>
      <c r="C4700" s="53" t="n">
        <v>153</v>
      </c>
      <c r="D4700" s="53" t="n">
        <v>1</v>
      </c>
      <c r="E4700" s="65" t="str">
        <f aca="false">IF($H4700="","",生产加工!$B153)</f>
        <v/>
      </c>
      <c r="F4700" s="55" t="str">
        <f aca="false">IF($H4700="","",生产加工!$C153)</f>
        <v/>
      </c>
      <c r="G4700" s="48" t="str">
        <f aca="false">IF($H4700="","",生产加工!$N153)</f>
        <v/>
      </c>
      <c r="H4700" s="10" t="str">
        <f aca="false">IF($L4700="","",IF($L4700="@对方",生产加工!$K153,IF($L4700="@存货",生产加工!$Q153,$L4700)))</f>
        <v/>
      </c>
      <c r="I4700" s="42" t="n">
        <f aca="false">IF($M4700="借",$O4700,0)</f>
        <v>0</v>
      </c>
      <c r="J4700" s="42" t="n">
        <f aca="false">IF($M4700="贷",$O4700,0)</f>
        <v>0</v>
      </c>
      <c r="K4700" s="48"/>
      <c r="L4700" s="66" t="str">
        <f aca="false">IF(生产加工!$E153="","",IFERROR(INDEX(记账规则!$A$36:$H$38,MATCH(生产加工!$E153,记账规则!$A$36:$A$38,0),3),""))</f>
        <v/>
      </c>
      <c r="M4700" s="66" t="str">
        <f aca="false">IF($L4700="","",IFERROR(INDEX(记账规则!$A$36:$H$38,MATCH(生产加工!$E153,记账规则!$A$36:$A$38,0),4),""))</f>
        <v/>
      </c>
      <c r="N4700" s="66" t="str">
        <f aca="false">IF($L4700="","",IFERROR(INDEX(记账规则!$A$36:$H$38,MATCH(生产加工!$E153,记账规则!$A$36:$A$38,0),5),""))</f>
        <v/>
      </c>
      <c r="O4700" s="67" t="n">
        <f aca="false">IF($H4700="",0,ROUND(IF($N4700="记账金额",N(生产加工!$U153),0),2))</f>
        <v>0</v>
      </c>
      <c r="P4700" s="64" t="str">
        <f aca="false">IF(AND($H4700&lt;&gt;"",ROUND($O4700,2)&lt;&gt;0),"有","")</f>
        <v/>
      </c>
    </row>
    <row r="4701" customFormat="false" ht="15" hidden="true" customHeight="false" outlineLevel="0" collapsed="false">
      <c r="A4701" s="53" t="str">
        <f aca="false">IF($H4701="","",ROW()-5)</f>
        <v/>
      </c>
      <c r="B4701" s="64" t="s">
        <v>38</v>
      </c>
      <c r="C4701" s="53" t="n">
        <v>153</v>
      </c>
      <c r="D4701" s="53" t="n">
        <v>2</v>
      </c>
      <c r="E4701" s="65" t="str">
        <f aca="false">IF($H4701="","",生产加工!$B153)</f>
        <v/>
      </c>
      <c r="F4701" s="55" t="str">
        <f aca="false">IF($H4701="","",生产加工!$C153)</f>
        <v/>
      </c>
      <c r="G4701" s="48" t="str">
        <f aca="false">IF($H4701="","",生产加工!$N153)</f>
        <v/>
      </c>
      <c r="H4701" s="10" t="str">
        <f aca="false">IF($L4701="","",IF($L4701="@对方",生产加工!$K153,IF($L4701="@存货",生产加工!$Q153,$L4701)))</f>
        <v/>
      </c>
      <c r="I4701" s="42" t="n">
        <f aca="false">IF($M4701="借",$O4701,0)</f>
        <v>0</v>
      </c>
      <c r="J4701" s="42" t="n">
        <f aca="false">IF($M4701="贷",$O4701,0)</f>
        <v>0</v>
      </c>
      <c r="K4701" s="48"/>
      <c r="L4701" s="66" t="str">
        <f aca="false">IF(生产加工!$E153="","",IFERROR(INDEX(记账规则!$A$36:$H$38,MATCH(生产加工!$E153,记账规则!$A$36:$A$38,0),6),""))</f>
        <v/>
      </c>
      <c r="M4701" s="66" t="str">
        <f aca="false">IF($L4701="","",IFERROR(INDEX(记账规则!$A$36:$H$38,MATCH(生产加工!$E153,记账规则!$A$36:$A$38,0),7),""))</f>
        <v/>
      </c>
      <c r="N4701" s="66" t="str">
        <f aca="false">IF($L4701="","",IFERROR(INDEX(记账规则!$A$36:$H$38,MATCH(生产加工!$E153,记账规则!$A$36:$A$38,0),8),""))</f>
        <v/>
      </c>
      <c r="O4701" s="67" t="n">
        <f aca="false">IF($H4701="",0,ROUND(IF($N4701="记账金额",N(生产加工!$U153),0),2))</f>
        <v>0</v>
      </c>
      <c r="P4701" s="64" t="str">
        <f aca="false">IF(AND($H4701&lt;&gt;"",ROUND($O4701,2)&lt;&gt;0),"有","")</f>
        <v/>
      </c>
    </row>
    <row r="4702" customFormat="false" ht="15" hidden="true" customHeight="false" outlineLevel="0" collapsed="false">
      <c r="A4702" s="53" t="str">
        <f aca="false">IF($H4702="","",ROW()-5)</f>
        <v/>
      </c>
      <c r="B4702" s="64" t="s">
        <v>38</v>
      </c>
      <c r="C4702" s="53" t="n">
        <v>154</v>
      </c>
      <c r="D4702" s="53" t="n">
        <v>1</v>
      </c>
      <c r="E4702" s="65" t="str">
        <f aca="false">IF($H4702="","",生产加工!$B154)</f>
        <v/>
      </c>
      <c r="F4702" s="55" t="str">
        <f aca="false">IF($H4702="","",生产加工!$C154)</f>
        <v/>
      </c>
      <c r="G4702" s="48" t="str">
        <f aca="false">IF($H4702="","",生产加工!$N154)</f>
        <v/>
      </c>
      <c r="H4702" s="10" t="str">
        <f aca="false">IF($L4702="","",IF($L4702="@对方",生产加工!$K154,IF($L4702="@存货",生产加工!$Q154,$L4702)))</f>
        <v/>
      </c>
      <c r="I4702" s="42" t="n">
        <f aca="false">IF($M4702="借",$O4702,0)</f>
        <v>0</v>
      </c>
      <c r="J4702" s="42" t="n">
        <f aca="false">IF($M4702="贷",$O4702,0)</f>
        <v>0</v>
      </c>
      <c r="K4702" s="48"/>
      <c r="L4702" s="66" t="str">
        <f aca="false">IF(生产加工!$E154="","",IFERROR(INDEX(记账规则!$A$36:$H$38,MATCH(生产加工!$E154,记账规则!$A$36:$A$38,0),3),""))</f>
        <v/>
      </c>
      <c r="M4702" s="66" t="str">
        <f aca="false">IF($L4702="","",IFERROR(INDEX(记账规则!$A$36:$H$38,MATCH(生产加工!$E154,记账规则!$A$36:$A$38,0),4),""))</f>
        <v/>
      </c>
      <c r="N4702" s="66" t="str">
        <f aca="false">IF($L4702="","",IFERROR(INDEX(记账规则!$A$36:$H$38,MATCH(生产加工!$E154,记账规则!$A$36:$A$38,0),5),""))</f>
        <v/>
      </c>
      <c r="O4702" s="67" t="n">
        <f aca="false">IF($H4702="",0,ROUND(IF($N4702="记账金额",N(生产加工!$U154),0),2))</f>
        <v>0</v>
      </c>
      <c r="P4702" s="64" t="str">
        <f aca="false">IF(AND($H4702&lt;&gt;"",ROUND($O4702,2)&lt;&gt;0),"有","")</f>
        <v/>
      </c>
    </row>
    <row r="4703" customFormat="false" ht="15" hidden="true" customHeight="false" outlineLevel="0" collapsed="false">
      <c r="A4703" s="53" t="str">
        <f aca="false">IF($H4703="","",ROW()-5)</f>
        <v/>
      </c>
      <c r="B4703" s="64" t="s">
        <v>38</v>
      </c>
      <c r="C4703" s="53" t="n">
        <v>154</v>
      </c>
      <c r="D4703" s="53" t="n">
        <v>2</v>
      </c>
      <c r="E4703" s="65" t="str">
        <f aca="false">IF($H4703="","",生产加工!$B154)</f>
        <v/>
      </c>
      <c r="F4703" s="55" t="str">
        <f aca="false">IF($H4703="","",生产加工!$C154)</f>
        <v/>
      </c>
      <c r="G4703" s="48" t="str">
        <f aca="false">IF($H4703="","",生产加工!$N154)</f>
        <v/>
      </c>
      <c r="H4703" s="10" t="str">
        <f aca="false">IF($L4703="","",IF($L4703="@对方",生产加工!$K154,IF($L4703="@存货",生产加工!$Q154,$L4703)))</f>
        <v/>
      </c>
      <c r="I4703" s="42" t="n">
        <f aca="false">IF($M4703="借",$O4703,0)</f>
        <v>0</v>
      </c>
      <c r="J4703" s="42" t="n">
        <f aca="false">IF($M4703="贷",$O4703,0)</f>
        <v>0</v>
      </c>
      <c r="K4703" s="48"/>
      <c r="L4703" s="66" t="str">
        <f aca="false">IF(生产加工!$E154="","",IFERROR(INDEX(记账规则!$A$36:$H$38,MATCH(生产加工!$E154,记账规则!$A$36:$A$38,0),6),""))</f>
        <v/>
      </c>
      <c r="M4703" s="66" t="str">
        <f aca="false">IF($L4703="","",IFERROR(INDEX(记账规则!$A$36:$H$38,MATCH(生产加工!$E154,记账规则!$A$36:$A$38,0),7),""))</f>
        <v/>
      </c>
      <c r="N4703" s="66" t="str">
        <f aca="false">IF($L4703="","",IFERROR(INDEX(记账规则!$A$36:$H$38,MATCH(生产加工!$E154,记账规则!$A$36:$A$38,0),8),""))</f>
        <v/>
      </c>
      <c r="O4703" s="67" t="n">
        <f aca="false">IF($H4703="",0,ROUND(IF($N4703="记账金额",N(生产加工!$U154),0),2))</f>
        <v>0</v>
      </c>
      <c r="P4703" s="64" t="str">
        <f aca="false">IF(AND($H4703&lt;&gt;"",ROUND($O4703,2)&lt;&gt;0),"有","")</f>
        <v/>
      </c>
    </row>
    <row r="4704" customFormat="false" ht="15" hidden="true" customHeight="false" outlineLevel="0" collapsed="false">
      <c r="A4704" s="53" t="str">
        <f aca="false">IF($H4704="","",ROW()-5)</f>
        <v/>
      </c>
      <c r="B4704" s="64" t="s">
        <v>38</v>
      </c>
      <c r="C4704" s="53" t="n">
        <v>155</v>
      </c>
      <c r="D4704" s="53" t="n">
        <v>1</v>
      </c>
      <c r="E4704" s="65" t="str">
        <f aca="false">IF($H4704="","",生产加工!$B155)</f>
        <v/>
      </c>
      <c r="F4704" s="55" t="str">
        <f aca="false">IF($H4704="","",生产加工!$C155)</f>
        <v/>
      </c>
      <c r="G4704" s="48" t="str">
        <f aca="false">IF($H4704="","",生产加工!$N155)</f>
        <v/>
      </c>
      <c r="H4704" s="10" t="str">
        <f aca="false">IF($L4704="","",IF($L4704="@对方",生产加工!$K155,IF($L4704="@存货",生产加工!$Q155,$L4704)))</f>
        <v/>
      </c>
      <c r="I4704" s="42" t="n">
        <f aca="false">IF($M4704="借",$O4704,0)</f>
        <v>0</v>
      </c>
      <c r="J4704" s="42" t="n">
        <f aca="false">IF($M4704="贷",$O4704,0)</f>
        <v>0</v>
      </c>
      <c r="K4704" s="48"/>
      <c r="L4704" s="66" t="str">
        <f aca="false">IF(生产加工!$E155="","",IFERROR(INDEX(记账规则!$A$36:$H$38,MATCH(生产加工!$E155,记账规则!$A$36:$A$38,0),3),""))</f>
        <v/>
      </c>
      <c r="M4704" s="66" t="str">
        <f aca="false">IF($L4704="","",IFERROR(INDEX(记账规则!$A$36:$H$38,MATCH(生产加工!$E155,记账规则!$A$36:$A$38,0),4),""))</f>
        <v/>
      </c>
      <c r="N4704" s="66" t="str">
        <f aca="false">IF($L4704="","",IFERROR(INDEX(记账规则!$A$36:$H$38,MATCH(生产加工!$E155,记账规则!$A$36:$A$38,0),5),""))</f>
        <v/>
      </c>
      <c r="O4704" s="67" t="n">
        <f aca="false">IF($H4704="",0,ROUND(IF($N4704="记账金额",N(生产加工!$U155),0),2))</f>
        <v>0</v>
      </c>
      <c r="P4704" s="64" t="str">
        <f aca="false">IF(AND($H4704&lt;&gt;"",ROUND($O4704,2)&lt;&gt;0),"有","")</f>
        <v/>
      </c>
    </row>
    <row r="4705" customFormat="false" ht="15" hidden="true" customHeight="false" outlineLevel="0" collapsed="false">
      <c r="A4705" s="53" t="str">
        <f aca="false">IF($H4705="","",ROW()-5)</f>
        <v/>
      </c>
      <c r="B4705" s="64" t="s">
        <v>38</v>
      </c>
      <c r="C4705" s="53" t="n">
        <v>155</v>
      </c>
      <c r="D4705" s="53" t="n">
        <v>2</v>
      </c>
      <c r="E4705" s="65" t="str">
        <f aca="false">IF($H4705="","",生产加工!$B155)</f>
        <v/>
      </c>
      <c r="F4705" s="55" t="str">
        <f aca="false">IF($H4705="","",生产加工!$C155)</f>
        <v/>
      </c>
      <c r="G4705" s="48" t="str">
        <f aca="false">IF($H4705="","",生产加工!$N155)</f>
        <v/>
      </c>
      <c r="H4705" s="10" t="str">
        <f aca="false">IF($L4705="","",IF($L4705="@对方",生产加工!$K155,IF($L4705="@存货",生产加工!$Q155,$L4705)))</f>
        <v/>
      </c>
      <c r="I4705" s="42" t="n">
        <f aca="false">IF($M4705="借",$O4705,0)</f>
        <v>0</v>
      </c>
      <c r="J4705" s="42" t="n">
        <f aca="false">IF($M4705="贷",$O4705,0)</f>
        <v>0</v>
      </c>
      <c r="K4705" s="48"/>
      <c r="L4705" s="66" t="str">
        <f aca="false">IF(生产加工!$E155="","",IFERROR(INDEX(记账规则!$A$36:$H$38,MATCH(生产加工!$E155,记账规则!$A$36:$A$38,0),6),""))</f>
        <v/>
      </c>
      <c r="M4705" s="66" t="str">
        <f aca="false">IF($L4705="","",IFERROR(INDEX(记账规则!$A$36:$H$38,MATCH(生产加工!$E155,记账规则!$A$36:$A$38,0),7),""))</f>
        <v/>
      </c>
      <c r="N4705" s="66" t="str">
        <f aca="false">IF($L4705="","",IFERROR(INDEX(记账规则!$A$36:$H$38,MATCH(生产加工!$E155,记账规则!$A$36:$A$38,0),8),""))</f>
        <v/>
      </c>
      <c r="O4705" s="67" t="n">
        <f aca="false">IF($H4705="",0,ROUND(IF($N4705="记账金额",N(生产加工!$U155),0),2))</f>
        <v>0</v>
      </c>
      <c r="P4705" s="64" t="str">
        <f aca="false">IF(AND($H4705&lt;&gt;"",ROUND($O4705,2)&lt;&gt;0),"有","")</f>
        <v/>
      </c>
    </row>
    <row r="4706" customFormat="false" ht="15" hidden="true" customHeight="false" outlineLevel="0" collapsed="false">
      <c r="A4706" s="53" t="str">
        <f aca="false">IF($H4706="","",ROW()-5)</f>
        <v/>
      </c>
      <c r="B4706" s="64" t="s">
        <v>38</v>
      </c>
      <c r="C4706" s="53" t="n">
        <v>156</v>
      </c>
      <c r="D4706" s="53" t="n">
        <v>1</v>
      </c>
      <c r="E4706" s="65" t="str">
        <f aca="false">IF($H4706="","",生产加工!$B156)</f>
        <v/>
      </c>
      <c r="F4706" s="55" t="str">
        <f aca="false">IF($H4706="","",生产加工!$C156)</f>
        <v/>
      </c>
      <c r="G4706" s="48" t="str">
        <f aca="false">IF($H4706="","",生产加工!$N156)</f>
        <v/>
      </c>
      <c r="H4706" s="10" t="str">
        <f aca="false">IF($L4706="","",IF($L4706="@对方",生产加工!$K156,IF($L4706="@存货",生产加工!$Q156,$L4706)))</f>
        <v/>
      </c>
      <c r="I4706" s="42" t="n">
        <f aca="false">IF($M4706="借",$O4706,0)</f>
        <v>0</v>
      </c>
      <c r="J4706" s="42" t="n">
        <f aca="false">IF($M4706="贷",$O4706,0)</f>
        <v>0</v>
      </c>
      <c r="K4706" s="48"/>
      <c r="L4706" s="66" t="str">
        <f aca="false">IF(生产加工!$E156="","",IFERROR(INDEX(记账规则!$A$36:$H$38,MATCH(生产加工!$E156,记账规则!$A$36:$A$38,0),3),""))</f>
        <v/>
      </c>
      <c r="M4706" s="66" t="str">
        <f aca="false">IF($L4706="","",IFERROR(INDEX(记账规则!$A$36:$H$38,MATCH(生产加工!$E156,记账规则!$A$36:$A$38,0),4),""))</f>
        <v/>
      </c>
      <c r="N4706" s="66" t="str">
        <f aca="false">IF($L4706="","",IFERROR(INDEX(记账规则!$A$36:$H$38,MATCH(生产加工!$E156,记账规则!$A$36:$A$38,0),5),""))</f>
        <v/>
      </c>
      <c r="O4706" s="67" t="n">
        <f aca="false">IF($H4706="",0,ROUND(IF($N4706="记账金额",N(生产加工!$U156),0),2))</f>
        <v>0</v>
      </c>
      <c r="P4706" s="64" t="str">
        <f aca="false">IF(AND($H4706&lt;&gt;"",ROUND($O4706,2)&lt;&gt;0),"有","")</f>
        <v/>
      </c>
    </row>
    <row r="4707" customFormat="false" ht="15" hidden="true" customHeight="false" outlineLevel="0" collapsed="false">
      <c r="A4707" s="53" t="str">
        <f aca="false">IF($H4707="","",ROW()-5)</f>
        <v/>
      </c>
      <c r="B4707" s="64" t="s">
        <v>38</v>
      </c>
      <c r="C4707" s="53" t="n">
        <v>156</v>
      </c>
      <c r="D4707" s="53" t="n">
        <v>2</v>
      </c>
      <c r="E4707" s="65" t="str">
        <f aca="false">IF($H4707="","",生产加工!$B156)</f>
        <v/>
      </c>
      <c r="F4707" s="55" t="str">
        <f aca="false">IF($H4707="","",生产加工!$C156)</f>
        <v/>
      </c>
      <c r="G4707" s="48" t="str">
        <f aca="false">IF($H4707="","",生产加工!$N156)</f>
        <v/>
      </c>
      <c r="H4707" s="10" t="str">
        <f aca="false">IF($L4707="","",IF($L4707="@对方",生产加工!$K156,IF($L4707="@存货",生产加工!$Q156,$L4707)))</f>
        <v/>
      </c>
      <c r="I4707" s="42" t="n">
        <f aca="false">IF($M4707="借",$O4707,0)</f>
        <v>0</v>
      </c>
      <c r="J4707" s="42" t="n">
        <f aca="false">IF($M4707="贷",$O4707,0)</f>
        <v>0</v>
      </c>
      <c r="K4707" s="48"/>
      <c r="L4707" s="66" t="str">
        <f aca="false">IF(生产加工!$E156="","",IFERROR(INDEX(记账规则!$A$36:$H$38,MATCH(生产加工!$E156,记账规则!$A$36:$A$38,0),6),""))</f>
        <v/>
      </c>
      <c r="M4707" s="66" t="str">
        <f aca="false">IF($L4707="","",IFERROR(INDEX(记账规则!$A$36:$H$38,MATCH(生产加工!$E156,记账规则!$A$36:$A$38,0),7),""))</f>
        <v/>
      </c>
      <c r="N4707" s="66" t="str">
        <f aca="false">IF($L4707="","",IFERROR(INDEX(记账规则!$A$36:$H$38,MATCH(生产加工!$E156,记账规则!$A$36:$A$38,0),8),""))</f>
        <v/>
      </c>
      <c r="O4707" s="67" t="n">
        <f aca="false">IF($H4707="",0,ROUND(IF($N4707="记账金额",N(生产加工!$U156),0),2))</f>
        <v>0</v>
      </c>
      <c r="P4707" s="64" t="str">
        <f aca="false">IF(AND($H4707&lt;&gt;"",ROUND($O4707,2)&lt;&gt;0),"有","")</f>
        <v/>
      </c>
    </row>
    <row r="4708" customFormat="false" ht="15" hidden="true" customHeight="false" outlineLevel="0" collapsed="false">
      <c r="A4708" s="53" t="str">
        <f aca="false">IF($H4708="","",ROW()-5)</f>
        <v/>
      </c>
      <c r="B4708" s="64" t="s">
        <v>38</v>
      </c>
      <c r="C4708" s="53" t="n">
        <v>157</v>
      </c>
      <c r="D4708" s="53" t="n">
        <v>1</v>
      </c>
      <c r="E4708" s="65" t="str">
        <f aca="false">IF($H4708="","",生产加工!$B157)</f>
        <v/>
      </c>
      <c r="F4708" s="55" t="str">
        <f aca="false">IF($H4708="","",生产加工!$C157)</f>
        <v/>
      </c>
      <c r="G4708" s="48" t="str">
        <f aca="false">IF($H4708="","",生产加工!$N157)</f>
        <v/>
      </c>
      <c r="H4708" s="10" t="str">
        <f aca="false">IF($L4708="","",IF($L4708="@对方",生产加工!$K157,IF($L4708="@存货",生产加工!$Q157,$L4708)))</f>
        <v/>
      </c>
      <c r="I4708" s="42" t="n">
        <f aca="false">IF($M4708="借",$O4708,0)</f>
        <v>0</v>
      </c>
      <c r="J4708" s="42" t="n">
        <f aca="false">IF($M4708="贷",$O4708,0)</f>
        <v>0</v>
      </c>
      <c r="K4708" s="48"/>
      <c r="L4708" s="66" t="str">
        <f aca="false">IF(生产加工!$E157="","",IFERROR(INDEX(记账规则!$A$36:$H$38,MATCH(生产加工!$E157,记账规则!$A$36:$A$38,0),3),""))</f>
        <v/>
      </c>
      <c r="M4708" s="66" t="str">
        <f aca="false">IF($L4708="","",IFERROR(INDEX(记账规则!$A$36:$H$38,MATCH(生产加工!$E157,记账规则!$A$36:$A$38,0),4),""))</f>
        <v/>
      </c>
      <c r="N4708" s="66" t="str">
        <f aca="false">IF($L4708="","",IFERROR(INDEX(记账规则!$A$36:$H$38,MATCH(生产加工!$E157,记账规则!$A$36:$A$38,0),5),""))</f>
        <v/>
      </c>
      <c r="O4708" s="67" t="n">
        <f aca="false">IF($H4708="",0,ROUND(IF($N4708="记账金额",N(生产加工!$U157),0),2))</f>
        <v>0</v>
      </c>
      <c r="P4708" s="64" t="str">
        <f aca="false">IF(AND($H4708&lt;&gt;"",ROUND($O4708,2)&lt;&gt;0),"有","")</f>
        <v/>
      </c>
    </row>
    <row r="4709" customFormat="false" ht="15" hidden="true" customHeight="false" outlineLevel="0" collapsed="false">
      <c r="A4709" s="53" t="str">
        <f aca="false">IF($H4709="","",ROW()-5)</f>
        <v/>
      </c>
      <c r="B4709" s="64" t="s">
        <v>38</v>
      </c>
      <c r="C4709" s="53" t="n">
        <v>157</v>
      </c>
      <c r="D4709" s="53" t="n">
        <v>2</v>
      </c>
      <c r="E4709" s="65" t="str">
        <f aca="false">IF($H4709="","",生产加工!$B157)</f>
        <v/>
      </c>
      <c r="F4709" s="55" t="str">
        <f aca="false">IF($H4709="","",生产加工!$C157)</f>
        <v/>
      </c>
      <c r="G4709" s="48" t="str">
        <f aca="false">IF($H4709="","",生产加工!$N157)</f>
        <v/>
      </c>
      <c r="H4709" s="10" t="str">
        <f aca="false">IF($L4709="","",IF($L4709="@对方",生产加工!$K157,IF($L4709="@存货",生产加工!$Q157,$L4709)))</f>
        <v/>
      </c>
      <c r="I4709" s="42" t="n">
        <f aca="false">IF($M4709="借",$O4709,0)</f>
        <v>0</v>
      </c>
      <c r="J4709" s="42" t="n">
        <f aca="false">IF($M4709="贷",$O4709,0)</f>
        <v>0</v>
      </c>
      <c r="K4709" s="48"/>
      <c r="L4709" s="66" t="str">
        <f aca="false">IF(生产加工!$E157="","",IFERROR(INDEX(记账规则!$A$36:$H$38,MATCH(生产加工!$E157,记账规则!$A$36:$A$38,0),6),""))</f>
        <v/>
      </c>
      <c r="M4709" s="66" t="str">
        <f aca="false">IF($L4709="","",IFERROR(INDEX(记账规则!$A$36:$H$38,MATCH(生产加工!$E157,记账规则!$A$36:$A$38,0),7),""))</f>
        <v/>
      </c>
      <c r="N4709" s="66" t="str">
        <f aca="false">IF($L4709="","",IFERROR(INDEX(记账规则!$A$36:$H$38,MATCH(生产加工!$E157,记账规则!$A$36:$A$38,0),8),""))</f>
        <v/>
      </c>
      <c r="O4709" s="67" t="n">
        <f aca="false">IF($H4709="",0,ROUND(IF($N4709="记账金额",N(生产加工!$U157),0),2))</f>
        <v>0</v>
      </c>
      <c r="P4709" s="64" t="str">
        <f aca="false">IF(AND($H4709&lt;&gt;"",ROUND($O4709,2)&lt;&gt;0),"有","")</f>
        <v/>
      </c>
    </row>
    <row r="4710" customFormat="false" ht="15" hidden="true" customHeight="false" outlineLevel="0" collapsed="false">
      <c r="A4710" s="53" t="str">
        <f aca="false">IF($H4710="","",ROW()-5)</f>
        <v/>
      </c>
      <c r="B4710" s="64" t="s">
        <v>38</v>
      </c>
      <c r="C4710" s="53" t="n">
        <v>158</v>
      </c>
      <c r="D4710" s="53" t="n">
        <v>1</v>
      </c>
      <c r="E4710" s="65" t="str">
        <f aca="false">IF($H4710="","",生产加工!$B158)</f>
        <v/>
      </c>
      <c r="F4710" s="55" t="str">
        <f aca="false">IF($H4710="","",生产加工!$C158)</f>
        <v/>
      </c>
      <c r="G4710" s="48" t="str">
        <f aca="false">IF($H4710="","",生产加工!$N158)</f>
        <v/>
      </c>
      <c r="H4710" s="10" t="str">
        <f aca="false">IF($L4710="","",IF($L4710="@对方",生产加工!$K158,IF($L4710="@存货",生产加工!$Q158,$L4710)))</f>
        <v/>
      </c>
      <c r="I4710" s="42" t="n">
        <f aca="false">IF($M4710="借",$O4710,0)</f>
        <v>0</v>
      </c>
      <c r="J4710" s="42" t="n">
        <f aca="false">IF($M4710="贷",$O4710,0)</f>
        <v>0</v>
      </c>
      <c r="K4710" s="48"/>
      <c r="L4710" s="66" t="str">
        <f aca="false">IF(生产加工!$E158="","",IFERROR(INDEX(记账规则!$A$36:$H$38,MATCH(生产加工!$E158,记账规则!$A$36:$A$38,0),3),""))</f>
        <v/>
      </c>
      <c r="M4710" s="66" t="str">
        <f aca="false">IF($L4710="","",IFERROR(INDEX(记账规则!$A$36:$H$38,MATCH(生产加工!$E158,记账规则!$A$36:$A$38,0),4),""))</f>
        <v/>
      </c>
      <c r="N4710" s="66" t="str">
        <f aca="false">IF($L4710="","",IFERROR(INDEX(记账规则!$A$36:$H$38,MATCH(生产加工!$E158,记账规则!$A$36:$A$38,0),5),""))</f>
        <v/>
      </c>
      <c r="O4710" s="67" t="n">
        <f aca="false">IF($H4710="",0,ROUND(IF($N4710="记账金额",N(生产加工!$U158),0),2))</f>
        <v>0</v>
      </c>
      <c r="P4710" s="64" t="str">
        <f aca="false">IF(AND($H4710&lt;&gt;"",ROUND($O4710,2)&lt;&gt;0),"有","")</f>
        <v/>
      </c>
    </row>
    <row r="4711" customFormat="false" ht="15" hidden="true" customHeight="false" outlineLevel="0" collapsed="false">
      <c r="A4711" s="53" t="str">
        <f aca="false">IF($H4711="","",ROW()-5)</f>
        <v/>
      </c>
      <c r="B4711" s="64" t="s">
        <v>38</v>
      </c>
      <c r="C4711" s="53" t="n">
        <v>158</v>
      </c>
      <c r="D4711" s="53" t="n">
        <v>2</v>
      </c>
      <c r="E4711" s="65" t="str">
        <f aca="false">IF($H4711="","",生产加工!$B158)</f>
        <v/>
      </c>
      <c r="F4711" s="55" t="str">
        <f aca="false">IF($H4711="","",生产加工!$C158)</f>
        <v/>
      </c>
      <c r="G4711" s="48" t="str">
        <f aca="false">IF($H4711="","",生产加工!$N158)</f>
        <v/>
      </c>
      <c r="H4711" s="10" t="str">
        <f aca="false">IF($L4711="","",IF($L4711="@对方",生产加工!$K158,IF($L4711="@存货",生产加工!$Q158,$L4711)))</f>
        <v/>
      </c>
      <c r="I4711" s="42" t="n">
        <f aca="false">IF($M4711="借",$O4711,0)</f>
        <v>0</v>
      </c>
      <c r="J4711" s="42" t="n">
        <f aca="false">IF($M4711="贷",$O4711,0)</f>
        <v>0</v>
      </c>
      <c r="K4711" s="48"/>
      <c r="L4711" s="66" t="str">
        <f aca="false">IF(生产加工!$E158="","",IFERROR(INDEX(记账规则!$A$36:$H$38,MATCH(生产加工!$E158,记账规则!$A$36:$A$38,0),6),""))</f>
        <v/>
      </c>
      <c r="M4711" s="66" t="str">
        <f aca="false">IF($L4711="","",IFERROR(INDEX(记账规则!$A$36:$H$38,MATCH(生产加工!$E158,记账规则!$A$36:$A$38,0),7),""))</f>
        <v/>
      </c>
      <c r="N4711" s="66" t="str">
        <f aca="false">IF($L4711="","",IFERROR(INDEX(记账规则!$A$36:$H$38,MATCH(生产加工!$E158,记账规则!$A$36:$A$38,0),8),""))</f>
        <v/>
      </c>
      <c r="O4711" s="67" t="n">
        <f aca="false">IF($H4711="",0,ROUND(IF($N4711="记账金额",N(生产加工!$U158),0),2))</f>
        <v>0</v>
      </c>
      <c r="P4711" s="64" t="str">
        <f aca="false">IF(AND($H4711&lt;&gt;"",ROUND($O4711,2)&lt;&gt;0),"有","")</f>
        <v/>
      </c>
    </row>
    <row r="4712" customFormat="false" ht="15" hidden="true" customHeight="false" outlineLevel="0" collapsed="false">
      <c r="A4712" s="53" t="str">
        <f aca="false">IF($H4712="","",ROW()-5)</f>
        <v/>
      </c>
      <c r="B4712" s="64" t="s">
        <v>38</v>
      </c>
      <c r="C4712" s="53" t="n">
        <v>159</v>
      </c>
      <c r="D4712" s="53" t="n">
        <v>1</v>
      </c>
      <c r="E4712" s="65" t="str">
        <f aca="false">IF($H4712="","",生产加工!$B159)</f>
        <v/>
      </c>
      <c r="F4712" s="55" t="str">
        <f aca="false">IF($H4712="","",生产加工!$C159)</f>
        <v/>
      </c>
      <c r="G4712" s="48" t="str">
        <f aca="false">IF($H4712="","",生产加工!$N159)</f>
        <v/>
      </c>
      <c r="H4712" s="10" t="str">
        <f aca="false">IF($L4712="","",IF($L4712="@对方",生产加工!$K159,IF($L4712="@存货",生产加工!$Q159,$L4712)))</f>
        <v/>
      </c>
      <c r="I4712" s="42" t="n">
        <f aca="false">IF($M4712="借",$O4712,0)</f>
        <v>0</v>
      </c>
      <c r="J4712" s="42" t="n">
        <f aca="false">IF($M4712="贷",$O4712,0)</f>
        <v>0</v>
      </c>
      <c r="K4712" s="48"/>
      <c r="L4712" s="66" t="str">
        <f aca="false">IF(生产加工!$E159="","",IFERROR(INDEX(记账规则!$A$36:$H$38,MATCH(生产加工!$E159,记账规则!$A$36:$A$38,0),3),""))</f>
        <v/>
      </c>
      <c r="M4712" s="66" t="str">
        <f aca="false">IF($L4712="","",IFERROR(INDEX(记账规则!$A$36:$H$38,MATCH(生产加工!$E159,记账规则!$A$36:$A$38,0),4),""))</f>
        <v/>
      </c>
      <c r="N4712" s="66" t="str">
        <f aca="false">IF($L4712="","",IFERROR(INDEX(记账规则!$A$36:$H$38,MATCH(生产加工!$E159,记账规则!$A$36:$A$38,0),5),""))</f>
        <v/>
      </c>
      <c r="O4712" s="67" t="n">
        <f aca="false">IF($H4712="",0,ROUND(IF($N4712="记账金额",N(生产加工!$U159),0),2))</f>
        <v>0</v>
      </c>
      <c r="P4712" s="64" t="str">
        <f aca="false">IF(AND($H4712&lt;&gt;"",ROUND($O4712,2)&lt;&gt;0),"有","")</f>
        <v/>
      </c>
    </row>
    <row r="4713" customFormat="false" ht="15" hidden="true" customHeight="false" outlineLevel="0" collapsed="false">
      <c r="A4713" s="53" t="str">
        <f aca="false">IF($H4713="","",ROW()-5)</f>
        <v/>
      </c>
      <c r="B4713" s="64" t="s">
        <v>38</v>
      </c>
      <c r="C4713" s="53" t="n">
        <v>159</v>
      </c>
      <c r="D4713" s="53" t="n">
        <v>2</v>
      </c>
      <c r="E4713" s="65" t="str">
        <f aca="false">IF($H4713="","",生产加工!$B159)</f>
        <v/>
      </c>
      <c r="F4713" s="55" t="str">
        <f aca="false">IF($H4713="","",生产加工!$C159)</f>
        <v/>
      </c>
      <c r="G4713" s="48" t="str">
        <f aca="false">IF($H4713="","",生产加工!$N159)</f>
        <v/>
      </c>
      <c r="H4713" s="10" t="str">
        <f aca="false">IF($L4713="","",IF($L4713="@对方",生产加工!$K159,IF($L4713="@存货",生产加工!$Q159,$L4713)))</f>
        <v/>
      </c>
      <c r="I4713" s="42" t="n">
        <f aca="false">IF($M4713="借",$O4713,0)</f>
        <v>0</v>
      </c>
      <c r="J4713" s="42" t="n">
        <f aca="false">IF($M4713="贷",$O4713,0)</f>
        <v>0</v>
      </c>
      <c r="K4713" s="48"/>
      <c r="L4713" s="66" t="str">
        <f aca="false">IF(生产加工!$E159="","",IFERROR(INDEX(记账规则!$A$36:$H$38,MATCH(生产加工!$E159,记账规则!$A$36:$A$38,0),6),""))</f>
        <v/>
      </c>
      <c r="M4713" s="66" t="str">
        <f aca="false">IF($L4713="","",IFERROR(INDEX(记账规则!$A$36:$H$38,MATCH(生产加工!$E159,记账规则!$A$36:$A$38,0),7),""))</f>
        <v/>
      </c>
      <c r="N4713" s="66" t="str">
        <f aca="false">IF($L4713="","",IFERROR(INDEX(记账规则!$A$36:$H$38,MATCH(生产加工!$E159,记账规则!$A$36:$A$38,0),8),""))</f>
        <v/>
      </c>
      <c r="O4713" s="67" t="n">
        <f aca="false">IF($H4713="",0,ROUND(IF($N4713="记账金额",N(生产加工!$U159),0),2))</f>
        <v>0</v>
      </c>
      <c r="P4713" s="64" t="str">
        <f aca="false">IF(AND($H4713&lt;&gt;"",ROUND($O4713,2)&lt;&gt;0),"有","")</f>
        <v/>
      </c>
    </row>
    <row r="4714" customFormat="false" ht="15" hidden="true" customHeight="false" outlineLevel="0" collapsed="false">
      <c r="A4714" s="53" t="str">
        <f aca="false">IF($H4714="","",ROW()-5)</f>
        <v/>
      </c>
      <c r="B4714" s="64" t="s">
        <v>38</v>
      </c>
      <c r="C4714" s="53" t="n">
        <v>160</v>
      </c>
      <c r="D4714" s="53" t="n">
        <v>1</v>
      </c>
      <c r="E4714" s="65" t="str">
        <f aca="false">IF($H4714="","",生产加工!$B160)</f>
        <v/>
      </c>
      <c r="F4714" s="55" t="str">
        <f aca="false">IF($H4714="","",生产加工!$C160)</f>
        <v/>
      </c>
      <c r="G4714" s="48" t="str">
        <f aca="false">IF($H4714="","",生产加工!$N160)</f>
        <v/>
      </c>
      <c r="H4714" s="10" t="str">
        <f aca="false">IF($L4714="","",IF($L4714="@对方",生产加工!$K160,IF($L4714="@存货",生产加工!$Q160,$L4714)))</f>
        <v/>
      </c>
      <c r="I4714" s="42" t="n">
        <f aca="false">IF($M4714="借",$O4714,0)</f>
        <v>0</v>
      </c>
      <c r="J4714" s="42" t="n">
        <f aca="false">IF($M4714="贷",$O4714,0)</f>
        <v>0</v>
      </c>
      <c r="K4714" s="48"/>
      <c r="L4714" s="66" t="str">
        <f aca="false">IF(生产加工!$E160="","",IFERROR(INDEX(记账规则!$A$36:$H$38,MATCH(生产加工!$E160,记账规则!$A$36:$A$38,0),3),""))</f>
        <v/>
      </c>
      <c r="M4714" s="66" t="str">
        <f aca="false">IF($L4714="","",IFERROR(INDEX(记账规则!$A$36:$H$38,MATCH(生产加工!$E160,记账规则!$A$36:$A$38,0),4),""))</f>
        <v/>
      </c>
      <c r="N4714" s="66" t="str">
        <f aca="false">IF($L4714="","",IFERROR(INDEX(记账规则!$A$36:$H$38,MATCH(生产加工!$E160,记账规则!$A$36:$A$38,0),5),""))</f>
        <v/>
      </c>
      <c r="O4714" s="67" t="n">
        <f aca="false">IF($H4714="",0,ROUND(IF($N4714="记账金额",N(生产加工!$U160),0),2))</f>
        <v>0</v>
      </c>
      <c r="P4714" s="64" t="str">
        <f aca="false">IF(AND($H4714&lt;&gt;"",ROUND($O4714,2)&lt;&gt;0),"有","")</f>
        <v/>
      </c>
    </row>
    <row r="4715" customFormat="false" ht="15" hidden="true" customHeight="false" outlineLevel="0" collapsed="false">
      <c r="A4715" s="53" t="str">
        <f aca="false">IF($H4715="","",ROW()-5)</f>
        <v/>
      </c>
      <c r="B4715" s="64" t="s">
        <v>38</v>
      </c>
      <c r="C4715" s="53" t="n">
        <v>160</v>
      </c>
      <c r="D4715" s="53" t="n">
        <v>2</v>
      </c>
      <c r="E4715" s="65" t="str">
        <f aca="false">IF($H4715="","",生产加工!$B160)</f>
        <v/>
      </c>
      <c r="F4715" s="55" t="str">
        <f aca="false">IF($H4715="","",生产加工!$C160)</f>
        <v/>
      </c>
      <c r="G4715" s="48" t="str">
        <f aca="false">IF($H4715="","",生产加工!$N160)</f>
        <v/>
      </c>
      <c r="H4715" s="10" t="str">
        <f aca="false">IF($L4715="","",IF($L4715="@对方",生产加工!$K160,IF($L4715="@存货",生产加工!$Q160,$L4715)))</f>
        <v/>
      </c>
      <c r="I4715" s="42" t="n">
        <f aca="false">IF($M4715="借",$O4715,0)</f>
        <v>0</v>
      </c>
      <c r="J4715" s="42" t="n">
        <f aca="false">IF($M4715="贷",$O4715,0)</f>
        <v>0</v>
      </c>
      <c r="K4715" s="48"/>
      <c r="L4715" s="66" t="str">
        <f aca="false">IF(生产加工!$E160="","",IFERROR(INDEX(记账规则!$A$36:$H$38,MATCH(生产加工!$E160,记账规则!$A$36:$A$38,0),6),""))</f>
        <v/>
      </c>
      <c r="M4715" s="66" t="str">
        <f aca="false">IF($L4715="","",IFERROR(INDEX(记账规则!$A$36:$H$38,MATCH(生产加工!$E160,记账规则!$A$36:$A$38,0),7),""))</f>
        <v/>
      </c>
      <c r="N4715" s="66" t="str">
        <f aca="false">IF($L4715="","",IFERROR(INDEX(记账规则!$A$36:$H$38,MATCH(生产加工!$E160,记账规则!$A$36:$A$38,0),8),""))</f>
        <v/>
      </c>
      <c r="O4715" s="67" t="n">
        <f aca="false">IF($H4715="",0,ROUND(IF($N4715="记账金额",N(生产加工!$U160),0),2))</f>
        <v>0</v>
      </c>
      <c r="P4715" s="64" t="str">
        <f aca="false">IF(AND($H4715&lt;&gt;"",ROUND($O4715,2)&lt;&gt;0),"有","")</f>
        <v/>
      </c>
    </row>
    <row r="4716" customFormat="false" ht="15" hidden="true" customHeight="false" outlineLevel="0" collapsed="false">
      <c r="A4716" s="53" t="str">
        <f aca="false">IF($H4716="","",ROW()-5)</f>
        <v/>
      </c>
      <c r="B4716" s="64" t="s">
        <v>38</v>
      </c>
      <c r="C4716" s="53" t="n">
        <v>161</v>
      </c>
      <c r="D4716" s="53" t="n">
        <v>1</v>
      </c>
      <c r="E4716" s="65" t="str">
        <f aca="false">IF($H4716="","",生产加工!$B161)</f>
        <v/>
      </c>
      <c r="F4716" s="55" t="str">
        <f aca="false">IF($H4716="","",生产加工!$C161)</f>
        <v/>
      </c>
      <c r="G4716" s="48" t="str">
        <f aca="false">IF($H4716="","",生产加工!$N161)</f>
        <v/>
      </c>
      <c r="H4716" s="10" t="str">
        <f aca="false">IF($L4716="","",IF($L4716="@对方",生产加工!$K161,IF($L4716="@存货",生产加工!$Q161,$L4716)))</f>
        <v/>
      </c>
      <c r="I4716" s="42" t="n">
        <f aca="false">IF($M4716="借",$O4716,0)</f>
        <v>0</v>
      </c>
      <c r="J4716" s="42" t="n">
        <f aca="false">IF($M4716="贷",$O4716,0)</f>
        <v>0</v>
      </c>
      <c r="K4716" s="48"/>
      <c r="L4716" s="66" t="str">
        <f aca="false">IF(生产加工!$E161="","",IFERROR(INDEX(记账规则!$A$36:$H$38,MATCH(生产加工!$E161,记账规则!$A$36:$A$38,0),3),""))</f>
        <v/>
      </c>
      <c r="M4716" s="66" t="str">
        <f aca="false">IF($L4716="","",IFERROR(INDEX(记账规则!$A$36:$H$38,MATCH(生产加工!$E161,记账规则!$A$36:$A$38,0),4),""))</f>
        <v/>
      </c>
      <c r="N4716" s="66" t="str">
        <f aca="false">IF($L4716="","",IFERROR(INDEX(记账规则!$A$36:$H$38,MATCH(生产加工!$E161,记账规则!$A$36:$A$38,0),5),""))</f>
        <v/>
      </c>
      <c r="O4716" s="67" t="n">
        <f aca="false">IF($H4716="",0,ROUND(IF($N4716="记账金额",N(生产加工!$U161),0),2))</f>
        <v>0</v>
      </c>
      <c r="P4716" s="64" t="str">
        <f aca="false">IF(AND($H4716&lt;&gt;"",ROUND($O4716,2)&lt;&gt;0),"有","")</f>
        <v/>
      </c>
    </row>
    <row r="4717" customFormat="false" ht="15" hidden="true" customHeight="false" outlineLevel="0" collapsed="false">
      <c r="A4717" s="53" t="str">
        <f aca="false">IF($H4717="","",ROW()-5)</f>
        <v/>
      </c>
      <c r="B4717" s="64" t="s">
        <v>38</v>
      </c>
      <c r="C4717" s="53" t="n">
        <v>161</v>
      </c>
      <c r="D4717" s="53" t="n">
        <v>2</v>
      </c>
      <c r="E4717" s="65" t="str">
        <f aca="false">IF($H4717="","",生产加工!$B161)</f>
        <v/>
      </c>
      <c r="F4717" s="55" t="str">
        <f aca="false">IF($H4717="","",生产加工!$C161)</f>
        <v/>
      </c>
      <c r="G4717" s="48" t="str">
        <f aca="false">IF($H4717="","",生产加工!$N161)</f>
        <v/>
      </c>
      <c r="H4717" s="10" t="str">
        <f aca="false">IF($L4717="","",IF($L4717="@对方",生产加工!$K161,IF($L4717="@存货",生产加工!$Q161,$L4717)))</f>
        <v/>
      </c>
      <c r="I4717" s="42" t="n">
        <f aca="false">IF($M4717="借",$O4717,0)</f>
        <v>0</v>
      </c>
      <c r="J4717" s="42" t="n">
        <f aca="false">IF($M4717="贷",$O4717,0)</f>
        <v>0</v>
      </c>
      <c r="K4717" s="48"/>
      <c r="L4717" s="66" t="str">
        <f aca="false">IF(生产加工!$E161="","",IFERROR(INDEX(记账规则!$A$36:$H$38,MATCH(生产加工!$E161,记账规则!$A$36:$A$38,0),6),""))</f>
        <v/>
      </c>
      <c r="M4717" s="66" t="str">
        <f aca="false">IF($L4717="","",IFERROR(INDEX(记账规则!$A$36:$H$38,MATCH(生产加工!$E161,记账规则!$A$36:$A$38,0),7),""))</f>
        <v/>
      </c>
      <c r="N4717" s="66" t="str">
        <f aca="false">IF($L4717="","",IFERROR(INDEX(记账规则!$A$36:$H$38,MATCH(生产加工!$E161,记账规则!$A$36:$A$38,0),8),""))</f>
        <v/>
      </c>
      <c r="O4717" s="67" t="n">
        <f aca="false">IF($H4717="",0,ROUND(IF($N4717="记账金额",N(生产加工!$U161),0),2))</f>
        <v>0</v>
      </c>
      <c r="P4717" s="64" t="str">
        <f aca="false">IF(AND($H4717&lt;&gt;"",ROUND($O4717,2)&lt;&gt;0),"有","")</f>
        <v/>
      </c>
    </row>
    <row r="4718" customFormat="false" ht="15" hidden="true" customHeight="false" outlineLevel="0" collapsed="false">
      <c r="A4718" s="53" t="str">
        <f aca="false">IF($H4718="","",ROW()-5)</f>
        <v/>
      </c>
      <c r="B4718" s="64" t="s">
        <v>38</v>
      </c>
      <c r="C4718" s="53" t="n">
        <v>162</v>
      </c>
      <c r="D4718" s="53" t="n">
        <v>1</v>
      </c>
      <c r="E4718" s="65" t="str">
        <f aca="false">IF($H4718="","",生产加工!$B162)</f>
        <v/>
      </c>
      <c r="F4718" s="55" t="str">
        <f aca="false">IF($H4718="","",生产加工!$C162)</f>
        <v/>
      </c>
      <c r="G4718" s="48" t="str">
        <f aca="false">IF($H4718="","",生产加工!$N162)</f>
        <v/>
      </c>
      <c r="H4718" s="10" t="str">
        <f aca="false">IF($L4718="","",IF($L4718="@对方",生产加工!$K162,IF($L4718="@存货",生产加工!$Q162,$L4718)))</f>
        <v/>
      </c>
      <c r="I4718" s="42" t="n">
        <f aca="false">IF($M4718="借",$O4718,0)</f>
        <v>0</v>
      </c>
      <c r="J4718" s="42" t="n">
        <f aca="false">IF($M4718="贷",$O4718,0)</f>
        <v>0</v>
      </c>
      <c r="K4718" s="48"/>
      <c r="L4718" s="66" t="str">
        <f aca="false">IF(生产加工!$E162="","",IFERROR(INDEX(记账规则!$A$36:$H$38,MATCH(生产加工!$E162,记账规则!$A$36:$A$38,0),3),""))</f>
        <v/>
      </c>
      <c r="M4718" s="66" t="str">
        <f aca="false">IF($L4718="","",IFERROR(INDEX(记账规则!$A$36:$H$38,MATCH(生产加工!$E162,记账规则!$A$36:$A$38,0),4),""))</f>
        <v/>
      </c>
      <c r="N4718" s="66" t="str">
        <f aca="false">IF($L4718="","",IFERROR(INDEX(记账规则!$A$36:$H$38,MATCH(生产加工!$E162,记账规则!$A$36:$A$38,0),5),""))</f>
        <v/>
      </c>
      <c r="O4718" s="67" t="n">
        <f aca="false">IF($H4718="",0,ROUND(IF($N4718="记账金额",N(生产加工!$U162),0),2))</f>
        <v>0</v>
      </c>
      <c r="P4718" s="64" t="str">
        <f aca="false">IF(AND($H4718&lt;&gt;"",ROUND($O4718,2)&lt;&gt;0),"有","")</f>
        <v/>
      </c>
    </row>
    <row r="4719" customFormat="false" ht="15" hidden="true" customHeight="false" outlineLevel="0" collapsed="false">
      <c r="A4719" s="53" t="str">
        <f aca="false">IF($H4719="","",ROW()-5)</f>
        <v/>
      </c>
      <c r="B4719" s="64" t="s">
        <v>38</v>
      </c>
      <c r="C4719" s="53" t="n">
        <v>162</v>
      </c>
      <c r="D4719" s="53" t="n">
        <v>2</v>
      </c>
      <c r="E4719" s="65" t="str">
        <f aca="false">IF($H4719="","",生产加工!$B162)</f>
        <v/>
      </c>
      <c r="F4719" s="55" t="str">
        <f aca="false">IF($H4719="","",生产加工!$C162)</f>
        <v/>
      </c>
      <c r="G4719" s="48" t="str">
        <f aca="false">IF($H4719="","",生产加工!$N162)</f>
        <v/>
      </c>
      <c r="H4719" s="10" t="str">
        <f aca="false">IF($L4719="","",IF($L4719="@对方",生产加工!$K162,IF($L4719="@存货",生产加工!$Q162,$L4719)))</f>
        <v/>
      </c>
      <c r="I4719" s="42" t="n">
        <f aca="false">IF($M4719="借",$O4719,0)</f>
        <v>0</v>
      </c>
      <c r="J4719" s="42" t="n">
        <f aca="false">IF($M4719="贷",$O4719,0)</f>
        <v>0</v>
      </c>
      <c r="K4719" s="48"/>
      <c r="L4719" s="66" t="str">
        <f aca="false">IF(生产加工!$E162="","",IFERROR(INDEX(记账规则!$A$36:$H$38,MATCH(生产加工!$E162,记账规则!$A$36:$A$38,0),6),""))</f>
        <v/>
      </c>
      <c r="M4719" s="66" t="str">
        <f aca="false">IF($L4719="","",IFERROR(INDEX(记账规则!$A$36:$H$38,MATCH(生产加工!$E162,记账规则!$A$36:$A$38,0),7),""))</f>
        <v/>
      </c>
      <c r="N4719" s="66" t="str">
        <f aca="false">IF($L4719="","",IFERROR(INDEX(记账规则!$A$36:$H$38,MATCH(生产加工!$E162,记账规则!$A$36:$A$38,0),8),""))</f>
        <v/>
      </c>
      <c r="O4719" s="67" t="n">
        <f aca="false">IF($H4719="",0,ROUND(IF($N4719="记账金额",N(生产加工!$U162),0),2))</f>
        <v>0</v>
      </c>
      <c r="P4719" s="64" t="str">
        <f aca="false">IF(AND($H4719&lt;&gt;"",ROUND($O4719,2)&lt;&gt;0),"有","")</f>
        <v/>
      </c>
    </row>
    <row r="4720" customFormat="false" ht="15" hidden="true" customHeight="false" outlineLevel="0" collapsed="false">
      <c r="A4720" s="53" t="str">
        <f aca="false">IF($H4720="","",ROW()-5)</f>
        <v/>
      </c>
      <c r="B4720" s="64" t="s">
        <v>38</v>
      </c>
      <c r="C4720" s="53" t="n">
        <v>163</v>
      </c>
      <c r="D4720" s="53" t="n">
        <v>1</v>
      </c>
      <c r="E4720" s="65" t="str">
        <f aca="false">IF($H4720="","",生产加工!$B163)</f>
        <v/>
      </c>
      <c r="F4720" s="55" t="str">
        <f aca="false">IF($H4720="","",生产加工!$C163)</f>
        <v/>
      </c>
      <c r="G4720" s="48" t="str">
        <f aca="false">IF($H4720="","",生产加工!$N163)</f>
        <v/>
      </c>
      <c r="H4720" s="10" t="str">
        <f aca="false">IF($L4720="","",IF($L4720="@对方",生产加工!$K163,IF($L4720="@存货",生产加工!$Q163,$L4720)))</f>
        <v/>
      </c>
      <c r="I4720" s="42" t="n">
        <f aca="false">IF($M4720="借",$O4720,0)</f>
        <v>0</v>
      </c>
      <c r="J4720" s="42" t="n">
        <f aca="false">IF($M4720="贷",$O4720,0)</f>
        <v>0</v>
      </c>
      <c r="K4720" s="48"/>
      <c r="L4720" s="66" t="str">
        <f aca="false">IF(生产加工!$E163="","",IFERROR(INDEX(记账规则!$A$36:$H$38,MATCH(生产加工!$E163,记账规则!$A$36:$A$38,0),3),""))</f>
        <v/>
      </c>
      <c r="M4720" s="66" t="str">
        <f aca="false">IF($L4720="","",IFERROR(INDEX(记账规则!$A$36:$H$38,MATCH(生产加工!$E163,记账规则!$A$36:$A$38,0),4),""))</f>
        <v/>
      </c>
      <c r="N4720" s="66" t="str">
        <f aca="false">IF($L4720="","",IFERROR(INDEX(记账规则!$A$36:$H$38,MATCH(生产加工!$E163,记账规则!$A$36:$A$38,0),5),""))</f>
        <v/>
      </c>
      <c r="O4720" s="67" t="n">
        <f aca="false">IF($H4720="",0,ROUND(IF($N4720="记账金额",N(生产加工!$U163),0),2))</f>
        <v>0</v>
      </c>
      <c r="P4720" s="64" t="str">
        <f aca="false">IF(AND($H4720&lt;&gt;"",ROUND($O4720,2)&lt;&gt;0),"有","")</f>
        <v/>
      </c>
    </row>
    <row r="4721" customFormat="false" ht="15" hidden="true" customHeight="false" outlineLevel="0" collapsed="false">
      <c r="A4721" s="53" t="str">
        <f aca="false">IF($H4721="","",ROW()-5)</f>
        <v/>
      </c>
      <c r="B4721" s="64" t="s">
        <v>38</v>
      </c>
      <c r="C4721" s="53" t="n">
        <v>163</v>
      </c>
      <c r="D4721" s="53" t="n">
        <v>2</v>
      </c>
      <c r="E4721" s="65" t="str">
        <f aca="false">IF($H4721="","",生产加工!$B163)</f>
        <v/>
      </c>
      <c r="F4721" s="55" t="str">
        <f aca="false">IF($H4721="","",生产加工!$C163)</f>
        <v/>
      </c>
      <c r="G4721" s="48" t="str">
        <f aca="false">IF($H4721="","",生产加工!$N163)</f>
        <v/>
      </c>
      <c r="H4721" s="10" t="str">
        <f aca="false">IF($L4721="","",IF($L4721="@对方",生产加工!$K163,IF($L4721="@存货",生产加工!$Q163,$L4721)))</f>
        <v/>
      </c>
      <c r="I4721" s="42" t="n">
        <f aca="false">IF($M4721="借",$O4721,0)</f>
        <v>0</v>
      </c>
      <c r="J4721" s="42" t="n">
        <f aca="false">IF($M4721="贷",$O4721,0)</f>
        <v>0</v>
      </c>
      <c r="K4721" s="48"/>
      <c r="L4721" s="66" t="str">
        <f aca="false">IF(生产加工!$E163="","",IFERROR(INDEX(记账规则!$A$36:$H$38,MATCH(生产加工!$E163,记账规则!$A$36:$A$38,0),6),""))</f>
        <v/>
      </c>
      <c r="M4721" s="66" t="str">
        <f aca="false">IF($L4721="","",IFERROR(INDEX(记账规则!$A$36:$H$38,MATCH(生产加工!$E163,记账规则!$A$36:$A$38,0),7),""))</f>
        <v/>
      </c>
      <c r="N4721" s="66" t="str">
        <f aca="false">IF($L4721="","",IFERROR(INDEX(记账规则!$A$36:$H$38,MATCH(生产加工!$E163,记账规则!$A$36:$A$38,0),8),""))</f>
        <v/>
      </c>
      <c r="O4721" s="67" t="n">
        <f aca="false">IF($H4721="",0,ROUND(IF($N4721="记账金额",N(生产加工!$U163),0),2))</f>
        <v>0</v>
      </c>
      <c r="P4721" s="64" t="str">
        <f aca="false">IF(AND($H4721&lt;&gt;"",ROUND($O4721,2)&lt;&gt;0),"有","")</f>
        <v/>
      </c>
    </row>
    <row r="4722" customFormat="false" ht="15" hidden="true" customHeight="false" outlineLevel="0" collapsed="false">
      <c r="A4722" s="53" t="str">
        <f aca="false">IF($H4722="","",ROW()-5)</f>
        <v/>
      </c>
      <c r="B4722" s="64" t="s">
        <v>38</v>
      </c>
      <c r="C4722" s="53" t="n">
        <v>164</v>
      </c>
      <c r="D4722" s="53" t="n">
        <v>1</v>
      </c>
      <c r="E4722" s="65" t="str">
        <f aca="false">IF($H4722="","",生产加工!$B164)</f>
        <v/>
      </c>
      <c r="F4722" s="55" t="str">
        <f aca="false">IF($H4722="","",生产加工!$C164)</f>
        <v/>
      </c>
      <c r="G4722" s="48" t="str">
        <f aca="false">IF($H4722="","",生产加工!$N164)</f>
        <v/>
      </c>
      <c r="H4722" s="10" t="str">
        <f aca="false">IF($L4722="","",IF($L4722="@对方",生产加工!$K164,IF($L4722="@存货",生产加工!$Q164,$L4722)))</f>
        <v/>
      </c>
      <c r="I4722" s="42" t="n">
        <f aca="false">IF($M4722="借",$O4722,0)</f>
        <v>0</v>
      </c>
      <c r="J4722" s="42" t="n">
        <f aca="false">IF($M4722="贷",$O4722,0)</f>
        <v>0</v>
      </c>
      <c r="K4722" s="48"/>
      <c r="L4722" s="66" t="str">
        <f aca="false">IF(生产加工!$E164="","",IFERROR(INDEX(记账规则!$A$36:$H$38,MATCH(生产加工!$E164,记账规则!$A$36:$A$38,0),3),""))</f>
        <v/>
      </c>
      <c r="M4722" s="66" t="str">
        <f aca="false">IF($L4722="","",IFERROR(INDEX(记账规则!$A$36:$H$38,MATCH(生产加工!$E164,记账规则!$A$36:$A$38,0),4),""))</f>
        <v/>
      </c>
      <c r="N4722" s="66" t="str">
        <f aca="false">IF($L4722="","",IFERROR(INDEX(记账规则!$A$36:$H$38,MATCH(生产加工!$E164,记账规则!$A$36:$A$38,0),5),""))</f>
        <v/>
      </c>
      <c r="O4722" s="67" t="n">
        <f aca="false">IF($H4722="",0,ROUND(IF($N4722="记账金额",N(生产加工!$U164),0),2))</f>
        <v>0</v>
      </c>
      <c r="P4722" s="64" t="str">
        <f aca="false">IF(AND($H4722&lt;&gt;"",ROUND($O4722,2)&lt;&gt;0),"有","")</f>
        <v/>
      </c>
    </row>
    <row r="4723" customFormat="false" ht="15" hidden="true" customHeight="false" outlineLevel="0" collapsed="false">
      <c r="A4723" s="53" t="str">
        <f aca="false">IF($H4723="","",ROW()-5)</f>
        <v/>
      </c>
      <c r="B4723" s="64" t="s">
        <v>38</v>
      </c>
      <c r="C4723" s="53" t="n">
        <v>164</v>
      </c>
      <c r="D4723" s="53" t="n">
        <v>2</v>
      </c>
      <c r="E4723" s="65" t="str">
        <f aca="false">IF($H4723="","",生产加工!$B164)</f>
        <v/>
      </c>
      <c r="F4723" s="55" t="str">
        <f aca="false">IF($H4723="","",生产加工!$C164)</f>
        <v/>
      </c>
      <c r="G4723" s="48" t="str">
        <f aca="false">IF($H4723="","",生产加工!$N164)</f>
        <v/>
      </c>
      <c r="H4723" s="10" t="str">
        <f aca="false">IF($L4723="","",IF($L4723="@对方",生产加工!$K164,IF($L4723="@存货",生产加工!$Q164,$L4723)))</f>
        <v/>
      </c>
      <c r="I4723" s="42" t="n">
        <f aca="false">IF($M4723="借",$O4723,0)</f>
        <v>0</v>
      </c>
      <c r="J4723" s="42" t="n">
        <f aca="false">IF($M4723="贷",$O4723,0)</f>
        <v>0</v>
      </c>
      <c r="K4723" s="48"/>
      <c r="L4723" s="66" t="str">
        <f aca="false">IF(生产加工!$E164="","",IFERROR(INDEX(记账规则!$A$36:$H$38,MATCH(生产加工!$E164,记账规则!$A$36:$A$38,0),6),""))</f>
        <v/>
      </c>
      <c r="M4723" s="66" t="str">
        <f aca="false">IF($L4723="","",IFERROR(INDEX(记账规则!$A$36:$H$38,MATCH(生产加工!$E164,记账规则!$A$36:$A$38,0),7),""))</f>
        <v/>
      </c>
      <c r="N4723" s="66" t="str">
        <f aca="false">IF($L4723="","",IFERROR(INDEX(记账规则!$A$36:$H$38,MATCH(生产加工!$E164,记账规则!$A$36:$A$38,0),8),""))</f>
        <v/>
      </c>
      <c r="O4723" s="67" t="n">
        <f aca="false">IF($H4723="",0,ROUND(IF($N4723="记账金额",N(生产加工!$U164),0),2))</f>
        <v>0</v>
      </c>
      <c r="P4723" s="64" t="str">
        <f aca="false">IF(AND($H4723&lt;&gt;"",ROUND($O4723,2)&lt;&gt;0),"有","")</f>
        <v/>
      </c>
    </row>
    <row r="4724" customFormat="false" ht="15" hidden="true" customHeight="false" outlineLevel="0" collapsed="false">
      <c r="A4724" s="53" t="str">
        <f aca="false">IF($H4724="","",ROW()-5)</f>
        <v/>
      </c>
      <c r="B4724" s="64" t="s">
        <v>38</v>
      </c>
      <c r="C4724" s="53" t="n">
        <v>165</v>
      </c>
      <c r="D4724" s="53" t="n">
        <v>1</v>
      </c>
      <c r="E4724" s="65" t="str">
        <f aca="false">IF($H4724="","",生产加工!$B165)</f>
        <v/>
      </c>
      <c r="F4724" s="55" t="str">
        <f aca="false">IF($H4724="","",生产加工!$C165)</f>
        <v/>
      </c>
      <c r="G4724" s="48" t="str">
        <f aca="false">IF($H4724="","",生产加工!$N165)</f>
        <v/>
      </c>
      <c r="H4724" s="10" t="str">
        <f aca="false">IF($L4724="","",IF($L4724="@对方",生产加工!$K165,IF($L4724="@存货",生产加工!$Q165,$L4724)))</f>
        <v/>
      </c>
      <c r="I4724" s="42" t="n">
        <f aca="false">IF($M4724="借",$O4724,0)</f>
        <v>0</v>
      </c>
      <c r="J4724" s="42" t="n">
        <f aca="false">IF($M4724="贷",$O4724,0)</f>
        <v>0</v>
      </c>
      <c r="K4724" s="48"/>
      <c r="L4724" s="66" t="str">
        <f aca="false">IF(生产加工!$E165="","",IFERROR(INDEX(记账规则!$A$36:$H$38,MATCH(生产加工!$E165,记账规则!$A$36:$A$38,0),3),""))</f>
        <v/>
      </c>
      <c r="M4724" s="66" t="str">
        <f aca="false">IF($L4724="","",IFERROR(INDEX(记账规则!$A$36:$H$38,MATCH(生产加工!$E165,记账规则!$A$36:$A$38,0),4),""))</f>
        <v/>
      </c>
      <c r="N4724" s="66" t="str">
        <f aca="false">IF($L4724="","",IFERROR(INDEX(记账规则!$A$36:$H$38,MATCH(生产加工!$E165,记账规则!$A$36:$A$38,0),5),""))</f>
        <v/>
      </c>
      <c r="O4724" s="67" t="n">
        <f aca="false">IF($H4724="",0,ROUND(IF($N4724="记账金额",N(生产加工!$U165),0),2))</f>
        <v>0</v>
      </c>
      <c r="P4724" s="64" t="str">
        <f aca="false">IF(AND($H4724&lt;&gt;"",ROUND($O4724,2)&lt;&gt;0),"有","")</f>
        <v/>
      </c>
    </row>
    <row r="4725" customFormat="false" ht="15" hidden="true" customHeight="false" outlineLevel="0" collapsed="false">
      <c r="A4725" s="53" t="str">
        <f aca="false">IF($H4725="","",ROW()-5)</f>
        <v/>
      </c>
      <c r="B4725" s="64" t="s">
        <v>38</v>
      </c>
      <c r="C4725" s="53" t="n">
        <v>165</v>
      </c>
      <c r="D4725" s="53" t="n">
        <v>2</v>
      </c>
      <c r="E4725" s="65" t="str">
        <f aca="false">IF($H4725="","",生产加工!$B165)</f>
        <v/>
      </c>
      <c r="F4725" s="55" t="str">
        <f aca="false">IF($H4725="","",生产加工!$C165)</f>
        <v/>
      </c>
      <c r="G4725" s="48" t="str">
        <f aca="false">IF($H4725="","",生产加工!$N165)</f>
        <v/>
      </c>
      <c r="H4725" s="10" t="str">
        <f aca="false">IF($L4725="","",IF($L4725="@对方",生产加工!$K165,IF($L4725="@存货",生产加工!$Q165,$L4725)))</f>
        <v/>
      </c>
      <c r="I4725" s="42" t="n">
        <f aca="false">IF($M4725="借",$O4725,0)</f>
        <v>0</v>
      </c>
      <c r="J4725" s="42" t="n">
        <f aca="false">IF($M4725="贷",$O4725,0)</f>
        <v>0</v>
      </c>
      <c r="K4725" s="48"/>
      <c r="L4725" s="66" t="str">
        <f aca="false">IF(生产加工!$E165="","",IFERROR(INDEX(记账规则!$A$36:$H$38,MATCH(生产加工!$E165,记账规则!$A$36:$A$38,0),6),""))</f>
        <v/>
      </c>
      <c r="M4725" s="66" t="str">
        <f aca="false">IF($L4725="","",IFERROR(INDEX(记账规则!$A$36:$H$38,MATCH(生产加工!$E165,记账规则!$A$36:$A$38,0),7),""))</f>
        <v/>
      </c>
      <c r="N4725" s="66" t="str">
        <f aca="false">IF($L4725="","",IFERROR(INDEX(记账规则!$A$36:$H$38,MATCH(生产加工!$E165,记账规则!$A$36:$A$38,0),8),""))</f>
        <v/>
      </c>
      <c r="O4725" s="67" t="n">
        <f aca="false">IF($H4725="",0,ROUND(IF($N4725="记账金额",N(生产加工!$U165),0),2))</f>
        <v>0</v>
      </c>
      <c r="P4725" s="64" t="str">
        <f aca="false">IF(AND($H4725&lt;&gt;"",ROUND($O4725,2)&lt;&gt;0),"有","")</f>
        <v/>
      </c>
    </row>
    <row r="4726" customFormat="false" ht="15" hidden="true" customHeight="false" outlineLevel="0" collapsed="false">
      <c r="A4726" s="53" t="str">
        <f aca="false">IF($H4726="","",ROW()-5)</f>
        <v/>
      </c>
      <c r="B4726" s="64" t="s">
        <v>38</v>
      </c>
      <c r="C4726" s="53" t="n">
        <v>166</v>
      </c>
      <c r="D4726" s="53" t="n">
        <v>1</v>
      </c>
      <c r="E4726" s="65" t="str">
        <f aca="false">IF($H4726="","",生产加工!$B166)</f>
        <v/>
      </c>
      <c r="F4726" s="55" t="str">
        <f aca="false">IF($H4726="","",生产加工!$C166)</f>
        <v/>
      </c>
      <c r="G4726" s="48" t="str">
        <f aca="false">IF($H4726="","",生产加工!$N166)</f>
        <v/>
      </c>
      <c r="H4726" s="10" t="str">
        <f aca="false">IF($L4726="","",IF($L4726="@对方",生产加工!$K166,IF($L4726="@存货",生产加工!$Q166,$L4726)))</f>
        <v/>
      </c>
      <c r="I4726" s="42" t="n">
        <f aca="false">IF($M4726="借",$O4726,0)</f>
        <v>0</v>
      </c>
      <c r="J4726" s="42" t="n">
        <f aca="false">IF($M4726="贷",$O4726,0)</f>
        <v>0</v>
      </c>
      <c r="K4726" s="48"/>
      <c r="L4726" s="66" t="str">
        <f aca="false">IF(生产加工!$E166="","",IFERROR(INDEX(记账规则!$A$36:$H$38,MATCH(生产加工!$E166,记账规则!$A$36:$A$38,0),3),""))</f>
        <v/>
      </c>
      <c r="M4726" s="66" t="str">
        <f aca="false">IF($L4726="","",IFERROR(INDEX(记账规则!$A$36:$H$38,MATCH(生产加工!$E166,记账规则!$A$36:$A$38,0),4),""))</f>
        <v/>
      </c>
      <c r="N4726" s="66" t="str">
        <f aca="false">IF($L4726="","",IFERROR(INDEX(记账规则!$A$36:$H$38,MATCH(生产加工!$E166,记账规则!$A$36:$A$38,0),5),""))</f>
        <v/>
      </c>
      <c r="O4726" s="67" t="n">
        <f aca="false">IF($H4726="",0,ROUND(IF($N4726="记账金额",N(生产加工!$U166),0),2))</f>
        <v>0</v>
      </c>
      <c r="P4726" s="64" t="str">
        <f aca="false">IF(AND($H4726&lt;&gt;"",ROUND($O4726,2)&lt;&gt;0),"有","")</f>
        <v/>
      </c>
    </row>
    <row r="4727" customFormat="false" ht="15" hidden="true" customHeight="false" outlineLevel="0" collapsed="false">
      <c r="A4727" s="53" t="str">
        <f aca="false">IF($H4727="","",ROW()-5)</f>
        <v/>
      </c>
      <c r="B4727" s="64" t="s">
        <v>38</v>
      </c>
      <c r="C4727" s="53" t="n">
        <v>166</v>
      </c>
      <c r="D4727" s="53" t="n">
        <v>2</v>
      </c>
      <c r="E4727" s="65" t="str">
        <f aca="false">IF($H4727="","",生产加工!$B166)</f>
        <v/>
      </c>
      <c r="F4727" s="55" t="str">
        <f aca="false">IF($H4727="","",生产加工!$C166)</f>
        <v/>
      </c>
      <c r="G4727" s="48" t="str">
        <f aca="false">IF($H4727="","",生产加工!$N166)</f>
        <v/>
      </c>
      <c r="H4727" s="10" t="str">
        <f aca="false">IF($L4727="","",IF($L4727="@对方",生产加工!$K166,IF($L4727="@存货",生产加工!$Q166,$L4727)))</f>
        <v/>
      </c>
      <c r="I4727" s="42" t="n">
        <f aca="false">IF($M4727="借",$O4727,0)</f>
        <v>0</v>
      </c>
      <c r="J4727" s="42" t="n">
        <f aca="false">IF($M4727="贷",$O4727,0)</f>
        <v>0</v>
      </c>
      <c r="K4727" s="48"/>
      <c r="L4727" s="66" t="str">
        <f aca="false">IF(生产加工!$E166="","",IFERROR(INDEX(记账规则!$A$36:$H$38,MATCH(生产加工!$E166,记账规则!$A$36:$A$38,0),6),""))</f>
        <v/>
      </c>
      <c r="M4727" s="66" t="str">
        <f aca="false">IF($L4727="","",IFERROR(INDEX(记账规则!$A$36:$H$38,MATCH(生产加工!$E166,记账规则!$A$36:$A$38,0),7),""))</f>
        <v/>
      </c>
      <c r="N4727" s="66" t="str">
        <f aca="false">IF($L4727="","",IFERROR(INDEX(记账规则!$A$36:$H$38,MATCH(生产加工!$E166,记账规则!$A$36:$A$38,0),8),""))</f>
        <v/>
      </c>
      <c r="O4727" s="67" t="n">
        <f aca="false">IF($H4727="",0,ROUND(IF($N4727="记账金额",N(生产加工!$U166),0),2))</f>
        <v>0</v>
      </c>
      <c r="P4727" s="64" t="str">
        <f aca="false">IF(AND($H4727&lt;&gt;"",ROUND($O4727,2)&lt;&gt;0),"有","")</f>
        <v/>
      </c>
    </row>
    <row r="4728" customFormat="false" ht="15" hidden="true" customHeight="false" outlineLevel="0" collapsed="false">
      <c r="A4728" s="53" t="str">
        <f aca="false">IF($H4728="","",ROW()-5)</f>
        <v/>
      </c>
      <c r="B4728" s="64" t="s">
        <v>38</v>
      </c>
      <c r="C4728" s="53" t="n">
        <v>167</v>
      </c>
      <c r="D4728" s="53" t="n">
        <v>1</v>
      </c>
      <c r="E4728" s="65" t="str">
        <f aca="false">IF($H4728="","",生产加工!$B167)</f>
        <v/>
      </c>
      <c r="F4728" s="55" t="str">
        <f aca="false">IF($H4728="","",生产加工!$C167)</f>
        <v/>
      </c>
      <c r="G4728" s="48" t="str">
        <f aca="false">IF($H4728="","",生产加工!$N167)</f>
        <v/>
      </c>
      <c r="H4728" s="10" t="str">
        <f aca="false">IF($L4728="","",IF($L4728="@对方",生产加工!$K167,IF($L4728="@存货",生产加工!$Q167,$L4728)))</f>
        <v/>
      </c>
      <c r="I4728" s="42" t="n">
        <f aca="false">IF($M4728="借",$O4728,0)</f>
        <v>0</v>
      </c>
      <c r="J4728" s="42" t="n">
        <f aca="false">IF($M4728="贷",$O4728,0)</f>
        <v>0</v>
      </c>
      <c r="K4728" s="48"/>
      <c r="L4728" s="66" t="str">
        <f aca="false">IF(生产加工!$E167="","",IFERROR(INDEX(记账规则!$A$36:$H$38,MATCH(生产加工!$E167,记账规则!$A$36:$A$38,0),3),""))</f>
        <v/>
      </c>
      <c r="M4728" s="66" t="str">
        <f aca="false">IF($L4728="","",IFERROR(INDEX(记账规则!$A$36:$H$38,MATCH(生产加工!$E167,记账规则!$A$36:$A$38,0),4),""))</f>
        <v/>
      </c>
      <c r="N4728" s="66" t="str">
        <f aca="false">IF($L4728="","",IFERROR(INDEX(记账规则!$A$36:$H$38,MATCH(生产加工!$E167,记账规则!$A$36:$A$38,0),5),""))</f>
        <v/>
      </c>
      <c r="O4728" s="67" t="n">
        <f aca="false">IF($H4728="",0,ROUND(IF($N4728="记账金额",N(生产加工!$U167),0),2))</f>
        <v>0</v>
      </c>
      <c r="P4728" s="64" t="str">
        <f aca="false">IF(AND($H4728&lt;&gt;"",ROUND($O4728,2)&lt;&gt;0),"有","")</f>
        <v/>
      </c>
    </row>
    <row r="4729" customFormat="false" ht="15" hidden="true" customHeight="false" outlineLevel="0" collapsed="false">
      <c r="A4729" s="53" t="str">
        <f aca="false">IF($H4729="","",ROW()-5)</f>
        <v/>
      </c>
      <c r="B4729" s="64" t="s">
        <v>38</v>
      </c>
      <c r="C4729" s="53" t="n">
        <v>167</v>
      </c>
      <c r="D4729" s="53" t="n">
        <v>2</v>
      </c>
      <c r="E4729" s="65" t="str">
        <f aca="false">IF($H4729="","",生产加工!$B167)</f>
        <v/>
      </c>
      <c r="F4729" s="55" t="str">
        <f aca="false">IF($H4729="","",生产加工!$C167)</f>
        <v/>
      </c>
      <c r="G4729" s="48" t="str">
        <f aca="false">IF($H4729="","",生产加工!$N167)</f>
        <v/>
      </c>
      <c r="H4729" s="10" t="str">
        <f aca="false">IF($L4729="","",IF($L4729="@对方",生产加工!$K167,IF($L4729="@存货",生产加工!$Q167,$L4729)))</f>
        <v/>
      </c>
      <c r="I4729" s="42" t="n">
        <f aca="false">IF($M4729="借",$O4729,0)</f>
        <v>0</v>
      </c>
      <c r="J4729" s="42" t="n">
        <f aca="false">IF($M4729="贷",$O4729,0)</f>
        <v>0</v>
      </c>
      <c r="K4729" s="48"/>
      <c r="L4729" s="66" t="str">
        <f aca="false">IF(生产加工!$E167="","",IFERROR(INDEX(记账规则!$A$36:$H$38,MATCH(生产加工!$E167,记账规则!$A$36:$A$38,0),6),""))</f>
        <v/>
      </c>
      <c r="M4729" s="66" t="str">
        <f aca="false">IF($L4729="","",IFERROR(INDEX(记账规则!$A$36:$H$38,MATCH(生产加工!$E167,记账规则!$A$36:$A$38,0),7),""))</f>
        <v/>
      </c>
      <c r="N4729" s="66" t="str">
        <f aca="false">IF($L4729="","",IFERROR(INDEX(记账规则!$A$36:$H$38,MATCH(生产加工!$E167,记账规则!$A$36:$A$38,0),8),""))</f>
        <v/>
      </c>
      <c r="O4729" s="67" t="n">
        <f aca="false">IF($H4729="",0,ROUND(IF($N4729="记账金额",N(生产加工!$U167),0),2))</f>
        <v>0</v>
      </c>
      <c r="P4729" s="64" t="str">
        <f aca="false">IF(AND($H4729&lt;&gt;"",ROUND($O4729,2)&lt;&gt;0),"有","")</f>
        <v/>
      </c>
    </row>
    <row r="4730" customFormat="false" ht="15" hidden="true" customHeight="false" outlineLevel="0" collapsed="false">
      <c r="A4730" s="53" t="str">
        <f aca="false">IF($H4730="","",ROW()-5)</f>
        <v/>
      </c>
      <c r="B4730" s="64" t="s">
        <v>38</v>
      </c>
      <c r="C4730" s="53" t="n">
        <v>168</v>
      </c>
      <c r="D4730" s="53" t="n">
        <v>1</v>
      </c>
      <c r="E4730" s="65" t="str">
        <f aca="false">IF($H4730="","",生产加工!$B168)</f>
        <v/>
      </c>
      <c r="F4730" s="55" t="str">
        <f aca="false">IF($H4730="","",生产加工!$C168)</f>
        <v/>
      </c>
      <c r="G4730" s="48" t="str">
        <f aca="false">IF($H4730="","",生产加工!$N168)</f>
        <v/>
      </c>
      <c r="H4730" s="10" t="str">
        <f aca="false">IF($L4730="","",IF($L4730="@对方",生产加工!$K168,IF($L4730="@存货",生产加工!$Q168,$L4730)))</f>
        <v/>
      </c>
      <c r="I4730" s="42" t="n">
        <f aca="false">IF($M4730="借",$O4730,0)</f>
        <v>0</v>
      </c>
      <c r="J4730" s="42" t="n">
        <f aca="false">IF($M4730="贷",$O4730,0)</f>
        <v>0</v>
      </c>
      <c r="K4730" s="48"/>
      <c r="L4730" s="66" t="str">
        <f aca="false">IF(生产加工!$E168="","",IFERROR(INDEX(记账规则!$A$36:$H$38,MATCH(生产加工!$E168,记账规则!$A$36:$A$38,0),3),""))</f>
        <v/>
      </c>
      <c r="M4730" s="66" t="str">
        <f aca="false">IF($L4730="","",IFERROR(INDEX(记账规则!$A$36:$H$38,MATCH(生产加工!$E168,记账规则!$A$36:$A$38,0),4),""))</f>
        <v/>
      </c>
      <c r="N4730" s="66" t="str">
        <f aca="false">IF($L4730="","",IFERROR(INDEX(记账规则!$A$36:$H$38,MATCH(生产加工!$E168,记账规则!$A$36:$A$38,0),5),""))</f>
        <v/>
      </c>
      <c r="O4730" s="67" t="n">
        <f aca="false">IF($H4730="",0,ROUND(IF($N4730="记账金额",N(生产加工!$U168),0),2))</f>
        <v>0</v>
      </c>
      <c r="P4730" s="64" t="str">
        <f aca="false">IF(AND($H4730&lt;&gt;"",ROUND($O4730,2)&lt;&gt;0),"有","")</f>
        <v/>
      </c>
    </row>
    <row r="4731" customFormat="false" ht="15" hidden="true" customHeight="false" outlineLevel="0" collapsed="false">
      <c r="A4731" s="53" t="str">
        <f aca="false">IF($H4731="","",ROW()-5)</f>
        <v/>
      </c>
      <c r="B4731" s="64" t="s">
        <v>38</v>
      </c>
      <c r="C4731" s="53" t="n">
        <v>168</v>
      </c>
      <c r="D4731" s="53" t="n">
        <v>2</v>
      </c>
      <c r="E4731" s="65" t="str">
        <f aca="false">IF($H4731="","",生产加工!$B168)</f>
        <v/>
      </c>
      <c r="F4731" s="55" t="str">
        <f aca="false">IF($H4731="","",生产加工!$C168)</f>
        <v/>
      </c>
      <c r="G4731" s="48" t="str">
        <f aca="false">IF($H4731="","",生产加工!$N168)</f>
        <v/>
      </c>
      <c r="H4731" s="10" t="str">
        <f aca="false">IF($L4731="","",IF($L4731="@对方",生产加工!$K168,IF($L4731="@存货",生产加工!$Q168,$L4731)))</f>
        <v/>
      </c>
      <c r="I4731" s="42" t="n">
        <f aca="false">IF($M4731="借",$O4731,0)</f>
        <v>0</v>
      </c>
      <c r="J4731" s="42" t="n">
        <f aca="false">IF($M4731="贷",$O4731,0)</f>
        <v>0</v>
      </c>
      <c r="K4731" s="48"/>
      <c r="L4731" s="66" t="str">
        <f aca="false">IF(生产加工!$E168="","",IFERROR(INDEX(记账规则!$A$36:$H$38,MATCH(生产加工!$E168,记账规则!$A$36:$A$38,0),6),""))</f>
        <v/>
      </c>
      <c r="M4731" s="66" t="str">
        <f aca="false">IF($L4731="","",IFERROR(INDEX(记账规则!$A$36:$H$38,MATCH(生产加工!$E168,记账规则!$A$36:$A$38,0),7),""))</f>
        <v/>
      </c>
      <c r="N4731" s="66" t="str">
        <f aca="false">IF($L4731="","",IFERROR(INDEX(记账规则!$A$36:$H$38,MATCH(生产加工!$E168,记账规则!$A$36:$A$38,0),8),""))</f>
        <v/>
      </c>
      <c r="O4731" s="67" t="n">
        <f aca="false">IF($H4731="",0,ROUND(IF($N4731="记账金额",N(生产加工!$U168),0),2))</f>
        <v>0</v>
      </c>
      <c r="P4731" s="64" t="str">
        <f aca="false">IF(AND($H4731&lt;&gt;"",ROUND($O4731,2)&lt;&gt;0),"有","")</f>
        <v/>
      </c>
    </row>
    <row r="4732" customFormat="false" ht="15" hidden="true" customHeight="false" outlineLevel="0" collapsed="false">
      <c r="A4732" s="53" t="str">
        <f aca="false">IF($H4732="","",ROW()-5)</f>
        <v/>
      </c>
      <c r="B4732" s="64" t="s">
        <v>38</v>
      </c>
      <c r="C4732" s="53" t="n">
        <v>169</v>
      </c>
      <c r="D4732" s="53" t="n">
        <v>1</v>
      </c>
      <c r="E4732" s="65" t="str">
        <f aca="false">IF($H4732="","",生产加工!$B169)</f>
        <v/>
      </c>
      <c r="F4732" s="55" t="str">
        <f aca="false">IF($H4732="","",生产加工!$C169)</f>
        <v/>
      </c>
      <c r="G4732" s="48" t="str">
        <f aca="false">IF($H4732="","",生产加工!$N169)</f>
        <v/>
      </c>
      <c r="H4732" s="10" t="str">
        <f aca="false">IF($L4732="","",IF($L4732="@对方",生产加工!$K169,IF($L4732="@存货",生产加工!$Q169,$L4732)))</f>
        <v/>
      </c>
      <c r="I4732" s="42" t="n">
        <f aca="false">IF($M4732="借",$O4732,0)</f>
        <v>0</v>
      </c>
      <c r="J4732" s="42" t="n">
        <f aca="false">IF($M4732="贷",$O4732,0)</f>
        <v>0</v>
      </c>
      <c r="K4732" s="48"/>
      <c r="L4732" s="66" t="str">
        <f aca="false">IF(生产加工!$E169="","",IFERROR(INDEX(记账规则!$A$36:$H$38,MATCH(生产加工!$E169,记账规则!$A$36:$A$38,0),3),""))</f>
        <v/>
      </c>
      <c r="M4732" s="66" t="str">
        <f aca="false">IF($L4732="","",IFERROR(INDEX(记账规则!$A$36:$H$38,MATCH(生产加工!$E169,记账规则!$A$36:$A$38,0),4),""))</f>
        <v/>
      </c>
      <c r="N4732" s="66" t="str">
        <f aca="false">IF($L4732="","",IFERROR(INDEX(记账规则!$A$36:$H$38,MATCH(生产加工!$E169,记账规则!$A$36:$A$38,0),5),""))</f>
        <v/>
      </c>
      <c r="O4732" s="67" t="n">
        <f aca="false">IF($H4732="",0,ROUND(IF($N4732="记账金额",N(生产加工!$U169),0),2))</f>
        <v>0</v>
      </c>
      <c r="P4732" s="64" t="str">
        <f aca="false">IF(AND($H4732&lt;&gt;"",ROUND($O4732,2)&lt;&gt;0),"有","")</f>
        <v/>
      </c>
    </row>
    <row r="4733" customFormat="false" ht="15" hidden="true" customHeight="false" outlineLevel="0" collapsed="false">
      <c r="A4733" s="53" t="str">
        <f aca="false">IF($H4733="","",ROW()-5)</f>
        <v/>
      </c>
      <c r="B4733" s="64" t="s">
        <v>38</v>
      </c>
      <c r="C4733" s="53" t="n">
        <v>169</v>
      </c>
      <c r="D4733" s="53" t="n">
        <v>2</v>
      </c>
      <c r="E4733" s="65" t="str">
        <f aca="false">IF($H4733="","",生产加工!$B169)</f>
        <v/>
      </c>
      <c r="F4733" s="55" t="str">
        <f aca="false">IF($H4733="","",生产加工!$C169)</f>
        <v/>
      </c>
      <c r="G4733" s="48" t="str">
        <f aca="false">IF($H4733="","",生产加工!$N169)</f>
        <v/>
      </c>
      <c r="H4733" s="10" t="str">
        <f aca="false">IF($L4733="","",IF($L4733="@对方",生产加工!$K169,IF($L4733="@存货",生产加工!$Q169,$L4733)))</f>
        <v/>
      </c>
      <c r="I4733" s="42" t="n">
        <f aca="false">IF($M4733="借",$O4733,0)</f>
        <v>0</v>
      </c>
      <c r="J4733" s="42" t="n">
        <f aca="false">IF($M4733="贷",$O4733,0)</f>
        <v>0</v>
      </c>
      <c r="K4733" s="48"/>
      <c r="L4733" s="66" t="str">
        <f aca="false">IF(生产加工!$E169="","",IFERROR(INDEX(记账规则!$A$36:$H$38,MATCH(生产加工!$E169,记账规则!$A$36:$A$38,0),6),""))</f>
        <v/>
      </c>
      <c r="M4733" s="66" t="str">
        <f aca="false">IF($L4733="","",IFERROR(INDEX(记账规则!$A$36:$H$38,MATCH(生产加工!$E169,记账规则!$A$36:$A$38,0),7),""))</f>
        <v/>
      </c>
      <c r="N4733" s="66" t="str">
        <f aca="false">IF($L4733="","",IFERROR(INDEX(记账规则!$A$36:$H$38,MATCH(生产加工!$E169,记账规则!$A$36:$A$38,0),8),""))</f>
        <v/>
      </c>
      <c r="O4733" s="67" t="n">
        <f aca="false">IF($H4733="",0,ROUND(IF($N4733="记账金额",N(生产加工!$U169),0),2))</f>
        <v>0</v>
      </c>
      <c r="P4733" s="64" t="str">
        <f aca="false">IF(AND($H4733&lt;&gt;"",ROUND($O4733,2)&lt;&gt;0),"有","")</f>
        <v/>
      </c>
    </row>
    <row r="4734" customFormat="false" ht="15" hidden="true" customHeight="false" outlineLevel="0" collapsed="false">
      <c r="A4734" s="53" t="str">
        <f aca="false">IF($H4734="","",ROW()-5)</f>
        <v/>
      </c>
      <c r="B4734" s="64" t="s">
        <v>38</v>
      </c>
      <c r="C4734" s="53" t="n">
        <v>170</v>
      </c>
      <c r="D4734" s="53" t="n">
        <v>1</v>
      </c>
      <c r="E4734" s="65" t="str">
        <f aca="false">IF($H4734="","",生产加工!$B170)</f>
        <v/>
      </c>
      <c r="F4734" s="55" t="str">
        <f aca="false">IF($H4734="","",生产加工!$C170)</f>
        <v/>
      </c>
      <c r="G4734" s="48" t="str">
        <f aca="false">IF($H4734="","",生产加工!$N170)</f>
        <v/>
      </c>
      <c r="H4734" s="10" t="str">
        <f aca="false">IF($L4734="","",IF($L4734="@对方",生产加工!$K170,IF($L4734="@存货",生产加工!$Q170,$L4734)))</f>
        <v/>
      </c>
      <c r="I4734" s="42" t="n">
        <f aca="false">IF($M4734="借",$O4734,0)</f>
        <v>0</v>
      </c>
      <c r="J4734" s="42" t="n">
        <f aca="false">IF($M4734="贷",$O4734,0)</f>
        <v>0</v>
      </c>
      <c r="K4734" s="48"/>
      <c r="L4734" s="66" t="str">
        <f aca="false">IF(生产加工!$E170="","",IFERROR(INDEX(记账规则!$A$36:$H$38,MATCH(生产加工!$E170,记账规则!$A$36:$A$38,0),3),""))</f>
        <v/>
      </c>
      <c r="M4734" s="66" t="str">
        <f aca="false">IF($L4734="","",IFERROR(INDEX(记账规则!$A$36:$H$38,MATCH(生产加工!$E170,记账规则!$A$36:$A$38,0),4),""))</f>
        <v/>
      </c>
      <c r="N4734" s="66" t="str">
        <f aca="false">IF($L4734="","",IFERROR(INDEX(记账规则!$A$36:$H$38,MATCH(生产加工!$E170,记账规则!$A$36:$A$38,0),5),""))</f>
        <v/>
      </c>
      <c r="O4734" s="67" t="n">
        <f aca="false">IF($H4734="",0,ROUND(IF($N4734="记账金额",N(生产加工!$U170),0),2))</f>
        <v>0</v>
      </c>
      <c r="P4734" s="64" t="str">
        <f aca="false">IF(AND($H4734&lt;&gt;"",ROUND($O4734,2)&lt;&gt;0),"有","")</f>
        <v/>
      </c>
    </row>
    <row r="4735" customFormat="false" ht="15" hidden="true" customHeight="false" outlineLevel="0" collapsed="false">
      <c r="A4735" s="53" t="str">
        <f aca="false">IF($H4735="","",ROW()-5)</f>
        <v/>
      </c>
      <c r="B4735" s="64" t="s">
        <v>38</v>
      </c>
      <c r="C4735" s="53" t="n">
        <v>170</v>
      </c>
      <c r="D4735" s="53" t="n">
        <v>2</v>
      </c>
      <c r="E4735" s="65" t="str">
        <f aca="false">IF($H4735="","",生产加工!$B170)</f>
        <v/>
      </c>
      <c r="F4735" s="55" t="str">
        <f aca="false">IF($H4735="","",生产加工!$C170)</f>
        <v/>
      </c>
      <c r="G4735" s="48" t="str">
        <f aca="false">IF($H4735="","",生产加工!$N170)</f>
        <v/>
      </c>
      <c r="H4735" s="10" t="str">
        <f aca="false">IF($L4735="","",IF($L4735="@对方",生产加工!$K170,IF($L4735="@存货",生产加工!$Q170,$L4735)))</f>
        <v/>
      </c>
      <c r="I4735" s="42" t="n">
        <f aca="false">IF($M4735="借",$O4735,0)</f>
        <v>0</v>
      </c>
      <c r="J4735" s="42" t="n">
        <f aca="false">IF($M4735="贷",$O4735,0)</f>
        <v>0</v>
      </c>
      <c r="K4735" s="48"/>
      <c r="L4735" s="66" t="str">
        <f aca="false">IF(生产加工!$E170="","",IFERROR(INDEX(记账规则!$A$36:$H$38,MATCH(生产加工!$E170,记账规则!$A$36:$A$38,0),6),""))</f>
        <v/>
      </c>
      <c r="M4735" s="66" t="str">
        <f aca="false">IF($L4735="","",IFERROR(INDEX(记账规则!$A$36:$H$38,MATCH(生产加工!$E170,记账规则!$A$36:$A$38,0),7),""))</f>
        <v/>
      </c>
      <c r="N4735" s="66" t="str">
        <f aca="false">IF($L4735="","",IFERROR(INDEX(记账规则!$A$36:$H$38,MATCH(生产加工!$E170,记账规则!$A$36:$A$38,0),8),""))</f>
        <v/>
      </c>
      <c r="O4735" s="67" t="n">
        <f aca="false">IF($H4735="",0,ROUND(IF($N4735="记账金额",N(生产加工!$U170),0),2))</f>
        <v>0</v>
      </c>
      <c r="P4735" s="64" t="str">
        <f aca="false">IF(AND($H4735&lt;&gt;"",ROUND($O4735,2)&lt;&gt;0),"有","")</f>
        <v/>
      </c>
    </row>
    <row r="4736" customFormat="false" ht="15" hidden="true" customHeight="false" outlineLevel="0" collapsed="false">
      <c r="A4736" s="53" t="str">
        <f aca="false">IF($H4736="","",ROW()-5)</f>
        <v/>
      </c>
      <c r="B4736" s="64" t="s">
        <v>38</v>
      </c>
      <c r="C4736" s="53" t="n">
        <v>171</v>
      </c>
      <c r="D4736" s="53" t="n">
        <v>1</v>
      </c>
      <c r="E4736" s="65" t="str">
        <f aca="false">IF($H4736="","",生产加工!$B171)</f>
        <v/>
      </c>
      <c r="F4736" s="55" t="str">
        <f aca="false">IF($H4736="","",生产加工!$C171)</f>
        <v/>
      </c>
      <c r="G4736" s="48" t="str">
        <f aca="false">IF($H4736="","",生产加工!$N171)</f>
        <v/>
      </c>
      <c r="H4736" s="10" t="str">
        <f aca="false">IF($L4736="","",IF($L4736="@对方",生产加工!$K171,IF($L4736="@存货",生产加工!$Q171,$L4736)))</f>
        <v/>
      </c>
      <c r="I4736" s="42" t="n">
        <f aca="false">IF($M4736="借",$O4736,0)</f>
        <v>0</v>
      </c>
      <c r="J4736" s="42" t="n">
        <f aca="false">IF($M4736="贷",$O4736,0)</f>
        <v>0</v>
      </c>
      <c r="K4736" s="48"/>
      <c r="L4736" s="66" t="str">
        <f aca="false">IF(生产加工!$E171="","",IFERROR(INDEX(记账规则!$A$36:$H$38,MATCH(生产加工!$E171,记账规则!$A$36:$A$38,0),3),""))</f>
        <v/>
      </c>
      <c r="M4736" s="66" t="str">
        <f aca="false">IF($L4736="","",IFERROR(INDEX(记账规则!$A$36:$H$38,MATCH(生产加工!$E171,记账规则!$A$36:$A$38,0),4),""))</f>
        <v/>
      </c>
      <c r="N4736" s="66" t="str">
        <f aca="false">IF($L4736="","",IFERROR(INDEX(记账规则!$A$36:$H$38,MATCH(生产加工!$E171,记账规则!$A$36:$A$38,0),5),""))</f>
        <v/>
      </c>
      <c r="O4736" s="67" t="n">
        <f aca="false">IF($H4736="",0,ROUND(IF($N4736="记账金额",N(生产加工!$U171),0),2))</f>
        <v>0</v>
      </c>
      <c r="P4736" s="64" t="str">
        <f aca="false">IF(AND($H4736&lt;&gt;"",ROUND($O4736,2)&lt;&gt;0),"有","")</f>
        <v/>
      </c>
    </row>
    <row r="4737" customFormat="false" ht="15" hidden="true" customHeight="false" outlineLevel="0" collapsed="false">
      <c r="A4737" s="53" t="str">
        <f aca="false">IF($H4737="","",ROW()-5)</f>
        <v/>
      </c>
      <c r="B4737" s="64" t="s">
        <v>38</v>
      </c>
      <c r="C4737" s="53" t="n">
        <v>171</v>
      </c>
      <c r="D4737" s="53" t="n">
        <v>2</v>
      </c>
      <c r="E4737" s="65" t="str">
        <f aca="false">IF($H4737="","",生产加工!$B171)</f>
        <v/>
      </c>
      <c r="F4737" s="55" t="str">
        <f aca="false">IF($H4737="","",生产加工!$C171)</f>
        <v/>
      </c>
      <c r="G4737" s="48" t="str">
        <f aca="false">IF($H4737="","",生产加工!$N171)</f>
        <v/>
      </c>
      <c r="H4737" s="10" t="str">
        <f aca="false">IF($L4737="","",IF($L4737="@对方",生产加工!$K171,IF($L4737="@存货",生产加工!$Q171,$L4737)))</f>
        <v/>
      </c>
      <c r="I4737" s="42" t="n">
        <f aca="false">IF($M4737="借",$O4737,0)</f>
        <v>0</v>
      </c>
      <c r="J4737" s="42" t="n">
        <f aca="false">IF($M4737="贷",$O4737,0)</f>
        <v>0</v>
      </c>
      <c r="K4737" s="48"/>
      <c r="L4737" s="66" t="str">
        <f aca="false">IF(生产加工!$E171="","",IFERROR(INDEX(记账规则!$A$36:$H$38,MATCH(生产加工!$E171,记账规则!$A$36:$A$38,0),6),""))</f>
        <v/>
      </c>
      <c r="M4737" s="66" t="str">
        <f aca="false">IF($L4737="","",IFERROR(INDEX(记账规则!$A$36:$H$38,MATCH(生产加工!$E171,记账规则!$A$36:$A$38,0),7),""))</f>
        <v/>
      </c>
      <c r="N4737" s="66" t="str">
        <f aca="false">IF($L4737="","",IFERROR(INDEX(记账规则!$A$36:$H$38,MATCH(生产加工!$E171,记账规则!$A$36:$A$38,0),8),""))</f>
        <v/>
      </c>
      <c r="O4737" s="67" t="n">
        <f aca="false">IF($H4737="",0,ROUND(IF($N4737="记账金额",N(生产加工!$U171),0),2))</f>
        <v>0</v>
      </c>
      <c r="P4737" s="64" t="str">
        <f aca="false">IF(AND($H4737&lt;&gt;"",ROUND($O4737,2)&lt;&gt;0),"有","")</f>
        <v/>
      </c>
    </row>
    <row r="4738" customFormat="false" ht="15" hidden="true" customHeight="false" outlineLevel="0" collapsed="false">
      <c r="A4738" s="53" t="str">
        <f aca="false">IF($H4738="","",ROW()-5)</f>
        <v/>
      </c>
      <c r="B4738" s="64" t="s">
        <v>38</v>
      </c>
      <c r="C4738" s="53" t="n">
        <v>172</v>
      </c>
      <c r="D4738" s="53" t="n">
        <v>1</v>
      </c>
      <c r="E4738" s="65" t="str">
        <f aca="false">IF($H4738="","",生产加工!$B172)</f>
        <v/>
      </c>
      <c r="F4738" s="55" t="str">
        <f aca="false">IF($H4738="","",生产加工!$C172)</f>
        <v/>
      </c>
      <c r="G4738" s="48" t="str">
        <f aca="false">IF($H4738="","",生产加工!$N172)</f>
        <v/>
      </c>
      <c r="H4738" s="10" t="str">
        <f aca="false">IF($L4738="","",IF($L4738="@对方",生产加工!$K172,IF($L4738="@存货",生产加工!$Q172,$L4738)))</f>
        <v/>
      </c>
      <c r="I4738" s="42" t="n">
        <f aca="false">IF($M4738="借",$O4738,0)</f>
        <v>0</v>
      </c>
      <c r="J4738" s="42" t="n">
        <f aca="false">IF($M4738="贷",$O4738,0)</f>
        <v>0</v>
      </c>
      <c r="K4738" s="48"/>
      <c r="L4738" s="66" t="str">
        <f aca="false">IF(生产加工!$E172="","",IFERROR(INDEX(记账规则!$A$36:$H$38,MATCH(生产加工!$E172,记账规则!$A$36:$A$38,0),3),""))</f>
        <v/>
      </c>
      <c r="M4738" s="66" t="str">
        <f aca="false">IF($L4738="","",IFERROR(INDEX(记账规则!$A$36:$H$38,MATCH(生产加工!$E172,记账规则!$A$36:$A$38,0),4),""))</f>
        <v/>
      </c>
      <c r="N4738" s="66" t="str">
        <f aca="false">IF($L4738="","",IFERROR(INDEX(记账规则!$A$36:$H$38,MATCH(生产加工!$E172,记账规则!$A$36:$A$38,0),5),""))</f>
        <v/>
      </c>
      <c r="O4738" s="67" t="n">
        <f aca="false">IF($H4738="",0,ROUND(IF($N4738="记账金额",N(生产加工!$U172),0),2))</f>
        <v>0</v>
      </c>
      <c r="P4738" s="64" t="str">
        <f aca="false">IF(AND($H4738&lt;&gt;"",ROUND($O4738,2)&lt;&gt;0),"有","")</f>
        <v/>
      </c>
    </row>
    <row r="4739" customFormat="false" ht="15" hidden="true" customHeight="false" outlineLevel="0" collapsed="false">
      <c r="A4739" s="53" t="str">
        <f aca="false">IF($H4739="","",ROW()-5)</f>
        <v/>
      </c>
      <c r="B4739" s="64" t="s">
        <v>38</v>
      </c>
      <c r="C4739" s="53" t="n">
        <v>172</v>
      </c>
      <c r="D4739" s="53" t="n">
        <v>2</v>
      </c>
      <c r="E4739" s="65" t="str">
        <f aca="false">IF($H4739="","",生产加工!$B172)</f>
        <v/>
      </c>
      <c r="F4739" s="55" t="str">
        <f aca="false">IF($H4739="","",生产加工!$C172)</f>
        <v/>
      </c>
      <c r="G4739" s="48" t="str">
        <f aca="false">IF($H4739="","",生产加工!$N172)</f>
        <v/>
      </c>
      <c r="H4739" s="10" t="str">
        <f aca="false">IF($L4739="","",IF($L4739="@对方",生产加工!$K172,IF($L4739="@存货",生产加工!$Q172,$L4739)))</f>
        <v/>
      </c>
      <c r="I4739" s="42" t="n">
        <f aca="false">IF($M4739="借",$O4739,0)</f>
        <v>0</v>
      </c>
      <c r="J4739" s="42" t="n">
        <f aca="false">IF($M4739="贷",$O4739,0)</f>
        <v>0</v>
      </c>
      <c r="K4739" s="48"/>
      <c r="L4739" s="66" t="str">
        <f aca="false">IF(生产加工!$E172="","",IFERROR(INDEX(记账规则!$A$36:$H$38,MATCH(生产加工!$E172,记账规则!$A$36:$A$38,0),6),""))</f>
        <v/>
      </c>
      <c r="M4739" s="66" t="str">
        <f aca="false">IF($L4739="","",IFERROR(INDEX(记账规则!$A$36:$H$38,MATCH(生产加工!$E172,记账规则!$A$36:$A$38,0),7),""))</f>
        <v/>
      </c>
      <c r="N4739" s="66" t="str">
        <f aca="false">IF($L4739="","",IFERROR(INDEX(记账规则!$A$36:$H$38,MATCH(生产加工!$E172,记账规则!$A$36:$A$38,0),8),""))</f>
        <v/>
      </c>
      <c r="O4739" s="67" t="n">
        <f aca="false">IF($H4739="",0,ROUND(IF($N4739="记账金额",N(生产加工!$U172),0),2))</f>
        <v>0</v>
      </c>
      <c r="P4739" s="64" t="str">
        <f aca="false">IF(AND($H4739&lt;&gt;"",ROUND($O4739,2)&lt;&gt;0),"有","")</f>
        <v/>
      </c>
    </row>
    <row r="4740" customFormat="false" ht="15" hidden="true" customHeight="false" outlineLevel="0" collapsed="false">
      <c r="A4740" s="53" t="str">
        <f aca="false">IF($H4740="","",ROW()-5)</f>
        <v/>
      </c>
      <c r="B4740" s="64" t="s">
        <v>38</v>
      </c>
      <c r="C4740" s="53" t="n">
        <v>173</v>
      </c>
      <c r="D4740" s="53" t="n">
        <v>1</v>
      </c>
      <c r="E4740" s="65" t="str">
        <f aca="false">IF($H4740="","",生产加工!$B173)</f>
        <v/>
      </c>
      <c r="F4740" s="55" t="str">
        <f aca="false">IF($H4740="","",生产加工!$C173)</f>
        <v/>
      </c>
      <c r="G4740" s="48" t="str">
        <f aca="false">IF($H4740="","",生产加工!$N173)</f>
        <v/>
      </c>
      <c r="H4740" s="10" t="str">
        <f aca="false">IF($L4740="","",IF($L4740="@对方",生产加工!$K173,IF($L4740="@存货",生产加工!$Q173,$L4740)))</f>
        <v/>
      </c>
      <c r="I4740" s="42" t="n">
        <f aca="false">IF($M4740="借",$O4740,0)</f>
        <v>0</v>
      </c>
      <c r="J4740" s="42" t="n">
        <f aca="false">IF($M4740="贷",$O4740,0)</f>
        <v>0</v>
      </c>
      <c r="K4740" s="48"/>
      <c r="L4740" s="66" t="str">
        <f aca="false">IF(生产加工!$E173="","",IFERROR(INDEX(记账规则!$A$36:$H$38,MATCH(生产加工!$E173,记账规则!$A$36:$A$38,0),3),""))</f>
        <v/>
      </c>
      <c r="M4740" s="66" t="str">
        <f aca="false">IF($L4740="","",IFERROR(INDEX(记账规则!$A$36:$H$38,MATCH(生产加工!$E173,记账规则!$A$36:$A$38,0),4),""))</f>
        <v/>
      </c>
      <c r="N4740" s="66" t="str">
        <f aca="false">IF($L4740="","",IFERROR(INDEX(记账规则!$A$36:$H$38,MATCH(生产加工!$E173,记账规则!$A$36:$A$38,0),5),""))</f>
        <v/>
      </c>
      <c r="O4740" s="67" t="n">
        <f aca="false">IF($H4740="",0,ROUND(IF($N4740="记账金额",N(生产加工!$U173),0),2))</f>
        <v>0</v>
      </c>
      <c r="P4740" s="64" t="str">
        <f aca="false">IF(AND($H4740&lt;&gt;"",ROUND($O4740,2)&lt;&gt;0),"有","")</f>
        <v/>
      </c>
    </row>
    <row r="4741" customFormat="false" ht="15" hidden="true" customHeight="false" outlineLevel="0" collapsed="false">
      <c r="A4741" s="53" t="str">
        <f aca="false">IF($H4741="","",ROW()-5)</f>
        <v/>
      </c>
      <c r="B4741" s="64" t="s">
        <v>38</v>
      </c>
      <c r="C4741" s="53" t="n">
        <v>173</v>
      </c>
      <c r="D4741" s="53" t="n">
        <v>2</v>
      </c>
      <c r="E4741" s="65" t="str">
        <f aca="false">IF($H4741="","",生产加工!$B173)</f>
        <v/>
      </c>
      <c r="F4741" s="55" t="str">
        <f aca="false">IF($H4741="","",生产加工!$C173)</f>
        <v/>
      </c>
      <c r="G4741" s="48" t="str">
        <f aca="false">IF($H4741="","",生产加工!$N173)</f>
        <v/>
      </c>
      <c r="H4741" s="10" t="str">
        <f aca="false">IF($L4741="","",IF($L4741="@对方",生产加工!$K173,IF($L4741="@存货",生产加工!$Q173,$L4741)))</f>
        <v/>
      </c>
      <c r="I4741" s="42" t="n">
        <f aca="false">IF($M4741="借",$O4741,0)</f>
        <v>0</v>
      </c>
      <c r="J4741" s="42" t="n">
        <f aca="false">IF($M4741="贷",$O4741,0)</f>
        <v>0</v>
      </c>
      <c r="K4741" s="48"/>
      <c r="L4741" s="66" t="str">
        <f aca="false">IF(生产加工!$E173="","",IFERROR(INDEX(记账规则!$A$36:$H$38,MATCH(生产加工!$E173,记账规则!$A$36:$A$38,0),6),""))</f>
        <v/>
      </c>
      <c r="M4741" s="66" t="str">
        <f aca="false">IF($L4741="","",IFERROR(INDEX(记账规则!$A$36:$H$38,MATCH(生产加工!$E173,记账规则!$A$36:$A$38,0),7),""))</f>
        <v/>
      </c>
      <c r="N4741" s="66" t="str">
        <f aca="false">IF($L4741="","",IFERROR(INDEX(记账规则!$A$36:$H$38,MATCH(生产加工!$E173,记账规则!$A$36:$A$38,0),8),""))</f>
        <v/>
      </c>
      <c r="O4741" s="67" t="n">
        <f aca="false">IF($H4741="",0,ROUND(IF($N4741="记账金额",N(生产加工!$U173),0),2))</f>
        <v>0</v>
      </c>
      <c r="P4741" s="64" t="str">
        <f aca="false">IF(AND($H4741&lt;&gt;"",ROUND($O4741,2)&lt;&gt;0),"有","")</f>
        <v/>
      </c>
    </row>
    <row r="4742" customFormat="false" ht="15" hidden="true" customHeight="false" outlineLevel="0" collapsed="false">
      <c r="A4742" s="53" t="str">
        <f aca="false">IF($H4742="","",ROW()-5)</f>
        <v/>
      </c>
      <c r="B4742" s="64" t="s">
        <v>38</v>
      </c>
      <c r="C4742" s="53" t="n">
        <v>174</v>
      </c>
      <c r="D4742" s="53" t="n">
        <v>1</v>
      </c>
      <c r="E4742" s="65" t="str">
        <f aca="false">IF($H4742="","",生产加工!$B174)</f>
        <v/>
      </c>
      <c r="F4742" s="55" t="str">
        <f aca="false">IF($H4742="","",生产加工!$C174)</f>
        <v/>
      </c>
      <c r="G4742" s="48" t="str">
        <f aca="false">IF($H4742="","",生产加工!$N174)</f>
        <v/>
      </c>
      <c r="H4742" s="10" t="str">
        <f aca="false">IF($L4742="","",IF($L4742="@对方",生产加工!$K174,IF($L4742="@存货",生产加工!$Q174,$L4742)))</f>
        <v/>
      </c>
      <c r="I4742" s="42" t="n">
        <f aca="false">IF($M4742="借",$O4742,0)</f>
        <v>0</v>
      </c>
      <c r="J4742" s="42" t="n">
        <f aca="false">IF($M4742="贷",$O4742,0)</f>
        <v>0</v>
      </c>
      <c r="K4742" s="48"/>
      <c r="L4742" s="66" t="str">
        <f aca="false">IF(生产加工!$E174="","",IFERROR(INDEX(记账规则!$A$36:$H$38,MATCH(生产加工!$E174,记账规则!$A$36:$A$38,0),3),""))</f>
        <v/>
      </c>
      <c r="M4742" s="66" t="str">
        <f aca="false">IF($L4742="","",IFERROR(INDEX(记账规则!$A$36:$H$38,MATCH(生产加工!$E174,记账规则!$A$36:$A$38,0),4),""))</f>
        <v/>
      </c>
      <c r="N4742" s="66" t="str">
        <f aca="false">IF($L4742="","",IFERROR(INDEX(记账规则!$A$36:$H$38,MATCH(生产加工!$E174,记账规则!$A$36:$A$38,0),5),""))</f>
        <v/>
      </c>
      <c r="O4742" s="67" t="n">
        <f aca="false">IF($H4742="",0,ROUND(IF($N4742="记账金额",N(生产加工!$U174),0),2))</f>
        <v>0</v>
      </c>
      <c r="P4742" s="64" t="str">
        <f aca="false">IF(AND($H4742&lt;&gt;"",ROUND($O4742,2)&lt;&gt;0),"有","")</f>
        <v/>
      </c>
    </row>
    <row r="4743" customFormat="false" ht="15" hidden="true" customHeight="false" outlineLevel="0" collapsed="false">
      <c r="A4743" s="53" t="str">
        <f aca="false">IF($H4743="","",ROW()-5)</f>
        <v/>
      </c>
      <c r="B4743" s="64" t="s">
        <v>38</v>
      </c>
      <c r="C4743" s="53" t="n">
        <v>174</v>
      </c>
      <c r="D4743" s="53" t="n">
        <v>2</v>
      </c>
      <c r="E4743" s="65" t="str">
        <f aca="false">IF($H4743="","",生产加工!$B174)</f>
        <v/>
      </c>
      <c r="F4743" s="55" t="str">
        <f aca="false">IF($H4743="","",生产加工!$C174)</f>
        <v/>
      </c>
      <c r="G4743" s="48" t="str">
        <f aca="false">IF($H4743="","",生产加工!$N174)</f>
        <v/>
      </c>
      <c r="H4743" s="10" t="str">
        <f aca="false">IF($L4743="","",IF($L4743="@对方",生产加工!$K174,IF($L4743="@存货",生产加工!$Q174,$L4743)))</f>
        <v/>
      </c>
      <c r="I4743" s="42" t="n">
        <f aca="false">IF($M4743="借",$O4743,0)</f>
        <v>0</v>
      </c>
      <c r="J4743" s="42" t="n">
        <f aca="false">IF($M4743="贷",$O4743,0)</f>
        <v>0</v>
      </c>
      <c r="K4743" s="48"/>
      <c r="L4743" s="66" t="str">
        <f aca="false">IF(生产加工!$E174="","",IFERROR(INDEX(记账规则!$A$36:$H$38,MATCH(生产加工!$E174,记账规则!$A$36:$A$38,0),6),""))</f>
        <v/>
      </c>
      <c r="M4743" s="66" t="str">
        <f aca="false">IF($L4743="","",IFERROR(INDEX(记账规则!$A$36:$H$38,MATCH(生产加工!$E174,记账规则!$A$36:$A$38,0),7),""))</f>
        <v/>
      </c>
      <c r="N4743" s="66" t="str">
        <f aca="false">IF($L4743="","",IFERROR(INDEX(记账规则!$A$36:$H$38,MATCH(生产加工!$E174,记账规则!$A$36:$A$38,0),8),""))</f>
        <v/>
      </c>
      <c r="O4743" s="67" t="n">
        <f aca="false">IF($H4743="",0,ROUND(IF($N4743="记账金额",N(生产加工!$U174),0),2))</f>
        <v>0</v>
      </c>
      <c r="P4743" s="64" t="str">
        <f aca="false">IF(AND($H4743&lt;&gt;"",ROUND($O4743,2)&lt;&gt;0),"有","")</f>
        <v/>
      </c>
    </row>
    <row r="4744" customFormat="false" ht="15" hidden="true" customHeight="false" outlineLevel="0" collapsed="false">
      <c r="A4744" s="53" t="str">
        <f aca="false">IF($H4744="","",ROW()-5)</f>
        <v/>
      </c>
      <c r="B4744" s="64" t="s">
        <v>38</v>
      </c>
      <c r="C4744" s="53" t="n">
        <v>175</v>
      </c>
      <c r="D4744" s="53" t="n">
        <v>1</v>
      </c>
      <c r="E4744" s="65" t="str">
        <f aca="false">IF($H4744="","",生产加工!$B175)</f>
        <v/>
      </c>
      <c r="F4744" s="55" t="str">
        <f aca="false">IF($H4744="","",生产加工!$C175)</f>
        <v/>
      </c>
      <c r="G4744" s="48" t="str">
        <f aca="false">IF($H4744="","",生产加工!$N175)</f>
        <v/>
      </c>
      <c r="H4744" s="10" t="str">
        <f aca="false">IF($L4744="","",IF($L4744="@对方",生产加工!$K175,IF($L4744="@存货",生产加工!$Q175,$L4744)))</f>
        <v/>
      </c>
      <c r="I4744" s="42" t="n">
        <f aca="false">IF($M4744="借",$O4744,0)</f>
        <v>0</v>
      </c>
      <c r="J4744" s="42" t="n">
        <f aca="false">IF($M4744="贷",$O4744,0)</f>
        <v>0</v>
      </c>
      <c r="K4744" s="48"/>
      <c r="L4744" s="66" t="str">
        <f aca="false">IF(生产加工!$E175="","",IFERROR(INDEX(记账规则!$A$36:$H$38,MATCH(生产加工!$E175,记账规则!$A$36:$A$38,0),3),""))</f>
        <v/>
      </c>
      <c r="M4744" s="66" t="str">
        <f aca="false">IF($L4744="","",IFERROR(INDEX(记账规则!$A$36:$H$38,MATCH(生产加工!$E175,记账规则!$A$36:$A$38,0),4),""))</f>
        <v/>
      </c>
      <c r="N4744" s="66" t="str">
        <f aca="false">IF($L4744="","",IFERROR(INDEX(记账规则!$A$36:$H$38,MATCH(生产加工!$E175,记账规则!$A$36:$A$38,0),5),""))</f>
        <v/>
      </c>
      <c r="O4744" s="67" t="n">
        <f aca="false">IF($H4744="",0,ROUND(IF($N4744="记账金额",N(生产加工!$U175),0),2))</f>
        <v>0</v>
      </c>
      <c r="P4744" s="64" t="str">
        <f aca="false">IF(AND($H4744&lt;&gt;"",ROUND($O4744,2)&lt;&gt;0),"有","")</f>
        <v/>
      </c>
    </row>
    <row r="4745" customFormat="false" ht="15" hidden="true" customHeight="false" outlineLevel="0" collapsed="false">
      <c r="A4745" s="53" t="str">
        <f aca="false">IF($H4745="","",ROW()-5)</f>
        <v/>
      </c>
      <c r="B4745" s="64" t="s">
        <v>38</v>
      </c>
      <c r="C4745" s="53" t="n">
        <v>175</v>
      </c>
      <c r="D4745" s="53" t="n">
        <v>2</v>
      </c>
      <c r="E4745" s="65" t="str">
        <f aca="false">IF($H4745="","",生产加工!$B175)</f>
        <v/>
      </c>
      <c r="F4745" s="55" t="str">
        <f aca="false">IF($H4745="","",生产加工!$C175)</f>
        <v/>
      </c>
      <c r="G4745" s="48" t="str">
        <f aca="false">IF($H4745="","",生产加工!$N175)</f>
        <v/>
      </c>
      <c r="H4745" s="10" t="str">
        <f aca="false">IF($L4745="","",IF($L4745="@对方",生产加工!$K175,IF($L4745="@存货",生产加工!$Q175,$L4745)))</f>
        <v/>
      </c>
      <c r="I4745" s="42" t="n">
        <f aca="false">IF($M4745="借",$O4745,0)</f>
        <v>0</v>
      </c>
      <c r="J4745" s="42" t="n">
        <f aca="false">IF($M4745="贷",$O4745,0)</f>
        <v>0</v>
      </c>
      <c r="K4745" s="48"/>
      <c r="L4745" s="66" t="str">
        <f aca="false">IF(生产加工!$E175="","",IFERROR(INDEX(记账规则!$A$36:$H$38,MATCH(生产加工!$E175,记账规则!$A$36:$A$38,0),6),""))</f>
        <v/>
      </c>
      <c r="M4745" s="66" t="str">
        <f aca="false">IF($L4745="","",IFERROR(INDEX(记账规则!$A$36:$H$38,MATCH(生产加工!$E175,记账规则!$A$36:$A$38,0),7),""))</f>
        <v/>
      </c>
      <c r="N4745" s="66" t="str">
        <f aca="false">IF($L4745="","",IFERROR(INDEX(记账规则!$A$36:$H$38,MATCH(生产加工!$E175,记账规则!$A$36:$A$38,0),8),""))</f>
        <v/>
      </c>
      <c r="O4745" s="67" t="n">
        <f aca="false">IF($H4745="",0,ROUND(IF($N4745="记账金额",N(生产加工!$U175),0),2))</f>
        <v>0</v>
      </c>
      <c r="P4745" s="64" t="str">
        <f aca="false">IF(AND($H4745&lt;&gt;"",ROUND($O4745,2)&lt;&gt;0),"有","")</f>
        <v/>
      </c>
    </row>
    <row r="4746" customFormat="false" ht="15" hidden="true" customHeight="false" outlineLevel="0" collapsed="false">
      <c r="A4746" s="53" t="str">
        <f aca="false">IF($H4746="","",ROW()-5)</f>
        <v/>
      </c>
      <c r="B4746" s="64" t="s">
        <v>38</v>
      </c>
      <c r="C4746" s="53" t="n">
        <v>176</v>
      </c>
      <c r="D4746" s="53" t="n">
        <v>1</v>
      </c>
      <c r="E4746" s="65" t="str">
        <f aca="false">IF($H4746="","",生产加工!$B176)</f>
        <v/>
      </c>
      <c r="F4746" s="55" t="str">
        <f aca="false">IF($H4746="","",生产加工!$C176)</f>
        <v/>
      </c>
      <c r="G4746" s="48" t="str">
        <f aca="false">IF($H4746="","",生产加工!$N176)</f>
        <v/>
      </c>
      <c r="H4746" s="10" t="str">
        <f aca="false">IF($L4746="","",IF($L4746="@对方",生产加工!$K176,IF($L4746="@存货",生产加工!$Q176,$L4746)))</f>
        <v/>
      </c>
      <c r="I4746" s="42" t="n">
        <f aca="false">IF($M4746="借",$O4746,0)</f>
        <v>0</v>
      </c>
      <c r="J4746" s="42" t="n">
        <f aca="false">IF($M4746="贷",$O4746,0)</f>
        <v>0</v>
      </c>
      <c r="K4746" s="48"/>
      <c r="L4746" s="66" t="str">
        <f aca="false">IF(生产加工!$E176="","",IFERROR(INDEX(记账规则!$A$36:$H$38,MATCH(生产加工!$E176,记账规则!$A$36:$A$38,0),3),""))</f>
        <v/>
      </c>
      <c r="M4746" s="66" t="str">
        <f aca="false">IF($L4746="","",IFERROR(INDEX(记账规则!$A$36:$H$38,MATCH(生产加工!$E176,记账规则!$A$36:$A$38,0),4),""))</f>
        <v/>
      </c>
      <c r="N4746" s="66" t="str">
        <f aca="false">IF($L4746="","",IFERROR(INDEX(记账规则!$A$36:$H$38,MATCH(生产加工!$E176,记账规则!$A$36:$A$38,0),5),""))</f>
        <v/>
      </c>
      <c r="O4746" s="67" t="n">
        <f aca="false">IF($H4746="",0,ROUND(IF($N4746="记账金额",N(生产加工!$U176),0),2))</f>
        <v>0</v>
      </c>
      <c r="P4746" s="64" t="str">
        <f aca="false">IF(AND($H4746&lt;&gt;"",ROUND($O4746,2)&lt;&gt;0),"有","")</f>
        <v/>
      </c>
    </row>
    <row r="4747" customFormat="false" ht="15" hidden="true" customHeight="false" outlineLevel="0" collapsed="false">
      <c r="A4747" s="53" t="str">
        <f aca="false">IF($H4747="","",ROW()-5)</f>
        <v/>
      </c>
      <c r="B4747" s="64" t="s">
        <v>38</v>
      </c>
      <c r="C4747" s="53" t="n">
        <v>176</v>
      </c>
      <c r="D4747" s="53" t="n">
        <v>2</v>
      </c>
      <c r="E4747" s="65" t="str">
        <f aca="false">IF($H4747="","",生产加工!$B176)</f>
        <v/>
      </c>
      <c r="F4747" s="55" t="str">
        <f aca="false">IF($H4747="","",生产加工!$C176)</f>
        <v/>
      </c>
      <c r="G4747" s="48" t="str">
        <f aca="false">IF($H4747="","",生产加工!$N176)</f>
        <v/>
      </c>
      <c r="H4747" s="10" t="str">
        <f aca="false">IF($L4747="","",IF($L4747="@对方",生产加工!$K176,IF($L4747="@存货",生产加工!$Q176,$L4747)))</f>
        <v/>
      </c>
      <c r="I4747" s="42" t="n">
        <f aca="false">IF($M4747="借",$O4747,0)</f>
        <v>0</v>
      </c>
      <c r="J4747" s="42" t="n">
        <f aca="false">IF($M4747="贷",$O4747,0)</f>
        <v>0</v>
      </c>
      <c r="K4747" s="48"/>
      <c r="L4747" s="66" t="str">
        <f aca="false">IF(生产加工!$E176="","",IFERROR(INDEX(记账规则!$A$36:$H$38,MATCH(生产加工!$E176,记账规则!$A$36:$A$38,0),6),""))</f>
        <v/>
      </c>
      <c r="M4747" s="66" t="str">
        <f aca="false">IF($L4747="","",IFERROR(INDEX(记账规则!$A$36:$H$38,MATCH(生产加工!$E176,记账规则!$A$36:$A$38,0),7),""))</f>
        <v/>
      </c>
      <c r="N4747" s="66" t="str">
        <f aca="false">IF($L4747="","",IFERROR(INDEX(记账规则!$A$36:$H$38,MATCH(生产加工!$E176,记账规则!$A$36:$A$38,0),8),""))</f>
        <v/>
      </c>
      <c r="O4747" s="67" t="n">
        <f aca="false">IF($H4747="",0,ROUND(IF($N4747="记账金额",N(生产加工!$U176),0),2))</f>
        <v>0</v>
      </c>
      <c r="P4747" s="64" t="str">
        <f aca="false">IF(AND($H4747&lt;&gt;"",ROUND($O4747,2)&lt;&gt;0),"有","")</f>
        <v/>
      </c>
    </row>
    <row r="4748" customFormat="false" ht="15" hidden="true" customHeight="false" outlineLevel="0" collapsed="false">
      <c r="A4748" s="53" t="str">
        <f aca="false">IF($H4748="","",ROW()-5)</f>
        <v/>
      </c>
      <c r="B4748" s="64" t="s">
        <v>38</v>
      </c>
      <c r="C4748" s="53" t="n">
        <v>177</v>
      </c>
      <c r="D4748" s="53" t="n">
        <v>1</v>
      </c>
      <c r="E4748" s="65" t="str">
        <f aca="false">IF($H4748="","",生产加工!$B177)</f>
        <v/>
      </c>
      <c r="F4748" s="55" t="str">
        <f aca="false">IF($H4748="","",生产加工!$C177)</f>
        <v/>
      </c>
      <c r="G4748" s="48" t="str">
        <f aca="false">IF($H4748="","",生产加工!$N177)</f>
        <v/>
      </c>
      <c r="H4748" s="10" t="str">
        <f aca="false">IF($L4748="","",IF($L4748="@对方",生产加工!$K177,IF($L4748="@存货",生产加工!$Q177,$L4748)))</f>
        <v/>
      </c>
      <c r="I4748" s="42" t="n">
        <f aca="false">IF($M4748="借",$O4748,0)</f>
        <v>0</v>
      </c>
      <c r="J4748" s="42" t="n">
        <f aca="false">IF($M4748="贷",$O4748,0)</f>
        <v>0</v>
      </c>
      <c r="K4748" s="48"/>
      <c r="L4748" s="66" t="str">
        <f aca="false">IF(生产加工!$E177="","",IFERROR(INDEX(记账规则!$A$36:$H$38,MATCH(生产加工!$E177,记账规则!$A$36:$A$38,0),3),""))</f>
        <v/>
      </c>
      <c r="M4748" s="66" t="str">
        <f aca="false">IF($L4748="","",IFERROR(INDEX(记账规则!$A$36:$H$38,MATCH(生产加工!$E177,记账规则!$A$36:$A$38,0),4),""))</f>
        <v/>
      </c>
      <c r="N4748" s="66" t="str">
        <f aca="false">IF($L4748="","",IFERROR(INDEX(记账规则!$A$36:$H$38,MATCH(生产加工!$E177,记账规则!$A$36:$A$38,0),5),""))</f>
        <v/>
      </c>
      <c r="O4748" s="67" t="n">
        <f aca="false">IF($H4748="",0,ROUND(IF($N4748="记账金额",N(生产加工!$U177),0),2))</f>
        <v>0</v>
      </c>
      <c r="P4748" s="64" t="str">
        <f aca="false">IF(AND($H4748&lt;&gt;"",ROUND($O4748,2)&lt;&gt;0),"有","")</f>
        <v/>
      </c>
    </row>
    <row r="4749" customFormat="false" ht="15" hidden="true" customHeight="false" outlineLevel="0" collapsed="false">
      <c r="A4749" s="53" t="str">
        <f aca="false">IF($H4749="","",ROW()-5)</f>
        <v/>
      </c>
      <c r="B4749" s="64" t="s">
        <v>38</v>
      </c>
      <c r="C4749" s="53" t="n">
        <v>177</v>
      </c>
      <c r="D4749" s="53" t="n">
        <v>2</v>
      </c>
      <c r="E4749" s="65" t="str">
        <f aca="false">IF($H4749="","",生产加工!$B177)</f>
        <v/>
      </c>
      <c r="F4749" s="55" t="str">
        <f aca="false">IF($H4749="","",生产加工!$C177)</f>
        <v/>
      </c>
      <c r="G4749" s="48" t="str">
        <f aca="false">IF($H4749="","",生产加工!$N177)</f>
        <v/>
      </c>
      <c r="H4749" s="10" t="str">
        <f aca="false">IF($L4749="","",IF($L4749="@对方",生产加工!$K177,IF($L4749="@存货",生产加工!$Q177,$L4749)))</f>
        <v/>
      </c>
      <c r="I4749" s="42" t="n">
        <f aca="false">IF($M4749="借",$O4749,0)</f>
        <v>0</v>
      </c>
      <c r="J4749" s="42" t="n">
        <f aca="false">IF($M4749="贷",$O4749,0)</f>
        <v>0</v>
      </c>
      <c r="K4749" s="48"/>
      <c r="L4749" s="66" t="str">
        <f aca="false">IF(生产加工!$E177="","",IFERROR(INDEX(记账规则!$A$36:$H$38,MATCH(生产加工!$E177,记账规则!$A$36:$A$38,0),6),""))</f>
        <v/>
      </c>
      <c r="M4749" s="66" t="str">
        <f aca="false">IF($L4749="","",IFERROR(INDEX(记账规则!$A$36:$H$38,MATCH(生产加工!$E177,记账规则!$A$36:$A$38,0),7),""))</f>
        <v/>
      </c>
      <c r="N4749" s="66" t="str">
        <f aca="false">IF($L4749="","",IFERROR(INDEX(记账规则!$A$36:$H$38,MATCH(生产加工!$E177,记账规则!$A$36:$A$38,0),8),""))</f>
        <v/>
      </c>
      <c r="O4749" s="67" t="n">
        <f aca="false">IF($H4749="",0,ROUND(IF($N4749="记账金额",N(生产加工!$U177),0),2))</f>
        <v>0</v>
      </c>
      <c r="P4749" s="64" t="str">
        <f aca="false">IF(AND($H4749&lt;&gt;"",ROUND($O4749,2)&lt;&gt;0),"有","")</f>
        <v/>
      </c>
    </row>
    <row r="4750" customFormat="false" ht="15" hidden="true" customHeight="false" outlineLevel="0" collapsed="false">
      <c r="A4750" s="53" t="str">
        <f aca="false">IF($H4750="","",ROW()-5)</f>
        <v/>
      </c>
      <c r="B4750" s="64" t="s">
        <v>38</v>
      </c>
      <c r="C4750" s="53" t="n">
        <v>178</v>
      </c>
      <c r="D4750" s="53" t="n">
        <v>1</v>
      </c>
      <c r="E4750" s="65" t="str">
        <f aca="false">IF($H4750="","",生产加工!$B178)</f>
        <v/>
      </c>
      <c r="F4750" s="55" t="str">
        <f aca="false">IF($H4750="","",生产加工!$C178)</f>
        <v/>
      </c>
      <c r="G4750" s="48" t="str">
        <f aca="false">IF($H4750="","",生产加工!$N178)</f>
        <v/>
      </c>
      <c r="H4750" s="10" t="str">
        <f aca="false">IF($L4750="","",IF($L4750="@对方",生产加工!$K178,IF($L4750="@存货",生产加工!$Q178,$L4750)))</f>
        <v/>
      </c>
      <c r="I4750" s="42" t="n">
        <f aca="false">IF($M4750="借",$O4750,0)</f>
        <v>0</v>
      </c>
      <c r="J4750" s="42" t="n">
        <f aca="false">IF($M4750="贷",$O4750,0)</f>
        <v>0</v>
      </c>
      <c r="K4750" s="48"/>
      <c r="L4750" s="66" t="str">
        <f aca="false">IF(生产加工!$E178="","",IFERROR(INDEX(记账规则!$A$36:$H$38,MATCH(生产加工!$E178,记账规则!$A$36:$A$38,0),3),""))</f>
        <v/>
      </c>
      <c r="M4750" s="66" t="str">
        <f aca="false">IF($L4750="","",IFERROR(INDEX(记账规则!$A$36:$H$38,MATCH(生产加工!$E178,记账规则!$A$36:$A$38,0),4),""))</f>
        <v/>
      </c>
      <c r="N4750" s="66" t="str">
        <f aca="false">IF($L4750="","",IFERROR(INDEX(记账规则!$A$36:$H$38,MATCH(生产加工!$E178,记账规则!$A$36:$A$38,0),5),""))</f>
        <v/>
      </c>
      <c r="O4750" s="67" t="n">
        <f aca="false">IF($H4750="",0,ROUND(IF($N4750="记账金额",N(生产加工!$U178),0),2))</f>
        <v>0</v>
      </c>
      <c r="P4750" s="64" t="str">
        <f aca="false">IF(AND($H4750&lt;&gt;"",ROUND($O4750,2)&lt;&gt;0),"有","")</f>
        <v/>
      </c>
    </row>
    <row r="4751" customFormat="false" ht="15" hidden="true" customHeight="false" outlineLevel="0" collapsed="false">
      <c r="A4751" s="53" t="str">
        <f aca="false">IF($H4751="","",ROW()-5)</f>
        <v/>
      </c>
      <c r="B4751" s="64" t="s">
        <v>38</v>
      </c>
      <c r="C4751" s="53" t="n">
        <v>178</v>
      </c>
      <c r="D4751" s="53" t="n">
        <v>2</v>
      </c>
      <c r="E4751" s="65" t="str">
        <f aca="false">IF($H4751="","",生产加工!$B178)</f>
        <v/>
      </c>
      <c r="F4751" s="55" t="str">
        <f aca="false">IF($H4751="","",生产加工!$C178)</f>
        <v/>
      </c>
      <c r="G4751" s="48" t="str">
        <f aca="false">IF($H4751="","",生产加工!$N178)</f>
        <v/>
      </c>
      <c r="H4751" s="10" t="str">
        <f aca="false">IF($L4751="","",IF($L4751="@对方",生产加工!$K178,IF($L4751="@存货",生产加工!$Q178,$L4751)))</f>
        <v/>
      </c>
      <c r="I4751" s="42" t="n">
        <f aca="false">IF($M4751="借",$O4751,0)</f>
        <v>0</v>
      </c>
      <c r="J4751" s="42" t="n">
        <f aca="false">IF($M4751="贷",$O4751,0)</f>
        <v>0</v>
      </c>
      <c r="K4751" s="48"/>
      <c r="L4751" s="66" t="str">
        <f aca="false">IF(生产加工!$E178="","",IFERROR(INDEX(记账规则!$A$36:$H$38,MATCH(生产加工!$E178,记账规则!$A$36:$A$38,0),6),""))</f>
        <v/>
      </c>
      <c r="M4751" s="66" t="str">
        <f aca="false">IF($L4751="","",IFERROR(INDEX(记账规则!$A$36:$H$38,MATCH(生产加工!$E178,记账规则!$A$36:$A$38,0),7),""))</f>
        <v/>
      </c>
      <c r="N4751" s="66" t="str">
        <f aca="false">IF($L4751="","",IFERROR(INDEX(记账规则!$A$36:$H$38,MATCH(生产加工!$E178,记账规则!$A$36:$A$38,0),8),""))</f>
        <v/>
      </c>
      <c r="O4751" s="67" t="n">
        <f aca="false">IF($H4751="",0,ROUND(IF($N4751="记账金额",N(生产加工!$U178),0),2))</f>
        <v>0</v>
      </c>
      <c r="P4751" s="64" t="str">
        <f aca="false">IF(AND($H4751&lt;&gt;"",ROUND($O4751,2)&lt;&gt;0),"有","")</f>
        <v/>
      </c>
    </row>
    <row r="4752" customFormat="false" ht="15" hidden="true" customHeight="false" outlineLevel="0" collapsed="false">
      <c r="A4752" s="53" t="str">
        <f aca="false">IF($H4752="","",ROW()-5)</f>
        <v/>
      </c>
      <c r="B4752" s="64" t="s">
        <v>38</v>
      </c>
      <c r="C4752" s="53" t="n">
        <v>179</v>
      </c>
      <c r="D4752" s="53" t="n">
        <v>1</v>
      </c>
      <c r="E4752" s="65" t="str">
        <f aca="false">IF($H4752="","",生产加工!$B179)</f>
        <v/>
      </c>
      <c r="F4752" s="55" t="str">
        <f aca="false">IF($H4752="","",生产加工!$C179)</f>
        <v/>
      </c>
      <c r="G4752" s="48" t="str">
        <f aca="false">IF($H4752="","",生产加工!$N179)</f>
        <v/>
      </c>
      <c r="H4752" s="10" t="str">
        <f aca="false">IF($L4752="","",IF($L4752="@对方",生产加工!$K179,IF($L4752="@存货",生产加工!$Q179,$L4752)))</f>
        <v/>
      </c>
      <c r="I4752" s="42" t="n">
        <f aca="false">IF($M4752="借",$O4752,0)</f>
        <v>0</v>
      </c>
      <c r="J4752" s="42" t="n">
        <f aca="false">IF($M4752="贷",$O4752,0)</f>
        <v>0</v>
      </c>
      <c r="K4752" s="48"/>
      <c r="L4752" s="66" t="str">
        <f aca="false">IF(生产加工!$E179="","",IFERROR(INDEX(记账规则!$A$36:$H$38,MATCH(生产加工!$E179,记账规则!$A$36:$A$38,0),3),""))</f>
        <v/>
      </c>
      <c r="M4752" s="66" t="str">
        <f aca="false">IF($L4752="","",IFERROR(INDEX(记账规则!$A$36:$H$38,MATCH(生产加工!$E179,记账规则!$A$36:$A$38,0),4),""))</f>
        <v/>
      </c>
      <c r="N4752" s="66" t="str">
        <f aca="false">IF($L4752="","",IFERROR(INDEX(记账规则!$A$36:$H$38,MATCH(生产加工!$E179,记账规则!$A$36:$A$38,0),5),""))</f>
        <v/>
      </c>
      <c r="O4752" s="67" t="n">
        <f aca="false">IF($H4752="",0,ROUND(IF($N4752="记账金额",N(生产加工!$U179),0),2))</f>
        <v>0</v>
      </c>
      <c r="P4752" s="64" t="str">
        <f aca="false">IF(AND($H4752&lt;&gt;"",ROUND($O4752,2)&lt;&gt;0),"有","")</f>
        <v/>
      </c>
    </row>
    <row r="4753" customFormat="false" ht="15" hidden="true" customHeight="false" outlineLevel="0" collapsed="false">
      <c r="A4753" s="53" t="str">
        <f aca="false">IF($H4753="","",ROW()-5)</f>
        <v/>
      </c>
      <c r="B4753" s="64" t="s">
        <v>38</v>
      </c>
      <c r="C4753" s="53" t="n">
        <v>179</v>
      </c>
      <c r="D4753" s="53" t="n">
        <v>2</v>
      </c>
      <c r="E4753" s="65" t="str">
        <f aca="false">IF($H4753="","",生产加工!$B179)</f>
        <v/>
      </c>
      <c r="F4753" s="55" t="str">
        <f aca="false">IF($H4753="","",生产加工!$C179)</f>
        <v/>
      </c>
      <c r="G4753" s="48" t="str">
        <f aca="false">IF($H4753="","",生产加工!$N179)</f>
        <v/>
      </c>
      <c r="H4753" s="10" t="str">
        <f aca="false">IF($L4753="","",IF($L4753="@对方",生产加工!$K179,IF($L4753="@存货",生产加工!$Q179,$L4753)))</f>
        <v/>
      </c>
      <c r="I4753" s="42" t="n">
        <f aca="false">IF($M4753="借",$O4753,0)</f>
        <v>0</v>
      </c>
      <c r="J4753" s="42" t="n">
        <f aca="false">IF($M4753="贷",$O4753,0)</f>
        <v>0</v>
      </c>
      <c r="K4753" s="48"/>
      <c r="L4753" s="66" t="str">
        <f aca="false">IF(生产加工!$E179="","",IFERROR(INDEX(记账规则!$A$36:$H$38,MATCH(生产加工!$E179,记账规则!$A$36:$A$38,0),6),""))</f>
        <v/>
      </c>
      <c r="M4753" s="66" t="str">
        <f aca="false">IF($L4753="","",IFERROR(INDEX(记账规则!$A$36:$H$38,MATCH(生产加工!$E179,记账规则!$A$36:$A$38,0),7),""))</f>
        <v/>
      </c>
      <c r="N4753" s="66" t="str">
        <f aca="false">IF($L4753="","",IFERROR(INDEX(记账规则!$A$36:$H$38,MATCH(生产加工!$E179,记账规则!$A$36:$A$38,0),8),""))</f>
        <v/>
      </c>
      <c r="O4753" s="67" t="n">
        <f aca="false">IF($H4753="",0,ROUND(IF($N4753="记账金额",N(生产加工!$U179),0),2))</f>
        <v>0</v>
      </c>
      <c r="P4753" s="64" t="str">
        <f aca="false">IF(AND($H4753&lt;&gt;"",ROUND($O4753,2)&lt;&gt;0),"有","")</f>
        <v/>
      </c>
    </row>
    <row r="4754" customFormat="false" ht="15" hidden="true" customHeight="false" outlineLevel="0" collapsed="false">
      <c r="A4754" s="53" t="str">
        <f aca="false">IF($H4754="","",ROW()-5)</f>
        <v/>
      </c>
      <c r="B4754" s="64" t="s">
        <v>38</v>
      </c>
      <c r="C4754" s="53" t="n">
        <v>180</v>
      </c>
      <c r="D4754" s="53" t="n">
        <v>1</v>
      </c>
      <c r="E4754" s="65" t="str">
        <f aca="false">IF($H4754="","",生产加工!$B180)</f>
        <v/>
      </c>
      <c r="F4754" s="55" t="str">
        <f aca="false">IF($H4754="","",生产加工!$C180)</f>
        <v/>
      </c>
      <c r="G4754" s="48" t="str">
        <f aca="false">IF($H4754="","",生产加工!$N180)</f>
        <v/>
      </c>
      <c r="H4754" s="10" t="str">
        <f aca="false">IF($L4754="","",IF($L4754="@对方",生产加工!$K180,IF($L4754="@存货",生产加工!$Q180,$L4754)))</f>
        <v/>
      </c>
      <c r="I4754" s="42" t="n">
        <f aca="false">IF($M4754="借",$O4754,0)</f>
        <v>0</v>
      </c>
      <c r="J4754" s="42" t="n">
        <f aca="false">IF($M4754="贷",$O4754,0)</f>
        <v>0</v>
      </c>
      <c r="K4754" s="48"/>
      <c r="L4754" s="66" t="str">
        <f aca="false">IF(生产加工!$E180="","",IFERROR(INDEX(记账规则!$A$36:$H$38,MATCH(生产加工!$E180,记账规则!$A$36:$A$38,0),3),""))</f>
        <v/>
      </c>
      <c r="M4754" s="66" t="str">
        <f aca="false">IF($L4754="","",IFERROR(INDEX(记账规则!$A$36:$H$38,MATCH(生产加工!$E180,记账规则!$A$36:$A$38,0),4),""))</f>
        <v/>
      </c>
      <c r="N4754" s="66" t="str">
        <f aca="false">IF($L4754="","",IFERROR(INDEX(记账规则!$A$36:$H$38,MATCH(生产加工!$E180,记账规则!$A$36:$A$38,0),5),""))</f>
        <v/>
      </c>
      <c r="O4754" s="67" t="n">
        <f aca="false">IF($H4754="",0,ROUND(IF($N4754="记账金额",N(生产加工!$U180),0),2))</f>
        <v>0</v>
      </c>
      <c r="P4754" s="64" t="str">
        <f aca="false">IF(AND($H4754&lt;&gt;"",ROUND($O4754,2)&lt;&gt;0),"有","")</f>
        <v/>
      </c>
    </row>
    <row r="4755" customFormat="false" ht="15" hidden="true" customHeight="false" outlineLevel="0" collapsed="false">
      <c r="A4755" s="53" t="str">
        <f aca="false">IF($H4755="","",ROW()-5)</f>
        <v/>
      </c>
      <c r="B4755" s="64" t="s">
        <v>38</v>
      </c>
      <c r="C4755" s="53" t="n">
        <v>180</v>
      </c>
      <c r="D4755" s="53" t="n">
        <v>2</v>
      </c>
      <c r="E4755" s="65" t="str">
        <f aca="false">IF($H4755="","",生产加工!$B180)</f>
        <v/>
      </c>
      <c r="F4755" s="55" t="str">
        <f aca="false">IF($H4755="","",生产加工!$C180)</f>
        <v/>
      </c>
      <c r="G4755" s="48" t="str">
        <f aca="false">IF($H4755="","",生产加工!$N180)</f>
        <v/>
      </c>
      <c r="H4755" s="10" t="str">
        <f aca="false">IF($L4755="","",IF($L4755="@对方",生产加工!$K180,IF($L4755="@存货",生产加工!$Q180,$L4755)))</f>
        <v/>
      </c>
      <c r="I4755" s="42" t="n">
        <f aca="false">IF($M4755="借",$O4755,0)</f>
        <v>0</v>
      </c>
      <c r="J4755" s="42" t="n">
        <f aca="false">IF($M4755="贷",$O4755,0)</f>
        <v>0</v>
      </c>
      <c r="K4755" s="48"/>
      <c r="L4755" s="66" t="str">
        <f aca="false">IF(生产加工!$E180="","",IFERROR(INDEX(记账规则!$A$36:$H$38,MATCH(生产加工!$E180,记账规则!$A$36:$A$38,0),6),""))</f>
        <v/>
      </c>
      <c r="M4755" s="66" t="str">
        <f aca="false">IF($L4755="","",IFERROR(INDEX(记账规则!$A$36:$H$38,MATCH(生产加工!$E180,记账规则!$A$36:$A$38,0),7),""))</f>
        <v/>
      </c>
      <c r="N4755" s="66" t="str">
        <f aca="false">IF($L4755="","",IFERROR(INDEX(记账规则!$A$36:$H$38,MATCH(生产加工!$E180,记账规则!$A$36:$A$38,0),8),""))</f>
        <v/>
      </c>
      <c r="O4755" s="67" t="n">
        <f aca="false">IF($H4755="",0,ROUND(IF($N4755="记账金额",N(生产加工!$U180),0),2))</f>
        <v>0</v>
      </c>
      <c r="P4755" s="64" t="str">
        <f aca="false">IF(AND($H4755&lt;&gt;"",ROUND($O4755,2)&lt;&gt;0),"有","")</f>
        <v/>
      </c>
    </row>
    <row r="4756" customFormat="false" ht="15" hidden="true" customHeight="false" outlineLevel="0" collapsed="false">
      <c r="A4756" s="53" t="str">
        <f aca="false">IF($H4756="","",ROW()-5)</f>
        <v/>
      </c>
      <c r="B4756" s="64" t="s">
        <v>38</v>
      </c>
      <c r="C4756" s="53" t="n">
        <v>181</v>
      </c>
      <c r="D4756" s="53" t="n">
        <v>1</v>
      </c>
      <c r="E4756" s="65" t="str">
        <f aca="false">IF($H4756="","",生产加工!$B181)</f>
        <v/>
      </c>
      <c r="F4756" s="55" t="str">
        <f aca="false">IF($H4756="","",生产加工!$C181)</f>
        <v/>
      </c>
      <c r="G4756" s="48" t="str">
        <f aca="false">IF($H4756="","",生产加工!$N181)</f>
        <v/>
      </c>
      <c r="H4756" s="10" t="str">
        <f aca="false">IF($L4756="","",IF($L4756="@对方",生产加工!$K181,IF($L4756="@存货",生产加工!$Q181,$L4756)))</f>
        <v/>
      </c>
      <c r="I4756" s="42" t="n">
        <f aca="false">IF($M4756="借",$O4756,0)</f>
        <v>0</v>
      </c>
      <c r="J4756" s="42" t="n">
        <f aca="false">IF($M4756="贷",$O4756,0)</f>
        <v>0</v>
      </c>
      <c r="K4756" s="48"/>
      <c r="L4756" s="66" t="str">
        <f aca="false">IF(生产加工!$E181="","",IFERROR(INDEX(记账规则!$A$36:$H$38,MATCH(生产加工!$E181,记账规则!$A$36:$A$38,0),3),""))</f>
        <v/>
      </c>
      <c r="M4756" s="66" t="str">
        <f aca="false">IF($L4756="","",IFERROR(INDEX(记账规则!$A$36:$H$38,MATCH(生产加工!$E181,记账规则!$A$36:$A$38,0),4),""))</f>
        <v/>
      </c>
      <c r="N4756" s="66" t="str">
        <f aca="false">IF($L4756="","",IFERROR(INDEX(记账规则!$A$36:$H$38,MATCH(生产加工!$E181,记账规则!$A$36:$A$38,0),5),""))</f>
        <v/>
      </c>
      <c r="O4756" s="67" t="n">
        <f aca="false">IF($H4756="",0,ROUND(IF($N4756="记账金额",N(生产加工!$U181),0),2))</f>
        <v>0</v>
      </c>
      <c r="P4756" s="64" t="str">
        <f aca="false">IF(AND($H4756&lt;&gt;"",ROUND($O4756,2)&lt;&gt;0),"有","")</f>
        <v/>
      </c>
    </row>
    <row r="4757" customFormat="false" ht="15" hidden="true" customHeight="false" outlineLevel="0" collapsed="false">
      <c r="A4757" s="53" t="str">
        <f aca="false">IF($H4757="","",ROW()-5)</f>
        <v/>
      </c>
      <c r="B4757" s="64" t="s">
        <v>38</v>
      </c>
      <c r="C4757" s="53" t="n">
        <v>181</v>
      </c>
      <c r="D4757" s="53" t="n">
        <v>2</v>
      </c>
      <c r="E4757" s="65" t="str">
        <f aca="false">IF($H4757="","",生产加工!$B181)</f>
        <v/>
      </c>
      <c r="F4757" s="55" t="str">
        <f aca="false">IF($H4757="","",生产加工!$C181)</f>
        <v/>
      </c>
      <c r="G4757" s="48" t="str">
        <f aca="false">IF($H4757="","",生产加工!$N181)</f>
        <v/>
      </c>
      <c r="H4757" s="10" t="str">
        <f aca="false">IF($L4757="","",IF($L4757="@对方",生产加工!$K181,IF($L4757="@存货",生产加工!$Q181,$L4757)))</f>
        <v/>
      </c>
      <c r="I4757" s="42" t="n">
        <f aca="false">IF($M4757="借",$O4757,0)</f>
        <v>0</v>
      </c>
      <c r="J4757" s="42" t="n">
        <f aca="false">IF($M4757="贷",$O4757,0)</f>
        <v>0</v>
      </c>
      <c r="K4757" s="48"/>
      <c r="L4757" s="66" t="str">
        <f aca="false">IF(生产加工!$E181="","",IFERROR(INDEX(记账规则!$A$36:$H$38,MATCH(生产加工!$E181,记账规则!$A$36:$A$38,0),6),""))</f>
        <v/>
      </c>
      <c r="M4757" s="66" t="str">
        <f aca="false">IF($L4757="","",IFERROR(INDEX(记账规则!$A$36:$H$38,MATCH(生产加工!$E181,记账规则!$A$36:$A$38,0),7),""))</f>
        <v/>
      </c>
      <c r="N4757" s="66" t="str">
        <f aca="false">IF($L4757="","",IFERROR(INDEX(记账规则!$A$36:$H$38,MATCH(生产加工!$E181,记账规则!$A$36:$A$38,0),8),""))</f>
        <v/>
      </c>
      <c r="O4757" s="67" t="n">
        <f aca="false">IF($H4757="",0,ROUND(IF($N4757="记账金额",N(生产加工!$U181),0),2))</f>
        <v>0</v>
      </c>
      <c r="P4757" s="64" t="str">
        <f aca="false">IF(AND($H4757&lt;&gt;"",ROUND($O4757,2)&lt;&gt;0),"有","")</f>
        <v/>
      </c>
    </row>
    <row r="4758" customFormat="false" ht="15" hidden="true" customHeight="false" outlineLevel="0" collapsed="false">
      <c r="A4758" s="53" t="str">
        <f aca="false">IF($H4758="","",ROW()-5)</f>
        <v/>
      </c>
      <c r="B4758" s="64" t="s">
        <v>38</v>
      </c>
      <c r="C4758" s="53" t="n">
        <v>182</v>
      </c>
      <c r="D4758" s="53" t="n">
        <v>1</v>
      </c>
      <c r="E4758" s="65" t="str">
        <f aca="false">IF($H4758="","",生产加工!$B182)</f>
        <v/>
      </c>
      <c r="F4758" s="55" t="str">
        <f aca="false">IF($H4758="","",生产加工!$C182)</f>
        <v/>
      </c>
      <c r="G4758" s="48" t="str">
        <f aca="false">IF($H4758="","",生产加工!$N182)</f>
        <v/>
      </c>
      <c r="H4758" s="10" t="str">
        <f aca="false">IF($L4758="","",IF($L4758="@对方",生产加工!$K182,IF($L4758="@存货",生产加工!$Q182,$L4758)))</f>
        <v/>
      </c>
      <c r="I4758" s="42" t="n">
        <f aca="false">IF($M4758="借",$O4758,0)</f>
        <v>0</v>
      </c>
      <c r="J4758" s="42" t="n">
        <f aca="false">IF($M4758="贷",$O4758,0)</f>
        <v>0</v>
      </c>
      <c r="K4758" s="48"/>
      <c r="L4758" s="66" t="str">
        <f aca="false">IF(生产加工!$E182="","",IFERROR(INDEX(记账规则!$A$36:$H$38,MATCH(生产加工!$E182,记账规则!$A$36:$A$38,0),3),""))</f>
        <v/>
      </c>
      <c r="M4758" s="66" t="str">
        <f aca="false">IF($L4758="","",IFERROR(INDEX(记账规则!$A$36:$H$38,MATCH(生产加工!$E182,记账规则!$A$36:$A$38,0),4),""))</f>
        <v/>
      </c>
      <c r="N4758" s="66" t="str">
        <f aca="false">IF($L4758="","",IFERROR(INDEX(记账规则!$A$36:$H$38,MATCH(生产加工!$E182,记账规则!$A$36:$A$38,0),5),""))</f>
        <v/>
      </c>
      <c r="O4758" s="67" t="n">
        <f aca="false">IF($H4758="",0,ROUND(IF($N4758="记账金额",N(生产加工!$U182),0),2))</f>
        <v>0</v>
      </c>
      <c r="P4758" s="64" t="str">
        <f aca="false">IF(AND($H4758&lt;&gt;"",ROUND($O4758,2)&lt;&gt;0),"有","")</f>
        <v/>
      </c>
    </row>
    <row r="4759" customFormat="false" ht="15" hidden="true" customHeight="false" outlineLevel="0" collapsed="false">
      <c r="A4759" s="53" t="str">
        <f aca="false">IF($H4759="","",ROW()-5)</f>
        <v/>
      </c>
      <c r="B4759" s="64" t="s">
        <v>38</v>
      </c>
      <c r="C4759" s="53" t="n">
        <v>182</v>
      </c>
      <c r="D4759" s="53" t="n">
        <v>2</v>
      </c>
      <c r="E4759" s="65" t="str">
        <f aca="false">IF($H4759="","",生产加工!$B182)</f>
        <v/>
      </c>
      <c r="F4759" s="55" t="str">
        <f aca="false">IF($H4759="","",生产加工!$C182)</f>
        <v/>
      </c>
      <c r="G4759" s="48" t="str">
        <f aca="false">IF($H4759="","",生产加工!$N182)</f>
        <v/>
      </c>
      <c r="H4759" s="10" t="str">
        <f aca="false">IF($L4759="","",IF($L4759="@对方",生产加工!$K182,IF($L4759="@存货",生产加工!$Q182,$L4759)))</f>
        <v/>
      </c>
      <c r="I4759" s="42" t="n">
        <f aca="false">IF($M4759="借",$O4759,0)</f>
        <v>0</v>
      </c>
      <c r="J4759" s="42" t="n">
        <f aca="false">IF($M4759="贷",$O4759,0)</f>
        <v>0</v>
      </c>
      <c r="K4759" s="48"/>
      <c r="L4759" s="66" t="str">
        <f aca="false">IF(生产加工!$E182="","",IFERROR(INDEX(记账规则!$A$36:$H$38,MATCH(生产加工!$E182,记账规则!$A$36:$A$38,0),6),""))</f>
        <v/>
      </c>
      <c r="M4759" s="66" t="str">
        <f aca="false">IF($L4759="","",IFERROR(INDEX(记账规则!$A$36:$H$38,MATCH(生产加工!$E182,记账规则!$A$36:$A$38,0),7),""))</f>
        <v/>
      </c>
      <c r="N4759" s="66" t="str">
        <f aca="false">IF($L4759="","",IFERROR(INDEX(记账规则!$A$36:$H$38,MATCH(生产加工!$E182,记账规则!$A$36:$A$38,0),8),""))</f>
        <v/>
      </c>
      <c r="O4759" s="67" t="n">
        <f aca="false">IF($H4759="",0,ROUND(IF($N4759="记账金额",N(生产加工!$U182),0),2))</f>
        <v>0</v>
      </c>
      <c r="P4759" s="64" t="str">
        <f aca="false">IF(AND($H4759&lt;&gt;"",ROUND($O4759,2)&lt;&gt;0),"有","")</f>
        <v/>
      </c>
    </row>
    <row r="4760" customFormat="false" ht="15" hidden="true" customHeight="false" outlineLevel="0" collapsed="false">
      <c r="A4760" s="53" t="str">
        <f aca="false">IF($H4760="","",ROW()-5)</f>
        <v/>
      </c>
      <c r="B4760" s="64" t="s">
        <v>38</v>
      </c>
      <c r="C4760" s="53" t="n">
        <v>183</v>
      </c>
      <c r="D4760" s="53" t="n">
        <v>1</v>
      </c>
      <c r="E4760" s="65" t="str">
        <f aca="false">IF($H4760="","",生产加工!$B183)</f>
        <v/>
      </c>
      <c r="F4760" s="55" t="str">
        <f aca="false">IF($H4760="","",生产加工!$C183)</f>
        <v/>
      </c>
      <c r="G4760" s="48" t="str">
        <f aca="false">IF($H4760="","",生产加工!$N183)</f>
        <v/>
      </c>
      <c r="H4760" s="10" t="str">
        <f aca="false">IF($L4760="","",IF($L4760="@对方",生产加工!$K183,IF($L4760="@存货",生产加工!$Q183,$L4760)))</f>
        <v/>
      </c>
      <c r="I4760" s="42" t="n">
        <f aca="false">IF($M4760="借",$O4760,0)</f>
        <v>0</v>
      </c>
      <c r="J4760" s="42" t="n">
        <f aca="false">IF($M4760="贷",$O4760,0)</f>
        <v>0</v>
      </c>
      <c r="K4760" s="48"/>
      <c r="L4760" s="66" t="str">
        <f aca="false">IF(生产加工!$E183="","",IFERROR(INDEX(记账规则!$A$36:$H$38,MATCH(生产加工!$E183,记账规则!$A$36:$A$38,0),3),""))</f>
        <v/>
      </c>
      <c r="M4760" s="66" t="str">
        <f aca="false">IF($L4760="","",IFERROR(INDEX(记账规则!$A$36:$H$38,MATCH(生产加工!$E183,记账规则!$A$36:$A$38,0),4),""))</f>
        <v/>
      </c>
      <c r="N4760" s="66" t="str">
        <f aca="false">IF($L4760="","",IFERROR(INDEX(记账规则!$A$36:$H$38,MATCH(生产加工!$E183,记账规则!$A$36:$A$38,0),5),""))</f>
        <v/>
      </c>
      <c r="O4760" s="67" t="n">
        <f aca="false">IF($H4760="",0,ROUND(IF($N4760="记账金额",N(生产加工!$U183),0),2))</f>
        <v>0</v>
      </c>
      <c r="P4760" s="64" t="str">
        <f aca="false">IF(AND($H4760&lt;&gt;"",ROUND($O4760,2)&lt;&gt;0),"有","")</f>
        <v/>
      </c>
    </row>
    <row r="4761" customFormat="false" ht="15" hidden="true" customHeight="false" outlineLevel="0" collapsed="false">
      <c r="A4761" s="53" t="str">
        <f aca="false">IF($H4761="","",ROW()-5)</f>
        <v/>
      </c>
      <c r="B4761" s="64" t="s">
        <v>38</v>
      </c>
      <c r="C4761" s="53" t="n">
        <v>183</v>
      </c>
      <c r="D4761" s="53" t="n">
        <v>2</v>
      </c>
      <c r="E4761" s="65" t="str">
        <f aca="false">IF($H4761="","",生产加工!$B183)</f>
        <v/>
      </c>
      <c r="F4761" s="55" t="str">
        <f aca="false">IF($H4761="","",生产加工!$C183)</f>
        <v/>
      </c>
      <c r="G4761" s="48" t="str">
        <f aca="false">IF($H4761="","",生产加工!$N183)</f>
        <v/>
      </c>
      <c r="H4761" s="10" t="str">
        <f aca="false">IF($L4761="","",IF($L4761="@对方",生产加工!$K183,IF($L4761="@存货",生产加工!$Q183,$L4761)))</f>
        <v/>
      </c>
      <c r="I4761" s="42" t="n">
        <f aca="false">IF($M4761="借",$O4761,0)</f>
        <v>0</v>
      </c>
      <c r="J4761" s="42" t="n">
        <f aca="false">IF($M4761="贷",$O4761,0)</f>
        <v>0</v>
      </c>
      <c r="K4761" s="48"/>
      <c r="L4761" s="66" t="str">
        <f aca="false">IF(生产加工!$E183="","",IFERROR(INDEX(记账规则!$A$36:$H$38,MATCH(生产加工!$E183,记账规则!$A$36:$A$38,0),6),""))</f>
        <v/>
      </c>
      <c r="M4761" s="66" t="str">
        <f aca="false">IF($L4761="","",IFERROR(INDEX(记账规则!$A$36:$H$38,MATCH(生产加工!$E183,记账规则!$A$36:$A$38,0),7),""))</f>
        <v/>
      </c>
      <c r="N4761" s="66" t="str">
        <f aca="false">IF($L4761="","",IFERROR(INDEX(记账规则!$A$36:$H$38,MATCH(生产加工!$E183,记账规则!$A$36:$A$38,0),8),""))</f>
        <v/>
      </c>
      <c r="O4761" s="67" t="n">
        <f aca="false">IF($H4761="",0,ROUND(IF($N4761="记账金额",N(生产加工!$U183),0),2))</f>
        <v>0</v>
      </c>
      <c r="P4761" s="64" t="str">
        <f aca="false">IF(AND($H4761&lt;&gt;"",ROUND($O4761,2)&lt;&gt;0),"有","")</f>
        <v/>
      </c>
    </row>
    <row r="4762" customFormat="false" ht="15" hidden="true" customHeight="false" outlineLevel="0" collapsed="false">
      <c r="A4762" s="53" t="str">
        <f aca="false">IF($H4762="","",ROW()-5)</f>
        <v/>
      </c>
      <c r="B4762" s="64" t="s">
        <v>38</v>
      </c>
      <c r="C4762" s="53" t="n">
        <v>184</v>
      </c>
      <c r="D4762" s="53" t="n">
        <v>1</v>
      </c>
      <c r="E4762" s="65" t="str">
        <f aca="false">IF($H4762="","",生产加工!$B184)</f>
        <v/>
      </c>
      <c r="F4762" s="55" t="str">
        <f aca="false">IF($H4762="","",生产加工!$C184)</f>
        <v/>
      </c>
      <c r="G4762" s="48" t="str">
        <f aca="false">IF($H4762="","",生产加工!$N184)</f>
        <v/>
      </c>
      <c r="H4762" s="10" t="str">
        <f aca="false">IF($L4762="","",IF($L4762="@对方",生产加工!$K184,IF($L4762="@存货",生产加工!$Q184,$L4762)))</f>
        <v/>
      </c>
      <c r="I4762" s="42" t="n">
        <f aca="false">IF($M4762="借",$O4762,0)</f>
        <v>0</v>
      </c>
      <c r="J4762" s="42" t="n">
        <f aca="false">IF($M4762="贷",$O4762,0)</f>
        <v>0</v>
      </c>
      <c r="K4762" s="48"/>
      <c r="L4762" s="66" t="str">
        <f aca="false">IF(生产加工!$E184="","",IFERROR(INDEX(记账规则!$A$36:$H$38,MATCH(生产加工!$E184,记账规则!$A$36:$A$38,0),3),""))</f>
        <v/>
      </c>
      <c r="M4762" s="66" t="str">
        <f aca="false">IF($L4762="","",IFERROR(INDEX(记账规则!$A$36:$H$38,MATCH(生产加工!$E184,记账规则!$A$36:$A$38,0),4),""))</f>
        <v/>
      </c>
      <c r="N4762" s="66" t="str">
        <f aca="false">IF($L4762="","",IFERROR(INDEX(记账规则!$A$36:$H$38,MATCH(生产加工!$E184,记账规则!$A$36:$A$38,0),5),""))</f>
        <v/>
      </c>
      <c r="O4762" s="67" t="n">
        <f aca="false">IF($H4762="",0,ROUND(IF($N4762="记账金额",N(生产加工!$U184),0),2))</f>
        <v>0</v>
      </c>
      <c r="P4762" s="64" t="str">
        <f aca="false">IF(AND($H4762&lt;&gt;"",ROUND($O4762,2)&lt;&gt;0),"有","")</f>
        <v/>
      </c>
    </row>
    <row r="4763" customFormat="false" ht="15" hidden="true" customHeight="false" outlineLevel="0" collapsed="false">
      <c r="A4763" s="53" t="str">
        <f aca="false">IF($H4763="","",ROW()-5)</f>
        <v/>
      </c>
      <c r="B4763" s="64" t="s">
        <v>38</v>
      </c>
      <c r="C4763" s="53" t="n">
        <v>184</v>
      </c>
      <c r="D4763" s="53" t="n">
        <v>2</v>
      </c>
      <c r="E4763" s="65" t="str">
        <f aca="false">IF($H4763="","",生产加工!$B184)</f>
        <v/>
      </c>
      <c r="F4763" s="55" t="str">
        <f aca="false">IF($H4763="","",生产加工!$C184)</f>
        <v/>
      </c>
      <c r="G4763" s="48" t="str">
        <f aca="false">IF($H4763="","",生产加工!$N184)</f>
        <v/>
      </c>
      <c r="H4763" s="10" t="str">
        <f aca="false">IF($L4763="","",IF($L4763="@对方",生产加工!$K184,IF($L4763="@存货",生产加工!$Q184,$L4763)))</f>
        <v/>
      </c>
      <c r="I4763" s="42" t="n">
        <f aca="false">IF($M4763="借",$O4763,0)</f>
        <v>0</v>
      </c>
      <c r="J4763" s="42" t="n">
        <f aca="false">IF($M4763="贷",$O4763,0)</f>
        <v>0</v>
      </c>
      <c r="K4763" s="48"/>
      <c r="L4763" s="66" t="str">
        <f aca="false">IF(生产加工!$E184="","",IFERROR(INDEX(记账规则!$A$36:$H$38,MATCH(生产加工!$E184,记账规则!$A$36:$A$38,0),6),""))</f>
        <v/>
      </c>
      <c r="M4763" s="66" t="str">
        <f aca="false">IF($L4763="","",IFERROR(INDEX(记账规则!$A$36:$H$38,MATCH(生产加工!$E184,记账规则!$A$36:$A$38,0),7),""))</f>
        <v/>
      </c>
      <c r="N4763" s="66" t="str">
        <f aca="false">IF($L4763="","",IFERROR(INDEX(记账规则!$A$36:$H$38,MATCH(生产加工!$E184,记账规则!$A$36:$A$38,0),8),""))</f>
        <v/>
      </c>
      <c r="O4763" s="67" t="n">
        <f aca="false">IF($H4763="",0,ROUND(IF($N4763="记账金额",N(生产加工!$U184),0),2))</f>
        <v>0</v>
      </c>
      <c r="P4763" s="64" t="str">
        <f aca="false">IF(AND($H4763&lt;&gt;"",ROUND($O4763,2)&lt;&gt;0),"有","")</f>
        <v/>
      </c>
    </row>
    <row r="4764" customFormat="false" ht="15" hidden="true" customHeight="false" outlineLevel="0" collapsed="false">
      <c r="A4764" s="53" t="str">
        <f aca="false">IF($H4764="","",ROW()-5)</f>
        <v/>
      </c>
      <c r="B4764" s="64" t="s">
        <v>38</v>
      </c>
      <c r="C4764" s="53" t="n">
        <v>185</v>
      </c>
      <c r="D4764" s="53" t="n">
        <v>1</v>
      </c>
      <c r="E4764" s="65" t="str">
        <f aca="false">IF($H4764="","",生产加工!$B185)</f>
        <v/>
      </c>
      <c r="F4764" s="55" t="str">
        <f aca="false">IF($H4764="","",生产加工!$C185)</f>
        <v/>
      </c>
      <c r="G4764" s="48" t="str">
        <f aca="false">IF($H4764="","",生产加工!$N185)</f>
        <v/>
      </c>
      <c r="H4764" s="10" t="str">
        <f aca="false">IF($L4764="","",IF($L4764="@对方",生产加工!$K185,IF($L4764="@存货",生产加工!$Q185,$L4764)))</f>
        <v/>
      </c>
      <c r="I4764" s="42" t="n">
        <f aca="false">IF($M4764="借",$O4764,0)</f>
        <v>0</v>
      </c>
      <c r="J4764" s="42" t="n">
        <f aca="false">IF($M4764="贷",$O4764,0)</f>
        <v>0</v>
      </c>
      <c r="K4764" s="48"/>
      <c r="L4764" s="66" t="str">
        <f aca="false">IF(生产加工!$E185="","",IFERROR(INDEX(记账规则!$A$36:$H$38,MATCH(生产加工!$E185,记账规则!$A$36:$A$38,0),3),""))</f>
        <v/>
      </c>
      <c r="M4764" s="66" t="str">
        <f aca="false">IF($L4764="","",IFERROR(INDEX(记账规则!$A$36:$H$38,MATCH(生产加工!$E185,记账规则!$A$36:$A$38,0),4),""))</f>
        <v/>
      </c>
      <c r="N4764" s="66" t="str">
        <f aca="false">IF($L4764="","",IFERROR(INDEX(记账规则!$A$36:$H$38,MATCH(生产加工!$E185,记账规则!$A$36:$A$38,0),5),""))</f>
        <v/>
      </c>
      <c r="O4764" s="67" t="n">
        <f aca="false">IF($H4764="",0,ROUND(IF($N4764="记账金额",N(生产加工!$U185),0),2))</f>
        <v>0</v>
      </c>
      <c r="P4764" s="64" t="str">
        <f aca="false">IF(AND($H4764&lt;&gt;"",ROUND($O4764,2)&lt;&gt;0),"有","")</f>
        <v/>
      </c>
    </row>
    <row r="4765" customFormat="false" ht="15" hidden="true" customHeight="false" outlineLevel="0" collapsed="false">
      <c r="A4765" s="53" t="str">
        <f aca="false">IF($H4765="","",ROW()-5)</f>
        <v/>
      </c>
      <c r="B4765" s="64" t="s">
        <v>38</v>
      </c>
      <c r="C4765" s="53" t="n">
        <v>185</v>
      </c>
      <c r="D4765" s="53" t="n">
        <v>2</v>
      </c>
      <c r="E4765" s="65" t="str">
        <f aca="false">IF($H4765="","",生产加工!$B185)</f>
        <v/>
      </c>
      <c r="F4765" s="55" t="str">
        <f aca="false">IF($H4765="","",生产加工!$C185)</f>
        <v/>
      </c>
      <c r="G4765" s="48" t="str">
        <f aca="false">IF($H4765="","",生产加工!$N185)</f>
        <v/>
      </c>
      <c r="H4765" s="10" t="str">
        <f aca="false">IF($L4765="","",IF($L4765="@对方",生产加工!$K185,IF($L4765="@存货",生产加工!$Q185,$L4765)))</f>
        <v/>
      </c>
      <c r="I4765" s="42" t="n">
        <f aca="false">IF($M4765="借",$O4765,0)</f>
        <v>0</v>
      </c>
      <c r="J4765" s="42" t="n">
        <f aca="false">IF($M4765="贷",$O4765,0)</f>
        <v>0</v>
      </c>
      <c r="K4765" s="48"/>
      <c r="L4765" s="66" t="str">
        <f aca="false">IF(生产加工!$E185="","",IFERROR(INDEX(记账规则!$A$36:$H$38,MATCH(生产加工!$E185,记账规则!$A$36:$A$38,0),6),""))</f>
        <v/>
      </c>
      <c r="M4765" s="66" t="str">
        <f aca="false">IF($L4765="","",IFERROR(INDEX(记账规则!$A$36:$H$38,MATCH(生产加工!$E185,记账规则!$A$36:$A$38,0),7),""))</f>
        <v/>
      </c>
      <c r="N4765" s="66" t="str">
        <f aca="false">IF($L4765="","",IFERROR(INDEX(记账规则!$A$36:$H$38,MATCH(生产加工!$E185,记账规则!$A$36:$A$38,0),8),""))</f>
        <v/>
      </c>
      <c r="O4765" s="67" t="n">
        <f aca="false">IF($H4765="",0,ROUND(IF($N4765="记账金额",N(生产加工!$U185),0),2))</f>
        <v>0</v>
      </c>
      <c r="P4765" s="64" t="str">
        <f aca="false">IF(AND($H4765&lt;&gt;"",ROUND($O4765,2)&lt;&gt;0),"有","")</f>
        <v/>
      </c>
    </row>
    <row r="4766" customFormat="false" ht="15" hidden="true" customHeight="false" outlineLevel="0" collapsed="false">
      <c r="A4766" s="53" t="str">
        <f aca="false">IF($H4766="","",ROW()-5)</f>
        <v/>
      </c>
      <c r="B4766" s="64" t="s">
        <v>38</v>
      </c>
      <c r="C4766" s="53" t="n">
        <v>186</v>
      </c>
      <c r="D4766" s="53" t="n">
        <v>1</v>
      </c>
      <c r="E4766" s="65" t="str">
        <f aca="false">IF($H4766="","",生产加工!$B186)</f>
        <v/>
      </c>
      <c r="F4766" s="55" t="str">
        <f aca="false">IF($H4766="","",生产加工!$C186)</f>
        <v/>
      </c>
      <c r="G4766" s="48" t="str">
        <f aca="false">IF($H4766="","",生产加工!$N186)</f>
        <v/>
      </c>
      <c r="H4766" s="10" t="str">
        <f aca="false">IF($L4766="","",IF($L4766="@对方",生产加工!$K186,IF($L4766="@存货",生产加工!$Q186,$L4766)))</f>
        <v/>
      </c>
      <c r="I4766" s="42" t="n">
        <f aca="false">IF($M4766="借",$O4766,0)</f>
        <v>0</v>
      </c>
      <c r="J4766" s="42" t="n">
        <f aca="false">IF($M4766="贷",$O4766,0)</f>
        <v>0</v>
      </c>
      <c r="K4766" s="48"/>
      <c r="L4766" s="66" t="str">
        <f aca="false">IF(生产加工!$E186="","",IFERROR(INDEX(记账规则!$A$36:$H$38,MATCH(生产加工!$E186,记账规则!$A$36:$A$38,0),3),""))</f>
        <v/>
      </c>
      <c r="M4766" s="66" t="str">
        <f aca="false">IF($L4766="","",IFERROR(INDEX(记账规则!$A$36:$H$38,MATCH(生产加工!$E186,记账规则!$A$36:$A$38,0),4),""))</f>
        <v/>
      </c>
      <c r="N4766" s="66" t="str">
        <f aca="false">IF($L4766="","",IFERROR(INDEX(记账规则!$A$36:$H$38,MATCH(生产加工!$E186,记账规则!$A$36:$A$38,0),5),""))</f>
        <v/>
      </c>
      <c r="O4766" s="67" t="n">
        <f aca="false">IF($H4766="",0,ROUND(IF($N4766="记账金额",N(生产加工!$U186),0),2))</f>
        <v>0</v>
      </c>
      <c r="P4766" s="64" t="str">
        <f aca="false">IF(AND($H4766&lt;&gt;"",ROUND($O4766,2)&lt;&gt;0),"有","")</f>
        <v/>
      </c>
    </row>
    <row r="4767" customFormat="false" ht="15" hidden="true" customHeight="false" outlineLevel="0" collapsed="false">
      <c r="A4767" s="53" t="str">
        <f aca="false">IF($H4767="","",ROW()-5)</f>
        <v/>
      </c>
      <c r="B4767" s="64" t="s">
        <v>38</v>
      </c>
      <c r="C4767" s="53" t="n">
        <v>186</v>
      </c>
      <c r="D4767" s="53" t="n">
        <v>2</v>
      </c>
      <c r="E4767" s="65" t="str">
        <f aca="false">IF($H4767="","",生产加工!$B186)</f>
        <v/>
      </c>
      <c r="F4767" s="55" t="str">
        <f aca="false">IF($H4767="","",生产加工!$C186)</f>
        <v/>
      </c>
      <c r="G4767" s="48" t="str">
        <f aca="false">IF($H4767="","",生产加工!$N186)</f>
        <v/>
      </c>
      <c r="H4767" s="10" t="str">
        <f aca="false">IF($L4767="","",IF($L4767="@对方",生产加工!$K186,IF($L4767="@存货",生产加工!$Q186,$L4767)))</f>
        <v/>
      </c>
      <c r="I4767" s="42" t="n">
        <f aca="false">IF($M4767="借",$O4767,0)</f>
        <v>0</v>
      </c>
      <c r="J4767" s="42" t="n">
        <f aca="false">IF($M4767="贷",$O4767,0)</f>
        <v>0</v>
      </c>
      <c r="K4767" s="48"/>
      <c r="L4767" s="66" t="str">
        <f aca="false">IF(生产加工!$E186="","",IFERROR(INDEX(记账规则!$A$36:$H$38,MATCH(生产加工!$E186,记账规则!$A$36:$A$38,0),6),""))</f>
        <v/>
      </c>
      <c r="M4767" s="66" t="str">
        <f aca="false">IF($L4767="","",IFERROR(INDEX(记账规则!$A$36:$H$38,MATCH(生产加工!$E186,记账规则!$A$36:$A$38,0),7),""))</f>
        <v/>
      </c>
      <c r="N4767" s="66" t="str">
        <f aca="false">IF($L4767="","",IFERROR(INDEX(记账规则!$A$36:$H$38,MATCH(生产加工!$E186,记账规则!$A$36:$A$38,0),8),""))</f>
        <v/>
      </c>
      <c r="O4767" s="67" t="n">
        <f aca="false">IF($H4767="",0,ROUND(IF($N4767="记账金额",N(生产加工!$U186),0),2))</f>
        <v>0</v>
      </c>
      <c r="P4767" s="64" t="str">
        <f aca="false">IF(AND($H4767&lt;&gt;"",ROUND($O4767,2)&lt;&gt;0),"有","")</f>
        <v/>
      </c>
    </row>
    <row r="4768" customFormat="false" ht="15" hidden="true" customHeight="false" outlineLevel="0" collapsed="false">
      <c r="A4768" s="53" t="str">
        <f aca="false">IF($H4768="","",ROW()-5)</f>
        <v/>
      </c>
      <c r="B4768" s="64" t="s">
        <v>38</v>
      </c>
      <c r="C4768" s="53" t="n">
        <v>187</v>
      </c>
      <c r="D4768" s="53" t="n">
        <v>1</v>
      </c>
      <c r="E4768" s="65" t="str">
        <f aca="false">IF($H4768="","",生产加工!$B187)</f>
        <v/>
      </c>
      <c r="F4768" s="55" t="str">
        <f aca="false">IF($H4768="","",生产加工!$C187)</f>
        <v/>
      </c>
      <c r="G4768" s="48" t="str">
        <f aca="false">IF($H4768="","",生产加工!$N187)</f>
        <v/>
      </c>
      <c r="H4768" s="10" t="str">
        <f aca="false">IF($L4768="","",IF($L4768="@对方",生产加工!$K187,IF($L4768="@存货",生产加工!$Q187,$L4768)))</f>
        <v/>
      </c>
      <c r="I4768" s="42" t="n">
        <f aca="false">IF($M4768="借",$O4768,0)</f>
        <v>0</v>
      </c>
      <c r="J4768" s="42" t="n">
        <f aca="false">IF($M4768="贷",$O4768,0)</f>
        <v>0</v>
      </c>
      <c r="K4768" s="48"/>
      <c r="L4768" s="66" t="str">
        <f aca="false">IF(生产加工!$E187="","",IFERROR(INDEX(记账规则!$A$36:$H$38,MATCH(生产加工!$E187,记账规则!$A$36:$A$38,0),3),""))</f>
        <v/>
      </c>
      <c r="M4768" s="66" t="str">
        <f aca="false">IF($L4768="","",IFERROR(INDEX(记账规则!$A$36:$H$38,MATCH(生产加工!$E187,记账规则!$A$36:$A$38,0),4),""))</f>
        <v/>
      </c>
      <c r="N4768" s="66" t="str">
        <f aca="false">IF($L4768="","",IFERROR(INDEX(记账规则!$A$36:$H$38,MATCH(生产加工!$E187,记账规则!$A$36:$A$38,0),5),""))</f>
        <v/>
      </c>
      <c r="O4768" s="67" t="n">
        <f aca="false">IF($H4768="",0,ROUND(IF($N4768="记账金额",N(生产加工!$U187),0),2))</f>
        <v>0</v>
      </c>
      <c r="P4768" s="64" t="str">
        <f aca="false">IF(AND($H4768&lt;&gt;"",ROUND($O4768,2)&lt;&gt;0),"有","")</f>
        <v/>
      </c>
    </row>
    <row r="4769" customFormat="false" ht="15" hidden="true" customHeight="false" outlineLevel="0" collapsed="false">
      <c r="A4769" s="53" t="str">
        <f aca="false">IF($H4769="","",ROW()-5)</f>
        <v/>
      </c>
      <c r="B4769" s="64" t="s">
        <v>38</v>
      </c>
      <c r="C4769" s="53" t="n">
        <v>187</v>
      </c>
      <c r="D4769" s="53" t="n">
        <v>2</v>
      </c>
      <c r="E4769" s="65" t="str">
        <f aca="false">IF($H4769="","",生产加工!$B187)</f>
        <v/>
      </c>
      <c r="F4769" s="55" t="str">
        <f aca="false">IF($H4769="","",生产加工!$C187)</f>
        <v/>
      </c>
      <c r="G4769" s="48" t="str">
        <f aca="false">IF($H4769="","",生产加工!$N187)</f>
        <v/>
      </c>
      <c r="H4769" s="10" t="str">
        <f aca="false">IF($L4769="","",IF($L4769="@对方",生产加工!$K187,IF($L4769="@存货",生产加工!$Q187,$L4769)))</f>
        <v/>
      </c>
      <c r="I4769" s="42" t="n">
        <f aca="false">IF($M4769="借",$O4769,0)</f>
        <v>0</v>
      </c>
      <c r="J4769" s="42" t="n">
        <f aca="false">IF($M4769="贷",$O4769,0)</f>
        <v>0</v>
      </c>
      <c r="K4769" s="48"/>
      <c r="L4769" s="66" t="str">
        <f aca="false">IF(生产加工!$E187="","",IFERROR(INDEX(记账规则!$A$36:$H$38,MATCH(生产加工!$E187,记账规则!$A$36:$A$38,0),6),""))</f>
        <v/>
      </c>
      <c r="M4769" s="66" t="str">
        <f aca="false">IF($L4769="","",IFERROR(INDEX(记账规则!$A$36:$H$38,MATCH(生产加工!$E187,记账规则!$A$36:$A$38,0),7),""))</f>
        <v/>
      </c>
      <c r="N4769" s="66" t="str">
        <f aca="false">IF($L4769="","",IFERROR(INDEX(记账规则!$A$36:$H$38,MATCH(生产加工!$E187,记账规则!$A$36:$A$38,0),8),""))</f>
        <v/>
      </c>
      <c r="O4769" s="67" t="n">
        <f aca="false">IF($H4769="",0,ROUND(IF($N4769="记账金额",N(生产加工!$U187),0),2))</f>
        <v>0</v>
      </c>
      <c r="P4769" s="64" t="str">
        <f aca="false">IF(AND($H4769&lt;&gt;"",ROUND($O4769,2)&lt;&gt;0),"有","")</f>
        <v/>
      </c>
    </row>
    <row r="4770" customFormat="false" ht="15" hidden="true" customHeight="false" outlineLevel="0" collapsed="false">
      <c r="A4770" s="53" t="str">
        <f aca="false">IF($H4770="","",ROW()-5)</f>
        <v/>
      </c>
      <c r="B4770" s="64" t="s">
        <v>38</v>
      </c>
      <c r="C4770" s="53" t="n">
        <v>188</v>
      </c>
      <c r="D4770" s="53" t="n">
        <v>1</v>
      </c>
      <c r="E4770" s="65" t="str">
        <f aca="false">IF($H4770="","",生产加工!$B188)</f>
        <v/>
      </c>
      <c r="F4770" s="55" t="str">
        <f aca="false">IF($H4770="","",生产加工!$C188)</f>
        <v/>
      </c>
      <c r="G4770" s="48" t="str">
        <f aca="false">IF($H4770="","",生产加工!$N188)</f>
        <v/>
      </c>
      <c r="H4770" s="10" t="str">
        <f aca="false">IF($L4770="","",IF($L4770="@对方",生产加工!$K188,IF($L4770="@存货",生产加工!$Q188,$L4770)))</f>
        <v/>
      </c>
      <c r="I4770" s="42" t="n">
        <f aca="false">IF($M4770="借",$O4770,0)</f>
        <v>0</v>
      </c>
      <c r="J4770" s="42" t="n">
        <f aca="false">IF($M4770="贷",$O4770,0)</f>
        <v>0</v>
      </c>
      <c r="K4770" s="48"/>
      <c r="L4770" s="66" t="str">
        <f aca="false">IF(生产加工!$E188="","",IFERROR(INDEX(记账规则!$A$36:$H$38,MATCH(生产加工!$E188,记账规则!$A$36:$A$38,0),3),""))</f>
        <v/>
      </c>
      <c r="M4770" s="66" t="str">
        <f aca="false">IF($L4770="","",IFERROR(INDEX(记账规则!$A$36:$H$38,MATCH(生产加工!$E188,记账规则!$A$36:$A$38,0),4),""))</f>
        <v/>
      </c>
      <c r="N4770" s="66" t="str">
        <f aca="false">IF($L4770="","",IFERROR(INDEX(记账规则!$A$36:$H$38,MATCH(生产加工!$E188,记账规则!$A$36:$A$38,0),5),""))</f>
        <v/>
      </c>
      <c r="O4770" s="67" t="n">
        <f aca="false">IF($H4770="",0,ROUND(IF($N4770="记账金额",N(生产加工!$U188),0),2))</f>
        <v>0</v>
      </c>
      <c r="P4770" s="64" t="str">
        <f aca="false">IF(AND($H4770&lt;&gt;"",ROUND($O4770,2)&lt;&gt;0),"有","")</f>
        <v/>
      </c>
    </row>
    <row r="4771" customFormat="false" ht="15" hidden="true" customHeight="false" outlineLevel="0" collapsed="false">
      <c r="A4771" s="53" t="str">
        <f aca="false">IF($H4771="","",ROW()-5)</f>
        <v/>
      </c>
      <c r="B4771" s="64" t="s">
        <v>38</v>
      </c>
      <c r="C4771" s="53" t="n">
        <v>188</v>
      </c>
      <c r="D4771" s="53" t="n">
        <v>2</v>
      </c>
      <c r="E4771" s="65" t="str">
        <f aca="false">IF($H4771="","",生产加工!$B188)</f>
        <v/>
      </c>
      <c r="F4771" s="55" t="str">
        <f aca="false">IF($H4771="","",生产加工!$C188)</f>
        <v/>
      </c>
      <c r="G4771" s="48" t="str">
        <f aca="false">IF($H4771="","",生产加工!$N188)</f>
        <v/>
      </c>
      <c r="H4771" s="10" t="str">
        <f aca="false">IF($L4771="","",IF($L4771="@对方",生产加工!$K188,IF($L4771="@存货",生产加工!$Q188,$L4771)))</f>
        <v/>
      </c>
      <c r="I4771" s="42" t="n">
        <f aca="false">IF($M4771="借",$O4771,0)</f>
        <v>0</v>
      </c>
      <c r="J4771" s="42" t="n">
        <f aca="false">IF($M4771="贷",$O4771,0)</f>
        <v>0</v>
      </c>
      <c r="K4771" s="48"/>
      <c r="L4771" s="66" t="str">
        <f aca="false">IF(生产加工!$E188="","",IFERROR(INDEX(记账规则!$A$36:$H$38,MATCH(生产加工!$E188,记账规则!$A$36:$A$38,0),6),""))</f>
        <v/>
      </c>
      <c r="M4771" s="66" t="str">
        <f aca="false">IF($L4771="","",IFERROR(INDEX(记账规则!$A$36:$H$38,MATCH(生产加工!$E188,记账规则!$A$36:$A$38,0),7),""))</f>
        <v/>
      </c>
      <c r="N4771" s="66" t="str">
        <f aca="false">IF($L4771="","",IFERROR(INDEX(记账规则!$A$36:$H$38,MATCH(生产加工!$E188,记账规则!$A$36:$A$38,0),8),""))</f>
        <v/>
      </c>
      <c r="O4771" s="67" t="n">
        <f aca="false">IF($H4771="",0,ROUND(IF($N4771="记账金额",N(生产加工!$U188),0),2))</f>
        <v>0</v>
      </c>
      <c r="P4771" s="64" t="str">
        <f aca="false">IF(AND($H4771&lt;&gt;"",ROUND($O4771,2)&lt;&gt;0),"有","")</f>
        <v/>
      </c>
    </row>
    <row r="4772" customFormat="false" ht="15" hidden="true" customHeight="false" outlineLevel="0" collapsed="false">
      <c r="A4772" s="53" t="str">
        <f aca="false">IF($H4772="","",ROW()-5)</f>
        <v/>
      </c>
      <c r="B4772" s="64" t="s">
        <v>38</v>
      </c>
      <c r="C4772" s="53" t="n">
        <v>189</v>
      </c>
      <c r="D4772" s="53" t="n">
        <v>1</v>
      </c>
      <c r="E4772" s="65" t="str">
        <f aca="false">IF($H4772="","",生产加工!$B189)</f>
        <v/>
      </c>
      <c r="F4772" s="55" t="str">
        <f aca="false">IF($H4772="","",生产加工!$C189)</f>
        <v/>
      </c>
      <c r="G4772" s="48" t="str">
        <f aca="false">IF($H4772="","",生产加工!$N189)</f>
        <v/>
      </c>
      <c r="H4772" s="10" t="str">
        <f aca="false">IF($L4772="","",IF($L4772="@对方",生产加工!$K189,IF($L4772="@存货",生产加工!$Q189,$L4772)))</f>
        <v/>
      </c>
      <c r="I4772" s="42" t="n">
        <f aca="false">IF($M4772="借",$O4772,0)</f>
        <v>0</v>
      </c>
      <c r="J4772" s="42" t="n">
        <f aca="false">IF($M4772="贷",$O4772,0)</f>
        <v>0</v>
      </c>
      <c r="K4772" s="48"/>
      <c r="L4772" s="66" t="str">
        <f aca="false">IF(生产加工!$E189="","",IFERROR(INDEX(记账规则!$A$36:$H$38,MATCH(生产加工!$E189,记账规则!$A$36:$A$38,0),3),""))</f>
        <v/>
      </c>
      <c r="M4772" s="66" t="str">
        <f aca="false">IF($L4772="","",IFERROR(INDEX(记账规则!$A$36:$H$38,MATCH(生产加工!$E189,记账规则!$A$36:$A$38,0),4),""))</f>
        <v/>
      </c>
      <c r="N4772" s="66" t="str">
        <f aca="false">IF($L4772="","",IFERROR(INDEX(记账规则!$A$36:$H$38,MATCH(生产加工!$E189,记账规则!$A$36:$A$38,0),5),""))</f>
        <v/>
      </c>
      <c r="O4772" s="67" t="n">
        <f aca="false">IF($H4772="",0,ROUND(IF($N4772="记账金额",N(生产加工!$U189),0),2))</f>
        <v>0</v>
      </c>
      <c r="P4772" s="64" t="str">
        <f aca="false">IF(AND($H4772&lt;&gt;"",ROUND($O4772,2)&lt;&gt;0),"有","")</f>
        <v/>
      </c>
    </row>
    <row r="4773" customFormat="false" ht="15" hidden="true" customHeight="false" outlineLevel="0" collapsed="false">
      <c r="A4773" s="53" t="str">
        <f aca="false">IF($H4773="","",ROW()-5)</f>
        <v/>
      </c>
      <c r="B4773" s="64" t="s">
        <v>38</v>
      </c>
      <c r="C4773" s="53" t="n">
        <v>189</v>
      </c>
      <c r="D4773" s="53" t="n">
        <v>2</v>
      </c>
      <c r="E4773" s="65" t="str">
        <f aca="false">IF($H4773="","",生产加工!$B189)</f>
        <v/>
      </c>
      <c r="F4773" s="55" t="str">
        <f aca="false">IF($H4773="","",生产加工!$C189)</f>
        <v/>
      </c>
      <c r="G4773" s="48" t="str">
        <f aca="false">IF($H4773="","",生产加工!$N189)</f>
        <v/>
      </c>
      <c r="H4773" s="10" t="str">
        <f aca="false">IF($L4773="","",IF($L4773="@对方",生产加工!$K189,IF($L4773="@存货",生产加工!$Q189,$L4773)))</f>
        <v/>
      </c>
      <c r="I4773" s="42" t="n">
        <f aca="false">IF($M4773="借",$O4773,0)</f>
        <v>0</v>
      </c>
      <c r="J4773" s="42" t="n">
        <f aca="false">IF($M4773="贷",$O4773,0)</f>
        <v>0</v>
      </c>
      <c r="K4773" s="48"/>
      <c r="L4773" s="66" t="str">
        <f aca="false">IF(生产加工!$E189="","",IFERROR(INDEX(记账规则!$A$36:$H$38,MATCH(生产加工!$E189,记账规则!$A$36:$A$38,0),6),""))</f>
        <v/>
      </c>
      <c r="M4773" s="66" t="str">
        <f aca="false">IF($L4773="","",IFERROR(INDEX(记账规则!$A$36:$H$38,MATCH(生产加工!$E189,记账规则!$A$36:$A$38,0),7),""))</f>
        <v/>
      </c>
      <c r="N4773" s="66" t="str">
        <f aca="false">IF($L4773="","",IFERROR(INDEX(记账规则!$A$36:$H$38,MATCH(生产加工!$E189,记账规则!$A$36:$A$38,0),8),""))</f>
        <v/>
      </c>
      <c r="O4773" s="67" t="n">
        <f aca="false">IF($H4773="",0,ROUND(IF($N4773="记账金额",N(生产加工!$U189),0),2))</f>
        <v>0</v>
      </c>
      <c r="P4773" s="64" t="str">
        <f aca="false">IF(AND($H4773&lt;&gt;"",ROUND($O4773,2)&lt;&gt;0),"有","")</f>
        <v/>
      </c>
    </row>
    <row r="4774" customFormat="false" ht="15" hidden="true" customHeight="false" outlineLevel="0" collapsed="false">
      <c r="A4774" s="53" t="str">
        <f aca="false">IF($H4774="","",ROW()-5)</f>
        <v/>
      </c>
      <c r="B4774" s="64" t="s">
        <v>38</v>
      </c>
      <c r="C4774" s="53" t="n">
        <v>190</v>
      </c>
      <c r="D4774" s="53" t="n">
        <v>1</v>
      </c>
      <c r="E4774" s="65" t="str">
        <f aca="false">IF($H4774="","",生产加工!$B190)</f>
        <v/>
      </c>
      <c r="F4774" s="55" t="str">
        <f aca="false">IF($H4774="","",生产加工!$C190)</f>
        <v/>
      </c>
      <c r="G4774" s="48" t="str">
        <f aca="false">IF($H4774="","",生产加工!$N190)</f>
        <v/>
      </c>
      <c r="H4774" s="10" t="str">
        <f aca="false">IF($L4774="","",IF($L4774="@对方",生产加工!$K190,IF($L4774="@存货",生产加工!$Q190,$L4774)))</f>
        <v/>
      </c>
      <c r="I4774" s="42" t="n">
        <f aca="false">IF($M4774="借",$O4774,0)</f>
        <v>0</v>
      </c>
      <c r="J4774" s="42" t="n">
        <f aca="false">IF($M4774="贷",$O4774,0)</f>
        <v>0</v>
      </c>
      <c r="K4774" s="48"/>
      <c r="L4774" s="66" t="str">
        <f aca="false">IF(生产加工!$E190="","",IFERROR(INDEX(记账规则!$A$36:$H$38,MATCH(生产加工!$E190,记账规则!$A$36:$A$38,0),3),""))</f>
        <v/>
      </c>
      <c r="M4774" s="66" t="str">
        <f aca="false">IF($L4774="","",IFERROR(INDEX(记账规则!$A$36:$H$38,MATCH(生产加工!$E190,记账规则!$A$36:$A$38,0),4),""))</f>
        <v/>
      </c>
      <c r="N4774" s="66" t="str">
        <f aca="false">IF($L4774="","",IFERROR(INDEX(记账规则!$A$36:$H$38,MATCH(生产加工!$E190,记账规则!$A$36:$A$38,0),5),""))</f>
        <v/>
      </c>
      <c r="O4774" s="67" t="n">
        <f aca="false">IF($H4774="",0,ROUND(IF($N4774="记账金额",N(生产加工!$U190),0),2))</f>
        <v>0</v>
      </c>
      <c r="P4774" s="64" t="str">
        <f aca="false">IF(AND($H4774&lt;&gt;"",ROUND($O4774,2)&lt;&gt;0),"有","")</f>
        <v/>
      </c>
    </row>
    <row r="4775" customFormat="false" ht="15" hidden="true" customHeight="false" outlineLevel="0" collapsed="false">
      <c r="A4775" s="53" t="str">
        <f aca="false">IF($H4775="","",ROW()-5)</f>
        <v/>
      </c>
      <c r="B4775" s="64" t="s">
        <v>38</v>
      </c>
      <c r="C4775" s="53" t="n">
        <v>190</v>
      </c>
      <c r="D4775" s="53" t="n">
        <v>2</v>
      </c>
      <c r="E4775" s="65" t="str">
        <f aca="false">IF($H4775="","",生产加工!$B190)</f>
        <v/>
      </c>
      <c r="F4775" s="55" t="str">
        <f aca="false">IF($H4775="","",生产加工!$C190)</f>
        <v/>
      </c>
      <c r="G4775" s="48" t="str">
        <f aca="false">IF($H4775="","",生产加工!$N190)</f>
        <v/>
      </c>
      <c r="H4775" s="10" t="str">
        <f aca="false">IF($L4775="","",IF($L4775="@对方",生产加工!$K190,IF($L4775="@存货",生产加工!$Q190,$L4775)))</f>
        <v/>
      </c>
      <c r="I4775" s="42" t="n">
        <f aca="false">IF($M4775="借",$O4775,0)</f>
        <v>0</v>
      </c>
      <c r="J4775" s="42" t="n">
        <f aca="false">IF($M4775="贷",$O4775,0)</f>
        <v>0</v>
      </c>
      <c r="K4775" s="48"/>
      <c r="L4775" s="66" t="str">
        <f aca="false">IF(生产加工!$E190="","",IFERROR(INDEX(记账规则!$A$36:$H$38,MATCH(生产加工!$E190,记账规则!$A$36:$A$38,0),6),""))</f>
        <v/>
      </c>
      <c r="M4775" s="66" t="str">
        <f aca="false">IF($L4775="","",IFERROR(INDEX(记账规则!$A$36:$H$38,MATCH(生产加工!$E190,记账规则!$A$36:$A$38,0),7),""))</f>
        <v/>
      </c>
      <c r="N4775" s="66" t="str">
        <f aca="false">IF($L4775="","",IFERROR(INDEX(记账规则!$A$36:$H$38,MATCH(生产加工!$E190,记账规则!$A$36:$A$38,0),8),""))</f>
        <v/>
      </c>
      <c r="O4775" s="67" t="n">
        <f aca="false">IF($H4775="",0,ROUND(IF($N4775="记账金额",N(生产加工!$U190),0),2))</f>
        <v>0</v>
      </c>
      <c r="P4775" s="64" t="str">
        <f aca="false">IF(AND($H4775&lt;&gt;"",ROUND($O4775,2)&lt;&gt;0),"有","")</f>
        <v/>
      </c>
    </row>
    <row r="4776" customFormat="false" ht="15" hidden="true" customHeight="false" outlineLevel="0" collapsed="false">
      <c r="A4776" s="53" t="str">
        <f aca="false">IF($H4776="","",ROW()-5)</f>
        <v/>
      </c>
      <c r="B4776" s="64" t="s">
        <v>38</v>
      </c>
      <c r="C4776" s="53" t="n">
        <v>191</v>
      </c>
      <c r="D4776" s="53" t="n">
        <v>1</v>
      </c>
      <c r="E4776" s="65" t="str">
        <f aca="false">IF($H4776="","",生产加工!$B191)</f>
        <v/>
      </c>
      <c r="F4776" s="55" t="str">
        <f aca="false">IF($H4776="","",生产加工!$C191)</f>
        <v/>
      </c>
      <c r="G4776" s="48" t="str">
        <f aca="false">IF($H4776="","",生产加工!$N191)</f>
        <v/>
      </c>
      <c r="H4776" s="10" t="str">
        <f aca="false">IF($L4776="","",IF($L4776="@对方",生产加工!$K191,IF($L4776="@存货",生产加工!$Q191,$L4776)))</f>
        <v/>
      </c>
      <c r="I4776" s="42" t="n">
        <f aca="false">IF($M4776="借",$O4776,0)</f>
        <v>0</v>
      </c>
      <c r="J4776" s="42" t="n">
        <f aca="false">IF($M4776="贷",$O4776,0)</f>
        <v>0</v>
      </c>
      <c r="K4776" s="48"/>
      <c r="L4776" s="66" t="str">
        <f aca="false">IF(生产加工!$E191="","",IFERROR(INDEX(记账规则!$A$36:$H$38,MATCH(生产加工!$E191,记账规则!$A$36:$A$38,0),3),""))</f>
        <v/>
      </c>
      <c r="M4776" s="66" t="str">
        <f aca="false">IF($L4776="","",IFERROR(INDEX(记账规则!$A$36:$H$38,MATCH(生产加工!$E191,记账规则!$A$36:$A$38,0),4),""))</f>
        <v/>
      </c>
      <c r="N4776" s="66" t="str">
        <f aca="false">IF($L4776="","",IFERROR(INDEX(记账规则!$A$36:$H$38,MATCH(生产加工!$E191,记账规则!$A$36:$A$38,0),5),""))</f>
        <v/>
      </c>
      <c r="O4776" s="67" t="n">
        <f aca="false">IF($H4776="",0,ROUND(IF($N4776="记账金额",N(生产加工!$U191),0),2))</f>
        <v>0</v>
      </c>
      <c r="P4776" s="64" t="str">
        <f aca="false">IF(AND($H4776&lt;&gt;"",ROUND($O4776,2)&lt;&gt;0),"有","")</f>
        <v/>
      </c>
    </row>
    <row r="4777" customFormat="false" ht="15" hidden="true" customHeight="false" outlineLevel="0" collapsed="false">
      <c r="A4777" s="53" t="str">
        <f aca="false">IF($H4777="","",ROW()-5)</f>
        <v/>
      </c>
      <c r="B4777" s="64" t="s">
        <v>38</v>
      </c>
      <c r="C4777" s="53" t="n">
        <v>191</v>
      </c>
      <c r="D4777" s="53" t="n">
        <v>2</v>
      </c>
      <c r="E4777" s="65" t="str">
        <f aca="false">IF($H4777="","",生产加工!$B191)</f>
        <v/>
      </c>
      <c r="F4777" s="55" t="str">
        <f aca="false">IF($H4777="","",生产加工!$C191)</f>
        <v/>
      </c>
      <c r="G4777" s="48" t="str">
        <f aca="false">IF($H4777="","",生产加工!$N191)</f>
        <v/>
      </c>
      <c r="H4777" s="10" t="str">
        <f aca="false">IF($L4777="","",IF($L4777="@对方",生产加工!$K191,IF($L4777="@存货",生产加工!$Q191,$L4777)))</f>
        <v/>
      </c>
      <c r="I4777" s="42" t="n">
        <f aca="false">IF($M4777="借",$O4777,0)</f>
        <v>0</v>
      </c>
      <c r="J4777" s="42" t="n">
        <f aca="false">IF($M4777="贷",$O4777,0)</f>
        <v>0</v>
      </c>
      <c r="K4777" s="48"/>
      <c r="L4777" s="66" t="str">
        <f aca="false">IF(生产加工!$E191="","",IFERROR(INDEX(记账规则!$A$36:$H$38,MATCH(生产加工!$E191,记账规则!$A$36:$A$38,0),6),""))</f>
        <v/>
      </c>
      <c r="M4777" s="66" t="str">
        <f aca="false">IF($L4777="","",IFERROR(INDEX(记账规则!$A$36:$H$38,MATCH(生产加工!$E191,记账规则!$A$36:$A$38,0),7),""))</f>
        <v/>
      </c>
      <c r="N4777" s="66" t="str">
        <f aca="false">IF($L4777="","",IFERROR(INDEX(记账规则!$A$36:$H$38,MATCH(生产加工!$E191,记账规则!$A$36:$A$38,0),8),""))</f>
        <v/>
      </c>
      <c r="O4777" s="67" t="n">
        <f aca="false">IF($H4777="",0,ROUND(IF($N4777="记账金额",N(生产加工!$U191),0),2))</f>
        <v>0</v>
      </c>
      <c r="P4777" s="64" t="str">
        <f aca="false">IF(AND($H4777&lt;&gt;"",ROUND($O4777,2)&lt;&gt;0),"有","")</f>
        <v/>
      </c>
    </row>
    <row r="4778" customFormat="false" ht="15" hidden="true" customHeight="false" outlineLevel="0" collapsed="false">
      <c r="A4778" s="53" t="str">
        <f aca="false">IF($H4778="","",ROW()-5)</f>
        <v/>
      </c>
      <c r="B4778" s="64" t="s">
        <v>38</v>
      </c>
      <c r="C4778" s="53" t="n">
        <v>192</v>
      </c>
      <c r="D4778" s="53" t="n">
        <v>1</v>
      </c>
      <c r="E4778" s="65" t="str">
        <f aca="false">IF($H4778="","",生产加工!$B192)</f>
        <v/>
      </c>
      <c r="F4778" s="55" t="str">
        <f aca="false">IF($H4778="","",生产加工!$C192)</f>
        <v/>
      </c>
      <c r="G4778" s="48" t="str">
        <f aca="false">IF($H4778="","",生产加工!$N192)</f>
        <v/>
      </c>
      <c r="H4778" s="10" t="str">
        <f aca="false">IF($L4778="","",IF($L4778="@对方",生产加工!$K192,IF($L4778="@存货",生产加工!$Q192,$L4778)))</f>
        <v/>
      </c>
      <c r="I4778" s="42" t="n">
        <f aca="false">IF($M4778="借",$O4778,0)</f>
        <v>0</v>
      </c>
      <c r="J4778" s="42" t="n">
        <f aca="false">IF($M4778="贷",$O4778,0)</f>
        <v>0</v>
      </c>
      <c r="K4778" s="48"/>
      <c r="L4778" s="66" t="str">
        <f aca="false">IF(生产加工!$E192="","",IFERROR(INDEX(记账规则!$A$36:$H$38,MATCH(生产加工!$E192,记账规则!$A$36:$A$38,0),3),""))</f>
        <v/>
      </c>
      <c r="M4778" s="66" t="str">
        <f aca="false">IF($L4778="","",IFERROR(INDEX(记账规则!$A$36:$H$38,MATCH(生产加工!$E192,记账规则!$A$36:$A$38,0),4),""))</f>
        <v/>
      </c>
      <c r="N4778" s="66" t="str">
        <f aca="false">IF($L4778="","",IFERROR(INDEX(记账规则!$A$36:$H$38,MATCH(生产加工!$E192,记账规则!$A$36:$A$38,0),5),""))</f>
        <v/>
      </c>
      <c r="O4778" s="67" t="n">
        <f aca="false">IF($H4778="",0,ROUND(IF($N4778="记账金额",N(生产加工!$U192),0),2))</f>
        <v>0</v>
      </c>
      <c r="P4778" s="64" t="str">
        <f aca="false">IF(AND($H4778&lt;&gt;"",ROUND($O4778,2)&lt;&gt;0),"有","")</f>
        <v/>
      </c>
    </row>
    <row r="4779" customFormat="false" ht="15" hidden="true" customHeight="false" outlineLevel="0" collapsed="false">
      <c r="A4779" s="53" t="str">
        <f aca="false">IF($H4779="","",ROW()-5)</f>
        <v/>
      </c>
      <c r="B4779" s="64" t="s">
        <v>38</v>
      </c>
      <c r="C4779" s="53" t="n">
        <v>192</v>
      </c>
      <c r="D4779" s="53" t="n">
        <v>2</v>
      </c>
      <c r="E4779" s="65" t="str">
        <f aca="false">IF($H4779="","",生产加工!$B192)</f>
        <v/>
      </c>
      <c r="F4779" s="55" t="str">
        <f aca="false">IF($H4779="","",生产加工!$C192)</f>
        <v/>
      </c>
      <c r="G4779" s="48" t="str">
        <f aca="false">IF($H4779="","",生产加工!$N192)</f>
        <v/>
      </c>
      <c r="H4779" s="10" t="str">
        <f aca="false">IF($L4779="","",IF($L4779="@对方",生产加工!$K192,IF($L4779="@存货",生产加工!$Q192,$L4779)))</f>
        <v/>
      </c>
      <c r="I4779" s="42" t="n">
        <f aca="false">IF($M4779="借",$O4779,0)</f>
        <v>0</v>
      </c>
      <c r="J4779" s="42" t="n">
        <f aca="false">IF($M4779="贷",$O4779,0)</f>
        <v>0</v>
      </c>
      <c r="K4779" s="48"/>
      <c r="L4779" s="66" t="str">
        <f aca="false">IF(生产加工!$E192="","",IFERROR(INDEX(记账规则!$A$36:$H$38,MATCH(生产加工!$E192,记账规则!$A$36:$A$38,0),6),""))</f>
        <v/>
      </c>
      <c r="M4779" s="66" t="str">
        <f aca="false">IF($L4779="","",IFERROR(INDEX(记账规则!$A$36:$H$38,MATCH(生产加工!$E192,记账规则!$A$36:$A$38,0),7),""))</f>
        <v/>
      </c>
      <c r="N4779" s="66" t="str">
        <f aca="false">IF($L4779="","",IFERROR(INDEX(记账规则!$A$36:$H$38,MATCH(生产加工!$E192,记账规则!$A$36:$A$38,0),8),""))</f>
        <v/>
      </c>
      <c r="O4779" s="67" t="n">
        <f aca="false">IF($H4779="",0,ROUND(IF($N4779="记账金额",N(生产加工!$U192),0),2))</f>
        <v>0</v>
      </c>
      <c r="P4779" s="64" t="str">
        <f aca="false">IF(AND($H4779&lt;&gt;"",ROUND($O4779,2)&lt;&gt;0),"有","")</f>
        <v/>
      </c>
    </row>
    <row r="4780" customFormat="false" ht="15" hidden="true" customHeight="false" outlineLevel="0" collapsed="false">
      <c r="A4780" s="53" t="str">
        <f aca="false">IF($H4780="","",ROW()-5)</f>
        <v/>
      </c>
      <c r="B4780" s="64" t="s">
        <v>38</v>
      </c>
      <c r="C4780" s="53" t="n">
        <v>193</v>
      </c>
      <c r="D4780" s="53" t="n">
        <v>1</v>
      </c>
      <c r="E4780" s="65" t="str">
        <f aca="false">IF($H4780="","",生产加工!$B193)</f>
        <v/>
      </c>
      <c r="F4780" s="55" t="str">
        <f aca="false">IF($H4780="","",生产加工!$C193)</f>
        <v/>
      </c>
      <c r="G4780" s="48" t="str">
        <f aca="false">IF($H4780="","",生产加工!$N193)</f>
        <v/>
      </c>
      <c r="H4780" s="10" t="str">
        <f aca="false">IF($L4780="","",IF($L4780="@对方",生产加工!$K193,IF($L4780="@存货",生产加工!$Q193,$L4780)))</f>
        <v/>
      </c>
      <c r="I4780" s="42" t="n">
        <f aca="false">IF($M4780="借",$O4780,0)</f>
        <v>0</v>
      </c>
      <c r="J4780" s="42" t="n">
        <f aca="false">IF($M4780="贷",$O4780,0)</f>
        <v>0</v>
      </c>
      <c r="K4780" s="48"/>
      <c r="L4780" s="66" t="str">
        <f aca="false">IF(生产加工!$E193="","",IFERROR(INDEX(记账规则!$A$36:$H$38,MATCH(生产加工!$E193,记账规则!$A$36:$A$38,0),3),""))</f>
        <v/>
      </c>
      <c r="M4780" s="66" t="str">
        <f aca="false">IF($L4780="","",IFERROR(INDEX(记账规则!$A$36:$H$38,MATCH(生产加工!$E193,记账规则!$A$36:$A$38,0),4),""))</f>
        <v/>
      </c>
      <c r="N4780" s="66" t="str">
        <f aca="false">IF($L4780="","",IFERROR(INDEX(记账规则!$A$36:$H$38,MATCH(生产加工!$E193,记账规则!$A$36:$A$38,0),5),""))</f>
        <v/>
      </c>
      <c r="O4780" s="67" t="n">
        <f aca="false">IF($H4780="",0,ROUND(IF($N4780="记账金额",N(生产加工!$U193),0),2))</f>
        <v>0</v>
      </c>
      <c r="P4780" s="64" t="str">
        <f aca="false">IF(AND($H4780&lt;&gt;"",ROUND($O4780,2)&lt;&gt;0),"有","")</f>
        <v/>
      </c>
    </row>
    <row r="4781" customFormat="false" ht="15" hidden="true" customHeight="false" outlineLevel="0" collapsed="false">
      <c r="A4781" s="53" t="str">
        <f aca="false">IF($H4781="","",ROW()-5)</f>
        <v/>
      </c>
      <c r="B4781" s="64" t="s">
        <v>38</v>
      </c>
      <c r="C4781" s="53" t="n">
        <v>193</v>
      </c>
      <c r="D4781" s="53" t="n">
        <v>2</v>
      </c>
      <c r="E4781" s="65" t="str">
        <f aca="false">IF($H4781="","",生产加工!$B193)</f>
        <v/>
      </c>
      <c r="F4781" s="55" t="str">
        <f aca="false">IF($H4781="","",生产加工!$C193)</f>
        <v/>
      </c>
      <c r="G4781" s="48" t="str">
        <f aca="false">IF($H4781="","",生产加工!$N193)</f>
        <v/>
      </c>
      <c r="H4781" s="10" t="str">
        <f aca="false">IF($L4781="","",IF($L4781="@对方",生产加工!$K193,IF($L4781="@存货",生产加工!$Q193,$L4781)))</f>
        <v/>
      </c>
      <c r="I4781" s="42" t="n">
        <f aca="false">IF($M4781="借",$O4781,0)</f>
        <v>0</v>
      </c>
      <c r="J4781" s="42" t="n">
        <f aca="false">IF($M4781="贷",$O4781,0)</f>
        <v>0</v>
      </c>
      <c r="K4781" s="48"/>
      <c r="L4781" s="66" t="str">
        <f aca="false">IF(生产加工!$E193="","",IFERROR(INDEX(记账规则!$A$36:$H$38,MATCH(生产加工!$E193,记账规则!$A$36:$A$38,0),6),""))</f>
        <v/>
      </c>
      <c r="M4781" s="66" t="str">
        <f aca="false">IF($L4781="","",IFERROR(INDEX(记账规则!$A$36:$H$38,MATCH(生产加工!$E193,记账规则!$A$36:$A$38,0),7),""))</f>
        <v/>
      </c>
      <c r="N4781" s="66" t="str">
        <f aca="false">IF($L4781="","",IFERROR(INDEX(记账规则!$A$36:$H$38,MATCH(生产加工!$E193,记账规则!$A$36:$A$38,0),8),""))</f>
        <v/>
      </c>
      <c r="O4781" s="67" t="n">
        <f aca="false">IF($H4781="",0,ROUND(IF($N4781="记账金额",N(生产加工!$U193),0),2))</f>
        <v>0</v>
      </c>
      <c r="P4781" s="64" t="str">
        <f aca="false">IF(AND($H4781&lt;&gt;"",ROUND($O4781,2)&lt;&gt;0),"有","")</f>
        <v/>
      </c>
    </row>
    <row r="4782" customFormat="false" ht="15" hidden="true" customHeight="false" outlineLevel="0" collapsed="false">
      <c r="A4782" s="53" t="str">
        <f aca="false">IF($H4782="","",ROW()-5)</f>
        <v/>
      </c>
      <c r="B4782" s="64" t="s">
        <v>38</v>
      </c>
      <c r="C4782" s="53" t="n">
        <v>194</v>
      </c>
      <c r="D4782" s="53" t="n">
        <v>1</v>
      </c>
      <c r="E4782" s="65" t="str">
        <f aca="false">IF($H4782="","",生产加工!$B194)</f>
        <v/>
      </c>
      <c r="F4782" s="55" t="str">
        <f aca="false">IF($H4782="","",生产加工!$C194)</f>
        <v/>
      </c>
      <c r="G4782" s="48" t="str">
        <f aca="false">IF($H4782="","",生产加工!$N194)</f>
        <v/>
      </c>
      <c r="H4782" s="10" t="str">
        <f aca="false">IF($L4782="","",IF($L4782="@对方",生产加工!$K194,IF($L4782="@存货",生产加工!$Q194,$L4782)))</f>
        <v/>
      </c>
      <c r="I4782" s="42" t="n">
        <f aca="false">IF($M4782="借",$O4782,0)</f>
        <v>0</v>
      </c>
      <c r="J4782" s="42" t="n">
        <f aca="false">IF($M4782="贷",$O4782,0)</f>
        <v>0</v>
      </c>
      <c r="K4782" s="48"/>
      <c r="L4782" s="66" t="str">
        <f aca="false">IF(生产加工!$E194="","",IFERROR(INDEX(记账规则!$A$36:$H$38,MATCH(生产加工!$E194,记账规则!$A$36:$A$38,0),3),""))</f>
        <v/>
      </c>
      <c r="M4782" s="66" t="str">
        <f aca="false">IF($L4782="","",IFERROR(INDEX(记账规则!$A$36:$H$38,MATCH(生产加工!$E194,记账规则!$A$36:$A$38,0),4),""))</f>
        <v/>
      </c>
      <c r="N4782" s="66" t="str">
        <f aca="false">IF($L4782="","",IFERROR(INDEX(记账规则!$A$36:$H$38,MATCH(生产加工!$E194,记账规则!$A$36:$A$38,0),5),""))</f>
        <v/>
      </c>
      <c r="O4782" s="67" t="n">
        <f aca="false">IF($H4782="",0,ROUND(IF($N4782="记账金额",N(生产加工!$U194),0),2))</f>
        <v>0</v>
      </c>
      <c r="P4782" s="64" t="str">
        <f aca="false">IF(AND($H4782&lt;&gt;"",ROUND($O4782,2)&lt;&gt;0),"有","")</f>
        <v/>
      </c>
    </row>
    <row r="4783" customFormat="false" ht="15" hidden="true" customHeight="false" outlineLevel="0" collapsed="false">
      <c r="A4783" s="53" t="str">
        <f aca="false">IF($H4783="","",ROW()-5)</f>
        <v/>
      </c>
      <c r="B4783" s="64" t="s">
        <v>38</v>
      </c>
      <c r="C4783" s="53" t="n">
        <v>194</v>
      </c>
      <c r="D4783" s="53" t="n">
        <v>2</v>
      </c>
      <c r="E4783" s="65" t="str">
        <f aca="false">IF($H4783="","",生产加工!$B194)</f>
        <v/>
      </c>
      <c r="F4783" s="55" t="str">
        <f aca="false">IF($H4783="","",生产加工!$C194)</f>
        <v/>
      </c>
      <c r="G4783" s="48" t="str">
        <f aca="false">IF($H4783="","",生产加工!$N194)</f>
        <v/>
      </c>
      <c r="H4783" s="10" t="str">
        <f aca="false">IF($L4783="","",IF($L4783="@对方",生产加工!$K194,IF($L4783="@存货",生产加工!$Q194,$L4783)))</f>
        <v/>
      </c>
      <c r="I4783" s="42" t="n">
        <f aca="false">IF($M4783="借",$O4783,0)</f>
        <v>0</v>
      </c>
      <c r="J4783" s="42" t="n">
        <f aca="false">IF($M4783="贷",$O4783,0)</f>
        <v>0</v>
      </c>
      <c r="K4783" s="48"/>
      <c r="L4783" s="66" t="str">
        <f aca="false">IF(生产加工!$E194="","",IFERROR(INDEX(记账规则!$A$36:$H$38,MATCH(生产加工!$E194,记账规则!$A$36:$A$38,0),6),""))</f>
        <v/>
      </c>
      <c r="M4783" s="66" t="str">
        <f aca="false">IF($L4783="","",IFERROR(INDEX(记账规则!$A$36:$H$38,MATCH(生产加工!$E194,记账规则!$A$36:$A$38,0),7),""))</f>
        <v/>
      </c>
      <c r="N4783" s="66" t="str">
        <f aca="false">IF($L4783="","",IFERROR(INDEX(记账规则!$A$36:$H$38,MATCH(生产加工!$E194,记账规则!$A$36:$A$38,0),8),""))</f>
        <v/>
      </c>
      <c r="O4783" s="67" t="n">
        <f aca="false">IF($H4783="",0,ROUND(IF($N4783="记账金额",N(生产加工!$U194),0),2))</f>
        <v>0</v>
      </c>
      <c r="P4783" s="64" t="str">
        <f aca="false">IF(AND($H4783&lt;&gt;"",ROUND($O4783,2)&lt;&gt;0),"有","")</f>
        <v/>
      </c>
    </row>
    <row r="4784" customFormat="false" ht="15" hidden="true" customHeight="false" outlineLevel="0" collapsed="false">
      <c r="A4784" s="53" t="str">
        <f aca="false">IF($H4784="","",ROW()-5)</f>
        <v/>
      </c>
      <c r="B4784" s="64" t="s">
        <v>38</v>
      </c>
      <c r="C4784" s="53" t="n">
        <v>195</v>
      </c>
      <c r="D4784" s="53" t="n">
        <v>1</v>
      </c>
      <c r="E4784" s="65" t="str">
        <f aca="false">IF($H4784="","",生产加工!$B195)</f>
        <v/>
      </c>
      <c r="F4784" s="55" t="str">
        <f aca="false">IF($H4784="","",生产加工!$C195)</f>
        <v/>
      </c>
      <c r="G4784" s="48" t="str">
        <f aca="false">IF($H4784="","",生产加工!$N195)</f>
        <v/>
      </c>
      <c r="H4784" s="10" t="str">
        <f aca="false">IF($L4784="","",IF($L4784="@对方",生产加工!$K195,IF($L4784="@存货",生产加工!$Q195,$L4784)))</f>
        <v/>
      </c>
      <c r="I4784" s="42" t="n">
        <f aca="false">IF($M4784="借",$O4784,0)</f>
        <v>0</v>
      </c>
      <c r="J4784" s="42" t="n">
        <f aca="false">IF($M4784="贷",$O4784,0)</f>
        <v>0</v>
      </c>
      <c r="K4784" s="48"/>
      <c r="L4784" s="66" t="str">
        <f aca="false">IF(生产加工!$E195="","",IFERROR(INDEX(记账规则!$A$36:$H$38,MATCH(生产加工!$E195,记账规则!$A$36:$A$38,0),3),""))</f>
        <v/>
      </c>
      <c r="M4784" s="66" t="str">
        <f aca="false">IF($L4784="","",IFERROR(INDEX(记账规则!$A$36:$H$38,MATCH(生产加工!$E195,记账规则!$A$36:$A$38,0),4),""))</f>
        <v/>
      </c>
      <c r="N4784" s="66" t="str">
        <f aca="false">IF($L4784="","",IFERROR(INDEX(记账规则!$A$36:$H$38,MATCH(生产加工!$E195,记账规则!$A$36:$A$38,0),5),""))</f>
        <v/>
      </c>
      <c r="O4784" s="67" t="n">
        <f aca="false">IF($H4784="",0,ROUND(IF($N4784="记账金额",N(生产加工!$U195),0),2))</f>
        <v>0</v>
      </c>
      <c r="P4784" s="64" t="str">
        <f aca="false">IF(AND($H4784&lt;&gt;"",ROUND($O4784,2)&lt;&gt;0),"有","")</f>
        <v/>
      </c>
    </row>
    <row r="4785" customFormat="false" ht="15" hidden="true" customHeight="false" outlineLevel="0" collapsed="false">
      <c r="A4785" s="53" t="str">
        <f aca="false">IF($H4785="","",ROW()-5)</f>
        <v/>
      </c>
      <c r="B4785" s="64" t="s">
        <v>38</v>
      </c>
      <c r="C4785" s="53" t="n">
        <v>195</v>
      </c>
      <c r="D4785" s="53" t="n">
        <v>2</v>
      </c>
      <c r="E4785" s="65" t="str">
        <f aca="false">IF($H4785="","",生产加工!$B195)</f>
        <v/>
      </c>
      <c r="F4785" s="55" t="str">
        <f aca="false">IF($H4785="","",生产加工!$C195)</f>
        <v/>
      </c>
      <c r="G4785" s="48" t="str">
        <f aca="false">IF($H4785="","",生产加工!$N195)</f>
        <v/>
      </c>
      <c r="H4785" s="10" t="str">
        <f aca="false">IF($L4785="","",IF($L4785="@对方",生产加工!$K195,IF($L4785="@存货",生产加工!$Q195,$L4785)))</f>
        <v/>
      </c>
      <c r="I4785" s="42" t="n">
        <f aca="false">IF($M4785="借",$O4785,0)</f>
        <v>0</v>
      </c>
      <c r="J4785" s="42" t="n">
        <f aca="false">IF($M4785="贷",$O4785,0)</f>
        <v>0</v>
      </c>
      <c r="K4785" s="48"/>
      <c r="L4785" s="66" t="str">
        <f aca="false">IF(生产加工!$E195="","",IFERROR(INDEX(记账规则!$A$36:$H$38,MATCH(生产加工!$E195,记账规则!$A$36:$A$38,0),6),""))</f>
        <v/>
      </c>
      <c r="M4785" s="66" t="str">
        <f aca="false">IF($L4785="","",IFERROR(INDEX(记账规则!$A$36:$H$38,MATCH(生产加工!$E195,记账规则!$A$36:$A$38,0),7),""))</f>
        <v/>
      </c>
      <c r="N4785" s="66" t="str">
        <f aca="false">IF($L4785="","",IFERROR(INDEX(记账规则!$A$36:$H$38,MATCH(生产加工!$E195,记账规则!$A$36:$A$38,0),8),""))</f>
        <v/>
      </c>
      <c r="O4785" s="67" t="n">
        <f aca="false">IF($H4785="",0,ROUND(IF($N4785="记账金额",N(生产加工!$U195),0),2))</f>
        <v>0</v>
      </c>
      <c r="P4785" s="64" t="str">
        <f aca="false">IF(AND($H4785&lt;&gt;"",ROUND($O4785,2)&lt;&gt;0),"有","")</f>
        <v/>
      </c>
    </row>
    <row r="4786" customFormat="false" ht="15" hidden="true" customHeight="false" outlineLevel="0" collapsed="false">
      <c r="A4786" s="53" t="str">
        <f aca="false">IF($H4786="","",ROW()-5)</f>
        <v/>
      </c>
      <c r="B4786" s="64" t="s">
        <v>38</v>
      </c>
      <c r="C4786" s="53" t="n">
        <v>196</v>
      </c>
      <c r="D4786" s="53" t="n">
        <v>1</v>
      </c>
      <c r="E4786" s="65" t="str">
        <f aca="false">IF($H4786="","",生产加工!$B196)</f>
        <v/>
      </c>
      <c r="F4786" s="55" t="str">
        <f aca="false">IF($H4786="","",生产加工!$C196)</f>
        <v/>
      </c>
      <c r="G4786" s="48" t="str">
        <f aca="false">IF($H4786="","",生产加工!$N196)</f>
        <v/>
      </c>
      <c r="H4786" s="10" t="str">
        <f aca="false">IF($L4786="","",IF($L4786="@对方",生产加工!$K196,IF($L4786="@存货",生产加工!$Q196,$L4786)))</f>
        <v/>
      </c>
      <c r="I4786" s="42" t="n">
        <f aca="false">IF($M4786="借",$O4786,0)</f>
        <v>0</v>
      </c>
      <c r="J4786" s="42" t="n">
        <f aca="false">IF($M4786="贷",$O4786,0)</f>
        <v>0</v>
      </c>
      <c r="K4786" s="48"/>
      <c r="L4786" s="66" t="str">
        <f aca="false">IF(生产加工!$E196="","",IFERROR(INDEX(记账规则!$A$36:$H$38,MATCH(生产加工!$E196,记账规则!$A$36:$A$38,0),3),""))</f>
        <v/>
      </c>
      <c r="M4786" s="66" t="str">
        <f aca="false">IF($L4786="","",IFERROR(INDEX(记账规则!$A$36:$H$38,MATCH(生产加工!$E196,记账规则!$A$36:$A$38,0),4),""))</f>
        <v/>
      </c>
      <c r="N4786" s="66" t="str">
        <f aca="false">IF($L4786="","",IFERROR(INDEX(记账规则!$A$36:$H$38,MATCH(生产加工!$E196,记账规则!$A$36:$A$38,0),5),""))</f>
        <v/>
      </c>
      <c r="O4786" s="67" t="n">
        <f aca="false">IF($H4786="",0,ROUND(IF($N4786="记账金额",N(生产加工!$U196),0),2))</f>
        <v>0</v>
      </c>
      <c r="P4786" s="64" t="str">
        <f aca="false">IF(AND($H4786&lt;&gt;"",ROUND($O4786,2)&lt;&gt;0),"有","")</f>
        <v/>
      </c>
    </row>
    <row r="4787" customFormat="false" ht="15" hidden="true" customHeight="false" outlineLevel="0" collapsed="false">
      <c r="A4787" s="53" t="str">
        <f aca="false">IF($H4787="","",ROW()-5)</f>
        <v/>
      </c>
      <c r="B4787" s="64" t="s">
        <v>38</v>
      </c>
      <c r="C4787" s="53" t="n">
        <v>196</v>
      </c>
      <c r="D4787" s="53" t="n">
        <v>2</v>
      </c>
      <c r="E4787" s="65" t="str">
        <f aca="false">IF($H4787="","",生产加工!$B196)</f>
        <v/>
      </c>
      <c r="F4787" s="55" t="str">
        <f aca="false">IF($H4787="","",生产加工!$C196)</f>
        <v/>
      </c>
      <c r="G4787" s="48" t="str">
        <f aca="false">IF($H4787="","",生产加工!$N196)</f>
        <v/>
      </c>
      <c r="H4787" s="10" t="str">
        <f aca="false">IF($L4787="","",IF($L4787="@对方",生产加工!$K196,IF($L4787="@存货",生产加工!$Q196,$L4787)))</f>
        <v/>
      </c>
      <c r="I4787" s="42" t="n">
        <f aca="false">IF($M4787="借",$O4787,0)</f>
        <v>0</v>
      </c>
      <c r="J4787" s="42" t="n">
        <f aca="false">IF($M4787="贷",$O4787,0)</f>
        <v>0</v>
      </c>
      <c r="K4787" s="48"/>
      <c r="L4787" s="66" t="str">
        <f aca="false">IF(生产加工!$E196="","",IFERROR(INDEX(记账规则!$A$36:$H$38,MATCH(生产加工!$E196,记账规则!$A$36:$A$38,0),6),""))</f>
        <v/>
      </c>
      <c r="M4787" s="66" t="str">
        <f aca="false">IF($L4787="","",IFERROR(INDEX(记账规则!$A$36:$H$38,MATCH(生产加工!$E196,记账规则!$A$36:$A$38,0),7),""))</f>
        <v/>
      </c>
      <c r="N4787" s="66" t="str">
        <f aca="false">IF($L4787="","",IFERROR(INDEX(记账规则!$A$36:$H$38,MATCH(生产加工!$E196,记账规则!$A$36:$A$38,0),8),""))</f>
        <v/>
      </c>
      <c r="O4787" s="67" t="n">
        <f aca="false">IF($H4787="",0,ROUND(IF($N4787="记账金额",N(生产加工!$U196),0),2))</f>
        <v>0</v>
      </c>
      <c r="P4787" s="64" t="str">
        <f aca="false">IF(AND($H4787&lt;&gt;"",ROUND($O4787,2)&lt;&gt;0),"有","")</f>
        <v/>
      </c>
    </row>
    <row r="4788" customFormat="false" ht="15" hidden="true" customHeight="false" outlineLevel="0" collapsed="false">
      <c r="A4788" s="53" t="str">
        <f aca="false">IF($H4788="","",ROW()-5)</f>
        <v/>
      </c>
      <c r="B4788" s="64" t="s">
        <v>38</v>
      </c>
      <c r="C4788" s="53" t="n">
        <v>197</v>
      </c>
      <c r="D4788" s="53" t="n">
        <v>1</v>
      </c>
      <c r="E4788" s="65" t="str">
        <f aca="false">IF($H4788="","",生产加工!$B197)</f>
        <v/>
      </c>
      <c r="F4788" s="55" t="str">
        <f aca="false">IF($H4788="","",生产加工!$C197)</f>
        <v/>
      </c>
      <c r="G4788" s="48" t="str">
        <f aca="false">IF($H4788="","",生产加工!$N197)</f>
        <v/>
      </c>
      <c r="H4788" s="10" t="str">
        <f aca="false">IF($L4788="","",IF($L4788="@对方",生产加工!$K197,IF($L4788="@存货",生产加工!$Q197,$L4788)))</f>
        <v/>
      </c>
      <c r="I4788" s="42" t="n">
        <f aca="false">IF($M4788="借",$O4788,0)</f>
        <v>0</v>
      </c>
      <c r="J4788" s="42" t="n">
        <f aca="false">IF($M4788="贷",$O4788,0)</f>
        <v>0</v>
      </c>
      <c r="K4788" s="48"/>
      <c r="L4788" s="66" t="str">
        <f aca="false">IF(生产加工!$E197="","",IFERROR(INDEX(记账规则!$A$36:$H$38,MATCH(生产加工!$E197,记账规则!$A$36:$A$38,0),3),""))</f>
        <v/>
      </c>
      <c r="M4788" s="66" t="str">
        <f aca="false">IF($L4788="","",IFERROR(INDEX(记账规则!$A$36:$H$38,MATCH(生产加工!$E197,记账规则!$A$36:$A$38,0),4),""))</f>
        <v/>
      </c>
      <c r="N4788" s="66" t="str">
        <f aca="false">IF($L4788="","",IFERROR(INDEX(记账规则!$A$36:$H$38,MATCH(生产加工!$E197,记账规则!$A$36:$A$38,0),5),""))</f>
        <v/>
      </c>
      <c r="O4788" s="67" t="n">
        <f aca="false">IF($H4788="",0,ROUND(IF($N4788="记账金额",N(生产加工!$U197),0),2))</f>
        <v>0</v>
      </c>
      <c r="P4788" s="64" t="str">
        <f aca="false">IF(AND($H4788&lt;&gt;"",ROUND($O4788,2)&lt;&gt;0),"有","")</f>
        <v/>
      </c>
    </row>
    <row r="4789" customFormat="false" ht="15" hidden="true" customHeight="false" outlineLevel="0" collapsed="false">
      <c r="A4789" s="53" t="str">
        <f aca="false">IF($H4789="","",ROW()-5)</f>
        <v/>
      </c>
      <c r="B4789" s="64" t="s">
        <v>38</v>
      </c>
      <c r="C4789" s="53" t="n">
        <v>197</v>
      </c>
      <c r="D4789" s="53" t="n">
        <v>2</v>
      </c>
      <c r="E4789" s="65" t="str">
        <f aca="false">IF($H4789="","",生产加工!$B197)</f>
        <v/>
      </c>
      <c r="F4789" s="55" t="str">
        <f aca="false">IF($H4789="","",生产加工!$C197)</f>
        <v/>
      </c>
      <c r="G4789" s="48" t="str">
        <f aca="false">IF($H4789="","",生产加工!$N197)</f>
        <v/>
      </c>
      <c r="H4789" s="10" t="str">
        <f aca="false">IF($L4789="","",IF($L4789="@对方",生产加工!$K197,IF($L4789="@存货",生产加工!$Q197,$L4789)))</f>
        <v/>
      </c>
      <c r="I4789" s="42" t="n">
        <f aca="false">IF($M4789="借",$O4789,0)</f>
        <v>0</v>
      </c>
      <c r="J4789" s="42" t="n">
        <f aca="false">IF($M4789="贷",$O4789,0)</f>
        <v>0</v>
      </c>
      <c r="K4789" s="48"/>
      <c r="L4789" s="66" t="str">
        <f aca="false">IF(生产加工!$E197="","",IFERROR(INDEX(记账规则!$A$36:$H$38,MATCH(生产加工!$E197,记账规则!$A$36:$A$38,0),6),""))</f>
        <v/>
      </c>
      <c r="M4789" s="66" t="str">
        <f aca="false">IF($L4789="","",IFERROR(INDEX(记账规则!$A$36:$H$38,MATCH(生产加工!$E197,记账规则!$A$36:$A$38,0),7),""))</f>
        <v/>
      </c>
      <c r="N4789" s="66" t="str">
        <f aca="false">IF($L4789="","",IFERROR(INDEX(记账规则!$A$36:$H$38,MATCH(生产加工!$E197,记账规则!$A$36:$A$38,0),8),""))</f>
        <v/>
      </c>
      <c r="O4789" s="67" t="n">
        <f aca="false">IF($H4789="",0,ROUND(IF($N4789="记账金额",N(生产加工!$U197),0),2))</f>
        <v>0</v>
      </c>
      <c r="P4789" s="64" t="str">
        <f aca="false">IF(AND($H4789&lt;&gt;"",ROUND($O4789,2)&lt;&gt;0),"有","")</f>
        <v/>
      </c>
    </row>
    <row r="4790" customFormat="false" ht="15" hidden="true" customHeight="false" outlineLevel="0" collapsed="false">
      <c r="A4790" s="53" t="str">
        <f aca="false">IF($H4790="","",ROW()-5)</f>
        <v/>
      </c>
      <c r="B4790" s="64" t="s">
        <v>38</v>
      </c>
      <c r="C4790" s="53" t="n">
        <v>198</v>
      </c>
      <c r="D4790" s="53" t="n">
        <v>1</v>
      </c>
      <c r="E4790" s="65" t="str">
        <f aca="false">IF($H4790="","",生产加工!$B198)</f>
        <v/>
      </c>
      <c r="F4790" s="55" t="str">
        <f aca="false">IF($H4790="","",生产加工!$C198)</f>
        <v/>
      </c>
      <c r="G4790" s="48" t="str">
        <f aca="false">IF($H4790="","",生产加工!$N198)</f>
        <v/>
      </c>
      <c r="H4790" s="10" t="str">
        <f aca="false">IF($L4790="","",IF($L4790="@对方",生产加工!$K198,IF($L4790="@存货",生产加工!$Q198,$L4790)))</f>
        <v/>
      </c>
      <c r="I4790" s="42" t="n">
        <f aca="false">IF($M4790="借",$O4790,0)</f>
        <v>0</v>
      </c>
      <c r="J4790" s="42" t="n">
        <f aca="false">IF($M4790="贷",$O4790,0)</f>
        <v>0</v>
      </c>
      <c r="K4790" s="48"/>
      <c r="L4790" s="66" t="str">
        <f aca="false">IF(生产加工!$E198="","",IFERROR(INDEX(记账规则!$A$36:$H$38,MATCH(生产加工!$E198,记账规则!$A$36:$A$38,0),3),""))</f>
        <v/>
      </c>
      <c r="M4790" s="66" t="str">
        <f aca="false">IF($L4790="","",IFERROR(INDEX(记账规则!$A$36:$H$38,MATCH(生产加工!$E198,记账规则!$A$36:$A$38,0),4),""))</f>
        <v/>
      </c>
      <c r="N4790" s="66" t="str">
        <f aca="false">IF($L4790="","",IFERROR(INDEX(记账规则!$A$36:$H$38,MATCH(生产加工!$E198,记账规则!$A$36:$A$38,0),5),""))</f>
        <v/>
      </c>
      <c r="O4790" s="67" t="n">
        <f aca="false">IF($H4790="",0,ROUND(IF($N4790="记账金额",N(生产加工!$U198),0),2))</f>
        <v>0</v>
      </c>
      <c r="P4790" s="64" t="str">
        <f aca="false">IF(AND($H4790&lt;&gt;"",ROUND($O4790,2)&lt;&gt;0),"有","")</f>
        <v/>
      </c>
    </row>
    <row r="4791" customFormat="false" ht="15" hidden="true" customHeight="false" outlineLevel="0" collapsed="false">
      <c r="A4791" s="53" t="str">
        <f aca="false">IF($H4791="","",ROW()-5)</f>
        <v/>
      </c>
      <c r="B4791" s="64" t="s">
        <v>38</v>
      </c>
      <c r="C4791" s="53" t="n">
        <v>198</v>
      </c>
      <c r="D4791" s="53" t="n">
        <v>2</v>
      </c>
      <c r="E4791" s="65" t="str">
        <f aca="false">IF($H4791="","",生产加工!$B198)</f>
        <v/>
      </c>
      <c r="F4791" s="55" t="str">
        <f aca="false">IF($H4791="","",生产加工!$C198)</f>
        <v/>
      </c>
      <c r="G4791" s="48" t="str">
        <f aca="false">IF($H4791="","",生产加工!$N198)</f>
        <v/>
      </c>
      <c r="H4791" s="10" t="str">
        <f aca="false">IF($L4791="","",IF($L4791="@对方",生产加工!$K198,IF($L4791="@存货",生产加工!$Q198,$L4791)))</f>
        <v/>
      </c>
      <c r="I4791" s="42" t="n">
        <f aca="false">IF($M4791="借",$O4791,0)</f>
        <v>0</v>
      </c>
      <c r="J4791" s="42" t="n">
        <f aca="false">IF($M4791="贷",$O4791,0)</f>
        <v>0</v>
      </c>
      <c r="K4791" s="48"/>
      <c r="L4791" s="66" t="str">
        <f aca="false">IF(生产加工!$E198="","",IFERROR(INDEX(记账规则!$A$36:$H$38,MATCH(生产加工!$E198,记账规则!$A$36:$A$38,0),6),""))</f>
        <v/>
      </c>
      <c r="M4791" s="66" t="str">
        <f aca="false">IF($L4791="","",IFERROR(INDEX(记账规则!$A$36:$H$38,MATCH(生产加工!$E198,记账规则!$A$36:$A$38,0),7),""))</f>
        <v/>
      </c>
      <c r="N4791" s="66" t="str">
        <f aca="false">IF($L4791="","",IFERROR(INDEX(记账规则!$A$36:$H$38,MATCH(生产加工!$E198,记账规则!$A$36:$A$38,0),8),""))</f>
        <v/>
      </c>
      <c r="O4791" s="67" t="n">
        <f aca="false">IF($H4791="",0,ROUND(IF($N4791="记账金额",N(生产加工!$U198),0),2))</f>
        <v>0</v>
      </c>
      <c r="P4791" s="64" t="str">
        <f aca="false">IF(AND($H4791&lt;&gt;"",ROUND($O4791,2)&lt;&gt;0),"有","")</f>
        <v/>
      </c>
    </row>
    <row r="4792" customFormat="false" ht="15" hidden="true" customHeight="false" outlineLevel="0" collapsed="false">
      <c r="A4792" s="53" t="str">
        <f aca="false">IF($H4792="","",ROW()-5)</f>
        <v/>
      </c>
      <c r="B4792" s="64" t="s">
        <v>38</v>
      </c>
      <c r="C4792" s="53" t="n">
        <v>199</v>
      </c>
      <c r="D4792" s="53" t="n">
        <v>1</v>
      </c>
      <c r="E4792" s="65" t="str">
        <f aca="false">IF($H4792="","",生产加工!$B199)</f>
        <v/>
      </c>
      <c r="F4792" s="55" t="str">
        <f aca="false">IF($H4792="","",生产加工!$C199)</f>
        <v/>
      </c>
      <c r="G4792" s="48" t="str">
        <f aca="false">IF($H4792="","",生产加工!$N199)</f>
        <v/>
      </c>
      <c r="H4792" s="10" t="str">
        <f aca="false">IF($L4792="","",IF($L4792="@对方",生产加工!$K199,IF($L4792="@存货",生产加工!$Q199,$L4792)))</f>
        <v/>
      </c>
      <c r="I4792" s="42" t="n">
        <f aca="false">IF($M4792="借",$O4792,0)</f>
        <v>0</v>
      </c>
      <c r="J4792" s="42" t="n">
        <f aca="false">IF($M4792="贷",$O4792,0)</f>
        <v>0</v>
      </c>
      <c r="K4792" s="48"/>
      <c r="L4792" s="66" t="str">
        <f aca="false">IF(生产加工!$E199="","",IFERROR(INDEX(记账规则!$A$36:$H$38,MATCH(生产加工!$E199,记账规则!$A$36:$A$38,0),3),""))</f>
        <v/>
      </c>
      <c r="M4792" s="66" t="str">
        <f aca="false">IF($L4792="","",IFERROR(INDEX(记账规则!$A$36:$H$38,MATCH(生产加工!$E199,记账规则!$A$36:$A$38,0),4),""))</f>
        <v/>
      </c>
      <c r="N4792" s="66" t="str">
        <f aca="false">IF($L4792="","",IFERROR(INDEX(记账规则!$A$36:$H$38,MATCH(生产加工!$E199,记账规则!$A$36:$A$38,0),5),""))</f>
        <v/>
      </c>
      <c r="O4792" s="67" t="n">
        <f aca="false">IF($H4792="",0,ROUND(IF($N4792="记账金额",N(生产加工!$U199),0),2))</f>
        <v>0</v>
      </c>
      <c r="P4792" s="64" t="str">
        <f aca="false">IF(AND($H4792&lt;&gt;"",ROUND($O4792,2)&lt;&gt;0),"有","")</f>
        <v/>
      </c>
    </row>
    <row r="4793" customFormat="false" ht="15" hidden="true" customHeight="false" outlineLevel="0" collapsed="false">
      <c r="A4793" s="53" t="str">
        <f aca="false">IF($H4793="","",ROW()-5)</f>
        <v/>
      </c>
      <c r="B4793" s="64" t="s">
        <v>38</v>
      </c>
      <c r="C4793" s="53" t="n">
        <v>199</v>
      </c>
      <c r="D4793" s="53" t="n">
        <v>2</v>
      </c>
      <c r="E4793" s="65" t="str">
        <f aca="false">IF($H4793="","",生产加工!$B199)</f>
        <v/>
      </c>
      <c r="F4793" s="55" t="str">
        <f aca="false">IF($H4793="","",生产加工!$C199)</f>
        <v/>
      </c>
      <c r="G4793" s="48" t="str">
        <f aca="false">IF($H4793="","",生产加工!$N199)</f>
        <v/>
      </c>
      <c r="H4793" s="10" t="str">
        <f aca="false">IF($L4793="","",IF($L4793="@对方",生产加工!$K199,IF($L4793="@存货",生产加工!$Q199,$L4793)))</f>
        <v/>
      </c>
      <c r="I4793" s="42" t="n">
        <f aca="false">IF($M4793="借",$O4793,0)</f>
        <v>0</v>
      </c>
      <c r="J4793" s="42" t="n">
        <f aca="false">IF($M4793="贷",$O4793,0)</f>
        <v>0</v>
      </c>
      <c r="K4793" s="48"/>
      <c r="L4793" s="66" t="str">
        <f aca="false">IF(生产加工!$E199="","",IFERROR(INDEX(记账规则!$A$36:$H$38,MATCH(生产加工!$E199,记账规则!$A$36:$A$38,0),6),""))</f>
        <v/>
      </c>
      <c r="M4793" s="66" t="str">
        <f aca="false">IF($L4793="","",IFERROR(INDEX(记账规则!$A$36:$H$38,MATCH(生产加工!$E199,记账规则!$A$36:$A$38,0),7),""))</f>
        <v/>
      </c>
      <c r="N4793" s="66" t="str">
        <f aca="false">IF($L4793="","",IFERROR(INDEX(记账规则!$A$36:$H$38,MATCH(生产加工!$E199,记账规则!$A$36:$A$38,0),8),""))</f>
        <v/>
      </c>
      <c r="O4793" s="67" t="n">
        <f aca="false">IF($H4793="",0,ROUND(IF($N4793="记账金额",N(生产加工!$U199),0),2))</f>
        <v>0</v>
      </c>
      <c r="P4793" s="64" t="str">
        <f aca="false">IF(AND($H4793&lt;&gt;"",ROUND($O4793,2)&lt;&gt;0),"有","")</f>
        <v/>
      </c>
    </row>
    <row r="4794" customFormat="false" ht="15" hidden="true" customHeight="false" outlineLevel="0" collapsed="false">
      <c r="A4794" s="53" t="str">
        <f aca="false">IF($H4794="","",ROW()-5)</f>
        <v/>
      </c>
      <c r="B4794" s="64" t="s">
        <v>38</v>
      </c>
      <c r="C4794" s="53" t="n">
        <v>200</v>
      </c>
      <c r="D4794" s="53" t="n">
        <v>1</v>
      </c>
      <c r="E4794" s="65" t="str">
        <f aca="false">IF($H4794="","",生产加工!$B200)</f>
        <v/>
      </c>
      <c r="F4794" s="55" t="str">
        <f aca="false">IF($H4794="","",生产加工!$C200)</f>
        <v/>
      </c>
      <c r="G4794" s="48" t="str">
        <f aca="false">IF($H4794="","",生产加工!$N200)</f>
        <v/>
      </c>
      <c r="H4794" s="10" t="str">
        <f aca="false">IF($L4794="","",IF($L4794="@对方",生产加工!$K200,IF($L4794="@存货",生产加工!$Q200,$L4794)))</f>
        <v/>
      </c>
      <c r="I4794" s="42" t="n">
        <f aca="false">IF($M4794="借",$O4794,0)</f>
        <v>0</v>
      </c>
      <c r="J4794" s="42" t="n">
        <f aca="false">IF($M4794="贷",$O4794,0)</f>
        <v>0</v>
      </c>
      <c r="K4794" s="48"/>
      <c r="L4794" s="66" t="str">
        <f aca="false">IF(生产加工!$E200="","",IFERROR(INDEX(记账规则!$A$36:$H$38,MATCH(生产加工!$E200,记账规则!$A$36:$A$38,0),3),""))</f>
        <v/>
      </c>
      <c r="M4794" s="66" t="str">
        <f aca="false">IF($L4794="","",IFERROR(INDEX(记账规则!$A$36:$H$38,MATCH(生产加工!$E200,记账规则!$A$36:$A$38,0),4),""))</f>
        <v/>
      </c>
      <c r="N4794" s="66" t="str">
        <f aca="false">IF($L4794="","",IFERROR(INDEX(记账规则!$A$36:$H$38,MATCH(生产加工!$E200,记账规则!$A$36:$A$38,0),5),""))</f>
        <v/>
      </c>
      <c r="O4794" s="67" t="n">
        <f aca="false">IF($H4794="",0,ROUND(IF($N4794="记账金额",N(生产加工!$U200),0),2))</f>
        <v>0</v>
      </c>
      <c r="P4794" s="64" t="str">
        <f aca="false">IF(AND($H4794&lt;&gt;"",ROUND($O4794,2)&lt;&gt;0),"有","")</f>
        <v/>
      </c>
    </row>
    <row r="4795" customFormat="false" ht="15" hidden="true" customHeight="false" outlineLevel="0" collapsed="false">
      <c r="A4795" s="53" t="str">
        <f aca="false">IF($H4795="","",ROW()-5)</f>
        <v/>
      </c>
      <c r="B4795" s="64" t="s">
        <v>38</v>
      </c>
      <c r="C4795" s="53" t="n">
        <v>200</v>
      </c>
      <c r="D4795" s="53" t="n">
        <v>2</v>
      </c>
      <c r="E4795" s="65" t="str">
        <f aca="false">IF($H4795="","",生产加工!$B200)</f>
        <v/>
      </c>
      <c r="F4795" s="55" t="str">
        <f aca="false">IF($H4795="","",生产加工!$C200)</f>
        <v/>
      </c>
      <c r="G4795" s="48" t="str">
        <f aca="false">IF($H4795="","",生产加工!$N200)</f>
        <v/>
      </c>
      <c r="H4795" s="10" t="str">
        <f aca="false">IF($L4795="","",IF($L4795="@对方",生产加工!$K200,IF($L4795="@存货",生产加工!$Q200,$L4795)))</f>
        <v/>
      </c>
      <c r="I4795" s="42" t="n">
        <f aca="false">IF($M4795="借",$O4795,0)</f>
        <v>0</v>
      </c>
      <c r="J4795" s="42" t="n">
        <f aca="false">IF($M4795="贷",$O4795,0)</f>
        <v>0</v>
      </c>
      <c r="K4795" s="48"/>
      <c r="L4795" s="66" t="str">
        <f aca="false">IF(生产加工!$E200="","",IFERROR(INDEX(记账规则!$A$36:$H$38,MATCH(生产加工!$E200,记账规则!$A$36:$A$38,0),6),""))</f>
        <v/>
      </c>
      <c r="M4795" s="66" t="str">
        <f aca="false">IF($L4795="","",IFERROR(INDEX(记账规则!$A$36:$H$38,MATCH(生产加工!$E200,记账规则!$A$36:$A$38,0),7),""))</f>
        <v/>
      </c>
      <c r="N4795" s="66" t="str">
        <f aca="false">IF($L4795="","",IFERROR(INDEX(记账规则!$A$36:$H$38,MATCH(生产加工!$E200,记账规则!$A$36:$A$38,0),8),""))</f>
        <v/>
      </c>
      <c r="O4795" s="67" t="n">
        <f aca="false">IF($H4795="",0,ROUND(IF($N4795="记账金额",N(生产加工!$U200),0),2))</f>
        <v>0</v>
      </c>
      <c r="P4795" s="64" t="str">
        <f aca="false">IF(AND($H4795&lt;&gt;"",ROUND($O4795,2)&lt;&gt;0),"有","")</f>
        <v/>
      </c>
    </row>
    <row r="4796" customFormat="false" ht="15" hidden="true" customHeight="false" outlineLevel="0" collapsed="false">
      <c r="A4796" s="53" t="str">
        <f aca="false">IF($H4796="","",ROW()-5)</f>
        <v/>
      </c>
      <c r="B4796" s="64" t="s">
        <v>38</v>
      </c>
      <c r="C4796" s="53" t="n">
        <v>201</v>
      </c>
      <c r="D4796" s="53" t="n">
        <v>1</v>
      </c>
      <c r="E4796" s="65" t="str">
        <f aca="false">IF($H4796="","",生产加工!$B201)</f>
        <v/>
      </c>
      <c r="F4796" s="55" t="str">
        <f aca="false">IF($H4796="","",生产加工!$C201)</f>
        <v/>
      </c>
      <c r="G4796" s="48" t="str">
        <f aca="false">IF($H4796="","",生产加工!$N201)</f>
        <v/>
      </c>
      <c r="H4796" s="10" t="str">
        <f aca="false">IF($L4796="","",IF($L4796="@对方",生产加工!$K201,IF($L4796="@存货",生产加工!$Q201,$L4796)))</f>
        <v/>
      </c>
      <c r="I4796" s="42" t="n">
        <f aca="false">IF($M4796="借",$O4796,0)</f>
        <v>0</v>
      </c>
      <c r="J4796" s="42" t="n">
        <f aca="false">IF($M4796="贷",$O4796,0)</f>
        <v>0</v>
      </c>
      <c r="K4796" s="48"/>
      <c r="L4796" s="66" t="str">
        <f aca="false">IF(生产加工!$E201="","",IFERROR(INDEX(记账规则!$A$36:$H$38,MATCH(生产加工!$E201,记账规则!$A$36:$A$38,0),3),""))</f>
        <v/>
      </c>
      <c r="M4796" s="66" t="str">
        <f aca="false">IF($L4796="","",IFERROR(INDEX(记账规则!$A$36:$H$38,MATCH(生产加工!$E201,记账规则!$A$36:$A$38,0),4),""))</f>
        <v/>
      </c>
      <c r="N4796" s="66" t="str">
        <f aca="false">IF($L4796="","",IFERROR(INDEX(记账规则!$A$36:$H$38,MATCH(生产加工!$E201,记账规则!$A$36:$A$38,0),5),""))</f>
        <v/>
      </c>
      <c r="O4796" s="67" t="n">
        <f aca="false">IF($H4796="",0,ROUND(IF($N4796="记账金额",N(生产加工!$U201),0),2))</f>
        <v>0</v>
      </c>
      <c r="P4796" s="64" t="str">
        <f aca="false">IF(AND($H4796&lt;&gt;"",ROUND($O4796,2)&lt;&gt;0),"有","")</f>
        <v/>
      </c>
    </row>
    <row r="4797" customFormat="false" ht="15" hidden="true" customHeight="false" outlineLevel="0" collapsed="false">
      <c r="A4797" s="53" t="str">
        <f aca="false">IF($H4797="","",ROW()-5)</f>
        <v/>
      </c>
      <c r="B4797" s="64" t="s">
        <v>38</v>
      </c>
      <c r="C4797" s="53" t="n">
        <v>201</v>
      </c>
      <c r="D4797" s="53" t="n">
        <v>2</v>
      </c>
      <c r="E4797" s="65" t="str">
        <f aca="false">IF($H4797="","",生产加工!$B201)</f>
        <v/>
      </c>
      <c r="F4797" s="55" t="str">
        <f aca="false">IF($H4797="","",生产加工!$C201)</f>
        <v/>
      </c>
      <c r="G4797" s="48" t="str">
        <f aca="false">IF($H4797="","",生产加工!$N201)</f>
        <v/>
      </c>
      <c r="H4797" s="10" t="str">
        <f aca="false">IF($L4797="","",IF($L4797="@对方",生产加工!$K201,IF($L4797="@存货",生产加工!$Q201,$L4797)))</f>
        <v/>
      </c>
      <c r="I4797" s="42" t="n">
        <f aca="false">IF($M4797="借",$O4797,0)</f>
        <v>0</v>
      </c>
      <c r="J4797" s="42" t="n">
        <f aca="false">IF($M4797="贷",$O4797,0)</f>
        <v>0</v>
      </c>
      <c r="K4797" s="48"/>
      <c r="L4797" s="66" t="str">
        <f aca="false">IF(生产加工!$E201="","",IFERROR(INDEX(记账规则!$A$36:$H$38,MATCH(生产加工!$E201,记账规则!$A$36:$A$38,0),6),""))</f>
        <v/>
      </c>
      <c r="M4797" s="66" t="str">
        <f aca="false">IF($L4797="","",IFERROR(INDEX(记账规则!$A$36:$H$38,MATCH(生产加工!$E201,记账规则!$A$36:$A$38,0),7),""))</f>
        <v/>
      </c>
      <c r="N4797" s="66" t="str">
        <f aca="false">IF($L4797="","",IFERROR(INDEX(记账规则!$A$36:$H$38,MATCH(生产加工!$E201,记账规则!$A$36:$A$38,0),8),""))</f>
        <v/>
      </c>
      <c r="O4797" s="67" t="n">
        <f aca="false">IF($H4797="",0,ROUND(IF($N4797="记账金额",N(生产加工!$U201),0),2))</f>
        <v>0</v>
      </c>
      <c r="P4797" s="64" t="str">
        <f aca="false">IF(AND($H4797&lt;&gt;"",ROUND($O4797,2)&lt;&gt;0),"有","")</f>
        <v/>
      </c>
    </row>
    <row r="4798" customFormat="false" ht="15" hidden="true" customHeight="false" outlineLevel="0" collapsed="false">
      <c r="A4798" s="53" t="str">
        <f aca="false">IF($H4798="","",ROW()-5)</f>
        <v/>
      </c>
      <c r="B4798" s="64" t="s">
        <v>38</v>
      </c>
      <c r="C4798" s="53" t="n">
        <v>202</v>
      </c>
      <c r="D4798" s="53" t="n">
        <v>1</v>
      </c>
      <c r="E4798" s="65" t="str">
        <f aca="false">IF($H4798="","",生产加工!$B202)</f>
        <v/>
      </c>
      <c r="F4798" s="55" t="str">
        <f aca="false">IF($H4798="","",生产加工!$C202)</f>
        <v/>
      </c>
      <c r="G4798" s="48" t="str">
        <f aca="false">IF($H4798="","",生产加工!$N202)</f>
        <v/>
      </c>
      <c r="H4798" s="10" t="str">
        <f aca="false">IF($L4798="","",IF($L4798="@对方",生产加工!$K202,IF($L4798="@存货",生产加工!$Q202,$L4798)))</f>
        <v/>
      </c>
      <c r="I4798" s="42" t="n">
        <f aca="false">IF($M4798="借",$O4798,0)</f>
        <v>0</v>
      </c>
      <c r="J4798" s="42" t="n">
        <f aca="false">IF($M4798="贷",$O4798,0)</f>
        <v>0</v>
      </c>
      <c r="K4798" s="48"/>
      <c r="L4798" s="66" t="str">
        <f aca="false">IF(生产加工!$E202="","",IFERROR(INDEX(记账规则!$A$36:$H$38,MATCH(生产加工!$E202,记账规则!$A$36:$A$38,0),3),""))</f>
        <v/>
      </c>
      <c r="M4798" s="66" t="str">
        <f aca="false">IF($L4798="","",IFERROR(INDEX(记账规则!$A$36:$H$38,MATCH(生产加工!$E202,记账规则!$A$36:$A$38,0),4),""))</f>
        <v/>
      </c>
      <c r="N4798" s="66" t="str">
        <f aca="false">IF($L4798="","",IFERROR(INDEX(记账规则!$A$36:$H$38,MATCH(生产加工!$E202,记账规则!$A$36:$A$38,0),5),""))</f>
        <v/>
      </c>
      <c r="O4798" s="67" t="n">
        <f aca="false">IF($H4798="",0,ROUND(IF($N4798="记账金额",N(生产加工!$U202),0),2))</f>
        <v>0</v>
      </c>
      <c r="P4798" s="64" t="str">
        <f aca="false">IF(AND($H4798&lt;&gt;"",ROUND($O4798,2)&lt;&gt;0),"有","")</f>
        <v/>
      </c>
    </row>
    <row r="4799" customFormat="false" ht="15" hidden="true" customHeight="false" outlineLevel="0" collapsed="false">
      <c r="A4799" s="53" t="str">
        <f aca="false">IF($H4799="","",ROW()-5)</f>
        <v/>
      </c>
      <c r="B4799" s="64" t="s">
        <v>38</v>
      </c>
      <c r="C4799" s="53" t="n">
        <v>202</v>
      </c>
      <c r="D4799" s="53" t="n">
        <v>2</v>
      </c>
      <c r="E4799" s="65" t="str">
        <f aca="false">IF($H4799="","",生产加工!$B202)</f>
        <v/>
      </c>
      <c r="F4799" s="55" t="str">
        <f aca="false">IF($H4799="","",生产加工!$C202)</f>
        <v/>
      </c>
      <c r="G4799" s="48" t="str">
        <f aca="false">IF($H4799="","",生产加工!$N202)</f>
        <v/>
      </c>
      <c r="H4799" s="10" t="str">
        <f aca="false">IF($L4799="","",IF($L4799="@对方",生产加工!$K202,IF($L4799="@存货",生产加工!$Q202,$L4799)))</f>
        <v/>
      </c>
      <c r="I4799" s="42" t="n">
        <f aca="false">IF($M4799="借",$O4799,0)</f>
        <v>0</v>
      </c>
      <c r="J4799" s="42" t="n">
        <f aca="false">IF($M4799="贷",$O4799,0)</f>
        <v>0</v>
      </c>
      <c r="K4799" s="48"/>
      <c r="L4799" s="66" t="str">
        <f aca="false">IF(生产加工!$E202="","",IFERROR(INDEX(记账规则!$A$36:$H$38,MATCH(生产加工!$E202,记账规则!$A$36:$A$38,0),6),""))</f>
        <v/>
      </c>
      <c r="M4799" s="66" t="str">
        <f aca="false">IF($L4799="","",IFERROR(INDEX(记账规则!$A$36:$H$38,MATCH(生产加工!$E202,记账规则!$A$36:$A$38,0),7),""))</f>
        <v/>
      </c>
      <c r="N4799" s="66" t="str">
        <f aca="false">IF($L4799="","",IFERROR(INDEX(记账规则!$A$36:$H$38,MATCH(生产加工!$E202,记账规则!$A$36:$A$38,0),8),""))</f>
        <v/>
      </c>
      <c r="O4799" s="67" t="n">
        <f aca="false">IF($H4799="",0,ROUND(IF($N4799="记账金额",N(生产加工!$U202),0),2))</f>
        <v>0</v>
      </c>
      <c r="P4799" s="64" t="str">
        <f aca="false">IF(AND($H4799&lt;&gt;"",ROUND($O4799,2)&lt;&gt;0),"有","")</f>
        <v/>
      </c>
    </row>
    <row r="4800" customFormat="false" ht="15" hidden="true" customHeight="false" outlineLevel="0" collapsed="false">
      <c r="A4800" s="53" t="str">
        <f aca="false">IF($H4800="","",ROW()-5)</f>
        <v/>
      </c>
      <c r="B4800" s="64" t="s">
        <v>38</v>
      </c>
      <c r="C4800" s="53" t="n">
        <v>203</v>
      </c>
      <c r="D4800" s="53" t="n">
        <v>1</v>
      </c>
      <c r="E4800" s="65" t="str">
        <f aca="false">IF($H4800="","",生产加工!$B203)</f>
        <v/>
      </c>
      <c r="F4800" s="55" t="str">
        <f aca="false">IF($H4800="","",生产加工!$C203)</f>
        <v/>
      </c>
      <c r="G4800" s="48" t="str">
        <f aca="false">IF($H4800="","",生产加工!$N203)</f>
        <v/>
      </c>
      <c r="H4800" s="10" t="str">
        <f aca="false">IF($L4800="","",IF($L4800="@对方",生产加工!$K203,IF($L4800="@存货",生产加工!$Q203,$L4800)))</f>
        <v/>
      </c>
      <c r="I4800" s="42" t="n">
        <f aca="false">IF($M4800="借",$O4800,0)</f>
        <v>0</v>
      </c>
      <c r="J4800" s="42" t="n">
        <f aca="false">IF($M4800="贷",$O4800,0)</f>
        <v>0</v>
      </c>
      <c r="K4800" s="48"/>
      <c r="L4800" s="66" t="str">
        <f aca="false">IF(生产加工!$E203="","",IFERROR(INDEX(记账规则!$A$36:$H$38,MATCH(生产加工!$E203,记账规则!$A$36:$A$38,0),3),""))</f>
        <v/>
      </c>
      <c r="M4800" s="66" t="str">
        <f aca="false">IF($L4800="","",IFERROR(INDEX(记账规则!$A$36:$H$38,MATCH(生产加工!$E203,记账规则!$A$36:$A$38,0),4),""))</f>
        <v/>
      </c>
      <c r="N4800" s="66" t="str">
        <f aca="false">IF($L4800="","",IFERROR(INDEX(记账规则!$A$36:$H$38,MATCH(生产加工!$E203,记账规则!$A$36:$A$38,0),5),""))</f>
        <v/>
      </c>
      <c r="O4800" s="67" t="n">
        <f aca="false">IF($H4800="",0,ROUND(IF($N4800="记账金额",N(生产加工!$U203),0),2))</f>
        <v>0</v>
      </c>
      <c r="P4800" s="64" t="str">
        <f aca="false">IF(AND($H4800&lt;&gt;"",ROUND($O4800,2)&lt;&gt;0),"有","")</f>
        <v/>
      </c>
    </row>
    <row r="4801" customFormat="false" ht="15" hidden="true" customHeight="false" outlineLevel="0" collapsed="false">
      <c r="A4801" s="53" t="str">
        <f aca="false">IF($H4801="","",ROW()-5)</f>
        <v/>
      </c>
      <c r="B4801" s="64" t="s">
        <v>38</v>
      </c>
      <c r="C4801" s="53" t="n">
        <v>203</v>
      </c>
      <c r="D4801" s="53" t="n">
        <v>2</v>
      </c>
      <c r="E4801" s="65" t="str">
        <f aca="false">IF($H4801="","",生产加工!$B203)</f>
        <v/>
      </c>
      <c r="F4801" s="55" t="str">
        <f aca="false">IF($H4801="","",生产加工!$C203)</f>
        <v/>
      </c>
      <c r="G4801" s="48" t="str">
        <f aca="false">IF($H4801="","",生产加工!$N203)</f>
        <v/>
      </c>
      <c r="H4801" s="10" t="str">
        <f aca="false">IF($L4801="","",IF($L4801="@对方",生产加工!$K203,IF($L4801="@存货",生产加工!$Q203,$L4801)))</f>
        <v/>
      </c>
      <c r="I4801" s="42" t="n">
        <f aca="false">IF($M4801="借",$O4801,0)</f>
        <v>0</v>
      </c>
      <c r="J4801" s="42" t="n">
        <f aca="false">IF($M4801="贷",$O4801,0)</f>
        <v>0</v>
      </c>
      <c r="K4801" s="48"/>
      <c r="L4801" s="66" t="str">
        <f aca="false">IF(生产加工!$E203="","",IFERROR(INDEX(记账规则!$A$36:$H$38,MATCH(生产加工!$E203,记账规则!$A$36:$A$38,0),6),""))</f>
        <v/>
      </c>
      <c r="M4801" s="66" t="str">
        <f aca="false">IF($L4801="","",IFERROR(INDEX(记账规则!$A$36:$H$38,MATCH(生产加工!$E203,记账规则!$A$36:$A$38,0),7),""))</f>
        <v/>
      </c>
      <c r="N4801" s="66" t="str">
        <f aca="false">IF($L4801="","",IFERROR(INDEX(记账规则!$A$36:$H$38,MATCH(生产加工!$E203,记账规则!$A$36:$A$38,0),8),""))</f>
        <v/>
      </c>
      <c r="O4801" s="67" t="n">
        <f aca="false">IF($H4801="",0,ROUND(IF($N4801="记账金额",N(生产加工!$U203),0),2))</f>
        <v>0</v>
      </c>
      <c r="P4801" s="64" t="str">
        <f aca="false">IF(AND($H4801&lt;&gt;"",ROUND($O4801,2)&lt;&gt;0),"有","")</f>
        <v/>
      </c>
    </row>
    <row r="4802" customFormat="false" ht="15" hidden="true" customHeight="false" outlineLevel="0" collapsed="false">
      <c r="A4802" s="53" t="str">
        <f aca="false">IF($H4802="","",ROW()-5)</f>
        <v/>
      </c>
      <c r="B4802" s="64" t="s">
        <v>38</v>
      </c>
      <c r="C4802" s="53" t="n">
        <v>204</v>
      </c>
      <c r="D4802" s="53" t="n">
        <v>1</v>
      </c>
      <c r="E4802" s="65" t="str">
        <f aca="false">IF($H4802="","",生产加工!$B204)</f>
        <v/>
      </c>
      <c r="F4802" s="55" t="str">
        <f aca="false">IF($H4802="","",生产加工!$C204)</f>
        <v/>
      </c>
      <c r="G4802" s="48" t="str">
        <f aca="false">IF($H4802="","",生产加工!$N204)</f>
        <v/>
      </c>
      <c r="H4802" s="10" t="str">
        <f aca="false">IF($L4802="","",IF($L4802="@对方",生产加工!$K204,IF($L4802="@存货",生产加工!$Q204,$L4802)))</f>
        <v/>
      </c>
      <c r="I4802" s="42" t="n">
        <f aca="false">IF($M4802="借",$O4802,0)</f>
        <v>0</v>
      </c>
      <c r="J4802" s="42" t="n">
        <f aca="false">IF($M4802="贷",$O4802,0)</f>
        <v>0</v>
      </c>
      <c r="K4802" s="48"/>
      <c r="L4802" s="66" t="str">
        <f aca="false">IF(生产加工!$E204="","",IFERROR(INDEX(记账规则!$A$36:$H$38,MATCH(生产加工!$E204,记账规则!$A$36:$A$38,0),3),""))</f>
        <v/>
      </c>
      <c r="M4802" s="66" t="str">
        <f aca="false">IF($L4802="","",IFERROR(INDEX(记账规则!$A$36:$H$38,MATCH(生产加工!$E204,记账规则!$A$36:$A$38,0),4),""))</f>
        <v/>
      </c>
      <c r="N4802" s="66" t="str">
        <f aca="false">IF($L4802="","",IFERROR(INDEX(记账规则!$A$36:$H$38,MATCH(生产加工!$E204,记账规则!$A$36:$A$38,0),5),""))</f>
        <v/>
      </c>
      <c r="O4802" s="67" t="n">
        <f aca="false">IF($H4802="",0,ROUND(IF($N4802="记账金额",N(生产加工!$U204),0),2))</f>
        <v>0</v>
      </c>
      <c r="P4802" s="64" t="str">
        <f aca="false">IF(AND($H4802&lt;&gt;"",ROUND($O4802,2)&lt;&gt;0),"有","")</f>
        <v/>
      </c>
    </row>
    <row r="4803" customFormat="false" ht="15" hidden="true" customHeight="false" outlineLevel="0" collapsed="false">
      <c r="A4803" s="53" t="str">
        <f aca="false">IF($H4803="","",ROW()-5)</f>
        <v/>
      </c>
      <c r="B4803" s="64" t="s">
        <v>38</v>
      </c>
      <c r="C4803" s="53" t="n">
        <v>204</v>
      </c>
      <c r="D4803" s="53" t="n">
        <v>2</v>
      </c>
      <c r="E4803" s="65" t="str">
        <f aca="false">IF($H4803="","",生产加工!$B204)</f>
        <v/>
      </c>
      <c r="F4803" s="55" t="str">
        <f aca="false">IF($H4803="","",生产加工!$C204)</f>
        <v/>
      </c>
      <c r="G4803" s="48" t="str">
        <f aca="false">IF($H4803="","",生产加工!$N204)</f>
        <v/>
      </c>
      <c r="H4803" s="10" t="str">
        <f aca="false">IF($L4803="","",IF($L4803="@对方",生产加工!$K204,IF($L4803="@存货",生产加工!$Q204,$L4803)))</f>
        <v/>
      </c>
      <c r="I4803" s="42" t="n">
        <f aca="false">IF($M4803="借",$O4803,0)</f>
        <v>0</v>
      </c>
      <c r="J4803" s="42" t="n">
        <f aca="false">IF($M4803="贷",$O4803,0)</f>
        <v>0</v>
      </c>
      <c r="K4803" s="48"/>
      <c r="L4803" s="66" t="str">
        <f aca="false">IF(生产加工!$E204="","",IFERROR(INDEX(记账规则!$A$36:$H$38,MATCH(生产加工!$E204,记账规则!$A$36:$A$38,0),6),""))</f>
        <v/>
      </c>
      <c r="M4803" s="66" t="str">
        <f aca="false">IF($L4803="","",IFERROR(INDEX(记账规则!$A$36:$H$38,MATCH(生产加工!$E204,记账规则!$A$36:$A$38,0),7),""))</f>
        <v/>
      </c>
      <c r="N4803" s="66" t="str">
        <f aca="false">IF($L4803="","",IFERROR(INDEX(记账规则!$A$36:$H$38,MATCH(生产加工!$E204,记账规则!$A$36:$A$38,0),8),""))</f>
        <v/>
      </c>
      <c r="O4803" s="67" t="n">
        <f aca="false">IF($H4803="",0,ROUND(IF($N4803="记账金额",N(生产加工!$U204),0),2))</f>
        <v>0</v>
      </c>
      <c r="P4803" s="64" t="str">
        <f aca="false">IF(AND($H4803&lt;&gt;"",ROUND($O4803,2)&lt;&gt;0),"有","")</f>
        <v/>
      </c>
    </row>
    <row r="4804" customFormat="false" ht="15" hidden="true" customHeight="false" outlineLevel="0" collapsed="false">
      <c r="A4804" s="53" t="str">
        <f aca="false">IF($H4804="","",ROW()-5)</f>
        <v/>
      </c>
      <c r="B4804" s="64" t="s">
        <v>38</v>
      </c>
      <c r="C4804" s="53" t="n">
        <v>205</v>
      </c>
      <c r="D4804" s="53" t="n">
        <v>1</v>
      </c>
      <c r="E4804" s="65" t="str">
        <f aca="false">IF($H4804="","",生产加工!$B205)</f>
        <v/>
      </c>
      <c r="F4804" s="55" t="str">
        <f aca="false">IF($H4804="","",生产加工!$C205)</f>
        <v/>
      </c>
      <c r="G4804" s="48" t="str">
        <f aca="false">IF($H4804="","",生产加工!$N205)</f>
        <v/>
      </c>
      <c r="H4804" s="10" t="str">
        <f aca="false">IF($L4804="","",IF($L4804="@对方",生产加工!$K205,IF($L4804="@存货",生产加工!$Q205,$L4804)))</f>
        <v/>
      </c>
      <c r="I4804" s="42" t="n">
        <f aca="false">IF($M4804="借",$O4804,0)</f>
        <v>0</v>
      </c>
      <c r="J4804" s="42" t="n">
        <f aca="false">IF($M4804="贷",$O4804,0)</f>
        <v>0</v>
      </c>
      <c r="K4804" s="48"/>
      <c r="L4804" s="66" t="str">
        <f aca="false">IF(生产加工!$E205="","",IFERROR(INDEX(记账规则!$A$36:$H$38,MATCH(生产加工!$E205,记账规则!$A$36:$A$38,0),3),""))</f>
        <v/>
      </c>
      <c r="M4804" s="66" t="str">
        <f aca="false">IF($L4804="","",IFERROR(INDEX(记账规则!$A$36:$H$38,MATCH(生产加工!$E205,记账规则!$A$36:$A$38,0),4),""))</f>
        <v/>
      </c>
      <c r="N4804" s="66" t="str">
        <f aca="false">IF($L4804="","",IFERROR(INDEX(记账规则!$A$36:$H$38,MATCH(生产加工!$E205,记账规则!$A$36:$A$38,0),5),""))</f>
        <v/>
      </c>
      <c r="O4804" s="67" t="n">
        <f aca="false">IF($H4804="",0,ROUND(IF($N4804="记账金额",N(生产加工!$U205),0),2))</f>
        <v>0</v>
      </c>
      <c r="P4804" s="64" t="str">
        <f aca="false">IF(AND($H4804&lt;&gt;"",ROUND($O4804,2)&lt;&gt;0),"有","")</f>
        <v/>
      </c>
    </row>
    <row r="4805" customFormat="false" ht="15" hidden="true" customHeight="false" outlineLevel="0" collapsed="false">
      <c r="A4805" s="53" t="str">
        <f aca="false">IF($H4805="","",ROW()-5)</f>
        <v/>
      </c>
      <c r="B4805" s="64" t="s">
        <v>38</v>
      </c>
      <c r="C4805" s="53" t="n">
        <v>205</v>
      </c>
      <c r="D4805" s="53" t="n">
        <v>2</v>
      </c>
      <c r="E4805" s="65" t="str">
        <f aca="false">IF($H4805="","",生产加工!$B205)</f>
        <v/>
      </c>
      <c r="F4805" s="55" t="str">
        <f aca="false">IF($H4805="","",生产加工!$C205)</f>
        <v/>
      </c>
      <c r="G4805" s="48" t="str">
        <f aca="false">IF($H4805="","",生产加工!$N205)</f>
        <v/>
      </c>
      <c r="H4805" s="10" t="str">
        <f aca="false">IF($L4805="","",IF($L4805="@对方",生产加工!$K205,IF($L4805="@存货",生产加工!$Q205,$L4805)))</f>
        <v/>
      </c>
      <c r="I4805" s="42" t="n">
        <f aca="false">IF($M4805="借",$O4805,0)</f>
        <v>0</v>
      </c>
      <c r="J4805" s="42" t="n">
        <f aca="false">IF($M4805="贷",$O4805,0)</f>
        <v>0</v>
      </c>
      <c r="K4805" s="48"/>
      <c r="L4805" s="66" t="str">
        <f aca="false">IF(生产加工!$E205="","",IFERROR(INDEX(记账规则!$A$36:$H$38,MATCH(生产加工!$E205,记账规则!$A$36:$A$38,0),6),""))</f>
        <v/>
      </c>
      <c r="M4805" s="66" t="str">
        <f aca="false">IF($L4805="","",IFERROR(INDEX(记账规则!$A$36:$H$38,MATCH(生产加工!$E205,记账规则!$A$36:$A$38,0),7),""))</f>
        <v/>
      </c>
      <c r="N4805" s="66" t="str">
        <f aca="false">IF($L4805="","",IFERROR(INDEX(记账规则!$A$36:$H$38,MATCH(生产加工!$E205,记账规则!$A$36:$A$38,0),8),""))</f>
        <v/>
      </c>
      <c r="O4805" s="67" t="n">
        <f aca="false">IF($H4805="",0,ROUND(IF($N4805="记账金额",N(生产加工!$U205),0),2))</f>
        <v>0</v>
      </c>
      <c r="P4805" s="64" t="str">
        <f aca="false">IF(AND($H4805&lt;&gt;"",ROUND($O4805,2)&lt;&gt;0),"有","")</f>
        <v/>
      </c>
    </row>
    <row r="4806" customFormat="false" ht="15" hidden="true" customHeight="false" outlineLevel="0" collapsed="false">
      <c r="A4806" s="53" t="str">
        <f aca="false">IF($H4806="","",ROW()-5)</f>
        <v/>
      </c>
      <c r="B4806" s="64" t="s">
        <v>38</v>
      </c>
      <c r="C4806" s="53" t="n">
        <v>206</v>
      </c>
      <c r="D4806" s="53" t="n">
        <v>1</v>
      </c>
      <c r="E4806" s="65" t="str">
        <f aca="false">IF($H4806="","",生产加工!$B206)</f>
        <v/>
      </c>
      <c r="F4806" s="55" t="str">
        <f aca="false">IF($H4806="","",生产加工!$C206)</f>
        <v/>
      </c>
      <c r="G4806" s="48" t="str">
        <f aca="false">IF($H4806="","",生产加工!$N206)</f>
        <v/>
      </c>
      <c r="H4806" s="10" t="str">
        <f aca="false">IF($L4806="","",IF($L4806="@对方",生产加工!$K206,IF($L4806="@存货",生产加工!$Q206,$L4806)))</f>
        <v/>
      </c>
      <c r="I4806" s="42" t="n">
        <f aca="false">IF($M4806="借",$O4806,0)</f>
        <v>0</v>
      </c>
      <c r="J4806" s="42" t="n">
        <f aca="false">IF($M4806="贷",$O4806,0)</f>
        <v>0</v>
      </c>
      <c r="K4806" s="48"/>
      <c r="L4806" s="66" t="str">
        <f aca="false">IF(生产加工!$E206="","",IFERROR(INDEX(记账规则!$A$36:$H$38,MATCH(生产加工!$E206,记账规则!$A$36:$A$38,0),3),""))</f>
        <v/>
      </c>
      <c r="M4806" s="66" t="str">
        <f aca="false">IF($L4806="","",IFERROR(INDEX(记账规则!$A$36:$H$38,MATCH(生产加工!$E206,记账规则!$A$36:$A$38,0),4),""))</f>
        <v/>
      </c>
      <c r="N4806" s="66" t="str">
        <f aca="false">IF($L4806="","",IFERROR(INDEX(记账规则!$A$36:$H$38,MATCH(生产加工!$E206,记账规则!$A$36:$A$38,0),5),""))</f>
        <v/>
      </c>
      <c r="O4806" s="67" t="n">
        <f aca="false">IF($H4806="",0,ROUND(IF($N4806="记账金额",N(生产加工!$U206),0),2))</f>
        <v>0</v>
      </c>
      <c r="P4806" s="64" t="str">
        <f aca="false">IF(AND($H4806&lt;&gt;"",ROUND($O4806,2)&lt;&gt;0),"有","")</f>
        <v/>
      </c>
    </row>
    <row r="4807" customFormat="false" ht="15" hidden="true" customHeight="false" outlineLevel="0" collapsed="false">
      <c r="A4807" s="53" t="str">
        <f aca="false">IF($H4807="","",ROW()-5)</f>
        <v/>
      </c>
      <c r="B4807" s="64" t="s">
        <v>38</v>
      </c>
      <c r="C4807" s="53" t="n">
        <v>206</v>
      </c>
      <c r="D4807" s="53" t="n">
        <v>2</v>
      </c>
      <c r="E4807" s="65" t="str">
        <f aca="false">IF($H4807="","",生产加工!$B206)</f>
        <v/>
      </c>
      <c r="F4807" s="55" t="str">
        <f aca="false">IF($H4807="","",生产加工!$C206)</f>
        <v/>
      </c>
      <c r="G4807" s="48" t="str">
        <f aca="false">IF($H4807="","",生产加工!$N206)</f>
        <v/>
      </c>
      <c r="H4807" s="10" t="str">
        <f aca="false">IF($L4807="","",IF($L4807="@对方",生产加工!$K206,IF($L4807="@存货",生产加工!$Q206,$L4807)))</f>
        <v/>
      </c>
      <c r="I4807" s="42" t="n">
        <f aca="false">IF($M4807="借",$O4807,0)</f>
        <v>0</v>
      </c>
      <c r="J4807" s="42" t="n">
        <f aca="false">IF($M4807="贷",$O4807,0)</f>
        <v>0</v>
      </c>
      <c r="K4807" s="48"/>
      <c r="L4807" s="66" t="str">
        <f aca="false">IF(生产加工!$E206="","",IFERROR(INDEX(记账规则!$A$36:$H$38,MATCH(生产加工!$E206,记账规则!$A$36:$A$38,0),6),""))</f>
        <v/>
      </c>
      <c r="M4807" s="66" t="str">
        <f aca="false">IF($L4807="","",IFERROR(INDEX(记账规则!$A$36:$H$38,MATCH(生产加工!$E206,记账规则!$A$36:$A$38,0),7),""))</f>
        <v/>
      </c>
      <c r="N4807" s="66" t="str">
        <f aca="false">IF($L4807="","",IFERROR(INDEX(记账规则!$A$36:$H$38,MATCH(生产加工!$E206,记账规则!$A$36:$A$38,0),8),""))</f>
        <v/>
      </c>
      <c r="O4807" s="67" t="n">
        <f aca="false">IF($H4807="",0,ROUND(IF($N4807="记账金额",N(生产加工!$U206),0),2))</f>
        <v>0</v>
      </c>
      <c r="P4807" s="64" t="str">
        <f aca="false">IF(AND($H4807&lt;&gt;"",ROUND($O4807,2)&lt;&gt;0),"有","")</f>
        <v/>
      </c>
    </row>
    <row r="4808" customFormat="false" ht="15" hidden="true" customHeight="false" outlineLevel="0" collapsed="false">
      <c r="A4808" s="53" t="str">
        <f aca="false">IF($H4808="","",ROW()-5)</f>
        <v/>
      </c>
      <c r="B4808" s="64" t="s">
        <v>38</v>
      </c>
      <c r="C4808" s="53" t="n">
        <v>207</v>
      </c>
      <c r="D4808" s="53" t="n">
        <v>1</v>
      </c>
      <c r="E4808" s="65" t="str">
        <f aca="false">IF($H4808="","",生产加工!$B207)</f>
        <v/>
      </c>
      <c r="F4808" s="55" t="str">
        <f aca="false">IF($H4808="","",生产加工!$C207)</f>
        <v/>
      </c>
      <c r="G4808" s="48" t="str">
        <f aca="false">IF($H4808="","",生产加工!$N207)</f>
        <v/>
      </c>
      <c r="H4808" s="10" t="str">
        <f aca="false">IF($L4808="","",IF($L4808="@对方",生产加工!$K207,IF($L4808="@存货",生产加工!$Q207,$L4808)))</f>
        <v/>
      </c>
      <c r="I4808" s="42" t="n">
        <f aca="false">IF($M4808="借",$O4808,0)</f>
        <v>0</v>
      </c>
      <c r="J4808" s="42" t="n">
        <f aca="false">IF($M4808="贷",$O4808,0)</f>
        <v>0</v>
      </c>
      <c r="K4808" s="48"/>
      <c r="L4808" s="66" t="str">
        <f aca="false">IF(生产加工!$E207="","",IFERROR(INDEX(记账规则!$A$36:$H$38,MATCH(生产加工!$E207,记账规则!$A$36:$A$38,0),3),""))</f>
        <v/>
      </c>
      <c r="M4808" s="66" t="str">
        <f aca="false">IF($L4808="","",IFERROR(INDEX(记账规则!$A$36:$H$38,MATCH(生产加工!$E207,记账规则!$A$36:$A$38,0),4),""))</f>
        <v/>
      </c>
      <c r="N4808" s="66" t="str">
        <f aca="false">IF($L4808="","",IFERROR(INDEX(记账规则!$A$36:$H$38,MATCH(生产加工!$E207,记账规则!$A$36:$A$38,0),5),""))</f>
        <v/>
      </c>
      <c r="O4808" s="67" t="n">
        <f aca="false">IF($H4808="",0,ROUND(IF($N4808="记账金额",N(生产加工!$U207),0),2))</f>
        <v>0</v>
      </c>
      <c r="P4808" s="64" t="str">
        <f aca="false">IF(AND($H4808&lt;&gt;"",ROUND($O4808,2)&lt;&gt;0),"有","")</f>
        <v/>
      </c>
    </row>
    <row r="4809" customFormat="false" ht="15" hidden="true" customHeight="false" outlineLevel="0" collapsed="false">
      <c r="A4809" s="53" t="str">
        <f aca="false">IF($H4809="","",ROW()-5)</f>
        <v/>
      </c>
      <c r="B4809" s="64" t="s">
        <v>38</v>
      </c>
      <c r="C4809" s="53" t="n">
        <v>207</v>
      </c>
      <c r="D4809" s="53" t="n">
        <v>2</v>
      </c>
      <c r="E4809" s="65" t="str">
        <f aca="false">IF($H4809="","",生产加工!$B207)</f>
        <v/>
      </c>
      <c r="F4809" s="55" t="str">
        <f aca="false">IF($H4809="","",生产加工!$C207)</f>
        <v/>
      </c>
      <c r="G4809" s="48" t="str">
        <f aca="false">IF($H4809="","",生产加工!$N207)</f>
        <v/>
      </c>
      <c r="H4809" s="10" t="str">
        <f aca="false">IF($L4809="","",IF($L4809="@对方",生产加工!$K207,IF($L4809="@存货",生产加工!$Q207,$L4809)))</f>
        <v/>
      </c>
      <c r="I4809" s="42" t="n">
        <f aca="false">IF($M4809="借",$O4809,0)</f>
        <v>0</v>
      </c>
      <c r="J4809" s="42" t="n">
        <f aca="false">IF($M4809="贷",$O4809,0)</f>
        <v>0</v>
      </c>
      <c r="K4809" s="48"/>
      <c r="L4809" s="66" t="str">
        <f aca="false">IF(生产加工!$E207="","",IFERROR(INDEX(记账规则!$A$36:$H$38,MATCH(生产加工!$E207,记账规则!$A$36:$A$38,0),6),""))</f>
        <v/>
      </c>
      <c r="M4809" s="66" t="str">
        <f aca="false">IF($L4809="","",IFERROR(INDEX(记账规则!$A$36:$H$38,MATCH(生产加工!$E207,记账规则!$A$36:$A$38,0),7),""))</f>
        <v/>
      </c>
      <c r="N4809" s="66" t="str">
        <f aca="false">IF($L4809="","",IFERROR(INDEX(记账规则!$A$36:$H$38,MATCH(生产加工!$E207,记账规则!$A$36:$A$38,0),8),""))</f>
        <v/>
      </c>
      <c r="O4809" s="67" t="n">
        <f aca="false">IF($H4809="",0,ROUND(IF($N4809="记账金额",N(生产加工!$U207),0),2))</f>
        <v>0</v>
      </c>
      <c r="P4809" s="64" t="str">
        <f aca="false">IF(AND($H4809&lt;&gt;"",ROUND($O4809,2)&lt;&gt;0),"有","")</f>
        <v/>
      </c>
    </row>
    <row r="4810" customFormat="false" ht="15" hidden="true" customHeight="false" outlineLevel="0" collapsed="false">
      <c r="A4810" s="53" t="str">
        <f aca="false">IF($H4810="","",ROW()-5)</f>
        <v/>
      </c>
      <c r="B4810" s="64" t="s">
        <v>38</v>
      </c>
      <c r="C4810" s="53" t="n">
        <v>208</v>
      </c>
      <c r="D4810" s="53" t="n">
        <v>1</v>
      </c>
      <c r="E4810" s="65" t="str">
        <f aca="false">IF($H4810="","",生产加工!$B208)</f>
        <v/>
      </c>
      <c r="F4810" s="55" t="str">
        <f aca="false">IF($H4810="","",生产加工!$C208)</f>
        <v/>
      </c>
      <c r="G4810" s="48" t="str">
        <f aca="false">IF($H4810="","",生产加工!$N208)</f>
        <v/>
      </c>
      <c r="H4810" s="10" t="str">
        <f aca="false">IF($L4810="","",IF($L4810="@对方",生产加工!$K208,IF($L4810="@存货",生产加工!$Q208,$L4810)))</f>
        <v/>
      </c>
      <c r="I4810" s="42" t="n">
        <f aca="false">IF($M4810="借",$O4810,0)</f>
        <v>0</v>
      </c>
      <c r="J4810" s="42" t="n">
        <f aca="false">IF($M4810="贷",$O4810,0)</f>
        <v>0</v>
      </c>
      <c r="K4810" s="48"/>
      <c r="L4810" s="66" t="str">
        <f aca="false">IF(生产加工!$E208="","",IFERROR(INDEX(记账规则!$A$36:$H$38,MATCH(生产加工!$E208,记账规则!$A$36:$A$38,0),3),""))</f>
        <v/>
      </c>
      <c r="M4810" s="66" t="str">
        <f aca="false">IF($L4810="","",IFERROR(INDEX(记账规则!$A$36:$H$38,MATCH(生产加工!$E208,记账规则!$A$36:$A$38,0),4),""))</f>
        <v/>
      </c>
      <c r="N4810" s="66" t="str">
        <f aca="false">IF($L4810="","",IFERROR(INDEX(记账规则!$A$36:$H$38,MATCH(生产加工!$E208,记账规则!$A$36:$A$38,0),5),""))</f>
        <v/>
      </c>
      <c r="O4810" s="67" t="n">
        <f aca="false">IF($H4810="",0,ROUND(IF($N4810="记账金额",N(生产加工!$U208),0),2))</f>
        <v>0</v>
      </c>
      <c r="P4810" s="64" t="str">
        <f aca="false">IF(AND($H4810&lt;&gt;"",ROUND($O4810,2)&lt;&gt;0),"有","")</f>
        <v/>
      </c>
    </row>
    <row r="4811" customFormat="false" ht="15" hidden="true" customHeight="false" outlineLevel="0" collapsed="false">
      <c r="A4811" s="53" t="str">
        <f aca="false">IF($H4811="","",ROW()-5)</f>
        <v/>
      </c>
      <c r="B4811" s="64" t="s">
        <v>38</v>
      </c>
      <c r="C4811" s="53" t="n">
        <v>208</v>
      </c>
      <c r="D4811" s="53" t="n">
        <v>2</v>
      </c>
      <c r="E4811" s="65" t="str">
        <f aca="false">IF($H4811="","",生产加工!$B208)</f>
        <v/>
      </c>
      <c r="F4811" s="55" t="str">
        <f aca="false">IF($H4811="","",生产加工!$C208)</f>
        <v/>
      </c>
      <c r="G4811" s="48" t="str">
        <f aca="false">IF($H4811="","",生产加工!$N208)</f>
        <v/>
      </c>
      <c r="H4811" s="10" t="str">
        <f aca="false">IF($L4811="","",IF($L4811="@对方",生产加工!$K208,IF($L4811="@存货",生产加工!$Q208,$L4811)))</f>
        <v/>
      </c>
      <c r="I4811" s="42" t="n">
        <f aca="false">IF($M4811="借",$O4811,0)</f>
        <v>0</v>
      </c>
      <c r="J4811" s="42" t="n">
        <f aca="false">IF($M4811="贷",$O4811,0)</f>
        <v>0</v>
      </c>
      <c r="K4811" s="48"/>
      <c r="L4811" s="66" t="str">
        <f aca="false">IF(生产加工!$E208="","",IFERROR(INDEX(记账规则!$A$36:$H$38,MATCH(生产加工!$E208,记账规则!$A$36:$A$38,0),6),""))</f>
        <v/>
      </c>
      <c r="M4811" s="66" t="str">
        <f aca="false">IF($L4811="","",IFERROR(INDEX(记账规则!$A$36:$H$38,MATCH(生产加工!$E208,记账规则!$A$36:$A$38,0),7),""))</f>
        <v/>
      </c>
      <c r="N4811" s="66" t="str">
        <f aca="false">IF($L4811="","",IFERROR(INDEX(记账规则!$A$36:$H$38,MATCH(生产加工!$E208,记账规则!$A$36:$A$38,0),8),""))</f>
        <v/>
      </c>
      <c r="O4811" s="67" t="n">
        <f aca="false">IF($H4811="",0,ROUND(IF($N4811="记账金额",N(生产加工!$U208),0),2))</f>
        <v>0</v>
      </c>
      <c r="P4811" s="64" t="str">
        <f aca="false">IF(AND($H4811&lt;&gt;"",ROUND($O4811,2)&lt;&gt;0),"有","")</f>
        <v/>
      </c>
    </row>
    <row r="4812" customFormat="false" ht="15" hidden="true" customHeight="false" outlineLevel="0" collapsed="false">
      <c r="A4812" s="53" t="str">
        <f aca="false">IF($H4812="","",ROW()-5)</f>
        <v/>
      </c>
      <c r="B4812" s="64" t="s">
        <v>38</v>
      </c>
      <c r="C4812" s="53" t="n">
        <v>209</v>
      </c>
      <c r="D4812" s="53" t="n">
        <v>1</v>
      </c>
      <c r="E4812" s="65" t="str">
        <f aca="false">IF($H4812="","",生产加工!$B209)</f>
        <v/>
      </c>
      <c r="F4812" s="55" t="str">
        <f aca="false">IF($H4812="","",生产加工!$C209)</f>
        <v/>
      </c>
      <c r="G4812" s="48" t="str">
        <f aca="false">IF($H4812="","",生产加工!$N209)</f>
        <v/>
      </c>
      <c r="H4812" s="10" t="str">
        <f aca="false">IF($L4812="","",IF($L4812="@对方",生产加工!$K209,IF($L4812="@存货",生产加工!$Q209,$L4812)))</f>
        <v/>
      </c>
      <c r="I4812" s="42" t="n">
        <f aca="false">IF($M4812="借",$O4812,0)</f>
        <v>0</v>
      </c>
      <c r="J4812" s="42" t="n">
        <f aca="false">IF($M4812="贷",$O4812,0)</f>
        <v>0</v>
      </c>
      <c r="K4812" s="48"/>
      <c r="L4812" s="66" t="str">
        <f aca="false">IF(生产加工!$E209="","",IFERROR(INDEX(记账规则!$A$36:$H$38,MATCH(生产加工!$E209,记账规则!$A$36:$A$38,0),3),""))</f>
        <v/>
      </c>
      <c r="M4812" s="66" t="str">
        <f aca="false">IF($L4812="","",IFERROR(INDEX(记账规则!$A$36:$H$38,MATCH(生产加工!$E209,记账规则!$A$36:$A$38,0),4),""))</f>
        <v/>
      </c>
      <c r="N4812" s="66" t="str">
        <f aca="false">IF($L4812="","",IFERROR(INDEX(记账规则!$A$36:$H$38,MATCH(生产加工!$E209,记账规则!$A$36:$A$38,0),5),""))</f>
        <v/>
      </c>
      <c r="O4812" s="67" t="n">
        <f aca="false">IF($H4812="",0,ROUND(IF($N4812="记账金额",N(生产加工!$U209),0),2))</f>
        <v>0</v>
      </c>
      <c r="P4812" s="64" t="str">
        <f aca="false">IF(AND($H4812&lt;&gt;"",ROUND($O4812,2)&lt;&gt;0),"有","")</f>
        <v/>
      </c>
    </row>
    <row r="4813" customFormat="false" ht="15" hidden="true" customHeight="false" outlineLevel="0" collapsed="false">
      <c r="A4813" s="53" t="str">
        <f aca="false">IF($H4813="","",ROW()-5)</f>
        <v/>
      </c>
      <c r="B4813" s="64" t="s">
        <v>38</v>
      </c>
      <c r="C4813" s="53" t="n">
        <v>209</v>
      </c>
      <c r="D4813" s="53" t="n">
        <v>2</v>
      </c>
      <c r="E4813" s="65" t="str">
        <f aca="false">IF($H4813="","",生产加工!$B209)</f>
        <v/>
      </c>
      <c r="F4813" s="55" t="str">
        <f aca="false">IF($H4813="","",生产加工!$C209)</f>
        <v/>
      </c>
      <c r="G4813" s="48" t="str">
        <f aca="false">IF($H4813="","",生产加工!$N209)</f>
        <v/>
      </c>
      <c r="H4813" s="10" t="str">
        <f aca="false">IF($L4813="","",IF($L4813="@对方",生产加工!$K209,IF($L4813="@存货",生产加工!$Q209,$L4813)))</f>
        <v/>
      </c>
      <c r="I4813" s="42" t="n">
        <f aca="false">IF($M4813="借",$O4813,0)</f>
        <v>0</v>
      </c>
      <c r="J4813" s="42" t="n">
        <f aca="false">IF($M4813="贷",$O4813,0)</f>
        <v>0</v>
      </c>
      <c r="K4813" s="48"/>
      <c r="L4813" s="66" t="str">
        <f aca="false">IF(生产加工!$E209="","",IFERROR(INDEX(记账规则!$A$36:$H$38,MATCH(生产加工!$E209,记账规则!$A$36:$A$38,0),6),""))</f>
        <v/>
      </c>
      <c r="M4813" s="66" t="str">
        <f aca="false">IF($L4813="","",IFERROR(INDEX(记账规则!$A$36:$H$38,MATCH(生产加工!$E209,记账规则!$A$36:$A$38,0),7),""))</f>
        <v/>
      </c>
      <c r="N4813" s="66" t="str">
        <f aca="false">IF($L4813="","",IFERROR(INDEX(记账规则!$A$36:$H$38,MATCH(生产加工!$E209,记账规则!$A$36:$A$38,0),8),""))</f>
        <v/>
      </c>
      <c r="O4813" s="67" t="n">
        <f aca="false">IF($H4813="",0,ROUND(IF($N4813="记账金额",N(生产加工!$U209),0),2))</f>
        <v>0</v>
      </c>
      <c r="P4813" s="64" t="str">
        <f aca="false">IF(AND($H4813&lt;&gt;"",ROUND($O4813,2)&lt;&gt;0),"有","")</f>
        <v/>
      </c>
    </row>
    <row r="4814" customFormat="false" ht="15" hidden="true" customHeight="false" outlineLevel="0" collapsed="false">
      <c r="A4814" s="53" t="str">
        <f aca="false">IF($H4814="","",ROW()-5)</f>
        <v/>
      </c>
      <c r="B4814" s="64" t="s">
        <v>38</v>
      </c>
      <c r="C4814" s="53" t="n">
        <v>210</v>
      </c>
      <c r="D4814" s="53" t="n">
        <v>1</v>
      </c>
      <c r="E4814" s="65" t="str">
        <f aca="false">IF($H4814="","",生产加工!$B210)</f>
        <v/>
      </c>
      <c r="F4814" s="55" t="str">
        <f aca="false">IF($H4814="","",生产加工!$C210)</f>
        <v/>
      </c>
      <c r="G4814" s="48" t="str">
        <f aca="false">IF($H4814="","",生产加工!$N210)</f>
        <v/>
      </c>
      <c r="H4814" s="10" t="str">
        <f aca="false">IF($L4814="","",IF($L4814="@对方",生产加工!$K210,IF($L4814="@存货",生产加工!$Q210,$L4814)))</f>
        <v/>
      </c>
      <c r="I4814" s="42" t="n">
        <f aca="false">IF($M4814="借",$O4814,0)</f>
        <v>0</v>
      </c>
      <c r="J4814" s="42" t="n">
        <f aca="false">IF($M4814="贷",$O4814,0)</f>
        <v>0</v>
      </c>
      <c r="K4814" s="48"/>
      <c r="L4814" s="66" t="str">
        <f aca="false">IF(生产加工!$E210="","",IFERROR(INDEX(记账规则!$A$36:$H$38,MATCH(生产加工!$E210,记账规则!$A$36:$A$38,0),3),""))</f>
        <v/>
      </c>
      <c r="M4814" s="66" t="str">
        <f aca="false">IF($L4814="","",IFERROR(INDEX(记账规则!$A$36:$H$38,MATCH(生产加工!$E210,记账规则!$A$36:$A$38,0),4),""))</f>
        <v/>
      </c>
      <c r="N4814" s="66" t="str">
        <f aca="false">IF($L4814="","",IFERROR(INDEX(记账规则!$A$36:$H$38,MATCH(生产加工!$E210,记账规则!$A$36:$A$38,0),5),""))</f>
        <v/>
      </c>
      <c r="O4814" s="67" t="n">
        <f aca="false">IF($H4814="",0,ROUND(IF($N4814="记账金额",N(生产加工!$U210),0),2))</f>
        <v>0</v>
      </c>
      <c r="P4814" s="64" t="str">
        <f aca="false">IF(AND($H4814&lt;&gt;"",ROUND($O4814,2)&lt;&gt;0),"有","")</f>
        <v/>
      </c>
    </row>
    <row r="4815" customFormat="false" ht="15" hidden="true" customHeight="false" outlineLevel="0" collapsed="false">
      <c r="A4815" s="53" t="str">
        <f aca="false">IF($H4815="","",ROW()-5)</f>
        <v/>
      </c>
      <c r="B4815" s="64" t="s">
        <v>38</v>
      </c>
      <c r="C4815" s="53" t="n">
        <v>210</v>
      </c>
      <c r="D4815" s="53" t="n">
        <v>2</v>
      </c>
      <c r="E4815" s="65" t="str">
        <f aca="false">IF($H4815="","",生产加工!$B210)</f>
        <v/>
      </c>
      <c r="F4815" s="55" t="str">
        <f aca="false">IF($H4815="","",生产加工!$C210)</f>
        <v/>
      </c>
      <c r="G4815" s="48" t="str">
        <f aca="false">IF($H4815="","",生产加工!$N210)</f>
        <v/>
      </c>
      <c r="H4815" s="10" t="str">
        <f aca="false">IF($L4815="","",IF($L4815="@对方",生产加工!$K210,IF($L4815="@存货",生产加工!$Q210,$L4815)))</f>
        <v/>
      </c>
      <c r="I4815" s="42" t="n">
        <f aca="false">IF($M4815="借",$O4815,0)</f>
        <v>0</v>
      </c>
      <c r="J4815" s="42" t="n">
        <f aca="false">IF($M4815="贷",$O4815,0)</f>
        <v>0</v>
      </c>
      <c r="K4815" s="48"/>
      <c r="L4815" s="66" t="str">
        <f aca="false">IF(生产加工!$E210="","",IFERROR(INDEX(记账规则!$A$36:$H$38,MATCH(生产加工!$E210,记账规则!$A$36:$A$38,0),6),""))</f>
        <v/>
      </c>
      <c r="M4815" s="66" t="str">
        <f aca="false">IF($L4815="","",IFERROR(INDEX(记账规则!$A$36:$H$38,MATCH(生产加工!$E210,记账规则!$A$36:$A$38,0),7),""))</f>
        <v/>
      </c>
      <c r="N4815" s="66" t="str">
        <f aca="false">IF($L4815="","",IFERROR(INDEX(记账规则!$A$36:$H$38,MATCH(生产加工!$E210,记账规则!$A$36:$A$38,0),8),""))</f>
        <v/>
      </c>
      <c r="O4815" s="67" t="n">
        <f aca="false">IF($H4815="",0,ROUND(IF($N4815="记账金额",N(生产加工!$U210),0),2))</f>
        <v>0</v>
      </c>
      <c r="P4815" s="64" t="str">
        <f aca="false">IF(AND($H4815&lt;&gt;"",ROUND($O4815,2)&lt;&gt;0),"有","")</f>
        <v/>
      </c>
    </row>
    <row r="4816" customFormat="false" ht="15" hidden="true" customHeight="false" outlineLevel="0" collapsed="false">
      <c r="A4816" s="53" t="str">
        <f aca="false">IF($H4816="","",ROW()-5)</f>
        <v/>
      </c>
      <c r="B4816" s="64" t="s">
        <v>38</v>
      </c>
      <c r="C4816" s="53" t="n">
        <v>211</v>
      </c>
      <c r="D4816" s="53" t="n">
        <v>1</v>
      </c>
      <c r="E4816" s="65" t="str">
        <f aca="false">IF($H4816="","",生产加工!$B211)</f>
        <v/>
      </c>
      <c r="F4816" s="55" t="str">
        <f aca="false">IF($H4816="","",生产加工!$C211)</f>
        <v/>
      </c>
      <c r="G4816" s="48" t="str">
        <f aca="false">IF($H4816="","",生产加工!$N211)</f>
        <v/>
      </c>
      <c r="H4816" s="10" t="str">
        <f aca="false">IF($L4816="","",IF($L4816="@对方",生产加工!$K211,IF($L4816="@存货",生产加工!$Q211,$L4816)))</f>
        <v/>
      </c>
      <c r="I4816" s="42" t="n">
        <f aca="false">IF($M4816="借",$O4816,0)</f>
        <v>0</v>
      </c>
      <c r="J4816" s="42" t="n">
        <f aca="false">IF($M4816="贷",$O4816,0)</f>
        <v>0</v>
      </c>
      <c r="K4816" s="48"/>
      <c r="L4816" s="66" t="str">
        <f aca="false">IF(生产加工!$E211="","",IFERROR(INDEX(记账规则!$A$36:$H$38,MATCH(生产加工!$E211,记账规则!$A$36:$A$38,0),3),""))</f>
        <v/>
      </c>
      <c r="M4816" s="66" t="str">
        <f aca="false">IF($L4816="","",IFERROR(INDEX(记账规则!$A$36:$H$38,MATCH(生产加工!$E211,记账规则!$A$36:$A$38,0),4),""))</f>
        <v/>
      </c>
      <c r="N4816" s="66" t="str">
        <f aca="false">IF($L4816="","",IFERROR(INDEX(记账规则!$A$36:$H$38,MATCH(生产加工!$E211,记账规则!$A$36:$A$38,0),5),""))</f>
        <v/>
      </c>
      <c r="O4816" s="67" t="n">
        <f aca="false">IF($H4816="",0,ROUND(IF($N4816="记账金额",N(生产加工!$U211),0),2))</f>
        <v>0</v>
      </c>
      <c r="P4816" s="64" t="str">
        <f aca="false">IF(AND($H4816&lt;&gt;"",ROUND($O4816,2)&lt;&gt;0),"有","")</f>
        <v/>
      </c>
    </row>
    <row r="4817" customFormat="false" ht="15" hidden="true" customHeight="false" outlineLevel="0" collapsed="false">
      <c r="A4817" s="53" t="str">
        <f aca="false">IF($H4817="","",ROW()-5)</f>
        <v/>
      </c>
      <c r="B4817" s="64" t="s">
        <v>38</v>
      </c>
      <c r="C4817" s="53" t="n">
        <v>211</v>
      </c>
      <c r="D4817" s="53" t="n">
        <v>2</v>
      </c>
      <c r="E4817" s="65" t="str">
        <f aca="false">IF($H4817="","",生产加工!$B211)</f>
        <v/>
      </c>
      <c r="F4817" s="55" t="str">
        <f aca="false">IF($H4817="","",生产加工!$C211)</f>
        <v/>
      </c>
      <c r="G4817" s="48" t="str">
        <f aca="false">IF($H4817="","",生产加工!$N211)</f>
        <v/>
      </c>
      <c r="H4817" s="10" t="str">
        <f aca="false">IF($L4817="","",IF($L4817="@对方",生产加工!$K211,IF($L4817="@存货",生产加工!$Q211,$L4817)))</f>
        <v/>
      </c>
      <c r="I4817" s="42" t="n">
        <f aca="false">IF($M4817="借",$O4817,0)</f>
        <v>0</v>
      </c>
      <c r="J4817" s="42" t="n">
        <f aca="false">IF($M4817="贷",$O4817,0)</f>
        <v>0</v>
      </c>
      <c r="K4817" s="48"/>
      <c r="L4817" s="66" t="str">
        <f aca="false">IF(生产加工!$E211="","",IFERROR(INDEX(记账规则!$A$36:$H$38,MATCH(生产加工!$E211,记账规则!$A$36:$A$38,0),6),""))</f>
        <v/>
      </c>
      <c r="M4817" s="66" t="str">
        <f aca="false">IF($L4817="","",IFERROR(INDEX(记账规则!$A$36:$H$38,MATCH(生产加工!$E211,记账规则!$A$36:$A$38,0),7),""))</f>
        <v/>
      </c>
      <c r="N4817" s="66" t="str">
        <f aca="false">IF($L4817="","",IFERROR(INDEX(记账规则!$A$36:$H$38,MATCH(生产加工!$E211,记账规则!$A$36:$A$38,0),8),""))</f>
        <v/>
      </c>
      <c r="O4817" s="67" t="n">
        <f aca="false">IF($H4817="",0,ROUND(IF($N4817="记账金额",N(生产加工!$U211),0),2))</f>
        <v>0</v>
      </c>
      <c r="P4817" s="64" t="str">
        <f aca="false">IF(AND($H4817&lt;&gt;"",ROUND($O4817,2)&lt;&gt;0),"有","")</f>
        <v/>
      </c>
    </row>
    <row r="4818" customFormat="false" ht="15" hidden="true" customHeight="false" outlineLevel="0" collapsed="false">
      <c r="A4818" s="53" t="str">
        <f aca="false">IF($H4818="","",ROW()-5)</f>
        <v/>
      </c>
      <c r="B4818" s="64" t="s">
        <v>38</v>
      </c>
      <c r="C4818" s="53" t="n">
        <v>212</v>
      </c>
      <c r="D4818" s="53" t="n">
        <v>1</v>
      </c>
      <c r="E4818" s="65" t="str">
        <f aca="false">IF($H4818="","",生产加工!$B212)</f>
        <v/>
      </c>
      <c r="F4818" s="55" t="str">
        <f aca="false">IF($H4818="","",生产加工!$C212)</f>
        <v/>
      </c>
      <c r="G4818" s="48" t="str">
        <f aca="false">IF($H4818="","",生产加工!$N212)</f>
        <v/>
      </c>
      <c r="H4818" s="10" t="str">
        <f aca="false">IF($L4818="","",IF($L4818="@对方",生产加工!$K212,IF($L4818="@存货",生产加工!$Q212,$L4818)))</f>
        <v/>
      </c>
      <c r="I4818" s="42" t="n">
        <f aca="false">IF($M4818="借",$O4818,0)</f>
        <v>0</v>
      </c>
      <c r="J4818" s="42" t="n">
        <f aca="false">IF($M4818="贷",$O4818,0)</f>
        <v>0</v>
      </c>
      <c r="K4818" s="48"/>
      <c r="L4818" s="66" t="str">
        <f aca="false">IF(生产加工!$E212="","",IFERROR(INDEX(记账规则!$A$36:$H$38,MATCH(生产加工!$E212,记账规则!$A$36:$A$38,0),3),""))</f>
        <v/>
      </c>
      <c r="M4818" s="66" t="str">
        <f aca="false">IF($L4818="","",IFERROR(INDEX(记账规则!$A$36:$H$38,MATCH(生产加工!$E212,记账规则!$A$36:$A$38,0),4),""))</f>
        <v/>
      </c>
      <c r="N4818" s="66" t="str">
        <f aca="false">IF($L4818="","",IFERROR(INDEX(记账规则!$A$36:$H$38,MATCH(生产加工!$E212,记账规则!$A$36:$A$38,0),5),""))</f>
        <v/>
      </c>
      <c r="O4818" s="67" t="n">
        <f aca="false">IF($H4818="",0,ROUND(IF($N4818="记账金额",N(生产加工!$U212),0),2))</f>
        <v>0</v>
      </c>
      <c r="P4818" s="64" t="str">
        <f aca="false">IF(AND($H4818&lt;&gt;"",ROUND($O4818,2)&lt;&gt;0),"有","")</f>
        <v/>
      </c>
    </row>
    <row r="4819" customFormat="false" ht="15" hidden="true" customHeight="false" outlineLevel="0" collapsed="false">
      <c r="A4819" s="53" t="str">
        <f aca="false">IF($H4819="","",ROW()-5)</f>
        <v/>
      </c>
      <c r="B4819" s="64" t="s">
        <v>38</v>
      </c>
      <c r="C4819" s="53" t="n">
        <v>212</v>
      </c>
      <c r="D4819" s="53" t="n">
        <v>2</v>
      </c>
      <c r="E4819" s="65" t="str">
        <f aca="false">IF($H4819="","",生产加工!$B212)</f>
        <v/>
      </c>
      <c r="F4819" s="55" t="str">
        <f aca="false">IF($H4819="","",生产加工!$C212)</f>
        <v/>
      </c>
      <c r="G4819" s="48" t="str">
        <f aca="false">IF($H4819="","",生产加工!$N212)</f>
        <v/>
      </c>
      <c r="H4819" s="10" t="str">
        <f aca="false">IF($L4819="","",IF($L4819="@对方",生产加工!$K212,IF($L4819="@存货",生产加工!$Q212,$L4819)))</f>
        <v/>
      </c>
      <c r="I4819" s="42" t="n">
        <f aca="false">IF($M4819="借",$O4819,0)</f>
        <v>0</v>
      </c>
      <c r="J4819" s="42" t="n">
        <f aca="false">IF($M4819="贷",$O4819,0)</f>
        <v>0</v>
      </c>
      <c r="K4819" s="48"/>
      <c r="L4819" s="66" t="str">
        <f aca="false">IF(生产加工!$E212="","",IFERROR(INDEX(记账规则!$A$36:$H$38,MATCH(生产加工!$E212,记账规则!$A$36:$A$38,0),6),""))</f>
        <v/>
      </c>
      <c r="M4819" s="66" t="str">
        <f aca="false">IF($L4819="","",IFERROR(INDEX(记账规则!$A$36:$H$38,MATCH(生产加工!$E212,记账规则!$A$36:$A$38,0),7),""))</f>
        <v/>
      </c>
      <c r="N4819" s="66" t="str">
        <f aca="false">IF($L4819="","",IFERROR(INDEX(记账规则!$A$36:$H$38,MATCH(生产加工!$E212,记账规则!$A$36:$A$38,0),8),""))</f>
        <v/>
      </c>
      <c r="O4819" s="67" t="n">
        <f aca="false">IF($H4819="",0,ROUND(IF($N4819="记账金额",N(生产加工!$U212),0),2))</f>
        <v>0</v>
      </c>
      <c r="P4819" s="64" t="str">
        <f aca="false">IF(AND($H4819&lt;&gt;"",ROUND($O4819,2)&lt;&gt;0),"有","")</f>
        <v/>
      </c>
    </row>
    <row r="4820" customFormat="false" ht="15" hidden="true" customHeight="false" outlineLevel="0" collapsed="false">
      <c r="A4820" s="53" t="str">
        <f aca="false">IF($H4820="","",ROW()-5)</f>
        <v/>
      </c>
      <c r="B4820" s="64" t="s">
        <v>38</v>
      </c>
      <c r="C4820" s="53" t="n">
        <v>213</v>
      </c>
      <c r="D4820" s="53" t="n">
        <v>1</v>
      </c>
      <c r="E4820" s="65" t="str">
        <f aca="false">IF($H4820="","",生产加工!$B213)</f>
        <v/>
      </c>
      <c r="F4820" s="55" t="str">
        <f aca="false">IF($H4820="","",生产加工!$C213)</f>
        <v/>
      </c>
      <c r="G4820" s="48" t="str">
        <f aca="false">IF($H4820="","",生产加工!$N213)</f>
        <v/>
      </c>
      <c r="H4820" s="10" t="str">
        <f aca="false">IF($L4820="","",IF($L4820="@对方",生产加工!$K213,IF($L4820="@存货",生产加工!$Q213,$L4820)))</f>
        <v/>
      </c>
      <c r="I4820" s="42" t="n">
        <f aca="false">IF($M4820="借",$O4820,0)</f>
        <v>0</v>
      </c>
      <c r="J4820" s="42" t="n">
        <f aca="false">IF($M4820="贷",$O4820,0)</f>
        <v>0</v>
      </c>
      <c r="K4820" s="48"/>
      <c r="L4820" s="66" t="str">
        <f aca="false">IF(生产加工!$E213="","",IFERROR(INDEX(记账规则!$A$36:$H$38,MATCH(生产加工!$E213,记账规则!$A$36:$A$38,0),3),""))</f>
        <v/>
      </c>
      <c r="M4820" s="66" t="str">
        <f aca="false">IF($L4820="","",IFERROR(INDEX(记账规则!$A$36:$H$38,MATCH(生产加工!$E213,记账规则!$A$36:$A$38,0),4),""))</f>
        <v/>
      </c>
      <c r="N4820" s="66" t="str">
        <f aca="false">IF($L4820="","",IFERROR(INDEX(记账规则!$A$36:$H$38,MATCH(生产加工!$E213,记账规则!$A$36:$A$38,0),5),""))</f>
        <v/>
      </c>
      <c r="O4820" s="67" t="n">
        <f aca="false">IF($H4820="",0,ROUND(IF($N4820="记账金额",N(生产加工!$U213),0),2))</f>
        <v>0</v>
      </c>
      <c r="P4820" s="64" t="str">
        <f aca="false">IF(AND($H4820&lt;&gt;"",ROUND($O4820,2)&lt;&gt;0),"有","")</f>
        <v/>
      </c>
    </row>
    <row r="4821" customFormat="false" ht="15" hidden="true" customHeight="false" outlineLevel="0" collapsed="false">
      <c r="A4821" s="53" t="str">
        <f aca="false">IF($H4821="","",ROW()-5)</f>
        <v/>
      </c>
      <c r="B4821" s="64" t="s">
        <v>38</v>
      </c>
      <c r="C4821" s="53" t="n">
        <v>213</v>
      </c>
      <c r="D4821" s="53" t="n">
        <v>2</v>
      </c>
      <c r="E4821" s="65" t="str">
        <f aca="false">IF($H4821="","",生产加工!$B213)</f>
        <v/>
      </c>
      <c r="F4821" s="55" t="str">
        <f aca="false">IF($H4821="","",生产加工!$C213)</f>
        <v/>
      </c>
      <c r="G4821" s="48" t="str">
        <f aca="false">IF($H4821="","",生产加工!$N213)</f>
        <v/>
      </c>
      <c r="H4821" s="10" t="str">
        <f aca="false">IF($L4821="","",IF($L4821="@对方",生产加工!$K213,IF($L4821="@存货",生产加工!$Q213,$L4821)))</f>
        <v/>
      </c>
      <c r="I4821" s="42" t="n">
        <f aca="false">IF($M4821="借",$O4821,0)</f>
        <v>0</v>
      </c>
      <c r="J4821" s="42" t="n">
        <f aca="false">IF($M4821="贷",$O4821,0)</f>
        <v>0</v>
      </c>
      <c r="K4821" s="48"/>
      <c r="L4821" s="66" t="str">
        <f aca="false">IF(生产加工!$E213="","",IFERROR(INDEX(记账规则!$A$36:$H$38,MATCH(生产加工!$E213,记账规则!$A$36:$A$38,0),6),""))</f>
        <v/>
      </c>
      <c r="M4821" s="66" t="str">
        <f aca="false">IF($L4821="","",IFERROR(INDEX(记账规则!$A$36:$H$38,MATCH(生产加工!$E213,记账规则!$A$36:$A$38,0),7),""))</f>
        <v/>
      </c>
      <c r="N4821" s="66" t="str">
        <f aca="false">IF($L4821="","",IFERROR(INDEX(记账规则!$A$36:$H$38,MATCH(生产加工!$E213,记账规则!$A$36:$A$38,0),8),""))</f>
        <v/>
      </c>
      <c r="O4821" s="67" t="n">
        <f aca="false">IF($H4821="",0,ROUND(IF($N4821="记账金额",N(生产加工!$U213),0),2))</f>
        <v>0</v>
      </c>
      <c r="P4821" s="64" t="str">
        <f aca="false">IF(AND($H4821&lt;&gt;"",ROUND($O4821,2)&lt;&gt;0),"有","")</f>
        <v/>
      </c>
    </row>
    <row r="4822" customFormat="false" ht="15" hidden="true" customHeight="false" outlineLevel="0" collapsed="false">
      <c r="A4822" s="53" t="str">
        <f aca="false">IF($H4822="","",ROW()-5)</f>
        <v/>
      </c>
      <c r="B4822" s="64" t="s">
        <v>38</v>
      </c>
      <c r="C4822" s="53" t="n">
        <v>214</v>
      </c>
      <c r="D4822" s="53" t="n">
        <v>1</v>
      </c>
      <c r="E4822" s="65" t="str">
        <f aca="false">IF($H4822="","",生产加工!$B214)</f>
        <v/>
      </c>
      <c r="F4822" s="55" t="str">
        <f aca="false">IF($H4822="","",生产加工!$C214)</f>
        <v/>
      </c>
      <c r="G4822" s="48" t="str">
        <f aca="false">IF($H4822="","",生产加工!$N214)</f>
        <v/>
      </c>
      <c r="H4822" s="10" t="str">
        <f aca="false">IF($L4822="","",IF($L4822="@对方",生产加工!$K214,IF($L4822="@存货",生产加工!$Q214,$L4822)))</f>
        <v/>
      </c>
      <c r="I4822" s="42" t="n">
        <f aca="false">IF($M4822="借",$O4822,0)</f>
        <v>0</v>
      </c>
      <c r="J4822" s="42" t="n">
        <f aca="false">IF($M4822="贷",$O4822,0)</f>
        <v>0</v>
      </c>
      <c r="K4822" s="48"/>
      <c r="L4822" s="66" t="str">
        <f aca="false">IF(生产加工!$E214="","",IFERROR(INDEX(记账规则!$A$36:$H$38,MATCH(生产加工!$E214,记账规则!$A$36:$A$38,0),3),""))</f>
        <v/>
      </c>
      <c r="M4822" s="66" t="str">
        <f aca="false">IF($L4822="","",IFERROR(INDEX(记账规则!$A$36:$H$38,MATCH(生产加工!$E214,记账规则!$A$36:$A$38,0),4),""))</f>
        <v/>
      </c>
      <c r="N4822" s="66" t="str">
        <f aca="false">IF($L4822="","",IFERROR(INDEX(记账规则!$A$36:$H$38,MATCH(生产加工!$E214,记账规则!$A$36:$A$38,0),5),""))</f>
        <v/>
      </c>
      <c r="O4822" s="67" t="n">
        <f aca="false">IF($H4822="",0,ROUND(IF($N4822="记账金额",N(生产加工!$U214),0),2))</f>
        <v>0</v>
      </c>
      <c r="P4822" s="64" t="str">
        <f aca="false">IF(AND($H4822&lt;&gt;"",ROUND($O4822,2)&lt;&gt;0),"有","")</f>
        <v/>
      </c>
    </row>
    <row r="4823" customFormat="false" ht="15" hidden="true" customHeight="false" outlineLevel="0" collapsed="false">
      <c r="A4823" s="53" t="str">
        <f aca="false">IF($H4823="","",ROW()-5)</f>
        <v/>
      </c>
      <c r="B4823" s="64" t="s">
        <v>38</v>
      </c>
      <c r="C4823" s="53" t="n">
        <v>214</v>
      </c>
      <c r="D4823" s="53" t="n">
        <v>2</v>
      </c>
      <c r="E4823" s="65" t="str">
        <f aca="false">IF($H4823="","",生产加工!$B214)</f>
        <v/>
      </c>
      <c r="F4823" s="55" t="str">
        <f aca="false">IF($H4823="","",生产加工!$C214)</f>
        <v/>
      </c>
      <c r="G4823" s="48" t="str">
        <f aca="false">IF($H4823="","",生产加工!$N214)</f>
        <v/>
      </c>
      <c r="H4823" s="10" t="str">
        <f aca="false">IF($L4823="","",IF($L4823="@对方",生产加工!$K214,IF($L4823="@存货",生产加工!$Q214,$L4823)))</f>
        <v/>
      </c>
      <c r="I4823" s="42" t="n">
        <f aca="false">IF($M4823="借",$O4823,0)</f>
        <v>0</v>
      </c>
      <c r="J4823" s="42" t="n">
        <f aca="false">IF($M4823="贷",$O4823,0)</f>
        <v>0</v>
      </c>
      <c r="K4823" s="48"/>
      <c r="L4823" s="66" t="str">
        <f aca="false">IF(生产加工!$E214="","",IFERROR(INDEX(记账规则!$A$36:$H$38,MATCH(生产加工!$E214,记账规则!$A$36:$A$38,0),6),""))</f>
        <v/>
      </c>
      <c r="M4823" s="66" t="str">
        <f aca="false">IF($L4823="","",IFERROR(INDEX(记账规则!$A$36:$H$38,MATCH(生产加工!$E214,记账规则!$A$36:$A$38,0),7),""))</f>
        <v/>
      </c>
      <c r="N4823" s="66" t="str">
        <f aca="false">IF($L4823="","",IFERROR(INDEX(记账规则!$A$36:$H$38,MATCH(生产加工!$E214,记账规则!$A$36:$A$38,0),8),""))</f>
        <v/>
      </c>
      <c r="O4823" s="67" t="n">
        <f aca="false">IF($H4823="",0,ROUND(IF($N4823="记账金额",N(生产加工!$U214),0),2))</f>
        <v>0</v>
      </c>
      <c r="P4823" s="64" t="str">
        <f aca="false">IF(AND($H4823&lt;&gt;"",ROUND($O4823,2)&lt;&gt;0),"有","")</f>
        <v/>
      </c>
    </row>
    <row r="4824" customFormat="false" ht="15" hidden="true" customHeight="false" outlineLevel="0" collapsed="false">
      <c r="A4824" s="53" t="str">
        <f aca="false">IF($H4824="","",ROW()-5)</f>
        <v/>
      </c>
      <c r="B4824" s="64" t="s">
        <v>38</v>
      </c>
      <c r="C4824" s="53" t="n">
        <v>215</v>
      </c>
      <c r="D4824" s="53" t="n">
        <v>1</v>
      </c>
      <c r="E4824" s="65" t="str">
        <f aca="false">IF($H4824="","",生产加工!$B215)</f>
        <v/>
      </c>
      <c r="F4824" s="55" t="str">
        <f aca="false">IF($H4824="","",生产加工!$C215)</f>
        <v/>
      </c>
      <c r="G4824" s="48" t="str">
        <f aca="false">IF($H4824="","",生产加工!$N215)</f>
        <v/>
      </c>
      <c r="H4824" s="10" t="str">
        <f aca="false">IF($L4824="","",IF($L4824="@对方",生产加工!$K215,IF($L4824="@存货",生产加工!$Q215,$L4824)))</f>
        <v/>
      </c>
      <c r="I4824" s="42" t="n">
        <f aca="false">IF($M4824="借",$O4824,0)</f>
        <v>0</v>
      </c>
      <c r="J4824" s="42" t="n">
        <f aca="false">IF($M4824="贷",$O4824,0)</f>
        <v>0</v>
      </c>
      <c r="K4824" s="48"/>
      <c r="L4824" s="66" t="str">
        <f aca="false">IF(生产加工!$E215="","",IFERROR(INDEX(记账规则!$A$36:$H$38,MATCH(生产加工!$E215,记账规则!$A$36:$A$38,0),3),""))</f>
        <v/>
      </c>
      <c r="M4824" s="66" t="str">
        <f aca="false">IF($L4824="","",IFERROR(INDEX(记账规则!$A$36:$H$38,MATCH(生产加工!$E215,记账规则!$A$36:$A$38,0),4),""))</f>
        <v/>
      </c>
      <c r="N4824" s="66" t="str">
        <f aca="false">IF($L4824="","",IFERROR(INDEX(记账规则!$A$36:$H$38,MATCH(生产加工!$E215,记账规则!$A$36:$A$38,0),5),""))</f>
        <v/>
      </c>
      <c r="O4824" s="67" t="n">
        <f aca="false">IF($H4824="",0,ROUND(IF($N4824="记账金额",N(生产加工!$U215),0),2))</f>
        <v>0</v>
      </c>
      <c r="P4824" s="64" t="str">
        <f aca="false">IF(AND($H4824&lt;&gt;"",ROUND($O4824,2)&lt;&gt;0),"有","")</f>
        <v/>
      </c>
    </row>
    <row r="4825" customFormat="false" ht="15" hidden="true" customHeight="false" outlineLevel="0" collapsed="false">
      <c r="A4825" s="53" t="str">
        <f aca="false">IF($H4825="","",ROW()-5)</f>
        <v/>
      </c>
      <c r="B4825" s="64" t="s">
        <v>38</v>
      </c>
      <c r="C4825" s="53" t="n">
        <v>215</v>
      </c>
      <c r="D4825" s="53" t="n">
        <v>2</v>
      </c>
      <c r="E4825" s="65" t="str">
        <f aca="false">IF($H4825="","",生产加工!$B215)</f>
        <v/>
      </c>
      <c r="F4825" s="55" t="str">
        <f aca="false">IF($H4825="","",生产加工!$C215)</f>
        <v/>
      </c>
      <c r="G4825" s="48" t="str">
        <f aca="false">IF($H4825="","",生产加工!$N215)</f>
        <v/>
      </c>
      <c r="H4825" s="10" t="str">
        <f aca="false">IF($L4825="","",IF($L4825="@对方",生产加工!$K215,IF($L4825="@存货",生产加工!$Q215,$L4825)))</f>
        <v/>
      </c>
      <c r="I4825" s="42" t="n">
        <f aca="false">IF($M4825="借",$O4825,0)</f>
        <v>0</v>
      </c>
      <c r="J4825" s="42" t="n">
        <f aca="false">IF($M4825="贷",$O4825,0)</f>
        <v>0</v>
      </c>
      <c r="K4825" s="48"/>
      <c r="L4825" s="66" t="str">
        <f aca="false">IF(生产加工!$E215="","",IFERROR(INDEX(记账规则!$A$36:$H$38,MATCH(生产加工!$E215,记账规则!$A$36:$A$38,0),6),""))</f>
        <v/>
      </c>
      <c r="M4825" s="66" t="str">
        <f aca="false">IF($L4825="","",IFERROR(INDEX(记账规则!$A$36:$H$38,MATCH(生产加工!$E215,记账规则!$A$36:$A$38,0),7),""))</f>
        <v/>
      </c>
      <c r="N4825" s="66" t="str">
        <f aca="false">IF($L4825="","",IFERROR(INDEX(记账规则!$A$36:$H$38,MATCH(生产加工!$E215,记账规则!$A$36:$A$38,0),8),""))</f>
        <v/>
      </c>
      <c r="O4825" s="67" t="n">
        <f aca="false">IF($H4825="",0,ROUND(IF($N4825="记账金额",N(生产加工!$U215),0),2))</f>
        <v>0</v>
      </c>
      <c r="P4825" s="64" t="str">
        <f aca="false">IF(AND($H4825&lt;&gt;"",ROUND($O4825,2)&lt;&gt;0),"有","")</f>
        <v/>
      </c>
    </row>
    <row r="4826" customFormat="false" ht="15" hidden="true" customHeight="false" outlineLevel="0" collapsed="false">
      <c r="A4826" s="53" t="str">
        <f aca="false">IF($H4826="","",ROW()-5)</f>
        <v/>
      </c>
      <c r="B4826" s="64" t="s">
        <v>38</v>
      </c>
      <c r="C4826" s="53" t="n">
        <v>216</v>
      </c>
      <c r="D4826" s="53" t="n">
        <v>1</v>
      </c>
      <c r="E4826" s="65" t="str">
        <f aca="false">IF($H4826="","",生产加工!$B216)</f>
        <v/>
      </c>
      <c r="F4826" s="55" t="str">
        <f aca="false">IF($H4826="","",生产加工!$C216)</f>
        <v/>
      </c>
      <c r="G4826" s="48" t="str">
        <f aca="false">IF($H4826="","",生产加工!$N216)</f>
        <v/>
      </c>
      <c r="H4826" s="10" t="str">
        <f aca="false">IF($L4826="","",IF($L4826="@对方",生产加工!$K216,IF($L4826="@存货",生产加工!$Q216,$L4826)))</f>
        <v/>
      </c>
      <c r="I4826" s="42" t="n">
        <f aca="false">IF($M4826="借",$O4826,0)</f>
        <v>0</v>
      </c>
      <c r="J4826" s="42" t="n">
        <f aca="false">IF($M4826="贷",$O4826,0)</f>
        <v>0</v>
      </c>
      <c r="K4826" s="48"/>
      <c r="L4826" s="66" t="str">
        <f aca="false">IF(生产加工!$E216="","",IFERROR(INDEX(记账规则!$A$36:$H$38,MATCH(生产加工!$E216,记账规则!$A$36:$A$38,0),3),""))</f>
        <v/>
      </c>
      <c r="M4826" s="66" t="str">
        <f aca="false">IF($L4826="","",IFERROR(INDEX(记账规则!$A$36:$H$38,MATCH(生产加工!$E216,记账规则!$A$36:$A$38,0),4),""))</f>
        <v/>
      </c>
      <c r="N4826" s="66" t="str">
        <f aca="false">IF($L4826="","",IFERROR(INDEX(记账规则!$A$36:$H$38,MATCH(生产加工!$E216,记账规则!$A$36:$A$38,0),5),""))</f>
        <v/>
      </c>
      <c r="O4826" s="67" t="n">
        <f aca="false">IF($H4826="",0,ROUND(IF($N4826="记账金额",N(生产加工!$U216),0),2))</f>
        <v>0</v>
      </c>
      <c r="P4826" s="64" t="str">
        <f aca="false">IF(AND($H4826&lt;&gt;"",ROUND($O4826,2)&lt;&gt;0),"有","")</f>
        <v/>
      </c>
    </row>
    <row r="4827" customFormat="false" ht="15" hidden="true" customHeight="false" outlineLevel="0" collapsed="false">
      <c r="A4827" s="53" t="str">
        <f aca="false">IF($H4827="","",ROW()-5)</f>
        <v/>
      </c>
      <c r="B4827" s="64" t="s">
        <v>38</v>
      </c>
      <c r="C4827" s="53" t="n">
        <v>216</v>
      </c>
      <c r="D4827" s="53" t="n">
        <v>2</v>
      </c>
      <c r="E4827" s="65" t="str">
        <f aca="false">IF($H4827="","",生产加工!$B216)</f>
        <v/>
      </c>
      <c r="F4827" s="55" t="str">
        <f aca="false">IF($H4827="","",生产加工!$C216)</f>
        <v/>
      </c>
      <c r="G4827" s="48" t="str">
        <f aca="false">IF($H4827="","",生产加工!$N216)</f>
        <v/>
      </c>
      <c r="H4827" s="10" t="str">
        <f aca="false">IF($L4827="","",IF($L4827="@对方",生产加工!$K216,IF($L4827="@存货",生产加工!$Q216,$L4827)))</f>
        <v/>
      </c>
      <c r="I4827" s="42" t="n">
        <f aca="false">IF($M4827="借",$O4827,0)</f>
        <v>0</v>
      </c>
      <c r="J4827" s="42" t="n">
        <f aca="false">IF($M4827="贷",$O4827,0)</f>
        <v>0</v>
      </c>
      <c r="K4827" s="48"/>
      <c r="L4827" s="66" t="str">
        <f aca="false">IF(生产加工!$E216="","",IFERROR(INDEX(记账规则!$A$36:$H$38,MATCH(生产加工!$E216,记账规则!$A$36:$A$38,0),6),""))</f>
        <v/>
      </c>
      <c r="M4827" s="66" t="str">
        <f aca="false">IF($L4827="","",IFERROR(INDEX(记账规则!$A$36:$H$38,MATCH(生产加工!$E216,记账规则!$A$36:$A$38,0),7),""))</f>
        <v/>
      </c>
      <c r="N4827" s="66" t="str">
        <f aca="false">IF($L4827="","",IFERROR(INDEX(记账规则!$A$36:$H$38,MATCH(生产加工!$E216,记账规则!$A$36:$A$38,0),8),""))</f>
        <v/>
      </c>
      <c r="O4827" s="67" t="n">
        <f aca="false">IF($H4827="",0,ROUND(IF($N4827="记账金额",N(生产加工!$U216),0),2))</f>
        <v>0</v>
      </c>
      <c r="P4827" s="64" t="str">
        <f aca="false">IF(AND($H4827&lt;&gt;"",ROUND($O4827,2)&lt;&gt;0),"有","")</f>
        <v/>
      </c>
    </row>
    <row r="4828" customFormat="false" ht="15" hidden="true" customHeight="false" outlineLevel="0" collapsed="false">
      <c r="A4828" s="53" t="str">
        <f aca="false">IF($H4828="","",ROW()-5)</f>
        <v/>
      </c>
      <c r="B4828" s="64" t="s">
        <v>38</v>
      </c>
      <c r="C4828" s="53" t="n">
        <v>217</v>
      </c>
      <c r="D4828" s="53" t="n">
        <v>1</v>
      </c>
      <c r="E4828" s="65" t="str">
        <f aca="false">IF($H4828="","",生产加工!$B217)</f>
        <v/>
      </c>
      <c r="F4828" s="55" t="str">
        <f aca="false">IF($H4828="","",生产加工!$C217)</f>
        <v/>
      </c>
      <c r="G4828" s="48" t="str">
        <f aca="false">IF($H4828="","",生产加工!$N217)</f>
        <v/>
      </c>
      <c r="H4828" s="10" t="str">
        <f aca="false">IF($L4828="","",IF($L4828="@对方",生产加工!$K217,IF($L4828="@存货",生产加工!$Q217,$L4828)))</f>
        <v/>
      </c>
      <c r="I4828" s="42" t="n">
        <f aca="false">IF($M4828="借",$O4828,0)</f>
        <v>0</v>
      </c>
      <c r="J4828" s="42" t="n">
        <f aca="false">IF($M4828="贷",$O4828,0)</f>
        <v>0</v>
      </c>
      <c r="K4828" s="48"/>
      <c r="L4828" s="66" t="str">
        <f aca="false">IF(生产加工!$E217="","",IFERROR(INDEX(记账规则!$A$36:$H$38,MATCH(生产加工!$E217,记账规则!$A$36:$A$38,0),3),""))</f>
        <v/>
      </c>
      <c r="M4828" s="66" t="str">
        <f aca="false">IF($L4828="","",IFERROR(INDEX(记账规则!$A$36:$H$38,MATCH(生产加工!$E217,记账规则!$A$36:$A$38,0),4),""))</f>
        <v/>
      </c>
      <c r="N4828" s="66" t="str">
        <f aca="false">IF($L4828="","",IFERROR(INDEX(记账规则!$A$36:$H$38,MATCH(生产加工!$E217,记账规则!$A$36:$A$38,0),5),""))</f>
        <v/>
      </c>
      <c r="O4828" s="67" t="n">
        <f aca="false">IF($H4828="",0,ROUND(IF($N4828="记账金额",N(生产加工!$U217),0),2))</f>
        <v>0</v>
      </c>
      <c r="P4828" s="64" t="str">
        <f aca="false">IF(AND($H4828&lt;&gt;"",ROUND($O4828,2)&lt;&gt;0),"有","")</f>
        <v/>
      </c>
    </row>
    <row r="4829" customFormat="false" ht="15" hidden="true" customHeight="false" outlineLevel="0" collapsed="false">
      <c r="A4829" s="53" t="str">
        <f aca="false">IF($H4829="","",ROW()-5)</f>
        <v/>
      </c>
      <c r="B4829" s="64" t="s">
        <v>38</v>
      </c>
      <c r="C4829" s="53" t="n">
        <v>217</v>
      </c>
      <c r="D4829" s="53" t="n">
        <v>2</v>
      </c>
      <c r="E4829" s="65" t="str">
        <f aca="false">IF($H4829="","",生产加工!$B217)</f>
        <v/>
      </c>
      <c r="F4829" s="55" t="str">
        <f aca="false">IF($H4829="","",生产加工!$C217)</f>
        <v/>
      </c>
      <c r="G4829" s="48" t="str">
        <f aca="false">IF($H4829="","",生产加工!$N217)</f>
        <v/>
      </c>
      <c r="H4829" s="10" t="str">
        <f aca="false">IF($L4829="","",IF($L4829="@对方",生产加工!$K217,IF($L4829="@存货",生产加工!$Q217,$L4829)))</f>
        <v/>
      </c>
      <c r="I4829" s="42" t="n">
        <f aca="false">IF($M4829="借",$O4829,0)</f>
        <v>0</v>
      </c>
      <c r="J4829" s="42" t="n">
        <f aca="false">IF($M4829="贷",$O4829,0)</f>
        <v>0</v>
      </c>
      <c r="K4829" s="48"/>
      <c r="L4829" s="66" t="str">
        <f aca="false">IF(生产加工!$E217="","",IFERROR(INDEX(记账规则!$A$36:$H$38,MATCH(生产加工!$E217,记账规则!$A$36:$A$38,0),6),""))</f>
        <v/>
      </c>
      <c r="M4829" s="66" t="str">
        <f aca="false">IF($L4829="","",IFERROR(INDEX(记账规则!$A$36:$H$38,MATCH(生产加工!$E217,记账规则!$A$36:$A$38,0),7),""))</f>
        <v/>
      </c>
      <c r="N4829" s="66" t="str">
        <f aca="false">IF($L4829="","",IFERROR(INDEX(记账规则!$A$36:$H$38,MATCH(生产加工!$E217,记账规则!$A$36:$A$38,0),8),""))</f>
        <v/>
      </c>
      <c r="O4829" s="67" t="n">
        <f aca="false">IF($H4829="",0,ROUND(IF($N4829="记账金额",N(生产加工!$U217),0),2))</f>
        <v>0</v>
      </c>
      <c r="P4829" s="64" t="str">
        <f aca="false">IF(AND($H4829&lt;&gt;"",ROUND($O4829,2)&lt;&gt;0),"有","")</f>
        <v/>
      </c>
    </row>
    <row r="4830" customFormat="false" ht="15" hidden="true" customHeight="false" outlineLevel="0" collapsed="false">
      <c r="A4830" s="53" t="str">
        <f aca="false">IF($H4830="","",ROW()-5)</f>
        <v/>
      </c>
      <c r="B4830" s="64" t="s">
        <v>38</v>
      </c>
      <c r="C4830" s="53" t="n">
        <v>218</v>
      </c>
      <c r="D4830" s="53" t="n">
        <v>1</v>
      </c>
      <c r="E4830" s="65" t="str">
        <f aca="false">IF($H4830="","",生产加工!$B218)</f>
        <v/>
      </c>
      <c r="F4830" s="55" t="str">
        <f aca="false">IF($H4830="","",生产加工!$C218)</f>
        <v/>
      </c>
      <c r="G4830" s="48" t="str">
        <f aca="false">IF($H4830="","",生产加工!$N218)</f>
        <v/>
      </c>
      <c r="H4830" s="10" t="str">
        <f aca="false">IF($L4830="","",IF($L4830="@对方",生产加工!$K218,IF($L4830="@存货",生产加工!$Q218,$L4830)))</f>
        <v/>
      </c>
      <c r="I4830" s="42" t="n">
        <f aca="false">IF($M4830="借",$O4830,0)</f>
        <v>0</v>
      </c>
      <c r="J4830" s="42" t="n">
        <f aca="false">IF($M4830="贷",$O4830,0)</f>
        <v>0</v>
      </c>
      <c r="K4830" s="48"/>
      <c r="L4830" s="66" t="str">
        <f aca="false">IF(生产加工!$E218="","",IFERROR(INDEX(记账规则!$A$36:$H$38,MATCH(生产加工!$E218,记账规则!$A$36:$A$38,0),3),""))</f>
        <v/>
      </c>
      <c r="M4830" s="66" t="str">
        <f aca="false">IF($L4830="","",IFERROR(INDEX(记账规则!$A$36:$H$38,MATCH(生产加工!$E218,记账规则!$A$36:$A$38,0),4),""))</f>
        <v/>
      </c>
      <c r="N4830" s="66" t="str">
        <f aca="false">IF($L4830="","",IFERROR(INDEX(记账规则!$A$36:$H$38,MATCH(生产加工!$E218,记账规则!$A$36:$A$38,0),5),""))</f>
        <v/>
      </c>
      <c r="O4830" s="67" t="n">
        <f aca="false">IF($H4830="",0,ROUND(IF($N4830="记账金额",N(生产加工!$U218),0),2))</f>
        <v>0</v>
      </c>
      <c r="P4830" s="64" t="str">
        <f aca="false">IF(AND($H4830&lt;&gt;"",ROUND($O4830,2)&lt;&gt;0),"有","")</f>
        <v/>
      </c>
    </row>
    <row r="4831" customFormat="false" ht="15" hidden="true" customHeight="false" outlineLevel="0" collapsed="false">
      <c r="A4831" s="53" t="str">
        <f aca="false">IF($H4831="","",ROW()-5)</f>
        <v/>
      </c>
      <c r="B4831" s="64" t="s">
        <v>38</v>
      </c>
      <c r="C4831" s="53" t="n">
        <v>218</v>
      </c>
      <c r="D4831" s="53" t="n">
        <v>2</v>
      </c>
      <c r="E4831" s="65" t="str">
        <f aca="false">IF($H4831="","",生产加工!$B218)</f>
        <v/>
      </c>
      <c r="F4831" s="55" t="str">
        <f aca="false">IF($H4831="","",生产加工!$C218)</f>
        <v/>
      </c>
      <c r="G4831" s="48" t="str">
        <f aca="false">IF($H4831="","",生产加工!$N218)</f>
        <v/>
      </c>
      <c r="H4831" s="10" t="str">
        <f aca="false">IF($L4831="","",IF($L4831="@对方",生产加工!$K218,IF($L4831="@存货",生产加工!$Q218,$L4831)))</f>
        <v/>
      </c>
      <c r="I4831" s="42" t="n">
        <f aca="false">IF($M4831="借",$O4831,0)</f>
        <v>0</v>
      </c>
      <c r="J4831" s="42" t="n">
        <f aca="false">IF($M4831="贷",$O4831,0)</f>
        <v>0</v>
      </c>
      <c r="K4831" s="48"/>
      <c r="L4831" s="66" t="str">
        <f aca="false">IF(生产加工!$E218="","",IFERROR(INDEX(记账规则!$A$36:$H$38,MATCH(生产加工!$E218,记账规则!$A$36:$A$38,0),6),""))</f>
        <v/>
      </c>
      <c r="M4831" s="66" t="str">
        <f aca="false">IF($L4831="","",IFERROR(INDEX(记账规则!$A$36:$H$38,MATCH(生产加工!$E218,记账规则!$A$36:$A$38,0),7),""))</f>
        <v/>
      </c>
      <c r="N4831" s="66" t="str">
        <f aca="false">IF($L4831="","",IFERROR(INDEX(记账规则!$A$36:$H$38,MATCH(生产加工!$E218,记账规则!$A$36:$A$38,0),8),""))</f>
        <v/>
      </c>
      <c r="O4831" s="67" t="n">
        <f aca="false">IF($H4831="",0,ROUND(IF($N4831="记账金额",N(生产加工!$U218),0),2))</f>
        <v>0</v>
      </c>
      <c r="P4831" s="64" t="str">
        <f aca="false">IF(AND($H4831&lt;&gt;"",ROUND($O4831,2)&lt;&gt;0),"有","")</f>
        <v/>
      </c>
    </row>
    <row r="4832" customFormat="false" ht="15" hidden="true" customHeight="false" outlineLevel="0" collapsed="false">
      <c r="A4832" s="53" t="str">
        <f aca="false">IF($H4832="","",ROW()-5)</f>
        <v/>
      </c>
      <c r="B4832" s="64" t="s">
        <v>38</v>
      </c>
      <c r="C4832" s="53" t="n">
        <v>219</v>
      </c>
      <c r="D4832" s="53" t="n">
        <v>1</v>
      </c>
      <c r="E4832" s="65" t="str">
        <f aca="false">IF($H4832="","",生产加工!$B219)</f>
        <v/>
      </c>
      <c r="F4832" s="55" t="str">
        <f aca="false">IF($H4832="","",生产加工!$C219)</f>
        <v/>
      </c>
      <c r="G4832" s="48" t="str">
        <f aca="false">IF($H4832="","",生产加工!$N219)</f>
        <v/>
      </c>
      <c r="H4832" s="10" t="str">
        <f aca="false">IF($L4832="","",IF($L4832="@对方",生产加工!$K219,IF($L4832="@存货",生产加工!$Q219,$L4832)))</f>
        <v/>
      </c>
      <c r="I4832" s="42" t="n">
        <f aca="false">IF($M4832="借",$O4832,0)</f>
        <v>0</v>
      </c>
      <c r="J4832" s="42" t="n">
        <f aca="false">IF($M4832="贷",$O4832,0)</f>
        <v>0</v>
      </c>
      <c r="K4832" s="48"/>
      <c r="L4832" s="66" t="str">
        <f aca="false">IF(生产加工!$E219="","",IFERROR(INDEX(记账规则!$A$36:$H$38,MATCH(生产加工!$E219,记账规则!$A$36:$A$38,0),3),""))</f>
        <v/>
      </c>
      <c r="M4832" s="66" t="str">
        <f aca="false">IF($L4832="","",IFERROR(INDEX(记账规则!$A$36:$H$38,MATCH(生产加工!$E219,记账规则!$A$36:$A$38,0),4),""))</f>
        <v/>
      </c>
      <c r="N4832" s="66" t="str">
        <f aca="false">IF($L4832="","",IFERROR(INDEX(记账规则!$A$36:$H$38,MATCH(生产加工!$E219,记账规则!$A$36:$A$38,0),5),""))</f>
        <v/>
      </c>
      <c r="O4832" s="67" t="n">
        <f aca="false">IF($H4832="",0,ROUND(IF($N4832="记账金额",N(生产加工!$U219),0),2))</f>
        <v>0</v>
      </c>
      <c r="P4832" s="64" t="str">
        <f aca="false">IF(AND($H4832&lt;&gt;"",ROUND($O4832,2)&lt;&gt;0),"有","")</f>
        <v/>
      </c>
    </row>
    <row r="4833" customFormat="false" ht="15" hidden="true" customHeight="false" outlineLevel="0" collapsed="false">
      <c r="A4833" s="53" t="str">
        <f aca="false">IF($H4833="","",ROW()-5)</f>
        <v/>
      </c>
      <c r="B4833" s="64" t="s">
        <v>38</v>
      </c>
      <c r="C4833" s="53" t="n">
        <v>219</v>
      </c>
      <c r="D4833" s="53" t="n">
        <v>2</v>
      </c>
      <c r="E4833" s="65" t="str">
        <f aca="false">IF($H4833="","",生产加工!$B219)</f>
        <v/>
      </c>
      <c r="F4833" s="55" t="str">
        <f aca="false">IF($H4833="","",生产加工!$C219)</f>
        <v/>
      </c>
      <c r="G4833" s="48" t="str">
        <f aca="false">IF($H4833="","",生产加工!$N219)</f>
        <v/>
      </c>
      <c r="H4833" s="10" t="str">
        <f aca="false">IF($L4833="","",IF($L4833="@对方",生产加工!$K219,IF($L4833="@存货",生产加工!$Q219,$L4833)))</f>
        <v/>
      </c>
      <c r="I4833" s="42" t="n">
        <f aca="false">IF($M4833="借",$O4833,0)</f>
        <v>0</v>
      </c>
      <c r="J4833" s="42" t="n">
        <f aca="false">IF($M4833="贷",$O4833,0)</f>
        <v>0</v>
      </c>
      <c r="K4833" s="48"/>
      <c r="L4833" s="66" t="str">
        <f aca="false">IF(生产加工!$E219="","",IFERROR(INDEX(记账规则!$A$36:$H$38,MATCH(生产加工!$E219,记账规则!$A$36:$A$38,0),6),""))</f>
        <v/>
      </c>
      <c r="M4833" s="66" t="str">
        <f aca="false">IF($L4833="","",IFERROR(INDEX(记账规则!$A$36:$H$38,MATCH(生产加工!$E219,记账规则!$A$36:$A$38,0),7),""))</f>
        <v/>
      </c>
      <c r="N4833" s="66" t="str">
        <f aca="false">IF($L4833="","",IFERROR(INDEX(记账规则!$A$36:$H$38,MATCH(生产加工!$E219,记账规则!$A$36:$A$38,0),8),""))</f>
        <v/>
      </c>
      <c r="O4833" s="67" t="n">
        <f aca="false">IF($H4833="",0,ROUND(IF($N4833="记账金额",N(生产加工!$U219),0),2))</f>
        <v>0</v>
      </c>
      <c r="P4833" s="64" t="str">
        <f aca="false">IF(AND($H4833&lt;&gt;"",ROUND($O4833,2)&lt;&gt;0),"有","")</f>
        <v/>
      </c>
    </row>
    <row r="4834" customFormat="false" ht="15" hidden="true" customHeight="false" outlineLevel="0" collapsed="false">
      <c r="A4834" s="53" t="str">
        <f aca="false">IF($H4834="","",ROW()-5)</f>
        <v/>
      </c>
      <c r="B4834" s="64" t="s">
        <v>38</v>
      </c>
      <c r="C4834" s="53" t="n">
        <v>220</v>
      </c>
      <c r="D4834" s="53" t="n">
        <v>1</v>
      </c>
      <c r="E4834" s="65" t="str">
        <f aca="false">IF($H4834="","",生产加工!$B220)</f>
        <v/>
      </c>
      <c r="F4834" s="55" t="str">
        <f aca="false">IF($H4834="","",生产加工!$C220)</f>
        <v/>
      </c>
      <c r="G4834" s="48" t="str">
        <f aca="false">IF($H4834="","",生产加工!$N220)</f>
        <v/>
      </c>
      <c r="H4834" s="10" t="str">
        <f aca="false">IF($L4834="","",IF($L4834="@对方",生产加工!$K220,IF($L4834="@存货",生产加工!$Q220,$L4834)))</f>
        <v/>
      </c>
      <c r="I4834" s="42" t="n">
        <f aca="false">IF($M4834="借",$O4834,0)</f>
        <v>0</v>
      </c>
      <c r="J4834" s="42" t="n">
        <f aca="false">IF($M4834="贷",$O4834,0)</f>
        <v>0</v>
      </c>
      <c r="K4834" s="48"/>
      <c r="L4834" s="66" t="str">
        <f aca="false">IF(生产加工!$E220="","",IFERROR(INDEX(记账规则!$A$36:$H$38,MATCH(生产加工!$E220,记账规则!$A$36:$A$38,0),3),""))</f>
        <v/>
      </c>
      <c r="M4834" s="66" t="str">
        <f aca="false">IF($L4834="","",IFERROR(INDEX(记账规则!$A$36:$H$38,MATCH(生产加工!$E220,记账规则!$A$36:$A$38,0),4),""))</f>
        <v/>
      </c>
      <c r="N4834" s="66" t="str">
        <f aca="false">IF($L4834="","",IFERROR(INDEX(记账规则!$A$36:$H$38,MATCH(生产加工!$E220,记账规则!$A$36:$A$38,0),5),""))</f>
        <v/>
      </c>
      <c r="O4834" s="67" t="n">
        <f aca="false">IF($H4834="",0,ROUND(IF($N4834="记账金额",N(生产加工!$U220),0),2))</f>
        <v>0</v>
      </c>
      <c r="P4834" s="64" t="str">
        <f aca="false">IF(AND($H4834&lt;&gt;"",ROUND($O4834,2)&lt;&gt;0),"有","")</f>
        <v/>
      </c>
    </row>
    <row r="4835" customFormat="false" ht="15" hidden="true" customHeight="false" outlineLevel="0" collapsed="false">
      <c r="A4835" s="53" t="str">
        <f aca="false">IF($H4835="","",ROW()-5)</f>
        <v/>
      </c>
      <c r="B4835" s="64" t="s">
        <v>38</v>
      </c>
      <c r="C4835" s="53" t="n">
        <v>220</v>
      </c>
      <c r="D4835" s="53" t="n">
        <v>2</v>
      </c>
      <c r="E4835" s="65" t="str">
        <f aca="false">IF($H4835="","",生产加工!$B220)</f>
        <v/>
      </c>
      <c r="F4835" s="55" t="str">
        <f aca="false">IF($H4835="","",生产加工!$C220)</f>
        <v/>
      </c>
      <c r="G4835" s="48" t="str">
        <f aca="false">IF($H4835="","",生产加工!$N220)</f>
        <v/>
      </c>
      <c r="H4835" s="10" t="str">
        <f aca="false">IF($L4835="","",IF($L4835="@对方",生产加工!$K220,IF($L4835="@存货",生产加工!$Q220,$L4835)))</f>
        <v/>
      </c>
      <c r="I4835" s="42" t="n">
        <f aca="false">IF($M4835="借",$O4835,0)</f>
        <v>0</v>
      </c>
      <c r="J4835" s="42" t="n">
        <f aca="false">IF($M4835="贷",$O4835,0)</f>
        <v>0</v>
      </c>
      <c r="K4835" s="48"/>
      <c r="L4835" s="66" t="str">
        <f aca="false">IF(生产加工!$E220="","",IFERROR(INDEX(记账规则!$A$36:$H$38,MATCH(生产加工!$E220,记账规则!$A$36:$A$38,0),6),""))</f>
        <v/>
      </c>
      <c r="M4835" s="66" t="str">
        <f aca="false">IF($L4835="","",IFERROR(INDEX(记账规则!$A$36:$H$38,MATCH(生产加工!$E220,记账规则!$A$36:$A$38,0),7),""))</f>
        <v/>
      </c>
      <c r="N4835" s="66" t="str">
        <f aca="false">IF($L4835="","",IFERROR(INDEX(记账规则!$A$36:$H$38,MATCH(生产加工!$E220,记账规则!$A$36:$A$38,0),8),""))</f>
        <v/>
      </c>
      <c r="O4835" s="67" t="n">
        <f aca="false">IF($H4835="",0,ROUND(IF($N4835="记账金额",N(生产加工!$U220),0),2))</f>
        <v>0</v>
      </c>
      <c r="P4835" s="64" t="str">
        <f aca="false">IF(AND($H4835&lt;&gt;"",ROUND($O4835,2)&lt;&gt;0),"有","")</f>
        <v/>
      </c>
    </row>
    <row r="4836" customFormat="false" ht="15" hidden="true" customHeight="false" outlineLevel="0" collapsed="false">
      <c r="A4836" s="53" t="str">
        <f aca="false">IF($H4836="","",ROW()-5)</f>
        <v/>
      </c>
      <c r="B4836" s="64" t="s">
        <v>38</v>
      </c>
      <c r="C4836" s="53" t="n">
        <v>221</v>
      </c>
      <c r="D4836" s="53" t="n">
        <v>1</v>
      </c>
      <c r="E4836" s="65" t="str">
        <f aca="false">IF($H4836="","",生产加工!$B221)</f>
        <v/>
      </c>
      <c r="F4836" s="55" t="str">
        <f aca="false">IF($H4836="","",生产加工!$C221)</f>
        <v/>
      </c>
      <c r="G4836" s="48" t="str">
        <f aca="false">IF($H4836="","",生产加工!$N221)</f>
        <v/>
      </c>
      <c r="H4836" s="10" t="str">
        <f aca="false">IF($L4836="","",IF($L4836="@对方",生产加工!$K221,IF($L4836="@存货",生产加工!$Q221,$L4836)))</f>
        <v/>
      </c>
      <c r="I4836" s="42" t="n">
        <f aca="false">IF($M4836="借",$O4836,0)</f>
        <v>0</v>
      </c>
      <c r="J4836" s="42" t="n">
        <f aca="false">IF($M4836="贷",$O4836,0)</f>
        <v>0</v>
      </c>
      <c r="K4836" s="48"/>
      <c r="L4836" s="66" t="str">
        <f aca="false">IF(生产加工!$E221="","",IFERROR(INDEX(记账规则!$A$36:$H$38,MATCH(生产加工!$E221,记账规则!$A$36:$A$38,0),3),""))</f>
        <v/>
      </c>
      <c r="M4836" s="66" t="str">
        <f aca="false">IF($L4836="","",IFERROR(INDEX(记账规则!$A$36:$H$38,MATCH(生产加工!$E221,记账规则!$A$36:$A$38,0),4),""))</f>
        <v/>
      </c>
      <c r="N4836" s="66" t="str">
        <f aca="false">IF($L4836="","",IFERROR(INDEX(记账规则!$A$36:$H$38,MATCH(生产加工!$E221,记账规则!$A$36:$A$38,0),5),""))</f>
        <v/>
      </c>
      <c r="O4836" s="67" t="n">
        <f aca="false">IF($H4836="",0,ROUND(IF($N4836="记账金额",N(生产加工!$U221),0),2))</f>
        <v>0</v>
      </c>
      <c r="P4836" s="64" t="str">
        <f aca="false">IF(AND($H4836&lt;&gt;"",ROUND($O4836,2)&lt;&gt;0),"有","")</f>
        <v/>
      </c>
    </row>
    <row r="4837" customFormat="false" ht="15" hidden="true" customHeight="false" outlineLevel="0" collapsed="false">
      <c r="A4837" s="53" t="str">
        <f aca="false">IF($H4837="","",ROW()-5)</f>
        <v/>
      </c>
      <c r="B4837" s="64" t="s">
        <v>38</v>
      </c>
      <c r="C4837" s="53" t="n">
        <v>221</v>
      </c>
      <c r="D4837" s="53" t="n">
        <v>2</v>
      </c>
      <c r="E4837" s="65" t="str">
        <f aca="false">IF($H4837="","",生产加工!$B221)</f>
        <v/>
      </c>
      <c r="F4837" s="55" t="str">
        <f aca="false">IF($H4837="","",生产加工!$C221)</f>
        <v/>
      </c>
      <c r="G4837" s="48" t="str">
        <f aca="false">IF($H4837="","",生产加工!$N221)</f>
        <v/>
      </c>
      <c r="H4837" s="10" t="str">
        <f aca="false">IF($L4837="","",IF($L4837="@对方",生产加工!$K221,IF($L4837="@存货",生产加工!$Q221,$L4837)))</f>
        <v/>
      </c>
      <c r="I4837" s="42" t="n">
        <f aca="false">IF($M4837="借",$O4837,0)</f>
        <v>0</v>
      </c>
      <c r="J4837" s="42" t="n">
        <f aca="false">IF($M4837="贷",$O4837,0)</f>
        <v>0</v>
      </c>
      <c r="K4837" s="48"/>
      <c r="L4837" s="66" t="str">
        <f aca="false">IF(生产加工!$E221="","",IFERROR(INDEX(记账规则!$A$36:$H$38,MATCH(生产加工!$E221,记账规则!$A$36:$A$38,0),6),""))</f>
        <v/>
      </c>
      <c r="M4837" s="66" t="str">
        <f aca="false">IF($L4837="","",IFERROR(INDEX(记账规则!$A$36:$H$38,MATCH(生产加工!$E221,记账规则!$A$36:$A$38,0),7),""))</f>
        <v/>
      </c>
      <c r="N4837" s="66" t="str">
        <f aca="false">IF($L4837="","",IFERROR(INDEX(记账规则!$A$36:$H$38,MATCH(生产加工!$E221,记账规则!$A$36:$A$38,0),8),""))</f>
        <v/>
      </c>
      <c r="O4837" s="67" t="n">
        <f aca="false">IF($H4837="",0,ROUND(IF($N4837="记账金额",N(生产加工!$U221),0),2))</f>
        <v>0</v>
      </c>
      <c r="P4837" s="64" t="str">
        <f aca="false">IF(AND($H4837&lt;&gt;"",ROUND($O4837,2)&lt;&gt;0),"有","")</f>
        <v/>
      </c>
    </row>
    <row r="4838" customFormat="false" ht="15" hidden="true" customHeight="false" outlineLevel="0" collapsed="false">
      <c r="A4838" s="53" t="str">
        <f aca="false">IF($H4838="","",ROW()-5)</f>
        <v/>
      </c>
      <c r="B4838" s="64" t="s">
        <v>38</v>
      </c>
      <c r="C4838" s="53" t="n">
        <v>222</v>
      </c>
      <c r="D4838" s="53" t="n">
        <v>1</v>
      </c>
      <c r="E4838" s="65" t="str">
        <f aca="false">IF($H4838="","",生产加工!$B222)</f>
        <v/>
      </c>
      <c r="F4838" s="55" t="str">
        <f aca="false">IF($H4838="","",生产加工!$C222)</f>
        <v/>
      </c>
      <c r="G4838" s="48" t="str">
        <f aca="false">IF($H4838="","",生产加工!$N222)</f>
        <v/>
      </c>
      <c r="H4838" s="10" t="str">
        <f aca="false">IF($L4838="","",IF($L4838="@对方",生产加工!$K222,IF($L4838="@存货",生产加工!$Q222,$L4838)))</f>
        <v/>
      </c>
      <c r="I4838" s="42" t="n">
        <f aca="false">IF($M4838="借",$O4838,0)</f>
        <v>0</v>
      </c>
      <c r="J4838" s="42" t="n">
        <f aca="false">IF($M4838="贷",$O4838,0)</f>
        <v>0</v>
      </c>
      <c r="K4838" s="48"/>
      <c r="L4838" s="66" t="str">
        <f aca="false">IF(生产加工!$E222="","",IFERROR(INDEX(记账规则!$A$36:$H$38,MATCH(生产加工!$E222,记账规则!$A$36:$A$38,0),3),""))</f>
        <v/>
      </c>
      <c r="M4838" s="66" t="str">
        <f aca="false">IF($L4838="","",IFERROR(INDEX(记账规则!$A$36:$H$38,MATCH(生产加工!$E222,记账规则!$A$36:$A$38,0),4),""))</f>
        <v/>
      </c>
      <c r="N4838" s="66" t="str">
        <f aca="false">IF($L4838="","",IFERROR(INDEX(记账规则!$A$36:$H$38,MATCH(生产加工!$E222,记账规则!$A$36:$A$38,0),5),""))</f>
        <v/>
      </c>
      <c r="O4838" s="67" t="n">
        <f aca="false">IF($H4838="",0,ROUND(IF($N4838="记账金额",N(生产加工!$U222),0),2))</f>
        <v>0</v>
      </c>
      <c r="P4838" s="64" t="str">
        <f aca="false">IF(AND($H4838&lt;&gt;"",ROUND($O4838,2)&lt;&gt;0),"有","")</f>
        <v/>
      </c>
    </row>
    <row r="4839" customFormat="false" ht="15" hidden="true" customHeight="false" outlineLevel="0" collapsed="false">
      <c r="A4839" s="53" t="str">
        <f aca="false">IF($H4839="","",ROW()-5)</f>
        <v/>
      </c>
      <c r="B4839" s="64" t="s">
        <v>38</v>
      </c>
      <c r="C4839" s="53" t="n">
        <v>222</v>
      </c>
      <c r="D4839" s="53" t="n">
        <v>2</v>
      </c>
      <c r="E4839" s="65" t="str">
        <f aca="false">IF($H4839="","",生产加工!$B222)</f>
        <v/>
      </c>
      <c r="F4839" s="55" t="str">
        <f aca="false">IF($H4839="","",生产加工!$C222)</f>
        <v/>
      </c>
      <c r="G4839" s="48" t="str">
        <f aca="false">IF($H4839="","",生产加工!$N222)</f>
        <v/>
      </c>
      <c r="H4839" s="10" t="str">
        <f aca="false">IF($L4839="","",IF($L4839="@对方",生产加工!$K222,IF($L4839="@存货",生产加工!$Q222,$L4839)))</f>
        <v/>
      </c>
      <c r="I4839" s="42" t="n">
        <f aca="false">IF($M4839="借",$O4839,0)</f>
        <v>0</v>
      </c>
      <c r="J4839" s="42" t="n">
        <f aca="false">IF($M4839="贷",$O4839,0)</f>
        <v>0</v>
      </c>
      <c r="K4839" s="48"/>
      <c r="L4839" s="66" t="str">
        <f aca="false">IF(生产加工!$E222="","",IFERROR(INDEX(记账规则!$A$36:$H$38,MATCH(生产加工!$E222,记账规则!$A$36:$A$38,0),6),""))</f>
        <v/>
      </c>
      <c r="M4839" s="66" t="str">
        <f aca="false">IF($L4839="","",IFERROR(INDEX(记账规则!$A$36:$H$38,MATCH(生产加工!$E222,记账规则!$A$36:$A$38,0),7),""))</f>
        <v/>
      </c>
      <c r="N4839" s="66" t="str">
        <f aca="false">IF($L4839="","",IFERROR(INDEX(记账规则!$A$36:$H$38,MATCH(生产加工!$E222,记账规则!$A$36:$A$38,0),8),""))</f>
        <v/>
      </c>
      <c r="O4839" s="67" t="n">
        <f aca="false">IF($H4839="",0,ROUND(IF($N4839="记账金额",N(生产加工!$U222),0),2))</f>
        <v>0</v>
      </c>
      <c r="P4839" s="64" t="str">
        <f aca="false">IF(AND($H4839&lt;&gt;"",ROUND($O4839,2)&lt;&gt;0),"有","")</f>
        <v/>
      </c>
    </row>
    <row r="4840" customFormat="false" ht="15" hidden="true" customHeight="false" outlineLevel="0" collapsed="false">
      <c r="A4840" s="53" t="str">
        <f aca="false">IF($H4840="","",ROW()-5)</f>
        <v/>
      </c>
      <c r="B4840" s="64" t="s">
        <v>38</v>
      </c>
      <c r="C4840" s="53" t="n">
        <v>223</v>
      </c>
      <c r="D4840" s="53" t="n">
        <v>1</v>
      </c>
      <c r="E4840" s="65" t="str">
        <f aca="false">IF($H4840="","",生产加工!$B223)</f>
        <v/>
      </c>
      <c r="F4840" s="55" t="str">
        <f aca="false">IF($H4840="","",生产加工!$C223)</f>
        <v/>
      </c>
      <c r="G4840" s="48" t="str">
        <f aca="false">IF($H4840="","",生产加工!$N223)</f>
        <v/>
      </c>
      <c r="H4840" s="10" t="str">
        <f aca="false">IF($L4840="","",IF($L4840="@对方",生产加工!$K223,IF($L4840="@存货",生产加工!$Q223,$L4840)))</f>
        <v/>
      </c>
      <c r="I4840" s="42" t="n">
        <f aca="false">IF($M4840="借",$O4840,0)</f>
        <v>0</v>
      </c>
      <c r="J4840" s="42" t="n">
        <f aca="false">IF($M4840="贷",$O4840,0)</f>
        <v>0</v>
      </c>
      <c r="K4840" s="48"/>
      <c r="L4840" s="66" t="str">
        <f aca="false">IF(生产加工!$E223="","",IFERROR(INDEX(记账规则!$A$36:$H$38,MATCH(生产加工!$E223,记账规则!$A$36:$A$38,0),3),""))</f>
        <v/>
      </c>
      <c r="M4840" s="66" t="str">
        <f aca="false">IF($L4840="","",IFERROR(INDEX(记账规则!$A$36:$H$38,MATCH(生产加工!$E223,记账规则!$A$36:$A$38,0),4),""))</f>
        <v/>
      </c>
      <c r="N4840" s="66" t="str">
        <f aca="false">IF($L4840="","",IFERROR(INDEX(记账规则!$A$36:$H$38,MATCH(生产加工!$E223,记账规则!$A$36:$A$38,0),5),""))</f>
        <v/>
      </c>
      <c r="O4840" s="67" t="n">
        <f aca="false">IF($H4840="",0,ROUND(IF($N4840="记账金额",N(生产加工!$U223),0),2))</f>
        <v>0</v>
      </c>
      <c r="P4840" s="64" t="str">
        <f aca="false">IF(AND($H4840&lt;&gt;"",ROUND($O4840,2)&lt;&gt;0),"有","")</f>
        <v/>
      </c>
    </row>
    <row r="4841" customFormat="false" ht="15" hidden="true" customHeight="false" outlineLevel="0" collapsed="false">
      <c r="A4841" s="53" t="str">
        <f aca="false">IF($H4841="","",ROW()-5)</f>
        <v/>
      </c>
      <c r="B4841" s="64" t="s">
        <v>38</v>
      </c>
      <c r="C4841" s="53" t="n">
        <v>223</v>
      </c>
      <c r="D4841" s="53" t="n">
        <v>2</v>
      </c>
      <c r="E4841" s="65" t="str">
        <f aca="false">IF($H4841="","",生产加工!$B223)</f>
        <v/>
      </c>
      <c r="F4841" s="55" t="str">
        <f aca="false">IF($H4841="","",生产加工!$C223)</f>
        <v/>
      </c>
      <c r="G4841" s="48" t="str">
        <f aca="false">IF($H4841="","",生产加工!$N223)</f>
        <v/>
      </c>
      <c r="H4841" s="10" t="str">
        <f aca="false">IF($L4841="","",IF($L4841="@对方",生产加工!$K223,IF($L4841="@存货",生产加工!$Q223,$L4841)))</f>
        <v/>
      </c>
      <c r="I4841" s="42" t="n">
        <f aca="false">IF($M4841="借",$O4841,0)</f>
        <v>0</v>
      </c>
      <c r="J4841" s="42" t="n">
        <f aca="false">IF($M4841="贷",$O4841,0)</f>
        <v>0</v>
      </c>
      <c r="K4841" s="48"/>
      <c r="L4841" s="66" t="str">
        <f aca="false">IF(生产加工!$E223="","",IFERROR(INDEX(记账规则!$A$36:$H$38,MATCH(生产加工!$E223,记账规则!$A$36:$A$38,0),6),""))</f>
        <v/>
      </c>
      <c r="M4841" s="66" t="str">
        <f aca="false">IF($L4841="","",IFERROR(INDEX(记账规则!$A$36:$H$38,MATCH(生产加工!$E223,记账规则!$A$36:$A$38,0),7),""))</f>
        <v/>
      </c>
      <c r="N4841" s="66" t="str">
        <f aca="false">IF($L4841="","",IFERROR(INDEX(记账规则!$A$36:$H$38,MATCH(生产加工!$E223,记账规则!$A$36:$A$38,0),8),""))</f>
        <v/>
      </c>
      <c r="O4841" s="67" t="n">
        <f aca="false">IF($H4841="",0,ROUND(IF($N4841="记账金额",N(生产加工!$U223),0),2))</f>
        <v>0</v>
      </c>
      <c r="P4841" s="64" t="str">
        <f aca="false">IF(AND($H4841&lt;&gt;"",ROUND($O4841,2)&lt;&gt;0),"有","")</f>
        <v/>
      </c>
    </row>
    <row r="4842" customFormat="false" ht="15" hidden="true" customHeight="false" outlineLevel="0" collapsed="false">
      <c r="A4842" s="53" t="str">
        <f aca="false">IF($H4842="","",ROW()-5)</f>
        <v/>
      </c>
      <c r="B4842" s="64" t="s">
        <v>38</v>
      </c>
      <c r="C4842" s="53" t="n">
        <v>224</v>
      </c>
      <c r="D4842" s="53" t="n">
        <v>1</v>
      </c>
      <c r="E4842" s="65" t="str">
        <f aca="false">IF($H4842="","",生产加工!$B224)</f>
        <v/>
      </c>
      <c r="F4842" s="55" t="str">
        <f aca="false">IF($H4842="","",生产加工!$C224)</f>
        <v/>
      </c>
      <c r="G4842" s="48" t="str">
        <f aca="false">IF($H4842="","",生产加工!$N224)</f>
        <v/>
      </c>
      <c r="H4842" s="10" t="str">
        <f aca="false">IF($L4842="","",IF($L4842="@对方",生产加工!$K224,IF($L4842="@存货",生产加工!$Q224,$L4842)))</f>
        <v/>
      </c>
      <c r="I4842" s="42" t="n">
        <f aca="false">IF($M4842="借",$O4842,0)</f>
        <v>0</v>
      </c>
      <c r="J4842" s="42" t="n">
        <f aca="false">IF($M4842="贷",$O4842,0)</f>
        <v>0</v>
      </c>
      <c r="K4842" s="48"/>
      <c r="L4842" s="66" t="str">
        <f aca="false">IF(生产加工!$E224="","",IFERROR(INDEX(记账规则!$A$36:$H$38,MATCH(生产加工!$E224,记账规则!$A$36:$A$38,0),3),""))</f>
        <v/>
      </c>
      <c r="M4842" s="66" t="str">
        <f aca="false">IF($L4842="","",IFERROR(INDEX(记账规则!$A$36:$H$38,MATCH(生产加工!$E224,记账规则!$A$36:$A$38,0),4),""))</f>
        <v/>
      </c>
      <c r="N4842" s="66" t="str">
        <f aca="false">IF($L4842="","",IFERROR(INDEX(记账规则!$A$36:$H$38,MATCH(生产加工!$E224,记账规则!$A$36:$A$38,0),5),""))</f>
        <v/>
      </c>
      <c r="O4842" s="67" t="n">
        <f aca="false">IF($H4842="",0,ROUND(IF($N4842="记账金额",N(生产加工!$U224),0),2))</f>
        <v>0</v>
      </c>
      <c r="P4842" s="64" t="str">
        <f aca="false">IF(AND($H4842&lt;&gt;"",ROUND($O4842,2)&lt;&gt;0),"有","")</f>
        <v/>
      </c>
    </row>
    <row r="4843" customFormat="false" ht="15" hidden="true" customHeight="false" outlineLevel="0" collapsed="false">
      <c r="A4843" s="53" t="str">
        <f aca="false">IF($H4843="","",ROW()-5)</f>
        <v/>
      </c>
      <c r="B4843" s="64" t="s">
        <v>38</v>
      </c>
      <c r="C4843" s="53" t="n">
        <v>224</v>
      </c>
      <c r="D4843" s="53" t="n">
        <v>2</v>
      </c>
      <c r="E4843" s="65" t="str">
        <f aca="false">IF($H4843="","",生产加工!$B224)</f>
        <v/>
      </c>
      <c r="F4843" s="55" t="str">
        <f aca="false">IF($H4843="","",生产加工!$C224)</f>
        <v/>
      </c>
      <c r="G4843" s="48" t="str">
        <f aca="false">IF($H4843="","",生产加工!$N224)</f>
        <v/>
      </c>
      <c r="H4843" s="10" t="str">
        <f aca="false">IF($L4843="","",IF($L4843="@对方",生产加工!$K224,IF($L4843="@存货",生产加工!$Q224,$L4843)))</f>
        <v/>
      </c>
      <c r="I4843" s="42" t="n">
        <f aca="false">IF($M4843="借",$O4843,0)</f>
        <v>0</v>
      </c>
      <c r="J4843" s="42" t="n">
        <f aca="false">IF($M4843="贷",$O4843,0)</f>
        <v>0</v>
      </c>
      <c r="K4843" s="48"/>
      <c r="L4843" s="66" t="str">
        <f aca="false">IF(生产加工!$E224="","",IFERROR(INDEX(记账规则!$A$36:$H$38,MATCH(生产加工!$E224,记账规则!$A$36:$A$38,0),6),""))</f>
        <v/>
      </c>
      <c r="M4843" s="66" t="str">
        <f aca="false">IF($L4843="","",IFERROR(INDEX(记账规则!$A$36:$H$38,MATCH(生产加工!$E224,记账规则!$A$36:$A$38,0),7),""))</f>
        <v/>
      </c>
      <c r="N4843" s="66" t="str">
        <f aca="false">IF($L4843="","",IFERROR(INDEX(记账规则!$A$36:$H$38,MATCH(生产加工!$E224,记账规则!$A$36:$A$38,0),8),""))</f>
        <v/>
      </c>
      <c r="O4843" s="67" t="n">
        <f aca="false">IF($H4843="",0,ROUND(IF($N4843="记账金额",N(生产加工!$U224),0),2))</f>
        <v>0</v>
      </c>
      <c r="P4843" s="64" t="str">
        <f aca="false">IF(AND($H4843&lt;&gt;"",ROUND($O4843,2)&lt;&gt;0),"有","")</f>
        <v/>
      </c>
    </row>
    <row r="4844" customFormat="false" ht="15" hidden="true" customHeight="false" outlineLevel="0" collapsed="false">
      <c r="A4844" s="53" t="str">
        <f aca="false">IF($H4844="","",ROW()-5)</f>
        <v/>
      </c>
      <c r="B4844" s="64" t="s">
        <v>38</v>
      </c>
      <c r="C4844" s="53" t="n">
        <v>225</v>
      </c>
      <c r="D4844" s="53" t="n">
        <v>1</v>
      </c>
      <c r="E4844" s="65" t="str">
        <f aca="false">IF($H4844="","",生产加工!$B225)</f>
        <v/>
      </c>
      <c r="F4844" s="55" t="str">
        <f aca="false">IF($H4844="","",生产加工!$C225)</f>
        <v/>
      </c>
      <c r="G4844" s="48" t="str">
        <f aca="false">IF($H4844="","",生产加工!$N225)</f>
        <v/>
      </c>
      <c r="H4844" s="10" t="str">
        <f aca="false">IF($L4844="","",IF($L4844="@对方",生产加工!$K225,IF($L4844="@存货",生产加工!$Q225,$L4844)))</f>
        <v/>
      </c>
      <c r="I4844" s="42" t="n">
        <f aca="false">IF($M4844="借",$O4844,0)</f>
        <v>0</v>
      </c>
      <c r="J4844" s="42" t="n">
        <f aca="false">IF($M4844="贷",$O4844,0)</f>
        <v>0</v>
      </c>
      <c r="K4844" s="48"/>
      <c r="L4844" s="66" t="str">
        <f aca="false">IF(生产加工!$E225="","",IFERROR(INDEX(记账规则!$A$36:$H$38,MATCH(生产加工!$E225,记账规则!$A$36:$A$38,0),3),""))</f>
        <v/>
      </c>
      <c r="M4844" s="66" t="str">
        <f aca="false">IF($L4844="","",IFERROR(INDEX(记账规则!$A$36:$H$38,MATCH(生产加工!$E225,记账规则!$A$36:$A$38,0),4),""))</f>
        <v/>
      </c>
      <c r="N4844" s="66" t="str">
        <f aca="false">IF($L4844="","",IFERROR(INDEX(记账规则!$A$36:$H$38,MATCH(生产加工!$E225,记账规则!$A$36:$A$38,0),5),""))</f>
        <v/>
      </c>
      <c r="O4844" s="67" t="n">
        <f aca="false">IF($H4844="",0,ROUND(IF($N4844="记账金额",N(生产加工!$U225),0),2))</f>
        <v>0</v>
      </c>
      <c r="P4844" s="64" t="str">
        <f aca="false">IF(AND($H4844&lt;&gt;"",ROUND($O4844,2)&lt;&gt;0),"有","")</f>
        <v/>
      </c>
    </row>
    <row r="4845" customFormat="false" ht="15" hidden="true" customHeight="false" outlineLevel="0" collapsed="false">
      <c r="A4845" s="53" t="str">
        <f aca="false">IF($H4845="","",ROW()-5)</f>
        <v/>
      </c>
      <c r="B4845" s="64" t="s">
        <v>38</v>
      </c>
      <c r="C4845" s="53" t="n">
        <v>225</v>
      </c>
      <c r="D4845" s="53" t="n">
        <v>2</v>
      </c>
      <c r="E4845" s="65" t="str">
        <f aca="false">IF($H4845="","",生产加工!$B225)</f>
        <v/>
      </c>
      <c r="F4845" s="55" t="str">
        <f aca="false">IF($H4845="","",生产加工!$C225)</f>
        <v/>
      </c>
      <c r="G4845" s="48" t="str">
        <f aca="false">IF($H4845="","",生产加工!$N225)</f>
        <v/>
      </c>
      <c r="H4845" s="10" t="str">
        <f aca="false">IF($L4845="","",IF($L4845="@对方",生产加工!$K225,IF($L4845="@存货",生产加工!$Q225,$L4845)))</f>
        <v/>
      </c>
      <c r="I4845" s="42" t="n">
        <f aca="false">IF($M4845="借",$O4845,0)</f>
        <v>0</v>
      </c>
      <c r="J4845" s="42" t="n">
        <f aca="false">IF($M4845="贷",$O4845,0)</f>
        <v>0</v>
      </c>
      <c r="K4845" s="48"/>
      <c r="L4845" s="66" t="str">
        <f aca="false">IF(生产加工!$E225="","",IFERROR(INDEX(记账规则!$A$36:$H$38,MATCH(生产加工!$E225,记账规则!$A$36:$A$38,0),6),""))</f>
        <v/>
      </c>
      <c r="M4845" s="66" t="str">
        <f aca="false">IF($L4845="","",IFERROR(INDEX(记账规则!$A$36:$H$38,MATCH(生产加工!$E225,记账规则!$A$36:$A$38,0),7),""))</f>
        <v/>
      </c>
      <c r="N4845" s="66" t="str">
        <f aca="false">IF($L4845="","",IFERROR(INDEX(记账规则!$A$36:$H$38,MATCH(生产加工!$E225,记账规则!$A$36:$A$38,0),8),""))</f>
        <v/>
      </c>
      <c r="O4845" s="67" t="n">
        <f aca="false">IF($H4845="",0,ROUND(IF($N4845="记账金额",N(生产加工!$U225),0),2))</f>
        <v>0</v>
      </c>
      <c r="P4845" s="64" t="str">
        <f aca="false">IF(AND($H4845&lt;&gt;"",ROUND($O4845,2)&lt;&gt;0),"有","")</f>
        <v/>
      </c>
    </row>
    <row r="4846" customFormat="false" ht="15" hidden="true" customHeight="false" outlineLevel="0" collapsed="false">
      <c r="A4846" s="53" t="str">
        <f aca="false">IF($H4846="","",ROW()-5)</f>
        <v/>
      </c>
      <c r="B4846" s="64" t="s">
        <v>38</v>
      </c>
      <c r="C4846" s="53" t="n">
        <v>226</v>
      </c>
      <c r="D4846" s="53" t="n">
        <v>1</v>
      </c>
      <c r="E4846" s="65" t="str">
        <f aca="false">IF($H4846="","",生产加工!$B226)</f>
        <v/>
      </c>
      <c r="F4846" s="55" t="str">
        <f aca="false">IF($H4846="","",生产加工!$C226)</f>
        <v/>
      </c>
      <c r="G4846" s="48" t="str">
        <f aca="false">IF($H4846="","",生产加工!$N226)</f>
        <v/>
      </c>
      <c r="H4846" s="10" t="str">
        <f aca="false">IF($L4846="","",IF($L4846="@对方",生产加工!$K226,IF($L4846="@存货",生产加工!$Q226,$L4846)))</f>
        <v/>
      </c>
      <c r="I4846" s="42" t="n">
        <f aca="false">IF($M4846="借",$O4846,0)</f>
        <v>0</v>
      </c>
      <c r="J4846" s="42" t="n">
        <f aca="false">IF($M4846="贷",$O4846,0)</f>
        <v>0</v>
      </c>
      <c r="K4846" s="48"/>
      <c r="L4846" s="66" t="str">
        <f aca="false">IF(生产加工!$E226="","",IFERROR(INDEX(记账规则!$A$36:$H$38,MATCH(生产加工!$E226,记账规则!$A$36:$A$38,0),3),""))</f>
        <v/>
      </c>
      <c r="M4846" s="66" t="str">
        <f aca="false">IF($L4846="","",IFERROR(INDEX(记账规则!$A$36:$H$38,MATCH(生产加工!$E226,记账规则!$A$36:$A$38,0),4),""))</f>
        <v/>
      </c>
      <c r="N4846" s="66" t="str">
        <f aca="false">IF($L4846="","",IFERROR(INDEX(记账规则!$A$36:$H$38,MATCH(生产加工!$E226,记账规则!$A$36:$A$38,0),5),""))</f>
        <v/>
      </c>
      <c r="O4846" s="67" t="n">
        <f aca="false">IF($H4846="",0,ROUND(IF($N4846="记账金额",N(生产加工!$U226),0),2))</f>
        <v>0</v>
      </c>
      <c r="P4846" s="64" t="str">
        <f aca="false">IF(AND($H4846&lt;&gt;"",ROUND($O4846,2)&lt;&gt;0),"有","")</f>
        <v/>
      </c>
    </row>
    <row r="4847" customFormat="false" ht="15" hidden="true" customHeight="false" outlineLevel="0" collapsed="false">
      <c r="A4847" s="53" t="str">
        <f aca="false">IF($H4847="","",ROW()-5)</f>
        <v/>
      </c>
      <c r="B4847" s="64" t="s">
        <v>38</v>
      </c>
      <c r="C4847" s="53" t="n">
        <v>226</v>
      </c>
      <c r="D4847" s="53" t="n">
        <v>2</v>
      </c>
      <c r="E4847" s="65" t="str">
        <f aca="false">IF($H4847="","",生产加工!$B226)</f>
        <v/>
      </c>
      <c r="F4847" s="55" t="str">
        <f aca="false">IF($H4847="","",生产加工!$C226)</f>
        <v/>
      </c>
      <c r="G4847" s="48" t="str">
        <f aca="false">IF($H4847="","",生产加工!$N226)</f>
        <v/>
      </c>
      <c r="H4847" s="10" t="str">
        <f aca="false">IF($L4847="","",IF($L4847="@对方",生产加工!$K226,IF($L4847="@存货",生产加工!$Q226,$L4847)))</f>
        <v/>
      </c>
      <c r="I4847" s="42" t="n">
        <f aca="false">IF($M4847="借",$O4847,0)</f>
        <v>0</v>
      </c>
      <c r="J4847" s="42" t="n">
        <f aca="false">IF($M4847="贷",$O4847,0)</f>
        <v>0</v>
      </c>
      <c r="K4847" s="48"/>
      <c r="L4847" s="66" t="str">
        <f aca="false">IF(生产加工!$E226="","",IFERROR(INDEX(记账规则!$A$36:$H$38,MATCH(生产加工!$E226,记账规则!$A$36:$A$38,0),6),""))</f>
        <v/>
      </c>
      <c r="M4847" s="66" t="str">
        <f aca="false">IF($L4847="","",IFERROR(INDEX(记账规则!$A$36:$H$38,MATCH(生产加工!$E226,记账规则!$A$36:$A$38,0),7),""))</f>
        <v/>
      </c>
      <c r="N4847" s="66" t="str">
        <f aca="false">IF($L4847="","",IFERROR(INDEX(记账规则!$A$36:$H$38,MATCH(生产加工!$E226,记账规则!$A$36:$A$38,0),8),""))</f>
        <v/>
      </c>
      <c r="O4847" s="67" t="n">
        <f aca="false">IF($H4847="",0,ROUND(IF($N4847="记账金额",N(生产加工!$U226),0),2))</f>
        <v>0</v>
      </c>
      <c r="P4847" s="64" t="str">
        <f aca="false">IF(AND($H4847&lt;&gt;"",ROUND($O4847,2)&lt;&gt;0),"有","")</f>
        <v/>
      </c>
    </row>
    <row r="4848" customFormat="false" ht="15" hidden="true" customHeight="false" outlineLevel="0" collapsed="false">
      <c r="A4848" s="53" t="str">
        <f aca="false">IF($H4848="","",ROW()-5)</f>
        <v/>
      </c>
      <c r="B4848" s="64" t="s">
        <v>38</v>
      </c>
      <c r="C4848" s="53" t="n">
        <v>227</v>
      </c>
      <c r="D4848" s="53" t="n">
        <v>1</v>
      </c>
      <c r="E4848" s="65" t="str">
        <f aca="false">IF($H4848="","",生产加工!$B227)</f>
        <v/>
      </c>
      <c r="F4848" s="55" t="str">
        <f aca="false">IF($H4848="","",生产加工!$C227)</f>
        <v/>
      </c>
      <c r="G4848" s="48" t="str">
        <f aca="false">IF($H4848="","",生产加工!$N227)</f>
        <v/>
      </c>
      <c r="H4848" s="10" t="str">
        <f aca="false">IF($L4848="","",IF($L4848="@对方",生产加工!$K227,IF($L4848="@存货",生产加工!$Q227,$L4848)))</f>
        <v/>
      </c>
      <c r="I4848" s="42" t="n">
        <f aca="false">IF($M4848="借",$O4848,0)</f>
        <v>0</v>
      </c>
      <c r="J4848" s="42" t="n">
        <f aca="false">IF($M4848="贷",$O4848,0)</f>
        <v>0</v>
      </c>
      <c r="K4848" s="48"/>
      <c r="L4848" s="66" t="str">
        <f aca="false">IF(生产加工!$E227="","",IFERROR(INDEX(记账规则!$A$36:$H$38,MATCH(生产加工!$E227,记账规则!$A$36:$A$38,0),3),""))</f>
        <v/>
      </c>
      <c r="M4848" s="66" t="str">
        <f aca="false">IF($L4848="","",IFERROR(INDEX(记账规则!$A$36:$H$38,MATCH(生产加工!$E227,记账规则!$A$36:$A$38,0),4),""))</f>
        <v/>
      </c>
      <c r="N4848" s="66" t="str">
        <f aca="false">IF($L4848="","",IFERROR(INDEX(记账规则!$A$36:$H$38,MATCH(生产加工!$E227,记账规则!$A$36:$A$38,0),5),""))</f>
        <v/>
      </c>
      <c r="O4848" s="67" t="n">
        <f aca="false">IF($H4848="",0,ROUND(IF($N4848="记账金额",N(生产加工!$U227),0),2))</f>
        <v>0</v>
      </c>
      <c r="P4848" s="64" t="str">
        <f aca="false">IF(AND($H4848&lt;&gt;"",ROUND($O4848,2)&lt;&gt;0),"有","")</f>
        <v/>
      </c>
    </row>
    <row r="4849" customFormat="false" ht="15" hidden="true" customHeight="false" outlineLevel="0" collapsed="false">
      <c r="A4849" s="53" t="str">
        <f aca="false">IF($H4849="","",ROW()-5)</f>
        <v/>
      </c>
      <c r="B4849" s="64" t="s">
        <v>38</v>
      </c>
      <c r="C4849" s="53" t="n">
        <v>227</v>
      </c>
      <c r="D4849" s="53" t="n">
        <v>2</v>
      </c>
      <c r="E4849" s="65" t="str">
        <f aca="false">IF($H4849="","",生产加工!$B227)</f>
        <v/>
      </c>
      <c r="F4849" s="55" t="str">
        <f aca="false">IF($H4849="","",生产加工!$C227)</f>
        <v/>
      </c>
      <c r="G4849" s="48" t="str">
        <f aca="false">IF($H4849="","",生产加工!$N227)</f>
        <v/>
      </c>
      <c r="H4849" s="10" t="str">
        <f aca="false">IF($L4849="","",IF($L4849="@对方",生产加工!$K227,IF($L4849="@存货",生产加工!$Q227,$L4849)))</f>
        <v/>
      </c>
      <c r="I4849" s="42" t="n">
        <f aca="false">IF($M4849="借",$O4849,0)</f>
        <v>0</v>
      </c>
      <c r="J4849" s="42" t="n">
        <f aca="false">IF($M4849="贷",$O4849,0)</f>
        <v>0</v>
      </c>
      <c r="K4849" s="48"/>
      <c r="L4849" s="66" t="str">
        <f aca="false">IF(生产加工!$E227="","",IFERROR(INDEX(记账规则!$A$36:$H$38,MATCH(生产加工!$E227,记账规则!$A$36:$A$38,0),6),""))</f>
        <v/>
      </c>
      <c r="M4849" s="66" t="str">
        <f aca="false">IF($L4849="","",IFERROR(INDEX(记账规则!$A$36:$H$38,MATCH(生产加工!$E227,记账规则!$A$36:$A$38,0),7),""))</f>
        <v/>
      </c>
      <c r="N4849" s="66" t="str">
        <f aca="false">IF($L4849="","",IFERROR(INDEX(记账规则!$A$36:$H$38,MATCH(生产加工!$E227,记账规则!$A$36:$A$38,0),8),""))</f>
        <v/>
      </c>
      <c r="O4849" s="67" t="n">
        <f aca="false">IF($H4849="",0,ROUND(IF($N4849="记账金额",N(生产加工!$U227),0),2))</f>
        <v>0</v>
      </c>
      <c r="P4849" s="64" t="str">
        <f aca="false">IF(AND($H4849&lt;&gt;"",ROUND($O4849,2)&lt;&gt;0),"有","")</f>
        <v/>
      </c>
    </row>
    <row r="4850" customFormat="false" ht="15" hidden="true" customHeight="false" outlineLevel="0" collapsed="false">
      <c r="A4850" s="53" t="str">
        <f aca="false">IF($H4850="","",ROW()-5)</f>
        <v/>
      </c>
      <c r="B4850" s="64" t="s">
        <v>38</v>
      </c>
      <c r="C4850" s="53" t="n">
        <v>228</v>
      </c>
      <c r="D4850" s="53" t="n">
        <v>1</v>
      </c>
      <c r="E4850" s="65" t="str">
        <f aca="false">IF($H4850="","",生产加工!$B228)</f>
        <v/>
      </c>
      <c r="F4850" s="55" t="str">
        <f aca="false">IF($H4850="","",生产加工!$C228)</f>
        <v/>
      </c>
      <c r="G4850" s="48" t="str">
        <f aca="false">IF($H4850="","",生产加工!$N228)</f>
        <v/>
      </c>
      <c r="H4850" s="10" t="str">
        <f aca="false">IF($L4850="","",IF($L4850="@对方",生产加工!$K228,IF($L4850="@存货",生产加工!$Q228,$L4850)))</f>
        <v/>
      </c>
      <c r="I4850" s="42" t="n">
        <f aca="false">IF($M4850="借",$O4850,0)</f>
        <v>0</v>
      </c>
      <c r="J4850" s="42" t="n">
        <f aca="false">IF($M4850="贷",$O4850,0)</f>
        <v>0</v>
      </c>
      <c r="K4850" s="48"/>
      <c r="L4850" s="66" t="str">
        <f aca="false">IF(生产加工!$E228="","",IFERROR(INDEX(记账规则!$A$36:$H$38,MATCH(生产加工!$E228,记账规则!$A$36:$A$38,0),3),""))</f>
        <v/>
      </c>
      <c r="M4850" s="66" t="str">
        <f aca="false">IF($L4850="","",IFERROR(INDEX(记账规则!$A$36:$H$38,MATCH(生产加工!$E228,记账规则!$A$36:$A$38,0),4),""))</f>
        <v/>
      </c>
      <c r="N4850" s="66" t="str">
        <f aca="false">IF($L4850="","",IFERROR(INDEX(记账规则!$A$36:$H$38,MATCH(生产加工!$E228,记账规则!$A$36:$A$38,0),5),""))</f>
        <v/>
      </c>
      <c r="O4850" s="67" t="n">
        <f aca="false">IF($H4850="",0,ROUND(IF($N4850="记账金额",N(生产加工!$U228),0),2))</f>
        <v>0</v>
      </c>
      <c r="P4850" s="64" t="str">
        <f aca="false">IF(AND($H4850&lt;&gt;"",ROUND($O4850,2)&lt;&gt;0),"有","")</f>
        <v/>
      </c>
    </row>
    <row r="4851" customFormat="false" ht="15" hidden="true" customHeight="false" outlineLevel="0" collapsed="false">
      <c r="A4851" s="53" t="str">
        <f aca="false">IF($H4851="","",ROW()-5)</f>
        <v/>
      </c>
      <c r="B4851" s="64" t="s">
        <v>38</v>
      </c>
      <c r="C4851" s="53" t="n">
        <v>228</v>
      </c>
      <c r="D4851" s="53" t="n">
        <v>2</v>
      </c>
      <c r="E4851" s="65" t="str">
        <f aca="false">IF($H4851="","",生产加工!$B228)</f>
        <v/>
      </c>
      <c r="F4851" s="55" t="str">
        <f aca="false">IF($H4851="","",生产加工!$C228)</f>
        <v/>
      </c>
      <c r="G4851" s="48" t="str">
        <f aca="false">IF($H4851="","",生产加工!$N228)</f>
        <v/>
      </c>
      <c r="H4851" s="10" t="str">
        <f aca="false">IF($L4851="","",IF($L4851="@对方",生产加工!$K228,IF($L4851="@存货",生产加工!$Q228,$L4851)))</f>
        <v/>
      </c>
      <c r="I4851" s="42" t="n">
        <f aca="false">IF($M4851="借",$O4851,0)</f>
        <v>0</v>
      </c>
      <c r="J4851" s="42" t="n">
        <f aca="false">IF($M4851="贷",$O4851,0)</f>
        <v>0</v>
      </c>
      <c r="K4851" s="48"/>
      <c r="L4851" s="66" t="str">
        <f aca="false">IF(生产加工!$E228="","",IFERROR(INDEX(记账规则!$A$36:$H$38,MATCH(生产加工!$E228,记账规则!$A$36:$A$38,0),6),""))</f>
        <v/>
      </c>
      <c r="M4851" s="66" t="str">
        <f aca="false">IF($L4851="","",IFERROR(INDEX(记账规则!$A$36:$H$38,MATCH(生产加工!$E228,记账规则!$A$36:$A$38,0),7),""))</f>
        <v/>
      </c>
      <c r="N4851" s="66" t="str">
        <f aca="false">IF($L4851="","",IFERROR(INDEX(记账规则!$A$36:$H$38,MATCH(生产加工!$E228,记账规则!$A$36:$A$38,0),8),""))</f>
        <v/>
      </c>
      <c r="O4851" s="67" t="n">
        <f aca="false">IF($H4851="",0,ROUND(IF($N4851="记账金额",N(生产加工!$U228),0),2))</f>
        <v>0</v>
      </c>
      <c r="P4851" s="64" t="str">
        <f aca="false">IF(AND($H4851&lt;&gt;"",ROUND($O4851,2)&lt;&gt;0),"有","")</f>
        <v/>
      </c>
    </row>
    <row r="4852" customFormat="false" ht="15" hidden="true" customHeight="false" outlineLevel="0" collapsed="false">
      <c r="A4852" s="53" t="str">
        <f aca="false">IF($H4852="","",ROW()-5)</f>
        <v/>
      </c>
      <c r="B4852" s="64" t="s">
        <v>38</v>
      </c>
      <c r="C4852" s="53" t="n">
        <v>229</v>
      </c>
      <c r="D4852" s="53" t="n">
        <v>1</v>
      </c>
      <c r="E4852" s="65" t="str">
        <f aca="false">IF($H4852="","",生产加工!$B229)</f>
        <v/>
      </c>
      <c r="F4852" s="55" t="str">
        <f aca="false">IF($H4852="","",生产加工!$C229)</f>
        <v/>
      </c>
      <c r="G4852" s="48" t="str">
        <f aca="false">IF($H4852="","",生产加工!$N229)</f>
        <v/>
      </c>
      <c r="H4852" s="10" t="str">
        <f aca="false">IF($L4852="","",IF($L4852="@对方",生产加工!$K229,IF($L4852="@存货",生产加工!$Q229,$L4852)))</f>
        <v/>
      </c>
      <c r="I4852" s="42" t="n">
        <f aca="false">IF($M4852="借",$O4852,0)</f>
        <v>0</v>
      </c>
      <c r="J4852" s="42" t="n">
        <f aca="false">IF($M4852="贷",$O4852,0)</f>
        <v>0</v>
      </c>
      <c r="K4852" s="48"/>
      <c r="L4852" s="66" t="str">
        <f aca="false">IF(生产加工!$E229="","",IFERROR(INDEX(记账规则!$A$36:$H$38,MATCH(生产加工!$E229,记账规则!$A$36:$A$38,0),3),""))</f>
        <v/>
      </c>
      <c r="M4852" s="66" t="str">
        <f aca="false">IF($L4852="","",IFERROR(INDEX(记账规则!$A$36:$H$38,MATCH(生产加工!$E229,记账规则!$A$36:$A$38,0),4),""))</f>
        <v/>
      </c>
      <c r="N4852" s="66" t="str">
        <f aca="false">IF($L4852="","",IFERROR(INDEX(记账规则!$A$36:$H$38,MATCH(生产加工!$E229,记账规则!$A$36:$A$38,0),5),""))</f>
        <v/>
      </c>
      <c r="O4852" s="67" t="n">
        <f aca="false">IF($H4852="",0,ROUND(IF($N4852="记账金额",N(生产加工!$U229),0),2))</f>
        <v>0</v>
      </c>
      <c r="P4852" s="64" t="str">
        <f aca="false">IF(AND($H4852&lt;&gt;"",ROUND($O4852,2)&lt;&gt;0),"有","")</f>
        <v/>
      </c>
    </row>
    <row r="4853" customFormat="false" ht="15" hidden="true" customHeight="false" outlineLevel="0" collapsed="false">
      <c r="A4853" s="53" t="str">
        <f aca="false">IF($H4853="","",ROW()-5)</f>
        <v/>
      </c>
      <c r="B4853" s="64" t="s">
        <v>38</v>
      </c>
      <c r="C4853" s="53" t="n">
        <v>229</v>
      </c>
      <c r="D4853" s="53" t="n">
        <v>2</v>
      </c>
      <c r="E4853" s="65" t="str">
        <f aca="false">IF($H4853="","",生产加工!$B229)</f>
        <v/>
      </c>
      <c r="F4853" s="55" t="str">
        <f aca="false">IF($H4853="","",生产加工!$C229)</f>
        <v/>
      </c>
      <c r="G4853" s="48" t="str">
        <f aca="false">IF($H4853="","",生产加工!$N229)</f>
        <v/>
      </c>
      <c r="H4853" s="10" t="str">
        <f aca="false">IF($L4853="","",IF($L4853="@对方",生产加工!$K229,IF($L4853="@存货",生产加工!$Q229,$L4853)))</f>
        <v/>
      </c>
      <c r="I4853" s="42" t="n">
        <f aca="false">IF($M4853="借",$O4853,0)</f>
        <v>0</v>
      </c>
      <c r="J4853" s="42" t="n">
        <f aca="false">IF($M4853="贷",$O4853,0)</f>
        <v>0</v>
      </c>
      <c r="K4853" s="48"/>
      <c r="L4853" s="66" t="str">
        <f aca="false">IF(生产加工!$E229="","",IFERROR(INDEX(记账规则!$A$36:$H$38,MATCH(生产加工!$E229,记账规则!$A$36:$A$38,0),6),""))</f>
        <v/>
      </c>
      <c r="M4853" s="66" t="str">
        <f aca="false">IF($L4853="","",IFERROR(INDEX(记账规则!$A$36:$H$38,MATCH(生产加工!$E229,记账规则!$A$36:$A$38,0),7),""))</f>
        <v/>
      </c>
      <c r="N4853" s="66" t="str">
        <f aca="false">IF($L4853="","",IFERROR(INDEX(记账规则!$A$36:$H$38,MATCH(生产加工!$E229,记账规则!$A$36:$A$38,0),8),""))</f>
        <v/>
      </c>
      <c r="O4853" s="67" t="n">
        <f aca="false">IF($H4853="",0,ROUND(IF($N4853="记账金额",N(生产加工!$U229),0),2))</f>
        <v>0</v>
      </c>
      <c r="P4853" s="64" t="str">
        <f aca="false">IF(AND($H4853&lt;&gt;"",ROUND($O4853,2)&lt;&gt;0),"有","")</f>
        <v/>
      </c>
    </row>
    <row r="4854" customFormat="false" ht="15" hidden="true" customHeight="false" outlineLevel="0" collapsed="false">
      <c r="A4854" s="53" t="str">
        <f aca="false">IF($H4854="","",ROW()-5)</f>
        <v/>
      </c>
      <c r="B4854" s="64" t="s">
        <v>38</v>
      </c>
      <c r="C4854" s="53" t="n">
        <v>230</v>
      </c>
      <c r="D4854" s="53" t="n">
        <v>1</v>
      </c>
      <c r="E4854" s="65" t="str">
        <f aca="false">IF($H4854="","",生产加工!$B230)</f>
        <v/>
      </c>
      <c r="F4854" s="55" t="str">
        <f aca="false">IF($H4854="","",生产加工!$C230)</f>
        <v/>
      </c>
      <c r="G4854" s="48" t="str">
        <f aca="false">IF($H4854="","",生产加工!$N230)</f>
        <v/>
      </c>
      <c r="H4854" s="10" t="str">
        <f aca="false">IF($L4854="","",IF($L4854="@对方",生产加工!$K230,IF($L4854="@存货",生产加工!$Q230,$L4854)))</f>
        <v/>
      </c>
      <c r="I4854" s="42" t="n">
        <f aca="false">IF($M4854="借",$O4854,0)</f>
        <v>0</v>
      </c>
      <c r="J4854" s="42" t="n">
        <f aca="false">IF($M4854="贷",$O4854,0)</f>
        <v>0</v>
      </c>
      <c r="K4854" s="48"/>
      <c r="L4854" s="66" t="str">
        <f aca="false">IF(生产加工!$E230="","",IFERROR(INDEX(记账规则!$A$36:$H$38,MATCH(生产加工!$E230,记账规则!$A$36:$A$38,0),3),""))</f>
        <v/>
      </c>
      <c r="M4854" s="66" t="str">
        <f aca="false">IF($L4854="","",IFERROR(INDEX(记账规则!$A$36:$H$38,MATCH(生产加工!$E230,记账规则!$A$36:$A$38,0),4),""))</f>
        <v/>
      </c>
      <c r="N4854" s="66" t="str">
        <f aca="false">IF($L4854="","",IFERROR(INDEX(记账规则!$A$36:$H$38,MATCH(生产加工!$E230,记账规则!$A$36:$A$38,0),5),""))</f>
        <v/>
      </c>
      <c r="O4854" s="67" t="n">
        <f aca="false">IF($H4854="",0,ROUND(IF($N4854="记账金额",N(生产加工!$U230),0),2))</f>
        <v>0</v>
      </c>
      <c r="P4854" s="64" t="str">
        <f aca="false">IF(AND($H4854&lt;&gt;"",ROUND($O4854,2)&lt;&gt;0),"有","")</f>
        <v/>
      </c>
    </row>
    <row r="4855" customFormat="false" ht="15" hidden="true" customHeight="false" outlineLevel="0" collapsed="false">
      <c r="A4855" s="53" t="str">
        <f aca="false">IF($H4855="","",ROW()-5)</f>
        <v/>
      </c>
      <c r="B4855" s="64" t="s">
        <v>38</v>
      </c>
      <c r="C4855" s="53" t="n">
        <v>230</v>
      </c>
      <c r="D4855" s="53" t="n">
        <v>2</v>
      </c>
      <c r="E4855" s="65" t="str">
        <f aca="false">IF($H4855="","",生产加工!$B230)</f>
        <v/>
      </c>
      <c r="F4855" s="55" t="str">
        <f aca="false">IF($H4855="","",生产加工!$C230)</f>
        <v/>
      </c>
      <c r="G4855" s="48" t="str">
        <f aca="false">IF($H4855="","",生产加工!$N230)</f>
        <v/>
      </c>
      <c r="H4855" s="10" t="str">
        <f aca="false">IF($L4855="","",IF($L4855="@对方",生产加工!$K230,IF($L4855="@存货",生产加工!$Q230,$L4855)))</f>
        <v/>
      </c>
      <c r="I4855" s="42" t="n">
        <f aca="false">IF($M4855="借",$O4855,0)</f>
        <v>0</v>
      </c>
      <c r="J4855" s="42" t="n">
        <f aca="false">IF($M4855="贷",$O4855,0)</f>
        <v>0</v>
      </c>
      <c r="K4855" s="48"/>
      <c r="L4855" s="66" t="str">
        <f aca="false">IF(生产加工!$E230="","",IFERROR(INDEX(记账规则!$A$36:$H$38,MATCH(生产加工!$E230,记账规则!$A$36:$A$38,0),6),""))</f>
        <v/>
      </c>
      <c r="M4855" s="66" t="str">
        <f aca="false">IF($L4855="","",IFERROR(INDEX(记账规则!$A$36:$H$38,MATCH(生产加工!$E230,记账规则!$A$36:$A$38,0),7),""))</f>
        <v/>
      </c>
      <c r="N4855" s="66" t="str">
        <f aca="false">IF($L4855="","",IFERROR(INDEX(记账规则!$A$36:$H$38,MATCH(生产加工!$E230,记账规则!$A$36:$A$38,0),8),""))</f>
        <v/>
      </c>
      <c r="O4855" s="67" t="n">
        <f aca="false">IF($H4855="",0,ROUND(IF($N4855="记账金额",N(生产加工!$U230),0),2))</f>
        <v>0</v>
      </c>
      <c r="P4855" s="64" t="str">
        <f aca="false">IF(AND($H4855&lt;&gt;"",ROUND($O4855,2)&lt;&gt;0),"有","")</f>
        <v/>
      </c>
    </row>
    <row r="4856" customFormat="false" ht="15" hidden="true" customHeight="false" outlineLevel="0" collapsed="false">
      <c r="A4856" s="53" t="str">
        <f aca="false">IF($H4856="","",ROW()-5)</f>
        <v/>
      </c>
      <c r="B4856" s="64" t="s">
        <v>38</v>
      </c>
      <c r="C4856" s="53" t="n">
        <v>231</v>
      </c>
      <c r="D4856" s="53" t="n">
        <v>1</v>
      </c>
      <c r="E4856" s="65" t="str">
        <f aca="false">IF($H4856="","",生产加工!$B231)</f>
        <v/>
      </c>
      <c r="F4856" s="55" t="str">
        <f aca="false">IF($H4856="","",生产加工!$C231)</f>
        <v/>
      </c>
      <c r="G4856" s="48" t="str">
        <f aca="false">IF($H4856="","",生产加工!$N231)</f>
        <v/>
      </c>
      <c r="H4856" s="10" t="str">
        <f aca="false">IF($L4856="","",IF($L4856="@对方",生产加工!$K231,IF($L4856="@存货",生产加工!$Q231,$L4856)))</f>
        <v/>
      </c>
      <c r="I4856" s="42" t="n">
        <f aca="false">IF($M4856="借",$O4856,0)</f>
        <v>0</v>
      </c>
      <c r="J4856" s="42" t="n">
        <f aca="false">IF($M4856="贷",$O4856,0)</f>
        <v>0</v>
      </c>
      <c r="K4856" s="48"/>
      <c r="L4856" s="66" t="str">
        <f aca="false">IF(生产加工!$E231="","",IFERROR(INDEX(记账规则!$A$36:$H$38,MATCH(生产加工!$E231,记账规则!$A$36:$A$38,0),3),""))</f>
        <v/>
      </c>
      <c r="M4856" s="66" t="str">
        <f aca="false">IF($L4856="","",IFERROR(INDEX(记账规则!$A$36:$H$38,MATCH(生产加工!$E231,记账规则!$A$36:$A$38,0),4),""))</f>
        <v/>
      </c>
      <c r="N4856" s="66" t="str">
        <f aca="false">IF($L4856="","",IFERROR(INDEX(记账规则!$A$36:$H$38,MATCH(生产加工!$E231,记账规则!$A$36:$A$38,0),5),""))</f>
        <v/>
      </c>
      <c r="O4856" s="67" t="n">
        <f aca="false">IF($H4856="",0,ROUND(IF($N4856="记账金额",N(生产加工!$U231),0),2))</f>
        <v>0</v>
      </c>
      <c r="P4856" s="64" t="str">
        <f aca="false">IF(AND($H4856&lt;&gt;"",ROUND($O4856,2)&lt;&gt;0),"有","")</f>
        <v/>
      </c>
    </row>
    <row r="4857" customFormat="false" ht="15" hidden="true" customHeight="false" outlineLevel="0" collapsed="false">
      <c r="A4857" s="53" t="str">
        <f aca="false">IF($H4857="","",ROW()-5)</f>
        <v/>
      </c>
      <c r="B4857" s="64" t="s">
        <v>38</v>
      </c>
      <c r="C4857" s="53" t="n">
        <v>231</v>
      </c>
      <c r="D4857" s="53" t="n">
        <v>2</v>
      </c>
      <c r="E4857" s="65" t="str">
        <f aca="false">IF($H4857="","",生产加工!$B231)</f>
        <v/>
      </c>
      <c r="F4857" s="55" t="str">
        <f aca="false">IF($H4857="","",生产加工!$C231)</f>
        <v/>
      </c>
      <c r="G4857" s="48" t="str">
        <f aca="false">IF($H4857="","",生产加工!$N231)</f>
        <v/>
      </c>
      <c r="H4857" s="10" t="str">
        <f aca="false">IF($L4857="","",IF($L4857="@对方",生产加工!$K231,IF($L4857="@存货",生产加工!$Q231,$L4857)))</f>
        <v/>
      </c>
      <c r="I4857" s="42" t="n">
        <f aca="false">IF($M4857="借",$O4857,0)</f>
        <v>0</v>
      </c>
      <c r="J4857" s="42" t="n">
        <f aca="false">IF($M4857="贷",$O4857,0)</f>
        <v>0</v>
      </c>
      <c r="K4857" s="48"/>
      <c r="L4857" s="66" t="str">
        <f aca="false">IF(生产加工!$E231="","",IFERROR(INDEX(记账规则!$A$36:$H$38,MATCH(生产加工!$E231,记账规则!$A$36:$A$38,0),6),""))</f>
        <v/>
      </c>
      <c r="M4857" s="66" t="str">
        <f aca="false">IF($L4857="","",IFERROR(INDEX(记账规则!$A$36:$H$38,MATCH(生产加工!$E231,记账规则!$A$36:$A$38,0),7),""))</f>
        <v/>
      </c>
      <c r="N4857" s="66" t="str">
        <f aca="false">IF($L4857="","",IFERROR(INDEX(记账规则!$A$36:$H$38,MATCH(生产加工!$E231,记账规则!$A$36:$A$38,0),8),""))</f>
        <v/>
      </c>
      <c r="O4857" s="67" t="n">
        <f aca="false">IF($H4857="",0,ROUND(IF($N4857="记账金额",N(生产加工!$U231),0),2))</f>
        <v>0</v>
      </c>
      <c r="P4857" s="64" t="str">
        <f aca="false">IF(AND($H4857&lt;&gt;"",ROUND($O4857,2)&lt;&gt;0),"有","")</f>
        <v/>
      </c>
    </row>
    <row r="4858" customFormat="false" ht="15" hidden="true" customHeight="false" outlineLevel="0" collapsed="false">
      <c r="A4858" s="53" t="str">
        <f aca="false">IF($H4858="","",ROW()-5)</f>
        <v/>
      </c>
      <c r="B4858" s="64" t="s">
        <v>38</v>
      </c>
      <c r="C4858" s="53" t="n">
        <v>232</v>
      </c>
      <c r="D4858" s="53" t="n">
        <v>1</v>
      </c>
      <c r="E4858" s="65" t="str">
        <f aca="false">IF($H4858="","",生产加工!$B232)</f>
        <v/>
      </c>
      <c r="F4858" s="55" t="str">
        <f aca="false">IF($H4858="","",生产加工!$C232)</f>
        <v/>
      </c>
      <c r="G4858" s="48" t="str">
        <f aca="false">IF($H4858="","",生产加工!$N232)</f>
        <v/>
      </c>
      <c r="H4858" s="10" t="str">
        <f aca="false">IF($L4858="","",IF($L4858="@对方",生产加工!$K232,IF($L4858="@存货",生产加工!$Q232,$L4858)))</f>
        <v/>
      </c>
      <c r="I4858" s="42" t="n">
        <f aca="false">IF($M4858="借",$O4858,0)</f>
        <v>0</v>
      </c>
      <c r="J4858" s="42" t="n">
        <f aca="false">IF($M4858="贷",$O4858,0)</f>
        <v>0</v>
      </c>
      <c r="K4858" s="48"/>
      <c r="L4858" s="66" t="str">
        <f aca="false">IF(生产加工!$E232="","",IFERROR(INDEX(记账规则!$A$36:$H$38,MATCH(生产加工!$E232,记账规则!$A$36:$A$38,0),3),""))</f>
        <v/>
      </c>
      <c r="M4858" s="66" t="str">
        <f aca="false">IF($L4858="","",IFERROR(INDEX(记账规则!$A$36:$H$38,MATCH(生产加工!$E232,记账规则!$A$36:$A$38,0),4),""))</f>
        <v/>
      </c>
      <c r="N4858" s="66" t="str">
        <f aca="false">IF($L4858="","",IFERROR(INDEX(记账规则!$A$36:$H$38,MATCH(生产加工!$E232,记账规则!$A$36:$A$38,0),5),""))</f>
        <v/>
      </c>
      <c r="O4858" s="67" t="n">
        <f aca="false">IF($H4858="",0,ROUND(IF($N4858="记账金额",N(生产加工!$U232),0),2))</f>
        <v>0</v>
      </c>
      <c r="P4858" s="64" t="str">
        <f aca="false">IF(AND($H4858&lt;&gt;"",ROUND($O4858,2)&lt;&gt;0),"有","")</f>
        <v/>
      </c>
    </row>
    <row r="4859" customFormat="false" ht="15" hidden="true" customHeight="false" outlineLevel="0" collapsed="false">
      <c r="A4859" s="53" t="str">
        <f aca="false">IF($H4859="","",ROW()-5)</f>
        <v/>
      </c>
      <c r="B4859" s="64" t="s">
        <v>38</v>
      </c>
      <c r="C4859" s="53" t="n">
        <v>232</v>
      </c>
      <c r="D4859" s="53" t="n">
        <v>2</v>
      </c>
      <c r="E4859" s="65" t="str">
        <f aca="false">IF($H4859="","",生产加工!$B232)</f>
        <v/>
      </c>
      <c r="F4859" s="55" t="str">
        <f aca="false">IF($H4859="","",生产加工!$C232)</f>
        <v/>
      </c>
      <c r="G4859" s="48" t="str">
        <f aca="false">IF($H4859="","",生产加工!$N232)</f>
        <v/>
      </c>
      <c r="H4859" s="10" t="str">
        <f aca="false">IF($L4859="","",IF($L4859="@对方",生产加工!$K232,IF($L4859="@存货",生产加工!$Q232,$L4859)))</f>
        <v/>
      </c>
      <c r="I4859" s="42" t="n">
        <f aca="false">IF($M4859="借",$O4859,0)</f>
        <v>0</v>
      </c>
      <c r="J4859" s="42" t="n">
        <f aca="false">IF($M4859="贷",$O4859,0)</f>
        <v>0</v>
      </c>
      <c r="K4859" s="48"/>
      <c r="L4859" s="66" t="str">
        <f aca="false">IF(生产加工!$E232="","",IFERROR(INDEX(记账规则!$A$36:$H$38,MATCH(生产加工!$E232,记账规则!$A$36:$A$38,0),6),""))</f>
        <v/>
      </c>
      <c r="M4859" s="66" t="str">
        <f aca="false">IF($L4859="","",IFERROR(INDEX(记账规则!$A$36:$H$38,MATCH(生产加工!$E232,记账规则!$A$36:$A$38,0),7),""))</f>
        <v/>
      </c>
      <c r="N4859" s="66" t="str">
        <f aca="false">IF($L4859="","",IFERROR(INDEX(记账规则!$A$36:$H$38,MATCH(生产加工!$E232,记账规则!$A$36:$A$38,0),8),""))</f>
        <v/>
      </c>
      <c r="O4859" s="67" t="n">
        <f aca="false">IF($H4859="",0,ROUND(IF($N4859="记账金额",N(生产加工!$U232),0),2))</f>
        <v>0</v>
      </c>
      <c r="P4859" s="64" t="str">
        <f aca="false">IF(AND($H4859&lt;&gt;"",ROUND($O4859,2)&lt;&gt;0),"有","")</f>
        <v/>
      </c>
    </row>
    <row r="4860" customFormat="false" ht="15" hidden="true" customHeight="false" outlineLevel="0" collapsed="false">
      <c r="A4860" s="53" t="str">
        <f aca="false">IF($H4860="","",ROW()-5)</f>
        <v/>
      </c>
      <c r="B4860" s="64" t="s">
        <v>38</v>
      </c>
      <c r="C4860" s="53" t="n">
        <v>233</v>
      </c>
      <c r="D4860" s="53" t="n">
        <v>1</v>
      </c>
      <c r="E4860" s="65" t="str">
        <f aca="false">IF($H4860="","",生产加工!$B233)</f>
        <v/>
      </c>
      <c r="F4860" s="55" t="str">
        <f aca="false">IF($H4860="","",生产加工!$C233)</f>
        <v/>
      </c>
      <c r="G4860" s="48" t="str">
        <f aca="false">IF($H4860="","",生产加工!$N233)</f>
        <v/>
      </c>
      <c r="H4860" s="10" t="str">
        <f aca="false">IF($L4860="","",IF($L4860="@对方",生产加工!$K233,IF($L4860="@存货",生产加工!$Q233,$L4860)))</f>
        <v/>
      </c>
      <c r="I4860" s="42" t="n">
        <f aca="false">IF($M4860="借",$O4860,0)</f>
        <v>0</v>
      </c>
      <c r="J4860" s="42" t="n">
        <f aca="false">IF($M4860="贷",$O4860,0)</f>
        <v>0</v>
      </c>
      <c r="K4860" s="48"/>
      <c r="L4860" s="66" t="str">
        <f aca="false">IF(生产加工!$E233="","",IFERROR(INDEX(记账规则!$A$36:$H$38,MATCH(生产加工!$E233,记账规则!$A$36:$A$38,0),3),""))</f>
        <v/>
      </c>
      <c r="M4860" s="66" t="str">
        <f aca="false">IF($L4860="","",IFERROR(INDEX(记账规则!$A$36:$H$38,MATCH(生产加工!$E233,记账规则!$A$36:$A$38,0),4),""))</f>
        <v/>
      </c>
      <c r="N4860" s="66" t="str">
        <f aca="false">IF($L4860="","",IFERROR(INDEX(记账规则!$A$36:$H$38,MATCH(生产加工!$E233,记账规则!$A$36:$A$38,0),5),""))</f>
        <v/>
      </c>
      <c r="O4860" s="67" t="n">
        <f aca="false">IF($H4860="",0,ROUND(IF($N4860="记账金额",N(生产加工!$U233),0),2))</f>
        <v>0</v>
      </c>
      <c r="P4860" s="64" t="str">
        <f aca="false">IF(AND($H4860&lt;&gt;"",ROUND($O4860,2)&lt;&gt;0),"有","")</f>
        <v/>
      </c>
    </row>
    <row r="4861" customFormat="false" ht="15" hidden="true" customHeight="false" outlineLevel="0" collapsed="false">
      <c r="A4861" s="53" t="str">
        <f aca="false">IF($H4861="","",ROW()-5)</f>
        <v/>
      </c>
      <c r="B4861" s="64" t="s">
        <v>38</v>
      </c>
      <c r="C4861" s="53" t="n">
        <v>233</v>
      </c>
      <c r="D4861" s="53" t="n">
        <v>2</v>
      </c>
      <c r="E4861" s="65" t="str">
        <f aca="false">IF($H4861="","",生产加工!$B233)</f>
        <v/>
      </c>
      <c r="F4861" s="55" t="str">
        <f aca="false">IF($H4861="","",生产加工!$C233)</f>
        <v/>
      </c>
      <c r="G4861" s="48" t="str">
        <f aca="false">IF($H4861="","",生产加工!$N233)</f>
        <v/>
      </c>
      <c r="H4861" s="10" t="str">
        <f aca="false">IF($L4861="","",IF($L4861="@对方",生产加工!$K233,IF($L4861="@存货",生产加工!$Q233,$L4861)))</f>
        <v/>
      </c>
      <c r="I4861" s="42" t="n">
        <f aca="false">IF($M4861="借",$O4861,0)</f>
        <v>0</v>
      </c>
      <c r="J4861" s="42" t="n">
        <f aca="false">IF($M4861="贷",$O4861,0)</f>
        <v>0</v>
      </c>
      <c r="K4861" s="48"/>
      <c r="L4861" s="66" t="str">
        <f aca="false">IF(生产加工!$E233="","",IFERROR(INDEX(记账规则!$A$36:$H$38,MATCH(生产加工!$E233,记账规则!$A$36:$A$38,0),6),""))</f>
        <v/>
      </c>
      <c r="M4861" s="66" t="str">
        <f aca="false">IF($L4861="","",IFERROR(INDEX(记账规则!$A$36:$H$38,MATCH(生产加工!$E233,记账规则!$A$36:$A$38,0),7),""))</f>
        <v/>
      </c>
      <c r="N4861" s="66" t="str">
        <f aca="false">IF($L4861="","",IFERROR(INDEX(记账规则!$A$36:$H$38,MATCH(生产加工!$E233,记账规则!$A$36:$A$38,0),8),""))</f>
        <v/>
      </c>
      <c r="O4861" s="67" t="n">
        <f aca="false">IF($H4861="",0,ROUND(IF($N4861="记账金额",N(生产加工!$U233),0),2))</f>
        <v>0</v>
      </c>
      <c r="P4861" s="64" t="str">
        <f aca="false">IF(AND($H4861&lt;&gt;"",ROUND($O4861,2)&lt;&gt;0),"有","")</f>
        <v/>
      </c>
    </row>
    <row r="4862" customFormat="false" ht="15" hidden="true" customHeight="false" outlineLevel="0" collapsed="false">
      <c r="A4862" s="53" t="str">
        <f aca="false">IF($H4862="","",ROW()-5)</f>
        <v/>
      </c>
      <c r="B4862" s="64" t="s">
        <v>38</v>
      </c>
      <c r="C4862" s="53" t="n">
        <v>234</v>
      </c>
      <c r="D4862" s="53" t="n">
        <v>1</v>
      </c>
      <c r="E4862" s="65" t="str">
        <f aca="false">IF($H4862="","",生产加工!$B234)</f>
        <v/>
      </c>
      <c r="F4862" s="55" t="str">
        <f aca="false">IF($H4862="","",生产加工!$C234)</f>
        <v/>
      </c>
      <c r="G4862" s="48" t="str">
        <f aca="false">IF($H4862="","",生产加工!$N234)</f>
        <v/>
      </c>
      <c r="H4862" s="10" t="str">
        <f aca="false">IF($L4862="","",IF($L4862="@对方",生产加工!$K234,IF($L4862="@存货",生产加工!$Q234,$L4862)))</f>
        <v/>
      </c>
      <c r="I4862" s="42" t="n">
        <f aca="false">IF($M4862="借",$O4862,0)</f>
        <v>0</v>
      </c>
      <c r="J4862" s="42" t="n">
        <f aca="false">IF($M4862="贷",$O4862,0)</f>
        <v>0</v>
      </c>
      <c r="K4862" s="48"/>
      <c r="L4862" s="66" t="str">
        <f aca="false">IF(生产加工!$E234="","",IFERROR(INDEX(记账规则!$A$36:$H$38,MATCH(生产加工!$E234,记账规则!$A$36:$A$38,0),3),""))</f>
        <v/>
      </c>
      <c r="M4862" s="66" t="str">
        <f aca="false">IF($L4862="","",IFERROR(INDEX(记账规则!$A$36:$H$38,MATCH(生产加工!$E234,记账规则!$A$36:$A$38,0),4),""))</f>
        <v/>
      </c>
      <c r="N4862" s="66" t="str">
        <f aca="false">IF($L4862="","",IFERROR(INDEX(记账规则!$A$36:$H$38,MATCH(生产加工!$E234,记账规则!$A$36:$A$38,0),5),""))</f>
        <v/>
      </c>
      <c r="O4862" s="67" t="n">
        <f aca="false">IF($H4862="",0,ROUND(IF($N4862="记账金额",N(生产加工!$U234),0),2))</f>
        <v>0</v>
      </c>
      <c r="P4862" s="64" t="str">
        <f aca="false">IF(AND($H4862&lt;&gt;"",ROUND($O4862,2)&lt;&gt;0),"有","")</f>
        <v/>
      </c>
    </row>
    <row r="4863" customFormat="false" ht="15" hidden="true" customHeight="false" outlineLevel="0" collapsed="false">
      <c r="A4863" s="53" t="str">
        <f aca="false">IF($H4863="","",ROW()-5)</f>
        <v/>
      </c>
      <c r="B4863" s="64" t="s">
        <v>38</v>
      </c>
      <c r="C4863" s="53" t="n">
        <v>234</v>
      </c>
      <c r="D4863" s="53" t="n">
        <v>2</v>
      </c>
      <c r="E4863" s="65" t="str">
        <f aca="false">IF($H4863="","",生产加工!$B234)</f>
        <v/>
      </c>
      <c r="F4863" s="55" t="str">
        <f aca="false">IF($H4863="","",生产加工!$C234)</f>
        <v/>
      </c>
      <c r="G4863" s="48" t="str">
        <f aca="false">IF($H4863="","",生产加工!$N234)</f>
        <v/>
      </c>
      <c r="H4863" s="10" t="str">
        <f aca="false">IF($L4863="","",IF($L4863="@对方",生产加工!$K234,IF($L4863="@存货",生产加工!$Q234,$L4863)))</f>
        <v/>
      </c>
      <c r="I4863" s="42" t="n">
        <f aca="false">IF($M4863="借",$O4863,0)</f>
        <v>0</v>
      </c>
      <c r="J4863" s="42" t="n">
        <f aca="false">IF($M4863="贷",$O4863,0)</f>
        <v>0</v>
      </c>
      <c r="K4863" s="48"/>
      <c r="L4863" s="66" t="str">
        <f aca="false">IF(生产加工!$E234="","",IFERROR(INDEX(记账规则!$A$36:$H$38,MATCH(生产加工!$E234,记账规则!$A$36:$A$38,0),6),""))</f>
        <v/>
      </c>
      <c r="M4863" s="66" t="str">
        <f aca="false">IF($L4863="","",IFERROR(INDEX(记账规则!$A$36:$H$38,MATCH(生产加工!$E234,记账规则!$A$36:$A$38,0),7),""))</f>
        <v/>
      </c>
      <c r="N4863" s="66" t="str">
        <f aca="false">IF($L4863="","",IFERROR(INDEX(记账规则!$A$36:$H$38,MATCH(生产加工!$E234,记账规则!$A$36:$A$38,0),8),""))</f>
        <v/>
      </c>
      <c r="O4863" s="67" t="n">
        <f aca="false">IF($H4863="",0,ROUND(IF($N4863="记账金额",N(生产加工!$U234),0),2))</f>
        <v>0</v>
      </c>
      <c r="P4863" s="64" t="str">
        <f aca="false">IF(AND($H4863&lt;&gt;"",ROUND($O4863,2)&lt;&gt;0),"有","")</f>
        <v/>
      </c>
    </row>
    <row r="4864" customFormat="false" ht="15" hidden="true" customHeight="false" outlineLevel="0" collapsed="false">
      <c r="A4864" s="53" t="str">
        <f aca="false">IF($H4864="","",ROW()-5)</f>
        <v/>
      </c>
      <c r="B4864" s="64" t="s">
        <v>38</v>
      </c>
      <c r="C4864" s="53" t="n">
        <v>235</v>
      </c>
      <c r="D4864" s="53" t="n">
        <v>1</v>
      </c>
      <c r="E4864" s="65" t="str">
        <f aca="false">IF($H4864="","",生产加工!$B235)</f>
        <v/>
      </c>
      <c r="F4864" s="55" t="str">
        <f aca="false">IF($H4864="","",生产加工!$C235)</f>
        <v/>
      </c>
      <c r="G4864" s="48" t="str">
        <f aca="false">IF($H4864="","",生产加工!$N235)</f>
        <v/>
      </c>
      <c r="H4864" s="10" t="str">
        <f aca="false">IF($L4864="","",IF($L4864="@对方",生产加工!$K235,IF($L4864="@存货",生产加工!$Q235,$L4864)))</f>
        <v/>
      </c>
      <c r="I4864" s="42" t="n">
        <f aca="false">IF($M4864="借",$O4864,0)</f>
        <v>0</v>
      </c>
      <c r="J4864" s="42" t="n">
        <f aca="false">IF($M4864="贷",$O4864,0)</f>
        <v>0</v>
      </c>
      <c r="K4864" s="48"/>
      <c r="L4864" s="66" t="str">
        <f aca="false">IF(生产加工!$E235="","",IFERROR(INDEX(记账规则!$A$36:$H$38,MATCH(生产加工!$E235,记账规则!$A$36:$A$38,0),3),""))</f>
        <v/>
      </c>
      <c r="M4864" s="66" t="str">
        <f aca="false">IF($L4864="","",IFERROR(INDEX(记账规则!$A$36:$H$38,MATCH(生产加工!$E235,记账规则!$A$36:$A$38,0),4),""))</f>
        <v/>
      </c>
      <c r="N4864" s="66" t="str">
        <f aca="false">IF($L4864="","",IFERROR(INDEX(记账规则!$A$36:$H$38,MATCH(生产加工!$E235,记账规则!$A$36:$A$38,0),5),""))</f>
        <v/>
      </c>
      <c r="O4864" s="67" t="n">
        <f aca="false">IF($H4864="",0,ROUND(IF($N4864="记账金额",N(生产加工!$U235),0),2))</f>
        <v>0</v>
      </c>
      <c r="P4864" s="64" t="str">
        <f aca="false">IF(AND($H4864&lt;&gt;"",ROUND($O4864,2)&lt;&gt;0),"有","")</f>
        <v/>
      </c>
    </row>
    <row r="4865" customFormat="false" ht="15" hidden="true" customHeight="false" outlineLevel="0" collapsed="false">
      <c r="A4865" s="53" t="str">
        <f aca="false">IF($H4865="","",ROW()-5)</f>
        <v/>
      </c>
      <c r="B4865" s="64" t="s">
        <v>38</v>
      </c>
      <c r="C4865" s="53" t="n">
        <v>235</v>
      </c>
      <c r="D4865" s="53" t="n">
        <v>2</v>
      </c>
      <c r="E4865" s="65" t="str">
        <f aca="false">IF($H4865="","",生产加工!$B235)</f>
        <v/>
      </c>
      <c r="F4865" s="55" t="str">
        <f aca="false">IF($H4865="","",生产加工!$C235)</f>
        <v/>
      </c>
      <c r="G4865" s="48" t="str">
        <f aca="false">IF($H4865="","",生产加工!$N235)</f>
        <v/>
      </c>
      <c r="H4865" s="10" t="str">
        <f aca="false">IF($L4865="","",IF($L4865="@对方",生产加工!$K235,IF($L4865="@存货",生产加工!$Q235,$L4865)))</f>
        <v/>
      </c>
      <c r="I4865" s="42" t="n">
        <f aca="false">IF($M4865="借",$O4865,0)</f>
        <v>0</v>
      </c>
      <c r="J4865" s="42" t="n">
        <f aca="false">IF($M4865="贷",$O4865,0)</f>
        <v>0</v>
      </c>
      <c r="K4865" s="48"/>
      <c r="L4865" s="66" t="str">
        <f aca="false">IF(生产加工!$E235="","",IFERROR(INDEX(记账规则!$A$36:$H$38,MATCH(生产加工!$E235,记账规则!$A$36:$A$38,0),6),""))</f>
        <v/>
      </c>
      <c r="M4865" s="66" t="str">
        <f aca="false">IF($L4865="","",IFERROR(INDEX(记账规则!$A$36:$H$38,MATCH(生产加工!$E235,记账规则!$A$36:$A$38,0),7),""))</f>
        <v/>
      </c>
      <c r="N4865" s="66" t="str">
        <f aca="false">IF($L4865="","",IFERROR(INDEX(记账规则!$A$36:$H$38,MATCH(生产加工!$E235,记账规则!$A$36:$A$38,0),8),""))</f>
        <v/>
      </c>
      <c r="O4865" s="67" t="n">
        <f aca="false">IF($H4865="",0,ROUND(IF($N4865="记账金额",N(生产加工!$U235),0),2))</f>
        <v>0</v>
      </c>
      <c r="P4865" s="64" t="str">
        <f aca="false">IF(AND($H4865&lt;&gt;"",ROUND($O4865,2)&lt;&gt;0),"有","")</f>
        <v/>
      </c>
    </row>
    <row r="4866" customFormat="false" ht="15" hidden="true" customHeight="false" outlineLevel="0" collapsed="false">
      <c r="A4866" s="53" t="str">
        <f aca="false">IF($H4866="","",ROW()-5)</f>
        <v/>
      </c>
      <c r="B4866" s="64" t="s">
        <v>38</v>
      </c>
      <c r="C4866" s="53" t="n">
        <v>236</v>
      </c>
      <c r="D4866" s="53" t="n">
        <v>1</v>
      </c>
      <c r="E4866" s="65" t="str">
        <f aca="false">IF($H4866="","",生产加工!$B236)</f>
        <v/>
      </c>
      <c r="F4866" s="55" t="str">
        <f aca="false">IF($H4866="","",生产加工!$C236)</f>
        <v/>
      </c>
      <c r="G4866" s="48" t="str">
        <f aca="false">IF($H4866="","",生产加工!$N236)</f>
        <v/>
      </c>
      <c r="H4866" s="10" t="str">
        <f aca="false">IF($L4866="","",IF($L4866="@对方",生产加工!$K236,IF($L4866="@存货",生产加工!$Q236,$L4866)))</f>
        <v/>
      </c>
      <c r="I4866" s="42" t="n">
        <f aca="false">IF($M4866="借",$O4866,0)</f>
        <v>0</v>
      </c>
      <c r="J4866" s="42" t="n">
        <f aca="false">IF($M4866="贷",$O4866,0)</f>
        <v>0</v>
      </c>
      <c r="K4866" s="48"/>
      <c r="L4866" s="66" t="str">
        <f aca="false">IF(生产加工!$E236="","",IFERROR(INDEX(记账规则!$A$36:$H$38,MATCH(生产加工!$E236,记账规则!$A$36:$A$38,0),3),""))</f>
        <v/>
      </c>
      <c r="M4866" s="66" t="str">
        <f aca="false">IF($L4866="","",IFERROR(INDEX(记账规则!$A$36:$H$38,MATCH(生产加工!$E236,记账规则!$A$36:$A$38,0),4),""))</f>
        <v/>
      </c>
      <c r="N4866" s="66" t="str">
        <f aca="false">IF($L4866="","",IFERROR(INDEX(记账规则!$A$36:$H$38,MATCH(生产加工!$E236,记账规则!$A$36:$A$38,0),5),""))</f>
        <v/>
      </c>
      <c r="O4866" s="67" t="n">
        <f aca="false">IF($H4866="",0,ROUND(IF($N4866="记账金额",N(生产加工!$U236),0),2))</f>
        <v>0</v>
      </c>
      <c r="P4866" s="64" t="str">
        <f aca="false">IF(AND($H4866&lt;&gt;"",ROUND($O4866,2)&lt;&gt;0),"有","")</f>
        <v/>
      </c>
    </row>
    <row r="4867" customFormat="false" ht="15" hidden="true" customHeight="false" outlineLevel="0" collapsed="false">
      <c r="A4867" s="53" t="str">
        <f aca="false">IF($H4867="","",ROW()-5)</f>
        <v/>
      </c>
      <c r="B4867" s="64" t="s">
        <v>38</v>
      </c>
      <c r="C4867" s="53" t="n">
        <v>236</v>
      </c>
      <c r="D4867" s="53" t="n">
        <v>2</v>
      </c>
      <c r="E4867" s="65" t="str">
        <f aca="false">IF($H4867="","",生产加工!$B236)</f>
        <v/>
      </c>
      <c r="F4867" s="55" t="str">
        <f aca="false">IF($H4867="","",生产加工!$C236)</f>
        <v/>
      </c>
      <c r="G4867" s="48" t="str">
        <f aca="false">IF($H4867="","",生产加工!$N236)</f>
        <v/>
      </c>
      <c r="H4867" s="10" t="str">
        <f aca="false">IF($L4867="","",IF($L4867="@对方",生产加工!$K236,IF($L4867="@存货",生产加工!$Q236,$L4867)))</f>
        <v/>
      </c>
      <c r="I4867" s="42" t="n">
        <f aca="false">IF($M4867="借",$O4867,0)</f>
        <v>0</v>
      </c>
      <c r="J4867" s="42" t="n">
        <f aca="false">IF($M4867="贷",$O4867,0)</f>
        <v>0</v>
      </c>
      <c r="K4867" s="48"/>
      <c r="L4867" s="66" t="str">
        <f aca="false">IF(生产加工!$E236="","",IFERROR(INDEX(记账规则!$A$36:$H$38,MATCH(生产加工!$E236,记账规则!$A$36:$A$38,0),6),""))</f>
        <v/>
      </c>
      <c r="M4867" s="66" t="str">
        <f aca="false">IF($L4867="","",IFERROR(INDEX(记账规则!$A$36:$H$38,MATCH(生产加工!$E236,记账规则!$A$36:$A$38,0),7),""))</f>
        <v/>
      </c>
      <c r="N4867" s="66" t="str">
        <f aca="false">IF($L4867="","",IFERROR(INDEX(记账规则!$A$36:$H$38,MATCH(生产加工!$E236,记账规则!$A$36:$A$38,0),8),""))</f>
        <v/>
      </c>
      <c r="O4867" s="67" t="n">
        <f aca="false">IF($H4867="",0,ROUND(IF($N4867="记账金额",N(生产加工!$U236),0),2))</f>
        <v>0</v>
      </c>
      <c r="P4867" s="64" t="str">
        <f aca="false">IF(AND($H4867&lt;&gt;"",ROUND($O4867,2)&lt;&gt;0),"有","")</f>
        <v/>
      </c>
    </row>
    <row r="4868" customFormat="false" ht="15" hidden="true" customHeight="false" outlineLevel="0" collapsed="false">
      <c r="A4868" s="53" t="str">
        <f aca="false">IF($H4868="","",ROW()-5)</f>
        <v/>
      </c>
      <c r="B4868" s="64" t="s">
        <v>38</v>
      </c>
      <c r="C4868" s="53" t="n">
        <v>237</v>
      </c>
      <c r="D4868" s="53" t="n">
        <v>1</v>
      </c>
      <c r="E4868" s="65" t="str">
        <f aca="false">IF($H4868="","",生产加工!$B237)</f>
        <v/>
      </c>
      <c r="F4868" s="55" t="str">
        <f aca="false">IF($H4868="","",生产加工!$C237)</f>
        <v/>
      </c>
      <c r="G4868" s="48" t="str">
        <f aca="false">IF($H4868="","",生产加工!$N237)</f>
        <v/>
      </c>
      <c r="H4868" s="10" t="str">
        <f aca="false">IF($L4868="","",IF($L4868="@对方",生产加工!$K237,IF($L4868="@存货",生产加工!$Q237,$L4868)))</f>
        <v/>
      </c>
      <c r="I4868" s="42" t="n">
        <f aca="false">IF($M4868="借",$O4868,0)</f>
        <v>0</v>
      </c>
      <c r="J4868" s="42" t="n">
        <f aca="false">IF($M4868="贷",$O4868,0)</f>
        <v>0</v>
      </c>
      <c r="K4868" s="48"/>
      <c r="L4868" s="66" t="str">
        <f aca="false">IF(生产加工!$E237="","",IFERROR(INDEX(记账规则!$A$36:$H$38,MATCH(生产加工!$E237,记账规则!$A$36:$A$38,0),3),""))</f>
        <v/>
      </c>
      <c r="M4868" s="66" t="str">
        <f aca="false">IF($L4868="","",IFERROR(INDEX(记账规则!$A$36:$H$38,MATCH(生产加工!$E237,记账规则!$A$36:$A$38,0),4),""))</f>
        <v/>
      </c>
      <c r="N4868" s="66" t="str">
        <f aca="false">IF($L4868="","",IFERROR(INDEX(记账规则!$A$36:$H$38,MATCH(生产加工!$E237,记账规则!$A$36:$A$38,0),5),""))</f>
        <v/>
      </c>
      <c r="O4868" s="67" t="n">
        <f aca="false">IF($H4868="",0,ROUND(IF($N4868="记账金额",N(生产加工!$U237),0),2))</f>
        <v>0</v>
      </c>
      <c r="P4868" s="64" t="str">
        <f aca="false">IF(AND($H4868&lt;&gt;"",ROUND($O4868,2)&lt;&gt;0),"有","")</f>
        <v/>
      </c>
    </row>
    <row r="4869" customFormat="false" ht="15" hidden="true" customHeight="false" outlineLevel="0" collapsed="false">
      <c r="A4869" s="53" t="str">
        <f aca="false">IF($H4869="","",ROW()-5)</f>
        <v/>
      </c>
      <c r="B4869" s="64" t="s">
        <v>38</v>
      </c>
      <c r="C4869" s="53" t="n">
        <v>237</v>
      </c>
      <c r="D4869" s="53" t="n">
        <v>2</v>
      </c>
      <c r="E4869" s="65" t="str">
        <f aca="false">IF($H4869="","",生产加工!$B237)</f>
        <v/>
      </c>
      <c r="F4869" s="55" t="str">
        <f aca="false">IF($H4869="","",生产加工!$C237)</f>
        <v/>
      </c>
      <c r="G4869" s="48" t="str">
        <f aca="false">IF($H4869="","",生产加工!$N237)</f>
        <v/>
      </c>
      <c r="H4869" s="10" t="str">
        <f aca="false">IF($L4869="","",IF($L4869="@对方",生产加工!$K237,IF($L4869="@存货",生产加工!$Q237,$L4869)))</f>
        <v/>
      </c>
      <c r="I4869" s="42" t="n">
        <f aca="false">IF($M4869="借",$O4869,0)</f>
        <v>0</v>
      </c>
      <c r="J4869" s="42" t="n">
        <f aca="false">IF($M4869="贷",$O4869,0)</f>
        <v>0</v>
      </c>
      <c r="K4869" s="48"/>
      <c r="L4869" s="66" t="str">
        <f aca="false">IF(生产加工!$E237="","",IFERROR(INDEX(记账规则!$A$36:$H$38,MATCH(生产加工!$E237,记账规则!$A$36:$A$38,0),6),""))</f>
        <v/>
      </c>
      <c r="M4869" s="66" t="str">
        <f aca="false">IF($L4869="","",IFERROR(INDEX(记账规则!$A$36:$H$38,MATCH(生产加工!$E237,记账规则!$A$36:$A$38,0),7),""))</f>
        <v/>
      </c>
      <c r="N4869" s="66" t="str">
        <f aca="false">IF($L4869="","",IFERROR(INDEX(记账规则!$A$36:$H$38,MATCH(生产加工!$E237,记账规则!$A$36:$A$38,0),8),""))</f>
        <v/>
      </c>
      <c r="O4869" s="67" t="n">
        <f aca="false">IF($H4869="",0,ROUND(IF($N4869="记账金额",N(生产加工!$U237),0),2))</f>
        <v>0</v>
      </c>
      <c r="P4869" s="64" t="str">
        <f aca="false">IF(AND($H4869&lt;&gt;"",ROUND($O4869,2)&lt;&gt;0),"有","")</f>
        <v/>
      </c>
    </row>
    <row r="4870" customFormat="false" ht="15" hidden="true" customHeight="false" outlineLevel="0" collapsed="false">
      <c r="A4870" s="53" t="str">
        <f aca="false">IF($H4870="","",ROW()-5)</f>
        <v/>
      </c>
      <c r="B4870" s="64" t="s">
        <v>38</v>
      </c>
      <c r="C4870" s="53" t="n">
        <v>238</v>
      </c>
      <c r="D4870" s="53" t="n">
        <v>1</v>
      </c>
      <c r="E4870" s="65" t="str">
        <f aca="false">IF($H4870="","",生产加工!$B238)</f>
        <v/>
      </c>
      <c r="F4870" s="55" t="str">
        <f aca="false">IF($H4870="","",生产加工!$C238)</f>
        <v/>
      </c>
      <c r="G4870" s="48" t="str">
        <f aca="false">IF($H4870="","",生产加工!$N238)</f>
        <v/>
      </c>
      <c r="H4870" s="10" t="str">
        <f aca="false">IF($L4870="","",IF($L4870="@对方",生产加工!$K238,IF($L4870="@存货",生产加工!$Q238,$L4870)))</f>
        <v/>
      </c>
      <c r="I4870" s="42" t="n">
        <f aca="false">IF($M4870="借",$O4870,0)</f>
        <v>0</v>
      </c>
      <c r="J4870" s="42" t="n">
        <f aca="false">IF($M4870="贷",$O4870,0)</f>
        <v>0</v>
      </c>
      <c r="K4870" s="48"/>
      <c r="L4870" s="66" t="str">
        <f aca="false">IF(生产加工!$E238="","",IFERROR(INDEX(记账规则!$A$36:$H$38,MATCH(生产加工!$E238,记账规则!$A$36:$A$38,0),3),""))</f>
        <v/>
      </c>
      <c r="M4870" s="66" t="str">
        <f aca="false">IF($L4870="","",IFERROR(INDEX(记账规则!$A$36:$H$38,MATCH(生产加工!$E238,记账规则!$A$36:$A$38,0),4),""))</f>
        <v/>
      </c>
      <c r="N4870" s="66" t="str">
        <f aca="false">IF($L4870="","",IFERROR(INDEX(记账规则!$A$36:$H$38,MATCH(生产加工!$E238,记账规则!$A$36:$A$38,0),5),""))</f>
        <v/>
      </c>
      <c r="O4870" s="67" t="n">
        <f aca="false">IF($H4870="",0,ROUND(IF($N4870="记账金额",N(生产加工!$U238),0),2))</f>
        <v>0</v>
      </c>
      <c r="P4870" s="64" t="str">
        <f aca="false">IF(AND($H4870&lt;&gt;"",ROUND($O4870,2)&lt;&gt;0),"有","")</f>
        <v/>
      </c>
    </row>
    <row r="4871" customFormat="false" ht="15" hidden="true" customHeight="false" outlineLevel="0" collapsed="false">
      <c r="A4871" s="53" t="str">
        <f aca="false">IF($H4871="","",ROW()-5)</f>
        <v/>
      </c>
      <c r="B4871" s="64" t="s">
        <v>38</v>
      </c>
      <c r="C4871" s="53" t="n">
        <v>238</v>
      </c>
      <c r="D4871" s="53" t="n">
        <v>2</v>
      </c>
      <c r="E4871" s="65" t="str">
        <f aca="false">IF($H4871="","",生产加工!$B238)</f>
        <v/>
      </c>
      <c r="F4871" s="55" t="str">
        <f aca="false">IF($H4871="","",生产加工!$C238)</f>
        <v/>
      </c>
      <c r="G4871" s="48" t="str">
        <f aca="false">IF($H4871="","",生产加工!$N238)</f>
        <v/>
      </c>
      <c r="H4871" s="10" t="str">
        <f aca="false">IF($L4871="","",IF($L4871="@对方",生产加工!$K238,IF($L4871="@存货",生产加工!$Q238,$L4871)))</f>
        <v/>
      </c>
      <c r="I4871" s="42" t="n">
        <f aca="false">IF($M4871="借",$O4871,0)</f>
        <v>0</v>
      </c>
      <c r="J4871" s="42" t="n">
        <f aca="false">IF($M4871="贷",$O4871,0)</f>
        <v>0</v>
      </c>
      <c r="K4871" s="48"/>
      <c r="L4871" s="66" t="str">
        <f aca="false">IF(生产加工!$E238="","",IFERROR(INDEX(记账规则!$A$36:$H$38,MATCH(生产加工!$E238,记账规则!$A$36:$A$38,0),6),""))</f>
        <v/>
      </c>
      <c r="M4871" s="66" t="str">
        <f aca="false">IF($L4871="","",IFERROR(INDEX(记账规则!$A$36:$H$38,MATCH(生产加工!$E238,记账规则!$A$36:$A$38,0),7),""))</f>
        <v/>
      </c>
      <c r="N4871" s="66" t="str">
        <f aca="false">IF($L4871="","",IFERROR(INDEX(记账规则!$A$36:$H$38,MATCH(生产加工!$E238,记账规则!$A$36:$A$38,0),8),""))</f>
        <v/>
      </c>
      <c r="O4871" s="67" t="n">
        <f aca="false">IF($H4871="",0,ROUND(IF($N4871="记账金额",N(生产加工!$U238),0),2))</f>
        <v>0</v>
      </c>
      <c r="P4871" s="64" t="str">
        <f aca="false">IF(AND($H4871&lt;&gt;"",ROUND($O4871,2)&lt;&gt;0),"有","")</f>
        <v/>
      </c>
    </row>
    <row r="4872" customFormat="false" ht="15" hidden="true" customHeight="false" outlineLevel="0" collapsed="false">
      <c r="A4872" s="53" t="str">
        <f aca="false">IF($H4872="","",ROW()-5)</f>
        <v/>
      </c>
      <c r="B4872" s="64" t="s">
        <v>38</v>
      </c>
      <c r="C4872" s="53" t="n">
        <v>239</v>
      </c>
      <c r="D4872" s="53" t="n">
        <v>1</v>
      </c>
      <c r="E4872" s="65" t="str">
        <f aca="false">IF($H4872="","",生产加工!$B239)</f>
        <v/>
      </c>
      <c r="F4872" s="55" t="str">
        <f aca="false">IF($H4872="","",生产加工!$C239)</f>
        <v/>
      </c>
      <c r="G4872" s="48" t="str">
        <f aca="false">IF($H4872="","",生产加工!$N239)</f>
        <v/>
      </c>
      <c r="H4872" s="10" t="str">
        <f aca="false">IF($L4872="","",IF($L4872="@对方",生产加工!$K239,IF($L4872="@存货",生产加工!$Q239,$L4872)))</f>
        <v/>
      </c>
      <c r="I4872" s="42" t="n">
        <f aca="false">IF($M4872="借",$O4872,0)</f>
        <v>0</v>
      </c>
      <c r="J4872" s="42" t="n">
        <f aca="false">IF($M4872="贷",$O4872,0)</f>
        <v>0</v>
      </c>
      <c r="K4872" s="48"/>
      <c r="L4872" s="66" t="str">
        <f aca="false">IF(生产加工!$E239="","",IFERROR(INDEX(记账规则!$A$36:$H$38,MATCH(生产加工!$E239,记账规则!$A$36:$A$38,0),3),""))</f>
        <v/>
      </c>
      <c r="M4872" s="66" t="str">
        <f aca="false">IF($L4872="","",IFERROR(INDEX(记账规则!$A$36:$H$38,MATCH(生产加工!$E239,记账规则!$A$36:$A$38,0),4),""))</f>
        <v/>
      </c>
      <c r="N4872" s="66" t="str">
        <f aca="false">IF($L4872="","",IFERROR(INDEX(记账规则!$A$36:$H$38,MATCH(生产加工!$E239,记账规则!$A$36:$A$38,0),5),""))</f>
        <v/>
      </c>
      <c r="O4872" s="67" t="n">
        <f aca="false">IF($H4872="",0,ROUND(IF($N4872="记账金额",N(生产加工!$U239),0),2))</f>
        <v>0</v>
      </c>
      <c r="P4872" s="64" t="str">
        <f aca="false">IF(AND($H4872&lt;&gt;"",ROUND($O4872,2)&lt;&gt;0),"有","")</f>
        <v/>
      </c>
    </row>
    <row r="4873" customFormat="false" ht="15" hidden="true" customHeight="false" outlineLevel="0" collapsed="false">
      <c r="A4873" s="53" t="str">
        <f aca="false">IF($H4873="","",ROW()-5)</f>
        <v/>
      </c>
      <c r="B4873" s="64" t="s">
        <v>38</v>
      </c>
      <c r="C4873" s="53" t="n">
        <v>239</v>
      </c>
      <c r="D4873" s="53" t="n">
        <v>2</v>
      </c>
      <c r="E4873" s="65" t="str">
        <f aca="false">IF($H4873="","",生产加工!$B239)</f>
        <v/>
      </c>
      <c r="F4873" s="55" t="str">
        <f aca="false">IF($H4873="","",生产加工!$C239)</f>
        <v/>
      </c>
      <c r="G4873" s="48" t="str">
        <f aca="false">IF($H4873="","",生产加工!$N239)</f>
        <v/>
      </c>
      <c r="H4873" s="10" t="str">
        <f aca="false">IF($L4873="","",IF($L4873="@对方",生产加工!$K239,IF($L4873="@存货",生产加工!$Q239,$L4873)))</f>
        <v/>
      </c>
      <c r="I4873" s="42" t="n">
        <f aca="false">IF($M4873="借",$O4873,0)</f>
        <v>0</v>
      </c>
      <c r="J4873" s="42" t="n">
        <f aca="false">IF($M4873="贷",$O4873,0)</f>
        <v>0</v>
      </c>
      <c r="K4873" s="48"/>
      <c r="L4873" s="66" t="str">
        <f aca="false">IF(生产加工!$E239="","",IFERROR(INDEX(记账规则!$A$36:$H$38,MATCH(生产加工!$E239,记账规则!$A$36:$A$38,0),6),""))</f>
        <v/>
      </c>
      <c r="M4873" s="66" t="str">
        <f aca="false">IF($L4873="","",IFERROR(INDEX(记账规则!$A$36:$H$38,MATCH(生产加工!$E239,记账规则!$A$36:$A$38,0),7),""))</f>
        <v/>
      </c>
      <c r="N4873" s="66" t="str">
        <f aca="false">IF($L4873="","",IFERROR(INDEX(记账规则!$A$36:$H$38,MATCH(生产加工!$E239,记账规则!$A$36:$A$38,0),8),""))</f>
        <v/>
      </c>
      <c r="O4873" s="67" t="n">
        <f aca="false">IF($H4873="",0,ROUND(IF($N4873="记账金额",N(生产加工!$U239),0),2))</f>
        <v>0</v>
      </c>
      <c r="P4873" s="64" t="str">
        <f aca="false">IF(AND($H4873&lt;&gt;"",ROUND($O4873,2)&lt;&gt;0),"有","")</f>
        <v/>
      </c>
    </row>
    <row r="4874" customFormat="false" ht="15" hidden="true" customHeight="false" outlineLevel="0" collapsed="false">
      <c r="A4874" s="53" t="str">
        <f aca="false">IF($H4874="","",ROW()-5)</f>
        <v/>
      </c>
      <c r="B4874" s="64" t="s">
        <v>38</v>
      </c>
      <c r="C4874" s="53" t="n">
        <v>240</v>
      </c>
      <c r="D4874" s="53" t="n">
        <v>1</v>
      </c>
      <c r="E4874" s="65" t="str">
        <f aca="false">IF($H4874="","",生产加工!$B240)</f>
        <v/>
      </c>
      <c r="F4874" s="55" t="str">
        <f aca="false">IF($H4874="","",生产加工!$C240)</f>
        <v/>
      </c>
      <c r="G4874" s="48" t="str">
        <f aca="false">IF($H4874="","",生产加工!$N240)</f>
        <v/>
      </c>
      <c r="H4874" s="10" t="str">
        <f aca="false">IF($L4874="","",IF($L4874="@对方",生产加工!$K240,IF($L4874="@存货",生产加工!$Q240,$L4874)))</f>
        <v/>
      </c>
      <c r="I4874" s="42" t="n">
        <f aca="false">IF($M4874="借",$O4874,0)</f>
        <v>0</v>
      </c>
      <c r="J4874" s="42" t="n">
        <f aca="false">IF($M4874="贷",$O4874,0)</f>
        <v>0</v>
      </c>
      <c r="K4874" s="48"/>
      <c r="L4874" s="66" t="str">
        <f aca="false">IF(生产加工!$E240="","",IFERROR(INDEX(记账规则!$A$36:$H$38,MATCH(生产加工!$E240,记账规则!$A$36:$A$38,0),3),""))</f>
        <v/>
      </c>
      <c r="M4874" s="66" t="str">
        <f aca="false">IF($L4874="","",IFERROR(INDEX(记账规则!$A$36:$H$38,MATCH(生产加工!$E240,记账规则!$A$36:$A$38,0),4),""))</f>
        <v/>
      </c>
      <c r="N4874" s="66" t="str">
        <f aca="false">IF($L4874="","",IFERROR(INDEX(记账规则!$A$36:$H$38,MATCH(生产加工!$E240,记账规则!$A$36:$A$38,0),5),""))</f>
        <v/>
      </c>
      <c r="O4874" s="67" t="n">
        <f aca="false">IF($H4874="",0,ROUND(IF($N4874="记账金额",N(生产加工!$U240),0),2))</f>
        <v>0</v>
      </c>
      <c r="P4874" s="64" t="str">
        <f aca="false">IF(AND($H4874&lt;&gt;"",ROUND($O4874,2)&lt;&gt;0),"有","")</f>
        <v/>
      </c>
    </row>
    <row r="4875" customFormat="false" ht="15" hidden="true" customHeight="false" outlineLevel="0" collapsed="false">
      <c r="A4875" s="53" t="str">
        <f aca="false">IF($H4875="","",ROW()-5)</f>
        <v/>
      </c>
      <c r="B4875" s="64" t="s">
        <v>38</v>
      </c>
      <c r="C4875" s="53" t="n">
        <v>240</v>
      </c>
      <c r="D4875" s="53" t="n">
        <v>2</v>
      </c>
      <c r="E4875" s="65" t="str">
        <f aca="false">IF($H4875="","",生产加工!$B240)</f>
        <v/>
      </c>
      <c r="F4875" s="55" t="str">
        <f aca="false">IF($H4875="","",生产加工!$C240)</f>
        <v/>
      </c>
      <c r="G4875" s="48" t="str">
        <f aca="false">IF($H4875="","",生产加工!$N240)</f>
        <v/>
      </c>
      <c r="H4875" s="10" t="str">
        <f aca="false">IF($L4875="","",IF($L4875="@对方",生产加工!$K240,IF($L4875="@存货",生产加工!$Q240,$L4875)))</f>
        <v/>
      </c>
      <c r="I4875" s="42" t="n">
        <f aca="false">IF($M4875="借",$O4875,0)</f>
        <v>0</v>
      </c>
      <c r="J4875" s="42" t="n">
        <f aca="false">IF($M4875="贷",$O4875,0)</f>
        <v>0</v>
      </c>
      <c r="K4875" s="48"/>
      <c r="L4875" s="66" t="str">
        <f aca="false">IF(生产加工!$E240="","",IFERROR(INDEX(记账规则!$A$36:$H$38,MATCH(生产加工!$E240,记账规则!$A$36:$A$38,0),6),""))</f>
        <v/>
      </c>
      <c r="M4875" s="66" t="str">
        <f aca="false">IF($L4875="","",IFERROR(INDEX(记账规则!$A$36:$H$38,MATCH(生产加工!$E240,记账规则!$A$36:$A$38,0),7),""))</f>
        <v/>
      </c>
      <c r="N4875" s="66" t="str">
        <f aca="false">IF($L4875="","",IFERROR(INDEX(记账规则!$A$36:$H$38,MATCH(生产加工!$E240,记账规则!$A$36:$A$38,0),8),""))</f>
        <v/>
      </c>
      <c r="O4875" s="67" t="n">
        <f aca="false">IF($H4875="",0,ROUND(IF($N4875="记账金额",N(生产加工!$U240),0),2))</f>
        <v>0</v>
      </c>
      <c r="P4875" s="64" t="str">
        <f aca="false">IF(AND($H4875&lt;&gt;"",ROUND($O4875,2)&lt;&gt;0),"有","")</f>
        <v/>
      </c>
    </row>
    <row r="4876" customFormat="false" ht="15" hidden="true" customHeight="false" outlineLevel="0" collapsed="false">
      <c r="A4876" s="53" t="str">
        <f aca="false">IF($H4876="","",ROW()-5)</f>
        <v/>
      </c>
      <c r="B4876" s="64" t="s">
        <v>38</v>
      </c>
      <c r="C4876" s="53" t="n">
        <v>241</v>
      </c>
      <c r="D4876" s="53" t="n">
        <v>1</v>
      </c>
      <c r="E4876" s="65" t="str">
        <f aca="false">IF($H4876="","",生产加工!$B241)</f>
        <v/>
      </c>
      <c r="F4876" s="55" t="str">
        <f aca="false">IF($H4876="","",生产加工!$C241)</f>
        <v/>
      </c>
      <c r="G4876" s="48" t="str">
        <f aca="false">IF($H4876="","",生产加工!$N241)</f>
        <v/>
      </c>
      <c r="H4876" s="10" t="str">
        <f aca="false">IF($L4876="","",IF($L4876="@对方",生产加工!$K241,IF($L4876="@存货",生产加工!$Q241,$L4876)))</f>
        <v/>
      </c>
      <c r="I4876" s="42" t="n">
        <f aca="false">IF($M4876="借",$O4876,0)</f>
        <v>0</v>
      </c>
      <c r="J4876" s="42" t="n">
        <f aca="false">IF($M4876="贷",$O4876,0)</f>
        <v>0</v>
      </c>
      <c r="K4876" s="48"/>
      <c r="L4876" s="66" t="str">
        <f aca="false">IF(生产加工!$E241="","",IFERROR(INDEX(记账规则!$A$36:$H$38,MATCH(生产加工!$E241,记账规则!$A$36:$A$38,0),3),""))</f>
        <v/>
      </c>
      <c r="M4876" s="66" t="str">
        <f aca="false">IF($L4876="","",IFERROR(INDEX(记账规则!$A$36:$H$38,MATCH(生产加工!$E241,记账规则!$A$36:$A$38,0),4),""))</f>
        <v/>
      </c>
      <c r="N4876" s="66" t="str">
        <f aca="false">IF($L4876="","",IFERROR(INDEX(记账规则!$A$36:$H$38,MATCH(生产加工!$E241,记账规则!$A$36:$A$38,0),5),""))</f>
        <v/>
      </c>
      <c r="O4876" s="67" t="n">
        <f aca="false">IF($H4876="",0,ROUND(IF($N4876="记账金额",N(生产加工!$U241),0),2))</f>
        <v>0</v>
      </c>
      <c r="P4876" s="64" t="str">
        <f aca="false">IF(AND($H4876&lt;&gt;"",ROUND($O4876,2)&lt;&gt;0),"有","")</f>
        <v/>
      </c>
    </row>
    <row r="4877" customFormat="false" ht="15" hidden="true" customHeight="false" outlineLevel="0" collapsed="false">
      <c r="A4877" s="53" t="str">
        <f aca="false">IF($H4877="","",ROW()-5)</f>
        <v/>
      </c>
      <c r="B4877" s="64" t="s">
        <v>38</v>
      </c>
      <c r="C4877" s="53" t="n">
        <v>241</v>
      </c>
      <c r="D4877" s="53" t="n">
        <v>2</v>
      </c>
      <c r="E4877" s="65" t="str">
        <f aca="false">IF($H4877="","",生产加工!$B241)</f>
        <v/>
      </c>
      <c r="F4877" s="55" t="str">
        <f aca="false">IF($H4877="","",生产加工!$C241)</f>
        <v/>
      </c>
      <c r="G4877" s="48" t="str">
        <f aca="false">IF($H4877="","",生产加工!$N241)</f>
        <v/>
      </c>
      <c r="H4877" s="10" t="str">
        <f aca="false">IF($L4877="","",IF($L4877="@对方",生产加工!$K241,IF($L4877="@存货",生产加工!$Q241,$L4877)))</f>
        <v/>
      </c>
      <c r="I4877" s="42" t="n">
        <f aca="false">IF($M4877="借",$O4877,0)</f>
        <v>0</v>
      </c>
      <c r="J4877" s="42" t="n">
        <f aca="false">IF($M4877="贷",$O4877,0)</f>
        <v>0</v>
      </c>
      <c r="K4877" s="48"/>
      <c r="L4877" s="66" t="str">
        <f aca="false">IF(生产加工!$E241="","",IFERROR(INDEX(记账规则!$A$36:$H$38,MATCH(生产加工!$E241,记账规则!$A$36:$A$38,0),6),""))</f>
        <v/>
      </c>
      <c r="M4877" s="66" t="str">
        <f aca="false">IF($L4877="","",IFERROR(INDEX(记账规则!$A$36:$H$38,MATCH(生产加工!$E241,记账规则!$A$36:$A$38,0),7),""))</f>
        <v/>
      </c>
      <c r="N4877" s="66" t="str">
        <f aca="false">IF($L4877="","",IFERROR(INDEX(记账规则!$A$36:$H$38,MATCH(生产加工!$E241,记账规则!$A$36:$A$38,0),8),""))</f>
        <v/>
      </c>
      <c r="O4877" s="67" t="n">
        <f aca="false">IF($H4877="",0,ROUND(IF($N4877="记账金额",N(生产加工!$U241),0),2))</f>
        <v>0</v>
      </c>
      <c r="P4877" s="64" t="str">
        <f aca="false">IF(AND($H4877&lt;&gt;"",ROUND($O4877,2)&lt;&gt;0),"有","")</f>
        <v/>
      </c>
    </row>
    <row r="4878" customFormat="false" ht="15" hidden="true" customHeight="false" outlineLevel="0" collapsed="false">
      <c r="A4878" s="53" t="str">
        <f aca="false">IF($H4878="","",ROW()-5)</f>
        <v/>
      </c>
      <c r="B4878" s="64" t="s">
        <v>38</v>
      </c>
      <c r="C4878" s="53" t="n">
        <v>242</v>
      </c>
      <c r="D4878" s="53" t="n">
        <v>1</v>
      </c>
      <c r="E4878" s="65" t="str">
        <f aca="false">IF($H4878="","",生产加工!$B242)</f>
        <v/>
      </c>
      <c r="F4878" s="55" t="str">
        <f aca="false">IF($H4878="","",生产加工!$C242)</f>
        <v/>
      </c>
      <c r="G4878" s="48" t="str">
        <f aca="false">IF($H4878="","",生产加工!$N242)</f>
        <v/>
      </c>
      <c r="H4878" s="10" t="str">
        <f aca="false">IF($L4878="","",IF($L4878="@对方",生产加工!$K242,IF($L4878="@存货",生产加工!$Q242,$L4878)))</f>
        <v/>
      </c>
      <c r="I4878" s="42" t="n">
        <f aca="false">IF($M4878="借",$O4878,0)</f>
        <v>0</v>
      </c>
      <c r="J4878" s="42" t="n">
        <f aca="false">IF($M4878="贷",$O4878,0)</f>
        <v>0</v>
      </c>
      <c r="K4878" s="48"/>
      <c r="L4878" s="66" t="str">
        <f aca="false">IF(生产加工!$E242="","",IFERROR(INDEX(记账规则!$A$36:$H$38,MATCH(生产加工!$E242,记账规则!$A$36:$A$38,0),3),""))</f>
        <v/>
      </c>
      <c r="M4878" s="66" t="str">
        <f aca="false">IF($L4878="","",IFERROR(INDEX(记账规则!$A$36:$H$38,MATCH(生产加工!$E242,记账规则!$A$36:$A$38,0),4),""))</f>
        <v/>
      </c>
      <c r="N4878" s="66" t="str">
        <f aca="false">IF($L4878="","",IFERROR(INDEX(记账规则!$A$36:$H$38,MATCH(生产加工!$E242,记账规则!$A$36:$A$38,0),5),""))</f>
        <v/>
      </c>
      <c r="O4878" s="67" t="n">
        <f aca="false">IF($H4878="",0,ROUND(IF($N4878="记账金额",N(生产加工!$U242),0),2))</f>
        <v>0</v>
      </c>
      <c r="P4878" s="64" t="str">
        <f aca="false">IF(AND($H4878&lt;&gt;"",ROUND($O4878,2)&lt;&gt;0),"有","")</f>
        <v/>
      </c>
    </row>
    <row r="4879" customFormat="false" ht="15" hidden="true" customHeight="false" outlineLevel="0" collapsed="false">
      <c r="A4879" s="53" t="str">
        <f aca="false">IF($H4879="","",ROW()-5)</f>
        <v/>
      </c>
      <c r="B4879" s="64" t="s">
        <v>38</v>
      </c>
      <c r="C4879" s="53" t="n">
        <v>242</v>
      </c>
      <c r="D4879" s="53" t="n">
        <v>2</v>
      </c>
      <c r="E4879" s="65" t="str">
        <f aca="false">IF($H4879="","",生产加工!$B242)</f>
        <v/>
      </c>
      <c r="F4879" s="55" t="str">
        <f aca="false">IF($H4879="","",生产加工!$C242)</f>
        <v/>
      </c>
      <c r="G4879" s="48" t="str">
        <f aca="false">IF($H4879="","",生产加工!$N242)</f>
        <v/>
      </c>
      <c r="H4879" s="10" t="str">
        <f aca="false">IF($L4879="","",IF($L4879="@对方",生产加工!$K242,IF($L4879="@存货",生产加工!$Q242,$L4879)))</f>
        <v/>
      </c>
      <c r="I4879" s="42" t="n">
        <f aca="false">IF($M4879="借",$O4879,0)</f>
        <v>0</v>
      </c>
      <c r="J4879" s="42" t="n">
        <f aca="false">IF($M4879="贷",$O4879,0)</f>
        <v>0</v>
      </c>
      <c r="K4879" s="48"/>
      <c r="L4879" s="66" t="str">
        <f aca="false">IF(生产加工!$E242="","",IFERROR(INDEX(记账规则!$A$36:$H$38,MATCH(生产加工!$E242,记账规则!$A$36:$A$38,0),6),""))</f>
        <v/>
      </c>
      <c r="M4879" s="66" t="str">
        <f aca="false">IF($L4879="","",IFERROR(INDEX(记账规则!$A$36:$H$38,MATCH(生产加工!$E242,记账规则!$A$36:$A$38,0),7),""))</f>
        <v/>
      </c>
      <c r="N4879" s="66" t="str">
        <f aca="false">IF($L4879="","",IFERROR(INDEX(记账规则!$A$36:$H$38,MATCH(生产加工!$E242,记账规则!$A$36:$A$38,0),8),""))</f>
        <v/>
      </c>
      <c r="O4879" s="67" t="n">
        <f aca="false">IF($H4879="",0,ROUND(IF($N4879="记账金额",N(生产加工!$U242),0),2))</f>
        <v>0</v>
      </c>
      <c r="P4879" s="64" t="str">
        <f aca="false">IF(AND($H4879&lt;&gt;"",ROUND($O4879,2)&lt;&gt;0),"有","")</f>
        <v/>
      </c>
    </row>
    <row r="4880" customFormat="false" ht="15" hidden="true" customHeight="false" outlineLevel="0" collapsed="false">
      <c r="A4880" s="53" t="str">
        <f aca="false">IF($H4880="","",ROW()-5)</f>
        <v/>
      </c>
      <c r="B4880" s="64" t="s">
        <v>38</v>
      </c>
      <c r="C4880" s="53" t="n">
        <v>243</v>
      </c>
      <c r="D4880" s="53" t="n">
        <v>1</v>
      </c>
      <c r="E4880" s="65" t="str">
        <f aca="false">IF($H4880="","",生产加工!$B243)</f>
        <v/>
      </c>
      <c r="F4880" s="55" t="str">
        <f aca="false">IF($H4880="","",生产加工!$C243)</f>
        <v/>
      </c>
      <c r="G4880" s="48" t="str">
        <f aca="false">IF($H4880="","",生产加工!$N243)</f>
        <v/>
      </c>
      <c r="H4880" s="10" t="str">
        <f aca="false">IF($L4880="","",IF($L4880="@对方",生产加工!$K243,IF($L4880="@存货",生产加工!$Q243,$L4880)))</f>
        <v/>
      </c>
      <c r="I4880" s="42" t="n">
        <f aca="false">IF($M4880="借",$O4880,0)</f>
        <v>0</v>
      </c>
      <c r="J4880" s="42" t="n">
        <f aca="false">IF($M4880="贷",$O4880,0)</f>
        <v>0</v>
      </c>
      <c r="K4880" s="48"/>
      <c r="L4880" s="66" t="str">
        <f aca="false">IF(生产加工!$E243="","",IFERROR(INDEX(记账规则!$A$36:$H$38,MATCH(生产加工!$E243,记账规则!$A$36:$A$38,0),3),""))</f>
        <v/>
      </c>
      <c r="M4880" s="66" t="str">
        <f aca="false">IF($L4880="","",IFERROR(INDEX(记账规则!$A$36:$H$38,MATCH(生产加工!$E243,记账规则!$A$36:$A$38,0),4),""))</f>
        <v/>
      </c>
      <c r="N4880" s="66" t="str">
        <f aca="false">IF($L4880="","",IFERROR(INDEX(记账规则!$A$36:$H$38,MATCH(生产加工!$E243,记账规则!$A$36:$A$38,0),5),""))</f>
        <v/>
      </c>
      <c r="O4880" s="67" t="n">
        <f aca="false">IF($H4880="",0,ROUND(IF($N4880="记账金额",N(生产加工!$U243),0),2))</f>
        <v>0</v>
      </c>
      <c r="P4880" s="64" t="str">
        <f aca="false">IF(AND($H4880&lt;&gt;"",ROUND($O4880,2)&lt;&gt;0),"有","")</f>
        <v/>
      </c>
    </row>
    <row r="4881" customFormat="false" ht="15" hidden="true" customHeight="false" outlineLevel="0" collapsed="false">
      <c r="A4881" s="53" t="str">
        <f aca="false">IF($H4881="","",ROW()-5)</f>
        <v/>
      </c>
      <c r="B4881" s="64" t="s">
        <v>38</v>
      </c>
      <c r="C4881" s="53" t="n">
        <v>243</v>
      </c>
      <c r="D4881" s="53" t="n">
        <v>2</v>
      </c>
      <c r="E4881" s="65" t="str">
        <f aca="false">IF($H4881="","",生产加工!$B243)</f>
        <v/>
      </c>
      <c r="F4881" s="55" t="str">
        <f aca="false">IF($H4881="","",生产加工!$C243)</f>
        <v/>
      </c>
      <c r="G4881" s="48" t="str">
        <f aca="false">IF($H4881="","",生产加工!$N243)</f>
        <v/>
      </c>
      <c r="H4881" s="10" t="str">
        <f aca="false">IF($L4881="","",IF($L4881="@对方",生产加工!$K243,IF($L4881="@存货",生产加工!$Q243,$L4881)))</f>
        <v/>
      </c>
      <c r="I4881" s="42" t="n">
        <f aca="false">IF($M4881="借",$O4881,0)</f>
        <v>0</v>
      </c>
      <c r="J4881" s="42" t="n">
        <f aca="false">IF($M4881="贷",$O4881,0)</f>
        <v>0</v>
      </c>
      <c r="K4881" s="48"/>
      <c r="L4881" s="66" t="str">
        <f aca="false">IF(生产加工!$E243="","",IFERROR(INDEX(记账规则!$A$36:$H$38,MATCH(生产加工!$E243,记账规则!$A$36:$A$38,0),6),""))</f>
        <v/>
      </c>
      <c r="M4881" s="66" t="str">
        <f aca="false">IF($L4881="","",IFERROR(INDEX(记账规则!$A$36:$H$38,MATCH(生产加工!$E243,记账规则!$A$36:$A$38,0),7),""))</f>
        <v/>
      </c>
      <c r="N4881" s="66" t="str">
        <f aca="false">IF($L4881="","",IFERROR(INDEX(记账规则!$A$36:$H$38,MATCH(生产加工!$E243,记账规则!$A$36:$A$38,0),8),""))</f>
        <v/>
      </c>
      <c r="O4881" s="67" t="n">
        <f aca="false">IF($H4881="",0,ROUND(IF($N4881="记账金额",N(生产加工!$U243),0),2))</f>
        <v>0</v>
      </c>
      <c r="P4881" s="64" t="str">
        <f aca="false">IF(AND($H4881&lt;&gt;"",ROUND($O4881,2)&lt;&gt;0),"有","")</f>
        <v/>
      </c>
    </row>
    <row r="4882" customFormat="false" ht="15" hidden="true" customHeight="false" outlineLevel="0" collapsed="false">
      <c r="A4882" s="53" t="str">
        <f aca="false">IF($H4882="","",ROW()-5)</f>
        <v/>
      </c>
      <c r="B4882" s="64" t="s">
        <v>38</v>
      </c>
      <c r="C4882" s="53" t="n">
        <v>244</v>
      </c>
      <c r="D4882" s="53" t="n">
        <v>1</v>
      </c>
      <c r="E4882" s="65" t="str">
        <f aca="false">IF($H4882="","",生产加工!$B244)</f>
        <v/>
      </c>
      <c r="F4882" s="55" t="str">
        <f aca="false">IF($H4882="","",生产加工!$C244)</f>
        <v/>
      </c>
      <c r="G4882" s="48" t="str">
        <f aca="false">IF($H4882="","",生产加工!$N244)</f>
        <v/>
      </c>
      <c r="H4882" s="10" t="str">
        <f aca="false">IF($L4882="","",IF($L4882="@对方",生产加工!$K244,IF($L4882="@存货",生产加工!$Q244,$L4882)))</f>
        <v/>
      </c>
      <c r="I4882" s="42" t="n">
        <f aca="false">IF($M4882="借",$O4882,0)</f>
        <v>0</v>
      </c>
      <c r="J4882" s="42" t="n">
        <f aca="false">IF($M4882="贷",$O4882,0)</f>
        <v>0</v>
      </c>
      <c r="K4882" s="48"/>
      <c r="L4882" s="66" t="str">
        <f aca="false">IF(生产加工!$E244="","",IFERROR(INDEX(记账规则!$A$36:$H$38,MATCH(生产加工!$E244,记账规则!$A$36:$A$38,0),3),""))</f>
        <v/>
      </c>
      <c r="M4882" s="66" t="str">
        <f aca="false">IF($L4882="","",IFERROR(INDEX(记账规则!$A$36:$H$38,MATCH(生产加工!$E244,记账规则!$A$36:$A$38,0),4),""))</f>
        <v/>
      </c>
      <c r="N4882" s="66" t="str">
        <f aca="false">IF($L4882="","",IFERROR(INDEX(记账规则!$A$36:$H$38,MATCH(生产加工!$E244,记账规则!$A$36:$A$38,0),5),""))</f>
        <v/>
      </c>
      <c r="O4882" s="67" t="n">
        <f aca="false">IF($H4882="",0,ROUND(IF($N4882="记账金额",N(生产加工!$U244),0),2))</f>
        <v>0</v>
      </c>
      <c r="P4882" s="64" t="str">
        <f aca="false">IF(AND($H4882&lt;&gt;"",ROUND($O4882,2)&lt;&gt;0),"有","")</f>
        <v/>
      </c>
    </row>
    <row r="4883" customFormat="false" ht="15" hidden="true" customHeight="false" outlineLevel="0" collapsed="false">
      <c r="A4883" s="53" t="str">
        <f aca="false">IF($H4883="","",ROW()-5)</f>
        <v/>
      </c>
      <c r="B4883" s="64" t="s">
        <v>38</v>
      </c>
      <c r="C4883" s="53" t="n">
        <v>244</v>
      </c>
      <c r="D4883" s="53" t="n">
        <v>2</v>
      </c>
      <c r="E4883" s="65" t="str">
        <f aca="false">IF($H4883="","",生产加工!$B244)</f>
        <v/>
      </c>
      <c r="F4883" s="55" t="str">
        <f aca="false">IF($H4883="","",生产加工!$C244)</f>
        <v/>
      </c>
      <c r="G4883" s="48" t="str">
        <f aca="false">IF($H4883="","",生产加工!$N244)</f>
        <v/>
      </c>
      <c r="H4883" s="10" t="str">
        <f aca="false">IF($L4883="","",IF($L4883="@对方",生产加工!$K244,IF($L4883="@存货",生产加工!$Q244,$L4883)))</f>
        <v/>
      </c>
      <c r="I4883" s="42" t="n">
        <f aca="false">IF($M4883="借",$O4883,0)</f>
        <v>0</v>
      </c>
      <c r="J4883" s="42" t="n">
        <f aca="false">IF($M4883="贷",$O4883,0)</f>
        <v>0</v>
      </c>
      <c r="K4883" s="48"/>
      <c r="L4883" s="66" t="str">
        <f aca="false">IF(生产加工!$E244="","",IFERROR(INDEX(记账规则!$A$36:$H$38,MATCH(生产加工!$E244,记账规则!$A$36:$A$38,0),6),""))</f>
        <v/>
      </c>
      <c r="M4883" s="66" t="str">
        <f aca="false">IF($L4883="","",IFERROR(INDEX(记账规则!$A$36:$H$38,MATCH(生产加工!$E244,记账规则!$A$36:$A$38,0),7),""))</f>
        <v/>
      </c>
      <c r="N4883" s="66" t="str">
        <f aca="false">IF($L4883="","",IFERROR(INDEX(记账规则!$A$36:$H$38,MATCH(生产加工!$E244,记账规则!$A$36:$A$38,0),8),""))</f>
        <v/>
      </c>
      <c r="O4883" s="67" t="n">
        <f aca="false">IF($H4883="",0,ROUND(IF($N4883="记账金额",N(生产加工!$U244),0),2))</f>
        <v>0</v>
      </c>
      <c r="P4883" s="64" t="str">
        <f aca="false">IF(AND($H4883&lt;&gt;"",ROUND($O4883,2)&lt;&gt;0),"有","")</f>
        <v/>
      </c>
    </row>
    <row r="4884" customFormat="false" ht="15" hidden="true" customHeight="false" outlineLevel="0" collapsed="false">
      <c r="A4884" s="53" t="str">
        <f aca="false">IF($H4884="","",ROW()-5)</f>
        <v/>
      </c>
      <c r="B4884" s="64" t="s">
        <v>38</v>
      </c>
      <c r="C4884" s="53" t="n">
        <v>245</v>
      </c>
      <c r="D4884" s="53" t="n">
        <v>1</v>
      </c>
      <c r="E4884" s="65" t="str">
        <f aca="false">IF($H4884="","",生产加工!$B245)</f>
        <v/>
      </c>
      <c r="F4884" s="55" t="str">
        <f aca="false">IF($H4884="","",生产加工!$C245)</f>
        <v/>
      </c>
      <c r="G4884" s="48" t="str">
        <f aca="false">IF($H4884="","",生产加工!$N245)</f>
        <v/>
      </c>
      <c r="H4884" s="10" t="str">
        <f aca="false">IF($L4884="","",IF($L4884="@对方",生产加工!$K245,IF($L4884="@存货",生产加工!$Q245,$L4884)))</f>
        <v/>
      </c>
      <c r="I4884" s="42" t="n">
        <f aca="false">IF($M4884="借",$O4884,0)</f>
        <v>0</v>
      </c>
      <c r="J4884" s="42" t="n">
        <f aca="false">IF($M4884="贷",$O4884,0)</f>
        <v>0</v>
      </c>
      <c r="K4884" s="48"/>
      <c r="L4884" s="66" t="str">
        <f aca="false">IF(生产加工!$E245="","",IFERROR(INDEX(记账规则!$A$36:$H$38,MATCH(生产加工!$E245,记账规则!$A$36:$A$38,0),3),""))</f>
        <v/>
      </c>
      <c r="M4884" s="66" t="str">
        <f aca="false">IF($L4884="","",IFERROR(INDEX(记账规则!$A$36:$H$38,MATCH(生产加工!$E245,记账规则!$A$36:$A$38,0),4),""))</f>
        <v/>
      </c>
      <c r="N4884" s="66" t="str">
        <f aca="false">IF($L4884="","",IFERROR(INDEX(记账规则!$A$36:$H$38,MATCH(生产加工!$E245,记账规则!$A$36:$A$38,0),5),""))</f>
        <v/>
      </c>
      <c r="O4884" s="67" t="n">
        <f aca="false">IF($H4884="",0,ROUND(IF($N4884="记账金额",N(生产加工!$U245),0),2))</f>
        <v>0</v>
      </c>
      <c r="P4884" s="64" t="str">
        <f aca="false">IF(AND($H4884&lt;&gt;"",ROUND($O4884,2)&lt;&gt;0),"有","")</f>
        <v/>
      </c>
    </row>
    <row r="4885" customFormat="false" ht="15" hidden="true" customHeight="false" outlineLevel="0" collapsed="false">
      <c r="A4885" s="53" t="str">
        <f aca="false">IF($H4885="","",ROW()-5)</f>
        <v/>
      </c>
      <c r="B4885" s="64" t="s">
        <v>38</v>
      </c>
      <c r="C4885" s="53" t="n">
        <v>245</v>
      </c>
      <c r="D4885" s="53" t="n">
        <v>2</v>
      </c>
      <c r="E4885" s="65" t="str">
        <f aca="false">IF($H4885="","",生产加工!$B245)</f>
        <v/>
      </c>
      <c r="F4885" s="55" t="str">
        <f aca="false">IF($H4885="","",生产加工!$C245)</f>
        <v/>
      </c>
      <c r="G4885" s="48" t="str">
        <f aca="false">IF($H4885="","",生产加工!$N245)</f>
        <v/>
      </c>
      <c r="H4885" s="10" t="str">
        <f aca="false">IF($L4885="","",IF($L4885="@对方",生产加工!$K245,IF($L4885="@存货",生产加工!$Q245,$L4885)))</f>
        <v/>
      </c>
      <c r="I4885" s="42" t="n">
        <f aca="false">IF($M4885="借",$O4885,0)</f>
        <v>0</v>
      </c>
      <c r="J4885" s="42" t="n">
        <f aca="false">IF($M4885="贷",$O4885,0)</f>
        <v>0</v>
      </c>
      <c r="K4885" s="48"/>
      <c r="L4885" s="66" t="str">
        <f aca="false">IF(生产加工!$E245="","",IFERROR(INDEX(记账规则!$A$36:$H$38,MATCH(生产加工!$E245,记账规则!$A$36:$A$38,0),6),""))</f>
        <v/>
      </c>
      <c r="M4885" s="66" t="str">
        <f aca="false">IF($L4885="","",IFERROR(INDEX(记账规则!$A$36:$H$38,MATCH(生产加工!$E245,记账规则!$A$36:$A$38,0),7),""))</f>
        <v/>
      </c>
      <c r="N4885" s="66" t="str">
        <f aca="false">IF($L4885="","",IFERROR(INDEX(记账规则!$A$36:$H$38,MATCH(生产加工!$E245,记账规则!$A$36:$A$38,0),8),""))</f>
        <v/>
      </c>
      <c r="O4885" s="67" t="n">
        <f aca="false">IF($H4885="",0,ROUND(IF($N4885="记账金额",N(生产加工!$U245),0),2))</f>
        <v>0</v>
      </c>
      <c r="P4885" s="64" t="str">
        <f aca="false">IF(AND($H4885&lt;&gt;"",ROUND($O4885,2)&lt;&gt;0),"有","")</f>
        <v/>
      </c>
    </row>
    <row r="4886" customFormat="false" ht="15" hidden="true" customHeight="false" outlineLevel="0" collapsed="false">
      <c r="A4886" s="53" t="str">
        <f aca="false">IF($H4886="","",ROW()-5)</f>
        <v/>
      </c>
      <c r="B4886" s="64" t="s">
        <v>38</v>
      </c>
      <c r="C4886" s="53" t="n">
        <v>246</v>
      </c>
      <c r="D4886" s="53" t="n">
        <v>1</v>
      </c>
      <c r="E4886" s="65" t="str">
        <f aca="false">IF($H4886="","",生产加工!$B246)</f>
        <v/>
      </c>
      <c r="F4886" s="55" t="str">
        <f aca="false">IF($H4886="","",生产加工!$C246)</f>
        <v/>
      </c>
      <c r="G4886" s="48" t="str">
        <f aca="false">IF($H4886="","",生产加工!$N246)</f>
        <v/>
      </c>
      <c r="H4886" s="10" t="str">
        <f aca="false">IF($L4886="","",IF($L4886="@对方",生产加工!$K246,IF($L4886="@存货",生产加工!$Q246,$L4886)))</f>
        <v/>
      </c>
      <c r="I4886" s="42" t="n">
        <f aca="false">IF($M4886="借",$O4886,0)</f>
        <v>0</v>
      </c>
      <c r="J4886" s="42" t="n">
        <f aca="false">IF($M4886="贷",$O4886,0)</f>
        <v>0</v>
      </c>
      <c r="K4886" s="48"/>
      <c r="L4886" s="66" t="str">
        <f aca="false">IF(生产加工!$E246="","",IFERROR(INDEX(记账规则!$A$36:$H$38,MATCH(生产加工!$E246,记账规则!$A$36:$A$38,0),3),""))</f>
        <v/>
      </c>
      <c r="M4886" s="66" t="str">
        <f aca="false">IF($L4886="","",IFERROR(INDEX(记账规则!$A$36:$H$38,MATCH(生产加工!$E246,记账规则!$A$36:$A$38,0),4),""))</f>
        <v/>
      </c>
      <c r="N4886" s="66" t="str">
        <f aca="false">IF($L4886="","",IFERROR(INDEX(记账规则!$A$36:$H$38,MATCH(生产加工!$E246,记账规则!$A$36:$A$38,0),5),""))</f>
        <v/>
      </c>
      <c r="O4886" s="67" t="n">
        <f aca="false">IF($H4886="",0,ROUND(IF($N4886="记账金额",N(生产加工!$U246),0),2))</f>
        <v>0</v>
      </c>
      <c r="P4886" s="64" t="str">
        <f aca="false">IF(AND($H4886&lt;&gt;"",ROUND($O4886,2)&lt;&gt;0),"有","")</f>
        <v/>
      </c>
    </row>
    <row r="4887" customFormat="false" ht="15" hidden="true" customHeight="false" outlineLevel="0" collapsed="false">
      <c r="A4887" s="53" t="str">
        <f aca="false">IF($H4887="","",ROW()-5)</f>
        <v/>
      </c>
      <c r="B4887" s="64" t="s">
        <v>38</v>
      </c>
      <c r="C4887" s="53" t="n">
        <v>246</v>
      </c>
      <c r="D4887" s="53" t="n">
        <v>2</v>
      </c>
      <c r="E4887" s="65" t="str">
        <f aca="false">IF($H4887="","",生产加工!$B246)</f>
        <v/>
      </c>
      <c r="F4887" s="55" t="str">
        <f aca="false">IF($H4887="","",生产加工!$C246)</f>
        <v/>
      </c>
      <c r="G4887" s="48" t="str">
        <f aca="false">IF($H4887="","",生产加工!$N246)</f>
        <v/>
      </c>
      <c r="H4887" s="10" t="str">
        <f aca="false">IF($L4887="","",IF($L4887="@对方",生产加工!$K246,IF($L4887="@存货",生产加工!$Q246,$L4887)))</f>
        <v/>
      </c>
      <c r="I4887" s="42" t="n">
        <f aca="false">IF($M4887="借",$O4887,0)</f>
        <v>0</v>
      </c>
      <c r="J4887" s="42" t="n">
        <f aca="false">IF($M4887="贷",$O4887,0)</f>
        <v>0</v>
      </c>
      <c r="K4887" s="48"/>
      <c r="L4887" s="66" t="str">
        <f aca="false">IF(生产加工!$E246="","",IFERROR(INDEX(记账规则!$A$36:$H$38,MATCH(生产加工!$E246,记账规则!$A$36:$A$38,0),6),""))</f>
        <v/>
      </c>
      <c r="M4887" s="66" t="str">
        <f aca="false">IF($L4887="","",IFERROR(INDEX(记账规则!$A$36:$H$38,MATCH(生产加工!$E246,记账规则!$A$36:$A$38,0),7),""))</f>
        <v/>
      </c>
      <c r="N4887" s="66" t="str">
        <f aca="false">IF($L4887="","",IFERROR(INDEX(记账规则!$A$36:$H$38,MATCH(生产加工!$E246,记账规则!$A$36:$A$38,0),8),""))</f>
        <v/>
      </c>
      <c r="O4887" s="67" t="n">
        <f aca="false">IF($H4887="",0,ROUND(IF($N4887="记账金额",N(生产加工!$U246),0),2))</f>
        <v>0</v>
      </c>
      <c r="P4887" s="64" t="str">
        <f aca="false">IF(AND($H4887&lt;&gt;"",ROUND($O4887,2)&lt;&gt;0),"有","")</f>
        <v/>
      </c>
    </row>
    <row r="4888" customFormat="false" ht="15" hidden="true" customHeight="false" outlineLevel="0" collapsed="false">
      <c r="A4888" s="53" t="str">
        <f aca="false">IF($H4888="","",ROW()-5)</f>
        <v/>
      </c>
      <c r="B4888" s="64" t="s">
        <v>38</v>
      </c>
      <c r="C4888" s="53" t="n">
        <v>247</v>
      </c>
      <c r="D4888" s="53" t="n">
        <v>1</v>
      </c>
      <c r="E4888" s="65" t="str">
        <f aca="false">IF($H4888="","",生产加工!$B247)</f>
        <v/>
      </c>
      <c r="F4888" s="55" t="str">
        <f aca="false">IF($H4888="","",生产加工!$C247)</f>
        <v/>
      </c>
      <c r="G4888" s="48" t="str">
        <f aca="false">IF($H4888="","",生产加工!$N247)</f>
        <v/>
      </c>
      <c r="H4888" s="10" t="str">
        <f aca="false">IF($L4888="","",IF($L4888="@对方",生产加工!$K247,IF($L4888="@存货",生产加工!$Q247,$L4888)))</f>
        <v/>
      </c>
      <c r="I4888" s="42" t="n">
        <f aca="false">IF($M4888="借",$O4888,0)</f>
        <v>0</v>
      </c>
      <c r="J4888" s="42" t="n">
        <f aca="false">IF($M4888="贷",$O4888,0)</f>
        <v>0</v>
      </c>
      <c r="K4888" s="48"/>
      <c r="L4888" s="66" t="str">
        <f aca="false">IF(生产加工!$E247="","",IFERROR(INDEX(记账规则!$A$36:$H$38,MATCH(生产加工!$E247,记账规则!$A$36:$A$38,0),3),""))</f>
        <v/>
      </c>
      <c r="M4888" s="66" t="str">
        <f aca="false">IF($L4888="","",IFERROR(INDEX(记账规则!$A$36:$H$38,MATCH(生产加工!$E247,记账规则!$A$36:$A$38,0),4),""))</f>
        <v/>
      </c>
      <c r="N4888" s="66" t="str">
        <f aca="false">IF($L4888="","",IFERROR(INDEX(记账规则!$A$36:$H$38,MATCH(生产加工!$E247,记账规则!$A$36:$A$38,0),5),""))</f>
        <v/>
      </c>
      <c r="O4888" s="67" t="n">
        <f aca="false">IF($H4888="",0,ROUND(IF($N4888="记账金额",N(生产加工!$U247),0),2))</f>
        <v>0</v>
      </c>
      <c r="P4888" s="64" t="str">
        <f aca="false">IF(AND($H4888&lt;&gt;"",ROUND($O4888,2)&lt;&gt;0),"有","")</f>
        <v/>
      </c>
    </row>
    <row r="4889" customFormat="false" ht="15" hidden="true" customHeight="false" outlineLevel="0" collapsed="false">
      <c r="A4889" s="53" t="str">
        <f aca="false">IF($H4889="","",ROW()-5)</f>
        <v/>
      </c>
      <c r="B4889" s="64" t="s">
        <v>38</v>
      </c>
      <c r="C4889" s="53" t="n">
        <v>247</v>
      </c>
      <c r="D4889" s="53" t="n">
        <v>2</v>
      </c>
      <c r="E4889" s="65" t="str">
        <f aca="false">IF($H4889="","",生产加工!$B247)</f>
        <v/>
      </c>
      <c r="F4889" s="55" t="str">
        <f aca="false">IF($H4889="","",生产加工!$C247)</f>
        <v/>
      </c>
      <c r="G4889" s="48" t="str">
        <f aca="false">IF($H4889="","",生产加工!$N247)</f>
        <v/>
      </c>
      <c r="H4889" s="10" t="str">
        <f aca="false">IF($L4889="","",IF($L4889="@对方",生产加工!$K247,IF($L4889="@存货",生产加工!$Q247,$L4889)))</f>
        <v/>
      </c>
      <c r="I4889" s="42" t="n">
        <f aca="false">IF($M4889="借",$O4889,0)</f>
        <v>0</v>
      </c>
      <c r="J4889" s="42" t="n">
        <f aca="false">IF($M4889="贷",$O4889,0)</f>
        <v>0</v>
      </c>
      <c r="K4889" s="48"/>
      <c r="L4889" s="66" t="str">
        <f aca="false">IF(生产加工!$E247="","",IFERROR(INDEX(记账规则!$A$36:$H$38,MATCH(生产加工!$E247,记账规则!$A$36:$A$38,0),6),""))</f>
        <v/>
      </c>
      <c r="M4889" s="66" t="str">
        <f aca="false">IF($L4889="","",IFERROR(INDEX(记账规则!$A$36:$H$38,MATCH(生产加工!$E247,记账规则!$A$36:$A$38,0),7),""))</f>
        <v/>
      </c>
      <c r="N4889" s="66" t="str">
        <f aca="false">IF($L4889="","",IFERROR(INDEX(记账规则!$A$36:$H$38,MATCH(生产加工!$E247,记账规则!$A$36:$A$38,0),8),""))</f>
        <v/>
      </c>
      <c r="O4889" s="67" t="n">
        <f aca="false">IF($H4889="",0,ROUND(IF($N4889="记账金额",N(生产加工!$U247),0),2))</f>
        <v>0</v>
      </c>
      <c r="P4889" s="64" t="str">
        <f aca="false">IF(AND($H4889&lt;&gt;"",ROUND($O4889,2)&lt;&gt;0),"有","")</f>
        <v/>
      </c>
    </row>
    <row r="4890" customFormat="false" ht="15" hidden="true" customHeight="false" outlineLevel="0" collapsed="false">
      <c r="A4890" s="53" t="str">
        <f aca="false">IF($H4890="","",ROW()-5)</f>
        <v/>
      </c>
      <c r="B4890" s="64" t="s">
        <v>38</v>
      </c>
      <c r="C4890" s="53" t="n">
        <v>248</v>
      </c>
      <c r="D4890" s="53" t="n">
        <v>1</v>
      </c>
      <c r="E4890" s="65" t="str">
        <f aca="false">IF($H4890="","",生产加工!$B248)</f>
        <v/>
      </c>
      <c r="F4890" s="55" t="str">
        <f aca="false">IF($H4890="","",生产加工!$C248)</f>
        <v/>
      </c>
      <c r="G4890" s="48" t="str">
        <f aca="false">IF($H4890="","",生产加工!$N248)</f>
        <v/>
      </c>
      <c r="H4890" s="10" t="str">
        <f aca="false">IF($L4890="","",IF($L4890="@对方",生产加工!$K248,IF($L4890="@存货",生产加工!$Q248,$L4890)))</f>
        <v/>
      </c>
      <c r="I4890" s="42" t="n">
        <f aca="false">IF($M4890="借",$O4890,0)</f>
        <v>0</v>
      </c>
      <c r="J4890" s="42" t="n">
        <f aca="false">IF($M4890="贷",$O4890,0)</f>
        <v>0</v>
      </c>
      <c r="K4890" s="48"/>
      <c r="L4890" s="66" t="str">
        <f aca="false">IF(生产加工!$E248="","",IFERROR(INDEX(记账规则!$A$36:$H$38,MATCH(生产加工!$E248,记账规则!$A$36:$A$38,0),3),""))</f>
        <v/>
      </c>
      <c r="M4890" s="66" t="str">
        <f aca="false">IF($L4890="","",IFERROR(INDEX(记账规则!$A$36:$H$38,MATCH(生产加工!$E248,记账规则!$A$36:$A$38,0),4),""))</f>
        <v/>
      </c>
      <c r="N4890" s="66" t="str">
        <f aca="false">IF($L4890="","",IFERROR(INDEX(记账规则!$A$36:$H$38,MATCH(生产加工!$E248,记账规则!$A$36:$A$38,0),5),""))</f>
        <v/>
      </c>
      <c r="O4890" s="67" t="n">
        <f aca="false">IF($H4890="",0,ROUND(IF($N4890="记账金额",N(生产加工!$U248),0),2))</f>
        <v>0</v>
      </c>
      <c r="P4890" s="64" t="str">
        <f aca="false">IF(AND($H4890&lt;&gt;"",ROUND($O4890,2)&lt;&gt;0),"有","")</f>
        <v/>
      </c>
    </row>
    <row r="4891" customFormat="false" ht="15" hidden="true" customHeight="false" outlineLevel="0" collapsed="false">
      <c r="A4891" s="53" t="str">
        <f aca="false">IF($H4891="","",ROW()-5)</f>
        <v/>
      </c>
      <c r="B4891" s="64" t="s">
        <v>38</v>
      </c>
      <c r="C4891" s="53" t="n">
        <v>248</v>
      </c>
      <c r="D4891" s="53" t="n">
        <v>2</v>
      </c>
      <c r="E4891" s="65" t="str">
        <f aca="false">IF($H4891="","",生产加工!$B248)</f>
        <v/>
      </c>
      <c r="F4891" s="55" t="str">
        <f aca="false">IF($H4891="","",生产加工!$C248)</f>
        <v/>
      </c>
      <c r="G4891" s="48" t="str">
        <f aca="false">IF($H4891="","",生产加工!$N248)</f>
        <v/>
      </c>
      <c r="H4891" s="10" t="str">
        <f aca="false">IF($L4891="","",IF($L4891="@对方",生产加工!$K248,IF($L4891="@存货",生产加工!$Q248,$L4891)))</f>
        <v/>
      </c>
      <c r="I4891" s="42" t="n">
        <f aca="false">IF($M4891="借",$O4891,0)</f>
        <v>0</v>
      </c>
      <c r="J4891" s="42" t="n">
        <f aca="false">IF($M4891="贷",$O4891,0)</f>
        <v>0</v>
      </c>
      <c r="K4891" s="48"/>
      <c r="L4891" s="66" t="str">
        <f aca="false">IF(生产加工!$E248="","",IFERROR(INDEX(记账规则!$A$36:$H$38,MATCH(生产加工!$E248,记账规则!$A$36:$A$38,0),6),""))</f>
        <v/>
      </c>
      <c r="M4891" s="66" t="str">
        <f aca="false">IF($L4891="","",IFERROR(INDEX(记账规则!$A$36:$H$38,MATCH(生产加工!$E248,记账规则!$A$36:$A$38,0),7),""))</f>
        <v/>
      </c>
      <c r="N4891" s="66" t="str">
        <f aca="false">IF($L4891="","",IFERROR(INDEX(记账规则!$A$36:$H$38,MATCH(生产加工!$E248,记账规则!$A$36:$A$38,0),8),""))</f>
        <v/>
      </c>
      <c r="O4891" s="67" t="n">
        <f aca="false">IF($H4891="",0,ROUND(IF($N4891="记账金额",N(生产加工!$U248),0),2))</f>
        <v>0</v>
      </c>
      <c r="P4891" s="64" t="str">
        <f aca="false">IF(AND($H4891&lt;&gt;"",ROUND($O4891,2)&lt;&gt;0),"有","")</f>
        <v/>
      </c>
    </row>
    <row r="4892" customFormat="false" ht="15" hidden="true" customHeight="false" outlineLevel="0" collapsed="false">
      <c r="A4892" s="53" t="str">
        <f aca="false">IF($H4892="","",ROW()-5)</f>
        <v/>
      </c>
      <c r="B4892" s="64" t="s">
        <v>38</v>
      </c>
      <c r="C4892" s="53" t="n">
        <v>249</v>
      </c>
      <c r="D4892" s="53" t="n">
        <v>1</v>
      </c>
      <c r="E4892" s="65" t="str">
        <f aca="false">IF($H4892="","",生产加工!$B249)</f>
        <v/>
      </c>
      <c r="F4892" s="55" t="str">
        <f aca="false">IF($H4892="","",生产加工!$C249)</f>
        <v/>
      </c>
      <c r="G4892" s="48" t="str">
        <f aca="false">IF($H4892="","",生产加工!$N249)</f>
        <v/>
      </c>
      <c r="H4892" s="10" t="str">
        <f aca="false">IF($L4892="","",IF($L4892="@对方",生产加工!$K249,IF($L4892="@存货",生产加工!$Q249,$L4892)))</f>
        <v/>
      </c>
      <c r="I4892" s="42" t="n">
        <f aca="false">IF($M4892="借",$O4892,0)</f>
        <v>0</v>
      </c>
      <c r="J4892" s="42" t="n">
        <f aca="false">IF($M4892="贷",$O4892,0)</f>
        <v>0</v>
      </c>
      <c r="K4892" s="48"/>
      <c r="L4892" s="66" t="str">
        <f aca="false">IF(生产加工!$E249="","",IFERROR(INDEX(记账规则!$A$36:$H$38,MATCH(生产加工!$E249,记账规则!$A$36:$A$38,0),3),""))</f>
        <v/>
      </c>
      <c r="M4892" s="66" t="str">
        <f aca="false">IF($L4892="","",IFERROR(INDEX(记账规则!$A$36:$H$38,MATCH(生产加工!$E249,记账规则!$A$36:$A$38,0),4),""))</f>
        <v/>
      </c>
      <c r="N4892" s="66" t="str">
        <f aca="false">IF($L4892="","",IFERROR(INDEX(记账规则!$A$36:$H$38,MATCH(生产加工!$E249,记账规则!$A$36:$A$38,0),5),""))</f>
        <v/>
      </c>
      <c r="O4892" s="67" t="n">
        <f aca="false">IF($H4892="",0,ROUND(IF($N4892="记账金额",N(生产加工!$U249),0),2))</f>
        <v>0</v>
      </c>
      <c r="P4892" s="64" t="str">
        <f aca="false">IF(AND($H4892&lt;&gt;"",ROUND($O4892,2)&lt;&gt;0),"有","")</f>
        <v/>
      </c>
    </row>
    <row r="4893" customFormat="false" ht="15" hidden="true" customHeight="false" outlineLevel="0" collapsed="false">
      <c r="A4893" s="53" t="str">
        <f aca="false">IF($H4893="","",ROW()-5)</f>
        <v/>
      </c>
      <c r="B4893" s="64" t="s">
        <v>38</v>
      </c>
      <c r="C4893" s="53" t="n">
        <v>249</v>
      </c>
      <c r="D4893" s="53" t="n">
        <v>2</v>
      </c>
      <c r="E4893" s="65" t="str">
        <f aca="false">IF($H4893="","",生产加工!$B249)</f>
        <v/>
      </c>
      <c r="F4893" s="55" t="str">
        <f aca="false">IF($H4893="","",生产加工!$C249)</f>
        <v/>
      </c>
      <c r="G4893" s="48" t="str">
        <f aca="false">IF($H4893="","",生产加工!$N249)</f>
        <v/>
      </c>
      <c r="H4893" s="10" t="str">
        <f aca="false">IF($L4893="","",IF($L4893="@对方",生产加工!$K249,IF($L4893="@存货",生产加工!$Q249,$L4893)))</f>
        <v/>
      </c>
      <c r="I4893" s="42" t="n">
        <f aca="false">IF($M4893="借",$O4893,0)</f>
        <v>0</v>
      </c>
      <c r="J4893" s="42" t="n">
        <f aca="false">IF($M4893="贷",$O4893,0)</f>
        <v>0</v>
      </c>
      <c r="K4893" s="48"/>
      <c r="L4893" s="66" t="str">
        <f aca="false">IF(生产加工!$E249="","",IFERROR(INDEX(记账规则!$A$36:$H$38,MATCH(生产加工!$E249,记账规则!$A$36:$A$38,0),6),""))</f>
        <v/>
      </c>
      <c r="M4893" s="66" t="str">
        <f aca="false">IF($L4893="","",IFERROR(INDEX(记账规则!$A$36:$H$38,MATCH(生产加工!$E249,记账规则!$A$36:$A$38,0),7),""))</f>
        <v/>
      </c>
      <c r="N4893" s="66" t="str">
        <f aca="false">IF($L4893="","",IFERROR(INDEX(记账规则!$A$36:$H$38,MATCH(生产加工!$E249,记账规则!$A$36:$A$38,0),8),""))</f>
        <v/>
      </c>
      <c r="O4893" s="67" t="n">
        <f aca="false">IF($H4893="",0,ROUND(IF($N4893="记账金额",N(生产加工!$U249),0),2))</f>
        <v>0</v>
      </c>
      <c r="P4893" s="64" t="str">
        <f aca="false">IF(AND($H4893&lt;&gt;"",ROUND($O4893,2)&lt;&gt;0),"有","")</f>
        <v/>
      </c>
    </row>
    <row r="4894" customFormat="false" ht="15" hidden="true" customHeight="false" outlineLevel="0" collapsed="false">
      <c r="A4894" s="53" t="str">
        <f aca="false">IF($H4894="","",ROW()-5)</f>
        <v/>
      </c>
      <c r="B4894" s="64" t="s">
        <v>38</v>
      </c>
      <c r="C4894" s="53" t="n">
        <v>250</v>
      </c>
      <c r="D4894" s="53" t="n">
        <v>1</v>
      </c>
      <c r="E4894" s="65" t="str">
        <f aca="false">IF($H4894="","",生产加工!$B250)</f>
        <v/>
      </c>
      <c r="F4894" s="55" t="str">
        <f aca="false">IF($H4894="","",生产加工!$C250)</f>
        <v/>
      </c>
      <c r="G4894" s="48" t="str">
        <f aca="false">IF($H4894="","",生产加工!$N250)</f>
        <v/>
      </c>
      <c r="H4894" s="10" t="str">
        <f aca="false">IF($L4894="","",IF($L4894="@对方",生产加工!$K250,IF($L4894="@存货",生产加工!$Q250,$L4894)))</f>
        <v/>
      </c>
      <c r="I4894" s="42" t="n">
        <f aca="false">IF($M4894="借",$O4894,0)</f>
        <v>0</v>
      </c>
      <c r="J4894" s="42" t="n">
        <f aca="false">IF($M4894="贷",$O4894,0)</f>
        <v>0</v>
      </c>
      <c r="K4894" s="48"/>
      <c r="L4894" s="66" t="str">
        <f aca="false">IF(生产加工!$E250="","",IFERROR(INDEX(记账规则!$A$36:$H$38,MATCH(生产加工!$E250,记账规则!$A$36:$A$38,0),3),""))</f>
        <v/>
      </c>
      <c r="M4894" s="66" t="str">
        <f aca="false">IF($L4894="","",IFERROR(INDEX(记账规则!$A$36:$H$38,MATCH(生产加工!$E250,记账规则!$A$36:$A$38,0),4),""))</f>
        <v/>
      </c>
      <c r="N4894" s="66" t="str">
        <f aca="false">IF($L4894="","",IFERROR(INDEX(记账规则!$A$36:$H$38,MATCH(生产加工!$E250,记账规则!$A$36:$A$38,0),5),""))</f>
        <v/>
      </c>
      <c r="O4894" s="67" t="n">
        <f aca="false">IF($H4894="",0,ROUND(IF($N4894="记账金额",N(生产加工!$U250),0),2))</f>
        <v>0</v>
      </c>
      <c r="P4894" s="64" t="str">
        <f aca="false">IF(AND($H4894&lt;&gt;"",ROUND($O4894,2)&lt;&gt;0),"有","")</f>
        <v/>
      </c>
    </row>
    <row r="4895" customFormat="false" ht="15" hidden="true" customHeight="false" outlineLevel="0" collapsed="false">
      <c r="A4895" s="53" t="str">
        <f aca="false">IF($H4895="","",ROW()-5)</f>
        <v/>
      </c>
      <c r="B4895" s="64" t="s">
        <v>38</v>
      </c>
      <c r="C4895" s="53" t="n">
        <v>250</v>
      </c>
      <c r="D4895" s="53" t="n">
        <v>2</v>
      </c>
      <c r="E4895" s="65" t="str">
        <f aca="false">IF($H4895="","",生产加工!$B250)</f>
        <v/>
      </c>
      <c r="F4895" s="55" t="str">
        <f aca="false">IF($H4895="","",生产加工!$C250)</f>
        <v/>
      </c>
      <c r="G4895" s="48" t="str">
        <f aca="false">IF($H4895="","",生产加工!$N250)</f>
        <v/>
      </c>
      <c r="H4895" s="10" t="str">
        <f aca="false">IF($L4895="","",IF($L4895="@对方",生产加工!$K250,IF($L4895="@存货",生产加工!$Q250,$L4895)))</f>
        <v/>
      </c>
      <c r="I4895" s="42" t="n">
        <f aca="false">IF($M4895="借",$O4895,0)</f>
        <v>0</v>
      </c>
      <c r="J4895" s="42" t="n">
        <f aca="false">IF($M4895="贷",$O4895,0)</f>
        <v>0</v>
      </c>
      <c r="K4895" s="48"/>
      <c r="L4895" s="66" t="str">
        <f aca="false">IF(生产加工!$E250="","",IFERROR(INDEX(记账规则!$A$36:$H$38,MATCH(生产加工!$E250,记账规则!$A$36:$A$38,0),6),""))</f>
        <v/>
      </c>
      <c r="M4895" s="66" t="str">
        <f aca="false">IF($L4895="","",IFERROR(INDEX(记账规则!$A$36:$H$38,MATCH(生产加工!$E250,记账规则!$A$36:$A$38,0),7),""))</f>
        <v/>
      </c>
      <c r="N4895" s="66" t="str">
        <f aca="false">IF($L4895="","",IFERROR(INDEX(记账规则!$A$36:$H$38,MATCH(生产加工!$E250,记账规则!$A$36:$A$38,0),8),""))</f>
        <v/>
      </c>
      <c r="O4895" s="67" t="n">
        <f aca="false">IF($H4895="",0,ROUND(IF($N4895="记账金额",N(生产加工!$U250),0),2))</f>
        <v>0</v>
      </c>
      <c r="P4895" s="64" t="str">
        <f aca="false">IF(AND($H4895&lt;&gt;"",ROUND($O4895,2)&lt;&gt;0),"有","")</f>
        <v/>
      </c>
    </row>
    <row r="4896" customFormat="false" ht="15" hidden="true" customHeight="false" outlineLevel="0" collapsed="false">
      <c r="A4896" s="53" t="str">
        <f aca="false">IF($H4896="","",ROW()-5)</f>
        <v/>
      </c>
      <c r="B4896" s="64" t="s">
        <v>38</v>
      </c>
      <c r="C4896" s="53" t="n">
        <v>251</v>
      </c>
      <c r="D4896" s="53" t="n">
        <v>1</v>
      </c>
      <c r="E4896" s="65" t="str">
        <f aca="false">IF($H4896="","",生产加工!$B251)</f>
        <v/>
      </c>
      <c r="F4896" s="55" t="str">
        <f aca="false">IF($H4896="","",生产加工!$C251)</f>
        <v/>
      </c>
      <c r="G4896" s="48" t="str">
        <f aca="false">IF($H4896="","",生产加工!$N251)</f>
        <v/>
      </c>
      <c r="H4896" s="10" t="str">
        <f aca="false">IF($L4896="","",IF($L4896="@对方",生产加工!$K251,IF($L4896="@存货",生产加工!$Q251,$L4896)))</f>
        <v/>
      </c>
      <c r="I4896" s="42" t="n">
        <f aca="false">IF($M4896="借",$O4896,0)</f>
        <v>0</v>
      </c>
      <c r="J4896" s="42" t="n">
        <f aca="false">IF($M4896="贷",$O4896,0)</f>
        <v>0</v>
      </c>
      <c r="K4896" s="48"/>
      <c r="L4896" s="66" t="str">
        <f aca="false">IF(生产加工!$E251="","",IFERROR(INDEX(记账规则!$A$36:$H$38,MATCH(生产加工!$E251,记账规则!$A$36:$A$38,0),3),""))</f>
        <v/>
      </c>
      <c r="M4896" s="66" t="str">
        <f aca="false">IF($L4896="","",IFERROR(INDEX(记账规则!$A$36:$H$38,MATCH(生产加工!$E251,记账规则!$A$36:$A$38,0),4),""))</f>
        <v/>
      </c>
      <c r="N4896" s="66" t="str">
        <f aca="false">IF($L4896="","",IFERROR(INDEX(记账规则!$A$36:$H$38,MATCH(生产加工!$E251,记账规则!$A$36:$A$38,0),5),""))</f>
        <v/>
      </c>
      <c r="O4896" s="67" t="n">
        <f aca="false">IF($H4896="",0,ROUND(IF($N4896="记账金额",N(生产加工!$U251),0),2))</f>
        <v>0</v>
      </c>
      <c r="P4896" s="64" t="str">
        <f aca="false">IF(AND($H4896&lt;&gt;"",ROUND($O4896,2)&lt;&gt;0),"有","")</f>
        <v/>
      </c>
    </row>
    <row r="4897" customFormat="false" ht="15" hidden="true" customHeight="false" outlineLevel="0" collapsed="false">
      <c r="A4897" s="53" t="str">
        <f aca="false">IF($H4897="","",ROW()-5)</f>
        <v/>
      </c>
      <c r="B4897" s="64" t="s">
        <v>38</v>
      </c>
      <c r="C4897" s="53" t="n">
        <v>251</v>
      </c>
      <c r="D4897" s="53" t="n">
        <v>2</v>
      </c>
      <c r="E4897" s="65" t="str">
        <f aca="false">IF($H4897="","",生产加工!$B251)</f>
        <v/>
      </c>
      <c r="F4897" s="55" t="str">
        <f aca="false">IF($H4897="","",生产加工!$C251)</f>
        <v/>
      </c>
      <c r="G4897" s="48" t="str">
        <f aca="false">IF($H4897="","",生产加工!$N251)</f>
        <v/>
      </c>
      <c r="H4897" s="10" t="str">
        <f aca="false">IF($L4897="","",IF($L4897="@对方",生产加工!$K251,IF($L4897="@存货",生产加工!$Q251,$L4897)))</f>
        <v/>
      </c>
      <c r="I4897" s="42" t="n">
        <f aca="false">IF($M4897="借",$O4897,0)</f>
        <v>0</v>
      </c>
      <c r="J4897" s="42" t="n">
        <f aca="false">IF($M4897="贷",$O4897,0)</f>
        <v>0</v>
      </c>
      <c r="K4897" s="48"/>
      <c r="L4897" s="66" t="str">
        <f aca="false">IF(生产加工!$E251="","",IFERROR(INDEX(记账规则!$A$36:$H$38,MATCH(生产加工!$E251,记账规则!$A$36:$A$38,0),6),""))</f>
        <v/>
      </c>
      <c r="M4897" s="66" t="str">
        <f aca="false">IF($L4897="","",IFERROR(INDEX(记账规则!$A$36:$H$38,MATCH(生产加工!$E251,记账规则!$A$36:$A$38,0),7),""))</f>
        <v/>
      </c>
      <c r="N4897" s="66" t="str">
        <f aca="false">IF($L4897="","",IFERROR(INDEX(记账规则!$A$36:$H$38,MATCH(生产加工!$E251,记账规则!$A$36:$A$38,0),8),""))</f>
        <v/>
      </c>
      <c r="O4897" s="67" t="n">
        <f aca="false">IF($H4897="",0,ROUND(IF($N4897="记账金额",N(生产加工!$U251),0),2))</f>
        <v>0</v>
      </c>
      <c r="P4897" s="64" t="str">
        <f aca="false">IF(AND($H4897&lt;&gt;"",ROUND($O4897,2)&lt;&gt;0),"有","")</f>
        <v/>
      </c>
    </row>
    <row r="4898" customFormat="false" ht="15" hidden="true" customHeight="false" outlineLevel="0" collapsed="false">
      <c r="A4898" s="53" t="str">
        <f aca="false">IF($H4898="","",ROW()-5)</f>
        <v/>
      </c>
      <c r="B4898" s="64" t="s">
        <v>38</v>
      </c>
      <c r="C4898" s="53" t="n">
        <v>252</v>
      </c>
      <c r="D4898" s="53" t="n">
        <v>1</v>
      </c>
      <c r="E4898" s="65" t="str">
        <f aca="false">IF($H4898="","",生产加工!$B252)</f>
        <v/>
      </c>
      <c r="F4898" s="55" t="str">
        <f aca="false">IF($H4898="","",生产加工!$C252)</f>
        <v/>
      </c>
      <c r="G4898" s="48" t="str">
        <f aca="false">IF($H4898="","",生产加工!$N252)</f>
        <v/>
      </c>
      <c r="H4898" s="10" t="str">
        <f aca="false">IF($L4898="","",IF($L4898="@对方",生产加工!$K252,IF($L4898="@存货",生产加工!$Q252,$L4898)))</f>
        <v/>
      </c>
      <c r="I4898" s="42" t="n">
        <f aca="false">IF($M4898="借",$O4898,0)</f>
        <v>0</v>
      </c>
      <c r="J4898" s="42" t="n">
        <f aca="false">IF($M4898="贷",$O4898,0)</f>
        <v>0</v>
      </c>
      <c r="K4898" s="48"/>
      <c r="L4898" s="66" t="str">
        <f aca="false">IF(生产加工!$E252="","",IFERROR(INDEX(记账规则!$A$36:$H$38,MATCH(生产加工!$E252,记账规则!$A$36:$A$38,0),3),""))</f>
        <v/>
      </c>
      <c r="M4898" s="66" t="str">
        <f aca="false">IF($L4898="","",IFERROR(INDEX(记账规则!$A$36:$H$38,MATCH(生产加工!$E252,记账规则!$A$36:$A$38,0),4),""))</f>
        <v/>
      </c>
      <c r="N4898" s="66" t="str">
        <f aca="false">IF($L4898="","",IFERROR(INDEX(记账规则!$A$36:$H$38,MATCH(生产加工!$E252,记账规则!$A$36:$A$38,0),5),""))</f>
        <v/>
      </c>
      <c r="O4898" s="67" t="n">
        <f aca="false">IF($H4898="",0,ROUND(IF($N4898="记账金额",N(生产加工!$U252),0),2))</f>
        <v>0</v>
      </c>
      <c r="P4898" s="64" t="str">
        <f aca="false">IF(AND($H4898&lt;&gt;"",ROUND($O4898,2)&lt;&gt;0),"有","")</f>
        <v/>
      </c>
    </row>
    <row r="4899" customFormat="false" ht="15" hidden="true" customHeight="false" outlineLevel="0" collapsed="false">
      <c r="A4899" s="53" t="str">
        <f aca="false">IF($H4899="","",ROW()-5)</f>
        <v/>
      </c>
      <c r="B4899" s="64" t="s">
        <v>38</v>
      </c>
      <c r="C4899" s="53" t="n">
        <v>252</v>
      </c>
      <c r="D4899" s="53" t="n">
        <v>2</v>
      </c>
      <c r="E4899" s="65" t="str">
        <f aca="false">IF($H4899="","",生产加工!$B252)</f>
        <v/>
      </c>
      <c r="F4899" s="55" t="str">
        <f aca="false">IF($H4899="","",生产加工!$C252)</f>
        <v/>
      </c>
      <c r="G4899" s="48" t="str">
        <f aca="false">IF($H4899="","",生产加工!$N252)</f>
        <v/>
      </c>
      <c r="H4899" s="10" t="str">
        <f aca="false">IF($L4899="","",IF($L4899="@对方",生产加工!$K252,IF($L4899="@存货",生产加工!$Q252,$L4899)))</f>
        <v/>
      </c>
      <c r="I4899" s="42" t="n">
        <f aca="false">IF($M4899="借",$O4899,0)</f>
        <v>0</v>
      </c>
      <c r="J4899" s="42" t="n">
        <f aca="false">IF($M4899="贷",$O4899,0)</f>
        <v>0</v>
      </c>
      <c r="K4899" s="48"/>
      <c r="L4899" s="66" t="str">
        <f aca="false">IF(生产加工!$E252="","",IFERROR(INDEX(记账规则!$A$36:$H$38,MATCH(生产加工!$E252,记账规则!$A$36:$A$38,0),6),""))</f>
        <v/>
      </c>
      <c r="M4899" s="66" t="str">
        <f aca="false">IF($L4899="","",IFERROR(INDEX(记账规则!$A$36:$H$38,MATCH(生产加工!$E252,记账规则!$A$36:$A$38,0),7),""))</f>
        <v/>
      </c>
      <c r="N4899" s="66" t="str">
        <f aca="false">IF($L4899="","",IFERROR(INDEX(记账规则!$A$36:$H$38,MATCH(生产加工!$E252,记账规则!$A$36:$A$38,0),8),""))</f>
        <v/>
      </c>
      <c r="O4899" s="67" t="n">
        <f aca="false">IF($H4899="",0,ROUND(IF($N4899="记账金额",N(生产加工!$U252),0),2))</f>
        <v>0</v>
      </c>
      <c r="P4899" s="64" t="str">
        <f aca="false">IF(AND($H4899&lt;&gt;"",ROUND($O4899,2)&lt;&gt;0),"有","")</f>
        <v/>
      </c>
    </row>
    <row r="4900" customFormat="false" ht="15" hidden="true" customHeight="false" outlineLevel="0" collapsed="false">
      <c r="A4900" s="53" t="str">
        <f aca="false">IF($H4900="","",ROW()-5)</f>
        <v/>
      </c>
      <c r="B4900" s="64" t="s">
        <v>38</v>
      </c>
      <c r="C4900" s="53" t="n">
        <v>253</v>
      </c>
      <c r="D4900" s="53" t="n">
        <v>1</v>
      </c>
      <c r="E4900" s="65" t="str">
        <f aca="false">IF($H4900="","",生产加工!$B253)</f>
        <v/>
      </c>
      <c r="F4900" s="55" t="str">
        <f aca="false">IF($H4900="","",生产加工!$C253)</f>
        <v/>
      </c>
      <c r="G4900" s="48" t="str">
        <f aca="false">IF($H4900="","",生产加工!$N253)</f>
        <v/>
      </c>
      <c r="H4900" s="10" t="str">
        <f aca="false">IF($L4900="","",IF($L4900="@对方",生产加工!$K253,IF($L4900="@存货",生产加工!$Q253,$L4900)))</f>
        <v/>
      </c>
      <c r="I4900" s="42" t="n">
        <f aca="false">IF($M4900="借",$O4900,0)</f>
        <v>0</v>
      </c>
      <c r="J4900" s="42" t="n">
        <f aca="false">IF($M4900="贷",$O4900,0)</f>
        <v>0</v>
      </c>
      <c r="K4900" s="48"/>
      <c r="L4900" s="66" t="str">
        <f aca="false">IF(生产加工!$E253="","",IFERROR(INDEX(记账规则!$A$36:$H$38,MATCH(生产加工!$E253,记账规则!$A$36:$A$38,0),3),""))</f>
        <v/>
      </c>
      <c r="M4900" s="66" t="str">
        <f aca="false">IF($L4900="","",IFERROR(INDEX(记账规则!$A$36:$H$38,MATCH(生产加工!$E253,记账规则!$A$36:$A$38,0),4),""))</f>
        <v/>
      </c>
      <c r="N4900" s="66" t="str">
        <f aca="false">IF($L4900="","",IFERROR(INDEX(记账规则!$A$36:$H$38,MATCH(生产加工!$E253,记账规则!$A$36:$A$38,0),5),""))</f>
        <v/>
      </c>
      <c r="O4900" s="67" t="n">
        <f aca="false">IF($H4900="",0,ROUND(IF($N4900="记账金额",N(生产加工!$U253),0),2))</f>
        <v>0</v>
      </c>
      <c r="P4900" s="64" t="str">
        <f aca="false">IF(AND($H4900&lt;&gt;"",ROUND($O4900,2)&lt;&gt;0),"有","")</f>
        <v/>
      </c>
    </row>
    <row r="4901" customFormat="false" ht="15" hidden="true" customHeight="false" outlineLevel="0" collapsed="false">
      <c r="A4901" s="53" t="str">
        <f aca="false">IF($H4901="","",ROW()-5)</f>
        <v/>
      </c>
      <c r="B4901" s="64" t="s">
        <v>38</v>
      </c>
      <c r="C4901" s="53" t="n">
        <v>253</v>
      </c>
      <c r="D4901" s="53" t="n">
        <v>2</v>
      </c>
      <c r="E4901" s="65" t="str">
        <f aca="false">IF($H4901="","",生产加工!$B253)</f>
        <v/>
      </c>
      <c r="F4901" s="55" t="str">
        <f aca="false">IF($H4901="","",生产加工!$C253)</f>
        <v/>
      </c>
      <c r="G4901" s="48" t="str">
        <f aca="false">IF($H4901="","",生产加工!$N253)</f>
        <v/>
      </c>
      <c r="H4901" s="10" t="str">
        <f aca="false">IF($L4901="","",IF($L4901="@对方",生产加工!$K253,IF($L4901="@存货",生产加工!$Q253,$L4901)))</f>
        <v/>
      </c>
      <c r="I4901" s="42" t="n">
        <f aca="false">IF($M4901="借",$O4901,0)</f>
        <v>0</v>
      </c>
      <c r="J4901" s="42" t="n">
        <f aca="false">IF($M4901="贷",$O4901,0)</f>
        <v>0</v>
      </c>
      <c r="K4901" s="48"/>
      <c r="L4901" s="66" t="str">
        <f aca="false">IF(生产加工!$E253="","",IFERROR(INDEX(记账规则!$A$36:$H$38,MATCH(生产加工!$E253,记账规则!$A$36:$A$38,0),6),""))</f>
        <v/>
      </c>
      <c r="M4901" s="66" t="str">
        <f aca="false">IF($L4901="","",IFERROR(INDEX(记账规则!$A$36:$H$38,MATCH(生产加工!$E253,记账规则!$A$36:$A$38,0),7),""))</f>
        <v/>
      </c>
      <c r="N4901" s="66" t="str">
        <f aca="false">IF($L4901="","",IFERROR(INDEX(记账规则!$A$36:$H$38,MATCH(生产加工!$E253,记账规则!$A$36:$A$38,0),8),""))</f>
        <v/>
      </c>
      <c r="O4901" s="67" t="n">
        <f aca="false">IF($H4901="",0,ROUND(IF($N4901="记账金额",N(生产加工!$U253),0),2))</f>
        <v>0</v>
      </c>
      <c r="P4901" s="64" t="str">
        <f aca="false">IF(AND($H4901&lt;&gt;"",ROUND($O4901,2)&lt;&gt;0),"有","")</f>
        <v/>
      </c>
    </row>
    <row r="4902" customFormat="false" ht="15" hidden="true" customHeight="false" outlineLevel="0" collapsed="false">
      <c r="A4902" s="53" t="str">
        <f aca="false">IF($H4902="","",ROW()-5)</f>
        <v/>
      </c>
      <c r="B4902" s="64" t="s">
        <v>38</v>
      </c>
      <c r="C4902" s="53" t="n">
        <v>254</v>
      </c>
      <c r="D4902" s="53" t="n">
        <v>1</v>
      </c>
      <c r="E4902" s="65" t="str">
        <f aca="false">IF($H4902="","",生产加工!$B254)</f>
        <v/>
      </c>
      <c r="F4902" s="55" t="str">
        <f aca="false">IF($H4902="","",生产加工!$C254)</f>
        <v/>
      </c>
      <c r="G4902" s="48" t="str">
        <f aca="false">IF($H4902="","",生产加工!$N254)</f>
        <v/>
      </c>
      <c r="H4902" s="10" t="str">
        <f aca="false">IF($L4902="","",IF($L4902="@对方",生产加工!$K254,IF($L4902="@存货",生产加工!$Q254,$L4902)))</f>
        <v/>
      </c>
      <c r="I4902" s="42" t="n">
        <f aca="false">IF($M4902="借",$O4902,0)</f>
        <v>0</v>
      </c>
      <c r="J4902" s="42" t="n">
        <f aca="false">IF($M4902="贷",$O4902,0)</f>
        <v>0</v>
      </c>
      <c r="K4902" s="48"/>
      <c r="L4902" s="66" t="str">
        <f aca="false">IF(生产加工!$E254="","",IFERROR(INDEX(记账规则!$A$36:$H$38,MATCH(生产加工!$E254,记账规则!$A$36:$A$38,0),3),""))</f>
        <v/>
      </c>
      <c r="M4902" s="66" t="str">
        <f aca="false">IF($L4902="","",IFERROR(INDEX(记账规则!$A$36:$H$38,MATCH(生产加工!$E254,记账规则!$A$36:$A$38,0),4),""))</f>
        <v/>
      </c>
      <c r="N4902" s="66" t="str">
        <f aca="false">IF($L4902="","",IFERROR(INDEX(记账规则!$A$36:$H$38,MATCH(生产加工!$E254,记账规则!$A$36:$A$38,0),5),""))</f>
        <v/>
      </c>
      <c r="O4902" s="67" t="n">
        <f aca="false">IF($H4902="",0,ROUND(IF($N4902="记账金额",N(生产加工!$U254),0),2))</f>
        <v>0</v>
      </c>
      <c r="P4902" s="64" t="str">
        <f aca="false">IF(AND($H4902&lt;&gt;"",ROUND($O4902,2)&lt;&gt;0),"有","")</f>
        <v/>
      </c>
    </row>
    <row r="4903" customFormat="false" ht="15" hidden="true" customHeight="false" outlineLevel="0" collapsed="false">
      <c r="A4903" s="53" t="str">
        <f aca="false">IF($H4903="","",ROW()-5)</f>
        <v/>
      </c>
      <c r="B4903" s="64" t="s">
        <v>38</v>
      </c>
      <c r="C4903" s="53" t="n">
        <v>254</v>
      </c>
      <c r="D4903" s="53" t="n">
        <v>2</v>
      </c>
      <c r="E4903" s="65" t="str">
        <f aca="false">IF($H4903="","",生产加工!$B254)</f>
        <v/>
      </c>
      <c r="F4903" s="55" t="str">
        <f aca="false">IF($H4903="","",生产加工!$C254)</f>
        <v/>
      </c>
      <c r="G4903" s="48" t="str">
        <f aca="false">IF($H4903="","",生产加工!$N254)</f>
        <v/>
      </c>
      <c r="H4903" s="10" t="str">
        <f aca="false">IF($L4903="","",IF($L4903="@对方",生产加工!$K254,IF($L4903="@存货",生产加工!$Q254,$L4903)))</f>
        <v/>
      </c>
      <c r="I4903" s="42" t="n">
        <f aca="false">IF($M4903="借",$O4903,0)</f>
        <v>0</v>
      </c>
      <c r="J4903" s="42" t="n">
        <f aca="false">IF($M4903="贷",$O4903,0)</f>
        <v>0</v>
      </c>
      <c r="K4903" s="48"/>
      <c r="L4903" s="66" t="str">
        <f aca="false">IF(生产加工!$E254="","",IFERROR(INDEX(记账规则!$A$36:$H$38,MATCH(生产加工!$E254,记账规则!$A$36:$A$38,0),6),""))</f>
        <v/>
      </c>
      <c r="M4903" s="66" t="str">
        <f aca="false">IF($L4903="","",IFERROR(INDEX(记账规则!$A$36:$H$38,MATCH(生产加工!$E254,记账规则!$A$36:$A$38,0),7),""))</f>
        <v/>
      </c>
      <c r="N4903" s="66" t="str">
        <f aca="false">IF($L4903="","",IFERROR(INDEX(记账规则!$A$36:$H$38,MATCH(生产加工!$E254,记账规则!$A$36:$A$38,0),8),""))</f>
        <v/>
      </c>
      <c r="O4903" s="67" t="n">
        <f aca="false">IF($H4903="",0,ROUND(IF($N4903="记账金额",N(生产加工!$U254),0),2))</f>
        <v>0</v>
      </c>
      <c r="P4903" s="64" t="str">
        <f aca="false">IF(AND($H4903&lt;&gt;"",ROUND($O4903,2)&lt;&gt;0),"有","")</f>
        <v/>
      </c>
    </row>
    <row r="4904" customFormat="false" ht="15" hidden="true" customHeight="false" outlineLevel="0" collapsed="false">
      <c r="A4904" s="53" t="str">
        <f aca="false">IF($H4904="","",ROW()-5)</f>
        <v/>
      </c>
      <c r="B4904" s="64" t="s">
        <v>38</v>
      </c>
      <c r="C4904" s="53" t="n">
        <v>255</v>
      </c>
      <c r="D4904" s="53" t="n">
        <v>1</v>
      </c>
      <c r="E4904" s="65" t="str">
        <f aca="false">IF($H4904="","",生产加工!$B255)</f>
        <v/>
      </c>
      <c r="F4904" s="55" t="str">
        <f aca="false">IF($H4904="","",生产加工!$C255)</f>
        <v/>
      </c>
      <c r="G4904" s="48" t="str">
        <f aca="false">IF($H4904="","",生产加工!$N255)</f>
        <v/>
      </c>
      <c r="H4904" s="10" t="str">
        <f aca="false">IF($L4904="","",IF($L4904="@对方",生产加工!$K255,IF($L4904="@存货",生产加工!$Q255,$L4904)))</f>
        <v/>
      </c>
      <c r="I4904" s="42" t="n">
        <f aca="false">IF($M4904="借",$O4904,0)</f>
        <v>0</v>
      </c>
      <c r="J4904" s="42" t="n">
        <f aca="false">IF($M4904="贷",$O4904,0)</f>
        <v>0</v>
      </c>
      <c r="K4904" s="48"/>
      <c r="L4904" s="66" t="str">
        <f aca="false">IF(生产加工!$E255="","",IFERROR(INDEX(记账规则!$A$36:$H$38,MATCH(生产加工!$E255,记账规则!$A$36:$A$38,0),3),""))</f>
        <v/>
      </c>
      <c r="M4904" s="66" t="str">
        <f aca="false">IF($L4904="","",IFERROR(INDEX(记账规则!$A$36:$H$38,MATCH(生产加工!$E255,记账规则!$A$36:$A$38,0),4),""))</f>
        <v/>
      </c>
      <c r="N4904" s="66" t="str">
        <f aca="false">IF($L4904="","",IFERROR(INDEX(记账规则!$A$36:$H$38,MATCH(生产加工!$E255,记账规则!$A$36:$A$38,0),5),""))</f>
        <v/>
      </c>
      <c r="O4904" s="67" t="n">
        <f aca="false">IF($H4904="",0,ROUND(IF($N4904="记账金额",N(生产加工!$U255),0),2))</f>
        <v>0</v>
      </c>
      <c r="P4904" s="64" t="str">
        <f aca="false">IF(AND($H4904&lt;&gt;"",ROUND($O4904,2)&lt;&gt;0),"有","")</f>
        <v/>
      </c>
    </row>
    <row r="4905" customFormat="false" ht="15" hidden="true" customHeight="false" outlineLevel="0" collapsed="false">
      <c r="A4905" s="53" t="str">
        <f aca="false">IF($H4905="","",ROW()-5)</f>
        <v/>
      </c>
      <c r="B4905" s="64" t="s">
        <v>38</v>
      </c>
      <c r="C4905" s="53" t="n">
        <v>255</v>
      </c>
      <c r="D4905" s="53" t="n">
        <v>2</v>
      </c>
      <c r="E4905" s="65" t="str">
        <f aca="false">IF($H4905="","",生产加工!$B255)</f>
        <v/>
      </c>
      <c r="F4905" s="55" t="str">
        <f aca="false">IF($H4905="","",生产加工!$C255)</f>
        <v/>
      </c>
      <c r="G4905" s="48" t="str">
        <f aca="false">IF($H4905="","",生产加工!$N255)</f>
        <v/>
      </c>
      <c r="H4905" s="10" t="str">
        <f aca="false">IF($L4905="","",IF($L4905="@对方",生产加工!$K255,IF($L4905="@存货",生产加工!$Q255,$L4905)))</f>
        <v/>
      </c>
      <c r="I4905" s="42" t="n">
        <f aca="false">IF($M4905="借",$O4905,0)</f>
        <v>0</v>
      </c>
      <c r="J4905" s="42" t="n">
        <f aca="false">IF($M4905="贷",$O4905,0)</f>
        <v>0</v>
      </c>
      <c r="K4905" s="48"/>
      <c r="L4905" s="66" t="str">
        <f aca="false">IF(生产加工!$E255="","",IFERROR(INDEX(记账规则!$A$36:$H$38,MATCH(生产加工!$E255,记账规则!$A$36:$A$38,0),6),""))</f>
        <v/>
      </c>
      <c r="M4905" s="66" t="str">
        <f aca="false">IF($L4905="","",IFERROR(INDEX(记账规则!$A$36:$H$38,MATCH(生产加工!$E255,记账规则!$A$36:$A$38,0),7),""))</f>
        <v/>
      </c>
      <c r="N4905" s="66" t="str">
        <f aca="false">IF($L4905="","",IFERROR(INDEX(记账规则!$A$36:$H$38,MATCH(生产加工!$E255,记账规则!$A$36:$A$38,0),8),""))</f>
        <v/>
      </c>
      <c r="O4905" s="67" t="n">
        <f aca="false">IF($H4905="",0,ROUND(IF($N4905="记账金额",N(生产加工!$U255),0),2))</f>
        <v>0</v>
      </c>
      <c r="P4905" s="64" t="str">
        <f aca="false">IF(AND($H4905&lt;&gt;"",ROUND($O4905,2)&lt;&gt;0),"有","")</f>
        <v/>
      </c>
    </row>
    <row r="4906" customFormat="false" ht="15" hidden="true" customHeight="false" outlineLevel="0" collapsed="false">
      <c r="A4906" s="53" t="str">
        <f aca="false">IF($H4906="","",ROW()-5)</f>
        <v/>
      </c>
      <c r="B4906" s="64" t="s">
        <v>38</v>
      </c>
      <c r="C4906" s="53" t="n">
        <v>256</v>
      </c>
      <c r="D4906" s="53" t="n">
        <v>1</v>
      </c>
      <c r="E4906" s="65" t="str">
        <f aca="false">IF($H4906="","",生产加工!$B256)</f>
        <v/>
      </c>
      <c r="F4906" s="55" t="str">
        <f aca="false">IF($H4906="","",生产加工!$C256)</f>
        <v/>
      </c>
      <c r="G4906" s="48" t="str">
        <f aca="false">IF($H4906="","",生产加工!$N256)</f>
        <v/>
      </c>
      <c r="H4906" s="10" t="str">
        <f aca="false">IF($L4906="","",IF($L4906="@对方",生产加工!$K256,IF($L4906="@存货",生产加工!$Q256,$L4906)))</f>
        <v/>
      </c>
      <c r="I4906" s="42" t="n">
        <f aca="false">IF($M4906="借",$O4906,0)</f>
        <v>0</v>
      </c>
      <c r="J4906" s="42" t="n">
        <f aca="false">IF($M4906="贷",$O4906,0)</f>
        <v>0</v>
      </c>
      <c r="K4906" s="48"/>
      <c r="L4906" s="66" t="str">
        <f aca="false">IF(生产加工!$E256="","",IFERROR(INDEX(记账规则!$A$36:$H$38,MATCH(生产加工!$E256,记账规则!$A$36:$A$38,0),3),""))</f>
        <v/>
      </c>
      <c r="M4906" s="66" t="str">
        <f aca="false">IF($L4906="","",IFERROR(INDEX(记账规则!$A$36:$H$38,MATCH(生产加工!$E256,记账规则!$A$36:$A$38,0),4),""))</f>
        <v/>
      </c>
      <c r="N4906" s="66" t="str">
        <f aca="false">IF($L4906="","",IFERROR(INDEX(记账规则!$A$36:$H$38,MATCH(生产加工!$E256,记账规则!$A$36:$A$38,0),5),""))</f>
        <v/>
      </c>
      <c r="O4906" s="67" t="n">
        <f aca="false">IF($H4906="",0,ROUND(IF($N4906="记账金额",N(生产加工!$U256),0),2))</f>
        <v>0</v>
      </c>
      <c r="P4906" s="64" t="str">
        <f aca="false">IF(AND($H4906&lt;&gt;"",ROUND($O4906,2)&lt;&gt;0),"有","")</f>
        <v/>
      </c>
    </row>
    <row r="4907" customFormat="false" ht="15" hidden="true" customHeight="false" outlineLevel="0" collapsed="false">
      <c r="A4907" s="53" t="str">
        <f aca="false">IF($H4907="","",ROW()-5)</f>
        <v/>
      </c>
      <c r="B4907" s="64" t="s">
        <v>38</v>
      </c>
      <c r="C4907" s="53" t="n">
        <v>256</v>
      </c>
      <c r="D4907" s="53" t="n">
        <v>2</v>
      </c>
      <c r="E4907" s="65" t="str">
        <f aca="false">IF($H4907="","",生产加工!$B256)</f>
        <v/>
      </c>
      <c r="F4907" s="55" t="str">
        <f aca="false">IF($H4907="","",生产加工!$C256)</f>
        <v/>
      </c>
      <c r="G4907" s="48" t="str">
        <f aca="false">IF($H4907="","",生产加工!$N256)</f>
        <v/>
      </c>
      <c r="H4907" s="10" t="str">
        <f aca="false">IF($L4907="","",IF($L4907="@对方",生产加工!$K256,IF($L4907="@存货",生产加工!$Q256,$L4907)))</f>
        <v/>
      </c>
      <c r="I4907" s="42" t="n">
        <f aca="false">IF($M4907="借",$O4907,0)</f>
        <v>0</v>
      </c>
      <c r="J4907" s="42" t="n">
        <f aca="false">IF($M4907="贷",$O4907,0)</f>
        <v>0</v>
      </c>
      <c r="K4907" s="48"/>
      <c r="L4907" s="66" t="str">
        <f aca="false">IF(生产加工!$E256="","",IFERROR(INDEX(记账规则!$A$36:$H$38,MATCH(生产加工!$E256,记账规则!$A$36:$A$38,0),6),""))</f>
        <v/>
      </c>
      <c r="M4907" s="66" t="str">
        <f aca="false">IF($L4907="","",IFERROR(INDEX(记账规则!$A$36:$H$38,MATCH(生产加工!$E256,记账规则!$A$36:$A$38,0),7),""))</f>
        <v/>
      </c>
      <c r="N4907" s="66" t="str">
        <f aca="false">IF($L4907="","",IFERROR(INDEX(记账规则!$A$36:$H$38,MATCH(生产加工!$E256,记账规则!$A$36:$A$38,0),8),""))</f>
        <v/>
      </c>
      <c r="O4907" s="67" t="n">
        <f aca="false">IF($H4907="",0,ROUND(IF($N4907="记账金额",N(生产加工!$U256),0),2))</f>
        <v>0</v>
      </c>
      <c r="P4907" s="64" t="str">
        <f aca="false">IF(AND($H4907&lt;&gt;"",ROUND($O4907,2)&lt;&gt;0),"有","")</f>
        <v/>
      </c>
    </row>
    <row r="4908" customFormat="false" ht="15" hidden="true" customHeight="false" outlineLevel="0" collapsed="false">
      <c r="A4908" s="53" t="str">
        <f aca="false">IF($H4908="","",ROW()-5)</f>
        <v/>
      </c>
      <c r="B4908" s="64" t="s">
        <v>38</v>
      </c>
      <c r="C4908" s="53" t="n">
        <v>257</v>
      </c>
      <c r="D4908" s="53" t="n">
        <v>1</v>
      </c>
      <c r="E4908" s="65" t="str">
        <f aca="false">IF($H4908="","",生产加工!$B257)</f>
        <v/>
      </c>
      <c r="F4908" s="55" t="str">
        <f aca="false">IF($H4908="","",生产加工!$C257)</f>
        <v/>
      </c>
      <c r="G4908" s="48" t="str">
        <f aca="false">IF($H4908="","",生产加工!$N257)</f>
        <v/>
      </c>
      <c r="H4908" s="10" t="str">
        <f aca="false">IF($L4908="","",IF($L4908="@对方",生产加工!$K257,IF($L4908="@存货",生产加工!$Q257,$L4908)))</f>
        <v/>
      </c>
      <c r="I4908" s="42" t="n">
        <f aca="false">IF($M4908="借",$O4908,0)</f>
        <v>0</v>
      </c>
      <c r="J4908" s="42" t="n">
        <f aca="false">IF($M4908="贷",$O4908,0)</f>
        <v>0</v>
      </c>
      <c r="K4908" s="48"/>
      <c r="L4908" s="66" t="str">
        <f aca="false">IF(生产加工!$E257="","",IFERROR(INDEX(记账规则!$A$36:$H$38,MATCH(生产加工!$E257,记账规则!$A$36:$A$38,0),3),""))</f>
        <v/>
      </c>
      <c r="M4908" s="66" t="str">
        <f aca="false">IF($L4908="","",IFERROR(INDEX(记账规则!$A$36:$H$38,MATCH(生产加工!$E257,记账规则!$A$36:$A$38,0),4),""))</f>
        <v/>
      </c>
      <c r="N4908" s="66" t="str">
        <f aca="false">IF($L4908="","",IFERROR(INDEX(记账规则!$A$36:$H$38,MATCH(生产加工!$E257,记账规则!$A$36:$A$38,0),5),""))</f>
        <v/>
      </c>
      <c r="O4908" s="67" t="n">
        <f aca="false">IF($H4908="",0,ROUND(IF($N4908="记账金额",N(生产加工!$U257),0),2))</f>
        <v>0</v>
      </c>
      <c r="P4908" s="64" t="str">
        <f aca="false">IF(AND($H4908&lt;&gt;"",ROUND($O4908,2)&lt;&gt;0),"有","")</f>
        <v/>
      </c>
    </row>
    <row r="4909" customFormat="false" ht="15" hidden="true" customHeight="false" outlineLevel="0" collapsed="false">
      <c r="A4909" s="53" t="str">
        <f aca="false">IF($H4909="","",ROW()-5)</f>
        <v/>
      </c>
      <c r="B4909" s="64" t="s">
        <v>38</v>
      </c>
      <c r="C4909" s="53" t="n">
        <v>257</v>
      </c>
      <c r="D4909" s="53" t="n">
        <v>2</v>
      </c>
      <c r="E4909" s="65" t="str">
        <f aca="false">IF($H4909="","",生产加工!$B257)</f>
        <v/>
      </c>
      <c r="F4909" s="55" t="str">
        <f aca="false">IF($H4909="","",生产加工!$C257)</f>
        <v/>
      </c>
      <c r="G4909" s="48" t="str">
        <f aca="false">IF($H4909="","",生产加工!$N257)</f>
        <v/>
      </c>
      <c r="H4909" s="10" t="str">
        <f aca="false">IF($L4909="","",IF($L4909="@对方",生产加工!$K257,IF($L4909="@存货",生产加工!$Q257,$L4909)))</f>
        <v/>
      </c>
      <c r="I4909" s="42" t="n">
        <f aca="false">IF($M4909="借",$O4909,0)</f>
        <v>0</v>
      </c>
      <c r="J4909" s="42" t="n">
        <f aca="false">IF($M4909="贷",$O4909,0)</f>
        <v>0</v>
      </c>
      <c r="K4909" s="48"/>
      <c r="L4909" s="66" t="str">
        <f aca="false">IF(生产加工!$E257="","",IFERROR(INDEX(记账规则!$A$36:$H$38,MATCH(生产加工!$E257,记账规则!$A$36:$A$38,0),6),""))</f>
        <v/>
      </c>
      <c r="M4909" s="66" t="str">
        <f aca="false">IF($L4909="","",IFERROR(INDEX(记账规则!$A$36:$H$38,MATCH(生产加工!$E257,记账规则!$A$36:$A$38,0),7),""))</f>
        <v/>
      </c>
      <c r="N4909" s="66" t="str">
        <f aca="false">IF($L4909="","",IFERROR(INDEX(记账规则!$A$36:$H$38,MATCH(生产加工!$E257,记账规则!$A$36:$A$38,0),8),""))</f>
        <v/>
      </c>
      <c r="O4909" s="67" t="n">
        <f aca="false">IF($H4909="",0,ROUND(IF($N4909="记账金额",N(生产加工!$U257),0),2))</f>
        <v>0</v>
      </c>
      <c r="P4909" s="64" t="str">
        <f aca="false">IF(AND($H4909&lt;&gt;"",ROUND($O4909,2)&lt;&gt;0),"有","")</f>
        <v/>
      </c>
    </row>
    <row r="4910" customFormat="false" ht="15" hidden="true" customHeight="false" outlineLevel="0" collapsed="false">
      <c r="A4910" s="53" t="str">
        <f aca="false">IF($H4910="","",ROW()-5)</f>
        <v/>
      </c>
      <c r="B4910" s="64" t="s">
        <v>38</v>
      </c>
      <c r="C4910" s="53" t="n">
        <v>258</v>
      </c>
      <c r="D4910" s="53" t="n">
        <v>1</v>
      </c>
      <c r="E4910" s="65" t="str">
        <f aca="false">IF($H4910="","",生产加工!$B258)</f>
        <v/>
      </c>
      <c r="F4910" s="55" t="str">
        <f aca="false">IF($H4910="","",生产加工!$C258)</f>
        <v/>
      </c>
      <c r="G4910" s="48" t="str">
        <f aca="false">IF($H4910="","",生产加工!$N258)</f>
        <v/>
      </c>
      <c r="H4910" s="10" t="str">
        <f aca="false">IF($L4910="","",IF($L4910="@对方",生产加工!$K258,IF($L4910="@存货",生产加工!$Q258,$L4910)))</f>
        <v/>
      </c>
      <c r="I4910" s="42" t="n">
        <f aca="false">IF($M4910="借",$O4910,0)</f>
        <v>0</v>
      </c>
      <c r="J4910" s="42" t="n">
        <f aca="false">IF($M4910="贷",$O4910,0)</f>
        <v>0</v>
      </c>
      <c r="K4910" s="48"/>
      <c r="L4910" s="66" t="str">
        <f aca="false">IF(生产加工!$E258="","",IFERROR(INDEX(记账规则!$A$36:$H$38,MATCH(生产加工!$E258,记账规则!$A$36:$A$38,0),3),""))</f>
        <v/>
      </c>
      <c r="M4910" s="66" t="str">
        <f aca="false">IF($L4910="","",IFERROR(INDEX(记账规则!$A$36:$H$38,MATCH(生产加工!$E258,记账规则!$A$36:$A$38,0),4),""))</f>
        <v/>
      </c>
      <c r="N4910" s="66" t="str">
        <f aca="false">IF($L4910="","",IFERROR(INDEX(记账规则!$A$36:$H$38,MATCH(生产加工!$E258,记账规则!$A$36:$A$38,0),5),""))</f>
        <v/>
      </c>
      <c r="O4910" s="67" t="n">
        <f aca="false">IF($H4910="",0,ROUND(IF($N4910="记账金额",N(生产加工!$U258),0),2))</f>
        <v>0</v>
      </c>
      <c r="P4910" s="64" t="str">
        <f aca="false">IF(AND($H4910&lt;&gt;"",ROUND($O4910,2)&lt;&gt;0),"有","")</f>
        <v/>
      </c>
    </row>
    <row r="4911" customFormat="false" ht="15" hidden="true" customHeight="false" outlineLevel="0" collapsed="false">
      <c r="A4911" s="53" t="str">
        <f aca="false">IF($H4911="","",ROW()-5)</f>
        <v/>
      </c>
      <c r="B4911" s="64" t="s">
        <v>38</v>
      </c>
      <c r="C4911" s="53" t="n">
        <v>258</v>
      </c>
      <c r="D4911" s="53" t="n">
        <v>2</v>
      </c>
      <c r="E4911" s="65" t="str">
        <f aca="false">IF($H4911="","",生产加工!$B258)</f>
        <v/>
      </c>
      <c r="F4911" s="55" t="str">
        <f aca="false">IF($H4911="","",生产加工!$C258)</f>
        <v/>
      </c>
      <c r="G4911" s="48" t="str">
        <f aca="false">IF($H4911="","",生产加工!$N258)</f>
        <v/>
      </c>
      <c r="H4911" s="10" t="str">
        <f aca="false">IF($L4911="","",IF($L4911="@对方",生产加工!$K258,IF($L4911="@存货",生产加工!$Q258,$L4911)))</f>
        <v/>
      </c>
      <c r="I4911" s="42" t="n">
        <f aca="false">IF($M4911="借",$O4911,0)</f>
        <v>0</v>
      </c>
      <c r="J4911" s="42" t="n">
        <f aca="false">IF($M4911="贷",$O4911,0)</f>
        <v>0</v>
      </c>
      <c r="K4911" s="48"/>
      <c r="L4911" s="66" t="str">
        <f aca="false">IF(生产加工!$E258="","",IFERROR(INDEX(记账规则!$A$36:$H$38,MATCH(生产加工!$E258,记账规则!$A$36:$A$38,0),6),""))</f>
        <v/>
      </c>
      <c r="M4911" s="66" t="str">
        <f aca="false">IF($L4911="","",IFERROR(INDEX(记账规则!$A$36:$H$38,MATCH(生产加工!$E258,记账规则!$A$36:$A$38,0),7),""))</f>
        <v/>
      </c>
      <c r="N4911" s="66" t="str">
        <f aca="false">IF($L4911="","",IFERROR(INDEX(记账规则!$A$36:$H$38,MATCH(生产加工!$E258,记账规则!$A$36:$A$38,0),8),""))</f>
        <v/>
      </c>
      <c r="O4911" s="67" t="n">
        <f aca="false">IF($H4911="",0,ROUND(IF($N4911="记账金额",N(生产加工!$U258),0),2))</f>
        <v>0</v>
      </c>
      <c r="P4911" s="64" t="str">
        <f aca="false">IF(AND($H4911&lt;&gt;"",ROUND($O4911,2)&lt;&gt;0),"有","")</f>
        <v/>
      </c>
    </row>
    <row r="4912" customFormat="false" ht="15" hidden="true" customHeight="false" outlineLevel="0" collapsed="false">
      <c r="A4912" s="53" t="str">
        <f aca="false">IF($H4912="","",ROW()-5)</f>
        <v/>
      </c>
      <c r="B4912" s="64" t="s">
        <v>38</v>
      </c>
      <c r="C4912" s="53" t="n">
        <v>259</v>
      </c>
      <c r="D4912" s="53" t="n">
        <v>1</v>
      </c>
      <c r="E4912" s="65" t="str">
        <f aca="false">IF($H4912="","",生产加工!$B259)</f>
        <v/>
      </c>
      <c r="F4912" s="55" t="str">
        <f aca="false">IF($H4912="","",生产加工!$C259)</f>
        <v/>
      </c>
      <c r="G4912" s="48" t="str">
        <f aca="false">IF($H4912="","",生产加工!$N259)</f>
        <v/>
      </c>
      <c r="H4912" s="10" t="str">
        <f aca="false">IF($L4912="","",IF($L4912="@对方",生产加工!$K259,IF($L4912="@存货",生产加工!$Q259,$L4912)))</f>
        <v/>
      </c>
      <c r="I4912" s="42" t="n">
        <f aca="false">IF($M4912="借",$O4912,0)</f>
        <v>0</v>
      </c>
      <c r="J4912" s="42" t="n">
        <f aca="false">IF($M4912="贷",$O4912,0)</f>
        <v>0</v>
      </c>
      <c r="K4912" s="48"/>
      <c r="L4912" s="66" t="str">
        <f aca="false">IF(生产加工!$E259="","",IFERROR(INDEX(记账规则!$A$36:$H$38,MATCH(生产加工!$E259,记账规则!$A$36:$A$38,0),3),""))</f>
        <v/>
      </c>
      <c r="M4912" s="66" t="str">
        <f aca="false">IF($L4912="","",IFERROR(INDEX(记账规则!$A$36:$H$38,MATCH(生产加工!$E259,记账规则!$A$36:$A$38,0),4),""))</f>
        <v/>
      </c>
      <c r="N4912" s="66" t="str">
        <f aca="false">IF($L4912="","",IFERROR(INDEX(记账规则!$A$36:$H$38,MATCH(生产加工!$E259,记账规则!$A$36:$A$38,0),5),""))</f>
        <v/>
      </c>
      <c r="O4912" s="67" t="n">
        <f aca="false">IF($H4912="",0,ROUND(IF($N4912="记账金额",N(生产加工!$U259),0),2))</f>
        <v>0</v>
      </c>
      <c r="P4912" s="64" t="str">
        <f aca="false">IF(AND($H4912&lt;&gt;"",ROUND($O4912,2)&lt;&gt;0),"有","")</f>
        <v/>
      </c>
    </row>
    <row r="4913" customFormat="false" ht="15" hidden="true" customHeight="false" outlineLevel="0" collapsed="false">
      <c r="A4913" s="53" t="str">
        <f aca="false">IF($H4913="","",ROW()-5)</f>
        <v/>
      </c>
      <c r="B4913" s="64" t="s">
        <v>38</v>
      </c>
      <c r="C4913" s="53" t="n">
        <v>259</v>
      </c>
      <c r="D4913" s="53" t="n">
        <v>2</v>
      </c>
      <c r="E4913" s="65" t="str">
        <f aca="false">IF($H4913="","",生产加工!$B259)</f>
        <v/>
      </c>
      <c r="F4913" s="55" t="str">
        <f aca="false">IF($H4913="","",生产加工!$C259)</f>
        <v/>
      </c>
      <c r="G4913" s="48" t="str">
        <f aca="false">IF($H4913="","",生产加工!$N259)</f>
        <v/>
      </c>
      <c r="H4913" s="10" t="str">
        <f aca="false">IF($L4913="","",IF($L4913="@对方",生产加工!$K259,IF($L4913="@存货",生产加工!$Q259,$L4913)))</f>
        <v/>
      </c>
      <c r="I4913" s="42" t="n">
        <f aca="false">IF($M4913="借",$O4913,0)</f>
        <v>0</v>
      </c>
      <c r="J4913" s="42" t="n">
        <f aca="false">IF($M4913="贷",$O4913,0)</f>
        <v>0</v>
      </c>
      <c r="K4913" s="48"/>
      <c r="L4913" s="66" t="str">
        <f aca="false">IF(生产加工!$E259="","",IFERROR(INDEX(记账规则!$A$36:$H$38,MATCH(生产加工!$E259,记账规则!$A$36:$A$38,0),6),""))</f>
        <v/>
      </c>
      <c r="M4913" s="66" t="str">
        <f aca="false">IF($L4913="","",IFERROR(INDEX(记账规则!$A$36:$H$38,MATCH(生产加工!$E259,记账规则!$A$36:$A$38,0),7),""))</f>
        <v/>
      </c>
      <c r="N4913" s="66" t="str">
        <f aca="false">IF($L4913="","",IFERROR(INDEX(记账规则!$A$36:$H$38,MATCH(生产加工!$E259,记账规则!$A$36:$A$38,0),8),""))</f>
        <v/>
      </c>
      <c r="O4913" s="67" t="n">
        <f aca="false">IF($H4913="",0,ROUND(IF($N4913="记账金额",N(生产加工!$U259),0),2))</f>
        <v>0</v>
      </c>
      <c r="P4913" s="64" t="str">
        <f aca="false">IF(AND($H4913&lt;&gt;"",ROUND($O4913,2)&lt;&gt;0),"有","")</f>
        <v/>
      </c>
    </row>
    <row r="4914" customFormat="false" ht="15" hidden="true" customHeight="false" outlineLevel="0" collapsed="false">
      <c r="A4914" s="53" t="str">
        <f aca="false">IF($H4914="","",ROW()-5)</f>
        <v/>
      </c>
      <c r="B4914" s="64" t="s">
        <v>38</v>
      </c>
      <c r="C4914" s="53" t="n">
        <v>260</v>
      </c>
      <c r="D4914" s="53" t="n">
        <v>1</v>
      </c>
      <c r="E4914" s="65" t="str">
        <f aca="false">IF($H4914="","",生产加工!$B260)</f>
        <v/>
      </c>
      <c r="F4914" s="55" t="str">
        <f aca="false">IF($H4914="","",生产加工!$C260)</f>
        <v/>
      </c>
      <c r="G4914" s="48" t="str">
        <f aca="false">IF($H4914="","",生产加工!$N260)</f>
        <v/>
      </c>
      <c r="H4914" s="10" t="str">
        <f aca="false">IF($L4914="","",IF($L4914="@对方",生产加工!$K260,IF($L4914="@存货",生产加工!$Q260,$L4914)))</f>
        <v/>
      </c>
      <c r="I4914" s="42" t="n">
        <f aca="false">IF($M4914="借",$O4914,0)</f>
        <v>0</v>
      </c>
      <c r="J4914" s="42" t="n">
        <f aca="false">IF($M4914="贷",$O4914,0)</f>
        <v>0</v>
      </c>
      <c r="K4914" s="48"/>
      <c r="L4914" s="66" t="str">
        <f aca="false">IF(生产加工!$E260="","",IFERROR(INDEX(记账规则!$A$36:$H$38,MATCH(生产加工!$E260,记账规则!$A$36:$A$38,0),3),""))</f>
        <v/>
      </c>
      <c r="M4914" s="66" t="str">
        <f aca="false">IF($L4914="","",IFERROR(INDEX(记账规则!$A$36:$H$38,MATCH(生产加工!$E260,记账规则!$A$36:$A$38,0),4),""))</f>
        <v/>
      </c>
      <c r="N4914" s="66" t="str">
        <f aca="false">IF($L4914="","",IFERROR(INDEX(记账规则!$A$36:$H$38,MATCH(生产加工!$E260,记账规则!$A$36:$A$38,0),5),""))</f>
        <v/>
      </c>
      <c r="O4914" s="67" t="n">
        <f aca="false">IF($H4914="",0,ROUND(IF($N4914="记账金额",N(生产加工!$U260),0),2))</f>
        <v>0</v>
      </c>
      <c r="P4914" s="64" t="str">
        <f aca="false">IF(AND($H4914&lt;&gt;"",ROUND($O4914,2)&lt;&gt;0),"有","")</f>
        <v/>
      </c>
    </row>
    <row r="4915" customFormat="false" ht="15" hidden="true" customHeight="false" outlineLevel="0" collapsed="false">
      <c r="A4915" s="53" t="str">
        <f aca="false">IF($H4915="","",ROW()-5)</f>
        <v/>
      </c>
      <c r="B4915" s="64" t="s">
        <v>38</v>
      </c>
      <c r="C4915" s="53" t="n">
        <v>260</v>
      </c>
      <c r="D4915" s="53" t="n">
        <v>2</v>
      </c>
      <c r="E4915" s="65" t="str">
        <f aca="false">IF($H4915="","",生产加工!$B260)</f>
        <v/>
      </c>
      <c r="F4915" s="55" t="str">
        <f aca="false">IF($H4915="","",生产加工!$C260)</f>
        <v/>
      </c>
      <c r="G4915" s="48" t="str">
        <f aca="false">IF($H4915="","",生产加工!$N260)</f>
        <v/>
      </c>
      <c r="H4915" s="10" t="str">
        <f aca="false">IF($L4915="","",IF($L4915="@对方",生产加工!$K260,IF($L4915="@存货",生产加工!$Q260,$L4915)))</f>
        <v/>
      </c>
      <c r="I4915" s="42" t="n">
        <f aca="false">IF($M4915="借",$O4915,0)</f>
        <v>0</v>
      </c>
      <c r="J4915" s="42" t="n">
        <f aca="false">IF($M4915="贷",$O4915,0)</f>
        <v>0</v>
      </c>
      <c r="K4915" s="48"/>
      <c r="L4915" s="66" t="str">
        <f aca="false">IF(生产加工!$E260="","",IFERROR(INDEX(记账规则!$A$36:$H$38,MATCH(生产加工!$E260,记账规则!$A$36:$A$38,0),6),""))</f>
        <v/>
      </c>
      <c r="M4915" s="66" t="str">
        <f aca="false">IF($L4915="","",IFERROR(INDEX(记账规则!$A$36:$H$38,MATCH(生产加工!$E260,记账规则!$A$36:$A$38,0),7),""))</f>
        <v/>
      </c>
      <c r="N4915" s="66" t="str">
        <f aca="false">IF($L4915="","",IFERROR(INDEX(记账规则!$A$36:$H$38,MATCH(生产加工!$E260,记账规则!$A$36:$A$38,0),8),""))</f>
        <v/>
      </c>
      <c r="O4915" s="67" t="n">
        <f aca="false">IF($H4915="",0,ROUND(IF($N4915="记账金额",N(生产加工!$U260),0),2))</f>
        <v>0</v>
      </c>
      <c r="P4915" s="64" t="str">
        <f aca="false">IF(AND($H4915&lt;&gt;"",ROUND($O4915,2)&lt;&gt;0),"有","")</f>
        <v/>
      </c>
    </row>
    <row r="4916" customFormat="false" ht="15" hidden="true" customHeight="false" outlineLevel="0" collapsed="false">
      <c r="A4916" s="53" t="str">
        <f aca="false">IF($H4916="","",ROW()-5)</f>
        <v/>
      </c>
      <c r="B4916" s="64" t="s">
        <v>38</v>
      </c>
      <c r="C4916" s="53" t="n">
        <v>261</v>
      </c>
      <c r="D4916" s="53" t="n">
        <v>1</v>
      </c>
      <c r="E4916" s="65" t="str">
        <f aca="false">IF($H4916="","",生产加工!$B261)</f>
        <v/>
      </c>
      <c r="F4916" s="55" t="str">
        <f aca="false">IF($H4916="","",生产加工!$C261)</f>
        <v/>
      </c>
      <c r="G4916" s="48" t="str">
        <f aca="false">IF($H4916="","",生产加工!$N261)</f>
        <v/>
      </c>
      <c r="H4916" s="10" t="str">
        <f aca="false">IF($L4916="","",IF($L4916="@对方",生产加工!$K261,IF($L4916="@存货",生产加工!$Q261,$L4916)))</f>
        <v/>
      </c>
      <c r="I4916" s="42" t="n">
        <f aca="false">IF($M4916="借",$O4916,0)</f>
        <v>0</v>
      </c>
      <c r="J4916" s="42" t="n">
        <f aca="false">IF($M4916="贷",$O4916,0)</f>
        <v>0</v>
      </c>
      <c r="K4916" s="48"/>
      <c r="L4916" s="66" t="str">
        <f aca="false">IF(生产加工!$E261="","",IFERROR(INDEX(记账规则!$A$36:$H$38,MATCH(生产加工!$E261,记账规则!$A$36:$A$38,0),3),""))</f>
        <v/>
      </c>
      <c r="M4916" s="66" t="str">
        <f aca="false">IF($L4916="","",IFERROR(INDEX(记账规则!$A$36:$H$38,MATCH(生产加工!$E261,记账规则!$A$36:$A$38,0),4),""))</f>
        <v/>
      </c>
      <c r="N4916" s="66" t="str">
        <f aca="false">IF($L4916="","",IFERROR(INDEX(记账规则!$A$36:$H$38,MATCH(生产加工!$E261,记账规则!$A$36:$A$38,0),5),""))</f>
        <v/>
      </c>
      <c r="O4916" s="67" t="n">
        <f aca="false">IF($H4916="",0,ROUND(IF($N4916="记账金额",N(生产加工!$U261),0),2))</f>
        <v>0</v>
      </c>
      <c r="P4916" s="64" t="str">
        <f aca="false">IF(AND($H4916&lt;&gt;"",ROUND($O4916,2)&lt;&gt;0),"有","")</f>
        <v/>
      </c>
    </row>
    <row r="4917" customFormat="false" ht="15" hidden="true" customHeight="false" outlineLevel="0" collapsed="false">
      <c r="A4917" s="53" t="str">
        <f aca="false">IF($H4917="","",ROW()-5)</f>
        <v/>
      </c>
      <c r="B4917" s="64" t="s">
        <v>38</v>
      </c>
      <c r="C4917" s="53" t="n">
        <v>261</v>
      </c>
      <c r="D4917" s="53" t="n">
        <v>2</v>
      </c>
      <c r="E4917" s="65" t="str">
        <f aca="false">IF($H4917="","",生产加工!$B261)</f>
        <v/>
      </c>
      <c r="F4917" s="55" t="str">
        <f aca="false">IF($H4917="","",生产加工!$C261)</f>
        <v/>
      </c>
      <c r="G4917" s="48" t="str">
        <f aca="false">IF($H4917="","",生产加工!$N261)</f>
        <v/>
      </c>
      <c r="H4917" s="10" t="str">
        <f aca="false">IF($L4917="","",IF($L4917="@对方",生产加工!$K261,IF($L4917="@存货",生产加工!$Q261,$L4917)))</f>
        <v/>
      </c>
      <c r="I4917" s="42" t="n">
        <f aca="false">IF($M4917="借",$O4917,0)</f>
        <v>0</v>
      </c>
      <c r="J4917" s="42" t="n">
        <f aca="false">IF($M4917="贷",$O4917,0)</f>
        <v>0</v>
      </c>
      <c r="K4917" s="48"/>
      <c r="L4917" s="66" t="str">
        <f aca="false">IF(生产加工!$E261="","",IFERROR(INDEX(记账规则!$A$36:$H$38,MATCH(生产加工!$E261,记账规则!$A$36:$A$38,0),6),""))</f>
        <v/>
      </c>
      <c r="M4917" s="66" t="str">
        <f aca="false">IF($L4917="","",IFERROR(INDEX(记账规则!$A$36:$H$38,MATCH(生产加工!$E261,记账规则!$A$36:$A$38,0),7),""))</f>
        <v/>
      </c>
      <c r="N4917" s="66" t="str">
        <f aca="false">IF($L4917="","",IFERROR(INDEX(记账规则!$A$36:$H$38,MATCH(生产加工!$E261,记账规则!$A$36:$A$38,0),8),""))</f>
        <v/>
      </c>
      <c r="O4917" s="67" t="n">
        <f aca="false">IF($H4917="",0,ROUND(IF($N4917="记账金额",N(生产加工!$U261),0),2))</f>
        <v>0</v>
      </c>
      <c r="P4917" s="64" t="str">
        <f aca="false">IF(AND($H4917&lt;&gt;"",ROUND($O4917,2)&lt;&gt;0),"有","")</f>
        <v/>
      </c>
    </row>
    <row r="4918" customFormat="false" ht="15" hidden="true" customHeight="false" outlineLevel="0" collapsed="false">
      <c r="A4918" s="53" t="str">
        <f aca="false">IF($H4918="","",ROW()-5)</f>
        <v/>
      </c>
      <c r="B4918" s="64" t="s">
        <v>38</v>
      </c>
      <c r="C4918" s="53" t="n">
        <v>262</v>
      </c>
      <c r="D4918" s="53" t="n">
        <v>1</v>
      </c>
      <c r="E4918" s="65" t="str">
        <f aca="false">IF($H4918="","",生产加工!$B262)</f>
        <v/>
      </c>
      <c r="F4918" s="55" t="str">
        <f aca="false">IF($H4918="","",生产加工!$C262)</f>
        <v/>
      </c>
      <c r="G4918" s="48" t="str">
        <f aca="false">IF($H4918="","",生产加工!$N262)</f>
        <v/>
      </c>
      <c r="H4918" s="10" t="str">
        <f aca="false">IF($L4918="","",IF($L4918="@对方",生产加工!$K262,IF($L4918="@存货",生产加工!$Q262,$L4918)))</f>
        <v/>
      </c>
      <c r="I4918" s="42" t="n">
        <f aca="false">IF($M4918="借",$O4918,0)</f>
        <v>0</v>
      </c>
      <c r="J4918" s="42" t="n">
        <f aca="false">IF($M4918="贷",$O4918,0)</f>
        <v>0</v>
      </c>
      <c r="K4918" s="48"/>
      <c r="L4918" s="66" t="str">
        <f aca="false">IF(生产加工!$E262="","",IFERROR(INDEX(记账规则!$A$36:$H$38,MATCH(生产加工!$E262,记账规则!$A$36:$A$38,0),3),""))</f>
        <v/>
      </c>
      <c r="M4918" s="66" t="str">
        <f aca="false">IF($L4918="","",IFERROR(INDEX(记账规则!$A$36:$H$38,MATCH(生产加工!$E262,记账规则!$A$36:$A$38,0),4),""))</f>
        <v/>
      </c>
      <c r="N4918" s="66" t="str">
        <f aca="false">IF($L4918="","",IFERROR(INDEX(记账规则!$A$36:$H$38,MATCH(生产加工!$E262,记账规则!$A$36:$A$38,0),5),""))</f>
        <v/>
      </c>
      <c r="O4918" s="67" t="n">
        <f aca="false">IF($H4918="",0,ROUND(IF($N4918="记账金额",N(生产加工!$U262),0),2))</f>
        <v>0</v>
      </c>
      <c r="P4918" s="64" t="str">
        <f aca="false">IF(AND($H4918&lt;&gt;"",ROUND($O4918,2)&lt;&gt;0),"有","")</f>
        <v/>
      </c>
    </row>
    <row r="4919" customFormat="false" ht="15" hidden="true" customHeight="false" outlineLevel="0" collapsed="false">
      <c r="A4919" s="53" t="str">
        <f aca="false">IF($H4919="","",ROW()-5)</f>
        <v/>
      </c>
      <c r="B4919" s="64" t="s">
        <v>38</v>
      </c>
      <c r="C4919" s="53" t="n">
        <v>262</v>
      </c>
      <c r="D4919" s="53" t="n">
        <v>2</v>
      </c>
      <c r="E4919" s="65" t="str">
        <f aca="false">IF($H4919="","",生产加工!$B262)</f>
        <v/>
      </c>
      <c r="F4919" s="55" t="str">
        <f aca="false">IF($H4919="","",生产加工!$C262)</f>
        <v/>
      </c>
      <c r="G4919" s="48" t="str">
        <f aca="false">IF($H4919="","",生产加工!$N262)</f>
        <v/>
      </c>
      <c r="H4919" s="10" t="str">
        <f aca="false">IF($L4919="","",IF($L4919="@对方",生产加工!$K262,IF($L4919="@存货",生产加工!$Q262,$L4919)))</f>
        <v/>
      </c>
      <c r="I4919" s="42" t="n">
        <f aca="false">IF($M4919="借",$O4919,0)</f>
        <v>0</v>
      </c>
      <c r="J4919" s="42" t="n">
        <f aca="false">IF($M4919="贷",$O4919,0)</f>
        <v>0</v>
      </c>
      <c r="K4919" s="48"/>
      <c r="L4919" s="66" t="str">
        <f aca="false">IF(生产加工!$E262="","",IFERROR(INDEX(记账规则!$A$36:$H$38,MATCH(生产加工!$E262,记账规则!$A$36:$A$38,0),6),""))</f>
        <v/>
      </c>
      <c r="M4919" s="66" t="str">
        <f aca="false">IF($L4919="","",IFERROR(INDEX(记账规则!$A$36:$H$38,MATCH(生产加工!$E262,记账规则!$A$36:$A$38,0),7),""))</f>
        <v/>
      </c>
      <c r="N4919" s="66" t="str">
        <f aca="false">IF($L4919="","",IFERROR(INDEX(记账规则!$A$36:$H$38,MATCH(生产加工!$E262,记账规则!$A$36:$A$38,0),8),""))</f>
        <v/>
      </c>
      <c r="O4919" s="67" t="n">
        <f aca="false">IF($H4919="",0,ROUND(IF($N4919="记账金额",N(生产加工!$U262),0),2))</f>
        <v>0</v>
      </c>
      <c r="P4919" s="64" t="str">
        <f aca="false">IF(AND($H4919&lt;&gt;"",ROUND($O4919,2)&lt;&gt;0),"有","")</f>
        <v/>
      </c>
    </row>
    <row r="4920" customFormat="false" ht="15" hidden="true" customHeight="false" outlineLevel="0" collapsed="false">
      <c r="A4920" s="53" t="str">
        <f aca="false">IF($H4920="","",ROW()-5)</f>
        <v/>
      </c>
      <c r="B4920" s="64" t="s">
        <v>38</v>
      </c>
      <c r="C4920" s="53" t="n">
        <v>263</v>
      </c>
      <c r="D4920" s="53" t="n">
        <v>1</v>
      </c>
      <c r="E4920" s="65" t="str">
        <f aca="false">IF($H4920="","",生产加工!$B263)</f>
        <v/>
      </c>
      <c r="F4920" s="55" t="str">
        <f aca="false">IF($H4920="","",生产加工!$C263)</f>
        <v/>
      </c>
      <c r="G4920" s="48" t="str">
        <f aca="false">IF($H4920="","",生产加工!$N263)</f>
        <v/>
      </c>
      <c r="H4920" s="10" t="str">
        <f aca="false">IF($L4920="","",IF($L4920="@对方",生产加工!$K263,IF($L4920="@存货",生产加工!$Q263,$L4920)))</f>
        <v/>
      </c>
      <c r="I4920" s="42" t="n">
        <f aca="false">IF($M4920="借",$O4920,0)</f>
        <v>0</v>
      </c>
      <c r="J4920" s="42" t="n">
        <f aca="false">IF($M4920="贷",$O4920,0)</f>
        <v>0</v>
      </c>
      <c r="K4920" s="48"/>
      <c r="L4920" s="66" t="str">
        <f aca="false">IF(生产加工!$E263="","",IFERROR(INDEX(记账规则!$A$36:$H$38,MATCH(生产加工!$E263,记账规则!$A$36:$A$38,0),3),""))</f>
        <v/>
      </c>
      <c r="M4920" s="66" t="str">
        <f aca="false">IF($L4920="","",IFERROR(INDEX(记账规则!$A$36:$H$38,MATCH(生产加工!$E263,记账规则!$A$36:$A$38,0),4),""))</f>
        <v/>
      </c>
      <c r="N4920" s="66" t="str">
        <f aca="false">IF($L4920="","",IFERROR(INDEX(记账规则!$A$36:$H$38,MATCH(生产加工!$E263,记账规则!$A$36:$A$38,0),5),""))</f>
        <v/>
      </c>
      <c r="O4920" s="67" t="n">
        <f aca="false">IF($H4920="",0,ROUND(IF($N4920="记账金额",N(生产加工!$U263),0),2))</f>
        <v>0</v>
      </c>
      <c r="P4920" s="64" t="str">
        <f aca="false">IF(AND($H4920&lt;&gt;"",ROUND($O4920,2)&lt;&gt;0),"有","")</f>
        <v/>
      </c>
    </row>
    <row r="4921" customFormat="false" ht="15" hidden="true" customHeight="false" outlineLevel="0" collapsed="false">
      <c r="A4921" s="53" t="str">
        <f aca="false">IF($H4921="","",ROW()-5)</f>
        <v/>
      </c>
      <c r="B4921" s="64" t="s">
        <v>38</v>
      </c>
      <c r="C4921" s="53" t="n">
        <v>263</v>
      </c>
      <c r="D4921" s="53" t="n">
        <v>2</v>
      </c>
      <c r="E4921" s="65" t="str">
        <f aca="false">IF($H4921="","",生产加工!$B263)</f>
        <v/>
      </c>
      <c r="F4921" s="55" t="str">
        <f aca="false">IF($H4921="","",生产加工!$C263)</f>
        <v/>
      </c>
      <c r="G4921" s="48" t="str">
        <f aca="false">IF($H4921="","",生产加工!$N263)</f>
        <v/>
      </c>
      <c r="H4921" s="10" t="str">
        <f aca="false">IF($L4921="","",IF($L4921="@对方",生产加工!$K263,IF($L4921="@存货",生产加工!$Q263,$L4921)))</f>
        <v/>
      </c>
      <c r="I4921" s="42" t="n">
        <f aca="false">IF($M4921="借",$O4921,0)</f>
        <v>0</v>
      </c>
      <c r="J4921" s="42" t="n">
        <f aca="false">IF($M4921="贷",$O4921,0)</f>
        <v>0</v>
      </c>
      <c r="K4921" s="48"/>
      <c r="L4921" s="66" t="str">
        <f aca="false">IF(生产加工!$E263="","",IFERROR(INDEX(记账规则!$A$36:$H$38,MATCH(生产加工!$E263,记账规则!$A$36:$A$38,0),6),""))</f>
        <v/>
      </c>
      <c r="M4921" s="66" t="str">
        <f aca="false">IF($L4921="","",IFERROR(INDEX(记账规则!$A$36:$H$38,MATCH(生产加工!$E263,记账规则!$A$36:$A$38,0),7),""))</f>
        <v/>
      </c>
      <c r="N4921" s="66" t="str">
        <f aca="false">IF($L4921="","",IFERROR(INDEX(记账规则!$A$36:$H$38,MATCH(生产加工!$E263,记账规则!$A$36:$A$38,0),8),""))</f>
        <v/>
      </c>
      <c r="O4921" s="67" t="n">
        <f aca="false">IF($H4921="",0,ROUND(IF($N4921="记账金额",N(生产加工!$U263),0),2))</f>
        <v>0</v>
      </c>
      <c r="P4921" s="64" t="str">
        <f aca="false">IF(AND($H4921&lt;&gt;"",ROUND($O4921,2)&lt;&gt;0),"有","")</f>
        <v/>
      </c>
    </row>
    <row r="4922" customFormat="false" ht="15" hidden="true" customHeight="false" outlineLevel="0" collapsed="false">
      <c r="A4922" s="53" t="str">
        <f aca="false">IF($H4922="","",ROW()-5)</f>
        <v/>
      </c>
      <c r="B4922" s="64" t="s">
        <v>38</v>
      </c>
      <c r="C4922" s="53" t="n">
        <v>264</v>
      </c>
      <c r="D4922" s="53" t="n">
        <v>1</v>
      </c>
      <c r="E4922" s="65" t="str">
        <f aca="false">IF($H4922="","",生产加工!$B264)</f>
        <v/>
      </c>
      <c r="F4922" s="55" t="str">
        <f aca="false">IF($H4922="","",生产加工!$C264)</f>
        <v/>
      </c>
      <c r="G4922" s="48" t="str">
        <f aca="false">IF($H4922="","",生产加工!$N264)</f>
        <v/>
      </c>
      <c r="H4922" s="10" t="str">
        <f aca="false">IF($L4922="","",IF($L4922="@对方",生产加工!$K264,IF($L4922="@存货",生产加工!$Q264,$L4922)))</f>
        <v/>
      </c>
      <c r="I4922" s="42" t="n">
        <f aca="false">IF($M4922="借",$O4922,0)</f>
        <v>0</v>
      </c>
      <c r="J4922" s="42" t="n">
        <f aca="false">IF($M4922="贷",$O4922,0)</f>
        <v>0</v>
      </c>
      <c r="K4922" s="48"/>
      <c r="L4922" s="66" t="str">
        <f aca="false">IF(生产加工!$E264="","",IFERROR(INDEX(记账规则!$A$36:$H$38,MATCH(生产加工!$E264,记账规则!$A$36:$A$38,0),3),""))</f>
        <v/>
      </c>
      <c r="M4922" s="66" t="str">
        <f aca="false">IF($L4922="","",IFERROR(INDEX(记账规则!$A$36:$H$38,MATCH(生产加工!$E264,记账规则!$A$36:$A$38,0),4),""))</f>
        <v/>
      </c>
      <c r="N4922" s="66" t="str">
        <f aca="false">IF($L4922="","",IFERROR(INDEX(记账规则!$A$36:$H$38,MATCH(生产加工!$E264,记账规则!$A$36:$A$38,0),5),""))</f>
        <v/>
      </c>
      <c r="O4922" s="67" t="n">
        <f aca="false">IF($H4922="",0,ROUND(IF($N4922="记账金额",N(生产加工!$U264),0),2))</f>
        <v>0</v>
      </c>
      <c r="P4922" s="64" t="str">
        <f aca="false">IF(AND($H4922&lt;&gt;"",ROUND($O4922,2)&lt;&gt;0),"有","")</f>
        <v/>
      </c>
    </row>
    <row r="4923" customFormat="false" ht="15" hidden="true" customHeight="false" outlineLevel="0" collapsed="false">
      <c r="A4923" s="53" t="str">
        <f aca="false">IF($H4923="","",ROW()-5)</f>
        <v/>
      </c>
      <c r="B4923" s="64" t="s">
        <v>38</v>
      </c>
      <c r="C4923" s="53" t="n">
        <v>264</v>
      </c>
      <c r="D4923" s="53" t="n">
        <v>2</v>
      </c>
      <c r="E4923" s="65" t="str">
        <f aca="false">IF($H4923="","",生产加工!$B264)</f>
        <v/>
      </c>
      <c r="F4923" s="55" t="str">
        <f aca="false">IF($H4923="","",生产加工!$C264)</f>
        <v/>
      </c>
      <c r="G4923" s="48" t="str">
        <f aca="false">IF($H4923="","",生产加工!$N264)</f>
        <v/>
      </c>
      <c r="H4923" s="10" t="str">
        <f aca="false">IF($L4923="","",IF($L4923="@对方",生产加工!$K264,IF($L4923="@存货",生产加工!$Q264,$L4923)))</f>
        <v/>
      </c>
      <c r="I4923" s="42" t="n">
        <f aca="false">IF($M4923="借",$O4923,0)</f>
        <v>0</v>
      </c>
      <c r="J4923" s="42" t="n">
        <f aca="false">IF($M4923="贷",$O4923,0)</f>
        <v>0</v>
      </c>
      <c r="K4923" s="48"/>
      <c r="L4923" s="66" t="str">
        <f aca="false">IF(生产加工!$E264="","",IFERROR(INDEX(记账规则!$A$36:$H$38,MATCH(生产加工!$E264,记账规则!$A$36:$A$38,0),6),""))</f>
        <v/>
      </c>
      <c r="M4923" s="66" t="str">
        <f aca="false">IF($L4923="","",IFERROR(INDEX(记账规则!$A$36:$H$38,MATCH(生产加工!$E264,记账规则!$A$36:$A$38,0),7),""))</f>
        <v/>
      </c>
      <c r="N4923" s="66" t="str">
        <f aca="false">IF($L4923="","",IFERROR(INDEX(记账规则!$A$36:$H$38,MATCH(生产加工!$E264,记账规则!$A$36:$A$38,0),8),""))</f>
        <v/>
      </c>
      <c r="O4923" s="67" t="n">
        <f aca="false">IF($H4923="",0,ROUND(IF($N4923="记账金额",N(生产加工!$U264),0),2))</f>
        <v>0</v>
      </c>
      <c r="P4923" s="64" t="str">
        <f aca="false">IF(AND($H4923&lt;&gt;"",ROUND($O4923,2)&lt;&gt;0),"有","")</f>
        <v/>
      </c>
    </row>
    <row r="4924" customFormat="false" ht="15" hidden="true" customHeight="false" outlineLevel="0" collapsed="false">
      <c r="A4924" s="53" t="str">
        <f aca="false">IF($H4924="","",ROW()-5)</f>
        <v/>
      </c>
      <c r="B4924" s="64" t="s">
        <v>38</v>
      </c>
      <c r="C4924" s="53" t="n">
        <v>265</v>
      </c>
      <c r="D4924" s="53" t="n">
        <v>1</v>
      </c>
      <c r="E4924" s="65" t="str">
        <f aca="false">IF($H4924="","",生产加工!$B265)</f>
        <v/>
      </c>
      <c r="F4924" s="55" t="str">
        <f aca="false">IF($H4924="","",生产加工!$C265)</f>
        <v/>
      </c>
      <c r="G4924" s="48" t="str">
        <f aca="false">IF($H4924="","",生产加工!$N265)</f>
        <v/>
      </c>
      <c r="H4924" s="10" t="str">
        <f aca="false">IF($L4924="","",IF($L4924="@对方",生产加工!$K265,IF($L4924="@存货",生产加工!$Q265,$L4924)))</f>
        <v/>
      </c>
      <c r="I4924" s="42" t="n">
        <f aca="false">IF($M4924="借",$O4924,0)</f>
        <v>0</v>
      </c>
      <c r="J4924" s="42" t="n">
        <f aca="false">IF($M4924="贷",$O4924,0)</f>
        <v>0</v>
      </c>
      <c r="K4924" s="48"/>
      <c r="L4924" s="66" t="str">
        <f aca="false">IF(生产加工!$E265="","",IFERROR(INDEX(记账规则!$A$36:$H$38,MATCH(生产加工!$E265,记账规则!$A$36:$A$38,0),3),""))</f>
        <v/>
      </c>
      <c r="M4924" s="66" t="str">
        <f aca="false">IF($L4924="","",IFERROR(INDEX(记账规则!$A$36:$H$38,MATCH(生产加工!$E265,记账规则!$A$36:$A$38,0),4),""))</f>
        <v/>
      </c>
      <c r="N4924" s="66" t="str">
        <f aca="false">IF($L4924="","",IFERROR(INDEX(记账规则!$A$36:$H$38,MATCH(生产加工!$E265,记账规则!$A$36:$A$38,0),5),""))</f>
        <v/>
      </c>
      <c r="O4924" s="67" t="n">
        <f aca="false">IF($H4924="",0,ROUND(IF($N4924="记账金额",N(生产加工!$U265),0),2))</f>
        <v>0</v>
      </c>
      <c r="P4924" s="64" t="str">
        <f aca="false">IF(AND($H4924&lt;&gt;"",ROUND($O4924,2)&lt;&gt;0),"有","")</f>
        <v/>
      </c>
    </row>
    <row r="4925" customFormat="false" ht="15" hidden="true" customHeight="false" outlineLevel="0" collapsed="false">
      <c r="A4925" s="53" t="str">
        <f aca="false">IF($H4925="","",ROW()-5)</f>
        <v/>
      </c>
      <c r="B4925" s="64" t="s">
        <v>38</v>
      </c>
      <c r="C4925" s="53" t="n">
        <v>265</v>
      </c>
      <c r="D4925" s="53" t="n">
        <v>2</v>
      </c>
      <c r="E4925" s="65" t="str">
        <f aca="false">IF($H4925="","",生产加工!$B265)</f>
        <v/>
      </c>
      <c r="F4925" s="55" t="str">
        <f aca="false">IF($H4925="","",生产加工!$C265)</f>
        <v/>
      </c>
      <c r="G4925" s="48" t="str">
        <f aca="false">IF($H4925="","",生产加工!$N265)</f>
        <v/>
      </c>
      <c r="H4925" s="10" t="str">
        <f aca="false">IF($L4925="","",IF($L4925="@对方",生产加工!$K265,IF($L4925="@存货",生产加工!$Q265,$L4925)))</f>
        <v/>
      </c>
      <c r="I4925" s="42" t="n">
        <f aca="false">IF($M4925="借",$O4925,0)</f>
        <v>0</v>
      </c>
      <c r="J4925" s="42" t="n">
        <f aca="false">IF($M4925="贷",$O4925,0)</f>
        <v>0</v>
      </c>
      <c r="K4925" s="48"/>
      <c r="L4925" s="66" t="str">
        <f aca="false">IF(生产加工!$E265="","",IFERROR(INDEX(记账规则!$A$36:$H$38,MATCH(生产加工!$E265,记账规则!$A$36:$A$38,0),6),""))</f>
        <v/>
      </c>
      <c r="M4925" s="66" t="str">
        <f aca="false">IF($L4925="","",IFERROR(INDEX(记账规则!$A$36:$H$38,MATCH(生产加工!$E265,记账规则!$A$36:$A$38,0),7),""))</f>
        <v/>
      </c>
      <c r="N4925" s="66" t="str">
        <f aca="false">IF($L4925="","",IFERROR(INDEX(记账规则!$A$36:$H$38,MATCH(生产加工!$E265,记账规则!$A$36:$A$38,0),8),""))</f>
        <v/>
      </c>
      <c r="O4925" s="67" t="n">
        <f aca="false">IF($H4925="",0,ROUND(IF($N4925="记账金额",N(生产加工!$U265),0),2))</f>
        <v>0</v>
      </c>
      <c r="P4925" s="64" t="str">
        <f aca="false">IF(AND($H4925&lt;&gt;"",ROUND($O4925,2)&lt;&gt;0),"有","")</f>
        <v/>
      </c>
    </row>
    <row r="4926" customFormat="false" ht="15" hidden="true" customHeight="false" outlineLevel="0" collapsed="false">
      <c r="A4926" s="53" t="str">
        <f aca="false">IF($H4926="","",ROW()-5)</f>
        <v/>
      </c>
      <c r="B4926" s="64" t="s">
        <v>38</v>
      </c>
      <c r="C4926" s="53" t="n">
        <v>266</v>
      </c>
      <c r="D4926" s="53" t="n">
        <v>1</v>
      </c>
      <c r="E4926" s="65" t="str">
        <f aca="false">IF($H4926="","",生产加工!$B266)</f>
        <v/>
      </c>
      <c r="F4926" s="55" t="str">
        <f aca="false">IF($H4926="","",生产加工!$C266)</f>
        <v/>
      </c>
      <c r="G4926" s="48" t="str">
        <f aca="false">IF($H4926="","",生产加工!$N266)</f>
        <v/>
      </c>
      <c r="H4926" s="10" t="str">
        <f aca="false">IF($L4926="","",IF($L4926="@对方",生产加工!$K266,IF($L4926="@存货",生产加工!$Q266,$L4926)))</f>
        <v/>
      </c>
      <c r="I4926" s="42" t="n">
        <f aca="false">IF($M4926="借",$O4926,0)</f>
        <v>0</v>
      </c>
      <c r="J4926" s="42" t="n">
        <f aca="false">IF($M4926="贷",$O4926,0)</f>
        <v>0</v>
      </c>
      <c r="K4926" s="48"/>
      <c r="L4926" s="66" t="str">
        <f aca="false">IF(生产加工!$E266="","",IFERROR(INDEX(记账规则!$A$36:$H$38,MATCH(生产加工!$E266,记账规则!$A$36:$A$38,0),3),""))</f>
        <v/>
      </c>
      <c r="M4926" s="66" t="str">
        <f aca="false">IF($L4926="","",IFERROR(INDEX(记账规则!$A$36:$H$38,MATCH(生产加工!$E266,记账规则!$A$36:$A$38,0),4),""))</f>
        <v/>
      </c>
      <c r="N4926" s="66" t="str">
        <f aca="false">IF($L4926="","",IFERROR(INDEX(记账规则!$A$36:$H$38,MATCH(生产加工!$E266,记账规则!$A$36:$A$38,0),5),""))</f>
        <v/>
      </c>
      <c r="O4926" s="67" t="n">
        <f aca="false">IF($H4926="",0,ROUND(IF($N4926="记账金额",N(生产加工!$U266),0),2))</f>
        <v>0</v>
      </c>
      <c r="P4926" s="64" t="str">
        <f aca="false">IF(AND($H4926&lt;&gt;"",ROUND($O4926,2)&lt;&gt;0),"有","")</f>
        <v/>
      </c>
    </row>
    <row r="4927" customFormat="false" ht="15" hidden="true" customHeight="false" outlineLevel="0" collapsed="false">
      <c r="A4927" s="53" t="str">
        <f aca="false">IF($H4927="","",ROW()-5)</f>
        <v/>
      </c>
      <c r="B4927" s="64" t="s">
        <v>38</v>
      </c>
      <c r="C4927" s="53" t="n">
        <v>266</v>
      </c>
      <c r="D4927" s="53" t="n">
        <v>2</v>
      </c>
      <c r="E4927" s="65" t="str">
        <f aca="false">IF($H4927="","",生产加工!$B266)</f>
        <v/>
      </c>
      <c r="F4927" s="55" t="str">
        <f aca="false">IF($H4927="","",生产加工!$C266)</f>
        <v/>
      </c>
      <c r="G4927" s="48" t="str">
        <f aca="false">IF($H4927="","",生产加工!$N266)</f>
        <v/>
      </c>
      <c r="H4927" s="10" t="str">
        <f aca="false">IF($L4927="","",IF($L4927="@对方",生产加工!$K266,IF($L4927="@存货",生产加工!$Q266,$L4927)))</f>
        <v/>
      </c>
      <c r="I4927" s="42" t="n">
        <f aca="false">IF($M4927="借",$O4927,0)</f>
        <v>0</v>
      </c>
      <c r="J4927" s="42" t="n">
        <f aca="false">IF($M4927="贷",$O4927,0)</f>
        <v>0</v>
      </c>
      <c r="K4927" s="48"/>
      <c r="L4927" s="66" t="str">
        <f aca="false">IF(生产加工!$E266="","",IFERROR(INDEX(记账规则!$A$36:$H$38,MATCH(生产加工!$E266,记账规则!$A$36:$A$38,0),6),""))</f>
        <v/>
      </c>
      <c r="M4927" s="66" t="str">
        <f aca="false">IF($L4927="","",IFERROR(INDEX(记账规则!$A$36:$H$38,MATCH(生产加工!$E266,记账规则!$A$36:$A$38,0),7),""))</f>
        <v/>
      </c>
      <c r="N4927" s="66" t="str">
        <f aca="false">IF($L4927="","",IFERROR(INDEX(记账规则!$A$36:$H$38,MATCH(生产加工!$E266,记账规则!$A$36:$A$38,0),8),""))</f>
        <v/>
      </c>
      <c r="O4927" s="67" t="n">
        <f aca="false">IF($H4927="",0,ROUND(IF($N4927="记账金额",N(生产加工!$U266),0),2))</f>
        <v>0</v>
      </c>
      <c r="P4927" s="64" t="str">
        <f aca="false">IF(AND($H4927&lt;&gt;"",ROUND($O4927,2)&lt;&gt;0),"有","")</f>
        <v/>
      </c>
    </row>
    <row r="4928" customFormat="false" ht="15" hidden="true" customHeight="false" outlineLevel="0" collapsed="false">
      <c r="A4928" s="53" t="str">
        <f aca="false">IF($H4928="","",ROW()-5)</f>
        <v/>
      </c>
      <c r="B4928" s="64" t="s">
        <v>38</v>
      </c>
      <c r="C4928" s="53" t="n">
        <v>267</v>
      </c>
      <c r="D4928" s="53" t="n">
        <v>1</v>
      </c>
      <c r="E4928" s="65" t="str">
        <f aca="false">IF($H4928="","",生产加工!$B267)</f>
        <v/>
      </c>
      <c r="F4928" s="55" t="str">
        <f aca="false">IF($H4928="","",生产加工!$C267)</f>
        <v/>
      </c>
      <c r="G4928" s="48" t="str">
        <f aca="false">IF($H4928="","",生产加工!$N267)</f>
        <v/>
      </c>
      <c r="H4928" s="10" t="str">
        <f aca="false">IF($L4928="","",IF($L4928="@对方",生产加工!$K267,IF($L4928="@存货",生产加工!$Q267,$L4928)))</f>
        <v/>
      </c>
      <c r="I4928" s="42" t="n">
        <f aca="false">IF($M4928="借",$O4928,0)</f>
        <v>0</v>
      </c>
      <c r="J4928" s="42" t="n">
        <f aca="false">IF($M4928="贷",$O4928,0)</f>
        <v>0</v>
      </c>
      <c r="K4928" s="48"/>
      <c r="L4928" s="66" t="str">
        <f aca="false">IF(生产加工!$E267="","",IFERROR(INDEX(记账规则!$A$36:$H$38,MATCH(生产加工!$E267,记账规则!$A$36:$A$38,0),3),""))</f>
        <v/>
      </c>
      <c r="M4928" s="66" t="str">
        <f aca="false">IF($L4928="","",IFERROR(INDEX(记账规则!$A$36:$H$38,MATCH(生产加工!$E267,记账规则!$A$36:$A$38,0),4),""))</f>
        <v/>
      </c>
      <c r="N4928" s="66" t="str">
        <f aca="false">IF($L4928="","",IFERROR(INDEX(记账规则!$A$36:$H$38,MATCH(生产加工!$E267,记账规则!$A$36:$A$38,0),5),""))</f>
        <v/>
      </c>
      <c r="O4928" s="67" t="n">
        <f aca="false">IF($H4928="",0,ROUND(IF($N4928="记账金额",N(生产加工!$U267),0),2))</f>
        <v>0</v>
      </c>
      <c r="P4928" s="64" t="str">
        <f aca="false">IF(AND($H4928&lt;&gt;"",ROUND($O4928,2)&lt;&gt;0),"有","")</f>
        <v/>
      </c>
    </row>
    <row r="4929" customFormat="false" ht="15" hidden="true" customHeight="false" outlineLevel="0" collapsed="false">
      <c r="A4929" s="53" t="str">
        <f aca="false">IF($H4929="","",ROW()-5)</f>
        <v/>
      </c>
      <c r="B4929" s="64" t="s">
        <v>38</v>
      </c>
      <c r="C4929" s="53" t="n">
        <v>267</v>
      </c>
      <c r="D4929" s="53" t="n">
        <v>2</v>
      </c>
      <c r="E4929" s="65" t="str">
        <f aca="false">IF($H4929="","",生产加工!$B267)</f>
        <v/>
      </c>
      <c r="F4929" s="55" t="str">
        <f aca="false">IF($H4929="","",生产加工!$C267)</f>
        <v/>
      </c>
      <c r="G4929" s="48" t="str">
        <f aca="false">IF($H4929="","",生产加工!$N267)</f>
        <v/>
      </c>
      <c r="H4929" s="10" t="str">
        <f aca="false">IF($L4929="","",IF($L4929="@对方",生产加工!$K267,IF($L4929="@存货",生产加工!$Q267,$L4929)))</f>
        <v/>
      </c>
      <c r="I4929" s="42" t="n">
        <f aca="false">IF($M4929="借",$O4929,0)</f>
        <v>0</v>
      </c>
      <c r="J4929" s="42" t="n">
        <f aca="false">IF($M4929="贷",$O4929,0)</f>
        <v>0</v>
      </c>
      <c r="K4929" s="48"/>
      <c r="L4929" s="66" t="str">
        <f aca="false">IF(生产加工!$E267="","",IFERROR(INDEX(记账规则!$A$36:$H$38,MATCH(生产加工!$E267,记账规则!$A$36:$A$38,0),6),""))</f>
        <v/>
      </c>
      <c r="M4929" s="66" t="str">
        <f aca="false">IF($L4929="","",IFERROR(INDEX(记账规则!$A$36:$H$38,MATCH(生产加工!$E267,记账规则!$A$36:$A$38,0),7),""))</f>
        <v/>
      </c>
      <c r="N4929" s="66" t="str">
        <f aca="false">IF($L4929="","",IFERROR(INDEX(记账规则!$A$36:$H$38,MATCH(生产加工!$E267,记账规则!$A$36:$A$38,0),8),""))</f>
        <v/>
      </c>
      <c r="O4929" s="67" t="n">
        <f aca="false">IF($H4929="",0,ROUND(IF($N4929="记账金额",N(生产加工!$U267),0),2))</f>
        <v>0</v>
      </c>
      <c r="P4929" s="64" t="str">
        <f aca="false">IF(AND($H4929&lt;&gt;"",ROUND($O4929,2)&lt;&gt;0),"有","")</f>
        <v/>
      </c>
    </row>
    <row r="4930" customFormat="false" ht="15" hidden="true" customHeight="false" outlineLevel="0" collapsed="false">
      <c r="A4930" s="53" t="str">
        <f aca="false">IF($H4930="","",ROW()-5)</f>
        <v/>
      </c>
      <c r="B4930" s="64" t="s">
        <v>38</v>
      </c>
      <c r="C4930" s="53" t="n">
        <v>268</v>
      </c>
      <c r="D4930" s="53" t="n">
        <v>1</v>
      </c>
      <c r="E4930" s="65" t="str">
        <f aca="false">IF($H4930="","",生产加工!$B268)</f>
        <v/>
      </c>
      <c r="F4930" s="55" t="str">
        <f aca="false">IF($H4930="","",生产加工!$C268)</f>
        <v/>
      </c>
      <c r="G4930" s="48" t="str">
        <f aca="false">IF($H4930="","",生产加工!$N268)</f>
        <v/>
      </c>
      <c r="H4930" s="10" t="str">
        <f aca="false">IF($L4930="","",IF($L4930="@对方",生产加工!$K268,IF($L4930="@存货",生产加工!$Q268,$L4930)))</f>
        <v/>
      </c>
      <c r="I4930" s="42" t="n">
        <f aca="false">IF($M4930="借",$O4930,0)</f>
        <v>0</v>
      </c>
      <c r="J4930" s="42" t="n">
        <f aca="false">IF($M4930="贷",$O4930,0)</f>
        <v>0</v>
      </c>
      <c r="K4930" s="48"/>
      <c r="L4930" s="66" t="str">
        <f aca="false">IF(生产加工!$E268="","",IFERROR(INDEX(记账规则!$A$36:$H$38,MATCH(生产加工!$E268,记账规则!$A$36:$A$38,0),3),""))</f>
        <v/>
      </c>
      <c r="M4930" s="66" t="str">
        <f aca="false">IF($L4930="","",IFERROR(INDEX(记账规则!$A$36:$H$38,MATCH(生产加工!$E268,记账规则!$A$36:$A$38,0),4),""))</f>
        <v/>
      </c>
      <c r="N4930" s="66" t="str">
        <f aca="false">IF($L4930="","",IFERROR(INDEX(记账规则!$A$36:$H$38,MATCH(生产加工!$E268,记账规则!$A$36:$A$38,0),5),""))</f>
        <v/>
      </c>
      <c r="O4930" s="67" t="n">
        <f aca="false">IF($H4930="",0,ROUND(IF($N4930="记账金额",N(生产加工!$U268),0),2))</f>
        <v>0</v>
      </c>
      <c r="P4930" s="64" t="str">
        <f aca="false">IF(AND($H4930&lt;&gt;"",ROUND($O4930,2)&lt;&gt;0),"有","")</f>
        <v/>
      </c>
    </row>
    <row r="4931" customFormat="false" ht="15" hidden="true" customHeight="false" outlineLevel="0" collapsed="false">
      <c r="A4931" s="53" t="str">
        <f aca="false">IF($H4931="","",ROW()-5)</f>
        <v/>
      </c>
      <c r="B4931" s="64" t="s">
        <v>38</v>
      </c>
      <c r="C4931" s="53" t="n">
        <v>268</v>
      </c>
      <c r="D4931" s="53" t="n">
        <v>2</v>
      </c>
      <c r="E4931" s="65" t="str">
        <f aca="false">IF($H4931="","",生产加工!$B268)</f>
        <v/>
      </c>
      <c r="F4931" s="55" t="str">
        <f aca="false">IF($H4931="","",生产加工!$C268)</f>
        <v/>
      </c>
      <c r="G4931" s="48" t="str">
        <f aca="false">IF($H4931="","",生产加工!$N268)</f>
        <v/>
      </c>
      <c r="H4931" s="10" t="str">
        <f aca="false">IF($L4931="","",IF($L4931="@对方",生产加工!$K268,IF($L4931="@存货",生产加工!$Q268,$L4931)))</f>
        <v/>
      </c>
      <c r="I4931" s="42" t="n">
        <f aca="false">IF($M4931="借",$O4931,0)</f>
        <v>0</v>
      </c>
      <c r="J4931" s="42" t="n">
        <f aca="false">IF($M4931="贷",$O4931,0)</f>
        <v>0</v>
      </c>
      <c r="K4931" s="48"/>
      <c r="L4931" s="66" t="str">
        <f aca="false">IF(生产加工!$E268="","",IFERROR(INDEX(记账规则!$A$36:$H$38,MATCH(生产加工!$E268,记账规则!$A$36:$A$38,0),6),""))</f>
        <v/>
      </c>
      <c r="M4931" s="66" t="str">
        <f aca="false">IF($L4931="","",IFERROR(INDEX(记账规则!$A$36:$H$38,MATCH(生产加工!$E268,记账规则!$A$36:$A$38,0),7),""))</f>
        <v/>
      </c>
      <c r="N4931" s="66" t="str">
        <f aca="false">IF($L4931="","",IFERROR(INDEX(记账规则!$A$36:$H$38,MATCH(生产加工!$E268,记账规则!$A$36:$A$38,0),8),""))</f>
        <v/>
      </c>
      <c r="O4931" s="67" t="n">
        <f aca="false">IF($H4931="",0,ROUND(IF($N4931="记账金额",N(生产加工!$U268),0),2))</f>
        <v>0</v>
      </c>
      <c r="P4931" s="64" t="str">
        <f aca="false">IF(AND($H4931&lt;&gt;"",ROUND($O4931,2)&lt;&gt;0),"有","")</f>
        <v/>
      </c>
    </row>
    <row r="4932" customFormat="false" ht="15" hidden="true" customHeight="false" outlineLevel="0" collapsed="false">
      <c r="A4932" s="53" t="str">
        <f aca="false">IF($H4932="","",ROW()-5)</f>
        <v/>
      </c>
      <c r="B4932" s="64" t="s">
        <v>38</v>
      </c>
      <c r="C4932" s="53" t="n">
        <v>269</v>
      </c>
      <c r="D4932" s="53" t="n">
        <v>1</v>
      </c>
      <c r="E4932" s="65" t="str">
        <f aca="false">IF($H4932="","",生产加工!$B269)</f>
        <v/>
      </c>
      <c r="F4932" s="55" t="str">
        <f aca="false">IF($H4932="","",生产加工!$C269)</f>
        <v/>
      </c>
      <c r="G4932" s="48" t="str">
        <f aca="false">IF($H4932="","",生产加工!$N269)</f>
        <v/>
      </c>
      <c r="H4932" s="10" t="str">
        <f aca="false">IF($L4932="","",IF($L4932="@对方",生产加工!$K269,IF($L4932="@存货",生产加工!$Q269,$L4932)))</f>
        <v/>
      </c>
      <c r="I4932" s="42" t="n">
        <f aca="false">IF($M4932="借",$O4932,0)</f>
        <v>0</v>
      </c>
      <c r="J4932" s="42" t="n">
        <f aca="false">IF($M4932="贷",$O4932,0)</f>
        <v>0</v>
      </c>
      <c r="K4932" s="48"/>
      <c r="L4932" s="66" t="str">
        <f aca="false">IF(生产加工!$E269="","",IFERROR(INDEX(记账规则!$A$36:$H$38,MATCH(生产加工!$E269,记账规则!$A$36:$A$38,0),3),""))</f>
        <v/>
      </c>
      <c r="M4932" s="66" t="str">
        <f aca="false">IF($L4932="","",IFERROR(INDEX(记账规则!$A$36:$H$38,MATCH(生产加工!$E269,记账规则!$A$36:$A$38,0),4),""))</f>
        <v/>
      </c>
      <c r="N4932" s="66" t="str">
        <f aca="false">IF($L4932="","",IFERROR(INDEX(记账规则!$A$36:$H$38,MATCH(生产加工!$E269,记账规则!$A$36:$A$38,0),5),""))</f>
        <v/>
      </c>
      <c r="O4932" s="67" t="n">
        <f aca="false">IF($H4932="",0,ROUND(IF($N4932="记账金额",N(生产加工!$U269),0),2))</f>
        <v>0</v>
      </c>
      <c r="P4932" s="64" t="str">
        <f aca="false">IF(AND($H4932&lt;&gt;"",ROUND($O4932,2)&lt;&gt;0),"有","")</f>
        <v/>
      </c>
    </row>
    <row r="4933" customFormat="false" ht="15" hidden="true" customHeight="false" outlineLevel="0" collapsed="false">
      <c r="A4933" s="53" t="str">
        <f aca="false">IF($H4933="","",ROW()-5)</f>
        <v/>
      </c>
      <c r="B4933" s="64" t="s">
        <v>38</v>
      </c>
      <c r="C4933" s="53" t="n">
        <v>269</v>
      </c>
      <c r="D4933" s="53" t="n">
        <v>2</v>
      </c>
      <c r="E4933" s="65" t="str">
        <f aca="false">IF($H4933="","",生产加工!$B269)</f>
        <v/>
      </c>
      <c r="F4933" s="55" t="str">
        <f aca="false">IF($H4933="","",生产加工!$C269)</f>
        <v/>
      </c>
      <c r="G4933" s="48" t="str">
        <f aca="false">IF($H4933="","",生产加工!$N269)</f>
        <v/>
      </c>
      <c r="H4933" s="10" t="str">
        <f aca="false">IF($L4933="","",IF($L4933="@对方",生产加工!$K269,IF($L4933="@存货",生产加工!$Q269,$L4933)))</f>
        <v/>
      </c>
      <c r="I4933" s="42" t="n">
        <f aca="false">IF($M4933="借",$O4933,0)</f>
        <v>0</v>
      </c>
      <c r="J4933" s="42" t="n">
        <f aca="false">IF($M4933="贷",$O4933,0)</f>
        <v>0</v>
      </c>
      <c r="K4933" s="48"/>
      <c r="L4933" s="66" t="str">
        <f aca="false">IF(生产加工!$E269="","",IFERROR(INDEX(记账规则!$A$36:$H$38,MATCH(生产加工!$E269,记账规则!$A$36:$A$38,0),6),""))</f>
        <v/>
      </c>
      <c r="M4933" s="66" t="str">
        <f aca="false">IF($L4933="","",IFERROR(INDEX(记账规则!$A$36:$H$38,MATCH(生产加工!$E269,记账规则!$A$36:$A$38,0),7),""))</f>
        <v/>
      </c>
      <c r="N4933" s="66" t="str">
        <f aca="false">IF($L4933="","",IFERROR(INDEX(记账规则!$A$36:$H$38,MATCH(生产加工!$E269,记账规则!$A$36:$A$38,0),8),""))</f>
        <v/>
      </c>
      <c r="O4933" s="67" t="n">
        <f aca="false">IF($H4933="",0,ROUND(IF($N4933="记账金额",N(生产加工!$U269),0),2))</f>
        <v>0</v>
      </c>
      <c r="P4933" s="64" t="str">
        <f aca="false">IF(AND($H4933&lt;&gt;"",ROUND($O4933,2)&lt;&gt;0),"有","")</f>
        <v/>
      </c>
    </row>
    <row r="4934" customFormat="false" ht="15" hidden="true" customHeight="false" outlineLevel="0" collapsed="false">
      <c r="A4934" s="53" t="str">
        <f aca="false">IF($H4934="","",ROW()-5)</f>
        <v/>
      </c>
      <c r="B4934" s="64" t="s">
        <v>38</v>
      </c>
      <c r="C4934" s="53" t="n">
        <v>270</v>
      </c>
      <c r="D4934" s="53" t="n">
        <v>1</v>
      </c>
      <c r="E4934" s="65" t="str">
        <f aca="false">IF($H4934="","",生产加工!$B270)</f>
        <v/>
      </c>
      <c r="F4934" s="55" t="str">
        <f aca="false">IF($H4934="","",生产加工!$C270)</f>
        <v/>
      </c>
      <c r="G4934" s="48" t="str">
        <f aca="false">IF($H4934="","",生产加工!$N270)</f>
        <v/>
      </c>
      <c r="H4934" s="10" t="str">
        <f aca="false">IF($L4934="","",IF($L4934="@对方",生产加工!$K270,IF($L4934="@存货",生产加工!$Q270,$L4934)))</f>
        <v/>
      </c>
      <c r="I4934" s="42" t="n">
        <f aca="false">IF($M4934="借",$O4934,0)</f>
        <v>0</v>
      </c>
      <c r="J4934" s="42" t="n">
        <f aca="false">IF($M4934="贷",$O4934,0)</f>
        <v>0</v>
      </c>
      <c r="K4934" s="48"/>
      <c r="L4934" s="66" t="str">
        <f aca="false">IF(生产加工!$E270="","",IFERROR(INDEX(记账规则!$A$36:$H$38,MATCH(生产加工!$E270,记账规则!$A$36:$A$38,0),3),""))</f>
        <v/>
      </c>
      <c r="M4934" s="66" t="str">
        <f aca="false">IF($L4934="","",IFERROR(INDEX(记账规则!$A$36:$H$38,MATCH(生产加工!$E270,记账规则!$A$36:$A$38,0),4),""))</f>
        <v/>
      </c>
      <c r="N4934" s="66" t="str">
        <f aca="false">IF($L4934="","",IFERROR(INDEX(记账规则!$A$36:$H$38,MATCH(生产加工!$E270,记账规则!$A$36:$A$38,0),5),""))</f>
        <v/>
      </c>
      <c r="O4934" s="67" t="n">
        <f aca="false">IF($H4934="",0,ROUND(IF($N4934="记账金额",N(生产加工!$U270),0),2))</f>
        <v>0</v>
      </c>
      <c r="P4934" s="64" t="str">
        <f aca="false">IF(AND($H4934&lt;&gt;"",ROUND($O4934,2)&lt;&gt;0),"有","")</f>
        <v/>
      </c>
    </row>
    <row r="4935" customFormat="false" ht="15" hidden="true" customHeight="false" outlineLevel="0" collapsed="false">
      <c r="A4935" s="53" t="str">
        <f aca="false">IF($H4935="","",ROW()-5)</f>
        <v/>
      </c>
      <c r="B4935" s="64" t="s">
        <v>38</v>
      </c>
      <c r="C4935" s="53" t="n">
        <v>270</v>
      </c>
      <c r="D4935" s="53" t="n">
        <v>2</v>
      </c>
      <c r="E4935" s="65" t="str">
        <f aca="false">IF($H4935="","",生产加工!$B270)</f>
        <v/>
      </c>
      <c r="F4935" s="55" t="str">
        <f aca="false">IF($H4935="","",生产加工!$C270)</f>
        <v/>
      </c>
      <c r="G4935" s="48" t="str">
        <f aca="false">IF($H4935="","",生产加工!$N270)</f>
        <v/>
      </c>
      <c r="H4935" s="10" t="str">
        <f aca="false">IF($L4935="","",IF($L4935="@对方",生产加工!$K270,IF($L4935="@存货",生产加工!$Q270,$L4935)))</f>
        <v/>
      </c>
      <c r="I4935" s="42" t="n">
        <f aca="false">IF($M4935="借",$O4935,0)</f>
        <v>0</v>
      </c>
      <c r="J4935" s="42" t="n">
        <f aca="false">IF($M4935="贷",$O4935,0)</f>
        <v>0</v>
      </c>
      <c r="K4935" s="48"/>
      <c r="L4935" s="66" t="str">
        <f aca="false">IF(生产加工!$E270="","",IFERROR(INDEX(记账规则!$A$36:$H$38,MATCH(生产加工!$E270,记账规则!$A$36:$A$38,0),6),""))</f>
        <v/>
      </c>
      <c r="M4935" s="66" t="str">
        <f aca="false">IF($L4935="","",IFERROR(INDEX(记账规则!$A$36:$H$38,MATCH(生产加工!$E270,记账规则!$A$36:$A$38,0),7),""))</f>
        <v/>
      </c>
      <c r="N4935" s="66" t="str">
        <f aca="false">IF($L4935="","",IFERROR(INDEX(记账规则!$A$36:$H$38,MATCH(生产加工!$E270,记账规则!$A$36:$A$38,0),8),""))</f>
        <v/>
      </c>
      <c r="O4935" s="67" t="n">
        <f aca="false">IF($H4935="",0,ROUND(IF($N4935="记账金额",N(生产加工!$U270),0),2))</f>
        <v>0</v>
      </c>
      <c r="P4935" s="64" t="str">
        <f aca="false">IF(AND($H4935&lt;&gt;"",ROUND($O4935,2)&lt;&gt;0),"有","")</f>
        <v/>
      </c>
    </row>
    <row r="4936" customFormat="false" ht="15" hidden="true" customHeight="false" outlineLevel="0" collapsed="false">
      <c r="A4936" s="53" t="str">
        <f aca="false">IF($H4936="","",ROW()-5)</f>
        <v/>
      </c>
      <c r="B4936" s="64" t="s">
        <v>38</v>
      </c>
      <c r="C4936" s="53" t="n">
        <v>271</v>
      </c>
      <c r="D4936" s="53" t="n">
        <v>1</v>
      </c>
      <c r="E4936" s="65" t="str">
        <f aca="false">IF($H4936="","",生产加工!$B271)</f>
        <v/>
      </c>
      <c r="F4936" s="55" t="str">
        <f aca="false">IF($H4936="","",生产加工!$C271)</f>
        <v/>
      </c>
      <c r="G4936" s="48" t="str">
        <f aca="false">IF($H4936="","",生产加工!$N271)</f>
        <v/>
      </c>
      <c r="H4936" s="10" t="str">
        <f aca="false">IF($L4936="","",IF($L4936="@对方",生产加工!$K271,IF($L4936="@存货",生产加工!$Q271,$L4936)))</f>
        <v/>
      </c>
      <c r="I4936" s="42" t="n">
        <f aca="false">IF($M4936="借",$O4936,0)</f>
        <v>0</v>
      </c>
      <c r="J4936" s="42" t="n">
        <f aca="false">IF($M4936="贷",$O4936,0)</f>
        <v>0</v>
      </c>
      <c r="K4936" s="48"/>
      <c r="L4936" s="66" t="str">
        <f aca="false">IF(生产加工!$E271="","",IFERROR(INDEX(记账规则!$A$36:$H$38,MATCH(生产加工!$E271,记账规则!$A$36:$A$38,0),3),""))</f>
        <v/>
      </c>
      <c r="M4936" s="66" t="str">
        <f aca="false">IF($L4936="","",IFERROR(INDEX(记账规则!$A$36:$H$38,MATCH(生产加工!$E271,记账规则!$A$36:$A$38,0),4),""))</f>
        <v/>
      </c>
      <c r="N4936" s="66" t="str">
        <f aca="false">IF($L4936="","",IFERROR(INDEX(记账规则!$A$36:$H$38,MATCH(生产加工!$E271,记账规则!$A$36:$A$38,0),5),""))</f>
        <v/>
      </c>
      <c r="O4936" s="67" t="n">
        <f aca="false">IF($H4936="",0,ROUND(IF($N4936="记账金额",N(生产加工!$U271),0),2))</f>
        <v>0</v>
      </c>
      <c r="P4936" s="64" t="str">
        <f aca="false">IF(AND($H4936&lt;&gt;"",ROUND($O4936,2)&lt;&gt;0),"有","")</f>
        <v/>
      </c>
    </row>
    <row r="4937" customFormat="false" ht="15" hidden="true" customHeight="false" outlineLevel="0" collapsed="false">
      <c r="A4937" s="53" t="str">
        <f aca="false">IF($H4937="","",ROW()-5)</f>
        <v/>
      </c>
      <c r="B4937" s="64" t="s">
        <v>38</v>
      </c>
      <c r="C4937" s="53" t="n">
        <v>271</v>
      </c>
      <c r="D4937" s="53" t="n">
        <v>2</v>
      </c>
      <c r="E4937" s="65" t="str">
        <f aca="false">IF($H4937="","",生产加工!$B271)</f>
        <v/>
      </c>
      <c r="F4937" s="55" t="str">
        <f aca="false">IF($H4937="","",生产加工!$C271)</f>
        <v/>
      </c>
      <c r="G4937" s="48" t="str">
        <f aca="false">IF($H4937="","",生产加工!$N271)</f>
        <v/>
      </c>
      <c r="H4937" s="10" t="str">
        <f aca="false">IF($L4937="","",IF($L4937="@对方",生产加工!$K271,IF($L4937="@存货",生产加工!$Q271,$L4937)))</f>
        <v/>
      </c>
      <c r="I4937" s="42" t="n">
        <f aca="false">IF($M4937="借",$O4937,0)</f>
        <v>0</v>
      </c>
      <c r="J4937" s="42" t="n">
        <f aca="false">IF($M4937="贷",$O4937,0)</f>
        <v>0</v>
      </c>
      <c r="K4937" s="48"/>
      <c r="L4937" s="66" t="str">
        <f aca="false">IF(生产加工!$E271="","",IFERROR(INDEX(记账规则!$A$36:$H$38,MATCH(生产加工!$E271,记账规则!$A$36:$A$38,0),6),""))</f>
        <v/>
      </c>
      <c r="M4937" s="66" t="str">
        <f aca="false">IF($L4937="","",IFERROR(INDEX(记账规则!$A$36:$H$38,MATCH(生产加工!$E271,记账规则!$A$36:$A$38,0),7),""))</f>
        <v/>
      </c>
      <c r="N4937" s="66" t="str">
        <f aca="false">IF($L4937="","",IFERROR(INDEX(记账规则!$A$36:$H$38,MATCH(生产加工!$E271,记账规则!$A$36:$A$38,0),8),""))</f>
        <v/>
      </c>
      <c r="O4937" s="67" t="n">
        <f aca="false">IF($H4937="",0,ROUND(IF($N4937="记账金额",N(生产加工!$U271),0),2))</f>
        <v>0</v>
      </c>
      <c r="P4937" s="64" t="str">
        <f aca="false">IF(AND($H4937&lt;&gt;"",ROUND($O4937,2)&lt;&gt;0),"有","")</f>
        <v/>
      </c>
    </row>
    <row r="4938" customFormat="false" ht="15" hidden="true" customHeight="false" outlineLevel="0" collapsed="false">
      <c r="A4938" s="53" t="str">
        <f aca="false">IF($H4938="","",ROW()-5)</f>
        <v/>
      </c>
      <c r="B4938" s="64" t="s">
        <v>38</v>
      </c>
      <c r="C4938" s="53" t="n">
        <v>272</v>
      </c>
      <c r="D4938" s="53" t="n">
        <v>1</v>
      </c>
      <c r="E4938" s="65" t="str">
        <f aca="false">IF($H4938="","",生产加工!$B272)</f>
        <v/>
      </c>
      <c r="F4938" s="55" t="str">
        <f aca="false">IF($H4938="","",生产加工!$C272)</f>
        <v/>
      </c>
      <c r="G4938" s="48" t="str">
        <f aca="false">IF($H4938="","",生产加工!$N272)</f>
        <v/>
      </c>
      <c r="H4938" s="10" t="str">
        <f aca="false">IF($L4938="","",IF($L4938="@对方",生产加工!$K272,IF($L4938="@存货",生产加工!$Q272,$L4938)))</f>
        <v/>
      </c>
      <c r="I4938" s="42" t="n">
        <f aca="false">IF($M4938="借",$O4938,0)</f>
        <v>0</v>
      </c>
      <c r="J4938" s="42" t="n">
        <f aca="false">IF($M4938="贷",$O4938,0)</f>
        <v>0</v>
      </c>
      <c r="K4938" s="48"/>
      <c r="L4938" s="66" t="str">
        <f aca="false">IF(生产加工!$E272="","",IFERROR(INDEX(记账规则!$A$36:$H$38,MATCH(生产加工!$E272,记账规则!$A$36:$A$38,0),3),""))</f>
        <v/>
      </c>
      <c r="M4938" s="66" t="str">
        <f aca="false">IF($L4938="","",IFERROR(INDEX(记账规则!$A$36:$H$38,MATCH(生产加工!$E272,记账规则!$A$36:$A$38,0),4),""))</f>
        <v/>
      </c>
      <c r="N4938" s="66" t="str">
        <f aca="false">IF($L4938="","",IFERROR(INDEX(记账规则!$A$36:$H$38,MATCH(生产加工!$E272,记账规则!$A$36:$A$38,0),5),""))</f>
        <v/>
      </c>
      <c r="O4938" s="67" t="n">
        <f aca="false">IF($H4938="",0,ROUND(IF($N4938="记账金额",N(生产加工!$U272),0),2))</f>
        <v>0</v>
      </c>
      <c r="P4938" s="64" t="str">
        <f aca="false">IF(AND($H4938&lt;&gt;"",ROUND($O4938,2)&lt;&gt;0),"有","")</f>
        <v/>
      </c>
    </row>
    <row r="4939" customFormat="false" ht="15" hidden="true" customHeight="false" outlineLevel="0" collapsed="false">
      <c r="A4939" s="53" t="str">
        <f aca="false">IF($H4939="","",ROW()-5)</f>
        <v/>
      </c>
      <c r="B4939" s="64" t="s">
        <v>38</v>
      </c>
      <c r="C4939" s="53" t="n">
        <v>272</v>
      </c>
      <c r="D4939" s="53" t="n">
        <v>2</v>
      </c>
      <c r="E4939" s="65" t="str">
        <f aca="false">IF($H4939="","",生产加工!$B272)</f>
        <v/>
      </c>
      <c r="F4939" s="55" t="str">
        <f aca="false">IF($H4939="","",生产加工!$C272)</f>
        <v/>
      </c>
      <c r="G4939" s="48" t="str">
        <f aca="false">IF($H4939="","",生产加工!$N272)</f>
        <v/>
      </c>
      <c r="H4939" s="10" t="str">
        <f aca="false">IF($L4939="","",IF($L4939="@对方",生产加工!$K272,IF($L4939="@存货",生产加工!$Q272,$L4939)))</f>
        <v/>
      </c>
      <c r="I4939" s="42" t="n">
        <f aca="false">IF($M4939="借",$O4939,0)</f>
        <v>0</v>
      </c>
      <c r="J4939" s="42" t="n">
        <f aca="false">IF($M4939="贷",$O4939,0)</f>
        <v>0</v>
      </c>
      <c r="K4939" s="48"/>
      <c r="L4939" s="66" t="str">
        <f aca="false">IF(生产加工!$E272="","",IFERROR(INDEX(记账规则!$A$36:$H$38,MATCH(生产加工!$E272,记账规则!$A$36:$A$38,0),6),""))</f>
        <v/>
      </c>
      <c r="M4939" s="66" t="str">
        <f aca="false">IF($L4939="","",IFERROR(INDEX(记账规则!$A$36:$H$38,MATCH(生产加工!$E272,记账规则!$A$36:$A$38,0),7),""))</f>
        <v/>
      </c>
      <c r="N4939" s="66" t="str">
        <f aca="false">IF($L4939="","",IFERROR(INDEX(记账规则!$A$36:$H$38,MATCH(生产加工!$E272,记账规则!$A$36:$A$38,0),8),""))</f>
        <v/>
      </c>
      <c r="O4939" s="67" t="n">
        <f aca="false">IF($H4939="",0,ROUND(IF($N4939="记账金额",N(生产加工!$U272),0),2))</f>
        <v>0</v>
      </c>
      <c r="P4939" s="64" t="str">
        <f aca="false">IF(AND($H4939&lt;&gt;"",ROUND($O4939,2)&lt;&gt;0),"有","")</f>
        <v/>
      </c>
    </row>
    <row r="4940" customFormat="false" ht="15" hidden="true" customHeight="false" outlineLevel="0" collapsed="false">
      <c r="A4940" s="53" t="str">
        <f aca="false">IF($H4940="","",ROW()-5)</f>
        <v/>
      </c>
      <c r="B4940" s="64" t="s">
        <v>38</v>
      </c>
      <c r="C4940" s="53" t="n">
        <v>273</v>
      </c>
      <c r="D4940" s="53" t="n">
        <v>1</v>
      </c>
      <c r="E4940" s="65" t="str">
        <f aca="false">IF($H4940="","",生产加工!$B273)</f>
        <v/>
      </c>
      <c r="F4940" s="55" t="str">
        <f aca="false">IF($H4940="","",生产加工!$C273)</f>
        <v/>
      </c>
      <c r="G4940" s="48" t="str">
        <f aca="false">IF($H4940="","",生产加工!$N273)</f>
        <v/>
      </c>
      <c r="H4940" s="10" t="str">
        <f aca="false">IF($L4940="","",IF($L4940="@对方",生产加工!$K273,IF($L4940="@存货",生产加工!$Q273,$L4940)))</f>
        <v/>
      </c>
      <c r="I4940" s="42" t="n">
        <f aca="false">IF($M4940="借",$O4940,0)</f>
        <v>0</v>
      </c>
      <c r="J4940" s="42" t="n">
        <f aca="false">IF($M4940="贷",$O4940,0)</f>
        <v>0</v>
      </c>
      <c r="K4940" s="48"/>
      <c r="L4940" s="66" t="str">
        <f aca="false">IF(生产加工!$E273="","",IFERROR(INDEX(记账规则!$A$36:$H$38,MATCH(生产加工!$E273,记账规则!$A$36:$A$38,0),3),""))</f>
        <v/>
      </c>
      <c r="M4940" s="66" t="str">
        <f aca="false">IF($L4940="","",IFERROR(INDEX(记账规则!$A$36:$H$38,MATCH(生产加工!$E273,记账规则!$A$36:$A$38,0),4),""))</f>
        <v/>
      </c>
      <c r="N4940" s="66" t="str">
        <f aca="false">IF($L4940="","",IFERROR(INDEX(记账规则!$A$36:$H$38,MATCH(生产加工!$E273,记账规则!$A$36:$A$38,0),5),""))</f>
        <v/>
      </c>
      <c r="O4940" s="67" t="n">
        <f aca="false">IF($H4940="",0,ROUND(IF($N4940="记账金额",N(生产加工!$U273),0),2))</f>
        <v>0</v>
      </c>
      <c r="P4940" s="64" t="str">
        <f aca="false">IF(AND($H4940&lt;&gt;"",ROUND($O4940,2)&lt;&gt;0),"有","")</f>
        <v/>
      </c>
    </row>
    <row r="4941" customFormat="false" ht="15" hidden="true" customHeight="false" outlineLevel="0" collapsed="false">
      <c r="A4941" s="53" t="str">
        <f aca="false">IF($H4941="","",ROW()-5)</f>
        <v/>
      </c>
      <c r="B4941" s="64" t="s">
        <v>38</v>
      </c>
      <c r="C4941" s="53" t="n">
        <v>273</v>
      </c>
      <c r="D4941" s="53" t="n">
        <v>2</v>
      </c>
      <c r="E4941" s="65" t="str">
        <f aca="false">IF($H4941="","",生产加工!$B273)</f>
        <v/>
      </c>
      <c r="F4941" s="55" t="str">
        <f aca="false">IF($H4941="","",生产加工!$C273)</f>
        <v/>
      </c>
      <c r="G4941" s="48" t="str">
        <f aca="false">IF($H4941="","",生产加工!$N273)</f>
        <v/>
      </c>
      <c r="H4941" s="10" t="str">
        <f aca="false">IF($L4941="","",IF($L4941="@对方",生产加工!$K273,IF($L4941="@存货",生产加工!$Q273,$L4941)))</f>
        <v/>
      </c>
      <c r="I4941" s="42" t="n">
        <f aca="false">IF($M4941="借",$O4941,0)</f>
        <v>0</v>
      </c>
      <c r="J4941" s="42" t="n">
        <f aca="false">IF($M4941="贷",$O4941,0)</f>
        <v>0</v>
      </c>
      <c r="K4941" s="48"/>
      <c r="L4941" s="66" t="str">
        <f aca="false">IF(生产加工!$E273="","",IFERROR(INDEX(记账规则!$A$36:$H$38,MATCH(生产加工!$E273,记账规则!$A$36:$A$38,0),6),""))</f>
        <v/>
      </c>
      <c r="M4941" s="66" t="str">
        <f aca="false">IF($L4941="","",IFERROR(INDEX(记账规则!$A$36:$H$38,MATCH(生产加工!$E273,记账规则!$A$36:$A$38,0),7),""))</f>
        <v/>
      </c>
      <c r="N4941" s="66" t="str">
        <f aca="false">IF($L4941="","",IFERROR(INDEX(记账规则!$A$36:$H$38,MATCH(生产加工!$E273,记账规则!$A$36:$A$38,0),8),""))</f>
        <v/>
      </c>
      <c r="O4941" s="67" t="n">
        <f aca="false">IF($H4941="",0,ROUND(IF($N4941="记账金额",N(生产加工!$U273),0),2))</f>
        <v>0</v>
      </c>
      <c r="P4941" s="64" t="str">
        <f aca="false">IF(AND($H4941&lt;&gt;"",ROUND($O4941,2)&lt;&gt;0),"有","")</f>
        <v/>
      </c>
    </row>
    <row r="4942" customFormat="false" ht="15" hidden="true" customHeight="false" outlineLevel="0" collapsed="false">
      <c r="A4942" s="53" t="str">
        <f aca="false">IF($H4942="","",ROW()-5)</f>
        <v/>
      </c>
      <c r="B4942" s="64" t="s">
        <v>38</v>
      </c>
      <c r="C4942" s="53" t="n">
        <v>274</v>
      </c>
      <c r="D4942" s="53" t="n">
        <v>1</v>
      </c>
      <c r="E4942" s="65" t="str">
        <f aca="false">IF($H4942="","",生产加工!$B274)</f>
        <v/>
      </c>
      <c r="F4942" s="55" t="str">
        <f aca="false">IF($H4942="","",生产加工!$C274)</f>
        <v/>
      </c>
      <c r="G4942" s="48" t="str">
        <f aca="false">IF($H4942="","",生产加工!$N274)</f>
        <v/>
      </c>
      <c r="H4942" s="10" t="str">
        <f aca="false">IF($L4942="","",IF($L4942="@对方",生产加工!$K274,IF($L4942="@存货",生产加工!$Q274,$L4942)))</f>
        <v/>
      </c>
      <c r="I4942" s="42" t="n">
        <f aca="false">IF($M4942="借",$O4942,0)</f>
        <v>0</v>
      </c>
      <c r="J4942" s="42" t="n">
        <f aca="false">IF($M4942="贷",$O4942,0)</f>
        <v>0</v>
      </c>
      <c r="K4942" s="48"/>
      <c r="L4942" s="66" t="str">
        <f aca="false">IF(生产加工!$E274="","",IFERROR(INDEX(记账规则!$A$36:$H$38,MATCH(生产加工!$E274,记账规则!$A$36:$A$38,0),3),""))</f>
        <v/>
      </c>
      <c r="M4942" s="66" t="str">
        <f aca="false">IF($L4942="","",IFERROR(INDEX(记账规则!$A$36:$H$38,MATCH(生产加工!$E274,记账规则!$A$36:$A$38,0),4),""))</f>
        <v/>
      </c>
      <c r="N4942" s="66" t="str">
        <f aca="false">IF($L4942="","",IFERROR(INDEX(记账规则!$A$36:$H$38,MATCH(生产加工!$E274,记账规则!$A$36:$A$38,0),5),""))</f>
        <v/>
      </c>
      <c r="O4942" s="67" t="n">
        <f aca="false">IF($H4942="",0,ROUND(IF($N4942="记账金额",N(生产加工!$U274),0),2))</f>
        <v>0</v>
      </c>
      <c r="P4942" s="64" t="str">
        <f aca="false">IF(AND($H4942&lt;&gt;"",ROUND($O4942,2)&lt;&gt;0),"有","")</f>
        <v/>
      </c>
    </row>
    <row r="4943" customFormat="false" ht="15" hidden="true" customHeight="false" outlineLevel="0" collapsed="false">
      <c r="A4943" s="53" t="str">
        <f aca="false">IF($H4943="","",ROW()-5)</f>
        <v/>
      </c>
      <c r="B4943" s="64" t="s">
        <v>38</v>
      </c>
      <c r="C4943" s="53" t="n">
        <v>274</v>
      </c>
      <c r="D4943" s="53" t="n">
        <v>2</v>
      </c>
      <c r="E4943" s="65" t="str">
        <f aca="false">IF($H4943="","",生产加工!$B274)</f>
        <v/>
      </c>
      <c r="F4943" s="55" t="str">
        <f aca="false">IF($H4943="","",生产加工!$C274)</f>
        <v/>
      </c>
      <c r="G4943" s="48" t="str">
        <f aca="false">IF($H4943="","",生产加工!$N274)</f>
        <v/>
      </c>
      <c r="H4943" s="10" t="str">
        <f aca="false">IF($L4943="","",IF($L4943="@对方",生产加工!$K274,IF($L4943="@存货",生产加工!$Q274,$L4943)))</f>
        <v/>
      </c>
      <c r="I4943" s="42" t="n">
        <f aca="false">IF($M4943="借",$O4943,0)</f>
        <v>0</v>
      </c>
      <c r="J4943" s="42" t="n">
        <f aca="false">IF($M4943="贷",$O4943,0)</f>
        <v>0</v>
      </c>
      <c r="K4943" s="48"/>
      <c r="L4943" s="66" t="str">
        <f aca="false">IF(生产加工!$E274="","",IFERROR(INDEX(记账规则!$A$36:$H$38,MATCH(生产加工!$E274,记账规则!$A$36:$A$38,0),6),""))</f>
        <v/>
      </c>
      <c r="M4943" s="66" t="str">
        <f aca="false">IF($L4943="","",IFERROR(INDEX(记账规则!$A$36:$H$38,MATCH(生产加工!$E274,记账规则!$A$36:$A$38,0),7),""))</f>
        <v/>
      </c>
      <c r="N4943" s="66" t="str">
        <f aca="false">IF($L4943="","",IFERROR(INDEX(记账规则!$A$36:$H$38,MATCH(生产加工!$E274,记账规则!$A$36:$A$38,0),8),""))</f>
        <v/>
      </c>
      <c r="O4943" s="67" t="n">
        <f aca="false">IF($H4943="",0,ROUND(IF($N4943="记账金额",N(生产加工!$U274),0),2))</f>
        <v>0</v>
      </c>
      <c r="P4943" s="64" t="str">
        <f aca="false">IF(AND($H4943&lt;&gt;"",ROUND($O4943,2)&lt;&gt;0),"有","")</f>
        <v/>
      </c>
    </row>
    <row r="4944" customFormat="false" ht="15" hidden="true" customHeight="false" outlineLevel="0" collapsed="false">
      <c r="A4944" s="53" t="str">
        <f aca="false">IF($H4944="","",ROW()-5)</f>
        <v/>
      </c>
      <c r="B4944" s="64" t="s">
        <v>38</v>
      </c>
      <c r="C4944" s="53" t="n">
        <v>275</v>
      </c>
      <c r="D4944" s="53" t="n">
        <v>1</v>
      </c>
      <c r="E4944" s="65" t="str">
        <f aca="false">IF($H4944="","",生产加工!$B275)</f>
        <v/>
      </c>
      <c r="F4944" s="55" t="str">
        <f aca="false">IF($H4944="","",生产加工!$C275)</f>
        <v/>
      </c>
      <c r="G4944" s="48" t="str">
        <f aca="false">IF($H4944="","",生产加工!$N275)</f>
        <v/>
      </c>
      <c r="H4944" s="10" t="str">
        <f aca="false">IF($L4944="","",IF($L4944="@对方",生产加工!$K275,IF($L4944="@存货",生产加工!$Q275,$L4944)))</f>
        <v/>
      </c>
      <c r="I4944" s="42" t="n">
        <f aca="false">IF($M4944="借",$O4944,0)</f>
        <v>0</v>
      </c>
      <c r="J4944" s="42" t="n">
        <f aca="false">IF($M4944="贷",$O4944,0)</f>
        <v>0</v>
      </c>
      <c r="K4944" s="48"/>
      <c r="L4944" s="66" t="str">
        <f aca="false">IF(生产加工!$E275="","",IFERROR(INDEX(记账规则!$A$36:$H$38,MATCH(生产加工!$E275,记账规则!$A$36:$A$38,0),3),""))</f>
        <v/>
      </c>
      <c r="M4944" s="66" t="str">
        <f aca="false">IF($L4944="","",IFERROR(INDEX(记账规则!$A$36:$H$38,MATCH(生产加工!$E275,记账规则!$A$36:$A$38,0),4),""))</f>
        <v/>
      </c>
      <c r="N4944" s="66" t="str">
        <f aca="false">IF($L4944="","",IFERROR(INDEX(记账规则!$A$36:$H$38,MATCH(生产加工!$E275,记账规则!$A$36:$A$38,0),5),""))</f>
        <v/>
      </c>
      <c r="O4944" s="67" t="n">
        <f aca="false">IF($H4944="",0,ROUND(IF($N4944="记账金额",N(生产加工!$U275),0),2))</f>
        <v>0</v>
      </c>
      <c r="P4944" s="64" t="str">
        <f aca="false">IF(AND($H4944&lt;&gt;"",ROUND($O4944,2)&lt;&gt;0),"有","")</f>
        <v/>
      </c>
    </row>
    <row r="4945" customFormat="false" ht="15" hidden="true" customHeight="false" outlineLevel="0" collapsed="false">
      <c r="A4945" s="53" t="str">
        <f aca="false">IF($H4945="","",ROW()-5)</f>
        <v/>
      </c>
      <c r="B4945" s="64" t="s">
        <v>38</v>
      </c>
      <c r="C4945" s="53" t="n">
        <v>275</v>
      </c>
      <c r="D4945" s="53" t="n">
        <v>2</v>
      </c>
      <c r="E4945" s="65" t="str">
        <f aca="false">IF($H4945="","",生产加工!$B275)</f>
        <v/>
      </c>
      <c r="F4945" s="55" t="str">
        <f aca="false">IF($H4945="","",生产加工!$C275)</f>
        <v/>
      </c>
      <c r="G4945" s="48" t="str">
        <f aca="false">IF($H4945="","",生产加工!$N275)</f>
        <v/>
      </c>
      <c r="H4945" s="10" t="str">
        <f aca="false">IF($L4945="","",IF($L4945="@对方",生产加工!$K275,IF($L4945="@存货",生产加工!$Q275,$L4945)))</f>
        <v/>
      </c>
      <c r="I4945" s="42" t="n">
        <f aca="false">IF($M4945="借",$O4945,0)</f>
        <v>0</v>
      </c>
      <c r="J4945" s="42" t="n">
        <f aca="false">IF($M4945="贷",$O4945,0)</f>
        <v>0</v>
      </c>
      <c r="K4945" s="48"/>
      <c r="L4945" s="66" t="str">
        <f aca="false">IF(生产加工!$E275="","",IFERROR(INDEX(记账规则!$A$36:$H$38,MATCH(生产加工!$E275,记账规则!$A$36:$A$38,0),6),""))</f>
        <v/>
      </c>
      <c r="M4945" s="66" t="str">
        <f aca="false">IF($L4945="","",IFERROR(INDEX(记账规则!$A$36:$H$38,MATCH(生产加工!$E275,记账规则!$A$36:$A$38,0),7),""))</f>
        <v/>
      </c>
      <c r="N4945" s="66" t="str">
        <f aca="false">IF($L4945="","",IFERROR(INDEX(记账规则!$A$36:$H$38,MATCH(生产加工!$E275,记账规则!$A$36:$A$38,0),8),""))</f>
        <v/>
      </c>
      <c r="O4945" s="67" t="n">
        <f aca="false">IF($H4945="",0,ROUND(IF($N4945="记账金额",N(生产加工!$U275),0),2))</f>
        <v>0</v>
      </c>
      <c r="P4945" s="64" t="str">
        <f aca="false">IF(AND($H4945&lt;&gt;"",ROUND($O4945,2)&lt;&gt;0),"有","")</f>
        <v/>
      </c>
    </row>
    <row r="4946" customFormat="false" ht="15" hidden="true" customHeight="false" outlineLevel="0" collapsed="false">
      <c r="A4946" s="53" t="str">
        <f aca="false">IF($H4946="","",ROW()-5)</f>
        <v/>
      </c>
      <c r="B4946" s="64" t="s">
        <v>38</v>
      </c>
      <c r="C4946" s="53" t="n">
        <v>276</v>
      </c>
      <c r="D4946" s="53" t="n">
        <v>1</v>
      </c>
      <c r="E4946" s="65" t="str">
        <f aca="false">IF($H4946="","",生产加工!$B276)</f>
        <v/>
      </c>
      <c r="F4946" s="55" t="str">
        <f aca="false">IF($H4946="","",生产加工!$C276)</f>
        <v/>
      </c>
      <c r="G4946" s="48" t="str">
        <f aca="false">IF($H4946="","",生产加工!$N276)</f>
        <v/>
      </c>
      <c r="H4946" s="10" t="str">
        <f aca="false">IF($L4946="","",IF($L4946="@对方",生产加工!$K276,IF($L4946="@存货",生产加工!$Q276,$L4946)))</f>
        <v/>
      </c>
      <c r="I4946" s="42" t="n">
        <f aca="false">IF($M4946="借",$O4946,0)</f>
        <v>0</v>
      </c>
      <c r="J4946" s="42" t="n">
        <f aca="false">IF($M4946="贷",$O4946,0)</f>
        <v>0</v>
      </c>
      <c r="K4946" s="48"/>
      <c r="L4946" s="66" t="str">
        <f aca="false">IF(生产加工!$E276="","",IFERROR(INDEX(记账规则!$A$36:$H$38,MATCH(生产加工!$E276,记账规则!$A$36:$A$38,0),3),""))</f>
        <v/>
      </c>
      <c r="M4946" s="66" t="str">
        <f aca="false">IF($L4946="","",IFERROR(INDEX(记账规则!$A$36:$H$38,MATCH(生产加工!$E276,记账规则!$A$36:$A$38,0),4),""))</f>
        <v/>
      </c>
      <c r="N4946" s="66" t="str">
        <f aca="false">IF($L4946="","",IFERROR(INDEX(记账规则!$A$36:$H$38,MATCH(生产加工!$E276,记账规则!$A$36:$A$38,0),5),""))</f>
        <v/>
      </c>
      <c r="O4946" s="67" t="n">
        <f aca="false">IF($H4946="",0,ROUND(IF($N4946="记账金额",N(生产加工!$U276),0),2))</f>
        <v>0</v>
      </c>
      <c r="P4946" s="64" t="str">
        <f aca="false">IF(AND($H4946&lt;&gt;"",ROUND($O4946,2)&lt;&gt;0),"有","")</f>
        <v/>
      </c>
    </row>
    <row r="4947" customFormat="false" ht="15" hidden="true" customHeight="false" outlineLevel="0" collapsed="false">
      <c r="A4947" s="53" t="str">
        <f aca="false">IF($H4947="","",ROW()-5)</f>
        <v/>
      </c>
      <c r="B4947" s="64" t="s">
        <v>38</v>
      </c>
      <c r="C4947" s="53" t="n">
        <v>276</v>
      </c>
      <c r="D4947" s="53" t="n">
        <v>2</v>
      </c>
      <c r="E4947" s="65" t="str">
        <f aca="false">IF($H4947="","",生产加工!$B276)</f>
        <v/>
      </c>
      <c r="F4947" s="55" t="str">
        <f aca="false">IF($H4947="","",生产加工!$C276)</f>
        <v/>
      </c>
      <c r="G4947" s="48" t="str">
        <f aca="false">IF($H4947="","",生产加工!$N276)</f>
        <v/>
      </c>
      <c r="H4947" s="10" t="str">
        <f aca="false">IF($L4947="","",IF($L4947="@对方",生产加工!$K276,IF($L4947="@存货",生产加工!$Q276,$L4947)))</f>
        <v/>
      </c>
      <c r="I4947" s="42" t="n">
        <f aca="false">IF($M4947="借",$O4947,0)</f>
        <v>0</v>
      </c>
      <c r="J4947" s="42" t="n">
        <f aca="false">IF($M4947="贷",$O4947,0)</f>
        <v>0</v>
      </c>
      <c r="K4947" s="48"/>
      <c r="L4947" s="66" t="str">
        <f aca="false">IF(生产加工!$E276="","",IFERROR(INDEX(记账规则!$A$36:$H$38,MATCH(生产加工!$E276,记账规则!$A$36:$A$38,0),6),""))</f>
        <v/>
      </c>
      <c r="M4947" s="66" t="str">
        <f aca="false">IF($L4947="","",IFERROR(INDEX(记账规则!$A$36:$H$38,MATCH(生产加工!$E276,记账规则!$A$36:$A$38,0),7),""))</f>
        <v/>
      </c>
      <c r="N4947" s="66" t="str">
        <f aca="false">IF($L4947="","",IFERROR(INDEX(记账规则!$A$36:$H$38,MATCH(生产加工!$E276,记账规则!$A$36:$A$38,0),8),""))</f>
        <v/>
      </c>
      <c r="O4947" s="67" t="n">
        <f aca="false">IF($H4947="",0,ROUND(IF($N4947="记账金额",N(生产加工!$U276),0),2))</f>
        <v>0</v>
      </c>
      <c r="P4947" s="64" t="str">
        <f aca="false">IF(AND($H4947&lt;&gt;"",ROUND($O4947,2)&lt;&gt;0),"有","")</f>
        <v/>
      </c>
    </row>
    <row r="4948" customFormat="false" ht="15" hidden="true" customHeight="false" outlineLevel="0" collapsed="false">
      <c r="A4948" s="53" t="str">
        <f aca="false">IF($H4948="","",ROW()-5)</f>
        <v/>
      </c>
      <c r="B4948" s="64" t="s">
        <v>38</v>
      </c>
      <c r="C4948" s="53" t="n">
        <v>277</v>
      </c>
      <c r="D4948" s="53" t="n">
        <v>1</v>
      </c>
      <c r="E4948" s="65" t="str">
        <f aca="false">IF($H4948="","",生产加工!$B277)</f>
        <v/>
      </c>
      <c r="F4948" s="55" t="str">
        <f aca="false">IF($H4948="","",生产加工!$C277)</f>
        <v/>
      </c>
      <c r="G4948" s="48" t="str">
        <f aca="false">IF($H4948="","",生产加工!$N277)</f>
        <v/>
      </c>
      <c r="H4948" s="10" t="str">
        <f aca="false">IF($L4948="","",IF($L4948="@对方",生产加工!$K277,IF($L4948="@存货",生产加工!$Q277,$L4948)))</f>
        <v/>
      </c>
      <c r="I4948" s="42" t="n">
        <f aca="false">IF($M4948="借",$O4948,0)</f>
        <v>0</v>
      </c>
      <c r="J4948" s="42" t="n">
        <f aca="false">IF($M4948="贷",$O4948,0)</f>
        <v>0</v>
      </c>
      <c r="K4948" s="48"/>
      <c r="L4948" s="66" t="str">
        <f aca="false">IF(生产加工!$E277="","",IFERROR(INDEX(记账规则!$A$36:$H$38,MATCH(生产加工!$E277,记账规则!$A$36:$A$38,0),3),""))</f>
        <v/>
      </c>
      <c r="M4948" s="66" t="str">
        <f aca="false">IF($L4948="","",IFERROR(INDEX(记账规则!$A$36:$H$38,MATCH(生产加工!$E277,记账规则!$A$36:$A$38,0),4),""))</f>
        <v/>
      </c>
      <c r="N4948" s="66" t="str">
        <f aca="false">IF($L4948="","",IFERROR(INDEX(记账规则!$A$36:$H$38,MATCH(生产加工!$E277,记账规则!$A$36:$A$38,0),5),""))</f>
        <v/>
      </c>
      <c r="O4948" s="67" t="n">
        <f aca="false">IF($H4948="",0,ROUND(IF($N4948="记账金额",N(生产加工!$U277),0),2))</f>
        <v>0</v>
      </c>
      <c r="P4948" s="64" t="str">
        <f aca="false">IF(AND($H4948&lt;&gt;"",ROUND($O4948,2)&lt;&gt;0),"有","")</f>
        <v/>
      </c>
    </row>
    <row r="4949" customFormat="false" ht="15" hidden="true" customHeight="false" outlineLevel="0" collapsed="false">
      <c r="A4949" s="53" t="str">
        <f aca="false">IF($H4949="","",ROW()-5)</f>
        <v/>
      </c>
      <c r="B4949" s="64" t="s">
        <v>38</v>
      </c>
      <c r="C4949" s="53" t="n">
        <v>277</v>
      </c>
      <c r="D4949" s="53" t="n">
        <v>2</v>
      </c>
      <c r="E4949" s="65" t="str">
        <f aca="false">IF($H4949="","",生产加工!$B277)</f>
        <v/>
      </c>
      <c r="F4949" s="55" t="str">
        <f aca="false">IF($H4949="","",生产加工!$C277)</f>
        <v/>
      </c>
      <c r="G4949" s="48" t="str">
        <f aca="false">IF($H4949="","",生产加工!$N277)</f>
        <v/>
      </c>
      <c r="H4949" s="10" t="str">
        <f aca="false">IF($L4949="","",IF($L4949="@对方",生产加工!$K277,IF($L4949="@存货",生产加工!$Q277,$L4949)))</f>
        <v/>
      </c>
      <c r="I4949" s="42" t="n">
        <f aca="false">IF($M4949="借",$O4949,0)</f>
        <v>0</v>
      </c>
      <c r="J4949" s="42" t="n">
        <f aca="false">IF($M4949="贷",$O4949,0)</f>
        <v>0</v>
      </c>
      <c r="K4949" s="48"/>
      <c r="L4949" s="66" t="str">
        <f aca="false">IF(生产加工!$E277="","",IFERROR(INDEX(记账规则!$A$36:$H$38,MATCH(生产加工!$E277,记账规则!$A$36:$A$38,0),6),""))</f>
        <v/>
      </c>
      <c r="M4949" s="66" t="str">
        <f aca="false">IF($L4949="","",IFERROR(INDEX(记账规则!$A$36:$H$38,MATCH(生产加工!$E277,记账规则!$A$36:$A$38,0),7),""))</f>
        <v/>
      </c>
      <c r="N4949" s="66" t="str">
        <f aca="false">IF($L4949="","",IFERROR(INDEX(记账规则!$A$36:$H$38,MATCH(生产加工!$E277,记账规则!$A$36:$A$38,0),8),""))</f>
        <v/>
      </c>
      <c r="O4949" s="67" t="n">
        <f aca="false">IF($H4949="",0,ROUND(IF($N4949="记账金额",N(生产加工!$U277),0),2))</f>
        <v>0</v>
      </c>
      <c r="P4949" s="64" t="str">
        <f aca="false">IF(AND($H4949&lt;&gt;"",ROUND($O4949,2)&lt;&gt;0),"有","")</f>
        <v/>
      </c>
    </row>
    <row r="4950" customFormat="false" ht="15" hidden="true" customHeight="false" outlineLevel="0" collapsed="false">
      <c r="A4950" s="53" t="str">
        <f aca="false">IF($H4950="","",ROW()-5)</f>
        <v/>
      </c>
      <c r="B4950" s="64" t="s">
        <v>38</v>
      </c>
      <c r="C4950" s="53" t="n">
        <v>278</v>
      </c>
      <c r="D4950" s="53" t="n">
        <v>1</v>
      </c>
      <c r="E4950" s="65" t="str">
        <f aca="false">IF($H4950="","",生产加工!$B278)</f>
        <v/>
      </c>
      <c r="F4950" s="55" t="str">
        <f aca="false">IF($H4950="","",生产加工!$C278)</f>
        <v/>
      </c>
      <c r="G4950" s="48" t="str">
        <f aca="false">IF($H4950="","",生产加工!$N278)</f>
        <v/>
      </c>
      <c r="H4950" s="10" t="str">
        <f aca="false">IF($L4950="","",IF($L4950="@对方",生产加工!$K278,IF($L4950="@存货",生产加工!$Q278,$L4950)))</f>
        <v/>
      </c>
      <c r="I4950" s="42" t="n">
        <f aca="false">IF($M4950="借",$O4950,0)</f>
        <v>0</v>
      </c>
      <c r="J4950" s="42" t="n">
        <f aca="false">IF($M4950="贷",$O4950,0)</f>
        <v>0</v>
      </c>
      <c r="K4950" s="48"/>
      <c r="L4950" s="66" t="str">
        <f aca="false">IF(生产加工!$E278="","",IFERROR(INDEX(记账规则!$A$36:$H$38,MATCH(生产加工!$E278,记账规则!$A$36:$A$38,0),3),""))</f>
        <v/>
      </c>
      <c r="M4950" s="66" t="str">
        <f aca="false">IF($L4950="","",IFERROR(INDEX(记账规则!$A$36:$H$38,MATCH(生产加工!$E278,记账规则!$A$36:$A$38,0),4),""))</f>
        <v/>
      </c>
      <c r="N4950" s="66" t="str">
        <f aca="false">IF($L4950="","",IFERROR(INDEX(记账规则!$A$36:$H$38,MATCH(生产加工!$E278,记账规则!$A$36:$A$38,0),5),""))</f>
        <v/>
      </c>
      <c r="O4950" s="67" t="n">
        <f aca="false">IF($H4950="",0,ROUND(IF($N4950="记账金额",N(生产加工!$U278),0),2))</f>
        <v>0</v>
      </c>
      <c r="P4950" s="64" t="str">
        <f aca="false">IF(AND($H4950&lt;&gt;"",ROUND($O4950,2)&lt;&gt;0),"有","")</f>
        <v/>
      </c>
    </row>
    <row r="4951" customFormat="false" ht="15" hidden="true" customHeight="false" outlineLevel="0" collapsed="false">
      <c r="A4951" s="53" t="str">
        <f aca="false">IF($H4951="","",ROW()-5)</f>
        <v/>
      </c>
      <c r="B4951" s="64" t="s">
        <v>38</v>
      </c>
      <c r="C4951" s="53" t="n">
        <v>278</v>
      </c>
      <c r="D4951" s="53" t="n">
        <v>2</v>
      </c>
      <c r="E4951" s="65" t="str">
        <f aca="false">IF($H4951="","",生产加工!$B278)</f>
        <v/>
      </c>
      <c r="F4951" s="55" t="str">
        <f aca="false">IF($H4951="","",生产加工!$C278)</f>
        <v/>
      </c>
      <c r="G4951" s="48" t="str">
        <f aca="false">IF($H4951="","",生产加工!$N278)</f>
        <v/>
      </c>
      <c r="H4951" s="10" t="str">
        <f aca="false">IF($L4951="","",IF($L4951="@对方",生产加工!$K278,IF($L4951="@存货",生产加工!$Q278,$L4951)))</f>
        <v/>
      </c>
      <c r="I4951" s="42" t="n">
        <f aca="false">IF($M4951="借",$O4951,0)</f>
        <v>0</v>
      </c>
      <c r="J4951" s="42" t="n">
        <f aca="false">IF($M4951="贷",$O4951,0)</f>
        <v>0</v>
      </c>
      <c r="K4951" s="48"/>
      <c r="L4951" s="66" t="str">
        <f aca="false">IF(生产加工!$E278="","",IFERROR(INDEX(记账规则!$A$36:$H$38,MATCH(生产加工!$E278,记账规则!$A$36:$A$38,0),6),""))</f>
        <v/>
      </c>
      <c r="M4951" s="66" t="str">
        <f aca="false">IF($L4951="","",IFERROR(INDEX(记账规则!$A$36:$H$38,MATCH(生产加工!$E278,记账规则!$A$36:$A$38,0),7),""))</f>
        <v/>
      </c>
      <c r="N4951" s="66" t="str">
        <f aca="false">IF($L4951="","",IFERROR(INDEX(记账规则!$A$36:$H$38,MATCH(生产加工!$E278,记账规则!$A$36:$A$38,0),8),""))</f>
        <v/>
      </c>
      <c r="O4951" s="67" t="n">
        <f aca="false">IF($H4951="",0,ROUND(IF($N4951="记账金额",N(生产加工!$U278),0),2))</f>
        <v>0</v>
      </c>
      <c r="P4951" s="64" t="str">
        <f aca="false">IF(AND($H4951&lt;&gt;"",ROUND($O4951,2)&lt;&gt;0),"有","")</f>
        <v/>
      </c>
    </row>
    <row r="4952" customFormat="false" ht="15" hidden="true" customHeight="false" outlineLevel="0" collapsed="false">
      <c r="A4952" s="53" t="str">
        <f aca="false">IF($H4952="","",ROW()-5)</f>
        <v/>
      </c>
      <c r="B4952" s="64" t="s">
        <v>38</v>
      </c>
      <c r="C4952" s="53" t="n">
        <v>279</v>
      </c>
      <c r="D4952" s="53" t="n">
        <v>1</v>
      </c>
      <c r="E4952" s="65" t="str">
        <f aca="false">IF($H4952="","",生产加工!$B279)</f>
        <v/>
      </c>
      <c r="F4952" s="55" t="str">
        <f aca="false">IF($H4952="","",生产加工!$C279)</f>
        <v/>
      </c>
      <c r="G4952" s="48" t="str">
        <f aca="false">IF($H4952="","",生产加工!$N279)</f>
        <v/>
      </c>
      <c r="H4952" s="10" t="str">
        <f aca="false">IF($L4952="","",IF($L4952="@对方",生产加工!$K279,IF($L4952="@存货",生产加工!$Q279,$L4952)))</f>
        <v/>
      </c>
      <c r="I4952" s="42" t="n">
        <f aca="false">IF($M4952="借",$O4952,0)</f>
        <v>0</v>
      </c>
      <c r="J4952" s="42" t="n">
        <f aca="false">IF($M4952="贷",$O4952,0)</f>
        <v>0</v>
      </c>
      <c r="K4952" s="48"/>
      <c r="L4952" s="66" t="str">
        <f aca="false">IF(生产加工!$E279="","",IFERROR(INDEX(记账规则!$A$36:$H$38,MATCH(生产加工!$E279,记账规则!$A$36:$A$38,0),3),""))</f>
        <v/>
      </c>
      <c r="M4952" s="66" t="str">
        <f aca="false">IF($L4952="","",IFERROR(INDEX(记账规则!$A$36:$H$38,MATCH(生产加工!$E279,记账规则!$A$36:$A$38,0),4),""))</f>
        <v/>
      </c>
      <c r="N4952" s="66" t="str">
        <f aca="false">IF($L4952="","",IFERROR(INDEX(记账规则!$A$36:$H$38,MATCH(生产加工!$E279,记账规则!$A$36:$A$38,0),5),""))</f>
        <v/>
      </c>
      <c r="O4952" s="67" t="n">
        <f aca="false">IF($H4952="",0,ROUND(IF($N4952="记账金额",N(生产加工!$U279),0),2))</f>
        <v>0</v>
      </c>
      <c r="P4952" s="64" t="str">
        <f aca="false">IF(AND($H4952&lt;&gt;"",ROUND($O4952,2)&lt;&gt;0),"有","")</f>
        <v/>
      </c>
    </row>
    <row r="4953" customFormat="false" ht="15" hidden="true" customHeight="false" outlineLevel="0" collapsed="false">
      <c r="A4953" s="53" t="str">
        <f aca="false">IF($H4953="","",ROW()-5)</f>
        <v/>
      </c>
      <c r="B4953" s="64" t="s">
        <v>38</v>
      </c>
      <c r="C4953" s="53" t="n">
        <v>279</v>
      </c>
      <c r="D4953" s="53" t="n">
        <v>2</v>
      </c>
      <c r="E4953" s="65" t="str">
        <f aca="false">IF($H4953="","",生产加工!$B279)</f>
        <v/>
      </c>
      <c r="F4953" s="55" t="str">
        <f aca="false">IF($H4953="","",生产加工!$C279)</f>
        <v/>
      </c>
      <c r="G4953" s="48" t="str">
        <f aca="false">IF($H4953="","",生产加工!$N279)</f>
        <v/>
      </c>
      <c r="H4953" s="10" t="str">
        <f aca="false">IF($L4953="","",IF($L4953="@对方",生产加工!$K279,IF($L4953="@存货",生产加工!$Q279,$L4953)))</f>
        <v/>
      </c>
      <c r="I4953" s="42" t="n">
        <f aca="false">IF($M4953="借",$O4953,0)</f>
        <v>0</v>
      </c>
      <c r="J4953" s="42" t="n">
        <f aca="false">IF($M4953="贷",$O4953,0)</f>
        <v>0</v>
      </c>
      <c r="K4953" s="48"/>
      <c r="L4953" s="66" t="str">
        <f aca="false">IF(生产加工!$E279="","",IFERROR(INDEX(记账规则!$A$36:$H$38,MATCH(生产加工!$E279,记账规则!$A$36:$A$38,0),6),""))</f>
        <v/>
      </c>
      <c r="M4953" s="66" t="str">
        <f aca="false">IF($L4953="","",IFERROR(INDEX(记账规则!$A$36:$H$38,MATCH(生产加工!$E279,记账规则!$A$36:$A$38,0),7),""))</f>
        <v/>
      </c>
      <c r="N4953" s="66" t="str">
        <f aca="false">IF($L4953="","",IFERROR(INDEX(记账规则!$A$36:$H$38,MATCH(生产加工!$E279,记账规则!$A$36:$A$38,0),8),""))</f>
        <v/>
      </c>
      <c r="O4953" s="67" t="n">
        <f aca="false">IF($H4953="",0,ROUND(IF($N4953="记账金额",N(生产加工!$U279),0),2))</f>
        <v>0</v>
      </c>
      <c r="P4953" s="64" t="str">
        <f aca="false">IF(AND($H4953&lt;&gt;"",ROUND($O4953,2)&lt;&gt;0),"有","")</f>
        <v/>
      </c>
    </row>
    <row r="4954" customFormat="false" ht="15" hidden="true" customHeight="false" outlineLevel="0" collapsed="false">
      <c r="A4954" s="53" t="str">
        <f aca="false">IF($H4954="","",ROW()-5)</f>
        <v/>
      </c>
      <c r="B4954" s="64" t="s">
        <v>38</v>
      </c>
      <c r="C4954" s="53" t="n">
        <v>280</v>
      </c>
      <c r="D4954" s="53" t="n">
        <v>1</v>
      </c>
      <c r="E4954" s="65" t="str">
        <f aca="false">IF($H4954="","",生产加工!$B280)</f>
        <v/>
      </c>
      <c r="F4954" s="55" t="str">
        <f aca="false">IF($H4954="","",生产加工!$C280)</f>
        <v/>
      </c>
      <c r="G4954" s="48" t="str">
        <f aca="false">IF($H4954="","",生产加工!$N280)</f>
        <v/>
      </c>
      <c r="H4954" s="10" t="str">
        <f aca="false">IF($L4954="","",IF($L4954="@对方",生产加工!$K280,IF($L4954="@存货",生产加工!$Q280,$L4954)))</f>
        <v/>
      </c>
      <c r="I4954" s="42" t="n">
        <f aca="false">IF($M4954="借",$O4954,0)</f>
        <v>0</v>
      </c>
      <c r="J4954" s="42" t="n">
        <f aca="false">IF($M4954="贷",$O4954,0)</f>
        <v>0</v>
      </c>
      <c r="K4954" s="48"/>
      <c r="L4954" s="66" t="str">
        <f aca="false">IF(生产加工!$E280="","",IFERROR(INDEX(记账规则!$A$36:$H$38,MATCH(生产加工!$E280,记账规则!$A$36:$A$38,0),3),""))</f>
        <v/>
      </c>
      <c r="M4954" s="66" t="str">
        <f aca="false">IF($L4954="","",IFERROR(INDEX(记账规则!$A$36:$H$38,MATCH(生产加工!$E280,记账规则!$A$36:$A$38,0),4),""))</f>
        <v/>
      </c>
      <c r="N4954" s="66" t="str">
        <f aca="false">IF($L4954="","",IFERROR(INDEX(记账规则!$A$36:$H$38,MATCH(生产加工!$E280,记账规则!$A$36:$A$38,0),5),""))</f>
        <v/>
      </c>
      <c r="O4954" s="67" t="n">
        <f aca="false">IF($H4954="",0,ROUND(IF($N4954="记账金额",N(生产加工!$U280),0),2))</f>
        <v>0</v>
      </c>
      <c r="P4954" s="64" t="str">
        <f aca="false">IF(AND($H4954&lt;&gt;"",ROUND($O4954,2)&lt;&gt;0),"有","")</f>
        <v/>
      </c>
    </row>
    <row r="4955" customFormat="false" ht="15" hidden="true" customHeight="false" outlineLevel="0" collapsed="false">
      <c r="A4955" s="53" t="str">
        <f aca="false">IF($H4955="","",ROW()-5)</f>
        <v/>
      </c>
      <c r="B4955" s="64" t="s">
        <v>38</v>
      </c>
      <c r="C4955" s="53" t="n">
        <v>280</v>
      </c>
      <c r="D4955" s="53" t="n">
        <v>2</v>
      </c>
      <c r="E4955" s="65" t="str">
        <f aca="false">IF($H4955="","",生产加工!$B280)</f>
        <v/>
      </c>
      <c r="F4955" s="55" t="str">
        <f aca="false">IF($H4955="","",生产加工!$C280)</f>
        <v/>
      </c>
      <c r="G4955" s="48" t="str">
        <f aca="false">IF($H4955="","",生产加工!$N280)</f>
        <v/>
      </c>
      <c r="H4955" s="10" t="str">
        <f aca="false">IF($L4955="","",IF($L4955="@对方",生产加工!$K280,IF($L4955="@存货",生产加工!$Q280,$L4955)))</f>
        <v/>
      </c>
      <c r="I4955" s="42" t="n">
        <f aca="false">IF($M4955="借",$O4955,0)</f>
        <v>0</v>
      </c>
      <c r="J4955" s="42" t="n">
        <f aca="false">IF($M4955="贷",$O4955,0)</f>
        <v>0</v>
      </c>
      <c r="K4955" s="48"/>
      <c r="L4955" s="66" t="str">
        <f aca="false">IF(生产加工!$E280="","",IFERROR(INDEX(记账规则!$A$36:$H$38,MATCH(生产加工!$E280,记账规则!$A$36:$A$38,0),6),""))</f>
        <v/>
      </c>
      <c r="M4955" s="66" t="str">
        <f aca="false">IF($L4955="","",IFERROR(INDEX(记账规则!$A$36:$H$38,MATCH(生产加工!$E280,记账规则!$A$36:$A$38,0),7),""))</f>
        <v/>
      </c>
      <c r="N4955" s="66" t="str">
        <f aca="false">IF($L4955="","",IFERROR(INDEX(记账规则!$A$36:$H$38,MATCH(生产加工!$E280,记账规则!$A$36:$A$38,0),8),""))</f>
        <v/>
      </c>
      <c r="O4955" s="67" t="n">
        <f aca="false">IF($H4955="",0,ROUND(IF($N4955="记账金额",N(生产加工!$U280),0),2))</f>
        <v>0</v>
      </c>
      <c r="P4955" s="64" t="str">
        <f aca="false">IF(AND($H4955&lt;&gt;"",ROUND($O4955,2)&lt;&gt;0),"有","")</f>
        <v/>
      </c>
    </row>
    <row r="4956" customFormat="false" ht="15" hidden="true" customHeight="false" outlineLevel="0" collapsed="false">
      <c r="A4956" s="53" t="str">
        <f aca="false">IF($H4956="","",ROW()-5)</f>
        <v/>
      </c>
      <c r="B4956" s="64" t="s">
        <v>38</v>
      </c>
      <c r="C4956" s="53" t="n">
        <v>281</v>
      </c>
      <c r="D4956" s="53" t="n">
        <v>1</v>
      </c>
      <c r="E4956" s="65" t="str">
        <f aca="false">IF($H4956="","",生产加工!$B281)</f>
        <v/>
      </c>
      <c r="F4956" s="55" t="str">
        <f aca="false">IF($H4956="","",生产加工!$C281)</f>
        <v/>
      </c>
      <c r="G4956" s="48" t="str">
        <f aca="false">IF($H4956="","",生产加工!$N281)</f>
        <v/>
      </c>
      <c r="H4956" s="10" t="str">
        <f aca="false">IF($L4956="","",IF($L4956="@对方",生产加工!$K281,IF($L4956="@存货",生产加工!$Q281,$L4956)))</f>
        <v/>
      </c>
      <c r="I4956" s="42" t="n">
        <f aca="false">IF($M4956="借",$O4956,0)</f>
        <v>0</v>
      </c>
      <c r="J4956" s="42" t="n">
        <f aca="false">IF($M4956="贷",$O4956,0)</f>
        <v>0</v>
      </c>
      <c r="K4956" s="48"/>
      <c r="L4956" s="66" t="str">
        <f aca="false">IF(生产加工!$E281="","",IFERROR(INDEX(记账规则!$A$36:$H$38,MATCH(生产加工!$E281,记账规则!$A$36:$A$38,0),3),""))</f>
        <v/>
      </c>
      <c r="M4956" s="66" t="str">
        <f aca="false">IF($L4956="","",IFERROR(INDEX(记账规则!$A$36:$H$38,MATCH(生产加工!$E281,记账规则!$A$36:$A$38,0),4),""))</f>
        <v/>
      </c>
      <c r="N4956" s="66" t="str">
        <f aca="false">IF($L4956="","",IFERROR(INDEX(记账规则!$A$36:$H$38,MATCH(生产加工!$E281,记账规则!$A$36:$A$38,0),5),""))</f>
        <v/>
      </c>
      <c r="O4956" s="67" t="n">
        <f aca="false">IF($H4956="",0,ROUND(IF($N4956="记账金额",N(生产加工!$U281),0),2))</f>
        <v>0</v>
      </c>
      <c r="P4956" s="64" t="str">
        <f aca="false">IF(AND($H4956&lt;&gt;"",ROUND($O4956,2)&lt;&gt;0),"有","")</f>
        <v/>
      </c>
    </row>
    <row r="4957" customFormat="false" ht="15" hidden="true" customHeight="false" outlineLevel="0" collapsed="false">
      <c r="A4957" s="53" t="str">
        <f aca="false">IF($H4957="","",ROW()-5)</f>
        <v/>
      </c>
      <c r="B4957" s="64" t="s">
        <v>38</v>
      </c>
      <c r="C4957" s="53" t="n">
        <v>281</v>
      </c>
      <c r="D4957" s="53" t="n">
        <v>2</v>
      </c>
      <c r="E4957" s="65" t="str">
        <f aca="false">IF($H4957="","",生产加工!$B281)</f>
        <v/>
      </c>
      <c r="F4957" s="55" t="str">
        <f aca="false">IF($H4957="","",生产加工!$C281)</f>
        <v/>
      </c>
      <c r="G4957" s="48" t="str">
        <f aca="false">IF($H4957="","",生产加工!$N281)</f>
        <v/>
      </c>
      <c r="H4957" s="10" t="str">
        <f aca="false">IF($L4957="","",IF($L4957="@对方",生产加工!$K281,IF($L4957="@存货",生产加工!$Q281,$L4957)))</f>
        <v/>
      </c>
      <c r="I4957" s="42" t="n">
        <f aca="false">IF($M4957="借",$O4957,0)</f>
        <v>0</v>
      </c>
      <c r="J4957" s="42" t="n">
        <f aca="false">IF($M4957="贷",$O4957,0)</f>
        <v>0</v>
      </c>
      <c r="K4957" s="48"/>
      <c r="L4957" s="66" t="str">
        <f aca="false">IF(生产加工!$E281="","",IFERROR(INDEX(记账规则!$A$36:$H$38,MATCH(生产加工!$E281,记账规则!$A$36:$A$38,0),6),""))</f>
        <v/>
      </c>
      <c r="M4957" s="66" t="str">
        <f aca="false">IF($L4957="","",IFERROR(INDEX(记账规则!$A$36:$H$38,MATCH(生产加工!$E281,记账规则!$A$36:$A$38,0),7),""))</f>
        <v/>
      </c>
      <c r="N4957" s="66" t="str">
        <f aca="false">IF($L4957="","",IFERROR(INDEX(记账规则!$A$36:$H$38,MATCH(生产加工!$E281,记账规则!$A$36:$A$38,0),8),""))</f>
        <v/>
      </c>
      <c r="O4957" s="67" t="n">
        <f aca="false">IF($H4957="",0,ROUND(IF($N4957="记账金额",N(生产加工!$U281),0),2))</f>
        <v>0</v>
      </c>
      <c r="P4957" s="64" t="str">
        <f aca="false">IF(AND($H4957&lt;&gt;"",ROUND($O4957,2)&lt;&gt;0),"有","")</f>
        <v/>
      </c>
    </row>
    <row r="4958" customFormat="false" ht="15" hidden="true" customHeight="false" outlineLevel="0" collapsed="false">
      <c r="A4958" s="53" t="str">
        <f aca="false">IF($H4958="","",ROW()-5)</f>
        <v/>
      </c>
      <c r="B4958" s="64" t="s">
        <v>38</v>
      </c>
      <c r="C4958" s="53" t="n">
        <v>282</v>
      </c>
      <c r="D4958" s="53" t="n">
        <v>1</v>
      </c>
      <c r="E4958" s="65" t="str">
        <f aca="false">IF($H4958="","",生产加工!$B282)</f>
        <v/>
      </c>
      <c r="F4958" s="55" t="str">
        <f aca="false">IF($H4958="","",生产加工!$C282)</f>
        <v/>
      </c>
      <c r="G4958" s="48" t="str">
        <f aca="false">IF($H4958="","",生产加工!$N282)</f>
        <v/>
      </c>
      <c r="H4958" s="10" t="str">
        <f aca="false">IF($L4958="","",IF($L4958="@对方",生产加工!$K282,IF($L4958="@存货",生产加工!$Q282,$L4958)))</f>
        <v/>
      </c>
      <c r="I4958" s="42" t="n">
        <f aca="false">IF($M4958="借",$O4958,0)</f>
        <v>0</v>
      </c>
      <c r="J4958" s="42" t="n">
        <f aca="false">IF($M4958="贷",$O4958,0)</f>
        <v>0</v>
      </c>
      <c r="K4958" s="48"/>
      <c r="L4958" s="66" t="str">
        <f aca="false">IF(生产加工!$E282="","",IFERROR(INDEX(记账规则!$A$36:$H$38,MATCH(生产加工!$E282,记账规则!$A$36:$A$38,0),3),""))</f>
        <v/>
      </c>
      <c r="M4958" s="66" t="str">
        <f aca="false">IF($L4958="","",IFERROR(INDEX(记账规则!$A$36:$H$38,MATCH(生产加工!$E282,记账规则!$A$36:$A$38,0),4),""))</f>
        <v/>
      </c>
      <c r="N4958" s="66" t="str">
        <f aca="false">IF($L4958="","",IFERROR(INDEX(记账规则!$A$36:$H$38,MATCH(生产加工!$E282,记账规则!$A$36:$A$38,0),5),""))</f>
        <v/>
      </c>
      <c r="O4958" s="67" t="n">
        <f aca="false">IF($H4958="",0,ROUND(IF($N4958="记账金额",N(生产加工!$U282),0),2))</f>
        <v>0</v>
      </c>
      <c r="P4958" s="64" t="str">
        <f aca="false">IF(AND($H4958&lt;&gt;"",ROUND($O4958,2)&lt;&gt;0),"有","")</f>
        <v/>
      </c>
    </row>
    <row r="4959" customFormat="false" ht="15" hidden="true" customHeight="false" outlineLevel="0" collapsed="false">
      <c r="A4959" s="53" t="str">
        <f aca="false">IF($H4959="","",ROW()-5)</f>
        <v/>
      </c>
      <c r="B4959" s="64" t="s">
        <v>38</v>
      </c>
      <c r="C4959" s="53" t="n">
        <v>282</v>
      </c>
      <c r="D4959" s="53" t="n">
        <v>2</v>
      </c>
      <c r="E4959" s="65" t="str">
        <f aca="false">IF($H4959="","",生产加工!$B282)</f>
        <v/>
      </c>
      <c r="F4959" s="55" t="str">
        <f aca="false">IF($H4959="","",生产加工!$C282)</f>
        <v/>
      </c>
      <c r="G4959" s="48" t="str">
        <f aca="false">IF($H4959="","",生产加工!$N282)</f>
        <v/>
      </c>
      <c r="H4959" s="10" t="str">
        <f aca="false">IF($L4959="","",IF($L4959="@对方",生产加工!$K282,IF($L4959="@存货",生产加工!$Q282,$L4959)))</f>
        <v/>
      </c>
      <c r="I4959" s="42" t="n">
        <f aca="false">IF($M4959="借",$O4959,0)</f>
        <v>0</v>
      </c>
      <c r="J4959" s="42" t="n">
        <f aca="false">IF($M4959="贷",$O4959,0)</f>
        <v>0</v>
      </c>
      <c r="K4959" s="48"/>
      <c r="L4959" s="66" t="str">
        <f aca="false">IF(生产加工!$E282="","",IFERROR(INDEX(记账规则!$A$36:$H$38,MATCH(生产加工!$E282,记账规则!$A$36:$A$38,0),6),""))</f>
        <v/>
      </c>
      <c r="M4959" s="66" t="str">
        <f aca="false">IF($L4959="","",IFERROR(INDEX(记账规则!$A$36:$H$38,MATCH(生产加工!$E282,记账规则!$A$36:$A$38,0),7),""))</f>
        <v/>
      </c>
      <c r="N4959" s="66" t="str">
        <f aca="false">IF($L4959="","",IFERROR(INDEX(记账规则!$A$36:$H$38,MATCH(生产加工!$E282,记账规则!$A$36:$A$38,0),8),""))</f>
        <v/>
      </c>
      <c r="O4959" s="67" t="n">
        <f aca="false">IF($H4959="",0,ROUND(IF($N4959="记账金额",N(生产加工!$U282),0),2))</f>
        <v>0</v>
      </c>
      <c r="P4959" s="64" t="str">
        <f aca="false">IF(AND($H4959&lt;&gt;"",ROUND($O4959,2)&lt;&gt;0),"有","")</f>
        <v/>
      </c>
    </row>
    <row r="4960" customFormat="false" ht="15" hidden="true" customHeight="false" outlineLevel="0" collapsed="false">
      <c r="A4960" s="53" t="str">
        <f aca="false">IF($H4960="","",ROW()-5)</f>
        <v/>
      </c>
      <c r="B4960" s="64" t="s">
        <v>38</v>
      </c>
      <c r="C4960" s="53" t="n">
        <v>283</v>
      </c>
      <c r="D4960" s="53" t="n">
        <v>1</v>
      </c>
      <c r="E4960" s="65" t="str">
        <f aca="false">IF($H4960="","",生产加工!$B283)</f>
        <v/>
      </c>
      <c r="F4960" s="55" t="str">
        <f aca="false">IF($H4960="","",生产加工!$C283)</f>
        <v/>
      </c>
      <c r="G4960" s="48" t="str">
        <f aca="false">IF($H4960="","",生产加工!$N283)</f>
        <v/>
      </c>
      <c r="H4960" s="10" t="str">
        <f aca="false">IF($L4960="","",IF($L4960="@对方",生产加工!$K283,IF($L4960="@存货",生产加工!$Q283,$L4960)))</f>
        <v/>
      </c>
      <c r="I4960" s="42" t="n">
        <f aca="false">IF($M4960="借",$O4960,0)</f>
        <v>0</v>
      </c>
      <c r="J4960" s="42" t="n">
        <f aca="false">IF($M4960="贷",$O4960,0)</f>
        <v>0</v>
      </c>
      <c r="K4960" s="48"/>
      <c r="L4960" s="66" t="str">
        <f aca="false">IF(生产加工!$E283="","",IFERROR(INDEX(记账规则!$A$36:$H$38,MATCH(生产加工!$E283,记账规则!$A$36:$A$38,0),3),""))</f>
        <v/>
      </c>
      <c r="M4960" s="66" t="str">
        <f aca="false">IF($L4960="","",IFERROR(INDEX(记账规则!$A$36:$H$38,MATCH(生产加工!$E283,记账规则!$A$36:$A$38,0),4),""))</f>
        <v/>
      </c>
      <c r="N4960" s="66" t="str">
        <f aca="false">IF($L4960="","",IFERROR(INDEX(记账规则!$A$36:$H$38,MATCH(生产加工!$E283,记账规则!$A$36:$A$38,0),5),""))</f>
        <v/>
      </c>
      <c r="O4960" s="67" t="n">
        <f aca="false">IF($H4960="",0,ROUND(IF($N4960="记账金额",N(生产加工!$U283),0),2))</f>
        <v>0</v>
      </c>
      <c r="P4960" s="64" t="str">
        <f aca="false">IF(AND($H4960&lt;&gt;"",ROUND($O4960,2)&lt;&gt;0),"有","")</f>
        <v/>
      </c>
    </row>
    <row r="4961" customFormat="false" ht="15" hidden="true" customHeight="false" outlineLevel="0" collapsed="false">
      <c r="A4961" s="53" t="str">
        <f aca="false">IF($H4961="","",ROW()-5)</f>
        <v/>
      </c>
      <c r="B4961" s="64" t="s">
        <v>38</v>
      </c>
      <c r="C4961" s="53" t="n">
        <v>283</v>
      </c>
      <c r="D4961" s="53" t="n">
        <v>2</v>
      </c>
      <c r="E4961" s="65" t="str">
        <f aca="false">IF($H4961="","",生产加工!$B283)</f>
        <v/>
      </c>
      <c r="F4961" s="55" t="str">
        <f aca="false">IF($H4961="","",生产加工!$C283)</f>
        <v/>
      </c>
      <c r="G4961" s="48" t="str">
        <f aca="false">IF($H4961="","",生产加工!$N283)</f>
        <v/>
      </c>
      <c r="H4961" s="10" t="str">
        <f aca="false">IF($L4961="","",IF($L4961="@对方",生产加工!$K283,IF($L4961="@存货",生产加工!$Q283,$L4961)))</f>
        <v/>
      </c>
      <c r="I4961" s="42" t="n">
        <f aca="false">IF($M4961="借",$O4961,0)</f>
        <v>0</v>
      </c>
      <c r="J4961" s="42" t="n">
        <f aca="false">IF($M4961="贷",$O4961,0)</f>
        <v>0</v>
      </c>
      <c r="K4961" s="48"/>
      <c r="L4961" s="66" t="str">
        <f aca="false">IF(生产加工!$E283="","",IFERROR(INDEX(记账规则!$A$36:$H$38,MATCH(生产加工!$E283,记账规则!$A$36:$A$38,0),6),""))</f>
        <v/>
      </c>
      <c r="M4961" s="66" t="str">
        <f aca="false">IF($L4961="","",IFERROR(INDEX(记账规则!$A$36:$H$38,MATCH(生产加工!$E283,记账规则!$A$36:$A$38,0),7),""))</f>
        <v/>
      </c>
      <c r="N4961" s="66" t="str">
        <f aca="false">IF($L4961="","",IFERROR(INDEX(记账规则!$A$36:$H$38,MATCH(生产加工!$E283,记账规则!$A$36:$A$38,0),8),""))</f>
        <v/>
      </c>
      <c r="O4961" s="67" t="n">
        <f aca="false">IF($H4961="",0,ROUND(IF($N4961="记账金额",N(生产加工!$U283),0),2))</f>
        <v>0</v>
      </c>
      <c r="P4961" s="64" t="str">
        <f aca="false">IF(AND($H4961&lt;&gt;"",ROUND($O4961,2)&lt;&gt;0),"有","")</f>
        <v/>
      </c>
    </row>
    <row r="4962" customFormat="false" ht="15" hidden="true" customHeight="false" outlineLevel="0" collapsed="false">
      <c r="A4962" s="53" t="str">
        <f aca="false">IF($H4962="","",ROW()-5)</f>
        <v/>
      </c>
      <c r="B4962" s="64" t="s">
        <v>38</v>
      </c>
      <c r="C4962" s="53" t="n">
        <v>284</v>
      </c>
      <c r="D4962" s="53" t="n">
        <v>1</v>
      </c>
      <c r="E4962" s="65" t="str">
        <f aca="false">IF($H4962="","",生产加工!$B284)</f>
        <v/>
      </c>
      <c r="F4962" s="55" t="str">
        <f aca="false">IF($H4962="","",生产加工!$C284)</f>
        <v/>
      </c>
      <c r="G4962" s="48" t="str">
        <f aca="false">IF($H4962="","",生产加工!$N284)</f>
        <v/>
      </c>
      <c r="H4962" s="10" t="str">
        <f aca="false">IF($L4962="","",IF($L4962="@对方",生产加工!$K284,IF($L4962="@存货",生产加工!$Q284,$L4962)))</f>
        <v/>
      </c>
      <c r="I4962" s="42" t="n">
        <f aca="false">IF($M4962="借",$O4962,0)</f>
        <v>0</v>
      </c>
      <c r="J4962" s="42" t="n">
        <f aca="false">IF($M4962="贷",$O4962,0)</f>
        <v>0</v>
      </c>
      <c r="K4962" s="48"/>
      <c r="L4962" s="66" t="str">
        <f aca="false">IF(生产加工!$E284="","",IFERROR(INDEX(记账规则!$A$36:$H$38,MATCH(生产加工!$E284,记账规则!$A$36:$A$38,0),3),""))</f>
        <v/>
      </c>
      <c r="M4962" s="66" t="str">
        <f aca="false">IF($L4962="","",IFERROR(INDEX(记账规则!$A$36:$H$38,MATCH(生产加工!$E284,记账规则!$A$36:$A$38,0),4),""))</f>
        <v/>
      </c>
      <c r="N4962" s="66" t="str">
        <f aca="false">IF($L4962="","",IFERROR(INDEX(记账规则!$A$36:$H$38,MATCH(生产加工!$E284,记账规则!$A$36:$A$38,0),5),""))</f>
        <v/>
      </c>
      <c r="O4962" s="67" t="n">
        <f aca="false">IF($H4962="",0,ROUND(IF($N4962="记账金额",N(生产加工!$U284),0),2))</f>
        <v>0</v>
      </c>
      <c r="P4962" s="64" t="str">
        <f aca="false">IF(AND($H4962&lt;&gt;"",ROUND($O4962,2)&lt;&gt;0),"有","")</f>
        <v/>
      </c>
    </row>
    <row r="4963" customFormat="false" ht="15" hidden="true" customHeight="false" outlineLevel="0" collapsed="false">
      <c r="A4963" s="53" t="str">
        <f aca="false">IF($H4963="","",ROW()-5)</f>
        <v/>
      </c>
      <c r="B4963" s="64" t="s">
        <v>38</v>
      </c>
      <c r="C4963" s="53" t="n">
        <v>284</v>
      </c>
      <c r="D4963" s="53" t="n">
        <v>2</v>
      </c>
      <c r="E4963" s="65" t="str">
        <f aca="false">IF($H4963="","",生产加工!$B284)</f>
        <v/>
      </c>
      <c r="F4963" s="55" t="str">
        <f aca="false">IF($H4963="","",生产加工!$C284)</f>
        <v/>
      </c>
      <c r="G4963" s="48" t="str">
        <f aca="false">IF($H4963="","",生产加工!$N284)</f>
        <v/>
      </c>
      <c r="H4963" s="10" t="str">
        <f aca="false">IF($L4963="","",IF($L4963="@对方",生产加工!$K284,IF($L4963="@存货",生产加工!$Q284,$L4963)))</f>
        <v/>
      </c>
      <c r="I4963" s="42" t="n">
        <f aca="false">IF($M4963="借",$O4963,0)</f>
        <v>0</v>
      </c>
      <c r="J4963" s="42" t="n">
        <f aca="false">IF($M4963="贷",$O4963,0)</f>
        <v>0</v>
      </c>
      <c r="K4963" s="48"/>
      <c r="L4963" s="66" t="str">
        <f aca="false">IF(生产加工!$E284="","",IFERROR(INDEX(记账规则!$A$36:$H$38,MATCH(生产加工!$E284,记账规则!$A$36:$A$38,0),6),""))</f>
        <v/>
      </c>
      <c r="M4963" s="66" t="str">
        <f aca="false">IF($L4963="","",IFERROR(INDEX(记账规则!$A$36:$H$38,MATCH(生产加工!$E284,记账规则!$A$36:$A$38,0),7),""))</f>
        <v/>
      </c>
      <c r="N4963" s="66" t="str">
        <f aca="false">IF($L4963="","",IFERROR(INDEX(记账规则!$A$36:$H$38,MATCH(生产加工!$E284,记账规则!$A$36:$A$38,0),8),""))</f>
        <v/>
      </c>
      <c r="O4963" s="67" t="n">
        <f aca="false">IF($H4963="",0,ROUND(IF($N4963="记账金额",N(生产加工!$U284),0),2))</f>
        <v>0</v>
      </c>
      <c r="P4963" s="64" t="str">
        <f aca="false">IF(AND($H4963&lt;&gt;"",ROUND($O4963,2)&lt;&gt;0),"有","")</f>
        <v/>
      </c>
    </row>
    <row r="4964" customFormat="false" ht="15" hidden="true" customHeight="false" outlineLevel="0" collapsed="false">
      <c r="A4964" s="53" t="str">
        <f aca="false">IF($H4964="","",ROW()-5)</f>
        <v/>
      </c>
      <c r="B4964" s="64" t="s">
        <v>38</v>
      </c>
      <c r="C4964" s="53" t="n">
        <v>285</v>
      </c>
      <c r="D4964" s="53" t="n">
        <v>1</v>
      </c>
      <c r="E4964" s="65" t="str">
        <f aca="false">IF($H4964="","",生产加工!$B285)</f>
        <v/>
      </c>
      <c r="F4964" s="55" t="str">
        <f aca="false">IF($H4964="","",生产加工!$C285)</f>
        <v/>
      </c>
      <c r="G4964" s="48" t="str">
        <f aca="false">IF($H4964="","",生产加工!$N285)</f>
        <v/>
      </c>
      <c r="H4964" s="10" t="str">
        <f aca="false">IF($L4964="","",IF($L4964="@对方",生产加工!$K285,IF($L4964="@存货",生产加工!$Q285,$L4964)))</f>
        <v/>
      </c>
      <c r="I4964" s="42" t="n">
        <f aca="false">IF($M4964="借",$O4964,0)</f>
        <v>0</v>
      </c>
      <c r="J4964" s="42" t="n">
        <f aca="false">IF($M4964="贷",$O4964,0)</f>
        <v>0</v>
      </c>
      <c r="K4964" s="48"/>
      <c r="L4964" s="66" t="str">
        <f aca="false">IF(生产加工!$E285="","",IFERROR(INDEX(记账规则!$A$36:$H$38,MATCH(生产加工!$E285,记账规则!$A$36:$A$38,0),3),""))</f>
        <v/>
      </c>
      <c r="M4964" s="66" t="str">
        <f aca="false">IF($L4964="","",IFERROR(INDEX(记账规则!$A$36:$H$38,MATCH(生产加工!$E285,记账规则!$A$36:$A$38,0),4),""))</f>
        <v/>
      </c>
      <c r="N4964" s="66" t="str">
        <f aca="false">IF($L4964="","",IFERROR(INDEX(记账规则!$A$36:$H$38,MATCH(生产加工!$E285,记账规则!$A$36:$A$38,0),5),""))</f>
        <v/>
      </c>
      <c r="O4964" s="67" t="n">
        <f aca="false">IF($H4964="",0,ROUND(IF($N4964="记账金额",N(生产加工!$U285),0),2))</f>
        <v>0</v>
      </c>
      <c r="P4964" s="64" t="str">
        <f aca="false">IF(AND($H4964&lt;&gt;"",ROUND($O4964,2)&lt;&gt;0),"有","")</f>
        <v/>
      </c>
    </row>
    <row r="4965" customFormat="false" ht="15" hidden="true" customHeight="false" outlineLevel="0" collapsed="false">
      <c r="A4965" s="53" t="str">
        <f aca="false">IF($H4965="","",ROW()-5)</f>
        <v/>
      </c>
      <c r="B4965" s="64" t="s">
        <v>38</v>
      </c>
      <c r="C4965" s="53" t="n">
        <v>285</v>
      </c>
      <c r="D4965" s="53" t="n">
        <v>2</v>
      </c>
      <c r="E4965" s="65" t="str">
        <f aca="false">IF($H4965="","",生产加工!$B285)</f>
        <v/>
      </c>
      <c r="F4965" s="55" t="str">
        <f aca="false">IF($H4965="","",生产加工!$C285)</f>
        <v/>
      </c>
      <c r="G4965" s="48" t="str">
        <f aca="false">IF($H4965="","",生产加工!$N285)</f>
        <v/>
      </c>
      <c r="H4965" s="10" t="str">
        <f aca="false">IF($L4965="","",IF($L4965="@对方",生产加工!$K285,IF($L4965="@存货",生产加工!$Q285,$L4965)))</f>
        <v/>
      </c>
      <c r="I4965" s="42" t="n">
        <f aca="false">IF($M4965="借",$O4965,0)</f>
        <v>0</v>
      </c>
      <c r="J4965" s="42" t="n">
        <f aca="false">IF($M4965="贷",$O4965,0)</f>
        <v>0</v>
      </c>
      <c r="K4965" s="48"/>
      <c r="L4965" s="66" t="str">
        <f aca="false">IF(生产加工!$E285="","",IFERROR(INDEX(记账规则!$A$36:$H$38,MATCH(生产加工!$E285,记账规则!$A$36:$A$38,0),6),""))</f>
        <v/>
      </c>
      <c r="M4965" s="66" t="str">
        <f aca="false">IF($L4965="","",IFERROR(INDEX(记账规则!$A$36:$H$38,MATCH(生产加工!$E285,记账规则!$A$36:$A$38,0),7),""))</f>
        <v/>
      </c>
      <c r="N4965" s="66" t="str">
        <f aca="false">IF($L4965="","",IFERROR(INDEX(记账规则!$A$36:$H$38,MATCH(生产加工!$E285,记账规则!$A$36:$A$38,0),8),""))</f>
        <v/>
      </c>
      <c r="O4965" s="67" t="n">
        <f aca="false">IF($H4965="",0,ROUND(IF($N4965="记账金额",N(生产加工!$U285),0),2))</f>
        <v>0</v>
      </c>
      <c r="P4965" s="64" t="str">
        <f aca="false">IF(AND($H4965&lt;&gt;"",ROUND($O4965,2)&lt;&gt;0),"有","")</f>
        <v/>
      </c>
    </row>
    <row r="4966" customFormat="false" ht="15" hidden="true" customHeight="false" outlineLevel="0" collapsed="false">
      <c r="A4966" s="53" t="str">
        <f aca="false">IF($H4966="","",ROW()-5)</f>
        <v/>
      </c>
      <c r="B4966" s="64" t="s">
        <v>38</v>
      </c>
      <c r="C4966" s="53" t="n">
        <v>286</v>
      </c>
      <c r="D4966" s="53" t="n">
        <v>1</v>
      </c>
      <c r="E4966" s="65" t="str">
        <f aca="false">IF($H4966="","",生产加工!$B286)</f>
        <v/>
      </c>
      <c r="F4966" s="55" t="str">
        <f aca="false">IF($H4966="","",生产加工!$C286)</f>
        <v/>
      </c>
      <c r="G4966" s="48" t="str">
        <f aca="false">IF($H4966="","",生产加工!$N286)</f>
        <v/>
      </c>
      <c r="H4966" s="10" t="str">
        <f aca="false">IF($L4966="","",IF($L4966="@对方",生产加工!$K286,IF($L4966="@存货",生产加工!$Q286,$L4966)))</f>
        <v/>
      </c>
      <c r="I4966" s="42" t="n">
        <f aca="false">IF($M4966="借",$O4966,0)</f>
        <v>0</v>
      </c>
      <c r="J4966" s="42" t="n">
        <f aca="false">IF($M4966="贷",$O4966,0)</f>
        <v>0</v>
      </c>
      <c r="K4966" s="48"/>
      <c r="L4966" s="66" t="str">
        <f aca="false">IF(生产加工!$E286="","",IFERROR(INDEX(记账规则!$A$36:$H$38,MATCH(生产加工!$E286,记账规则!$A$36:$A$38,0),3),""))</f>
        <v/>
      </c>
      <c r="M4966" s="66" t="str">
        <f aca="false">IF($L4966="","",IFERROR(INDEX(记账规则!$A$36:$H$38,MATCH(生产加工!$E286,记账规则!$A$36:$A$38,0),4),""))</f>
        <v/>
      </c>
      <c r="N4966" s="66" t="str">
        <f aca="false">IF($L4966="","",IFERROR(INDEX(记账规则!$A$36:$H$38,MATCH(生产加工!$E286,记账规则!$A$36:$A$38,0),5),""))</f>
        <v/>
      </c>
      <c r="O4966" s="67" t="n">
        <f aca="false">IF($H4966="",0,ROUND(IF($N4966="记账金额",N(生产加工!$U286),0),2))</f>
        <v>0</v>
      </c>
      <c r="P4966" s="64" t="str">
        <f aca="false">IF(AND($H4966&lt;&gt;"",ROUND($O4966,2)&lt;&gt;0),"有","")</f>
        <v/>
      </c>
    </row>
    <row r="4967" customFormat="false" ht="15" hidden="true" customHeight="false" outlineLevel="0" collapsed="false">
      <c r="A4967" s="53" t="str">
        <f aca="false">IF($H4967="","",ROW()-5)</f>
        <v/>
      </c>
      <c r="B4967" s="64" t="s">
        <v>38</v>
      </c>
      <c r="C4967" s="53" t="n">
        <v>286</v>
      </c>
      <c r="D4967" s="53" t="n">
        <v>2</v>
      </c>
      <c r="E4967" s="65" t="str">
        <f aca="false">IF($H4967="","",生产加工!$B286)</f>
        <v/>
      </c>
      <c r="F4967" s="55" t="str">
        <f aca="false">IF($H4967="","",生产加工!$C286)</f>
        <v/>
      </c>
      <c r="G4967" s="48" t="str">
        <f aca="false">IF($H4967="","",生产加工!$N286)</f>
        <v/>
      </c>
      <c r="H4967" s="10" t="str">
        <f aca="false">IF($L4967="","",IF($L4967="@对方",生产加工!$K286,IF($L4967="@存货",生产加工!$Q286,$L4967)))</f>
        <v/>
      </c>
      <c r="I4967" s="42" t="n">
        <f aca="false">IF($M4967="借",$O4967,0)</f>
        <v>0</v>
      </c>
      <c r="J4967" s="42" t="n">
        <f aca="false">IF($M4967="贷",$O4967,0)</f>
        <v>0</v>
      </c>
      <c r="K4967" s="48"/>
      <c r="L4967" s="66" t="str">
        <f aca="false">IF(生产加工!$E286="","",IFERROR(INDEX(记账规则!$A$36:$H$38,MATCH(生产加工!$E286,记账规则!$A$36:$A$38,0),6),""))</f>
        <v/>
      </c>
      <c r="M4967" s="66" t="str">
        <f aca="false">IF($L4967="","",IFERROR(INDEX(记账规则!$A$36:$H$38,MATCH(生产加工!$E286,记账规则!$A$36:$A$38,0),7),""))</f>
        <v/>
      </c>
      <c r="N4967" s="66" t="str">
        <f aca="false">IF($L4967="","",IFERROR(INDEX(记账规则!$A$36:$H$38,MATCH(生产加工!$E286,记账规则!$A$36:$A$38,0),8),""))</f>
        <v/>
      </c>
      <c r="O4967" s="67" t="n">
        <f aca="false">IF($H4967="",0,ROUND(IF($N4967="记账金额",N(生产加工!$U286),0),2))</f>
        <v>0</v>
      </c>
      <c r="P4967" s="64" t="str">
        <f aca="false">IF(AND($H4967&lt;&gt;"",ROUND($O4967,2)&lt;&gt;0),"有","")</f>
        <v/>
      </c>
    </row>
    <row r="4968" customFormat="false" ht="15" hidden="true" customHeight="false" outlineLevel="0" collapsed="false">
      <c r="A4968" s="53" t="str">
        <f aca="false">IF($H4968="","",ROW()-5)</f>
        <v/>
      </c>
      <c r="B4968" s="64" t="s">
        <v>38</v>
      </c>
      <c r="C4968" s="53" t="n">
        <v>287</v>
      </c>
      <c r="D4968" s="53" t="n">
        <v>1</v>
      </c>
      <c r="E4968" s="65" t="str">
        <f aca="false">IF($H4968="","",生产加工!$B287)</f>
        <v/>
      </c>
      <c r="F4968" s="55" t="str">
        <f aca="false">IF($H4968="","",生产加工!$C287)</f>
        <v/>
      </c>
      <c r="G4968" s="48" t="str">
        <f aca="false">IF($H4968="","",生产加工!$N287)</f>
        <v/>
      </c>
      <c r="H4968" s="10" t="str">
        <f aca="false">IF($L4968="","",IF($L4968="@对方",生产加工!$K287,IF($L4968="@存货",生产加工!$Q287,$L4968)))</f>
        <v/>
      </c>
      <c r="I4968" s="42" t="n">
        <f aca="false">IF($M4968="借",$O4968,0)</f>
        <v>0</v>
      </c>
      <c r="J4968" s="42" t="n">
        <f aca="false">IF($M4968="贷",$O4968,0)</f>
        <v>0</v>
      </c>
      <c r="K4968" s="48"/>
      <c r="L4968" s="66" t="str">
        <f aca="false">IF(生产加工!$E287="","",IFERROR(INDEX(记账规则!$A$36:$H$38,MATCH(生产加工!$E287,记账规则!$A$36:$A$38,0),3),""))</f>
        <v/>
      </c>
      <c r="M4968" s="66" t="str">
        <f aca="false">IF($L4968="","",IFERROR(INDEX(记账规则!$A$36:$H$38,MATCH(生产加工!$E287,记账规则!$A$36:$A$38,0),4),""))</f>
        <v/>
      </c>
      <c r="N4968" s="66" t="str">
        <f aca="false">IF($L4968="","",IFERROR(INDEX(记账规则!$A$36:$H$38,MATCH(生产加工!$E287,记账规则!$A$36:$A$38,0),5),""))</f>
        <v/>
      </c>
      <c r="O4968" s="67" t="n">
        <f aca="false">IF($H4968="",0,ROUND(IF($N4968="记账金额",N(生产加工!$U287),0),2))</f>
        <v>0</v>
      </c>
      <c r="P4968" s="64" t="str">
        <f aca="false">IF(AND($H4968&lt;&gt;"",ROUND($O4968,2)&lt;&gt;0),"有","")</f>
        <v/>
      </c>
    </row>
    <row r="4969" customFormat="false" ht="15" hidden="true" customHeight="false" outlineLevel="0" collapsed="false">
      <c r="A4969" s="53" t="str">
        <f aca="false">IF($H4969="","",ROW()-5)</f>
        <v/>
      </c>
      <c r="B4969" s="64" t="s">
        <v>38</v>
      </c>
      <c r="C4969" s="53" t="n">
        <v>287</v>
      </c>
      <c r="D4969" s="53" t="n">
        <v>2</v>
      </c>
      <c r="E4969" s="65" t="str">
        <f aca="false">IF($H4969="","",生产加工!$B287)</f>
        <v/>
      </c>
      <c r="F4969" s="55" t="str">
        <f aca="false">IF($H4969="","",生产加工!$C287)</f>
        <v/>
      </c>
      <c r="G4969" s="48" t="str">
        <f aca="false">IF($H4969="","",生产加工!$N287)</f>
        <v/>
      </c>
      <c r="H4969" s="10" t="str">
        <f aca="false">IF($L4969="","",IF($L4969="@对方",生产加工!$K287,IF($L4969="@存货",生产加工!$Q287,$L4969)))</f>
        <v/>
      </c>
      <c r="I4969" s="42" t="n">
        <f aca="false">IF($M4969="借",$O4969,0)</f>
        <v>0</v>
      </c>
      <c r="J4969" s="42" t="n">
        <f aca="false">IF($M4969="贷",$O4969,0)</f>
        <v>0</v>
      </c>
      <c r="K4969" s="48"/>
      <c r="L4969" s="66" t="str">
        <f aca="false">IF(生产加工!$E287="","",IFERROR(INDEX(记账规则!$A$36:$H$38,MATCH(生产加工!$E287,记账规则!$A$36:$A$38,0),6),""))</f>
        <v/>
      </c>
      <c r="M4969" s="66" t="str">
        <f aca="false">IF($L4969="","",IFERROR(INDEX(记账规则!$A$36:$H$38,MATCH(生产加工!$E287,记账规则!$A$36:$A$38,0),7),""))</f>
        <v/>
      </c>
      <c r="N4969" s="66" t="str">
        <f aca="false">IF($L4969="","",IFERROR(INDEX(记账规则!$A$36:$H$38,MATCH(生产加工!$E287,记账规则!$A$36:$A$38,0),8),""))</f>
        <v/>
      </c>
      <c r="O4969" s="67" t="n">
        <f aca="false">IF($H4969="",0,ROUND(IF($N4969="记账金额",N(生产加工!$U287),0),2))</f>
        <v>0</v>
      </c>
      <c r="P4969" s="64" t="str">
        <f aca="false">IF(AND($H4969&lt;&gt;"",ROUND($O4969,2)&lt;&gt;0),"有","")</f>
        <v/>
      </c>
    </row>
    <row r="4970" customFormat="false" ht="15" hidden="true" customHeight="false" outlineLevel="0" collapsed="false">
      <c r="A4970" s="53" t="str">
        <f aca="false">IF($H4970="","",ROW()-5)</f>
        <v/>
      </c>
      <c r="B4970" s="64" t="s">
        <v>38</v>
      </c>
      <c r="C4970" s="53" t="n">
        <v>288</v>
      </c>
      <c r="D4970" s="53" t="n">
        <v>1</v>
      </c>
      <c r="E4970" s="65" t="str">
        <f aca="false">IF($H4970="","",生产加工!$B288)</f>
        <v/>
      </c>
      <c r="F4970" s="55" t="str">
        <f aca="false">IF($H4970="","",生产加工!$C288)</f>
        <v/>
      </c>
      <c r="G4970" s="48" t="str">
        <f aca="false">IF($H4970="","",生产加工!$N288)</f>
        <v/>
      </c>
      <c r="H4970" s="10" t="str">
        <f aca="false">IF($L4970="","",IF($L4970="@对方",生产加工!$K288,IF($L4970="@存货",生产加工!$Q288,$L4970)))</f>
        <v/>
      </c>
      <c r="I4970" s="42" t="n">
        <f aca="false">IF($M4970="借",$O4970,0)</f>
        <v>0</v>
      </c>
      <c r="J4970" s="42" t="n">
        <f aca="false">IF($M4970="贷",$O4970,0)</f>
        <v>0</v>
      </c>
      <c r="K4970" s="48"/>
      <c r="L4970" s="66" t="str">
        <f aca="false">IF(生产加工!$E288="","",IFERROR(INDEX(记账规则!$A$36:$H$38,MATCH(生产加工!$E288,记账规则!$A$36:$A$38,0),3),""))</f>
        <v/>
      </c>
      <c r="M4970" s="66" t="str">
        <f aca="false">IF($L4970="","",IFERROR(INDEX(记账规则!$A$36:$H$38,MATCH(生产加工!$E288,记账规则!$A$36:$A$38,0),4),""))</f>
        <v/>
      </c>
      <c r="N4970" s="66" t="str">
        <f aca="false">IF($L4970="","",IFERROR(INDEX(记账规则!$A$36:$H$38,MATCH(生产加工!$E288,记账规则!$A$36:$A$38,0),5),""))</f>
        <v/>
      </c>
      <c r="O4970" s="67" t="n">
        <f aca="false">IF($H4970="",0,ROUND(IF($N4970="记账金额",N(生产加工!$U288),0),2))</f>
        <v>0</v>
      </c>
      <c r="P4970" s="64" t="str">
        <f aca="false">IF(AND($H4970&lt;&gt;"",ROUND($O4970,2)&lt;&gt;0),"有","")</f>
        <v/>
      </c>
    </row>
    <row r="4971" customFormat="false" ht="15" hidden="true" customHeight="false" outlineLevel="0" collapsed="false">
      <c r="A4971" s="53" t="str">
        <f aca="false">IF($H4971="","",ROW()-5)</f>
        <v/>
      </c>
      <c r="B4971" s="64" t="s">
        <v>38</v>
      </c>
      <c r="C4971" s="53" t="n">
        <v>288</v>
      </c>
      <c r="D4971" s="53" t="n">
        <v>2</v>
      </c>
      <c r="E4971" s="65" t="str">
        <f aca="false">IF($H4971="","",生产加工!$B288)</f>
        <v/>
      </c>
      <c r="F4971" s="55" t="str">
        <f aca="false">IF($H4971="","",生产加工!$C288)</f>
        <v/>
      </c>
      <c r="G4971" s="48" t="str">
        <f aca="false">IF($H4971="","",生产加工!$N288)</f>
        <v/>
      </c>
      <c r="H4971" s="10" t="str">
        <f aca="false">IF($L4971="","",IF($L4971="@对方",生产加工!$K288,IF($L4971="@存货",生产加工!$Q288,$L4971)))</f>
        <v/>
      </c>
      <c r="I4971" s="42" t="n">
        <f aca="false">IF($M4971="借",$O4971,0)</f>
        <v>0</v>
      </c>
      <c r="J4971" s="42" t="n">
        <f aca="false">IF($M4971="贷",$O4971,0)</f>
        <v>0</v>
      </c>
      <c r="K4971" s="48"/>
      <c r="L4971" s="66" t="str">
        <f aca="false">IF(生产加工!$E288="","",IFERROR(INDEX(记账规则!$A$36:$H$38,MATCH(生产加工!$E288,记账规则!$A$36:$A$38,0),6),""))</f>
        <v/>
      </c>
      <c r="M4971" s="66" t="str">
        <f aca="false">IF($L4971="","",IFERROR(INDEX(记账规则!$A$36:$H$38,MATCH(生产加工!$E288,记账规则!$A$36:$A$38,0),7),""))</f>
        <v/>
      </c>
      <c r="N4971" s="66" t="str">
        <f aca="false">IF($L4971="","",IFERROR(INDEX(记账规则!$A$36:$H$38,MATCH(生产加工!$E288,记账规则!$A$36:$A$38,0),8),""))</f>
        <v/>
      </c>
      <c r="O4971" s="67" t="n">
        <f aca="false">IF($H4971="",0,ROUND(IF($N4971="记账金额",N(生产加工!$U288),0),2))</f>
        <v>0</v>
      </c>
      <c r="P4971" s="64" t="str">
        <f aca="false">IF(AND($H4971&lt;&gt;"",ROUND($O4971,2)&lt;&gt;0),"有","")</f>
        <v/>
      </c>
    </row>
    <row r="4972" customFormat="false" ht="15" hidden="true" customHeight="false" outlineLevel="0" collapsed="false">
      <c r="A4972" s="53" t="str">
        <f aca="false">IF($H4972="","",ROW()-5)</f>
        <v/>
      </c>
      <c r="B4972" s="64" t="s">
        <v>38</v>
      </c>
      <c r="C4972" s="53" t="n">
        <v>289</v>
      </c>
      <c r="D4972" s="53" t="n">
        <v>1</v>
      </c>
      <c r="E4972" s="65" t="str">
        <f aca="false">IF($H4972="","",生产加工!$B289)</f>
        <v/>
      </c>
      <c r="F4972" s="55" t="str">
        <f aca="false">IF($H4972="","",生产加工!$C289)</f>
        <v/>
      </c>
      <c r="G4972" s="48" t="str">
        <f aca="false">IF($H4972="","",生产加工!$N289)</f>
        <v/>
      </c>
      <c r="H4972" s="10" t="str">
        <f aca="false">IF($L4972="","",IF($L4972="@对方",生产加工!$K289,IF($L4972="@存货",生产加工!$Q289,$L4972)))</f>
        <v/>
      </c>
      <c r="I4972" s="42" t="n">
        <f aca="false">IF($M4972="借",$O4972,0)</f>
        <v>0</v>
      </c>
      <c r="J4972" s="42" t="n">
        <f aca="false">IF($M4972="贷",$O4972,0)</f>
        <v>0</v>
      </c>
      <c r="K4972" s="48"/>
      <c r="L4972" s="66" t="str">
        <f aca="false">IF(生产加工!$E289="","",IFERROR(INDEX(记账规则!$A$36:$H$38,MATCH(生产加工!$E289,记账规则!$A$36:$A$38,0),3),""))</f>
        <v/>
      </c>
      <c r="M4972" s="66" t="str">
        <f aca="false">IF($L4972="","",IFERROR(INDEX(记账规则!$A$36:$H$38,MATCH(生产加工!$E289,记账规则!$A$36:$A$38,0),4),""))</f>
        <v/>
      </c>
      <c r="N4972" s="66" t="str">
        <f aca="false">IF($L4972="","",IFERROR(INDEX(记账规则!$A$36:$H$38,MATCH(生产加工!$E289,记账规则!$A$36:$A$38,0),5),""))</f>
        <v/>
      </c>
      <c r="O4972" s="67" t="n">
        <f aca="false">IF($H4972="",0,ROUND(IF($N4972="记账金额",N(生产加工!$U289),0),2))</f>
        <v>0</v>
      </c>
      <c r="P4972" s="64" t="str">
        <f aca="false">IF(AND($H4972&lt;&gt;"",ROUND($O4972,2)&lt;&gt;0),"有","")</f>
        <v/>
      </c>
    </row>
    <row r="4973" customFormat="false" ht="15" hidden="true" customHeight="false" outlineLevel="0" collapsed="false">
      <c r="A4973" s="53" t="str">
        <f aca="false">IF($H4973="","",ROW()-5)</f>
        <v/>
      </c>
      <c r="B4973" s="64" t="s">
        <v>38</v>
      </c>
      <c r="C4973" s="53" t="n">
        <v>289</v>
      </c>
      <c r="D4973" s="53" t="n">
        <v>2</v>
      </c>
      <c r="E4973" s="65" t="str">
        <f aca="false">IF($H4973="","",生产加工!$B289)</f>
        <v/>
      </c>
      <c r="F4973" s="55" t="str">
        <f aca="false">IF($H4973="","",生产加工!$C289)</f>
        <v/>
      </c>
      <c r="G4973" s="48" t="str">
        <f aca="false">IF($H4973="","",生产加工!$N289)</f>
        <v/>
      </c>
      <c r="H4973" s="10" t="str">
        <f aca="false">IF($L4973="","",IF($L4973="@对方",生产加工!$K289,IF($L4973="@存货",生产加工!$Q289,$L4973)))</f>
        <v/>
      </c>
      <c r="I4973" s="42" t="n">
        <f aca="false">IF($M4973="借",$O4973,0)</f>
        <v>0</v>
      </c>
      <c r="J4973" s="42" t="n">
        <f aca="false">IF($M4973="贷",$O4973,0)</f>
        <v>0</v>
      </c>
      <c r="K4973" s="48"/>
      <c r="L4973" s="66" t="str">
        <f aca="false">IF(生产加工!$E289="","",IFERROR(INDEX(记账规则!$A$36:$H$38,MATCH(生产加工!$E289,记账规则!$A$36:$A$38,0),6),""))</f>
        <v/>
      </c>
      <c r="M4973" s="66" t="str">
        <f aca="false">IF($L4973="","",IFERROR(INDEX(记账规则!$A$36:$H$38,MATCH(生产加工!$E289,记账规则!$A$36:$A$38,0),7),""))</f>
        <v/>
      </c>
      <c r="N4973" s="66" t="str">
        <f aca="false">IF($L4973="","",IFERROR(INDEX(记账规则!$A$36:$H$38,MATCH(生产加工!$E289,记账规则!$A$36:$A$38,0),8),""))</f>
        <v/>
      </c>
      <c r="O4973" s="67" t="n">
        <f aca="false">IF($H4973="",0,ROUND(IF($N4973="记账金额",N(生产加工!$U289),0),2))</f>
        <v>0</v>
      </c>
      <c r="P4973" s="64" t="str">
        <f aca="false">IF(AND($H4973&lt;&gt;"",ROUND($O4973,2)&lt;&gt;0),"有","")</f>
        <v/>
      </c>
    </row>
    <row r="4974" customFormat="false" ht="15" hidden="true" customHeight="false" outlineLevel="0" collapsed="false">
      <c r="A4974" s="53" t="str">
        <f aca="false">IF($H4974="","",ROW()-5)</f>
        <v/>
      </c>
      <c r="B4974" s="64" t="s">
        <v>38</v>
      </c>
      <c r="C4974" s="53" t="n">
        <v>290</v>
      </c>
      <c r="D4974" s="53" t="n">
        <v>1</v>
      </c>
      <c r="E4974" s="65" t="str">
        <f aca="false">IF($H4974="","",生产加工!$B290)</f>
        <v/>
      </c>
      <c r="F4974" s="55" t="str">
        <f aca="false">IF($H4974="","",生产加工!$C290)</f>
        <v/>
      </c>
      <c r="G4974" s="48" t="str">
        <f aca="false">IF($H4974="","",生产加工!$N290)</f>
        <v/>
      </c>
      <c r="H4974" s="10" t="str">
        <f aca="false">IF($L4974="","",IF($L4974="@对方",生产加工!$K290,IF($L4974="@存货",生产加工!$Q290,$L4974)))</f>
        <v/>
      </c>
      <c r="I4974" s="42" t="n">
        <f aca="false">IF($M4974="借",$O4974,0)</f>
        <v>0</v>
      </c>
      <c r="J4974" s="42" t="n">
        <f aca="false">IF($M4974="贷",$O4974,0)</f>
        <v>0</v>
      </c>
      <c r="K4974" s="48"/>
      <c r="L4974" s="66" t="str">
        <f aca="false">IF(生产加工!$E290="","",IFERROR(INDEX(记账规则!$A$36:$H$38,MATCH(生产加工!$E290,记账规则!$A$36:$A$38,0),3),""))</f>
        <v/>
      </c>
      <c r="M4974" s="66" t="str">
        <f aca="false">IF($L4974="","",IFERROR(INDEX(记账规则!$A$36:$H$38,MATCH(生产加工!$E290,记账规则!$A$36:$A$38,0),4),""))</f>
        <v/>
      </c>
      <c r="N4974" s="66" t="str">
        <f aca="false">IF($L4974="","",IFERROR(INDEX(记账规则!$A$36:$H$38,MATCH(生产加工!$E290,记账规则!$A$36:$A$38,0),5),""))</f>
        <v/>
      </c>
      <c r="O4974" s="67" t="n">
        <f aca="false">IF($H4974="",0,ROUND(IF($N4974="记账金额",N(生产加工!$U290),0),2))</f>
        <v>0</v>
      </c>
      <c r="P4974" s="64" t="str">
        <f aca="false">IF(AND($H4974&lt;&gt;"",ROUND($O4974,2)&lt;&gt;0),"有","")</f>
        <v/>
      </c>
    </row>
    <row r="4975" customFormat="false" ht="15" hidden="true" customHeight="false" outlineLevel="0" collapsed="false">
      <c r="A4975" s="53" t="str">
        <f aca="false">IF($H4975="","",ROW()-5)</f>
        <v/>
      </c>
      <c r="B4975" s="64" t="s">
        <v>38</v>
      </c>
      <c r="C4975" s="53" t="n">
        <v>290</v>
      </c>
      <c r="D4975" s="53" t="n">
        <v>2</v>
      </c>
      <c r="E4975" s="65" t="str">
        <f aca="false">IF($H4975="","",生产加工!$B290)</f>
        <v/>
      </c>
      <c r="F4975" s="55" t="str">
        <f aca="false">IF($H4975="","",生产加工!$C290)</f>
        <v/>
      </c>
      <c r="G4975" s="48" t="str">
        <f aca="false">IF($H4975="","",生产加工!$N290)</f>
        <v/>
      </c>
      <c r="H4975" s="10" t="str">
        <f aca="false">IF($L4975="","",IF($L4975="@对方",生产加工!$K290,IF($L4975="@存货",生产加工!$Q290,$L4975)))</f>
        <v/>
      </c>
      <c r="I4975" s="42" t="n">
        <f aca="false">IF($M4975="借",$O4975,0)</f>
        <v>0</v>
      </c>
      <c r="J4975" s="42" t="n">
        <f aca="false">IF($M4975="贷",$O4975,0)</f>
        <v>0</v>
      </c>
      <c r="K4975" s="48"/>
      <c r="L4975" s="66" t="str">
        <f aca="false">IF(生产加工!$E290="","",IFERROR(INDEX(记账规则!$A$36:$H$38,MATCH(生产加工!$E290,记账规则!$A$36:$A$38,0),6),""))</f>
        <v/>
      </c>
      <c r="M4975" s="66" t="str">
        <f aca="false">IF($L4975="","",IFERROR(INDEX(记账规则!$A$36:$H$38,MATCH(生产加工!$E290,记账规则!$A$36:$A$38,0),7),""))</f>
        <v/>
      </c>
      <c r="N4975" s="66" t="str">
        <f aca="false">IF($L4975="","",IFERROR(INDEX(记账规则!$A$36:$H$38,MATCH(生产加工!$E290,记账规则!$A$36:$A$38,0),8),""))</f>
        <v/>
      </c>
      <c r="O4975" s="67" t="n">
        <f aca="false">IF($H4975="",0,ROUND(IF($N4975="记账金额",N(生产加工!$U290),0),2))</f>
        <v>0</v>
      </c>
      <c r="P4975" s="64" t="str">
        <f aca="false">IF(AND($H4975&lt;&gt;"",ROUND($O4975,2)&lt;&gt;0),"有","")</f>
        <v/>
      </c>
    </row>
    <row r="4976" customFormat="false" ht="15" hidden="true" customHeight="false" outlineLevel="0" collapsed="false">
      <c r="A4976" s="53" t="str">
        <f aca="false">IF($H4976="","",ROW()-5)</f>
        <v/>
      </c>
      <c r="B4976" s="64" t="s">
        <v>38</v>
      </c>
      <c r="C4976" s="53" t="n">
        <v>291</v>
      </c>
      <c r="D4976" s="53" t="n">
        <v>1</v>
      </c>
      <c r="E4976" s="65" t="str">
        <f aca="false">IF($H4976="","",生产加工!$B291)</f>
        <v/>
      </c>
      <c r="F4976" s="55" t="str">
        <f aca="false">IF($H4976="","",生产加工!$C291)</f>
        <v/>
      </c>
      <c r="G4976" s="48" t="str">
        <f aca="false">IF($H4976="","",生产加工!$N291)</f>
        <v/>
      </c>
      <c r="H4976" s="10" t="str">
        <f aca="false">IF($L4976="","",IF($L4976="@对方",生产加工!$K291,IF($L4976="@存货",生产加工!$Q291,$L4976)))</f>
        <v/>
      </c>
      <c r="I4976" s="42" t="n">
        <f aca="false">IF($M4976="借",$O4976,0)</f>
        <v>0</v>
      </c>
      <c r="J4976" s="42" t="n">
        <f aca="false">IF($M4976="贷",$O4976,0)</f>
        <v>0</v>
      </c>
      <c r="K4976" s="48"/>
      <c r="L4976" s="66" t="str">
        <f aca="false">IF(生产加工!$E291="","",IFERROR(INDEX(记账规则!$A$36:$H$38,MATCH(生产加工!$E291,记账规则!$A$36:$A$38,0),3),""))</f>
        <v/>
      </c>
      <c r="M4976" s="66" t="str">
        <f aca="false">IF($L4976="","",IFERROR(INDEX(记账规则!$A$36:$H$38,MATCH(生产加工!$E291,记账规则!$A$36:$A$38,0),4),""))</f>
        <v/>
      </c>
      <c r="N4976" s="66" t="str">
        <f aca="false">IF($L4976="","",IFERROR(INDEX(记账规则!$A$36:$H$38,MATCH(生产加工!$E291,记账规则!$A$36:$A$38,0),5),""))</f>
        <v/>
      </c>
      <c r="O4976" s="67" t="n">
        <f aca="false">IF($H4976="",0,ROUND(IF($N4976="记账金额",N(生产加工!$U291),0),2))</f>
        <v>0</v>
      </c>
      <c r="P4976" s="64" t="str">
        <f aca="false">IF(AND($H4976&lt;&gt;"",ROUND($O4976,2)&lt;&gt;0),"有","")</f>
        <v/>
      </c>
    </row>
    <row r="4977" customFormat="false" ht="15" hidden="true" customHeight="false" outlineLevel="0" collapsed="false">
      <c r="A4977" s="53" t="str">
        <f aca="false">IF($H4977="","",ROW()-5)</f>
        <v/>
      </c>
      <c r="B4977" s="64" t="s">
        <v>38</v>
      </c>
      <c r="C4977" s="53" t="n">
        <v>291</v>
      </c>
      <c r="D4977" s="53" t="n">
        <v>2</v>
      </c>
      <c r="E4977" s="65" t="str">
        <f aca="false">IF($H4977="","",生产加工!$B291)</f>
        <v/>
      </c>
      <c r="F4977" s="55" t="str">
        <f aca="false">IF($H4977="","",生产加工!$C291)</f>
        <v/>
      </c>
      <c r="G4977" s="48" t="str">
        <f aca="false">IF($H4977="","",生产加工!$N291)</f>
        <v/>
      </c>
      <c r="H4977" s="10" t="str">
        <f aca="false">IF($L4977="","",IF($L4977="@对方",生产加工!$K291,IF($L4977="@存货",生产加工!$Q291,$L4977)))</f>
        <v/>
      </c>
      <c r="I4977" s="42" t="n">
        <f aca="false">IF($M4977="借",$O4977,0)</f>
        <v>0</v>
      </c>
      <c r="J4977" s="42" t="n">
        <f aca="false">IF($M4977="贷",$O4977,0)</f>
        <v>0</v>
      </c>
      <c r="K4977" s="48"/>
      <c r="L4977" s="66" t="str">
        <f aca="false">IF(生产加工!$E291="","",IFERROR(INDEX(记账规则!$A$36:$H$38,MATCH(生产加工!$E291,记账规则!$A$36:$A$38,0),6),""))</f>
        <v/>
      </c>
      <c r="M4977" s="66" t="str">
        <f aca="false">IF($L4977="","",IFERROR(INDEX(记账规则!$A$36:$H$38,MATCH(生产加工!$E291,记账规则!$A$36:$A$38,0),7),""))</f>
        <v/>
      </c>
      <c r="N4977" s="66" t="str">
        <f aca="false">IF($L4977="","",IFERROR(INDEX(记账规则!$A$36:$H$38,MATCH(生产加工!$E291,记账规则!$A$36:$A$38,0),8),""))</f>
        <v/>
      </c>
      <c r="O4977" s="67" t="n">
        <f aca="false">IF($H4977="",0,ROUND(IF($N4977="记账金额",N(生产加工!$U291),0),2))</f>
        <v>0</v>
      </c>
      <c r="P4977" s="64" t="str">
        <f aca="false">IF(AND($H4977&lt;&gt;"",ROUND($O4977,2)&lt;&gt;0),"有","")</f>
        <v/>
      </c>
    </row>
    <row r="4978" customFormat="false" ht="15" hidden="true" customHeight="false" outlineLevel="0" collapsed="false">
      <c r="A4978" s="53" t="str">
        <f aca="false">IF($H4978="","",ROW()-5)</f>
        <v/>
      </c>
      <c r="B4978" s="64" t="s">
        <v>38</v>
      </c>
      <c r="C4978" s="53" t="n">
        <v>292</v>
      </c>
      <c r="D4978" s="53" t="n">
        <v>1</v>
      </c>
      <c r="E4978" s="65" t="str">
        <f aca="false">IF($H4978="","",生产加工!$B292)</f>
        <v/>
      </c>
      <c r="F4978" s="55" t="str">
        <f aca="false">IF($H4978="","",生产加工!$C292)</f>
        <v/>
      </c>
      <c r="G4978" s="48" t="str">
        <f aca="false">IF($H4978="","",生产加工!$N292)</f>
        <v/>
      </c>
      <c r="H4978" s="10" t="str">
        <f aca="false">IF($L4978="","",IF($L4978="@对方",生产加工!$K292,IF($L4978="@存货",生产加工!$Q292,$L4978)))</f>
        <v/>
      </c>
      <c r="I4978" s="42" t="n">
        <f aca="false">IF($M4978="借",$O4978,0)</f>
        <v>0</v>
      </c>
      <c r="J4978" s="42" t="n">
        <f aca="false">IF($M4978="贷",$O4978,0)</f>
        <v>0</v>
      </c>
      <c r="K4978" s="48"/>
      <c r="L4978" s="66" t="str">
        <f aca="false">IF(生产加工!$E292="","",IFERROR(INDEX(记账规则!$A$36:$H$38,MATCH(生产加工!$E292,记账规则!$A$36:$A$38,0),3),""))</f>
        <v/>
      </c>
      <c r="M4978" s="66" t="str">
        <f aca="false">IF($L4978="","",IFERROR(INDEX(记账规则!$A$36:$H$38,MATCH(生产加工!$E292,记账规则!$A$36:$A$38,0),4),""))</f>
        <v/>
      </c>
      <c r="N4978" s="66" t="str">
        <f aca="false">IF($L4978="","",IFERROR(INDEX(记账规则!$A$36:$H$38,MATCH(生产加工!$E292,记账规则!$A$36:$A$38,0),5),""))</f>
        <v/>
      </c>
      <c r="O4978" s="67" t="n">
        <f aca="false">IF($H4978="",0,ROUND(IF($N4978="记账金额",N(生产加工!$U292),0),2))</f>
        <v>0</v>
      </c>
      <c r="P4978" s="64" t="str">
        <f aca="false">IF(AND($H4978&lt;&gt;"",ROUND($O4978,2)&lt;&gt;0),"有","")</f>
        <v/>
      </c>
    </row>
    <row r="4979" customFormat="false" ht="15" hidden="true" customHeight="false" outlineLevel="0" collapsed="false">
      <c r="A4979" s="53" t="str">
        <f aca="false">IF($H4979="","",ROW()-5)</f>
        <v/>
      </c>
      <c r="B4979" s="64" t="s">
        <v>38</v>
      </c>
      <c r="C4979" s="53" t="n">
        <v>292</v>
      </c>
      <c r="D4979" s="53" t="n">
        <v>2</v>
      </c>
      <c r="E4979" s="65" t="str">
        <f aca="false">IF($H4979="","",生产加工!$B292)</f>
        <v/>
      </c>
      <c r="F4979" s="55" t="str">
        <f aca="false">IF($H4979="","",生产加工!$C292)</f>
        <v/>
      </c>
      <c r="G4979" s="48" t="str">
        <f aca="false">IF($H4979="","",生产加工!$N292)</f>
        <v/>
      </c>
      <c r="H4979" s="10" t="str">
        <f aca="false">IF($L4979="","",IF($L4979="@对方",生产加工!$K292,IF($L4979="@存货",生产加工!$Q292,$L4979)))</f>
        <v/>
      </c>
      <c r="I4979" s="42" t="n">
        <f aca="false">IF($M4979="借",$O4979,0)</f>
        <v>0</v>
      </c>
      <c r="J4979" s="42" t="n">
        <f aca="false">IF($M4979="贷",$O4979,0)</f>
        <v>0</v>
      </c>
      <c r="K4979" s="48"/>
      <c r="L4979" s="66" t="str">
        <f aca="false">IF(生产加工!$E292="","",IFERROR(INDEX(记账规则!$A$36:$H$38,MATCH(生产加工!$E292,记账规则!$A$36:$A$38,0),6),""))</f>
        <v/>
      </c>
      <c r="M4979" s="66" t="str">
        <f aca="false">IF($L4979="","",IFERROR(INDEX(记账规则!$A$36:$H$38,MATCH(生产加工!$E292,记账规则!$A$36:$A$38,0),7),""))</f>
        <v/>
      </c>
      <c r="N4979" s="66" t="str">
        <f aca="false">IF($L4979="","",IFERROR(INDEX(记账规则!$A$36:$H$38,MATCH(生产加工!$E292,记账规则!$A$36:$A$38,0),8),""))</f>
        <v/>
      </c>
      <c r="O4979" s="67" t="n">
        <f aca="false">IF($H4979="",0,ROUND(IF($N4979="记账金额",N(生产加工!$U292),0),2))</f>
        <v>0</v>
      </c>
      <c r="P4979" s="64" t="str">
        <f aca="false">IF(AND($H4979&lt;&gt;"",ROUND($O4979,2)&lt;&gt;0),"有","")</f>
        <v/>
      </c>
    </row>
    <row r="4980" customFormat="false" ht="15" hidden="true" customHeight="false" outlineLevel="0" collapsed="false">
      <c r="A4980" s="53" t="str">
        <f aca="false">IF($H4980="","",ROW()-5)</f>
        <v/>
      </c>
      <c r="B4980" s="64" t="s">
        <v>38</v>
      </c>
      <c r="C4980" s="53" t="n">
        <v>293</v>
      </c>
      <c r="D4980" s="53" t="n">
        <v>1</v>
      </c>
      <c r="E4980" s="65" t="str">
        <f aca="false">IF($H4980="","",生产加工!$B293)</f>
        <v/>
      </c>
      <c r="F4980" s="55" t="str">
        <f aca="false">IF($H4980="","",生产加工!$C293)</f>
        <v/>
      </c>
      <c r="G4980" s="48" t="str">
        <f aca="false">IF($H4980="","",生产加工!$N293)</f>
        <v/>
      </c>
      <c r="H4980" s="10" t="str">
        <f aca="false">IF($L4980="","",IF($L4980="@对方",生产加工!$K293,IF($L4980="@存货",生产加工!$Q293,$L4980)))</f>
        <v/>
      </c>
      <c r="I4980" s="42" t="n">
        <f aca="false">IF($M4980="借",$O4980,0)</f>
        <v>0</v>
      </c>
      <c r="J4980" s="42" t="n">
        <f aca="false">IF($M4980="贷",$O4980,0)</f>
        <v>0</v>
      </c>
      <c r="K4980" s="48"/>
      <c r="L4980" s="66" t="str">
        <f aca="false">IF(生产加工!$E293="","",IFERROR(INDEX(记账规则!$A$36:$H$38,MATCH(生产加工!$E293,记账规则!$A$36:$A$38,0),3),""))</f>
        <v/>
      </c>
      <c r="M4980" s="66" t="str">
        <f aca="false">IF($L4980="","",IFERROR(INDEX(记账规则!$A$36:$H$38,MATCH(生产加工!$E293,记账规则!$A$36:$A$38,0),4),""))</f>
        <v/>
      </c>
      <c r="N4980" s="66" t="str">
        <f aca="false">IF($L4980="","",IFERROR(INDEX(记账规则!$A$36:$H$38,MATCH(生产加工!$E293,记账规则!$A$36:$A$38,0),5),""))</f>
        <v/>
      </c>
      <c r="O4980" s="67" t="n">
        <f aca="false">IF($H4980="",0,ROUND(IF($N4980="记账金额",N(生产加工!$U293),0),2))</f>
        <v>0</v>
      </c>
      <c r="P4980" s="64" t="str">
        <f aca="false">IF(AND($H4980&lt;&gt;"",ROUND($O4980,2)&lt;&gt;0),"有","")</f>
        <v/>
      </c>
    </row>
    <row r="4981" customFormat="false" ht="15" hidden="true" customHeight="false" outlineLevel="0" collapsed="false">
      <c r="A4981" s="53" t="str">
        <f aca="false">IF($H4981="","",ROW()-5)</f>
        <v/>
      </c>
      <c r="B4981" s="64" t="s">
        <v>38</v>
      </c>
      <c r="C4981" s="53" t="n">
        <v>293</v>
      </c>
      <c r="D4981" s="53" t="n">
        <v>2</v>
      </c>
      <c r="E4981" s="65" t="str">
        <f aca="false">IF($H4981="","",生产加工!$B293)</f>
        <v/>
      </c>
      <c r="F4981" s="55" t="str">
        <f aca="false">IF($H4981="","",生产加工!$C293)</f>
        <v/>
      </c>
      <c r="G4981" s="48" t="str">
        <f aca="false">IF($H4981="","",生产加工!$N293)</f>
        <v/>
      </c>
      <c r="H4981" s="10" t="str">
        <f aca="false">IF($L4981="","",IF($L4981="@对方",生产加工!$K293,IF($L4981="@存货",生产加工!$Q293,$L4981)))</f>
        <v/>
      </c>
      <c r="I4981" s="42" t="n">
        <f aca="false">IF($M4981="借",$O4981,0)</f>
        <v>0</v>
      </c>
      <c r="J4981" s="42" t="n">
        <f aca="false">IF($M4981="贷",$O4981,0)</f>
        <v>0</v>
      </c>
      <c r="K4981" s="48"/>
      <c r="L4981" s="66" t="str">
        <f aca="false">IF(生产加工!$E293="","",IFERROR(INDEX(记账规则!$A$36:$H$38,MATCH(生产加工!$E293,记账规则!$A$36:$A$38,0),6),""))</f>
        <v/>
      </c>
      <c r="M4981" s="66" t="str">
        <f aca="false">IF($L4981="","",IFERROR(INDEX(记账规则!$A$36:$H$38,MATCH(生产加工!$E293,记账规则!$A$36:$A$38,0),7),""))</f>
        <v/>
      </c>
      <c r="N4981" s="66" t="str">
        <f aca="false">IF($L4981="","",IFERROR(INDEX(记账规则!$A$36:$H$38,MATCH(生产加工!$E293,记账规则!$A$36:$A$38,0),8),""))</f>
        <v/>
      </c>
      <c r="O4981" s="67" t="n">
        <f aca="false">IF($H4981="",0,ROUND(IF($N4981="记账金额",N(生产加工!$U293),0),2))</f>
        <v>0</v>
      </c>
      <c r="P4981" s="64" t="str">
        <f aca="false">IF(AND($H4981&lt;&gt;"",ROUND($O4981,2)&lt;&gt;0),"有","")</f>
        <v/>
      </c>
    </row>
    <row r="4982" customFormat="false" ht="15" hidden="true" customHeight="false" outlineLevel="0" collapsed="false">
      <c r="A4982" s="53" t="str">
        <f aca="false">IF($H4982="","",ROW()-5)</f>
        <v/>
      </c>
      <c r="B4982" s="64" t="s">
        <v>38</v>
      </c>
      <c r="C4982" s="53" t="n">
        <v>294</v>
      </c>
      <c r="D4982" s="53" t="n">
        <v>1</v>
      </c>
      <c r="E4982" s="65" t="str">
        <f aca="false">IF($H4982="","",生产加工!$B294)</f>
        <v/>
      </c>
      <c r="F4982" s="55" t="str">
        <f aca="false">IF($H4982="","",生产加工!$C294)</f>
        <v/>
      </c>
      <c r="G4982" s="48" t="str">
        <f aca="false">IF($H4982="","",生产加工!$N294)</f>
        <v/>
      </c>
      <c r="H4982" s="10" t="str">
        <f aca="false">IF($L4982="","",IF($L4982="@对方",生产加工!$K294,IF($L4982="@存货",生产加工!$Q294,$L4982)))</f>
        <v/>
      </c>
      <c r="I4982" s="42" t="n">
        <f aca="false">IF($M4982="借",$O4982,0)</f>
        <v>0</v>
      </c>
      <c r="J4982" s="42" t="n">
        <f aca="false">IF($M4982="贷",$O4982,0)</f>
        <v>0</v>
      </c>
      <c r="K4982" s="48"/>
      <c r="L4982" s="66" t="str">
        <f aca="false">IF(生产加工!$E294="","",IFERROR(INDEX(记账规则!$A$36:$H$38,MATCH(生产加工!$E294,记账规则!$A$36:$A$38,0),3),""))</f>
        <v/>
      </c>
      <c r="M4982" s="66" t="str">
        <f aca="false">IF($L4982="","",IFERROR(INDEX(记账规则!$A$36:$H$38,MATCH(生产加工!$E294,记账规则!$A$36:$A$38,0),4),""))</f>
        <v/>
      </c>
      <c r="N4982" s="66" t="str">
        <f aca="false">IF($L4982="","",IFERROR(INDEX(记账规则!$A$36:$H$38,MATCH(生产加工!$E294,记账规则!$A$36:$A$38,0),5),""))</f>
        <v/>
      </c>
      <c r="O4982" s="67" t="n">
        <f aca="false">IF($H4982="",0,ROUND(IF($N4982="记账金额",N(生产加工!$U294),0),2))</f>
        <v>0</v>
      </c>
      <c r="P4982" s="64" t="str">
        <f aca="false">IF(AND($H4982&lt;&gt;"",ROUND($O4982,2)&lt;&gt;0),"有","")</f>
        <v/>
      </c>
    </row>
    <row r="4983" customFormat="false" ht="15" hidden="true" customHeight="false" outlineLevel="0" collapsed="false">
      <c r="A4983" s="53" t="str">
        <f aca="false">IF($H4983="","",ROW()-5)</f>
        <v/>
      </c>
      <c r="B4983" s="64" t="s">
        <v>38</v>
      </c>
      <c r="C4983" s="53" t="n">
        <v>294</v>
      </c>
      <c r="D4983" s="53" t="n">
        <v>2</v>
      </c>
      <c r="E4983" s="65" t="str">
        <f aca="false">IF($H4983="","",生产加工!$B294)</f>
        <v/>
      </c>
      <c r="F4983" s="55" t="str">
        <f aca="false">IF($H4983="","",生产加工!$C294)</f>
        <v/>
      </c>
      <c r="G4983" s="48" t="str">
        <f aca="false">IF($H4983="","",生产加工!$N294)</f>
        <v/>
      </c>
      <c r="H4983" s="10" t="str">
        <f aca="false">IF($L4983="","",IF($L4983="@对方",生产加工!$K294,IF($L4983="@存货",生产加工!$Q294,$L4983)))</f>
        <v/>
      </c>
      <c r="I4983" s="42" t="n">
        <f aca="false">IF($M4983="借",$O4983,0)</f>
        <v>0</v>
      </c>
      <c r="J4983" s="42" t="n">
        <f aca="false">IF($M4983="贷",$O4983,0)</f>
        <v>0</v>
      </c>
      <c r="K4983" s="48"/>
      <c r="L4983" s="66" t="str">
        <f aca="false">IF(生产加工!$E294="","",IFERROR(INDEX(记账规则!$A$36:$H$38,MATCH(生产加工!$E294,记账规则!$A$36:$A$38,0),6),""))</f>
        <v/>
      </c>
      <c r="M4983" s="66" t="str">
        <f aca="false">IF($L4983="","",IFERROR(INDEX(记账规则!$A$36:$H$38,MATCH(生产加工!$E294,记账规则!$A$36:$A$38,0),7),""))</f>
        <v/>
      </c>
      <c r="N4983" s="66" t="str">
        <f aca="false">IF($L4983="","",IFERROR(INDEX(记账规则!$A$36:$H$38,MATCH(生产加工!$E294,记账规则!$A$36:$A$38,0),8),""))</f>
        <v/>
      </c>
      <c r="O4983" s="67" t="n">
        <f aca="false">IF($H4983="",0,ROUND(IF($N4983="记账金额",N(生产加工!$U294),0),2))</f>
        <v>0</v>
      </c>
      <c r="P4983" s="64" t="str">
        <f aca="false">IF(AND($H4983&lt;&gt;"",ROUND($O4983,2)&lt;&gt;0),"有","")</f>
        <v/>
      </c>
    </row>
    <row r="4984" customFormat="false" ht="15" hidden="true" customHeight="false" outlineLevel="0" collapsed="false">
      <c r="A4984" s="53" t="str">
        <f aca="false">IF($H4984="","",ROW()-5)</f>
        <v/>
      </c>
      <c r="B4984" s="64" t="s">
        <v>38</v>
      </c>
      <c r="C4984" s="53" t="n">
        <v>295</v>
      </c>
      <c r="D4984" s="53" t="n">
        <v>1</v>
      </c>
      <c r="E4984" s="65" t="str">
        <f aca="false">IF($H4984="","",生产加工!$B295)</f>
        <v/>
      </c>
      <c r="F4984" s="55" t="str">
        <f aca="false">IF($H4984="","",生产加工!$C295)</f>
        <v/>
      </c>
      <c r="G4984" s="48" t="str">
        <f aca="false">IF($H4984="","",生产加工!$N295)</f>
        <v/>
      </c>
      <c r="H4984" s="10" t="str">
        <f aca="false">IF($L4984="","",IF($L4984="@对方",生产加工!$K295,IF($L4984="@存货",生产加工!$Q295,$L4984)))</f>
        <v/>
      </c>
      <c r="I4984" s="42" t="n">
        <f aca="false">IF($M4984="借",$O4984,0)</f>
        <v>0</v>
      </c>
      <c r="J4984" s="42" t="n">
        <f aca="false">IF($M4984="贷",$O4984,0)</f>
        <v>0</v>
      </c>
      <c r="K4984" s="48"/>
      <c r="L4984" s="66" t="str">
        <f aca="false">IF(生产加工!$E295="","",IFERROR(INDEX(记账规则!$A$36:$H$38,MATCH(生产加工!$E295,记账规则!$A$36:$A$38,0),3),""))</f>
        <v/>
      </c>
      <c r="M4984" s="66" t="str">
        <f aca="false">IF($L4984="","",IFERROR(INDEX(记账规则!$A$36:$H$38,MATCH(生产加工!$E295,记账规则!$A$36:$A$38,0),4),""))</f>
        <v/>
      </c>
      <c r="N4984" s="66" t="str">
        <f aca="false">IF($L4984="","",IFERROR(INDEX(记账规则!$A$36:$H$38,MATCH(生产加工!$E295,记账规则!$A$36:$A$38,0),5),""))</f>
        <v/>
      </c>
      <c r="O4984" s="67" t="n">
        <f aca="false">IF($H4984="",0,ROUND(IF($N4984="记账金额",N(生产加工!$U295),0),2))</f>
        <v>0</v>
      </c>
      <c r="P4984" s="64" t="str">
        <f aca="false">IF(AND($H4984&lt;&gt;"",ROUND($O4984,2)&lt;&gt;0),"有","")</f>
        <v/>
      </c>
    </row>
    <row r="4985" customFormat="false" ht="15" hidden="true" customHeight="false" outlineLevel="0" collapsed="false">
      <c r="A4985" s="53" t="str">
        <f aca="false">IF($H4985="","",ROW()-5)</f>
        <v/>
      </c>
      <c r="B4985" s="64" t="s">
        <v>38</v>
      </c>
      <c r="C4985" s="53" t="n">
        <v>295</v>
      </c>
      <c r="D4985" s="53" t="n">
        <v>2</v>
      </c>
      <c r="E4985" s="65" t="str">
        <f aca="false">IF($H4985="","",生产加工!$B295)</f>
        <v/>
      </c>
      <c r="F4985" s="55" t="str">
        <f aca="false">IF($H4985="","",生产加工!$C295)</f>
        <v/>
      </c>
      <c r="G4985" s="48" t="str">
        <f aca="false">IF($H4985="","",生产加工!$N295)</f>
        <v/>
      </c>
      <c r="H4985" s="10" t="str">
        <f aca="false">IF($L4985="","",IF($L4985="@对方",生产加工!$K295,IF($L4985="@存货",生产加工!$Q295,$L4985)))</f>
        <v/>
      </c>
      <c r="I4985" s="42" t="n">
        <f aca="false">IF($M4985="借",$O4985,0)</f>
        <v>0</v>
      </c>
      <c r="J4985" s="42" t="n">
        <f aca="false">IF($M4985="贷",$O4985,0)</f>
        <v>0</v>
      </c>
      <c r="K4985" s="48"/>
      <c r="L4985" s="66" t="str">
        <f aca="false">IF(生产加工!$E295="","",IFERROR(INDEX(记账规则!$A$36:$H$38,MATCH(生产加工!$E295,记账规则!$A$36:$A$38,0),6),""))</f>
        <v/>
      </c>
      <c r="M4985" s="66" t="str">
        <f aca="false">IF($L4985="","",IFERROR(INDEX(记账规则!$A$36:$H$38,MATCH(生产加工!$E295,记账规则!$A$36:$A$38,0),7),""))</f>
        <v/>
      </c>
      <c r="N4985" s="66" t="str">
        <f aca="false">IF($L4985="","",IFERROR(INDEX(记账规则!$A$36:$H$38,MATCH(生产加工!$E295,记账规则!$A$36:$A$38,0),8),""))</f>
        <v/>
      </c>
      <c r="O4985" s="67" t="n">
        <f aca="false">IF($H4985="",0,ROUND(IF($N4985="记账金额",N(生产加工!$U295),0),2))</f>
        <v>0</v>
      </c>
      <c r="P4985" s="64" t="str">
        <f aca="false">IF(AND($H4985&lt;&gt;"",ROUND($O4985,2)&lt;&gt;0),"有","")</f>
        <v/>
      </c>
    </row>
    <row r="4986" customFormat="false" ht="15" hidden="true" customHeight="false" outlineLevel="0" collapsed="false">
      <c r="A4986" s="53" t="str">
        <f aca="false">IF($H4986="","",ROW()-5)</f>
        <v/>
      </c>
      <c r="B4986" s="64" t="s">
        <v>38</v>
      </c>
      <c r="C4986" s="53" t="n">
        <v>296</v>
      </c>
      <c r="D4986" s="53" t="n">
        <v>1</v>
      </c>
      <c r="E4986" s="65" t="str">
        <f aca="false">IF($H4986="","",生产加工!$B296)</f>
        <v/>
      </c>
      <c r="F4986" s="55" t="str">
        <f aca="false">IF($H4986="","",生产加工!$C296)</f>
        <v/>
      </c>
      <c r="G4986" s="48" t="str">
        <f aca="false">IF($H4986="","",生产加工!$N296)</f>
        <v/>
      </c>
      <c r="H4986" s="10" t="str">
        <f aca="false">IF($L4986="","",IF($L4986="@对方",生产加工!$K296,IF($L4986="@存货",生产加工!$Q296,$L4986)))</f>
        <v/>
      </c>
      <c r="I4986" s="42" t="n">
        <f aca="false">IF($M4986="借",$O4986,0)</f>
        <v>0</v>
      </c>
      <c r="J4986" s="42" t="n">
        <f aca="false">IF($M4986="贷",$O4986,0)</f>
        <v>0</v>
      </c>
      <c r="K4986" s="48"/>
      <c r="L4986" s="66" t="str">
        <f aca="false">IF(生产加工!$E296="","",IFERROR(INDEX(记账规则!$A$36:$H$38,MATCH(生产加工!$E296,记账规则!$A$36:$A$38,0),3),""))</f>
        <v/>
      </c>
      <c r="M4986" s="66" t="str">
        <f aca="false">IF($L4986="","",IFERROR(INDEX(记账规则!$A$36:$H$38,MATCH(生产加工!$E296,记账规则!$A$36:$A$38,0),4),""))</f>
        <v/>
      </c>
      <c r="N4986" s="66" t="str">
        <f aca="false">IF($L4986="","",IFERROR(INDEX(记账规则!$A$36:$H$38,MATCH(生产加工!$E296,记账规则!$A$36:$A$38,0),5),""))</f>
        <v/>
      </c>
      <c r="O4986" s="67" t="n">
        <f aca="false">IF($H4986="",0,ROUND(IF($N4986="记账金额",N(生产加工!$U296),0),2))</f>
        <v>0</v>
      </c>
      <c r="P4986" s="64" t="str">
        <f aca="false">IF(AND($H4986&lt;&gt;"",ROUND($O4986,2)&lt;&gt;0),"有","")</f>
        <v/>
      </c>
    </row>
    <row r="4987" customFormat="false" ht="15" hidden="true" customHeight="false" outlineLevel="0" collapsed="false">
      <c r="A4987" s="53" t="str">
        <f aca="false">IF($H4987="","",ROW()-5)</f>
        <v/>
      </c>
      <c r="B4987" s="64" t="s">
        <v>38</v>
      </c>
      <c r="C4987" s="53" t="n">
        <v>296</v>
      </c>
      <c r="D4987" s="53" t="n">
        <v>2</v>
      </c>
      <c r="E4987" s="65" t="str">
        <f aca="false">IF($H4987="","",生产加工!$B296)</f>
        <v/>
      </c>
      <c r="F4987" s="55" t="str">
        <f aca="false">IF($H4987="","",生产加工!$C296)</f>
        <v/>
      </c>
      <c r="G4987" s="48" t="str">
        <f aca="false">IF($H4987="","",生产加工!$N296)</f>
        <v/>
      </c>
      <c r="H4987" s="10" t="str">
        <f aca="false">IF($L4987="","",IF($L4987="@对方",生产加工!$K296,IF($L4987="@存货",生产加工!$Q296,$L4987)))</f>
        <v/>
      </c>
      <c r="I4987" s="42" t="n">
        <f aca="false">IF($M4987="借",$O4987,0)</f>
        <v>0</v>
      </c>
      <c r="J4987" s="42" t="n">
        <f aca="false">IF($M4987="贷",$O4987,0)</f>
        <v>0</v>
      </c>
      <c r="K4987" s="48"/>
      <c r="L4987" s="66" t="str">
        <f aca="false">IF(生产加工!$E296="","",IFERROR(INDEX(记账规则!$A$36:$H$38,MATCH(生产加工!$E296,记账规则!$A$36:$A$38,0),6),""))</f>
        <v/>
      </c>
      <c r="M4987" s="66" t="str">
        <f aca="false">IF($L4987="","",IFERROR(INDEX(记账规则!$A$36:$H$38,MATCH(生产加工!$E296,记账规则!$A$36:$A$38,0),7),""))</f>
        <v/>
      </c>
      <c r="N4987" s="66" t="str">
        <f aca="false">IF($L4987="","",IFERROR(INDEX(记账规则!$A$36:$H$38,MATCH(生产加工!$E296,记账规则!$A$36:$A$38,0),8),""))</f>
        <v/>
      </c>
      <c r="O4987" s="67" t="n">
        <f aca="false">IF($H4987="",0,ROUND(IF($N4987="记账金额",N(生产加工!$U296),0),2))</f>
        <v>0</v>
      </c>
      <c r="P4987" s="64" t="str">
        <f aca="false">IF(AND($H4987&lt;&gt;"",ROUND($O4987,2)&lt;&gt;0),"有","")</f>
        <v/>
      </c>
    </row>
    <row r="4988" customFormat="false" ht="15" hidden="true" customHeight="false" outlineLevel="0" collapsed="false">
      <c r="A4988" s="53" t="str">
        <f aca="false">IF($H4988="","",ROW()-5)</f>
        <v/>
      </c>
      <c r="B4988" s="64" t="s">
        <v>38</v>
      </c>
      <c r="C4988" s="53" t="n">
        <v>297</v>
      </c>
      <c r="D4988" s="53" t="n">
        <v>1</v>
      </c>
      <c r="E4988" s="65" t="str">
        <f aca="false">IF($H4988="","",生产加工!$B297)</f>
        <v/>
      </c>
      <c r="F4988" s="55" t="str">
        <f aca="false">IF($H4988="","",生产加工!$C297)</f>
        <v/>
      </c>
      <c r="G4988" s="48" t="str">
        <f aca="false">IF($H4988="","",生产加工!$N297)</f>
        <v/>
      </c>
      <c r="H4988" s="10" t="str">
        <f aca="false">IF($L4988="","",IF($L4988="@对方",生产加工!$K297,IF($L4988="@存货",生产加工!$Q297,$L4988)))</f>
        <v/>
      </c>
      <c r="I4988" s="42" t="n">
        <f aca="false">IF($M4988="借",$O4988,0)</f>
        <v>0</v>
      </c>
      <c r="J4988" s="42" t="n">
        <f aca="false">IF($M4988="贷",$O4988,0)</f>
        <v>0</v>
      </c>
      <c r="K4988" s="48"/>
      <c r="L4988" s="66" t="str">
        <f aca="false">IF(生产加工!$E297="","",IFERROR(INDEX(记账规则!$A$36:$H$38,MATCH(生产加工!$E297,记账规则!$A$36:$A$38,0),3),""))</f>
        <v/>
      </c>
      <c r="M4988" s="66" t="str">
        <f aca="false">IF($L4988="","",IFERROR(INDEX(记账规则!$A$36:$H$38,MATCH(生产加工!$E297,记账规则!$A$36:$A$38,0),4),""))</f>
        <v/>
      </c>
      <c r="N4988" s="66" t="str">
        <f aca="false">IF($L4988="","",IFERROR(INDEX(记账规则!$A$36:$H$38,MATCH(生产加工!$E297,记账规则!$A$36:$A$38,0),5),""))</f>
        <v/>
      </c>
      <c r="O4988" s="67" t="n">
        <f aca="false">IF($H4988="",0,ROUND(IF($N4988="记账金额",N(生产加工!$U297),0),2))</f>
        <v>0</v>
      </c>
      <c r="P4988" s="64" t="str">
        <f aca="false">IF(AND($H4988&lt;&gt;"",ROUND($O4988,2)&lt;&gt;0),"有","")</f>
        <v/>
      </c>
    </row>
    <row r="4989" customFormat="false" ht="15" hidden="true" customHeight="false" outlineLevel="0" collapsed="false">
      <c r="A4989" s="53" t="str">
        <f aca="false">IF($H4989="","",ROW()-5)</f>
        <v/>
      </c>
      <c r="B4989" s="64" t="s">
        <v>38</v>
      </c>
      <c r="C4989" s="53" t="n">
        <v>297</v>
      </c>
      <c r="D4989" s="53" t="n">
        <v>2</v>
      </c>
      <c r="E4989" s="65" t="str">
        <f aca="false">IF($H4989="","",生产加工!$B297)</f>
        <v/>
      </c>
      <c r="F4989" s="55" t="str">
        <f aca="false">IF($H4989="","",生产加工!$C297)</f>
        <v/>
      </c>
      <c r="G4989" s="48" t="str">
        <f aca="false">IF($H4989="","",生产加工!$N297)</f>
        <v/>
      </c>
      <c r="H4989" s="10" t="str">
        <f aca="false">IF($L4989="","",IF($L4989="@对方",生产加工!$K297,IF($L4989="@存货",生产加工!$Q297,$L4989)))</f>
        <v/>
      </c>
      <c r="I4989" s="42" t="n">
        <f aca="false">IF($M4989="借",$O4989,0)</f>
        <v>0</v>
      </c>
      <c r="J4989" s="42" t="n">
        <f aca="false">IF($M4989="贷",$O4989,0)</f>
        <v>0</v>
      </c>
      <c r="K4989" s="48"/>
      <c r="L4989" s="66" t="str">
        <f aca="false">IF(生产加工!$E297="","",IFERROR(INDEX(记账规则!$A$36:$H$38,MATCH(生产加工!$E297,记账规则!$A$36:$A$38,0),6),""))</f>
        <v/>
      </c>
      <c r="M4989" s="66" t="str">
        <f aca="false">IF($L4989="","",IFERROR(INDEX(记账规则!$A$36:$H$38,MATCH(生产加工!$E297,记账规则!$A$36:$A$38,0),7),""))</f>
        <v/>
      </c>
      <c r="N4989" s="66" t="str">
        <f aca="false">IF($L4989="","",IFERROR(INDEX(记账规则!$A$36:$H$38,MATCH(生产加工!$E297,记账规则!$A$36:$A$38,0),8),""))</f>
        <v/>
      </c>
      <c r="O4989" s="67" t="n">
        <f aca="false">IF($H4989="",0,ROUND(IF($N4989="记账金额",N(生产加工!$U297),0),2))</f>
        <v>0</v>
      </c>
      <c r="P4989" s="64" t="str">
        <f aca="false">IF(AND($H4989&lt;&gt;"",ROUND($O4989,2)&lt;&gt;0),"有","")</f>
        <v/>
      </c>
    </row>
    <row r="4990" customFormat="false" ht="15" hidden="true" customHeight="false" outlineLevel="0" collapsed="false">
      <c r="A4990" s="53" t="str">
        <f aca="false">IF($H4990="","",ROW()-5)</f>
        <v/>
      </c>
      <c r="B4990" s="64" t="s">
        <v>38</v>
      </c>
      <c r="C4990" s="53" t="n">
        <v>298</v>
      </c>
      <c r="D4990" s="53" t="n">
        <v>1</v>
      </c>
      <c r="E4990" s="65" t="str">
        <f aca="false">IF($H4990="","",生产加工!$B298)</f>
        <v/>
      </c>
      <c r="F4990" s="55" t="str">
        <f aca="false">IF($H4990="","",生产加工!$C298)</f>
        <v/>
      </c>
      <c r="G4990" s="48" t="str">
        <f aca="false">IF($H4990="","",生产加工!$N298)</f>
        <v/>
      </c>
      <c r="H4990" s="10" t="str">
        <f aca="false">IF($L4990="","",IF($L4990="@对方",生产加工!$K298,IF($L4990="@存货",生产加工!$Q298,$L4990)))</f>
        <v/>
      </c>
      <c r="I4990" s="42" t="n">
        <f aca="false">IF($M4990="借",$O4990,0)</f>
        <v>0</v>
      </c>
      <c r="J4990" s="42" t="n">
        <f aca="false">IF($M4990="贷",$O4990,0)</f>
        <v>0</v>
      </c>
      <c r="K4990" s="48"/>
      <c r="L4990" s="66" t="str">
        <f aca="false">IF(生产加工!$E298="","",IFERROR(INDEX(记账规则!$A$36:$H$38,MATCH(生产加工!$E298,记账规则!$A$36:$A$38,0),3),""))</f>
        <v/>
      </c>
      <c r="M4990" s="66" t="str">
        <f aca="false">IF($L4990="","",IFERROR(INDEX(记账规则!$A$36:$H$38,MATCH(生产加工!$E298,记账规则!$A$36:$A$38,0),4),""))</f>
        <v/>
      </c>
      <c r="N4990" s="66" t="str">
        <f aca="false">IF($L4990="","",IFERROR(INDEX(记账规则!$A$36:$H$38,MATCH(生产加工!$E298,记账规则!$A$36:$A$38,0),5),""))</f>
        <v/>
      </c>
      <c r="O4990" s="67" t="n">
        <f aca="false">IF($H4990="",0,ROUND(IF($N4990="记账金额",N(生产加工!$U298),0),2))</f>
        <v>0</v>
      </c>
      <c r="P4990" s="64" t="str">
        <f aca="false">IF(AND($H4990&lt;&gt;"",ROUND($O4990,2)&lt;&gt;0),"有","")</f>
        <v/>
      </c>
    </row>
    <row r="4991" customFormat="false" ht="15" hidden="true" customHeight="false" outlineLevel="0" collapsed="false">
      <c r="A4991" s="53" t="str">
        <f aca="false">IF($H4991="","",ROW()-5)</f>
        <v/>
      </c>
      <c r="B4991" s="64" t="s">
        <v>38</v>
      </c>
      <c r="C4991" s="53" t="n">
        <v>298</v>
      </c>
      <c r="D4991" s="53" t="n">
        <v>2</v>
      </c>
      <c r="E4991" s="65" t="str">
        <f aca="false">IF($H4991="","",生产加工!$B298)</f>
        <v/>
      </c>
      <c r="F4991" s="55" t="str">
        <f aca="false">IF($H4991="","",生产加工!$C298)</f>
        <v/>
      </c>
      <c r="G4991" s="48" t="str">
        <f aca="false">IF($H4991="","",生产加工!$N298)</f>
        <v/>
      </c>
      <c r="H4991" s="10" t="str">
        <f aca="false">IF($L4991="","",IF($L4991="@对方",生产加工!$K298,IF($L4991="@存货",生产加工!$Q298,$L4991)))</f>
        <v/>
      </c>
      <c r="I4991" s="42" t="n">
        <f aca="false">IF($M4991="借",$O4991,0)</f>
        <v>0</v>
      </c>
      <c r="J4991" s="42" t="n">
        <f aca="false">IF($M4991="贷",$O4991,0)</f>
        <v>0</v>
      </c>
      <c r="K4991" s="48"/>
      <c r="L4991" s="66" t="str">
        <f aca="false">IF(生产加工!$E298="","",IFERROR(INDEX(记账规则!$A$36:$H$38,MATCH(生产加工!$E298,记账规则!$A$36:$A$38,0),6),""))</f>
        <v/>
      </c>
      <c r="M4991" s="66" t="str">
        <f aca="false">IF($L4991="","",IFERROR(INDEX(记账规则!$A$36:$H$38,MATCH(生产加工!$E298,记账规则!$A$36:$A$38,0),7),""))</f>
        <v/>
      </c>
      <c r="N4991" s="66" t="str">
        <f aca="false">IF($L4991="","",IFERROR(INDEX(记账规则!$A$36:$H$38,MATCH(生产加工!$E298,记账规则!$A$36:$A$38,0),8),""))</f>
        <v/>
      </c>
      <c r="O4991" s="67" t="n">
        <f aca="false">IF($H4991="",0,ROUND(IF($N4991="记账金额",N(生产加工!$U298),0),2))</f>
        <v>0</v>
      </c>
      <c r="P4991" s="64" t="str">
        <f aca="false">IF(AND($H4991&lt;&gt;"",ROUND($O4991,2)&lt;&gt;0),"有","")</f>
        <v/>
      </c>
    </row>
    <row r="4992" customFormat="false" ht="15" hidden="true" customHeight="false" outlineLevel="0" collapsed="false">
      <c r="A4992" s="53" t="str">
        <f aca="false">IF($H4992="","",ROW()-5)</f>
        <v/>
      </c>
      <c r="B4992" s="64" t="s">
        <v>38</v>
      </c>
      <c r="C4992" s="53" t="n">
        <v>299</v>
      </c>
      <c r="D4992" s="53" t="n">
        <v>1</v>
      </c>
      <c r="E4992" s="65" t="str">
        <f aca="false">IF($H4992="","",生产加工!$B299)</f>
        <v/>
      </c>
      <c r="F4992" s="55" t="str">
        <f aca="false">IF($H4992="","",生产加工!$C299)</f>
        <v/>
      </c>
      <c r="G4992" s="48" t="str">
        <f aca="false">IF($H4992="","",生产加工!$N299)</f>
        <v/>
      </c>
      <c r="H4992" s="10" t="str">
        <f aca="false">IF($L4992="","",IF($L4992="@对方",生产加工!$K299,IF($L4992="@存货",生产加工!$Q299,$L4992)))</f>
        <v/>
      </c>
      <c r="I4992" s="42" t="n">
        <f aca="false">IF($M4992="借",$O4992,0)</f>
        <v>0</v>
      </c>
      <c r="J4992" s="42" t="n">
        <f aca="false">IF($M4992="贷",$O4992,0)</f>
        <v>0</v>
      </c>
      <c r="K4992" s="48"/>
      <c r="L4992" s="66" t="str">
        <f aca="false">IF(生产加工!$E299="","",IFERROR(INDEX(记账规则!$A$36:$H$38,MATCH(生产加工!$E299,记账规则!$A$36:$A$38,0),3),""))</f>
        <v/>
      </c>
      <c r="M4992" s="66" t="str">
        <f aca="false">IF($L4992="","",IFERROR(INDEX(记账规则!$A$36:$H$38,MATCH(生产加工!$E299,记账规则!$A$36:$A$38,0),4),""))</f>
        <v/>
      </c>
      <c r="N4992" s="66" t="str">
        <f aca="false">IF($L4992="","",IFERROR(INDEX(记账规则!$A$36:$H$38,MATCH(生产加工!$E299,记账规则!$A$36:$A$38,0),5),""))</f>
        <v/>
      </c>
      <c r="O4992" s="67" t="n">
        <f aca="false">IF($H4992="",0,ROUND(IF($N4992="记账金额",N(生产加工!$U299),0),2))</f>
        <v>0</v>
      </c>
      <c r="P4992" s="64" t="str">
        <f aca="false">IF(AND($H4992&lt;&gt;"",ROUND($O4992,2)&lt;&gt;0),"有","")</f>
        <v/>
      </c>
    </row>
    <row r="4993" customFormat="false" ht="15" hidden="true" customHeight="false" outlineLevel="0" collapsed="false">
      <c r="A4993" s="53" t="str">
        <f aca="false">IF($H4993="","",ROW()-5)</f>
        <v/>
      </c>
      <c r="B4993" s="64" t="s">
        <v>38</v>
      </c>
      <c r="C4993" s="53" t="n">
        <v>299</v>
      </c>
      <c r="D4993" s="53" t="n">
        <v>2</v>
      </c>
      <c r="E4993" s="65" t="str">
        <f aca="false">IF($H4993="","",生产加工!$B299)</f>
        <v/>
      </c>
      <c r="F4993" s="55" t="str">
        <f aca="false">IF($H4993="","",生产加工!$C299)</f>
        <v/>
      </c>
      <c r="G4993" s="48" t="str">
        <f aca="false">IF($H4993="","",生产加工!$N299)</f>
        <v/>
      </c>
      <c r="H4993" s="10" t="str">
        <f aca="false">IF($L4993="","",IF($L4993="@对方",生产加工!$K299,IF($L4993="@存货",生产加工!$Q299,$L4993)))</f>
        <v/>
      </c>
      <c r="I4993" s="42" t="n">
        <f aca="false">IF($M4993="借",$O4993,0)</f>
        <v>0</v>
      </c>
      <c r="J4993" s="42" t="n">
        <f aca="false">IF($M4993="贷",$O4993,0)</f>
        <v>0</v>
      </c>
      <c r="K4993" s="48"/>
      <c r="L4993" s="66" t="str">
        <f aca="false">IF(生产加工!$E299="","",IFERROR(INDEX(记账规则!$A$36:$H$38,MATCH(生产加工!$E299,记账规则!$A$36:$A$38,0),6),""))</f>
        <v/>
      </c>
      <c r="M4993" s="66" t="str">
        <f aca="false">IF($L4993="","",IFERROR(INDEX(记账规则!$A$36:$H$38,MATCH(生产加工!$E299,记账规则!$A$36:$A$38,0),7),""))</f>
        <v/>
      </c>
      <c r="N4993" s="66" t="str">
        <f aca="false">IF($L4993="","",IFERROR(INDEX(记账规则!$A$36:$H$38,MATCH(生产加工!$E299,记账规则!$A$36:$A$38,0),8),""))</f>
        <v/>
      </c>
      <c r="O4993" s="67" t="n">
        <f aca="false">IF($H4993="",0,ROUND(IF($N4993="记账金额",N(生产加工!$U299),0),2))</f>
        <v>0</v>
      </c>
      <c r="P4993" s="64" t="str">
        <f aca="false">IF(AND($H4993&lt;&gt;"",ROUND($O4993,2)&lt;&gt;0),"有","")</f>
        <v/>
      </c>
    </row>
    <row r="4994" customFormat="false" ht="15" hidden="true" customHeight="false" outlineLevel="0" collapsed="false">
      <c r="A4994" s="53" t="str">
        <f aca="false">IF($H4994="","",ROW()-5)</f>
        <v/>
      </c>
      <c r="B4994" s="64" t="s">
        <v>38</v>
      </c>
      <c r="C4994" s="53" t="n">
        <v>300</v>
      </c>
      <c r="D4994" s="53" t="n">
        <v>1</v>
      </c>
      <c r="E4994" s="65" t="str">
        <f aca="false">IF($H4994="","",生产加工!$B300)</f>
        <v/>
      </c>
      <c r="F4994" s="55" t="str">
        <f aca="false">IF($H4994="","",生产加工!$C300)</f>
        <v/>
      </c>
      <c r="G4994" s="48" t="str">
        <f aca="false">IF($H4994="","",生产加工!$N300)</f>
        <v/>
      </c>
      <c r="H4994" s="10" t="str">
        <f aca="false">IF($L4994="","",IF($L4994="@对方",生产加工!$K300,IF($L4994="@存货",生产加工!$Q300,$L4994)))</f>
        <v/>
      </c>
      <c r="I4994" s="42" t="n">
        <f aca="false">IF($M4994="借",$O4994,0)</f>
        <v>0</v>
      </c>
      <c r="J4994" s="42" t="n">
        <f aca="false">IF($M4994="贷",$O4994,0)</f>
        <v>0</v>
      </c>
      <c r="K4994" s="48"/>
      <c r="L4994" s="66" t="str">
        <f aca="false">IF(生产加工!$E300="","",IFERROR(INDEX(记账规则!$A$36:$H$38,MATCH(生产加工!$E300,记账规则!$A$36:$A$38,0),3),""))</f>
        <v/>
      </c>
      <c r="M4994" s="66" t="str">
        <f aca="false">IF($L4994="","",IFERROR(INDEX(记账规则!$A$36:$H$38,MATCH(生产加工!$E300,记账规则!$A$36:$A$38,0),4),""))</f>
        <v/>
      </c>
      <c r="N4994" s="66" t="str">
        <f aca="false">IF($L4994="","",IFERROR(INDEX(记账规则!$A$36:$H$38,MATCH(生产加工!$E300,记账规则!$A$36:$A$38,0),5),""))</f>
        <v/>
      </c>
      <c r="O4994" s="67" t="n">
        <f aca="false">IF($H4994="",0,ROUND(IF($N4994="记账金额",N(生产加工!$U300),0),2))</f>
        <v>0</v>
      </c>
      <c r="P4994" s="64" t="str">
        <f aca="false">IF(AND($H4994&lt;&gt;"",ROUND($O4994,2)&lt;&gt;0),"有","")</f>
        <v/>
      </c>
    </row>
    <row r="4995" customFormat="false" ht="15" hidden="true" customHeight="false" outlineLevel="0" collapsed="false">
      <c r="A4995" s="53" t="str">
        <f aca="false">IF($H4995="","",ROW()-5)</f>
        <v/>
      </c>
      <c r="B4995" s="64" t="s">
        <v>38</v>
      </c>
      <c r="C4995" s="53" t="n">
        <v>300</v>
      </c>
      <c r="D4995" s="53" t="n">
        <v>2</v>
      </c>
      <c r="E4995" s="65" t="str">
        <f aca="false">IF($H4995="","",生产加工!$B300)</f>
        <v/>
      </c>
      <c r="F4995" s="55" t="str">
        <f aca="false">IF($H4995="","",生产加工!$C300)</f>
        <v/>
      </c>
      <c r="G4995" s="48" t="str">
        <f aca="false">IF($H4995="","",生产加工!$N300)</f>
        <v/>
      </c>
      <c r="H4995" s="10" t="str">
        <f aca="false">IF($L4995="","",IF($L4995="@对方",生产加工!$K300,IF($L4995="@存货",生产加工!$Q300,$L4995)))</f>
        <v/>
      </c>
      <c r="I4995" s="42" t="n">
        <f aca="false">IF($M4995="借",$O4995,0)</f>
        <v>0</v>
      </c>
      <c r="J4995" s="42" t="n">
        <f aca="false">IF($M4995="贷",$O4995,0)</f>
        <v>0</v>
      </c>
      <c r="K4995" s="48"/>
      <c r="L4995" s="66" t="str">
        <f aca="false">IF(生产加工!$E300="","",IFERROR(INDEX(记账规则!$A$36:$H$38,MATCH(生产加工!$E300,记账规则!$A$36:$A$38,0),6),""))</f>
        <v/>
      </c>
      <c r="M4995" s="66" t="str">
        <f aca="false">IF($L4995="","",IFERROR(INDEX(记账规则!$A$36:$H$38,MATCH(生产加工!$E300,记账规则!$A$36:$A$38,0),7),""))</f>
        <v/>
      </c>
      <c r="N4995" s="66" t="str">
        <f aca="false">IF($L4995="","",IFERROR(INDEX(记账规则!$A$36:$H$38,MATCH(生产加工!$E300,记账规则!$A$36:$A$38,0),8),""))</f>
        <v/>
      </c>
      <c r="O4995" s="67" t="n">
        <f aca="false">IF($H4995="",0,ROUND(IF($N4995="记账金额",N(生产加工!$U300),0),2))</f>
        <v>0</v>
      </c>
      <c r="P4995" s="64" t="str">
        <f aca="false">IF(AND($H4995&lt;&gt;"",ROUND($O4995,2)&lt;&gt;0),"有","")</f>
        <v/>
      </c>
    </row>
    <row r="4996" customFormat="false" ht="15" hidden="true" customHeight="false" outlineLevel="0" collapsed="false">
      <c r="A4996" s="53" t="str">
        <f aca="false">IF($H4996="","",ROW()-5)</f>
        <v/>
      </c>
      <c r="B4996" s="64" t="s">
        <v>38</v>
      </c>
      <c r="C4996" s="53" t="n">
        <v>301</v>
      </c>
      <c r="D4996" s="53" t="n">
        <v>1</v>
      </c>
      <c r="E4996" s="65" t="str">
        <f aca="false">IF($H4996="","",生产加工!$B301)</f>
        <v/>
      </c>
      <c r="F4996" s="55" t="str">
        <f aca="false">IF($H4996="","",生产加工!$C301)</f>
        <v/>
      </c>
      <c r="G4996" s="48" t="str">
        <f aca="false">IF($H4996="","",生产加工!$N301)</f>
        <v/>
      </c>
      <c r="H4996" s="10" t="str">
        <f aca="false">IF($L4996="","",IF($L4996="@对方",生产加工!$K301,IF($L4996="@存货",生产加工!$Q301,$L4996)))</f>
        <v/>
      </c>
      <c r="I4996" s="42" t="n">
        <f aca="false">IF($M4996="借",$O4996,0)</f>
        <v>0</v>
      </c>
      <c r="J4996" s="42" t="n">
        <f aca="false">IF($M4996="贷",$O4996,0)</f>
        <v>0</v>
      </c>
      <c r="K4996" s="48"/>
      <c r="L4996" s="66" t="str">
        <f aca="false">IF(生产加工!$E301="","",IFERROR(INDEX(记账规则!$A$36:$H$38,MATCH(生产加工!$E301,记账规则!$A$36:$A$38,0),3),""))</f>
        <v/>
      </c>
      <c r="M4996" s="66" t="str">
        <f aca="false">IF($L4996="","",IFERROR(INDEX(记账规则!$A$36:$H$38,MATCH(生产加工!$E301,记账规则!$A$36:$A$38,0),4),""))</f>
        <v/>
      </c>
      <c r="N4996" s="66" t="str">
        <f aca="false">IF($L4996="","",IFERROR(INDEX(记账规则!$A$36:$H$38,MATCH(生产加工!$E301,记账规则!$A$36:$A$38,0),5),""))</f>
        <v/>
      </c>
      <c r="O4996" s="67" t="n">
        <f aca="false">IF($H4996="",0,ROUND(IF($N4996="记账金额",N(生产加工!$U301),0),2))</f>
        <v>0</v>
      </c>
      <c r="P4996" s="64" t="str">
        <f aca="false">IF(AND($H4996&lt;&gt;"",ROUND($O4996,2)&lt;&gt;0),"有","")</f>
        <v/>
      </c>
    </row>
    <row r="4997" customFormat="false" ht="15" hidden="true" customHeight="false" outlineLevel="0" collapsed="false">
      <c r="A4997" s="53" t="str">
        <f aca="false">IF($H4997="","",ROW()-5)</f>
        <v/>
      </c>
      <c r="B4997" s="64" t="s">
        <v>38</v>
      </c>
      <c r="C4997" s="53" t="n">
        <v>301</v>
      </c>
      <c r="D4997" s="53" t="n">
        <v>2</v>
      </c>
      <c r="E4997" s="65" t="str">
        <f aca="false">IF($H4997="","",生产加工!$B301)</f>
        <v/>
      </c>
      <c r="F4997" s="55" t="str">
        <f aca="false">IF($H4997="","",生产加工!$C301)</f>
        <v/>
      </c>
      <c r="G4997" s="48" t="str">
        <f aca="false">IF($H4997="","",生产加工!$N301)</f>
        <v/>
      </c>
      <c r="H4997" s="10" t="str">
        <f aca="false">IF($L4997="","",IF($L4997="@对方",生产加工!$K301,IF($L4997="@存货",生产加工!$Q301,$L4997)))</f>
        <v/>
      </c>
      <c r="I4997" s="42" t="n">
        <f aca="false">IF($M4997="借",$O4997,0)</f>
        <v>0</v>
      </c>
      <c r="J4997" s="42" t="n">
        <f aca="false">IF($M4997="贷",$O4997,0)</f>
        <v>0</v>
      </c>
      <c r="K4997" s="48"/>
      <c r="L4997" s="66" t="str">
        <f aca="false">IF(生产加工!$E301="","",IFERROR(INDEX(记账规则!$A$36:$H$38,MATCH(生产加工!$E301,记账规则!$A$36:$A$38,0),6),""))</f>
        <v/>
      </c>
      <c r="M4997" s="66" t="str">
        <f aca="false">IF($L4997="","",IFERROR(INDEX(记账规则!$A$36:$H$38,MATCH(生产加工!$E301,记账规则!$A$36:$A$38,0),7),""))</f>
        <v/>
      </c>
      <c r="N4997" s="66" t="str">
        <f aca="false">IF($L4997="","",IFERROR(INDEX(记账规则!$A$36:$H$38,MATCH(生产加工!$E301,记账规则!$A$36:$A$38,0),8),""))</f>
        <v/>
      </c>
      <c r="O4997" s="67" t="n">
        <f aca="false">IF($H4997="",0,ROUND(IF($N4997="记账金额",N(生产加工!$U301),0),2))</f>
        <v>0</v>
      </c>
      <c r="P4997" s="64" t="str">
        <f aca="false">IF(AND($H4997&lt;&gt;"",ROUND($O4997,2)&lt;&gt;0),"有","")</f>
        <v/>
      </c>
    </row>
    <row r="4998" customFormat="false" ht="15" hidden="true" customHeight="false" outlineLevel="0" collapsed="false">
      <c r="A4998" s="53" t="str">
        <f aca="false">IF($H4998="","",ROW()-5)</f>
        <v/>
      </c>
      <c r="B4998" s="64" t="s">
        <v>38</v>
      </c>
      <c r="C4998" s="53" t="n">
        <v>302</v>
      </c>
      <c r="D4998" s="53" t="n">
        <v>1</v>
      </c>
      <c r="E4998" s="65" t="str">
        <f aca="false">IF($H4998="","",生产加工!$B302)</f>
        <v/>
      </c>
      <c r="F4998" s="55" t="str">
        <f aca="false">IF($H4998="","",生产加工!$C302)</f>
        <v/>
      </c>
      <c r="G4998" s="48" t="str">
        <f aca="false">IF($H4998="","",生产加工!$N302)</f>
        <v/>
      </c>
      <c r="H4998" s="10" t="str">
        <f aca="false">IF($L4998="","",IF($L4998="@对方",生产加工!$K302,IF($L4998="@存货",生产加工!$Q302,$L4998)))</f>
        <v/>
      </c>
      <c r="I4998" s="42" t="n">
        <f aca="false">IF($M4998="借",$O4998,0)</f>
        <v>0</v>
      </c>
      <c r="J4998" s="42" t="n">
        <f aca="false">IF($M4998="贷",$O4998,0)</f>
        <v>0</v>
      </c>
      <c r="K4998" s="48"/>
      <c r="L4998" s="66" t="str">
        <f aca="false">IF(生产加工!$E302="","",IFERROR(INDEX(记账规则!$A$36:$H$38,MATCH(生产加工!$E302,记账规则!$A$36:$A$38,0),3),""))</f>
        <v/>
      </c>
      <c r="M4998" s="66" t="str">
        <f aca="false">IF($L4998="","",IFERROR(INDEX(记账规则!$A$36:$H$38,MATCH(生产加工!$E302,记账规则!$A$36:$A$38,0),4),""))</f>
        <v/>
      </c>
      <c r="N4998" s="66" t="str">
        <f aca="false">IF($L4998="","",IFERROR(INDEX(记账规则!$A$36:$H$38,MATCH(生产加工!$E302,记账规则!$A$36:$A$38,0),5),""))</f>
        <v/>
      </c>
      <c r="O4998" s="67" t="n">
        <f aca="false">IF($H4998="",0,ROUND(IF($N4998="记账金额",N(生产加工!$U302),0),2))</f>
        <v>0</v>
      </c>
      <c r="P4998" s="64" t="str">
        <f aca="false">IF(AND($H4998&lt;&gt;"",ROUND($O4998,2)&lt;&gt;0),"有","")</f>
        <v/>
      </c>
    </row>
    <row r="4999" customFormat="false" ht="15" hidden="true" customHeight="false" outlineLevel="0" collapsed="false">
      <c r="A4999" s="53" t="str">
        <f aca="false">IF($H4999="","",ROW()-5)</f>
        <v/>
      </c>
      <c r="B4999" s="64" t="s">
        <v>38</v>
      </c>
      <c r="C4999" s="53" t="n">
        <v>302</v>
      </c>
      <c r="D4999" s="53" t="n">
        <v>2</v>
      </c>
      <c r="E4999" s="65" t="str">
        <f aca="false">IF($H4999="","",生产加工!$B302)</f>
        <v/>
      </c>
      <c r="F4999" s="55" t="str">
        <f aca="false">IF($H4999="","",生产加工!$C302)</f>
        <v/>
      </c>
      <c r="G4999" s="48" t="str">
        <f aca="false">IF($H4999="","",生产加工!$N302)</f>
        <v/>
      </c>
      <c r="H4999" s="10" t="str">
        <f aca="false">IF($L4999="","",IF($L4999="@对方",生产加工!$K302,IF($L4999="@存货",生产加工!$Q302,$L4999)))</f>
        <v/>
      </c>
      <c r="I4999" s="42" t="n">
        <f aca="false">IF($M4999="借",$O4999,0)</f>
        <v>0</v>
      </c>
      <c r="J4999" s="42" t="n">
        <f aca="false">IF($M4999="贷",$O4999,0)</f>
        <v>0</v>
      </c>
      <c r="K4999" s="48"/>
      <c r="L4999" s="66" t="str">
        <f aca="false">IF(生产加工!$E302="","",IFERROR(INDEX(记账规则!$A$36:$H$38,MATCH(生产加工!$E302,记账规则!$A$36:$A$38,0),6),""))</f>
        <v/>
      </c>
      <c r="M4999" s="66" t="str">
        <f aca="false">IF($L4999="","",IFERROR(INDEX(记账规则!$A$36:$H$38,MATCH(生产加工!$E302,记账规则!$A$36:$A$38,0),7),""))</f>
        <v/>
      </c>
      <c r="N4999" s="66" t="str">
        <f aca="false">IF($L4999="","",IFERROR(INDEX(记账规则!$A$36:$H$38,MATCH(生产加工!$E302,记账规则!$A$36:$A$38,0),8),""))</f>
        <v/>
      </c>
      <c r="O4999" s="67" t="n">
        <f aca="false">IF($H4999="",0,ROUND(IF($N4999="记账金额",N(生产加工!$U302),0),2))</f>
        <v>0</v>
      </c>
      <c r="P4999" s="64" t="str">
        <f aca="false">IF(AND($H4999&lt;&gt;"",ROUND($O4999,2)&lt;&gt;0),"有","")</f>
        <v/>
      </c>
    </row>
    <row r="5000" customFormat="false" ht="15" hidden="true" customHeight="false" outlineLevel="0" collapsed="false">
      <c r="A5000" s="53" t="str">
        <f aca="false">IF($H5000="","",ROW()-5)</f>
        <v/>
      </c>
      <c r="B5000" s="64" t="s">
        <v>38</v>
      </c>
      <c r="C5000" s="53" t="n">
        <v>303</v>
      </c>
      <c r="D5000" s="53" t="n">
        <v>1</v>
      </c>
      <c r="E5000" s="65" t="str">
        <f aca="false">IF($H5000="","",生产加工!$B303)</f>
        <v/>
      </c>
      <c r="F5000" s="55" t="str">
        <f aca="false">IF($H5000="","",生产加工!$C303)</f>
        <v/>
      </c>
      <c r="G5000" s="48" t="str">
        <f aca="false">IF($H5000="","",生产加工!$N303)</f>
        <v/>
      </c>
      <c r="H5000" s="10" t="str">
        <f aca="false">IF($L5000="","",IF($L5000="@对方",生产加工!$K303,IF($L5000="@存货",生产加工!$Q303,$L5000)))</f>
        <v/>
      </c>
      <c r="I5000" s="42" t="n">
        <f aca="false">IF($M5000="借",$O5000,0)</f>
        <v>0</v>
      </c>
      <c r="J5000" s="42" t="n">
        <f aca="false">IF($M5000="贷",$O5000,0)</f>
        <v>0</v>
      </c>
      <c r="K5000" s="48"/>
      <c r="L5000" s="66" t="str">
        <f aca="false">IF(生产加工!$E303="","",IFERROR(INDEX(记账规则!$A$36:$H$38,MATCH(生产加工!$E303,记账规则!$A$36:$A$38,0),3),""))</f>
        <v/>
      </c>
      <c r="M5000" s="66" t="str">
        <f aca="false">IF($L5000="","",IFERROR(INDEX(记账规则!$A$36:$H$38,MATCH(生产加工!$E303,记账规则!$A$36:$A$38,0),4),""))</f>
        <v/>
      </c>
      <c r="N5000" s="66" t="str">
        <f aca="false">IF($L5000="","",IFERROR(INDEX(记账规则!$A$36:$H$38,MATCH(生产加工!$E303,记账规则!$A$36:$A$38,0),5),""))</f>
        <v/>
      </c>
      <c r="O5000" s="67" t="n">
        <f aca="false">IF($H5000="",0,ROUND(IF($N5000="记账金额",N(生产加工!$U303),0),2))</f>
        <v>0</v>
      </c>
      <c r="P5000" s="64" t="str">
        <f aca="false">IF(AND($H5000&lt;&gt;"",ROUND($O5000,2)&lt;&gt;0),"有","")</f>
        <v/>
      </c>
    </row>
    <row r="5001" customFormat="false" ht="15" hidden="true" customHeight="false" outlineLevel="0" collapsed="false">
      <c r="A5001" s="53" t="str">
        <f aca="false">IF($H5001="","",ROW()-5)</f>
        <v/>
      </c>
      <c r="B5001" s="64" t="s">
        <v>38</v>
      </c>
      <c r="C5001" s="53" t="n">
        <v>303</v>
      </c>
      <c r="D5001" s="53" t="n">
        <v>2</v>
      </c>
      <c r="E5001" s="65" t="str">
        <f aca="false">IF($H5001="","",生产加工!$B303)</f>
        <v/>
      </c>
      <c r="F5001" s="55" t="str">
        <f aca="false">IF($H5001="","",生产加工!$C303)</f>
        <v/>
      </c>
      <c r="G5001" s="48" t="str">
        <f aca="false">IF($H5001="","",生产加工!$N303)</f>
        <v/>
      </c>
      <c r="H5001" s="10" t="str">
        <f aca="false">IF($L5001="","",IF($L5001="@对方",生产加工!$K303,IF($L5001="@存货",生产加工!$Q303,$L5001)))</f>
        <v/>
      </c>
      <c r="I5001" s="42" t="n">
        <f aca="false">IF($M5001="借",$O5001,0)</f>
        <v>0</v>
      </c>
      <c r="J5001" s="42" t="n">
        <f aca="false">IF($M5001="贷",$O5001,0)</f>
        <v>0</v>
      </c>
      <c r="K5001" s="48"/>
      <c r="L5001" s="66" t="str">
        <f aca="false">IF(生产加工!$E303="","",IFERROR(INDEX(记账规则!$A$36:$H$38,MATCH(生产加工!$E303,记账规则!$A$36:$A$38,0),6),""))</f>
        <v/>
      </c>
      <c r="M5001" s="66" t="str">
        <f aca="false">IF($L5001="","",IFERROR(INDEX(记账规则!$A$36:$H$38,MATCH(生产加工!$E303,记账规则!$A$36:$A$38,0),7),""))</f>
        <v/>
      </c>
      <c r="N5001" s="66" t="str">
        <f aca="false">IF($L5001="","",IFERROR(INDEX(记账规则!$A$36:$H$38,MATCH(生产加工!$E303,记账规则!$A$36:$A$38,0),8),""))</f>
        <v/>
      </c>
      <c r="O5001" s="67" t="n">
        <f aca="false">IF($H5001="",0,ROUND(IF($N5001="记账金额",N(生产加工!$U303),0),2))</f>
        <v>0</v>
      </c>
      <c r="P5001" s="64" t="str">
        <f aca="false">IF(AND($H5001&lt;&gt;"",ROUND($O5001,2)&lt;&gt;0),"有","")</f>
        <v/>
      </c>
    </row>
    <row r="5002" customFormat="false" ht="15" hidden="true" customHeight="false" outlineLevel="0" collapsed="false">
      <c r="A5002" s="53" t="str">
        <f aca="false">IF($H5002="","",ROW()-5)</f>
        <v/>
      </c>
      <c r="B5002" s="64" t="s">
        <v>38</v>
      </c>
      <c r="C5002" s="53" t="n">
        <v>304</v>
      </c>
      <c r="D5002" s="53" t="n">
        <v>1</v>
      </c>
      <c r="E5002" s="65" t="str">
        <f aca="false">IF($H5002="","",生产加工!$B304)</f>
        <v/>
      </c>
      <c r="F5002" s="55" t="str">
        <f aca="false">IF($H5002="","",生产加工!$C304)</f>
        <v/>
      </c>
      <c r="G5002" s="48" t="str">
        <f aca="false">IF($H5002="","",生产加工!$N304)</f>
        <v/>
      </c>
      <c r="H5002" s="10" t="str">
        <f aca="false">IF($L5002="","",IF($L5002="@对方",生产加工!$K304,IF($L5002="@存货",生产加工!$Q304,$L5002)))</f>
        <v/>
      </c>
      <c r="I5002" s="42" t="n">
        <f aca="false">IF($M5002="借",$O5002,0)</f>
        <v>0</v>
      </c>
      <c r="J5002" s="42" t="n">
        <f aca="false">IF($M5002="贷",$O5002,0)</f>
        <v>0</v>
      </c>
      <c r="K5002" s="48"/>
      <c r="L5002" s="66" t="str">
        <f aca="false">IF(生产加工!$E304="","",IFERROR(INDEX(记账规则!$A$36:$H$38,MATCH(生产加工!$E304,记账规则!$A$36:$A$38,0),3),""))</f>
        <v/>
      </c>
      <c r="M5002" s="66" t="str">
        <f aca="false">IF($L5002="","",IFERROR(INDEX(记账规则!$A$36:$H$38,MATCH(生产加工!$E304,记账规则!$A$36:$A$38,0),4),""))</f>
        <v/>
      </c>
      <c r="N5002" s="66" t="str">
        <f aca="false">IF($L5002="","",IFERROR(INDEX(记账规则!$A$36:$H$38,MATCH(生产加工!$E304,记账规则!$A$36:$A$38,0),5),""))</f>
        <v/>
      </c>
      <c r="O5002" s="67" t="n">
        <f aca="false">IF($H5002="",0,ROUND(IF($N5002="记账金额",N(生产加工!$U304),0),2))</f>
        <v>0</v>
      </c>
      <c r="P5002" s="64" t="str">
        <f aca="false">IF(AND($H5002&lt;&gt;"",ROUND($O5002,2)&lt;&gt;0),"有","")</f>
        <v/>
      </c>
    </row>
    <row r="5003" customFormat="false" ht="15" hidden="true" customHeight="false" outlineLevel="0" collapsed="false">
      <c r="A5003" s="53" t="str">
        <f aca="false">IF($H5003="","",ROW()-5)</f>
        <v/>
      </c>
      <c r="B5003" s="64" t="s">
        <v>38</v>
      </c>
      <c r="C5003" s="53" t="n">
        <v>304</v>
      </c>
      <c r="D5003" s="53" t="n">
        <v>2</v>
      </c>
      <c r="E5003" s="65" t="str">
        <f aca="false">IF($H5003="","",生产加工!$B304)</f>
        <v/>
      </c>
      <c r="F5003" s="55" t="str">
        <f aca="false">IF($H5003="","",生产加工!$C304)</f>
        <v/>
      </c>
      <c r="G5003" s="48" t="str">
        <f aca="false">IF($H5003="","",生产加工!$N304)</f>
        <v/>
      </c>
      <c r="H5003" s="10" t="str">
        <f aca="false">IF($L5003="","",IF($L5003="@对方",生产加工!$K304,IF($L5003="@存货",生产加工!$Q304,$L5003)))</f>
        <v/>
      </c>
      <c r="I5003" s="42" t="n">
        <f aca="false">IF($M5003="借",$O5003,0)</f>
        <v>0</v>
      </c>
      <c r="J5003" s="42" t="n">
        <f aca="false">IF($M5003="贷",$O5003,0)</f>
        <v>0</v>
      </c>
      <c r="K5003" s="48"/>
      <c r="L5003" s="66" t="str">
        <f aca="false">IF(生产加工!$E304="","",IFERROR(INDEX(记账规则!$A$36:$H$38,MATCH(生产加工!$E304,记账规则!$A$36:$A$38,0),6),""))</f>
        <v/>
      </c>
      <c r="M5003" s="66" t="str">
        <f aca="false">IF($L5003="","",IFERROR(INDEX(记账规则!$A$36:$H$38,MATCH(生产加工!$E304,记账规则!$A$36:$A$38,0),7),""))</f>
        <v/>
      </c>
      <c r="N5003" s="66" t="str">
        <f aca="false">IF($L5003="","",IFERROR(INDEX(记账规则!$A$36:$H$38,MATCH(生产加工!$E304,记账规则!$A$36:$A$38,0),8),""))</f>
        <v/>
      </c>
      <c r="O5003" s="67" t="n">
        <f aca="false">IF($H5003="",0,ROUND(IF($N5003="记账金额",N(生产加工!$U304),0),2))</f>
        <v>0</v>
      </c>
      <c r="P5003" s="64" t="str">
        <f aca="false">IF(AND($H5003&lt;&gt;"",ROUND($O5003,2)&lt;&gt;0),"有","")</f>
        <v/>
      </c>
    </row>
    <row r="5004" customFormat="false" ht="15" hidden="true" customHeight="false" outlineLevel="0" collapsed="false">
      <c r="A5004" s="53" t="str">
        <f aca="false">IF($H5004="","",ROW()-5)</f>
        <v/>
      </c>
      <c r="B5004" s="64" t="s">
        <v>38</v>
      </c>
      <c r="C5004" s="53" t="n">
        <v>305</v>
      </c>
      <c r="D5004" s="53" t="n">
        <v>1</v>
      </c>
      <c r="E5004" s="65" t="str">
        <f aca="false">IF($H5004="","",生产加工!$B305)</f>
        <v/>
      </c>
      <c r="F5004" s="55" t="str">
        <f aca="false">IF($H5004="","",生产加工!$C305)</f>
        <v/>
      </c>
      <c r="G5004" s="48" t="str">
        <f aca="false">IF($H5004="","",生产加工!$N305)</f>
        <v/>
      </c>
      <c r="H5004" s="10" t="str">
        <f aca="false">IF($L5004="","",IF($L5004="@对方",生产加工!$K305,IF($L5004="@存货",生产加工!$Q305,$L5004)))</f>
        <v/>
      </c>
      <c r="I5004" s="42" t="n">
        <f aca="false">IF($M5004="借",$O5004,0)</f>
        <v>0</v>
      </c>
      <c r="J5004" s="42" t="n">
        <f aca="false">IF($M5004="贷",$O5004,0)</f>
        <v>0</v>
      </c>
      <c r="K5004" s="48"/>
      <c r="L5004" s="66" t="str">
        <f aca="false">IF(生产加工!$E305="","",IFERROR(INDEX(记账规则!$A$36:$H$38,MATCH(生产加工!$E305,记账规则!$A$36:$A$38,0),3),""))</f>
        <v/>
      </c>
      <c r="M5004" s="66" t="str">
        <f aca="false">IF($L5004="","",IFERROR(INDEX(记账规则!$A$36:$H$38,MATCH(生产加工!$E305,记账规则!$A$36:$A$38,0),4),""))</f>
        <v/>
      </c>
      <c r="N5004" s="66" t="str">
        <f aca="false">IF($L5004="","",IFERROR(INDEX(记账规则!$A$36:$H$38,MATCH(生产加工!$E305,记账规则!$A$36:$A$38,0),5),""))</f>
        <v/>
      </c>
      <c r="O5004" s="67" t="n">
        <f aca="false">IF($H5004="",0,ROUND(IF($N5004="记账金额",N(生产加工!$U305),0),2))</f>
        <v>0</v>
      </c>
      <c r="P5004" s="64" t="str">
        <f aca="false">IF(AND($H5004&lt;&gt;"",ROUND($O5004,2)&lt;&gt;0),"有","")</f>
        <v/>
      </c>
    </row>
    <row r="5005" customFormat="false" ht="15" hidden="true" customHeight="false" outlineLevel="0" collapsed="false">
      <c r="A5005" s="53" t="str">
        <f aca="false">IF($H5005="","",ROW()-5)</f>
        <v/>
      </c>
      <c r="B5005" s="64" t="s">
        <v>38</v>
      </c>
      <c r="C5005" s="53" t="n">
        <v>305</v>
      </c>
      <c r="D5005" s="53" t="n">
        <v>2</v>
      </c>
      <c r="E5005" s="65" t="str">
        <f aca="false">IF($H5005="","",生产加工!$B305)</f>
        <v/>
      </c>
      <c r="F5005" s="55" t="str">
        <f aca="false">IF($H5005="","",生产加工!$C305)</f>
        <v/>
      </c>
      <c r="G5005" s="48" t="str">
        <f aca="false">IF($H5005="","",生产加工!$N305)</f>
        <v/>
      </c>
      <c r="H5005" s="10" t="str">
        <f aca="false">IF($L5005="","",IF($L5005="@对方",生产加工!$K305,IF($L5005="@存货",生产加工!$Q305,$L5005)))</f>
        <v/>
      </c>
      <c r="I5005" s="42" t="n">
        <f aca="false">IF($M5005="借",$O5005,0)</f>
        <v>0</v>
      </c>
      <c r="J5005" s="42" t="n">
        <f aca="false">IF($M5005="贷",$O5005,0)</f>
        <v>0</v>
      </c>
      <c r="K5005" s="48"/>
      <c r="L5005" s="66" t="str">
        <f aca="false">IF(生产加工!$E305="","",IFERROR(INDEX(记账规则!$A$36:$H$38,MATCH(生产加工!$E305,记账规则!$A$36:$A$38,0),6),""))</f>
        <v/>
      </c>
      <c r="M5005" s="66" t="str">
        <f aca="false">IF($L5005="","",IFERROR(INDEX(记账规则!$A$36:$H$38,MATCH(生产加工!$E305,记账规则!$A$36:$A$38,0),7),""))</f>
        <v/>
      </c>
      <c r="N5005" s="66" t="str">
        <f aca="false">IF($L5005="","",IFERROR(INDEX(记账规则!$A$36:$H$38,MATCH(生产加工!$E305,记账规则!$A$36:$A$38,0),8),""))</f>
        <v/>
      </c>
      <c r="O5005" s="67" t="n">
        <f aca="false">IF($H5005="",0,ROUND(IF($N5005="记账金额",N(生产加工!$U305),0),2))</f>
        <v>0</v>
      </c>
      <c r="P5005" s="64" t="str">
        <f aca="false">IF(AND($H5005&lt;&gt;"",ROUND($O5005,2)&lt;&gt;0),"有","")</f>
        <v/>
      </c>
    </row>
    <row r="5006" customFormat="false" ht="15" hidden="false" customHeight="false" outlineLevel="0" collapsed="false">
      <c r="A5006" s="53" t="n">
        <f aca="false">IF($H5006="","",ROW()-5)</f>
        <v>5001</v>
      </c>
      <c r="B5006" s="64" t="s">
        <v>39</v>
      </c>
      <c r="C5006" s="53" t="n">
        <v>6</v>
      </c>
      <c r="D5006" s="53" t="n">
        <v>1</v>
      </c>
      <c r="E5006" s="65" t="n">
        <f aca="false">IF($H5006="","",其他分录!$B6)</f>
        <v>46387</v>
      </c>
      <c r="F5006" s="55" t="str">
        <f aca="false">IF($H5006="","",其他分录!$C6)</f>
        <v>农业</v>
      </c>
      <c r="G5006" s="48" t="str">
        <f aca="false">IF($H5006="","",其他分录!$D6)</f>
        <v>计提林木（生产性生物资产）折旧</v>
      </c>
      <c r="H5006" s="10" t="str">
        <f aca="false">IF(OR(其他分录!$B6="",N(其他分录!$G6)=0),"",其他分录!$E6)</f>
        <v>管理费用</v>
      </c>
      <c r="I5006" s="42" t="n">
        <f aca="false">IF($M5006="借",$O5006,0)</f>
        <v>20000</v>
      </c>
      <c r="J5006" s="42" t="n">
        <f aca="false">IF($M5006="贷",$O5006,0)</f>
        <v>0</v>
      </c>
      <c r="K5006" s="48" t="n">
        <f aca="false">IF($H5006="","",其他分录!$H6)</f>
        <v>0</v>
      </c>
      <c r="L5006" s="66"/>
      <c r="M5006" s="66" t="str">
        <f aca="false">IF($H5006="","","借")</f>
        <v>借</v>
      </c>
      <c r="N5006" s="66"/>
      <c r="O5006" s="67" t="n">
        <f aca="false">IF($H5006="",0,ROUND(N(其他分录!$G6),2))</f>
        <v>20000</v>
      </c>
      <c r="P5006" s="64" t="str">
        <f aca="false">IF(AND($H5006&lt;&gt;"",ROUND($O5006,2)&lt;&gt;0),"有","")</f>
        <v>有</v>
      </c>
    </row>
    <row r="5007" customFormat="false" ht="15" hidden="false" customHeight="false" outlineLevel="0" collapsed="false">
      <c r="A5007" s="53" t="n">
        <f aca="false">IF($H5007="","",ROW()-5)</f>
        <v>5002</v>
      </c>
      <c r="B5007" s="64" t="s">
        <v>39</v>
      </c>
      <c r="C5007" s="53" t="n">
        <v>6</v>
      </c>
      <c r="D5007" s="53" t="n">
        <v>2</v>
      </c>
      <c r="E5007" s="65" t="n">
        <f aca="false">IF($H5007="","",其他分录!$B6)</f>
        <v>46387</v>
      </c>
      <c r="F5007" s="55" t="str">
        <f aca="false">IF($H5007="","",其他分录!$C6)</f>
        <v>农业</v>
      </c>
      <c r="G5007" s="48" t="str">
        <f aca="false">IF($H5007="","",其他分录!$D6)</f>
        <v>计提林木（生产性生物资产）折旧</v>
      </c>
      <c r="H5007" s="10" t="str">
        <f aca="false">IF(OR(其他分录!$B6="",N(其他分录!$G6)=0),"",其他分录!$F6)</f>
        <v>生物资产累计折旧</v>
      </c>
      <c r="I5007" s="42" t="n">
        <f aca="false">IF($M5007="借",$O5007,0)</f>
        <v>0</v>
      </c>
      <c r="J5007" s="42" t="n">
        <f aca="false">IF($M5007="贷",$O5007,0)</f>
        <v>20000</v>
      </c>
      <c r="K5007" s="48" t="n">
        <f aca="false">IF($H5007="","",其他分录!$H6)</f>
        <v>0</v>
      </c>
      <c r="L5007" s="66"/>
      <c r="M5007" s="66" t="str">
        <f aca="false">IF($H5007="","","贷")</f>
        <v>贷</v>
      </c>
      <c r="N5007" s="66"/>
      <c r="O5007" s="67" t="n">
        <f aca="false">IF($H5007="",0,ROUND(N(其他分录!$G6),2))</f>
        <v>20000</v>
      </c>
      <c r="P5007" s="64" t="str">
        <f aca="false">IF(AND($H5007&lt;&gt;"",ROUND($O5007,2)&lt;&gt;0),"有","")</f>
        <v>有</v>
      </c>
    </row>
    <row r="5008" customFormat="false" ht="15" hidden="false" customHeight="false" outlineLevel="0" collapsed="false">
      <c r="A5008" s="53" t="n">
        <f aca="false">IF($H5008="","",ROW()-5)</f>
        <v>5003</v>
      </c>
      <c r="B5008" s="64" t="s">
        <v>39</v>
      </c>
      <c r="C5008" s="53" t="n">
        <v>7</v>
      </c>
      <c r="D5008" s="53" t="n">
        <v>1</v>
      </c>
      <c r="E5008" s="65" t="n">
        <f aca="false">IF($H5008="","",其他分录!$B7)</f>
        <v>46387</v>
      </c>
      <c r="F5008" s="55" t="str">
        <f aca="false">IF($H5008="","",其他分录!$C7)</f>
        <v>农业</v>
      </c>
      <c r="G5008" s="48" t="str">
        <f aca="false">IF($H5008="","",其他分录!$D7)</f>
        <v>摊销林权及土地使用权</v>
      </c>
      <c r="H5008" s="10" t="str">
        <f aca="false">IF(OR(其他分录!$B7="",N(其他分录!$G7)=0),"",其他分录!$E7)</f>
        <v>管理费用</v>
      </c>
      <c r="I5008" s="42" t="n">
        <f aca="false">IF($M5008="借",$O5008,0)</f>
        <v>24000</v>
      </c>
      <c r="J5008" s="42" t="n">
        <f aca="false">IF($M5008="贷",$O5008,0)</f>
        <v>0</v>
      </c>
      <c r="K5008" s="48" t="n">
        <f aca="false">IF($H5008="","",其他分录!$H7)</f>
        <v>0</v>
      </c>
      <c r="L5008" s="66"/>
      <c r="M5008" s="66" t="str">
        <f aca="false">IF($H5008="","","借")</f>
        <v>借</v>
      </c>
      <c r="N5008" s="66"/>
      <c r="O5008" s="67" t="n">
        <f aca="false">IF($H5008="",0,ROUND(N(其他分录!$G7),2))</f>
        <v>24000</v>
      </c>
      <c r="P5008" s="64" t="str">
        <f aca="false">IF(AND($H5008&lt;&gt;"",ROUND($O5008,2)&lt;&gt;0),"有","")</f>
        <v>有</v>
      </c>
    </row>
    <row r="5009" customFormat="false" ht="15" hidden="false" customHeight="false" outlineLevel="0" collapsed="false">
      <c r="A5009" s="53" t="n">
        <f aca="false">IF($H5009="","",ROW()-5)</f>
        <v>5004</v>
      </c>
      <c r="B5009" s="64" t="s">
        <v>39</v>
      </c>
      <c r="C5009" s="53" t="n">
        <v>7</v>
      </c>
      <c r="D5009" s="53" t="n">
        <v>2</v>
      </c>
      <c r="E5009" s="65" t="n">
        <f aca="false">IF($H5009="","",其他分录!$B7)</f>
        <v>46387</v>
      </c>
      <c r="F5009" s="55" t="str">
        <f aca="false">IF($H5009="","",其他分录!$C7)</f>
        <v>农业</v>
      </c>
      <c r="G5009" s="48" t="str">
        <f aca="false">IF($H5009="","",其他分录!$D7)</f>
        <v>摊销林权及土地使用权</v>
      </c>
      <c r="H5009" s="10" t="str">
        <f aca="false">IF(OR(其他分录!$B7="",N(其他分录!$G7)=0),"",其他分录!$F7)</f>
        <v>累计摊销</v>
      </c>
      <c r="I5009" s="42" t="n">
        <f aca="false">IF($M5009="借",$O5009,0)</f>
        <v>0</v>
      </c>
      <c r="J5009" s="42" t="n">
        <f aca="false">IF($M5009="贷",$O5009,0)</f>
        <v>24000</v>
      </c>
      <c r="K5009" s="48" t="n">
        <f aca="false">IF($H5009="","",其他分录!$H7)</f>
        <v>0</v>
      </c>
      <c r="L5009" s="66"/>
      <c r="M5009" s="66" t="str">
        <f aca="false">IF($H5009="","","贷")</f>
        <v>贷</v>
      </c>
      <c r="N5009" s="66"/>
      <c r="O5009" s="67" t="n">
        <f aca="false">IF($H5009="",0,ROUND(N(其他分录!$G7),2))</f>
        <v>24000</v>
      </c>
      <c r="P5009" s="64" t="str">
        <f aca="false">IF(AND($H5009&lt;&gt;"",ROUND($O5009,2)&lt;&gt;0),"有","")</f>
        <v>有</v>
      </c>
    </row>
    <row r="5010" customFormat="false" ht="15" hidden="false" customHeight="false" outlineLevel="0" collapsed="false">
      <c r="A5010" s="53" t="n">
        <f aca="false">IF($H5010="","",ROW()-5)</f>
        <v>5005</v>
      </c>
      <c r="B5010" s="64" t="s">
        <v>39</v>
      </c>
      <c r="C5010" s="53" t="n">
        <v>8</v>
      </c>
      <c r="D5010" s="53" t="n">
        <v>1</v>
      </c>
      <c r="E5010" s="65" t="n">
        <f aca="false">IF($H5010="","",其他分录!$B8)</f>
        <v>46387</v>
      </c>
      <c r="F5010" s="55" t="str">
        <f aca="false">IF($H5010="","",其他分录!$C8)</f>
        <v>农业</v>
      </c>
      <c r="G5010" s="48" t="str">
        <f aca="false">IF($H5010="","",其他分录!$D8)</f>
        <v>计提固定资产折旧</v>
      </c>
      <c r="H5010" s="10" t="str">
        <f aca="false">IF(OR(其他分录!$B8="",N(其他分录!$G8)=0),"",其他分录!$E8)</f>
        <v>管理费用</v>
      </c>
      <c r="I5010" s="42" t="n">
        <f aca="false">IF($M5010="借",$O5010,0)</f>
        <v>26000</v>
      </c>
      <c r="J5010" s="42" t="n">
        <f aca="false">IF($M5010="贷",$O5010,0)</f>
        <v>0</v>
      </c>
      <c r="K5010" s="48" t="n">
        <f aca="false">IF($H5010="","",其他分录!$H8)</f>
        <v>0</v>
      </c>
      <c r="L5010" s="66"/>
      <c r="M5010" s="66" t="str">
        <f aca="false">IF($H5010="","","借")</f>
        <v>借</v>
      </c>
      <c r="N5010" s="66"/>
      <c r="O5010" s="67" t="n">
        <f aca="false">IF($H5010="",0,ROUND(N(其他分录!$G8),2))</f>
        <v>26000</v>
      </c>
      <c r="P5010" s="64" t="str">
        <f aca="false">IF(AND($H5010&lt;&gt;"",ROUND($O5010,2)&lt;&gt;0),"有","")</f>
        <v>有</v>
      </c>
    </row>
    <row r="5011" customFormat="false" ht="15" hidden="false" customHeight="false" outlineLevel="0" collapsed="false">
      <c r="A5011" s="53" t="n">
        <f aca="false">IF($H5011="","",ROW()-5)</f>
        <v>5006</v>
      </c>
      <c r="B5011" s="64" t="s">
        <v>39</v>
      </c>
      <c r="C5011" s="53" t="n">
        <v>8</v>
      </c>
      <c r="D5011" s="53" t="n">
        <v>2</v>
      </c>
      <c r="E5011" s="65" t="n">
        <f aca="false">IF($H5011="","",其他分录!$B8)</f>
        <v>46387</v>
      </c>
      <c r="F5011" s="55" t="str">
        <f aca="false">IF($H5011="","",其他分录!$C8)</f>
        <v>农业</v>
      </c>
      <c r="G5011" s="48" t="str">
        <f aca="false">IF($H5011="","",其他分录!$D8)</f>
        <v>计提固定资产折旧</v>
      </c>
      <c r="H5011" s="10" t="str">
        <f aca="false">IF(OR(其他分录!$B8="",N(其他分录!$G8)=0),"",其他分录!$F8)</f>
        <v>累计折旧</v>
      </c>
      <c r="I5011" s="42" t="n">
        <f aca="false">IF($M5011="借",$O5011,0)</f>
        <v>0</v>
      </c>
      <c r="J5011" s="42" t="n">
        <f aca="false">IF($M5011="贷",$O5011,0)</f>
        <v>26000</v>
      </c>
      <c r="K5011" s="48" t="n">
        <f aca="false">IF($H5011="","",其他分录!$H8)</f>
        <v>0</v>
      </c>
      <c r="L5011" s="66"/>
      <c r="M5011" s="66" t="str">
        <f aca="false">IF($H5011="","","贷")</f>
        <v>贷</v>
      </c>
      <c r="N5011" s="66"/>
      <c r="O5011" s="67" t="n">
        <f aca="false">IF($H5011="",0,ROUND(N(其他分录!$G8),2))</f>
        <v>26000</v>
      </c>
      <c r="P5011" s="64" t="str">
        <f aca="false">IF(AND($H5011&lt;&gt;"",ROUND($O5011,2)&lt;&gt;0),"有","")</f>
        <v>有</v>
      </c>
    </row>
    <row r="5012" customFormat="false" ht="15" hidden="false" customHeight="false" outlineLevel="0" collapsed="false">
      <c r="A5012" s="53" t="n">
        <f aca="false">IF($H5012="","",ROW()-5)</f>
        <v>5007</v>
      </c>
      <c r="B5012" s="64" t="s">
        <v>39</v>
      </c>
      <c r="C5012" s="53" t="n">
        <v>9</v>
      </c>
      <c r="D5012" s="53" t="n">
        <v>1</v>
      </c>
      <c r="E5012" s="65" t="n">
        <f aca="false">IF($H5012="","",其他分录!$B9)</f>
        <v>46387</v>
      </c>
      <c r="F5012" s="55" t="str">
        <f aca="false">IF($H5012="","",其他分录!$C9)</f>
        <v>农业</v>
      </c>
      <c r="G5012" s="48" t="str">
        <f aca="false">IF($H5012="","",其他分录!$D9)</f>
        <v>计提管理人员工资</v>
      </c>
      <c r="H5012" s="10" t="str">
        <f aca="false">IF(OR(其他分录!$B9="",N(其他分录!$G9)=0),"",其他分录!$E9)</f>
        <v>管理费用</v>
      </c>
      <c r="I5012" s="42" t="n">
        <f aca="false">IF($M5012="借",$O5012,0)</f>
        <v>36000</v>
      </c>
      <c r="J5012" s="42" t="n">
        <f aca="false">IF($M5012="贷",$O5012,0)</f>
        <v>0</v>
      </c>
      <c r="K5012" s="48" t="n">
        <f aca="false">IF($H5012="","",其他分录!$H9)</f>
        <v>0</v>
      </c>
      <c r="L5012" s="66"/>
      <c r="M5012" s="66" t="str">
        <f aca="false">IF($H5012="","","借")</f>
        <v>借</v>
      </c>
      <c r="N5012" s="66"/>
      <c r="O5012" s="67" t="n">
        <f aca="false">IF($H5012="",0,ROUND(N(其他分录!$G9),2))</f>
        <v>36000</v>
      </c>
      <c r="P5012" s="64" t="str">
        <f aca="false">IF(AND($H5012&lt;&gt;"",ROUND($O5012,2)&lt;&gt;0),"有","")</f>
        <v>有</v>
      </c>
    </row>
    <row r="5013" customFormat="false" ht="15" hidden="false" customHeight="false" outlineLevel="0" collapsed="false">
      <c r="A5013" s="53" t="n">
        <f aca="false">IF($H5013="","",ROW()-5)</f>
        <v>5008</v>
      </c>
      <c r="B5013" s="64" t="s">
        <v>39</v>
      </c>
      <c r="C5013" s="53" t="n">
        <v>9</v>
      </c>
      <c r="D5013" s="53" t="n">
        <v>2</v>
      </c>
      <c r="E5013" s="65" t="n">
        <f aca="false">IF($H5013="","",其他分录!$B9)</f>
        <v>46387</v>
      </c>
      <c r="F5013" s="55" t="str">
        <f aca="false">IF($H5013="","",其他分录!$C9)</f>
        <v>农业</v>
      </c>
      <c r="G5013" s="48" t="str">
        <f aca="false">IF($H5013="","",其他分录!$D9)</f>
        <v>计提管理人员工资</v>
      </c>
      <c r="H5013" s="10" t="str">
        <f aca="false">IF(OR(其他分录!$B9="",N(其他分录!$G9)=0),"",其他分录!$F9)</f>
        <v>应付职工薪酬</v>
      </c>
      <c r="I5013" s="42" t="n">
        <f aca="false">IF($M5013="借",$O5013,0)</f>
        <v>0</v>
      </c>
      <c r="J5013" s="42" t="n">
        <f aca="false">IF($M5013="贷",$O5013,0)</f>
        <v>36000</v>
      </c>
      <c r="K5013" s="48" t="n">
        <f aca="false">IF($H5013="","",其他分录!$H9)</f>
        <v>0</v>
      </c>
      <c r="L5013" s="66"/>
      <c r="M5013" s="66" t="str">
        <f aca="false">IF($H5013="","","贷")</f>
        <v>贷</v>
      </c>
      <c r="N5013" s="66"/>
      <c r="O5013" s="67" t="n">
        <f aca="false">IF($H5013="",0,ROUND(N(其他分录!$G9),2))</f>
        <v>36000</v>
      </c>
      <c r="P5013" s="64" t="str">
        <f aca="false">IF(AND($H5013&lt;&gt;"",ROUND($O5013,2)&lt;&gt;0),"有","")</f>
        <v>有</v>
      </c>
    </row>
    <row r="5014" customFormat="false" ht="15" hidden="false" customHeight="false" outlineLevel="0" collapsed="false">
      <c r="A5014" s="53" t="n">
        <f aca="false">IF($H5014="","",ROW()-5)</f>
        <v>5009</v>
      </c>
      <c r="B5014" s="64" t="s">
        <v>39</v>
      </c>
      <c r="C5014" s="53" t="n">
        <v>10</v>
      </c>
      <c r="D5014" s="53" t="n">
        <v>1</v>
      </c>
      <c r="E5014" s="65" t="n">
        <f aca="false">IF($H5014="","",其他分录!$B10)</f>
        <v>46387</v>
      </c>
      <c r="F5014" s="55" t="str">
        <f aca="false">IF($H5014="","",其他分录!$C10)</f>
        <v>农业</v>
      </c>
      <c r="G5014" s="48" t="str">
        <f aca="false">IF($H5014="","",其他分录!$D10)</f>
        <v>计提社保公积金</v>
      </c>
      <c r="H5014" s="10" t="str">
        <f aca="false">IF(OR(其他分录!$B10="",N(其他分录!$G10)=0),"",其他分录!$E10)</f>
        <v>管理费用</v>
      </c>
      <c r="I5014" s="42" t="n">
        <f aca="false">IF($M5014="借",$O5014,0)</f>
        <v>12000</v>
      </c>
      <c r="J5014" s="42" t="n">
        <f aca="false">IF($M5014="贷",$O5014,0)</f>
        <v>0</v>
      </c>
      <c r="K5014" s="48" t="n">
        <f aca="false">IF($H5014="","",其他分录!$H10)</f>
        <v>0</v>
      </c>
      <c r="L5014" s="66"/>
      <c r="M5014" s="66" t="str">
        <f aca="false">IF($H5014="","","借")</f>
        <v>借</v>
      </c>
      <c r="N5014" s="66"/>
      <c r="O5014" s="67" t="n">
        <f aca="false">IF($H5014="",0,ROUND(N(其他分录!$G10),2))</f>
        <v>12000</v>
      </c>
      <c r="P5014" s="64" t="str">
        <f aca="false">IF(AND($H5014&lt;&gt;"",ROUND($O5014,2)&lt;&gt;0),"有","")</f>
        <v>有</v>
      </c>
    </row>
    <row r="5015" customFormat="false" ht="15" hidden="false" customHeight="false" outlineLevel="0" collapsed="false">
      <c r="A5015" s="53" t="n">
        <f aca="false">IF($H5015="","",ROW()-5)</f>
        <v>5010</v>
      </c>
      <c r="B5015" s="64" t="s">
        <v>39</v>
      </c>
      <c r="C5015" s="53" t="n">
        <v>10</v>
      </c>
      <c r="D5015" s="53" t="n">
        <v>2</v>
      </c>
      <c r="E5015" s="65" t="n">
        <f aca="false">IF($H5015="","",其他分录!$B10)</f>
        <v>46387</v>
      </c>
      <c r="F5015" s="55" t="str">
        <f aca="false">IF($H5015="","",其他分录!$C10)</f>
        <v>农业</v>
      </c>
      <c r="G5015" s="48" t="str">
        <f aca="false">IF($H5015="","",其他分录!$D10)</f>
        <v>计提社保公积金</v>
      </c>
      <c r="H5015" s="10" t="str">
        <f aca="false">IF(OR(其他分录!$B10="",N(其他分录!$G10)=0),"",其他分录!$F10)</f>
        <v>其他应付款</v>
      </c>
      <c r="I5015" s="42" t="n">
        <f aca="false">IF($M5015="借",$O5015,0)</f>
        <v>0</v>
      </c>
      <c r="J5015" s="42" t="n">
        <f aca="false">IF($M5015="贷",$O5015,0)</f>
        <v>12000</v>
      </c>
      <c r="K5015" s="48" t="n">
        <f aca="false">IF($H5015="","",其他分录!$H10)</f>
        <v>0</v>
      </c>
      <c r="L5015" s="66"/>
      <c r="M5015" s="66" t="str">
        <f aca="false">IF($H5015="","","贷")</f>
        <v>贷</v>
      </c>
      <c r="N5015" s="66"/>
      <c r="O5015" s="67" t="n">
        <f aca="false">IF($H5015="",0,ROUND(N(其他分录!$G10),2))</f>
        <v>12000</v>
      </c>
      <c r="P5015" s="64" t="str">
        <f aca="false">IF(AND($H5015&lt;&gt;"",ROUND($O5015,2)&lt;&gt;0),"有","")</f>
        <v>有</v>
      </c>
    </row>
    <row r="5016" customFormat="false" ht="15" hidden="false" customHeight="false" outlineLevel="0" collapsed="false">
      <c r="A5016" s="53" t="n">
        <f aca="false">IF($H5016="","",ROW()-5)</f>
        <v>5011</v>
      </c>
      <c r="B5016" s="64" t="s">
        <v>39</v>
      </c>
      <c r="C5016" s="53" t="n">
        <v>11</v>
      </c>
      <c r="D5016" s="53" t="n">
        <v>1</v>
      </c>
      <c r="E5016" s="65" t="n">
        <f aca="false">IF($H5016="","",其他分录!$B11)</f>
        <v>46387</v>
      </c>
      <c r="F5016" s="55" t="str">
        <f aca="false">IF($H5016="","",其他分录!$C11)</f>
        <v>木业</v>
      </c>
      <c r="G5016" s="48" t="str">
        <f aca="false">IF($H5016="","",其他分录!$D11)</f>
        <v>计提固定资产折旧（车间以外）</v>
      </c>
      <c r="H5016" s="10" t="str">
        <f aca="false">IF(OR(其他分录!$B11="",N(其他分录!$G11)=0),"",其他分录!$E11)</f>
        <v>管理费用</v>
      </c>
      <c r="I5016" s="42" t="n">
        <f aca="false">IF($M5016="借",$O5016,0)</f>
        <v>80000</v>
      </c>
      <c r="J5016" s="42" t="n">
        <f aca="false">IF($M5016="贷",$O5016,0)</f>
        <v>0</v>
      </c>
      <c r="K5016" s="48" t="n">
        <f aca="false">IF($H5016="","",其他分录!$H11)</f>
        <v>0</v>
      </c>
      <c r="L5016" s="66"/>
      <c r="M5016" s="66" t="str">
        <f aca="false">IF($H5016="","","借")</f>
        <v>借</v>
      </c>
      <c r="N5016" s="66"/>
      <c r="O5016" s="67" t="n">
        <f aca="false">IF($H5016="",0,ROUND(N(其他分录!$G11),2))</f>
        <v>80000</v>
      </c>
      <c r="P5016" s="64" t="str">
        <f aca="false">IF(AND($H5016&lt;&gt;"",ROUND($O5016,2)&lt;&gt;0),"有","")</f>
        <v>有</v>
      </c>
    </row>
    <row r="5017" customFormat="false" ht="15" hidden="false" customHeight="false" outlineLevel="0" collapsed="false">
      <c r="A5017" s="53" t="n">
        <f aca="false">IF($H5017="","",ROW()-5)</f>
        <v>5012</v>
      </c>
      <c r="B5017" s="64" t="s">
        <v>39</v>
      </c>
      <c r="C5017" s="53" t="n">
        <v>11</v>
      </c>
      <c r="D5017" s="53" t="n">
        <v>2</v>
      </c>
      <c r="E5017" s="65" t="n">
        <f aca="false">IF($H5017="","",其他分录!$B11)</f>
        <v>46387</v>
      </c>
      <c r="F5017" s="55" t="str">
        <f aca="false">IF($H5017="","",其他分录!$C11)</f>
        <v>木业</v>
      </c>
      <c r="G5017" s="48" t="str">
        <f aca="false">IF($H5017="","",其他分录!$D11)</f>
        <v>计提固定资产折旧（车间以外）</v>
      </c>
      <c r="H5017" s="10" t="str">
        <f aca="false">IF(OR(其他分录!$B11="",N(其他分录!$G11)=0),"",其他分录!$F11)</f>
        <v>累计折旧</v>
      </c>
      <c r="I5017" s="42" t="n">
        <f aca="false">IF($M5017="借",$O5017,0)</f>
        <v>0</v>
      </c>
      <c r="J5017" s="42" t="n">
        <f aca="false">IF($M5017="贷",$O5017,0)</f>
        <v>80000</v>
      </c>
      <c r="K5017" s="48" t="n">
        <f aca="false">IF($H5017="","",其他分录!$H11)</f>
        <v>0</v>
      </c>
      <c r="L5017" s="66"/>
      <c r="M5017" s="66" t="str">
        <f aca="false">IF($H5017="","","贷")</f>
        <v>贷</v>
      </c>
      <c r="N5017" s="66"/>
      <c r="O5017" s="67" t="n">
        <f aca="false">IF($H5017="",0,ROUND(N(其他分录!$G11),2))</f>
        <v>80000</v>
      </c>
      <c r="P5017" s="64" t="str">
        <f aca="false">IF(AND($H5017&lt;&gt;"",ROUND($O5017,2)&lt;&gt;0),"有","")</f>
        <v>有</v>
      </c>
    </row>
    <row r="5018" customFormat="false" ht="15" hidden="false" customHeight="false" outlineLevel="0" collapsed="false">
      <c r="A5018" s="53" t="n">
        <f aca="false">IF($H5018="","",ROW()-5)</f>
        <v>5013</v>
      </c>
      <c r="B5018" s="64" t="s">
        <v>39</v>
      </c>
      <c r="C5018" s="53" t="n">
        <v>12</v>
      </c>
      <c r="D5018" s="53" t="n">
        <v>1</v>
      </c>
      <c r="E5018" s="65" t="n">
        <f aca="false">IF($H5018="","",其他分录!$B12)</f>
        <v>46387</v>
      </c>
      <c r="F5018" s="55" t="str">
        <f aca="false">IF($H5018="","",其他分录!$C12)</f>
        <v>木业</v>
      </c>
      <c r="G5018" s="48" t="str">
        <f aca="false">IF($H5018="","",其他分录!$D12)</f>
        <v>计提厂房租金</v>
      </c>
      <c r="H5018" s="10" t="str">
        <f aca="false">IF(OR(其他分录!$B12="",N(其他分录!$G12)=0),"",其他分录!$E12)</f>
        <v>管理费用</v>
      </c>
      <c r="I5018" s="42" t="n">
        <f aca="false">IF($M5018="借",$O5018,0)</f>
        <v>24000</v>
      </c>
      <c r="J5018" s="42" t="n">
        <f aca="false">IF($M5018="贷",$O5018,0)</f>
        <v>0</v>
      </c>
      <c r="K5018" s="48" t="n">
        <f aca="false">IF($H5018="","",其他分录!$H12)</f>
        <v>0</v>
      </c>
      <c r="L5018" s="66"/>
      <c r="M5018" s="66" t="str">
        <f aca="false">IF($H5018="","","借")</f>
        <v>借</v>
      </c>
      <c r="N5018" s="66"/>
      <c r="O5018" s="67" t="n">
        <f aca="false">IF($H5018="",0,ROUND(N(其他分录!$G12),2))</f>
        <v>24000</v>
      </c>
      <c r="P5018" s="64" t="str">
        <f aca="false">IF(AND($H5018&lt;&gt;"",ROUND($O5018,2)&lt;&gt;0),"有","")</f>
        <v>有</v>
      </c>
    </row>
    <row r="5019" customFormat="false" ht="15" hidden="false" customHeight="false" outlineLevel="0" collapsed="false">
      <c r="A5019" s="53" t="n">
        <f aca="false">IF($H5019="","",ROW()-5)</f>
        <v>5014</v>
      </c>
      <c r="B5019" s="64" t="s">
        <v>39</v>
      </c>
      <c r="C5019" s="53" t="n">
        <v>12</v>
      </c>
      <c r="D5019" s="53" t="n">
        <v>2</v>
      </c>
      <c r="E5019" s="65" t="n">
        <f aca="false">IF($H5019="","",其他分录!$B12)</f>
        <v>46387</v>
      </c>
      <c r="F5019" s="55" t="str">
        <f aca="false">IF($H5019="","",其他分录!$C12)</f>
        <v>木业</v>
      </c>
      <c r="G5019" s="48" t="str">
        <f aca="false">IF($H5019="","",其他分录!$D12)</f>
        <v>计提厂房租金</v>
      </c>
      <c r="H5019" s="10" t="str">
        <f aca="false">IF(OR(其他分录!$B12="",N(其他分录!$G12)=0),"",其他分录!$F12)</f>
        <v>其他应付款</v>
      </c>
      <c r="I5019" s="42" t="n">
        <f aca="false">IF($M5019="借",$O5019,0)</f>
        <v>0</v>
      </c>
      <c r="J5019" s="42" t="n">
        <f aca="false">IF($M5019="贷",$O5019,0)</f>
        <v>24000</v>
      </c>
      <c r="K5019" s="48" t="n">
        <f aca="false">IF($H5019="","",其他分录!$H12)</f>
        <v>0</v>
      </c>
      <c r="L5019" s="66"/>
      <c r="M5019" s="66" t="str">
        <f aca="false">IF($H5019="","","贷")</f>
        <v>贷</v>
      </c>
      <c r="N5019" s="66"/>
      <c r="O5019" s="67" t="n">
        <f aca="false">IF($H5019="",0,ROUND(N(其他分录!$G12),2))</f>
        <v>24000</v>
      </c>
      <c r="P5019" s="64" t="str">
        <f aca="false">IF(AND($H5019&lt;&gt;"",ROUND($O5019,2)&lt;&gt;0),"有","")</f>
        <v>有</v>
      </c>
    </row>
    <row r="5020" customFormat="false" ht="15" hidden="false" customHeight="false" outlineLevel="0" collapsed="false">
      <c r="A5020" s="53" t="n">
        <f aca="false">IF($H5020="","",ROW()-5)</f>
        <v>5015</v>
      </c>
      <c r="B5020" s="64" t="s">
        <v>39</v>
      </c>
      <c r="C5020" s="53" t="n">
        <v>13</v>
      </c>
      <c r="D5020" s="53" t="n">
        <v>1</v>
      </c>
      <c r="E5020" s="65" t="n">
        <f aca="false">IF($H5020="","",其他分录!$B13)</f>
        <v>46387</v>
      </c>
      <c r="F5020" s="55" t="str">
        <f aca="false">IF($H5020="","",其他分录!$C13)</f>
        <v>科技</v>
      </c>
      <c r="G5020" s="48" t="str">
        <f aca="false">IF($H5020="","",其他分录!$D13)</f>
        <v>计提固定资产折旧</v>
      </c>
      <c r="H5020" s="10" t="str">
        <f aca="false">IF(OR(其他分录!$B13="",N(其他分录!$G13)=0),"",其他分录!$E13)</f>
        <v>管理费用</v>
      </c>
      <c r="I5020" s="42" t="n">
        <f aca="false">IF($M5020="借",$O5020,0)</f>
        <v>52000</v>
      </c>
      <c r="J5020" s="42" t="n">
        <f aca="false">IF($M5020="贷",$O5020,0)</f>
        <v>0</v>
      </c>
      <c r="K5020" s="48" t="n">
        <f aca="false">IF($H5020="","",其他分录!$H13)</f>
        <v>0</v>
      </c>
      <c r="L5020" s="66"/>
      <c r="M5020" s="66" t="str">
        <f aca="false">IF($H5020="","","借")</f>
        <v>借</v>
      </c>
      <c r="N5020" s="66"/>
      <c r="O5020" s="67" t="n">
        <f aca="false">IF($H5020="",0,ROUND(N(其他分录!$G13),2))</f>
        <v>52000</v>
      </c>
      <c r="P5020" s="64" t="str">
        <f aca="false">IF(AND($H5020&lt;&gt;"",ROUND($O5020,2)&lt;&gt;0),"有","")</f>
        <v>有</v>
      </c>
    </row>
    <row r="5021" customFormat="false" ht="15" hidden="false" customHeight="false" outlineLevel="0" collapsed="false">
      <c r="A5021" s="53" t="n">
        <f aca="false">IF($H5021="","",ROW()-5)</f>
        <v>5016</v>
      </c>
      <c r="B5021" s="64" t="s">
        <v>39</v>
      </c>
      <c r="C5021" s="53" t="n">
        <v>13</v>
      </c>
      <c r="D5021" s="53" t="n">
        <v>2</v>
      </c>
      <c r="E5021" s="65" t="n">
        <f aca="false">IF($H5021="","",其他分录!$B13)</f>
        <v>46387</v>
      </c>
      <c r="F5021" s="55" t="str">
        <f aca="false">IF($H5021="","",其他分录!$C13)</f>
        <v>科技</v>
      </c>
      <c r="G5021" s="48" t="str">
        <f aca="false">IF($H5021="","",其他分录!$D13)</f>
        <v>计提固定资产折旧</v>
      </c>
      <c r="H5021" s="10" t="str">
        <f aca="false">IF(OR(其他分录!$B13="",N(其他分录!$G13)=0),"",其他分录!$F13)</f>
        <v>累计折旧</v>
      </c>
      <c r="I5021" s="42" t="n">
        <f aca="false">IF($M5021="借",$O5021,0)</f>
        <v>0</v>
      </c>
      <c r="J5021" s="42" t="n">
        <f aca="false">IF($M5021="贷",$O5021,0)</f>
        <v>52000</v>
      </c>
      <c r="K5021" s="48" t="n">
        <f aca="false">IF($H5021="","",其他分录!$H13)</f>
        <v>0</v>
      </c>
      <c r="L5021" s="66"/>
      <c r="M5021" s="66" t="str">
        <f aca="false">IF($H5021="","","贷")</f>
        <v>贷</v>
      </c>
      <c r="N5021" s="66"/>
      <c r="O5021" s="67" t="n">
        <f aca="false">IF($H5021="",0,ROUND(N(其他分录!$G13),2))</f>
        <v>52000</v>
      </c>
      <c r="P5021" s="64" t="str">
        <f aca="false">IF(AND($H5021&lt;&gt;"",ROUND($O5021,2)&lt;&gt;0),"有","")</f>
        <v>有</v>
      </c>
    </row>
    <row r="5022" customFormat="false" ht="15" hidden="false" customHeight="false" outlineLevel="0" collapsed="false">
      <c r="A5022" s="53" t="n">
        <f aca="false">IF($H5022="","",ROW()-5)</f>
        <v>5017</v>
      </c>
      <c r="B5022" s="64" t="s">
        <v>39</v>
      </c>
      <c r="C5022" s="53" t="n">
        <v>14</v>
      </c>
      <c r="D5022" s="53" t="n">
        <v>1</v>
      </c>
      <c r="E5022" s="65" t="n">
        <f aca="false">IF($H5022="","",其他分录!$B14)</f>
        <v>46387</v>
      </c>
      <c r="F5022" s="55" t="str">
        <f aca="false">IF($H5022="","",其他分录!$C14)</f>
        <v>科技</v>
      </c>
      <c r="G5022" s="48" t="str">
        <f aca="false">IF($H5022="","",其他分录!$D14)</f>
        <v>摊销无形资产</v>
      </c>
      <c r="H5022" s="10" t="str">
        <f aca="false">IF(OR(其他分录!$B14="",N(其他分录!$G14)=0),"",其他分录!$E14)</f>
        <v>管理费用</v>
      </c>
      <c r="I5022" s="42" t="n">
        <f aca="false">IF($M5022="借",$O5022,0)</f>
        <v>6000</v>
      </c>
      <c r="J5022" s="42" t="n">
        <f aca="false">IF($M5022="贷",$O5022,0)</f>
        <v>0</v>
      </c>
      <c r="K5022" s="48" t="n">
        <f aca="false">IF($H5022="","",其他分录!$H14)</f>
        <v>0</v>
      </c>
      <c r="L5022" s="66"/>
      <c r="M5022" s="66" t="str">
        <f aca="false">IF($H5022="","","借")</f>
        <v>借</v>
      </c>
      <c r="N5022" s="66"/>
      <c r="O5022" s="67" t="n">
        <f aca="false">IF($H5022="",0,ROUND(N(其他分录!$G14),2))</f>
        <v>6000</v>
      </c>
      <c r="P5022" s="64" t="str">
        <f aca="false">IF(AND($H5022&lt;&gt;"",ROUND($O5022,2)&lt;&gt;0),"有","")</f>
        <v>有</v>
      </c>
    </row>
    <row r="5023" customFormat="false" ht="15" hidden="false" customHeight="false" outlineLevel="0" collapsed="false">
      <c r="A5023" s="53" t="n">
        <f aca="false">IF($H5023="","",ROW()-5)</f>
        <v>5018</v>
      </c>
      <c r="B5023" s="64" t="s">
        <v>39</v>
      </c>
      <c r="C5023" s="53" t="n">
        <v>14</v>
      </c>
      <c r="D5023" s="53" t="n">
        <v>2</v>
      </c>
      <c r="E5023" s="65" t="n">
        <f aca="false">IF($H5023="","",其他分录!$B14)</f>
        <v>46387</v>
      </c>
      <c r="F5023" s="55" t="str">
        <f aca="false">IF($H5023="","",其他分录!$C14)</f>
        <v>科技</v>
      </c>
      <c r="G5023" s="48" t="str">
        <f aca="false">IF($H5023="","",其他分录!$D14)</f>
        <v>摊销无形资产</v>
      </c>
      <c r="H5023" s="10" t="str">
        <f aca="false">IF(OR(其他分录!$B14="",N(其他分录!$G14)=0),"",其他分录!$F14)</f>
        <v>累计摊销</v>
      </c>
      <c r="I5023" s="42" t="n">
        <f aca="false">IF($M5023="借",$O5023,0)</f>
        <v>0</v>
      </c>
      <c r="J5023" s="42" t="n">
        <f aca="false">IF($M5023="贷",$O5023,0)</f>
        <v>6000</v>
      </c>
      <c r="K5023" s="48" t="n">
        <f aca="false">IF($H5023="","",其他分录!$H14)</f>
        <v>0</v>
      </c>
      <c r="L5023" s="66"/>
      <c r="M5023" s="66" t="str">
        <f aca="false">IF($H5023="","","贷")</f>
        <v>贷</v>
      </c>
      <c r="N5023" s="66"/>
      <c r="O5023" s="67" t="n">
        <f aca="false">IF($H5023="",0,ROUND(N(其他分录!$G14),2))</f>
        <v>6000</v>
      </c>
      <c r="P5023" s="64" t="str">
        <f aca="false">IF(AND($H5023&lt;&gt;"",ROUND($O5023,2)&lt;&gt;0),"有","")</f>
        <v>有</v>
      </c>
    </row>
    <row r="5024" customFormat="false" ht="15" hidden="false" customHeight="false" outlineLevel="0" collapsed="false">
      <c r="A5024" s="53" t="n">
        <f aca="false">IF($H5024="","",ROW()-5)</f>
        <v>5019</v>
      </c>
      <c r="B5024" s="64" t="s">
        <v>39</v>
      </c>
      <c r="C5024" s="53" t="n">
        <v>15</v>
      </c>
      <c r="D5024" s="53" t="n">
        <v>1</v>
      </c>
      <c r="E5024" s="65" t="n">
        <f aca="false">IF($H5024="","",其他分录!$B15)</f>
        <v>46387</v>
      </c>
      <c r="F5024" s="55" t="str">
        <f aca="false">IF($H5024="","",其他分录!$C15)</f>
        <v>科技</v>
      </c>
      <c r="G5024" s="48" t="str">
        <f aca="false">IF($H5024="","",其他分录!$D15)</f>
        <v>计提电商平台年费</v>
      </c>
      <c r="H5024" s="10" t="str">
        <f aca="false">IF(OR(其他分录!$B15="",N(其他分录!$G15)=0),"",其他分录!$E15)</f>
        <v>销售费用</v>
      </c>
      <c r="I5024" s="42" t="n">
        <f aca="false">IF($M5024="借",$O5024,0)</f>
        <v>9600</v>
      </c>
      <c r="J5024" s="42" t="n">
        <f aca="false">IF($M5024="贷",$O5024,0)</f>
        <v>0</v>
      </c>
      <c r="K5024" s="48" t="n">
        <f aca="false">IF($H5024="","",其他分录!$H15)</f>
        <v>0</v>
      </c>
      <c r="L5024" s="66"/>
      <c r="M5024" s="66" t="str">
        <f aca="false">IF($H5024="","","借")</f>
        <v>借</v>
      </c>
      <c r="N5024" s="66"/>
      <c r="O5024" s="67" t="n">
        <f aca="false">IF($H5024="",0,ROUND(N(其他分录!$G15),2))</f>
        <v>9600</v>
      </c>
      <c r="P5024" s="64" t="str">
        <f aca="false">IF(AND($H5024&lt;&gt;"",ROUND($O5024,2)&lt;&gt;0),"有","")</f>
        <v>有</v>
      </c>
    </row>
    <row r="5025" customFormat="false" ht="15" hidden="false" customHeight="false" outlineLevel="0" collapsed="false">
      <c r="A5025" s="53" t="n">
        <f aca="false">IF($H5025="","",ROW()-5)</f>
        <v>5020</v>
      </c>
      <c r="B5025" s="64" t="s">
        <v>39</v>
      </c>
      <c r="C5025" s="53" t="n">
        <v>15</v>
      </c>
      <c r="D5025" s="53" t="n">
        <v>2</v>
      </c>
      <c r="E5025" s="65" t="n">
        <f aca="false">IF($H5025="","",其他分录!$B15)</f>
        <v>46387</v>
      </c>
      <c r="F5025" s="55" t="str">
        <f aca="false">IF($H5025="","",其他分录!$C15)</f>
        <v>科技</v>
      </c>
      <c r="G5025" s="48" t="str">
        <f aca="false">IF($H5025="","",其他分录!$D15)</f>
        <v>计提电商平台年费</v>
      </c>
      <c r="H5025" s="10" t="str">
        <f aca="false">IF(OR(其他分录!$B15="",N(其他分录!$G15)=0),"",其他分录!$F15)</f>
        <v>其他应付款</v>
      </c>
      <c r="I5025" s="42" t="n">
        <f aca="false">IF($M5025="借",$O5025,0)</f>
        <v>0</v>
      </c>
      <c r="J5025" s="42" t="n">
        <f aca="false">IF($M5025="贷",$O5025,0)</f>
        <v>9600</v>
      </c>
      <c r="K5025" s="48" t="n">
        <f aca="false">IF($H5025="","",其他分录!$H15)</f>
        <v>0</v>
      </c>
      <c r="L5025" s="66"/>
      <c r="M5025" s="66" t="str">
        <f aca="false">IF($H5025="","","贷")</f>
        <v>贷</v>
      </c>
      <c r="N5025" s="66"/>
      <c r="O5025" s="67" t="n">
        <f aca="false">IF($H5025="",0,ROUND(N(其他分录!$G15),2))</f>
        <v>9600</v>
      </c>
      <c r="P5025" s="64" t="str">
        <f aca="false">IF(AND($H5025&lt;&gt;"",ROUND($O5025,2)&lt;&gt;0),"有","")</f>
        <v>有</v>
      </c>
    </row>
    <row r="5026" customFormat="false" ht="15" hidden="false" customHeight="false" outlineLevel="0" collapsed="false">
      <c r="A5026" s="53" t="str">
        <f aca="false">IF($H5026="","",ROW()-5)</f>
        <v/>
      </c>
      <c r="B5026" s="64" t="s">
        <v>39</v>
      </c>
      <c r="C5026" s="53" t="n">
        <v>16</v>
      </c>
      <c r="D5026" s="53" t="n">
        <v>1</v>
      </c>
      <c r="E5026" s="65" t="str">
        <f aca="false">IF($H5026="","",其他分录!$B16)</f>
        <v/>
      </c>
      <c r="F5026" s="55" t="str">
        <f aca="false">IF($H5026="","",其他分录!$C16)</f>
        <v/>
      </c>
      <c r="G5026" s="48" t="str">
        <f aca="false">IF($H5026="","",其他分录!$D16)</f>
        <v/>
      </c>
      <c r="H5026" s="10" t="str">
        <f aca="false">IF(OR(其他分录!$B16="",N(其他分录!$G16)=0),"",其他分录!$E16)</f>
        <v/>
      </c>
      <c r="I5026" s="42" t="n">
        <f aca="false">IF($M5026="借",$O5026,0)</f>
        <v>0</v>
      </c>
      <c r="J5026" s="42" t="n">
        <f aca="false">IF($M5026="贷",$O5026,0)</f>
        <v>0</v>
      </c>
      <c r="K5026" s="48" t="str">
        <f aca="false">IF($H5026="","",其他分录!$H16)</f>
        <v/>
      </c>
      <c r="L5026" s="66"/>
      <c r="M5026" s="66" t="str">
        <f aca="false">IF($H5026="","","借")</f>
        <v/>
      </c>
      <c r="N5026" s="66"/>
      <c r="O5026" s="67" t="n">
        <f aca="false">IF($H5026="",0,ROUND(N(其他分录!$G16),2))</f>
        <v>0</v>
      </c>
      <c r="P5026" s="64" t="str">
        <f aca="false">IF(AND($H5026&lt;&gt;"",ROUND($O5026,2)&lt;&gt;0),"有","")</f>
        <v/>
      </c>
    </row>
    <row r="5027" customFormat="false" ht="15" hidden="false" customHeight="false" outlineLevel="0" collapsed="false">
      <c r="A5027" s="53" t="str">
        <f aca="false">IF($H5027="","",ROW()-5)</f>
        <v/>
      </c>
      <c r="B5027" s="64" t="s">
        <v>39</v>
      </c>
      <c r="C5027" s="53" t="n">
        <v>16</v>
      </c>
      <c r="D5027" s="53" t="n">
        <v>2</v>
      </c>
      <c r="E5027" s="65" t="str">
        <f aca="false">IF($H5027="","",其他分录!$B16)</f>
        <v/>
      </c>
      <c r="F5027" s="55" t="str">
        <f aca="false">IF($H5027="","",其他分录!$C16)</f>
        <v/>
      </c>
      <c r="G5027" s="48" t="str">
        <f aca="false">IF($H5027="","",其他分录!$D16)</f>
        <v/>
      </c>
      <c r="H5027" s="10" t="str">
        <f aca="false">IF(OR(其他分录!$B16="",N(其他分录!$G16)=0),"",其他分录!$F16)</f>
        <v/>
      </c>
      <c r="I5027" s="42" t="n">
        <f aca="false">IF($M5027="借",$O5027,0)</f>
        <v>0</v>
      </c>
      <c r="J5027" s="42" t="n">
        <f aca="false">IF($M5027="贷",$O5027,0)</f>
        <v>0</v>
      </c>
      <c r="K5027" s="48" t="str">
        <f aca="false">IF($H5027="","",其他分录!$H16)</f>
        <v/>
      </c>
      <c r="L5027" s="66"/>
      <c r="M5027" s="66" t="str">
        <f aca="false">IF($H5027="","","贷")</f>
        <v/>
      </c>
      <c r="N5027" s="66"/>
      <c r="O5027" s="67" t="n">
        <f aca="false">IF($H5027="",0,ROUND(N(其他分录!$G16),2))</f>
        <v>0</v>
      </c>
      <c r="P5027" s="64" t="str">
        <f aca="false">IF(AND($H5027&lt;&gt;"",ROUND($O5027,2)&lt;&gt;0),"有","")</f>
        <v/>
      </c>
    </row>
    <row r="5028" customFormat="false" ht="15" hidden="false" customHeight="false" outlineLevel="0" collapsed="false">
      <c r="A5028" s="53" t="str">
        <f aca="false">IF($H5028="","",ROW()-5)</f>
        <v/>
      </c>
      <c r="B5028" s="64" t="s">
        <v>39</v>
      </c>
      <c r="C5028" s="53" t="n">
        <v>17</v>
      </c>
      <c r="D5028" s="53" t="n">
        <v>1</v>
      </c>
      <c r="E5028" s="65" t="str">
        <f aca="false">IF($H5028="","",其他分录!$B17)</f>
        <v/>
      </c>
      <c r="F5028" s="55" t="str">
        <f aca="false">IF($H5028="","",其他分录!$C17)</f>
        <v/>
      </c>
      <c r="G5028" s="48" t="str">
        <f aca="false">IF($H5028="","",其他分录!$D17)</f>
        <v/>
      </c>
      <c r="H5028" s="10" t="str">
        <f aca="false">IF(OR(其他分录!$B17="",N(其他分录!$G17)=0),"",其他分录!$E17)</f>
        <v/>
      </c>
      <c r="I5028" s="42" t="n">
        <f aca="false">IF($M5028="借",$O5028,0)</f>
        <v>0</v>
      </c>
      <c r="J5028" s="42" t="n">
        <f aca="false">IF($M5028="贷",$O5028,0)</f>
        <v>0</v>
      </c>
      <c r="K5028" s="48" t="str">
        <f aca="false">IF($H5028="","",其他分录!$H17)</f>
        <v/>
      </c>
      <c r="L5028" s="66"/>
      <c r="M5028" s="66" t="str">
        <f aca="false">IF($H5028="","","借")</f>
        <v/>
      </c>
      <c r="N5028" s="66"/>
      <c r="O5028" s="67" t="n">
        <f aca="false">IF($H5028="",0,ROUND(N(其他分录!$G17),2))</f>
        <v>0</v>
      </c>
      <c r="P5028" s="64" t="str">
        <f aca="false">IF(AND($H5028&lt;&gt;"",ROUND($O5028,2)&lt;&gt;0),"有","")</f>
        <v/>
      </c>
    </row>
    <row r="5029" customFormat="false" ht="15" hidden="false" customHeight="false" outlineLevel="0" collapsed="false">
      <c r="A5029" s="53" t="str">
        <f aca="false">IF($H5029="","",ROW()-5)</f>
        <v/>
      </c>
      <c r="B5029" s="64" t="s">
        <v>39</v>
      </c>
      <c r="C5029" s="53" t="n">
        <v>17</v>
      </c>
      <c r="D5029" s="53" t="n">
        <v>2</v>
      </c>
      <c r="E5029" s="65" t="str">
        <f aca="false">IF($H5029="","",其他分录!$B17)</f>
        <v/>
      </c>
      <c r="F5029" s="55" t="str">
        <f aca="false">IF($H5029="","",其他分录!$C17)</f>
        <v/>
      </c>
      <c r="G5029" s="48" t="str">
        <f aca="false">IF($H5029="","",其他分录!$D17)</f>
        <v/>
      </c>
      <c r="H5029" s="10" t="str">
        <f aca="false">IF(OR(其他分录!$B17="",N(其他分录!$G17)=0),"",其他分录!$F17)</f>
        <v/>
      </c>
      <c r="I5029" s="42" t="n">
        <f aca="false">IF($M5029="借",$O5029,0)</f>
        <v>0</v>
      </c>
      <c r="J5029" s="42" t="n">
        <f aca="false">IF($M5029="贷",$O5029,0)</f>
        <v>0</v>
      </c>
      <c r="K5029" s="48" t="str">
        <f aca="false">IF($H5029="","",其他分录!$H17)</f>
        <v/>
      </c>
      <c r="L5029" s="66"/>
      <c r="M5029" s="66" t="str">
        <f aca="false">IF($H5029="","","贷")</f>
        <v/>
      </c>
      <c r="N5029" s="66"/>
      <c r="O5029" s="67" t="n">
        <f aca="false">IF($H5029="",0,ROUND(N(其他分录!$G17),2))</f>
        <v>0</v>
      </c>
      <c r="P5029" s="64" t="str">
        <f aca="false">IF(AND($H5029&lt;&gt;"",ROUND($O5029,2)&lt;&gt;0),"有","")</f>
        <v/>
      </c>
    </row>
    <row r="5030" customFormat="false" ht="15" hidden="false" customHeight="false" outlineLevel="0" collapsed="false">
      <c r="A5030" s="53" t="str">
        <f aca="false">IF($H5030="","",ROW()-5)</f>
        <v/>
      </c>
      <c r="B5030" s="64" t="s">
        <v>39</v>
      </c>
      <c r="C5030" s="53" t="n">
        <v>18</v>
      </c>
      <c r="D5030" s="53" t="n">
        <v>1</v>
      </c>
      <c r="E5030" s="65" t="str">
        <f aca="false">IF($H5030="","",其他分录!$B18)</f>
        <v/>
      </c>
      <c r="F5030" s="55" t="str">
        <f aca="false">IF($H5030="","",其他分录!$C18)</f>
        <v/>
      </c>
      <c r="G5030" s="48" t="str">
        <f aca="false">IF($H5030="","",其他分录!$D18)</f>
        <v/>
      </c>
      <c r="H5030" s="10" t="str">
        <f aca="false">IF(OR(其他分录!$B18="",N(其他分录!$G18)=0),"",其他分录!$E18)</f>
        <v/>
      </c>
      <c r="I5030" s="42" t="n">
        <f aca="false">IF($M5030="借",$O5030,0)</f>
        <v>0</v>
      </c>
      <c r="J5030" s="42" t="n">
        <f aca="false">IF($M5030="贷",$O5030,0)</f>
        <v>0</v>
      </c>
      <c r="K5030" s="48" t="str">
        <f aca="false">IF($H5030="","",其他分录!$H18)</f>
        <v/>
      </c>
      <c r="L5030" s="66"/>
      <c r="M5030" s="66" t="str">
        <f aca="false">IF($H5030="","","借")</f>
        <v/>
      </c>
      <c r="N5030" s="66"/>
      <c r="O5030" s="67" t="n">
        <f aca="false">IF($H5030="",0,ROUND(N(其他分录!$G18),2))</f>
        <v>0</v>
      </c>
      <c r="P5030" s="64" t="str">
        <f aca="false">IF(AND($H5030&lt;&gt;"",ROUND($O5030,2)&lt;&gt;0),"有","")</f>
        <v/>
      </c>
    </row>
    <row r="5031" customFormat="false" ht="15" hidden="false" customHeight="false" outlineLevel="0" collapsed="false">
      <c r="A5031" s="53" t="str">
        <f aca="false">IF($H5031="","",ROW()-5)</f>
        <v/>
      </c>
      <c r="B5031" s="64" t="s">
        <v>39</v>
      </c>
      <c r="C5031" s="53" t="n">
        <v>18</v>
      </c>
      <c r="D5031" s="53" t="n">
        <v>2</v>
      </c>
      <c r="E5031" s="65" t="str">
        <f aca="false">IF($H5031="","",其他分录!$B18)</f>
        <v/>
      </c>
      <c r="F5031" s="55" t="str">
        <f aca="false">IF($H5031="","",其他分录!$C18)</f>
        <v/>
      </c>
      <c r="G5031" s="48" t="str">
        <f aca="false">IF($H5031="","",其他分录!$D18)</f>
        <v/>
      </c>
      <c r="H5031" s="10" t="str">
        <f aca="false">IF(OR(其他分录!$B18="",N(其他分录!$G18)=0),"",其他分录!$F18)</f>
        <v/>
      </c>
      <c r="I5031" s="42" t="n">
        <f aca="false">IF($M5031="借",$O5031,0)</f>
        <v>0</v>
      </c>
      <c r="J5031" s="42" t="n">
        <f aca="false">IF($M5031="贷",$O5031,0)</f>
        <v>0</v>
      </c>
      <c r="K5031" s="48" t="str">
        <f aca="false">IF($H5031="","",其他分录!$H18)</f>
        <v/>
      </c>
      <c r="L5031" s="66"/>
      <c r="M5031" s="66" t="str">
        <f aca="false">IF($H5031="","","贷")</f>
        <v/>
      </c>
      <c r="N5031" s="66"/>
      <c r="O5031" s="67" t="n">
        <f aca="false">IF($H5031="",0,ROUND(N(其他分录!$G18),2))</f>
        <v>0</v>
      </c>
      <c r="P5031" s="64" t="str">
        <f aca="false">IF(AND($H5031&lt;&gt;"",ROUND($O5031,2)&lt;&gt;0),"有","")</f>
        <v/>
      </c>
    </row>
    <row r="5032" customFormat="false" ht="15" hidden="false" customHeight="false" outlineLevel="0" collapsed="false">
      <c r="A5032" s="53" t="str">
        <f aca="false">IF($H5032="","",ROW()-5)</f>
        <v/>
      </c>
      <c r="B5032" s="64" t="s">
        <v>39</v>
      </c>
      <c r="C5032" s="53" t="n">
        <v>19</v>
      </c>
      <c r="D5032" s="53" t="n">
        <v>1</v>
      </c>
      <c r="E5032" s="65" t="str">
        <f aca="false">IF($H5032="","",其他分录!$B19)</f>
        <v/>
      </c>
      <c r="F5032" s="55" t="str">
        <f aca="false">IF($H5032="","",其他分录!$C19)</f>
        <v/>
      </c>
      <c r="G5032" s="48" t="str">
        <f aca="false">IF($H5032="","",其他分录!$D19)</f>
        <v/>
      </c>
      <c r="H5032" s="10" t="str">
        <f aca="false">IF(OR(其他分录!$B19="",N(其他分录!$G19)=0),"",其他分录!$E19)</f>
        <v/>
      </c>
      <c r="I5032" s="42" t="n">
        <f aca="false">IF($M5032="借",$O5032,0)</f>
        <v>0</v>
      </c>
      <c r="J5032" s="42" t="n">
        <f aca="false">IF($M5032="贷",$O5032,0)</f>
        <v>0</v>
      </c>
      <c r="K5032" s="48" t="str">
        <f aca="false">IF($H5032="","",其他分录!$H19)</f>
        <v/>
      </c>
      <c r="L5032" s="66"/>
      <c r="M5032" s="66" t="str">
        <f aca="false">IF($H5032="","","借")</f>
        <v/>
      </c>
      <c r="N5032" s="66"/>
      <c r="O5032" s="67" t="n">
        <f aca="false">IF($H5032="",0,ROUND(N(其他分录!$G19),2))</f>
        <v>0</v>
      </c>
      <c r="P5032" s="64" t="str">
        <f aca="false">IF(AND($H5032&lt;&gt;"",ROUND($O5032,2)&lt;&gt;0),"有","")</f>
        <v/>
      </c>
    </row>
    <row r="5033" customFormat="false" ht="15" hidden="false" customHeight="false" outlineLevel="0" collapsed="false">
      <c r="A5033" s="53" t="str">
        <f aca="false">IF($H5033="","",ROW()-5)</f>
        <v/>
      </c>
      <c r="B5033" s="64" t="s">
        <v>39</v>
      </c>
      <c r="C5033" s="53" t="n">
        <v>19</v>
      </c>
      <c r="D5033" s="53" t="n">
        <v>2</v>
      </c>
      <c r="E5033" s="65" t="str">
        <f aca="false">IF($H5033="","",其他分录!$B19)</f>
        <v/>
      </c>
      <c r="F5033" s="55" t="str">
        <f aca="false">IF($H5033="","",其他分录!$C19)</f>
        <v/>
      </c>
      <c r="G5033" s="48" t="str">
        <f aca="false">IF($H5033="","",其他分录!$D19)</f>
        <v/>
      </c>
      <c r="H5033" s="10" t="str">
        <f aca="false">IF(OR(其他分录!$B19="",N(其他分录!$G19)=0),"",其他分录!$F19)</f>
        <v/>
      </c>
      <c r="I5033" s="42" t="n">
        <f aca="false">IF($M5033="借",$O5033,0)</f>
        <v>0</v>
      </c>
      <c r="J5033" s="42" t="n">
        <f aca="false">IF($M5033="贷",$O5033,0)</f>
        <v>0</v>
      </c>
      <c r="K5033" s="48" t="str">
        <f aca="false">IF($H5033="","",其他分录!$H19)</f>
        <v/>
      </c>
      <c r="L5033" s="66"/>
      <c r="M5033" s="66" t="str">
        <f aca="false">IF($H5033="","","贷")</f>
        <v/>
      </c>
      <c r="N5033" s="66"/>
      <c r="O5033" s="67" t="n">
        <f aca="false">IF($H5033="",0,ROUND(N(其他分录!$G19),2))</f>
        <v>0</v>
      </c>
      <c r="P5033" s="64" t="str">
        <f aca="false">IF(AND($H5033&lt;&gt;"",ROUND($O5033,2)&lt;&gt;0),"有","")</f>
        <v/>
      </c>
    </row>
    <row r="5034" customFormat="false" ht="15" hidden="false" customHeight="false" outlineLevel="0" collapsed="false">
      <c r="A5034" s="53" t="str">
        <f aca="false">IF($H5034="","",ROW()-5)</f>
        <v/>
      </c>
      <c r="B5034" s="64" t="s">
        <v>39</v>
      </c>
      <c r="C5034" s="53" t="n">
        <v>20</v>
      </c>
      <c r="D5034" s="53" t="n">
        <v>1</v>
      </c>
      <c r="E5034" s="65" t="str">
        <f aca="false">IF($H5034="","",其他分录!$B20)</f>
        <v/>
      </c>
      <c r="F5034" s="55" t="str">
        <f aca="false">IF($H5034="","",其他分录!$C20)</f>
        <v/>
      </c>
      <c r="G5034" s="48" t="str">
        <f aca="false">IF($H5034="","",其他分录!$D20)</f>
        <v/>
      </c>
      <c r="H5034" s="10" t="str">
        <f aca="false">IF(OR(其他分录!$B20="",N(其他分录!$G20)=0),"",其他分录!$E20)</f>
        <v/>
      </c>
      <c r="I5034" s="42" t="n">
        <f aca="false">IF($M5034="借",$O5034,0)</f>
        <v>0</v>
      </c>
      <c r="J5034" s="42" t="n">
        <f aca="false">IF($M5034="贷",$O5034,0)</f>
        <v>0</v>
      </c>
      <c r="K5034" s="48" t="str">
        <f aca="false">IF($H5034="","",其他分录!$H20)</f>
        <v/>
      </c>
      <c r="L5034" s="66"/>
      <c r="M5034" s="66" t="str">
        <f aca="false">IF($H5034="","","借")</f>
        <v/>
      </c>
      <c r="N5034" s="66"/>
      <c r="O5034" s="67" t="n">
        <f aca="false">IF($H5034="",0,ROUND(N(其他分录!$G20),2))</f>
        <v>0</v>
      </c>
      <c r="P5034" s="64" t="str">
        <f aca="false">IF(AND($H5034&lt;&gt;"",ROUND($O5034,2)&lt;&gt;0),"有","")</f>
        <v/>
      </c>
    </row>
    <row r="5035" customFormat="false" ht="15" hidden="false" customHeight="false" outlineLevel="0" collapsed="false">
      <c r="A5035" s="53" t="str">
        <f aca="false">IF($H5035="","",ROW()-5)</f>
        <v/>
      </c>
      <c r="B5035" s="64" t="s">
        <v>39</v>
      </c>
      <c r="C5035" s="53" t="n">
        <v>20</v>
      </c>
      <c r="D5035" s="53" t="n">
        <v>2</v>
      </c>
      <c r="E5035" s="65" t="str">
        <f aca="false">IF($H5035="","",其他分录!$B20)</f>
        <v/>
      </c>
      <c r="F5035" s="55" t="str">
        <f aca="false">IF($H5035="","",其他分录!$C20)</f>
        <v/>
      </c>
      <c r="G5035" s="48" t="str">
        <f aca="false">IF($H5035="","",其他分录!$D20)</f>
        <v/>
      </c>
      <c r="H5035" s="10" t="str">
        <f aca="false">IF(OR(其他分录!$B20="",N(其他分录!$G20)=0),"",其他分录!$F20)</f>
        <v/>
      </c>
      <c r="I5035" s="42" t="n">
        <f aca="false">IF($M5035="借",$O5035,0)</f>
        <v>0</v>
      </c>
      <c r="J5035" s="42" t="n">
        <f aca="false">IF($M5035="贷",$O5035,0)</f>
        <v>0</v>
      </c>
      <c r="K5035" s="48" t="str">
        <f aca="false">IF($H5035="","",其他分录!$H20)</f>
        <v/>
      </c>
      <c r="L5035" s="66"/>
      <c r="M5035" s="66" t="str">
        <f aca="false">IF($H5035="","","贷")</f>
        <v/>
      </c>
      <c r="N5035" s="66"/>
      <c r="O5035" s="67" t="n">
        <f aca="false">IF($H5035="",0,ROUND(N(其他分录!$G20),2))</f>
        <v>0</v>
      </c>
      <c r="P5035" s="64" t="str">
        <f aca="false">IF(AND($H5035&lt;&gt;"",ROUND($O5035,2)&lt;&gt;0),"有","")</f>
        <v/>
      </c>
    </row>
    <row r="5036" customFormat="false" ht="15" hidden="false" customHeight="false" outlineLevel="0" collapsed="false">
      <c r="A5036" s="53" t="str">
        <f aca="false">IF($H5036="","",ROW()-5)</f>
        <v/>
      </c>
      <c r="B5036" s="64" t="s">
        <v>39</v>
      </c>
      <c r="C5036" s="53" t="n">
        <v>21</v>
      </c>
      <c r="D5036" s="53" t="n">
        <v>1</v>
      </c>
      <c r="E5036" s="65" t="str">
        <f aca="false">IF($H5036="","",其他分录!$B21)</f>
        <v/>
      </c>
      <c r="F5036" s="55" t="str">
        <f aca="false">IF($H5036="","",其他分录!$C21)</f>
        <v/>
      </c>
      <c r="G5036" s="48" t="str">
        <f aca="false">IF($H5036="","",其他分录!$D21)</f>
        <v/>
      </c>
      <c r="H5036" s="10" t="str">
        <f aca="false">IF(OR(其他分录!$B21="",N(其他分录!$G21)=0),"",其他分录!$E21)</f>
        <v/>
      </c>
      <c r="I5036" s="42" t="n">
        <f aca="false">IF($M5036="借",$O5036,0)</f>
        <v>0</v>
      </c>
      <c r="J5036" s="42" t="n">
        <f aca="false">IF($M5036="贷",$O5036,0)</f>
        <v>0</v>
      </c>
      <c r="K5036" s="48" t="str">
        <f aca="false">IF($H5036="","",其他分录!$H21)</f>
        <v/>
      </c>
      <c r="L5036" s="66"/>
      <c r="M5036" s="66" t="str">
        <f aca="false">IF($H5036="","","借")</f>
        <v/>
      </c>
      <c r="N5036" s="66"/>
      <c r="O5036" s="67" t="n">
        <f aca="false">IF($H5036="",0,ROUND(N(其他分录!$G21),2))</f>
        <v>0</v>
      </c>
      <c r="P5036" s="64" t="str">
        <f aca="false">IF(AND($H5036&lt;&gt;"",ROUND($O5036,2)&lt;&gt;0),"有","")</f>
        <v/>
      </c>
    </row>
    <row r="5037" customFormat="false" ht="15" hidden="false" customHeight="false" outlineLevel="0" collapsed="false">
      <c r="A5037" s="53" t="str">
        <f aca="false">IF($H5037="","",ROW()-5)</f>
        <v/>
      </c>
      <c r="B5037" s="64" t="s">
        <v>39</v>
      </c>
      <c r="C5037" s="53" t="n">
        <v>21</v>
      </c>
      <c r="D5037" s="53" t="n">
        <v>2</v>
      </c>
      <c r="E5037" s="65" t="str">
        <f aca="false">IF($H5037="","",其他分录!$B21)</f>
        <v/>
      </c>
      <c r="F5037" s="55" t="str">
        <f aca="false">IF($H5037="","",其他分录!$C21)</f>
        <v/>
      </c>
      <c r="G5037" s="48" t="str">
        <f aca="false">IF($H5037="","",其他分录!$D21)</f>
        <v/>
      </c>
      <c r="H5037" s="10" t="str">
        <f aca="false">IF(OR(其他分录!$B21="",N(其他分录!$G21)=0),"",其他分录!$F21)</f>
        <v/>
      </c>
      <c r="I5037" s="42" t="n">
        <f aca="false">IF($M5037="借",$O5037,0)</f>
        <v>0</v>
      </c>
      <c r="J5037" s="42" t="n">
        <f aca="false">IF($M5037="贷",$O5037,0)</f>
        <v>0</v>
      </c>
      <c r="K5037" s="48" t="str">
        <f aca="false">IF($H5037="","",其他分录!$H21)</f>
        <v/>
      </c>
      <c r="L5037" s="66"/>
      <c r="M5037" s="66" t="str">
        <f aca="false">IF($H5037="","","贷")</f>
        <v/>
      </c>
      <c r="N5037" s="66"/>
      <c r="O5037" s="67" t="n">
        <f aca="false">IF($H5037="",0,ROUND(N(其他分录!$G21),2))</f>
        <v>0</v>
      </c>
      <c r="P5037" s="64" t="str">
        <f aca="false">IF(AND($H5037&lt;&gt;"",ROUND($O5037,2)&lt;&gt;0),"有","")</f>
        <v/>
      </c>
    </row>
    <row r="5038" customFormat="false" ht="15" hidden="true" customHeight="false" outlineLevel="0" collapsed="false">
      <c r="A5038" s="53" t="str">
        <f aca="false">IF($H5038="","",ROW()-5)</f>
        <v/>
      </c>
      <c r="B5038" s="64" t="s">
        <v>39</v>
      </c>
      <c r="C5038" s="53" t="n">
        <v>22</v>
      </c>
      <c r="D5038" s="53" t="n">
        <v>1</v>
      </c>
      <c r="E5038" s="65" t="str">
        <f aca="false">IF($H5038="","",其他分录!$B22)</f>
        <v/>
      </c>
      <c r="F5038" s="55" t="str">
        <f aca="false">IF($H5038="","",其他分录!$C22)</f>
        <v/>
      </c>
      <c r="G5038" s="48" t="str">
        <f aca="false">IF($H5038="","",其他分录!$D22)</f>
        <v/>
      </c>
      <c r="H5038" s="10" t="str">
        <f aca="false">IF(OR(其他分录!$B22="",N(其他分录!$G22)=0),"",其他分录!$E22)</f>
        <v/>
      </c>
      <c r="I5038" s="42" t="n">
        <f aca="false">IF($M5038="借",$O5038,0)</f>
        <v>0</v>
      </c>
      <c r="J5038" s="42" t="n">
        <f aca="false">IF($M5038="贷",$O5038,0)</f>
        <v>0</v>
      </c>
      <c r="K5038" s="48" t="str">
        <f aca="false">IF($H5038="","",其他分录!$H22)</f>
        <v/>
      </c>
      <c r="L5038" s="66"/>
      <c r="M5038" s="66" t="str">
        <f aca="false">IF($H5038="","","借")</f>
        <v/>
      </c>
      <c r="N5038" s="66"/>
      <c r="O5038" s="67" t="n">
        <f aca="false">IF($H5038="",0,ROUND(N(其他分录!$G22),2))</f>
        <v>0</v>
      </c>
      <c r="P5038" s="64" t="str">
        <f aca="false">IF(AND($H5038&lt;&gt;"",ROUND($O5038,2)&lt;&gt;0),"有","")</f>
        <v/>
      </c>
    </row>
    <row r="5039" customFormat="false" ht="15" hidden="true" customHeight="false" outlineLevel="0" collapsed="false">
      <c r="A5039" s="53" t="str">
        <f aca="false">IF($H5039="","",ROW()-5)</f>
        <v/>
      </c>
      <c r="B5039" s="64" t="s">
        <v>39</v>
      </c>
      <c r="C5039" s="53" t="n">
        <v>22</v>
      </c>
      <c r="D5039" s="53" t="n">
        <v>2</v>
      </c>
      <c r="E5039" s="65" t="str">
        <f aca="false">IF($H5039="","",其他分录!$B22)</f>
        <v/>
      </c>
      <c r="F5039" s="55" t="str">
        <f aca="false">IF($H5039="","",其他分录!$C22)</f>
        <v/>
      </c>
      <c r="G5039" s="48" t="str">
        <f aca="false">IF($H5039="","",其他分录!$D22)</f>
        <v/>
      </c>
      <c r="H5039" s="10" t="str">
        <f aca="false">IF(OR(其他分录!$B22="",N(其他分录!$G22)=0),"",其他分录!$F22)</f>
        <v/>
      </c>
      <c r="I5039" s="42" t="n">
        <f aca="false">IF($M5039="借",$O5039,0)</f>
        <v>0</v>
      </c>
      <c r="J5039" s="42" t="n">
        <f aca="false">IF($M5039="贷",$O5039,0)</f>
        <v>0</v>
      </c>
      <c r="K5039" s="48" t="str">
        <f aca="false">IF($H5039="","",其他分录!$H22)</f>
        <v/>
      </c>
      <c r="L5039" s="66"/>
      <c r="M5039" s="66" t="str">
        <f aca="false">IF($H5039="","","贷")</f>
        <v/>
      </c>
      <c r="N5039" s="66"/>
      <c r="O5039" s="67" t="n">
        <f aca="false">IF($H5039="",0,ROUND(N(其他分录!$G22),2))</f>
        <v>0</v>
      </c>
      <c r="P5039" s="64" t="str">
        <f aca="false">IF(AND($H5039&lt;&gt;"",ROUND($O5039,2)&lt;&gt;0),"有","")</f>
        <v/>
      </c>
    </row>
    <row r="5040" customFormat="false" ht="15" hidden="true" customHeight="false" outlineLevel="0" collapsed="false">
      <c r="A5040" s="53" t="str">
        <f aca="false">IF($H5040="","",ROW()-5)</f>
        <v/>
      </c>
      <c r="B5040" s="64" t="s">
        <v>39</v>
      </c>
      <c r="C5040" s="53" t="n">
        <v>23</v>
      </c>
      <c r="D5040" s="53" t="n">
        <v>1</v>
      </c>
      <c r="E5040" s="65" t="str">
        <f aca="false">IF($H5040="","",其他分录!$B23)</f>
        <v/>
      </c>
      <c r="F5040" s="55" t="str">
        <f aca="false">IF($H5040="","",其他分录!$C23)</f>
        <v/>
      </c>
      <c r="G5040" s="48" t="str">
        <f aca="false">IF($H5040="","",其他分录!$D23)</f>
        <v/>
      </c>
      <c r="H5040" s="10" t="str">
        <f aca="false">IF(OR(其他分录!$B23="",N(其他分录!$G23)=0),"",其他分录!$E23)</f>
        <v/>
      </c>
      <c r="I5040" s="42" t="n">
        <f aca="false">IF($M5040="借",$O5040,0)</f>
        <v>0</v>
      </c>
      <c r="J5040" s="42" t="n">
        <f aca="false">IF($M5040="贷",$O5040,0)</f>
        <v>0</v>
      </c>
      <c r="K5040" s="48" t="str">
        <f aca="false">IF($H5040="","",其他分录!$H23)</f>
        <v/>
      </c>
      <c r="L5040" s="66"/>
      <c r="M5040" s="66" t="str">
        <f aca="false">IF($H5040="","","借")</f>
        <v/>
      </c>
      <c r="N5040" s="66"/>
      <c r="O5040" s="67" t="n">
        <f aca="false">IF($H5040="",0,ROUND(N(其他分录!$G23),2))</f>
        <v>0</v>
      </c>
      <c r="P5040" s="64" t="str">
        <f aca="false">IF(AND($H5040&lt;&gt;"",ROUND($O5040,2)&lt;&gt;0),"有","")</f>
        <v/>
      </c>
    </row>
    <row r="5041" customFormat="false" ht="15" hidden="true" customHeight="false" outlineLevel="0" collapsed="false">
      <c r="A5041" s="53" t="str">
        <f aca="false">IF($H5041="","",ROW()-5)</f>
        <v/>
      </c>
      <c r="B5041" s="64" t="s">
        <v>39</v>
      </c>
      <c r="C5041" s="53" t="n">
        <v>23</v>
      </c>
      <c r="D5041" s="53" t="n">
        <v>2</v>
      </c>
      <c r="E5041" s="65" t="str">
        <f aca="false">IF($H5041="","",其他分录!$B23)</f>
        <v/>
      </c>
      <c r="F5041" s="55" t="str">
        <f aca="false">IF($H5041="","",其他分录!$C23)</f>
        <v/>
      </c>
      <c r="G5041" s="48" t="str">
        <f aca="false">IF($H5041="","",其他分录!$D23)</f>
        <v/>
      </c>
      <c r="H5041" s="10" t="str">
        <f aca="false">IF(OR(其他分录!$B23="",N(其他分录!$G23)=0),"",其他分录!$F23)</f>
        <v/>
      </c>
      <c r="I5041" s="42" t="n">
        <f aca="false">IF($M5041="借",$O5041,0)</f>
        <v>0</v>
      </c>
      <c r="J5041" s="42" t="n">
        <f aca="false">IF($M5041="贷",$O5041,0)</f>
        <v>0</v>
      </c>
      <c r="K5041" s="48" t="str">
        <f aca="false">IF($H5041="","",其他分录!$H23)</f>
        <v/>
      </c>
      <c r="L5041" s="66"/>
      <c r="M5041" s="66" t="str">
        <f aca="false">IF($H5041="","","贷")</f>
        <v/>
      </c>
      <c r="N5041" s="66"/>
      <c r="O5041" s="67" t="n">
        <f aca="false">IF($H5041="",0,ROUND(N(其他分录!$G23),2))</f>
        <v>0</v>
      </c>
      <c r="P5041" s="64" t="str">
        <f aca="false">IF(AND($H5041&lt;&gt;"",ROUND($O5041,2)&lt;&gt;0),"有","")</f>
        <v/>
      </c>
    </row>
    <row r="5042" customFormat="false" ht="15" hidden="true" customHeight="false" outlineLevel="0" collapsed="false">
      <c r="A5042" s="53" t="str">
        <f aca="false">IF($H5042="","",ROW()-5)</f>
        <v/>
      </c>
      <c r="B5042" s="64" t="s">
        <v>39</v>
      </c>
      <c r="C5042" s="53" t="n">
        <v>24</v>
      </c>
      <c r="D5042" s="53" t="n">
        <v>1</v>
      </c>
      <c r="E5042" s="65" t="str">
        <f aca="false">IF($H5042="","",其他分录!$B24)</f>
        <v/>
      </c>
      <c r="F5042" s="55" t="str">
        <f aca="false">IF($H5042="","",其他分录!$C24)</f>
        <v/>
      </c>
      <c r="G5042" s="48" t="str">
        <f aca="false">IF($H5042="","",其他分录!$D24)</f>
        <v/>
      </c>
      <c r="H5042" s="10" t="str">
        <f aca="false">IF(OR(其他分录!$B24="",N(其他分录!$G24)=0),"",其他分录!$E24)</f>
        <v/>
      </c>
      <c r="I5042" s="42" t="n">
        <f aca="false">IF($M5042="借",$O5042,0)</f>
        <v>0</v>
      </c>
      <c r="J5042" s="42" t="n">
        <f aca="false">IF($M5042="贷",$O5042,0)</f>
        <v>0</v>
      </c>
      <c r="K5042" s="48" t="str">
        <f aca="false">IF($H5042="","",其他分录!$H24)</f>
        <v/>
      </c>
      <c r="L5042" s="66"/>
      <c r="M5042" s="66" t="str">
        <f aca="false">IF($H5042="","","借")</f>
        <v/>
      </c>
      <c r="N5042" s="66"/>
      <c r="O5042" s="67" t="n">
        <f aca="false">IF($H5042="",0,ROUND(N(其他分录!$G24),2))</f>
        <v>0</v>
      </c>
      <c r="P5042" s="64" t="str">
        <f aca="false">IF(AND($H5042&lt;&gt;"",ROUND($O5042,2)&lt;&gt;0),"有","")</f>
        <v/>
      </c>
    </row>
    <row r="5043" customFormat="false" ht="15" hidden="true" customHeight="false" outlineLevel="0" collapsed="false">
      <c r="A5043" s="53" t="str">
        <f aca="false">IF($H5043="","",ROW()-5)</f>
        <v/>
      </c>
      <c r="B5043" s="64" t="s">
        <v>39</v>
      </c>
      <c r="C5043" s="53" t="n">
        <v>24</v>
      </c>
      <c r="D5043" s="53" t="n">
        <v>2</v>
      </c>
      <c r="E5043" s="65" t="str">
        <f aca="false">IF($H5043="","",其他分录!$B24)</f>
        <v/>
      </c>
      <c r="F5043" s="55" t="str">
        <f aca="false">IF($H5043="","",其他分录!$C24)</f>
        <v/>
      </c>
      <c r="G5043" s="48" t="str">
        <f aca="false">IF($H5043="","",其他分录!$D24)</f>
        <v/>
      </c>
      <c r="H5043" s="10" t="str">
        <f aca="false">IF(OR(其他分录!$B24="",N(其他分录!$G24)=0),"",其他分录!$F24)</f>
        <v/>
      </c>
      <c r="I5043" s="42" t="n">
        <f aca="false">IF($M5043="借",$O5043,0)</f>
        <v>0</v>
      </c>
      <c r="J5043" s="42" t="n">
        <f aca="false">IF($M5043="贷",$O5043,0)</f>
        <v>0</v>
      </c>
      <c r="K5043" s="48" t="str">
        <f aca="false">IF($H5043="","",其他分录!$H24)</f>
        <v/>
      </c>
      <c r="L5043" s="66"/>
      <c r="M5043" s="66" t="str">
        <f aca="false">IF($H5043="","","贷")</f>
        <v/>
      </c>
      <c r="N5043" s="66"/>
      <c r="O5043" s="67" t="n">
        <f aca="false">IF($H5043="",0,ROUND(N(其他分录!$G24),2))</f>
        <v>0</v>
      </c>
      <c r="P5043" s="64" t="str">
        <f aca="false">IF(AND($H5043&lt;&gt;"",ROUND($O5043,2)&lt;&gt;0),"有","")</f>
        <v/>
      </c>
    </row>
    <row r="5044" customFormat="false" ht="15" hidden="true" customHeight="false" outlineLevel="0" collapsed="false">
      <c r="A5044" s="53" t="str">
        <f aca="false">IF($H5044="","",ROW()-5)</f>
        <v/>
      </c>
      <c r="B5044" s="64" t="s">
        <v>39</v>
      </c>
      <c r="C5044" s="53" t="n">
        <v>25</v>
      </c>
      <c r="D5044" s="53" t="n">
        <v>1</v>
      </c>
      <c r="E5044" s="65" t="str">
        <f aca="false">IF($H5044="","",其他分录!$B25)</f>
        <v/>
      </c>
      <c r="F5044" s="55" t="str">
        <f aca="false">IF($H5044="","",其他分录!$C25)</f>
        <v/>
      </c>
      <c r="G5044" s="48" t="str">
        <f aca="false">IF($H5044="","",其他分录!$D25)</f>
        <v/>
      </c>
      <c r="H5044" s="10" t="str">
        <f aca="false">IF(OR(其他分录!$B25="",N(其他分录!$G25)=0),"",其他分录!$E25)</f>
        <v/>
      </c>
      <c r="I5044" s="42" t="n">
        <f aca="false">IF($M5044="借",$O5044,0)</f>
        <v>0</v>
      </c>
      <c r="J5044" s="42" t="n">
        <f aca="false">IF($M5044="贷",$O5044,0)</f>
        <v>0</v>
      </c>
      <c r="K5044" s="48" t="str">
        <f aca="false">IF($H5044="","",其他分录!$H25)</f>
        <v/>
      </c>
      <c r="L5044" s="66"/>
      <c r="M5044" s="66" t="str">
        <f aca="false">IF($H5044="","","借")</f>
        <v/>
      </c>
      <c r="N5044" s="66"/>
      <c r="O5044" s="67" t="n">
        <f aca="false">IF($H5044="",0,ROUND(N(其他分录!$G25),2))</f>
        <v>0</v>
      </c>
      <c r="P5044" s="64" t="str">
        <f aca="false">IF(AND($H5044&lt;&gt;"",ROUND($O5044,2)&lt;&gt;0),"有","")</f>
        <v/>
      </c>
    </row>
    <row r="5045" customFormat="false" ht="15" hidden="true" customHeight="false" outlineLevel="0" collapsed="false">
      <c r="A5045" s="53" t="str">
        <f aca="false">IF($H5045="","",ROW()-5)</f>
        <v/>
      </c>
      <c r="B5045" s="64" t="s">
        <v>39</v>
      </c>
      <c r="C5045" s="53" t="n">
        <v>25</v>
      </c>
      <c r="D5045" s="53" t="n">
        <v>2</v>
      </c>
      <c r="E5045" s="65" t="str">
        <f aca="false">IF($H5045="","",其他分录!$B25)</f>
        <v/>
      </c>
      <c r="F5045" s="55" t="str">
        <f aca="false">IF($H5045="","",其他分录!$C25)</f>
        <v/>
      </c>
      <c r="G5045" s="48" t="str">
        <f aca="false">IF($H5045="","",其他分录!$D25)</f>
        <v/>
      </c>
      <c r="H5045" s="10" t="str">
        <f aca="false">IF(OR(其他分录!$B25="",N(其他分录!$G25)=0),"",其他分录!$F25)</f>
        <v/>
      </c>
      <c r="I5045" s="42" t="n">
        <f aca="false">IF($M5045="借",$O5045,0)</f>
        <v>0</v>
      </c>
      <c r="J5045" s="42" t="n">
        <f aca="false">IF($M5045="贷",$O5045,0)</f>
        <v>0</v>
      </c>
      <c r="K5045" s="48" t="str">
        <f aca="false">IF($H5045="","",其他分录!$H25)</f>
        <v/>
      </c>
      <c r="L5045" s="66"/>
      <c r="M5045" s="66" t="str">
        <f aca="false">IF($H5045="","","贷")</f>
        <v/>
      </c>
      <c r="N5045" s="66"/>
      <c r="O5045" s="67" t="n">
        <f aca="false">IF($H5045="",0,ROUND(N(其他分录!$G25),2))</f>
        <v>0</v>
      </c>
      <c r="P5045" s="64" t="str">
        <f aca="false">IF(AND($H5045&lt;&gt;"",ROUND($O5045,2)&lt;&gt;0),"有","")</f>
        <v/>
      </c>
    </row>
    <row r="5046" customFormat="false" ht="15" hidden="true" customHeight="false" outlineLevel="0" collapsed="false">
      <c r="A5046" s="53" t="str">
        <f aca="false">IF($H5046="","",ROW()-5)</f>
        <v/>
      </c>
      <c r="B5046" s="64" t="s">
        <v>39</v>
      </c>
      <c r="C5046" s="53" t="n">
        <v>26</v>
      </c>
      <c r="D5046" s="53" t="n">
        <v>1</v>
      </c>
      <c r="E5046" s="65" t="str">
        <f aca="false">IF($H5046="","",其他分录!$B26)</f>
        <v/>
      </c>
      <c r="F5046" s="55" t="str">
        <f aca="false">IF($H5046="","",其他分录!$C26)</f>
        <v/>
      </c>
      <c r="G5046" s="48" t="str">
        <f aca="false">IF($H5046="","",其他分录!$D26)</f>
        <v/>
      </c>
      <c r="H5046" s="10" t="str">
        <f aca="false">IF(OR(其他分录!$B26="",N(其他分录!$G26)=0),"",其他分录!$E26)</f>
        <v/>
      </c>
      <c r="I5046" s="42" t="n">
        <f aca="false">IF($M5046="借",$O5046,0)</f>
        <v>0</v>
      </c>
      <c r="J5046" s="42" t="n">
        <f aca="false">IF($M5046="贷",$O5046,0)</f>
        <v>0</v>
      </c>
      <c r="K5046" s="48" t="str">
        <f aca="false">IF($H5046="","",其他分录!$H26)</f>
        <v/>
      </c>
      <c r="L5046" s="66"/>
      <c r="M5046" s="66" t="str">
        <f aca="false">IF($H5046="","","借")</f>
        <v/>
      </c>
      <c r="N5046" s="66"/>
      <c r="O5046" s="67" t="n">
        <f aca="false">IF($H5046="",0,ROUND(N(其他分录!$G26),2))</f>
        <v>0</v>
      </c>
      <c r="P5046" s="64" t="str">
        <f aca="false">IF(AND($H5046&lt;&gt;"",ROUND($O5046,2)&lt;&gt;0),"有","")</f>
        <v/>
      </c>
    </row>
    <row r="5047" customFormat="false" ht="15" hidden="true" customHeight="false" outlineLevel="0" collapsed="false">
      <c r="A5047" s="53" t="str">
        <f aca="false">IF($H5047="","",ROW()-5)</f>
        <v/>
      </c>
      <c r="B5047" s="64" t="s">
        <v>39</v>
      </c>
      <c r="C5047" s="53" t="n">
        <v>26</v>
      </c>
      <c r="D5047" s="53" t="n">
        <v>2</v>
      </c>
      <c r="E5047" s="65" t="str">
        <f aca="false">IF($H5047="","",其他分录!$B26)</f>
        <v/>
      </c>
      <c r="F5047" s="55" t="str">
        <f aca="false">IF($H5047="","",其他分录!$C26)</f>
        <v/>
      </c>
      <c r="G5047" s="48" t="str">
        <f aca="false">IF($H5047="","",其他分录!$D26)</f>
        <v/>
      </c>
      <c r="H5047" s="10" t="str">
        <f aca="false">IF(OR(其他分录!$B26="",N(其他分录!$G26)=0),"",其他分录!$F26)</f>
        <v/>
      </c>
      <c r="I5047" s="42" t="n">
        <f aca="false">IF($M5047="借",$O5047,0)</f>
        <v>0</v>
      </c>
      <c r="J5047" s="42" t="n">
        <f aca="false">IF($M5047="贷",$O5047,0)</f>
        <v>0</v>
      </c>
      <c r="K5047" s="48" t="str">
        <f aca="false">IF($H5047="","",其他分录!$H26)</f>
        <v/>
      </c>
      <c r="L5047" s="66"/>
      <c r="M5047" s="66" t="str">
        <f aca="false">IF($H5047="","","贷")</f>
        <v/>
      </c>
      <c r="N5047" s="66"/>
      <c r="O5047" s="67" t="n">
        <f aca="false">IF($H5047="",0,ROUND(N(其他分录!$G26),2))</f>
        <v>0</v>
      </c>
      <c r="P5047" s="64" t="str">
        <f aca="false">IF(AND($H5047&lt;&gt;"",ROUND($O5047,2)&lt;&gt;0),"有","")</f>
        <v/>
      </c>
    </row>
    <row r="5048" customFormat="false" ht="15" hidden="true" customHeight="false" outlineLevel="0" collapsed="false">
      <c r="A5048" s="53" t="str">
        <f aca="false">IF($H5048="","",ROW()-5)</f>
        <v/>
      </c>
      <c r="B5048" s="64" t="s">
        <v>39</v>
      </c>
      <c r="C5048" s="53" t="n">
        <v>27</v>
      </c>
      <c r="D5048" s="53" t="n">
        <v>1</v>
      </c>
      <c r="E5048" s="65" t="str">
        <f aca="false">IF($H5048="","",其他分录!$B27)</f>
        <v/>
      </c>
      <c r="F5048" s="55" t="str">
        <f aca="false">IF($H5048="","",其他分录!$C27)</f>
        <v/>
      </c>
      <c r="G5048" s="48" t="str">
        <f aca="false">IF($H5048="","",其他分录!$D27)</f>
        <v/>
      </c>
      <c r="H5048" s="10" t="str">
        <f aca="false">IF(OR(其他分录!$B27="",N(其他分录!$G27)=0),"",其他分录!$E27)</f>
        <v/>
      </c>
      <c r="I5048" s="42" t="n">
        <f aca="false">IF($M5048="借",$O5048,0)</f>
        <v>0</v>
      </c>
      <c r="J5048" s="42" t="n">
        <f aca="false">IF($M5048="贷",$O5048,0)</f>
        <v>0</v>
      </c>
      <c r="K5048" s="48" t="str">
        <f aca="false">IF($H5048="","",其他分录!$H27)</f>
        <v/>
      </c>
      <c r="L5048" s="66"/>
      <c r="M5048" s="66" t="str">
        <f aca="false">IF($H5048="","","借")</f>
        <v/>
      </c>
      <c r="N5048" s="66"/>
      <c r="O5048" s="67" t="n">
        <f aca="false">IF($H5048="",0,ROUND(N(其他分录!$G27),2))</f>
        <v>0</v>
      </c>
      <c r="P5048" s="64" t="str">
        <f aca="false">IF(AND($H5048&lt;&gt;"",ROUND($O5048,2)&lt;&gt;0),"有","")</f>
        <v/>
      </c>
    </row>
    <row r="5049" customFormat="false" ht="15" hidden="true" customHeight="false" outlineLevel="0" collapsed="false">
      <c r="A5049" s="53" t="str">
        <f aca="false">IF($H5049="","",ROW()-5)</f>
        <v/>
      </c>
      <c r="B5049" s="64" t="s">
        <v>39</v>
      </c>
      <c r="C5049" s="53" t="n">
        <v>27</v>
      </c>
      <c r="D5049" s="53" t="n">
        <v>2</v>
      </c>
      <c r="E5049" s="65" t="str">
        <f aca="false">IF($H5049="","",其他分录!$B27)</f>
        <v/>
      </c>
      <c r="F5049" s="55" t="str">
        <f aca="false">IF($H5049="","",其他分录!$C27)</f>
        <v/>
      </c>
      <c r="G5049" s="48" t="str">
        <f aca="false">IF($H5049="","",其他分录!$D27)</f>
        <v/>
      </c>
      <c r="H5049" s="10" t="str">
        <f aca="false">IF(OR(其他分录!$B27="",N(其他分录!$G27)=0),"",其他分录!$F27)</f>
        <v/>
      </c>
      <c r="I5049" s="42" t="n">
        <f aca="false">IF($M5049="借",$O5049,0)</f>
        <v>0</v>
      </c>
      <c r="J5049" s="42" t="n">
        <f aca="false">IF($M5049="贷",$O5049,0)</f>
        <v>0</v>
      </c>
      <c r="K5049" s="48" t="str">
        <f aca="false">IF($H5049="","",其他分录!$H27)</f>
        <v/>
      </c>
      <c r="L5049" s="66"/>
      <c r="M5049" s="66" t="str">
        <f aca="false">IF($H5049="","","贷")</f>
        <v/>
      </c>
      <c r="N5049" s="66"/>
      <c r="O5049" s="67" t="n">
        <f aca="false">IF($H5049="",0,ROUND(N(其他分录!$G27),2))</f>
        <v>0</v>
      </c>
      <c r="P5049" s="64" t="str">
        <f aca="false">IF(AND($H5049&lt;&gt;"",ROUND($O5049,2)&lt;&gt;0),"有","")</f>
        <v/>
      </c>
    </row>
    <row r="5050" customFormat="false" ht="15" hidden="true" customHeight="false" outlineLevel="0" collapsed="false">
      <c r="A5050" s="53" t="str">
        <f aca="false">IF($H5050="","",ROW()-5)</f>
        <v/>
      </c>
      <c r="B5050" s="64" t="s">
        <v>39</v>
      </c>
      <c r="C5050" s="53" t="n">
        <v>28</v>
      </c>
      <c r="D5050" s="53" t="n">
        <v>1</v>
      </c>
      <c r="E5050" s="65" t="str">
        <f aca="false">IF($H5050="","",其他分录!$B28)</f>
        <v/>
      </c>
      <c r="F5050" s="55" t="str">
        <f aca="false">IF($H5050="","",其他分录!$C28)</f>
        <v/>
      </c>
      <c r="G5050" s="48" t="str">
        <f aca="false">IF($H5050="","",其他分录!$D28)</f>
        <v/>
      </c>
      <c r="H5050" s="10" t="str">
        <f aca="false">IF(OR(其他分录!$B28="",N(其他分录!$G28)=0),"",其他分录!$E28)</f>
        <v/>
      </c>
      <c r="I5050" s="42" t="n">
        <f aca="false">IF($M5050="借",$O5050,0)</f>
        <v>0</v>
      </c>
      <c r="J5050" s="42" t="n">
        <f aca="false">IF($M5050="贷",$O5050,0)</f>
        <v>0</v>
      </c>
      <c r="K5050" s="48" t="str">
        <f aca="false">IF($H5050="","",其他分录!$H28)</f>
        <v/>
      </c>
      <c r="L5050" s="66"/>
      <c r="M5050" s="66" t="str">
        <f aca="false">IF($H5050="","","借")</f>
        <v/>
      </c>
      <c r="N5050" s="66"/>
      <c r="O5050" s="67" t="n">
        <f aca="false">IF($H5050="",0,ROUND(N(其他分录!$G28),2))</f>
        <v>0</v>
      </c>
      <c r="P5050" s="64" t="str">
        <f aca="false">IF(AND($H5050&lt;&gt;"",ROUND($O5050,2)&lt;&gt;0),"有","")</f>
        <v/>
      </c>
    </row>
    <row r="5051" customFormat="false" ht="15" hidden="true" customHeight="false" outlineLevel="0" collapsed="false">
      <c r="A5051" s="53" t="str">
        <f aca="false">IF($H5051="","",ROW()-5)</f>
        <v/>
      </c>
      <c r="B5051" s="64" t="s">
        <v>39</v>
      </c>
      <c r="C5051" s="53" t="n">
        <v>28</v>
      </c>
      <c r="D5051" s="53" t="n">
        <v>2</v>
      </c>
      <c r="E5051" s="65" t="str">
        <f aca="false">IF($H5051="","",其他分录!$B28)</f>
        <v/>
      </c>
      <c r="F5051" s="55" t="str">
        <f aca="false">IF($H5051="","",其他分录!$C28)</f>
        <v/>
      </c>
      <c r="G5051" s="48" t="str">
        <f aca="false">IF($H5051="","",其他分录!$D28)</f>
        <v/>
      </c>
      <c r="H5051" s="10" t="str">
        <f aca="false">IF(OR(其他分录!$B28="",N(其他分录!$G28)=0),"",其他分录!$F28)</f>
        <v/>
      </c>
      <c r="I5051" s="42" t="n">
        <f aca="false">IF($M5051="借",$O5051,0)</f>
        <v>0</v>
      </c>
      <c r="J5051" s="42" t="n">
        <f aca="false">IF($M5051="贷",$O5051,0)</f>
        <v>0</v>
      </c>
      <c r="K5051" s="48" t="str">
        <f aca="false">IF($H5051="","",其他分录!$H28)</f>
        <v/>
      </c>
      <c r="L5051" s="66"/>
      <c r="M5051" s="66" t="str">
        <f aca="false">IF($H5051="","","贷")</f>
        <v/>
      </c>
      <c r="N5051" s="66"/>
      <c r="O5051" s="67" t="n">
        <f aca="false">IF($H5051="",0,ROUND(N(其他分录!$G28),2))</f>
        <v>0</v>
      </c>
      <c r="P5051" s="64" t="str">
        <f aca="false">IF(AND($H5051&lt;&gt;"",ROUND($O5051,2)&lt;&gt;0),"有","")</f>
        <v/>
      </c>
    </row>
    <row r="5052" customFormat="false" ht="15" hidden="true" customHeight="false" outlineLevel="0" collapsed="false">
      <c r="A5052" s="53" t="str">
        <f aca="false">IF($H5052="","",ROW()-5)</f>
        <v/>
      </c>
      <c r="B5052" s="64" t="s">
        <v>39</v>
      </c>
      <c r="C5052" s="53" t="n">
        <v>29</v>
      </c>
      <c r="D5052" s="53" t="n">
        <v>1</v>
      </c>
      <c r="E5052" s="65" t="str">
        <f aca="false">IF($H5052="","",其他分录!$B29)</f>
        <v/>
      </c>
      <c r="F5052" s="55" t="str">
        <f aca="false">IF($H5052="","",其他分录!$C29)</f>
        <v/>
      </c>
      <c r="G5052" s="48" t="str">
        <f aca="false">IF($H5052="","",其他分录!$D29)</f>
        <v/>
      </c>
      <c r="H5052" s="10" t="str">
        <f aca="false">IF(OR(其他分录!$B29="",N(其他分录!$G29)=0),"",其他分录!$E29)</f>
        <v/>
      </c>
      <c r="I5052" s="42" t="n">
        <f aca="false">IF($M5052="借",$O5052,0)</f>
        <v>0</v>
      </c>
      <c r="J5052" s="42" t="n">
        <f aca="false">IF($M5052="贷",$O5052,0)</f>
        <v>0</v>
      </c>
      <c r="K5052" s="48" t="str">
        <f aca="false">IF($H5052="","",其他分录!$H29)</f>
        <v/>
      </c>
      <c r="L5052" s="66"/>
      <c r="M5052" s="66" t="str">
        <f aca="false">IF($H5052="","","借")</f>
        <v/>
      </c>
      <c r="N5052" s="66"/>
      <c r="O5052" s="67" t="n">
        <f aca="false">IF($H5052="",0,ROUND(N(其他分录!$G29),2))</f>
        <v>0</v>
      </c>
      <c r="P5052" s="64" t="str">
        <f aca="false">IF(AND($H5052&lt;&gt;"",ROUND($O5052,2)&lt;&gt;0),"有","")</f>
        <v/>
      </c>
    </row>
    <row r="5053" customFormat="false" ht="15" hidden="true" customHeight="false" outlineLevel="0" collapsed="false">
      <c r="A5053" s="53" t="str">
        <f aca="false">IF($H5053="","",ROW()-5)</f>
        <v/>
      </c>
      <c r="B5053" s="64" t="s">
        <v>39</v>
      </c>
      <c r="C5053" s="53" t="n">
        <v>29</v>
      </c>
      <c r="D5053" s="53" t="n">
        <v>2</v>
      </c>
      <c r="E5053" s="65" t="str">
        <f aca="false">IF($H5053="","",其他分录!$B29)</f>
        <v/>
      </c>
      <c r="F5053" s="55" t="str">
        <f aca="false">IF($H5053="","",其他分录!$C29)</f>
        <v/>
      </c>
      <c r="G5053" s="48" t="str">
        <f aca="false">IF($H5053="","",其他分录!$D29)</f>
        <v/>
      </c>
      <c r="H5053" s="10" t="str">
        <f aca="false">IF(OR(其他分录!$B29="",N(其他分录!$G29)=0),"",其他分录!$F29)</f>
        <v/>
      </c>
      <c r="I5053" s="42" t="n">
        <f aca="false">IF($M5053="借",$O5053,0)</f>
        <v>0</v>
      </c>
      <c r="J5053" s="42" t="n">
        <f aca="false">IF($M5053="贷",$O5053,0)</f>
        <v>0</v>
      </c>
      <c r="K5053" s="48" t="str">
        <f aca="false">IF($H5053="","",其他分录!$H29)</f>
        <v/>
      </c>
      <c r="L5053" s="66"/>
      <c r="M5053" s="66" t="str">
        <f aca="false">IF($H5053="","","贷")</f>
        <v/>
      </c>
      <c r="N5053" s="66"/>
      <c r="O5053" s="67" t="n">
        <f aca="false">IF($H5053="",0,ROUND(N(其他分录!$G29),2))</f>
        <v>0</v>
      </c>
      <c r="P5053" s="64" t="str">
        <f aca="false">IF(AND($H5053&lt;&gt;"",ROUND($O5053,2)&lt;&gt;0),"有","")</f>
        <v/>
      </c>
    </row>
    <row r="5054" customFormat="false" ht="15" hidden="true" customHeight="false" outlineLevel="0" collapsed="false">
      <c r="A5054" s="53" t="str">
        <f aca="false">IF($H5054="","",ROW()-5)</f>
        <v/>
      </c>
      <c r="B5054" s="64" t="s">
        <v>39</v>
      </c>
      <c r="C5054" s="53" t="n">
        <v>30</v>
      </c>
      <c r="D5054" s="53" t="n">
        <v>1</v>
      </c>
      <c r="E5054" s="65" t="str">
        <f aca="false">IF($H5054="","",其他分录!$B30)</f>
        <v/>
      </c>
      <c r="F5054" s="55" t="str">
        <f aca="false">IF($H5054="","",其他分录!$C30)</f>
        <v/>
      </c>
      <c r="G5054" s="48" t="str">
        <f aca="false">IF($H5054="","",其他分录!$D30)</f>
        <v/>
      </c>
      <c r="H5054" s="10" t="str">
        <f aca="false">IF(OR(其他分录!$B30="",N(其他分录!$G30)=0),"",其他分录!$E30)</f>
        <v/>
      </c>
      <c r="I5054" s="42" t="n">
        <f aca="false">IF($M5054="借",$O5054,0)</f>
        <v>0</v>
      </c>
      <c r="J5054" s="42" t="n">
        <f aca="false">IF($M5054="贷",$O5054,0)</f>
        <v>0</v>
      </c>
      <c r="K5054" s="48" t="str">
        <f aca="false">IF($H5054="","",其他分录!$H30)</f>
        <v/>
      </c>
      <c r="L5054" s="66"/>
      <c r="M5054" s="66" t="str">
        <f aca="false">IF($H5054="","","借")</f>
        <v/>
      </c>
      <c r="N5054" s="66"/>
      <c r="O5054" s="67" t="n">
        <f aca="false">IF($H5054="",0,ROUND(N(其他分录!$G30),2))</f>
        <v>0</v>
      </c>
      <c r="P5054" s="64" t="str">
        <f aca="false">IF(AND($H5054&lt;&gt;"",ROUND($O5054,2)&lt;&gt;0),"有","")</f>
        <v/>
      </c>
    </row>
    <row r="5055" customFormat="false" ht="15" hidden="true" customHeight="false" outlineLevel="0" collapsed="false">
      <c r="A5055" s="53" t="str">
        <f aca="false">IF($H5055="","",ROW()-5)</f>
        <v/>
      </c>
      <c r="B5055" s="64" t="s">
        <v>39</v>
      </c>
      <c r="C5055" s="53" t="n">
        <v>30</v>
      </c>
      <c r="D5055" s="53" t="n">
        <v>2</v>
      </c>
      <c r="E5055" s="65" t="str">
        <f aca="false">IF($H5055="","",其他分录!$B30)</f>
        <v/>
      </c>
      <c r="F5055" s="55" t="str">
        <f aca="false">IF($H5055="","",其他分录!$C30)</f>
        <v/>
      </c>
      <c r="G5055" s="48" t="str">
        <f aca="false">IF($H5055="","",其他分录!$D30)</f>
        <v/>
      </c>
      <c r="H5055" s="10" t="str">
        <f aca="false">IF(OR(其他分录!$B30="",N(其他分录!$G30)=0),"",其他分录!$F30)</f>
        <v/>
      </c>
      <c r="I5055" s="42" t="n">
        <f aca="false">IF($M5055="借",$O5055,0)</f>
        <v>0</v>
      </c>
      <c r="J5055" s="42" t="n">
        <f aca="false">IF($M5055="贷",$O5055,0)</f>
        <v>0</v>
      </c>
      <c r="K5055" s="48" t="str">
        <f aca="false">IF($H5055="","",其他分录!$H30)</f>
        <v/>
      </c>
      <c r="L5055" s="66"/>
      <c r="M5055" s="66" t="str">
        <f aca="false">IF($H5055="","","贷")</f>
        <v/>
      </c>
      <c r="N5055" s="66"/>
      <c r="O5055" s="67" t="n">
        <f aca="false">IF($H5055="",0,ROUND(N(其他分录!$G30),2))</f>
        <v>0</v>
      </c>
      <c r="P5055" s="64" t="str">
        <f aca="false">IF(AND($H5055&lt;&gt;"",ROUND($O5055,2)&lt;&gt;0),"有","")</f>
        <v/>
      </c>
    </row>
    <row r="5056" customFormat="false" ht="15" hidden="true" customHeight="false" outlineLevel="0" collapsed="false">
      <c r="A5056" s="53" t="str">
        <f aca="false">IF($H5056="","",ROW()-5)</f>
        <v/>
      </c>
      <c r="B5056" s="64" t="s">
        <v>39</v>
      </c>
      <c r="C5056" s="53" t="n">
        <v>31</v>
      </c>
      <c r="D5056" s="53" t="n">
        <v>1</v>
      </c>
      <c r="E5056" s="65" t="str">
        <f aca="false">IF($H5056="","",其他分录!$B31)</f>
        <v/>
      </c>
      <c r="F5056" s="55" t="str">
        <f aca="false">IF($H5056="","",其他分录!$C31)</f>
        <v/>
      </c>
      <c r="G5056" s="48" t="str">
        <f aca="false">IF($H5056="","",其他分录!$D31)</f>
        <v/>
      </c>
      <c r="H5056" s="10" t="str">
        <f aca="false">IF(OR(其他分录!$B31="",N(其他分录!$G31)=0),"",其他分录!$E31)</f>
        <v/>
      </c>
      <c r="I5056" s="42" t="n">
        <f aca="false">IF($M5056="借",$O5056,0)</f>
        <v>0</v>
      </c>
      <c r="J5056" s="42" t="n">
        <f aca="false">IF($M5056="贷",$O5056,0)</f>
        <v>0</v>
      </c>
      <c r="K5056" s="48" t="str">
        <f aca="false">IF($H5056="","",其他分录!$H31)</f>
        <v/>
      </c>
      <c r="L5056" s="66"/>
      <c r="M5056" s="66" t="str">
        <f aca="false">IF($H5056="","","借")</f>
        <v/>
      </c>
      <c r="N5056" s="66"/>
      <c r="O5056" s="67" t="n">
        <f aca="false">IF($H5056="",0,ROUND(N(其他分录!$G31),2))</f>
        <v>0</v>
      </c>
      <c r="P5056" s="64" t="str">
        <f aca="false">IF(AND($H5056&lt;&gt;"",ROUND($O5056,2)&lt;&gt;0),"有","")</f>
        <v/>
      </c>
    </row>
    <row r="5057" customFormat="false" ht="15" hidden="true" customHeight="false" outlineLevel="0" collapsed="false">
      <c r="A5057" s="53" t="str">
        <f aca="false">IF($H5057="","",ROW()-5)</f>
        <v/>
      </c>
      <c r="B5057" s="64" t="s">
        <v>39</v>
      </c>
      <c r="C5057" s="53" t="n">
        <v>31</v>
      </c>
      <c r="D5057" s="53" t="n">
        <v>2</v>
      </c>
      <c r="E5057" s="65" t="str">
        <f aca="false">IF($H5057="","",其他分录!$B31)</f>
        <v/>
      </c>
      <c r="F5057" s="55" t="str">
        <f aca="false">IF($H5057="","",其他分录!$C31)</f>
        <v/>
      </c>
      <c r="G5057" s="48" t="str">
        <f aca="false">IF($H5057="","",其他分录!$D31)</f>
        <v/>
      </c>
      <c r="H5057" s="10" t="str">
        <f aca="false">IF(OR(其他分录!$B31="",N(其他分录!$G31)=0),"",其他分录!$F31)</f>
        <v/>
      </c>
      <c r="I5057" s="42" t="n">
        <f aca="false">IF($M5057="借",$O5057,0)</f>
        <v>0</v>
      </c>
      <c r="J5057" s="42" t="n">
        <f aca="false">IF($M5057="贷",$O5057,0)</f>
        <v>0</v>
      </c>
      <c r="K5057" s="48" t="str">
        <f aca="false">IF($H5057="","",其他分录!$H31)</f>
        <v/>
      </c>
      <c r="L5057" s="66"/>
      <c r="M5057" s="66" t="str">
        <f aca="false">IF($H5057="","","贷")</f>
        <v/>
      </c>
      <c r="N5057" s="66"/>
      <c r="O5057" s="67" t="n">
        <f aca="false">IF($H5057="",0,ROUND(N(其他分录!$G31),2))</f>
        <v>0</v>
      </c>
      <c r="P5057" s="64" t="str">
        <f aca="false">IF(AND($H5057&lt;&gt;"",ROUND($O5057,2)&lt;&gt;0),"有","")</f>
        <v/>
      </c>
    </row>
    <row r="5058" customFormat="false" ht="15" hidden="true" customHeight="false" outlineLevel="0" collapsed="false">
      <c r="A5058" s="53" t="str">
        <f aca="false">IF($H5058="","",ROW()-5)</f>
        <v/>
      </c>
      <c r="B5058" s="64" t="s">
        <v>39</v>
      </c>
      <c r="C5058" s="53" t="n">
        <v>32</v>
      </c>
      <c r="D5058" s="53" t="n">
        <v>1</v>
      </c>
      <c r="E5058" s="65" t="str">
        <f aca="false">IF($H5058="","",其他分录!$B32)</f>
        <v/>
      </c>
      <c r="F5058" s="55" t="str">
        <f aca="false">IF($H5058="","",其他分录!$C32)</f>
        <v/>
      </c>
      <c r="G5058" s="48" t="str">
        <f aca="false">IF($H5058="","",其他分录!$D32)</f>
        <v/>
      </c>
      <c r="H5058" s="10" t="str">
        <f aca="false">IF(OR(其他分录!$B32="",N(其他分录!$G32)=0),"",其他分录!$E32)</f>
        <v/>
      </c>
      <c r="I5058" s="42" t="n">
        <f aca="false">IF($M5058="借",$O5058,0)</f>
        <v>0</v>
      </c>
      <c r="J5058" s="42" t="n">
        <f aca="false">IF($M5058="贷",$O5058,0)</f>
        <v>0</v>
      </c>
      <c r="K5058" s="48" t="str">
        <f aca="false">IF($H5058="","",其他分录!$H32)</f>
        <v/>
      </c>
      <c r="L5058" s="66"/>
      <c r="M5058" s="66" t="str">
        <f aca="false">IF($H5058="","","借")</f>
        <v/>
      </c>
      <c r="N5058" s="66"/>
      <c r="O5058" s="67" t="n">
        <f aca="false">IF($H5058="",0,ROUND(N(其他分录!$G32),2))</f>
        <v>0</v>
      </c>
      <c r="P5058" s="64" t="str">
        <f aca="false">IF(AND($H5058&lt;&gt;"",ROUND($O5058,2)&lt;&gt;0),"有","")</f>
        <v/>
      </c>
    </row>
    <row r="5059" customFormat="false" ht="15" hidden="true" customHeight="false" outlineLevel="0" collapsed="false">
      <c r="A5059" s="53" t="str">
        <f aca="false">IF($H5059="","",ROW()-5)</f>
        <v/>
      </c>
      <c r="B5059" s="64" t="s">
        <v>39</v>
      </c>
      <c r="C5059" s="53" t="n">
        <v>32</v>
      </c>
      <c r="D5059" s="53" t="n">
        <v>2</v>
      </c>
      <c r="E5059" s="65" t="str">
        <f aca="false">IF($H5059="","",其他分录!$B32)</f>
        <v/>
      </c>
      <c r="F5059" s="55" t="str">
        <f aca="false">IF($H5059="","",其他分录!$C32)</f>
        <v/>
      </c>
      <c r="G5059" s="48" t="str">
        <f aca="false">IF($H5059="","",其他分录!$D32)</f>
        <v/>
      </c>
      <c r="H5059" s="10" t="str">
        <f aca="false">IF(OR(其他分录!$B32="",N(其他分录!$G32)=0),"",其他分录!$F32)</f>
        <v/>
      </c>
      <c r="I5059" s="42" t="n">
        <f aca="false">IF($M5059="借",$O5059,0)</f>
        <v>0</v>
      </c>
      <c r="J5059" s="42" t="n">
        <f aca="false">IF($M5059="贷",$O5059,0)</f>
        <v>0</v>
      </c>
      <c r="K5059" s="48" t="str">
        <f aca="false">IF($H5059="","",其他分录!$H32)</f>
        <v/>
      </c>
      <c r="L5059" s="66"/>
      <c r="M5059" s="66" t="str">
        <f aca="false">IF($H5059="","","贷")</f>
        <v/>
      </c>
      <c r="N5059" s="66"/>
      <c r="O5059" s="67" t="n">
        <f aca="false">IF($H5059="",0,ROUND(N(其他分录!$G32),2))</f>
        <v>0</v>
      </c>
      <c r="P5059" s="64" t="str">
        <f aca="false">IF(AND($H5059&lt;&gt;"",ROUND($O5059,2)&lt;&gt;0),"有","")</f>
        <v/>
      </c>
    </row>
    <row r="5060" customFormat="false" ht="15" hidden="true" customHeight="false" outlineLevel="0" collapsed="false">
      <c r="A5060" s="53" t="str">
        <f aca="false">IF($H5060="","",ROW()-5)</f>
        <v/>
      </c>
      <c r="B5060" s="64" t="s">
        <v>39</v>
      </c>
      <c r="C5060" s="53" t="n">
        <v>33</v>
      </c>
      <c r="D5060" s="53" t="n">
        <v>1</v>
      </c>
      <c r="E5060" s="65" t="str">
        <f aca="false">IF($H5060="","",其他分录!$B33)</f>
        <v/>
      </c>
      <c r="F5060" s="55" t="str">
        <f aca="false">IF($H5060="","",其他分录!$C33)</f>
        <v/>
      </c>
      <c r="G5060" s="48" t="str">
        <f aca="false">IF($H5060="","",其他分录!$D33)</f>
        <v/>
      </c>
      <c r="H5060" s="10" t="str">
        <f aca="false">IF(OR(其他分录!$B33="",N(其他分录!$G33)=0),"",其他分录!$E33)</f>
        <v/>
      </c>
      <c r="I5060" s="42" t="n">
        <f aca="false">IF($M5060="借",$O5060,0)</f>
        <v>0</v>
      </c>
      <c r="J5060" s="42" t="n">
        <f aca="false">IF($M5060="贷",$O5060,0)</f>
        <v>0</v>
      </c>
      <c r="K5060" s="48" t="str">
        <f aca="false">IF($H5060="","",其他分录!$H33)</f>
        <v/>
      </c>
      <c r="L5060" s="66"/>
      <c r="M5060" s="66" t="str">
        <f aca="false">IF($H5060="","","借")</f>
        <v/>
      </c>
      <c r="N5060" s="66"/>
      <c r="O5060" s="67" t="n">
        <f aca="false">IF($H5060="",0,ROUND(N(其他分录!$G33),2))</f>
        <v>0</v>
      </c>
      <c r="P5060" s="64" t="str">
        <f aca="false">IF(AND($H5060&lt;&gt;"",ROUND($O5060,2)&lt;&gt;0),"有","")</f>
        <v/>
      </c>
    </row>
    <row r="5061" customFormat="false" ht="15" hidden="true" customHeight="false" outlineLevel="0" collapsed="false">
      <c r="A5061" s="53" t="str">
        <f aca="false">IF($H5061="","",ROW()-5)</f>
        <v/>
      </c>
      <c r="B5061" s="64" t="s">
        <v>39</v>
      </c>
      <c r="C5061" s="53" t="n">
        <v>33</v>
      </c>
      <c r="D5061" s="53" t="n">
        <v>2</v>
      </c>
      <c r="E5061" s="65" t="str">
        <f aca="false">IF($H5061="","",其他分录!$B33)</f>
        <v/>
      </c>
      <c r="F5061" s="55" t="str">
        <f aca="false">IF($H5061="","",其他分录!$C33)</f>
        <v/>
      </c>
      <c r="G5061" s="48" t="str">
        <f aca="false">IF($H5061="","",其他分录!$D33)</f>
        <v/>
      </c>
      <c r="H5061" s="10" t="str">
        <f aca="false">IF(OR(其他分录!$B33="",N(其他分录!$G33)=0),"",其他分录!$F33)</f>
        <v/>
      </c>
      <c r="I5061" s="42" t="n">
        <f aca="false">IF($M5061="借",$O5061,0)</f>
        <v>0</v>
      </c>
      <c r="J5061" s="42" t="n">
        <f aca="false">IF($M5061="贷",$O5061,0)</f>
        <v>0</v>
      </c>
      <c r="K5061" s="48" t="str">
        <f aca="false">IF($H5061="","",其他分录!$H33)</f>
        <v/>
      </c>
      <c r="L5061" s="66"/>
      <c r="M5061" s="66" t="str">
        <f aca="false">IF($H5061="","","贷")</f>
        <v/>
      </c>
      <c r="N5061" s="66"/>
      <c r="O5061" s="67" t="n">
        <f aca="false">IF($H5061="",0,ROUND(N(其他分录!$G33),2))</f>
        <v>0</v>
      </c>
      <c r="P5061" s="64" t="str">
        <f aca="false">IF(AND($H5061&lt;&gt;"",ROUND($O5061,2)&lt;&gt;0),"有","")</f>
        <v/>
      </c>
    </row>
    <row r="5062" customFormat="false" ht="15" hidden="true" customHeight="false" outlineLevel="0" collapsed="false">
      <c r="A5062" s="53" t="str">
        <f aca="false">IF($H5062="","",ROW()-5)</f>
        <v/>
      </c>
      <c r="B5062" s="64" t="s">
        <v>39</v>
      </c>
      <c r="C5062" s="53" t="n">
        <v>34</v>
      </c>
      <c r="D5062" s="53" t="n">
        <v>1</v>
      </c>
      <c r="E5062" s="65" t="str">
        <f aca="false">IF($H5062="","",其他分录!$B34)</f>
        <v/>
      </c>
      <c r="F5062" s="55" t="str">
        <f aca="false">IF($H5062="","",其他分录!$C34)</f>
        <v/>
      </c>
      <c r="G5062" s="48" t="str">
        <f aca="false">IF($H5062="","",其他分录!$D34)</f>
        <v/>
      </c>
      <c r="H5062" s="10" t="str">
        <f aca="false">IF(OR(其他分录!$B34="",N(其他分录!$G34)=0),"",其他分录!$E34)</f>
        <v/>
      </c>
      <c r="I5062" s="42" t="n">
        <f aca="false">IF($M5062="借",$O5062,0)</f>
        <v>0</v>
      </c>
      <c r="J5062" s="42" t="n">
        <f aca="false">IF($M5062="贷",$O5062,0)</f>
        <v>0</v>
      </c>
      <c r="K5062" s="48" t="str">
        <f aca="false">IF($H5062="","",其他分录!$H34)</f>
        <v/>
      </c>
      <c r="L5062" s="66"/>
      <c r="M5062" s="66" t="str">
        <f aca="false">IF($H5062="","","借")</f>
        <v/>
      </c>
      <c r="N5062" s="66"/>
      <c r="O5062" s="67" t="n">
        <f aca="false">IF($H5062="",0,ROUND(N(其他分录!$G34),2))</f>
        <v>0</v>
      </c>
      <c r="P5062" s="64" t="str">
        <f aca="false">IF(AND($H5062&lt;&gt;"",ROUND($O5062,2)&lt;&gt;0),"有","")</f>
        <v/>
      </c>
    </row>
    <row r="5063" customFormat="false" ht="15" hidden="true" customHeight="false" outlineLevel="0" collapsed="false">
      <c r="A5063" s="53" t="str">
        <f aca="false">IF($H5063="","",ROW()-5)</f>
        <v/>
      </c>
      <c r="B5063" s="64" t="s">
        <v>39</v>
      </c>
      <c r="C5063" s="53" t="n">
        <v>34</v>
      </c>
      <c r="D5063" s="53" t="n">
        <v>2</v>
      </c>
      <c r="E5063" s="65" t="str">
        <f aca="false">IF($H5063="","",其他分录!$B34)</f>
        <v/>
      </c>
      <c r="F5063" s="55" t="str">
        <f aca="false">IF($H5063="","",其他分录!$C34)</f>
        <v/>
      </c>
      <c r="G5063" s="48" t="str">
        <f aca="false">IF($H5063="","",其他分录!$D34)</f>
        <v/>
      </c>
      <c r="H5063" s="10" t="str">
        <f aca="false">IF(OR(其他分录!$B34="",N(其他分录!$G34)=0),"",其他分录!$F34)</f>
        <v/>
      </c>
      <c r="I5063" s="42" t="n">
        <f aca="false">IF($M5063="借",$O5063,0)</f>
        <v>0</v>
      </c>
      <c r="J5063" s="42" t="n">
        <f aca="false">IF($M5063="贷",$O5063,0)</f>
        <v>0</v>
      </c>
      <c r="K5063" s="48" t="str">
        <f aca="false">IF($H5063="","",其他分录!$H34)</f>
        <v/>
      </c>
      <c r="L5063" s="66"/>
      <c r="M5063" s="66" t="str">
        <f aca="false">IF($H5063="","","贷")</f>
        <v/>
      </c>
      <c r="N5063" s="66"/>
      <c r="O5063" s="67" t="n">
        <f aca="false">IF($H5063="",0,ROUND(N(其他分录!$G34),2))</f>
        <v>0</v>
      </c>
      <c r="P5063" s="64" t="str">
        <f aca="false">IF(AND($H5063&lt;&gt;"",ROUND($O5063,2)&lt;&gt;0),"有","")</f>
        <v/>
      </c>
    </row>
    <row r="5064" customFormat="false" ht="15" hidden="true" customHeight="false" outlineLevel="0" collapsed="false">
      <c r="A5064" s="53" t="str">
        <f aca="false">IF($H5064="","",ROW()-5)</f>
        <v/>
      </c>
      <c r="B5064" s="64" t="s">
        <v>39</v>
      </c>
      <c r="C5064" s="53" t="n">
        <v>35</v>
      </c>
      <c r="D5064" s="53" t="n">
        <v>1</v>
      </c>
      <c r="E5064" s="65" t="str">
        <f aca="false">IF($H5064="","",其他分录!$B35)</f>
        <v/>
      </c>
      <c r="F5064" s="55" t="str">
        <f aca="false">IF($H5064="","",其他分录!$C35)</f>
        <v/>
      </c>
      <c r="G5064" s="48" t="str">
        <f aca="false">IF($H5064="","",其他分录!$D35)</f>
        <v/>
      </c>
      <c r="H5064" s="10" t="str">
        <f aca="false">IF(OR(其他分录!$B35="",N(其他分录!$G35)=0),"",其他分录!$E35)</f>
        <v/>
      </c>
      <c r="I5064" s="42" t="n">
        <f aca="false">IF($M5064="借",$O5064,0)</f>
        <v>0</v>
      </c>
      <c r="J5064" s="42" t="n">
        <f aca="false">IF($M5064="贷",$O5064,0)</f>
        <v>0</v>
      </c>
      <c r="K5064" s="48" t="str">
        <f aca="false">IF($H5064="","",其他分录!$H35)</f>
        <v/>
      </c>
      <c r="L5064" s="66"/>
      <c r="M5064" s="66" t="str">
        <f aca="false">IF($H5064="","","借")</f>
        <v/>
      </c>
      <c r="N5064" s="66"/>
      <c r="O5064" s="67" t="n">
        <f aca="false">IF($H5064="",0,ROUND(N(其他分录!$G35),2))</f>
        <v>0</v>
      </c>
      <c r="P5064" s="64" t="str">
        <f aca="false">IF(AND($H5064&lt;&gt;"",ROUND($O5064,2)&lt;&gt;0),"有","")</f>
        <v/>
      </c>
    </row>
    <row r="5065" customFormat="false" ht="15" hidden="true" customHeight="false" outlineLevel="0" collapsed="false">
      <c r="A5065" s="53" t="str">
        <f aca="false">IF($H5065="","",ROW()-5)</f>
        <v/>
      </c>
      <c r="B5065" s="64" t="s">
        <v>39</v>
      </c>
      <c r="C5065" s="53" t="n">
        <v>35</v>
      </c>
      <c r="D5065" s="53" t="n">
        <v>2</v>
      </c>
      <c r="E5065" s="65" t="str">
        <f aca="false">IF($H5065="","",其他分录!$B35)</f>
        <v/>
      </c>
      <c r="F5065" s="55" t="str">
        <f aca="false">IF($H5065="","",其他分录!$C35)</f>
        <v/>
      </c>
      <c r="G5065" s="48" t="str">
        <f aca="false">IF($H5065="","",其他分录!$D35)</f>
        <v/>
      </c>
      <c r="H5065" s="10" t="str">
        <f aca="false">IF(OR(其他分录!$B35="",N(其他分录!$G35)=0),"",其他分录!$F35)</f>
        <v/>
      </c>
      <c r="I5065" s="42" t="n">
        <f aca="false">IF($M5065="借",$O5065,0)</f>
        <v>0</v>
      </c>
      <c r="J5065" s="42" t="n">
        <f aca="false">IF($M5065="贷",$O5065,0)</f>
        <v>0</v>
      </c>
      <c r="K5065" s="48" t="str">
        <f aca="false">IF($H5065="","",其他分录!$H35)</f>
        <v/>
      </c>
      <c r="L5065" s="66"/>
      <c r="M5065" s="66" t="str">
        <f aca="false">IF($H5065="","","贷")</f>
        <v/>
      </c>
      <c r="N5065" s="66"/>
      <c r="O5065" s="67" t="n">
        <f aca="false">IF($H5065="",0,ROUND(N(其他分录!$G35),2))</f>
        <v>0</v>
      </c>
      <c r="P5065" s="64" t="str">
        <f aca="false">IF(AND($H5065&lt;&gt;"",ROUND($O5065,2)&lt;&gt;0),"有","")</f>
        <v/>
      </c>
    </row>
    <row r="5066" customFormat="false" ht="15" hidden="true" customHeight="false" outlineLevel="0" collapsed="false">
      <c r="A5066" s="53" t="str">
        <f aca="false">IF($H5066="","",ROW()-5)</f>
        <v/>
      </c>
      <c r="B5066" s="64" t="s">
        <v>39</v>
      </c>
      <c r="C5066" s="53" t="n">
        <v>36</v>
      </c>
      <c r="D5066" s="53" t="n">
        <v>1</v>
      </c>
      <c r="E5066" s="65" t="str">
        <f aca="false">IF($H5066="","",其他分录!$B36)</f>
        <v/>
      </c>
      <c r="F5066" s="55" t="str">
        <f aca="false">IF($H5066="","",其他分录!$C36)</f>
        <v/>
      </c>
      <c r="G5066" s="48" t="str">
        <f aca="false">IF($H5066="","",其他分录!$D36)</f>
        <v/>
      </c>
      <c r="H5066" s="10" t="str">
        <f aca="false">IF(OR(其他分录!$B36="",N(其他分录!$G36)=0),"",其他分录!$E36)</f>
        <v/>
      </c>
      <c r="I5066" s="42" t="n">
        <f aca="false">IF($M5066="借",$O5066,0)</f>
        <v>0</v>
      </c>
      <c r="J5066" s="42" t="n">
        <f aca="false">IF($M5066="贷",$O5066,0)</f>
        <v>0</v>
      </c>
      <c r="K5066" s="48" t="str">
        <f aca="false">IF($H5066="","",其他分录!$H36)</f>
        <v/>
      </c>
      <c r="L5066" s="66"/>
      <c r="M5066" s="66" t="str">
        <f aca="false">IF($H5066="","","借")</f>
        <v/>
      </c>
      <c r="N5066" s="66"/>
      <c r="O5066" s="67" t="n">
        <f aca="false">IF($H5066="",0,ROUND(N(其他分录!$G36),2))</f>
        <v>0</v>
      </c>
      <c r="P5066" s="64" t="str">
        <f aca="false">IF(AND($H5066&lt;&gt;"",ROUND($O5066,2)&lt;&gt;0),"有","")</f>
        <v/>
      </c>
    </row>
    <row r="5067" customFormat="false" ht="15" hidden="true" customHeight="false" outlineLevel="0" collapsed="false">
      <c r="A5067" s="53" t="str">
        <f aca="false">IF($H5067="","",ROW()-5)</f>
        <v/>
      </c>
      <c r="B5067" s="64" t="s">
        <v>39</v>
      </c>
      <c r="C5067" s="53" t="n">
        <v>36</v>
      </c>
      <c r="D5067" s="53" t="n">
        <v>2</v>
      </c>
      <c r="E5067" s="65" t="str">
        <f aca="false">IF($H5067="","",其他分录!$B36)</f>
        <v/>
      </c>
      <c r="F5067" s="55" t="str">
        <f aca="false">IF($H5067="","",其他分录!$C36)</f>
        <v/>
      </c>
      <c r="G5067" s="48" t="str">
        <f aca="false">IF($H5067="","",其他分录!$D36)</f>
        <v/>
      </c>
      <c r="H5067" s="10" t="str">
        <f aca="false">IF(OR(其他分录!$B36="",N(其他分录!$G36)=0),"",其他分录!$F36)</f>
        <v/>
      </c>
      <c r="I5067" s="42" t="n">
        <f aca="false">IF($M5067="借",$O5067,0)</f>
        <v>0</v>
      </c>
      <c r="J5067" s="42" t="n">
        <f aca="false">IF($M5067="贷",$O5067,0)</f>
        <v>0</v>
      </c>
      <c r="K5067" s="48" t="str">
        <f aca="false">IF($H5067="","",其他分录!$H36)</f>
        <v/>
      </c>
      <c r="L5067" s="66"/>
      <c r="M5067" s="66" t="str">
        <f aca="false">IF($H5067="","","贷")</f>
        <v/>
      </c>
      <c r="N5067" s="66"/>
      <c r="O5067" s="67" t="n">
        <f aca="false">IF($H5067="",0,ROUND(N(其他分录!$G36),2))</f>
        <v>0</v>
      </c>
      <c r="P5067" s="64" t="str">
        <f aca="false">IF(AND($H5067&lt;&gt;"",ROUND($O5067,2)&lt;&gt;0),"有","")</f>
        <v/>
      </c>
    </row>
    <row r="5068" customFormat="false" ht="15" hidden="true" customHeight="false" outlineLevel="0" collapsed="false">
      <c r="A5068" s="53" t="str">
        <f aca="false">IF($H5068="","",ROW()-5)</f>
        <v/>
      </c>
      <c r="B5068" s="64" t="s">
        <v>39</v>
      </c>
      <c r="C5068" s="53" t="n">
        <v>37</v>
      </c>
      <c r="D5068" s="53" t="n">
        <v>1</v>
      </c>
      <c r="E5068" s="65" t="str">
        <f aca="false">IF($H5068="","",其他分录!$B37)</f>
        <v/>
      </c>
      <c r="F5068" s="55" t="str">
        <f aca="false">IF($H5068="","",其他分录!$C37)</f>
        <v/>
      </c>
      <c r="G5068" s="48" t="str">
        <f aca="false">IF($H5068="","",其他分录!$D37)</f>
        <v/>
      </c>
      <c r="H5068" s="10" t="str">
        <f aca="false">IF(OR(其他分录!$B37="",N(其他分录!$G37)=0),"",其他分录!$E37)</f>
        <v/>
      </c>
      <c r="I5068" s="42" t="n">
        <f aca="false">IF($M5068="借",$O5068,0)</f>
        <v>0</v>
      </c>
      <c r="J5068" s="42" t="n">
        <f aca="false">IF($M5068="贷",$O5068,0)</f>
        <v>0</v>
      </c>
      <c r="K5068" s="48" t="str">
        <f aca="false">IF($H5068="","",其他分录!$H37)</f>
        <v/>
      </c>
      <c r="L5068" s="66"/>
      <c r="M5068" s="66" t="str">
        <f aca="false">IF($H5068="","","借")</f>
        <v/>
      </c>
      <c r="N5068" s="66"/>
      <c r="O5068" s="67" t="n">
        <f aca="false">IF($H5068="",0,ROUND(N(其他分录!$G37),2))</f>
        <v>0</v>
      </c>
      <c r="P5068" s="64" t="str">
        <f aca="false">IF(AND($H5068&lt;&gt;"",ROUND($O5068,2)&lt;&gt;0),"有","")</f>
        <v/>
      </c>
    </row>
    <row r="5069" customFormat="false" ht="15" hidden="true" customHeight="false" outlineLevel="0" collapsed="false">
      <c r="A5069" s="53" t="str">
        <f aca="false">IF($H5069="","",ROW()-5)</f>
        <v/>
      </c>
      <c r="B5069" s="64" t="s">
        <v>39</v>
      </c>
      <c r="C5069" s="53" t="n">
        <v>37</v>
      </c>
      <c r="D5069" s="53" t="n">
        <v>2</v>
      </c>
      <c r="E5069" s="65" t="str">
        <f aca="false">IF($H5069="","",其他分录!$B37)</f>
        <v/>
      </c>
      <c r="F5069" s="55" t="str">
        <f aca="false">IF($H5069="","",其他分录!$C37)</f>
        <v/>
      </c>
      <c r="G5069" s="48" t="str">
        <f aca="false">IF($H5069="","",其他分录!$D37)</f>
        <v/>
      </c>
      <c r="H5069" s="10" t="str">
        <f aca="false">IF(OR(其他分录!$B37="",N(其他分录!$G37)=0),"",其他分录!$F37)</f>
        <v/>
      </c>
      <c r="I5069" s="42" t="n">
        <f aca="false">IF($M5069="借",$O5069,0)</f>
        <v>0</v>
      </c>
      <c r="J5069" s="42" t="n">
        <f aca="false">IF($M5069="贷",$O5069,0)</f>
        <v>0</v>
      </c>
      <c r="K5069" s="48" t="str">
        <f aca="false">IF($H5069="","",其他分录!$H37)</f>
        <v/>
      </c>
      <c r="L5069" s="66"/>
      <c r="M5069" s="66" t="str">
        <f aca="false">IF($H5069="","","贷")</f>
        <v/>
      </c>
      <c r="N5069" s="66"/>
      <c r="O5069" s="67" t="n">
        <f aca="false">IF($H5069="",0,ROUND(N(其他分录!$G37),2))</f>
        <v>0</v>
      </c>
      <c r="P5069" s="64" t="str">
        <f aca="false">IF(AND($H5069&lt;&gt;"",ROUND($O5069,2)&lt;&gt;0),"有","")</f>
        <v/>
      </c>
    </row>
    <row r="5070" customFormat="false" ht="15" hidden="true" customHeight="false" outlineLevel="0" collapsed="false">
      <c r="A5070" s="53" t="str">
        <f aca="false">IF($H5070="","",ROW()-5)</f>
        <v/>
      </c>
      <c r="B5070" s="64" t="s">
        <v>39</v>
      </c>
      <c r="C5070" s="53" t="n">
        <v>38</v>
      </c>
      <c r="D5070" s="53" t="n">
        <v>1</v>
      </c>
      <c r="E5070" s="65" t="str">
        <f aca="false">IF($H5070="","",其他分录!$B38)</f>
        <v/>
      </c>
      <c r="F5070" s="55" t="str">
        <f aca="false">IF($H5070="","",其他分录!$C38)</f>
        <v/>
      </c>
      <c r="G5070" s="48" t="str">
        <f aca="false">IF($H5070="","",其他分录!$D38)</f>
        <v/>
      </c>
      <c r="H5070" s="10" t="str">
        <f aca="false">IF(OR(其他分录!$B38="",N(其他分录!$G38)=0),"",其他分录!$E38)</f>
        <v/>
      </c>
      <c r="I5070" s="42" t="n">
        <f aca="false">IF($M5070="借",$O5070,0)</f>
        <v>0</v>
      </c>
      <c r="J5070" s="42" t="n">
        <f aca="false">IF($M5070="贷",$O5070,0)</f>
        <v>0</v>
      </c>
      <c r="K5070" s="48" t="str">
        <f aca="false">IF($H5070="","",其他分录!$H38)</f>
        <v/>
      </c>
      <c r="L5070" s="66"/>
      <c r="M5070" s="66" t="str">
        <f aca="false">IF($H5070="","","借")</f>
        <v/>
      </c>
      <c r="N5070" s="66"/>
      <c r="O5070" s="67" t="n">
        <f aca="false">IF($H5070="",0,ROUND(N(其他分录!$G38),2))</f>
        <v>0</v>
      </c>
      <c r="P5070" s="64" t="str">
        <f aca="false">IF(AND($H5070&lt;&gt;"",ROUND($O5070,2)&lt;&gt;0),"有","")</f>
        <v/>
      </c>
    </row>
    <row r="5071" customFormat="false" ht="15" hidden="true" customHeight="false" outlineLevel="0" collapsed="false">
      <c r="A5071" s="53" t="str">
        <f aca="false">IF($H5071="","",ROW()-5)</f>
        <v/>
      </c>
      <c r="B5071" s="64" t="s">
        <v>39</v>
      </c>
      <c r="C5071" s="53" t="n">
        <v>38</v>
      </c>
      <c r="D5071" s="53" t="n">
        <v>2</v>
      </c>
      <c r="E5071" s="65" t="str">
        <f aca="false">IF($H5071="","",其他分录!$B38)</f>
        <v/>
      </c>
      <c r="F5071" s="55" t="str">
        <f aca="false">IF($H5071="","",其他分录!$C38)</f>
        <v/>
      </c>
      <c r="G5071" s="48" t="str">
        <f aca="false">IF($H5071="","",其他分录!$D38)</f>
        <v/>
      </c>
      <c r="H5071" s="10" t="str">
        <f aca="false">IF(OR(其他分录!$B38="",N(其他分录!$G38)=0),"",其他分录!$F38)</f>
        <v/>
      </c>
      <c r="I5071" s="42" t="n">
        <f aca="false">IF($M5071="借",$O5071,0)</f>
        <v>0</v>
      </c>
      <c r="J5071" s="42" t="n">
        <f aca="false">IF($M5071="贷",$O5071,0)</f>
        <v>0</v>
      </c>
      <c r="K5071" s="48" t="str">
        <f aca="false">IF($H5071="","",其他分录!$H38)</f>
        <v/>
      </c>
      <c r="L5071" s="66"/>
      <c r="M5071" s="66" t="str">
        <f aca="false">IF($H5071="","","贷")</f>
        <v/>
      </c>
      <c r="N5071" s="66"/>
      <c r="O5071" s="67" t="n">
        <f aca="false">IF($H5071="",0,ROUND(N(其他分录!$G38),2))</f>
        <v>0</v>
      </c>
      <c r="P5071" s="64" t="str">
        <f aca="false">IF(AND($H5071&lt;&gt;"",ROUND($O5071,2)&lt;&gt;0),"有","")</f>
        <v/>
      </c>
    </row>
    <row r="5072" customFormat="false" ht="15" hidden="true" customHeight="false" outlineLevel="0" collapsed="false">
      <c r="A5072" s="53" t="str">
        <f aca="false">IF($H5072="","",ROW()-5)</f>
        <v/>
      </c>
      <c r="B5072" s="64" t="s">
        <v>39</v>
      </c>
      <c r="C5072" s="53" t="n">
        <v>39</v>
      </c>
      <c r="D5072" s="53" t="n">
        <v>1</v>
      </c>
      <c r="E5072" s="65" t="str">
        <f aca="false">IF($H5072="","",其他分录!$B39)</f>
        <v/>
      </c>
      <c r="F5072" s="55" t="str">
        <f aca="false">IF($H5072="","",其他分录!$C39)</f>
        <v/>
      </c>
      <c r="G5072" s="48" t="str">
        <f aca="false">IF($H5072="","",其他分录!$D39)</f>
        <v/>
      </c>
      <c r="H5072" s="10" t="str">
        <f aca="false">IF(OR(其他分录!$B39="",N(其他分录!$G39)=0),"",其他分录!$E39)</f>
        <v/>
      </c>
      <c r="I5072" s="42" t="n">
        <f aca="false">IF($M5072="借",$O5072,0)</f>
        <v>0</v>
      </c>
      <c r="J5072" s="42" t="n">
        <f aca="false">IF($M5072="贷",$O5072,0)</f>
        <v>0</v>
      </c>
      <c r="K5072" s="48" t="str">
        <f aca="false">IF($H5072="","",其他分录!$H39)</f>
        <v/>
      </c>
      <c r="L5072" s="66"/>
      <c r="M5072" s="66" t="str">
        <f aca="false">IF($H5072="","","借")</f>
        <v/>
      </c>
      <c r="N5072" s="66"/>
      <c r="O5072" s="67" t="n">
        <f aca="false">IF($H5072="",0,ROUND(N(其他分录!$G39),2))</f>
        <v>0</v>
      </c>
      <c r="P5072" s="64" t="str">
        <f aca="false">IF(AND($H5072&lt;&gt;"",ROUND($O5072,2)&lt;&gt;0),"有","")</f>
        <v/>
      </c>
    </row>
    <row r="5073" customFormat="false" ht="15" hidden="true" customHeight="false" outlineLevel="0" collapsed="false">
      <c r="A5073" s="53" t="str">
        <f aca="false">IF($H5073="","",ROW()-5)</f>
        <v/>
      </c>
      <c r="B5073" s="64" t="s">
        <v>39</v>
      </c>
      <c r="C5073" s="53" t="n">
        <v>39</v>
      </c>
      <c r="D5073" s="53" t="n">
        <v>2</v>
      </c>
      <c r="E5073" s="65" t="str">
        <f aca="false">IF($H5073="","",其他分录!$B39)</f>
        <v/>
      </c>
      <c r="F5073" s="55" t="str">
        <f aca="false">IF($H5073="","",其他分录!$C39)</f>
        <v/>
      </c>
      <c r="G5073" s="48" t="str">
        <f aca="false">IF($H5073="","",其他分录!$D39)</f>
        <v/>
      </c>
      <c r="H5073" s="10" t="str">
        <f aca="false">IF(OR(其他分录!$B39="",N(其他分录!$G39)=0),"",其他分录!$F39)</f>
        <v/>
      </c>
      <c r="I5073" s="42" t="n">
        <f aca="false">IF($M5073="借",$O5073,0)</f>
        <v>0</v>
      </c>
      <c r="J5073" s="42" t="n">
        <f aca="false">IF($M5073="贷",$O5073,0)</f>
        <v>0</v>
      </c>
      <c r="K5073" s="48" t="str">
        <f aca="false">IF($H5073="","",其他分录!$H39)</f>
        <v/>
      </c>
      <c r="L5073" s="66"/>
      <c r="M5073" s="66" t="str">
        <f aca="false">IF($H5073="","","贷")</f>
        <v/>
      </c>
      <c r="N5073" s="66"/>
      <c r="O5073" s="67" t="n">
        <f aca="false">IF($H5073="",0,ROUND(N(其他分录!$G39),2))</f>
        <v>0</v>
      </c>
      <c r="P5073" s="64" t="str">
        <f aca="false">IF(AND($H5073&lt;&gt;"",ROUND($O5073,2)&lt;&gt;0),"有","")</f>
        <v/>
      </c>
    </row>
    <row r="5074" customFormat="false" ht="15" hidden="true" customHeight="false" outlineLevel="0" collapsed="false">
      <c r="A5074" s="53" t="str">
        <f aca="false">IF($H5074="","",ROW()-5)</f>
        <v/>
      </c>
      <c r="B5074" s="64" t="s">
        <v>39</v>
      </c>
      <c r="C5074" s="53" t="n">
        <v>40</v>
      </c>
      <c r="D5074" s="53" t="n">
        <v>1</v>
      </c>
      <c r="E5074" s="65" t="str">
        <f aca="false">IF($H5074="","",其他分录!$B40)</f>
        <v/>
      </c>
      <c r="F5074" s="55" t="str">
        <f aca="false">IF($H5074="","",其他分录!$C40)</f>
        <v/>
      </c>
      <c r="G5074" s="48" t="str">
        <f aca="false">IF($H5074="","",其他分录!$D40)</f>
        <v/>
      </c>
      <c r="H5074" s="10" t="str">
        <f aca="false">IF(OR(其他分录!$B40="",N(其他分录!$G40)=0),"",其他分录!$E40)</f>
        <v/>
      </c>
      <c r="I5074" s="42" t="n">
        <f aca="false">IF($M5074="借",$O5074,0)</f>
        <v>0</v>
      </c>
      <c r="J5074" s="42" t="n">
        <f aca="false">IF($M5074="贷",$O5074,0)</f>
        <v>0</v>
      </c>
      <c r="K5074" s="48" t="str">
        <f aca="false">IF($H5074="","",其他分录!$H40)</f>
        <v/>
      </c>
      <c r="L5074" s="66"/>
      <c r="M5074" s="66" t="str">
        <f aca="false">IF($H5074="","","借")</f>
        <v/>
      </c>
      <c r="N5074" s="66"/>
      <c r="O5074" s="67" t="n">
        <f aca="false">IF($H5074="",0,ROUND(N(其他分录!$G40),2))</f>
        <v>0</v>
      </c>
      <c r="P5074" s="64" t="str">
        <f aca="false">IF(AND($H5074&lt;&gt;"",ROUND($O5074,2)&lt;&gt;0),"有","")</f>
        <v/>
      </c>
    </row>
    <row r="5075" customFormat="false" ht="15" hidden="true" customHeight="false" outlineLevel="0" collapsed="false">
      <c r="A5075" s="53" t="str">
        <f aca="false">IF($H5075="","",ROW()-5)</f>
        <v/>
      </c>
      <c r="B5075" s="64" t="s">
        <v>39</v>
      </c>
      <c r="C5075" s="53" t="n">
        <v>40</v>
      </c>
      <c r="D5075" s="53" t="n">
        <v>2</v>
      </c>
      <c r="E5075" s="65" t="str">
        <f aca="false">IF($H5075="","",其他分录!$B40)</f>
        <v/>
      </c>
      <c r="F5075" s="55" t="str">
        <f aca="false">IF($H5075="","",其他分录!$C40)</f>
        <v/>
      </c>
      <c r="G5075" s="48" t="str">
        <f aca="false">IF($H5075="","",其他分录!$D40)</f>
        <v/>
      </c>
      <c r="H5075" s="10" t="str">
        <f aca="false">IF(OR(其他分录!$B40="",N(其他分录!$G40)=0),"",其他分录!$F40)</f>
        <v/>
      </c>
      <c r="I5075" s="42" t="n">
        <f aca="false">IF($M5075="借",$O5075,0)</f>
        <v>0</v>
      </c>
      <c r="J5075" s="42" t="n">
        <f aca="false">IF($M5075="贷",$O5075,0)</f>
        <v>0</v>
      </c>
      <c r="K5075" s="48" t="str">
        <f aca="false">IF($H5075="","",其他分录!$H40)</f>
        <v/>
      </c>
      <c r="L5075" s="66"/>
      <c r="M5075" s="66" t="str">
        <f aca="false">IF($H5075="","","贷")</f>
        <v/>
      </c>
      <c r="N5075" s="66"/>
      <c r="O5075" s="67" t="n">
        <f aca="false">IF($H5075="",0,ROUND(N(其他分录!$G40),2))</f>
        <v>0</v>
      </c>
      <c r="P5075" s="64" t="str">
        <f aca="false">IF(AND($H5075&lt;&gt;"",ROUND($O5075,2)&lt;&gt;0),"有","")</f>
        <v/>
      </c>
    </row>
    <row r="5076" customFormat="false" ht="15" hidden="true" customHeight="false" outlineLevel="0" collapsed="false">
      <c r="A5076" s="53" t="str">
        <f aca="false">IF($H5076="","",ROW()-5)</f>
        <v/>
      </c>
      <c r="B5076" s="64" t="s">
        <v>39</v>
      </c>
      <c r="C5076" s="53" t="n">
        <v>41</v>
      </c>
      <c r="D5076" s="53" t="n">
        <v>1</v>
      </c>
      <c r="E5076" s="65" t="str">
        <f aca="false">IF($H5076="","",其他分录!$B41)</f>
        <v/>
      </c>
      <c r="F5076" s="55" t="str">
        <f aca="false">IF($H5076="","",其他分录!$C41)</f>
        <v/>
      </c>
      <c r="G5076" s="48" t="str">
        <f aca="false">IF($H5076="","",其他分录!$D41)</f>
        <v/>
      </c>
      <c r="H5076" s="10" t="str">
        <f aca="false">IF(OR(其他分录!$B41="",N(其他分录!$G41)=0),"",其他分录!$E41)</f>
        <v/>
      </c>
      <c r="I5076" s="42" t="n">
        <f aca="false">IF($M5076="借",$O5076,0)</f>
        <v>0</v>
      </c>
      <c r="J5076" s="42" t="n">
        <f aca="false">IF($M5076="贷",$O5076,0)</f>
        <v>0</v>
      </c>
      <c r="K5076" s="48" t="str">
        <f aca="false">IF($H5076="","",其他分录!$H41)</f>
        <v/>
      </c>
      <c r="L5076" s="66"/>
      <c r="M5076" s="66" t="str">
        <f aca="false">IF($H5076="","","借")</f>
        <v/>
      </c>
      <c r="N5076" s="66"/>
      <c r="O5076" s="67" t="n">
        <f aca="false">IF($H5076="",0,ROUND(N(其他分录!$G41),2))</f>
        <v>0</v>
      </c>
      <c r="P5076" s="64" t="str">
        <f aca="false">IF(AND($H5076&lt;&gt;"",ROUND($O5076,2)&lt;&gt;0),"有","")</f>
        <v/>
      </c>
    </row>
    <row r="5077" customFormat="false" ht="15" hidden="true" customHeight="false" outlineLevel="0" collapsed="false">
      <c r="A5077" s="53" t="str">
        <f aca="false">IF($H5077="","",ROW()-5)</f>
        <v/>
      </c>
      <c r="B5077" s="64" t="s">
        <v>39</v>
      </c>
      <c r="C5077" s="53" t="n">
        <v>41</v>
      </c>
      <c r="D5077" s="53" t="n">
        <v>2</v>
      </c>
      <c r="E5077" s="65" t="str">
        <f aca="false">IF($H5077="","",其他分录!$B41)</f>
        <v/>
      </c>
      <c r="F5077" s="55" t="str">
        <f aca="false">IF($H5077="","",其他分录!$C41)</f>
        <v/>
      </c>
      <c r="G5077" s="48" t="str">
        <f aca="false">IF($H5077="","",其他分录!$D41)</f>
        <v/>
      </c>
      <c r="H5077" s="10" t="str">
        <f aca="false">IF(OR(其他分录!$B41="",N(其他分录!$G41)=0),"",其他分录!$F41)</f>
        <v/>
      </c>
      <c r="I5077" s="42" t="n">
        <f aca="false">IF($M5077="借",$O5077,0)</f>
        <v>0</v>
      </c>
      <c r="J5077" s="42" t="n">
        <f aca="false">IF($M5077="贷",$O5077,0)</f>
        <v>0</v>
      </c>
      <c r="K5077" s="48" t="str">
        <f aca="false">IF($H5077="","",其他分录!$H41)</f>
        <v/>
      </c>
      <c r="L5077" s="66"/>
      <c r="M5077" s="66" t="str">
        <f aca="false">IF($H5077="","","贷")</f>
        <v/>
      </c>
      <c r="N5077" s="66"/>
      <c r="O5077" s="67" t="n">
        <f aca="false">IF($H5077="",0,ROUND(N(其他分录!$G41),2))</f>
        <v>0</v>
      </c>
      <c r="P5077" s="64" t="str">
        <f aca="false">IF(AND($H5077&lt;&gt;"",ROUND($O5077,2)&lt;&gt;0),"有","")</f>
        <v/>
      </c>
    </row>
    <row r="5078" customFormat="false" ht="15" hidden="true" customHeight="false" outlineLevel="0" collapsed="false">
      <c r="A5078" s="53" t="str">
        <f aca="false">IF($H5078="","",ROW()-5)</f>
        <v/>
      </c>
      <c r="B5078" s="64" t="s">
        <v>39</v>
      </c>
      <c r="C5078" s="53" t="n">
        <v>42</v>
      </c>
      <c r="D5078" s="53" t="n">
        <v>1</v>
      </c>
      <c r="E5078" s="65" t="str">
        <f aca="false">IF($H5078="","",其他分录!$B42)</f>
        <v/>
      </c>
      <c r="F5078" s="55" t="str">
        <f aca="false">IF($H5078="","",其他分录!$C42)</f>
        <v/>
      </c>
      <c r="G5078" s="48" t="str">
        <f aca="false">IF($H5078="","",其他分录!$D42)</f>
        <v/>
      </c>
      <c r="H5078" s="10" t="str">
        <f aca="false">IF(OR(其他分录!$B42="",N(其他分录!$G42)=0),"",其他分录!$E42)</f>
        <v/>
      </c>
      <c r="I5078" s="42" t="n">
        <f aca="false">IF($M5078="借",$O5078,0)</f>
        <v>0</v>
      </c>
      <c r="J5078" s="42" t="n">
        <f aca="false">IF($M5078="贷",$O5078,0)</f>
        <v>0</v>
      </c>
      <c r="K5078" s="48" t="str">
        <f aca="false">IF($H5078="","",其他分录!$H42)</f>
        <v/>
      </c>
      <c r="L5078" s="66"/>
      <c r="M5078" s="66" t="str">
        <f aca="false">IF($H5078="","","借")</f>
        <v/>
      </c>
      <c r="N5078" s="66"/>
      <c r="O5078" s="67" t="n">
        <f aca="false">IF($H5078="",0,ROUND(N(其他分录!$G42),2))</f>
        <v>0</v>
      </c>
      <c r="P5078" s="64" t="str">
        <f aca="false">IF(AND($H5078&lt;&gt;"",ROUND($O5078,2)&lt;&gt;0),"有","")</f>
        <v/>
      </c>
    </row>
    <row r="5079" customFormat="false" ht="15" hidden="true" customHeight="false" outlineLevel="0" collapsed="false">
      <c r="A5079" s="53" t="str">
        <f aca="false">IF($H5079="","",ROW()-5)</f>
        <v/>
      </c>
      <c r="B5079" s="64" t="s">
        <v>39</v>
      </c>
      <c r="C5079" s="53" t="n">
        <v>42</v>
      </c>
      <c r="D5079" s="53" t="n">
        <v>2</v>
      </c>
      <c r="E5079" s="65" t="str">
        <f aca="false">IF($H5079="","",其他分录!$B42)</f>
        <v/>
      </c>
      <c r="F5079" s="55" t="str">
        <f aca="false">IF($H5079="","",其他分录!$C42)</f>
        <v/>
      </c>
      <c r="G5079" s="48" t="str">
        <f aca="false">IF($H5079="","",其他分录!$D42)</f>
        <v/>
      </c>
      <c r="H5079" s="10" t="str">
        <f aca="false">IF(OR(其他分录!$B42="",N(其他分录!$G42)=0),"",其他分录!$F42)</f>
        <v/>
      </c>
      <c r="I5079" s="42" t="n">
        <f aca="false">IF($M5079="借",$O5079,0)</f>
        <v>0</v>
      </c>
      <c r="J5079" s="42" t="n">
        <f aca="false">IF($M5079="贷",$O5079,0)</f>
        <v>0</v>
      </c>
      <c r="K5079" s="48" t="str">
        <f aca="false">IF($H5079="","",其他分录!$H42)</f>
        <v/>
      </c>
      <c r="L5079" s="66"/>
      <c r="M5079" s="66" t="str">
        <f aca="false">IF($H5079="","","贷")</f>
        <v/>
      </c>
      <c r="N5079" s="66"/>
      <c r="O5079" s="67" t="n">
        <f aca="false">IF($H5079="",0,ROUND(N(其他分录!$G42),2))</f>
        <v>0</v>
      </c>
      <c r="P5079" s="64" t="str">
        <f aca="false">IF(AND($H5079&lt;&gt;"",ROUND($O5079,2)&lt;&gt;0),"有","")</f>
        <v/>
      </c>
    </row>
    <row r="5080" customFormat="false" ht="15" hidden="true" customHeight="false" outlineLevel="0" collapsed="false">
      <c r="A5080" s="53" t="str">
        <f aca="false">IF($H5080="","",ROW()-5)</f>
        <v/>
      </c>
      <c r="B5080" s="64" t="s">
        <v>39</v>
      </c>
      <c r="C5080" s="53" t="n">
        <v>43</v>
      </c>
      <c r="D5080" s="53" t="n">
        <v>1</v>
      </c>
      <c r="E5080" s="65" t="str">
        <f aca="false">IF($H5080="","",其他分录!$B43)</f>
        <v/>
      </c>
      <c r="F5080" s="55" t="str">
        <f aca="false">IF($H5080="","",其他分录!$C43)</f>
        <v/>
      </c>
      <c r="G5080" s="48" t="str">
        <f aca="false">IF($H5080="","",其他分录!$D43)</f>
        <v/>
      </c>
      <c r="H5080" s="10" t="str">
        <f aca="false">IF(OR(其他分录!$B43="",N(其他分录!$G43)=0),"",其他分录!$E43)</f>
        <v/>
      </c>
      <c r="I5080" s="42" t="n">
        <f aca="false">IF($M5080="借",$O5080,0)</f>
        <v>0</v>
      </c>
      <c r="J5080" s="42" t="n">
        <f aca="false">IF($M5080="贷",$O5080,0)</f>
        <v>0</v>
      </c>
      <c r="K5080" s="48" t="str">
        <f aca="false">IF($H5080="","",其他分录!$H43)</f>
        <v/>
      </c>
      <c r="L5080" s="66"/>
      <c r="M5080" s="66" t="str">
        <f aca="false">IF($H5080="","","借")</f>
        <v/>
      </c>
      <c r="N5080" s="66"/>
      <c r="O5080" s="67" t="n">
        <f aca="false">IF($H5080="",0,ROUND(N(其他分录!$G43),2))</f>
        <v>0</v>
      </c>
      <c r="P5080" s="64" t="str">
        <f aca="false">IF(AND($H5080&lt;&gt;"",ROUND($O5080,2)&lt;&gt;0),"有","")</f>
        <v/>
      </c>
    </row>
    <row r="5081" customFormat="false" ht="15" hidden="true" customHeight="false" outlineLevel="0" collapsed="false">
      <c r="A5081" s="53" t="str">
        <f aca="false">IF($H5081="","",ROW()-5)</f>
        <v/>
      </c>
      <c r="B5081" s="64" t="s">
        <v>39</v>
      </c>
      <c r="C5081" s="53" t="n">
        <v>43</v>
      </c>
      <c r="D5081" s="53" t="n">
        <v>2</v>
      </c>
      <c r="E5081" s="65" t="str">
        <f aca="false">IF($H5081="","",其他分录!$B43)</f>
        <v/>
      </c>
      <c r="F5081" s="55" t="str">
        <f aca="false">IF($H5081="","",其他分录!$C43)</f>
        <v/>
      </c>
      <c r="G5081" s="48" t="str">
        <f aca="false">IF($H5081="","",其他分录!$D43)</f>
        <v/>
      </c>
      <c r="H5081" s="10" t="str">
        <f aca="false">IF(OR(其他分录!$B43="",N(其他分录!$G43)=0),"",其他分录!$F43)</f>
        <v/>
      </c>
      <c r="I5081" s="42" t="n">
        <f aca="false">IF($M5081="借",$O5081,0)</f>
        <v>0</v>
      </c>
      <c r="J5081" s="42" t="n">
        <f aca="false">IF($M5081="贷",$O5081,0)</f>
        <v>0</v>
      </c>
      <c r="K5081" s="48" t="str">
        <f aca="false">IF($H5081="","",其他分录!$H43)</f>
        <v/>
      </c>
      <c r="L5081" s="66"/>
      <c r="M5081" s="66" t="str">
        <f aca="false">IF($H5081="","","贷")</f>
        <v/>
      </c>
      <c r="N5081" s="66"/>
      <c r="O5081" s="67" t="n">
        <f aca="false">IF($H5081="",0,ROUND(N(其他分录!$G43),2))</f>
        <v>0</v>
      </c>
      <c r="P5081" s="64" t="str">
        <f aca="false">IF(AND($H5081&lt;&gt;"",ROUND($O5081,2)&lt;&gt;0),"有","")</f>
        <v/>
      </c>
    </row>
    <row r="5082" customFormat="false" ht="15" hidden="true" customHeight="false" outlineLevel="0" collapsed="false">
      <c r="A5082" s="53" t="str">
        <f aca="false">IF($H5082="","",ROW()-5)</f>
        <v/>
      </c>
      <c r="B5082" s="64" t="s">
        <v>39</v>
      </c>
      <c r="C5082" s="53" t="n">
        <v>44</v>
      </c>
      <c r="D5082" s="53" t="n">
        <v>1</v>
      </c>
      <c r="E5082" s="65" t="str">
        <f aca="false">IF($H5082="","",其他分录!$B44)</f>
        <v/>
      </c>
      <c r="F5082" s="55" t="str">
        <f aca="false">IF($H5082="","",其他分录!$C44)</f>
        <v/>
      </c>
      <c r="G5082" s="48" t="str">
        <f aca="false">IF($H5082="","",其他分录!$D44)</f>
        <v/>
      </c>
      <c r="H5082" s="10" t="str">
        <f aca="false">IF(OR(其他分录!$B44="",N(其他分录!$G44)=0),"",其他分录!$E44)</f>
        <v/>
      </c>
      <c r="I5082" s="42" t="n">
        <f aca="false">IF($M5082="借",$O5082,0)</f>
        <v>0</v>
      </c>
      <c r="J5082" s="42" t="n">
        <f aca="false">IF($M5082="贷",$O5082,0)</f>
        <v>0</v>
      </c>
      <c r="K5082" s="48" t="str">
        <f aca="false">IF($H5082="","",其他分录!$H44)</f>
        <v/>
      </c>
      <c r="L5082" s="66"/>
      <c r="M5082" s="66" t="str">
        <f aca="false">IF($H5082="","","借")</f>
        <v/>
      </c>
      <c r="N5082" s="66"/>
      <c r="O5082" s="67" t="n">
        <f aca="false">IF($H5082="",0,ROUND(N(其他分录!$G44),2))</f>
        <v>0</v>
      </c>
      <c r="P5082" s="64" t="str">
        <f aca="false">IF(AND($H5082&lt;&gt;"",ROUND($O5082,2)&lt;&gt;0),"有","")</f>
        <v/>
      </c>
    </row>
    <row r="5083" customFormat="false" ht="15" hidden="true" customHeight="false" outlineLevel="0" collapsed="false">
      <c r="A5083" s="53" t="str">
        <f aca="false">IF($H5083="","",ROW()-5)</f>
        <v/>
      </c>
      <c r="B5083" s="64" t="s">
        <v>39</v>
      </c>
      <c r="C5083" s="53" t="n">
        <v>44</v>
      </c>
      <c r="D5083" s="53" t="n">
        <v>2</v>
      </c>
      <c r="E5083" s="65" t="str">
        <f aca="false">IF($H5083="","",其他分录!$B44)</f>
        <v/>
      </c>
      <c r="F5083" s="55" t="str">
        <f aca="false">IF($H5083="","",其他分录!$C44)</f>
        <v/>
      </c>
      <c r="G5083" s="48" t="str">
        <f aca="false">IF($H5083="","",其他分录!$D44)</f>
        <v/>
      </c>
      <c r="H5083" s="10" t="str">
        <f aca="false">IF(OR(其他分录!$B44="",N(其他分录!$G44)=0),"",其他分录!$F44)</f>
        <v/>
      </c>
      <c r="I5083" s="42" t="n">
        <f aca="false">IF($M5083="借",$O5083,0)</f>
        <v>0</v>
      </c>
      <c r="J5083" s="42" t="n">
        <f aca="false">IF($M5083="贷",$O5083,0)</f>
        <v>0</v>
      </c>
      <c r="K5083" s="48" t="str">
        <f aca="false">IF($H5083="","",其他分录!$H44)</f>
        <v/>
      </c>
      <c r="L5083" s="66"/>
      <c r="M5083" s="66" t="str">
        <f aca="false">IF($H5083="","","贷")</f>
        <v/>
      </c>
      <c r="N5083" s="66"/>
      <c r="O5083" s="67" t="n">
        <f aca="false">IF($H5083="",0,ROUND(N(其他分录!$G44),2))</f>
        <v>0</v>
      </c>
      <c r="P5083" s="64" t="str">
        <f aca="false">IF(AND($H5083&lt;&gt;"",ROUND($O5083,2)&lt;&gt;0),"有","")</f>
        <v/>
      </c>
    </row>
    <row r="5084" customFormat="false" ht="15" hidden="true" customHeight="false" outlineLevel="0" collapsed="false">
      <c r="A5084" s="53" t="str">
        <f aca="false">IF($H5084="","",ROW()-5)</f>
        <v/>
      </c>
      <c r="B5084" s="64" t="s">
        <v>39</v>
      </c>
      <c r="C5084" s="53" t="n">
        <v>45</v>
      </c>
      <c r="D5084" s="53" t="n">
        <v>1</v>
      </c>
      <c r="E5084" s="65" t="str">
        <f aca="false">IF($H5084="","",其他分录!$B45)</f>
        <v/>
      </c>
      <c r="F5084" s="55" t="str">
        <f aca="false">IF($H5084="","",其他分录!$C45)</f>
        <v/>
      </c>
      <c r="G5084" s="48" t="str">
        <f aca="false">IF($H5084="","",其他分录!$D45)</f>
        <v/>
      </c>
      <c r="H5084" s="10" t="str">
        <f aca="false">IF(OR(其他分录!$B45="",N(其他分录!$G45)=0),"",其他分录!$E45)</f>
        <v/>
      </c>
      <c r="I5084" s="42" t="n">
        <f aca="false">IF($M5084="借",$O5084,0)</f>
        <v>0</v>
      </c>
      <c r="J5084" s="42" t="n">
        <f aca="false">IF($M5084="贷",$O5084,0)</f>
        <v>0</v>
      </c>
      <c r="K5084" s="48" t="str">
        <f aca="false">IF($H5084="","",其他分录!$H45)</f>
        <v/>
      </c>
      <c r="L5084" s="66"/>
      <c r="M5084" s="66" t="str">
        <f aca="false">IF($H5084="","","借")</f>
        <v/>
      </c>
      <c r="N5084" s="66"/>
      <c r="O5084" s="67" t="n">
        <f aca="false">IF($H5084="",0,ROUND(N(其他分录!$G45),2))</f>
        <v>0</v>
      </c>
      <c r="P5084" s="64" t="str">
        <f aca="false">IF(AND($H5084&lt;&gt;"",ROUND($O5084,2)&lt;&gt;0),"有","")</f>
        <v/>
      </c>
    </row>
    <row r="5085" customFormat="false" ht="15" hidden="true" customHeight="false" outlineLevel="0" collapsed="false">
      <c r="A5085" s="53" t="str">
        <f aca="false">IF($H5085="","",ROW()-5)</f>
        <v/>
      </c>
      <c r="B5085" s="64" t="s">
        <v>39</v>
      </c>
      <c r="C5085" s="53" t="n">
        <v>45</v>
      </c>
      <c r="D5085" s="53" t="n">
        <v>2</v>
      </c>
      <c r="E5085" s="65" t="str">
        <f aca="false">IF($H5085="","",其他分录!$B45)</f>
        <v/>
      </c>
      <c r="F5085" s="55" t="str">
        <f aca="false">IF($H5085="","",其他分录!$C45)</f>
        <v/>
      </c>
      <c r="G5085" s="48" t="str">
        <f aca="false">IF($H5085="","",其他分录!$D45)</f>
        <v/>
      </c>
      <c r="H5085" s="10" t="str">
        <f aca="false">IF(OR(其他分录!$B45="",N(其他分录!$G45)=0),"",其他分录!$F45)</f>
        <v/>
      </c>
      <c r="I5085" s="42" t="n">
        <f aca="false">IF($M5085="借",$O5085,0)</f>
        <v>0</v>
      </c>
      <c r="J5085" s="42" t="n">
        <f aca="false">IF($M5085="贷",$O5085,0)</f>
        <v>0</v>
      </c>
      <c r="K5085" s="48" t="str">
        <f aca="false">IF($H5085="","",其他分录!$H45)</f>
        <v/>
      </c>
      <c r="L5085" s="66"/>
      <c r="M5085" s="66" t="str">
        <f aca="false">IF($H5085="","","贷")</f>
        <v/>
      </c>
      <c r="N5085" s="66"/>
      <c r="O5085" s="67" t="n">
        <f aca="false">IF($H5085="",0,ROUND(N(其他分录!$G45),2))</f>
        <v>0</v>
      </c>
      <c r="P5085" s="64" t="str">
        <f aca="false">IF(AND($H5085&lt;&gt;"",ROUND($O5085,2)&lt;&gt;0),"有","")</f>
        <v/>
      </c>
    </row>
    <row r="5086" customFormat="false" ht="15" hidden="true" customHeight="false" outlineLevel="0" collapsed="false">
      <c r="A5086" s="53" t="str">
        <f aca="false">IF($H5086="","",ROW()-5)</f>
        <v/>
      </c>
      <c r="B5086" s="64" t="s">
        <v>39</v>
      </c>
      <c r="C5086" s="53" t="n">
        <v>46</v>
      </c>
      <c r="D5086" s="53" t="n">
        <v>1</v>
      </c>
      <c r="E5086" s="65" t="str">
        <f aca="false">IF($H5086="","",其他分录!$B46)</f>
        <v/>
      </c>
      <c r="F5086" s="55" t="str">
        <f aca="false">IF($H5086="","",其他分录!$C46)</f>
        <v/>
      </c>
      <c r="G5086" s="48" t="str">
        <f aca="false">IF($H5086="","",其他分录!$D46)</f>
        <v/>
      </c>
      <c r="H5086" s="10" t="str">
        <f aca="false">IF(OR(其他分录!$B46="",N(其他分录!$G46)=0),"",其他分录!$E46)</f>
        <v/>
      </c>
      <c r="I5086" s="42" t="n">
        <f aca="false">IF($M5086="借",$O5086,0)</f>
        <v>0</v>
      </c>
      <c r="J5086" s="42" t="n">
        <f aca="false">IF($M5086="贷",$O5086,0)</f>
        <v>0</v>
      </c>
      <c r="K5086" s="48" t="str">
        <f aca="false">IF($H5086="","",其他分录!$H46)</f>
        <v/>
      </c>
      <c r="L5086" s="66"/>
      <c r="M5086" s="66" t="str">
        <f aca="false">IF($H5086="","","借")</f>
        <v/>
      </c>
      <c r="N5086" s="66"/>
      <c r="O5086" s="67" t="n">
        <f aca="false">IF($H5086="",0,ROUND(N(其他分录!$G46),2))</f>
        <v>0</v>
      </c>
      <c r="P5086" s="64" t="str">
        <f aca="false">IF(AND($H5086&lt;&gt;"",ROUND($O5086,2)&lt;&gt;0),"有","")</f>
        <v/>
      </c>
    </row>
    <row r="5087" customFormat="false" ht="15" hidden="true" customHeight="false" outlineLevel="0" collapsed="false">
      <c r="A5087" s="53" t="str">
        <f aca="false">IF($H5087="","",ROW()-5)</f>
        <v/>
      </c>
      <c r="B5087" s="64" t="s">
        <v>39</v>
      </c>
      <c r="C5087" s="53" t="n">
        <v>46</v>
      </c>
      <c r="D5087" s="53" t="n">
        <v>2</v>
      </c>
      <c r="E5087" s="65" t="str">
        <f aca="false">IF($H5087="","",其他分录!$B46)</f>
        <v/>
      </c>
      <c r="F5087" s="55" t="str">
        <f aca="false">IF($H5087="","",其他分录!$C46)</f>
        <v/>
      </c>
      <c r="G5087" s="48" t="str">
        <f aca="false">IF($H5087="","",其他分录!$D46)</f>
        <v/>
      </c>
      <c r="H5087" s="10" t="str">
        <f aca="false">IF(OR(其他分录!$B46="",N(其他分录!$G46)=0),"",其他分录!$F46)</f>
        <v/>
      </c>
      <c r="I5087" s="42" t="n">
        <f aca="false">IF($M5087="借",$O5087,0)</f>
        <v>0</v>
      </c>
      <c r="J5087" s="42" t="n">
        <f aca="false">IF($M5087="贷",$O5087,0)</f>
        <v>0</v>
      </c>
      <c r="K5087" s="48" t="str">
        <f aca="false">IF($H5087="","",其他分录!$H46)</f>
        <v/>
      </c>
      <c r="L5087" s="66"/>
      <c r="M5087" s="66" t="str">
        <f aca="false">IF($H5087="","","贷")</f>
        <v/>
      </c>
      <c r="N5087" s="66"/>
      <c r="O5087" s="67" t="n">
        <f aca="false">IF($H5087="",0,ROUND(N(其他分录!$G46),2))</f>
        <v>0</v>
      </c>
      <c r="P5087" s="64" t="str">
        <f aca="false">IF(AND($H5087&lt;&gt;"",ROUND($O5087,2)&lt;&gt;0),"有","")</f>
        <v/>
      </c>
    </row>
    <row r="5088" customFormat="false" ht="15" hidden="true" customHeight="false" outlineLevel="0" collapsed="false">
      <c r="A5088" s="53" t="str">
        <f aca="false">IF($H5088="","",ROW()-5)</f>
        <v/>
      </c>
      <c r="B5088" s="64" t="s">
        <v>39</v>
      </c>
      <c r="C5088" s="53" t="n">
        <v>47</v>
      </c>
      <c r="D5088" s="53" t="n">
        <v>1</v>
      </c>
      <c r="E5088" s="65" t="str">
        <f aca="false">IF($H5088="","",其他分录!$B47)</f>
        <v/>
      </c>
      <c r="F5088" s="55" t="str">
        <f aca="false">IF($H5088="","",其他分录!$C47)</f>
        <v/>
      </c>
      <c r="G5088" s="48" t="str">
        <f aca="false">IF($H5088="","",其他分录!$D47)</f>
        <v/>
      </c>
      <c r="H5088" s="10" t="str">
        <f aca="false">IF(OR(其他分录!$B47="",N(其他分录!$G47)=0),"",其他分录!$E47)</f>
        <v/>
      </c>
      <c r="I5088" s="42" t="n">
        <f aca="false">IF($M5088="借",$O5088,0)</f>
        <v>0</v>
      </c>
      <c r="J5088" s="42" t="n">
        <f aca="false">IF($M5088="贷",$O5088,0)</f>
        <v>0</v>
      </c>
      <c r="K5088" s="48" t="str">
        <f aca="false">IF($H5088="","",其他分录!$H47)</f>
        <v/>
      </c>
      <c r="L5088" s="66"/>
      <c r="M5088" s="66" t="str">
        <f aca="false">IF($H5088="","","借")</f>
        <v/>
      </c>
      <c r="N5088" s="66"/>
      <c r="O5088" s="67" t="n">
        <f aca="false">IF($H5088="",0,ROUND(N(其他分录!$G47),2))</f>
        <v>0</v>
      </c>
      <c r="P5088" s="64" t="str">
        <f aca="false">IF(AND($H5088&lt;&gt;"",ROUND($O5088,2)&lt;&gt;0),"有","")</f>
        <v/>
      </c>
    </row>
    <row r="5089" customFormat="false" ht="15" hidden="true" customHeight="false" outlineLevel="0" collapsed="false">
      <c r="A5089" s="53" t="str">
        <f aca="false">IF($H5089="","",ROW()-5)</f>
        <v/>
      </c>
      <c r="B5089" s="64" t="s">
        <v>39</v>
      </c>
      <c r="C5089" s="53" t="n">
        <v>47</v>
      </c>
      <c r="D5089" s="53" t="n">
        <v>2</v>
      </c>
      <c r="E5089" s="65" t="str">
        <f aca="false">IF($H5089="","",其他分录!$B47)</f>
        <v/>
      </c>
      <c r="F5089" s="55" t="str">
        <f aca="false">IF($H5089="","",其他分录!$C47)</f>
        <v/>
      </c>
      <c r="G5089" s="48" t="str">
        <f aca="false">IF($H5089="","",其他分录!$D47)</f>
        <v/>
      </c>
      <c r="H5089" s="10" t="str">
        <f aca="false">IF(OR(其他分录!$B47="",N(其他分录!$G47)=0),"",其他分录!$F47)</f>
        <v/>
      </c>
      <c r="I5089" s="42" t="n">
        <f aca="false">IF($M5089="借",$O5089,0)</f>
        <v>0</v>
      </c>
      <c r="J5089" s="42" t="n">
        <f aca="false">IF($M5089="贷",$O5089,0)</f>
        <v>0</v>
      </c>
      <c r="K5089" s="48" t="str">
        <f aca="false">IF($H5089="","",其他分录!$H47)</f>
        <v/>
      </c>
      <c r="L5089" s="66"/>
      <c r="M5089" s="66" t="str">
        <f aca="false">IF($H5089="","","贷")</f>
        <v/>
      </c>
      <c r="N5089" s="66"/>
      <c r="O5089" s="67" t="n">
        <f aca="false">IF($H5089="",0,ROUND(N(其他分录!$G47),2))</f>
        <v>0</v>
      </c>
      <c r="P5089" s="64" t="str">
        <f aca="false">IF(AND($H5089&lt;&gt;"",ROUND($O5089,2)&lt;&gt;0),"有","")</f>
        <v/>
      </c>
    </row>
    <row r="5090" customFormat="false" ht="15" hidden="true" customHeight="false" outlineLevel="0" collapsed="false">
      <c r="A5090" s="53" t="str">
        <f aca="false">IF($H5090="","",ROW()-5)</f>
        <v/>
      </c>
      <c r="B5090" s="64" t="s">
        <v>39</v>
      </c>
      <c r="C5090" s="53" t="n">
        <v>48</v>
      </c>
      <c r="D5090" s="53" t="n">
        <v>1</v>
      </c>
      <c r="E5090" s="65" t="str">
        <f aca="false">IF($H5090="","",其他分录!$B48)</f>
        <v/>
      </c>
      <c r="F5090" s="55" t="str">
        <f aca="false">IF($H5090="","",其他分录!$C48)</f>
        <v/>
      </c>
      <c r="G5090" s="48" t="str">
        <f aca="false">IF($H5090="","",其他分录!$D48)</f>
        <v/>
      </c>
      <c r="H5090" s="10" t="str">
        <f aca="false">IF(OR(其他分录!$B48="",N(其他分录!$G48)=0),"",其他分录!$E48)</f>
        <v/>
      </c>
      <c r="I5090" s="42" t="n">
        <f aca="false">IF($M5090="借",$O5090,0)</f>
        <v>0</v>
      </c>
      <c r="J5090" s="42" t="n">
        <f aca="false">IF($M5090="贷",$O5090,0)</f>
        <v>0</v>
      </c>
      <c r="K5090" s="48" t="str">
        <f aca="false">IF($H5090="","",其他分录!$H48)</f>
        <v/>
      </c>
      <c r="L5090" s="66"/>
      <c r="M5090" s="66" t="str">
        <f aca="false">IF($H5090="","","借")</f>
        <v/>
      </c>
      <c r="N5090" s="66"/>
      <c r="O5090" s="67" t="n">
        <f aca="false">IF($H5090="",0,ROUND(N(其他分录!$G48),2))</f>
        <v>0</v>
      </c>
      <c r="P5090" s="64" t="str">
        <f aca="false">IF(AND($H5090&lt;&gt;"",ROUND($O5090,2)&lt;&gt;0),"有","")</f>
        <v/>
      </c>
    </row>
    <row r="5091" customFormat="false" ht="15" hidden="true" customHeight="false" outlineLevel="0" collapsed="false">
      <c r="A5091" s="53" t="str">
        <f aca="false">IF($H5091="","",ROW()-5)</f>
        <v/>
      </c>
      <c r="B5091" s="64" t="s">
        <v>39</v>
      </c>
      <c r="C5091" s="53" t="n">
        <v>48</v>
      </c>
      <c r="D5091" s="53" t="n">
        <v>2</v>
      </c>
      <c r="E5091" s="65" t="str">
        <f aca="false">IF($H5091="","",其他分录!$B48)</f>
        <v/>
      </c>
      <c r="F5091" s="55" t="str">
        <f aca="false">IF($H5091="","",其他分录!$C48)</f>
        <v/>
      </c>
      <c r="G5091" s="48" t="str">
        <f aca="false">IF($H5091="","",其他分录!$D48)</f>
        <v/>
      </c>
      <c r="H5091" s="10" t="str">
        <f aca="false">IF(OR(其他分录!$B48="",N(其他分录!$G48)=0),"",其他分录!$F48)</f>
        <v/>
      </c>
      <c r="I5091" s="42" t="n">
        <f aca="false">IF($M5091="借",$O5091,0)</f>
        <v>0</v>
      </c>
      <c r="J5091" s="42" t="n">
        <f aca="false">IF($M5091="贷",$O5091,0)</f>
        <v>0</v>
      </c>
      <c r="K5091" s="48" t="str">
        <f aca="false">IF($H5091="","",其他分录!$H48)</f>
        <v/>
      </c>
      <c r="L5091" s="66"/>
      <c r="M5091" s="66" t="str">
        <f aca="false">IF($H5091="","","贷")</f>
        <v/>
      </c>
      <c r="N5091" s="66"/>
      <c r="O5091" s="67" t="n">
        <f aca="false">IF($H5091="",0,ROUND(N(其他分录!$G48),2))</f>
        <v>0</v>
      </c>
      <c r="P5091" s="64" t="str">
        <f aca="false">IF(AND($H5091&lt;&gt;"",ROUND($O5091,2)&lt;&gt;0),"有","")</f>
        <v/>
      </c>
    </row>
    <row r="5092" customFormat="false" ht="15" hidden="true" customHeight="false" outlineLevel="0" collapsed="false">
      <c r="A5092" s="53" t="str">
        <f aca="false">IF($H5092="","",ROW()-5)</f>
        <v/>
      </c>
      <c r="B5092" s="64" t="s">
        <v>39</v>
      </c>
      <c r="C5092" s="53" t="n">
        <v>49</v>
      </c>
      <c r="D5092" s="53" t="n">
        <v>1</v>
      </c>
      <c r="E5092" s="65" t="str">
        <f aca="false">IF($H5092="","",其他分录!$B49)</f>
        <v/>
      </c>
      <c r="F5092" s="55" t="str">
        <f aca="false">IF($H5092="","",其他分录!$C49)</f>
        <v/>
      </c>
      <c r="G5092" s="48" t="str">
        <f aca="false">IF($H5092="","",其他分录!$D49)</f>
        <v/>
      </c>
      <c r="H5092" s="10" t="str">
        <f aca="false">IF(OR(其他分录!$B49="",N(其他分录!$G49)=0),"",其他分录!$E49)</f>
        <v/>
      </c>
      <c r="I5092" s="42" t="n">
        <f aca="false">IF($M5092="借",$O5092,0)</f>
        <v>0</v>
      </c>
      <c r="J5092" s="42" t="n">
        <f aca="false">IF($M5092="贷",$O5092,0)</f>
        <v>0</v>
      </c>
      <c r="K5092" s="48" t="str">
        <f aca="false">IF($H5092="","",其他分录!$H49)</f>
        <v/>
      </c>
      <c r="L5092" s="66"/>
      <c r="M5092" s="66" t="str">
        <f aca="false">IF($H5092="","","借")</f>
        <v/>
      </c>
      <c r="N5092" s="66"/>
      <c r="O5092" s="67" t="n">
        <f aca="false">IF($H5092="",0,ROUND(N(其他分录!$G49),2))</f>
        <v>0</v>
      </c>
      <c r="P5092" s="64" t="str">
        <f aca="false">IF(AND($H5092&lt;&gt;"",ROUND($O5092,2)&lt;&gt;0),"有","")</f>
        <v/>
      </c>
    </row>
    <row r="5093" customFormat="false" ht="15" hidden="true" customHeight="false" outlineLevel="0" collapsed="false">
      <c r="A5093" s="53" t="str">
        <f aca="false">IF($H5093="","",ROW()-5)</f>
        <v/>
      </c>
      <c r="B5093" s="64" t="s">
        <v>39</v>
      </c>
      <c r="C5093" s="53" t="n">
        <v>49</v>
      </c>
      <c r="D5093" s="53" t="n">
        <v>2</v>
      </c>
      <c r="E5093" s="65" t="str">
        <f aca="false">IF($H5093="","",其他分录!$B49)</f>
        <v/>
      </c>
      <c r="F5093" s="55" t="str">
        <f aca="false">IF($H5093="","",其他分录!$C49)</f>
        <v/>
      </c>
      <c r="G5093" s="48" t="str">
        <f aca="false">IF($H5093="","",其他分录!$D49)</f>
        <v/>
      </c>
      <c r="H5093" s="10" t="str">
        <f aca="false">IF(OR(其他分录!$B49="",N(其他分录!$G49)=0),"",其他分录!$F49)</f>
        <v/>
      </c>
      <c r="I5093" s="42" t="n">
        <f aca="false">IF($M5093="借",$O5093,0)</f>
        <v>0</v>
      </c>
      <c r="J5093" s="42" t="n">
        <f aca="false">IF($M5093="贷",$O5093,0)</f>
        <v>0</v>
      </c>
      <c r="K5093" s="48" t="str">
        <f aca="false">IF($H5093="","",其他分录!$H49)</f>
        <v/>
      </c>
      <c r="L5093" s="66"/>
      <c r="M5093" s="66" t="str">
        <f aca="false">IF($H5093="","","贷")</f>
        <v/>
      </c>
      <c r="N5093" s="66"/>
      <c r="O5093" s="67" t="n">
        <f aca="false">IF($H5093="",0,ROUND(N(其他分录!$G49),2))</f>
        <v>0</v>
      </c>
      <c r="P5093" s="64" t="str">
        <f aca="false">IF(AND($H5093&lt;&gt;"",ROUND($O5093,2)&lt;&gt;0),"有","")</f>
        <v/>
      </c>
    </row>
    <row r="5094" customFormat="false" ht="15" hidden="true" customHeight="false" outlineLevel="0" collapsed="false">
      <c r="A5094" s="53" t="str">
        <f aca="false">IF($H5094="","",ROW()-5)</f>
        <v/>
      </c>
      <c r="B5094" s="64" t="s">
        <v>39</v>
      </c>
      <c r="C5094" s="53" t="n">
        <v>50</v>
      </c>
      <c r="D5094" s="53" t="n">
        <v>1</v>
      </c>
      <c r="E5094" s="65" t="str">
        <f aca="false">IF($H5094="","",其他分录!$B50)</f>
        <v/>
      </c>
      <c r="F5094" s="55" t="str">
        <f aca="false">IF($H5094="","",其他分录!$C50)</f>
        <v/>
      </c>
      <c r="G5094" s="48" t="str">
        <f aca="false">IF($H5094="","",其他分录!$D50)</f>
        <v/>
      </c>
      <c r="H5094" s="10" t="str">
        <f aca="false">IF(OR(其他分录!$B50="",N(其他分录!$G50)=0),"",其他分录!$E50)</f>
        <v/>
      </c>
      <c r="I5094" s="42" t="n">
        <f aca="false">IF($M5094="借",$O5094,0)</f>
        <v>0</v>
      </c>
      <c r="J5094" s="42" t="n">
        <f aca="false">IF($M5094="贷",$O5094,0)</f>
        <v>0</v>
      </c>
      <c r="K5094" s="48" t="str">
        <f aca="false">IF($H5094="","",其他分录!$H50)</f>
        <v/>
      </c>
      <c r="L5094" s="66"/>
      <c r="M5094" s="66" t="str">
        <f aca="false">IF($H5094="","","借")</f>
        <v/>
      </c>
      <c r="N5094" s="66"/>
      <c r="O5094" s="67" t="n">
        <f aca="false">IF($H5094="",0,ROUND(N(其他分录!$G50),2))</f>
        <v>0</v>
      </c>
      <c r="P5094" s="64" t="str">
        <f aca="false">IF(AND($H5094&lt;&gt;"",ROUND($O5094,2)&lt;&gt;0),"有","")</f>
        <v/>
      </c>
    </row>
    <row r="5095" customFormat="false" ht="15" hidden="true" customHeight="false" outlineLevel="0" collapsed="false">
      <c r="A5095" s="53" t="str">
        <f aca="false">IF($H5095="","",ROW()-5)</f>
        <v/>
      </c>
      <c r="B5095" s="64" t="s">
        <v>39</v>
      </c>
      <c r="C5095" s="53" t="n">
        <v>50</v>
      </c>
      <c r="D5095" s="53" t="n">
        <v>2</v>
      </c>
      <c r="E5095" s="65" t="str">
        <f aca="false">IF($H5095="","",其他分录!$B50)</f>
        <v/>
      </c>
      <c r="F5095" s="55" t="str">
        <f aca="false">IF($H5095="","",其他分录!$C50)</f>
        <v/>
      </c>
      <c r="G5095" s="48" t="str">
        <f aca="false">IF($H5095="","",其他分录!$D50)</f>
        <v/>
      </c>
      <c r="H5095" s="10" t="str">
        <f aca="false">IF(OR(其他分录!$B50="",N(其他分录!$G50)=0),"",其他分录!$F50)</f>
        <v/>
      </c>
      <c r="I5095" s="42" t="n">
        <f aca="false">IF($M5095="借",$O5095,0)</f>
        <v>0</v>
      </c>
      <c r="J5095" s="42" t="n">
        <f aca="false">IF($M5095="贷",$O5095,0)</f>
        <v>0</v>
      </c>
      <c r="K5095" s="48" t="str">
        <f aca="false">IF($H5095="","",其他分录!$H50)</f>
        <v/>
      </c>
      <c r="L5095" s="66"/>
      <c r="M5095" s="66" t="str">
        <f aca="false">IF($H5095="","","贷")</f>
        <v/>
      </c>
      <c r="N5095" s="66"/>
      <c r="O5095" s="67" t="n">
        <f aca="false">IF($H5095="",0,ROUND(N(其他分录!$G50),2))</f>
        <v>0</v>
      </c>
      <c r="P5095" s="64" t="str">
        <f aca="false">IF(AND($H5095&lt;&gt;"",ROUND($O5095,2)&lt;&gt;0),"有","")</f>
        <v/>
      </c>
    </row>
    <row r="5096" customFormat="false" ht="15" hidden="true" customHeight="false" outlineLevel="0" collapsed="false">
      <c r="A5096" s="53" t="str">
        <f aca="false">IF($H5096="","",ROW()-5)</f>
        <v/>
      </c>
      <c r="B5096" s="64" t="s">
        <v>39</v>
      </c>
      <c r="C5096" s="53" t="n">
        <v>51</v>
      </c>
      <c r="D5096" s="53" t="n">
        <v>1</v>
      </c>
      <c r="E5096" s="65" t="str">
        <f aca="false">IF($H5096="","",其他分录!$B51)</f>
        <v/>
      </c>
      <c r="F5096" s="55" t="str">
        <f aca="false">IF($H5096="","",其他分录!$C51)</f>
        <v/>
      </c>
      <c r="G5096" s="48" t="str">
        <f aca="false">IF($H5096="","",其他分录!$D51)</f>
        <v/>
      </c>
      <c r="H5096" s="10" t="str">
        <f aca="false">IF(OR(其他分录!$B51="",N(其他分录!$G51)=0),"",其他分录!$E51)</f>
        <v/>
      </c>
      <c r="I5096" s="42" t="n">
        <f aca="false">IF($M5096="借",$O5096,0)</f>
        <v>0</v>
      </c>
      <c r="J5096" s="42" t="n">
        <f aca="false">IF($M5096="贷",$O5096,0)</f>
        <v>0</v>
      </c>
      <c r="K5096" s="48" t="str">
        <f aca="false">IF($H5096="","",其他分录!$H51)</f>
        <v/>
      </c>
      <c r="L5096" s="66"/>
      <c r="M5096" s="66" t="str">
        <f aca="false">IF($H5096="","","借")</f>
        <v/>
      </c>
      <c r="N5096" s="66"/>
      <c r="O5096" s="67" t="n">
        <f aca="false">IF($H5096="",0,ROUND(N(其他分录!$G51),2))</f>
        <v>0</v>
      </c>
      <c r="P5096" s="64" t="str">
        <f aca="false">IF(AND($H5096&lt;&gt;"",ROUND($O5096,2)&lt;&gt;0),"有","")</f>
        <v/>
      </c>
    </row>
    <row r="5097" customFormat="false" ht="15" hidden="true" customHeight="false" outlineLevel="0" collapsed="false">
      <c r="A5097" s="53" t="str">
        <f aca="false">IF($H5097="","",ROW()-5)</f>
        <v/>
      </c>
      <c r="B5097" s="64" t="s">
        <v>39</v>
      </c>
      <c r="C5097" s="53" t="n">
        <v>51</v>
      </c>
      <c r="D5097" s="53" t="n">
        <v>2</v>
      </c>
      <c r="E5097" s="65" t="str">
        <f aca="false">IF($H5097="","",其他分录!$B51)</f>
        <v/>
      </c>
      <c r="F5097" s="55" t="str">
        <f aca="false">IF($H5097="","",其他分录!$C51)</f>
        <v/>
      </c>
      <c r="G5097" s="48" t="str">
        <f aca="false">IF($H5097="","",其他分录!$D51)</f>
        <v/>
      </c>
      <c r="H5097" s="10" t="str">
        <f aca="false">IF(OR(其他分录!$B51="",N(其他分录!$G51)=0),"",其他分录!$F51)</f>
        <v/>
      </c>
      <c r="I5097" s="42" t="n">
        <f aca="false">IF($M5097="借",$O5097,0)</f>
        <v>0</v>
      </c>
      <c r="J5097" s="42" t="n">
        <f aca="false">IF($M5097="贷",$O5097,0)</f>
        <v>0</v>
      </c>
      <c r="K5097" s="48" t="str">
        <f aca="false">IF($H5097="","",其他分录!$H51)</f>
        <v/>
      </c>
      <c r="L5097" s="66"/>
      <c r="M5097" s="66" t="str">
        <f aca="false">IF($H5097="","","贷")</f>
        <v/>
      </c>
      <c r="N5097" s="66"/>
      <c r="O5097" s="67" t="n">
        <f aca="false">IF($H5097="",0,ROUND(N(其他分录!$G51),2))</f>
        <v>0</v>
      </c>
      <c r="P5097" s="64" t="str">
        <f aca="false">IF(AND($H5097&lt;&gt;"",ROUND($O5097,2)&lt;&gt;0),"有","")</f>
        <v/>
      </c>
    </row>
    <row r="5098" customFormat="false" ht="15" hidden="true" customHeight="false" outlineLevel="0" collapsed="false">
      <c r="A5098" s="53" t="str">
        <f aca="false">IF($H5098="","",ROW()-5)</f>
        <v/>
      </c>
      <c r="B5098" s="64" t="s">
        <v>39</v>
      </c>
      <c r="C5098" s="53" t="n">
        <v>52</v>
      </c>
      <c r="D5098" s="53" t="n">
        <v>1</v>
      </c>
      <c r="E5098" s="65" t="str">
        <f aca="false">IF($H5098="","",其他分录!$B52)</f>
        <v/>
      </c>
      <c r="F5098" s="55" t="str">
        <f aca="false">IF($H5098="","",其他分录!$C52)</f>
        <v/>
      </c>
      <c r="G5098" s="48" t="str">
        <f aca="false">IF($H5098="","",其他分录!$D52)</f>
        <v/>
      </c>
      <c r="H5098" s="10" t="str">
        <f aca="false">IF(OR(其他分录!$B52="",N(其他分录!$G52)=0),"",其他分录!$E52)</f>
        <v/>
      </c>
      <c r="I5098" s="42" t="n">
        <f aca="false">IF($M5098="借",$O5098,0)</f>
        <v>0</v>
      </c>
      <c r="J5098" s="42" t="n">
        <f aca="false">IF($M5098="贷",$O5098,0)</f>
        <v>0</v>
      </c>
      <c r="K5098" s="48" t="str">
        <f aca="false">IF($H5098="","",其他分录!$H52)</f>
        <v/>
      </c>
      <c r="L5098" s="66"/>
      <c r="M5098" s="66" t="str">
        <f aca="false">IF($H5098="","","借")</f>
        <v/>
      </c>
      <c r="N5098" s="66"/>
      <c r="O5098" s="67" t="n">
        <f aca="false">IF($H5098="",0,ROUND(N(其他分录!$G52),2))</f>
        <v>0</v>
      </c>
      <c r="P5098" s="64" t="str">
        <f aca="false">IF(AND($H5098&lt;&gt;"",ROUND($O5098,2)&lt;&gt;0),"有","")</f>
        <v/>
      </c>
    </row>
    <row r="5099" customFormat="false" ht="15" hidden="true" customHeight="false" outlineLevel="0" collapsed="false">
      <c r="A5099" s="53" t="str">
        <f aca="false">IF($H5099="","",ROW()-5)</f>
        <v/>
      </c>
      <c r="B5099" s="64" t="s">
        <v>39</v>
      </c>
      <c r="C5099" s="53" t="n">
        <v>52</v>
      </c>
      <c r="D5099" s="53" t="n">
        <v>2</v>
      </c>
      <c r="E5099" s="65" t="str">
        <f aca="false">IF($H5099="","",其他分录!$B52)</f>
        <v/>
      </c>
      <c r="F5099" s="55" t="str">
        <f aca="false">IF($H5099="","",其他分录!$C52)</f>
        <v/>
      </c>
      <c r="G5099" s="48" t="str">
        <f aca="false">IF($H5099="","",其他分录!$D52)</f>
        <v/>
      </c>
      <c r="H5099" s="10" t="str">
        <f aca="false">IF(OR(其他分录!$B52="",N(其他分录!$G52)=0),"",其他分录!$F52)</f>
        <v/>
      </c>
      <c r="I5099" s="42" t="n">
        <f aca="false">IF($M5099="借",$O5099,0)</f>
        <v>0</v>
      </c>
      <c r="J5099" s="42" t="n">
        <f aca="false">IF($M5099="贷",$O5099,0)</f>
        <v>0</v>
      </c>
      <c r="K5099" s="48" t="str">
        <f aca="false">IF($H5099="","",其他分录!$H52)</f>
        <v/>
      </c>
      <c r="L5099" s="66"/>
      <c r="M5099" s="66" t="str">
        <f aca="false">IF($H5099="","","贷")</f>
        <v/>
      </c>
      <c r="N5099" s="66"/>
      <c r="O5099" s="67" t="n">
        <f aca="false">IF($H5099="",0,ROUND(N(其他分录!$G52),2))</f>
        <v>0</v>
      </c>
      <c r="P5099" s="64" t="str">
        <f aca="false">IF(AND($H5099&lt;&gt;"",ROUND($O5099,2)&lt;&gt;0),"有","")</f>
        <v/>
      </c>
    </row>
    <row r="5100" customFormat="false" ht="15" hidden="true" customHeight="false" outlineLevel="0" collapsed="false">
      <c r="A5100" s="53" t="str">
        <f aca="false">IF($H5100="","",ROW()-5)</f>
        <v/>
      </c>
      <c r="B5100" s="64" t="s">
        <v>39</v>
      </c>
      <c r="C5100" s="53" t="n">
        <v>53</v>
      </c>
      <c r="D5100" s="53" t="n">
        <v>1</v>
      </c>
      <c r="E5100" s="65" t="str">
        <f aca="false">IF($H5100="","",其他分录!$B53)</f>
        <v/>
      </c>
      <c r="F5100" s="55" t="str">
        <f aca="false">IF($H5100="","",其他分录!$C53)</f>
        <v/>
      </c>
      <c r="G5100" s="48" t="str">
        <f aca="false">IF($H5100="","",其他分录!$D53)</f>
        <v/>
      </c>
      <c r="H5100" s="10" t="str">
        <f aca="false">IF(OR(其他分录!$B53="",N(其他分录!$G53)=0),"",其他分录!$E53)</f>
        <v/>
      </c>
      <c r="I5100" s="42" t="n">
        <f aca="false">IF($M5100="借",$O5100,0)</f>
        <v>0</v>
      </c>
      <c r="J5100" s="42" t="n">
        <f aca="false">IF($M5100="贷",$O5100,0)</f>
        <v>0</v>
      </c>
      <c r="K5100" s="48" t="str">
        <f aca="false">IF($H5100="","",其他分录!$H53)</f>
        <v/>
      </c>
      <c r="L5100" s="66"/>
      <c r="M5100" s="66" t="str">
        <f aca="false">IF($H5100="","","借")</f>
        <v/>
      </c>
      <c r="N5100" s="66"/>
      <c r="O5100" s="67" t="n">
        <f aca="false">IF($H5100="",0,ROUND(N(其他分录!$G53),2))</f>
        <v>0</v>
      </c>
      <c r="P5100" s="64" t="str">
        <f aca="false">IF(AND($H5100&lt;&gt;"",ROUND($O5100,2)&lt;&gt;0),"有","")</f>
        <v/>
      </c>
    </row>
    <row r="5101" customFormat="false" ht="15" hidden="true" customHeight="false" outlineLevel="0" collapsed="false">
      <c r="A5101" s="53" t="str">
        <f aca="false">IF($H5101="","",ROW()-5)</f>
        <v/>
      </c>
      <c r="B5101" s="64" t="s">
        <v>39</v>
      </c>
      <c r="C5101" s="53" t="n">
        <v>53</v>
      </c>
      <c r="D5101" s="53" t="n">
        <v>2</v>
      </c>
      <c r="E5101" s="65" t="str">
        <f aca="false">IF($H5101="","",其他分录!$B53)</f>
        <v/>
      </c>
      <c r="F5101" s="55" t="str">
        <f aca="false">IF($H5101="","",其他分录!$C53)</f>
        <v/>
      </c>
      <c r="G5101" s="48" t="str">
        <f aca="false">IF($H5101="","",其他分录!$D53)</f>
        <v/>
      </c>
      <c r="H5101" s="10" t="str">
        <f aca="false">IF(OR(其他分录!$B53="",N(其他分录!$G53)=0),"",其他分录!$F53)</f>
        <v/>
      </c>
      <c r="I5101" s="42" t="n">
        <f aca="false">IF($M5101="借",$O5101,0)</f>
        <v>0</v>
      </c>
      <c r="J5101" s="42" t="n">
        <f aca="false">IF($M5101="贷",$O5101,0)</f>
        <v>0</v>
      </c>
      <c r="K5101" s="48" t="str">
        <f aca="false">IF($H5101="","",其他分录!$H53)</f>
        <v/>
      </c>
      <c r="L5101" s="66"/>
      <c r="M5101" s="66" t="str">
        <f aca="false">IF($H5101="","","贷")</f>
        <v/>
      </c>
      <c r="N5101" s="66"/>
      <c r="O5101" s="67" t="n">
        <f aca="false">IF($H5101="",0,ROUND(N(其他分录!$G53),2))</f>
        <v>0</v>
      </c>
      <c r="P5101" s="64" t="str">
        <f aca="false">IF(AND($H5101&lt;&gt;"",ROUND($O5101,2)&lt;&gt;0),"有","")</f>
        <v/>
      </c>
    </row>
    <row r="5102" customFormat="false" ht="15" hidden="true" customHeight="false" outlineLevel="0" collapsed="false">
      <c r="A5102" s="53" t="str">
        <f aca="false">IF($H5102="","",ROW()-5)</f>
        <v/>
      </c>
      <c r="B5102" s="64" t="s">
        <v>39</v>
      </c>
      <c r="C5102" s="53" t="n">
        <v>54</v>
      </c>
      <c r="D5102" s="53" t="n">
        <v>1</v>
      </c>
      <c r="E5102" s="65" t="str">
        <f aca="false">IF($H5102="","",其他分录!$B54)</f>
        <v/>
      </c>
      <c r="F5102" s="55" t="str">
        <f aca="false">IF($H5102="","",其他分录!$C54)</f>
        <v/>
      </c>
      <c r="G5102" s="48" t="str">
        <f aca="false">IF($H5102="","",其他分录!$D54)</f>
        <v/>
      </c>
      <c r="H5102" s="10" t="str">
        <f aca="false">IF(OR(其他分录!$B54="",N(其他分录!$G54)=0),"",其他分录!$E54)</f>
        <v/>
      </c>
      <c r="I5102" s="42" t="n">
        <f aca="false">IF($M5102="借",$O5102,0)</f>
        <v>0</v>
      </c>
      <c r="J5102" s="42" t="n">
        <f aca="false">IF($M5102="贷",$O5102,0)</f>
        <v>0</v>
      </c>
      <c r="K5102" s="48" t="str">
        <f aca="false">IF($H5102="","",其他分录!$H54)</f>
        <v/>
      </c>
      <c r="L5102" s="66"/>
      <c r="M5102" s="66" t="str">
        <f aca="false">IF($H5102="","","借")</f>
        <v/>
      </c>
      <c r="N5102" s="66"/>
      <c r="O5102" s="67" t="n">
        <f aca="false">IF($H5102="",0,ROUND(N(其他分录!$G54),2))</f>
        <v>0</v>
      </c>
      <c r="P5102" s="64" t="str">
        <f aca="false">IF(AND($H5102&lt;&gt;"",ROUND($O5102,2)&lt;&gt;0),"有","")</f>
        <v/>
      </c>
    </row>
    <row r="5103" customFormat="false" ht="15" hidden="true" customHeight="false" outlineLevel="0" collapsed="false">
      <c r="A5103" s="53" t="str">
        <f aca="false">IF($H5103="","",ROW()-5)</f>
        <v/>
      </c>
      <c r="B5103" s="64" t="s">
        <v>39</v>
      </c>
      <c r="C5103" s="53" t="n">
        <v>54</v>
      </c>
      <c r="D5103" s="53" t="n">
        <v>2</v>
      </c>
      <c r="E5103" s="65" t="str">
        <f aca="false">IF($H5103="","",其他分录!$B54)</f>
        <v/>
      </c>
      <c r="F5103" s="55" t="str">
        <f aca="false">IF($H5103="","",其他分录!$C54)</f>
        <v/>
      </c>
      <c r="G5103" s="48" t="str">
        <f aca="false">IF($H5103="","",其他分录!$D54)</f>
        <v/>
      </c>
      <c r="H5103" s="10" t="str">
        <f aca="false">IF(OR(其他分录!$B54="",N(其他分录!$G54)=0),"",其他分录!$F54)</f>
        <v/>
      </c>
      <c r="I5103" s="42" t="n">
        <f aca="false">IF($M5103="借",$O5103,0)</f>
        <v>0</v>
      </c>
      <c r="J5103" s="42" t="n">
        <f aca="false">IF($M5103="贷",$O5103,0)</f>
        <v>0</v>
      </c>
      <c r="K5103" s="48" t="str">
        <f aca="false">IF($H5103="","",其他分录!$H54)</f>
        <v/>
      </c>
      <c r="L5103" s="66"/>
      <c r="M5103" s="66" t="str">
        <f aca="false">IF($H5103="","","贷")</f>
        <v/>
      </c>
      <c r="N5103" s="66"/>
      <c r="O5103" s="67" t="n">
        <f aca="false">IF($H5103="",0,ROUND(N(其他分录!$G54),2))</f>
        <v>0</v>
      </c>
      <c r="P5103" s="64" t="str">
        <f aca="false">IF(AND($H5103&lt;&gt;"",ROUND($O5103,2)&lt;&gt;0),"有","")</f>
        <v/>
      </c>
    </row>
    <row r="5104" customFormat="false" ht="15" hidden="true" customHeight="false" outlineLevel="0" collapsed="false">
      <c r="A5104" s="53" t="str">
        <f aca="false">IF($H5104="","",ROW()-5)</f>
        <v/>
      </c>
      <c r="B5104" s="64" t="s">
        <v>39</v>
      </c>
      <c r="C5104" s="53" t="n">
        <v>55</v>
      </c>
      <c r="D5104" s="53" t="n">
        <v>1</v>
      </c>
      <c r="E5104" s="65" t="str">
        <f aca="false">IF($H5104="","",其他分录!$B55)</f>
        <v/>
      </c>
      <c r="F5104" s="55" t="str">
        <f aca="false">IF($H5104="","",其他分录!$C55)</f>
        <v/>
      </c>
      <c r="G5104" s="48" t="str">
        <f aca="false">IF($H5104="","",其他分录!$D55)</f>
        <v/>
      </c>
      <c r="H5104" s="10" t="str">
        <f aca="false">IF(OR(其他分录!$B55="",N(其他分录!$G55)=0),"",其他分录!$E55)</f>
        <v/>
      </c>
      <c r="I5104" s="42" t="n">
        <f aca="false">IF($M5104="借",$O5104,0)</f>
        <v>0</v>
      </c>
      <c r="J5104" s="42" t="n">
        <f aca="false">IF($M5104="贷",$O5104,0)</f>
        <v>0</v>
      </c>
      <c r="K5104" s="48" t="str">
        <f aca="false">IF($H5104="","",其他分录!$H55)</f>
        <v/>
      </c>
      <c r="L5104" s="66"/>
      <c r="M5104" s="66" t="str">
        <f aca="false">IF($H5104="","","借")</f>
        <v/>
      </c>
      <c r="N5104" s="66"/>
      <c r="O5104" s="67" t="n">
        <f aca="false">IF($H5104="",0,ROUND(N(其他分录!$G55),2))</f>
        <v>0</v>
      </c>
      <c r="P5104" s="64" t="str">
        <f aca="false">IF(AND($H5104&lt;&gt;"",ROUND($O5104,2)&lt;&gt;0),"有","")</f>
        <v/>
      </c>
    </row>
    <row r="5105" customFormat="false" ht="15" hidden="true" customHeight="false" outlineLevel="0" collapsed="false">
      <c r="A5105" s="53" t="str">
        <f aca="false">IF($H5105="","",ROW()-5)</f>
        <v/>
      </c>
      <c r="B5105" s="64" t="s">
        <v>39</v>
      </c>
      <c r="C5105" s="53" t="n">
        <v>55</v>
      </c>
      <c r="D5105" s="53" t="n">
        <v>2</v>
      </c>
      <c r="E5105" s="65" t="str">
        <f aca="false">IF($H5105="","",其他分录!$B55)</f>
        <v/>
      </c>
      <c r="F5105" s="55" t="str">
        <f aca="false">IF($H5105="","",其他分录!$C55)</f>
        <v/>
      </c>
      <c r="G5105" s="48" t="str">
        <f aca="false">IF($H5105="","",其他分录!$D55)</f>
        <v/>
      </c>
      <c r="H5105" s="10" t="str">
        <f aca="false">IF(OR(其他分录!$B55="",N(其他分录!$G55)=0),"",其他分录!$F55)</f>
        <v/>
      </c>
      <c r="I5105" s="42" t="n">
        <f aca="false">IF($M5105="借",$O5105,0)</f>
        <v>0</v>
      </c>
      <c r="J5105" s="42" t="n">
        <f aca="false">IF($M5105="贷",$O5105,0)</f>
        <v>0</v>
      </c>
      <c r="K5105" s="48" t="str">
        <f aca="false">IF($H5105="","",其他分录!$H55)</f>
        <v/>
      </c>
      <c r="L5105" s="66"/>
      <c r="M5105" s="66" t="str">
        <f aca="false">IF($H5105="","","贷")</f>
        <v/>
      </c>
      <c r="N5105" s="66"/>
      <c r="O5105" s="67" t="n">
        <f aca="false">IF($H5105="",0,ROUND(N(其他分录!$G55),2))</f>
        <v>0</v>
      </c>
      <c r="P5105" s="64" t="str">
        <f aca="false">IF(AND($H5105&lt;&gt;"",ROUND($O5105,2)&lt;&gt;0),"有","")</f>
        <v/>
      </c>
    </row>
    <row r="5106" customFormat="false" ht="15" hidden="true" customHeight="false" outlineLevel="0" collapsed="false">
      <c r="A5106" s="53" t="str">
        <f aca="false">IF($H5106="","",ROW()-5)</f>
        <v/>
      </c>
      <c r="B5106" s="64" t="s">
        <v>39</v>
      </c>
      <c r="C5106" s="53" t="n">
        <v>56</v>
      </c>
      <c r="D5106" s="53" t="n">
        <v>1</v>
      </c>
      <c r="E5106" s="65" t="str">
        <f aca="false">IF($H5106="","",其他分录!$B56)</f>
        <v/>
      </c>
      <c r="F5106" s="55" t="str">
        <f aca="false">IF($H5106="","",其他分录!$C56)</f>
        <v/>
      </c>
      <c r="G5106" s="48" t="str">
        <f aca="false">IF($H5106="","",其他分录!$D56)</f>
        <v/>
      </c>
      <c r="H5106" s="10" t="str">
        <f aca="false">IF(OR(其他分录!$B56="",N(其他分录!$G56)=0),"",其他分录!$E56)</f>
        <v/>
      </c>
      <c r="I5106" s="42" t="n">
        <f aca="false">IF($M5106="借",$O5106,0)</f>
        <v>0</v>
      </c>
      <c r="J5106" s="42" t="n">
        <f aca="false">IF($M5106="贷",$O5106,0)</f>
        <v>0</v>
      </c>
      <c r="K5106" s="48" t="str">
        <f aca="false">IF($H5106="","",其他分录!$H56)</f>
        <v/>
      </c>
      <c r="L5106" s="66"/>
      <c r="M5106" s="66" t="str">
        <f aca="false">IF($H5106="","","借")</f>
        <v/>
      </c>
      <c r="N5106" s="66"/>
      <c r="O5106" s="67" t="n">
        <f aca="false">IF($H5106="",0,ROUND(N(其他分录!$G56),2))</f>
        <v>0</v>
      </c>
      <c r="P5106" s="64" t="str">
        <f aca="false">IF(AND($H5106&lt;&gt;"",ROUND($O5106,2)&lt;&gt;0),"有","")</f>
        <v/>
      </c>
    </row>
    <row r="5107" customFormat="false" ht="15" hidden="true" customHeight="false" outlineLevel="0" collapsed="false">
      <c r="A5107" s="53" t="str">
        <f aca="false">IF($H5107="","",ROW()-5)</f>
        <v/>
      </c>
      <c r="B5107" s="64" t="s">
        <v>39</v>
      </c>
      <c r="C5107" s="53" t="n">
        <v>56</v>
      </c>
      <c r="D5107" s="53" t="n">
        <v>2</v>
      </c>
      <c r="E5107" s="65" t="str">
        <f aca="false">IF($H5107="","",其他分录!$B56)</f>
        <v/>
      </c>
      <c r="F5107" s="55" t="str">
        <f aca="false">IF($H5107="","",其他分录!$C56)</f>
        <v/>
      </c>
      <c r="G5107" s="48" t="str">
        <f aca="false">IF($H5107="","",其他分录!$D56)</f>
        <v/>
      </c>
      <c r="H5107" s="10" t="str">
        <f aca="false">IF(OR(其他分录!$B56="",N(其他分录!$G56)=0),"",其他分录!$F56)</f>
        <v/>
      </c>
      <c r="I5107" s="42" t="n">
        <f aca="false">IF($M5107="借",$O5107,0)</f>
        <v>0</v>
      </c>
      <c r="J5107" s="42" t="n">
        <f aca="false">IF($M5107="贷",$O5107,0)</f>
        <v>0</v>
      </c>
      <c r="K5107" s="48" t="str">
        <f aca="false">IF($H5107="","",其他分录!$H56)</f>
        <v/>
      </c>
      <c r="L5107" s="66"/>
      <c r="M5107" s="66" t="str">
        <f aca="false">IF($H5107="","","贷")</f>
        <v/>
      </c>
      <c r="N5107" s="66"/>
      <c r="O5107" s="67" t="n">
        <f aca="false">IF($H5107="",0,ROUND(N(其他分录!$G56),2))</f>
        <v>0</v>
      </c>
      <c r="P5107" s="64" t="str">
        <f aca="false">IF(AND($H5107&lt;&gt;"",ROUND($O5107,2)&lt;&gt;0),"有","")</f>
        <v/>
      </c>
    </row>
    <row r="5108" customFormat="false" ht="15" hidden="true" customHeight="false" outlineLevel="0" collapsed="false">
      <c r="A5108" s="53" t="str">
        <f aca="false">IF($H5108="","",ROW()-5)</f>
        <v/>
      </c>
      <c r="B5108" s="64" t="s">
        <v>39</v>
      </c>
      <c r="C5108" s="53" t="n">
        <v>57</v>
      </c>
      <c r="D5108" s="53" t="n">
        <v>1</v>
      </c>
      <c r="E5108" s="65" t="str">
        <f aca="false">IF($H5108="","",其他分录!$B57)</f>
        <v/>
      </c>
      <c r="F5108" s="55" t="str">
        <f aca="false">IF($H5108="","",其他分录!$C57)</f>
        <v/>
      </c>
      <c r="G5108" s="48" t="str">
        <f aca="false">IF($H5108="","",其他分录!$D57)</f>
        <v/>
      </c>
      <c r="H5108" s="10" t="str">
        <f aca="false">IF(OR(其他分录!$B57="",N(其他分录!$G57)=0),"",其他分录!$E57)</f>
        <v/>
      </c>
      <c r="I5108" s="42" t="n">
        <f aca="false">IF($M5108="借",$O5108,0)</f>
        <v>0</v>
      </c>
      <c r="J5108" s="42" t="n">
        <f aca="false">IF($M5108="贷",$O5108,0)</f>
        <v>0</v>
      </c>
      <c r="K5108" s="48" t="str">
        <f aca="false">IF($H5108="","",其他分录!$H57)</f>
        <v/>
      </c>
      <c r="L5108" s="66"/>
      <c r="M5108" s="66" t="str">
        <f aca="false">IF($H5108="","","借")</f>
        <v/>
      </c>
      <c r="N5108" s="66"/>
      <c r="O5108" s="67" t="n">
        <f aca="false">IF($H5108="",0,ROUND(N(其他分录!$G57),2))</f>
        <v>0</v>
      </c>
      <c r="P5108" s="64" t="str">
        <f aca="false">IF(AND($H5108&lt;&gt;"",ROUND($O5108,2)&lt;&gt;0),"有","")</f>
        <v/>
      </c>
    </row>
    <row r="5109" customFormat="false" ht="15" hidden="true" customHeight="false" outlineLevel="0" collapsed="false">
      <c r="A5109" s="53" t="str">
        <f aca="false">IF($H5109="","",ROW()-5)</f>
        <v/>
      </c>
      <c r="B5109" s="64" t="s">
        <v>39</v>
      </c>
      <c r="C5109" s="53" t="n">
        <v>57</v>
      </c>
      <c r="D5109" s="53" t="n">
        <v>2</v>
      </c>
      <c r="E5109" s="65" t="str">
        <f aca="false">IF($H5109="","",其他分录!$B57)</f>
        <v/>
      </c>
      <c r="F5109" s="55" t="str">
        <f aca="false">IF($H5109="","",其他分录!$C57)</f>
        <v/>
      </c>
      <c r="G5109" s="48" t="str">
        <f aca="false">IF($H5109="","",其他分录!$D57)</f>
        <v/>
      </c>
      <c r="H5109" s="10" t="str">
        <f aca="false">IF(OR(其他分录!$B57="",N(其他分录!$G57)=0),"",其他分录!$F57)</f>
        <v/>
      </c>
      <c r="I5109" s="42" t="n">
        <f aca="false">IF($M5109="借",$O5109,0)</f>
        <v>0</v>
      </c>
      <c r="J5109" s="42" t="n">
        <f aca="false">IF($M5109="贷",$O5109,0)</f>
        <v>0</v>
      </c>
      <c r="K5109" s="48" t="str">
        <f aca="false">IF($H5109="","",其他分录!$H57)</f>
        <v/>
      </c>
      <c r="L5109" s="66"/>
      <c r="M5109" s="66" t="str">
        <f aca="false">IF($H5109="","","贷")</f>
        <v/>
      </c>
      <c r="N5109" s="66"/>
      <c r="O5109" s="67" t="n">
        <f aca="false">IF($H5109="",0,ROUND(N(其他分录!$G57),2))</f>
        <v>0</v>
      </c>
      <c r="P5109" s="64" t="str">
        <f aca="false">IF(AND($H5109&lt;&gt;"",ROUND($O5109,2)&lt;&gt;0),"有","")</f>
        <v/>
      </c>
    </row>
    <row r="5110" customFormat="false" ht="15" hidden="true" customHeight="false" outlineLevel="0" collapsed="false">
      <c r="A5110" s="53" t="str">
        <f aca="false">IF($H5110="","",ROW()-5)</f>
        <v/>
      </c>
      <c r="B5110" s="64" t="s">
        <v>39</v>
      </c>
      <c r="C5110" s="53" t="n">
        <v>58</v>
      </c>
      <c r="D5110" s="53" t="n">
        <v>1</v>
      </c>
      <c r="E5110" s="65" t="str">
        <f aca="false">IF($H5110="","",其他分录!$B58)</f>
        <v/>
      </c>
      <c r="F5110" s="55" t="str">
        <f aca="false">IF($H5110="","",其他分录!$C58)</f>
        <v/>
      </c>
      <c r="G5110" s="48" t="str">
        <f aca="false">IF($H5110="","",其他分录!$D58)</f>
        <v/>
      </c>
      <c r="H5110" s="10" t="str">
        <f aca="false">IF(OR(其他分录!$B58="",N(其他分录!$G58)=0),"",其他分录!$E58)</f>
        <v/>
      </c>
      <c r="I5110" s="42" t="n">
        <f aca="false">IF($M5110="借",$O5110,0)</f>
        <v>0</v>
      </c>
      <c r="J5110" s="42" t="n">
        <f aca="false">IF($M5110="贷",$O5110,0)</f>
        <v>0</v>
      </c>
      <c r="K5110" s="48" t="str">
        <f aca="false">IF($H5110="","",其他分录!$H58)</f>
        <v/>
      </c>
      <c r="L5110" s="66"/>
      <c r="M5110" s="66" t="str">
        <f aca="false">IF($H5110="","","借")</f>
        <v/>
      </c>
      <c r="N5110" s="66"/>
      <c r="O5110" s="67" t="n">
        <f aca="false">IF($H5110="",0,ROUND(N(其他分录!$G58),2))</f>
        <v>0</v>
      </c>
      <c r="P5110" s="64" t="str">
        <f aca="false">IF(AND($H5110&lt;&gt;"",ROUND($O5110,2)&lt;&gt;0),"有","")</f>
        <v/>
      </c>
    </row>
    <row r="5111" customFormat="false" ht="15" hidden="true" customHeight="false" outlineLevel="0" collapsed="false">
      <c r="A5111" s="53" t="str">
        <f aca="false">IF($H5111="","",ROW()-5)</f>
        <v/>
      </c>
      <c r="B5111" s="64" t="s">
        <v>39</v>
      </c>
      <c r="C5111" s="53" t="n">
        <v>58</v>
      </c>
      <c r="D5111" s="53" t="n">
        <v>2</v>
      </c>
      <c r="E5111" s="65" t="str">
        <f aca="false">IF($H5111="","",其他分录!$B58)</f>
        <v/>
      </c>
      <c r="F5111" s="55" t="str">
        <f aca="false">IF($H5111="","",其他分录!$C58)</f>
        <v/>
      </c>
      <c r="G5111" s="48" t="str">
        <f aca="false">IF($H5111="","",其他分录!$D58)</f>
        <v/>
      </c>
      <c r="H5111" s="10" t="str">
        <f aca="false">IF(OR(其他分录!$B58="",N(其他分录!$G58)=0),"",其他分录!$F58)</f>
        <v/>
      </c>
      <c r="I5111" s="42" t="n">
        <f aca="false">IF($M5111="借",$O5111,0)</f>
        <v>0</v>
      </c>
      <c r="J5111" s="42" t="n">
        <f aca="false">IF($M5111="贷",$O5111,0)</f>
        <v>0</v>
      </c>
      <c r="K5111" s="48" t="str">
        <f aca="false">IF($H5111="","",其他分录!$H58)</f>
        <v/>
      </c>
      <c r="L5111" s="66"/>
      <c r="M5111" s="66" t="str">
        <f aca="false">IF($H5111="","","贷")</f>
        <v/>
      </c>
      <c r="N5111" s="66"/>
      <c r="O5111" s="67" t="n">
        <f aca="false">IF($H5111="",0,ROUND(N(其他分录!$G58),2))</f>
        <v>0</v>
      </c>
      <c r="P5111" s="64" t="str">
        <f aca="false">IF(AND($H5111&lt;&gt;"",ROUND($O5111,2)&lt;&gt;0),"有","")</f>
        <v/>
      </c>
    </row>
    <row r="5112" customFormat="false" ht="15" hidden="true" customHeight="false" outlineLevel="0" collapsed="false">
      <c r="A5112" s="53" t="str">
        <f aca="false">IF($H5112="","",ROW()-5)</f>
        <v/>
      </c>
      <c r="B5112" s="64" t="s">
        <v>39</v>
      </c>
      <c r="C5112" s="53" t="n">
        <v>59</v>
      </c>
      <c r="D5112" s="53" t="n">
        <v>1</v>
      </c>
      <c r="E5112" s="65" t="str">
        <f aca="false">IF($H5112="","",其他分录!$B59)</f>
        <v/>
      </c>
      <c r="F5112" s="55" t="str">
        <f aca="false">IF($H5112="","",其他分录!$C59)</f>
        <v/>
      </c>
      <c r="G5112" s="48" t="str">
        <f aca="false">IF($H5112="","",其他分录!$D59)</f>
        <v/>
      </c>
      <c r="H5112" s="10" t="str">
        <f aca="false">IF(OR(其他分录!$B59="",N(其他分录!$G59)=0),"",其他分录!$E59)</f>
        <v/>
      </c>
      <c r="I5112" s="42" t="n">
        <f aca="false">IF($M5112="借",$O5112,0)</f>
        <v>0</v>
      </c>
      <c r="J5112" s="42" t="n">
        <f aca="false">IF($M5112="贷",$O5112,0)</f>
        <v>0</v>
      </c>
      <c r="K5112" s="48" t="str">
        <f aca="false">IF($H5112="","",其他分录!$H59)</f>
        <v/>
      </c>
      <c r="L5112" s="66"/>
      <c r="M5112" s="66" t="str">
        <f aca="false">IF($H5112="","","借")</f>
        <v/>
      </c>
      <c r="N5112" s="66"/>
      <c r="O5112" s="67" t="n">
        <f aca="false">IF($H5112="",0,ROUND(N(其他分录!$G59),2))</f>
        <v>0</v>
      </c>
      <c r="P5112" s="64" t="str">
        <f aca="false">IF(AND($H5112&lt;&gt;"",ROUND($O5112,2)&lt;&gt;0),"有","")</f>
        <v/>
      </c>
    </row>
    <row r="5113" customFormat="false" ht="15" hidden="true" customHeight="false" outlineLevel="0" collapsed="false">
      <c r="A5113" s="53" t="str">
        <f aca="false">IF($H5113="","",ROW()-5)</f>
        <v/>
      </c>
      <c r="B5113" s="64" t="s">
        <v>39</v>
      </c>
      <c r="C5113" s="53" t="n">
        <v>59</v>
      </c>
      <c r="D5113" s="53" t="n">
        <v>2</v>
      </c>
      <c r="E5113" s="65" t="str">
        <f aca="false">IF($H5113="","",其他分录!$B59)</f>
        <v/>
      </c>
      <c r="F5113" s="55" t="str">
        <f aca="false">IF($H5113="","",其他分录!$C59)</f>
        <v/>
      </c>
      <c r="G5113" s="48" t="str">
        <f aca="false">IF($H5113="","",其他分录!$D59)</f>
        <v/>
      </c>
      <c r="H5113" s="10" t="str">
        <f aca="false">IF(OR(其他分录!$B59="",N(其他分录!$G59)=0),"",其他分录!$F59)</f>
        <v/>
      </c>
      <c r="I5113" s="42" t="n">
        <f aca="false">IF($M5113="借",$O5113,0)</f>
        <v>0</v>
      </c>
      <c r="J5113" s="42" t="n">
        <f aca="false">IF($M5113="贷",$O5113,0)</f>
        <v>0</v>
      </c>
      <c r="K5113" s="48" t="str">
        <f aca="false">IF($H5113="","",其他分录!$H59)</f>
        <v/>
      </c>
      <c r="L5113" s="66"/>
      <c r="M5113" s="66" t="str">
        <f aca="false">IF($H5113="","","贷")</f>
        <v/>
      </c>
      <c r="N5113" s="66"/>
      <c r="O5113" s="67" t="n">
        <f aca="false">IF($H5113="",0,ROUND(N(其他分录!$G59),2))</f>
        <v>0</v>
      </c>
      <c r="P5113" s="64" t="str">
        <f aca="false">IF(AND($H5113&lt;&gt;"",ROUND($O5113,2)&lt;&gt;0),"有","")</f>
        <v/>
      </c>
    </row>
    <row r="5114" customFormat="false" ht="15" hidden="true" customHeight="false" outlineLevel="0" collapsed="false">
      <c r="A5114" s="53" t="str">
        <f aca="false">IF($H5114="","",ROW()-5)</f>
        <v/>
      </c>
      <c r="B5114" s="64" t="s">
        <v>39</v>
      </c>
      <c r="C5114" s="53" t="n">
        <v>60</v>
      </c>
      <c r="D5114" s="53" t="n">
        <v>1</v>
      </c>
      <c r="E5114" s="65" t="str">
        <f aca="false">IF($H5114="","",其他分录!$B60)</f>
        <v/>
      </c>
      <c r="F5114" s="55" t="str">
        <f aca="false">IF($H5114="","",其他分录!$C60)</f>
        <v/>
      </c>
      <c r="G5114" s="48" t="str">
        <f aca="false">IF($H5114="","",其他分录!$D60)</f>
        <v/>
      </c>
      <c r="H5114" s="10" t="str">
        <f aca="false">IF(OR(其他分录!$B60="",N(其他分录!$G60)=0),"",其他分录!$E60)</f>
        <v/>
      </c>
      <c r="I5114" s="42" t="n">
        <f aca="false">IF($M5114="借",$O5114,0)</f>
        <v>0</v>
      </c>
      <c r="J5114" s="42" t="n">
        <f aca="false">IF($M5114="贷",$O5114,0)</f>
        <v>0</v>
      </c>
      <c r="K5114" s="48" t="str">
        <f aca="false">IF($H5114="","",其他分录!$H60)</f>
        <v/>
      </c>
      <c r="L5114" s="66"/>
      <c r="M5114" s="66" t="str">
        <f aca="false">IF($H5114="","","借")</f>
        <v/>
      </c>
      <c r="N5114" s="66"/>
      <c r="O5114" s="67" t="n">
        <f aca="false">IF($H5114="",0,ROUND(N(其他分录!$G60),2))</f>
        <v>0</v>
      </c>
      <c r="P5114" s="64" t="str">
        <f aca="false">IF(AND($H5114&lt;&gt;"",ROUND($O5114,2)&lt;&gt;0),"有","")</f>
        <v/>
      </c>
    </row>
    <row r="5115" customFormat="false" ht="15" hidden="true" customHeight="false" outlineLevel="0" collapsed="false">
      <c r="A5115" s="53" t="str">
        <f aca="false">IF($H5115="","",ROW()-5)</f>
        <v/>
      </c>
      <c r="B5115" s="64" t="s">
        <v>39</v>
      </c>
      <c r="C5115" s="53" t="n">
        <v>60</v>
      </c>
      <c r="D5115" s="53" t="n">
        <v>2</v>
      </c>
      <c r="E5115" s="65" t="str">
        <f aca="false">IF($H5115="","",其他分录!$B60)</f>
        <v/>
      </c>
      <c r="F5115" s="55" t="str">
        <f aca="false">IF($H5115="","",其他分录!$C60)</f>
        <v/>
      </c>
      <c r="G5115" s="48" t="str">
        <f aca="false">IF($H5115="","",其他分录!$D60)</f>
        <v/>
      </c>
      <c r="H5115" s="10" t="str">
        <f aca="false">IF(OR(其他分录!$B60="",N(其他分录!$G60)=0),"",其他分录!$F60)</f>
        <v/>
      </c>
      <c r="I5115" s="42" t="n">
        <f aca="false">IF($M5115="借",$O5115,0)</f>
        <v>0</v>
      </c>
      <c r="J5115" s="42" t="n">
        <f aca="false">IF($M5115="贷",$O5115,0)</f>
        <v>0</v>
      </c>
      <c r="K5115" s="48" t="str">
        <f aca="false">IF($H5115="","",其他分录!$H60)</f>
        <v/>
      </c>
      <c r="L5115" s="66"/>
      <c r="M5115" s="66" t="str">
        <f aca="false">IF($H5115="","","贷")</f>
        <v/>
      </c>
      <c r="N5115" s="66"/>
      <c r="O5115" s="67" t="n">
        <f aca="false">IF($H5115="",0,ROUND(N(其他分录!$G60),2))</f>
        <v>0</v>
      </c>
      <c r="P5115" s="64" t="str">
        <f aca="false">IF(AND($H5115&lt;&gt;"",ROUND($O5115,2)&lt;&gt;0),"有","")</f>
        <v/>
      </c>
    </row>
    <row r="5116" customFormat="false" ht="15" hidden="true" customHeight="false" outlineLevel="0" collapsed="false">
      <c r="A5116" s="53" t="str">
        <f aca="false">IF($H5116="","",ROW()-5)</f>
        <v/>
      </c>
      <c r="B5116" s="64" t="s">
        <v>39</v>
      </c>
      <c r="C5116" s="53" t="n">
        <v>61</v>
      </c>
      <c r="D5116" s="53" t="n">
        <v>1</v>
      </c>
      <c r="E5116" s="65" t="str">
        <f aca="false">IF($H5116="","",其他分录!$B61)</f>
        <v/>
      </c>
      <c r="F5116" s="55" t="str">
        <f aca="false">IF($H5116="","",其他分录!$C61)</f>
        <v/>
      </c>
      <c r="G5116" s="48" t="str">
        <f aca="false">IF($H5116="","",其他分录!$D61)</f>
        <v/>
      </c>
      <c r="H5116" s="10" t="str">
        <f aca="false">IF(OR(其他分录!$B61="",N(其他分录!$G61)=0),"",其他分录!$E61)</f>
        <v/>
      </c>
      <c r="I5116" s="42" t="n">
        <f aca="false">IF($M5116="借",$O5116,0)</f>
        <v>0</v>
      </c>
      <c r="J5116" s="42" t="n">
        <f aca="false">IF($M5116="贷",$O5116,0)</f>
        <v>0</v>
      </c>
      <c r="K5116" s="48" t="str">
        <f aca="false">IF($H5116="","",其他分录!$H61)</f>
        <v/>
      </c>
      <c r="L5116" s="66"/>
      <c r="M5116" s="66" t="str">
        <f aca="false">IF($H5116="","","借")</f>
        <v/>
      </c>
      <c r="N5116" s="66"/>
      <c r="O5116" s="67" t="n">
        <f aca="false">IF($H5116="",0,ROUND(N(其他分录!$G61),2))</f>
        <v>0</v>
      </c>
      <c r="P5116" s="64" t="str">
        <f aca="false">IF(AND($H5116&lt;&gt;"",ROUND($O5116,2)&lt;&gt;0),"有","")</f>
        <v/>
      </c>
    </row>
    <row r="5117" customFormat="false" ht="15" hidden="true" customHeight="false" outlineLevel="0" collapsed="false">
      <c r="A5117" s="53" t="str">
        <f aca="false">IF($H5117="","",ROW()-5)</f>
        <v/>
      </c>
      <c r="B5117" s="64" t="s">
        <v>39</v>
      </c>
      <c r="C5117" s="53" t="n">
        <v>61</v>
      </c>
      <c r="D5117" s="53" t="n">
        <v>2</v>
      </c>
      <c r="E5117" s="65" t="str">
        <f aca="false">IF($H5117="","",其他分录!$B61)</f>
        <v/>
      </c>
      <c r="F5117" s="55" t="str">
        <f aca="false">IF($H5117="","",其他分录!$C61)</f>
        <v/>
      </c>
      <c r="G5117" s="48" t="str">
        <f aca="false">IF($H5117="","",其他分录!$D61)</f>
        <v/>
      </c>
      <c r="H5117" s="10" t="str">
        <f aca="false">IF(OR(其他分录!$B61="",N(其他分录!$G61)=0),"",其他分录!$F61)</f>
        <v/>
      </c>
      <c r="I5117" s="42" t="n">
        <f aca="false">IF($M5117="借",$O5117,0)</f>
        <v>0</v>
      </c>
      <c r="J5117" s="42" t="n">
        <f aca="false">IF($M5117="贷",$O5117,0)</f>
        <v>0</v>
      </c>
      <c r="K5117" s="48" t="str">
        <f aca="false">IF($H5117="","",其他分录!$H61)</f>
        <v/>
      </c>
      <c r="L5117" s="66"/>
      <c r="M5117" s="66" t="str">
        <f aca="false">IF($H5117="","","贷")</f>
        <v/>
      </c>
      <c r="N5117" s="66"/>
      <c r="O5117" s="67" t="n">
        <f aca="false">IF($H5117="",0,ROUND(N(其他分录!$G61),2))</f>
        <v>0</v>
      </c>
      <c r="P5117" s="64" t="str">
        <f aca="false">IF(AND($H5117&lt;&gt;"",ROUND($O5117,2)&lt;&gt;0),"有","")</f>
        <v/>
      </c>
    </row>
    <row r="5118" customFormat="false" ht="15" hidden="true" customHeight="false" outlineLevel="0" collapsed="false">
      <c r="A5118" s="53" t="str">
        <f aca="false">IF($H5118="","",ROW()-5)</f>
        <v/>
      </c>
      <c r="B5118" s="64" t="s">
        <v>39</v>
      </c>
      <c r="C5118" s="53" t="n">
        <v>62</v>
      </c>
      <c r="D5118" s="53" t="n">
        <v>1</v>
      </c>
      <c r="E5118" s="65" t="str">
        <f aca="false">IF($H5118="","",其他分录!$B62)</f>
        <v/>
      </c>
      <c r="F5118" s="55" t="str">
        <f aca="false">IF($H5118="","",其他分录!$C62)</f>
        <v/>
      </c>
      <c r="G5118" s="48" t="str">
        <f aca="false">IF($H5118="","",其他分录!$D62)</f>
        <v/>
      </c>
      <c r="H5118" s="10" t="str">
        <f aca="false">IF(OR(其他分录!$B62="",N(其他分录!$G62)=0),"",其他分录!$E62)</f>
        <v/>
      </c>
      <c r="I5118" s="42" t="n">
        <f aca="false">IF($M5118="借",$O5118,0)</f>
        <v>0</v>
      </c>
      <c r="J5118" s="42" t="n">
        <f aca="false">IF($M5118="贷",$O5118,0)</f>
        <v>0</v>
      </c>
      <c r="K5118" s="48" t="str">
        <f aca="false">IF($H5118="","",其他分录!$H62)</f>
        <v/>
      </c>
      <c r="L5118" s="66"/>
      <c r="M5118" s="66" t="str">
        <f aca="false">IF($H5118="","","借")</f>
        <v/>
      </c>
      <c r="N5118" s="66"/>
      <c r="O5118" s="67" t="n">
        <f aca="false">IF($H5118="",0,ROUND(N(其他分录!$G62),2))</f>
        <v>0</v>
      </c>
      <c r="P5118" s="64" t="str">
        <f aca="false">IF(AND($H5118&lt;&gt;"",ROUND($O5118,2)&lt;&gt;0),"有","")</f>
        <v/>
      </c>
    </row>
    <row r="5119" customFormat="false" ht="15" hidden="true" customHeight="false" outlineLevel="0" collapsed="false">
      <c r="A5119" s="53" t="str">
        <f aca="false">IF($H5119="","",ROW()-5)</f>
        <v/>
      </c>
      <c r="B5119" s="64" t="s">
        <v>39</v>
      </c>
      <c r="C5119" s="53" t="n">
        <v>62</v>
      </c>
      <c r="D5119" s="53" t="n">
        <v>2</v>
      </c>
      <c r="E5119" s="65" t="str">
        <f aca="false">IF($H5119="","",其他分录!$B62)</f>
        <v/>
      </c>
      <c r="F5119" s="55" t="str">
        <f aca="false">IF($H5119="","",其他分录!$C62)</f>
        <v/>
      </c>
      <c r="G5119" s="48" t="str">
        <f aca="false">IF($H5119="","",其他分录!$D62)</f>
        <v/>
      </c>
      <c r="H5119" s="10" t="str">
        <f aca="false">IF(OR(其他分录!$B62="",N(其他分录!$G62)=0),"",其他分录!$F62)</f>
        <v/>
      </c>
      <c r="I5119" s="42" t="n">
        <f aca="false">IF($M5119="借",$O5119,0)</f>
        <v>0</v>
      </c>
      <c r="J5119" s="42" t="n">
        <f aca="false">IF($M5119="贷",$O5119,0)</f>
        <v>0</v>
      </c>
      <c r="K5119" s="48" t="str">
        <f aca="false">IF($H5119="","",其他分录!$H62)</f>
        <v/>
      </c>
      <c r="L5119" s="66"/>
      <c r="M5119" s="66" t="str">
        <f aca="false">IF($H5119="","","贷")</f>
        <v/>
      </c>
      <c r="N5119" s="66"/>
      <c r="O5119" s="67" t="n">
        <f aca="false">IF($H5119="",0,ROUND(N(其他分录!$G62),2))</f>
        <v>0</v>
      </c>
      <c r="P5119" s="64" t="str">
        <f aca="false">IF(AND($H5119&lt;&gt;"",ROUND($O5119,2)&lt;&gt;0),"有","")</f>
        <v/>
      </c>
    </row>
    <row r="5120" customFormat="false" ht="15" hidden="true" customHeight="false" outlineLevel="0" collapsed="false">
      <c r="A5120" s="53" t="str">
        <f aca="false">IF($H5120="","",ROW()-5)</f>
        <v/>
      </c>
      <c r="B5120" s="64" t="s">
        <v>39</v>
      </c>
      <c r="C5120" s="53" t="n">
        <v>63</v>
      </c>
      <c r="D5120" s="53" t="n">
        <v>1</v>
      </c>
      <c r="E5120" s="65" t="str">
        <f aca="false">IF($H5120="","",其他分录!$B63)</f>
        <v/>
      </c>
      <c r="F5120" s="55" t="str">
        <f aca="false">IF($H5120="","",其他分录!$C63)</f>
        <v/>
      </c>
      <c r="G5120" s="48" t="str">
        <f aca="false">IF($H5120="","",其他分录!$D63)</f>
        <v/>
      </c>
      <c r="H5120" s="10" t="str">
        <f aca="false">IF(OR(其他分录!$B63="",N(其他分录!$G63)=0),"",其他分录!$E63)</f>
        <v/>
      </c>
      <c r="I5120" s="42" t="n">
        <f aca="false">IF($M5120="借",$O5120,0)</f>
        <v>0</v>
      </c>
      <c r="J5120" s="42" t="n">
        <f aca="false">IF($M5120="贷",$O5120,0)</f>
        <v>0</v>
      </c>
      <c r="K5120" s="48" t="str">
        <f aca="false">IF($H5120="","",其他分录!$H63)</f>
        <v/>
      </c>
      <c r="L5120" s="66"/>
      <c r="M5120" s="66" t="str">
        <f aca="false">IF($H5120="","","借")</f>
        <v/>
      </c>
      <c r="N5120" s="66"/>
      <c r="O5120" s="67" t="n">
        <f aca="false">IF($H5120="",0,ROUND(N(其他分录!$G63),2))</f>
        <v>0</v>
      </c>
      <c r="P5120" s="64" t="str">
        <f aca="false">IF(AND($H5120&lt;&gt;"",ROUND($O5120,2)&lt;&gt;0),"有","")</f>
        <v/>
      </c>
    </row>
    <row r="5121" customFormat="false" ht="15" hidden="true" customHeight="false" outlineLevel="0" collapsed="false">
      <c r="A5121" s="53" t="str">
        <f aca="false">IF($H5121="","",ROW()-5)</f>
        <v/>
      </c>
      <c r="B5121" s="64" t="s">
        <v>39</v>
      </c>
      <c r="C5121" s="53" t="n">
        <v>63</v>
      </c>
      <c r="D5121" s="53" t="n">
        <v>2</v>
      </c>
      <c r="E5121" s="65" t="str">
        <f aca="false">IF($H5121="","",其他分录!$B63)</f>
        <v/>
      </c>
      <c r="F5121" s="55" t="str">
        <f aca="false">IF($H5121="","",其他分录!$C63)</f>
        <v/>
      </c>
      <c r="G5121" s="48" t="str">
        <f aca="false">IF($H5121="","",其他分录!$D63)</f>
        <v/>
      </c>
      <c r="H5121" s="10" t="str">
        <f aca="false">IF(OR(其他分录!$B63="",N(其他分录!$G63)=0),"",其他分录!$F63)</f>
        <v/>
      </c>
      <c r="I5121" s="42" t="n">
        <f aca="false">IF($M5121="借",$O5121,0)</f>
        <v>0</v>
      </c>
      <c r="J5121" s="42" t="n">
        <f aca="false">IF($M5121="贷",$O5121,0)</f>
        <v>0</v>
      </c>
      <c r="K5121" s="48" t="str">
        <f aca="false">IF($H5121="","",其他分录!$H63)</f>
        <v/>
      </c>
      <c r="L5121" s="66"/>
      <c r="M5121" s="66" t="str">
        <f aca="false">IF($H5121="","","贷")</f>
        <v/>
      </c>
      <c r="N5121" s="66"/>
      <c r="O5121" s="67" t="n">
        <f aca="false">IF($H5121="",0,ROUND(N(其他分录!$G63),2))</f>
        <v>0</v>
      </c>
      <c r="P5121" s="64" t="str">
        <f aca="false">IF(AND($H5121&lt;&gt;"",ROUND($O5121,2)&lt;&gt;0),"有","")</f>
        <v/>
      </c>
    </row>
    <row r="5122" customFormat="false" ht="15" hidden="true" customHeight="false" outlineLevel="0" collapsed="false">
      <c r="A5122" s="53" t="str">
        <f aca="false">IF($H5122="","",ROW()-5)</f>
        <v/>
      </c>
      <c r="B5122" s="64" t="s">
        <v>39</v>
      </c>
      <c r="C5122" s="53" t="n">
        <v>64</v>
      </c>
      <c r="D5122" s="53" t="n">
        <v>1</v>
      </c>
      <c r="E5122" s="65" t="str">
        <f aca="false">IF($H5122="","",其他分录!$B64)</f>
        <v/>
      </c>
      <c r="F5122" s="55" t="str">
        <f aca="false">IF($H5122="","",其他分录!$C64)</f>
        <v/>
      </c>
      <c r="G5122" s="48" t="str">
        <f aca="false">IF($H5122="","",其他分录!$D64)</f>
        <v/>
      </c>
      <c r="H5122" s="10" t="str">
        <f aca="false">IF(OR(其他分录!$B64="",N(其他分录!$G64)=0),"",其他分录!$E64)</f>
        <v/>
      </c>
      <c r="I5122" s="42" t="n">
        <f aca="false">IF($M5122="借",$O5122,0)</f>
        <v>0</v>
      </c>
      <c r="J5122" s="42" t="n">
        <f aca="false">IF($M5122="贷",$O5122,0)</f>
        <v>0</v>
      </c>
      <c r="K5122" s="48" t="str">
        <f aca="false">IF($H5122="","",其他分录!$H64)</f>
        <v/>
      </c>
      <c r="L5122" s="66"/>
      <c r="M5122" s="66" t="str">
        <f aca="false">IF($H5122="","","借")</f>
        <v/>
      </c>
      <c r="N5122" s="66"/>
      <c r="O5122" s="67" t="n">
        <f aca="false">IF($H5122="",0,ROUND(N(其他分录!$G64),2))</f>
        <v>0</v>
      </c>
      <c r="P5122" s="64" t="str">
        <f aca="false">IF(AND($H5122&lt;&gt;"",ROUND($O5122,2)&lt;&gt;0),"有","")</f>
        <v/>
      </c>
    </row>
    <row r="5123" customFormat="false" ht="15" hidden="true" customHeight="false" outlineLevel="0" collapsed="false">
      <c r="A5123" s="53" t="str">
        <f aca="false">IF($H5123="","",ROW()-5)</f>
        <v/>
      </c>
      <c r="B5123" s="64" t="s">
        <v>39</v>
      </c>
      <c r="C5123" s="53" t="n">
        <v>64</v>
      </c>
      <c r="D5123" s="53" t="n">
        <v>2</v>
      </c>
      <c r="E5123" s="65" t="str">
        <f aca="false">IF($H5123="","",其他分录!$B64)</f>
        <v/>
      </c>
      <c r="F5123" s="55" t="str">
        <f aca="false">IF($H5123="","",其他分录!$C64)</f>
        <v/>
      </c>
      <c r="G5123" s="48" t="str">
        <f aca="false">IF($H5123="","",其他分录!$D64)</f>
        <v/>
      </c>
      <c r="H5123" s="10" t="str">
        <f aca="false">IF(OR(其他分录!$B64="",N(其他分录!$G64)=0),"",其他分录!$F64)</f>
        <v/>
      </c>
      <c r="I5123" s="42" t="n">
        <f aca="false">IF($M5123="借",$O5123,0)</f>
        <v>0</v>
      </c>
      <c r="J5123" s="42" t="n">
        <f aca="false">IF($M5123="贷",$O5123,0)</f>
        <v>0</v>
      </c>
      <c r="K5123" s="48" t="str">
        <f aca="false">IF($H5123="","",其他分录!$H64)</f>
        <v/>
      </c>
      <c r="L5123" s="66"/>
      <c r="M5123" s="66" t="str">
        <f aca="false">IF($H5123="","","贷")</f>
        <v/>
      </c>
      <c r="N5123" s="66"/>
      <c r="O5123" s="67" t="n">
        <f aca="false">IF($H5123="",0,ROUND(N(其他分录!$G64),2))</f>
        <v>0</v>
      </c>
      <c r="P5123" s="64" t="str">
        <f aca="false">IF(AND($H5123&lt;&gt;"",ROUND($O5123,2)&lt;&gt;0),"有","")</f>
        <v/>
      </c>
    </row>
    <row r="5124" customFormat="false" ht="15" hidden="true" customHeight="false" outlineLevel="0" collapsed="false">
      <c r="A5124" s="53" t="str">
        <f aca="false">IF($H5124="","",ROW()-5)</f>
        <v/>
      </c>
      <c r="B5124" s="64" t="s">
        <v>39</v>
      </c>
      <c r="C5124" s="53" t="n">
        <v>65</v>
      </c>
      <c r="D5124" s="53" t="n">
        <v>1</v>
      </c>
      <c r="E5124" s="65" t="str">
        <f aca="false">IF($H5124="","",其他分录!$B65)</f>
        <v/>
      </c>
      <c r="F5124" s="55" t="str">
        <f aca="false">IF($H5124="","",其他分录!$C65)</f>
        <v/>
      </c>
      <c r="G5124" s="48" t="str">
        <f aca="false">IF($H5124="","",其他分录!$D65)</f>
        <v/>
      </c>
      <c r="H5124" s="10" t="str">
        <f aca="false">IF(OR(其他分录!$B65="",N(其他分录!$G65)=0),"",其他分录!$E65)</f>
        <v/>
      </c>
      <c r="I5124" s="42" t="n">
        <f aca="false">IF($M5124="借",$O5124,0)</f>
        <v>0</v>
      </c>
      <c r="J5124" s="42" t="n">
        <f aca="false">IF($M5124="贷",$O5124,0)</f>
        <v>0</v>
      </c>
      <c r="K5124" s="48" t="str">
        <f aca="false">IF($H5124="","",其他分录!$H65)</f>
        <v/>
      </c>
      <c r="L5124" s="66"/>
      <c r="M5124" s="66" t="str">
        <f aca="false">IF($H5124="","","借")</f>
        <v/>
      </c>
      <c r="N5124" s="66"/>
      <c r="O5124" s="67" t="n">
        <f aca="false">IF($H5124="",0,ROUND(N(其他分录!$G65),2))</f>
        <v>0</v>
      </c>
      <c r="P5124" s="64" t="str">
        <f aca="false">IF(AND($H5124&lt;&gt;"",ROUND($O5124,2)&lt;&gt;0),"有","")</f>
        <v/>
      </c>
    </row>
    <row r="5125" customFormat="false" ht="15" hidden="true" customHeight="false" outlineLevel="0" collapsed="false">
      <c r="A5125" s="53" t="str">
        <f aca="false">IF($H5125="","",ROW()-5)</f>
        <v/>
      </c>
      <c r="B5125" s="64" t="s">
        <v>39</v>
      </c>
      <c r="C5125" s="53" t="n">
        <v>65</v>
      </c>
      <c r="D5125" s="53" t="n">
        <v>2</v>
      </c>
      <c r="E5125" s="65" t="str">
        <f aca="false">IF($H5125="","",其他分录!$B65)</f>
        <v/>
      </c>
      <c r="F5125" s="55" t="str">
        <f aca="false">IF($H5125="","",其他分录!$C65)</f>
        <v/>
      </c>
      <c r="G5125" s="48" t="str">
        <f aca="false">IF($H5125="","",其他分录!$D65)</f>
        <v/>
      </c>
      <c r="H5125" s="10" t="str">
        <f aca="false">IF(OR(其他分录!$B65="",N(其他分录!$G65)=0),"",其他分录!$F65)</f>
        <v/>
      </c>
      <c r="I5125" s="42" t="n">
        <f aca="false">IF($M5125="借",$O5125,0)</f>
        <v>0</v>
      </c>
      <c r="J5125" s="42" t="n">
        <f aca="false">IF($M5125="贷",$O5125,0)</f>
        <v>0</v>
      </c>
      <c r="K5125" s="48" t="str">
        <f aca="false">IF($H5125="","",其他分录!$H65)</f>
        <v/>
      </c>
      <c r="L5125" s="66"/>
      <c r="M5125" s="66" t="str">
        <f aca="false">IF($H5125="","","贷")</f>
        <v/>
      </c>
      <c r="N5125" s="66"/>
      <c r="O5125" s="67" t="n">
        <f aca="false">IF($H5125="",0,ROUND(N(其他分录!$G65),2))</f>
        <v>0</v>
      </c>
      <c r="P5125" s="64" t="str">
        <f aca="false">IF(AND($H5125&lt;&gt;"",ROUND($O5125,2)&lt;&gt;0),"有","")</f>
        <v/>
      </c>
    </row>
    <row r="5126" customFormat="false" ht="15" hidden="true" customHeight="false" outlineLevel="0" collapsed="false">
      <c r="A5126" s="53" t="str">
        <f aca="false">IF($H5126="","",ROW()-5)</f>
        <v/>
      </c>
      <c r="B5126" s="64" t="s">
        <v>39</v>
      </c>
      <c r="C5126" s="53" t="n">
        <v>66</v>
      </c>
      <c r="D5126" s="53" t="n">
        <v>1</v>
      </c>
      <c r="E5126" s="65" t="str">
        <f aca="false">IF($H5126="","",其他分录!$B66)</f>
        <v/>
      </c>
      <c r="F5126" s="55" t="str">
        <f aca="false">IF($H5126="","",其他分录!$C66)</f>
        <v/>
      </c>
      <c r="G5126" s="48" t="str">
        <f aca="false">IF($H5126="","",其他分录!$D66)</f>
        <v/>
      </c>
      <c r="H5126" s="10" t="str">
        <f aca="false">IF(OR(其他分录!$B66="",N(其他分录!$G66)=0),"",其他分录!$E66)</f>
        <v/>
      </c>
      <c r="I5126" s="42" t="n">
        <f aca="false">IF($M5126="借",$O5126,0)</f>
        <v>0</v>
      </c>
      <c r="J5126" s="42" t="n">
        <f aca="false">IF($M5126="贷",$O5126,0)</f>
        <v>0</v>
      </c>
      <c r="K5126" s="48" t="str">
        <f aca="false">IF($H5126="","",其他分录!$H66)</f>
        <v/>
      </c>
      <c r="L5126" s="66"/>
      <c r="M5126" s="66" t="str">
        <f aca="false">IF($H5126="","","借")</f>
        <v/>
      </c>
      <c r="N5126" s="66"/>
      <c r="O5126" s="67" t="n">
        <f aca="false">IF($H5126="",0,ROUND(N(其他分录!$G66),2))</f>
        <v>0</v>
      </c>
      <c r="P5126" s="64" t="str">
        <f aca="false">IF(AND($H5126&lt;&gt;"",ROUND($O5126,2)&lt;&gt;0),"有","")</f>
        <v/>
      </c>
    </row>
    <row r="5127" customFormat="false" ht="15" hidden="true" customHeight="false" outlineLevel="0" collapsed="false">
      <c r="A5127" s="53" t="str">
        <f aca="false">IF($H5127="","",ROW()-5)</f>
        <v/>
      </c>
      <c r="B5127" s="64" t="s">
        <v>39</v>
      </c>
      <c r="C5127" s="53" t="n">
        <v>66</v>
      </c>
      <c r="D5127" s="53" t="n">
        <v>2</v>
      </c>
      <c r="E5127" s="65" t="str">
        <f aca="false">IF($H5127="","",其他分录!$B66)</f>
        <v/>
      </c>
      <c r="F5127" s="55" t="str">
        <f aca="false">IF($H5127="","",其他分录!$C66)</f>
        <v/>
      </c>
      <c r="G5127" s="48" t="str">
        <f aca="false">IF($H5127="","",其他分录!$D66)</f>
        <v/>
      </c>
      <c r="H5127" s="10" t="str">
        <f aca="false">IF(OR(其他分录!$B66="",N(其他分录!$G66)=0),"",其他分录!$F66)</f>
        <v/>
      </c>
      <c r="I5127" s="42" t="n">
        <f aca="false">IF($M5127="借",$O5127,0)</f>
        <v>0</v>
      </c>
      <c r="J5127" s="42" t="n">
        <f aca="false">IF($M5127="贷",$O5127,0)</f>
        <v>0</v>
      </c>
      <c r="K5127" s="48" t="str">
        <f aca="false">IF($H5127="","",其他分录!$H66)</f>
        <v/>
      </c>
      <c r="L5127" s="66"/>
      <c r="M5127" s="66" t="str">
        <f aca="false">IF($H5127="","","贷")</f>
        <v/>
      </c>
      <c r="N5127" s="66"/>
      <c r="O5127" s="67" t="n">
        <f aca="false">IF($H5127="",0,ROUND(N(其他分录!$G66),2))</f>
        <v>0</v>
      </c>
      <c r="P5127" s="64" t="str">
        <f aca="false">IF(AND($H5127&lt;&gt;"",ROUND($O5127,2)&lt;&gt;0),"有","")</f>
        <v/>
      </c>
    </row>
    <row r="5128" customFormat="false" ht="15" hidden="true" customHeight="false" outlineLevel="0" collapsed="false">
      <c r="A5128" s="53" t="str">
        <f aca="false">IF($H5128="","",ROW()-5)</f>
        <v/>
      </c>
      <c r="B5128" s="64" t="s">
        <v>39</v>
      </c>
      <c r="C5128" s="53" t="n">
        <v>67</v>
      </c>
      <c r="D5128" s="53" t="n">
        <v>1</v>
      </c>
      <c r="E5128" s="65" t="str">
        <f aca="false">IF($H5128="","",其他分录!$B67)</f>
        <v/>
      </c>
      <c r="F5128" s="55" t="str">
        <f aca="false">IF($H5128="","",其他分录!$C67)</f>
        <v/>
      </c>
      <c r="G5128" s="48" t="str">
        <f aca="false">IF($H5128="","",其他分录!$D67)</f>
        <v/>
      </c>
      <c r="H5128" s="10" t="str">
        <f aca="false">IF(OR(其他分录!$B67="",N(其他分录!$G67)=0),"",其他分录!$E67)</f>
        <v/>
      </c>
      <c r="I5128" s="42" t="n">
        <f aca="false">IF($M5128="借",$O5128,0)</f>
        <v>0</v>
      </c>
      <c r="J5128" s="42" t="n">
        <f aca="false">IF($M5128="贷",$O5128,0)</f>
        <v>0</v>
      </c>
      <c r="K5128" s="48" t="str">
        <f aca="false">IF($H5128="","",其他分录!$H67)</f>
        <v/>
      </c>
      <c r="L5128" s="66"/>
      <c r="M5128" s="66" t="str">
        <f aca="false">IF($H5128="","","借")</f>
        <v/>
      </c>
      <c r="N5128" s="66"/>
      <c r="O5128" s="67" t="n">
        <f aca="false">IF($H5128="",0,ROUND(N(其他分录!$G67),2))</f>
        <v>0</v>
      </c>
      <c r="P5128" s="64" t="str">
        <f aca="false">IF(AND($H5128&lt;&gt;"",ROUND($O5128,2)&lt;&gt;0),"有","")</f>
        <v/>
      </c>
    </row>
    <row r="5129" customFormat="false" ht="15" hidden="true" customHeight="false" outlineLevel="0" collapsed="false">
      <c r="A5129" s="53" t="str">
        <f aca="false">IF($H5129="","",ROW()-5)</f>
        <v/>
      </c>
      <c r="B5129" s="64" t="s">
        <v>39</v>
      </c>
      <c r="C5129" s="53" t="n">
        <v>67</v>
      </c>
      <c r="D5129" s="53" t="n">
        <v>2</v>
      </c>
      <c r="E5129" s="65" t="str">
        <f aca="false">IF($H5129="","",其他分录!$B67)</f>
        <v/>
      </c>
      <c r="F5129" s="55" t="str">
        <f aca="false">IF($H5129="","",其他分录!$C67)</f>
        <v/>
      </c>
      <c r="G5129" s="48" t="str">
        <f aca="false">IF($H5129="","",其他分录!$D67)</f>
        <v/>
      </c>
      <c r="H5129" s="10" t="str">
        <f aca="false">IF(OR(其他分录!$B67="",N(其他分录!$G67)=0),"",其他分录!$F67)</f>
        <v/>
      </c>
      <c r="I5129" s="42" t="n">
        <f aca="false">IF($M5129="借",$O5129,0)</f>
        <v>0</v>
      </c>
      <c r="J5129" s="42" t="n">
        <f aca="false">IF($M5129="贷",$O5129,0)</f>
        <v>0</v>
      </c>
      <c r="K5129" s="48" t="str">
        <f aca="false">IF($H5129="","",其他分录!$H67)</f>
        <v/>
      </c>
      <c r="L5129" s="66"/>
      <c r="M5129" s="66" t="str">
        <f aca="false">IF($H5129="","","贷")</f>
        <v/>
      </c>
      <c r="N5129" s="66"/>
      <c r="O5129" s="67" t="n">
        <f aca="false">IF($H5129="",0,ROUND(N(其他分录!$G67),2))</f>
        <v>0</v>
      </c>
      <c r="P5129" s="64" t="str">
        <f aca="false">IF(AND($H5129&lt;&gt;"",ROUND($O5129,2)&lt;&gt;0),"有","")</f>
        <v/>
      </c>
    </row>
    <row r="5130" customFormat="false" ht="15" hidden="true" customHeight="false" outlineLevel="0" collapsed="false">
      <c r="A5130" s="53" t="str">
        <f aca="false">IF($H5130="","",ROW()-5)</f>
        <v/>
      </c>
      <c r="B5130" s="64" t="s">
        <v>39</v>
      </c>
      <c r="C5130" s="53" t="n">
        <v>68</v>
      </c>
      <c r="D5130" s="53" t="n">
        <v>1</v>
      </c>
      <c r="E5130" s="65" t="str">
        <f aca="false">IF($H5130="","",其他分录!$B68)</f>
        <v/>
      </c>
      <c r="F5130" s="55" t="str">
        <f aca="false">IF($H5130="","",其他分录!$C68)</f>
        <v/>
      </c>
      <c r="G5130" s="48" t="str">
        <f aca="false">IF($H5130="","",其他分录!$D68)</f>
        <v/>
      </c>
      <c r="H5130" s="10" t="str">
        <f aca="false">IF(OR(其他分录!$B68="",N(其他分录!$G68)=0),"",其他分录!$E68)</f>
        <v/>
      </c>
      <c r="I5130" s="42" t="n">
        <f aca="false">IF($M5130="借",$O5130,0)</f>
        <v>0</v>
      </c>
      <c r="J5130" s="42" t="n">
        <f aca="false">IF($M5130="贷",$O5130,0)</f>
        <v>0</v>
      </c>
      <c r="K5130" s="48" t="str">
        <f aca="false">IF($H5130="","",其他分录!$H68)</f>
        <v/>
      </c>
      <c r="L5130" s="66"/>
      <c r="M5130" s="66" t="str">
        <f aca="false">IF($H5130="","","借")</f>
        <v/>
      </c>
      <c r="N5130" s="66"/>
      <c r="O5130" s="67" t="n">
        <f aca="false">IF($H5130="",0,ROUND(N(其他分录!$G68),2))</f>
        <v>0</v>
      </c>
      <c r="P5130" s="64" t="str">
        <f aca="false">IF(AND($H5130&lt;&gt;"",ROUND($O5130,2)&lt;&gt;0),"有","")</f>
        <v/>
      </c>
    </row>
    <row r="5131" customFormat="false" ht="15" hidden="true" customHeight="false" outlineLevel="0" collapsed="false">
      <c r="A5131" s="53" t="str">
        <f aca="false">IF($H5131="","",ROW()-5)</f>
        <v/>
      </c>
      <c r="B5131" s="64" t="s">
        <v>39</v>
      </c>
      <c r="C5131" s="53" t="n">
        <v>68</v>
      </c>
      <c r="D5131" s="53" t="n">
        <v>2</v>
      </c>
      <c r="E5131" s="65" t="str">
        <f aca="false">IF($H5131="","",其他分录!$B68)</f>
        <v/>
      </c>
      <c r="F5131" s="55" t="str">
        <f aca="false">IF($H5131="","",其他分录!$C68)</f>
        <v/>
      </c>
      <c r="G5131" s="48" t="str">
        <f aca="false">IF($H5131="","",其他分录!$D68)</f>
        <v/>
      </c>
      <c r="H5131" s="10" t="str">
        <f aca="false">IF(OR(其他分录!$B68="",N(其他分录!$G68)=0),"",其他分录!$F68)</f>
        <v/>
      </c>
      <c r="I5131" s="42" t="n">
        <f aca="false">IF($M5131="借",$O5131,0)</f>
        <v>0</v>
      </c>
      <c r="J5131" s="42" t="n">
        <f aca="false">IF($M5131="贷",$O5131,0)</f>
        <v>0</v>
      </c>
      <c r="K5131" s="48" t="str">
        <f aca="false">IF($H5131="","",其他分录!$H68)</f>
        <v/>
      </c>
      <c r="L5131" s="66"/>
      <c r="M5131" s="66" t="str">
        <f aca="false">IF($H5131="","","贷")</f>
        <v/>
      </c>
      <c r="N5131" s="66"/>
      <c r="O5131" s="67" t="n">
        <f aca="false">IF($H5131="",0,ROUND(N(其他分录!$G68),2))</f>
        <v>0</v>
      </c>
      <c r="P5131" s="64" t="str">
        <f aca="false">IF(AND($H5131&lt;&gt;"",ROUND($O5131,2)&lt;&gt;0),"有","")</f>
        <v/>
      </c>
    </row>
    <row r="5132" customFormat="false" ht="15" hidden="true" customHeight="false" outlineLevel="0" collapsed="false">
      <c r="A5132" s="53" t="str">
        <f aca="false">IF($H5132="","",ROW()-5)</f>
        <v/>
      </c>
      <c r="B5132" s="64" t="s">
        <v>39</v>
      </c>
      <c r="C5132" s="53" t="n">
        <v>69</v>
      </c>
      <c r="D5132" s="53" t="n">
        <v>1</v>
      </c>
      <c r="E5132" s="65" t="str">
        <f aca="false">IF($H5132="","",其他分录!$B69)</f>
        <v/>
      </c>
      <c r="F5132" s="55" t="str">
        <f aca="false">IF($H5132="","",其他分录!$C69)</f>
        <v/>
      </c>
      <c r="G5132" s="48" t="str">
        <f aca="false">IF($H5132="","",其他分录!$D69)</f>
        <v/>
      </c>
      <c r="H5132" s="10" t="str">
        <f aca="false">IF(OR(其他分录!$B69="",N(其他分录!$G69)=0),"",其他分录!$E69)</f>
        <v/>
      </c>
      <c r="I5132" s="42" t="n">
        <f aca="false">IF($M5132="借",$O5132,0)</f>
        <v>0</v>
      </c>
      <c r="J5132" s="42" t="n">
        <f aca="false">IF($M5132="贷",$O5132,0)</f>
        <v>0</v>
      </c>
      <c r="K5132" s="48" t="str">
        <f aca="false">IF($H5132="","",其他分录!$H69)</f>
        <v/>
      </c>
      <c r="L5132" s="66"/>
      <c r="M5132" s="66" t="str">
        <f aca="false">IF($H5132="","","借")</f>
        <v/>
      </c>
      <c r="N5132" s="66"/>
      <c r="O5132" s="67" t="n">
        <f aca="false">IF($H5132="",0,ROUND(N(其他分录!$G69),2))</f>
        <v>0</v>
      </c>
      <c r="P5132" s="64" t="str">
        <f aca="false">IF(AND($H5132&lt;&gt;"",ROUND($O5132,2)&lt;&gt;0),"有","")</f>
        <v/>
      </c>
    </row>
    <row r="5133" customFormat="false" ht="15" hidden="true" customHeight="false" outlineLevel="0" collapsed="false">
      <c r="A5133" s="53" t="str">
        <f aca="false">IF($H5133="","",ROW()-5)</f>
        <v/>
      </c>
      <c r="B5133" s="64" t="s">
        <v>39</v>
      </c>
      <c r="C5133" s="53" t="n">
        <v>69</v>
      </c>
      <c r="D5133" s="53" t="n">
        <v>2</v>
      </c>
      <c r="E5133" s="65" t="str">
        <f aca="false">IF($H5133="","",其他分录!$B69)</f>
        <v/>
      </c>
      <c r="F5133" s="55" t="str">
        <f aca="false">IF($H5133="","",其他分录!$C69)</f>
        <v/>
      </c>
      <c r="G5133" s="48" t="str">
        <f aca="false">IF($H5133="","",其他分录!$D69)</f>
        <v/>
      </c>
      <c r="H5133" s="10" t="str">
        <f aca="false">IF(OR(其他分录!$B69="",N(其他分录!$G69)=0),"",其他分录!$F69)</f>
        <v/>
      </c>
      <c r="I5133" s="42" t="n">
        <f aca="false">IF($M5133="借",$O5133,0)</f>
        <v>0</v>
      </c>
      <c r="J5133" s="42" t="n">
        <f aca="false">IF($M5133="贷",$O5133,0)</f>
        <v>0</v>
      </c>
      <c r="K5133" s="48" t="str">
        <f aca="false">IF($H5133="","",其他分录!$H69)</f>
        <v/>
      </c>
      <c r="L5133" s="66"/>
      <c r="M5133" s="66" t="str">
        <f aca="false">IF($H5133="","","贷")</f>
        <v/>
      </c>
      <c r="N5133" s="66"/>
      <c r="O5133" s="67" t="n">
        <f aca="false">IF($H5133="",0,ROUND(N(其他分录!$G69),2))</f>
        <v>0</v>
      </c>
      <c r="P5133" s="64" t="str">
        <f aca="false">IF(AND($H5133&lt;&gt;"",ROUND($O5133,2)&lt;&gt;0),"有","")</f>
        <v/>
      </c>
    </row>
    <row r="5134" customFormat="false" ht="15" hidden="true" customHeight="false" outlineLevel="0" collapsed="false">
      <c r="A5134" s="53" t="str">
        <f aca="false">IF($H5134="","",ROW()-5)</f>
        <v/>
      </c>
      <c r="B5134" s="64" t="s">
        <v>39</v>
      </c>
      <c r="C5134" s="53" t="n">
        <v>70</v>
      </c>
      <c r="D5134" s="53" t="n">
        <v>1</v>
      </c>
      <c r="E5134" s="65" t="str">
        <f aca="false">IF($H5134="","",其他分录!$B70)</f>
        <v/>
      </c>
      <c r="F5134" s="55" t="str">
        <f aca="false">IF($H5134="","",其他分录!$C70)</f>
        <v/>
      </c>
      <c r="G5134" s="48" t="str">
        <f aca="false">IF($H5134="","",其他分录!$D70)</f>
        <v/>
      </c>
      <c r="H5134" s="10" t="str">
        <f aca="false">IF(OR(其他分录!$B70="",N(其他分录!$G70)=0),"",其他分录!$E70)</f>
        <v/>
      </c>
      <c r="I5134" s="42" t="n">
        <f aca="false">IF($M5134="借",$O5134,0)</f>
        <v>0</v>
      </c>
      <c r="J5134" s="42" t="n">
        <f aca="false">IF($M5134="贷",$O5134,0)</f>
        <v>0</v>
      </c>
      <c r="K5134" s="48" t="str">
        <f aca="false">IF($H5134="","",其他分录!$H70)</f>
        <v/>
      </c>
      <c r="L5134" s="66"/>
      <c r="M5134" s="66" t="str">
        <f aca="false">IF($H5134="","","借")</f>
        <v/>
      </c>
      <c r="N5134" s="66"/>
      <c r="O5134" s="67" t="n">
        <f aca="false">IF($H5134="",0,ROUND(N(其他分录!$G70),2))</f>
        <v>0</v>
      </c>
      <c r="P5134" s="64" t="str">
        <f aca="false">IF(AND($H5134&lt;&gt;"",ROUND($O5134,2)&lt;&gt;0),"有","")</f>
        <v/>
      </c>
    </row>
    <row r="5135" customFormat="false" ht="15" hidden="true" customHeight="false" outlineLevel="0" collapsed="false">
      <c r="A5135" s="53" t="str">
        <f aca="false">IF($H5135="","",ROW()-5)</f>
        <v/>
      </c>
      <c r="B5135" s="64" t="s">
        <v>39</v>
      </c>
      <c r="C5135" s="53" t="n">
        <v>70</v>
      </c>
      <c r="D5135" s="53" t="n">
        <v>2</v>
      </c>
      <c r="E5135" s="65" t="str">
        <f aca="false">IF($H5135="","",其他分录!$B70)</f>
        <v/>
      </c>
      <c r="F5135" s="55" t="str">
        <f aca="false">IF($H5135="","",其他分录!$C70)</f>
        <v/>
      </c>
      <c r="G5135" s="48" t="str">
        <f aca="false">IF($H5135="","",其他分录!$D70)</f>
        <v/>
      </c>
      <c r="H5135" s="10" t="str">
        <f aca="false">IF(OR(其他分录!$B70="",N(其他分录!$G70)=0),"",其他分录!$F70)</f>
        <v/>
      </c>
      <c r="I5135" s="42" t="n">
        <f aca="false">IF($M5135="借",$O5135,0)</f>
        <v>0</v>
      </c>
      <c r="J5135" s="42" t="n">
        <f aca="false">IF($M5135="贷",$O5135,0)</f>
        <v>0</v>
      </c>
      <c r="K5135" s="48" t="str">
        <f aca="false">IF($H5135="","",其他分录!$H70)</f>
        <v/>
      </c>
      <c r="L5135" s="66"/>
      <c r="M5135" s="66" t="str">
        <f aca="false">IF($H5135="","","贷")</f>
        <v/>
      </c>
      <c r="N5135" s="66"/>
      <c r="O5135" s="67" t="n">
        <f aca="false">IF($H5135="",0,ROUND(N(其他分录!$G70),2))</f>
        <v>0</v>
      </c>
      <c r="P5135" s="64" t="str">
        <f aca="false">IF(AND($H5135&lt;&gt;"",ROUND($O5135,2)&lt;&gt;0),"有","")</f>
        <v/>
      </c>
    </row>
    <row r="5136" customFormat="false" ht="15" hidden="true" customHeight="false" outlineLevel="0" collapsed="false">
      <c r="A5136" s="53" t="str">
        <f aca="false">IF($H5136="","",ROW()-5)</f>
        <v/>
      </c>
      <c r="B5136" s="64" t="s">
        <v>39</v>
      </c>
      <c r="C5136" s="53" t="n">
        <v>71</v>
      </c>
      <c r="D5136" s="53" t="n">
        <v>1</v>
      </c>
      <c r="E5136" s="65" t="str">
        <f aca="false">IF($H5136="","",其他分录!$B71)</f>
        <v/>
      </c>
      <c r="F5136" s="55" t="str">
        <f aca="false">IF($H5136="","",其他分录!$C71)</f>
        <v/>
      </c>
      <c r="G5136" s="48" t="str">
        <f aca="false">IF($H5136="","",其他分录!$D71)</f>
        <v/>
      </c>
      <c r="H5136" s="10" t="str">
        <f aca="false">IF(OR(其他分录!$B71="",N(其他分录!$G71)=0),"",其他分录!$E71)</f>
        <v/>
      </c>
      <c r="I5136" s="42" t="n">
        <f aca="false">IF($M5136="借",$O5136,0)</f>
        <v>0</v>
      </c>
      <c r="J5136" s="42" t="n">
        <f aca="false">IF($M5136="贷",$O5136,0)</f>
        <v>0</v>
      </c>
      <c r="K5136" s="48" t="str">
        <f aca="false">IF($H5136="","",其他分录!$H71)</f>
        <v/>
      </c>
      <c r="L5136" s="66"/>
      <c r="M5136" s="66" t="str">
        <f aca="false">IF($H5136="","","借")</f>
        <v/>
      </c>
      <c r="N5136" s="66"/>
      <c r="O5136" s="67" t="n">
        <f aca="false">IF($H5136="",0,ROUND(N(其他分录!$G71),2))</f>
        <v>0</v>
      </c>
      <c r="P5136" s="64" t="str">
        <f aca="false">IF(AND($H5136&lt;&gt;"",ROUND($O5136,2)&lt;&gt;0),"有","")</f>
        <v/>
      </c>
    </row>
    <row r="5137" customFormat="false" ht="15" hidden="true" customHeight="false" outlineLevel="0" collapsed="false">
      <c r="A5137" s="53" t="str">
        <f aca="false">IF($H5137="","",ROW()-5)</f>
        <v/>
      </c>
      <c r="B5137" s="64" t="s">
        <v>39</v>
      </c>
      <c r="C5137" s="53" t="n">
        <v>71</v>
      </c>
      <c r="D5137" s="53" t="n">
        <v>2</v>
      </c>
      <c r="E5137" s="65" t="str">
        <f aca="false">IF($H5137="","",其他分录!$B71)</f>
        <v/>
      </c>
      <c r="F5137" s="55" t="str">
        <f aca="false">IF($H5137="","",其他分录!$C71)</f>
        <v/>
      </c>
      <c r="G5137" s="48" t="str">
        <f aca="false">IF($H5137="","",其他分录!$D71)</f>
        <v/>
      </c>
      <c r="H5137" s="10" t="str">
        <f aca="false">IF(OR(其他分录!$B71="",N(其他分录!$G71)=0),"",其他分录!$F71)</f>
        <v/>
      </c>
      <c r="I5137" s="42" t="n">
        <f aca="false">IF($M5137="借",$O5137,0)</f>
        <v>0</v>
      </c>
      <c r="J5137" s="42" t="n">
        <f aca="false">IF($M5137="贷",$O5137,0)</f>
        <v>0</v>
      </c>
      <c r="K5137" s="48" t="str">
        <f aca="false">IF($H5137="","",其他分录!$H71)</f>
        <v/>
      </c>
      <c r="L5137" s="66"/>
      <c r="M5137" s="66" t="str">
        <f aca="false">IF($H5137="","","贷")</f>
        <v/>
      </c>
      <c r="N5137" s="66"/>
      <c r="O5137" s="67" t="n">
        <f aca="false">IF($H5137="",0,ROUND(N(其他分录!$G71),2))</f>
        <v>0</v>
      </c>
      <c r="P5137" s="64" t="str">
        <f aca="false">IF(AND($H5137&lt;&gt;"",ROUND($O5137,2)&lt;&gt;0),"有","")</f>
        <v/>
      </c>
    </row>
    <row r="5138" customFormat="false" ht="15" hidden="true" customHeight="false" outlineLevel="0" collapsed="false">
      <c r="A5138" s="53" t="str">
        <f aca="false">IF($H5138="","",ROW()-5)</f>
        <v/>
      </c>
      <c r="B5138" s="64" t="s">
        <v>39</v>
      </c>
      <c r="C5138" s="53" t="n">
        <v>72</v>
      </c>
      <c r="D5138" s="53" t="n">
        <v>1</v>
      </c>
      <c r="E5138" s="65" t="str">
        <f aca="false">IF($H5138="","",其他分录!$B72)</f>
        <v/>
      </c>
      <c r="F5138" s="55" t="str">
        <f aca="false">IF($H5138="","",其他分录!$C72)</f>
        <v/>
      </c>
      <c r="G5138" s="48" t="str">
        <f aca="false">IF($H5138="","",其他分录!$D72)</f>
        <v/>
      </c>
      <c r="H5138" s="10" t="str">
        <f aca="false">IF(OR(其他分录!$B72="",N(其他分录!$G72)=0),"",其他分录!$E72)</f>
        <v/>
      </c>
      <c r="I5138" s="42" t="n">
        <f aca="false">IF($M5138="借",$O5138,0)</f>
        <v>0</v>
      </c>
      <c r="J5138" s="42" t="n">
        <f aca="false">IF($M5138="贷",$O5138,0)</f>
        <v>0</v>
      </c>
      <c r="K5138" s="48" t="str">
        <f aca="false">IF($H5138="","",其他分录!$H72)</f>
        <v/>
      </c>
      <c r="L5138" s="66"/>
      <c r="M5138" s="66" t="str">
        <f aca="false">IF($H5138="","","借")</f>
        <v/>
      </c>
      <c r="N5138" s="66"/>
      <c r="O5138" s="67" t="n">
        <f aca="false">IF($H5138="",0,ROUND(N(其他分录!$G72),2))</f>
        <v>0</v>
      </c>
      <c r="P5138" s="64" t="str">
        <f aca="false">IF(AND($H5138&lt;&gt;"",ROUND($O5138,2)&lt;&gt;0),"有","")</f>
        <v/>
      </c>
    </row>
    <row r="5139" customFormat="false" ht="15" hidden="true" customHeight="false" outlineLevel="0" collapsed="false">
      <c r="A5139" s="53" t="str">
        <f aca="false">IF($H5139="","",ROW()-5)</f>
        <v/>
      </c>
      <c r="B5139" s="64" t="s">
        <v>39</v>
      </c>
      <c r="C5139" s="53" t="n">
        <v>72</v>
      </c>
      <c r="D5139" s="53" t="n">
        <v>2</v>
      </c>
      <c r="E5139" s="65" t="str">
        <f aca="false">IF($H5139="","",其他分录!$B72)</f>
        <v/>
      </c>
      <c r="F5139" s="55" t="str">
        <f aca="false">IF($H5139="","",其他分录!$C72)</f>
        <v/>
      </c>
      <c r="G5139" s="48" t="str">
        <f aca="false">IF($H5139="","",其他分录!$D72)</f>
        <v/>
      </c>
      <c r="H5139" s="10" t="str">
        <f aca="false">IF(OR(其他分录!$B72="",N(其他分录!$G72)=0),"",其他分录!$F72)</f>
        <v/>
      </c>
      <c r="I5139" s="42" t="n">
        <f aca="false">IF($M5139="借",$O5139,0)</f>
        <v>0</v>
      </c>
      <c r="J5139" s="42" t="n">
        <f aca="false">IF($M5139="贷",$O5139,0)</f>
        <v>0</v>
      </c>
      <c r="K5139" s="48" t="str">
        <f aca="false">IF($H5139="","",其他分录!$H72)</f>
        <v/>
      </c>
      <c r="L5139" s="66"/>
      <c r="M5139" s="66" t="str">
        <f aca="false">IF($H5139="","","贷")</f>
        <v/>
      </c>
      <c r="N5139" s="66"/>
      <c r="O5139" s="67" t="n">
        <f aca="false">IF($H5139="",0,ROUND(N(其他分录!$G72),2))</f>
        <v>0</v>
      </c>
      <c r="P5139" s="64" t="str">
        <f aca="false">IF(AND($H5139&lt;&gt;"",ROUND($O5139,2)&lt;&gt;0),"有","")</f>
        <v/>
      </c>
    </row>
    <row r="5140" customFormat="false" ht="15" hidden="true" customHeight="false" outlineLevel="0" collapsed="false">
      <c r="A5140" s="53" t="str">
        <f aca="false">IF($H5140="","",ROW()-5)</f>
        <v/>
      </c>
      <c r="B5140" s="64" t="s">
        <v>39</v>
      </c>
      <c r="C5140" s="53" t="n">
        <v>73</v>
      </c>
      <c r="D5140" s="53" t="n">
        <v>1</v>
      </c>
      <c r="E5140" s="65" t="str">
        <f aca="false">IF($H5140="","",其他分录!$B73)</f>
        <v/>
      </c>
      <c r="F5140" s="55" t="str">
        <f aca="false">IF($H5140="","",其他分录!$C73)</f>
        <v/>
      </c>
      <c r="G5140" s="48" t="str">
        <f aca="false">IF($H5140="","",其他分录!$D73)</f>
        <v/>
      </c>
      <c r="H5140" s="10" t="str">
        <f aca="false">IF(OR(其他分录!$B73="",N(其他分录!$G73)=0),"",其他分录!$E73)</f>
        <v/>
      </c>
      <c r="I5140" s="42" t="n">
        <f aca="false">IF($M5140="借",$O5140,0)</f>
        <v>0</v>
      </c>
      <c r="J5140" s="42" t="n">
        <f aca="false">IF($M5140="贷",$O5140,0)</f>
        <v>0</v>
      </c>
      <c r="K5140" s="48" t="str">
        <f aca="false">IF($H5140="","",其他分录!$H73)</f>
        <v/>
      </c>
      <c r="L5140" s="66"/>
      <c r="M5140" s="66" t="str">
        <f aca="false">IF($H5140="","","借")</f>
        <v/>
      </c>
      <c r="N5140" s="66"/>
      <c r="O5140" s="67" t="n">
        <f aca="false">IF($H5140="",0,ROUND(N(其他分录!$G73),2))</f>
        <v>0</v>
      </c>
      <c r="P5140" s="64" t="str">
        <f aca="false">IF(AND($H5140&lt;&gt;"",ROUND($O5140,2)&lt;&gt;0),"有","")</f>
        <v/>
      </c>
    </row>
    <row r="5141" customFormat="false" ht="15" hidden="true" customHeight="false" outlineLevel="0" collapsed="false">
      <c r="A5141" s="53" t="str">
        <f aca="false">IF($H5141="","",ROW()-5)</f>
        <v/>
      </c>
      <c r="B5141" s="64" t="s">
        <v>39</v>
      </c>
      <c r="C5141" s="53" t="n">
        <v>73</v>
      </c>
      <c r="D5141" s="53" t="n">
        <v>2</v>
      </c>
      <c r="E5141" s="65" t="str">
        <f aca="false">IF($H5141="","",其他分录!$B73)</f>
        <v/>
      </c>
      <c r="F5141" s="55" t="str">
        <f aca="false">IF($H5141="","",其他分录!$C73)</f>
        <v/>
      </c>
      <c r="G5141" s="48" t="str">
        <f aca="false">IF($H5141="","",其他分录!$D73)</f>
        <v/>
      </c>
      <c r="H5141" s="10" t="str">
        <f aca="false">IF(OR(其他分录!$B73="",N(其他分录!$G73)=0),"",其他分录!$F73)</f>
        <v/>
      </c>
      <c r="I5141" s="42" t="n">
        <f aca="false">IF($M5141="借",$O5141,0)</f>
        <v>0</v>
      </c>
      <c r="J5141" s="42" t="n">
        <f aca="false">IF($M5141="贷",$O5141,0)</f>
        <v>0</v>
      </c>
      <c r="K5141" s="48" t="str">
        <f aca="false">IF($H5141="","",其他分录!$H73)</f>
        <v/>
      </c>
      <c r="L5141" s="66"/>
      <c r="M5141" s="66" t="str">
        <f aca="false">IF($H5141="","","贷")</f>
        <v/>
      </c>
      <c r="N5141" s="66"/>
      <c r="O5141" s="67" t="n">
        <f aca="false">IF($H5141="",0,ROUND(N(其他分录!$G73),2))</f>
        <v>0</v>
      </c>
      <c r="P5141" s="64" t="str">
        <f aca="false">IF(AND($H5141&lt;&gt;"",ROUND($O5141,2)&lt;&gt;0),"有","")</f>
        <v/>
      </c>
    </row>
    <row r="5142" customFormat="false" ht="15" hidden="true" customHeight="false" outlineLevel="0" collapsed="false">
      <c r="A5142" s="53" t="str">
        <f aca="false">IF($H5142="","",ROW()-5)</f>
        <v/>
      </c>
      <c r="B5142" s="64" t="s">
        <v>39</v>
      </c>
      <c r="C5142" s="53" t="n">
        <v>74</v>
      </c>
      <c r="D5142" s="53" t="n">
        <v>1</v>
      </c>
      <c r="E5142" s="65" t="str">
        <f aca="false">IF($H5142="","",其他分录!$B74)</f>
        <v/>
      </c>
      <c r="F5142" s="55" t="str">
        <f aca="false">IF($H5142="","",其他分录!$C74)</f>
        <v/>
      </c>
      <c r="G5142" s="48" t="str">
        <f aca="false">IF($H5142="","",其他分录!$D74)</f>
        <v/>
      </c>
      <c r="H5142" s="10" t="str">
        <f aca="false">IF(OR(其他分录!$B74="",N(其他分录!$G74)=0),"",其他分录!$E74)</f>
        <v/>
      </c>
      <c r="I5142" s="42" t="n">
        <f aca="false">IF($M5142="借",$O5142,0)</f>
        <v>0</v>
      </c>
      <c r="J5142" s="42" t="n">
        <f aca="false">IF($M5142="贷",$O5142,0)</f>
        <v>0</v>
      </c>
      <c r="K5142" s="48" t="str">
        <f aca="false">IF($H5142="","",其他分录!$H74)</f>
        <v/>
      </c>
      <c r="L5142" s="66"/>
      <c r="M5142" s="66" t="str">
        <f aca="false">IF($H5142="","","借")</f>
        <v/>
      </c>
      <c r="N5142" s="66"/>
      <c r="O5142" s="67" t="n">
        <f aca="false">IF($H5142="",0,ROUND(N(其他分录!$G74),2))</f>
        <v>0</v>
      </c>
      <c r="P5142" s="64" t="str">
        <f aca="false">IF(AND($H5142&lt;&gt;"",ROUND($O5142,2)&lt;&gt;0),"有","")</f>
        <v/>
      </c>
    </row>
    <row r="5143" customFormat="false" ht="15" hidden="true" customHeight="false" outlineLevel="0" collapsed="false">
      <c r="A5143" s="53" t="str">
        <f aca="false">IF($H5143="","",ROW()-5)</f>
        <v/>
      </c>
      <c r="B5143" s="64" t="s">
        <v>39</v>
      </c>
      <c r="C5143" s="53" t="n">
        <v>74</v>
      </c>
      <c r="D5143" s="53" t="n">
        <v>2</v>
      </c>
      <c r="E5143" s="65" t="str">
        <f aca="false">IF($H5143="","",其他分录!$B74)</f>
        <v/>
      </c>
      <c r="F5143" s="55" t="str">
        <f aca="false">IF($H5143="","",其他分录!$C74)</f>
        <v/>
      </c>
      <c r="G5143" s="48" t="str">
        <f aca="false">IF($H5143="","",其他分录!$D74)</f>
        <v/>
      </c>
      <c r="H5143" s="10" t="str">
        <f aca="false">IF(OR(其他分录!$B74="",N(其他分录!$G74)=0),"",其他分录!$F74)</f>
        <v/>
      </c>
      <c r="I5143" s="42" t="n">
        <f aca="false">IF($M5143="借",$O5143,0)</f>
        <v>0</v>
      </c>
      <c r="J5143" s="42" t="n">
        <f aca="false">IF($M5143="贷",$O5143,0)</f>
        <v>0</v>
      </c>
      <c r="K5143" s="48" t="str">
        <f aca="false">IF($H5143="","",其他分录!$H74)</f>
        <v/>
      </c>
      <c r="L5143" s="66"/>
      <c r="M5143" s="66" t="str">
        <f aca="false">IF($H5143="","","贷")</f>
        <v/>
      </c>
      <c r="N5143" s="66"/>
      <c r="O5143" s="67" t="n">
        <f aca="false">IF($H5143="",0,ROUND(N(其他分录!$G74),2))</f>
        <v>0</v>
      </c>
      <c r="P5143" s="64" t="str">
        <f aca="false">IF(AND($H5143&lt;&gt;"",ROUND($O5143,2)&lt;&gt;0),"有","")</f>
        <v/>
      </c>
    </row>
    <row r="5144" customFormat="false" ht="15" hidden="true" customHeight="false" outlineLevel="0" collapsed="false">
      <c r="A5144" s="53" t="str">
        <f aca="false">IF($H5144="","",ROW()-5)</f>
        <v/>
      </c>
      <c r="B5144" s="64" t="s">
        <v>39</v>
      </c>
      <c r="C5144" s="53" t="n">
        <v>75</v>
      </c>
      <c r="D5144" s="53" t="n">
        <v>1</v>
      </c>
      <c r="E5144" s="65" t="str">
        <f aca="false">IF($H5144="","",其他分录!$B75)</f>
        <v/>
      </c>
      <c r="F5144" s="55" t="str">
        <f aca="false">IF($H5144="","",其他分录!$C75)</f>
        <v/>
      </c>
      <c r="G5144" s="48" t="str">
        <f aca="false">IF($H5144="","",其他分录!$D75)</f>
        <v/>
      </c>
      <c r="H5144" s="10" t="str">
        <f aca="false">IF(OR(其他分录!$B75="",N(其他分录!$G75)=0),"",其他分录!$E75)</f>
        <v/>
      </c>
      <c r="I5144" s="42" t="n">
        <f aca="false">IF($M5144="借",$O5144,0)</f>
        <v>0</v>
      </c>
      <c r="J5144" s="42" t="n">
        <f aca="false">IF($M5144="贷",$O5144,0)</f>
        <v>0</v>
      </c>
      <c r="K5144" s="48" t="str">
        <f aca="false">IF($H5144="","",其他分录!$H75)</f>
        <v/>
      </c>
      <c r="L5144" s="66"/>
      <c r="M5144" s="66" t="str">
        <f aca="false">IF($H5144="","","借")</f>
        <v/>
      </c>
      <c r="N5144" s="66"/>
      <c r="O5144" s="67" t="n">
        <f aca="false">IF($H5144="",0,ROUND(N(其他分录!$G75),2))</f>
        <v>0</v>
      </c>
      <c r="P5144" s="64" t="str">
        <f aca="false">IF(AND($H5144&lt;&gt;"",ROUND($O5144,2)&lt;&gt;0),"有","")</f>
        <v/>
      </c>
    </row>
    <row r="5145" customFormat="false" ht="15" hidden="true" customHeight="false" outlineLevel="0" collapsed="false">
      <c r="A5145" s="53" t="str">
        <f aca="false">IF($H5145="","",ROW()-5)</f>
        <v/>
      </c>
      <c r="B5145" s="64" t="s">
        <v>39</v>
      </c>
      <c r="C5145" s="53" t="n">
        <v>75</v>
      </c>
      <c r="D5145" s="53" t="n">
        <v>2</v>
      </c>
      <c r="E5145" s="65" t="str">
        <f aca="false">IF($H5145="","",其他分录!$B75)</f>
        <v/>
      </c>
      <c r="F5145" s="55" t="str">
        <f aca="false">IF($H5145="","",其他分录!$C75)</f>
        <v/>
      </c>
      <c r="G5145" s="48" t="str">
        <f aca="false">IF($H5145="","",其他分录!$D75)</f>
        <v/>
      </c>
      <c r="H5145" s="10" t="str">
        <f aca="false">IF(OR(其他分录!$B75="",N(其他分录!$G75)=0),"",其他分录!$F75)</f>
        <v/>
      </c>
      <c r="I5145" s="42" t="n">
        <f aca="false">IF($M5145="借",$O5145,0)</f>
        <v>0</v>
      </c>
      <c r="J5145" s="42" t="n">
        <f aca="false">IF($M5145="贷",$O5145,0)</f>
        <v>0</v>
      </c>
      <c r="K5145" s="48" t="str">
        <f aca="false">IF($H5145="","",其他分录!$H75)</f>
        <v/>
      </c>
      <c r="L5145" s="66"/>
      <c r="M5145" s="66" t="str">
        <f aca="false">IF($H5145="","","贷")</f>
        <v/>
      </c>
      <c r="N5145" s="66"/>
      <c r="O5145" s="67" t="n">
        <f aca="false">IF($H5145="",0,ROUND(N(其他分录!$G75),2))</f>
        <v>0</v>
      </c>
      <c r="P5145" s="64" t="str">
        <f aca="false">IF(AND($H5145&lt;&gt;"",ROUND($O5145,2)&lt;&gt;0),"有","")</f>
        <v/>
      </c>
    </row>
    <row r="5146" customFormat="false" ht="15" hidden="true" customHeight="false" outlineLevel="0" collapsed="false">
      <c r="A5146" s="53" t="str">
        <f aca="false">IF($H5146="","",ROW()-5)</f>
        <v/>
      </c>
      <c r="B5146" s="64" t="s">
        <v>39</v>
      </c>
      <c r="C5146" s="53" t="n">
        <v>76</v>
      </c>
      <c r="D5146" s="53" t="n">
        <v>1</v>
      </c>
      <c r="E5146" s="65" t="str">
        <f aca="false">IF($H5146="","",其他分录!$B76)</f>
        <v/>
      </c>
      <c r="F5146" s="55" t="str">
        <f aca="false">IF($H5146="","",其他分录!$C76)</f>
        <v/>
      </c>
      <c r="G5146" s="48" t="str">
        <f aca="false">IF($H5146="","",其他分录!$D76)</f>
        <v/>
      </c>
      <c r="H5146" s="10" t="str">
        <f aca="false">IF(OR(其他分录!$B76="",N(其他分录!$G76)=0),"",其他分录!$E76)</f>
        <v/>
      </c>
      <c r="I5146" s="42" t="n">
        <f aca="false">IF($M5146="借",$O5146,0)</f>
        <v>0</v>
      </c>
      <c r="J5146" s="42" t="n">
        <f aca="false">IF($M5146="贷",$O5146,0)</f>
        <v>0</v>
      </c>
      <c r="K5146" s="48" t="str">
        <f aca="false">IF($H5146="","",其他分录!$H76)</f>
        <v/>
      </c>
      <c r="L5146" s="66"/>
      <c r="M5146" s="66" t="str">
        <f aca="false">IF($H5146="","","借")</f>
        <v/>
      </c>
      <c r="N5146" s="66"/>
      <c r="O5146" s="67" t="n">
        <f aca="false">IF($H5146="",0,ROUND(N(其他分录!$G76),2))</f>
        <v>0</v>
      </c>
      <c r="P5146" s="64" t="str">
        <f aca="false">IF(AND($H5146&lt;&gt;"",ROUND($O5146,2)&lt;&gt;0),"有","")</f>
        <v/>
      </c>
    </row>
    <row r="5147" customFormat="false" ht="15" hidden="true" customHeight="false" outlineLevel="0" collapsed="false">
      <c r="A5147" s="53" t="str">
        <f aca="false">IF($H5147="","",ROW()-5)</f>
        <v/>
      </c>
      <c r="B5147" s="64" t="s">
        <v>39</v>
      </c>
      <c r="C5147" s="53" t="n">
        <v>76</v>
      </c>
      <c r="D5147" s="53" t="n">
        <v>2</v>
      </c>
      <c r="E5147" s="65" t="str">
        <f aca="false">IF($H5147="","",其他分录!$B76)</f>
        <v/>
      </c>
      <c r="F5147" s="55" t="str">
        <f aca="false">IF($H5147="","",其他分录!$C76)</f>
        <v/>
      </c>
      <c r="G5147" s="48" t="str">
        <f aca="false">IF($H5147="","",其他分录!$D76)</f>
        <v/>
      </c>
      <c r="H5147" s="10" t="str">
        <f aca="false">IF(OR(其他分录!$B76="",N(其他分录!$G76)=0),"",其他分录!$F76)</f>
        <v/>
      </c>
      <c r="I5147" s="42" t="n">
        <f aca="false">IF($M5147="借",$O5147,0)</f>
        <v>0</v>
      </c>
      <c r="J5147" s="42" t="n">
        <f aca="false">IF($M5147="贷",$O5147,0)</f>
        <v>0</v>
      </c>
      <c r="K5147" s="48" t="str">
        <f aca="false">IF($H5147="","",其他分录!$H76)</f>
        <v/>
      </c>
      <c r="L5147" s="66"/>
      <c r="M5147" s="66" t="str">
        <f aca="false">IF($H5147="","","贷")</f>
        <v/>
      </c>
      <c r="N5147" s="66"/>
      <c r="O5147" s="67" t="n">
        <f aca="false">IF($H5147="",0,ROUND(N(其他分录!$G76),2))</f>
        <v>0</v>
      </c>
      <c r="P5147" s="64" t="str">
        <f aca="false">IF(AND($H5147&lt;&gt;"",ROUND($O5147,2)&lt;&gt;0),"有","")</f>
        <v/>
      </c>
    </row>
    <row r="5148" customFormat="false" ht="15" hidden="true" customHeight="false" outlineLevel="0" collapsed="false">
      <c r="A5148" s="53" t="str">
        <f aca="false">IF($H5148="","",ROW()-5)</f>
        <v/>
      </c>
      <c r="B5148" s="64" t="s">
        <v>39</v>
      </c>
      <c r="C5148" s="53" t="n">
        <v>77</v>
      </c>
      <c r="D5148" s="53" t="n">
        <v>1</v>
      </c>
      <c r="E5148" s="65" t="str">
        <f aca="false">IF($H5148="","",其他分录!$B77)</f>
        <v/>
      </c>
      <c r="F5148" s="55" t="str">
        <f aca="false">IF($H5148="","",其他分录!$C77)</f>
        <v/>
      </c>
      <c r="G5148" s="48" t="str">
        <f aca="false">IF($H5148="","",其他分录!$D77)</f>
        <v/>
      </c>
      <c r="H5148" s="10" t="str">
        <f aca="false">IF(OR(其他分录!$B77="",N(其他分录!$G77)=0),"",其他分录!$E77)</f>
        <v/>
      </c>
      <c r="I5148" s="42" t="n">
        <f aca="false">IF($M5148="借",$O5148,0)</f>
        <v>0</v>
      </c>
      <c r="J5148" s="42" t="n">
        <f aca="false">IF($M5148="贷",$O5148,0)</f>
        <v>0</v>
      </c>
      <c r="K5148" s="48" t="str">
        <f aca="false">IF($H5148="","",其他分录!$H77)</f>
        <v/>
      </c>
      <c r="L5148" s="66"/>
      <c r="M5148" s="66" t="str">
        <f aca="false">IF($H5148="","","借")</f>
        <v/>
      </c>
      <c r="N5148" s="66"/>
      <c r="O5148" s="67" t="n">
        <f aca="false">IF($H5148="",0,ROUND(N(其他分录!$G77),2))</f>
        <v>0</v>
      </c>
      <c r="P5148" s="64" t="str">
        <f aca="false">IF(AND($H5148&lt;&gt;"",ROUND($O5148,2)&lt;&gt;0),"有","")</f>
        <v/>
      </c>
    </row>
    <row r="5149" customFormat="false" ht="15" hidden="true" customHeight="false" outlineLevel="0" collapsed="false">
      <c r="A5149" s="53" t="str">
        <f aca="false">IF($H5149="","",ROW()-5)</f>
        <v/>
      </c>
      <c r="B5149" s="64" t="s">
        <v>39</v>
      </c>
      <c r="C5149" s="53" t="n">
        <v>77</v>
      </c>
      <c r="D5149" s="53" t="n">
        <v>2</v>
      </c>
      <c r="E5149" s="65" t="str">
        <f aca="false">IF($H5149="","",其他分录!$B77)</f>
        <v/>
      </c>
      <c r="F5149" s="55" t="str">
        <f aca="false">IF($H5149="","",其他分录!$C77)</f>
        <v/>
      </c>
      <c r="G5149" s="48" t="str">
        <f aca="false">IF($H5149="","",其他分录!$D77)</f>
        <v/>
      </c>
      <c r="H5149" s="10" t="str">
        <f aca="false">IF(OR(其他分录!$B77="",N(其他分录!$G77)=0),"",其他分录!$F77)</f>
        <v/>
      </c>
      <c r="I5149" s="42" t="n">
        <f aca="false">IF($M5149="借",$O5149,0)</f>
        <v>0</v>
      </c>
      <c r="J5149" s="42" t="n">
        <f aca="false">IF($M5149="贷",$O5149,0)</f>
        <v>0</v>
      </c>
      <c r="K5149" s="48" t="str">
        <f aca="false">IF($H5149="","",其他分录!$H77)</f>
        <v/>
      </c>
      <c r="L5149" s="66"/>
      <c r="M5149" s="66" t="str">
        <f aca="false">IF($H5149="","","贷")</f>
        <v/>
      </c>
      <c r="N5149" s="66"/>
      <c r="O5149" s="67" t="n">
        <f aca="false">IF($H5149="",0,ROUND(N(其他分录!$G77),2))</f>
        <v>0</v>
      </c>
      <c r="P5149" s="64" t="str">
        <f aca="false">IF(AND($H5149&lt;&gt;"",ROUND($O5149,2)&lt;&gt;0),"有","")</f>
        <v/>
      </c>
    </row>
    <row r="5150" customFormat="false" ht="15" hidden="true" customHeight="false" outlineLevel="0" collapsed="false">
      <c r="A5150" s="53" t="str">
        <f aca="false">IF($H5150="","",ROW()-5)</f>
        <v/>
      </c>
      <c r="B5150" s="64" t="s">
        <v>39</v>
      </c>
      <c r="C5150" s="53" t="n">
        <v>78</v>
      </c>
      <c r="D5150" s="53" t="n">
        <v>1</v>
      </c>
      <c r="E5150" s="65" t="str">
        <f aca="false">IF($H5150="","",其他分录!$B78)</f>
        <v/>
      </c>
      <c r="F5150" s="55" t="str">
        <f aca="false">IF($H5150="","",其他分录!$C78)</f>
        <v/>
      </c>
      <c r="G5150" s="48" t="str">
        <f aca="false">IF($H5150="","",其他分录!$D78)</f>
        <v/>
      </c>
      <c r="H5150" s="10" t="str">
        <f aca="false">IF(OR(其他分录!$B78="",N(其他分录!$G78)=0),"",其他分录!$E78)</f>
        <v/>
      </c>
      <c r="I5150" s="42" t="n">
        <f aca="false">IF($M5150="借",$O5150,0)</f>
        <v>0</v>
      </c>
      <c r="J5150" s="42" t="n">
        <f aca="false">IF($M5150="贷",$O5150,0)</f>
        <v>0</v>
      </c>
      <c r="K5150" s="48" t="str">
        <f aca="false">IF($H5150="","",其他分录!$H78)</f>
        <v/>
      </c>
      <c r="L5150" s="66"/>
      <c r="M5150" s="66" t="str">
        <f aca="false">IF($H5150="","","借")</f>
        <v/>
      </c>
      <c r="N5150" s="66"/>
      <c r="O5150" s="67" t="n">
        <f aca="false">IF($H5150="",0,ROUND(N(其他分录!$G78),2))</f>
        <v>0</v>
      </c>
      <c r="P5150" s="64" t="str">
        <f aca="false">IF(AND($H5150&lt;&gt;"",ROUND($O5150,2)&lt;&gt;0),"有","")</f>
        <v/>
      </c>
    </row>
    <row r="5151" customFormat="false" ht="15" hidden="true" customHeight="false" outlineLevel="0" collapsed="false">
      <c r="A5151" s="53" t="str">
        <f aca="false">IF($H5151="","",ROW()-5)</f>
        <v/>
      </c>
      <c r="B5151" s="64" t="s">
        <v>39</v>
      </c>
      <c r="C5151" s="53" t="n">
        <v>78</v>
      </c>
      <c r="D5151" s="53" t="n">
        <v>2</v>
      </c>
      <c r="E5151" s="65" t="str">
        <f aca="false">IF($H5151="","",其他分录!$B78)</f>
        <v/>
      </c>
      <c r="F5151" s="55" t="str">
        <f aca="false">IF($H5151="","",其他分录!$C78)</f>
        <v/>
      </c>
      <c r="G5151" s="48" t="str">
        <f aca="false">IF($H5151="","",其他分录!$D78)</f>
        <v/>
      </c>
      <c r="H5151" s="10" t="str">
        <f aca="false">IF(OR(其他分录!$B78="",N(其他分录!$G78)=0),"",其他分录!$F78)</f>
        <v/>
      </c>
      <c r="I5151" s="42" t="n">
        <f aca="false">IF($M5151="借",$O5151,0)</f>
        <v>0</v>
      </c>
      <c r="J5151" s="42" t="n">
        <f aca="false">IF($M5151="贷",$O5151,0)</f>
        <v>0</v>
      </c>
      <c r="K5151" s="48" t="str">
        <f aca="false">IF($H5151="","",其他分录!$H78)</f>
        <v/>
      </c>
      <c r="L5151" s="66"/>
      <c r="M5151" s="66" t="str">
        <f aca="false">IF($H5151="","","贷")</f>
        <v/>
      </c>
      <c r="N5151" s="66"/>
      <c r="O5151" s="67" t="n">
        <f aca="false">IF($H5151="",0,ROUND(N(其他分录!$G78),2))</f>
        <v>0</v>
      </c>
      <c r="P5151" s="64" t="str">
        <f aca="false">IF(AND($H5151&lt;&gt;"",ROUND($O5151,2)&lt;&gt;0),"有","")</f>
        <v/>
      </c>
    </row>
    <row r="5152" customFormat="false" ht="15" hidden="true" customHeight="false" outlineLevel="0" collapsed="false">
      <c r="A5152" s="53" t="str">
        <f aca="false">IF($H5152="","",ROW()-5)</f>
        <v/>
      </c>
      <c r="B5152" s="64" t="s">
        <v>39</v>
      </c>
      <c r="C5152" s="53" t="n">
        <v>79</v>
      </c>
      <c r="D5152" s="53" t="n">
        <v>1</v>
      </c>
      <c r="E5152" s="65" t="str">
        <f aca="false">IF($H5152="","",其他分录!$B79)</f>
        <v/>
      </c>
      <c r="F5152" s="55" t="str">
        <f aca="false">IF($H5152="","",其他分录!$C79)</f>
        <v/>
      </c>
      <c r="G5152" s="48" t="str">
        <f aca="false">IF($H5152="","",其他分录!$D79)</f>
        <v/>
      </c>
      <c r="H5152" s="10" t="str">
        <f aca="false">IF(OR(其他分录!$B79="",N(其他分录!$G79)=0),"",其他分录!$E79)</f>
        <v/>
      </c>
      <c r="I5152" s="42" t="n">
        <f aca="false">IF($M5152="借",$O5152,0)</f>
        <v>0</v>
      </c>
      <c r="J5152" s="42" t="n">
        <f aca="false">IF($M5152="贷",$O5152,0)</f>
        <v>0</v>
      </c>
      <c r="K5152" s="48" t="str">
        <f aca="false">IF($H5152="","",其他分录!$H79)</f>
        <v/>
      </c>
      <c r="L5152" s="66"/>
      <c r="M5152" s="66" t="str">
        <f aca="false">IF($H5152="","","借")</f>
        <v/>
      </c>
      <c r="N5152" s="66"/>
      <c r="O5152" s="67" t="n">
        <f aca="false">IF($H5152="",0,ROUND(N(其他分录!$G79),2))</f>
        <v>0</v>
      </c>
      <c r="P5152" s="64" t="str">
        <f aca="false">IF(AND($H5152&lt;&gt;"",ROUND($O5152,2)&lt;&gt;0),"有","")</f>
        <v/>
      </c>
    </row>
    <row r="5153" customFormat="false" ht="15" hidden="true" customHeight="false" outlineLevel="0" collapsed="false">
      <c r="A5153" s="53" t="str">
        <f aca="false">IF($H5153="","",ROW()-5)</f>
        <v/>
      </c>
      <c r="B5153" s="64" t="s">
        <v>39</v>
      </c>
      <c r="C5153" s="53" t="n">
        <v>79</v>
      </c>
      <c r="D5153" s="53" t="n">
        <v>2</v>
      </c>
      <c r="E5153" s="65" t="str">
        <f aca="false">IF($H5153="","",其他分录!$B79)</f>
        <v/>
      </c>
      <c r="F5153" s="55" t="str">
        <f aca="false">IF($H5153="","",其他分录!$C79)</f>
        <v/>
      </c>
      <c r="G5153" s="48" t="str">
        <f aca="false">IF($H5153="","",其他分录!$D79)</f>
        <v/>
      </c>
      <c r="H5153" s="10" t="str">
        <f aca="false">IF(OR(其他分录!$B79="",N(其他分录!$G79)=0),"",其他分录!$F79)</f>
        <v/>
      </c>
      <c r="I5153" s="42" t="n">
        <f aca="false">IF($M5153="借",$O5153,0)</f>
        <v>0</v>
      </c>
      <c r="J5153" s="42" t="n">
        <f aca="false">IF($M5153="贷",$O5153,0)</f>
        <v>0</v>
      </c>
      <c r="K5153" s="48" t="str">
        <f aca="false">IF($H5153="","",其他分录!$H79)</f>
        <v/>
      </c>
      <c r="L5153" s="66"/>
      <c r="M5153" s="66" t="str">
        <f aca="false">IF($H5153="","","贷")</f>
        <v/>
      </c>
      <c r="N5153" s="66"/>
      <c r="O5153" s="67" t="n">
        <f aca="false">IF($H5153="",0,ROUND(N(其他分录!$G79),2))</f>
        <v>0</v>
      </c>
      <c r="P5153" s="64" t="str">
        <f aca="false">IF(AND($H5153&lt;&gt;"",ROUND($O5153,2)&lt;&gt;0),"有","")</f>
        <v/>
      </c>
    </row>
    <row r="5154" customFormat="false" ht="15" hidden="true" customHeight="false" outlineLevel="0" collapsed="false">
      <c r="A5154" s="53" t="str">
        <f aca="false">IF($H5154="","",ROW()-5)</f>
        <v/>
      </c>
      <c r="B5154" s="64" t="s">
        <v>39</v>
      </c>
      <c r="C5154" s="53" t="n">
        <v>80</v>
      </c>
      <c r="D5154" s="53" t="n">
        <v>1</v>
      </c>
      <c r="E5154" s="65" t="str">
        <f aca="false">IF($H5154="","",其他分录!$B80)</f>
        <v/>
      </c>
      <c r="F5154" s="55" t="str">
        <f aca="false">IF($H5154="","",其他分录!$C80)</f>
        <v/>
      </c>
      <c r="G5154" s="48" t="str">
        <f aca="false">IF($H5154="","",其他分录!$D80)</f>
        <v/>
      </c>
      <c r="H5154" s="10" t="str">
        <f aca="false">IF(OR(其他分录!$B80="",N(其他分录!$G80)=0),"",其他分录!$E80)</f>
        <v/>
      </c>
      <c r="I5154" s="42" t="n">
        <f aca="false">IF($M5154="借",$O5154,0)</f>
        <v>0</v>
      </c>
      <c r="J5154" s="42" t="n">
        <f aca="false">IF($M5154="贷",$O5154,0)</f>
        <v>0</v>
      </c>
      <c r="K5154" s="48" t="str">
        <f aca="false">IF($H5154="","",其他分录!$H80)</f>
        <v/>
      </c>
      <c r="L5154" s="66"/>
      <c r="M5154" s="66" t="str">
        <f aca="false">IF($H5154="","","借")</f>
        <v/>
      </c>
      <c r="N5154" s="66"/>
      <c r="O5154" s="67" t="n">
        <f aca="false">IF($H5154="",0,ROUND(N(其他分录!$G80),2))</f>
        <v>0</v>
      </c>
      <c r="P5154" s="64" t="str">
        <f aca="false">IF(AND($H5154&lt;&gt;"",ROUND($O5154,2)&lt;&gt;0),"有","")</f>
        <v/>
      </c>
    </row>
    <row r="5155" customFormat="false" ht="15" hidden="true" customHeight="false" outlineLevel="0" collapsed="false">
      <c r="A5155" s="53" t="str">
        <f aca="false">IF($H5155="","",ROW()-5)</f>
        <v/>
      </c>
      <c r="B5155" s="64" t="s">
        <v>39</v>
      </c>
      <c r="C5155" s="53" t="n">
        <v>80</v>
      </c>
      <c r="D5155" s="53" t="n">
        <v>2</v>
      </c>
      <c r="E5155" s="65" t="str">
        <f aca="false">IF($H5155="","",其他分录!$B80)</f>
        <v/>
      </c>
      <c r="F5155" s="55" t="str">
        <f aca="false">IF($H5155="","",其他分录!$C80)</f>
        <v/>
      </c>
      <c r="G5155" s="48" t="str">
        <f aca="false">IF($H5155="","",其他分录!$D80)</f>
        <v/>
      </c>
      <c r="H5155" s="10" t="str">
        <f aca="false">IF(OR(其他分录!$B80="",N(其他分录!$G80)=0),"",其他分录!$F80)</f>
        <v/>
      </c>
      <c r="I5155" s="42" t="n">
        <f aca="false">IF($M5155="借",$O5155,0)</f>
        <v>0</v>
      </c>
      <c r="J5155" s="42" t="n">
        <f aca="false">IF($M5155="贷",$O5155,0)</f>
        <v>0</v>
      </c>
      <c r="K5155" s="48" t="str">
        <f aca="false">IF($H5155="","",其他分录!$H80)</f>
        <v/>
      </c>
      <c r="L5155" s="66"/>
      <c r="M5155" s="66" t="str">
        <f aca="false">IF($H5155="","","贷")</f>
        <v/>
      </c>
      <c r="N5155" s="66"/>
      <c r="O5155" s="67" t="n">
        <f aca="false">IF($H5155="",0,ROUND(N(其他分录!$G80),2))</f>
        <v>0</v>
      </c>
      <c r="P5155" s="64" t="str">
        <f aca="false">IF(AND($H5155&lt;&gt;"",ROUND($O5155,2)&lt;&gt;0),"有","")</f>
        <v/>
      </c>
    </row>
    <row r="5156" customFormat="false" ht="15" hidden="true" customHeight="false" outlineLevel="0" collapsed="false">
      <c r="A5156" s="53" t="str">
        <f aca="false">IF($H5156="","",ROW()-5)</f>
        <v/>
      </c>
      <c r="B5156" s="64" t="s">
        <v>39</v>
      </c>
      <c r="C5156" s="53" t="n">
        <v>81</v>
      </c>
      <c r="D5156" s="53" t="n">
        <v>1</v>
      </c>
      <c r="E5156" s="65" t="str">
        <f aca="false">IF($H5156="","",其他分录!$B81)</f>
        <v/>
      </c>
      <c r="F5156" s="55" t="str">
        <f aca="false">IF($H5156="","",其他分录!$C81)</f>
        <v/>
      </c>
      <c r="G5156" s="48" t="str">
        <f aca="false">IF($H5156="","",其他分录!$D81)</f>
        <v/>
      </c>
      <c r="H5156" s="10" t="str">
        <f aca="false">IF(OR(其他分录!$B81="",N(其他分录!$G81)=0),"",其他分录!$E81)</f>
        <v/>
      </c>
      <c r="I5156" s="42" t="n">
        <f aca="false">IF($M5156="借",$O5156,0)</f>
        <v>0</v>
      </c>
      <c r="J5156" s="42" t="n">
        <f aca="false">IF($M5156="贷",$O5156,0)</f>
        <v>0</v>
      </c>
      <c r="K5156" s="48" t="str">
        <f aca="false">IF($H5156="","",其他分录!$H81)</f>
        <v/>
      </c>
      <c r="L5156" s="66"/>
      <c r="M5156" s="66" t="str">
        <f aca="false">IF($H5156="","","借")</f>
        <v/>
      </c>
      <c r="N5156" s="66"/>
      <c r="O5156" s="67" t="n">
        <f aca="false">IF($H5156="",0,ROUND(N(其他分录!$G81),2))</f>
        <v>0</v>
      </c>
      <c r="P5156" s="64" t="str">
        <f aca="false">IF(AND($H5156&lt;&gt;"",ROUND($O5156,2)&lt;&gt;0),"有","")</f>
        <v/>
      </c>
    </row>
    <row r="5157" customFormat="false" ht="15" hidden="true" customHeight="false" outlineLevel="0" collapsed="false">
      <c r="A5157" s="53" t="str">
        <f aca="false">IF($H5157="","",ROW()-5)</f>
        <v/>
      </c>
      <c r="B5157" s="64" t="s">
        <v>39</v>
      </c>
      <c r="C5157" s="53" t="n">
        <v>81</v>
      </c>
      <c r="D5157" s="53" t="n">
        <v>2</v>
      </c>
      <c r="E5157" s="65" t="str">
        <f aca="false">IF($H5157="","",其他分录!$B81)</f>
        <v/>
      </c>
      <c r="F5157" s="55" t="str">
        <f aca="false">IF($H5157="","",其他分录!$C81)</f>
        <v/>
      </c>
      <c r="G5157" s="48" t="str">
        <f aca="false">IF($H5157="","",其他分录!$D81)</f>
        <v/>
      </c>
      <c r="H5157" s="10" t="str">
        <f aca="false">IF(OR(其他分录!$B81="",N(其他分录!$G81)=0),"",其他分录!$F81)</f>
        <v/>
      </c>
      <c r="I5157" s="42" t="n">
        <f aca="false">IF($M5157="借",$O5157,0)</f>
        <v>0</v>
      </c>
      <c r="J5157" s="42" t="n">
        <f aca="false">IF($M5157="贷",$O5157,0)</f>
        <v>0</v>
      </c>
      <c r="K5157" s="48" t="str">
        <f aca="false">IF($H5157="","",其他分录!$H81)</f>
        <v/>
      </c>
      <c r="L5157" s="66"/>
      <c r="M5157" s="66" t="str">
        <f aca="false">IF($H5157="","","贷")</f>
        <v/>
      </c>
      <c r="N5157" s="66"/>
      <c r="O5157" s="67" t="n">
        <f aca="false">IF($H5157="",0,ROUND(N(其他分录!$G81),2))</f>
        <v>0</v>
      </c>
      <c r="P5157" s="64" t="str">
        <f aca="false">IF(AND($H5157&lt;&gt;"",ROUND($O5157,2)&lt;&gt;0),"有","")</f>
        <v/>
      </c>
    </row>
    <row r="5158" customFormat="false" ht="15" hidden="true" customHeight="false" outlineLevel="0" collapsed="false">
      <c r="A5158" s="53" t="str">
        <f aca="false">IF($H5158="","",ROW()-5)</f>
        <v/>
      </c>
      <c r="B5158" s="64" t="s">
        <v>39</v>
      </c>
      <c r="C5158" s="53" t="n">
        <v>82</v>
      </c>
      <c r="D5158" s="53" t="n">
        <v>1</v>
      </c>
      <c r="E5158" s="65" t="str">
        <f aca="false">IF($H5158="","",其他分录!$B82)</f>
        <v/>
      </c>
      <c r="F5158" s="55" t="str">
        <f aca="false">IF($H5158="","",其他分录!$C82)</f>
        <v/>
      </c>
      <c r="G5158" s="48" t="str">
        <f aca="false">IF($H5158="","",其他分录!$D82)</f>
        <v/>
      </c>
      <c r="H5158" s="10" t="str">
        <f aca="false">IF(OR(其他分录!$B82="",N(其他分录!$G82)=0),"",其他分录!$E82)</f>
        <v/>
      </c>
      <c r="I5158" s="42" t="n">
        <f aca="false">IF($M5158="借",$O5158,0)</f>
        <v>0</v>
      </c>
      <c r="J5158" s="42" t="n">
        <f aca="false">IF($M5158="贷",$O5158,0)</f>
        <v>0</v>
      </c>
      <c r="K5158" s="48" t="str">
        <f aca="false">IF($H5158="","",其他分录!$H82)</f>
        <v/>
      </c>
      <c r="L5158" s="66"/>
      <c r="M5158" s="66" t="str">
        <f aca="false">IF($H5158="","","借")</f>
        <v/>
      </c>
      <c r="N5158" s="66"/>
      <c r="O5158" s="67" t="n">
        <f aca="false">IF($H5158="",0,ROUND(N(其他分录!$G82),2))</f>
        <v>0</v>
      </c>
      <c r="P5158" s="64" t="str">
        <f aca="false">IF(AND($H5158&lt;&gt;"",ROUND($O5158,2)&lt;&gt;0),"有","")</f>
        <v/>
      </c>
    </row>
    <row r="5159" customFormat="false" ht="15" hidden="true" customHeight="false" outlineLevel="0" collapsed="false">
      <c r="A5159" s="53" t="str">
        <f aca="false">IF($H5159="","",ROW()-5)</f>
        <v/>
      </c>
      <c r="B5159" s="64" t="s">
        <v>39</v>
      </c>
      <c r="C5159" s="53" t="n">
        <v>82</v>
      </c>
      <c r="D5159" s="53" t="n">
        <v>2</v>
      </c>
      <c r="E5159" s="65" t="str">
        <f aca="false">IF($H5159="","",其他分录!$B82)</f>
        <v/>
      </c>
      <c r="F5159" s="55" t="str">
        <f aca="false">IF($H5159="","",其他分录!$C82)</f>
        <v/>
      </c>
      <c r="G5159" s="48" t="str">
        <f aca="false">IF($H5159="","",其他分录!$D82)</f>
        <v/>
      </c>
      <c r="H5159" s="10" t="str">
        <f aca="false">IF(OR(其他分录!$B82="",N(其他分录!$G82)=0),"",其他分录!$F82)</f>
        <v/>
      </c>
      <c r="I5159" s="42" t="n">
        <f aca="false">IF($M5159="借",$O5159,0)</f>
        <v>0</v>
      </c>
      <c r="J5159" s="42" t="n">
        <f aca="false">IF($M5159="贷",$O5159,0)</f>
        <v>0</v>
      </c>
      <c r="K5159" s="48" t="str">
        <f aca="false">IF($H5159="","",其他分录!$H82)</f>
        <v/>
      </c>
      <c r="L5159" s="66"/>
      <c r="M5159" s="66" t="str">
        <f aca="false">IF($H5159="","","贷")</f>
        <v/>
      </c>
      <c r="N5159" s="66"/>
      <c r="O5159" s="67" t="n">
        <f aca="false">IF($H5159="",0,ROUND(N(其他分录!$G82),2))</f>
        <v>0</v>
      </c>
      <c r="P5159" s="64" t="str">
        <f aca="false">IF(AND($H5159&lt;&gt;"",ROUND($O5159,2)&lt;&gt;0),"有","")</f>
        <v/>
      </c>
    </row>
    <row r="5160" customFormat="false" ht="15" hidden="true" customHeight="false" outlineLevel="0" collapsed="false">
      <c r="A5160" s="53" t="str">
        <f aca="false">IF($H5160="","",ROW()-5)</f>
        <v/>
      </c>
      <c r="B5160" s="64" t="s">
        <v>39</v>
      </c>
      <c r="C5160" s="53" t="n">
        <v>83</v>
      </c>
      <c r="D5160" s="53" t="n">
        <v>1</v>
      </c>
      <c r="E5160" s="65" t="str">
        <f aca="false">IF($H5160="","",其他分录!$B83)</f>
        <v/>
      </c>
      <c r="F5160" s="55" t="str">
        <f aca="false">IF($H5160="","",其他分录!$C83)</f>
        <v/>
      </c>
      <c r="G5160" s="48" t="str">
        <f aca="false">IF($H5160="","",其他分录!$D83)</f>
        <v/>
      </c>
      <c r="H5160" s="10" t="str">
        <f aca="false">IF(OR(其他分录!$B83="",N(其他分录!$G83)=0),"",其他分录!$E83)</f>
        <v/>
      </c>
      <c r="I5160" s="42" t="n">
        <f aca="false">IF($M5160="借",$O5160,0)</f>
        <v>0</v>
      </c>
      <c r="J5160" s="42" t="n">
        <f aca="false">IF($M5160="贷",$O5160,0)</f>
        <v>0</v>
      </c>
      <c r="K5160" s="48" t="str">
        <f aca="false">IF($H5160="","",其他分录!$H83)</f>
        <v/>
      </c>
      <c r="L5160" s="66"/>
      <c r="M5160" s="66" t="str">
        <f aca="false">IF($H5160="","","借")</f>
        <v/>
      </c>
      <c r="N5160" s="66"/>
      <c r="O5160" s="67" t="n">
        <f aca="false">IF($H5160="",0,ROUND(N(其他分录!$G83),2))</f>
        <v>0</v>
      </c>
      <c r="P5160" s="64" t="str">
        <f aca="false">IF(AND($H5160&lt;&gt;"",ROUND($O5160,2)&lt;&gt;0),"有","")</f>
        <v/>
      </c>
    </row>
    <row r="5161" customFormat="false" ht="15" hidden="true" customHeight="false" outlineLevel="0" collapsed="false">
      <c r="A5161" s="53" t="str">
        <f aca="false">IF($H5161="","",ROW()-5)</f>
        <v/>
      </c>
      <c r="B5161" s="64" t="s">
        <v>39</v>
      </c>
      <c r="C5161" s="53" t="n">
        <v>83</v>
      </c>
      <c r="D5161" s="53" t="n">
        <v>2</v>
      </c>
      <c r="E5161" s="65" t="str">
        <f aca="false">IF($H5161="","",其他分录!$B83)</f>
        <v/>
      </c>
      <c r="F5161" s="55" t="str">
        <f aca="false">IF($H5161="","",其他分录!$C83)</f>
        <v/>
      </c>
      <c r="G5161" s="48" t="str">
        <f aca="false">IF($H5161="","",其他分录!$D83)</f>
        <v/>
      </c>
      <c r="H5161" s="10" t="str">
        <f aca="false">IF(OR(其他分录!$B83="",N(其他分录!$G83)=0),"",其他分录!$F83)</f>
        <v/>
      </c>
      <c r="I5161" s="42" t="n">
        <f aca="false">IF($M5161="借",$O5161,0)</f>
        <v>0</v>
      </c>
      <c r="J5161" s="42" t="n">
        <f aca="false">IF($M5161="贷",$O5161,0)</f>
        <v>0</v>
      </c>
      <c r="K5161" s="48" t="str">
        <f aca="false">IF($H5161="","",其他分录!$H83)</f>
        <v/>
      </c>
      <c r="L5161" s="66"/>
      <c r="M5161" s="66" t="str">
        <f aca="false">IF($H5161="","","贷")</f>
        <v/>
      </c>
      <c r="N5161" s="66"/>
      <c r="O5161" s="67" t="n">
        <f aca="false">IF($H5161="",0,ROUND(N(其他分录!$G83),2))</f>
        <v>0</v>
      </c>
      <c r="P5161" s="64" t="str">
        <f aca="false">IF(AND($H5161&lt;&gt;"",ROUND($O5161,2)&lt;&gt;0),"有","")</f>
        <v/>
      </c>
    </row>
    <row r="5162" customFormat="false" ht="15" hidden="true" customHeight="false" outlineLevel="0" collapsed="false">
      <c r="A5162" s="53" t="str">
        <f aca="false">IF($H5162="","",ROW()-5)</f>
        <v/>
      </c>
      <c r="B5162" s="64" t="s">
        <v>39</v>
      </c>
      <c r="C5162" s="53" t="n">
        <v>84</v>
      </c>
      <c r="D5162" s="53" t="n">
        <v>1</v>
      </c>
      <c r="E5162" s="65" t="str">
        <f aca="false">IF($H5162="","",其他分录!$B84)</f>
        <v/>
      </c>
      <c r="F5162" s="55" t="str">
        <f aca="false">IF($H5162="","",其他分录!$C84)</f>
        <v/>
      </c>
      <c r="G5162" s="48" t="str">
        <f aca="false">IF($H5162="","",其他分录!$D84)</f>
        <v/>
      </c>
      <c r="H5162" s="10" t="str">
        <f aca="false">IF(OR(其他分录!$B84="",N(其他分录!$G84)=0),"",其他分录!$E84)</f>
        <v/>
      </c>
      <c r="I5162" s="42" t="n">
        <f aca="false">IF($M5162="借",$O5162,0)</f>
        <v>0</v>
      </c>
      <c r="J5162" s="42" t="n">
        <f aca="false">IF($M5162="贷",$O5162,0)</f>
        <v>0</v>
      </c>
      <c r="K5162" s="48" t="str">
        <f aca="false">IF($H5162="","",其他分录!$H84)</f>
        <v/>
      </c>
      <c r="L5162" s="66"/>
      <c r="M5162" s="66" t="str">
        <f aca="false">IF($H5162="","","借")</f>
        <v/>
      </c>
      <c r="N5162" s="66"/>
      <c r="O5162" s="67" t="n">
        <f aca="false">IF($H5162="",0,ROUND(N(其他分录!$G84),2))</f>
        <v>0</v>
      </c>
      <c r="P5162" s="64" t="str">
        <f aca="false">IF(AND($H5162&lt;&gt;"",ROUND($O5162,2)&lt;&gt;0),"有","")</f>
        <v/>
      </c>
    </row>
    <row r="5163" customFormat="false" ht="15" hidden="true" customHeight="false" outlineLevel="0" collapsed="false">
      <c r="A5163" s="53" t="str">
        <f aca="false">IF($H5163="","",ROW()-5)</f>
        <v/>
      </c>
      <c r="B5163" s="64" t="s">
        <v>39</v>
      </c>
      <c r="C5163" s="53" t="n">
        <v>84</v>
      </c>
      <c r="D5163" s="53" t="n">
        <v>2</v>
      </c>
      <c r="E5163" s="65" t="str">
        <f aca="false">IF($H5163="","",其他分录!$B84)</f>
        <v/>
      </c>
      <c r="F5163" s="55" t="str">
        <f aca="false">IF($H5163="","",其他分录!$C84)</f>
        <v/>
      </c>
      <c r="G5163" s="48" t="str">
        <f aca="false">IF($H5163="","",其他分录!$D84)</f>
        <v/>
      </c>
      <c r="H5163" s="10" t="str">
        <f aca="false">IF(OR(其他分录!$B84="",N(其他分录!$G84)=0),"",其他分录!$F84)</f>
        <v/>
      </c>
      <c r="I5163" s="42" t="n">
        <f aca="false">IF($M5163="借",$O5163,0)</f>
        <v>0</v>
      </c>
      <c r="J5163" s="42" t="n">
        <f aca="false">IF($M5163="贷",$O5163,0)</f>
        <v>0</v>
      </c>
      <c r="K5163" s="48" t="str">
        <f aca="false">IF($H5163="","",其他分录!$H84)</f>
        <v/>
      </c>
      <c r="L5163" s="66"/>
      <c r="M5163" s="66" t="str">
        <f aca="false">IF($H5163="","","贷")</f>
        <v/>
      </c>
      <c r="N5163" s="66"/>
      <c r="O5163" s="67" t="n">
        <f aca="false">IF($H5163="",0,ROUND(N(其他分录!$G84),2))</f>
        <v>0</v>
      </c>
      <c r="P5163" s="64" t="str">
        <f aca="false">IF(AND($H5163&lt;&gt;"",ROUND($O5163,2)&lt;&gt;0),"有","")</f>
        <v/>
      </c>
    </row>
    <row r="5164" customFormat="false" ht="15" hidden="true" customHeight="false" outlineLevel="0" collapsed="false">
      <c r="A5164" s="53" t="str">
        <f aca="false">IF($H5164="","",ROW()-5)</f>
        <v/>
      </c>
      <c r="B5164" s="64" t="s">
        <v>39</v>
      </c>
      <c r="C5164" s="53" t="n">
        <v>85</v>
      </c>
      <c r="D5164" s="53" t="n">
        <v>1</v>
      </c>
      <c r="E5164" s="65" t="str">
        <f aca="false">IF($H5164="","",其他分录!$B85)</f>
        <v/>
      </c>
      <c r="F5164" s="55" t="str">
        <f aca="false">IF($H5164="","",其他分录!$C85)</f>
        <v/>
      </c>
      <c r="G5164" s="48" t="str">
        <f aca="false">IF($H5164="","",其他分录!$D85)</f>
        <v/>
      </c>
      <c r="H5164" s="10" t="str">
        <f aca="false">IF(OR(其他分录!$B85="",N(其他分录!$G85)=0),"",其他分录!$E85)</f>
        <v/>
      </c>
      <c r="I5164" s="42" t="n">
        <f aca="false">IF($M5164="借",$O5164,0)</f>
        <v>0</v>
      </c>
      <c r="J5164" s="42" t="n">
        <f aca="false">IF($M5164="贷",$O5164,0)</f>
        <v>0</v>
      </c>
      <c r="K5164" s="48" t="str">
        <f aca="false">IF($H5164="","",其他分录!$H85)</f>
        <v/>
      </c>
      <c r="L5164" s="66"/>
      <c r="M5164" s="66" t="str">
        <f aca="false">IF($H5164="","","借")</f>
        <v/>
      </c>
      <c r="N5164" s="66"/>
      <c r="O5164" s="67" t="n">
        <f aca="false">IF($H5164="",0,ROUND(N(其他分录!$G85),2))</f>
        <v>0</v>
      </c>
      <c r="P5164" s="64" t="str">
        <f aca="false">IF(AND($H5164&lt;&gt;"",ROUND($O5164,2)&lt;&gt;0),"有","")</f>
        <v/>
      </c>
    </row>
    <row r="5165" customFormat="false" ht="15" hidden="true" customHeight="false" outlineLevel="0" collapsed="false">
      <c r="A5165" s="53" t="str">
        <f aca="false">IF($H5165="","",ROW()-5)</f>
        <v/>
      </c>
      <c r="B5165" s="64" t="s">
        <v>39</v>
      </c>
      <c r="C5165" s="53" t="n">
        <v>85</v>
      </c>
      <c r="D5165" s="53" t="n">
        <v>2</v>
      </c>
      <c r="E5165" s="65" t="str">
        <f aca="false">IF($H5165="","",其他分录!$B85)</f>
        <v/>
      </c>
      <c r="F5165" s="55" t="str">
        <f aca="false">IF($H5165="","",其他分录!$C85)</f>
        <v/>
      </c>
      <c r="G5165" s="48" t="str">
        <f aca="false">IF($H5165="","",其他分录!$D85)</f>
        <v/>
      </c>
      <c r="H5165" s="10" t="str">
        <f aca="false">IF(OR(其他分录!$B85="",N(其他分录!$G85)=0),"",其他分录!$F85)</f>
        <v/>
      </c>
      <c r="I5165" s="42" t="n">
        <f aca="false">IF($M5165="借",$O5165,0)</f>
        <v>0</v>
      </c>
      <c r="J5165" s="42" t="n">
        <f aca="false">IF($M5165="贷",$O5165,0)</f>
        <v>0</v>
      </c>
      <c r="K5165" s="48" t="str">
        <f aca="false">IF($H5165="","",其他分录!$H85)</f>
        <v/>
      </c>
      <c r="L5165" s="66"/>
      <c r="M5165" s="66" t="str">
        <f aca="false">IF($H5165="","","贷")</f>
        <v/>
      </c>
      <c r="N5165" s="66"/>
      <c r="O5165" s="67" t="n">
        <f aca="false">IF($H5165="",0,ROUND(N(其他分录!$G85),2))</f>
        <v>0</v>
      </c>
      <c r="P5165" s="64" t="str">
        <f aca="false">IF(AND($H5165&lt;&gt;"",ROUND($O5165,2)&lt;&gt;0),"有","")</f>
        <v/>
      </c>
    </row>
    <row r="5166" customFormat="false" ht="15" hidden="true" customHeight="false" outlineLevel="0" collapsed="false">
      <c r="A5166" s="53" t="str">
        <f aca="false">IF($H5166="","",ROW()-5)</f>
        <v/>
      </c>
      <c r="B5166" s="64" t="s">
        <v>39</v>
      </c>
      <c r="C5166" s="53" t="n">
        <v>86</v>
      </c>
      <c r="D5166" s="53" t="n">
        <v>1</v>
      </c>
      <c r="E5166" s="65" t="str">
        <f aca="false">IF($H5166="","",其他分录!$B86)</f>
        <v/>
      </c>
      <c r="F5166" s="55" t="str">
        <f aca="false">IF($H5166="","",其他分录!$C86)</f>
        <v/>
      </c>
      <c r="G5166" s="48" t="str">
        <f aca="false">IF($H5166="","",其他分录!$D86)</f>
        <v/>
      </c>
      <c r="H5166" s="10" t="str">
        <f aca="false">IF(OR(其他分录!$B86="",N(其他分录!$G86)=0),"",其他分录!$E86)</f>
        <v/>
      </c>
      <c r="I5166" s="42" t="n">
        <f aca="false">IF($M5166="借",$O5166,0)</f>
        <v>0</v>
      </c>
      <c r="J5166" s="42" t="n">
        <f aca="false">IF($M5166="贷",$O5166,0)</f>
        <v>0</v>
      </c>
      <c r="K5166" s="48" t="str">
        <f aca="false">IF($H5166="","",其他分录!$H86)</f>
        <v/>
      </c>
      <c r="L5166" s="66"/>
      <c r="M5166" s="66" t="str">
        <f aca="false">IF($H5166="","","借")</f>
        <v/>
      </c>
      <c r="N5166" s="66"/>
      <c r="O5166" s="67" t="n">
        <f aca="false">IF($H5166="",0,ROUND(N(其他分录!$G86),2))</f>
        <v>0</v>
      </c>
      <c r="P5166" s="64" t="str">
        <f aca="false">IF(AND($H5166&lt;&gt;"",ROUND($O5166,2)&lt;&gt;0),"有","")</f>
        <v/>
      </c>
    </row>
    <row r="5167" customFormat="false" ht="15" hidden="true" customHeight="false" outlineLevel="0" collapsed="false">
      <c r="A5167" s="53" t="str">
        <f aca="false">IF($H5167="","",ROW()-5)</f>
        <v/>
      </c>
      <c r="B5167" s="64" t="s">
        <v>39</v>
      </c>
      <c r="C5167" s="53" t="n">
        <v>86</v>
      </c>
      <c r="D5167" s="53" t="n">
        <v>2</v>
      </c>
      <c r="E5167" s="65" t="str">
        <f aca="false">IF($H5167="","",其他分录!$B86)</f>
        <v/>
      </c>
      <c r="F5167" s="55" t="str">
        <f aca="false">IF($H5167="","",其他分录!$C86)</f>
        <v/>
      </c>
      <c r="G5167" s="48" t="str">
        <f aca="false">IF($H5167="","",其他分录!$D86)</f>
        <v/>
      </c>
      <c r="H5167" s="10" t="str">
        <f aca="false">IF(OR(其他分录!$B86="",N(其他分录!$G86)=0),"",其他分录!$F86)</f>
        <v/>
      </c>
      <c r="I5167" s="42" t="n">
        <f aca="false">IF($M5167="借",$O5167,0)</f>
        <v>0</v>
      </c>
      <c r="J5167" s="42" t="n">
        <f aca="false">IF($M5167="贷",$O5167,0)</f>
        <v>0</v>
      </c>
      <c r="K5167" s="48" t="str">
        <f aca="false">IF($H5167="","",其他分录!$H86)</f>
        <v/>
      </c>
      <c r="L5167" s="66"/>
      <c r="M5167" s="66" t="str">
        <f aca="false">IF($H5167="","","贷")</f>
        <v/>
      </c>
      <c r="N5167" s="66"/>
      <c r="O5167" s="67" t="n">
        <f aca="false">IF($H5167="",0,ROUND(N(其他分录!$G86),2))</f>
        <v>0</v>
      </c>
      <c r="P5167" s="64" t="str">
        <f aca="false">IF(AND($H5167&lt;&gt;"",ROUND($O5167,2)&lt;&gt;0),"有","")</f>
        <v/>
      </c>
    </row>
    <row r="5168" customFormat="false" ht="15" hidden="true" customHeight="false" outlineLevel="0" collapsed="false">
      <c r="A5168" s="53" t="str">
        <f aca="false">IF($H5168="","",ROW()-5)</f>
        <v/>
      </c>
      <c r="B5168" s="64" t="s">
        <v>39</v>
      </c>
      <c r="C5168" s="53" t="n">
        <v>87</v>
      </c>
      <c r="D5168" s="53" t="n">
        <v>1</v>
      </c>
      <c r="E5168" s="65" t="str">
        <f aca="false">IF($H5168="","",其他分录!$B87)</f>
        <v/>
      </c>
      <c r="F5168" s="55" t="str">
        <f aca="false">IF($H5168="","",其他分录!$C87)</f>
        <v/>
      </c>
      <c r="G5168" s="48" t="str">
        <f aca="false">IF($H5168="","",其他分录!$D87)</f>
        <v/>
      </c>
      <c r="H5168" s="10" t="str">
        <f aca="false">IF(OR(其他分录!$B87="",N(其他分录!$G87)=0),"",其他分录!$E87)</f>
        <v/>
      </c>
      <c r="I5168" s="42" t="n">
        <f aca="false">IF($M5168="借",$O5168,0)</f>
        <v>0</v>
      </c>
      <c r="J5168" s="42" t="n">
        <f aca="false">IF($M5168="贷",$O5168,0)</f>
        <v>0</v>
      </c>
      <c r="K5168" s="48" t="str">
        <f aca="false">IF($H5168="","",其他分录!$H87)</f>
        <v/>
      </c>
      <c r="L5168" s="66"/>
      <c r="M5168" s="66" t="str">
        <f aca="false">IF($H5168="","","借")</f>
        <v/>
      </c>
      <c r="N5168" s="66"/>
      <c r="O5168" s="67" t="n">
        <f aca="false">IF($H5168="",0,ROUND(N(其他分录!$G87),2))</f>
        <v>0</v>
      </c>
      <c r="P5168" s="64" t="str">
        <f aca="false">IF(AND($H5168&lt;&gt;"",ROUND($O5168,2)&lt;&gt;0),"有","")</f>
        <v/>
      </c>
    </row>
    <row r="5169" customFormat="false" ht="15" hidden="true" customHeight="false" outlineLevel="0" collapsed="false">
      <c r="A5169" s="53" t="str">
        <f aca="false">IF($H5169="","",ROW()-5)</f>
        <v/>
      </c>
      <c r="B5169" s="64" t="s">
        <v>39</v>
      </c>
      <c r="C5169" s="53" t="n">
        <v>87</v>
      </c>
      <c r="D5169" s="53" t="n">
        <v>2</v>
      </c>
      <c r="E5169" s="65" t="str">
        <f aca="false">IF($H5169="","",其他分录!$B87)</f>
        <v/>
      </c>
      <c r="F5169" s="55" t="str">
        <f aca="false">IF($H5169="","",其他分录!$C87)</f>
        <v/>
      </c>
      <c r="G5169" s="48" t="str">
        <f aca="false">IF($H5169="","",其他分录!$D87)</f>
        <v/>
      </c>
      <c r="H5169" s="10" t="str">
        <f aca="false">IF(OR(其他分录!$B87="",N(其他分录!$G87)=0),"",其他分录!$F87)</f>
        <v/>
      </c>
      <c r="I5169" s="42" t="n">
        <f aca="false">IF($M5169="借",$O5169,0)</f>
        <v>0</v>
      </c>
      <c r="J5169" s="42" t="n">
        <f aca="false">IF($M5169="贷",$O5169,0)</f>
        <v>0</v>
      </c>
      <c r="K5169" s="48" t="str">
        <f aca="false">IF($H5169="","",其他分录!$H87)</f>
        <v/>
      </c>
      <c r="L5169" s="66"/>
      <c r="M5169" s="66" t="str">
        <f aca="false">IF($H5169="","","贷")</f>
        <v/>
      </c>
      <c r="N5169" s="66"/>
      <c r="O5169" s="67" t="n">
        <f aca="false">IF($H5169="",0,ROUND(N(其他分录!$G87),2))</f>
        <v>0</v>
      </c>
      <c r="P5169" s="64" t="str">
        <f aca="false">IF(AND($H5169&lt;&gt;"",ROUND($O5169,2)&lt;&gt;0),"有","")</f>
        <v/>
      </c>
    </row>
    <row r="5170" customFormat="false" ht="15" hidden="true" customHeight="false" outlineLevel="0" collapsed="false">
      <c r="A5170" s="53" t="str">
        <f aca="false">IF($H5170="","",ROW()-5)</f>
        <v/>
      </c>
      <c r="B5170" s="64" t="s">
        <v>39</v>
      </c>
      <c r="C5170" s="53" t="n">
        <v>88</v>
      </c>
      <c r="D5170" s="53" t="n">
        <v>1</v>
      </c>
      <c r="E5170" s="65" t="str">
        <f aca="false">IF($H5170="","",其他分录!$B88)</f>
        <v/>
      </c>
      <c r="F5170" s="55" t="str">
        <f aca="false">IF($H5170="","",其他分录!$C88)</f>
        <v/>
      </c>
      <c r="G5170" s="48" t="str">
        <f aca="false">IF($H5170="","",其他分录!$D88)</f>
        <v/>
      </c>
      <c r="H5170" s="10" t="str">
        <f aca="false">IF(OR(其他分录!$B88="",N(其他分录!$G88)=0),"",其他分录!$E88)</f>
        <v/>
      </c>
      <c r="I5170" s="42" t="n">
        <f aca="false">IF($M5170="借",$O5170,0)</f>
        <v>0</v>
      </c>
      <c r="J5170" s="42" t="n">
        <f aca="false">IF($M5170="贷",$O5170,0)</f>
        <v>0</v>
      </c>
      <c r="K5170" s="48" t="str">
        <f aca="false">IF($H5170="","",其他分录!$H88)</f>
        <v/>
      </c>
      <c r="L5170" s="66"/>
      <c r="M5170" s="66" t="str">
        <f aca="false">IF($H5170="","","借")</f>
        <v/>
      </c>
      <c r="N5170" s="66"/>
      <c r="O5170" s="67" t="n">
        <f aca="false">IF($H5170="",0,ROUND(N(其他分录!$G88),2))</f>
        <v>0</v>
      </c>
      <c r="P5170" s="64" t="str">
        <f aca="false">IF(AND($H5170&lt;&gt;"",ROUND($O5170,2)&lt;&gt;0),"有","")</f>
        <v/>
      </c>
    </row>
    <row r="5171" customFormat="false" ht="15" hidden="true" customHeight="false" outlineLevel="0" collapsed="false">
      <c r="A5171" s="53" t="str">
        <f aca="false">IF($H5171="","",ROW()-5)</f>
        <v/>
      </c>
      <c r="B5171" s="64" t="s">
        <v>39</v>
      </c>
      <c r="C5171" s="53" t="n">
        <v>88</v>
      </c>
      <c r="D5171" s="53" t="n">
        <v>2</v>
      </c>
      <c r="E5171" s="65" t="str">
        <f aca="false">IF($H5171="","",其他分录!$B88)</f>
        <v/>
      </c>
      <c r="F5171" s="55" t="str">
        <f aca="false">IF($H5171="","",其他分录!$C88)</f>
        <v/>
      </c>
      <c r="G5171" s="48" t="str">
        <f aca="false">IF($H5171="","",其他分录!$D88)</f>
        <v/>
      </c>
      <c r="H5171" s="10" t="str">
        <f aca="false">IF(OR(其他分录!$B88="",N(其他分录!$G88)=0),"",其他分录!$F88)</f>
        <v/>
      </c>
      <c r="I5171" s="42" t="n">
        <f aca="false">IF($M5171="借",$O5171,0)</f>
        <v>0</v>
      </c>
      <c r="J5171" s="42" t="n">
        <f aca="false">IF($M5171="贷",$O5171,0)</f>
        <v>0</v>
      </c>
      <c r="K5171" s="48" t="str">
        <f aca="false">IF($H5171="","",其他分录!$H88)</f>
        <v/>
      </c>
      <c r="L5171" s="66"/>
      <c r="M5171" s="66" t="str">
        <f aca="false">IF($H5171="","","贷")</f>
        <v/>
      </c>
      <c r="N5171" s="66"/>
      <c r="O5171" s="67" t="n">
        <f aca="false">IF($H5171="",0,ROUND(N(其他分录!$G88),2))</f>
        <v>0</v>
      </c>
      <c r="P5171" s="64" t="str">
        <f aca="false">IF(AND($H5171&lt;&gt;"",ROUND($O5171,2)&lt;&gt;0),"有","")</f>
        <v/>
      </c>
    </row>
    <row r="5172" customFormat="false" ht="15" hidden="true" customHeight="false" outlineLevel="0" collapsed="false">
      <c r="A5172" s="53" t="str">
        <f aca="false">IF($H5172="","",ROW()-5)</f>
        <v/>
      </c>
      <c r="B5172" s="64" t="s">
        <v>39</v>
      </c>
      <c r="C5172" s="53" t="n">
        <v>89</v>
      </c>
      <c r="D5172" s="53" t="n">
        <v>1</v>
      </c>
      <c r="E5172" s="65" t="str">
        <f aca="false">IF($H5172="","",其他分录!$B89)</f>
        <v/>
      </c>
      <c r="F5172" s="55" t="str">
        <f aca="false">IF($H5172="","",其他分录!$C89)</f>
        <v/>
      </c>
      <c r="G5172" s="48" t="str">
        <f aca="false">IF($H5172="","",其他分录!$D89)</f>
        <v/>
      </c>
      <c r="H5172" s="10" t="str">
        <f aca="false">IF(OR(其他分录!$B89="",N(其他分录!$G89)=0),"",其他分录!$E89)</f>
        <v/>
      </c>
      <c r="I5172" s="42" t="n">
        <f aca="false">IF($M5172="借",$O5172,0)</f>
        <v>0</v>
      </c>
      <c r="J5172" s="42" t="n">
        <f aca="false">IF($M5172="贷",$O5172,0)</f>
        <v>0</v>
      </c>
      <c r="K5172" s="48" t="str">
        <f aca="false">IF($H5172="","",其他分录!$H89)</f>
        <v/>
      </c>
      <c r="L5172" s="66"/>
      <c r="M5172" s="66" t="str">
        <f aca="false">IF($H5172="","","借")</f>
        <v/>
      </c>
      <c r="N5172" s="66"/>
      <c r="O5172" s="67" t="n">
        <f aca="false">IF($H5172="",0,ROUND(N(其他分录!$G89),2))</f>
        <v>0</v>
      </c>
      <c r="P5172" s="64" t="str">
        <f aca="false">IF(AND($H5172&lt;&gt;"",ROUND($O5172,2)&lt;&gt;0),"有","")</f>
        <v/>
      </c>
    </row>
    <row r="5173" customFormat="false" ht="15" hidden="true" customHeight="false" outlineLevel="0" collapsed="false">
      <c r="A5173" s="53" t="str">
        <f aca="false">IF($H5173="","",ROW()-5)</f>
        <v/>
      </c>
      <c r="B5173" s="64" t="s">
        <v>39</v>
      </c>
      <c r="C5173" s="53" t="n">
        <v>89</v>
      </c>
      <c r="D5173" s="53" t="n">
        <v>2</v>
      </c>
      <c r="E5173" s="65" t="str">
        <f aca="false">IF($H5173="","",其他分录!$B89)</f>
        <v/>
      </c>
      <c r="F5173" s="55" t="str">
        <f aca="false">IF($H5173="","",其他分录!$C89)</f>
        <v/>
      </c>
      <c r="G5173" s="48" t="str">
        <f aca="false">IF($H5173="","",其他分录!$D89)</f>
        <v/>
      </c>
      <c r="H5173" s="10" t="str">
        <f aca="false">IF(OR(其他分录!$B89="",N(其他分录!$G89)=0),"",其他分录!$F89)</f>
        <v/>
      </c>
      <c r="I5173" s="42" t="n">
        <f aca="false">IF($M5173="借",$O5173,0)</f>
        <v>0</v>
      </c>
      <c r="J5173" s="42" t="n">
        <f aca="false">IF($M5173="贷",$O5173,0)</f>
        <v>0</v>
      </c>
      <c r="K5173" s="48" t="str">
        <f aca="false">IF($H5173="","",其他分录!$H89)</f>
        <v/>
      </c>
      <c r="L5173" s="66"/>
      <c r="M5173" s="66" t="str">
        <f aca="false">IF($H5173="","","贷")</f>
        <v/>
      </c>
      <c r="N5173" s="66"/>
      <c r="O5173" s="67" t="n">
        <f aca="false">IF($H5173="",0,ROUND(N(其他分录!$G89),2))</f>
        <v>0</v>
      </c>
      <c r="P5173" s="64" t="str">
        <f aca="false">IF(AND($H5173&lt;&gt;"",ROUND($O5173,2)&lt;&gt;0),"有","")</f>
        <v/>
      </c>
    </row>
    <row r="5174" customFormat="false" ht="15" hidden="true" customHeight="false" outlineLevel="0" collapsed="false">
      <c r="A5174" s="53" t="str">
        <f aca="false">IF($H5174="","",ROW()-5)</f>
        <v/>
      </c>
      <c r="B5174" s="64" t="s">
        <v>39</v>
      </c>
      <c r="C5174" s="53" t="n">
        <v>90</v>
      </c>
      <c r="D5174" s="53" t="n">
        <v>1</v>
      </c>
      <c r="E5174" s="65" t="str">
        <f aca="false">IF($H5174="","",其他分录!$B90)</f>
        <v/>
      </c>
      <c r="F5174" s="55" t="str">
        <f aca="false">IF($H5174="","",其他分录!$C90)</f>
        <v/>
      </c>
      <c r="G5174" s="48" t="str">
        <f aca="false">IF($H5174="","",其他分录!$D90)</f>
        <v/>
      </c>
      <c r="H5174" s="10" t="str">
        <f aca="false">IF(OR(其他分录!$B90="",N(其他分录!$G90)=0),"",其他分录!$E90)</f>
        <v/>
      </c>
      <c r="I5174" s="42" t="n">
        <f aca="false">IF($M5174="借",$O5174,0)</f>
        <v>0</v>
      </c>
      <c r="J5174" s="42" t="n">
        <f aca="false">IF($M5174="贷",$O5174,0)</f>
        <v>0</v>
      </c>
      <c r="K5174" s="48" t="str">
        <f aca="false">IF($H5174="","",其他分录!$H90)</f>
        <v/>
      </c>
      <c r="L5174" s="66"/>
      <c r="M5174" s="66" t="str">
        <f aca="false">IF($H5174="","","借")</f>
        <v/>
      </c>
      <c r="N5174" s="66"/>
      <c r="O5174" s="67" t="n">
        <f aca="false">IF($H5174="",0,ROUND(N(其他分录!$G90),2))</f>
        <v>0</v>
      </c>
      <c r="P5174" s="64" t="str">
        <f aca="false">IF(AND($H5174&lt;&gt;"",ROUND($O5174,2)&lt;&gt;0),"有","")</f>
        <v/>
      </c>
    </row>
    <row r="5175" customFormat="false" ht="15" hidden="true" customHeight="false" outlineLevel="0" collapsed="false">
      <c r="A5175" s="53" t="str">
        <f aca="false">IF($H5175="","",ROW()-5)</f>
        <v/>
      </c>
      <c r="B5175" s="64" t="s">
        <v>39</v>
      </c>
      <c r="C5175" s="53" t="n">
        <v>90</v>
      </c>
      <c r="D5175" s="53" t="n">
        <v>2</v>
      </c>
      <c r="E5175" s="65" t="str">
        <f aca="false">IF($H5175="","",其他分录!$B90)</f>
        <v/>
      </c>
      <c r="F5175" s="55" t="str">
        <f aca="false">IF($H5175="","",其他分录!$C90)</f>
        <v/>
      </c>
      <c r="G5175" s="48" t="str">
        <f aca="false">IF($H5175="","",其他分录!$D90)</f>
        <v/>
      </c>
      <c r="H5175" s="10" t="str">
        <f aca="false">IF(OR(其他分录!$B90="",N(其他分录!$G90)=0),"",其他分录!$F90)</f>
        <v/>
      </c>
      <c r="I5175" s="42" t="n">
        <f aca="false">IF($M5175="借",$O5175,0)</f>
        <v>0</v>
      </c>
      <c r="J5175" s="42" t="n">
        <f aca="false">IF($M5175="贷",$O5175,0)</f>
        <v>0</v>
      </c>
      <c r="K5175" s="48" t="str">
        <f aca="false">IF($H5175="","",其他分录!$H90)</f>
        <v/>
      </c>
      <c r="L5175" s="66"/>
      <c r="M5175" s="66" t="str">
        <f aca="false">IF($H5175="","","贷")</f>
        <v/>
      </c>
      <c r="N5175" s="66"/>
      <c r="O5175" s="67" t="n">
        <f aca="false">IF($H5175="",0,ROUND(N(其他分录!$G90),2))</f>
        <v>0</v>
      </c>
      <c r="P5175" s="64" t="str">
        <f aca="false">IF(AND($H5175&lt;&gt;"",ROUND($O5175,2)&lt;&gt;0),"有","")</f>
        <v/>
      </c>
    </row>
    <row r="5176" customFormat="false" ht="15" hidden="true" customHeight="false" outlineLevel="0" collapsed="false">
      <c r="A5176" s="53" t="str">
        <f aca="false">IF($H5176="","",ROW()-5)</f>
        <v/>
      </c>
      <c r="B5176" s="64" t="s">
        <v>39</v>
      </c>
      <c r="C5176" s="53" t="n">
        <v>91</v>
      </c>
      <c r="D5176" s="53" t="n">
        <v>1</v>
      </c>
      <c r="E5176" s="65" t="str">
        <f aca="false">IF($H5176="","",其他分录!$B91)</f>
        <v/>
      </c>
      <c r="F5176" s="55" t="str">
        <f aca="false">IF($H5176="","",其他分录!$C91)</f>
        <v/>
      </c>
      <c r="G5176" s="48" t="str">
        <f aca="false">IF($H5176="","",其他分录!$D91)</f>
        <v/>
      </c>
      <c r="H5176" s="10" t="str">
        <f aca="false">IF(OR(其他分录!$B91="",N(其他分录!$G91)=0),"",其他分录!$E91)</f>
        <v/>
      </c>
      <c r="I5176" s="42" t="n">
        <f aca="false">IF($M5176="借",$O5176,0)</f>
        <v>0</v>
      </c>
      <c r="J5176" s="42" t="n">
        <f aca="false">IF($M5176="贷",$O5176,0)</f>
        <v>0</v>
      </c>
      <c r="K5176" s="48" t="str">
        <f aca="false">IF($H5176="","",其他分录!$H91)</f>
        <v/>
      </c>
      <c r="L5176" s="66"/>
      <c r="M5176" s="66" t="str">
        <f aca="false">IF($H5176="","","借")</f>
        <v/>
      </c>
      <c r="N5176" s="66"/>
      <c r="O5176" s="67" t="n">
        <f aca="false">IF($H5176="",0,ROUND(N(其他分录!$G91),2))</f>
        <v>0</v>
      </c>
      <c r="P5176" s="64" t="str">
        <f aca="false">IF(AND($H5176&lt;&gt;"",ROUND($O5176,2)&lt;&gt;0),"有","")</f>
        <v/>
      </c>
    </row>
    <row r="5177" customFormat="false" ht="15" hidden="true" customHeight="false" outlineLevel="0" collapsed="false">
      <c r="A5177" s="53" t="str">
        <f aca="false">IF($H5177="","",ROW()-5)</f>
        <v/>
      </c>
      <c r="B5177" s="64" t="s">
        <v>39</v>
      </c>
      <c r="C5177" s="53" t="n">
        <v>91</v>
      </c>
      <c r="D5177" s="53" t="n">
        <v>2</v>
      </c>
      <c r="E5177" s="65" t="str">
        <f aca="false">IF($H5177="","",其他分录!$B91)</f>
        <v/>
      </c>
      <c r="F5177" s="55" t="str">
        <f aca="false">IF($H5177="","",其他分录!$C91)</f>
        <v/>
      </c>
      <c r="G5177" s="48" t="str">
        <f aca="false">IF($H5177="","",其他分录!$D91)</f>
        <v/>
      </c>
      <c r="H5177" s="10" t="str">
        <f aca="false">IF(OR(其他分录!$B91="",N(其他分录!$G91)=0),"",其他分录!$F91)</f>
        <v/>
      </c>
      <c r="I5177" s="42" t="n">
        <f aca="false">IF($M5177="借",$O5177,0)</f>
        <v>0</v>
      </c>
      <c r="J5177" s="42" t="n">
        <f aca="false">IF($M5177="贷",$O5177,0)</f>
        <v>0</v>
      </c>
      <c r="K5177" s="48" t="str">
        <f aca="false">IF($H5177="","",其他分录!$H91)</f>
        <v/>
      </c>
      <c r="L5177" s="66"/>
      <c r="M5177" s="66" t="str">
        <f aca="false">IF($H5177="","","贷")</f>
        <v/>
      </c>
      <c r="N5177" s="66"/>
      <c r="O5177" s="67" t="n">
        <f aca="false">IF($H5177="",0,ROUND(N(其他分录!$G91),2))</f>
        <v>0</v>
      </c>
      <c r="P5177" s="64" t="str">
        <f aca="false">IF(AND($H5177&lt;&gt;"",ROUND($O5177,2)&lt;&gt;0),"有","")</f>
        <v/>
      </c>
    </row>
    <row r="5178" customFormat="false" ht="15" hidden="true" customHeight="false" outlineLevel="0" collapsed="false">
      <c r="A5178" s="53" t="str">
        <f aca="false">IF($H5178="","",ROW()-5)</f>
        <v/>
      </c>
      <c r="B5178" s="64" t="s">
        <v>39</v>
      </c>
      <c r="C5178" s="53" t="n">
        <v>92</v>
      </c>
      <c r="D5178" s="53" t="n">
        <v>1</v>
      </c>
      <c r="E5178" s="65" t="str">
        <f aca="false">IF($H5178="","",其他分录!$B92)</f>
        <v/>
      </c>
      <c r="F5178" s="55" t="str">
        <f aca="false">IF($H5178="","",其他分录!$C92)</f>
        <v/>
      </c>
      <c r="G5178" s="48" t="str">
        <f aca="false">IF($H5178="","",其他分录!$D92)</f>
        <v/>
      </c>
      <c r="H5178" s="10" t="str">
        <f aca="false">IF(OR(其他分录!$B92="",N(其他分录!$G92)=0),"",其他分录!$E92)</f>
        <v/>
      </c>
      <c r="I5178" s="42" t="n">
        <f aca="false">IF($M5178="借",$O5178,0)</f>
        <v>0</v>
      </c>
      <c r="J5178" s="42" t="n">
        <f aca="false">IF($M5178="贷",$O5178,0)</f>
        <v>0</v>
      </c>
      <c r="K5178" s="48" t="str">
        <f aca="false">IF($H5178="","",其他分录!$H92)</f>
        <v/>
      </c>
      <c r="L5178" s="66"/>
      <c r="M5178" s="66" t="str">
        <f aca="false">IF($H5178="","","借")</f>
        <v/>
      </c>
      <c r="N5178" s="66"/>
      <c r="O5178" s="67" t="n">
        <f aca="false">IF($H5178="",0,ROUND(N(其他分录!$G92),2))</f>
        <v>0</v>
      </c>
      <c r="P5178" s="64" t="str">
        <f aca="false">IF(AND($H5178&lt;&gt;"",ROUND($O5178,2)&lt;&gt;0),"有","")</f>
        <v/>
      </c>
    </row>
    <row r="5179" customFormat="false" ht="15" hidden="true" customHeight="false" outlineLevel="0" collapsed="false">
      <c r="A5179" s="53" t="str">
        <f aca="false">IF($H5179="","",ROW()-5)</f>
        <v/>
      </c>
      <c r="B5179" s="64" t="s">
        <v>39</v>
      </c>
      <c r="C5179" s="53" t="n">
        <v>92</v>
      </c>
      <c r="D5179" s="53" t="n">
        <v>2</v>
      </c>
      <c r="E5179" s="65" t="str">
        <f aca="false">IF($H5179="","",其他分录!$B92)</f>
        <v/>
      </c>
      <c r="F5179" s="55" t="str">
        <f aca="false">IF($H5179="","",其他分录!$C92)</f>
        <v/>
      </c>
      <c r="G5179" s="48" t="str">
        <f aca="false">IF($H5179="","",其他分录!$D92)</f>
        <v/>
      </c>
      <c r="H5179" s="10" t="str">
        <f aca="false">IF(OR(其他分录!$B92="",N(其他分录!$G92)=0),"",其他分录!$F92)</f>
        <v/>
      </c>
      <c r="I5179" s="42" t="n">
        <f aca="false">IF($M5179="借",$O5179,0)</f>
        <v>0</v>
      </c>
      <c r="J5179" s="42" t="n">
        <f aca="false">IF($M5179="贷",$O5179,0)</f>
        <v>0</v>
      </c>
      <c r="K5179" s="48" t="str">
        <f aca="false">IF($H5179="","",其他分录!$H92)</f>
        <v/>
      </c>
      <c r="L5179" s="66"/>
      <c r="M5179" s="66" t="str">
        <f aca="false">IF($H5179="","","贷")</f>
        <v/>
      </c>
      <c r="N5179" s="66"/>
      <c r="O5179" s="67" t="n">
        <f aca="false">IF($H5179="",0,ROUND(N(其他分录!$G92),2))</f>
        <v>0</v>
      </c>
      <c r="P5179" s="64" t="str">
        <f aca="false">IF(AND($H5179&lt;&gt;"",ROUND($O5179,2)&lt;&gt;0),"有","")</f>
        <v/>
      </c>
    </row>
    <row r="5180" customFormat="false" ht="15" hidden="true" customHeight="false" outlineLevel="0" collapsed="false">
      <c r="A5180" s="53" t="str">
        <f aca="false">IF($H5180="","",ROW()-5)</f>
        <v/>
      </c>
      <c r="B5180" s="64" t="s">
        <v>39</v>
      </c>
      <c r="C5180" s="53" t="n">
        <v>93</v>
      </c>
      <c r="D5180" s="53" t="n">
        <v>1</v>
      </c>
      <c r="E5180" s="65" t="str">
        <f aca="false">IF($H5180="","",其他分录!$B93)</f>
        <v/>
      </c>
      <c r="F5180" s="55" t="str">
        <f aca="false">IF($H5180="","",其他分录!$C93)</f>
        <v/>
      </c>
      <c r="G5180" s="48" t="str">
        <f aca="false">IF($H5180="","",其他分录!$D93)</f>
        <v/>
      </c>
      <c r="H5180" s="10" t="str">
        <f aca="false">IF(OR(其他分录!$B93="",N(其他分录!$G93)=0),"",其他分录!$E93)</f>
        <v/>
      </c>
      <c r="I5180" s="42" t="n">
        <f aca="false">IF($M5180="借",$O5180,0)</f>
        <v>0</v>
      </c>
      <c r="J5180" s="42" t="n">
        <f aca="false">IF($M5180="贷",$O5180,0)</f>
        <v>0</v>
      </c>
      <c r="K5180" s="48" t="str">
        <f aca="false">IF($H5180="","",其他分录!$H93)</f>
        <v/>
      </c>
      <c r="L5180" s="66"/>
      <c r="M5180" s="66" t="str">
        <f aca="false">IF($H5180="","","借")</f>
        <v/>
      </c>
      <c r="N5180" s="66"/>
      <c r="O5180" s="67" t="n">
        <f aca="false">IF($H5180="",0,ROUND(N(其他分录!$G93),2))</f>
        <v>0</v>
      </c>
      <c r="P5180" s="64" t="str">
        <f aca="false">IF(AND($H5180&lt;&gt;"",ROUND($O5180,2)&lt;&gt;0),"有","")</f>
        <v/>
      </c>
    </row>
    <row r="5181" customFormat="false" ht="15" hidden="true" customHeight="false" outlineLevel="0" collapsed="false">
      <c r="A5181" s="53" t="str">
        <f aca="false">IF($H5181="","",ROW()-5)</f>
        <v/>
      </c>
      <c r="B5181" s="64" t="s">
        <v>39</v>
      </c>
      <c r="C5181" s="53" t="n">
        <v>93</v>
      </c>
      <c r="D5181" s="53" t="n">
        <v>2</v>
      </c>
      <c r="E5181" s="65" t="str">
        <f aca="false">IF($H5181="","",其他分录!$B93)</f>
        <v/>
      </c>
      <c r="F5181" s="55" t="str">
        <f aca="false">IF($H5181="","",其他分录!$C93)</f>
        <v/>
      </c>
      <c r="G5181" s="48" t="str">
        <f aca="false">IF($H5181="","",其他分录!$D93)</f>
        <v/>
      </c>
      <c r="H5181" s="10" t="str">
        <f aca="false">IF(OR(其他分录!$B93="",N(其他分录!$G93)=0),"",其他分录!$F93)</f>
        <v/>
      </c>
      <c r="I5181" s="42" t="n">
        <f aca="false">IF($M5181="借",$O5181,0)</f>
        <v>0</v>
      </c>
      <c r="J5181" s="42" t="n">
        <f aca="false">IF($M5181="贷",$O5181,0)</f>
        <v>0</v>
      </c>
      <c r="K5181" s="48" t="str">
        <f aca="false">IF($H5181="","",其他分录!$H93)</f>
        <v/>
      </c>
      <c r="L5181" s="66"/>
      <c r="M5181" s="66" t="str">
        <f aca="false">IF($H5181="","","贷")</f>
        <v/>
      </c>
      <c r="N5181" s="66"/>
      <c r="O5181" s="67" t="n">
        <f aca="false">IF($H5181="",0,ROUND(N(其他分录!$G93),2))</f>
        <v>0</v>
      </c>
      <c r="P5181" s="64" t="str">
        <f aca="false">IF(AND($H5181&lt;&gt;"",ROUND($O5181,2)&lt;&gt;0),"有","")</f>
        <v/>
      </c>
    </row>
    <row r="5182" customFormat="false" ht="15" hidden="true" customHeight="false" outlineLevel="0" collapsed="false">
      <c r="A5182" s="53" t="str">
        <f aca="false">IF($H5182="","",ROW()-5)</f>
        <v/>
      </c>
      <c r="B5182" s="64" t="s">
        <v>39</v>
      </c>
      <c r="C5182" s="53" t="n">
        <v>94</v>
      </c>
      <c r="D5182" s="53" t="n">
        <v>1</v>
      </c>
      <c r="E5182" s="65" t="str">
        <f aca="false">IF($H5182="","",其他分录!$B94)</f>
        <v/>
      </c>
      <c r="F5182" s="55" t="str">
        <f aca="false">IF($H5182="","",其他分录!$C94)</f>
        <v/>
      </c>
      <c r="G5182" s="48" t="str">
        <f aca="false">IF($H5182="","",其他分录!$D94)</f>
        <v/>
      </c>
      <c r="H5182" s="10" t="str">
        <f aca="false">IF(OR(其他分录!$B94="",N(其他分录!$G94)=0),"",其他分录!$E94)</f>
        <v/>
      </c>
      <c r="I5182" s="42" t="n">
        <f aca="false">IF($M5182="借",$O5182,0)</f>
        <v>0</v>
      </c>
      <c r="J5182" s="42" t="n">
        <f aca="false">IF($M5182="贷",$O5182,0)</f>
        <v>0</v>
      </c>
      <c r="K5182" s="48" t="str">
        <f aca="false">IF($H5182="","",其他分录!$H94)</f>
        <v/>
      </c>
      <c r="L5182" s="66"/>
      <c r="M5182" s="66" t="str">
        <f aca="false">IF($H5182="","","借")</f>
        <v/>
      </c>
      <c r="N5182" s="66"/>
      <c r="O5182" s="67" t="n">
        <f aca="false">IF($H5182="",0,ROUND(N(其他分录!$G94),2))</f>
        <v>0</v>
      </c>
      <c r="P5182" s="64" t="str">
        <f aca="false">IF(AND($H5182&lt;&gt;"",ROUND($O5182,2)&lt;&gt;0),"有","")</f>
        <v/>
      </c>
    </row>
    <row r="5183" customFormat="false" ht="15" hidden="true" customHeight="false" outlineLevel="0" collapsed="false">
      <c r="A5183" s="53" t="str">
        <f aca="false">IF($H5183="","",ROW()-5)</f>
        <v/>
      </c>
      <c r="B5183" s="64" t="s">
        <v>39</v>
      </c>
      <c r="C5183" s="53" t="n">
        <v>94</v>
      </c>
      <c r="D5183" s="53" t="n">
        <v>2</v>
      </c>
      <c r="E5183" s="65" t="str">
        <f aca="false">IF($H5183="","",其他分录!$B94)</f>
        <v/>
      </c>
      <c r="F5183" s="55" t="str">
        <f aca="false">IF($H5183="","",其他分录!$C94)</f>
        <v/>
      </c>
      <c r="G5183" s="48" t="str">
        <f aca="false">IF($H5183="","",其他分录!$D94)</f>
        <v/>
      </c>
      <c r="H5183" s="10" t="str">
        <f aca="false">IF(OR(其他分录!$B94="",N(其他分录!$G94)=0),"",其他分录!$F94)</f>
        <v/>
      </c>
      <c r="I5183" s="42" t="n">
        <f aca="false">IF($M5183="借",$O5183,0)</f>
        <v>0</v>
      </c>
      <c r="J5183" s="42" t="n">
        <f aca="false">IF($M5183="贷",$O5183,0)</f>
        <v>0</v>
      </c>
      <c r="K5183" s="48" t="str">
        <f aca="false">IF($H5183="","",其他分录!$H94)</f>
        <v/>
      </c>
      <c r="L5183" s="66"/>
      <c r="M5183" s="66" t="str">
        <f aca="false">IF($H5183="","","贷")</f>
        <v/>
      </c>
      <c r="N5183" s="66"/>
      <c r="O5183" s="67" t="n">
        <f aca="false">IF($H5183="",0,ROUND(N(其他分录!$G94),2))</f>
        <v>0</v>
      </c>
      <c r="P5183" s="64" t="str">
        <f aca="false">IF(AND($H5183&lt;&gt;"",ROUND($O5183,2)&lt;&gt;0),"有","")</f>
        <v/>
      </c>
    </row>
    <row r="5184" customFormat="false" ht="15" hidden="true" customHeight="false" outlineLevel="0" collapsed="false">
      <c r="A5184" s="53" t="str">
        <f aca="false">IF($H5184="","",ROW()-5)</f>
        <v/>
      </c>
      <c r="B5184" s="64" t="s">
        <v>39</v>
      </c>
      <c r="C5184" s="53" t="n">
        <v>95</v>
      </c>
      <c r="D5184" s="53" t="n">
        <v>1</v>
      </c>
      <c r="E5184" s="65" t="str">
        <f aca="false">IF($H5184="","",其他分录!$B95)</f>
        <v/>
      </c>
      <c r="F5184" s="55" t="str">
        <f aca="false">IF($H5184="","",其他分录!$C95)</f>
        <v/>
      </c>
      <c r="G5184" s="48" t="str">
        <f aca="false">IF($H5184="","",其他分录!$D95)</f>
        <v/>
      </c>
      <c r="H5184" s="10" t="str">
        <f aca="false">IF(OR(其他分录!$B95="",N(其他分录!$G95)=0),"",其他分录!$E95)</f>
        <v/>
      </c>
      <c r="I5184" s="42" t="n">
        <f aca="false">IF($M5184="借",$O5184,0)</f>
        <v>0</v>
      </c>
      <c r="J5184" s="42" t="n">
        <f aca="false">IF($M5184="贷",$O5184,0)</f>
        <v>0</v>
      </c>
      <c r="K5184" s="48" t="str">
        <f aca="false">IF($H5184="","",其他分录!$H95)</f>
        <v/>
      </c>
      <c r="L5184" s="66"/>
      <c r="M5184" s="66" t="str">
        <f aca="false">IF($H5184="","","借")</f>
        <v/>
      </c>
      <c r="N5184" s="66"/>
      <c r="O5184" s="67" t="n">
        <f aca="false">IF($H5184="",0,ROUND(N(其他分录!$G95),2))</f>
        <v>0</v>
      </c>
      <c r="P5184" s="64" t="str">
        <f aca="false">IF(AND($H5184&lt;&gt;"",ROUND($O5184,2)&lt;&gt;0),"有","")</f>
        <v/>
      </c>
    </row>
    <row r="5185" customFormat="false" ht="15" hidden="true" customHeight="false" outlineLevel="0" collapsed="false">
      <c r="A5185" s="53" t="str">
        <f aca="false">IF($H5185="","",ROW()-5)</f>
        <v/>
      </c>
      <c r="B5185" s="64" t="s">
        <v>39</v>
      </c>
      <c r="C5185" s="53" t="n">
        <v>95</v>
      </c>
      <c r="D5185" s="53" t="n">
        <v>2</v>
      </c>
      <c r="E5185" s="65" t="str">
        <f aca="false">IF($H5185="","",其他分录!$B95)</f>
        <v/>
      </c>
      <c r="F5185" s="55" t="str">
        <f aca="false">IF($H5185="","",其他分录!$C95)</f>
        <v/>
      </c>
      <c r="G5185" s="48" t="str">
        <f aca="false">IF($H5185="","",其他分录!$D95)</f>
        <v/>
      </c>
      <c r="H5185" s="10" t="str">
        <f aca="false">IF(OR(其他分录!$B95="",N(其他分录!$G95)=0),"",其他分录!$F95)</f>
        <v/>
      </c>
      <c r="I5185" s="42" t="n">
        <f aca="false">IF($M5185="借",$O5185,0)</f>
        <v>0</v>
      </c>
      <c r="J5185" s="42" t="n">
        <f aca="false">IF($M5185="贷",$O5185,0)</f>
        <v>0</v>
      </c>
      <c r="K5185" s="48" t="str">
        <f aca="false">IF($H5185="","",其他分录!$H95)</f>
        <v/>
      </c>
      <c r="L5185" s="66"/>
      <c r="M5185" s="66" t="str">
        <f aca="false">IF($H5185="","","贷")</f>
        <v/>
      </c>
      <c r="N5185" s="66"/>
      <c r="O5185" s="67" t="n">
        <f aca="false">IF($H5185="",0,ROUND(N(其他分录!$G95),2))</f>
        <v>0</v>
      </c>
      <c r="P5185" s="64" t="str">
        <f aca="false">IF(AND($H5185&lt;&gt;"",ROUND($O5185,2)&lt;&gt;0),"有","")</f>
        <v/>
      </c>
    </row>
    <row r="5186" customFormat="false" ht="15" hidden="true" customHeight="false" outlineLevel="0" collapsed="false">
      <c r="A5186" s="53" t="str">
        <f aca="false">IF($H5186="","",ROW()-5)</f>
        <v/>
      </c>
      <c r="B5186" s="64" t="s">
        <v>39</v>
      </c>
      <c r="C5186" s="53" t="n">
        <v>96</v>
      </c>
      <c r="D5186" s="53" t="n">
        <v>1</v>
      </c>
      <c r="E5186" s="65" t="str">
        <f aca="false">IF($H5186="","",其他分录!$B96)</f>
        <v/>
      </c>
      <c r="F5186" s="55" t="str">
        <f aca="false">IF($H5186="","",其他分录!$C96)</f>
        <v/>
      </c>
      <c r="G5186" s="48" t="str">
        <f aca="false">IF($H5186="","",其他分录!$D96)</f>
        <v/>
      </c>
      <c r="H5186" s="10" t="str">
        <f aca="false">IF(OR(其他分录!$B96="",N(其他分录!$G96)=0),"",其他分录!$E96)</f>
        <v/>
      </c>
      <c r="I5186" s="42" t="n">
        <f aca="false">IF($M5186="借",$O5186,0)</f>
        <v>0</v>
      </c>
      <c r="J5186" s="42" t="n">
        <f aca="false">IF($M5186="贷",$O5186,0)</f>
        <v>0</v>
      </c>
      <c r="K5186" s="48" t="str">
        <f aca="false">IF($H5186="","",其他分录!$H96)</f>
        <v/>
      </c>
      <c r="L5186" s="66"/>
      <c r="M5186" s="66" t="str">
        <f aca="false">IF($H5186="","","借")</f>
        <v/>
      </c>
      <c r="N5186" s="66"/>
      <c r="O5186" s="67" t="n">
        <f aca="false">IF($H5186="",0,ROUND(N(其他分录!$G96),2))</f>
        <v>0</v>
      </c>
      <c r="P5186" s="64" t="str">
        <f aca="false">IF(AND($H5186&lt;&gt;"",ROUND($O5186,2)&lt;&gt;0),"有","")</f>
        <v/>
      </c>
    </row>
    <row r="5187" customFormat="false" ht="15" hidden="true" customHeight="false" outlineLevel="0" collapsed="false">
      <c r="A5187" s="53" t="str">
        <f aca="false">IF($H5187="","",ROW()-5)</f>
        <v/>
      </c>
      <c r="B5187" s="64" t="s">
        <v>39</v>
      </c>
      <c r="C5187" s="53" t="n">
        <v>96</v>
      </c>
      <c r="D5187" s="53" t="n">
        <v>2</v>
      </c>
      <c r="E5187" s="65" t="str">
        <f aca="false">IF($H5187="","",其他分录!$B96)</f>
        <v/>
      </c>
      <c r="F5187" s="55" t="str">
        <f aca="false">IF($H5187="","",其他分录!$C96)</f>
        <v/>
      </c>
      <c r="G5187" s="48" t="str">
        <f aca="false">IF($H5187="","",其他分录!$D96)</f>
        <v/>
      </c>
      <c r="H5187" s="10" t="str">
        <f aca="false">IF(OR(其他分录!$B96="",N(其他分录!$G96)=0),"",其他分录!$F96)</f>
        <v/>
      </c>
      <c r="I5187" s="42" t="n">
        <f aca="false">IF($M5187="借",$O5187,0)</f>
        <v>0</v>
      </c>
      <c r="J5187" s="42" t="n">
        <f aca="false">IF($M5187="贷",$O5187,0)</f>
        <v>0</v>
      </c>
      <c r="K5187" s="48" t="str">
        <f aca="false">IF($H5187="","",其他分录!$H96)</f>
        <v/>
      </c>
      <c r="L5187" s="66"/>
      <c r="M5187" s="66" t="str">
        <f aca="false">IF($H5187="","","贷")</f>
        <v/>
      </c>
      <c r="N5187" s="66"/>
      <c r="O5187" s="67" t="n">
        <f aca="false">IF($H5187="",0,ROUND(N(其他分录!$G96),2))</f>
        <v>0</v>
      </c>
      <c r="P5187" s="64" t="str">
        <f aca="false">IF(AND($H5187&lt;&gt;"",ROUND($O5187,2)&lt;&gt;0),"有","")</f>
        <v/>
      </c>
    </row>
    <row r="5188" customFormat="false" ht="15" hidden="true" customHeight="false" outlineLevel="0" collapsed="false">
      <c r="A5188" s="53" t="str">
        <f aca="false">IF($H5188="","",ROW()-5)</f>
        <v/>
      </c>
      <c r="B5188" s="64" t="s">
        <v>39</v>
      </c>
      <c r="C5188" s="53" t="n">
        <v>97</v>
      </c>
      <c r="D5188" s="53" t="n">
        <v>1</v>
      </c>
      <c r="E5188" s="65" t="str">
        <f aca="false">IF($H5188="","",其他分录!$B97)</f>
        <v/>
      </c>
      <c r="F5188" s="55" t="str">
        <f aca="false">IF($H5188="","",其他分录!$C97)</f>
        <v/>
      </c>
      <c r="G5188" s="48" t="str">
        <f aca="false">IF($H5188="","",其他分录!$D97)</f>
        <v/>
      </c>
      <c r="H5188" s="10" t="str">
        <f aca="false">IF(OR(其他分录!$B97="",N(其他分录!$G97)=0),"",其他分录!$E97)</f>
        <v/>
      </c>
      <c r="I5188" s="42" t="n">
        <f aca="false">IF($M5188="借",$O5188,0)</f>
        <v>0</v>
      </c>
      <c r="J5188" s="42" t="n">
        <f aca="false">IF($M5188="贷",$O5188,0)</f>
        <v>0</v>
      </c>
      <c r="K5188" s="48" t="str">
        <f aca="false">IF($H5188="","",其他分录!$H97)</f>
        <v/>
      </c>
      <c r="L5188" s="66"/>
      <c r="M5188" s="66" t="str">
        <f aca="false">IF($H5188="","","借")</f>
        <v/>
      </c>
      <c r="N5188" s="66"/>
      <c r="O5188" s="67" t="n">
        <f aca="false">IF($H5188="",0,ROUND(N(其他分录!$G97),2))</f>
        <v>0</v>
      </c>
      <c r="P5188" s="64" t="str">
        <f aca="false">IF(AND($H5188&lt;&gt;"",ROUND($O5188,2)&lt;&gt;0),"有","")</f>
        <v/>
      </c>
    </row>
    <row r="5189" customFormat="false" ht="15" hidden="true" customHeight="false" outlineLevel="0" collapsed="false">
      <c r="A5189" s="53" t="str">
        <f aca="false">IF($H5189="","",ROW()-5)</f>
        <v/>
      </c>
      <c r="B5189" s="64" t="s">
        <v>39</v>
      </c>
      <c r="C5189" s="53" t="n">
        <v>97</v>
      </c>
      <c r="D5189" s="53" t="n">
        <v>2</v>
      </c>
      <c r="E5189" s="65" t="str">
        <f aca="false">IF($H5189="","",其他分录!$B97)</f>
        <v/>
      </c>
      <c r="F5189" s="55" t="str">
        <f aca="false">IF($H5189="","",其他分录!$C97)</f>
        <v/>
      </c>
      <c r="G5189" s="48" t="str">
        <f aca="false">IF($H5189="","",其他分录!$D97)</f>
        <v/>
      </c>
      <c r="H5189" s="10" t="str">
        <f aca="false">IF(OR(其他分录!$B97="",N(其他分录!$G97)=0),"",其他分录!$F97)</f>
        <v/>
      </c>
      <c r="I5189" s="42" t="n">
        <f aca="false">IF($M5189="借",$O5189,0)</f>
        <v>0</v>
      </c>
      <c r="J5189" s="42" t="n">
        <f aca="false">IF($M5189="贷",$O5189,0)</f>
        <v>0</v>
      </c>
      <c r="K5189" s="48" t="str">
        <f aca="false">IF($H5189="","",其他分录!$H97)</f>
        <v/>
      </c>
      <c r="L5189" s="66"/>
      <c r="M5189" s="66" t="str">
        <f aca="false">IF($H5189="","","贷")</f>
        <v/>
      </c>
      <c r="N5189" s="66"/>
      <c r="O5189" s="67" t="n">
        <f aca="false">IF($H5189="",0,ROUND(N(其他分录!$G97),2))</f>
        <v>0</v>
      </c>
      <c r="P5189" s="64" t="str">
        <f aca="false">IF(AND($H5189&lt;&gt;"",ROUND($O5189,2)&lt;&gt;0),"有","")</f>
        <v/>
      </c>
    </row>
    <row r="5190" customFormat="false" ht="15" hidden="true" customHeight="false" outlineLevel="0" collapsed="false">
      <c r="A5190" s="53" t="str">
        <f aca="false">IF($H5190="","",ROW()-5)</f>
        <v/>
      </c>
      <c r="B5190" s="64" t="s">
        <v>39</v>
      </c>
      <c r="C5190" s="53" t="n">
        <v>98</v>
      </c>
      <c r="D5190" s="53" t="n">
        <v>1</v>
      </c>
      <c r="E5190" s="65" t="str">
        <f aca="false">IF($H5190="","",其他分录!$B98)</f>
        <v/>
      </c>
      <c r="F5190" s="55" t="str">
        <f aca="false">IF($H5190="","",其他分录!$C98)</f>
        <v/>
      </c>
      <c r="G5190" s="48" t="str">
        <f aca="false">IF($H5190="","",其他分录!$D98)</f>
        <v/>
      </c>
      <c r="H5190" s="10" t="str">
        <f aca="false">IF(OR(其他分录!$B98="",N(其他分录!$G98)=0),"",其他分录!$E98)</f>
        <v/>
      </c>
      <c r="I5190" s="42" t="n">
        <f aca="false">IF($M5190="借",$O5190,0)</f>
        <v>0</v>
      </c>
      <c r="J5190" s="42" t="n">
        <f aca="false">IF($M5190="贷",$O5190,0)</f>
        <v>0</v>
      </c>
      <c r="K5190" s="48" t="str">
        <f aca="false">IF($H5190="","",其他分录!$H98)</f>
        <v/>
      </c>
      <c r="L5190" s="66"/>
      <c r="M5190" s="66" t="str">
        <f aca="false">IF($H5190="","","借")</f>
        <v/>
      </c>
      <c r="N5190" s="66"/>
      <c r="O5190" s="67" t="n">
        <f aca="false">IF($H5190="",0,ROUND(N(其他分录!$G98),2))</f>
        <v>0</v>
      </c>
      <c r="P5190" s="64" t="str">
        <f aca="false">IF(AND($H5190&lt;&gt;"",ROUND($O5190,2)&lt;&gt;0),"有","")</f>
        <v/>
      </c>
    </row>
    <row r="5191" customFormat="false" ht="15" hidden="true" customHeight="false" outlineLevel="0" collapsed="false">
      <c r="A5191" s="53" t="str">
        <f aca="false">IF($H5191="","",ROW()-5)</f>
        <v/>
      </c>
      <c r="B5191" s="64" t="s">
        <v>39</v>
      </c>
      <c r="C5191" s="53" t="n">
        <v>98</v>
      </c>
      <c r="D5191" s="53" t="n">
        <v>2</v>
      </c>
      <c r="E5191" s="65" t="str">
        <f aca="false">IF($H5191="","",其他分录!$B98)</f>
        <v/>
      </c>
      <c r="F5191" s="55" t="str">
        <f aca="false">IF($H5191="","",其他分录!$C98)</f>
        <v/>
      </c>
      <c r="G5191" s="48" t="str">
        <f aca="false">IF($H5191="","",其他分录!$D98)</f>
        <v/>
      </c>
      <c r="H5191" s="10" t="str">
        <f aca="false">IF(OR(其他分录!$B98="",N(其他分录!$G98)=0),"",其他分录!$F98)</f>
        <v/>
      </c>
      <c r="I5191" s="42" t="n">
        <f aca="false">IF($M5191="借",$O5191,0)</f>
        <v>0</v>
      </c>
      <c r="J5191" s="42" t="n">
        <f aca="false">IF($M5191="贷",$O5191,0)</f>
        <v>0</v>
      </c>
      <c r="K5191" s="48" t="str">
        <f aca="false">IF($H5191="","",其他分录!$H98)</f>
        <v/>
      </c>
      <c r="L5191" s="66"/>
      <c r="M5191" s="66" t="str">
        <f aca="false">IF($H5191="","","贷")</f>
        <v/>
      </c>
      <c r="N5191" s="66"/>
      <c r="O5191" s="67" t="n">
        <f aca="false">IF($H5191="",0,ROUND(N(其他分录!$G98),2))</f>
        <v>0</v>
      </c>
      <c r="P5191" s="64" t="str">
        <f aca="false">IF(AND($H5191&lt;&gt;"",ROUND($O5191,2)&lt;&gt;0),"有","")</f>
        <v/>
      </c>
    </row>
    <row r="5192" customFormat="false" ht="15" hidden="true" customHeight="false" outlineLevel="0" collapsed="false">
      <c r="A5192" s="53" t="str">
        <f aca="false">IF($H5192="","",ROW()-5)</f>
        <v/>
      </c>
      <c r="B5192" s="64" t="s">
        <v>39</v>
      </c>
      <c r="C5192" s="53" t="n">
        <v>99</v>
      </c>
      <c r="D5192" s="53" t="n">
        <v>1</v>
      </c>
      <c r="E5192" s="65" t="str">
        <f aca="false">IF($H5192="","",其他分录!$B99)</f>
        <v/>
      </c>
      <c r="F5192" s="55" t="str">
        <f aca="false">IF($H5192="","",其他分录!$C99)</f>
        <v/>
      </c>
      <c r="G5192" s="48" t="str">
        <f aca="false">IF($H5192="","",其他分录!$D99)</f>
        <v/>
      </c>
      <c r="H5192" s="10" t="str">
        <f aca="false">IF(OR(其他分录!$B99="",N(其他分录!$G99)=0),"",其他分录!$E99)</f>
        <v/>
      </c>
      <c r="I5192" s="42" t="n">
        <f aca="false">IF($M5192="借",$O5192,0)</f>
        <v>0</v>
      </c>
      <c r="J5192" s="42" t="n">
        <f aca="false">IF($M5192="贷",$O5192,0)</f>
        <v>0</v>
      </c>
      <c r="K5192" s="48" t="str">
        <f aca="false">IF($H5192="","",其他分录!$H99)</f>
        <v/>
      </c>
      <c r="L5192" s="66"/>
      <c r="M5192" s="66" t="str">
        <f aca="false">IF($H5192="","","借")</f>
        <v/>
      </c>
      <c r="N5192" s="66"/>
      <c r="O5192" s="67" t="n">
        <f aca="false">IF($H5192="",0,ROUND(N(其他分录!$G99),2))</f>
        <v>0</v>
      </c>
      <c r="P5192" s="64" t="str">
        <f aca="false">IF(AND($H5192&lt;&gt;"",ROUND($O5192,2)&lt;&gt;0),"有","")</f>
        <v/>
      </c>
    </row>
    <row r="5193" customFormat="false" ht="15" hidden="true" customHeight="false" outlineLevel="0" collapsed="false">
      <c r="A5193" s="53" t="str">
        <f aca="false">IF($H5193="","",ROW()-5)</f>
        <v/>
      </c>
      <c r="B5193" s="64" t="s">
        <v>39</v>
      </c>
      <c r="C5193" s="53" t="n">
        <v>99</v>
      </c>
      <c r="D5193" s="53" t="n">
        <v>2</v>
      </c>
      <c r="E5193" s="65" t="str">
        <f aca="false">IF($H5193="","",其他分录!$B99)</f>
        <v/>
      </c>
      <c r="F5193" s="55" t="str">
        <f aca="false">IF($H5193="","",其他分录!$C99)</f>
        <v/>
      </c>
      <c r="G5193" s="48" t="str">
        <f aca="false">IF($H5193="","",其他分录!$D99)</f>
        <v/>
      </c>
      <c r="H5193" s="10" t="str">
        <f aca="false">IF(OR(其他分录!$B99="",N(其他分录!$G99)=0),"",其他分录!$F99)</f>
        <v/>
      </c>
      <c r="I5193" s="42" t="n">
        <f aca="false">IF($M5193="借",$O5193,0)</f>
        <v>0</v>
      </c>
      <c r="J5193" s="42" t="n">
        <f aca="false">IF($M5193="贷",$O5193,0)</f>
        <v>0</v>
      </c>
      <c r="K5193" s="48" t="str">
        <f aca="false">IF($H5193="","",其他分录!$H99)</f>
        <v/>
      </c>
      <c r="L5193" s="66"/>
      <c r="M5193" s="66" t="str">
        <f aca="false">IF($H5193="","","贷")</f>
        <v/>
      </c>
      <c r="N5193" s="66"/>
      <c r="O5193" s="67" t="n">
        <f aca="false">IF($H5193="",0,ROUND(N(其他分录!$G99),2))</f>
        <v>0</v>
      </c>
      <c r="P5193" s="64" t="str">
        <f aca="false">IF(AND($H5193&lt;&gt;"",ROUND($O5193,2)&lt;&gt;0),"有","")</f>
        <v/>
      </c>
    </row>
    <row r="5194" customFormat="false" ht="15" hidden="true" customHeight="false" outlineLevel="0" collapsed="false">
      <c r="A5194" s="53" t="str">
        <f aca="false">IF($H5194="","",ROW()-5)</f>
        <v/>
      </c>
      <c r="B5194" s="64" t="s">
        <v>39</v>
      </c>
      <c r="C5194" s="53" t="n">
        <v>100</v>
      </c>
      <c r="D5194" s="53" t="n">
        <v>1</v>
      </c>
      <c r="E5194" s="65" t="str">
        <f aca="false">IF($H5194="","",其他分录!$B100)</f>
        <v/>
      </c>
      <c r="F5194" s="55" t="str">
        <f aca="false">IF($H5194="","",其他分录!$C100)</f>
        <v/>
      </c>
      <c r="G5194" s="48" t="str">
        <f aca="false">IF($H5194="","",其他分录!$D100)</f>
        <v/>
      </c>
      <c r="H5194" s="10" t="str">
        <f aca="false">IF(OR(其他分录!$B100="",N(其他分录!$G100)=0),"",其他分录!$E100)</f>
        <v/>
      </c>
      <c r="I5194" s="42" t="n">
        <f aca="false">IF($M5194="借",$O5194,0)</f>
        <v>0</v>
      </c>
      <c r="J5194" s="42" t="n">
        <f aca="false">IF($M5194="贷",$O5194,0)</f>
        <v>0</v>
      </c>
      <c r="K5194" s="48" t="str">
        <f aca="false">IF($H5194="","",其他分录!$H100)</f>
        <v/>
      </c>
      <c r="L5194" s="66"/>
      <c r="M5194" s="66" t="str">
        <f aca="false">IF($H5194="","","借")</f>
        <v/>
      </c>
      <c r="N5194" s="66"/>
      <c r="O5194" s="67" t="n">
        <f aca="false">IF($H5194="",0,ROUND(N(其他分录!$G100),2))</f>
        <v>0</v>
      </c>
      <c r="P5194" s="64" t="str">
        <f aca="false">IF(AND($H5194&lt;&gt;"",ROUND($O5194,2)&lt;&gt;0),"有","")</f>
        <v/>
      </c>
    </row>
    <row r="5195" customFormat="false" ht="15" hidden="true" customHeight="false" outlineLevel="0" collapsed="false">
      <c r="A5195" s="53" t="str">
        <f aca="false">IF($H5195="","",ROW()-5)</f>
        <v/>
      </c>
      <c r="B5195" s="64" t="s">
        <v>39</v>
      </c>
      <c r="C5195" s="53" t="n">
        <v>100</v>
      </c>
      <c r="D5195" s="53" t="n">
        <v>2</v>
      </c>
      <c r="E5195" s="65" t="str">
        <f aca="false">IF($H5195="","",其他分录!$B100)</f>
        <v/>
      </c>
      <c r="F5195" s="55" t="str">
        <f aca="false">IF($H5195="","",其他分录!$C100)</f>
        <v/>
      </c>
      <c r="G5195" s="48" t="str">
        <f aca="false">IF($H5195="","",其他分录!$D100)</f>
        <v/>
      </c>
      <c r="H5195" s="10" t="str">
        <f aca="false">IF(OR(其他分录!$B100="",N(其他分录!$G100)=0),"",其他分录!$F100)</f>
        <v/>
      </c>
      <c r="I5195" s="42" t="n">
        <f aca="false">IF($M5195="借",$O5195,0)</f>
        <v>0</v>
      </c>
      <c r="J5195" s="42" t="n">
        <f aca="false">IF($M5195="贷",$O5195,0)</f>
        <v>0</v>
      </c>
      <c r="K5195" s="48" t="str">
        <f aca="false">IF($H5195="","",其他分录!$H100)</f>
        <v/>
      </c>
      <c r="L5195" s="66"/>
      <c r="M5195" s="66" t="str">
        <f aca="false">IF($H5195="","","贷")</f>
        <v/>
      </c>
      <c r="N5195" s="66"/>
      <c r="O5195" s="67" t="n">
        <f aca="false">IF($H5195="",0,ROUND(N(其他分录!$G100),2))</f>
        <v>0</v>
      </c>
      <c r="P5195" s="64" t="str">
        <f aca="false">IF(AND($H5195&lt;&gt;"",ROUND($O5195,2)&lt;&gt;0),"有","")</f>
        <v/>
      </c>
    </row>
    <row r="5196" customFormat="false" ht="15" hidden="true" customHeight="false" outlineLevel="0" collapsed="false">
      <c r="A5196" s="53" t="str">
        <f aca="false">IF($H5196="","",ROW()-5)</f>
        <v/>
      </c>
      <c r="B5196" s="64" t="s">
        <v>39</v>
      </c>
      <c r="C5196" s="53" t="n">
        <v>101</v>
      </c>
      <c r="D5196" s="53" t="n">
        <v>1</v>
      </c>
      <c r="E5196" s="65" t="str">
        <f aca="false">IF($H5196="","",其他分录!$B101)</f>
        <v/>
      </c>
      <c r="F5196" s="55" t="str">
        <f aca="false">IF($H5196="","",其他分录!$C101)</f>
        <v/>
      </c>
      <c r="G5196" s="48" t="str">
        <f aca="false">IF($H5196="","",其他分录!$D101)</f>
        <v/>
      </c>
      <c r="H5196" s="10" t="str">
        <f aca="false">IF(OR(其他分录!$B101="",N(其他分录!$G101)=0),"",其他分录!$E101)</f>
        <v/>
      </c>
      <c r="I5196" s="42" t="n">
        <f aca="false">IF($M5196="借",$O5196,0)</f>
        <v>0</v>
      </c>
      <c r="J5196" s="42" t="n">
        <f aca="false">IF($M5196="贷",$O5196,0)</f>
        <v>0</v>
      </c>
      <c r="K5196" s="48" t="str">
        <f aca="false">IF($H5196="","",其他分录!$H101)</f>
        <v/>
      </c>
      <c r="L5196" s="66"/>
      <c r="M5196" s="66" t="str">
        <f aca="false">IF($H5196="","","借")</f>
        <v/>
      </c>
      <c r="N5196" s="66"/>
      <c r="O5196" s="67" t="n">
        <f aca="false">IF($H5196="",0,ROUND(N(其他分录!$G101),2))</f>
        <v>0</v>
      </c>
      <c r="P5196" s="64" t="str">
        <f aca="false">IF(AND($H5196&lt;&gt;"",ROUND($O5196,2)&lt;&gt;0),"有","")</f>
        <v/>
      </c>
    </row>
    <row r="5197" customFormat="false" ht="15" hidden="true" customHeight="false" outlineLevel="0" collapsed="false">
      <c r="A5197" s="53" t="str">
        <f aca="false">IF($H5197="","",ROW()-5)</f>
        <v/>
      </c>
      <c r="B5197" s="64" t="s">
        <v>39</v>
      </c>
      <c r="C5197" s="53" t="n">
        <v>101</v>
      </c>
      <c r="D5197" s="53" t="n">
        <v>2</v>
      </c>
      <c r="E5197" s="65" t="str">
        <f aca="false">IF($H5197="","",其他分录!$B101)</f>
        <v/>
      </c>
      <c r="F5197" s="55" t="str">
        <f aca="false">IF($H5197="","",其他分录!$C101)</f>
        <v/>
      </c>
      <c r="G5197" s="48" t="str">
        <f aca="false">IF($H5197="","",其他分录!$D101)</f>
        <v/>
      </c>
      <c r="H5197" s="10" t="str">
        <f aca="false">IF(OR(其他分录!$B101="",N(其他分录!$G101)=0),"",其他分录!$F101)</f>
        <v/>
      </c>
      <c r="I5197" s="42" t="n">
        <f aca="false">IF($M5197="借",$O5197,0)</f>
        <v>0</v>
      </c>
      <c r="J5197" s="42" t="n">
        <f aca="false">IF($M5197="贷",$O5197,0)</f>
        <v>0</v>
      </c>
      <c r="K5197" s="48" t="str">
        <f aca="false">IF($H5197="","",其他分录!$H101)</f>
        <v/>
      </c>
      <c r="L5197" s="66"/>
      <c r="M5197" s="66" t="str">
        <f aca="false">IF($H5197="","","贷")</f>
        <v/>
      </c>
      <c r="N5197" s="66"/>
      <c r="O5197" s="67" t="n">
        <f aca="false">IF($H5197="",0,ROUND(N(其他分录!$G101),2))</f>
        <v>0</v>
      </c>
      <c r="P5197" s="64" t="str">
        <f aca="false">IF(AND($H5197&lt;&gt;"",ROUND($O5197,2)&lt;&gt;0),"有","")</f>
        <v/>
      </c>
    </row>
    <row r="5198" customFormat="false" ht="15" hidden="true" customHeight="false" outlineLevel="0" collapsed="false">
      <c r="A5198" s="53" t="str">
        <f aca="false">IF($H5198="","",ROW()-5)</f>
        <v/>
      </c>
      <c r="B5198" s="64" t="s">
        <v>39</v>
      </c>
      <c r="C5198" s="53" t="n">
        <v>102</v>
      </c>
      <c r="D5198" s="53" t="n">
        <v>1</v>
      </c>
      <c r="E5198" s="65" t="str">
        <f aca="false">IF($H5198="","",其他分录!$B102)</f>
        <v/>
      </c>
      <c r="F5198" s="55" t="str">
        <f aca="false">IF($H5198="","",其他分录!$C102)</f>
        <v/>
      </c>
      <c r="G5198" s="48" t="str">
        <f aca="false">IF($H5198="","",其他分录!$D102)</f>
        <v/>
      </c>
      <c r="H5198" s="10" t="str">
        <f aca="false">IF(OR(其他分录!$B102="",N(其他分录!$G102)=0),"",其他分录!$E102)</f>
        <v/>
      </c>
      <c r="I5198" s="42" t="n">
        <f aca="false">IF($M5198="借",$O5198,0)</f>
        <v>0</v>
      </c>
      <c r="J5198" s="42" t="n">
        <f aca="false">IF($M5198="贷",$O5198,0)</f>
        <v>0</v>
      </c>
      <c r="K5198" s="48" t="str">
        <f aca="false">IF($H5198="","",其他分录!$H102)</f>
        <v/>
      </c>
      <c r="L5198" s="66"/>
      <c r="M5198" s="66" t="str">
        <f aca="false">IF($H5198="","","借")</f>
        <v/>
      </c>
      <c r="N5198" s="66"/>
      <c r="O5198" s="67" t="n">
        <f aca="false">IF($H5198="",0,ROUND(N(其他分录!$G102),2))</f>
        <v>0</v>
      </c>
      <c r="P5198" s="64" t="str">
        <f aca="false">IF(AND($H5198&lt;&gt;"",ROUND($O5198,2)&lt;&gt;0),"有","")</f>
        <v/>
      </c>
    </row>
    <row r="5199" customFormat="false" ht="15" hidden="true" customHeight="false" outlineLevel="0" collapsed="false">
      <c r="A5199" s="53" t="str">
        <f aca="false">IF($H5199="","",ROW()-5)</f>
        <v/>
      </c>
      <c r="B5199" s="64" t="s">
        <v>39</v>
      </c>
      <c r="C5199" s="53" t="n">
        <v>102</v>
      </c>
      <c r="D5199" s="53" t="n">
        <v>2</v>
      </c>
      <c r="E5199" s="65" t="str">
        <f aca="false">IF($H5199="","",其他分录!$B102)</f>
        <v/>
      </c>
      <c r="F5199" s="55" t="str">
        <f aca="false">IF($H5199="","",其他分录!$C102)</f>
        <v/>
      </c>
      <c r="G5199" s="48" t="str">
        <f aca="false">IF($H5199="","",其他分录!$D102)</f>
        <v/>
      </c>
      <c r="H5199" s="10" t="str">
        <f aca="false">IF(OR(其他分录!$B102="",N(其他分录!$G102)=0),"",其他分录!$F102)</f>
        <v/>
      </c>
      <c r="I5199" s="42" t="n">
        <f aca="false">IF($M5199="借",$O5199,0)</f>
        <v>0</v>
      </c>
      <c r="J5199" s="42" t="n">
        <f aca="false">IF($M5199="贷",$O5199,0)</f>
        <v>0</v>
      </c>
      <c r="K5199" s="48" t="str">
        <f aca="false">IF($H5199="","",其他分录!$H102)</f>
        <v/>
      </c>
      <c r="L5199" s="66"/>
      <c r="M5199" s="66" t="str">
        <f aca="false">IF($H5199="","","贷")</f>
        <v/>
      </c>
      <c r="N5199" s="66"/>
      <c r="O5199" s="67" t="n">
        <f aca="false">IF($H5199="",0,ROUND(N(其他分录!$G102),2))</f>
        <v>0</v>
      </c>
      <c r="P5199" s="64" t="str">
        <f aca="false">IF(AND($H5199&lt;&gt;"",ROUND($O5199,2)&lt;&gt;0),"有","")</f>
        <v/>
      </c>
    </row>
    <row r="5200" customFormat="false" ht="15" hidden="true" customHeight="false" outlineLevel="0" collapsed="false">
      <c r="A5200" s="53" t="str">
        <f aca="false">IF($H5200="","",ROW()-5)</f>
        <v/>
      </c>
      <c r="B5200" s="64" t="s">
        <v>39</v>
      </c>
      <c r="C5200" s="53" t="n">
        <v>103</v>
      </c>
      <c r="D5200" s="53" t="n">
        <v>1</v>
      </c>
      <c r="E5200" s="65" t="str">
        <f aca="false">IF($H5200="","",其他分录!$B103)</f>
        <v/>
      </c>
      <c r="F5200" s="55" t="str">
        <f aca="false">IF($H5200="","",其他分录!$C103)</f>
        <v/>
      </c>
      <c r="G5200" s="48" t="str">
        <f aca="false">IF($H5200="","",其他分录!$D103)</f>
        <v/>
      </c>
      <c r="H5200" s="10" t="str">
        <f aca="false">IF(OR(其他分录!$B103="",N(其他分录!$G103)=0),"",其他分录!$E103)</f>
        <v/>
      </c>
      <c r="I5200" s="42" t="n">
        <f aca="false">IF($M5200="借",$O5200,0)</f>
        <v>0</v>
      </c>
      <c r="J5200" s="42" t="n">
        <f aca="false">IF($M5200="贷",$O5200,0)</f>
        <v>0</v>
      </c>
      <c r="K5200" s="48" t="str">
        <f aca="false">IF($H5200="","",其他分录!$H103)</f>
        <v/>
      </c>
      <c r="L5200" s="66"/>
      <c r="M5200" s="66" t="str">
        <f aca="false">IF($H5200="","","借")</f>
        <v/>
      </c>
      <c r="N5200" s="66"/>
      <c r="O5200" s="67" t="n">
        <f aca="false">IF($H5200="",0,ROUND(N(其他分录!$G103),2))</f>
        <v>0</v>
      </c>
      <c r="P5200" s="64" t="str">
        <f aca="false">IF(AND($H5200&lt;&gt;"",ROUND($O5200,2)&lt;&gt;0),"有","")</f>
        <v/>
      </c>
    </row>
    <row r="5201" customFormat="false" ht="15" hidden="true" customHeight="false" outlineLevel="0" collapsed="false">
      <c r="A5201" s="53" t="str">
        <f aca="false">IF($H5201="","",ROW()-5)</f>
        <v/>
      </c>
      <c r="B5201" s="64" t="s">
        <v>39</v>
      </c>
      <c r="C5201" s="53" t="n">
        <v>103</v>
      </c>
      <c r="D5201" s="53" t="n">
        <v>2</v>
      </c>
      <c r="E5201" s="65" t="str">
        <f aca="false">IF($H5201="","",其他分录!$B103)</f>
        <v/>
      </c>
      <c r="F5201" s="55" t="str">
        <f aca="false">IF($H5201="","",其他分录!$C103)</f>
        <v/>
      </c>
      <c r="G5201" s="48" t="str">
        <f aca="false">IF($H5201="","",其他分录!$D103)</f>
        <v/>
      </c>
      <c r="H5201" s="10" t="str">
        <f aca="false">IF(OR(其他分录!$B103="",N(其他分录!$G103)=0),"",其他分录!$F103)</f>
        <v/>
      </c>
      <c r="I5201" s="42" t="n">
        <f aca="false">IF($M5201="借",$O5201,0)</f>
        <v>0</v>
      </c>
      <c r="J5201" s="42" t="n">
        <f aca="false">IF($M5201="贷",$O5201,0)</f>
        <v>0</v>
      </c>
      <c r="K5201" s="48" t="str">
        <f aca="false">IF($H5201="","",其他分录!$H103)</f>
        <v/>
      </c>
      <c r="L5201" s="66"/>
      <c r="M5201" s="66" t="str">
        <f aca="false">IF($H5201="","","贷")</f>
        <v/>
      </c>
      <c r="N5201" s="66"/>
      <c r="O5201" s="67" t="n">
        <f aca="false">IF($H5201="",0,ROUND(N(其他分录!$G103),2))</f>
        <v>0</v>
      </c>
      <c r="P5201" s="64" t="str">
        <f aca="false">IF(AND($H5201&lt;&gt;"",ROUND($O5201,2)&lt;&gt;0),"有","")</f>
        <v/>
      </c>
    </row>
    <row r="5202" customFormat="false" ht="15" hidden="true" customHeight="false" outlineLevel="0" collapsed="false">
      <c r="A5202" s="53" t="str">
        <f aca="false">IF($H5202="","",ROW()-5)</f>
        <v/>
      </c>
      <c r="B5202" s="64" t="s">
        <v>39</v>
      </c>
      <c r="C5202" s="53" t="n">
        <v>104</v>
      </c>
      <c r="D5202" s="53" t="n">
        <v>1</v>
      </c>
      <c r="E5202" s="65" t="str">
        <f aca="false">IF($H5202="","",其他分录!$B104)</f>
        <v/>
      </c>
      <c r="F5202" s="55" t="str">
        <f aca="false">IF($H5202="","",其他分录!$C104)</f>
        <v/>
      </c>
      <c r="G5202" s="48" t="str">
        <f aca="false">IF($H5202="","",其他分录!$D104)</f>
        <v/>
      </c>
      <c r="H5202" s="10" t="str">
        <f aca="false">IF(OR(其他分录!$B104="",N(其他分录!$G104)=0),"",其他分录!$E104)</f>
        <v/>
      </c>
      <c r="I5202" s="42" t="n">
        <f aca="false">IF($M5202="借",$O5202,0)</f>
        <v>0</v>
      </c>
      <c r="J5202" s="42" t="n">
        <f aca="false">IF($M5202="贷",$O5202,0)</f>
        <v>0</v>
      </c>
      <c r="K5202" s="48" t="str">
        <f aca="false">IF($H5202="","",其他分录!$H104)</f>
        <v/>
      </c>
      <c r="L5202" s="66"/>
      <c r="M5202" s="66" t="str">
        <f aca="false">IF($H5202="","","借")</f>
        <v/>
      </c>
      <c r="N5202" s="66"/>
      <c r="O5202" s="67" t="n">
        <f aca="false">IF($H5202="",0,ROUND(N(其他分录!$G104),2))</f>
        <v>0</v>
      </c>
      <c r="P5202" s="64" t="str">
        <f aca="false">IF(AND($H5202&lt;&gt;"",ROUND($O5202,2)&lt;&gt;0),"有","")</f>
        <v/>
      </c>
    </row>
    <row r="5203" customFormat="false" ht="15" hidden="true" customHeight="false" outlineLevel="0" collapsed="false">
      <c r="A5203" s="53" t="str">
        <f aca="false">IF($H5203="","",ROW()-5)</f>
        <v/>
      </c>
      <c r="B5203" s="64" t="s">
        <v>39</v>
      </c>
      <c r="C5203" s="53" t="n">
        <v>104</v>
      </c>
      <c r="D5203" s="53" t="n">
        <v>2</v>
      </c>
      <c r="E5203" s="65" t="str">
        <f aca="false">IF($H5203="","",其他分录!$B104)</f>
        <v/>
      </c>
      <c r="F5203" s="55" t="str">
        <f aca="false">IF($H5203="","",其他分录!$C104)</f>
        <v/>
      </c>
      <c r="G5203" s="48" t="str">
        <f aca="false">IF($H5203="","",其他分录!$D104)</f>
        <v/>
      </c>
      <c r="H5203" s="10" t="str">
        <f aca="false">IF(OR(其他分录!$B104="",N(其他分录!$G104)=0),"",其他分录!$F104)</f>
        <v/>
      </c>
      <c r="I5203" s="42" t="n">
        <f aca="false">IF($M5203="借",$O5203,0)</f>
        <v>0</v>
      </c>
      <c r="J5203" s="42" t="n">
        <f aca="false">IF($M5203="贷",$O5203,0)</f>
        <v>0</v>
      </c>
      <c r="K5203" s="48" t="str">
        <f aca="false">IF($H5203="","",其他分录!$H104)</f>
        <v/>
      </c>
      <c r="L5203" s="66"/>
      <c r="M5203" s="66" t="str">
        <f aca="false">IF($H5203="","","贷")</f>
        <v/>
      </c>
      <c r="N5203" s="66"/>
      <c r="O5203" s="67" t="n">
        <f aca="false">IF($H5203="",0,ROUND(N(其他分录!$G104),2))</f>
        <v>0</v>
      </c>
      <c r="P5203" s="64" t="str">
        <f aca="false">IF(AND($H5203&lt;&gt;"",ROUND($O5203,2)&lt;&gt;0),"有","")</f>
        <v/>
      </c>
    </row>
    <row r="5204" customFormat="false" ht="15" hidden="true" customHeight="false" outlineLevel="0" collapsed="false">
      <c r="A5204" s="53" t="str">
        <f aca="false">IF($H5204="","",ROW()-5)</f>
        <v/>
      </c>
      <c r="B5204" s="64" t="s">
        <v>39</v>
      </c>
      <c r="C5204" s="53" t="n">
        <v>105</v>
      </c>
      <c r="D5204" s="53" t="n">
        <v>1</v>
      </c>
      <c r="E5204" s="65" t="str">
        <f aca="false">IF($H5204="","",其他分录!$B105)</f>
        <v/>
      </c>
      <c r="F5204" s="55" t="str">
        <f aca="false">IF($H5204="","",其他分录!$C105)</f>
        <v/>
      </c>
      <c r="G5204" s="48" t="str">
        <f aca="false">IF($H5204="","",其他分录!$D105)</f>
        <v/>
      </c>
      <c r="H5204" s="10" t="str">
        <f aca="false">IF(OR(其他分录!$B105="",N(其他分录!$G105)=0),"",其他分录!$E105)</f>
        <v/>
      </c>
      <c r="I5204" s="42" t="n">
        <f aca="false">IF($M5204="借",$O5204,0)</f>
        <v>0</v>
      </c>
      <c r="J5204" s="42" t="n">
        <f aca="false">IF($M5204="贷",$O5204,0)</f>
        <v>0</v>
      </c>
      <c r="K5204" s="48" t="str">
        <f aca="false">IF($H5204="","",其他分录!$H105)</f>
        <v/>
      </c>
      <c r="L5204" s="66"/>
      <c r="M5204" s="66" t="str">
        <f aca="false">IF($H5204="","","借")</f>
        <v/>
      </c>
      <c r="N5204" s="66"/>
      <c r="O5204" s="67" t="n">
        <f aca="false">IF($H5204="",0,ROUND(N(其他分录!$G105),2))</f>
        <v>0</v>
      </c>
      <c r="P5204" s="64" t="str">
        <f aca="false">IF(AND($H5204&lt;&gt;"",ROUND($O5204,2)&lt;&gt;0),"有","")</f>
        <v/>
      </c>
    </row>
    <row r="5205" customFormat="false" ht="15" hidden="true" customHeight="false" outlineLevel="0" collapsed="false">
      <c r="A5205" s="53" t="str">
        <f aca="false">IF($H5205="","",ROW()-5)</f>
        <v/>
      </c>
      <c r="B5205" s="64" t="s">
        <v>39</v>
      </c>
      <c r="C5205" s="53" t="n">
        <v>105</v>
      </c>
      <c r="D5205" s="53" t="n">
        <v>2</v>
      </c>
      <c r="E5205" s="65" t="str">
        <f aca="false">IF($H5205="","",其他分录!$B105)</f>
        <v/>
      </c>
      <c r="F5205" s="55" t="str">
        <f aca="false">IF($H5205="","",其他分录!$C105)</f>
        <v/>
      </c>
      <c r="G5205" s="48" t="str">
        <f aca="false">IF($H5205="","",其他分录!$D105)</f>
        <v/>
      </c>
      <c r="H5205" s="10" t="str">
        <f aca="false">IF(OR(其他分录!$B105="",N(其他分录!$G105)=0),"",其他分录!$F105)</f>
        <v/>
      </c>
      <c r="I5205" s="42" t="n">
        <f aca="false">IF($M5205="借",$O5205,0)</f>
        <v>0</v>
      </c>
      <c r="J5205" s="42" t="n">
        <f aca="false">IF($M5205="贷",$O5205,0)</f>
        <v>0</v>
      </c>
      <c r="K5205" s="48" t="str">
        <f aca="false">IF($H5205="","",其他分录!$H105)</f>
        <v/>
      </c>
      <c r="L5205" s="66"/>
      <c r="M5205" s="66" t="str">
        <f aca="false">IF($H5205="","","贷")</f>
        <v/>
      </c>
      <c r="N5205" s="66"/>
      <c r="O5205" s="67" t="n">
        <f aca="false">IF($H5205="",0,ROUND(N(其他分录!$G105),2))</f>
        <v>0</v>
      </c>
      <c r="P5205" s="64" t="str">
        <f aca="false">IF(AND($H5205&lt;&gt;"",ROUND($O5205,2)&lt;&gt;0),"有","")</f>
        <v/>
      </c>
    </row>
    <row r="5206" customFormat="false" ht="15" hidden="true" customHeight="false" outlineLevel="0" collapsed="false">
      <c r="A5206" s="53" t="str">
        <f aca="false">IF($H5206="","",ROW()-5)</f>
        <v/>
      </c>
      <c r="B5206" s="64" t="s">
        <v>39</v>
      </c>
      <c r="C5206" s="53" t="n">
        <v>106</v>
      </c>
      <c r="D5206" s="53" t="n">
        <v>1</v>
      </c>
      <c r="E5206" s="65" t="str">
        <f aca="false">IF($H5206="","",其他分录!$B106)</f>
        <v/>
      </c>
      <c r="F5206" s="55" t="str">
        <f aca="false">IF($H5206="","",其他分录!$C106)</f>
        <v/>
      </c>
      <c r="G5206" s="48" t="str">
        <f aca="false">IF($H5206="","",其他分录!$D106)</f>
        <v/>
      </c>
      <c r="H5206" s="10" t="str">
        <f aca="false">IF(OR(其他分录!$B106="",N(其他分录!$G106)=0),"",其他分录!$E106)</f>
        <v/>
      </c>
      <c r="I5206" s="42" t="n">
        <f aca="false">IF($M5206="借",$O5206,0)</f>
        <v>0</v>
      </c>
      <c r="J5206" s="42" t="n">
        <f aca="false">IF($M5206="贷",$O5206,0)</f>
        <v>0</v>
      </c>
      <c r="K5206" s="48" t="str">
        <f aca="false">IF($H5206="","",其他分录!$H106)</f>
        <v/>
      </c>
      <c r="L5206" s="66"/>
      <c r="M5206" s="66" t="str">
        <f aca="false">IF($H5206="","","借")</f>
        <v/>
      </c>
      <c r="N5206" s="66"/>
      <c r="O5206" s="67" t="n">
        <f aca="false">IF($H5206="",0,ROUND(N(其他分录!$G106),2))</f>
        <v>0</v>
      </c>
      <c r="P5206" s="64" t="str">
        <f aca="false">IF(AND($H5206&lt;&gt;"",ROUND($O5206,2)&lt;&gt;0),"有","")</f>
        <v/>
      </c>
    </row>
    <row r="5207" customFormat="false" ht="15" hidden="true" customHeight="false" outlineLevel="0" collapsed="false">
      <c r="A5207" s="53" t="str">
        <f aca="false">IF($H5207="","",ROW()-5)</f>
        <v/>
      </c>
      <c r="B5207" s="64" t="s">
        <v>39</v>
      </c>
      <c r="C5207" s="53" t="n">
        <v>106</v>
      </c>
      <c r="D5207" s="53" t="n">
        <v>2</v>
      </c>
      <c r="E5207" s="65" t="str">
        <f aca="false">IF($H5207="","",其他分录!$B106)</f>
        <v/>
      </c>
      <c r="F5207" s="55" t="str">
        <f aca="false">IF($H5207="","",其他分录!$C106)</f>
        <v/>
      </c>
      <c r="G5207" s="48" t="str">
        <f aca="false">IF($H5207="","",其他分录!$D106)</f>
        <v/>
      </c>
      <c r="H5207" s="10" t="str">
        <f aca="false">IF(OR(其他分录!$B106="",N(其他分录!$G106)=0),"",其他分录!$F106)</f>
        <v/>
      </c>
      <c r="I5207" s="42" t="n">
        <f aca="false">IF($M5207="借",$O5207,0)</f>
        <v>0</v>
      </c>
      <c r="J5207" s="42" t="n">
        <f aca="false">IF($M5207="贷",$O5207,0)</f>
        <v>0</v>
      </c>
      <c r="K5207" s="48" t="str">
        <f aca="false">IF($H5207="","",其他分录!$H106)</f>
        <v/>
      </c>
      <c r="L5207" s="66"/>
      <c r="M5207" s="66" t="str">
        <f aca="false">IF($H5207="","","贷")</f>
        <v/>
      </c>
      <c r="N5207" s="66"/>
      <c r="O5207" s="67" t="n">
        <f aca="false">IF($H5207="",0,ROUND(N(其他分录!$G106),2))</f>
        <v>0</v>
      </c>
      <c r="P5207" s="64" t="str">
        <f aca="false">IF(AND($H5207&lt;&gt;"",ROUND($O5207,2)&lt;&gt;0),"有","")</f>
        <v/>
      </c>
    </row>
    <row r="5208" customFormat="false" ht="15" hidden="true" customHeight="false" outlineLevel="0" collapsed="false">
      <c r="A5208" s="53" t="str">
        <f aca="false">IF($H5208="","",ROW()-5)</f>
        <v/>
      </c>
      <c r="B5208" s="64" t="s">
        <v>39</v>
      </c>
      <c r="C5208" s="53" t="n">
        <v>107</v>
      </c>
      <c r="D5208" s="53" t="n">
        <v>1</v>
      </c>
      <c r="E5208" s="65" t="str">
        <f aca="false">IF($H5208="","",其他分录!$B107)</f>
        <v/>
      </c>
      <c r="F5208" s="55" t="str">
        <f aca="false">IF($H5208="","",其他分录!$C107)</f>
        <v/>
      </c>
      <c r="G5208" s="48" t="str">
        <f aca="false">IF($H5208="","",其他分录!$D107)</f>
        <v/>
      </c>
      <c r="H5208" s="10" t="str">
        <f aca="false">IF(OR(其他分录!$B107="",N(其他分录!$G107)=0),"",其他分录!$E107)</f>
        <v/>
      </c>
      <c r="I5208" s="42" t="n">
        <f aca="false">IF($M5208="借",$O5208,0)</f>
        <v>0</v>
      </c>
      <c r="J5208" s="42" t="n">
        <f aca="false">IF($M5208="贷",$O5208,0)</f>
        <v>0</v>
      </c>
      <c r="K5208" s="48" t="str">
        <f aca="false">IF($H5208="","",其他分录!$H107)</f>
        <v/>
      </c>
      <c r="L5208" s="66"/>
      <c r="M5208" s="66" t="str">
        <f aca="false">IF($H5208="","","借")</f>
        <v/>
      </c>
      <c r="N5208" s="66"/>
      <c r="O5208" s="67" t="n">
        <f aca="false">IF($H5208="",0,ROUND(N(其他分录!$G107),2))</f>
        <v>0</v>
      </c>
      <c r="P5208" s="64" t="str">
        <f aca="false">IF(AND($H5208&lt;&gt;"",ROUND($O5208,2)&lt;&gt;0),"有","")</f>
        <v/>
      </c>
    </row>
    <row r="5209" customFormat="false" ht="15" hidden="true" customHeight="false" outlineLevel="0" collapsed="false">
      <c r="A5209" s="53" t="str">
        <f aca="false">IF($H5209="","",ROW()-5)</f>
        <v/>
      </c>
      <c r="B5209" s="64" t="s">
        <v>39</v>
      </c>
      <c r="C5209" s="53" t="n">
        <v>107</v>
      </c>
      <c r="D5209" s="53" t="n">
        <v>2</v>
      </c>
      <c r="E5209" s="65" t="str">
        <f aca="false">IF($H5209="","",其他分录!$B107)</f>
        <v/>
      </c>
      <c r="F5209" s="55" t="str">
        <f aca="false">IF($H5209="","",其他分录!$C107)</f>
        <v/>
      </c>
      <c r="G5209" s="48" t="str">
        <f aca="false">IF($H5209="","",其他分录!$D107)</f>
        <v/>
      </c>
      <c r="H5209" s="10" t="str">
        <f aca="false">IF(OR(其他分录!$B107="",N(其他分录!$G107)=0),"",其他分录!$F107)</f>
        <v/>
      </c>
      <c r="I5209" s="42" t="n">
        <f aca="false">IF($M5209="借",$O5209,0)</f>
        <v>0</v>
      </c>
      <c r="J5209" s="42" t="n">
        <f aca="false">IF($M5209="贷",$O5209,0)</f>
        <v>0</v>
      </c>
      <c r="K5209" s="48" t="str">
        <f aca="false">IF($H5209="","",其他分录!$H107)</f>
        <v/>
      </c>
      <c r="L5209" s="66"/>
      <c r="M5209" s="66" t="str">
        <f aca="false">IF($H5209="","","贷")</f>
        <v/>
      </c>
      <c r="N5209" s="66"/>
      <c r="O5209" s="67" t="n">
        <f aca="false">IF($H5209="",0,ROUND(N(其他分录!$G107),2))</f>
        <v>0</v>
      </c>
      <c r="P5209" s="64" t="str">
        <f aca="false">IF(AND($H5209&lt;&gt;"",ROUND($O5209,2)&lt;&gt;0),"有","")</f>
        <v/>
      </c>
    </row>
    <row r="5210" customFormat="false" ht="15" hidden="true" customHeight="false" outlineLevel="0" collapsed="false">
      <c r="A5210" s="53" t="str">
        <f aca="false">IF($H5210="","",ROW()-5)</f>
        <v/>
      </c>
      <c r="B5210" s="64" t="s">
        <v>39</v>
      </c>
      <c r="C5210" s="53" t="n">
        <v>108</v>
      </c>
      <c r="D5210" s="53" t="n">
        <v>1</v>
      </c>
      <c r="E5210" s="65" t="str">
        <f aca="false">IF($H5210="","",其他分录!$B108)</f>
        <v/>
      </c>
      <c r="F5210" s="55" t="str">
        <f aca="false">IF($H5210="","",其他分录!$C108)</f>
        <v/>
      </c>
      <c r="G5210" s="48" t="str">
        <f aca="false">IF($H5210="","",其他分录!$D108)</f>
        <v/>
      </c>
      <c r="H5210" s="10" t="str">
        <f aca="false">IF(OR(其他分录!$B108="",N(其他分录!$G108)=0),"",其他分录!$E108)</f>
        <v/>
      </c>
      <c r="I5210" s="42" t="n">
        <f aca="false">IF($M5210="借",$O5210,0)</f>
        <v>0</v>
      </c>
      <c r="J5210" s="42" t="n">
        <f aca="false">IF($M5210="贷",$O5210,0)</f>
        <v>0</v>
      </c>
      <c r="K5210" s="48" t="str">
        <f aca="false">IF($H5210="","",其他分录!$H108)</f>
        <v/>
      </c>
      <c r="L5210" s="66"/>
      <c r="M5210" s="66" t="str">
        <f aca="false">IF($H5210="","","借")</f>
        <v/>
      </c>
      <c r="N5210" s="66"/>
      <c r="O5210" s="67" t="n">
        <f aca="false">IF($H5210="",0,ROUND(N(其他分录!$G108),2))</f>
        <v>0</v>
      </c>
      <c r="P5210" s="64" t="str">
        <f aca="false">IF(AND($H5210&lt;&gt;"",ROUND($O5210,2)&lt;&gt;0),"有","")</f>
        <v/>
      </c>
    </row>
    <row r="5211" customFormat="false" ht="15" hidden="true" customHeight="false" outlineLevel="0" collapsed="false">
      <c r="A5211" s="53" t="str">
        <f aca="false">IF($H5211="","",ROW()-5)</f>
        <v/>
      </c>
      <c r="B5211" s="64" t="s">
        <v>39</v>
      </c>
      <c r="C5211" s="53" t="n">
        <v>108</v>
      </c>
      <c r="D5211" s="53" t="n">
        <v>2</v>
      </c>
      <c r="E5211" s="65" t="str">
        <f aca="false">IF($H5211="","",其他分录!$B108)</f>
        <v/>
      </c>
      <c r="F5211" s="55" t="str">
        <f aca="false">IF($H5211="","",其他分录!$C108)</f>
        <v/>
      </c>
      <c r="G5211" s="48" t="str">
        <f aca="false">IF($H5211="","",其他分录!$D108)</f>
        <v/>
      </c>
      <c r="H5211" s="10" t="str">
        <f aca="false">IF(OR(其他分录!$B108="",N(其他分录!$G108)=0),"",其他分录!$F108)</f>
        <v/>
      </c>
      <c r="I5211" s="42" t="n">
        <f aca="false">IF($M5211="借",$O5211,0)</f>
        <v>0</v>
      </c>
      <c r="J5211" s="42" t="n">
        <f aca="false">IF($M5211="贷",$O5211,0)</f>
        <v>0</v>
      </c>
      <c r="K5211" s="48" t="str">
        <f aca="false">IF($H5211="","",其他分录!$H108)</f>
        <v/>
      </c>
      <c r="L5211" s="66"/>
      <c r="M5211" s="66" t="str">
        <f aca="false">IF($H5211="","","贷")</f>
        <v/>
      </c>
      <c r="N5211" s="66"/>
      <c r="O5211" s="67" t="n">
        <f aca="false">IF($H5211="",0,ROUND(N(其他分录!$G108),2))</f>
        <v>0</v>
      </c>
      <c r="P5211" s="64" t="str">
        <f aca="false">IF(AND($H5211&lt;&gt;"",ROUND($O5211,2)&lt;&gt;0),"有","")</f>
        <v/>
      </c>
    </row>
    <row r="5212" customFormat="false" ht="15" hidden="true" customHeight="false" outlineLevel="0" collapsed="false">
      <c r="A5212" s="53" t="str">
        <f aca="false">IF($H5212="","",ROW()-5)</f>
        <v/>
      </c>
      <c r="B5212" s="64" t="s">
        <v>39</v>
      </c>
      <c r="C5212" s="53" t="n">
        <v>109</v>
      </c>
      <c r="D5212" s="53" t="n">
        <v>1</v>
      </c>
      <c r="E5212" s="65" t="str">
        <f aca="false">IF($H5212="","",其他分录!$B109)</f>
        <v/>
      </c>
      <c r="F5212" s="55" t="str">
        <f aca="false">IF($H5212="","",其他分录!$C109)</f>
        <v/>
      </c>
      <c r="G5212" s="48" t="str">
        <f aca="false">IF($H5212="","",其他分录!$D109)</f>
        <v/>
      </c>
      <c r="H5212" s="10" t="str">
        <f aca="false">IF(OR(其他分录!$B109="",N(其他分录!$G109)=0),"",其他分录!$E109)</f>
        <v/>
      </c>
      <c r="I5212" s="42" t="n">
        <f aca="false">IF($M5212="借",$O5212,0)</f>
        <v>0</v>
      </c>
      <c r="J5212" s="42" t="n">
        <f aca="false">IF($M5212="贷",$O5212,0)</f>
        <v>0</v>
      </c>
      <c r="K5212" s="48" t="str">
        <f aca="false">IF($H5212="","",其他分录!$H109)</f>
        <v/>
      </c>
      <c r="L5212" s="66"/>
      <c r="M5212" s="66" t="str">
        <f aca="false">IF($H5212="","","借")</f>
        <v/>
      </c>
      <c r="N5212" s="66"/>
      <c r="O5212" s="67" t="n">
        <f aca="false">IF($H5212="",0,ROUND(N(其他分录!$G109),2))</f>
        <v>0</v>
      </c>
      <c r="P5212" s="64" t="str">
        <f aca="false">IF(AND($H5212&lt;&gt;"",ROUND($O5212,2)&lt;&gt;0),"有","")</f>
        <v/>
      </c>
    </row>
    <row r="5213" customFormat="false" ht="15" hidden="true" customHeight="false" outlineLevel="0" collapsed="false">
      <c r="A5213" s="53" t="str">
        <f aca="false">IF($H5213="","",ROW()-5)</f>
        <v/>
      </c>
      <c r="B5213" s="64" t="s">
        <v>39</v>
      </c>
      <c r="C5213" s="53" t="n">
        <v>109</v>
      </c>
      <c r="D5213" s="53" t="n">
        <v>2</v>
      </c>
      <c r="E5213" s="65" t="str">
        <f aca="false">IF($H5213="","",其他分录!$B109)</f>
        <v/>
      </c>
      <c r="F5213" s="55" t="str">
        <f aca="false">IF($H5213="","",其他分录!$C109)</f>
        <v/>
      </c>
      <c r="G5213" s="48" t="str">
        <f aca="false">IF($H5213="","",其他分录!$D109)</f>
        <v/>
      </c>
      <c r="H5213" s="10" t="str">
        <f aca="false">IF(OR(其他分录!$B109="",N(其他分录!$G109)=0),"",其他分录!$F109)</f>
        <v/>
      </c>
      <c r="I5213" s="42" t="n">
        <f aca="false">IF($M5213="借",$O5213,0)</f>
        <v>0</v>
      </c>
      <c r="J5213" s="42" t="n">
        <f aca="false">IF($M5213="贷",$O5213,0)</f>
        <v>0</v>
      </c>
      <c r="K5213" s="48" t="str">
        <f aca="false">IF($H5213="","",其他分录!$H109)</f>
        <v/>
      </c>
      <c r="L5213" s="66"/>
      <c r="M5213" s="66" t="str">
        <f aca="false">IF($H5213="","","贷")</f>
        <v/>
      </c>
      <c r="N5213" s="66"/>
      <c r="O5213" s="67" t="n">
        <f aca="false">IF($H5213="",0,ROUND(N(其他分录!$G109),2))</f>
        <v>0</v>
      </c>
      <c r="P5213" s="64" t="str">
        <f aca="false">IF(AND($H5213&lt;&gt;"",ROUND($O5213,2)&lt;&gt;0),"有","")</f>
        <v/>
      </c>
    </row>
    <row r="5214" customFormat="false" ht="15" hidden="true" customHeight="false" outlineLevel="0" collapsed="false">
      <c r="A5214" s="53" t="str">
        <f aca="false">IF($H5214="","",ROW()-5)</f>
        <v/>
      </c>
      <c r="B5214" s="64" t="s">
        <v>39</v>
      </c>
      <c r="C5214" s="53" t="n">
        <v>110</v>
      </c>
      <c r="D5214" s="53" t="n">
        <v>1</v>
      </c>
      <c r="E5214" s="65" t="str">
        <f aca="false">IF($H5214="","",其他分录!$B110)</f>
        <v/>
      </c>
      <c r="F5214" s="55" t="str">
        <f aca="false">IF($H5214="","",其他分录!$C110)</f>
        <v/>
      </c>
      <c r="G5214" s="48" t="str">
        <f aca="false">IF($H5214="","",其他分录!$D110)</f>
        <v/>
      </c>
      <c r="H5214" s="10" t="str">
        <f aca="false">IF(OR(其他分录!$B110="",N(其他分录!$G110)=0),"",其他分录!$E110)</f>
        <v/>
      </c>
      <c r="I5214" s="42" t="n">
        <f aca="false">IF($M5214="借",$O5214,0)</f>
        <v>0</v>
      </c>
      <c r="J5214" s="42" t="n">
        <f aca="false">IF($M5214="贷",$O5214,0)</f>
        <v>0</v>
      </c>
      <c r="K5214" s="48" t="str">
        <f aca="false">IF($H5214="","",其他分录!$H110)</f>
        <v/>
      </c>
      <c r="L5214" s="66"/>
      <c r="M5214" s="66" t="str">
        <f aca="false">IF($H5214="","","借")</f>
        <v/>
      </c>
      <c r="N5214" s="66"/>
      <c r="O5214" s="67" t="n">
        <f aca="false">IF($H5214="",0,ROUND(N(其他分录!$G110),2))</f>
        <v>0</v>
      </c>
      <c r="P5214" s="64" t="str">
        <f aca="false">IF(AND($H5214&lt;&gt;"",ROUND($O5214,2)&lt;&gt;0),"有","")</f>
        <v/>
      </c>
    </row>
    <row r="5215" customFormat="false" ht="15" hidden="true" customHeight="false" outlineLevel="0" collapsed="false">
      <c r="A5215" s="53" t="str">
        <f aca="false">IF($H5215="","",ROW()-5)</f>
        <v/>
      </c>
      <c r="B5215" s="64" t="s">
        <v>39</v>
      </c>
      <c r="C5215" s="53" t="n">
        <v>110</v>
      </c>
      <c r="D5215" s="53" t="n">
        <v>2</v>
      </c>
      <c r="E5215" s="65" t="str">
        <f aca="false">IF($H5215="","",其他分录!$B110)</f>
        <v/>
      </c>
      <c r="F5215" s="55" t="str">
        <f aca="false">IF($H5215="","",其他分录!$C110)</f>
        <v/>
      </c>
      <c r="G5215" s="48" t="str">
        <f aca="false">IF($H5215="","",其他分录!$D110)</f>
        <v/>
      </c>
      <c r="H5215" s="10" t="str">
        <f aca="false">IF(OR(其他分录!$B110="",N(其他分录!$G110)=0),"",其他分录!$F110)</f>
        <v/>
      </c>
      <c r="I5215" s="42" t="n">
        <f aca="false">IF($M5215="借",$O5215,0)</f>
        <v>0</v>
      </c>
      <c r="J5215" s="42" t="n">
        <f aca="false">IF($M5215="贷",$O5215,0)</f>
        <v>0</v>
      </c>
      <c r="K5215" s="48" t="str">
        <f aca="false">IF($H5215="","",其他分录!$H110)</f>
        <v/>
      </c>
      <c r="L5215" s="66"/>
      <c r="M5215" s="66" t="str">
        <f aca="false">IF($H5215="","","贷")</f>
        <v/>
      </c>
      <c r="N5215" s="66"/>
      <c r="O5215" s="67" t="n">
        <f aca="false">IF($H5215="",0,ROUND(N(其他分录!$G110),2))</f>
        <v>0</v>
      </c>
      <c r="P5215" s="64" t="str">
        <f aca="false">IF(AND($H5215&lt;&gt;"",ROUND($O5215,2)&lt;&gt;0),"有","")</f>
        <v/>
      </c>
    </row>
    <row r="5216" customFormat="false" ht="15" hidden="true" customHeight="false" outlineLevel="0" collapsed="false">
      <c r="A5216" s="53" t="str">
        <f aca="false">IF($H5216="","",ROW()-5)</f>
        <v/>
      </c>
      <c r="B5216" s="64" t="s">
        <v>39</v>
      </c>
      <c r="C5216" s="53" t="n">
        <v>111</v>
      </c>
      <c r="D5216" s="53" t="n">
        <v>1</v>
      </c>
      <c r="E5216" s="65" t="str">
        <f aca="false">IF($H5216="","",其他分录!$B111)</f>
        <v/>
      </c>
      <c r="F5216" s="55" t="str">
        <f aca="false">IF($H5216="","",其他分录!$C111)</f>
        <v/>
      </c>
      <c r="G5216" s="48" t="str">
        <f aca="false">IF($H5216="","",其他分录!$D111)</f>
        <v/>
      </c>
      <c r="H5216" s="10" t="str">
        <f aca="false">IF(OR(其他分录!$B111="",N(其他分录!$G111)=0),"",其他分录!$E111)</f>
        <v/>
      </c>
      <c r="I5216" s="42" t="n">
        <f aca="false">IF($M5216="借",$O5216,0)</f>
        <v>0</v>
      </c>
      <c r="J5216" s="42" t="n">
        <f aca="false">IF($M5216="贷",$O5216,0)</f>
        <v>0</v>
      </c>
      <c r="K5216" s="48" t="str">
        <f aca="false">IF($H5216="","",其他分录!$H111)</f>
        <v/>
      </c>
      <c r="L5216" s="66"/>
      <c r="M5216" s="66" t="str">
        <f aca="false">IF($H5216="","","借")</f>
        <v/>
      </c>
      <c r="N5216" s="66"/>
      <c r="O5216" s="67" t="n">
        <f aca="false">IF($H5216="",0,ROUND(N(其他分录!$G111),2))</f>
        <v>0</v>
      </c>
      <c r="P5216" s="64" t="str">
        <f aca="false">IF(AND($H5216&lt;&gt;"",ROUND($O5216,2)&lt;&gt;0),"有","")</f>
        <v/>
      </c>
    </row>
    <row r="5217" customFormat="false" ht="15" hidden="true" customHeight="false" outlineLevel="0" collapsed="false">
      <c r="A5217" s="53" t="str">
        <f aca="false">IF($H5217="","",ROW()-5)</f>
        <v/>
      </c>
      <c r="B5217" s="64" t="s">
        <v>39</v>
      </c>
      <c r="C5217" s="53" t="n">
        <v>111</v>
      </c>
      <c r="D5217" s="53" t="n">
        <v>2</v>
      </c>
      <c r="E5217" s="65" t="str">
        <f aca="false">IF($H5217="","",其他分录!$B111)</f>
        <v/>
      </c>
      <c r="F5217" s="55" t="str">
        <f aca="false">IF($H5217="","",其他分录!$C111)</f>
        <v/>
      </c>
      <c r="G5217" s="48" t="str">
        <f aca="false">IF($H5217="","",其他分录!$D111)</f>
        <v/>
      </c>
      <c r="H5217" s="10" t="str">
        <f aca="false">IF(OR(其他分录!$B111="",N(其他分录!$G111)=0),"",其他分录!$F111)</f>
        <v/>
      </c>
      <c r="I5217" s="42" t="n">
        <f aca="false">IF($M5217="借",$O5217,0)</f>
        <v>0</v>
      </c>
      <c r="J5217" s="42" t="n">
        <f aca="false">IF($M5217="贷",$O5217,0)</f>
        <v>0</v>
      </c>
      <c r="K5217" s="48" t="str">
        <f aca="false">IF($H5217="","",其他分录!$H111)</f>
        <v/>
      </c>
      <c r="L5217" s="66"/>
      <c r="M5217" s="66" t="str">
        <f aca="false">IF($H5217="","","贷")</f>
        <v/>
      </c>
      <c r="N5217" s="66"/>
      <c r="O5217" s="67" t="n">
        <f aca="false">IF($H5217="",0,ROUND(N(其他分录!$G111),2))</f>
        <v>0</v>
      </c>
      <c r="P5217" s="64" t="str">
        <f aca="false">IF(AND($H5217&lt;&gt;"",ROUND($O5217,2)&lt;&gt;0),"有","")</f>
        <v/>
      </c>
    </row>
    <row r="5218" customFormat="false" ht="15" hidden="true" customHeight="false" outlineLevel="0" collapsed="false">
      <c r="A5218" s="53" t="str">
        <f aca="false">IF($H5218="","",ROW()-5)</f>
        <v/>
      </c>
      <c r="B5218" s="64" t="s">
        <v>39</v>
      </c>
      <c r="C5218" s="53" t="n">
        <v>112</v>
      </c>
      <c r="D5218" s="53" t="n">
        <v>1</v>
      </c>
      <c r="E5218" s="65" t="str">
        <f aca="false">IF($H5218="","",其他分录!$B112)</f>
        <v/>
      </c>
      <c r="F5218" s="55" t="str">
        <f aca="false">IF($H5218="","",其他分录!$C112)</f>
        <v/>
      </c>
      <c r="G5218" s="48" t="str">
        <f aca="false">IF($H5218="","",其他分录!$D112)</f>
        <v/>
      </c>
      <c r="H5218" s="10" t="str">
        <f aca="false">IF(OR(其他分录!$B112="",N(其他分录!$G112)=0),"",其他分录!$E112)</f>
        <v/>
      </c>
      <c r="I5218" s="42" t="n">
        <f aca="false">IF($M5218="借",$O5218,0)</f>
        <v>0</v>
      </c>
      <c r="J5218" s="42" t="n">
        <f aca="false">IF($M5218="贷",$O5218,0)</f>
        <v>0</v>
      </c>
      <c r="K5218" s="48" t="str">
        <f aca="false">IF($H5218="","",其他分录!$H112)</f>
        <v/>
      </c>
      <c r="L5218" s="66"/>
      <c r="M5218" s="66" t="str">
        <f aca="false">IF($H5218="","","借")</f>
        <v/>
      </c>
      <c r="N5218" s="66"/>
      <c r="O5218" s="67" t="n">
        <f aca="false">IF($H5218="",0,ROUND(N(其他分录!$G112),2))</f>
        <v>0</v>
      </c>
      <c r="P5218" s="64" t="str">
        <f aca="false">IF(AND($H5218&lt;&gt;"",ROUND($O5218,2)&lt;&gt;0),"有","")</f>
        <v/>
      </c>
    </row>
    <row r="5219" customFormat="false" ht="15" hidden="true" customHeight="false" outlineLevel="0" collapsed="false">
      <c r="A5219" s="53" t="str">
        <f aca="false">IF($H5219="","",ROW()-5)</f>
        <v/>
      </c>
      <c r="B5219" s="64" t="s">
        <v>39</v>
      </c>
      <c r="C5219" s="53" t="n">
        <v>112</v>
      </c>
      <c r="D5219" s="53" t="n">
        <v>2</v>
      </c>
      <c r="E5219" s="65" t="str">
        <f aca="false">IF($H5219="","",其他分录!$B112)</f>
        <v/>
      </c>
      <c r="F5219" s="55" t="str">
        <f aca="false">IF($H5219="","",其他分录!$C112)</f>
        <v/>
      </c>
      <c r="G5219" s="48" t="str">
        <f aca="false">IF($H5219="","",其他分录!$D112)</f>
        <v/>
      </c>
      <c r="H5219" s="10" t="str">
        <f aca="false">IF(OR(其他分录!$B112="",N(其他分录!$G112)=0),"",其他分录!$F112)</f>
        <v/>
      </c>
      <c r="I5219" s="42" t="n">
        <f aca="false">IF($M5219="借",$O5219,0)</f>
        <v>0</v>
      </c>
      <c r="J5219" s="42" t="n">
        <f aca="false">IF($M5219="贷",$O5219,0)</f>
        <v>0</v>
      </c>
      <c r="K5219" s="48" t="str">
        <f aca="false">IF($H5219="","",其他分录!$H112)</f>
        <v/>
      </c>
      <c r="L5219" s="66"/>
      <c r="M5219" s="66" t="str">
        <f aca="false">IF($H5219="","","贷")</f>
        <v/>
      </c>
      <c r="N5219" s="66"/>
      <c r="O5219" s="67" t="n">
        <f aca="false">IF($H5219="",0,ROUND(N(其他分录!$G112),2))</f>
        <v>0</v>
      </c>
      <c r="P5219" s="64" t="str">
        <f aca="false">IF(AND($H5219&lt;&gt;"",ROUND($O5219,2)&lt;&gt;0),"有","")</f>
        <v/>
      </c>
    </row>
    <row r="5220" customFormat="false" ht="15" hidden="true" customHeight="false" outlineLevel="0" collapsed="false">
      <c r="A5220" s="53" t="str">
        <f aca="false">IF($H5220="","",ROW()-5)</f>
        <v/>
      </c>
      <c r="B5220" s="64" t="s">
        <v>39</v>
      </c>
      <c r="C5220" s="53" t="n">
        <v>113</v>
      </c>
      <c r="D5220" s="53" t="n">
        <v>1</v>
      </c>
      <c r="E5220" s="65" t="str">
        <f aca="false">IF($H5220="","",其他分录!$B113)</f>
        <v/>
      </c>
      <c r="F5220" s="55" t="str">
        <f aca="false">IF($H5220="","",其他分录!$C113)</f>
        <v/>
      </c>
      <c r="G5220" s="48" t="str">
        <f aca="false">IF($H5220="","",其他分录!$D113)</f>
        <v/>
      </c>
      <c r="H5220" s="10" t="str">
        <f aca="false">IF(OR(其他分录!$B113="",N(其他分录!$G113)=0),"",其他分录!$E113)</f>
        <v/>
      </c>
      <c r="I5220" s="42" t="n">
        <f aca="false">IF($M5220="借",$O5220,0)</f>
        <v>0</v>
      </c>
      <c r="J5220" s="42" t="n">
        <f aca="false">IF($M5220="贷",$O5220,0)</f>
        <v>0</v>
      </c>
      <c r="K5220" s="48" t="str">
        <f aca="false">IF($H5220="","",其他分录!$H113)</f>
        <v/>
      </c>
      <c r="L5220" s="66"/>
      <c r="M5220" s="66" t="str">
        <f aca="false">IF($H5220="","","借")</f>
        <v/>
      </c>
      <c r="N5220" s="66"/>
      <c r="O5220" s="67" t="n">
        <f aca="false">IF($H5220="",0,ROUND(N(其他分录!$G113),2))</f>
        <v>0</v>
      </c>
      <c r="P5220" s="64" t="str">
        <f aca="false">IF(AND($H5220&lt;&gt;"",ROUND($O5220,2)&lt;&gt;0),"有","")</f>
        <v/>
      </c>
    </row>
    <row r="5221" customFormat="false" ht="15" hidden="true" customHeight="false" outlineLevel="0" collapsed="false">
      <c r="A5221" s="53" t="str">
        <f aca="false">IF($H5221="","",ROW()-5)</f>
        <v/>
      </c>
      <c r="B5221" s="64" t="s">
        <v>39</v>
      </c>
      <c r="C5221" s="53" t="n">
        <v>113</v>
      </c>
      <c r="D5221" s="53" t="n">
        <v>2</v>
      </c>
      <c r="E5221" s="65" t="str">
        <f aca="false">IF($H5221="","",其他分录!$B113)</f>
        <v/>
      </c>
      <c r="F5221" s="55" t="str">
        <f aca="false">IF($H5221="","",其他分录!$C113)</f>
        <v/>
      </c>
      <c r="G5221" s="48" t="str">
        <f aca="false">IF($H5221="","",其他分录!$D113)</f>
        <v/>
      </c>
      <c r="H5221" s="10" t="str">
        <f aca="false">IF(OR(其他分录!$B113="",N(其他分录!$G113)=0),"",其他分录!$F113)</f>
        <v/>
      </c>
      <c r="I5221" s="42" t="n">
        <f aca="false">IF($M5221="借",$O5221,0)</f>
        <v>0</v>
      </c>
      <c r="J5221" s="42" t="n">
        <f aca="false">IF($M5221="贷",$O5221,0)</f>
        <v>0</v>
      </c>
      <c r="K5221" s="48" t="str">
        <f aca="false">IF($H5221="","",其他分录!$H113)</f>
        <v/>
      </c>
      <c r="L5221" s="66"/>
      <c r="M5221" s="66" t="str">
        <f aca="false">IF($H5221="","","贷")</f>
        <v/>
      </c>
      <c r="N5221" s="66"/>
      <c r="O5221" s="67" t="n">
        <f aca="false">IF($H5221="",0,ROUND(N(其他分录!$G113),2))</f>
        <v>0</v>
      </c>
      <c r="P5221" s="64" t="str">
        <f aca="false">IF(AND($H5221&lt;&gt;"",ROUND($O5221,2)&lt;&gt;0),"有","")</f>
        <v/>
      </c>
    </row>
    <row r="5222" customFormat="false" ht="15" hidden="true" customHeight="false" outlineLevel="0" collapsed="false">
      <c r="A5222" s="53" t="str">
        <f aca="false">IF($H5222="","",ROW()-5)</f>
        <v/>
      </c>
      <c r="B5222" s="64" t="s">
        <v>39</v>
      </c>
      <c r="C5222" s="53" t="n">
        <v>114</v>
      </c>
      <c r="D5222" s="53" t="n">
        <v>1</v>
      </c>
      <c r="E5222" s="65" t="str">
        <f aca="false">IF($H5222="","",其他分录!$B114)</f>
        <v/>
      </c>
      <c r="F5222" s="55" t="str">
        <f aca="false">IF($H5222="","",其他分录!$C114)</f>
        <v/>
      </c>
      <c r="G5222" s="48" t="str">
        <f aca="false">IF($H5222="","",其他分录!$D114)</f>
        <v/>
      </c>
      <c r="H5222" s="10" t="str">
        <f aca="false">IF(OR(其他分录!$B114="",N(其他分录!$G114)=0),"",其他分录!$E114)</f>
        <v/>
      </c>
      <c r="I5222" s="42" t="n">
        <f aca="false">IF($M5222="借",$O5222,0)</f>
        <v>0</v>
      </c>
      <c r="J5222" s="42" t="n">
        <f aca="false">IF($M5222="贷",$O5222,0)</f>
        <v>0</v>
      </c>
      <c r="K5222" s="48" t="str">
        <f aca="false">IF($H5222="","",其他分录!$H114)</f>
        <v/>
      </c>
      <c r="L5222" s="66"/>
      <c r="M5222" s="66" t="str">
        <f aca="false">IF($H5222="","","借")</f>
        <v/>
      </c>
      <c r="N5222" s="66"/>
      <c r="O5222" s="67" t="n">
        <f aca="false">IF($H5222="",0,ROUND(N(其他分录!$G114),2))</f>
        <v>0</v>
      </c>
      <c r="P5222" s="64" t="str">
        <f aca="false">IF(AND($H5222&lt;&gt;"",ROUND($O5222,2)&lt;&gt;0),"有","")</f>
        <v/>
      </c>
    </row>
    <row r="5223" customFormat="false" ht="15" hidden="true" customHeight="false" outlineLevel="0" collapsed="false">
      <c r="A5223" s="53" t="str">
        <f aca="false">IF($H5223="","",ROW()-5)</f>
        <v/>
      </c>
      <c r="B5223" s="64" t="s">
        <v>39</v>
      </c>
      <c r="C5223" s="53" t="n">
        <v>114</v>
      </c>
      <c r="D5223" s="53" t="n">
        <v>2</v>
      </c>
      <c r="E5223" s="65" t="str">
        <f aca="false">IF($H5223="","",其他分录!$B114)</f>
        <v/>
      </c>
      <c r="F5223" s="55" t="str">
        <f aca="false">IF($H5223="","",其他分录!$C114)</f>
        <v/>
      </c>
      <c r="G5223" s="48" t="str">
        <f aca="false">IF($H5223="","",其他分录!$D114)</f>
        <v/>
      </c>
      <c r="H5223" s="10" t="str">
        <f aca="false">IF(OR(其他分录!$B114="",N(其他分录!$G114)=0),"",其他分录!$F114)</f>
        <v/>
      </c>
      <c r="I5223" s="42" t="n">
        <f aca="false">IF($M5223="借",$O5223,0)</f>
        <v>0</v>
      </c>
      <c r="J5223" s="42" t="n">
        <f aca="false">IF($M5223="贷",$O5223,0)</f>
        <v>0</v>
      </c>
      <c r="K5223" s="48" t="str">
        <f aca="false">IF($H5223="","",其他分录!$H114)</f>
        <v/>
      </c>
      <c r="L5223" s="66"/>
      <c r="M5223" s="66" t="str">
        <f aca="false">IF($H5223="","","贷")</f>
        <v/>
      </c>
      <c r="N5223" s="66"/>
      <c r="O5223" s="67" t="n">
        <f aca="false">IF($H5223="",0,ROUND(N(其他分录!$G114),2))</f>
        <v>0</v>
      </c>
      <c r="P5223" s="64" t="str">
        <f aca="false">IF(AND($H5223&lt;&gt;"",ROUND($O5223,2)&lt;&gt;0),"有","")</f>
        <v/>
      </c>
    </row>
    <row r="5224" customFormat="false" ht="15" hidden="true" customHeight="false" outlineLevel="0" collapsed="false">
      <c r="A5224" s="53" t="str">
        <f aca="false">IF($H5224="","",ROW()-5)</f>
        <v/>
      </c>
      <c r="B5224" s="64" t="s">
        <v>39</v>
      </c>
      <c r="C5224" s="53" t="n">
        <v>115</v>
      </c>
      <c r="D5224" s="53" t="n">
        <v>1</v>
      </c>
      <c r="E5224" s="65" t="str">
        <f aca="false">IF($H5224="","",其他分录!$B115)</f>
        <v/>
      </c>
      <c r="F5224" s="55" t="str">
        <f aca="false">IF($H5224="","",其他分录!$C115)</f>
        <v/>
      </c>
      <c r="G5224" s="48" t="str">
        <f aca="false">IF($H5224="","",其他分录!$D115)</f>
        <v/>
      </c>
      <c r="H5224" s="10" t="str">
        <f aca="false">IF(OR(其他分录!$B115="",N(其他分录!$G115)=0),"",其他分录!$E115)</f>
        <v/>
      </c>
      <c r="I5224" s="42" t="n">
        <f aca="false">IF($M5224="借",$O5224,0)</f>
        <v>0</v>
      </c>
      <c r="J5224" s="42" t="n">
        <f aca="false">IF($M5224="贷",$O5224,0)</f>
        <v>0</v>
      </c>
      <c r="K5224" s="48" t="str">
        <f aca="false">IF($H5224="","",其他分录!$H115)</f>
        <v/>
      </c>
      <c r="L5224" s="66"/>
      <c r="M5224" s="66" t="str">
        <f aca="false">IF($H5224="","","借")</f>
        <v/>
      </c>
      <c r="N5224" s="66"/>
      <c r="O5224" s="67" t="n">
        <f aca="false">IF($H5224="",0,ROUND(N(其他分录!$G115),2))</f>
        <v>0</v>
      </c>
      <c r="P5224" s="64" t="str">
        <f aca="false">IF(AND($H5224&lt;&gt;"",ROUND($O5224,2)&lt;&gt;0),"有","")</f>
        <v/>
      </c>
    </row>
    <row r="5225" customFormat="false" ht="15" hidden="true" customHeight="false" outlineLevel="0" collapsed="false">
      <c r="A5225" s="53" t="str">
        <f aca="false">IF($H5225="","",ROW()-5)</f>
        <v/>
      </c>
      <c r="B5225" s="64" t="s">
        <v>39</v>
      </c>
      <c r="C5225" s="53" t="n">
        <v>115</v>
      </c>
      <c r="D5225" s="53" t="n">
        <v>2</v>
      </c>
      <c r="E5225" s="65" t="str">
        <f aca="false">IF($H5225="","",其他分录!$B115)</f>
        <v/>
      </c>
      <c r="F5225" s="55" t="str">
        <f aca="false">IF($H5225="","",其他分录!$C115)</f>
        <v/>
      </c>
      <c r="G5225" s="48" t="str">
        <f aca="false">IF($H5225="","",其他分录!$D115)</f>
        <v/>
      </c>
      <c r="H5225" s="10" t="str">
        <f aca="false">IF(OR(其他分录!$B115="",N(其他分录!$G115)=0),"",其他分录!$F115)</f>
        <v/>
      </c>
      <c r="I5225" s="42" t="n">
        <f aca="false">IF($M5225="借",$O5225,0)</f>
        <v>0</v>
      </c>
      <c r="J5225" s="42" t="n">
        <f aca="false">IF($M5225="贷",$O5225,0)</f>
        <v>0</v>
      </c>
      <c r="K5225" s="48" t="str">
        <f aca="false">IF($H5225="","",其他分录!$H115)</f>
        <v/>
      </c>
      <c r="L5225" s="66"/>
      <c r="M5225" s="66" t="str">
        <f aca="false">IF($H5225="","","贷")</f>
        <v/>
      </c>
      <c r="N5225" s="66"/>
      <c r="O5225" s="67" t="n">
        <f aca="false">IF($H5225="",0,ROUND(N(其他分录!$G115),2))</f>
        <v>0</v>
      </c>
      <c r="P5225" s="64" t="str">
        <f aca="false">IF(AND($H5225&lt;&gt;"",ROUND($O5225,2)&lt;&gt;0),"有","")</f>
        <v/>
      </c>
    </row>
    <row r="5226" customFormat="false" ht="15" hidden="true" customHeight="false" outlineLevel="0" collapsed="false">
      <c r="A5226" s="53" t="str">
        <f aca="false">IF($H5226="","",ROW()-5)</f>
        <v/>
      </c>
      <c r="B5226" s="64" t="s">
        <v>39</v>
      </c>
      <c r="C5226" s="53" t="n">
        <v>116</v>
      </c>
      <c r="D5226" s="53" t="n">
        <v>1</v>
      </c>
      <c r="E5226" s="65" t="str">
        <f aca="false">IF($H5226="","",其他分录!$B116)</f>
        <v/>
      </c>
      <c r="F5226" s="55" t="str">
        <f aca="false">IF($H5226="","",其他分录!$C116)</f>
        <v/>
      </c>
      <c r="G5226" s="48" t="str">
        <f aca="false">IF($H5226="","",其他分录!$D116)</f>
        <v/>
      </c>
      <c r="H5226" s="10" t="str">
        <f aca="false">IF(OR(其他分录!$B116="",N(其他分录!$G116)=0),"",其他分录!$E116)</f>
        <v/>
      </c>
      <c r="I5226" s="42" t="n">
        <f aca="false">IF($M5226="借",$O5226,0)</f>
        <v>0</v>
      </c>
      <c r="J5226" s="42" t="n">
        <f aca="false">IF($M5226="贷",$O5226,0)</f>
        <v>0</v>
      </c>
      <c r="K5226" s="48" t="str">
        <f aca="false">IF($H5226="","",其他分录!$H116)</f>
        <v/>
      </c>
      <c r="L5226" s="66"/>
      <c r="M5226" s="66" t="str">
        <f aca="false">IF($H5226="","","借")</f>
        <v/>
      </c>
      <c r="N5226" s="66"/>
      <c r="O5226" s="67" t="n">
        <f aca="false">IF($H5226="",0,ROUND(N(其他分录!$G116),2))</f>
        <v>0</v>
      </c>
      <c r="P5226" s="64" t="str">
        <f aca="false">IF(AND($H5226&lt;&gt;"",ROUND($O5226,2)&lt;&gt;0),"有","")</f>
        <v/>
      </c>
    </row>
    <row r="5227" customFormat="false" ht="15" hidden="true" customHeight="false" outlineLevel="0" collapsed="false">
      <c r="A5227" s="53" t="str">
        <f aca="false">IF($H5227="","",ROW()-5)</f>
        <v/>
      </c>
      <c r="B5227" s="64" t="s">
        <v>39</v>
      </c>
      <c r="C5227" s="53" t="n">
        <v>116</v>
      </c>
      <c r="D5227" s="53" t="n">
        <v>2</v>
      </c>
      <c r="E5227" s="65" t="str">
        <f aca="false">IF($H5227="","",其他分录!$B116)</f>
        <v/>
      </c>
      <c r="F5227" s="55" t="str">
        <f aca="false">IF($H5227="","",其他分录!$C116)</f>
        <v/>
      </c>
      <c r="G5227" s="48" t="str">
        <f aca="false">IF($H5227="","",其他分录!$D116)</f>
        <v/>
      </c>
      <c r="H5227" s="10" t="str">
        <f aca="false">IF(OR(其他分录!$B116="",N(其他分录!$G116)=0),"",其他分录!$F116)</f>
        <v/>
      </c>
      <c r="I5227" s="42" t="n">
        <f aca="false">IF($M5227="借",$O5227,0)</f>
        <v>0</v>
      </c>
      <c r="J5227" s="42" t="n">
        <f aca="false">IF($M5227="贷",$O5227,0)</f>
        <v>0</v>
      </c>
      <c r="K5227" s="48" t="str">
        <f aca="false">IF($H5227="","",其他分录!$H116)</f>
        <v/>
      </c>
      <c r="L5227" s="66"/>
      <c r="M5227" s="66" t="str">
        <f aca="false">IF($H5227="","","贷")</f>
        <v/>
      </c>
      <c r="N5227" s="66"/>
      <c r="O5227" s="67" t="n">
        <f aca="false">IF($H5227="",0,ROUND(N(其他分录!$G116),2))</f>
        <v>0</v>
      </c>
      <c r="P5227" s="64" t="str">
        <f aca="false">IF(AND($H5227&lt;&gt;"",ROUND($O5227,2)&lt;&gt;0),"有","")</f>
        <v/>
      </c>
    </row>
    <row r="5228" customFormat="false" ht="15" hidden="true" customHeight="false" outlineLevel="0" collapsed="false">
      <c r="A5228" s="53" t="str">
        <f aca="false">IF($H5228="","",ROW()-5)</f>
        <v/>
      </c>
      <c r="B5228" s="64" t="s">
        <v>39</v>
      </c>
      <c r="C5228" s="53" t="n">
        <v>117</v>
      </c>
      <c r="D5228" s="53" t="n">
        <v>1</v>
      </c>
      <c r="E5228" s="65" t="str">
        <f aca="false">IF($H5228="","",其他分录!$B117)</f>
        <v/>
      </c>
      <c r="F5228" s="55" t="str">
        <f aca="false">IF($H5228="","",其他分录!$C117)</f>
        <v/>
      </c>
      <c r="G5228" s="48" t="str">
        <f aca="false">IF($H5228="","",其他分录!$D117)</f>
        <v/>
      </c>
      <c r="H5228" s="10" t="str">
        <f aca="false">IF(OR(其他分录!$B117="",N(其他分录!$G117)=0),"",其他分录!$E117)</f>
        <v/>
      </c>
      <c r="I5228" s="42" t="n">
        <f aca="false">IF($M5228="借",$O5228,0)</f>
        <v>0</v>
      </c>
      <c r="J5228" s="42" t="n">
        <f aca="false">IF($M5228="贷",$O5228,0)</f>
        <v>0</v>
      </c>
      <c r="K5228" s="48" t="str">
        <f aca="false">IF($H5228="","",其他分录!$H117)</f>
        <v/>
      </c>
      <c r="L5228" s="66"/>
      <c r="M5228" s="66" t="str">
        <f aca="false">IF($H5228="","","借")</f>
        <v/>
      </c>
      <c r="N5228" s="66"/>
      <c r="O5228" s="67" t="n">
        <f aca="false">IF($H5228="",0,ROUND(N(其他分录!$G117),2))</f>
        <v>0</v>
      </c>
      <c r="P5228" s="64" t="str">
        <f aca="false">IF(AND($H5228&lt;&gt;"",ROUND($O5228,2)&lt;&gt;0),"有","")</f>
        <v/>
      </c>
    </row>
    <row r="5229" customFormat="false" ht="15" hidden="true" customHeight="false" outlineLevel="0" collapsed="false">
      <c r="A5229" s="53" t="str">
        <f aca="false">IF($H5229="","",ROW()-5)</f>
        <v/>
      </c>
      <c r="B5229" s="64" t="s">
        <v>39</v>
      </c>
      <c r="C5229" s="53" t="n">
        <v>117</v>
      </c>
      <c r="D5229" s="53" t="n">
        <v>2</v>
      </c>
      <c r="E5229" s="65" t="str">
        <f aca="false">IF($H5229="","",其他分录!$B117)</f>
        <v/>
      </c>
      <c r="F5229" s="55" t="str">
        <f aca="false">IF($H5229="","",其他分录!$C117)</f>
        <v/>
      </c>
      <c r="G5229" s="48" t="str">
        <f aca="false">IF($H5229="","",其他分录!$D117)</f>
        <v/>
      </c>
      <c r="H5229" s="10" t="str">
        <f aca="false">IF(OR(其他分录!$B117="",N(其他分录!$G117)=0),"",其他分录!$F117)</f>
        <v/>
      </c>
      <c r="I5229" s="42" t="n">
        <f aca="false">IF($M5229="借",$O5229,0)</f>
        <v>0</v>
      </c>
      <c r="J5229" s="42" t="n">
        <f aca="false">IF($M5229="贷",$O5229,0)</f>
        <v>0</v>
      </c>
      <c r="K5229" s="48" t="str">
        <f aca="false">IF($H5229="","",其他分录!$H117)</f>
        <v/>
      </c>
      <c r="L5229" s="66"/>
      <c r="M5229" s="66" t="str">
        <f aca="false">IF($H5229="","","贷")</f>
        <v/>
      </c>
      <c r="N5229" s="66"/>
      <c r="O5229" s="67" t="n">
        <f aca="false">IF($H5229="",0,ROUND(N(其他分录!$G117),2))</f>
        <v>0</v>
      </c>
      <c r="P5229" s="64" t="str">
        <f aca="false">IF(AND($H5229&lt;&gt;"",ROUND($O5229,2)&lt;&gt;0),"有","")</f>
        <v/>
      </c>
    </row>
    <row r="5230" customFormat="false" ht="15" hidden="true" customHeight="false" outlineLevel="0" collapsed="false">
      <c r="A5230" s="53" t="str">
        <f aca="false">IF($H5230="","",ROW()-5)</f>
        <v/>
      </c>
      <c r="B5230" s="64" t="s">
        <v>39</v>
      </c>
      <c r="C5230" s="53" t="n">
        <v>118</v>
      </c>
      <c r="D5230" s="53" t="n">
        <v>1</v>
      </c>
      <c r="E5230" s="65" t="str">
        <f aca="false">IF($H5230="","",其他分录!$B118)</f>
        <v/>
      </c>
      <c r="F5230" s="55" t="str">
        <f aca="false">IF($H5230="","",其他分录!$C118)</f>
        <v/>
      </c>
      <c r="G5230" s="48" t="str">
        <f aca="false">IF($H5230="","",其他分录!$D118)</f>
        <v/>
      </c>
      <c r="H5230" s="10" t="str">
        <f aca="false">IF(OR(其他分录!$B118="",N(其他分录!$G118)=0),"",其他分录!$E118)</f>
        <v/>
      </c>
      <c r="I5230" s="42" t="n">
        <f aca="false">IF($M5230="借",$O5230,0)</f>
        <v>0</v>
      </c>
      <c r="J5230" s="42" t="n">
        <f aca="false">IF($M5230="贷",$O5230,0)</f>
        <v>0</v>
      </c>
      <c r="K5230" s="48" t="str">
        <f aca="false">IF($H5230="","",其他分录!$H118)</f>
        <v/>
      </c>
      <c r="L5230" s="66"/>
      <c r="M5230" s="66" t="str">
        <f aca="false">IF($H5230="","","借")</f>
        <v/>
      </c>
      <c r="N5230" s="66"/>
      <c r="O5230" s="67" t="n">
        <f aca="false">IF($H5230="",0,ROUND(N(其他分录!$G118),2))</f>
        <v>0</v>
      </c>
      <c r="P5230" s="64" t="str">
        <f aca="false">IF(AND($H5230&lt;&gt;"",ROUND($O5230,2)&lt;&gt;0),"有","")</f>
        <v/>
      </c>
    </row>
    <row r="5231" customFormat="false" ht="15" hidden="true" customHeight="false" outlineLevel="0" collapsed="false">
      <c r="A5231" s="53" t="str">
        <f aca="false">IF($H5231="","",ROW()-5)</f>
        <v/>
      </c>
      <c r="B5231" s="64" t="s">
        <v>39</v>
      </c>
      <c r="C5231" s="53" t="n">
        <v>118</v>
      </c>
      <c r="D5231" s="53" t="n">
        <v>2</v>
      </c>
      <c r="E5231" s="65" t="str">
        <f aca="false">IF($H5231="","",其他分录!$B118)</f>
        <v/>
      </c>
      <c r="F5231" s="55" t="str">
        <f aca="false">IF($H5231="","",其他分录!$C118)</f>
        <v/>
      </c>
      <c r="G5231" s="48" t="str">
        <f aca="false">IF($H5231="","",其他分录!$D118)</f>
        <v/>
      </c>
      <c r="H5231" s="10" t="str">
        <f aca="false">IF(OR(其他分录!$B118="",N(其他分录!$G118)=0),"",其他分录!$F118)</f>
        <v/>
      </c>
      <c r="I5231" s="42" t="n">
        <f aca="false">IF($M5231="借",$O5231,0)</f>
        <v>0</v>
      </c>
      <c r="J5231" s="42" t="n">
        <f aca="false">IF($M5231="贷",$O5231,0)</f>
        <v>0</v>
      </c>
      <c r="K5231" s="48" t="str">
        <f aca="false">IF($H5231="","",其他分录!$H118)</f>
        <v/>
      </c>
      <c r="L5231" s="66"/>
      <c r="M5231" s="66" t="str">
        <f aca="false">IF($H5231="","","贷")</f>
        <v/>
      </c>
      <c r="N5231" s="66"/>
      <c r="O5231" s="67" t="n">
        <f aca="false">IF($H5231="",0,ROUND(N(其他分录!$G118),2))</f>
        <v>0</v>
      </c>
      <c r="P5231" s="64" t="str">
        <f aca="false">IF(AND($H5231&lt;&gt;"",ROUND($O5231,2)&lt;&gt;0),"有","")</f>
        <v/>
      </c>
    </row>
    <row r="5232" customFormat="false" ht="15" hidden="true" customHeight="false" outlineLevel="0" collapsed="false">
      <c r="A5232" s="53" t="str">
        <f aca="false">IF($H5232="","",ROW()-5)</f>
        <v/>
      </c>
      <c r="B5232" s="64" t="s">
        <v>39</v>
      </c>
      <c r="C5232" s="53" t="n">
        <v>119</v>
      </c>
      <c r="D5232" s="53" t="n">
        <v>1</v>
      </c>
      <c r="E5232" s="65" t="str">
        <f aca="false">IF($H5232="","",其他分录!$B119)</f>
        <v/>
      </c>
      <c r="F5232" s="55" t="str">
        <f aca="false">IF($H5232="","",其他分录!$C119)</f>
        <v/>
      </c>
      <c r="G5232" s="48" t="str">
        <f aca="false">IF($H5232="","",其他分录!$D119)</f>
        <v/>
      </c>
      <c r="H5232" s="10" t="str">
        <f aca="false">IF(OR(其他分录!$B119="",N(其他分录!$G119)=0),"",其他分录!$E119)</f>
        <v/>
      </c>
      <c r="I5232" s="42" t="n">
        <f aca="false">IF($M5232="借",$O5232,0)</f>
        <v>0</v>
      </c>
      <c r="J5232" s="42" t="n">
        <f aca="false">IF($M5232="贷",$O5232,0)</f>
        <v>0</v>
      </c>
      <c r="K5232" s="48" t="str">
        <f aca="false">IF($H5232="","",其他分录!$H119)</f>
        <v/>
      </c>
      <c r="L5232" s="66"/>
      <c r="M5232" s="66" t="str">
        <f aca="false">IF($H5232="","","借")</f>
        <v/>
      </c>
      <c r="N5232" s="66"/>
      <c r="O5232" s="67" t="n">
        <f aca="false">IF($H5232="",0,ROUND(N(其他分录!$G119),2))</f>
        <v>0</v>
      </c>
      <c r="P5232" s="64" t="str">
        <f aca="false">IF(AND($H5232&lt;&gt;"",ROUND($O5232,2)&lt;&gt;0),"有","")</f>
        <v/>
      </c>
    </row>
    <row r="5233" customFormat="false" ht="15" hidden="true" customHeight="false" outlineLevel="0" collapsed="false">
      <c r="A5233" s="53" t="str">
        <f aca="false">IF($H5233="","",ROW()-5)</f>
        <v/>
      </c>
      <c r="B5233" s="64" t="s">
        <v>39</v>
      </c>
      <c r="C5233" s="53" t="n">
        <v>119</v>
      </c>
      <c r="D5233" s="53" t="n">
        <v>2</v>
      </c>
      <c r="E5233" s="65" t="str">
        <f aca="false">IF($H5233="","",其他分录!$B119)</f>
        <v/>
      </c>
      <c r="F5233" s="55" t="str">
        <f aca="false">IF($H5233="","",其他分录!$C119)</f>
        <v/>
      </c>
      <c r="G5233" s="48" t="str">
        <f aca="false">IF($H5233="","",其他分录!$D119)</f>
        <v/>
      </c>
      <c r="H5233" s="10" t="str">
        <f aca="false">IF(OR(其他分录!$B119="",N(其他分录!$G119)=0),"",其他分录!$F119)</f>
        <v/>
      </c>
      <c r="I5233" s="42" t="n">
        <f aca="false">IF($M5233="借",$O5233,0)</f>
        <v>0</v>
      </c>
      <c r="J5233" s="42" t="n">
        <f aca="false">IF($M5233="贷",$O5233,0)</f>
        <v>0</v>
      </c>
      <c r="K5233" s="48" t="str">
        <f aca="false">IF($H5233="","",其他分录!$H119)</f>
        <v/>
      </c>
      <c r="L5233" s="66"/>
      <c r="M5233" s="66" t="str">
        <f aca="false">IF($H5233="","","贷")</f>
        <v/>
      </c>
      <c r="N5233" s="66"/>
      <c r="O5233" s="67" t="n">
        <f aca="false">IF($H5233="",0,ROUND(N(其他分录!$G119),2))</f>
        <v>0</v>
      </c>
      <c r="P5233" s="64" t="str">
        <f aca="false">IF(AND($H5233&lt;&gt;"",ROUND($O5233,2)&lt;&gt;0),"有","")</f>
        <v/>
      </c>
    </row>
    <row r="5234" customFormat="false" ht="15" hidden="true" customHeight="false" outlineLevel="0" collapsed="false">
      <c r="A5234" s="53" t="str">
        <f aca="false">IF($H5234="","",ROW()-5)</f>
        <v/>
      </c>
      <c r="B5234" s="64" t="s">
        <v>39</v>
      </c>
      <c r="C5234" s="53" t="n">
        <v>120</v>
      </c>
      <c r="D5234" s="53" t="n">
        <v>1</v>
      </c>
      <c r="E5234" s="65" t="str">
        <f aca="false">IF($H5234="","",其他分录!$B120)</f>
        <v/>
      </c>
      <c r="F5234" s="55" t="str">
        <f aca="false">IF($H5234="","",其他分录!$C120)</f>
        <v/>
      </c>
      <c r="G5234" s="48" t="str">
        <f aca="false">IF($H5234="","",其他分录!$D120)</f>
        <v/>
      </c>
      <c r="H5234" s="10" t="str">
        <f aca="false">IF(OR(其他分录!$B120="",N(其他分录!$G120)=0),"",其他分录!$E120)</f>
        <v/>
      </c>
      <c r="I5234" s="42" t="n">
        <f aca="false">IF($M5234="借",$O5234,0)</f>
        <v>0</v>
      </c>
      <c r="J5234" s="42" t="n">
        <f aca="false">IF($M5234="贷",$O5234,0)</f>
        <v>0</v>
      </c>
      <c r="K5234" s="48" t="str">
        <f aca="false">IF($H5234="","",其他分录!$H120)</f>
        <v/>
      </c>
      <c r="L5234" s="66"/>
      <c r="M5234" s="66" t="str">
        <f aca="false">IF($H5234="","","借")</f>
        <v/>
      </c>
      <c r="N5234" s="66"/>
      <c r="O5234" s="67" t="n">
        <f aca="false">IF($H5234="",0,ROUND(N(其他分录!$G120),2))</f>
        <v>0</v>
      </c>
      <c r="P5234" s="64" t="str">
        <f aca="false">IF(AND($H5234&lt;&gt;"",ROUND($O5234,2)&lt;&gt;0),"有","")</f>
        <v/>
      </c>
    </row>
    <row r="5235" customFormat="false" ht="15" hidden="true" customHeight="false" outlineLevel="0" collapsed="false">
      <c r="A5235" s="53" t="str">
        <f aca="false">IF($H5235="","",ROW()-5)</f>
        <v/>
      </c>
      <c r="B5235" s="64" t="s">
        <v>39</v>
      </c>
      <c r="C5235" s="53" t="n">
        <v>120</v>
      </c>
      <c r="D5235" s="53" t="n">
        <v>2</v>
      </c>
      <c r="E5235" s="65" t="str">
        <f aca="false">IF($H5235="","",其他分录!$B120)</f>
        <v/>
      </c>
      <c r="F5235" s="55" t="str">
        <f aca="false">IF($H5235="","",其他分录!$C120)</f>
        <v/>
      </c>
      <c r="G5235" s="48" t="str">
        <f aca="false">IF($H5235="","",其他分录!$D120)</f>
        <v/>
      </c>
      <c r="H5235" s="10" t="str">
        <f aca="false">IF(OR(其他分录!$B120="",N(其他分录!$G120)=0),"",其他分录!$F120)</f>
        <v/>
      </c>
      <c r="I5235" s="42" t="n">
        <f aca="false">IF($M5235="借",$O5235,0)</f>
        <v>0</v>
      </c>
      <c r="J5235" s="42" t="n">
        <f aca="false">IF($M5235="贷",$O5235,0)</f>
        <v>0</v>
      </c>
      <c r="K5235" s="48" t="str">
        <f aca="false">IF($H5235="","",其他分录!$H120)</f>
        <v/>
      </c>
      <c r="L5235" s="66"/>
      <c r="M5235" s="66" t="str">
        <f aca="false">IF($H5235="","","贷")</f>
        <v/>
      </c>
      <c r="N5235" s="66"/>
      <c r="O5235" s="67" t="n">
        <f aca="false">IF($H5235="",0,ROUND(N(其他分录!$G120),2))</f>
        <v>0</v>
      </c>
      <c r="P5235" s="64" t="str">
        <f aca="false">IF(AND($H5235&lt;&gt;"",ROUND($O5235,2)&lt;&gt;0),"有","")</f>
        <v/>
      </c>
    </row>
    <row r="5236" customFormat="false" ht="15" hidden="true" customHeight="false" outlineLevel="0" collapsed="false">
      <c r="A5236" s="53" t="str">
        <f aca="false">IF($H5236="","",ROW()-5)</f>
        <v/>
      </c>
      <c r="B5236" s="64" t="s">
        <v>39</v>
      </c>
      <c r="C5236" s="53" t="n">
        <v>121</v>
      </c>
      <c r="D5236" s="53" t="n">
        <v>1</v>
      </c>
      <c r="E5236" s="65" t="str">
        <f aca="false">IF($H5236="","",其他分录!$B121)</f>
        <v/>
      </c>
      <c r="F5236" s="55" t="str">
        <f aca="false">IF($H5236="","",其他分录!$C121)</f>
        <v/>
      </c>
      <c r="G5236" s="48" t="str">
        <f aca="false">IF($H5236="","",其他分录!$D121)</f>
        <v/>
      </c>
      <c r="H5236" s="10" t="str">
        <f aca="false">IF(OR(其他分录!$B121="",N(其他分录!$G121)=0),"",其他分录!$E121)</f>
        <v/>
      </c>
      <c r="I5236" s="42" t="n">
        <f aca="false">IF($M5236="借",$O5236,0)</f>
        <v>0</v>
      </c>
      <c r="J5236" s="42" t="n">
        <f aca="false">IF($M5236="贷",$O5236,0)</f>
        <v>0</v>
      </c>
      <c r="K5236" s="48" t="str">
        <f aca="false">IF($H5236="","",其他分录!$H121)</f>
        <v/>
      </c>
      <c r="L5236" s="66"/>
      <c r="M5236" s="66" t="str">
        <f aca="false">IF($H5236="","","借")</f>
        <v/>
      </c>
      <c r="N5236" s="66"/>
      <c r="O5236" s="67" t="n">
        <f aca="false">IF($H5236="",0,ROUND(N(其他分录!$G121),2))</f>
        <v>0</v>
      </c>
      <c r="P5236" s="64" t="str">
        <f aca="false">IF(AND($H5236&lt;&gt;"",ROUND($O5236,2)&lt;&gt;0),"有","")</f>
        <v/>
      </c>
    </row>
    <row r="5237" customFormat="false" ht="15" hidden="true" customHeight="false" outlineLevel="0" collapsed="false">
      <c r="A5237" s="53" t="str">
        <f aca="false">IF($H5237="","",ROW()-5)</f>
        <v/>
      </c>
      <c r="B5237" s="64" t="s">
        <v>39</v>
      </c>
      <c r="C5237" s="53" t="n">
        <v>121</v>
      </c>
      <c r="D5237" s="53" t="n">
        <v>2</v>
      </c>
      <c r="E5237" s="65" t="str">
        <f aca="false">IF($H5237="","",其他分录!$B121)</f>
        <v/>
      </c>
      <c r="F5237" s="55" t="str">
        <f aca="false">IF($H5237="","",其他分录!$C121)</f>
        <v/>
      </c>
      <c r="G5237" s="48" t="str">
        <f aca="false">IF($H5237="","",其他分录!$D121)</f>
        <v/>
      </c>
      <c r="H5237" s="10" t="str">
        <f aca="false">IF(OR(其他分录!$B121="",N(其他分录!$G121)=0),"",其他分录!$F121)</f>
        <v/>
      </c>
      <c r="I5237" s="42" t="n">
        <f aca="false">IF($M5237="借",$O5237,0)</f>
        <v>0</v>
      </c>
      <c r="J5237" s="42" t="n">
        <f aca="false">IF($M5237="贷",$O5237,0)</f>
        <v>0</v>
      </c>
      <c r="K5237" s="48" t="str">
        <f aca="false">IF($H5237="","",其他分录!$H121)</f>
        <v/>
      </c>
      <c r="L5237" s="66"/>
      <c r="M5237" s="66" t="str">
        <f aca="false">IF($H5237="","","贷")</f>
        <v/>
      </c>
      <c r="N5237" s="66"/>
      <c r="O5237" s="67" t="n">
        <f aca="false">IF($H5237="",0,ROUND(N(其他分录!$G121),2))</f>
        <v>0</v>
      </c>
      <c r="P5237" s="64" t="str">
        <f aca="false">IF(AND($H5237&lt;&gt;"",ROUND($O5237,2)&lt;&gt;0),"有","")</f>
        <v/>
      </c>
    </row>
    <row r="5238" customFormat="false" ht="15" hidden="true" customHeight="false" outlineLevel="0" collapsed="false">
      <c r="A5238" s="53" t="str">
        <f aca="false">IF($H5238="","",ROW()-5)</f>
        <v/>
      </c>
      <c r="B5238" s="64" t="s">
        <v>39</v>
      </c>
      <c r="C5238" s="53" t="n">
        <v>122</v>
      </c>
      <c r="D5238" s="53" t="n">
        <v>1</v>
      </c>
      <c r="E5238" s="65" t="str">
        <f aca="false">IF($H5238="","",其他分录!$B122)</f>
        <v/>
      </c>
      <c r="F5238" s="55" t="str">
        <f aca="false">IF($H5238="","",其他分录!$C122)</f>
        <v/>
      </c>
      <c r="G5238" s="48" t="str">
        <f aca="false">IF($H5238="","",其他分录!$D122)</f>
        <v/>
      </c>
      <c r="H5238" s="10" t="str">
        <f aca="false">IF(OR(其他分录!$B122="",N(其他分录!$G122)=0),"",其他分录!$E122)</f>
        <v/>
      </c>
      <c r="I5238" s="42" t="n">
        <f aca="false">IF($M5238="借",$O5238,0)</f>
        <v>0</v>
      </c>
      <c r="J5238" s="42" t="n">
        <f aca="false">IF($M5238="贷",$O5238,0)</f>
        <v>0</v>
      </c>
      <c r="K5238" s="48" t="str">
        <f aca="false">IF($H5238="","",其他分录!$H122)</f>
        <v/>
      </c>
      <c r="L5238" s="66"/>
      <c r="M5238" s="66" t="str">
        <f aca="false">IF($H5238="","","借")</f>
        <v/>
      </c>
      <c r="N5238" s="66"/>
      <c r="O5238" s="67" t="n">
        <f aca="false">IF($H5238="",0,ROUND(N(其他分录!$G122),2))</f>
        <v>0</v>
      </c>
      <c r="P5238" s="64" t="str">
        <f aca="false">IF(AND($H5238&lt;&gt;"",ROUND($O5238,2)&lt;&gt;0),"有","")</f>
        <v/>
      </c>
    </row>
    <row r="5239" customFormat="false" ht="15" hidden="true" customHeight="false" outlineLevel="0" collapsed="false">
      <c r="A5239" s="53" t="str">
        <f aca="false">IF($H5239="","",ROW()-5)</f>
        <v/>
      </c>
      <c r="B5239" s="64" t="s">
        <v>39</v>
      </c>
      <c r="C5239" s="53" t="n">
        <v>122</v>
      </c>
      <c r="D5239" s="53" t="n">
        <v>2</v>
      </c>
      <c r="E5239" s="65" t="str">
        <f aca="false">IF($H5239="","",其他分录!$B122)</f>
        <v/>
      </c>
      <c r="F5239" s="55" t="str">
        <f aca="false">IF($H5239="","",其他分录!$C122)</f>
        <v/>
      </c>
      <c r="G5239" s="48" t="str">
        <f aca="false">IF($H5239="","",其他分录!$D122)</f>
        <v/>
      </c>
      <c r="H5239" s="10" t="str">
        <f aca="false">IF(OR(其他分录!$B122="",N(其他分录!$G122)=0),"",其他分录!$F122)</f>
        <v/>
      </c>
      <c r="I5239" s="42" t="n">
        <f aca="false">IF($M5239="借",$O5239,0)</f>
        <v>0</v>
      </c>
      <c r="J5239" s="42" t="n">
        <f aca="false">IF($M5239="贷",$O5239,0)</f>
        <v>0</v>
      </c>
      <c r="K5239" s="48" t="str">
        <f aca="false">IF($H5239="","",其他分录!$H122)</f>
        <v/>
      </c>
      <c r="L5239" s="66"/>
      <c r="M5239" s="66" t="str">
        <f aca="false">IF($H5239="","","贷")</f>
        <v/>
      </c>
      <c r="N5239" s="66"/>
      <c r="O5239" s="67" t="n">
        <f aca="false">IF($H5239="",0,ROUND(N(其他分录!$G122),2))</f>
        <v>0</v>
      </c>
      <c r="P5239" s="64" t="str">
        <f aca="false">IF(AND($H5239&lt;&gt;"",ROUND($O5239,2)&lt;&gt;0),"有","")</f>
        <v/>
      </c>
    </row>
    <row r="5240" customFormat="false" ht="15" hidden="true" customHeight="false" outlineLevel="0" collapsed="false">
      <c r="A5240" s="53" t="str">
        <f aca="false">IF($H5240="","",ROW()-5)</f>
        <v/>
      </c>
      <c r="B5240" s="64" t="s">
        <v>39</v>
      </c>
      <c r="C5240" s="53" t="n">
        <v>123</v>
      </c>
      <c r="D5240" s="53" t="n">
        <v>1</v>
      </c>
      <c r="E5240" s="65" t="str">
        <f aca="false">IF($H5240="","",其他分录!$B123)</f>
        <v/>
      </c>
      <c r="F5240" s="55" t="str">
        <f aca="false">IF($H5240="","",其他分录!$C123)</f>
        <v/>
      </c>
      <c r="G5240" s="48" t="str">
        <f aca="false">IF($H5240="","",其他分录!$D123)</f>
        <v/>
      </c>
      <c r="H5240" s="10" t="str">
        <f aca="false">IF(OR(其他分录!$B123="",N(其他分录!$G123)=0),"",其他分录!$E123)</f>
        <v/>
      </c>
      <c r="I5240" s="42" t="n">
        <f aca="false">IF($M5240="借",$O5240,0)</f>
        <v>0</v>
      </c>
      <c r="J5240" s="42" t="n">
        <f aca="false">IF($M5240="贷",$O5240,0)</f>
        <v>0</v>
      </c>
      <c r="K5240" s="48" t="str">
        <f aca="false">IF($H5240="","",其他分录!$H123)</f>
        <v/>
      </c>
      <c r="L5240" s="66"/>
      <c r="M5240" s="66" t="str">
        <f aca="false">IF($H5240="","","借")</f>
        <v/>
      </c>
      <c r="N5240" s="66"/>
      <c r="O5240" s="67" t="n">
        <f aca="false">IF($H5240="",0,ROUND(N(其他分录!$G123),2))</f>
        <v>0</v>
      </c>
      <c r="P5240" s="64" t="str">
        <f aca="false">IF(AND($H5240&lt;&gt;"",ROUND($O5240,2)&lt;&gt;0),"有","")</f>
        <v/>
      </c>
    </row>
    <row r="5241" customFormat="false" ht="15" hidden="true" customHeight="false" outlineLevel="0" collapsed="false">
      <c r="A5241" s="53" t="str">
        <f aca="false">IF($H5241="","",ROW()-5)</f>
        <v/>
      </c>
      <c r="B5241" s="64" t="s">
        <v>39</v>
      </c>
      <c r="C5241" s="53" t="n">
        <v>123</v>
      </c>
      <c r="D5241" s="53" t="n">
        <v>2</v>
      </c>
      <c r="E5241" s="65" t="str">
        <f aca="false">IF($H5241="","",其他分录!$B123)</f>
        <v/>
      </c>
      <c r="F5241" s="55" t="str">
        <f aca="false">IF($H5241="","",其他分录!$C123)</f>
        <v/>
      </c>
      <c r="G5241" s="48" t="str">
        <f aca="false">IF($H5241="","",其他分录!$D123)</f>
        <v/>
      </c>
      <c r="H5241" s="10" t="str">
        <f aca="false">IF(OR(其他分录!$B123="",N(其他分录!$G123)=0),"",其他分录!$F123)</f>
        <v/>
      </c>
      <c r="I5241" s="42" t="n">
        <f aca="false">IF($M5241="借",$O5241,0)</f>
        <v>0</v>
      </c>
      <c r="J5241" s="42" t="n">
        <f aca="false">IF($M5241="贷",$O5241,0)</f>
        <v>0</v>
      </c>
      <c r="K5241" s="48" t="str">
        <f aca="false">IF($H5241="","",其他分录!$H123)</f>
        <v/>
      </c>
      <c r="L5241" s="66"/>
      <c r="M5241" s="66" t="str">
        <f aca="false">IF($H5241="","","贷")</f>
        <v/>
      </c>
      <c r="N5241" s="66"/>
      <c r="O5241" s="67" t="n">
        <f aca="false">IF($H5241="",0,ROUND(N(其他分录!$G123),2))</f>
        <v>0</v>
      </c>
      <c r="P5241" s="64" t="str">
        <f aca="false">IF(AND($H5241&lt;&gt;"",ROUND($O5241,2)&lt;&gt;0),"有","")</f>
        <v/>
      </c>
    </row>
    <row r="5242" customFormat="false" ht="15" hidden="true" customHeight="false" outlineLevel="0" collapsed="false">
      <c r="A5242" s="53" t="str">
        <f aca="false">IF($H5242="","",ROW()-5)</f>
        <v/>
      </c>
      <c r="B5242" s="64" t="s">
        <v>39</v>
      </c>
      <c r="C5242" s="53" t="n">
        <v>124</v>
      </c>
      <c r="D5242" s="53" t="n">
        <v>1</v>
      </c>
      <c r="E5242" s="65" t="str">
        <f aca="false">IF($H5242="","",其他分录!$B124)</f>
        <v/>
      </c>
      <c r="F5242" s="55" t="str">
        <f aca="false">IF($H5242="","",其他分录!$C124)</f>
        <v/>
      </c>
      <c r="G5242" s="48" t="str">
        <f aca="false">IF($H5242="","",其他分录!$D124)</f>
        <v/>
      </c>
      <c r="H5242" s="10" t="str">
        <f aca="false">IF(OR(其他分录!$B124="",N(其他分录!$G124)=0),"",其他分录!$E124)</f>
        <v/>
      </c>
      <c r="I5242" s="42" t="n">
        <f aca="false">IF($M5242="借",$O5242,0)</f>
        <v>0</v>
      </c>
      <c r="J5242" s="42" t="n">
        <f aca="false">IF($M5242="贷",$O5242,0)</f>
        <v>0</v>
      </c>
      <c r="K5242" s="48" t="str">
        <f aca="false">IF($H5242="","",其他分录!$H124)</f>
        <v/>
      </c>
      <c r="L5242" s="66"/>
      <c r="M5242" s="66" t="str">
        <f aca="false">IF($H5242="","","借")</f>
        <v/>
      </c>
      <c r="N5242" s="66"/>
      <c r="O5242" s="67" t="n">
        <f aca="false">IF($H5242="",0,ROUND(N(其他分录!$G124),2))</f>
        <v>0</v>
      </c>
      <c r="P5242" s="64" t="str">
        <f aca="false">IF(AND($H5242&lt;&gt;"",ROUND($O5242,2)&lt;&gt;0),"有","")</f>
        <v/>
      </c>
    </row>
    <row r="5243" customFormat="false" ht="15" hidden="true" customHeight="false" outlineLevel="0" collapsed="false">
      <c r="A5243" s="53" t="str">
        <f aca="false">IF($H5243="","",ROW()-5)</f>
        <v/>
      </c>
      <c r="B5243" s="64" t="s">
        <v>39</v>
      </c>
      <c r="C5243" s="53" t="n">
        <v>124</v>
      </c>
      <c r="D5243" s="53" t="n">
        <v>2</v>
      </c>
      <c r="E5243" s="65" t="str">
        <f aca="false">IF($H5243="","",其他分录!$B124)</f>
        <v/>
      </c>
      <c r="F5243" s="55" t="str">
        <f aca="false">IF($H5243="","",其他分录!$C124)</f>
        <v/>
      </c>
      <c r="G5243" s="48" t="str">
        <f aca="false">IF($H5243="","",其他分录!$D124)</f>
        <v/>
      </c>
      <c r="H5243" s="10" t="str">
        <f aca="false">IF(OR(其他分录!$B124="",N(其他分录!$G124)=0),"",其他分录!$F124)</f>
        <v/>
      </c>
      <c r="I5243" s="42" t="n">
        <f aca="false">IF($M5243="借",$O5243,0)</f>
        <v>0</v>
      </c>
      <c r="J5243" s="42" t="n">
        <f aca="false">IF($M5243="贷",$O5243,0)</f>
        <v>0</v>
      </c>
      <c r="K5243" s="48" t="str">
        <f aca="false">IF($H5243="","",其他分录!$H124)</f>
        <v/>
      </c>
      <c r="L5243" s="66"/>
      <c r="M5243" s="66" t="str">
        <f aca="false">IF($H5243="","","贷")</f>
        <v/>
      </c>
      <c r="N5243" s="66"/>
      <c r="O5243" s="67" t="n">
        <f aca="false">IF($H5243="",0,ROUND(N(其他分录!$G124),2))</f>
        <v>0</v>
      </c>
      <c r="P5243" s="64" t="str">
        <f aca="false">IF(AND($H5243&lt;&gt;"",ROUND($O5243,2)&lt;&gt;0),"有","")</f>
        <v/>
      </c>
    </row>
    <row r="5244" customFormat="false" ht="15" hidden="true" customHeight="false" outlineLevel="0" collapsed="false">
      <c r="A5244" s="53" t="str">
        <f aca="false">IF($H5244="","",ROW()-5)</f>
        <v/>
      </c>
      <c r="B5244" s="64" t="s">
        <v>39</v>
      </c>
      <c r="C5244" s="53" t="n">
        <v>125</v>
      </c>
      <c r="D5244" s="53" t="n">
        <v>1</v>
      </c>
      <c r="E5244" s="65" t="str">
        <f aca="false">IF($H5244="","",其他分录!$B125)</f>
        <v/>
      </c>
      <c r="F5244" s="55" t="str">
        <f aca="false">IF($H5244="","",其他分录!$C125)</f>
        <v/>
      </c>
      <c r="G5244" s="48" t="str">
        <f aca="false">IF($H5244="","",其他分录!$D125)</f>
        <v/>
      </c>
      <c r="H5244" s="10" t="str">
        <f aca="false">IF(OR(其他分录!$B125="",N(其他分录!$G125)=0),"",其他分录!$E125)</f>
        <v/>
      </c>
      <c r="I5244" s="42" t="n">
        <f aca="false">IF($M5244="借",$O5244,0)</f>
        <v>0</v>
      </c>
      <c r="J5244" s="42" t="n">
        <f aca="false">IF($M5244="贷",$O5244,0)</f>
        <v>0</v>
      </c>
      <c r="K5244" s="48" t="str">
        <f aca="false">IF($H5244="","",其他分录!$H125)</f>
        <v/>
      </c>
      <c r="L5244" s="66"/>
      <c r="M5244" s="66" t="str">
        <f aca="false">IF($H5244="","","借")</f>
        <v/>
      </c>
      <c r="N5244" s="66"/>
      <c r="O5244" s="67" t="n">
        <f aca="false">IF($H5244="",0,ROUND(N(其他分录!$G125),2))</f>
        <v>0</v>
      </c>
      <c r="P5244" s="64" t="str">
        <f aca="false">IF(AND($H5244&lt;&gt;"",ROUND($O5244,2)&lt;&gt;0),"有","")</f>
        <v/>
      </c>
    </row>
    <row r="5245" customFormat="false" ht="15" hidden="true" customHeight="false" outlineLevel="0" collapsed="false">
      <c r="A5245" s="53" t="str">
        <f aca="false">IF($H5245="","",ROW()-5)</f>
        <v/>
      </c>
      <c r="B5245" s="64" t="s">
        <v>39</v>
      </c>
      <c r="C5245" s="53" t="n">
        <v>125</v>
      </c>
      <c r="D5245" s="53" t="n">
        <v>2</v>
      </c>
      <c r="E5245" s="65" t="str">
        <f aca="false">IF($H5245="","",其他分录!$B125)</f>
        <v/>
      </c>
      <c r="F5245" s="55" t="str">
        <f aca="false">IF($H5245="","",其他分录!$C125)</f>
        <v/>
      </c>
      <c r="G5245" s="48" t="str">
        <f aca="false">IF($H5245="","",其他分录!$D125)</f>
        <v/>
      </c>
      <c r="H5245" s="10" t="str">
        <f aca="false">IF(OR(其他分录!$B125="",N(其他分录!$G125)=0),"",其他分录!$F125)</f>
        <v/>
      </c>
      <c r="I5245" s="42" t="n">
        <f aca="false">IF($M5245="借",$O5245,0)</f>
        <v>0</v>
      </c>
      <c r="J5245" s="42" t="n">
        <f aca="false">IF($M5245="贷",$O5245,0)</f>
        <v>0</v>
      </c>
      <c r="K5245" s="48" t="str">
        <f aca="false">IF($H5245="","",其他分录!$H125)</f>
        <v/>
      </c>
      <c r="L5245" s="66"/>
      <c r="M5245" s="66" t="str">
        <f aca="false">IF($H5245="","","贷")</f>
        <v/>
      </c>
      <c r="N5245" s="66"/>
      <c r="O5245" s="67" t="n">
        <f aca="false">IF($H5245="",0,ROUND(N(其他分录!$G125),2))</f>
        <v>0</v>
      </c>
      <c r="P5245" s="64" t="str">
        <f aca="false">IF(AND($H5245&lt;&gt;"",ROUND($O5245,2)&lt;&gt;0),"有","")</f>
        <v/>
      </c>
    </row>
    <row r="5246" customFormat="false" ht="15" hidden="true" customHeight="false" outlineLevel="0" collapsed="false">
      <c r="A5246" s="53" t="str">
        <f aca="false">IF($H5246="","",ROW()-5)</f>
        <v/>
      </c>
      <c r="B5246" s="64" t="s">
        <v>39</v>
      </c>
      <c r="C5246" s="53" t="n">
        <v>126</v>
      </c>
      <c r="D5246" s="53" t="n">
        <v>1</v>
      </c>
      <c r="E5246" s="65" t="str">
        <f aca="false">IF($H5246="","",其他分录!$B126)</f>
        <v/>
      </c>
      <c r="F5246" s="55" t="str">
        <f aca="false">IF($H5246="","",其他分录!$C126)</f>
        <v/>
      </c>
      <c r="G5246" s="48" t="str">
        <f aca="false">IF($H5246="","",其他分录!$D126)</f>
        <v/>
      </c>
      <c r="H5246" s="10" t="str">
        <f aca="false">IF(OR(其他分录!$B126="",N(其他分录!$G126)=0),"",其他分录!$E126)</f>
        <v/>
      </c>
      <c r="I5246" s="42" t="n">
        <f aca="false">IF($M5246="借",$O5246,0)</f>
        <v>0</v>
      </c>
      <c r="J5246" s="42" t="n">
        <f aca="false">IF($M5246="贷",$O5246,0)</f>
        <v>0</v>
      </c>
      <c r="K5246" s="48" t="str">
        <f aca="false">IF($H5246="","",其他分录!$H126)</f>
        <v/>
      </c>
      <c r="L5246" s="66"/>
      <c r="M5246" s="66" t="str">
        <f aca="false">IF($H5246="","","借")</f>
        <v/>
      </c>
      <c r="N5246" s="66"/>
      <c r="O5246" s="67" t="n">
        <f aca="false">IF($H5246="",0,ROUND(N(其他分录!$G126),2))</f>
        <v>0</v>
      </c>
      <c r="P5246" s="64" t="str">
        <f aca="false">IF(AND($H5246&lt;&gt;"",ROUND($O5246,2)&lt;&gt;0),"有","")</f>
        <v/>
      </c>
    </row>
    <row r="5247" customFormat="false" ht="15" hidden="true" customHeight="false" outlineLevel="0" collapsed="false">
      <c r="A5247" s="53" t="str">
        <f aca="false">IF($H5247="","",ROW()-5)</f>
        <v/>
      </c>
      <c r="B5247" s="64" t="s">
        <v>39</v>
      </c>
      <c r="C5247" s="53" t="n">
        <v>126</v>
      </c>
      <c r="D5247" s="53" t="n">
        <v>2</v>
      </c>
      <c r="E5247" s="65" t="str">
        <f aca="false">IF($H5247="","",其他分录!$B126)</f>
        <v/>
      </c>
      <c r="F5247" s="55" t="str">
        <f aca="false">IF($H5247="","",其他分录!$C126)</f>
        <v/>
      </c>
      <c r="G5247" s="48" t="str">
        <f aca="false">IF($H5247="","",其他分录!$D126)</f>
        <v/>
      </c>
      <c r="H5247" s="10" t="str">
        <f aca="false">IF(OR(其他分录!$B126="",N(其他分录!$G126)=0),"",其他分录!$F126)</f>
        <v/>
      </c>
      <c r="I5247" s="42" t="n">
        <f aca="false">IF($M5247="借",$O5247,0)</f>
        <v>0</v>
      </c>
      <c r="J5247" s="42" t="n">
        <f aca="false">IF($M5247="贷",$O5247,0)</f>
        <v>0</v>
      </c>
      <c r="K5247" s="48" t="str">
        <f aca="false">IF($H5247="","",其他分录!$H126)</f>
        <v/>
      </c>
      <c r="L5247" s="66"/>
      <c r="M5247" s="66" t="str">
        <f aca="false">IF($H5247="","","贷")</f>
        <v/>
      </c>
      <c r="N5247" s="66"/>
      <c r="O5247" s="67" t="n">
        <f aca="false">IF($H5247="",0,ROUND(N(其他分录!$G126),2))</f>
        <v>0</v>
      </c>
      <c r="P5247" s="64" t="str">
        <f aca="false">IF(AND($H5247&lt;&gt;"",ROUND($O5247,2)&lt;&gt;0),"有","")</f>
        <v/>
      </c>
    </row>
    <row r="5248" customFormat="false" ht="15" hidden="true" customHeight="false" outlineLevel="0" collapsed="false">
      <c r="A5248" s="53" t="str">
        <f aca="false">IF($H5248="","",ROW()-5)</f>
        <v/>
      </c>
      <c r="B5248" s="64" t="s">
        <v>39</v>
      </c>
      <c r="C5248" s="53" t="n">
        <v>127</v>
      </c>
      <c r="D5248" s="53" t="n">
        <v>1</v>
      </c>
      <c r="E5248" s="65" t="str">
        <f aca="false">IF($H5248="","",其他分录!$B127)</f>
        <v/>
      </c>
      <c r="F5248" s="55" t="str">
        <f aca="false">IF($H5248="","",其他分录!$C127)</f>
        <v/>
      </c>
      <c r="G5248" s="48" t="str">
        <f aca="false">IF($H5248="","",其他分录!$D127)</f>
        <v/>
      </c>
      <c r="H5248" s="10" t="str">
        <f aca="false">IF(OR(其他分录!$B127="",N(其他分录!$G127)=0),"",其他分录!$E127)</f>
        <v/>
      </c>
      <c r="I5248" s="42" t="n">
        <f aca="false">IF($M5248="借",$O5248,0)</f>
        <v>0</v>
      </c>
      <c r="J5248" s="42" t="n">
        <f aca="false">IF($M5248="贷",$O5248,0)</f>
        <v>0</v>
      </c>
      <c r="K5248" s="48" t="str">
        <f aca="false">IF($H5248="","",其他分录!$H127)</f>
        <v/>
      </c>
      <c r="L5248" s="66"/>
      <c r="M5248" s="66" t="str">
        <f aca="false">IF($H5248="","","借")</f>
        <v/>
      </c>
      <c r="N5248" s="66"/>
      <c r="O5248" s="67" t="n">
        <f aca="false">IF($H5248="",0,ROUND(N(其他分录!$G127),2))</f>
        <v>0</v>
      </c>
      <c r="P5248" s="64" t="str">
        <f aca="false">IF(AND($H5248&lt;&gt;"",ROUND($O5248,2)&lt;&gt;0),"有","")</f>
        <v/>
      </c>
    </row>
    <row r="5249" customFormat="false" ht="15" hidden="true" customHeight="false" outlineLevel="0" collapsed="false">
      <c r="A5249" s="53" t="str">
        <f aca="false">IF($H5249="","",ROW()-5)</f>
        <v/>
      </c>
      <c r="B5249" s="64" t="s">
        <v>39</v>
      </c>
      <c r="C5249" s="53" t="n">
        <v>127</v>
      </c>
      <c r="D5249" s="53" t="n">
        <v>2</v>
      </c>
      <c r="E5249" s="65" t="str">
        <f aca="false">IF($H5249="","",其他分录!$B127)</f>
        <v/>
      </c>
      <c r="F5249" s="55" t="str">
        <f aca="false">IF($H5249="","",其他分录!$C127)</f>
        <v/>
      </c>
      <c r="G5249" s="48" t="str">
        <f aca="false">IF($H5249="","",其他分录!$D127)</f>
        <v/>
      </c>
      <c r="H5249" s="10" t="str">
        <f aca="false">IF(OR(其他分录!$B127="",N(其他分录!$G127)=0),"",其他分录!$F127)</f>
        <v/>
      </c>
      <c r="I5249" s="42" t="n">
        <f aca="false">IF($M5249="借",$O5249,0)</f>
        <v>0</v>
      </c>
      <c r="J5249" s="42" t="n">
        <f aca="false">IF($M5249="贷",$O5249,0)</f>
        <v>0</v>
      </c>
      <c r="K5249" s="48" t="str">
        <f aca="false">IF($H5249="","",其他分录!$H127)</f>
        <v/>
      </c>
      <c r="L5249" s="66"/>
      <c r="M5249" s="66" t="str">
        <f aca="false">IF($H5249="","","贷")</f>
        <v/>
      </c>
      <c r="N5249" s="66"/>
      <c r="O5249" s="67" t="n">
        <f aca="false">IF($H5249="",0,ROUND(N(其他分录!$G127),2))</f>
        <v>0</v>
      </c>
      <c r="P5249" s="64" t="str">
        <f aca="false">IF(AND($H5249&lt;&gt;"",ROUND($O5249,2)&lt;&gt;0),"有","")</f>
        <v/>
      </c>
    </row>
    <row r="5250" customFormat="false" ht="15" hidden="true" customHeight="false" outlineLevel="0" collapsed="false">
      <c r="A5250" s="53" t="str">
        <f aca="false">IF($H5250="","",ROW()-5)</f>
        <v/>
      </c>
      <c r="B5250" s="64" t="s">
        <v>39</v>
      </c>
      <c r="C5250" s="53" t="n">
        <v>128</v>
      </c>
      <c r="D5250" s="53" t="n">
        <v>1</v>
      </c>
      <c r="E5250" s="65" t="str">
        <f aca="false">IF($H5250="","",其他分录!$B128)</f>
        <v/>
      </c>
      <c r="F5250" s="55" t="str">
        <f aca="false">IF($H5250="","",其他分录!$C128)</f>
        <v/>
      </c>
      <c r="G5250" s="48" t="str">
        <f aca="false">IF($H5250="","",其他分录!$D128)</f>
        <v/>
      </c>
      <c r="H5250" s="10" t="str">
        <f aca="false">IF(OR(其他分录!$B128="",N(其他分录!$G128)=0),"",其他分录!$E128)</f>
        <v/>
      </c>
      <c r="I5250" s="42" t="n">
        <f aca="false">IF($M5250="借",$O5250,0)</f>
        <v>0</v>
      </c>
      <c r="J5250" s="42" t="n">
        <f aca="false">IF($M5250="贷",$O5250,0)</f>
        <v>0</v>
      </c>
      <c r="K5250" s="48" t="str">
        <f aca="false">IF($H5250="","",其他分录!$H128)</f>
        <v/>
      </c>
      <c r="L5250" s="66"/>
      <c r="M5250" s="66" t="str">
        <f aca="false">IF($H5250="","","借")</f>
        <v/>
      </c>
      <c r="N5250" s="66"/>
      <c r="O5250" s="67" t="n">
        <f aca="false">IF($H5250="",0,ROUND(N(其他分录!$G128),2))</f>
        <v>0</v>
      </c>
      <c r="P5250" s="64" t="str">
        <f aca="false">IF(AND($H5250&lt;&gt;"",ROUND($O5250,2)&lt;&gt;0),"有","")</f>
        <v/>
      </c>
    </row>
    <row r="5251" customFormat="false" ht="15" hidden="true" customHeight="false" outlineLevel="0" collapsed="false">
      <c r="A5251" s="53" t="str">
        <f aca="false">IF($H5251="","",ROW()-5)</f>
        <v/>
      </c>
      <c r="B5251" s="64" t="s">
        <v>39</v>
      </c>
      <c r="C5251" s="53" t="n">
        <v>128</v>
      </c>
      <c r="D5251" s="53" t="n">
        <v>2</v>
      </c>
      <c r="E5251" s="65" t="str">
        <f aca="false">IF($H5251="","",其他分录!$B128)</f>
        <v/>
      </c>
      <c r="F5251" s="55" t="str">
        <f aca="false">IF($H5251="","",其他分录!$C128)</f>
        <v/>
      </c>
      <c r="G5251" s="48" t="str">
        <f aca="false">IF($H5251="","",其他分录!$D128)</f>
        <v/>
      </c>
      <c r="H5251" s="10" t="str">
        <f aca="false">IF(OR(其他分录!$B128="",N(其他分录!$G128)=0),"",其他分录!$F128)</f>
        <v/>
      </c>
      <c r="I5251" s="42" t="n">
        <f aca="false">IF($M5251="借",$O5251,0)</f>
        <v>0</v>
      </c>
      <c r="J5251" s="42" t="n">
        <f aca="false">IF($M5251="贷",$O5251,0)</f>
        <v>0</v>
      </c>
      <c r="K5251" s="48" t="str">
        <f aca="false">IF($H5251="","",其他分录!$H128)</f>
        <v/>
      </c>
      <c r="L5251" s="66"/>
      <c r="M5251" s="66" t="str">
        <f aca="false">IF($H5251="","","贷")</f>
        <v/>
      </c>
      <c r="N5251" s="66"/>
      <c r="O5251" s="67" t="n">
        <f aca="false">IF($H5251="",0,ROUND(N(其他分录!$G128),2))</f>
        <v>0</v>
      </c>
      <c r="P5251" s="64" t="str">
        <f aca="false">IF(AND($H5251&lt;&gt;"",ROUND($O5251,2)&lt;&gt;0),"有","")</f>
        <v/>
      </c>
    </row>
    <row r="5252" customFormat="false" ht="15" hidden="true" customHeight="false" outlineLevel="0" collapsed="false">
      <c r="A5252" s="53" t="str">
        <f aca="false">IF($H5252="","",ROW()-5)</f>
        <v/>
      </c>
      <c r="B5252" s="64" t="s">
        <v>39</v>
      </c>
      <c r="C5252" s="53" t="n">
        <v>129</v>
      </c>
      <c r="D5252" s="53" t="n">
        <v>1</v>
      </c>
      <c r="E5252" s="65" t="str">
        <f aca="false">IF($H5252="","",其他分录!$B129)</f>
        <v/>
      </c>
      <c r="F5252" s="55" t="str">
        <f aca="false">IF($H5252="","",其他分录!$C129)</f>
        <v/>
      </c>
      <c r="G5252" s="48" t="str">
        <f aca="false">IF($H5252="","",其他分录!$D129)</f>
        <v/>
      </c>
      <c r="H5252" s="10" t="str">
        <f aca="false">IF(OR(其他分录!$B129="",N(其他分录!$G129)=0),"",其他分录!$E129)</f>
        <v/>
      </c>
      <c r="I5252" s="42" t="n">
        <f aca="false">IF($M5252="借",$O5252,0)</f>
        <v>0</v>
      </c>
      <c r="J5252" s="42" t="n">
        <f aca="false">IF($M5252="贷",$O5252,0)</f>
        <v>0</v>
      </c>
      <c r="K5252" s="48" t="str">
        <f aca="false">IF($H5252="","",其他分录!$H129)</f>
        <v/>
      </c>
      <c r="L5252" s="66"/>
      <c r="M5252" s="66" t="str">
        <f aca="false">IF($H5252="","","借")</f>
        <v/>
      </c>
      <c r="N5252" s="66"/>
      <c r="O5252" s="67" t="n">
        <f aca="false">IF($H5252="",0,ROUND(N(其他分录!$G129),2))</f>
        <v>0</v>
      </c>
      <c r="P5252" s="64" t="str">
        <f aca="false">IF(AND($H5252&lt;&gt;"",ROUND($O5252,2)&lt;&gt;0),"有","")</f>
        <v/>
      </c>
    </row>
    <row r="5253" customFormat="false" ht="15" hidden="true" customHeight="false" outlineLevel="0" collapsed="false">
      <c r="A5253" s="53" t="str">
        <f aca="false">IF($H5253="","",ROW()-5)</f>
        <v/>
      </c>
      <c r="B5253" s="64" t="s">
        <v>39</v>
      </c>
      <c r="C5253" s="53" t="n">
        <v>129</v>
      </c>
      <c r="D5253" s="53" t="n">
        <v>2</v>
      </c>
      <c r="E5253" s="65" t="str">
        <f aca="false">IF($H5253="","",其他分录!$B129)</f>
        <v/>
      </c>
      <c r="F5253" s="55" t="str">
        <f aca="false">IF($H5253="","",其他分录!$C129)</f>
        <v/>
      </c>
      <c r="G5253" s="48" t="str">
        <f aca="false">IF($H5253="","",其他分录!$D129)</f>
        <v/>
      </c>
      <c r="H5253" s="10" t="str">
        <f aca="false">IF(OR(其他分录!$B129="",N(其他分录!$G129)=0),"",其他分录!$F129)</f>
        <v/>
      </c>
      <c r="I5253" s="42" t="n">
        <f aca="false">IF($M5253="借",$O5253,0)</f>
        <v>0</v>
      </c>
      <c r="J5253" s="42" t="n">
        <f aca="false">IF($M5253="贷",$O5253,0)</f>
        <v>0</v>
      </c>
      <c r="K5253" s="48" t="str">
        <f aca="false">IF($H5253="","",其他分录!$H129)</f>
        <v/>
      </c>
      <c r="L5253" s="66"/>
      <c r="M5253" s="66" t="str">
        <f aca="false">IF($H5253="","","贷")</f>
        <v/>
      </c>
      <c r="N5253" s="66"/>
      <c r="O5253" s="67" t="n">
        <f aca="false">IF($H5253="",0,ROUND(N(其他分录!$G129),2))</f>
        <v>0</v>
      </c>
      <c r="P5253" s="64" t="str">
        <f aca="false">IF(AND($H5253&lt;&gt;"",ROUND($O5253,2)&lt;&gt;0),"有","")</f>
        <v/>
      </c>
    </row>
    <row r="5254" customFormat="false" ht="15" hidden="true" customHeight="false" outlineLevel="0" collapsed="false">
      <c r="A5254" s="53" t="str">
        <f aca="false">IF($H5254="","",ROW()-5)</f>
        <v/>
      </c>
      <c r="B5254" s="64" t="s">
        <v>39</v>
      </c>
      <c r="C5254" s="53" t="n">
        <v>130</v>
      </c>
      <c r="D5254" s="53" t="n">
        <v>1</v>
      </c>
      <c r="E5254" s="65" t="str">
        <f aca="false">IF($H5254="","",其他分录!$B130)</f>
        <v/>
      </c>
      <c r="F5254" s="55" t="str">
        <f aca="false">IF($H5254="","",其他分录!$C130)</f>
        <v/>
      </c>
      <c r="G5254" s="48" t="str">
        <f aca="false">IF($H5254="","",其他分录!$D130)</f>
        <v/>
      </c>
      <c r="H5254" s="10" t="str">
        <f aca="false">IF(OR(其他分录!$B130="",N(其他分录!$G130)=0),"",其他分录!$E130)</f>
        <v/>
      </c>
      <c r="I5254" s="42" t="n">
        <f aca="false">IF($M5254="借",$O5254,0)</f>
        <v>0</v>
      </c>
      <c r="J5254" s="42" t="n">
        <f aca="false">IF($M5254="贷",$O5254,0)</f>
        <v>0</v>
      </c>
      <c r="K5254" s="48" t="str">
        <f aca="false">IF($H5254="","",其他分录!$H130)</f>
        <v/>
      </c>
      <c r="L5254" s="66"/>
      <c r="M5254" s="66" t="str">
        <f aca="false">IF($H5254="","","借")</f>
        <v/>
      </c>
      <c r="N5254" s="66"/>
      <c r="O5254" s="67" t="n">
        <f aca="false">IF($H5254="",0,ROUND(N(其他分录!$G130),2))</f>
        <v>0</v>
      </c>
      <c r="P5254" s="64" t="str">
        <f aca="false">IF(AND($H5254&lt;&gt;"",ROUND($O5254,2)&lt;&gt;0),"有","")</f>
        <v/>
      </c>
    </row>
    <row r="5255" customFormat="false" ht="15" hidden="true" customHeight="false" outlineLevel="0" collapsed="false">
      <c r="A5255" s="53" t="str">
        <f aca="false">IF($H5255="","",ROW()-5)</f>
        <v/>
      </c>
      <c r="B5255" s="64" t="s">
        <v>39</v>
      </c>
      <c r="C5255" s="53" t="n">
        <v>130</v>
      </c>
      <c r="D5255" s="53" t="n">
        <v>2</v>
      </c>
      <c r="E5255" s="65" t="str">
        <f aca="false">IF($H5255="","",其他分录!$B130)</f>
        <v/>
      </c>
      <c r="F5255" s="55" t="str">
        <f aca="false">IF($H5255="","",其他分录!$C130)</f>
        <v/>
      </c>
      <c r="G5255" s="48" t="str">
        <f aca="false">IF($H5255="","",其他分录!$D130)</f>
        <v/>
      </c>
      <c r="H5255" s="10" t="str">
        <f aca="false">IF(OR(其他分录!$B130="",N(其他分录!$G130)=0),"",其他分录!$F130)</f>
        <v/>
      </c>
      <c r="I5255" s="42" t="n">
        <f aca="false">IF($M5255="借",$O5255,0)</f>
        <v>0</v>
      </c>
      <c r="J5255" s="42" t="n">
        <f aca="false">IF($M5255="贷",$O5255,0)</f>
        <v>0</v>
      </c>
      <c r="K5255" s="48" t="str">
        <f aca="false">IF($H5255="","",其他分录!$H130)</f>
        <v/>
      </c>
      <c r="L5255" s="66"/>
      <c r="M5255" s="66" t="str">
        <f aca="false">IF($H5255="","","贷")</f>
        <v/>
      </c>
      <c r="N5255" s="66"/>
      <c r="O5255" s="67" t="n">
        <f aca="false">IF($H5255="",0,ROUND(N(其他分录!$G130),2))</f>
        <v>0</v>
      </c>
      <c r="P5255" s="64" t="str">
        <f aca="false">IF(AND($H5255&lt;&gt;"",ROUND($O5255,2)&lt;&gt;0),"有","")</f>
        <v/>
      </c>
    </row>
    <row r="5256" customFormat="false" ht="15" hidden="true" customHeight="false" outlineLevel="0" collapsed="false">
      <c r="A5256" s="53" t="str">
        <f aca="false">IF($H5256="","",ROW()-5)</f>
        <v/>
      </c>
      <c r="B5256" s="64" t="s">
        <v>39</v>
      </c>
      <c r="C5256" s="53" t="n">
        <v>131</v>
      </c>
      <c r="D5256" s="53" t="n">
        <v>1</v>
      </c>
      <c r="E5256" s="65" t="str">
        <f aca="false">IF($H5256="","",其他分录!$B131)</f>
        <v/>
      </c>
      <c r="F5256" s="55" t="str">
        <f aca="false">IF($H5256="","",其他分录!$C131)</f>
        <v/>
      </c>
      <c r="G5256" s="48" t="str">
        <f aca="false">IF($H5256="","",其他分录!$D131)</f>
        <v/>
      </c>
      <c r="H5256" s="10" t="str">
        <f aca="false">IF(OR(其他分录!$B131="",N(其他分录!$G131)=0),"",其他分录!$E131)</f>
        <v/>
      </c>
      <c r="I5256" s="42" t="n">
        <f aca="false">IF($M5256="借",$O5256,0)</f>
        <v>0</v>
      </c>
      <c r="J5256" s="42" t="n">
        <f aca="false">IF($M5256="贷",$O5256,0)</f>
        <v>0</v>
      </c>
      <c r="K5256" s="48" t="str">
        <f aca="false">IF($H5256="","",其他分录!$H131)</f>
        <v/>
      </c>
      <c r="L5256" s="66"/>
      <c r="M5256" s="66" t="str">
        <f aca="false">IF($H5256="","","借")</f>
        <v/>
      </c>
      <c r="N5256" s="66"/>
      <c r="O5256" s="67" t="n">
        <f aca="false">IF($H5256="",0,ROUND(N(其他分录!$G131),2))</f>
        <v>0</v>
      </c>
      <c r="P5256" s="64" t="str">
        <f aca="false">IF(AND($H5256&lt;&gt;"",ROUND($O5256,2)&lt;&gt;0),"有","")</f>
        <v/>
      </c>
    </row>
    <row r="5257" customFormat="false" ht="15" hidden="true" customHeight="false" outlineLevel="0" collapsed="false">
      <c r="A5257" s="53" t="str">
        <f aca="false">IF($H5257="","",ROW()-5)</f>
        <v/>
      </c>
      <c r="B5257" s="64" t="s">
        <v>39</v>
      </c>
      <c r="C5257" s="53" t="n">
        <v>131</v>
      </c>
      <c r="D5257" s="53" t="n">
        <v>2</v>
      </c>
      <c r="E5257" s="65" t="str">
        <f aca="false">IF($H5257="","",其他分录!$B131)</f>
        <v/>
      </c>
      <c r="F5257" s="55" t="str">
        <f aca="false">IF($H5257="","",其他分录!$C131)</f>
        <v/>
      </c>
      <c r="G5257" s="48" t="str">
        <f aca="false">IF($H5257="","",其他分录!$D131)</f>
        <v/>
      </c>
      <c r="H5257" s="10" t="str">
        <f aca="false">IF(OR(其他分录!$B131="",N(其他分录!$G131)=0),"",其他分录!$F131)</f>
        <v/>
      </c>
      <c r="I5257" s="42" t="n">
        <f aca="false">IF($M5257="借",$O5257,0)</f>
        <v>0</v>
      </c>
      <c r="J5257" s="42" t="n">
        <f aca="false">IF($M5257="贷",$O5257,0)</f>
        <v>0</v>
      </c>
      <c r="K5257" s="48" t="str">
        <f aca="false">IF($H5257="","",其他分录!$H131)</f>
        <v/>
      </c>
      <c r="L5257" s="66"/>
      <c r="M5257" s="66" t="str">
        <f aca="false">IF($H5257="","","贷")</f>
        <v/>
      </c>
      <c r="N5257" s="66"/>
      <c r="O5257" s="67" t="n">
        <f aca="false">IF($H5257="",0,ROUND(N(其他分录!$G131),2))</f>
        <v>0</v>
      </c>
      <c r="P5257" s="64" t="str">
        <f aca="false">IF(AND($H5257&lt;&gt;"",ROUND($O5257,2)&lt;&gt;0),"有","")</f>
        <v/>
      </c>
    </row>
    <row r="5258" customFormat="false" ht="15" hidden="true" customHeight="false" outlineLevel="0" collapsed="false">
      <c r="A5258" s="53" t="str">
        <f aca="false">IF($H5258="","",ROW()-5)</f>
        <v/>
      </c>
      <c r="B5258" s="64" t="s">
        <v>39</v>
      </c>
      <c r="C5258" s="53" t="n">
        <v>132</v>
      </c>
      <c r="D5258" s="53" t="n">
        <v>1</v>
      </c>
      <c r="E5258" s="65" t="str">
        <f aca="false">IF($H5258="","",其他分录!$B132)</f>
        <v/>
      </c>
      <c r="F5258" s="55" t="str">
        <f aca="false">IF($H5258="","",其他分录!$C132)</f>
        <v/>
      </c>
      <c r="G5258" s="48" t="str">
        <f aca="false">IF($H5258="","",其他分录!$D132)</f>
        <v/>
      </c>
      <c r="H5258" s="10" t="str">
        <f aca="false">IF(OR(其他分录!$B132="",N(其他分录!$G132)=0),"",其他分录!$E132)</f>
        <v/>
      </c>
      <c r="I5258" s="42" t="n">
        <f aca="false">IF($M5258="借",$O5258,0)</f>
        <v>0</v>
      </c>
      <c r="J5258" s="42" t="n">
        <f aca="false">IF($M5258="贷",$O5258,0)</f>
        <v>0</v>
      </c>
      <c r="K5258" s="48" t="str">
        <f aca="false">IF($H5258="","",其他分录!$H132)</f>
        <v/>
      </c>
      <c r="L5258" s="66"/>
      <c r="M5258" s="66" t="str">
        <f aca="false">IF($H5258="","","借")</f>
        <v/>
      </c>
      <c r="N5258" s="66"/>
      <c r="O5258" s="67" t="n">
        <f aca="false">IF($H5258="",0,ROUND(N(其他分录!$G132),2))</f>
        <v>0</v>
      </c>
      <c r="P5258" s="64" t="str">
        <f aca="false">IF(AND($H5258&lt;&gt;"",ROUND($O5258,2)&lt;&gt;0),"有","")</f>
        <v/>
      </c>
    </row>
    <row r="5259" customFormat="false" ht="15" hidden="true" customHeight="false" outlineLevel="0" collapsed="false">
      <c r="A5259" s="53" t="str">
        <f aca="false">IF($H5259="","",ROW()-5)</f>
        <v/>
      </c>
      <c r="B5259" s="64" t="s">
        <v>39</v>
      </c>
      <c r="C5259" s="53" t="n">
        <v>132</v>
      </c>
      <c r="D5259" s="53" t="n">
        <v>2</v>
      </c>
      <c r="E5259" s="65" t="str">
        <f aca="false">IF($H5259="","",其他分录!$B132)</f>
        <v/>
      </c>
      <c r="F5259" s="55" t="str">
        <f aca="false">IF($H5259="","",其他分录!$C132)</f>
        <v/>
      </c>
      <c r="G5259" s="48" t="str">
        <f aca="false">IF($H5259="","",其他分录!$D132)</f>
        <v/>
      </c>
      <c r="H5259" s="10" t="str">
        <f aca="false">IF(OR(其他分录!$B132="",N(其他分录!$G132)=0),"",其他分录!$F132)</f>
        <v/>
      </c>
      <c r="I5259" s="42" t="n">
        <f aca="false">IF($M5259="借",$O5259,0)</f>
        <v>0</v>
      </c>
      <c r="J5259" s="42" t="n">
        <f aca="false">IF($M5259="贷",$O5259,0)</f>
        <v>0</v>
      </c>
      <c r="K5259" s="48" t="str">
        <f aca="false">IF($H5259="","",其他分录!$H132)</f>
        <v/>
      </c>
      <c r="L5259" s="66"/>
      <c r="M5259" s="66" t="str">
        <f aca="false">IF($H5259="","","贷")</f>
        <v/>
      </c>
      <c r="N5259" s="66"/>
      <c r="O5259" s="67" t="n">
        <f aca="false">IF($H5259="",0,ROUND(N(其他分录!$G132),2))</f>
        <v>0</v>
      </c>
      <c r="P5259" s="64" t="str">
        <f aca="false">IF(AND($H5259&lt;&gt;"",ROUND($O5259,2)&lt;&gt;0),"有","")</f>
        <v/>
      </c>
    </row>
    <row r="5260" customFormat="false" ht="15" hidden="true" customHeight="false" outlineLevel="0" collapsed="false">
      <c r="A5260" s="53" t="str">
        <f aca="false">IF($H5260="","",ROW()-5)</f>
        <v/>
      </c>
      <c r="B5260" s="64" t="s">
        <v>39</v>
      </c>
      <c r="C5260" s="53" t="n">
        <v>133</v>
      </c>
      <c r="D5260" s="53" t="n">
        <v>1</v>
      </c>
      <c r="E5260" s="65" t="str">
        <f aca="false">IF($H5260="","",其他分录!$B133)</f>
        <v/>
      </c>
      <c r="F5260" s="55" t="str">
        <f aca="false">IF($H5260="","",其他分录!$C133)</f>
        <v/>
      </c>
      <c r="G5260" s="48" t="str">
        <f aca="false">IF($H5260="","",其他分录!$D133)</f>
        <v/>
      </c>
      <c r="H5260" s="10" t="str">
        <f aca="false">IF(OR(其他分录!$B133="",N(其他分录!$G133)=0),"",其他分录!$E133)</f>
        <v/>
      </c>
      <c r="I5260" s="42" t="n">
        <f aca="false">IF($M5260="借",$O5260,0)</f>
        <v>0</v>
      </c>
      <c r="J5260" s="42" t="n">
        <f aca="false">IF($M5260="贷",$O5260,0)</f>
        <v>0</v>
      </c>
      <c r="K5260" s="48" t="str">
        <f aca="false">IF($H5260="","",其他分录!$H133)</f>
        <v/>
      </c>
      <c r="L5260" s="66"/>
      <c r="M5260" s="66" t="str">
        <f aca="false">IF($H5260="","","借")</f>
        <v/>
      </c>
      <c r="N5260" s="66"/>
      <c r="O5260" s="67" t="n">
        <f aca="false">IF($H5260="",0,ROUND(N(其他分录!$G133),2))</f>
        <v>0</v>
      </c>
      <c r="P5260" s="64" t="str">
        <f aca="false">IF(AND($H5260&lt;&gt;"",ROUND($O5260,2)&lt;&gt;0),"有","")</f>
        <v/>
      </c>
    </row>
    <row r="5261" customFormat="false" ht="15" hidden="true" customHeight="false" outlineLevel="0" collapsed="false">
      <c r="A5261" s="53" t="str">
        <f aca="false">IF($H5261="","",ROW()-5)</f>
        <v/>
      </c>
      <c r="B5261" s="64" t="s">
        <v>39</v>
      </c>
      <c r="C5261" s="53" t="n">
        <v>133</v>
      </c>
      <c r="D5261" s="53" t="n">
        <v>2</v>
      </c>
      <c r="E5261" s="65" t="str">
        <f aca="false">IF($H5261="","",其他分录!$B133)</f>
        <v/>
      </c>
      <c r="F5261" s="55" t="str">
        <f aca="false">IF($H5261="","",其他分录!$C133)</f>
        <v/>
      </c>
      <c r="G5261" s="48" t="str">
        <f aca="false">IF($H5261="","",其他分录!$D133)</f>
        <v/>
      </c>
      <c r="H5261" s="10" t="str">
        <f aca="false">IF(OR(其他分录!$B133="",N(其他分录!$G133)=0),"",其他分录!$F133)</f>
        <v/>
      </c>
      <c r="I5261" s="42" t="n">
        <f aca="false">IF($M5261="借",$O5261,0)</f>
        <v>0</v>
      </c>
      <c r="J5261" s="42" t="n">
        <f aca="false">IF($M5261="贷",$O5261,0)</f>
        <v>0</v>
      </c>
      <c r="K5261" s="48" t="str">
        <f aca="false">IF($H5261="","",其他分录!$H133)</f>
        <v/>
      </c>
      <c r="L5261" s="66"/>
      <c r="M5261" s="66" t="str">
        <f aca="false">IF($H5261="","","贷")</f>
        <v/>
      </c>
      <c r="N5261" s="66"/>
      <c r="O5261" s="67" t="n">
        <f aca="false">IF($H5261="",0,ROUND(N(其他分录!$G133),2))</f>
        <v>0</v>
      </c>
      <c r="P5261" s="64" t="str">
        <f aca="false">IF(AND($H5261&lt;&gt;"",ROUND($O5261,2)&lt;&gt;0),"有","")</f>
        <v/>
      </c>
    </row>
    <row r="5262" customFormat="false" ht="15" hidden="true" customHeight="false" outlineLevel="0" collapsed="false">
      <c r="A5262" s="53" t="str">
        <f aca="false">IF($H5262="","",ROW()-5)</f>
        <v/>
      </c>
      <c r="B5262" s="64" t="s">
        <v>39</v>
      </c>
      <c r="C5262" s="53" t="n">
        <v>134</v>
      </c>
      <c r="D5262" s="53" t="n">
        <v>1</v>
      </c>
      <c r="E5262" s="65" t="str">
        <f aca="false">IF($H5262="","",其他分录!$B134)</f>
        <v/>
      </c>
      <c r="F5262" s="55" t="str">
        <f aca="false">IF($H5262="","",其他分录!$C134)</f>
        <v/>
      </c>
      <c r="G5262" s="48" t="str">
        <f aca="false">IF($H5262="","",其他分录!$D134)</f>
        <v/>
      </c>
      <c r="H5262" s="10" t="str">
        <f aca="false">IF(OR(其他分录!$B134="",N(其他分录!$G134)=0),"",其他分录!$E134)</f>
        <v/>
      </c>
      <c r="I5262" s="42" t="n">
        <f aca="false">IF($M5262="借",$O5262,0)</f>
        <v>0</v>
      </c>
      <c r="J5262" s="42" t="n">
        <f aca="false">IF($M5262="贷",$O5262,0)</f>
        <v>0</v>
      </c>
      <c r="K5262" s="48" t="str">
        <f aca="false">IF($H5262="","",其他分录!$H134)</f>
        <v/>
      </c>
      <c r="L5262" s="66"/>
      <c r="M5262" s="66" t="str">
        <f aca="false">IF($H5262="","","借")</f>
        <v/>
      </c>
      <c r="N5262" s="66"/>
      <c r="O5262" s="67" t="n">
        <f aca="false">IF($H5262="",0,ROUND(N(其他分录!$G134),2))</f>
        <v>0</v>
      </c>
      <c r="P5262" s="64" t="str">
        <f aca="false">IF(AND($H5262&lt;&gt;"",ROUND($O5262,2)&lt;&gt;0),"有","")</f>
        <v/>
      </c>
    </row>
    <row r="5263" customFormat="false" ht="15" hidden="true" customHeight="false" outlineLevel="0" collapsed="false">
      <c r="A5263" s="53" t="str">
        <f aca="false">IF($H5263="","",ROW()-5)</f>
        <v/>
      </c>
      <c r="B5263" s="64" t="s">
        <v>39</v>
      </c>
      <c r="C5263" s="53" t="n">
        <v>134</v>
      </c>
      <c r="D5263" s="53" t="n">
        <v>2</v>
      </c>
      <c r="E5263" s="65" t="str">
        <f aca="false">IF($H5263="","",其他分录!$B134)</f>
        <v/>
      </c>
      <c r="F5263" s="55" t="str">
        <f aca="false">IF($H5263="","",其他分录!$C134)</f>
        <v/>
      </c>
      <c r="G5263" s="48" t="str">
        <f aca="false">IF($H5263="","",其他分录!$D134)</f>
        <v/>
      </c>
      <c r="H5263" s="10" t="str">
        <f aca="false">IF(OR(其他分录!$B134="",N(其他分录!$G134)=0),"",其他分录!$F134)</f>
        <v/>
      </c>
      <c r="I5263" s="42" t="n">
        <f aca="false">IF($M5263="借",$O5263,0)</f>
        <v>0</v>
      </c>
      <c r="J5263" s="42" t="n">
        <f aca="false">IF($M5263="贷",$O5263,0)</f>
        <v>0</v>
      </c>
      <c r="K5263" s="48" t="str">
        <f aca="false">IF($H5263="","",其他分录!$H134)</f>
        <v/>
      </c>
      <c r="L5263" s="66"/>
      <c r="M5263" s="66" t="str">
        <f aca="false">IF($H5263="","","贷")</f>
        <v/>
      </c>
      <c r="N5263" s="66"/>
      <c r="O5263" s="67" t="n">
        <f aca="false">IF($H5263="",0,ROUND(N(其他分录!$G134),2))</f>
        <v>0</v>
      </c>
      <c r="P5263" s="64" t="str">
        <f aca="false">IF(AND($H5263&lt;&gt;"",ROUND($O5263,2)&lt;&gt;0),"有","")</f>
        <v/>
      </c>
    </row>
    <row r="5264" customFormat="false" ht="15" hidden="true" customHeight="false" outlineLevel="0" collapsed="false">
      <c r="A5264" s="53" t="str">
        <f aca="false">IF($H5264="","",ROW()-5)</f>
        <v/>
      </c>
      <c r="B5264" s="64" t="s">
        <v>39</v>
      </c>
      <c r="C5264" s="53" t="n">
        <v>135</v>
      </c>
      <c r="D5264" s="53" t="n">
        <v>1</v>
      </c>
      <c r="E5264" s="65" t="str">
        <f aca="false">IF($H5264="","",其他分录!$B135)</f>
        <v/>
      </c>
      <c r="F5264" s="55" t="str">
        <f aca="false">IF($H5264="","",其他分录!$C135)</f>
        <v/>
      </c>
      <c r="G5264" s="48" t="str">
        <f aca="false">IF($H5264="","",其他分录!$D135)</f>
        <v/>
      </c>
      <c r="H5264" s="10" t="str">
        <f aca="false">IF(OR(其他分录!$B135="",N(其他分录!$G135)=0),"",其他分录!$E135)</f>
        <v/>
      </c>
      <c r="I5264" s="42" t="n">
        <f aca="false">IF($M5264="借",$O5264,0)</f>
        <v>0</v>
      </c>
      <c r="J5264" s="42" t="n">
        <f aca="false">IF($M5264="贷",$O5264,0)</f>
        <v>0</v>
      </c>
      <c r="K5264" s="48" t="str">
        <f aca="false">IF($H5264="","",其他分录!$H135)</f>
        <v/>
      </c>
      <c r="L5264" s="66"/>
      <c r="M5264" s="66" t="str">
        <f aca="false">IF($H5264="","","借")</f>
        <v/>
      </c>
      <c r="N5264" s="66"/>
      <c r="O5264" s="67" t="n">
        <f aca="false">IF($H5264="",0,ROUND(N(其他分录!$G135),2))</f>
        <v>0</v>
      </c>
      <c r="P5264" s="64" t="str">
        <f aca="false">IF(AND($H5264&lt;&gt;"",ROUND($O5264,2)&lt;&gt;0),"有","")</f>
        <v/>
      </c>
    </row>
    <row r="5265" customFormat="false" ht="15" hidden="true" customHeight="false" outlineLevel="0" collapsed="false">
      <c r="A5265" s="53" t="str">
        <f aca="false">IF($H5265="","",ROW()-5)</f>
        <v/>
      </c>
      <c r="B5265" s="64" t="s">
        <v>39</v>
      </c>
      <c r="C5265" s="53" t="n">
        <v>135</v>
      </c>
      <c r="D5265" s="53" t="n">
        <v>2</v>
      </c>
      <c r="E5265" s="65" t="str">
        <f aca="false">IF($H5265="","",其他分录!$B135)</f>
        <v/>
      </c>
      <c r="F5265" s="55" t="str">
        <f aca="false">IF($H5265="","",其他分录!$C135)</f>
        <v/>
      </c>
      <c r="G5265" s="48" t="str">
        <f aca="false">IF($H5265="","",其他分录!$D135)</f>
        <v/>
      </c>
      <c r="H5265" s="10" t="str">
        <f aca="false">IF(OR(其他分录!$B135="",N(其他分录!$G135)=0),"",其他分录!$F135)</f>
        <v/>
      </c>
      <c r="I5265" s="42" t="n">
        <f aca="false">IF($M5265="借",$O5265,0)</f>
        <v>0</v>
      </c>
      <c r="J5265" s="42" t="n">
        <f aca="false">IF($M5265="贷",$O5265,0)</f>
        <v>0</v>
      </c>
      <c r="K5265" s="48" t="str">
        <f aca="false">IF($H5265="","",其他分录!$H135)</f>
        <v/>
      </c>
      <c r="L5265" s="66"/>
      <c r="M5265" s="66" t="str">
        <f aca="false">IF($H5265="","","贷")</f>
        <v/>
      </c>
      <c r="N5265" s="66"/>
      <c r="O5265" s="67" t="n">
        <f aca="false">IF($H5265="",0,ROUND(N(其他分录!$G135),2))</f>
        <v>0</v>
      </c>
      <c r="P5265" s="64" t="str">
        <f aca="false">IF(AND($H5265&lt;&gt;"",ROUND($O5265,2)&lt;&gt;0),"有","")</f>
        <v/>
      </c>
    </row>
    <row r="5266" customFormat="false" ht="15" hidden="true" customHeight="false" outlineLevel="0" collapsed="false">
      <c r="A5266" s="53" t="str">
        <f aca="false">IF($H5266="","",ROW()-5)</f>
        <v/>
      </c>
      <c r="B5266" s="64" t="s">
        <v>39</v>
      </c>
      <c r="C5266" s="53" t="n">
        <v>136</v>
      </c>
      <c r="D5266" s="53" t="n">
        <v>1</v>
      </c>
      <c r="E5266" s="65" t="str">
        <f aca="false">IF($H5266="","",其他分录!$B136)</f>
        <v/>
      </c>
      <c r="F5266" s="55" t="str">
        <f aca="false">IF($H5266="","",其他分录!$C136)</f>
        <v/>
      </c>
      <c r="G5266" s="48" t="str">
        <f aca="false">IF($H5266="","",其他分录!$D136)</f>
        <v/>
      </c>
      <c r="H5266" s="10" t="str">
        <f aca="false">IF(OR(其他分录!$B136="",N(其他分录!$G136)=0),"",其他分录!$E136)</f>
        <v/>
      </c>
      <c r="I5266" s="42" t="n">
        <f aca="false">IF($M5266="借",$O5266,0)</f>
        <v>0</v>
      </c>
      <c r="J5266" s="42" t="n">
        <f aca="false">IF($M5266="贷",$O5266,0)</f>
        <v>0</v>
      </c>
      <c r="K5266" s="48" t="str">
        <f aca="false">IF($H5266="","",其他分录!$H136)</f>
        <v/>
      </c>
      <c r="L5266" s="66"/>
      <c r="M5266" s="66" t="str">
        <f aca="false">IF($H5266="","","借")</f>
        <v/>
      </c>
      <c r="N5266" s="66"/>
      <c r="O5266" s="67" t="n">
        <f aca="false">IF($H5266="",0,ROUND(N(其他分录!$G136),2))</f>
        <v>0</v>
      </c>
      <c r="P5266" s="64" t="str">
        <f aca="false">IF(AND($H5266&lt;&gt;"",ROUND($O5266,2)&lt;&gt;0),"有","")</f>
        <v/>
      </c>
    </row>
    <row r="5267" customFormat="false" ht="15" hidden="true" customHeight="false" outlineLevel="0" collapsed="false">
      <c r="A5267" s="53" t="str">
        <f aca="false">IF($H5267="","",ROW()-5)</f>
        <v/>
      </c>
      <c r="B5267" s="64" t="s">
        <v>39</v>
      </c>
      <c r="C5267" s="53" t="n">
        <v>136</v>
      </c>
      <c r="D5267" s="53" t="n">
        <v>2</v>
      </c>
      <c r="E5267" s="65" t="str">
        <f aca="false">IF($H5267="","",其他分录!$B136)</f>
        <v/>
      </c>
      <c r="F5267" s="55" t="str">
        <f aca="false">IF($H5267="","",其他分录!$C136)</f>
        <v/>
      </c>
      <c r="G5267" s="48" t="str">
        <f aca="false">IF($H5267="","",其他分录!$D136)</f>
        <v/>
      </c>
      <c r="H5267" s="10" t="str">
        <f aca="false">IF(OR(其他分录!$B136="",N(其他分录!$G136)=0),"",其他分录!$F136)</f>
        <v/>
      </c>
      <c r="I5267" s="42" t="n">
        <f aca="false">IF($M5267="借",$O5267,0)</f>
        <v>0</v>
      </c>
      <c r="J5267" s="42" t="n">
        <f aca="false">IF($M5267="贷",$O5267,0)</f>
        <v>0</v>
      </c>
      <c r="K5267" s="48" t="str">
        <f aca="false">IF($H5267="","",其他分录!$H136)</f>
        <v/>
      </c>
      <c r="L5267" s="66"/>
      <c r="M5267" s="66" t="str">
        <f aca="false">IF($H5267="","","贷")</f>
        <v/>
      </c>
      <c r="N5267" s="66"/>
      <c r="O5267" s="67" t="n">
        <f aca="false">IF($H5267="",0,ROUND(N(其他分录!$G136),2))</f>
        <v>0</v>
      </c>
      <c r="P5267" s="64" t="str">
        <f aca="false">IF(AND($H5267&lt;&gt;"",ROUND($O5267,2)&lt;&gt;0),"有","")</f>
        <v/>
      </c>
    </row>
    <row r="5268" customFormat="false" ht="15" hidden="true" customHeight="false" outlineLevel="0" collapsed="false">
      <c r="A5268" s="53" t="str">
        <f aca="false">IF($H5268="","",ROW()-5)</f>
        <v/>
      </c>
      <c r="B5268" s="64" t="s">
        <v>39</v>
      </c>
      <c r="C5268" s="53" t="n">
        <v>137</v>
      </c>
      <c r="D5268" s="53" t="n">
        <v>1</v>
      </c>
      <c r="E5268" s="65" t="str">
        <f aca="false">IF($H5268="","",其他分录!$B137)</f>
        <v/>
      </c>
      <c r="F5268" s="55" t="str">
        <f aca="false">IF($H5268="","",其他分录!$C137)</f>
        <v/>
      </c>
      <c r="G5268" s="48" t="str">
        <f aca="false">IF($H5268="","",其他分录!$D137)</f>
        <v/>
      </c>
      <c r="H5268" s="10" t="str">
        <f aca="false">IF(OR(其他分录!$B137="",N(其他分录!$G137)=0),"",其他分录!$E137)</f>
        <v/>
      </c>
      <c r="I5268" s="42" t="n">
        <f aca="false">IF($M5268="借",$O5268,0)</f>
        <v>0</v>
      </c>
      <c r="J5268" s="42" t="n">
        <f aca="false">IF($M5268="贷",$O5268,0)</f>
        <v>0</v>
      </c>
      <c r="K5268" s="48" t="str">
        <f aca="false">IF($H5268="","",其他分录!$H137)</f>
        <v/>
      </c>
      <c r="L5268" s="66"/>
      <c r="M5268" s="66" t="str">
        <f aca="false">IF($H5268="","","借")</f>
        <v/>
      </c>
      <c r="N5268" s="66"/>
      <c r="O5268" s="67" t="n">
        <f aca="false">IF($H5268="",0,ROUND(N(其他分录!$G137),2))</f>
        <v>0</v>
      </c>
      <c r="P5268" s="64" t="str">
        <f aca="false">IF(AND($H5268&lt;&gt;"",ROUND($O5268,2)&lt;&gt;0),"有","")</f>
        <v/>
      </c>
    </row>
    <row r="5269" customFormat="false" ht="15" hidden="true" customHeight="false" outlineLevel="0" collapsed="false">
      <c r="A5269" s="53" t="str">
        <f aca="false">IF($H5269="","",ROW()-5)</f>
        <v/>
      </c>
      <c r="B5269" s="64" t="s">
        <v>39</v>
      </c>
      <c r="C5269" s="53" t="n">
        <v>137</v>
      </c>
      <c r="D5269" s="53" t="n">
        <v>2</v>
      </c>
      <c r="E5269" s="65" t="str">
        <f aca="false">IF($H5269="","",其他分录!$B137)</f>
        <v/>
      </c>
      <c r="F5269" s="55" t="str">
        <f aca="false">IF($H5269="","",其他分录!$C137)</f>
        <v/>
      </c>
      <c r="G5269" s="48" t="str">
        <f aca="false">IF($H5269="","",其他分录!$D137)</f>
        <v/>
      </c>
      <c r="H5269" s="10" t="str">
        <f aca="false">IF(OR(其他分录!$B137="",N(其他分录!$G137)=0),"",其他分录!$F137)</f>
        <v/>
      </c>
      <c r="I5269" s="42" t="n">
        <f aca="false">IF($M5269="借",$O5269,0)</f>
        <v>0</v>
      </c>
      <c r="J5269" s="42" t="n">
        <f aca="false">IF($M5269="贷",$O5269,0)</f>
        <v>0</v>
      </c>
      <c r="K5269" s="48" t="str">
        <f aca="false">IF($H5269="","",其他分录!$H137)</f>
        <v/>
      </c>
      <c r="L5269" s="66"/>
      <c r="M5269" s="66" t="str">
        <f aca="false">IF($H5269="","","贷")</f>
        <v/>
      </c>
      <c r="N5269" s="66"/>
      <c r="O5269" s="67" t="n">
        <f aca="false">IF($H5269="",0,ROUND(N(其他分录!$G137),2))</f>
        <v>0</v>
      </c>
      <c r="P5269" s="64" t="str">
        <f aca="false">IF(AND($H5269&lt;&gt;"",ROUND($O5269,2)&lt;&gt;0),"有","")</f>
        <v/>
      </c>
    </row>
    <row r="5270" customFormat="false" ht="15" hidden="true" customHeight="false" outlineLevel="0" collapsed="false">
      <c r="A5270" s="53" t="str">
        <f aca="false">IF($H5270="","",ROW()-5)</f>
        <v/>
      </c>
      <c r="B5270" s="64" t="s">
        <v>39</v>
      </c>
      <c r="C5270" s="53" t="n">
        <v>138</v>
      </c>
      <c r="D5270" s="53" t="n">
        <v>1</v>
      </c>
      <c r="E5270" s="65" t="str">
        <f aca="false">IF($H5270="","",其他分录!$B138)</f>
        <v/>
      </c>
      <c r="F5270" s="55" t="str">
        <f aca="false">IF($H5270="","",其他分录!$C138)</f>
        <v/>
      </c>
      <c r="G5270" s="48" t="str">
        <f aca="false">IF($H5270="","",其他分录!$D138)</f>
        <v/>
      </c>
      <c r="H5270" s="10" t="str">
        <f aca="false">IF(OR(其他分录!$B138="",N(其他分录!$G138)=0),"",其他分录!$E138)</f>
        <v/>
      </c>
      <c r="I5270" s="42" t="n">
        <f aca="false">IF($M5270="借",$O5270,0)</f>
        <v>0</v>
      </c>
      <c r="J5270" s="42" t="n">
        <f aca="false">IF($M5270="贷",$O5270,0)</f>
        <v>0</v>
      </c>
      <c r="K5270" s="48" t="str">
        <f aca="false">IF($H5270="","",其他分录!$H138)</f>
        <v/>
      </c>
      <c r="L5270" s="66"/>
      <c r="M5270" s="66" t="str">
        <f aca="false">IF($H5270="","","借")</f>
        <v/>
      </c>
      <c r="N5270" s="66"/>
      <c r="O5270" s="67" t="n">
        <f aca="false">IF($H5270="",0,ROUND(N(其他分录!$G138),2))</f>
        <v>0</v>
      </c>
      <c r="P5270" s="64" t="str">
        <f aca="false">IF(AND($H5270&lt;&gt;"",ROUND($O5270,2)&lt;&gt;0),"有","")</f>
        <v/>
      </c>
    </row>
    <row r="5271" customFormat="false" ht="15" hidden="true" customHeight="false" outlineLevel="0" collapsed="false">
      <c r="A5271" s="53" t="str">
        <f aca="false">IF($H5271="","",ROW()-5)</f>
        <v/>
      </c>
      <c r="B5271" s="64" t="s">
        <v>39</v>
      </c>
      <c r="C5271" s="53" t="n">
        <v>138</v>
      </c>
      <c r="D5271" s="53" t="n">
        <v>2</v>
      </c>
      <c r="E5271" s="65" t="str">
        <f aca="false">IF($H5271="","",其他分录!$B138)</f>
        <v/>
      </c>
      <c r="F5271" s="55" t="str">
        <f aca="false">IF($H5271="","",其他分录!$C138)</f>
        <v/>
      </c>
      <c r="G5271" s="48" t="str">
        <f aca="false">IF($H5271="","",其他分录!$D138)</f>
        <v/>
      </c>
      <c r="H5271" s="10" t="str">
        <f aca="false">IF(OR(其他分录!$B138="",N(其他分录!$G138)=0),"",其他分录!$F138)</f>
        <v/>
      </c>
      <c r="I5271" s="42" t="n">
        <f aca="false">IF($M5271="借",$O5271,0)</f>
        <v>0</v>
      </c>
      <c r="J5271" s="42" t="n">
        <f aca="false">IF($M5271="贷",$O5271,0)</f>
        <v>0</v>
      </c>
      <c r="K5271" s="48" t="str">
        <f aca="false">IF($H5271="","",其他分录!$H138)</f>
        <v/>
      </c>
      <c r="L5271" s="66"/>
      <c r="M5271" s="66" t="str">
        <f aca="false">IF($H5271="","","贷")</f>
        <v/>
      </c>
      <c r="N5271" s="66"/>
      <c r="O5271" s="67" t="n">
        <f aca="false">IF($H5271="",0,ROUND(N(其他分录!$G138),2))</f>
        <v>0</v>
      </c>
      <c r="P5271" s="64" t="str">
        <f aca="false">IF(AND($H5271&lt;&gt;"",ROUND($O5271,2)&lt;&gt;0),"有","")</f>
        <v/>
      </c>
    </row>
    <row r="5272" customFormat="false" ht="15" hidden="true" customHeight="false" outlineLevel="0" collapsed="false">
      <c r="A5272" s="53" t="str">
        <f aca="false">IF($H5272="","",ROW()-5)</f>
        <v/>
      </c>
      <c r="B5272" s="64" t="s">
        <v>39</v>
      </c>
      <c r="C5272" s="53" t="n">
        <v>139</v>
      </c>
      <c r="D5272" s="53" t="n">
        <v>1</v>
      </c>
      <c r="E5272" s="65" t="str">
        <f aca="false">IF($H5272="","",其他分录!$B139)</f>
        <v/>
      </c>
      <c r="F5272" s="55" t="str">
        <f aca="false">IF($H5272="","",其他分录!$C139)</f>
        <v/>
      </c>
      <c r="G5272" s="48" t="str">
        <f aca="false">IF($H5272="","",其他分录!$D139)</f>
        <v/>
      </c>
      <c r="H5272" s="10" t="str">
        <f aca="false">IF(OR(其他分录!$B139="",N(其他分录!$G139)=0),"",其他分录!$E139)</f>
        <v/>
      </c>
      <c r="I5272" s="42" t="n">
        <f aca="false">IF($M5272="借",$O5272,0)</f>
        <v>0</v>
      </c>
      <c r="J5272" s="42" t="n">
        <f aca="false">IF($M5272="贷",$O5272,0)</f>
        <v>0</v>
      </c>
      <c r="K5272" s="48" t="str">
        <f aca="false">IF($H5272="","",其他分录!$H139)</f>
        <v/>
      </c>
      <c r="L5272" s="66"/>
      <c r="M5272" s="66" t="str">
        <f aca="false">IF($H5272="","","借")</f>
        <v/>
      </c>
      <c r="N5272" s="66"/>
      <c r="O5272" s="67" t="n">
        <f aca="false">IF($H5272="",0,ROUND(N(其他分录!$G139),2))</f>
        <v>0</v>
      </c>
      <c r="P5272" s="64" t="str">
        <f aca="false">IF(AND($H5272&lt;&gt;"",ROUND($O5272,2)&lt;&gt;0),"有","")</f>
        <v/>
      </c>
    </row>
    <row r="5273" customFormat="false" ht="15" hidden="true" customHeight="false" outlineLevel="0" collapsed="false">
      <c r="A5273" s="53" t="str">
        <f aca="false">IF($H5273="","",ROW()-5)</f>
        <v/>
      </c>
      <c r="B5273" s="64" t="s">
        <v>39</v>
      </c>
      <c r="C5273" s="53" t="n">
        <v>139</v>
      </c>
      <c r="D5273" s="53" t="n">
        <v>2</v>
      </c>
      <c r="E5273" s="65" t="str">
        <f aca="false">IF($H5273="","",其他分录!$B139)</f>
        <v/>
      </c>
      <c r="F5273" s="55" t="str">
        <f aca="false">IF($H5273="","",其他分录!$C139)</f>
        <v/>
      </c>
      <c r="G5273" s="48" t="str">
        <f aca="false">IF($H5273="","",其他分录!$D139)</f>
        <v/>
      </c>
      <c r="H5273" s="10" t="str">
        <f aca="false">IF(OR(其他分录!$B139="",N(其他分录!$G139)=0),"",其他分录!$F139)</f>
        <v/>
      </c>
      <c r="I5273" s="42" t="n">
        <f aca="false">IF($M5273="借",$O5273,0)</f>
        <v>0</v>
      </c>
      <c r="J5273" s="42" t="n">
        <f aca="false">IF($M5273="贷",$O5273,0)</f>
        <v>0</v>
      </c>
      <c r="K5273" s="48" t="str">
        <f aca="false">IF($H5273="","",其他分录!$H139)</f>
        <v/>
      </c>
      <c r="L5273" s="66"/>
      <c r="M5273" s="66" t="str">
        <f aca="false">IF($H5273="","","贷")</f>
        <v/>
      </c>
      <c r="N5273" s="66"/>
      <c r="O5273" s="67" t="n">
        <f aca="false">IF($H5273="",0,ROUND(N(其他分录!$G139),2))</f>
        <v>0</v>
      </c>
      <c r="P5273" s="64" t="str">
        <f aca="false">IF(AND($H5273&lt;&gt;"",ROUND($O5273,2)&lt;&gt;0),"有","")</f>
        <v/>
      </c>
    </row>
    <row r="5274" customFormat="false" ht="15" hidden="true" customHeight="false" outlineLevel="0" collapsed="false">
      <c r="A5274" s="53" t="str">
        <f aca="false">IF($H5274="","",ROW()-5)</f>
        <v/>
      </c>
      <c r="B5274" s="64" t="s">
        <v>39</v>
      </c>
      <c r="C5274" s="53" t="n">
        <v>140</v>
      </c>
      <c r="D5274" s="53" t="n">
        <v>1</v>
      </c>
      <c r="E5274" s="65" t="str">
        <f aca="false">IF($H5274="","",其他分录!$B140)</f>
        <v/>
      </c>
      <c r="F5274" s="55" t="str">
        <f aca="false">IF($H5274="","",其他分录!$C140)</f>
        <v/>
      </c>
      <c r="G5274" s="48" t="str">
        <f aca="false">IF($H5274="","",其他分录!$D140)</f>
        <v/>
      </c>
      <c r="H5274" s="10" t="str">
        <f aca="false">IF(OR(其他分录!$B140="",N(其他分录!$G140)=0),"",其他分录!$E140)</f>
        <v/>
      </c>
      <c r="I5274" s="42" t="n">
        <f aca="false">IF($M5274="借",$O5274,0)</f>
        <v>0</v>
      </c>
      <c r="J5274" s="42" t="n">
        <f aca="false">IF($M5274="贷",$O5274,0)</f>
        <v>0</v>
      </c>
      <c r="K5274" s="48" t="str">
        <f aca="false">IF($H5274="","",其他分录!$H140)</f>
        <v/>
      </c>
      <c r="L5274" s="66"/>
      <c r="M5274" s="66" t="str">
        <f aca="false">IF($H5274="","","借")</f>
        <v/>
      </c>
      <c r="N5274" s="66"/>
      <c r="O5274" s="67" t="n">
        <f aca="false">IF($H5274="",0,ROUND(N(其他分录!$G140),2))</f>
        <v>0</v>
      </c>
      <c r="P5274" s="64" t="str">
        <f aca="false">IF(AND($H5274&lt;&gt;"",ROUND($O5274,2)&lt;&gt;0),"有","")</f>
        <v/>
      </c>
    </row>
    <row r="5275" customFormat="false" ht="15" hidden="true" customHeight="false" outlineLevel="0" collapsed="false">
      <c r="A5275" s="53" t="str">
        <f aca="false">IF($H5275="","",ROW()-5)</f>
        <v/>
      </c>
      <c r="B5275" s="64" t="s">
        <v>39</v>
      </c>
      <c r="C5275" s="53" t="n">
        <v>140</v>
      </c>
      <c r="D5275" s="53" t="n">
        <v>2</v>
      </c>
      <c r="E5275" s="65" t="str">
        <f aca="false">IF($H5275="","",其他分录!$B140)</f>
        <v/>
      </c>
      <c r="F5275" s="55" t="str">
        <f aca="false">IF($H5275="","",其他分录!$C140)</f>
        <v/>
      </c>
      <c r="G5275" s="48" t="str">
        <f aca="false">IF($H5275="","",其他分录!$D140)</f>
        <v/>
      </c>
      <c r="H5275" s="10" t="str">
        <f aca="false">IF(OR(其他分录!$B140="",N(其他分录!$G140)=0),"",其他分录!$F140)</f>
        <v/>
      </c>
      <c r="I5275" s="42" t="n">
        <f aca="false">IF($M5275="借",$O5275,0)</f>
        <v>0</v>
      </c>
      <c r="J5275" s="42" t="n">
        <f aca="false">IF($M5275="贷",$O5275,0)</f>
        <v>0</v>
      </c>
      <c r="K5275" s="48" t="str">
        <f aca="false">IF($H5275="","",其他分录!$H140)</f>
        <v/>
      </c>
      <c r="L5275" s="66"/>
      <c r="M5275" s="66" t="str">
        <f aca="false">IF($H5275="","","贷")</f>
        <v/>
      </c>
      <c r="N5275" s="66"/>
      <c r="O5275" s="67" t="n">
        <f aca="false">IF($H5275="",0,ROUND(N(其他分录!$G140),2))</f>
        <v>0</v>
      </c>
      <c r="P5275" s="64" t="str">
        <f aca="false">IF(AND($H5275&lt;&gt;"",ROUND($O5275,2)&lt;&gt;0),"有","")</f>
        <v/>
      </c>
    </row>
    <row r="5276" customFormat="false" ht="15" hidden="true" customHeight="false" outlineLevel="0" collapsed="false">
      <c r="A5276" s="53" t="str">
        <f aca="false">IF($H5276="","",ROW()-5)</f>
        <v/>
      </c>
      <c r="B5276" s="64" t="s">
        <v>39</v>
      </c>
      <c r="C5276" s="53" t="n">
        <v>141</v>
      </c>
      <c r="D5276" s="53" t="n">
        <v>1</v>
      </c>
      <c r="E5276" s="65" t="str">
        <f aca="false">IF($H5276="","",其他分录!$B141)</f>
        <v/>
      </c>
      <c r="F5276" s="55" t="str">
        <f aca="false">IF($H5276="","",其他分录!$C141)</f>
        <v/>
      </c>
      <c r="G5276" s="48" t="str">
        <f aca="false">IF($H5276="","",其他分录!$D141)</f>
        <v/>
      </c>
      <c r="H5276" s="10" t="str">
        <f aca="false">IF(OR(其他分录!$B141="",N(其他分录!$G141)=0),"",其他分录!$E141)</f>
        <v/>
      </c>
      <c r="I5276" s="42" t="n">
        <f aca="false">IF($M5276="借",$O5276,0)</f>
        <v>0</v>
      </c>
      <c r="J5276" s="42" t="n">
        <f aca="false">IF($M5276="贷",$O5276,0)</f>
        <v>0</v>
      </c>
      <c r="K5276" s="48" t="str">
        <f aca="false">IF($H5276="","",其他分录!$H141)</f>
        <v/>
      </c>
      <c r="L5276" s="66"/>
      <c r="M5276" s="66" t="str">
        <f aca="false">IF($H5276="","","借")</f>
        <v/>
      </c>
      <c r="N5276" s="66"/>
      <c r="O5276" s="67" t="n">
        <f aca="false">IF($H5276="",0,ROUND(N(其他分录!$G141),2))</f>
        <v>0</v>
      </c>
      <c r="P5276" s="64" t="str">
        <f aca="false">IF(AND($H5276&lt;&gt;"",ROUND($O5276,2)&lt;&gt;0),"有","")</f>
        <v/>
      </c>
    </row>
    <row r="5277" customFormat="false" ht="15" hidden="true" customHeight="false" outlineLevel="0" collapsed="false">
      <c r="A5277" s="53" t="str">
        <f aca="false">IF($H5277="","",ROW()-5)</f>
        <v/>
      </c>
      <c r="B5277" s="64" t="s">
        <v>39</v>
      </c>
      <c r="C5277" s="53" t="n">
        <v>141</v>
      </c>
      <c r="D5277" s="53" t="n">
        <v>2</v>
      </c>
      <c r="E5277" s="65" t="str">
        <f aca="false">IF($H5277="","",其他分录!$B141)</f>
        <v/>
      </c>
      <c r="F5277" s="55" t="str">
        <f aca="false">IF($H5277="","",其他分录!$C141)</f>
        <v/>
      </c>
      <c r="G5277" s="48" t="str">
        <f aca="false">IF($H5277="","",其他分录!$D141)</f>
        <v/>
      </c>
      <c r="H5277" s="10" t="str">
        <f aca="false">IF(OR(其他分录!$B141="",N(其他分录!$G141)=0),"",其他分录!$F141)</f>
        <v/>
      </c>
      <c r="I5277" s="42" t="n">
        <f aca="false">IF($M5277="借",$O5277,0)</f>
        <v>0</v>
      </c>
      <c r="J5277" s="42" t="n">
        <f aca="false">IF($M5277="贷",$O5277,0)</f>
        <v>0</v>
      </c>
      <c r="K5277" s="48" t="str">
        <f aca="false">IF($H5277="","",其他分录!$H141)</f>
        <v/>
      </c>
      <c r="L5277" s="66"/>
      <c r="M5277" s="66" t="str">
        <f aca="false">IF($H5277="","","贷")</f>
        <v/>
      </c>
      <c r="N5277" s="66"/>
      <c r="O5277" s="67" t="n">
        <f aca="false">IF($H5277="",0,ROUND(N(其他分录!$G141),2))</f>
        <v>0</v>
      </c>
      <c r="P5277" s="64" t="str">
        <f aca="false">IF(AND($H5277&lt;&gt;"",ROUND($O5277,2)&lt;&gt;0),"有","")</f>
        <v/>
      </c>
    </row>
    <row r="5278" customFormat="false" ht="15" hidden="true" customHeight="false" outlineLevel="0" collapsed="false">
      <c r="A5278" s="53" t="str">
        <f aca="false">IF($H5278="","",ROW()-5)</f>
        <v/>
      </c>
      <c r="B5278" s="64" t="s">
        <v>39</v>
      </c>
      <c r="C5278" s="53" t="n">
        <v>142</v>
      </c>
      <c r="D5278" s="53" t="n">
        <v>1</v>
      </c>
      <c r="E5278" s="65" t="str">
        <f aca="false">IF($H5278="","",其他分录!$B142)</f>
        <v/>
      </c>
      <c r="F5278" s="55" t="str">
        <f aca="false">IF($H5278="","",其他分录!$C142)</f>
        <v/>
      </c>
      <c r="G5278" s="48" t="str">
        <f aca="false">IF($H5278="","",其他分录!$D142)</f>
        <v/>
      </c>
      <c r="H5278" s="10" t="str">
        <f aca="false">IF(OR(其他分录!$B142="",N(其他分录!$G142)=0),"",其他分录!$E142)</f>
        <v/>
      </c>
      <c r="I5278" s="42" t="n">
        <f aca="false">IF($M5278="借",$O5278,0)</f>
        <v>0</v>
      </c>
      <c r="J5278" s="42" t="n">
        <f aca="false">IF($M5278="贷",$O5278,0)</f>
        <v>0</v>
      </c>
      <c r="K5278" s="48" t="str">
        <f aca="false">IF($H5278="","",其他分录!$H142)</f>
        <v/>
      </c>
      <c r="L5278" s="66"/>
      <c r="M5278" s="66" t="str">
        <f aca="false">IF($H5278="","","借")</f>
        <v/>
      </c>
      <c r="N5278" s="66"/>
      <c r="O5278" s="67" t="n">
        <f aca="false">IF($H5278="",0,ROUND(N(其他分录!$G142),2))</f>
        <v>0</v>
      </c>
      <c r="P5278" s="64" t="str">
        <f aca="false">IF(AND($H5278&lt;&gt;"",ROUND($O5278,2)&lt;&gt;0),"有","")</f>
        <v/>
      </c>
    </row>
    <row r="5279" customFormat="false" ht="15" hidden="true" customHeight="false" outlineLevel="0" collapsed="false">
      <c r="A5279" s="53" t="str">
        <f aca="false">IF($H5279="","",ROW()-5)</f>
        <v/>
      </c>
      <c r="B5279" s="64" t="s">
        <v>39</v>
      </c>
      <c r="C5279" s="53" t="n">
        <v>142</v>
      </c>
      <c r="D5279" s="53" t="n">
        <v>2</v>
      </c>
      <c r="E5279" s="65" t="str">
        <f aca="false">IF($H5279="","",其他分录!$B142)</f>
        <v/>
      </c>
      <c r="F5279" s="55" t="str">
        <f aca="false">IF($H5279="","",其他分录!$C142)</f>
        <v/>
      </c>
      <c r="G5279" s="48" t="str">
        <f aca="false">IF($H5279="","",其他分录!$D142)</f>
        <v/>
      </c>
      <c r="H5279" s="10" t="str">
        <f aca="false">IF(OR(其他分录!$B142="",N(其他分录!$G142)=0),"",其他分录!$F142)</f>
        <v/>
      </c>
      <c r="I5279" s="42" t="n">
        <f aca="false">IF($M5279="借",$O5279,0)</f>
        <v>0</v>
      </c>
      <c r="J5279" s="42" t="n">
        <f aca="false">IF($M5279="贷",$O5279,0)</f>
        <v>0</v>
      </c>
      <c r="K5279" s="48" t="str">
        <f aca="false">IF($H5279="","",其他分录!$H142)</f>
        <v/>
      </c>
      <c r="L5279" s="66"/>
      <c r="M5279" s="66" t="str">
        <f aca="false">IF($H5279="","","贷")</f>
        <v/>
      </c>
      <c r="N5279" s="66"/>
      <c r="O5279" s="67" t="n">
        <f aca="false">IF($H5279="",0,ROUND(N(其他分录!$G142),2))</f>
        <v>0</v>
      </c>
      <c r="P5279" s="64" t="str">
        <f aca="false">IF(AND($H5279&lt;&gt;"",ROUND($O5279,2)&lt;&gt;0),"有","")</f>
        <v/>
      </c>
    </row>
    <row r="5280" customFormat="false" ht="15" hidden="true" customHeight="false" outlineLevel="0" collapsed="false">
      <c r="A5280" s="53" t="str">
        <f aca="false">IF($H5280="","",ROW()-5)</f>
        <v/>
      </c>
      <c r="B5280" s="64" t="s">
        <v>39</v>
      </c>
      <c r="C5280" s="53" t="n">
        <v>143</v>
      </c>
      <c r="D5280" s="53" t="n">
        <v>1</v>
      </c>
      <c r="E5280" s="65" t="str">
        <f aca="false">IF($H5280="","",其他分录!$B143)</f>
        <v/>
      </c>
      <c r="F5280" s="55" t="str">
        <f aca="false">IF($H5280="","",其他分录!$C143)</f>
        <v/>
      </c>
      <c r="G5280" s="48" t="str">
        <f aca="false">IF($H5280="","",其他分录!$D143)</f>
        <v/>
      </c>
      <c r="H5280" s="10" t="str">
        <f aca="false">IF(OR(其他分录!$B143="",N(其他分录!$G143)=0),"",其他分录!$E143)</f>
        <v/>
      </c>
      <c r="I5280" s="42" t="n">
        <f aca="false">IF($M5280="借",$O5280,0)</f>
        <v>0</v>
      </c>
      <c r="J5280" s="42" t="n">
        <f aca="false">IF($M5280="贷",$O5280,0)</f>
        <v>0</v>
      </c>
      <c r="K5280" s="48" t="str">
        <f aca="false">IF($H5280="","",其他分录!$H143)</f>
        <v/>
      </c>
      <c r="L5280" s="66"/>
      <c r="M5280" s="66" t="str">
        <f aca="false">IF($H5280="","","借")</f>
        <v/>
      </c>
      <c r="N5280" s="66"/>
      <c r="O5280" s="67" t="n">
        <f aca="false">IF($H5280="",0,ROUND(N(其他分录!$G143),2))</f>
        <v>0</v>
      </c>
      <c r="P5280" s="64" t="str">
        <f aca="false">IF(AND($H5280&lt;&gt;"",ROUND($O5280,2)&lt;&gt;0),"有","")</f>
        <v/>
      </c>
    </row>
    <row r="5281" customFormat="false" ht="15" hidden="true" customHeight="false" outlineLevel="0" collapsed="false">
      <c r="A5281" s="53" t="str">
        <f aca="false">IF($H5281="","",ROW()-5)</f>
        <v/>
      </c>
      <c r="B5281" s="64" t="s">
        <v>39</v>
      </c>
      <c r="C5281" s="53" t="n">
        <v>143</v>
      </c>
      <c r="D5281" s="53" t="n">
        <v>2</v>
      </c>
      <c r="E5281" s="65" t="str">
        <f aca="false">IF($H5281="","",其他分录!$B143)</f>
        <v/>
      </c>
      <c r="F5281" s="55" t="str">
        <f aca="false">IF($H5281="","",其他分录!$C143)</f>
        <v/>
      </c>
      <c r="G5281" s="48" t="str">
        <f aca="false">IF($H5281="","",其他分录!$D143)</f>
        <v/>
      </c>
      <c r="H5281" s="10" t="str">
        <f aca="false">IF(OR(其他分录!$B143="",N(其他分录!$G143)=0),"",其他分录!$F143)</f>
        <v/>
      </c>
      <c r="I5281" s="42" t="n">
        <f aca="false">IF($M5281="借",$O5281,0)</f>
        <v>0</v>
      </c>
      <c r="J5281" s="42" t="n">
        <f aca="false">IF($M5281="贷",$O5281,0)</f>
        <v>0</v>
      </c>
      <c r="K5281" s="48" t="str">
        <f aca="false">IF($H5281="","",其他分录!$H143)</f>
        <v/>
      </c>
      <c r="L5281" s="66"/>
      <c r="M5281" s="66" t="str">
        <f aca="false">IF($H5281="","","贷")</f>
        <v/>
      </c>
      <c r="N5281" s="66"/>
      <c r="O5281" s="67" t="n">
        <f aca="false">IF($H5281="",0,ROUND(N(其他分录!$G143),2))</f>
        <v>0</v>
      </c>
      <c r="P5281" s="64" t="str">
        <f aca="false">IF(AND($H5281&lt;&gt;"",ROUND($O5281,2)&lt;&gt;0),"有","")</f>
        <v/>
      </c>
    </row>
    <row r="5282" customFormat="false" ht="15" hidden="true" customHeight="false" outlineLevel="0" collapsed="false">
      <c r="A5282" s="53" t="str">
        <f aca="false">IF($H5282="","",ROW()-5)</f>
        <v/>
      </c>
      <c r="B5282" s="64" t="s">
        <v>39</v>
      </c>
      <c r="C5282" s="53" t="n">
        <v>144</v>
      </c>
      <c r="D5282" s="53" t="n">
        <v>1</v>
      </c>
      <c r="E5282" s="65" t="str">
        <f aca="false">IF($H5282="","",其他分录!$B144)</f>
        <v/>
      </c>
      <c r="F5282" s="55" t="str">
        <f aca="false">IF($H5282="","",其他分录!$C144)</f>
        <v/>
      </c>
      <c r="G5282" s="48" t="str">
        <f aca="false">IF($H5282="","",其他分录!$D144)</f>
        <v/>
      </c>
      <c r="H5282" s="10" t="str">
        <f aca="false">IF(OR(其他分录!$B144="",N(其他分录!$G144)=0),"",其他分录!$E144)</f>
        <v/>
      </c>
      <c r="I5282" s="42" t="n">
        <f aca="false">IF($M5282="借",$O5282,0)</f>
        <v>0</v>
      </c>
      <c r="J5282" s="42" t="n">
        <f aca="false">IF($M5282="贷",$O5282,0)</f>
        <v>0</v>
      </c>
      <c r="K5282" s="48" t="str">
        <f aca="false">IF($H5282="","",其他分录!$H144)</f>
        <v/>
      </c>
      <c r="L5282" s="66"/>
      <c r="M5282" s="66" t="str">
        <f aca="false">IF($H5282="","","借")</f>
        <v/>
      </c>
      <c r="N5282" s="66"/>
      <c r="O5282" s="67" t="n">
        <f aca="false">IF($H5282="",0,ROUND(N(其他分录!$G144),2))</f>
        <v>0</v>
      </c>
      <c r="P5282" s="64" t="str">
        <f aca="false">IF(AND($H5282&lt;&gt;"",ROUND($O5282,2)&lt;&gt;0),"有","")</f>
        <v/>
      </c>
    </row>
    <row r="5283" customFormat="false" ht="15" hidden="true" customHeight="false" outlineLevel="0" collapsed="false">
      <c r="A5283" s="53" t="str">
        <f aca="false">IF($H5283="","",ROW()-5)</f>
        <v/>
      </c>
      <c r="B5283" s="64" t="s">
        <v>39</v>
      </c>
      <c r="C5283" s="53" t="n">
        <v>144</v>
      </c>
      <c r="D5283" s="53" t="n">
        <v>2</v>
      </c>
      <c r="E5283" s="65" t="str">
        <f aca="false">IF($H5283="","",其他分录!$B144)</f>
        <v/>
      </c>
      <c r="F5283" s="55" t="str">
        <f aca="false">IF($H5283="","",其他分录!$C144)</f>
        <v/>
      </c>
      <c r="G5283" s="48" t="str">
        <f aca="false">IF($H5283="","",其他分录!$D144)</f>
        <v/>
      </c>
      <c r="H5283" s="10" t="str">
        <f aca="false">IF(OR(其他分录!$B144="",N(其他分录!$G144)=0),"",其他分录!$F144)</f>
        <v/>
      </c>
      <c r="I5283" s="42" t="n">
        <f aca="false">IF($M5283="借",$O5283,0)</f>
        <v>0</v>
      </c>
      <c r="J5283" s="42" t="n">
        <f aca="false">IF($M5283="贷",$O5283,0)</f>
        <v>0</v>
      </c>
      <c r="K5283" s="48" t="str">
        <f aca="false">IF($H5283="","",其他分录!$H144)</f>
        <v/>
      </c>
      <c r="L5283" s="66"/>
      <c r="M5283" s="66" t="str">
        <f aca="false">IF($H5283="","","贷")</f>
        <v/>
      </c>
      <c r="N5283" s="66"/>
      <c r="O5283" s="67" t="n">
        <f aca="false">IF($H5283="",0,ROUND(N(其他分录!$G144),2))</f>
        <v>0</v>
      </c>
      <c r="P5283" s="64" t="str">
        <f aca="false">IF(AND($H5283&lt;&gt;"",ROUND($O5283,2)&lt;&gt;0),"有","")</f>
        <v/>
      </c>
    </row>
    <row r="5284" customFormat="false" ht="15" hidden="true" customHeight="false" outlineLevel="0" collapsed="false">
      <c r="A5284" s="53" t="str">
        <f aca="false">IF($H5284="","",ROW()-5)</f>
        <v/>
      </c>
      <c r="B5284" s="64" t="s">
        <v>39</v>
      </c>
      <c r="C5284" s="53" t="n">
        <v>145</v>
      </c>
      <c r="D5284" s="53" t="n">
        <v>1</v>
      </c>
      <c r="E5284" s="65" t="str">
        <f aca="false">IF($H5284="","",其他分录!$B145)</f>
        <v/>
      </c>
      <c r="F5284" s="55" t="str">
        <f aca="false">IF($H5284="","",其他分录!$C145)</f>
        <v/>
      </c>
      <c r="G5284" s="48" t="str">
        <f aca="false">IF($H5284="","",其他分录!$D145)</f>
        <v/>
      </c>
      <c r="H5284" s="10" t="str">
        <f aca="false">IF(OR(其他分录!$B145="",N(其他分录!$G145)=0),"",其他分录!$E145)</f>
        <v/>
      </c>
      <c r="I5284" s="42" t="n">
        <f aca="false">IF($M5284="借",$O5284,0)</f>
        <v>0</v>
      </c>
      <c r="J5284" s="42" t="n">
        <f aca="false">IF($M5284="贷",$O5284,0)</f>
        <v>0</v>
      </c>
      <c r="K5284" s="48" t="str">
        <f aca="false">IF($H5284="","",其他分录!$H145)</f>
        <v/>
      </c>
      <c r="L5284" s="66"/>
      <c r="M5284" s="66" t="str">
        <f aca="false">IF($H5284="","","借")</f>
        <v/>
      </c>
      <c r="N5284" s="66"/>
      <c r="O5284" s="67" t="n">
        <f aca="false">IF($H5284="",0,ROUND(N(其他分录!$G145),2))</f>
        <v>0</v>
      </c>
      <c r="P5284" s="64" t="str">
        <f aca="false">IF(AND($H5284&lt;&gt;"",ROUND($O5284,2)&lt;&gt;0),"有","")</f>
        <v/>
      </c>
    </row>
    <row r="5285" customFormat="false" ht="15" hidden="true" customHeight="false" outlineLevel="0" collapsed="false">
      <c r="A5285" s="53" t="str">
        <f aca="false">IF($H5285="","",ROW()-5)</f>
        <v/>
      </c>
      <c r="B5285" s="64" t="s">
        <v>39</v>
      </c>
      <c r="C5285" s="53" t="n">
        <v>145</v>
      </c>
      <c r="D5285" s="53" t="n">
        <v>2</v>
      </c>
      <c r="E5285" s="65" t="str">
        <f aca="false">IF($H5285="","",其他分录!$B145)</f>
        <v/>
      </c>
      <c r="F5285" s="55" t="str">
        <f aca="false">IF($H5285="","",其他分录!$C145)</f>
        <v/>
      </c>
      <c r="G5285" s="48" t="str">
        <f aca="false">IF($H5285="","",其他分录!$D145)</f>
        <v/>
      </c>
      <c r="H5285" s="10" t="str">
        <f aca="false">IF(OR(其他分录!$B145="",N(其他分录!$G145)=0),"",其他分录!$F145)</f>
        <v/>
      </c>
      <c r="I5285" s="42" t="n">
        <f aca="false">IF($M5285="借",$O5285,0)</f>
        <v>0</v>
      </c>
      <c r="J5285" s="42" t="n">
        <f aca="false">IF($M5285="贷",$O5285,0)</f>
        <v>0</v>
      </c>
      <c r="K5285" s="48" t="str">
        <f aca="false">IF($H5285="","",其他分录!$H145)</f>
        <v/>
      </c>
      <c r="L5285" s="66"/>
      <c r="M5285" s="66" t="str">
        <f aca="false">IF($H5285="","","贷")</f>
        <v/>
      </c>
      <c r="N5285" s="66"/>
      <c r="O5285" s="67" t="n">
        <f aca="false">IF($H5285="",0,ROUND(N(其他分录!$G145),2))</f>
        <v>0</v>
      </c>
      <c r="P5285" s="64" t="str">
        <f aca="false">IF(AND($H5285&lt;&gt;"",ROUND($O5285,2)&lt;&gt;0),"有","")</f>
        <v/>
      </c>
    </row>
    <row r="5286" customFormat="false" ht="15" hidden="true" customHeight="false" outlineLevel="0" collapsed="false">
      <c r="A5286" s="53" t="str">
        <f aca="false">IF($H5286="","",ROW()-5)</f>
        <v/>
      </c>
      <c r="B5286" s="64" t="s">
        <v>39</v>
      </c>
      <c r="C5286" s="53" t="n">
        <v>146</v>
      </c>
      <c r="D5286" s="53" t="n">
        <v>1</v>
      </c>
      <c r="E5286" s="65" t="str">
        <f aca="false">IF($H5286="","",其他分录!$B146)</f>
        <v/>
      </c>
      <c r="F5286" s="55" t="str">
        <f aca="false">IF($H5286="","",其他分录!$C146)</f>
        <v/>
      </c>
      <c r="G5286" s="48" t="str">
        <f aca="false">IF($H5286="","",其他分录!$D146)</f>
        <v/>
      </c>
      <c r="H5286" s="10" t="str">
        <f aca="false">IF(OR(其他分录!$B146="",N(其他分录!$G146)=0),"",其他分录!$E146)</f>
        <v/>
      </c>
      <c r="I5286" s="42" t="n">
        <f aca="false">IF($M5286="借",$O5286,0)</f>
        <v>0</v>
      </c>
      <c r="J5286" s="42" t="n">
        <f aca="false">IF($M5286="贷",$O5286,0)</f>
        <v>0</v>
      </c>
      <c r="K5286" s="48" t="str">
        <f aca="false">IF($H5286="","",其他分录!$H146)</f>
        <v/>
      </c>
      <c r="L5286" s="66"/>
      <c r="M5286" s="66" t="str">
        <f aca="false">IF($H5286="","","借")</f>
        <v/>
      </c>
      <c r="N5286" s="66"/>
      <c r="O5286" s="67" t="n">
        <f aca="false">IF($H5286="",0,ROUND(N(其他分录!$G146),2))</f>
        <v>0</v>
      </c>
      <c r="P5286" s="64" t="str">
        <f aca="false">IF(AND($H5286&lt;&gt;"",ROUND($O5286,2)&lt;&gt;0),"有","")</f>
        <v/>
      </c>
    </row>
    <row r="5287" customFormat="false" ht="15" hidden="true" customHeight="false" outlineLevel="0" collapsed="false">
      <c r="A5287" s="53" t="str">
        <f aca="false">IF($H5287="","",ROW()-5)</f>
        <v/>
      </c>
      <c r="B5287" s="64" t="s">
        <v>39</v>
      </c>
      <c r="C5287" s="53" t="n">
        <v>146</v>
      </c>
      <c r="D5287" s="53" t="n">
        <v>2</v>
      </c>
      <c r="E5287" s="65" t="str">
        <f aca="false">IF($H5287="","",其他分录!$B146)</f>
        <v/>
      </c>
      <c r="F5287" s="55" t="str">
        <f aca="false">IF($H5287="","",其他分录!$C146)</f>
        <v/>
      </c>
      <c r="G5287" s="48" t="str">
        <f aca="false">IF($H5287="","",其他分录!$D146)</f>
        <v/>
      </c>
      <c r="H5287" s="10" t="str">
        <f aca="false">IF(OR(其他分录!$B146="",N(其他分录!$G146)=0),"",其他分录!$F146)</f>
        <v/>
      </c>
      <c r="I5287" s="42" t="n">
        <f aca="false">IF($M5287="借",$O5287,0)</f>
        <v>0</v>
      </c>
      <c r="J5287" s="42" t="n">
        <f aca="false">IF($M5287="贷",$O5287,0)</f>
        <v>0</v>
      </c>
      <c r="K5287" s="48" t="str">
        <f aca="false">IF($H5287="","",其他分录!$H146)</f>
        <v/>
      </c>
      <c r="L5287" s="66"/>
      <c r="M5287" s="66" t="str">
        <f aca="false">IF($H5287="","","贷")</f>
        <v/>
      </c>
      <c r="N5287" s="66"/>
      <c r="O5287" s="67" t="n">
        <f aca="false">IF($H5287="",0,ROUND(N(其他分录!$G146),2))</f>
        <v>0</v>
      </c>
      <c r="P5287" s="64" t="str">
        <f aca="false">IF(AND($H5287&lt;&gt;"",ROUND($O5287,2)&lt;&gt;0),"有","")</f>
        <v/>
      </c>
    </row>
    <row r="5288" customFormat="false" ht="15" hidden="true" customHeight="false" outlineLevel="0" collapsed="false">
      <c r="A5288" s="53" t="str">
        <f aca="false">IF($H5288="","",ROW()-5)</f>
        <v/>
      </c>
      <c r="B5288" s="64" t="s">
        <v>39</v>
      </c>
      <c r="C5288" s="53" t="n">
        <v>147</v>
      </c>
      <c r="D5288" s="53" t="n">
        <v>1</v>
      </c>
      <c r="E5288" s="65" t="str">
        <f aca="false">IF($H5288="","",其他分录!$B147)</f>
        <v/>
      </c>
      <c r="F5288" s="55" t="str">
        <f aca="false">IF($H5288="","",其他分录!$C147)</f>
        <v/>
      </c>
      <c r="G5288" s="48" t="str">
        <f aca="false">IF($H5288="","",其他分录!$D147)</f>
        <v/>
      </c>
      <c r="H5288" s="10" t="str">
        <f aca="false">IF(OR(其他分录!$B147="",N(其他分录!$G147)=0),"",其他分录!$E147)</f>
        <v/>
      </c>
      <c r="I5288" s="42" t="n">
        <f aca="false">IF($M5288="借",$O5288,0)</f>
        <v>0</v>
      </c>
      <c r="J5288" s="42" t="n">
        <f aca="false">IF($M5288="贷",$O5288,0)</f>
        <v>0</v>
      </c>
      <c r="K5288" s="48" t="str">
        <f aca="false">IF($H5288="","",其他分录!$H147)</f>
        <v/>
      </c>
      <c r="L5288" s="66"/>
      <c r="M5288" s="66" t="str">
        <f aca="false">IF($H5288="","","借")</f>
        <v/>
      </c>
      <c r="N5288" s="66"/>
      <c r="O5288" s="67" t="n">
        <f aca="false">IF($H5288="",0,ROUND(N(其他分录!$G147),2))</f>
        <v>0</v>
      </c>
      <c r="P5288" s="64" t="str">
        <f aca="false">IF(AND($H5288&lt;&gt;"",ROUND($O5288,2)&lt;&gt;0),"有","")</f>
        <v/>
      </c>
    </row>
    <row r="5289" customFormat="false" ht="15" hidden="true" customHeight="false" outlineLevel="0" collapsed="false">
      <c r="A5289" s="53" t="str">
        <f aca="false">IF($H5289="","",ROW()-5)</f>
        <v/>
      </c>
      <c r="B5289" s="64" t="s">
        <v>39</v>
      </c>
      <c r="C5289" s="53" t="n">
        <v>147</v>
      </c>
      <c r="D5289" s="53" t="n">
        <v>2</v>
      </c>
      <c r="E5289" s="65" t="str">
        <f aca="false">IF($H5289="","",其他分录!$B147)</f>
        <v/>
      </c>
      <c r="F5289" s="55" t="str">
        <f aca="false">IF($H5289="","",其他分录!$C147)</f>
        <v/>
      </c>
      <c r="G5289" s="48" t="str">
        <f aca="false">IF($H5289="","",其他分录!$D147)</f>
        <v/>
      </c>
      <c r="H5289" s="10" t="str">
        <f aca="false">IF(OR(其他分录!$B147="",N(其他分录!$G147)=0),"",其他分录!$F147)</f>
        <v/>
      </c>
      <c r="I5289" s="42" t="n">
        <f aca="false">IF($M5289="借",$O5289,0)</f>
        <v>0</v>
      </c>
      <c r="J5289" s="42" t="n">
        <f aca="false">IF($M5289="贷",$O5289,0)</f>
        <v>0</v>
      </c>
      <c r="K5289" s="48" t="str">
        <f aca="false">IF($H5289="","",其他分录!$H147)</f>
        <v/>
      </c>
      <c r="L5289" s="66"/>
      <c r="M5289" s="66" t="str">
        <f aca="false">IF($H5289="","","贷")</f>
        <v/>
      </c>
      <c r="N5289" s="66"/>
      <c r="O5289" s="67" t="n">
        <f aca="false">IF($H5289="",0,ROUND(N(其他分录!$G147),2))</f>
        <v>0</v>
      </c>
      <c r="P5289" s="64" t="str">
        <f aca="false">IF(AND($H5289&lt;&gt;"",ROUND($O5289,2)&lt;&gt;0),"有","")</f>
        <v/>
      </c>
    </row>
    <row r="5290" customFormat="false" ht="15" hidden="true" customHeight="false" outlineLevel="0" collapsed="false">
      <c r="A5290" s="53" t="str">
        <f aca="false">IF($H5290="","",ROW()-5)</f>
        <v/>
      </c>
      <c r="B5290" s="64" t="s">
        <v>39</v>
      </c>
      <c r="C5290" s="53" t="n">
        <v>148</v>
      </c>
      <c r="D5290" s="53" t="n">
        <v>1</v>
      </c>
      <c r="E5290" s="65" t="str">
        <f aca="false">IF($H5290="","",其他分录!$B148)</f>
        <v/>
      </c>
      <c r="F5290" s="55" t="str">
        <f aca="false">IF($H5290="","",其他分录!$C148)</f>
        <v/>
      </c>
      <c r="G5290" s="48" t="str">
        <f aca="false">IF($H5290="","",其他分录!$D148)</f>
        <v/>
      </c>
      <c r="H5290" s="10" t="str">
        <f aca="false">IF(OR(其他分录!$B148="",N(其他分录!$G148)=0),"",其他分录!$E148)</f>
        <v/>
      </c>
      <c r="I5290" s="42" t="n">
        <f aca="false">IF($M5290="借",$O5290,0)</f>
        <v>0</v>
      </c>
      <c r="J5290" s="42" t="n">
        <f aca="false">IF($M5290="贷",$O5290,0)</f>
        <v>0</v>
      </c>
      <c r="K5290" s="48" t="str">
        <f aca="false">IF($H5290="","",其他分录!$H148)</f>
        <v/>
      </c>
      <c r="L5290" s="66"/>
      <c r="M5290" s="66" t="str">
        <f aca="false">IF($H5290="","","借")</f>
        <v/>
      </c>
      <c r="N5290" s="66"/>
      <c r="O5290" s="67" t="n">
        <f aca="false">IF($H5290="",0,ROUND(N(其他分录!$G148),2))</f>
        <v>0</v>
      </c>
      <c r="P5290" s="64" t="str">
        <f aca="false">IF(AND($H5290&lt;&gt;"",ROUND($O5290,2)&lt;&gt;0),"有","")</f>
        <v/>
      </c>
    </row>
    <row r="5291" customFormat="false" ht="15" hidden="true" customHeight="false" outlineLevel="0" collapsed="false">
      <c r="A5291" s="53" t="str">
        <f aca="false">IF($H5291="","",ROW()-5)</f>
        <v/>
      </c>
      <c r="B5291" s="64" t="s">
        <v>39</v>
      </c>
      <c r="C5291" s="53" t="n">
        <v>148</v>
      </c>
      <c r="D5291" s="53" t="n">
        <v>2</v>
      </c>
      <c r="E5291" s="65" t="str">
        <f aca="false">IF($H5291="","",其他分录!$B148)</f>
        <v/>
      </c>
      <c r="F5291" s="55" t="str">
        <f aca="false">IF($H5291="","",其他分录!$C148)</f>
        <v/>
      </c>
      <c r="G5291" s="48" t="str">
        <f aca="false">IF($H5291="","",其他分录!$D148)</f>
        <v/>
      </c>
      <c r="H5291" s="10" t="str">
        <f aca="false">IF(OR(其他分录!$B148="",N(其他分录!$G148)=0),"",其他分录!$F148)</f>
        <v/>
      </c>
      <c r="I5291" s="42" t="n">
        <f aca="false">IF($M5291="借",$O5291,0)</f>
        <v>0</v>
      </c>
      <c r="J5291" s="42" t="n">
        <f aca="false">IF($M5291="贷",$O5291,0)</f>
        <v>0</v>
      </c>
      <c r="K5291" s="48" t="str">
        <f aca="false">IF($H5291="","",其他分录!$H148)</f>
        <v/>
      </c>
      <c r="L5291" s="66"/>
      <c r="M5291" s="66" t="str">
        <f aca="false">IF($H5291="","","贷")</f>
        <v/>
      </c>
      <c r="N5291" s="66"/>
      <c r="O5291" s="67" t="n">
        <f aca="false">IF($H5291="",0,ROUND(N(其他分录!$G148),2))</f>
        <v>0</v>
      </c>
      <c r="P5291" s="64" t="str">
        <f aca="false">IF(AND($H5291&lt;&gt;"",ROUND($O5291,2)&lt;&gt;0),"有","")</f>
        <v/>
      </c>
    </row>
    <row r="5292" customFormat="false" ht="15" hidden="true" customHeight="false" outlineLevel="0" collapsed="false">
      <c r="A5292" s="53" t="str">
        <f aca="false">IF($H5292="","",ROW()-5)</f>
        <v/>
      </c>
      <c r="B5292" s="64" t="s">
        <v>39</v>
      </c>
      <c r="C5292" s="53" t="n">
        <v>149</v>
      </c>
      <c r="D5292" s="53" t="n">
        <v>1</v>
      </c>
      <c r="E5292" s="65" t="str">
        <f aca="false">IF($H5292="","",其他分录!$B149)</f>
        <v/>
      </c>
      <c r="F5292" s="55" t="str">
        <f aca="false">IF($H5292="","",其他分录!$C149)</f>
        <v/>
      </c>
      <c r="G5292" s="48" t="str">
        <f aca="false">IF($H5292="","",其他分录!$D149)</f>
        <v/>
      </c>
      <c r="H5292" s="10" t="str">
        <f aca="false">IF(OR(其他分录!$B149="",N(其他分录!$G149)=0),"",其他分录!$E149)</f>
        <v/>
      </c>
      <c r="I5292" s="42" t="n">
        <f aca="false">IF($M5292="借",$O5292,0)</f>
        <v>0</v>
      </c>
      <c r="J5292" s="42" t="n">
        <f aca="false">IF($M5292="贷",$O5292,0)</f>
        <v>0</v>
      </c>
      <c r="K5292" s="48" t="str">
        <f aca="false">IF($H5292="","",其他分录!$H149)</f>
        <v/>
      </c>
      <c r="L5292" s="66"/>
      <c r="M5292" s="66" t="str">
        <f aca="false">IF($H5292="","","借")</f>
        <v/>
      </c>
      <c r="N5292" s="66"/>
      <c r="O5292" s="67" t="n">
        <f aca="false">IF($H5292="",0,ROUND(N(其他分录!$G149),2))</f>
        <v>0</v>
      </c>
      <c r="P5292" s="64" t="str">
        <f aca="false">IF(AND($H5292&lt;&gt;"",ROUND($O5292,2)&lt;&gt;0),"有","")</f>
        <v/>
      </c>
    </row>
    <row r="5293" customFormat="false" ht="15" hidden="true" customHeight="false" outlineLevel="0" collapsed="false">
      <c r="A5293" s="53" t="str">
        <f aca="false">IF($H5293="","",ROW()-5)</f>
        <v/>
      </c>
      <c r="B5293" s="64" t="s">
        <v>39</v>
      </c>
      <c r="C5293" s="53" t="n">
        <v>149</v>
      </c>
      <c r="D5293" s="53" t="n">
        <v>2</v>
      </c>
      <c r="E5293" s="65" t="str">
        <f aca="false">IF($H5293="","",其他分录!$B149)</f>
        <v/>
      </c>
      <c r="F5293" s="55" t="str">
        <f aca="false">IF($H5293="","",其他分录!$C149)</f>
        <v/>
      </c>
      <c r="G5293" s="48" t="str">
        <f aca="false">IF($H5293="","",其他分录!$D149)</f>
        <v/>
      </c>
      <c r="H5293" s="10" t="str">
        <f aca="false">IF(OR(其他分录!$B149="",N(其他分录!$G149)=0),"",其他分录!$F149)</f>
        <v/>
      </c>
      <c r="I5293" s="42" t="n">
        <f aca="false">IF($M5293="借",$O5293,0)</f>
        <v>0</v>
      </c>
      <c r="J5293" s="42" t="n">
        <f aca="false">IF($M5293="贷",$O5293,0)</f>
        <v>0</v>
      </c>
      <c r="K5293" s="48" t="str">
        <f aca="false">IF($H5293="","",其他分录!$H149)</f>
        <v/>
      </c>
      <c r="L5293" s="66"/>
      <c r="M5293" s="66" t="str">
        <f aca="false">IF($H5293="","","贷")</f>
        <v/>
      </c>
      <c r="N5293" s="66"/>
      <c r="O5293" s="67" t="n">
        <f aca="false">IF($H5293="",0,ROUND(N(其他分录!$G149),2))</f>
        <v>0</v>
      </c>
      <c r="P5293" s="64" t="str">
        <f aca="false">IF(AND($H5293&lt;&gt;"",ROUND($O5293,2)&lt;&gt;0),"有","")</f>
        <v/>
      </c>
    </row>
    <row r="5294" customFormat="false" ht="15" hidden="true" customHeight="false" outlineLevel="0" collapsed="false">
      <c r="A5294" s="53" t="str">
        <f aca="false">IF($H5294="","",ROW()-5)</f>
        <v/>
      </c>
      <c r="B5294" s="64" t="s">
        <v>39</v>
      </c>
      <c r="C5294" s="53" t="n">
        <v>150</v>
      </c>
      <c r="D5294" s="53" t="n">
        <v>1</v>
      </c>
      <c r="E5294" s="65" t="str">
        <f aca="false">IF($H5294="","",其他分录!$B150)</f>
        <v/>
      </c>
      <c r="F5294" s="55" t="str">
        <f aca="false">IF($H5294="","",其他分录!$C150)</f>
        <v/>
      </c>
      <c r="G5294" s="48" t="str">
        <f aca="false">IF($H5294="","",其他分录!$D150)</f>
        <v/>
      </c>
      <c r="H5294" s="10" t="str">
        <f aca="false">IF(OR(其他分录!$B150="",N(其他分录!$G150)=0),"",其他分录!$E150)</f>
        <v/>
      </c>
      <c r="I5294" s="42" t="n">
        <f aca="false">IF($M5294="借",$O5294,0)</f>
        <v>0</v>
      </c>
      <c r="J5294" s="42" t="n">
        <f aca="false">IF($M5294="贷",$O5294,0)</f>
        <v>0</v>
      </c>
      <c r="K5294" s="48" t="str">
        <f aca="false">IF($H5294="","",其他分录!$H150)</f>
        <v/>
      </c>
      <c r="L5294" s="66"/>
      <c r="M5294" s="66" t="str">
        <f aca="false">IF($H5294="","","借")</f>
        <v/>
      </c>
      <c r="N5294" s="66"/>
      <c r="O5294" s="67" t="n">
        <f aca="false">IF($H5294="",0,ROUND(N(其他分录!$G150),2))</f>
        <v>0</v>
      </c>
      <c r="P5294" s="64" t="str">
        <f aca="false">IF(AND($H5294&lt;&gt;"",ROUND($O5294,2)&lt;&gt;0),"有","")</f>
        <v/>
      </c>
    </row>
    <row r="5295" customFormat="false" ht="15" hidden="true" customHeight="false" outlineLevel="0" collapsed="false">
      <c r="A5295" s="53" t="str">
        <f aca="false">IF($H5295="","",ROW()-5)</f>
        <v/>
      </c>
      <c r="B5295" s="64" t="s">
        <v>39</v>
      </c>
      <c r="C5295" s="53" t="n">
        <v>150</v>
      </c>
      <c r="D5295" s="53" t="n">
        <v>2</v>
      </c>
      <c r="E5295" s="65" t="str">
        <f aca="false">IF($H5295="","",其他分录!$B150)</f>
        <v/>
      </c>
      <c r="F5295" s="55" t="str">
        <f aca="false">IF($H5295="","",其他分录!$C150)</f>
        <v/>
      </c>
      <c r="G5295" s="48" t="str">
        <f aca="false">IF($H5295="","",其他分录!$D150)</f>
        <v/>
      </c>
      <c r="H5295" s="10" t="str">
        <f aca="false">IF(OR(其他分录!$B150="",N(其他分录!$G150)=0),"",其他分录!$F150)</f>
        <v/>
      </c>
      <c r="I5295" s="42" t="n">
        <f aca="false">IF($M5295="借",$O5295,0)</f>
        <v>0</v>
      </c>
      <c r="J5295" s="42" t="n">
        <f aca="false">IF($M5295="贷",$O5295,0)</f>
        <v>0</v>
      </c>
      <c r="K5295" s="48" t="str">
        <f aca="false">IF($H5295="","",其他分录!$H150)</f>
        <v/>
      </c>
      <c r="L5295" s="66"/>
      <c r="M5295" s="66" t="str">
        <f aca="false">IF($H5295="","","贷")</f>
        <v/>
      </c>
      <c r="N5295" s="66"/>
      <c r="O5295" s="67" t="n">
        <f aca="false">IF($H5295="",0,ROUND(N(其他分录!$G150),2))</f>
        <v>0</v>
      </c>
      <c r="P5295" s="64" t="str">
        <f aca="false">IF(AND($H5295&lt;&gt;"",ROUND($O5295,2)&lt;&gt;0),"有","")</f>
        <v/>
      </c>
    </row>
    <row r="5296" customFormat="false" ht="15" hidden="true" customHeight="false" outlineLevel="0" collapsed="false">
      <c r="A5296" s="53" t="str">
        <f aca="false">IF($H5296="","",ROW()-5)</f>
        <v/>
      </c>
      <c r="B5296" s="64" t="s">
        <v>39</v>
      </c>
      <c r="C5296" s="53" t="n">
        <v>151</v>
      </c>
      <c r="D5296" s="53" t="n">
        <v>1</v>
      </c>
      <c r="E5296" s="65" t="str">
        <f aca="false">IF($H5296="","",其他分录!$B151)</f>
        <v/>
      </c>
      <c r="F5296" s="55" t="str">
        <f aca="false">IF($H5296="","",其他分录!$C151)</f>
        <v/>
      </c>
      <c r="G5296" s="48" t="str">
        <f aca="false">IF($H5296="","",其他分录!$D151)</f>
        <v/>
      </c>
      <c r="H5296" s="10" t="str">
        <f aca="false">IF(OR(其他分录!$B151="",N(其他分录!$G151)=0),"",其他分录!$E151)</f>
        <v/>
      </c>
      <c r="I5296" s="42" t="n">
        <f aca="false">IF($M5296="借",$O5296,0)</f>
        <v>0</v>
      </c>
      <c r="J5296" s="42" t="n">
        <f aca="false">IF($M5296="贷",$O5296,0)</f>
        <v>0</v>
      </c>
      <c r="K5296" s="48" t="str">
        <f aca="false">IF($H5296="","",其他分录!$H151)</f>
        <v/>
      </c>
      <c r="L5296" s="66"/>
      <c r="M5296" s="66" t="str">
        <f aca="false">IF($H5296="","","借")</f>
        <v/>
      </c>
      <c r="N5296" s="66"/>
      <c r="O5296" s="67" t="n">
        <f aca="false">IF($H5296="",0,ROUND(N(其他分录!$G151),2))</f>
        <v>0</v>
      </c>
      <c r="P5296" s="64" t="str">
        <f aca="false">IF(AND($H5296&lt;&gt;"",ROUND($O5296,2)&lt;&gt;0),"有","")</f>
        <v/>
      </c>
    </row>
    <row r="5297" customFormat="false" ht="15" hidden="true" customHeight="false" outlineLevel="0" collapsed="false">
      <c r="A5297" s="53" t="str">
        <f aca="false">IF($H5297="","",ROW()-5)</f>
        <v/>
      </c>
      <c r="B5297" s="64" t="s">
        <v>39</v>
      </c>
      <c r="C5297" s="53" t="n">
        <v>151</v>
      </c>
      <c r="D5297" s="53" t="n">
        <v>2</v>
      </c>
      <c r="E5297" s="65" t="str">
        <f aca="false">IF($H5297="","",其他分录!$B151)</f>
        <v/>
      </c>
      <c r="F5297" s="55" t="str">
        <f aca="false">IF($H5297="","",其他分录!$C151)</f>
        <v/>
      </c>
      <c r="G5297" s="48" t="str">
        <f aca="false">IF($H5297="","",其他分录!$D151)</f>
        <v/>
      </c>
      <c r="H5297" s="10" t="str">
        <f aca="false">IF(OR(其他分录!$B151="",N(其他分录!$G151)=0),"",其他分录!$F151)</f>
        <v/>
      </c>
      <c r="I5297" s="42" t="n">
        <f aca="false">IF($M5297="借",$O5297,0)</f>
        <v>0</v>
      </c>
      <c r="J5297" s="42" t="n">
        <f aca="false">IF($M5297="贷",$O5297,0)</f>
        <v>0</v>
      </c>
      <c r="K5297" s="48" t="str">
        <f aca="false">IF($H5297="","",其他分录!$H151)</f>
        <v/>
      </c>
      <c r="L5297" s="66"/>
      <c r="M5297" s="66" t="str">
        <f aca="false">IF($H5297="","","贷")</f>
        <v/>
      </c>
      <c r="N5297" s="66"/>
      <c r="O5297" s="67" t="n">
        <f aca="false">IF($H5297="",0,ROUND(N(其他分录!$G151),2))</f>
        <v>0</v>
      </c>
      <c r="P5297" s="64" t="str">
        <f aca="false">IF(AND($H5297&lt;&gt;"",ROUND($O5297,2)&lt;&gt;0),"有","")</f>
        <v/>
      </c>
    </row>
    <row r="5298" customFormat="false" ht="15" hidden="true" customHeight="false" outlineLevel="0" collapsed="false">
      <c r="A5298" s="53" t="str">
        <f aca="false">IF($H5298="","",ROW()-5)</f>
        <v/>
      </c>
      <c r="B5298" s="64" t="s">
        <v>39</v>
      </c>
      <c r="C5298" s="53" t="n">
        <v>152</v>
      </c>
      <c r="D5298" s="53" t="n">
        <v>1</v>
      </c>
      <c r="E5298" s="65" t="str">
        <f aca="false">IF($H5298="","",其他分录!$B152)</f>
        <v/>
      </c>
      <c r="F5298" s="55" t="str">
        <f aca="false">IF($H5298="","",其他分录!$C152)</f>
        <v/>
      </c>
      <c r="G5298" s="48" t="str">
        <f aca="false">IF($H5298="","",其他分录!$D152)</f>
        <v/>
      </c>
      <c r="H5298" s="10" t="str">
        <f aca="false">IF(OR(其他分录!$B152="",N(其他分录!$G152)=0),"",其他分录!$E152)</f>
        <v/>
      </c>
      <c r="I5298" s="42" t="n">
        <f aca="false">IF($M5298="借",$O5298,0)</f>
        <v>0</v>
      </c>
      <c r="J5298" s="42" t="n">
        <f aca="false">IF($M5298="贷",$O5298,0)</f>
        <v>0</v>
      </c>
      <c r="K5298" s="48" t="str">
        <f aca="false">IF($H5298="","",其他分录!$H152)</f>
        <v/>
      </c>
      <c r="L5298" s="66"/>
      <c r="M5298" s="66" t="str">
        <f aca="false">IF($H5298="","","借")</f>
        <v/>
      </c>
      <c r="N5298" s="66"/>
      <c r="O5298" s="67" t="n">
        <f aca="false">IF($H5298="",0,ROUND(N(其他分录!$G152),2))</f>
        <v>0</v>
      </c>
      <c r="P5298" s="64" t="str">
        <f aca="false">IF(AND($H5298&lt;&gt;"",ROUND($O5298,2)&lt;&gt;0),"有","")</f>
        <v/>
      </c>
    </row>
    <row r="5299" customFormat="false" ht="15" hidden="true" customHeight="false" outlineLevel="0" collapsed="false">
      <c r="A5299" s="53" t="str">
        <f aca="false">IF($H5299="","",ROW()-5)</f>
        <v/>
      </c>
      <c r="B5299" s="64" t="s">
        <v>39</v>
      </c>
      <c r="C5299" s="53" t="n">
        <v>152</v>
      </c>
      <c r="D5299" s="53" t="n">
        <v>2</v>
      </c>
      <c r="E5299" s="65" t="str">
        <f aca="false">IF($H5299="","",其他分录!$B152)</f>
        <v/>
      </c>
      <c r="F5299" s="55" t="str">
        <f aca="false">IF($H5299="","",其他分录!$C152)</f>
        <v/>
      </c>
      <c r="G5299" s="48" t="str">
        <f aca="false">IF($H5299="","",其他分录!$D152)</f>
        <v/>
      </c>
      <c r="H5299" s="10" t="str">
        <f aca="false">IF(OR(其他分录!$B152="",N(其他分录!$G152)=0),"",其他分录!$F152)</f>
        <v/>
      </c>
      <c r="I5299" s="42" t="n">
        <f aca="false">IF($M5299="借",$O5299,0)</f>
        <v>0</v>
      </c>
      <c r="J5299" s="42" t="n">
        <f aca="false">IF($M5299="贷",$O5299,0)</f>
        <v>0</v>
      </c>
      <c r="K5299" s="48" t="str">
        <f aca="false">IF($H5299="","",其他分录!$H152)</f>
        <v/>
      </c>
      <c r="L5299" s="66"/>
      <c r="M5299" s="66" t="str">
        <f aca="false">IF($H5299="","","贷")</f>
        <v/>
      </c>
      <c r="N5299" s="66"/>
      <c r="O5299" s="67" t="n">
        <f aca="false">IF($H5299="",0,ROUND(N(其他分录!$G152),2))</f>
        <v>0</v>
      </c>
      <c r="P5299" s="64" t="str">
        <f aca="false">IF(AND($H5299&lt;&gt;"",ROUND($O5299,2)&lt;&gt;0),"有","")</f>
        <v/>
      </c>
    </row>
    <row r="5300" customFormat="false" ht="15" hidden="true" customHeight="false" outlineLevel="0" collapsed="false">
      <c r="A5300" s="53" t="str">
        <f aca="false">IF($H5300="","",ROW()-5)</f>
        <v/>
      </c>
      <c r="B5300" s="64" t="s">
        <v>39</v>
      </c>
      <c r="C5300" s="53" t="n">
        <v>153</v>
      </c>
      <c r="D5300" s="53" t="n">
        <v>1</v>
      </c>
      <c r="E5300" s="65" t="str">
        <f aca="false">IF($H5300="","",其他分录!$B153)</f>
        <v/>
      </c>
      <c r="F5300" s="55" t="str">
        <f aca="false">IF($H5300="","",其他分录!$C153)</f>
        <v/>
      </c>
      <c r="G5300" s="48" t="str">
        <f aca="false">IF($H5300="","",其他分录!$D153)</f>
        <v/>
      </c>
      <c r="H5300" s="10" t="str">
        <f aca="false">IF(OR(其他分录!$B153="",N(其他分录!$G153)=0),"",其他分录!$E153)</f>
        <v/>
      </c>
      <c r="I5300" s="42" t="n">
        <f aca="false">IF($M5300="借",$O5300,0)</f>
        <v>0</v>
      </c>
      <c r="J5300" s="42" t="n">
        <f aca="false">IF($M5300="贷",$O5300,0)</f>
        <v>0</v>
      </c>
      <c r="K5300" s="48" t="str">
        <f aca="false">IF($H5300="","",其他分录!$H153)</f>
        <v/>
      </c>
      <c r="L5300" s="66"/>
      <c r="M5300" s="66" t="str">
        <f aca="false">IF($H5300="","","借")</f>
        <v/>
      </c>
      <c r="N5300" s="66"/>
      <c r="O5300" s="67" t="n">
        <f aca="false">IF($H5300="",0,ROUND(N(其他分录!$G153),2))</f>
        <v>0</v>
      </c>
      <c r="P5300" s="64" t="str">
        <f aca="false">IF(AND($H5300&lt;&gt;"",ROUND($O5300,2)&lt;&gt;0),"有","")</f>
        <v/>
      </c>
    </row>
    <row r="5301" customFormat="false" ht="15" hidden="true" customHeight="false" outlineLevel="0" collapsed="false">
      <c r="A5301" s="53" t="str">
        <f aca="false">IF($H5301="","",ROW()-5)</f>
        <v/>
      </c>
      <c r="B5301" s="64" t="s">
        <v>39</v>
      </c>
      <c r="C5301" s="53" t="n">
        <v>153</v>
      </c>
      <c r="D5301" s="53" t="n">
        <v>2</v>
      </c>
      <c r="E5301" s="65" t="str">
        <f aca="false">IF($H5301="","",其他分录!$B153)</f>
        <v/>
      </c>
      <c r="F5301" s="55" t="str">
        <f aca="false">IF($H5301="","",其他分录!$C153)</f>
        <v/>
      </c>
      <c r="G5301" s="48" t="str">
        <f aca="false">IF($H5301="","",其他分录!$D153)</f>
        <v/>
      </c>
      <c r="H5301" s="10" t="str">
        <f aca="false">IF(OR(其他分录!$B153="",N(其他分录!$G153)=0),"",其他分录!$F153)</f>
        <v/>
      </c>
      <c r="I5301" s="42" t="n">
        <f aca="false">IF($M5301="借",$O5301,0)</f>
        <v>0</v>
      </c>
      <c r="J5301" s="42" t="n">
        <f aca="false">IF($M5301="贷",$O5301,0)</f>
        <v>0</v>
      </c>
      <c r="K5301" s="48" t="str">
        <f aca="false">IF($H5301="","",其他分录!$H153)</f>
        <v/>
      </c>
      <c r="L5301" s="66"/>
      <c r="M5301" s="66" t="str">
        <f aca="false">IF($H5301="","","贷")</f>
        <v/>
      </c>
      <c r="N5301" s="66"/>
      <c r="O5301" s="67" t="n">
        <f aca="false">IF($H5301="",0,ROUND(N(其他分录!$G153),2))</f>
        <v>0</v>
      </c>
      <c r="P5301" s="64" t="str">
        <f aca="false">IF(AND($H5301&lt;&gt;"",ROUND($O5301,2)&lt;&gt;0),"有","")</f>
        <v/>
      </c>
    </row>
    <row r="5302" customFormat="false" ht="15" hidden="true" customHeight="false" outlineLevel="0" collapsed="false">
      <c r="A5302" s="53" t="str">
        <f aca="false">IF($H5302="","",ROW()-5)</f>
        <v/>
      </c>
      <c r="B5302" s="64" t="s">
        <v>39</v>
      </c>
      <c r="C5302" s="53" t="n">
        <v>154</v>
      </c>
      <c r="D5302" s="53" t="n">
        <v>1</v>
      </c>
      <c r="E5302" s="65" t="str">
        <f aca="false">IF($H5302="","",其他分录!$B154)</f>
        <v/>
      </c>
      <c r="F5302" s="55" t="str">
        <f aca="false">IF($H5302="","",其他分录!$C154)</f>
        <v/>
      </c>
      <c r="G5302" s="48" t="str">
        <f aca="false">IF($H5302="","",其他分录!$D154)</f>
        <v/>
      </c>
      <c r="H5302" s="10" t="str">
        <f aca="false">IF(OR(其他分录!$B154="",N(其他分录!$G154)=0),"",其他分录!$E154)</f>
        <v/>
      </c>
      <c r="I5302" s="42" t="n">
        <f aca="false">IF($M5302="借",$O5302,0)</f>
        <v>0</v>
      </c>
      <c r="J5302" s="42" t="n">
        <f aca="false">IF($M5302="贷",$O5302,0)</f>
        <v>0</v>
      </c>
      <c r="K5302" s="48" t="str">
        <f aca="false">IF($H5302="","",其他分录!$H154)</f>
        <v/>
      </c>
      <c r="L5302" s="66"/>
      <c r="M5302" s="66" t="str">
        <f aca="false">IF($H5302="","","借")</f>
        <v/>
      </c>
      <c r="N5302" s="66"/>
      <c r="O5302" s="67" t="n">
        <f aca="false">IF($H5302="",0,ROUND(N(其他分录!$G154),2))</f>
        <v>0</v>
      </c>
      <c r="P5302" s="64" t="str">
        <f aca="false">IF(AND($H5302&lt;&gt;"",ROUND($O5302,2)&lt;&gt;0),"有","")</f>
        <v/>
      </c>
    </row>
    <row r="5303" customFormat="false" ht="15" hidden="true" customHeight="false" outlineLevel="0" collapsed="false">
      <c r="A5303" s="53" t="str">
        <f aca="false">IF($H5303="","",ROW()-5)</f>
        <v/>
      </c>
      <c r="B5303" s="64" t="s">
        <v>39</v>
      </c>
      <c r="C5303" s="53" t="n">
        <v>154</v>
      </c>
      <c r="D5303" s="53" t="n">
        <v>2</v>
      </c>
      <c r="E5303" s="65" t="str">
        <f aca="false">IF($H5303="","",其他分录!$B154)</f>
        <v/>
      </c>
      <c r="F5303" s="55" t="str">
        <f aca="false">IF($H5303="","",其他分录!$C154)</f>
        <v/>
      </c>
      <c r="G5303" s="48" t="str">
        <f aca="false">IF($H5303="","",其他分录!$D154)</f>
        <v/>
      </c>
      <c r="H5303" s="10" t="str">
        <f aca="false">IF(OR(其他分录!$B154="",N(其他分录!$G154)=0),"",其他分录!$F154)</f>
        <v/>
      </c>
      <c r="I5303" s="42" t="n">
        <f aca="false">IF($M5303="借",$O5303,0)</f>
        <v>0</v>
      </c>
      <c r="J5303" s="42" t="n">
        <f aca="false">IF($M5303="贷",$O5303,0)</f>
        <v>0</v>
      </c>
      <c r="K5303" s="48" t="str">
        <f aca="false">IF($H5303="","",其他分录!$H154)</f>
        <v/>
      </c>
      <c r="L5303" s="66"/>
      <c r="M5303" s="66" t="str">
        <f aca="false">IF($H5303="","","贷")</f>
        <v/>
      </c>
      <c r="N5303" s="66"/>
      <c r="O5303" s="67" t="n">
        <f aca="false">IF($H5303="",0,ROUND(N(其他分录!$G154),2))</f>
        <v>0</v>
      </c>
      <c r="P5303" s="64" t="str">
        <f aca="false">IF(AND($H5303&lt;&gt;"",ROUND($O5303,2)&lt;&gt;0),"有","")</f>
        <v/>
      </c>
    </row>
    <row r="5304" customFormat="false" ht="15" hidden="true" customHeight="false" outlineLevel="0" collapsed="false">
      <c r="A5304" s="53" t="str">
        <f aca="false">IF($H5304="","",ROW()-5)</f>
        <v/>
      </c>
      <c r="B5304" s="64" t="s">
        <v>39</v>
      </c>
      <c r="C5304" s="53" t="n">
        <v>155</v>
      </c>
      <c r="D5304" s="53" t="n">
        <v>1</v>
      </c>
      <c r="E5304" s="65" t="str">
        <f aca="false">IF($H5304="","",其他分录!$B155)</f>
        <v/>
      </c>
      <c r="F5304" s="55" t="str">
        <f aca="false">IF($H5304="","",其他分录!$C155)</f>
        <v/>
      </c>
      <c r="G5304" s="48" t="str">
        <f aca="false">IF($H5304="","",其他分录!$D155)</f>
        <v/>
      </c>
      <c r="H5304" s="10" t="str">
        <f aca="false">IF(OR(其他分录!$B155="",N(其他分录!$G155)=0),"",其他分录!$E155)</f>
        <v/>
      </c>
      <c r="I5304" s="42" t="n">
        <f aca="false">IF($M5304="借",$O5304,0)</f>
        <v>0</v>
      </c>
      <c r="J5304" s="42" t="n">
        <f aca="false">IF($M5304="贷",$O5304,0)</f>
        <v>0</v>
      </c>
      <c r="K5304" s="48" t="str">
        <f aca="false">IF($H5304="","",其他分录!$H155)</f>
        <v/>
      </c>
      <c r="L5304" s="66"/>
      <c r="M5304" s="66" t="str">
        <f aca="false">IF($H5304="","","借")</f>
        <v/>
      </c>
      <c r="N5304" s="66"/>
      <c r="O5304" s="67" t="n">
        <f aca="false">IF($H5304="",0,ROUND(N(其他分录!$G155),2))</f>
        <v>0</v>
      </c>
      <c r="P5304" s="64" t="str">
        <f aca="false">IF(AND($H5304&lt;&gt;"",ROUND($O5304,2)&lt;&gt;0),"有","")</f>
        <v/>
      </c>
    </row>
    <row r="5305" customFormat="false" ht="15" hidden="true" customHeight="false" outlineLevel="0" collapsed="false">
      <c r="A5305" s="53" t="str">
        <f aca="false">IF($H5305="","",ROW()-5)</f>
        <v/>
      </c>
      <c r="B5305" s="64" t="s">
        <v>39</v>
      </c>
      <c r="C5305" s="53" t="n">
        <v>155</v>
      </c>
      <c r="D5305" s="53" t="n">
        <v>2</v>
      </c>
      <c r="E5305" s="65" t="str">
        <f aca="false">IF($H5305="","",其他分录!$B155)</f>
        <v/>
      </c>
      <c r="F5305" s="55" t="str">
        <f aca="false">IF($H5305="","",其他分录!$C155)</f>
        <v/>
      </c>
      <c r="G5305" s="48" t="str">
        <f aca="false">IF($H5305="","",其他分录!$D155)</f>
        <v/>
      </c>
      <c r="H5305" s="10" t="str">
        <f aca="false">IF(OR(其他分录!$B155="",N(其他分录!$G155)=0),"",其他分录!$F155)</f>
        <v/>
      </c>
      <c r="I5305" s="42" t="n">
        <f aca="false">IF($M5305="借",$O5305,0)</f>
        <v>0</v>
      </c>
      <c r="J5305" s="42" t="n">
        <f aca="false">IF($M5305="贷",$O5305,0)</f>
        <v>0</v>
      </c>
      <c r="K5305" s="48" t="str">
        <f aca="false">IF($H5305="","",其他分录!$H155)</f>
        <v/>
      </c>
      <c r="L5305" s="66"/>
      <c r="M5305" s="66" t="str">
        <f aca="false">IF($H5305="","","贷")</f>
        <v/>
      </c>
      <c r="N5305" s="66"/>
      <c r="O5305" s="67" t="n">
        <f aca="false">IF($H5305="",0,ROUND(N(其他分录!$G155),2))</f>
        <v>0</v>
      </c>
      <c r="P5305" s="64" t="str">
        <f aca="false">IF(AND($H5305&lt;&gt;"",ROUND($O5305,2)&lt;&gt;0),"有","")</f>
        <v/>
      </c>
    </row>
    <row r="5306" customFormat="false" ht="15" hidden="true" customHeight="false" outlineLevel="0" collapsed="false">
      <c r="A5306" s="53" t="str">
        <f aca="false">IF($H5306="","",ROW()-5)</f>
        <v/>
      </c>
      <c r="B5306" s="64" t="s">
        <v>39</v>
      </c>
      <c r="C5306" s="53" t="n">
        <v>156</v>
      </c>
      <c r="D5306" s="53" t="n">
        <v>1</v>
      </c>
      <c r="E5306" s="65" t="str">
        <f aca="false">IF($H5306="","",其他分录!$B156)</f>
        <v/>
      </c>
      <c r="F5306" s="55" t="str">
        <f aca="false">IF($H5306="","",其他分录!$C156)</f>
        <v/>
      </c>
      <c r="G5306" s="48" t="str">
        <f aca="false">IF($H5306="","",其他分录!$D156)</f>
        <v/>
      </c>
      <c r="H5306" s="10" t="str">
        <f aca="false">IF(OR(其他分录!$B156="",N(其他分录!$G156)=0),"",其他分录!$E156)</f>
        <v/>
      </c>
      <c r="I5306" s="42" t="n">
        <f aca="false">IF($M5306="借",$O5306,0)</f>
        <v>0</v>
      </c>
      <c r="J5306" s="42" t="n">
        <f aca="false">IF($M5306="贷",$O5306,0)</f>
        <v>0</v>
      </c>
      <c r="K5306" s="48" t="str">
        <f aca="false">IF($H5306="","",其他分录!$H156)</f>
        <v/>
      </c>
      <c r="L5306" s="66"/>
      <c r="M5306" s="66" t="str">
        <f aca="false">IF($H5306="","","借")</f>
        <v/>
      </c>
      <c r="N5306" s="66"/>
      <c r="O5306" s="67" t="n">
        <f aca="false">IF($H5306="",0,ROUND(N(其他分录!$G156),2))</f>
        <v>0</v>
      </c>
      <c r="P5306" s="64" t="str">
        <f aca="false">IF(AND($H5306&lt;&gt;"",ROUND($O5306,2)&lt;&gt;0),"有","")</f>
        <v/>
      </c>
    </row>
    <row r="5307" customFormat="false" ht="15" hidden="true" customHeight="false" outlineLevel="0" collapsed="false">
      <c r="A5307" s="53" t="str">
        <f aca="false">IF($H5307="","",ROW()-5)</f>
        <v/>
      </c>
      <c r="B5307" s="64" t="s">
        <v>39</v>
      </c>
      <c r="C5307" s="53" t="n">
        <v>156</v>
      </c>
      <c r="D5307" s="53" t="n">
        <v>2</v>
      </c>
      <c r="E5307" s="65" t="str">
        <f aca="false">IF($H5307="","",其他分录!$B156)</f>
        <v/>
      </c>
      <c r="F5307" s="55" t="str">
        <f aca="false">IF($H5307="","",其他分录!$C156)</f>
        <v/>
      </c>
      <c r="G5307" s="48" t="str">
        <f aca="false">IF($H5307="","",其他分录!$D156)</f>
        <v/>
      </c>
      <c r="H5307" s="10" t="str">
        <f aca="false">IF(OR(其他分录!$B156="",N(其他分录!$G156)=0),"",其他分录!$F156)</f>
        <v/>
      </c>
      <c r="I5307" s="42" t="n">
        <f aca="false">IF($M5307="借",$O5307,0)</f>
        <v>0</v>
      </c>
      <c r="J5307" s="42" t="n">
        <f aca="false">IF($M5307="贷",$O5307,0)</f>
        <v>0</v>
      </c>
      <c r="K5307" s="48" t="str">
        <f aca="false">IF($H5307="","",其他分录!$H156)</f>
        <v/>
      </c>
      <c r="L5307" s="66"/>
      <c r="M5307" s="66" t="str">
        <f aca="false">IF($H5307="","","贷")</f>
        <v/>
      </c>
      <c r="N5307" s="66"/>
      <c r="O5307" s="67" t="n">
        <f aca="false">IF($H5307="",0,ROUND(N(其他分录!$G156),2))</f>
        <v>0</v>
      </c>
      <c r="P5307" s="64" t="str">
        <f aca="false">IF(AND($H5307&lt;&gt;"",ROUND($O5307,2)&lt;&gt;0),"有","")</f>
        <v/>
      </c>
    </row>
    <row r="5308" customFormat="false" ht="15" hidden="true" customHeight="false" outlineLevel="0" collapsed="false">
      <c r="A5308" s="53" t="str">
        <f aca="false">IF($H5308="","",ROW()-5)</f>
        <v/>
      </c>
      <c r="B5308" s="64" t="s">
        <v>39</v>
      </c>
      <c r="C5308" s="53" t="n">
        <v>157</v>
      </c>
      <c r="D5308" s="53" t="n">
        <v>1</v>
      </c>
      <c r="E5308" s="65" t="str">
        <f aca="false">IF($H5308="","",其他分录!$B157)</f>
        <v/>
      </c>
      <c r="F5308" s="55" t="str">
        <f aca="false">IF($H5308="","",其他分录!$C157)</f>
        <v/>
      </c>
      <c r="G5308" s="48" t="str">
        <f aca="false">IF($H5308="","",其他分录!$D157)</f>
        <v/>
      </c>
      <c r="H5308" s="10" t="str">
        <f aca="false">IF(OR(其他分录!$B157="",N(其他分录!$G157)=0),"",其他分录!$E157)</f>
        <v/>
      </c>
      <c r="I5308" s="42" t="n">
        <f aca="false">IF($M5308="借",$O5308,0)</f>
        <v>0</v>
      </c>
      <c r="J5308" s="42" t="n">
        <f aca="false">IF($M5308="贷",$O5308,0)</f>
        <v>0</v>
      </c>
      <c r="K5308" s="48" t="str">
        <f aca="false">IF($H5308="","",其他分录!$H157)</f>
        <v/>
      </c>
      <c r="L5308" s="66"/>
      <c r="M5308" s="66" t="str">
        <f aca="false">IF($H5308="","","借")</f>
        <v/>
      </c>
      <c r="N5308" s="66"/>
      <c r="O5308" s="67" t="n">
        <f aca="false">IF($H5308="",0,ROUND(N(其他分录!$G157),2))</f>
        <v>0</v>
      </c>
      <c r="P5308" s="64" t="str">
        <f aca="false">IF(AND($H5308&lt;&gt;"",ROUND($O5308,2)&lt;&gt;0),"有","")</f>
        <v/>
      </c>
    </row>
    <row r="5309" customFormat="false" ht="15" hidden="true" customHeight="false" outlineLevel="0" collapsed="false">
      <c r="A5309" s="53" t="str">
        <f aca="false">IF($H5309="","",ROW()-5)</f>
        <v/>
      </c>
      <c r="B5309" s="64" t="s">
        <v>39</v>
      </c>
      <c r="C5309" s="53" t="n">
        <v>157</v>
      </c>
      <c r="D5309" s="53" t="n">
        <v>2</v>
      </c>
      <c r="E5309" s="65" t="str">
        <f aca="false">IF($H5309="","",其他分录!$B157)</f>
        <v/>
      </c>
      <c r="F5309" s="55" t="str">
        <f aca="false">IF($H5309="","",其他分录!$C157)</f>
        <v/>
      </c>
      <c r="G5309" s="48" t="str">
        <f aca="false">IF($H5309="","",其他分录!$D157)</f>
        <v/>
      </c>
      <c r="H5309" s="10" t="str">
        <f aca="false">IF(OR(其他分录!$B157="",N(其他分录!$G157)=0),"",其他分录!$F157)</f>
        <v/>
      </c>
      <c r="I5309" s="42" t="n">
        <f aca="false">IF($M5309="借",$O5309,0)</f>
        <v>0</v>
      </c>
      <c r="J5309" s="42" t="n">
        <f aca="false">IF($M5309="贷",$O5309,0)</f>
        <v>0</v>
      </c>
      <c r="K5309" s="48" t="str">
        <f aca="false">IF($H5309="","",其他分录!$H157)</f>
        <v/>
      </c>
      <c r="L5309" s="66"/>
      <c r="M5309" s="66" t="str">
        <f aca="false">IF($H5309="","","贷")</f>
        <v/>
      </c>
      <c r="N5309" s="66"/>
      <c r="O5309" s="67" t="n">
        <f aca="false">IF($H5309="",0,ROUND(N(其他分录!$G157),2))</f>
        <v>0</v>
      </c>
      <c r="P5309" s="64" t="str">
        <f aca="false">IF(AND($H5309&lt;&gt;"",ROUND($O5309,2)&lt;&gt;0),"有","")</f>
        <v/>
      </c>
    </row>
    <row r="5310" customFormat="false" ht="15" hidden="true" customHeight="false" outlineLevel="0" collapsed="false">
      <c r="A5310" s="53" t="str">
        <f aca="false">IF($H5310="","",ROW()-5)</f>
        <v/>
      </c>
      <c r="B5310" s="64" t="s">
        <v>39</v>
      </c>
      <c r="C5310" s="53" t="n">
        <v>158</v>
      </c>
      <c r="D5310" s="53" t="n">
        <v>1</v>
      </c>
      <c r="E5310" s="65" t="str">
        <f aca="false">IF($H5310="","",其他分录!$B158)</f>
        <v/>
      </c>
      <c r="F5310" s="55" t="str">
        <f aca="false">IF($H5310="","",其他分录!$C158)</f>
        <v/>
      </c>
      <c r="G5310" s="48" t="str">
        <f aca="false">IF($H5310="","",其他分录!$D158)</f>
        <v/>
      </c>
      <c r="H5310" s="10" t="str">
        <f aca="false">IF(OR(其他分录!$B158="",N(其他分录!$G158)=0),"",其他分录!$E158)</f>
        <v/>
      </c>
      <c r="I5310" s="42" t="n">
        <f aca="false">IF($M5310="借",$O5310,0)</f>
        <v>0</v>
      </c>
      <c r="J5310" s="42" t="n">
        <f aca="false">IF($M5310="贷",$O5310,0)</f>
        <v>0</v>
      </c>
      <c r="K5310" s="48" t="str">
        <f aca="false">IF($H5310="","",其他分录!$H158)</f>
        <v/>
      </c>
      <c r="L5310" s="66"/>
      <c r="M5310" s="66" t="str">
        <f aca="false">IF($H5310="","","借")</f>
        <v/>
      </c>
      <c r="N5310" s="66"/>
      <c r="O5310" s="67" t="n">
        <f aca="false">IF($H5310="",0,ROUND(N(其他分录!$G158),2))</f>
        <v>0</v>
      </c>
      <c r="P5310" s="64" t="str">
        <f aca="false">IF(AND($H5310&lt;&gt;"",ROUND($O5310,2)&lt;&gt;0),"有","")</f>
        <v/>
      </c>
    </row>
    <row r="5311" customFormat="false" ht="15" hidden="true" customHeight="false" outlineLevel="0" collapsed="false">
      <c r="A5311" s="53" t="str">
        <f aca="false">IF($H5311="","",ROW()-5)</f>
        <v/>
      </c>
      <c r="B5311" s="64" t="s">
        <v>39</v>
      </c>
      <c r="C5311" s="53" t="n">
        <v>158</v>
      </c>
      <c r="D5311" s="53" t="n">
        <v>2</v>
      </c>
      <c r="E5311" s="65" t="str">
        <f aca="false">IF($H5311="","",其他分录!$B158)</f>
        <v/>
      </c>
      <c r="F5311" s="55" t="str">
        <f aca="false">IF($H5311="","",其他分录!$C158)</f>
        <v/>
      </c>
      <c r="G5311" s="48" t="str">
        <f aca="false">IF($H5311="","",其他分录!$D158)</f>
        <v/>
      </c>
      <c r="H5311" s="10" t="str">
        <f aca="false">IF(OR(其他分录!$B158="",N(其他分录!$G158)=0),"",其他分录!$F158)</f>
        <v/>
      </c>
      <c r="I5311" s="42" t="n">
        <f aca="false">IF($M5311="借",$O5311,0)</f>
        <v>0</v>
      </c>
      <c r="J5311" s="42" t="n">
        <f aca="false">IF($M5311="贷",$O5311,0)</f>
        <v>0</v>
      </c>
      <c r="K5311" s="48" t="str">
        <f aca="false">IF($H5311="","",其他分录!$H158)</f>
        <v/>
      </c>
      <c r="L5311" s="66"/>
      <c r="M5311" s="66" t="str">
        <f aca="false">IF($H5311="","","贷")</f>
        <v/>
      </c>
      <c r="N5311" s="66"/>
      <c r="O5311" s="67" t="n">
        <f aca="false">IF($H5311="",0,ROUND(N(其他分录!$G158),2))</f>
        <v>0</v>
      </c>
      <c r="P5311" s="64" t="str">
        <f aca="false">IF(AND($H5311&lt;&gt;"",ROUND($O5311,2)&lt;&gt;0),"有","")</f>
        <v/>
      </c>
    </row>
    <row r="5312" customFormat="false" ht="15" hidden="true" customHeight="false" outlineLevel="0" collapsed="false">
      <c r="A5312" s="53" t="str">
        <f aca="false">IF($H5312="","",ROW()-5)</f>
        <v/>
      </c>
      <c r="B5312" s="64" t="s">
        <v>39</v>
      </c>
      <c r="C5312" s="53" t="n">
        <v>159</v>
      </c>
      <c r="D5312" s="53" t="n">
        <v>1</v>
      </c>
      <c r="E5312" s="65" t="str">
        <f aca="false">IF($H5312="","",其他分录!$B159)</f>
        <v/>
      </c>
      <c r="F5312" s="55" t="str">
        <f aca="false">IF($H5312="","",其他分录!$C159)</f>
        <v/>
      </c>
      <c r="G5312" s="48" t="str">
        <f aca="false">IF($H5312="","",其他分录!$D159)</f>
        <v/>
      </c>
      <c r="H5312" s="10" t="str">
        <f aca="false">IF(OR(其他分录!$B159="",N(其他分录!$G159)=0),"",其他分录!$E159)</f>
        <v/>
      </c>
      <c r="I5312" s="42" t="n">
        <f aca="false">IF($M5312="借",$O5312,0)</f>
        <v>0</v>
      </c>
      <c r="J5312" s="42" t="n">
        <f aca="false">IF($M5312="贷",$O5312,0)</f>
        <v>0</v>
      </c>
      <c r="K5312" s="48" t="str">
        <f aca="false">IF($H5312="","",其他分录!$H159)</f>
        <v/>
      </c>
      <c r="L5312" s="66"/>
      <c r="M5312" s="66" t="str">
        <f aca="false">IF($H5312="","","借")</f>
        <v/>
      </c>
      <c r="N5312" s="66"/>
      <c r="O5312" s="67" t="n">
        <f aca="false">IF($H5312="",0,ROUND(N(其他分录!$G159),2))</f>
        <v>0</v>
      </c>
      <c r="P5312" s="64" t="str">
        <f aca="false">IF(AND($H5312&lt;&gt;"",ROUND($O5312,2)&lt;&gt;0),"有","")</f>
        <v/>
      </c>
    </row>
    <row r="5313" customFormat="false" ht="15" hidden="true" customHeight="false" outlineLevel="0" collapsed="false">
      <c r="A5313" s="53" t="str">
        <f aca="false">IF($H5313="","",ROW()-5)</f>
        <v/>
      </c>
      <c r="B5313" s="64" t="s">
        <v>39</v>
      </c>
      <c r="C5313" s="53" t="n">
        <v>159</v>
      </c>
      <c r="D5313" s="53" t="n">
        <v>2</v>
      </c>
      <c r="E5313" s="65" t="str">
        <f aca="false">IF($H5313="","",其他分录!$B159)</f>
        <v/>
      </c>
      <c r="F5313" s="55" t="str">
        <f aca="false">IF($H5313="","",其他分录!$C159)</f>
        <v/>
      </c>
      <c r="G5313" s="48" t="str">
        <f aca="false">IF($H5313="","",其他分录!$D159)</f>
        <v/>
      </c>
      <c r="H5313" s="10" t="str">
        <f aca="false">IF(OR(其他分录!$B159="",N(其他分录!$G159)=0),"",其他分录!$F159)</f>
        <v/>
      </c>
      <c r="I5313" s="42" t="n">
        <f aca="false">IF($M5313="借",$O5313,0)</f>
        <v>0</v>
      </c>
      <c r="J5313" s="42" t="n">
        <f aca="false">IF($M5313="贷",$O5313,0)</f>
        <v>0</v>
      </c>
      <c r="K5313" s="48" t="str">
        <f aca="false">IF($H5313="","",其他分录!$H159)</f>
        <v/>
      </c>
      <c r="L5313" s="66"/>
      <c r="M5313" s="66" t="str">
        <f aca="false">IF($H5313="","","贷")</f>
        <v/>
      </c>
      <c r="N5313" s="66"/>
      <c r="O5313" s="67" t="n">
        <f aca="false">IF($H5313="",0,ROUND(N(其他分录!$G159),2))</f>
        <v>0</v>
      </c>
      <c r="P5313" s="64" t="str">
        <f aca="false">IF(AND($H5313&lt;&gt;"",ROUND($O5313,2)&lt;&gt;0),"有","")</f>
        <v/>
      </c>
    </row>
    <row r="5314" customFormat="false" ht="15" hidden="true" customHeight="false" outlineLevel="0" collapsed="false">
      <c r="A5314" s="53" t="str">
        <f aca="false">IF($H5314="","",ROW()-5)</f>
        <v/>
      </c>
      <c r="B5314" s="64" t="s">
        <v>39</v>
      </c>
      <c r="C5314" s="53" t="n">
        <v>160</v>
      </c>
      <c r="D5314" s="53" t="n">
        <v>1</v>
      </c>
      <c r="E5314" s="65" t="str">
        <f aca="false">IF($H5314="","",其他分录!$B160)</f>
        <v/>
      </c>
      <c r="F5314" s="55" t="str">
        <f aca="false">IF($H5314="","",其他分录!$C160)</f>
        <v/>
      </c>
      <c r="G5314" s="48" t="str">
        <f aca="false">IF($H5314="","",其他分录!$D160)</f>
        <v/>
      </c>
      <c r="H5314" s="10" t="str">
        <f aca="false">IF(OR(其他分录!$B160="",N(其他分录!$G160)=0),"",其他分录!$E160)</f>
        <v/>
      </c>
      <c r="I5314" s="42" t="n">
        <f aca="false">IF($M5314="借",$O5314,0)</f>
        <v>0</v>
      </c>
      <c r="J5314" s="42" t="n">
        <f aca="false">IF($M5314="贷",$O5314,0)</f>
        <v>0</v>
      </c>
      <c r="K5314" s="48" t="str">
        <f aca="false">IF($H5314="","",其他分录!$H160)</f>
        <v/>
      </c>
      <c r="L5314" s="66"/>
      <c r="M5314" s="66" t="str">
        <f aca="false">IF($H5314="","","借")</f>
        <v/>
      </c>
      <c r="N5314" s="66"/>
      <c r="O5314" s="67" t="n">
        <f aca="false">IF($H5314="",0,ROUND(N(其他分录!$G160),2))</f>
        <v>0</v>
      </c>
      <c r="P5314" s="64" t="str">
        <f aca="false">IF(AND($H5314&lt;&gt;"",ROUND($O5314,2)&lt;&gt;0),"有","")</f>
        <v/>
      </c>
    </row>
    <row r="5315" customFormat="false" ht="15" hidden="true" customHeight="false" outlineLevel="0" collapsed="false">
      <c r="A5315" s="53" t="str">
        <f aca="false">IF($H5315="","",ROW()-5)</f>
        <v/>
      </c>
      <c r="B5315" s="64" t="s">
        <v>39</v>
      </c>
      <c r="C5315" s="53" t="n">
        <v>160</v>
      </c>
      <c r="D5315" s="53" t="n">
        <v>2</v>
      </c>
      <c r="E5315" s="65" t="str">
        <f aca="false">IF($H5315="","",其他分录!$B160)</f>
        <v/>
      </c>
      <c r="F5315" s="55" t="str">
        <f aca="false">IF($H5315="","",其他分录!$C160)</f>
        <v/>
      </c>
      <c r="G5315" s="48" t="str">
        <f aca="false">IF($H5315="","",其他分录!$D160)</f>
        <v/>
      </c>
      <c r="H5315" s="10" t="str">
        <f aca="false">IF(OR(其他分录!$B160="",N(其他分录!$G160)=0),"",其他分录!$F160)</f>
        <v/>
      </c>
      <c r="I5315" s="42" t="n">
        <f aca="false">IF($M5315="借",$O5315,0)</f>
        <v>0</v>
      </c>
      <c r="J5315" s="42" t="n">
        <f aca="false">IF($M5315="贷",$O5315,0)</f>
        <v>0</v>
      </c>
      <c r="K5315" s="48" t="str">
        <f aca="false">IF($H5315="","",其他分录!$H160)</f>
        <v/>
      </c>
      <c r="L5315" s="66"/>
      <c r="M5315" s="66" t="str">
        <f aca="false">IF($H5315="","","贷")</f>
        <v/>
      </c>
      <c r="N5315" s="66"/>
      <c r="O5315" s="67" t="n">
        <f aca="false">IF($H5315="",0,ROUND(N(其他分录!$G160),2))</f>
        <v>0</v>
      </c>
      <c r="P5315" s="64" t="str">
        <f aca="false">IF(AND($H5315&lt;&gt;"",ROUND($O5315,2)&lt;&gt;0),"有","")</f>
        <v/>
      </c>
    </row>
    <row r="5316" customFormat="false" ht="15" hidden="true" customHeight="false" outlineLevel="0" collapsed="false">
      <c r="A5316" s="53" t="str">
        <f aca="false">IF($H5316="","",ROW()-5)</f>
        <v/>
      </c>
      <c r="B5316" s="64" t="s">
        <v>39</v>
      </c>
      <c r="C5316" s="53" t="n">
        <v>161</v>
      </c>
      <c r="D5316" s="53" t="n">
        <v>1</v>
      </c>
      <c r="E5316" s="65" t="str">
        <f aca="false">IF($H5316="","",其他分录!$B161)</f>
        <v/>
      </c>
      <c r="F5316" s="55" t="str">
        <f aca="false">IF($H5316="","",其他分录!$C161)</f>
        <v/>
      </c>
      <c r="G5316" s="48" t="str">
        <f aca="false">IF($H5316="","",其他分录!$D161)</f>
        <v/>
      </c>
      <c r="H5316" s="10" t="str">
        <f aca="false">IF(OR(其他分录!$B161="",N(其他分录!$G161)=0),"",其他分录!$E161)</f>
        <v/>
      </c>
      <c r="I5316" s="42" t="n">
        <f aca="false">IF($M5316="借",$O5316,0)</f>
        <v>0</v>
      </c>
      <c r="J5316" s="42" t="n">
        <f aca="false">IF($M5316="贷",$O5316,0)</f>
        <v>0</v>
      </c>
      <c r="K5316" s="48" t="str">
        <f aca="false">IF($H5316="","",其他分录!$H161)</f>
        <v/>
      </c>
      <c r="L5316" s="66"/>
      <c r="M5316" s="66" t="str">
        <f aca="false">IF($H5316="","","借")</f>
        <v/>
      </c>
      <c r="N5316" s="66"/>
      <c r="O5316" s="67" t="n">
        <f aca="false">IF($H5316="",0,ROUND(N(其他分录!$G161),2))</f>
        <v>0</v>
      </c>
      <c r="P5316" s="64" t="str">
        <f aca="false">IF(AND($H5316&lt;&gt;"",ROUND($O5316,2)&lt;&gt;0),"有","")</f>
        <v/>
      </c>
    </row>
    <row r="5317" customFormat="false" ht="15" hidden="true" customHeight="false" outlineLevel="0" collapsed="false">
      <c r="A5317" s="53" t="str">
        <f aca="false">IF($H5317="","",ROW()-5)</f>
        <v/>
      </c>
      <c r="B5317" s="64" t="s">
        <v>39</v>
      </c>
      <c r="C5317" s="53" t="n">
        <v>161</v>
      </c>
      <c r="D5317" s="53" t="n">
        <v>2</v>
      </c>
      <c r="E5317" s="65" t="str">
        <f aca="false">IF($H5317="","",其他分录!$B161)</f>
        <v/>
      </c>
      <c r="F5317" s="55" t="str">
        <f aca="false">IF($H5317="","",其他分录!$C161)</f>
        <v/>
      </c>
      <c r="G5317" s="48" t="str">
        <f aca="false">IF($H5317="","",其他分录!$D161)</f>
        <v/>
      </c>
      <c r="H5317" s="10" t="str">
        <f aca="false">IF(OR(其他分录!$B161="",N(其他分录!$G161)=0),"",其他分录!$F161)</f>
        <v/>
      </c>
      <c r="I5317" s="42" t="n">
        <f aca="false">IF($M5317="借",$O5317,0)</f>
        <v>0</v>
      </c>
      <c r="J5317" s="42" t="n">
        <f aca="false">IF($M5317="贷",$O5317,0)</f>
        <v>0</v>
      </c>
      <c r="K5317" s="48" t="str">
        <f aca="false">IF($H5317="","",其他分录!$H161)</f>
        <v/>
      </c>
      <c r="L5317" s="66"/>
      <c r="M5317" s="66" t="str">
        <f aca="false">IF($H5317="","","贷")</f>
        <v/>
      </c>
      <c r="N5317" s="66"/>
      <c r="O5317" s="67" t="n">
        <f aca="false">IF($H5317="",0,ROUND(N(其他分录!$G161),2))</f>
        <v>0</v>
      </c>
      <c r="P5317" s="64" t="str">
        <f aca="false">IF(AND($H5317&lt;&gt;"",ROUND($O5317,2)&lt;&gt;0),"有","")</f>
        <v/>
      </c>
    </row>
    <row r="5318" customFormat="false" ht="15" hidden="true" customHeight="false" outlineLevel="0" collapsed="false">
      <c r="A5318" s="53" t="str">
        <f aca="false">IF($H5318="","",ROW()-5)</f>
        <v/>
      </c>
      <c r="B5318" s="64" t="s">
        <v>39</v>
      </c>
      <c r="C5318" s="53" t="n">
        <v>162</v>
      </c>
      <c r="D5318" s="53" t="n">
        <v>1</v>
      </c>
      <c r="E5318" s="65" t="str">
        <f aca="false">IF($H5318="","",其他分录!$B162)</f>
        <v/>
      </c>
      <c r="F5318" s="55" t="str">
        <f aca="false">IF($H5318="","",其他分录!$C162)</f>
        <v/>
      </c>
      <c r="G5318" s="48" t="str">
        <f aca="false">IF($H5318="","",其他分录!$D162)</f>
        <v/>
      </c>
      <c r="H5318" s="10" t="str">
        <f aca="false">IF(OR(其他分录!$B162="",N(其他分录!$G162)=0),"",其他分录!$E162)</f>
        <v/>
      </c>
      <c r="I5318" s="42" t="n">
        <f aca="false">IF($M5318="借",$O5318,0)</f>
        <v>0</v>
      </c>
      <c r="J5318" s="42" t="n">
        <f aca="false">IF($M5318="贷",$O5318,0)</f>
        <v>0</v>
      </c>
      <c r="K5318" s="48" t="str">
        <f aca="false">IF($H5318="","",其他分录!$H162)</f>
        <v/>
      </c>
      <c r="L5318" s="66"/>
      <c r="M5318" s="66" t="str">
        <f aca="false">IF($H5318="","","借")</f>
        <v/>
      </c>
      <c r="N5318" s="66"/>
      <c r="O5318" s="67" t="n">
        <f aca="false">IF($H5318="",0,ROUND(N(其他分录!$G162),2))</f>
        <v>0</v>
      </c>
      <c r="P5318" s="64" t="str">
        <f aca="false">IF(AND($H5318&lt;&gt;"",ROUND($O5318,2)&lt;&gt;0),"有","")</f>
        <v/>
      </c>
    </row>
    <row r="5319" customFormat="false" ht="15" hidden="true" customHeight="false" outlineLevel="0" collapsed="false">
      <c r="A5319" s="53" t="str">
        <f aca="false">IF($H5319="","",ROW()-5)</f>
        <v/>
      </c>
      <c r="B5319" s="64" t="s">
        <v>39</v>
      </c>
      <c r="C5319" s="53" t="n">
        <v>162</v>
      </c>
      <c r="D5319" s="53" t="n">
        <v>2</v>
      </c>
      <c r="E5319" s="65" t="str">
        <f aca="false">IF($H5319="","",其他分录!$B162)</f>
        <v/>
      </c>
      <c r="F5319" s="55" t="str">
        <f aca="false">IF($H5319="","",其他分录!$C162)</f>
        <v/>
      </c>
      <c r="G5319" s="48" t="str">
        <f aca="false">IF($H5319="","",其他分录!$D162)</f>
        <v/>
      </c>
      <c r="H5319" s="10" t="str">
        <f aca="false">IF(OR(其他分录!$B162="",N(其他分录!$G162)=0),"",其他分录!$F162)</f>
        <v/>
      </c>
      <c r="I5319" s="42" t="n">
        <f aca="false">IF($M5319="借",$O5319,0)</f>
        <v>0</v>
      </c>
      <c r="J5319" s="42" t="n">
        <f aca="false">IF($M5319="贷",$O5319,0)</f>
        <v>0</v>
      </c>
      <c r="K5319" s="48" t="str">
        <f aca="false">IF($H5319="","",其他分录!$H162)</f>
        <v/>
      </c>
      <c r="L5319" s="66"/>
      <c r="M5319" s="66" t="str">
        <f aca="false">IF($H5319="","","贷")</f>
        <v/>
      </c>
      <c r="N5319" s="66"/>
      <c r="O5319" s="67" t="n">
        <f aca="false">IF($H5319="",0,ROUND(N(其他分录!$G162),2))</f>
        <v>0</v>
      </c>
      <c r="P5319" s="64" t="str">
        <f aca="false">IF(AND($H5319&lt;&gt;"",ROUND($O5319,2)&lt;&gt;0),"有","")</f>
        <v/>
      </c>
    </row>
    <row r="5320" customFormat="false" ht="15" hidden="true" customHeight="false" outlineLevel="0" collapsed="false">
      <c r="A5320" s="53" t="str">
        <f aca="false">IF($H5320="","",ROW()-5)</f>
        <v/>
      </c>
      <c r="B5320" s="64" t="s">
        <v>39</v>
      </c>
      <c r="C5320" s="53" t="n">
        <v>163</v>
      </c>
      <c r="D5320" s="53" t="n">
        <v>1</v>
      </c>
      <c r="E5320" s="65" t="str">
        <f aca="false">IF($H5320="","",其他分录!$B163)</f>
        <v/>
      </c>
      <c r="F5320" s="55" t="str">
        <f aca="false">IF($H5320="","",其他分录!$C163)</f>
        <v/>
      </c>
      <c r="G5320" s="48" t="str">
        <f aca="false">IF($H5320="","",其他分录!$D163)</f>
        <v/>
      </c>
      <c r="H5320" s="10" t="str">
        <f aca="false">IF(OR(其他分录!$B163="",N(其他分录!$G163)=0),"",其他分录!$E163)</f>
        <v/>
      </c>
      <c r="I5320" s="42" t="n">
        <f aca="false">IF($M5320="借",$O5320,0)</f>
        <v>0</v>
      </c>
      <c r="J5320" s="42" t="n">
        <f aca="false">IF($M5320="贷",$O5320,0)</f>
        <v>0</v>
      </c>
      <c r="K5320" s="48" t="str">
        <f aca="false">IF($H5320="","",其他分录!$H163)</f>
        <v/>
      </c>
      <c r="L5320" s="66"/>
      <c r="M5320" s="66" t="str">
        <f aca="false">IF($H5320="","","借")</f>
        <v/>
      </c>
      <c r="N5320" s="66"/>
      <c r="O5320" s="67" t="n">
        <f aca="false">IF($H5320="",0,ROUND(N(其他分录!$G163),2))</f>
        <v>0</v>
      </c>
      <c r="P5320" s="64" t="str">
        <f aca="false">IF(AND($H5320&lt;&gt;"",ROUND($O5320,2)&lt;&gt;0),"有","")</f>
        <v/>
      </c>
    </row>
    <row r="5321" customFormat="false" ht="15" hidden="true" customHeight="false" outlineLevel="0" collapsed="false">
      <c r="A5321" s="53" t="str">
        <f aca="false">IF($H5321="","",ROW()-5)</f>
        <v/>
      </c>
      <c r="B5321" s="64" t="s">
        <v>39</v>
      </c>
      <c r="C5321" s="53" t="n">
        <v>163</v>
      </c>
      <c r="D5321" s="53" t="n">
        <v>2</v>
      </c>
      <c r="E5321" s="65" t="str">
        <f aca="false">IF($H5321="","",其他分录!$B163)</f>
        <v/>
      </c>
      <c r="F5321" s="55" t="str">
        <f aca="false">IF($H5321="","",其他分录!$C163)</f>
        <v/>
      </c>
      <c r="G5321" s="48" t="str">
        <f aca="false">IF($H5321="","",其他分录!$D163)</f>
        <v/>
      </c>
      <c r="H5321" s="10" t="str">
        <f aca="false">IF(OR(其他分录!$B163="",N(其他分录!$G163)=0),"",其他分录!$F163)</f>
        <v/>
      </c>
      <c r="I5321" s="42" t="n">
        <f aca="false">IF($M5321="借",$O5321,0)</f>
        <v>0</v>
      </c>
      <c r="J5321" s="42" t="n">
        <f aca="false">IF($M5321="贷",$O5321,0)</f>
        <v>0</v>
      </c>
      <c r="K5321" s="48" t="str">
        <f aca="false">IF($H5321="","",其他分录!$H163)</f>
        <v/>
      </c>
      <c r="L5321" s="66"/>
      <c r="M5321" s="66" t="str">
        <f aca="false">IF($H5321="","","贷")</f>
        <v/>
      </c>
      <c r="N5321" s="66"/>
      <c r="O5321" s="67" t="n">
        <f aca="false">IF($H5321="",0,ROUND(N(其他分录!$G163),2))</f>
        <v>0</v>
      </c>
      <c r="P5321" s="64" t="str">
        <f aca="false">IF(AND($H5321&lt;&gt;"",ROUND($O5321,2)&lt;&gt;0),"有","")</f>
        <v/>
      </c>
    </row>
    <row r="5322" customFormat="false" ht="15" hidden="true" customHeight="false" outlineLevel="0" collapsed="false">
      <c r="A5322" s="53" t="str">
        <f aca="false">IF($H5322="","",ROW()-5)</f>
        <v/>
      </c>
      <c r="B5322" s="64" t="s">
        <v>39</v>
      </c>
      <c r="C5322" s="53" t="n">
        <v>164</v>
      </c>
      <c r="D5322" s="53" t="n">
        <v>1</v>
      </c>
      <c r="E5322" s="65" t="str">
        <f aca="false">IF($H5322="","",其他分录!$B164)</f>
        <v/>
      </c>
      <c r="F5322" s="55" t="str">
        <f aca="false">IF($H5322="","",其他分录!$C164)</f>
        <v/>
      </c>
      <c r="G5322" s="48" t="str">
        <f aca="false">IF($H5322="","",其他分录!$D164)</f>
        <v/>
      </c>
      <c r="H5322" s="10" t="str">
        <f aca="false">IF(OR(其他分录!$B164="",N(其他分录!$G164)=0),"",其他分录!$E164)</f>
        <v/>
      </c>
      <c r="I5322" s="42" t="n">
        <f aca="false">IF($M5322="借",$O5322,0)</f>
        <v>0</v>
      </c>
      <c r="J5322" s="42" t="n">
        <f aca="false">IF($M5322="贷",$O5322,0)</f>
        <v>0</v>
      </c>
      <c r="K5322" s="48" t="str">
        <f aca="false">IF($H5322="","",其他分录!$H164)</f>
        <v/>
      </c>
      <c r="L5322" s="66"/>
      <c r="M5322" s="66" t="str">
        <f aca="false">IF($H5322="","","借")</f>
        <v/>
      </c>
      <c r="N5322" s="66"/>
      <c r="O5322" s="67" t="n">
        <f aca="false">IF($H5322="",0,ROUND(N(其他分录!$G164),2))</f>
        <v>0</v>
      </c>
      <c r="P5322" s="64" t="str">
        <f aca="false">IF(AND($H5322&lt;&gt;"",ROUND($O5322,2)&lt;&gt;0),"有","")</f>
        <v/>
      </c>
    </row>
    <row r="5323" customFormat="false" ht="15" hidden="true" customHeight="false" outlineLevel="0" collapsed="false">
      <c r="A5323" s="53" t="str">
        <f aca="false">IF($H5323="","",ROW()-5)</f>
        <v/>
      </c>
      <c r="B5323" s="64" t="s">
        <v>39</v>
      </c>
      <c r="C5323" s="53" t="n">
        <v>164</v>
      </c>
      <c r="D5323" s="53" t="n">
        <v>2</v>
      </c>
      <c r="E5323" s="65" t="str">
        <f aca="false">IF($H5323="","",其他分录!$B164)</f>
        <v/>
      </c>
      <c r="F5323" s="55" t="str">
        <f aca="false">IF($H5323="","",其他分录!$C164)</f>
        <v/>
      </c>
      <c r="G5323" s="48" t="str">
        <f aca="false">IF($H5323="","",其他分录!$D164)</f>
        <v/>
      </c>
      <c r="H5323" s="10" t="str">
        <f aca="false">IF(OR(其他分录!$B164="",N(其他分录!$G164)=0),"",其他分录!$F164)</f>
        <v/>
      </c>
      <c r="I5323" s="42" t="n">
        <f aca="false">IF($M5323="借",$O5323,0)</f>
        <v>0</v>
      </c>
      <c r="J5323" s="42" t="n">
        <f aca="false">IF($M5323="贷",$O5323,0)</f>
        <v>0</v>
      </c>
      <c r="K5323" s="48" t="str">
        <f aca="false">IF($H5323="","",其他分录!$H164)</f>
        <v/>
      </c>
      <c r="L5323" s="66"/>
      <c r="M5323" s="66" t="str">
        <f aca="false">IF($H5323="","","贷")</f>
        <v/>
      </c>
      <c r="N5323" s="66"/>
      <c r="O5323" s="67" t="n">
        <f aca="false">IF($H5323="",0,ROUND(N(其他分录!$G164),2))</f>
        <v>0</v>
      </c>
      <c r="P5323" s="64" t="str">
        <f aca="false">IF(AND($H5323&lt;&gt;"",ROUND($O5323,2)&lt;&gt;0),"有","")</f>
        <v/>
      </c>
    </row>
    <row r="5324" customFormat="false" ht="15" hidden="true" customHeight="false" outlineLevel="0" collapsed="false">
      <c r="A5324" s="53" t="str">
        <f aca="false">IF($H5324="","",ROW()-5)</f>
        <v/>
      </c>
      <c r="B5324" s="64" t="s">
        <v>39</v>
      </c>
      <c r="C5324" s="53" t="n">
        <v>165</v>
      </c>
      <c r="D5324" s="53" t="n">
        <v>1</v>
      </c>
      <c r="E5324" s="65" t="str">
        <f aca="false">IF($H5324="","",其他分录!$B165)</f>
        <v/>
      </c>
      <c r="F5324" s="55" t="str">
        <f aca="false">IF($H5324="","",其他分录!$C165)</f>
        <v/>
      </c>
      <c r="G5324" s="48" t="str">
        <f aca="false">IF($H5324="","",其他分录!$D165)</f>
        <v/>
      </c>
      <c r="H5324" s="10" t="str">
        <f aca="false">IF(OR(其他分录!$B165="",N(其他分录!$G165)=0),"",其他分录!$E165)</f>
        <v/>
      </c>
      <c r="I5324" s="42" t="n">
        <f aca="false">IF($M5324="借",$O5324,0)</f>
        <v>0</v>
      </c>
      <c r="J5324" s="42" t="n">
        <f aca="false">IF($M5324="贷",$O5324,0)</f>
        <v>0</v>
      </c>
      <c r="K5324" s="48" t="str">
        <f aca="false">IF($H5324="","",其他分录!$H165)</f>
        <v/>
      </c>
      <c r="L5324" s="66"/>
      <c r="M5324" s="66" t="str">
        <f aca="false">IF($H5324="","","借")</f>
        <v/>
      </c>
      <c r="N5324" s="66"/>
      <c r="O5324" s="67" t="n">
        <f aca="false">IF($H5324="",0,ROUND(N(其他分录!$G165),2))</f>
        <v>0</v>
      </c>
      <c r="P5324" s="64" t="str">
        <f aca="false">IF(AND($H5324&lt;&gt;"",ROUND($O5324,2)&lt;&gt;0),"有","")</f>
        <v/>
      </c>
    </row>
    <row r="5325" customFormat="false" ht="15" hidden="true" customHeight="false" outlineLevel="0" collapsed="false">
      <c r="A5325" s="53" t="str">
        <f aca="false">IF($H5325="","",ROW()-5)</f>
        <v/>
      </c>
      <c r="B5325" s="64" t="s">
        <v>39</v>
      </c>
      <c r="C5325" s="53" t="n">
        <v>165</v>
      </c>
      <c r="D5325" s="53" t="n">
        <v>2</v>
      </c>
      <c r="E5325" s="65" t="str">
        <f aca="false">IF($H5325="","",其他分录!$B165)</f>
        <v/>
      </c>
      <c r="F5325" s="55" t="str">
        <f aca="false">IF($H5325="","",其他分录!$C165)</f>
        <v/>
      </c>
      <c r="G5325" s="48" t="str">
        <f aca="false">IF($H5325="","",其他分录!$D165)</f>
        <v/>
      </c>
      <c r="H5325" s="10" t="str">
        <f aca="false">IF(OR(其他分录!$B165="",N(其他分录!$G165)=0),"",其他分录!$F165)</f>
        <v/>
      </c>
      <c r="I5325" s="42" t="n">
        <f aca="false">IF($M5325="借",$O5325,0)</f>
        <v>0</v>
      </c>
      <c r="J5325" s="42" t="n">
        <f aca="false">IF($M5325="贷",$O5325,0)</f>
        <v>0</v>
      </c>
      <c r="K5325" s="48" t="str">
        <f aca="false">IF($H5325="","",其他分录!$H165)</f>
        <v/>
      </c>
      <c r="L5325" s="66"/>
      <c r="M5325" s="66" t="str">
        <f aca="false">IF($H5325="","","贷")</f>
        <v/>
      </c>
      <c r="N5325" s="66"/>
      <c r="O5325" s="67" t="n">
        <f aca="false">IF($H5325="",0,ROUND(N(其他分录!$G165),2))</f>
        <v>0</v>
      </c>
      <c r="P5325" s="64" t="str">
        <f aca="false">IF(AND($H5325&lt;&gt;"",ROUND($O5325,2)&lt;&gt;0),"有","")</f>
        <v/>
      </c>
    </row>
    <row r="5326" customFormat="false" ht="15" hidden="true" customHeight="false" outlineLevel="0" collapsed="false">
      <c r="A5326" s="53" t="str">
        <f aca="false">IF($H5326="","",ROW()-5)</f>
        <v/>
      </c>
      <c r="B5326" s="64" t="s">
        <v>39</v>
      </c>
      <c r="C5326" s="53" t="n">
        <v>166</v>
      </c>
      <c r="D5326" s="53" t="n">
        <v>1</v>
      </c>
      <c r="E5326" s="65" t="str">
        <f aca="false">IF($H5326="","",其他分录!$B166)</f>
        <v/>
      </c>
      <c r="F5326" s="55" t="str">
        <f aca="false">IF($H5326="","",其他分录!$C166)</f>
        <v/>
      </c>
      <c r="G5326" s="48" t="str">
        <f aca="false">IF($H5326="","",其他分录!$D166)</f>
        <v/>
      </c>
      <c r="H5326" s="10" t="str">
        <f aca="false">IF(OR(其他分录!$B166="",N(其他分录!$G166)=0),"",其他分录!$E166)</f>
        <v/>
      </c>
      <c r="I5326" s="42" t="n">
        <f aca="false">IF($M5326="借",$O5326,0)</f>
        <v>0</v>
      </c>
      <c r="J5326" s="42" t="n">
        <f aca="false">IF($M5326="贷",$O5326,0)</f>
        <v>0</v>
      </c>
      <c r="K5326" s="48" t="str">
        <f aca="false">IF($H5326="","",其他分录!$H166)</f>
        <v/>
      </c>
      <c r="L5326" s="66"/>
      <c r="M5326" s="66" t="str">
        <f aca="false">IF($H5326="","","借")</f>
        <v/>
      </c>
      <c r="N5326" s="66"/>
      <c r="O5326" s="67" t="n">
        <f aca="false">IF($H5326="",0,ROUND(N(其他分录!$G166),2))</f>
        <v>0</v>
      </c>
      <c r="P5326" s="64" t="str">
        <f aca="false">IF(AND($H5326&lt;&gt;"",ROUND($O5326,2)&lt;&gt;0),"有","")</f>
        <v/>
      </c>
    </row>
    <row r="5327" customFormat="false" ht="15" hidden="true" customHeight="false" outlineLevel="0" collapsed="false">
      <c r="A5327" s="53" t="str">
        <f aca="false">IF($H5327="","",ROW()-5)</f>
        <v/>
      </c>
      <c r="B5327" s="64" t="s">
        <v>39</v>
      </c>
      <c r="C5327" s="53" t="n">
        <v>166</v>
      </c>
      <c r="D5327" s="53" t="n">
        <v>2</v>
      </c>
      <c r="E5327" s="65" t="str">
        <f aca="false">IF($H5327="","",其他分录!$B166)</f>
        <v/>
      </c>
      <c r="F5327" s="55" t="str">
        <f aca="false">IF($H5327="","",其他分录!$C166)</f>
        <v/>
      </c>
      <c r="G5327" s="48" t="str">
        <f aca="false">IF($H5327="","",其他分录!$D166)</f>
        <v/>
      </c>
      <c r="H5327" s="10" t="str">
        <f aca="false">IF(OR(其他分录!$B166="",N(其他分录!$G166)=0),"",其他分录!$F166)</f>
        <v/>
      </c>
      <c r="I5327" s="42" t="n">
        <f aca="false">IF($M5327="借",$O5327,0)</f>
        <v>0</v>
      </c>
      <c r="J5327" s="42" t="n">
        <f aca="false">IF($M5327="贷",$O5327,0)</f>
        <v>0</v>
      </c>
      <c r="K5327" s="48" t="str">
        <f aca="false">IF($H5327="","",其他分录!$H166)</f>
        <v/>
      </c>
      <c r="L5327" s="66"/>
      <c r="M5327" s="66" t="str">
        <f aca="false">IF($H5327="","","贷")</f>
        <v/>
      </c>
      <c r="N5327" s="66"/>
      <c r="O5327" s="67" t="n">
        <f aca="false">IF($H5327="",0,ROUND(N(其他分录!$G166),2))</f>
        <v>0</v>
      </c>
      <c r="P5327" s="64" t="str">
        <f aca="false">IF(AND($H5327&lt;&gt;"",ROUND($O5327,2)&lt;&gt;0),"有","")</f>
        <v/>
      </c>
    </row>
    <row r="5328" customFormat="false" ht="15" hidden="true" customHeight="false" outlineLevel="0" collapsed="false">
      <c r="A5328" s="53" t="str">
        <f aca="false">IF($H5328="","",ROW()-5)</f>
        <v/>
      </c>
      <c r="B5328" s="64" t="s">
        <v>39</v>
      </c>
      <c r="C5328" s="53" t="n">
        <v>167</v>
      </c>
      <c r="D5328" s="53" t="n">
        <v>1</v>
      </c>
      <c r="E5328" s="65" t="str">
        <f aca="false">IF($H5328="","",其他分录!$B167)</f>
        <v/>
      </c>
      <c r="F5328" s="55" t="str">
        <f aca="false">IF($H5328="","",其他分录!$C167)</f>
        <v/>
      </c>
      <c r="G5328" s="48" t="str">
        <f aca="false">IF($H5328="","",其他分录!$D167)</f>
        <v/>
      </c>
      <c r="H5328" s="10" t="str">
        <f aca="false">IF(OR(其他分录!$B167="",N(其他分录!$G167)=0),"",其他分录!$E167)</f>
        <v/>
      </c>
      <c r="I5328" s="42" t="n">
        <f aca="false">IF($M5328="借",$O5328,0)</f>
        <v>0</v>
      </c>
      <c r="J5328" s="42" t="n">
        <f aca="false">IF($M5328="贷",$O5328,0)</f>
        <v>0</v>
      </c>
      <c r="K5328" s="48" t="str">
        <f aca="false">IF($H5328="","",其他分录!$H167)</f>
        <v/>
      </c>
      <c r="L5328" s="66"/>
      <c r="M5328" s="66" t="str">
        <f aca="false">IF($H5328="","","借")</f>
        <v/>
      </c>
      <c r="N5328" s="66"/>
      <c r="O5328" s="67" t="n">
        <f aca="false">IF($H5328="",0,ROUND(N(其他分录!$G167),2))</f>
        <v>0</v>
      </c>
      <c r="P5328" s="64" t="str">
        <f aca="false">IF(AND($H5328&lt;&gt;"",ROUND($O5328,2)&lt;&gt;0),"有","")</f>
        <v/>
      </c>
    </row>
    <row r="5329" customFormat="false" ht="15" hidden="true" customHeight="false" outlineLevel="0" collapsed="false">
      <c r="A5329" s="53" t="str">
        <f aca="false">IF($H5329="","",ROW()-5)</f>
        <v/>
      </c>
      <c r="B5329" s="64" t="s">
        <v>39</v>
      </c>
      <c r="C5329" s="53" t="n">
        <v>167</v>
      </c>
      <c r="D5329" s="53" t="n">
        <v>2</v>
      </c>
      <c r="E5329" s="65" t="str">
        <f aca="false">IF($H5329="","",其他分录!$B167)</f>
        <v/>
      </c>
      <c r="F5329" s="55" t="str">
        <f aca="false">IF($H5329="","",其他分录!$C167)</f>
        <v/>
      </c>
      <c r="G5329" s="48" t="str">
        <f aca="false">IF($H5329="","",其他分录!$D167)</f>
        <v/>
      </c>
      <c r="H5329" s="10" t="str">
        <f aca="false">IF(OR(其他分录!$B167="",N(其他分录!$G167)=0),"",其他分录!$F167)</f>
        <v/>
      </c>
      <c r="I5329" s="42" t="n">
        <f aca="false">IF($M5329="借",$O5329,0)</f>
        <v>0</v>
      </c>
      <c r="J5329" s="42" t="n">
        <f aca="false">IF($M5329="贷",$O5329,0)</f>
        <v>0</v>
      </c>
      <c r="K5329" s="48" t="str">
        <f aca="false">IF($H5329="","",其他分录!$H167)</f>
        <v/>
      </c>
      <c r="L5329" s="66"/>
      <c r="M5329" s="66" t="str">
        <f aca="false">IF($H5329="","","贷")</f>
        <v/>
      </c>
      <c r="N5329" s="66"/>
      <c r="O5329" s="67" t="n">
        <f aca="false">IF($H5329="",0,ROUND(N(其他分录!$G167),2))</f>
        <v>0</v>
      </c>
      <c r="P5329" s="64" t="str">
        <f aca="false">IF(AND($H5329&lt;&gt;"",ROUND($O5329,2)&lt;&gt;0),"有","")</f>
        <v/>
      </c>
    </row>
    <row r="5330" customFormat="false" ht="15" hidden="true" customHeight="false" outlineLevel="0" collapsed="false">
      <c r="A5330" s="53" t="str">
        <f aca="false">IF($H5330="","",ROW()-5)</f>
        <v/>
      </c>
      <c r="B5330" s="64" t="s">
        <v>39</v>
      </c>
      <c r="C5330" s="53" t="n">
        <v>168</v>
      </c>
      <c r="D5330" s="53" t="n">
        <v>1</v>
      </c>
      <c r="E5330" s="65" t="str">
        <f aca="false">IF($H5330="","",其他分录!$B168)</f>
        <v/>
      </c>
      <c r="F5330" s="55" t="str">
        <f aca="false">IF($H5330="","",其他分录!$C168)</f>
        <v/>
      </c>
      <c r="G5330" s="48" t="str">
        <f aca="false">IF($H5330="","",其他分录!$D168)</f>
        <v/>
      </c>
      <c r="H5330" s="10" t="str">
        <f aca="false">IF(OR(其他分录!$B168="",N(其他分录!$G168)=0),"",其他分录!$E168)</f>
        <v/>
      </c>
      <c r="I5330" s="42" t="n">
        <f aca="false">IF($M5330="借",$O5330,0)</f>
        <v>0</v>
      </c>
      <c r="J5330" s="42" t="n">
        <f aca="false">IF($M5330="贷",$O5330,0)</f>
        <v>0</v>
      </c>
      <c r="K5330" s="48" t="str">
        <f aca="false">IF($H5330="","",其他分录!$H168)</f>
        <v/>
      </c>
      <c r="L5330" s="66"/>
      <c r="M5330" s="66" t="str">
        <f aca="false">IF($H5330="","","借")</f>
        <v/>
      </c>
      <c r="N5330" s="66"/>
      <c r="O5330" s="67" t="n">
        <f aca="false">IF($H5330="",0,ROUND(N(其他分录!$G168),2))</f>
        <v>0</v>
      </c>
      <c r="P5330" s="64" t="str">
        <f aca="false">IF(AND($H5330&lt;&gt;"",ROUND($O5330,2)&lt;&gt;0),"有","")</f>
        <v/>
      </c>
    </row>
    <row r="5331" customFormat="false" ht="15" hidden="true" customHeight="false" outlineLevel="0" collapsed="false">
      <c r="A5331" s="53" t="str">
        <f aca="false">IF($H5331="","",ROW()-5)</f>
        <v/>
      </c>
      <c r="B5331" s="64" t="s">
        <v>39</v>
      </c>
      <c r="C5331" s="53" t="n">
        <v>168</v>
      </c>
      <c r="D5331" s="53" t="n">
        <v>2</v>
      </c>
      <c r="E5331" s="65" t="str">
        <f aca="false">IF($H5331="","",其他分录!$B168)</f>
        <v/>
      </c>
      <c r="F5331" s="55" t="str">
        <f aca="false">IF($H5331="","",其他分录!$C168)</f>
        <v/>
      </c>
      <c r="G5331" s="48" t="str">
        <f aca="false">IF($H5331="","",其他分录!$D168)</f>
        <v/>
      </c>
      <c r="H5331" s="10" t="str">
        <f aca="false">IF(OR(其他分录!$B168="",N(其他分录!$G168)=0),"",其他分录!$F168)</f>
        <v/>
      </c>
      <c r="I5331" s="42" t="n">
        <f aca="false">IF($M5331="借",$O5331,0)</f>
        <v>0</v>
      </c>
      <c r="J5331" s="42" t="n">
        <f aca="false">IF($M5331="贷",$O5331,0)</f>
        <v>0</v>
      </c>
      <c r="K5331" s="48" t="str">
        <f aca="false">IF($H5331="","",其他分录!$H168)</f>
        <v/>
      </c>
      <c r="L5331" s="66"/>
      <c r="M5331" s="66" t="str">
        <f aca="false">IF($H5331="","","贷")</f>
        <v/>
      </c>
      <c r="N5331" s="66"/>
      <c r="O5331" s="67" t="n">
        <f aca="false">IF($H5331="",0,ROUND(N(其他分录!$G168),2))</f>
        <v>0</v>
      </c>
      <c r="P5331" s="64" t="str">
        <f aca="false">IF(AND($H5331&lt;&gt;"",ROUND($O5331,2)&lt;&gt;0),"有","")</f>
        <v/>
      </c>
    </row>
    <row r="5332" customFormat="false" ht="15" hidden="true" customHeight="false" outlineLevel="0" collapsed="false">
      <c r="A5332" s="53" t="str">
        <f aca="false">IF($H5332="","",ROW()-5)</f>
        <v/>
      </c>
      <c r="B5332" s="64" t="s">
        <v>39</v>
      </c>
      <c r="C5332" s="53" t="n">
        <v>169</v>
      </c>
      <c r="D5332" s="53" t="n">
        <v>1</v>
      </c>
      <c r="E5332" s="65" t="str">
        <f aca="false">IF($H5332="","",其他分录!$B169)</f>
        <v/>
      </c>
      <c r="F5332" s="55" t="str">
        <f aca="false">IF($H5332="","",其他分录!$C169)</f>
        <v/>
      </c>
      <c r="G5332" s="48" t="str">
        <f aca="false">IF($H5332="","",其他分录!$D169)</f>
        <v/>
      </c>
      <c r="H5332" s="10" t="str">
        <f aca="false">IF(OR(其他分录!$B169="",N(其他分录!$G169)=0),"",其他分录!$E169)</f>
        <v/>
      </c>
      <c r="I5332" s="42" t="n">
        <f aca="false">IF($M5332="借",$O5332,0)</f>
        <v>0</v>
      </c>
      <c r="J5332" s="42" t="n">
        <f aca="false">IF($M5332="贷",$O5332,0)</f>
        <v>0</v>
      </c>
      <c r="K5332" s="48" t="str">
        <f aca="false">IF($H5332="","",其他分录!$H169)</f>
        <v/>
      </c>
      <c r="L5332" s="66"/>
      <c r="M5332" s="66" t="str">
        <f aca="false">IF($H5332="","","借")</f>
        <v/>
      </c>
      <c r="N5332" s="66"/>
      <c r="O5332" s="67" t="n">
        <f aca="false">IF($H5332="",0,ROUND(N(其他分录!$G169),2))</f>
        <v>0</v>
      </c>
      <c r="P5332" s="64" t="str">
        <f aca="false">IF(AND($H5332&lt;&gt;"",ROUND($O5332,2)&lt;&gt;0),"有","")</f>
        <v/>
      </c>
    </row>
    <row r="5333" customFormat="false" ht="15" hidden="true" customHeight="false" outlineLevel="0" collapsed="false">
      <c r="A5333" s="53" t="str">
        <f aca="false">IF($H5333="","",ROW()-5)</f>
        <v/>
      </c>
      <c r="B5333" s="64" t="s">
        <v>39</v>
      </c>
      <c r="C5333" s="53" t="n">
        <v>169</v>
      </c>
      <c r="D5333" s="53" t="n">
        <v>2</v>
      </c>
      <c r="E5333" s="65" t="str">
        <f aca="false">IF($H5333="","",其他分录!$B169)</f>
        <v/>
      </c>
      <c r="F5333" s="55" t="str">
        <f aca="false">IF($H5333="","",其他分录!$C169)</f>
        <v/>
      </c>
      <c r="G5333" s="48" t="str">
        <f aca="false">IF($H5333="","",其他分录!$D169)</f>
        <v/>
      </c>
      <c r="H5333" s="10" t="str">
        <f aca="false">IF(OR(其他分录!$B169="",N(其他分录!$G169)=0),"",其他分录!$F169)</f>
        <v/>
      </c>
      <c r="I5333" s="42" t="n">
        <f aca="false">IF($M5333="借",$O5333,0)</f>
        <v>0</v>
      </c>
      <c r="J5333" s="42" t="n">
        <f aca="false">IF($M5333="贷",$O5333,0)</f>
        <v>0</v>
      </c>
      <c r="K5333" s="48" t="str">
        <f aca="false">IF($H5333="","",其他分录!$H169)</f>
        <v/>
      </c>
      <c r="L5333" s="66"/>
      <c r="M5333" s="66" t="str">
        <f aca="false">IF($H5333="","","贷")</f>
        <v/>
      </c>
      <c r="N5333" s="66"/>
      <c r="O5333" s="67" t="n">
        <f aca="false">IF($H5333="",0,ROUND(N(其他分录!$G169),2))</f>
        <v>0</v>
      </c>
      <c r="P5333" s="64" t="str">
        <f aca="false">IF(AND($H5333&lt;&gt;"",ROUND($O5333,2)&lt;&gt;0),"有","")</f>
        <v/>
      </c>
    </row>
    <row r="5334" customFormat="false" ht="15" hidden="true" customHeight="false" outlineLevel="0" collapsed="false">
      <c r="A5334" s="53" t="str">
        <f aca="false">IF($H5334="","",ROW()-5)</f>
        <v/>
      </c>
      <c r="B5334" s="64" t="s">
        <v>39</v>
      </c>
      <c r="C5334" s="53" t="n">
        <v>170</v>
      </c>
      <c r="D5334" s="53" t="n">
        <v>1</v>
      </c>
      <c r="E5334" s="65" t="str">
        <f aca="false">IF($H5334="","",其他分录!$B170)</f>
        <v/>
      </c>
      <c r="F5334" s="55" t="str">
        <f aca="false">IF($H5334="","",其他分录!$C170)</f>
        <v/>
      </c>
      <c r="G5334" s="48" t="str">
        <f aca="false">IF($H5334="","",其他分录!$D170)</f>
        <v/>
      </c>
      <c r="H5334" s="10" t="str">
        <f aca="false">IF(OR(其他分录!$B170="",N(其他分录!$G170)=0),"",其他分录!$E170)</f>
        <v/>
      </c>
      <c r="I5334" s="42" t="n">
        <f aca="false">IF($M5334="借",$O5334,0)</f>
        <v>0</v>
      </c>
      <c r="J5334" s="42" t="n">
        <f aca="false">IF($M5334="贷",$O5334,0)</f>
        <v>0</v>
      </c>
      <c r="K5334" s="48" t="str">
        <f aca="false">IF($H5334="","",其他分录!$H170)</f>
        <v/>
      </c>
      <c r="L5334" s="66"/>
      <c r="M5334" s="66" t="str">
        <f aca="false">IF($H5334="","","借")</f>
        <v/>
      </c>
      <c r="N5334" s="66"/>
      <c r="O5334" s="67" t="n">
        <f aca="false">IF($H5334="",0,ROUND(N(其他分录!$G170),2))</f>
        <v>0</v>
      </c>
      <c r="P5334" s="64" t="str">
        <f aca="false">IF(AND($H5334&lt;&gt;"",ROUND($O5334,2)&lt;&gt;0),"有","")</f>
        <v/>
      </c>
    </row>
    <row r="5335" customFormat="false" ht="15" hidden="true" customHeight="false" outlineLevel="0" collapsed="false">
      <c r="A5335" s="53" t="str">
        <f aca="false">IF($H5335="","",ROW()-5)</f>
        <v/>
      </c>
      <c r="B5335" s="64" t="s">
        <v>39</v>
      </c>
      <c r="C5335" s="53" t="n">
        <v>170</v>
      </c>
      <c r="D5335" s="53" t="n">
        <v>2</v>
      </c>
      <c r="E5335" s="65" t="str">
        <f aca="false">IF($H5335="","",其他分录!$B170)</f>
        <v/>
      </c>
      <c r="F5335" s="55" t="str">
        <f aca="false">IF($H5335="","",其他分录!$C170)</f>
        <v/>
      </c>
      <c r="G5335" s="48" t="str">
        <f aca="false">IF($H5335="","",其他分录!$D170)</f>
        <v/>
      </c>
      <c r="H5335" s="10" t="str">
        <f aca="false">IF(OR(其他分录!$B170="",N(其他分录!$G170)=0),"",其他分录!$F170)</f>
        <v/>
      </c>
      <c r="I5335" s="42" t="n">
        <f aca="false">IF($M5335="借",$O5335,0)</f>
        <v>0</v>
      </c>
      <c r="J5335" s="42" t="n">
        <f aca="false">IF($M5335="贷",$O5335,0)</f>
        <v>0</v>
      </c>
      <c r="K5335" s="48" t="str">
        <f aca="false">IF($H5335="","",其他分录!$H170)</f>
        <v/>
      </c>
      <c r="L5335" s="66"/>
      <c r="M5335" s="66" t="str">
        <f aca="false">IF($H5335="","","贷")</f>
        <v/>
      </c>
      <c r="N5335" s="66"/>
      <c r="O5335" s="67" t="n">
        <f aca="false">IF($H5335="",0,ROUND(N(其他分录!$G170),2))</f>
        <v>0</v>
      </c>
      <c r="P5335" s="64" t="str">
        <f aca="false">IF(AND($H5335&lt;&gt;"",ROUND($O5335,2)&lt;&gt;0),"有","")</f>
        <v/>
      </c>
    </row>
    <row r="5336" customFormat="false" ht="15" hidden="true" customHeight="false" outlineLevel="0" collapsed="false">
      <c r="A5336" s="53" t="str">
        <f aca="false">IF($H5336="","",ROW()-5)</f>
        <v/>
      </c>
      <c r="B5336" s="64" t="s">
        <v>39</v>
      </c>
      <c r="C5336" s="53" t="n">
        <v>171</v>
      </c>
      <c r="D5336" s="53" t="n">
        <v>1</v>
      </c>
      <c r="E5336" s="65" t="str">
        <f aca="false">IF($H5336="","",其他分录!$B171)</f>
        <v/>
      </c>
      <c r="F5336" s="55" t="str">
        <f aca="false">IF($H5336="","",其他分录!$C171)</f>
        <v/>
      </c>
      <c r="G5336" s="48" t="str">
        <f aca="false">IF($H5336="","",其他分录!$D171)</f>
        <v/>
      </c>
      <c r="H5336" s="10" t="str">
        <f aca="false">IF(OR(其他分录!$B171="",N(其他分录!$G171)=0),"",其他分录!$E171)</f>
        <v/>
      </c>
      <c r="I5336" s="42" t="n">
        <f aca="false">IF($M5336="借",$O5336,0)</f>
        <v>0</v>
      </c>
      <c r="J5336" s="42" t="n">
        <f aca="false">IF($M5336="贷",$O5336,0)</f>
        <v>0</v>
      </c>
      <c r="K5336" s="48" t="str">
        <f aca="false">IF($H5336="","",其他分录!$H171)</f>
        <v/>
      </c>
      <c r="L5336" s="66"/>
      <c r="M5336" s="66" t="str">
        <f aca="false">IF($H5336="","","借")</f>
        <v/>
      </c>
      <c r="N5336" s="66"/>
      <c r="O5336" s="67" t="n">
        <f aca="false">IF($H5336="",0,ROUND(N(其他分录!$G171),2))</f>
        <v>0</v>
      </c>
      <c r="P5336" s="64" t="str">
        <f aca="false">IF(AND($H5336&lt;&gt;"",ROUND($O5336,2)&lt;&gt;0),"有","")</f>
        <v/>
      </c>
    </row>
    <row r="5337" customFormat="false" ht="15" hidden="true" customHeight="false" outlineLevel="0" collapsed="false">
      <c r="A5337" s="53" t="str">
        <f aca="false">IF($H5337="","",ROW()-5)</f>
        <v/>
      </c>
      <c r="B5337" s="64" t="s">
        <v>39</v>
      </c>
      <c r="C5337" s="53" t="n">
        <v>171</v>
      </c>
      <c r="D5337" s="53" t="n">
        <v>2</v>
      </c>
      <c r="E5337" s="65" t="str">
        <f aca="false">IF($H5337="","",其他分录!$B171)</f>
        <v/>
      </c>
      <c r="F5337" s="55" t="str">
        <f aca="false">IF($H5337="","",其他分录!$C171)</f>
        <v/>
      </c>
      <c r="G5337" s="48" t="str">
        <f aca="false">IF($H5337="","",其他分录!$D171)</f>
        <v/>
      </c>
      <c r="H5337" s="10" t="str">
        <f aca="false">IF(OR(其他分录!$B171="",N(其他分录!$G171)=0),"",其他分录!$F171)</f>
        <v/>
      </c>
      <c r="I5337" s="42" t="n">
        <f aca="false">IF($M5337="借",$O5337,0)</f>
        <v>0</v>
      </c>
      <c r="J5337" s="42" t="n">
        <f aca="false">IF($M5337="贷",$O5337,0)</f>
        <v>0</v>
      </c>
      <c r="K5337" s="48" t="str">
        <f aca="false">IF($H5337="","",其他分录!$H171)</f>
        <v/>
      </c>
      <c r="L5337" s="66"/>
      <c r="M5337" s="66" t="str">
        <f aca="false">IF($H5337="","","贷")</f>
        <v/>
      </c>
      <c r="N5337" s="66"/>
      <c r="O5337" s="67" t="n">
        <f aca="false">IF($H5337="",0,ROUND(N(其他分录!$G171),2))</f>
        <v>0</v>
      </c>
      <c r="P5337" s="64" t="str">
        <f aca="false">IF(AND($H5337&lt;&gt;"",ROUND($O5337,2)&lt;&gt;0),"有","")</f>
        <v/>
      </c>
    </row>
    <row r="5338" customFormat="false" ht="15" hidden="true" customHeight="false" outlineLevel="0" collapsed="false">
      <c r="A5338" s="53" t="str">
        <f aca="false">IF($H5338="","",ROW()-5)</f>
        <v/>
      </c>
      <c r="B5338" s="64" t="s">
        <v>39</v>
      </c>
      <c r="C5338" s="53" t="n">
        <v>172</v>
      </c>
      <c r="D5338" s="53" t="n">
        <v>1</v>
      </c>
      <c r="E5338" s="65" t="str">
        <f aca="false">IF($H5338="","",其他分录!$B172)</f>
        <v/>
      </c>
      <c r="F5338" s="55" t="str">
        <f aca="false">IF($H5338="","",其他分录!$C172)</f>
        <v/>
      </c>
      <c r="G5338" s="48" t="str">
        <f aca="false">IF($H5338="","",其他分录!$D172)</f>
        <v/>
      </c>
      <c r="H5338" s="10" t="str">
        <f aca="false">IF(OR(其他分录!$B172="",N(其他分录!$G172)=0),"",其他分录!$E172)</f>
        <v/>
      </c>
      <c r="I5338" s="42" t="n">
        <f aca="false">IF($M5338="借",$O5338,0)</f>
        <v>0</v>
      </c>
      <c r="J5338" s="42" t="n">
        <f aca="false">IF($M5338="贷",$O5338,0)</f>
        <v>0</v>
      </c>
      <c r="K5338" s="48" t="str">
        <f aca="false">IF($H5338="","",其他分录!$H172)</f>
        <v/>
      </c>
      <c r="L5338" s="66"/>
      <c r="M5338" s="66" t="str">
        <f aca="false">IF($H5338="","","借")</f>
        <v/>
      </c>
      <c r="N5338" s="66"/>
      <c r="O5338" s="67" t="n">
        <f aca="false">IF($H5338="",0,ROUND(N(其他分录!$G172),2))</f>
        <v>0</v>
      </c>
      <c r="P5338" s="64" t="str">
        <f aca="false">IF(AND($H5338&lt;&gt;"",ROUND($O5338,2)&lt;&gt;0),"有","")</f>
        <v/>
      </c>
    </row>
    <row r="5339" customFormat="false" ht="15" hidden="true" customHeight="false" outlineLevel="0" collapsed="false">
      <c r="A5339" s="53" t="str">
        <f aca="false">IF($H5339="","",ROW()-5)</f>
        <v/>
      </c>
      <c r="B5339" s="64" t="s">
        <v>39</v>
      </c>
      <c r="C5339" s="53" t="n">
        <v>172</v>
      </c>
      <c r="D5339" s="53" t="n">
        <v>2</v>
      </c>
      <c r="E5339" s="65" t="str">
        <f aca="false">IF($H5339="","",其他分录!$B172)</f>
        <v/>
      </c>
      <c r="F5339" s="55" t="str">
        <f aca="false">IF($H5339="","",其他分录!$C172)</f>
        <v/>
      </c>
      <c r="G5339" s="48" t="str">
        <f aca="false">IF($H5339="","",其他分录!$D172)</f>
        <v/>
      </c>
      <c r="H5339" s="10" t="str">
        <f aca="false">IF(OR(其他分录!$B172="",N(其他分录!$G172)=0),"",其他分录!$F172)</f>
        <v/>
      </c>
      <c r="I5339" s="42" t="n">
        <f aca="false">IF($M5339="借",$O5339,0)</f>
        <v>0</v>
      </c>
      <c r="J5339" s="42" t="n">
        <f aca="false">IF($M5339="贷",$O5339,0)</f>
        <v>0</v>
      </c>
      <c r="K5339" s="48" t="str">
        <f aca="false">IF($H5339="","",其他分录!$H172)</f>
        <v/>
      </c>
      <c r="L5339" s="66"/>
      <c r="M5339" s="66" t="str">
        <f aca="false">IF($H5339="","","贷")</f>
        <v/>
      </c>
      <c r="N5339" s="66"/>
      <c r="O5339" s="67" t="n">
        <f aca="false">IF($H5339="",0,ROUND(N(其他分录!$G172),2))</f>
        <v>0</v>
      </c>
      <c r="P5339" s="64" t="str">
        <f aca="false">IF(AND($H5339&lt;&gt;"",ROUND($O5339,2)&lt;&gt;0),"有","")</f>
        <v/>
      </c>
    </row>
    <row r="5340" customFormat="false" ht="15" hidden="true" customHeight="false" outlineLevel="0" collapsed="false">
      <c r="A5340" s="53" t="str">
        <f aca="false">IF($H5340="","",ROW()-5)</f>
        <v/>
      </c>
      <c r="B5340" s="64" t="s">
        <v>39</v>
      </c>
      <c r="C5340" s="53" t="n">
        <v>173</v>
      </c>
      <c r="D5340" s="53" t="n">
        <v>1</v>
      </c>
      <c r="E5340" s="65" t="str">
        <f aca="false">IF($H5340="","",其他分录!$B173)</f>
        <v/>
      </c>
      <c r="F5340" s="55" t="str">
        <f aca="false">IF($H5340="","",其他分录!$C173)</f>
        <v/>
      </c>
      <c r="G5340" s="48" t="str">
        <f aca="false">IF($H5340="","",其他分录!$D173)</f>
        <v/>
      </c>
      <c r="H5340" s="10" t="str">
        <f aca="false">IF(OR(其他分录!$B173="",N(其他分录!$G173)=0),"",其他分录!$E173)</f>
        <v/>
      </c>
      <c r="I5340" s="42" t="n">
        <f aca="false">IF($M5340="借",$O5340,0)</f>
        <v>0</v>
      </c>
      <c r="J5340" s="42" t="n">
        <f aca="false">IF($M5340="贷",$O5340,0)</f>
        <v>0</v>
      </c>
      <c r="K5340" s="48" t="str">
        <f aca="false">IF($H5340="","",其他分录!$H173)</f>
        <v/>
      </c>
      <c r="L5340" s="66"/>
      <c r="M5340" s="66" t="str">
        <f aca="false">IF($H5340="","","借")</f>
        <v/>
      </c>
      <c r="N5340" s="66"/>
      <c r="O5340" s="67" t="n">
        <f aca="false">IF($H5340="",0,ROUND(N(其他分录!$G173),2))</f>
        <v>0</v>
      </c>
      <c r="P5340" s="64" t="str">
        <f aca="false">IF(AND($H5340&lt;&gt;"",ROUND($O5340,2)&lt;&gt;0),"有","")</f>
        <v/>
      </c>
    </row>
    <row r="5341" customFormat="false" ht="15" hidden="true" customHeight="false" outlineLevel="0" collapsed="false">
      <c r="A5341" s="53" t="str">
        <f aca="false">IF($H5341="","",ROW()-5)</f>
        <v/>
      </c>
      <c r="B5341" s="64" t="s">
        <v>39</v>
      </c>
      <c r="C5341" s="53" t="n">
        <v>173</v>
      </c>
      <c r="D5341" s="53" t="n">
        <v>2</v>
      </c>
      <c r="E5341" s="65" t="str">
        <f aca="false">IF($H5341="","",其他分录!$B173)</f>
        <v/>
      </c>
      <c r="F5341" s="55" t="str">
        <f aca="false">IF($H5341="","",其他分录!$C173)</f>
        <v/>
      </c>
      <c r="G5341" s="48" t="str">
        <f aca="false">IF($H5341="","",其他分录!$D173)</f>
        <v/>
      </c>
      <c r="H5341" s="10" t="str">
        <f aca="false">IF(OR(其他分录!$B173="",N(其他分录!$G173)=0),"",其他分录!$F173)</f>
        <v/>
      </c>
      <c r="I5341" s="42" t="n">
        <f aca="false">IF($M5341="借",$O5341,0)</f>
        <v>0</v>
      </c>
      <c r="J5341" s="42" t="n">
        <f aca="false">IF($M5341="贷",$O5341,0)</f>
        <v>0</v>
      </c>
      <c r="K5341" s="48" t="str">
        <f aca="false">IF($H5341="","",其他分录!$H173)</f>
        <v/>
      </c>
      <c r="L5341" s="66"/>
      <c r="M5341" s="66" t="str">
        <f aca="false">IF($H5341="","","贷")</f>
        <v/>
      </c>
      <c r="N5341" s="66"/>
      <c r="O5341" s="67" t="n">
        <f aca="false">IF($H5341="",0,ROUND(N(其他分录!$G173),2))</f>
        <v>0</v>
      </c>
      <c r="P5341" s="64" t="str">
        <f aca="false">IF(AND($H5341&lt;&gt;"",ROUND($O5341,2)&lt;&gt;0),"有","")</f>
        <v/>
      </c>
    </row>
    <row r="5342" customFormat="false" ht="15" hidden="true" customHeight="false" outlineLevel="0" collapsed="false">
      <c r="A5342" s="53" t="str">
        <f aca="false">IF($H5342="","",ROW()-5)</f>
        <v/>
      </c>
      <c r="B5342" s="64" t="s">
        <v>39</v>
      </c>
      <c r="C5342" s="53" t="n">
        <v>174</v>
      </c>
      <c r="D5342" s="53" t="n">
        <v>1</v>
      </c>
      <c r="E5342" s="65" t="str">
        <f aca="false">IF($H5342="","",其他分录!$B174)</f>
        <v/>
      </c>
      <c r="F5342" s="55" t="str">
        <f aca="false">IF($H5342="","",其他分录!$C174)</f>
        <v/>
      </c>
      <c r="G5342" s="48" t="str">
        <f aca="false">IF($H5342="","",其他分录!$D174)</f>
        <v/>
      </c>
      <c r="H5342" s="10" t="str">
        <f aca="false">IF(OR(其他分录!$B174="",N(其他分录!$G174)=0),"",其他分录!$E174)</f>
        <v/>
      </c>
      <c r="I5342" s="42" t="n">
        <f aca="false">IF($M5342="借",$O5342,0)</f>
        <v>0</v>
      </c>
      <c r="J5342" s="42" t="n">
        <f aca="false">IF($M5342="贷",$O5342,0)</f>
        <v>0</v>
      </c>
      <c r="K5342" s="48" t="str">
        <f aca="false">IF($H5342="","",其他分录!$H174)</f>
        <v/>
      </c>
      <c r="L5342" s="66"/>
      <c r="M5342" s="66" t="str">
        <f aca="false">IF($H5342="","","借")</f>
        <v/>
      </c>
      <c r="N5342" s="66"/>
      <c r="O5342" s="67" t="n">
        <f aca="false">IF($H5342="",0,ROUND(N(其他分录!$G174),2))</f>
        <v>0</v>
      </c>
      <c r="P5342" s="64" t="str">
        <f aca="false">IF(AND($H5342&lt;&gt;"",ROUND($O5342,2)&lt;&gt;0),"有","")</f>
        <v/>
      </c>
    </row>
    <row r="5343" customFormat="false" ht="15" hidden="true" customHeight="false" outlineLevel="0" collapsed="false">
      <c r="A5343" s="53" t="str">
        <f aca="false">IF($H5343="","",ROW()-5)</f>
        <v/>
      </c>
      <c r="B5343" s="64" t="s">
        <v>39</v>
      </c>
      <c r="C5343" s="53" t="n">
        <v>174</v>
      </c>
      <c r="D5343" s="53" t="n">
        <v>2</v>
      </c>
      <c r="E5343" s="65" t="str">
        <f aca="false">IF($H5343="","",其他分录!$B174)</f>
        <v/>
      </c>
      <c r="F5343" s="55" t="str">
        <f aca="false">IF($H5343="","",其他分录!$C174)</f>
        <v/>
      </c>
      <c r="G5343" s="48" t="str">
        <f aca="false">IF($H5343="","",其他分录!$D174)</f>
        <v/>
      </c>
      <c r="H5343" s="10" t="str">
        <f aca="false">IF(OR(其他分录!$B174="",N(其他分录!$G174)=0),"",其他分录!$F174)</f>
        <v/>
      </c>
      <c r="I5343" s="42" t="n">
        <f aca="false">IF($M5343="借",$O5343,0)</f>
        <v>0</v>
      </c>
      <c r="J5343" s="42" t="n">
        <f aca="false">IF($M5343="贷",$O5343,0)</f>
        <v>0</v>
      </c>
      <c r="K5343" s="48" t="str">
        <f aca="false">IF($H5343="","",其他分录!$H174)</f>
        <v/>
      </c>
      <c r="L5343" s="66"/>
      <c r="M5343" s="66" t="str">
        <f aca="false">IF($H5343="","","贷")</f>
        <v/>
      </c>
      <c r="N5343" s="66"/>
      <c r="O5343" s="67" t="n">
        <f aca="false">IF($H5343="",0,ROUND(N(其他分录!$G174),2))</f>
        <v>0</v>
      </c>
      <c r="P5343" s="64" t="str">
        <f aca="false">IF(AND($H5343&lt;&gt;"",ROUND($O5343,2)&lt;&gt;0),"有","")</f>
        <v/>
      </c>
    </row>
    <row r="5344" customFormat="false" ht="15" hidden="true" customHeight="false" outlineLevel="0" collapsed="false">
      <c r="A5344" s="53" t="str">
        <f aca="false">IF($H5344="","",ROW()-5)</f>
        <v/>
      </c>
      <c r="B5344" s="64" t="s">
        <v>39</v>
      </c>
      <c r="C5344" s="53" t="n">
        <v>175</v>
      </c>
      <c r="D5344" s="53" t="n">
        <v>1</v>
      </c>
      <c r="E5344" s="65" t="str">
        <f aca="false">IF($H5344="","",其他分录!$B175)</f>
        <v/>
      </c>
      <c r="F5344" s="55" t="str">
        <f aca="false">IF($H5344="","",其他分录!$C175)</f>
        <v/>
      </c>
      <c r="G5344" s="48" t="str">
        <f aca="false">IF($H5344="","",其他分录!$D175)</f>
        <v/>
      </c>
      <c r="H5344" s="10" t="str">
        <f aca="false">IF(OR(其他分录!$B175="",N(其他分录!$G175)=0),"",其他分录!$E175)</f>
        <v/>
      </c>
      <c r="I5344" s="42" t="n">
        <f aca="false">IF($M5344="借",$O5344,0)</f>
        <v>0</v>
      </c>
      <c r="J5344" s="42" t="n">
        <f aca="false">IF($M5344="贷",$O5344,0)</f>
        <v>0</v>
      </c>
      <c r="K5344" s="48" t="str">
        <f aca="false">IF($H5344="","",其他分录!$H175)</f>
        <v/>
      </c>
      <c r="L5344" s="66"/>
      <c r="M5344" s="66" t="str">
        <f aca="false">IF($H5344="","","借")</f>
        <v/>
      </c>
      <c r="N5344" s="66"/>
      <c r="O5344" s="67" t="n">
        <f aca="false">IF($H5344="",0,ROUND(N(其他分录!$G175),2))</f>
        <v>0</v>
      </c>
      <c r="P5344" s="64" t="str">
        <f aca="false">IF(AND($H5344&lt;&gt;"",ROUND($O5344,2)&lt;&gt;0),"有","")</f>
        <v/>
      </c>
    </row>
    <row r="5345" customFormat="false" ht="15" hidden="true" customHeight="false" outlineLevel="0" collapsed="false">
      <c r="A5345" s="53" t="str">
        <f aca="false">IF($H5345="","",ROW()-5)</f>
        <v/>
      </c>
      <c r="B5345" s="64" t="s">
        <v>39</v>
      </c>
      <c r="C5345" s="53" t="n">
        <v>175</v>
      </c>
      <c r="D5345" s="53" t="n">
        <v>2</v>
      </c>
      <c r="E5345" s="65" t="str">
        <f aca="false">IF($H5345="","",其他分录!$B175)</f>
        <v/>
      </c>
      <c r="F5345" s="55" t="str">
        <f aca="false">IF($H5345="","",其他分录!$C175)</f>
        <v/>
      </c>
      <c r="G5345" s="48" t="str">
        <f aca="false">IF($H5345="","",其他分录!$D175)</f>
        <v/>
      </c>
      <c r="H5345" s="10" t="str">
        <f aca="false">IF(OR(其他分录!$B175="",N(其他分录!$G175)=0),"",其他分录!$F175)</f>
        <v/>
      </c>
      <c r="I5345" s="42" t="n">
        <f aca="false">IF($M5345="借",$O5345,0)</f>
        <v>0</v>
      </c>
      <c r="J5345" s="42" t="n">
        <f aca="false">IF($M5345="贷",$O5345,0)</f>
        <v>0</v>
      </c>
      <c r="K5345" s="48" t="str">
        <f aca="false">IF($H5345="","",其他分录!$H175)</f>
        <v/>
      </c>
      <c r="L5345" s="66"/>
      <c r="M5345" s="66" t="str">
        <f aca="false">IF($H5345="","","贷")</f>
        <v/>
      </c>
      <c r="N5345" s="66"/>
      <c r="O5345" s="67" t="n">
        <f aca="false">IF($H5345="",0,ROUND(N(其他分录!$G175),2))</f>
        <v>0</v>
      </c>
      <c r="P5345" s="64" t="str">
        <f aca="false">IF(AND($H5345&lt;&gt;"",ROUND($O5345,2)&lt;&gt;0),"有","")</f>
        <v/>
      </c>
    </row>
    <row r="5346" customFormat="false" ht="15" hidden="true" customHeight="false" outlineLevel="0" collapsed="false">
      <c r="A5346" s="53" t="str">
        <f aca="false">IF($H5346="","",ROW()-5)</f>
        <v/>
      </c>
      <c r="B5346" s="64" t="s">
        <v>39</v>
      </c>
      <c r="C5346" s="53" t="n">
        <v>176</v>
      </c>
      <c r="D5346" s="53" t="n">
        <v>1</v>
      </c>
      <c r="E5346" s="65" t="str">
        <f aca="false">IF($H5346="","",其他分录!$B176)</f>
        <v/>
      </c>
      <c r="F5346" s="55" t="str">
        <f aca="false">IF($H5346="","",其他分录!$C176)</f>
        <v/>
      </c>
      <c r="G5346" s="48" t="str">
        <f aca="false">IF($H5346="","",其他分录!$D176)</f>
        <v/>
      </c>
      <c r="H5346" s="10" t="str">
        <f aca="false">IF(OR(其他分录!$B176="",N(其他分录!$G176)=0),"",其他分录!$E176)</f>
        <v/>
      </c>
      <c r="I5346" s="42" t="n">
        <f aca="false">IF($M5346="借",$O5346,0)</f>
        <v>0</v>
      </c>
      <c r="J5346" s="42" t="n">
        <f aca="false">IF($M5346="贷",$O5346,0)</f>
        <v>0</v>
      </c>
      <c r="K5346" s="48" t="str">
        <f aca="false">IF($H5346="","",其他分录!$H176)</f>
        <v/>
      </c>
      <c r="L5346" s="66"/>
      <c r="M5346" s="66" t="str">
        <f aca="false">IF($H5346="","","借")</f>
        <v/>
      </c>
      <c r="N5346" s="66"/>
      <c r="O5346" s="67" t="n">
        <f aca="false">IF($H5346="",0,ROUND(N(其他分录!$G176),2))</f>
        <v>0</v>
      </c>
      <c r="P5346" s="64" t="str">
        <f aca="false">IF(AND($H5346&lt;&gt;"",ROUND($O5346,2)&lt;&gt;0),"有","")</f>
        <v/>
      </c>
    </row>
    <row r="5347" customFormat="false" ht="15" hidden="true" customHeight="false" outlineLevel="0" collapsed="false">
      <c r="A5347" s="53" t="str">
        <f aca="false">IF($H5347="","",ROW()-5)</f>
        <v/>
      </c>
      <c r="B5347" s="64" t="s">
        <v>39</v>
      </c>
      <c r="C5347" s="53" t="n">
        <v>176</v>
      </c>
      <c r="D5347" s="53" t="n">
        <v>2</v>
      </c>
      <c r="E5347" s="65" t="str">
        <f aca="false">IF($H5347="","",其他分录!$B176)</f>
        <v/>
      </c>
      <c r="F5347" s="55" t="str">
        <f aca="false">IF($H5347="","",其他分录!$C176)</f>
        <v/>
      </c>
      <c r="G5347" s="48" t="str">
        <f aca="false">IF($H5347="","",其他分录!$D176)</f>
        <v/>
      </c>
      <c r="H5347" s="10" t="str">
        <f aca="false">IF(OR(其他分录!$B176="",N(其他分录!$G176)=0),"",其他分录!$F176)</f>
        <v/>
      </c>
      <c r="I5347" s="42" t="n">
        <f aca="false">IF($M5347="借",$O5347,0)</f>
        <v>0</v>
      </c>
      <c r="J5347" s="42" t="n">
        <f aca="false">IF($M5347="贷",$O5347,0)</f>
        <v>0</v>
      </c>
      <c r="K5347" s="48" t="str">
        <f aca="false">IF($H5347="","",其他分录!$H176)</f>
        <v/>
      </c>
      <c r="L5347" s="66"/>
      <c r="M5347" s="66" t="str">
        <f aca="false">IF($H5347="","","贷")</f>
        <v/>
      </c>
      <c r="N5347" s="66"/>
      <c r="O5347" s="67" t="n">
        <f aca="false">IF($H5347="",0,ROUND(N(其他分录!$G176),2))</f>
        <v>0</v>
      </c>
      <c r="P5347" s="64" t="str">
        <f aca="false">IF(AND($H5347&lt;&gt;"",ROUND($O5347,2)&lt;&gt;0),"有","")</f>
        <v/>
      </c>
    </row>
    <row r="5348" customFormat="false" ht="15" hidden="true" customHeight="false" outlineLevel="0" collapsed="false">
      <c r="A5348" s="53" t="str">
        <f aca="false">IF($H5348="","",ROW()-5)</f>
        <v/>
      </c>
      <c r="B5348" s="64" t="s">
        <v>39</v>
      </c>
      <c r="C5348" s="53" t="n">
        <v>177</v>
      </c>
      <c r="D5348" s="53" t="n">
        <v>1</v>
      </c>
      <c r="E5348" s="65" t="str">
        <f aca="false">IF($H5348="","",其他分录!$B177)</f>
        <v/>
      </c>
      <c r="F5348" s="55" t="str">
        <f aca="false">IF($H5348="","",其他分录!$C177)</f>
        <v/>
      </c>
      <c r="G5348" s="48" t="str">
        <f aca="false">IF($H5348="","",其他分录!$D177)</f>
        <v/>
      </c>
      <c r="H5348" s="10" t="str">
        <f aca="false">IF(OR(其他分录!$B177="",N(其他分录!$G177)=0),"",其他分录!$E177)</f>
        <v/>
      </c>
      <c r="I5348" s="42" t="n">
        <f aca="false">IF($M5348="借",$O5348,0)</f>
        <v>0</v>
      </c>
      <c r="J5348" s="42" t="n">
        <f aca="false">IF($M5348="贷",$O5348,0)</f>
        <v>0</v>
      </c>
      <c r="K5348" s="48" t="str">
        <f aca="false">IF($H5348="","",其他分录!$H177)</f>
        <v/>
      </c>
      <c r="L5348" s="66"/>
      <c r="M5348" s="66" t="str">
        <f aca="false">IF($H5348="","","借")</f>
        <v/>
      </c>
      <c r="N5348" s="66"/>
      <c r="O5348" s="67" t="n">
        <f aca="false">IF($H5348="",0,ROUND(N(其他分录!$G177),2))</f>
        <v>0</v>
      </c>
      <c r="P5348" s="64" t="str">
        <f aca="false">IF(AND($H5348&lt;&gt;"",ROUND($O5348,2)&lt;&gt;0),"有","")</f>
        <v/>
      </c>
    </row>
    <row r="5349" customFormat="false" ht="15" hidden="true" customHeight="false" outlineLevel="0" collapsed="false">
      <c r="A5349" s="53" t="str">
        <f aca="false">IF($H5349="","",ROW()-5)</f>
        <v/>
      </c>
      <c r="B5349" s="64" t="s">
        <v>39</v>
      </c>
      <c r="C5349" s="53" t="n">
        <v>177</v>
      </c>
      <c r="D5349" s="53" t="n">
        <v>2</v>
      </c>
      <c r="E5349" s="65" t="str">
        <f aca="false">IF($H5349="","",其他分录!$B177)</f>
        <v/>
      </c>
      <c r="F5349" s="55" t="str">
        <f aca="false">IF($H5349="","",其他分录!$C177)</f>
        <v/>
      </c>
      <c r="G5349" s="48" t="str">
        <f aca="false">IF($H5349="","",其他分录!$D177)</f>
        <v/>
      </c>
      <c r="H5349" s="10" t="str">
        <f aca="false">IF(OR(其他分录!$B177="",N(其他分录!$G177)=0),"",其他分录!$F177)</f>
        <v/>
      </c>
      <c r="I5349" s="42" t="n">
        <f aca="false">IF($M5349="借",$O5349,0)</f>
        <v>0</v>
      </c>
      <c r="J5349" s="42" t="n">
        <f aca="false">IF($M5349="贷",$O5349,0)</f>
        <v>0</v>
      </c>
      <c r="K5349" s="48" t="str">
        <f aca="false">IF($H5349="","",其他分录!$H177)</f>
        <v/>
      </c>
      <c r="L5349" s="66"/>
      <c r="M5349" s="66" t="str">
        <f aca="false">IF($H5349="","","贷")</f>
        <v/>
      </c>
      <c r="N5349" s="66"/>
      <c r="O5349" s="67" t="n">
        <f aca="false">IF($H5349="",0,ROUND(N(其他分录!$G177),2))</f>
        <v>0</v>
      </c>
      <c r="P5349" s="64" t="str">
        <f aca="false">IF(AND($H5349&lt;&gt;"",ROUND($O5349,2)&lt;&gt;0),"有","")</f>
        <v/>
      </c>
    </row>
    <row r="5350" customFormat="false" ht="15" hidden="true" customHeight="false" outlineLevel="0" collapsed="false">
      <c r="A5350" s="53" t="str">
        <f aca="false">IF($H5350="","",ROW()-5)</f>
        <v/>
      </c>
      <c r="B5350" s="64" t="s">
        <v>39</v>
      </c>
      <c r="C5350" s="53" t="n">
        <v>178</v>
      </c>
      <c r="D5350" s="53" t="n">
        <v>1</v>
      </c>
      <c r="E5350" s="65" t="str">
        <f aca="false">IF($H5350="","",其他分录!$B178)</f>
        <v/>
      </c>
      <c r="F5350" s="55" t="str">
        <f aca="false">IF($H5350="","",其他分录!$C178)</f>
        <v/>
      </c>
      <c r="G5350" s="48" t="str">
        <f aca="false">IF($H5350="","",其他分录!$D178)</f>
        <v/>
      </c>
      <c r="H5350" s="10" t="str">
        <f aca="false">IF(OR(其他分录!$B178="",N(其他分录!$G178)=0),"",其他分录!$E178)</f>
        <v/>
      </c>
      <c r="I5350" s="42" t="n">
        <f aca="false">IF($M5350="借",$O5350,0)</f>
        <v>0</v>
      </c>
      <c r="J5350" s="42" t="n">
        <f aca="false">IF($M5350="贷",$O5350,0)</f>
        <v>0</v>
      </c>
      <c r="K5350" s="48" t="str">
        <f aca="false">IF($H5350="","",其他分录!$H178)</f>
        <v/>
      </c>
      <c r="L5350" s="66"/>
      <c r="M5350" s="66" t="str">
        <f aca="false">IF($H5350="","","借")</f>
        <v/>
      </c>
      <c r="N5350" s="66"/>
      <c r="O5350" s="67" t="n">
        <f aca="false">IF($H5350="",0,ROUND(N(其他分录!$G178),2))</f>
        <v>0</v>
      </c>
      <c r="P5350" s="64" t="str">
        <f aca="false">IF(AND($H5350&lt;&gt;"",ROUND($O5350,2)&lt;&gt;0),"有","")</f>
        <v/>
      </c>
    </row>
    <row r="5351" customFormat="false" ht="15" hidden="true" customHeight="false" outlineLevel="0" collapsed="false">
      <c r="A5351" s="53" t="str">
        <f aca="false">IF($H5351="","",ROW()-5)</f>
        <v/>
      </c>
      <c r="B5351" s="64" t="s">
        <v>39</v>
      </c>
      <c r="C5351" s="53" t="n">
        <v>178</v>
      </c>
      <c r="D5351" s="53" t="n">
        <v>2</v>
      </c>
      <c r="E5351" s="65" t="str">
        <f aca="false">IF($H5351="","",其他分录!$B178)</f>
        <v/>
      </c>
      <c r="F5351" s="55" t="str">
        <f aca="false">IF($H5351="","",其他分录!$C178)</f>
        <v/>
      </c>
      <c r="G5351" s="48" t="str">
        <f aca="false">IF($H5351="","",其他分录!$D178)</f>
        <v/>
      </c>
      <c r="H5351" s="10" t="str">
        <f aca="false">IF(OR(其他分录!$B178="",N(其他分录!$G178)=0),"",其他分录!$F178)</f>
        <v/>
      </c>
      <c r="I5351" s="42" t="n">
        <f aca="false">IF($M5351="借",$O5351,0)</f>
        <v>0</v>
      </c>
      <c r="J5351" s="42" t="n">
        <f aca="false">IF($M5351="贷",$O5351,0)</f>
        <v>0</v>
      </c>
      <c r="K5351" s="48" t="str">
        <f aca="false">IF($H5351="","",其他分录!$H178)</f>
        <v/>
      </c>
      <c r="L5351" s="66"/>
      <c r="M5351" s="66" t="str">
        <f aca="false">IF($H5351="","","贷")</f>
        <v/>
      </c>
      <c r="N5351" s="66"/>
      <c r="O5351" s="67" t="n">
        <f aca="false">IF($H5351="",0,ROUND(N(其他分录!$G178),2))</f>
        <v>0</v>
      </c>
      <c r="P5351" s="64" t="str">
        <f aca="false">IF(AND($H5351&lt;&gt;"",ROUND($O5351,2)&lt;&gt;0),"有","")</f>
        <v/>
      </c>
    </row>
    <row r="5352" customFormat="false" ht="15" hidden="true" customHeight="false" outlineLevel="0" collapsed="false">
      <c r="A5352" s="53" t="str">
        <f aca="false">IF($H5352="","",ROW()-5)</f>
        <v/>
      </c>
      <c r="B5352" s="64" t="s">
        <v>39</v>
      </c>
      <c r="C5352" s="53" t="n">
        <v>179</v>
      </c>
      <c r="D5352" s="53" t="n">
        <v>1</v>
      </c>
      <c r="E5352" s="65" t="str">
        <f aca="false">IF($H5352="","",其他分录!$B179)</f>
        <v/>
      </c>
      <c r="F5352" s="55" t="str">
        <f aca="false">IF($H5352="","",其他分录!$C179)</f>
        <v/>
      </c>
      <c r="G5352" s="48" t="str">
        <f aca="false">IF($H5352="","",其他分录!$D179)</f>
        <v/>
      </c>
      <c r="H5352" s="10" t="str">
        <f aca="false">IF(OR(其他分录!$B179="",N(其他分录!$G179)=0),"",其他分录!$E179)</f>
        <v/>
      </c>
      <c r="I5352" s="42" t="n">
        <f aca="false">IF($M5352="借",$O5352,0)</f>
        <v>0</v>
      </c>
      <c r="J5352" s="42" t="n">
        <f aca="false">IF($M5352="贷",$O5352,0)</f>
        <v>0</v>
      </c>
      <c r="K5352" s="48" t="str">
        <f aca="false">IF($H5352="","",其他分录!$H179)</f>
        <v/>
      </c>
      <c r="L5352" s="66"/>
      <c r="M5352" s="66" t="str">
        <f aca="false">IF($H5352="","","借")</f>
        <v/>
      </c>
      <c r="N5352" s="66"/>
      <c r="O5352" s="67" t="n">
        <f aca="false">IF($H5352="",0,ROUND(N(其他分录!$G179),2))</f>
        <v>0</v>
      </c>
      <c r="P5352" s="64" t="str">
        <f aca="false">IF(AND($H5352&lt;&gt;"",ROUND($O5352,2)&lt;&gt;0),"有","")</f>
        <v/>
      </c>
    </row>
    <row r="5353" customFormat="false" ht="15" hidden="true" customHeight="false" outlineLevel="0" collapsed="false">
      <c r="A5353" s="53" t="str">
        <f aca="false">IF($H5353="","",ROW()-5)</f>
        <v/>
      </c>
      <c r="B5353" s="64" t="s">
        <v>39</v>
      </c>
      <c r="C5353" s="53" t="n">
        <v>179</v>
      </c>
      <c r="D5353" s="53" t="n">
        <v>2</v>
      </c>
      <c r="E5353" s="65" t="str">
        <f aca="false">IF($H5353="","",其他分录!$B179)</f>
        <v/>
      </c>
      <c r="F5353" s="55" t="str">
        <f aca="false">IF($H5353="","",其他分录!$C179)</f>
        <v/>
      </c>
      <c r="G5353" s="48" t="str">
        <f aca="false">IF($H5353="","",其他分录!$D179)</f>
        <v/>
      </c>
      <c r="H5353" s="10" t="str">
        <f aca="false">IF(OR(其他分录!$B179="",N(其他分录!$G179)=0),"",其他分录!$F179)</f>
        <v/>
      </c>
      <c r="I5353" s="42" t="n">
        <f aca="false">IF($M5353="借",$O5353,0)</f>
        <v>0</v>
      </c>
      <c r="J5353" s="42" t="n">
        <f aca="false">IF($M5353="贷",$O5353,0)</f>
        <v>0</v>
      </c>
      <c r="K5353" s="48" t="str">
        <f aca="false">IF($H5353="","",其他分录!$H179)</f>
        <v/>
      </c>
      <c r="L5353" s="66"/>
      <c r="M5353" s="66" t="str">
        <f aca="false">IF($H5353="","","贷")</f>
        <v/>
      </c>
      <c r="N5353" s="66"/>
      <c r="O5353" s="67" t="n">
        <f aca="false">IF($H5353="",0,ROUND(N(其他分录!$G179),2))</f>
        <v>0</v>
      </c>
      <c r="P5353" s="64" t="str">
        <f aca="false">IF(AND($H5353&lt;&gt;"",ROUND($O5353,2)&lt;&gt;0),"有","")</f>
        <v/>
      </c>
    </row>
    <row r="5354" customFormat="false" ht="15" hidden="true" customHeight="false" outlineLevel="0" collapsed="false">
      <c r="A5354" s="53" t="str">
        <f aca="false">IF($H5354="","",ROW()-5)</f>
        <v/>
      </c>
      <c r="B5354" s="64" t="s">
        <v>39</v>
      </c>
      <c r="C5354" s="53" t="n">
        <v>180</v>
      </c>
      <c r="D5354" s="53" t="n">
        <v>1</v>
      </c>
      <c r="E5354" s="65" t="str">
        <f aca="false">IF($H5354="","",其他分录!$B180)</f>
        <v/>
      </c>
      <c r="F5354" s="55" t="str">
        <f aca="false">IF($H5354="","",其他分录!$C180)</f>
        <v/>
      </c>
      <c r="G5354" s="48" t="str">
        <f aca="false">IF($H5354="","",其他分录!$D180)</f>
        <v/>
      </c>
      <c r="H5354" s="10" t="str">
        <f aca="false">IF(OR(其他分录!$B180="",N(其他分录!$G180)=0),"",其他分录!$E180)</f>
        <v/>
      </c>
      <c r="I5354" s="42" t="n">
        <f aca="false">IF($M5354="借",$O5354,0)</f>
        <v>0</v>
      </c>
      <c r="J5354" s="42" t="n">
        <f aca="false">IF($M5354="贷",$O5354,0)</f>
        <v>0</v>
      </c>
      <c r="K5354" s="48" t="str">
        <f aca="false">IF($H5354="","",其他分录!$H180)</f>
        <v/>
      </c>
      <c r="L5354" s="66"/>
      <c r="M5354" s="66" t="str">
        <f aca="false">IF($H5354="","","借")</f>
        <v/>
      </c>
      <c r="N5354" s="66"/>
      <c r="O5354" s="67" t="n">
        <f aca="false">IF($H5354="",0,ROUND(N(其他分录!$G180),2))</f>
        <v>0</v>
      </c>
      <c r="P5354" s="64" t="str">
        <f aca="false">IF(AND($H5354&lt;&gt;"",ROUND($O5354,2)&lt;&gt;0),"有","")</f>
        <v/>
      </c>
    </row>
    <row r="5355" customFormat="false" ht="15" hidden="true" customHeight="false" outlineLevel="0" collapsed="false">
      <c r="A5355" s="53" t="str">
        <f aca="false">IF($H5355="","",ROW()-5)</f>
        <v/>
      </c>
      <c r="B5355" s="64" t="s">
        <v>39</v>
      </c>
      <c r="C5355" s="53" t="n">
        <v>180</v>
      </c>
      <c r="D5355" s="53" t="n">
        <v>2</v>
      </c>
      <c r="E5355" s="65" t="str">
        <f aca="false">IF($H5355="","",其他分录!$B180)</f>
        <v/>
      </c>
      <c r="F5355" s="55" t="str">
        <f aca="false">IF($H5355="","",其他分录!$C180)</f>
        <v/>
      </c>
      <c r="G5355" s="48" t="str">
        <f aca="false">IF($H5355="","",其他分录!$D180)</f>
        <v/>
      </c>
      <c r="H5355" s="10" t="str">
        <f aca="false">IF(OR(其他分录!$B180="",N(其他分录!$G180)=0),"",其他分录!$F180)</f>
        <v/>
      </c>
      <c r="I5355" s="42" t="n">
        <f aca="false">IF($M5355="借",$O5355,0)</f>
        <v>0</v>
      </c>
      <c r="J5355" s="42" t="n">
        <f aca="false">IF($M5355="贷",$O5355,0)</f>
        <v>0</v>
      </c>
      <c r="K5355" s="48" t="str">
        <f aca="false">IF($H5355="","",其他分录!$H180)</f>
        <v/>
      </c>
      <c r="L5355" s="66"/>
      <c r="M5355" s="66" t="str">
        <f aca="false">IF($H5355="","","贷")</f>
        <v/>
      </c>
      <c r="N5355" s="66"/>
      <c r="O5355" s="67" t="n">
        <f aca="false">IF($H5355="",0,ROUND(N(其他分录!$G180),2))</f>
        <v>0</v>
      </c>
      <c r="P5355" s="64" t="str">
        <f aca="false">IF(AND($H5355&lt;&gt;"",ROUND($O5355,2)&lt;&gt;0),"有","")</f>
        <v/>
      </c>
    </row>
    <row r="5356" customFormat="false" ht="15" hidden="true" customHeight="false" outlineLevel="0" collapsed="false">
      <c r="A5356" s="53" t="str">
        <f aca="false">IF($H5356="","",ROW()-5)</f>
        <v/>
      </c>
      <c r="B5356" s="64" t="s">
        <v>39</v>
      </c>
      <c r="C5356" s="53" t="n">
        <v>181</v>
      </c>
      <c r="D5356" s="53" t="n">
        <v>1</v>
      </c>
      <c r="E5356" s="65" t="str">
        <f aca="false">IF($H5356="","",其他分录!$B181)</f>
        <v/>
      </c>
      <c r="F5356" s="55" t="str">
        <f aca="false">IF($H5356="","",其他分录!$C181)</f>
        <v/>
      </c>
      <c r="G5356" s="48" t="str">
        <f aca="false">IF($H5356="","",其他分录!$D181)</f>
        <v/>
      </c>
      <c r="H5356" s="10" t="str">
        <f aca="false">IF(OR(其他分录!$B181="",N(其他分录!$G181)=0),"",其他分录!$E181)</f>
        <v/>
      </c>
      <c r="I5356" s="42" t="n">
        <f aca="false">IF($M5356="借",$O5356,0)</f>
        <v>0</v>
      </c>
      <c r="J5356" s="42" t="n">
        <f aca="false">IF($M5356="贷",$O5356,0)</f>
        <v>0</v>
      </c>
      <c r="K5356" s="48" t="str">
        <f aca="false">IF($H5356="","",其他分录!$H181)</f>
        <v/>
      </c>
      <c r="L5356" s="66"/>
      <c r="M5356" s="66" t="str">
        <f aca="false">IF($H5356="","","借")</f>
        <v/>
      </c>
      <c r="N5356" s="66"/>
      <c r="O5356" s="67" t="n">
        <f aca="false">IF($H5356="",0,ROUND(N(其他分录!$G181),2))</f>
        <v>0</v>
      </c>
      <c r="P5356" s="64" t="str">
        <f aca="false">IF(AND($H5356&lt;&gt;"",ROUND($O5356,2)&lt;&gt;0),"有","")</f>
        <v/>
      </c>
    </row>
    <row r="5357" customFormat="false" ht="15" hidden="true" customHeight="false" outlineLevel="0" collapsed="false">
      <c r="A5357" s="53" t="str">
        <f aca="false">IF($H5357="","",ROW()-5)</f>
        <v/>
      </c>
      <c r="B5357" s="64" t="s">
        <v>39</v>
      </c>
      <c r="C5357" s="53" t="n">
        <v>181</v>
      </c>
      <c r="D5357" s="53" t="n">
        <v>2</v>
      </c>
      <c r="E5357" s="65" t="str">
        <f aca="false">IF($H5357="","",其他分录!$B181)</f>
        <v/>
      </c>
      <c r="F5357" s="55" t="str">
        <f aca="false">IF($H5357="","",其他分录!$C181)</f>
        <v/>
      </c>
      <c r="G5357" s="48" t="str">
        <f aca="false">IF($H5357="","",其他分录!$D181)</f>
        <v/>
      </c>
      <c r="H5357" s="10" t="str">
        <f aca="false">IF(OR(其他分录!$B181="",N(其他分录!$G181)=0),"",其他分录!$F181)</f>
        <v/>
      </c>
      <c r="I5357" s="42" t="n">
        <f aca="false">IF($M5357="借",$O5357,0)</f>
        <v>0</v>
      </c>
      <c r="J5357" s="42" t="n">
        <f aca="false">IF($M5357="贷",$O5357,0)</f>
        <v>0</v>
      </c>
      <c r="K5357" s="48" t="str">
        <f aca="false">IF($H5357="","",其他分录!$H181)</f>
        <v/>
      </c>
      <c r="L5357" s="66"/>
      <c r="M5357" s="66" t="str">
        <f aca="false">IF($H5357="","","贷")</f>
        <v/>
      </c>
      <c r="N5357" s="66"/>
      <c r="O5357" s="67" t="n">
        <f aca="false">IF($H5357="",0,ROUND(N(其他分录!$G181),2))</f>
        <v>0</v>
      </c>
      <c r="P5357" s="64" t="str">
        <f aca="false">IF(AND($H5357&lt;&gt;"",ROUND($O5357,2)&lt;&gt;0),"有","")</f>
        <v/>
      </c>
    </row>
    <row r="5358" customFormat="false" ht="15" hidden="true" customHeight="false" outlineLevel="0" collapsed="false">
      <c r="A5358" s="53" t="str">
        <f aca="false">IF($H5358="","",ROW()-5)</f>
        <v/>
      </c>
      <c r="B5358" s="64" t="s">
        <v>39</v>
      </c>
      <c r="C5358" s="53" t="n">
        <v>182</v>
      </c>
      <c r="D5358" s="53" t="n">
        <v>1</v>
      </c>
      <c r="E5358" s="65" t="str">
        <f aca="false">IF($H5358="","",其他分录!$B182)</f>
        <v/>
      </c>
      <c r="F5358" s="55" t="str">
        <f aca="false">IF($H5358="","",其他分录!$C182)</f>
        <v/>
      </c>
      <c r="G5358" s="48" t="str">
        <f aca="false">IF($H5358="","",其他分录!$D182)</f>
        <v/>
      </c>
      <c r="H5358" s="10" t="str">
        <f aca="false">IF(OR(其他分录!$B182="",N(其他分录!$G182)=0),"",其他分录!$E182)</f>
        <v/>
      </c>
      <c r="I5358" s="42" t="n">
        <f aca="false">IF($M5358="借",$O5358,0)</f>
        <v>0</v>
      </c>
      <c r="J5358" s="42" t="n">
        <f aca="false">IF($M5358="贷",$O5358,0)</f>
        <v>0</v>
      </c>
      <c r="K5358" s="48" t="str">
        <f aca="false">IF($H5358="","",其他分录!$H182)</f>
        <v/>
      </c>
      <c r="L5358" s="66"/>
      <c r="M5358" s="66" t="str">
        <f aca="false">IF($H5358="","","借")</f>
        <v/>
      </c>
      <c r="N5358" s="66"/>
      <c r="O5358" s="67" t="n">
        <f aca="false">IF($H5358="",0,ROUND(N(其他分录!$G182),2))</f>
        <v>0</v>
      </c>
      <c r="P5358" s="64" t="str">
        <f aca="false">IF(AND($H5358&lt;&gt;"",ROUND($O5358,2)&lt;&gt;0),"有","")</f>
        <v/>
      </c>
    </row>
    <row r="5359" customFormat="false" ht="15" hidden="true" customHeight="false" outlineLevel="0" collapsed="false">
      <c r="A5359" s="53" t="str">
        <f aca="false">IF($H5359="","",ROW()-5)</f>
        <v/>
      </c>
      <c r="B5359" s="64" t="s">
        <v>39</v>
      </c>
      <c r="C5359" s="53" t="n">
        <v>182</v>
      </c>
      <c r="D5359" s="53" t="n">
        <v>2</v>
      </c>
      <c r="E5359" s="65" t="str">
        <f aca="false">IF($H5359="","",其他分录!$B182)</f>
        <v/>
      </c>
      <c r="F5359" s="55" t="str">
        <f aca="false">IF($H5359="","",其他分录!$C182)</f>
        <v/>
      </c>
      <c r="G5359" s="48" t="str">
        <f aca="false">IF($H5359="","",其他分录!$D182)</f>
        <v/>
      </c>
      <c r="H5359" s="10" t="str">
        <f aca="false">IF(OR(其他分录!$B182="",N(其他分录!$G182)=0),"",其他分录!$F182)</f>
        <v/>
      </c>
      <c r="I5359" s="42" t="n">
        <f aca="false">IF($M5359="借",$O5359,0)</f>
        <v>0</v>
      </c>
      <c r="J5359" s="42" t="n">
        <f aca="false">IF($M5359="贷",$O5359,0)</f>
        <v>0</v>
      </c>
      <c r="K5359" s="48" t="str">
        <f aca="false">IF($H5359="","",其他分录!$H182)</f>
        <v/>
      </c>
      <c r="L5359" s="66"/>
      <c r="M5359" s="66" t="str">
        <f aca="false">IF($H5359="","","贷")</f>
        <v/>
      </c>
      <c r="N5359" s="66"/>
      <c r="O5359" s="67" t="n">
        <f aca="false">IF($H5359="",0,ROUND(N(其他分录!$G182),2))</f>
        <v>0</v>
      </c>
      <c r="P5359" s="64" t="str">
        <f aca="false">IF(AND($H5359&lt;&gt;"",ROUND($O5359,2)&lt;&gt;0),"有","")</f>
        <v/>
      </c>
    </row>
    <row r="5360" customFormat="false" ht="15" hidden="true" customHeight="false" outlineLevel="0" collapsed="false">
      <c r="A5360" s="53" t="str">
        <f aca="false">IF($H5360="","",ROW()-5)</f>
        <v/>
      </c>
      <c r="B5360" s="64" t="s">
        <v>39</v>
      </c>
      <c r="C5360" s="53" t="n">
        <v>183</v>
      </c>
      <c r="D5360" s="53" t="n">
        <v>1</v>
      </c>
      <c r="E5360" s="65" t="str">
        <f aca="false">IF($H5360="","",其他分录!$B183)</f>
        <v/>
      </c>
      <c r="F5360" s="55" t="str">
        <f aca="false">IF($H5360="","",其他分录!$C183)</f>
        <v/>
      </c>
      <c r="G5360" s="48" t="str">
        <f aca="false">IF($H5360="","",其他分录!$D183)</f>
        <v/>
      </c>
      <c r="H5360" s="10" t="str">
        <f aca="false">IF(OR(其他分录!$B183="",N(其他分录!$G183)=0),"",其他分录!$E183)</f>
        <v/>
      </c>
      <c r="I5360" s="42" t="n">
        <f aca="false">IF($M5360="借",$O5360,0)</f>
        <v>0</v>
      </c>
      <c r="J5360" s="42" t="n">
        <f aca="false">IF($M5360="贷",$O5360,0)</f>
        <v>0</v>
      </c>
      <c r="K5360" s="48" t="str">
        <f aca="false">IF($H5360="","",其他分录!$H183)</f>
        <v/>
      </c>
      <c r="L5360" s="66"/>
      <c r="M5360" s="66" t="str">
        <f aca="false">IF($H5360="","","借")</f>
        <v/>
      </c>
      <c r="N5360" s="66"/>
      <c r="O5360" s="67" t="n">
        <f aca="false">IF($H5360="",0,ROUND(N(其他分录!$G183),2))</f>
        <v>0</v>
      </c>
      <c r="P5360" s="64" t="str">
        <f aca="false">IF(AND($H5360&lt;&gt;"",ROUND($O5360,2)&lt;&gt;0),"有","")</f>
        <v/>
      </c>
    </row>
    <row r="5361" customFormat="false" ht="15" hidden="true" customHeight="false" outlineLevel="0" collapsed="false">
      <c r="A5361" s="53" t="str">
        <f aca="false">IF($H5361="","",ROW()-5)</f>
        <v/>
      </c>
      <c r="B5361" s="64" t="s">
        <v>39</v>
      </c>
      <c r="C5361" s="53" t="n">
        <v>183</v>
      </c>
      <c r="D5361" s="53" t="n">
        <v>2</v>
      </c>
      <c r="E5361" s="65" t="str">
        <f aca="false">IF($H5361="","",其他分录!$B183)</f>
        <v/>
      </c>
      <c r="F5361" s="55" t="str">
        <f aca="false">IF($H5361="","",其他分录!$C183)</f>
        <v/>
      </c>
      <c r="G5361" s="48" t="str">
        <f aca="false">IF($H5361="","",其他分录!$D183)</f>
        <v/>
      </c>
      <c r="H5361" s="10" t="str">
        <f aca="false">IF(OR(其他分录!$B183="",N(其他分录!$G183)=0),"",其他分录!$F183)</f>
        <v/>
      </c>
      <c r="I5361" s="42" t="n">
        <f aca="false">IF($M5361="借",$O5361,0)</f>
        <v>0</v>
      </c>
      <c r="J5361" s="42" t="n">
        <f aca="false">IF($M5361="贷",$O5361,0)</f>
        <v>0</v>
      </c>
      <c r="K5361" s="48" t="str">
        <f aca="false">IF($H5361="","",其他分录!$H183)</f>
        <v/>
      </c>
      <c r="L5361" s="66"/>
      <c r="M5361" s="66" t="str">
        <f aca="false">IF($H5361="","","贷")</f>
        <v/>
      </c>
      <c r="N5361" s="66"/>
      <c r="O5361" s="67" t="n">
        <f aca="false">IF($H5361="",0,ROUND(N(其他分录!$G183),2))</f>
        <v>0</v>
      </c>
      <c r="P5361" s="64" t="str">
        <f aca="false">IF(AND($H5361&lt;&gt;"",ROUND($O5361,2)&lt;&gt;0),"有","")</f>
        <v/>
      </c>
    </row>
    <row r="5362" customFormat="false" ht="15" hidden="true" customHeight="false" outlineLevel="0" collapsed="false">
      <c r="A5362" s="53" t="str">
        <f aca="false">IF($H5362="","",ROW()-5)</f>
        <v/>
      </c>
      <c r="B5362" s="64" t="s">
        <v>39</v>
      </c>
      <c r="C5362" s="53" t="n">
        <v>184</v>
      </c>
      <c r="D5362" s="53" t="n">
        <v>1</v>
      </c>
      <c r="E5362" s="65" t="str">
        <f aca="false">IF($H5362="","",其他分录!$B184)</f>
        <v/>
      </c>
      <c r="F5362" s="55" t="str">
        <f aca="false">IF($H5362="","",其他分录!$C184)</f>
        <v/>
      </c>
      <c r="G5362" s="48" t="str">
        <f aca="false">IF($H5362="","",其他分录!$D184)</f>
        <v/>
      </c>
      <c r="H5362" s="10" t="str">
        <f aca="false">IF(OR(其他分录!$B184="",N(其他分录!$G184)=0),"",其他分录!$E184)</f>
        <v/>
      </c>
      <c r="I5362" s="42" t="n">
        <f aca="false">IF($M5362="借",$O5362,0)</f>
        <v>0</v>
      </c>
      <c r="J5362" s="42" t="n">
        <f aca="false">IF($M5362="贷",$O5362,0)</f>
        <v>0</v>
      </c>
      <c r="K5362" s="48" t="str">
        <f aca="false">IF($H5362="","",其他分录!$H184)</f>
        <v/>
      </c>
      <c r="L5362" s="66"/>
      <c r="M5362" s="66" t="str">
        <f aca="false">IF($H5362="","","借")</f>
        <v/>
      </c>
      <c r="N5362" s="66"/>
      <c r="O5362" s="67" t="n">
        <f aca="false">IF($H5362="",0,ROUND(N(其他分录!$G184),2))</f>
        <v>0</v>
      </c>
      <c r="P5362" s="64" t="str">
        <f aca="false">IF(AND($H5362&lt;&gt;"",ROUND($O5362,2)&lt;&gt;0),"有","")</f>
        <v/>
      </c>
    </row>
    <row r="5363" customFormat="false" ht="15" hidden="true" customHeight="false" outlineLevel="0" collapsed="false">
      <c r="A5363" s="53" t="str">
        <f aca="false">IF($H5363="","",ROW()-5)</f>
        <v/>
      </c>
      <c r="B5363" s="64" t="s">
        <v>39</v>
      </c>
      <c r="C5363" s="53" t="n">
        <v>184</v>
      </c>
      <c r="D5363" s="53" t="n">
        <v>2</v>
      </c>
      <c r="E5363" s="65" t="str">
        <f aca="false">IF($H5363="","",其他分录!$B184)</f>
        <v/>
      </c>
      <c r="F5363" s="55" t="str">
        <f aca="false">IF($H5363="","",其他分录!$C184)</f>
        <v/>
      </c>
      <c r="G5363" s="48" t="str">
        <f aca="false">IF($H5363="","",其他分录!$D184)</f>
        <v/>
      </c>
      <c r="H5363" s="10" t="str">
        <f aca="false">IF(OR(其他分录!$B184="",N(其他分录!$G184)=0),"",其他分录!$F184)</f>
        <v/>
      </c>
      <c r="I5363" s="42" t="n">
        <f aca="false">IF($M5363="借",$O5363,0)</f>
        <v>0</v>
      </c>
      <c r="J5363" s="42" t="n">
        <f aca="false">IF($M5363="贷",$O5363,0)</f>
        <v>0</v>
      </c>
      <c r="K5363" s="48" t="str">
        <f aca="false">IF($H5363="","",其他分录!$H184)</f>
        <v/>
      </c>
      <c r="L5363" s="66"/>
      <c r="M5363" s="66" t="str">
        <f aca="false">IF($H5363="","","贷")</f>
        <v/>
      </c>
      <c r="N5363" s="66"/>
      <c r="O5363" s="67" t="n">
        <f aca="false">IF($H5363="",0,ROUND(N(其他分录!$G184),2))</f>
        <v>0</v>
      </c>
      <c r="P5363" s="64" t="str">
        <f aca="false">IF(AND($H5363&lt;&gt;"",ROUND($O5363,2)&lt;&gt;0),"有","")</f>
        <v/>
      </c>
    </row>
    <row r="5364" customFormat="false" ht="15" hidden="true" customHeight="false" outlineLevel="0" collapsed="false">
      <c r="A5364" s="53" t="str">
        <f aca="false">IF($H5364="","",ROW()-5)</f>
        <v/>
      </c>
      <c r="B5364" s="64" t="s">
        <v>39</v>
      </c>
      <c r="C5364" s="53" t="n">
        <v>185</v>
      </c>
      <c r="D5364" s="53" t="n">
        <v>1</v>
      </c>
      <c r="E5364" s="65" t="str">
        <f aca="false">IF($H5364="","",其他分录!$B185)</f>
        <v/>
      </c>
      <c r="F5364" s="55" t="str">
        <f aca="false">IF($H5364="","",其他分录!$C185)</f>
        <v/>
      </c>
      <c r="G5364" s="48" t="str">
        <f aca="false">IF($H5364="","",其他分录!$D185)</f>
        <v/>
      </c>
      <c r="H5364" s="10" t="str">
        <f aca="false">IF(OR(其他分录!$B185="",N(其他分录!$G185)=0),"",其他分录!$E185)</f>
        <v/>
      </c>
      <c r="I5364" s="42" t="n">
        <f aca="false">IF($M5364="借",$O5364,0)</f>
        <v>0</v>
      </c>
      <c r="J5364" s="42" t="n">
        <f aca="false">IF($M5364="贷",$O5364,0)</f>
        <v>0</v>
      </c>
      <c r="K5364" s="48" t="str">
        <f aca="false">IF($H5364="","",其他分录!$H185)</f>
        <v/>
      </c>
      <c r="L5364" s="66"/>
      <c r="M5364" s="66" t="str">
        <f aca="false">IF($H5364="","","借")</f>
        <v/>
      </c>
      <c r="N5364" s="66"/>
      <c r="O5364" s="67" t="n">
        <f aca="false">IF($H5364="",0,ROUND(N(其他分录!$G185),2))</f>
        <v>0</v>
      </c>
      <c r="P5364" s="64" t="str">
        <f aca="false">IF(AND($H5364&lt;&gt;"",ROUND($O5364,2)&lt;&gt;0),"有","")</f>
        <v/>
      </c>
    </row>
    <row r="5365" customFormat="false" ht="15" hidden="true" customHeight="false" outlineLevel="0" collapsed="false">
      <c r="A5365" s="53" t="str">
        <f aca="false">IF($H5365="","",ROW()-5)</f>
        <v/>
      </c>
      <c r="B5365" s="64" t="s">
        <v>39</v>
      </c>
      <c r="C5365" s="53" t="n">
        <v>185</v>
      </c>
      <c r="D5365" s="53" t="n">
        <v>2</v>
      </c>
      <c r="E5365" s="65" t="str">
        <f aca="false">IF($H5365="","",其他分录!$B185)</f>
        <v/>
      </c>
      <c r="F5365" s="55" t="str">
        <f aca="false">IF($H5365="","",其他分录!$C185)</f>
        <v/>
      </c>
      <c r="G5365" s="48" t="str">
        <f aca="false">IF($H5365="","",其他分录!$D185)</f>
        <v/>
      </c>
      <c r="H5365" s="10" t="str">
        <f aca="false">IF(OR(其他分录!$B185="",N(其他分录!$G185)=0),"",其他分录!$F185)</f>
        <v/>
      </c>
      <c r="I5365" s="42" t="n">
        <f aca="false">IF($M5365="借",$O5365,0)</f>
        <v>0</v>
      </c>
      <c r="J5365" s="42" t="n">
        <f aca="false">IF($M5365="贷",$O5365,0)</f>
        <v>0</v>
      </c>
      <c r="K5365" s="48" t="str">
        <f aca="false">IF($H5365="","",其他分录!$H185)</f>
        <v/>
      </c>
      <c r="L5365" s="66"/>
      <c r="M5365" s="66" t="str">
        <f aca="false">IF($H5365="","","贷")</f>
        <v/>
      </c>
      <c r="N5365" s="66"/>
      <c r="O5365" s="67" t="n">
        <f aca="false">IF($H5365="",0,ROUND(N(其他分录!$G185),2))</f>
        <v>0</v>
      </c>
      <c r="P5365" s="64" t="str">
        <f aca="false">IF(AND($H5365&lt;&gt;"",ROUND($O5365,2)&lt;&gt;0),"有","")</f>
        <v/>
      </c>
    </row>
    <row r="5366" customFormat="false" ht="15" hidden="true" customHeight="false" outlineLevel="0" collapsed="false">
      <c r="A5366" s="53" t="str">
        <f aca="false">IF($H5366="","",ROW()-5)</f>
        <v/>
      </c>
      <c r="B5366" s="64" t="s">
        <v>39</v>
      </c>
      <c r="C5366" s="53" t="n">
        <v>186</v>
      </c>
      <c r="D5366" s="53" t="n">
        <v>1</v>
      </c>
      <c r="E5366" s="65" t="str">
        <f aca="false">IF($H5366="","",其他分录!$B186)</f>
        <v/>
      </c>
      <c r="F5366" s="55" t="str">
        <f aca="false">IF($H5366="","",其他分录!$C186)</f>
        <v/>
      </c>
      <c r="G5366" s="48" t="str">
        <f aca="false">IF($H5366="","",其他分录!$D186)</f>
        <v/>
      </c>
      <c r="H5366" s="10" t="str">
        <f aca="false">IF(OR(其他分录!$B186="",N(其他分录!$G186)=0),"",其他分录!$E186)</f>
        <v/>
      </c>
      <c r="I5366" s="42" t="n">
        <f aca="false">IF($M5366="借",$O5366,0)</f>
        <v>0</v>
      </c>
      <c r="J5366" s="42" t="n">
        <f aca="false">IF($M5366="贷",$O5366,0)</f>
        <v>0</v>
      </c>
      <c r="K5366" s="48" t="str">
        <f aca="false">IF($H5366="","",其他分录!$H186)</f>
        <v/>
      </c>
      <c r="L5366" s="66"/>
      <c r="M5366" s="66" t="str">
        <f aca="false">IF($H5366="","","借")</f>
        <v/>
      </c>
      <c r="N5366" s="66"/>
      <c r="O5366" s="67" t="n">
        <f aca="false">IF($H5366="",0,ROUND(N(其他分录!$G186),2))</f>
        <v>0</v>
      </c>
      <c r="P5366" s="64" t="str">
        <f aca="false">IF(AND($H5366&lt;&gt;"",ROUND($O5366,2)&lt;&gt;0),"有","")</f>
        <v/>
      </c>
    </row>
    <row r="5367" customFormat="false" ht="15" hidden="true" customHeight="false" outlineLevel="0" collapsed="false">
      <c r="A5367" s="53" t="str">
        <f aca="false">IF($H5367="","",ROW()-5)</f>
        <v/>
      </c>
      <c r="B5367" s="64" t="s">
        <v>39</v>
      </c>
      <c r="C5367" s="53" t="n">
        <v>186</v>
      </c>
      <c r="D5367" s="53" t="n">
        <v>2</v>
      </c>
      <c r="E5367" s="65" t="str">
        <f aca="false">IF($H5367="","",其他分录!$B186)</f>
        <v/>
      </c>
      <c r="F5367" s="55" t="str">
        <f aca="false">IF($H5367="","",其他分录!$C186)</f>
        <v/>
      </c>
      <c r="G5367" s="48" t="str">
        <f aca="false">IF($H5367="","",其他分录!$D186)</f>
        <v/>
      </c>
      <c r="H5367" s="10" t="str">
        <f aca="false">IF(OR(其他分录!$B186="",N(其他分录!$G186)=0),"",其他分录!$F186)</f>
        <v/>
      </c>
      <c r="I5367" s="42" t="n">
        <f aca="false">IF($M5367="借",$O5367,0)</f>
        <v>0</v>
      </c>
      <c r="J5367" s="42" t="n">
        <f aca="false">IF($M5367="贷",$O5367,0)</f>
        <v>0</v>
      </c>
      <c r="K5367" s="48" t="str">
        <f aca="false">IF($H5367="","",其他分录!$H186)</f>
        <v/>
      </c>
      <c r="L5367" s="66"/>
      <c r="M5367" s="66" t="str">
        <f aca="false">IF($H5367="","","贷")</f>
        <v/>
      </c>
      <c r="N5367" s="66"/>
      <c r="O5367" s="67" t="n">
        <f aca="false">IF($H5367="",0,ROUND(N(其他分录!$G186),2))</f>
        <v>0</v>
      </c>
      <c r="P5367" s="64" t="str">
        <f aca="false">IF(AND($H5367&lt;&gt;"",ROUND($O5367,2)&lt;&gt;0),"有","")</f>
        <v/>
      </c>
    </row>
    <row r="5368" customFormat="false" ht="15" hidden="true" customHeight="false" outlineLevel="0" collapsed="false">
      <c r="A5368" s="53" t="str">
        <f aca="false">IF($H5368="","",ROW()-5)</f>
        <v/>
      </c>
      <c r="B5368" s="64" t="s">
        <v>39</v>
      </c>
      <c r="C5368" s="53" t="n">
        <v>187</v>
      </c>
      <c r="D5368" s="53" t="n">
        <v>1</v>
      </c>
      <c r="E5368" s="65" t="str">
        <f aca="false">IF($H5368="","",其他分录!$B187)</f>
        <v/>
      </c>
      <c r="F5368" s="55" t="str">
        <f aca="false">IF($H5368="","",其他分录!$C187)</f>
        <v/>
      </c>
      <c r="G5368" s="48" t="str">
        <f aca="false">IF($H5368="","",其他分录!$D187)</f>
        <v/>
      </c>
      <c r="H5368" s="10" t="str">
        <f aca="false">IF(OR(其他分录!$B187="",N(其他分录!$G187)=0),"",其他分录!$E187)</f>
        <v/>
      </c>
      <c r="I5368" s="42" t="n">
        <f aca="false">IF($M5368="借",$O5368,0)</f>
        <v>0</v>
      </c>
      <c r="J5368" s="42" t="n">
        <f aca="false">IF($M5368="贷",$O5368,0)</f>
        <v>0</v>
      </c>
      <c r="K5368" s="48" t="str">
        <f aca="false">IF($H5368="","",其他分录!$H187)</f>
        <v/>
      </c>
      <c r="L5368" s="66"/>
      <c r="M5368" s="66" t="str">
        <f aca="false">IF($H5368="","","借")</f>
        <v/>
      </c>
      <c r="N5368" s="66"/>
      <c r="O5368" s="67" t="n">
        <f aca="false">IF($H5368="",0,ROUND(N(其他分录!$G187),2))</f>
        <v>0</v>
      </c>
      <c r="P5368" s="64" t="str">
        <f aca="false">IF(AND($H5368&lt;&gt;"",ROUND($O5368,2)&lt;&gt;0),"有","")</f>
        <v/>
      </c>
    </row>
    <row r="5369" customFormat="false" ht="15" hidden="true" customHeight="false" outlineLevel="0" collapsed="false">
      <c r="A5369" s="53" t="str">
        <f aca="false">IF($H5369="","",ROW()-5)</f>
        <v/>
      </c>
      <c r="B5369" s="64" t="s">
        <v>39</v>
      </c>
      <c r="C5369" s="53" t="n">
        <v>187</v>
      </c>
      <c r="D5369" s="53" t="n">
        <v>2</v>
      </c>
      <c r="E5369" s="65" t="str">
        <f aca="false">IF($H5369="","",其他分录!$B187)</f>
        <v/>
      </c>
      <c r="F5369" s="55" t="str">
        <f aca="false">IF($H5369="","",其他分录!$C187)</f>
        <v/>
      </c>
      <c r="G5369" s="48" t="str">
        <f aca="false">IF($H5369="","",其他分录!$D187)</f>
        <v/>
      </c>
      <c r="H5369" s="10" t="str">
        <f aca="false">IF(OR(其他分录!$B187="",N(其他分录!$G187)=0),"",其他分录!$F187)</f>
        <v/>
      </c>
      <c r="I5369" s="42" t="n">
        <f aca="false">IF($M5369="借",$O5369,0)</f>
        <v>0</v>
      </c>
      <c r="J5369" s="42" t="n">
        <f aca="false">IF($M5369="贷",$O5369,0)</f>
        <v>0</v>
      </c>
      <c r="K5369" s="48" t="str">
        <f aca="false">IF($H5369="","",其他分录!$H187)</f>
        <v/>
      </c>
      <c r="L5369" s="66"/>
      <c r="M5369" s="66" t="str">
        <f aca="false">IF($H5369="","","贷")</f>
        <v/>
      </c>
      <c r="N5369" s="66"/>
      <c r="O5369" s="67" t="n">
        <f aca="false">IF($H5369="",0,ROUND(N(其他分录!$G187),2))</f>
        <v>0</v>
      </c>
      <c r="P5369" s="64" t="str">
        <f aca="false">IF(AND($H5369&lt;&gt;"",ROUND($O5369,2)&lt;&gt;0),"有","")</f>
        <v/>
      </c>
    </row>
    <row r="5370" customFormat="false" ht="15" hidden="true" customHeight="false" outlineLevel="0" collapsed="false">
      <c r="A5370" s="53" t="str">
        <f aca="false">IF($H5370="","",ROW()-5)</f>
        <v/>
      </c>
      <c r="B5370" s="64" t="s">
        <v>39</v>
      </c>
      <c r="C5370" s="53" t="n">
        <v>188</v>
      </c>
      <c r="D5370" s="53" t="n">
        <v>1</v>
      </c>
      <c r="E5370" s="65" t="str">
        <f aca="false">IF($H5370="","",其他分录!$B188)</f>
        <v/>
      </c>
      <c r="F5370" s="55" t="str">
        <f aca="false">IF($H5370="","",其他分录!$C188)</f>
        <v/>
      </c>
      <c r="G5370" s="48" t="str">
        <f aca="false">IF($H5370="","",其他分录!$D188)</f>
        <v/>
      </c>
      <c r="H5370" s="10" t="str">
        <f aca="false">IF(OR(其他分录!$B188="",N(其他分录!$G188)=0),"",其他分录!$E188)</f>
        <v/>
      </c>
      <c r="I5370" s="42" t="n">
        <f aca="false">IF($M5370="借",$O5370,0)</f>
        <v>0</v>
      </c>
      <c r="J5370" s="42" t="n">
        <f aca="false">IF($M5370="贷",$O5370,0)</f>
        <v>0</v>
      </c>
      <c r="K5370" s="48" t="str">
        <f aca="false">IF($H5370="","",其他分录!$H188)</f>
        <v/>
      </c>
      <c r="L5370" s="66"/>
      <c r="M5370" s="66" t="str">
        <f aca="false">IF($H5370="","","借")</f>
        <v/>
      </c>
      <c r="N5370" s="66"/>
      <c r="O5370" s="67" t="n">
        <f aca="false">IF($H5370="",0,ROUND(N(其他分录!$G188),2))</f>
        <v>0</v>
      </c>
      <c r="P5370" s="64" t="str">
        <f aca="false">IF(AND($H5370&lt;&gt;"",ROUND($O5370,2)&lt;&gt;0),"有","")</f>
        <v/>
      </c>
    </row>
    <row r="5371" customFormat="false" ht="15" hidden="true" customHeight="false" outlineLevel="0" collapsed="false">
      <c r="A5371" s="53" t="str">
        <f aca="false">IF($H5371="","",ROW()-5)</f>
        <v/>
      </c>
      <c r="B5371" s="64" t="s">
        <v>39</v>
      </c>
      <c r="C5371" s="53" t="n">
        <v>188</v>
      </c>
      <c r="D5371" s="53" t="n">
        <v>2</v>
      </c>
      <c r="E5371" s="65" t="str">
        <f aca="false">IF($H5371="","",其他分录!$B188)</f>
        <v/>
      </c>
      <c r="F5371" s="55" t="str">
        <f aca="false">IF($H5371="","",其他分录!$C188)</f>
        <v/>
      </c>
      <c r="G5371" s="48" t="str">
        <f aca="false">IF($H5371="","",其他分录!$D188)</f>
        <v/>
      </c>
      <c r="H5371" s="10" t="str">
        <f aca="false">IF(OR(其他分录!$B188="",N(其他分录!$G188)=0),"",其他分录!$F188)</f>
        <v/>
      </c>
      <c r="I5371" s="42" t="n">
        <f aca="false">IF($M5371="借",$O5371,0)</f>
        <v>0</v>
      </c>
      <c r="J5371" s="42" t="n">
        <f aca="false">IF($M5371="贷",$O5371,0)</f>
        <v>0</v>
      </c>
      <c r="K5371" s="48" t="str">
        <f aca="false">IF($H5371="","",其他分录!$H188)</f>
        <v/>
      </c>
      <c r="L5371" s="66"/>
      <c r="M5371" s="66" t="str">
        <f aca="false">IF($H5371="","","贷")</f>
        <v/>
      </c>
      <c r="N5371" s="66"/>
      <c r="O5371" s="67" t="n">
        <f aca="false">IF($H5371="",0,ROUND(N(其他分录!$G188),2))</f>
        <v>0</v>
      </c>
      <c r="P5371" s="64" t="str">
        <f aca="false">IF(AND($H5371&lt;&gt;"",ROUND($O5371,2)&lt;&gt;0),"有","")</f>
        <v/>
      </c>
    </row>
    <row r="5372" customFormat="false" ht="15" hidden="true" customHeight="false" outlineLevel="0" collapsed="false">
      <c r="A5372" s="53" t="str">
        <f aca="false">IF($H5372="","",ROW()-5)</f>
        <v/>
      </c>
      <c r="B5372" s="64" t="s">
        <v>39</v>
      </c>
      <c r="C5372" s="53" t="n">
        <v>189</v>
      </c>
      <c r="D5372" s="53" t="n">
        <v>1</v>
      </c>
      <c r="E5372" s="65" t="str">
        <f aca="false">IF($H5372="","",其他分录!$B189)</f>
        <v/>
      </c>
      <c r="F5372" s="55" t="str">
        <f aca="false">IF($H5372="","",其他分录!$C189)</f>
        <v/>
      </c>
      <c r="G5372" s="48" t="str">
        <f aca="false">IF($H5372="","",其他分录!$D189)</f>
        <v/>
      </c>
      <c r="H5372" s="10" t="str">
        <f aca="false">IF(OR(其他分录!$B189="",N(其他分录!$G189)=0),"",其他分录!$E189)</f>
        <v/>
      </c>
      <c r="I5372" s="42" t="n">
        <f aca="false">IF($M5372="借",$O5372,0)</f>
        <v>0</v>
      </c>
      <c r="J5372" s="42" t="n">
        <f aca="false">IF($M5372="贷",$O5372,0)</f>
        <v>0</v>
      </c>
      <c r="K5372" s="48" t="str">
        <f aca="false">IF($H5372="","",其他分录!$H189)</f>
        <v/>
      </c>
      <c r="L5372" s="66"/>
      <c r="M5372" s="66" t="str">
        <f aca="false">IF($H5372="","","借")</f>
        <v/>
      </c>
      <c r="N5372" s="66"/>
      <c r="O5372" s="67" t="n">
        <f aca="false">IF($H5372="",0,ROUND(N(其他分录!$G189),2))</f>
        <v>0</v>
      </c>
      <c r="P5372" s="64" t="str">
        <f aca="false">IF(AND($H5372&lt;&gt;"",ROUND($O5372,2)&lt;&gt;0),"有","")</f>
        <v/>
      </c>
    </row>
    <row r="5373" customFormat="false" ht="15" hidden="true" customHeight="false" outlineLevel="0" collapsed="false">
      <c r="A5373" s="53" t="str">
        <f aca="false">IF($H5373="","",ROW()-5)</f>
        <v/>
      </c>
      <c r="B5373" s="64" t="s">
        <v>39</v>
      </c>
      <c r="C5373" s="53" t="n">
        <v>189</v>
      </c>
      <c r="D5373" s="53" t="n">
        <v>2</v>
      </c>
      <c r="E5373" s="65" t="str">
        <f aca="false">IF($H5373="","",其他分录!$B189)</f>
        <v/>
      </c>
      <c r="F5373" s="55" t="str">
        <f aca="false">IF($H5373="","",其他分录!$C189)</f>
        <v/>
      </c>
      <c r="G5373" s="48" t="str">
        <f aca="false">IF($H5373="","",其他分录!$D189)</f>
        <v/>
      </c>
      <c r="H5373" s="10" t="str">
        <f aca="false">IF(OR(其他分录!$B189="",N(其他分录!$G189)=0),"",其他分录!$F189)</f>
        <v/>
      </c>
      <c r="I5373" s="42" t="n">
        <f aca="false">IF($M5373="借",$O5373,0)</f>
        <v>0</v>
      </c>
      <c r="J5373" s="42" t="n">
        <f aca="false">IF($M5373="贷",$O5373,0)</f>
        <v>0</v>
      </c>
      <c r="K5373" s="48" t="str">
        <f aca="false">IF($H5373="","",其他分录!$H189)</f>
        <v/>
      </c>
      <c r="L5373" s="66"/>
      <c r="M5373" s="66" t="str">
        <f aca="false">IF($H5373="","","贷")</f>
        <v/>
      </c>
      <c r="N5373" s="66"/>
      <c r="O5373" s="67" t="n">
        <f aca="false">IF($H5373="",0,ROUND(N(其他分录!$G189),2))</f>
        <v>0</v>
      </c>
      <c r="P5373" s="64" t="str">
        <f aca="false">IF(AND($H5373&lt;&gt;"",ROUND($O5373,2)&lt;&gt;0),"有","")</f>
        <v/>
      </c>
    </row>
    <row r="5374" customFormat="false" ht="15" hidden="true" customHeight="false" outlineLevel="0" collapsed="false">
      <c r="A5374" s="53" t="str">
        <f aca="false">IF($H5374="","",ROW()-5)</f>
        <v/>
      </c>
      <c r="B5374" s="64" t="s">
        <v>39</v>
      </c>
      <c r="C5374" s="53" t="n">
        <v>190</v>
      </c>
      <c r="D5374" s="53" t="n">
        <v>1</v>
      </c>
      <c r="E5374" s="65" t="str">
        <f aca="false">IF($H5374="","",其他分录!$B190)</f>
        <v/>
      </c>
      <c r="F5374" s="55" t="str">
        <f aca="false">IF($H5374="","",其他分录!$C190)</f>
        <v/>
      </c>
      <c r="G5374" s="48" t="str">
        <f aca="false">IF($H5374="","",其他分录!$D190)</f>
        <v/>
      </c>
      <c r="H5374" s="10" t="str">
        <f aca="false">IF(OR(其他分录!$B190="",N(其他分录!$G190)=0),"",其他分录!$E190)</f>
        <v/>
      </c>
      <c r="I5374" s="42" t="n">
        <f aca="false">IF($M5374="借",$O5374,0)</f>
        <v>0</v>
      </c>
      <c r="J5374" s="42" t="n">
        <f aca="false">IF($M5374="贷",$O5374,0)</f>
        <v>0</v>
      </c>
      <c r="K5374" s="48" t="str">
        <f aca="false">IF($H5374="","",其他分录!$H190)</f>
        <v/>
      </c>
      <c r="L5374" s="66"/>
      <c r="M5374" s="66" t="str">
        <f aca="false">IF($H5374="","","借")</f>
        <v/>
      </c>
      <c r="N5374" s="66"/>
      <c r="O5374" s="67" t="n">
        <f aca="false">IF($H5374="",0,ROUND(N(其他分录!$G190),2))</f>
        <v>0</v>
      </c>
      <c r="P5374" s="64" t="str">
        <f aca="false">IF(AND($H5374&lt;&gt;"",ROUND($O5374,2)&lt;&gt;0),"有","")</f>
        <v/>
      </c>
    </row>
    <row r="5375" customFormat="false" ht="15" hidden="true" customHeight="false" outlineLevel="0" collapsed="false">
      <c r="A5375" s="53" t="str">
        <f aca="false">IF($H5375="","",ROW()-5)</f>
        <v/>
      </c>
      <c r="B5375" s="64" t="s">
        <v>39</v>
      </c>
      <c r="C5375" s="53" t="n">
        <v>190</v>
      </c>
      <c r="D5375" s="53" t="n">
        <v>2</v>
      </c>
      <c r="E5375" s="65" t="str">
        <f aca="false">IF($H5375="","",其他分录!$B190)</f>
        <v/>
      </c>
      <c r="F5375" s="55" t="str">
        <f aca="false">IF($H5375="","",其他分录!$C190)</f>
        <v/>
      </c>
      <c r="G5375" s="48" t="str">
        <f aca="false">IF($H5375="","",其他分录!$D190)</f>
        <v/>
      </c>
      <c r="H5375" s="10" t="str">
        <f aca="false">IF(OR(其他分录!$B190="",N(其他分录!$G190)=0),"",其他分录!$F190)</f>
        <v/>
      </c>
      <c r="I5375" s="42" t="n">
        <f aca="false">IF($M5375="借",$O5375,0)</f>
        <v>0</v>
      </c>
      <c r="J5375" s="42" t="n">
        <f aca="false">IF($M5375="贷",$O5375,0)</f>
        <v>0</v>
      </c>
      <c r="K5375" s="48" t="str">
        <f aca="false">IF($H5375="","",其他分录!$H190)</f>
        <v/>
      </c>
      <c r="L5375" s="66"/>
      <c r="M5375" s="66" t="str">
        <f aca="false">IF($H5375="","","贷")</f>
        <v/>
      </c>
      <c r="N5375" s="66"/>
      <c r="O5375" s="67" t="n">
        <f aca="false">IF($H5375="",0,ROUND(N(其他分录!$G190),2))</f>
        <v>0</v>
      </c>
      <c r="P5375" s="64" t="str">
        <f aca="false">IF(AND($H5375&lt;&gt;"",ROUND($O5375,2)&lt;&gt;0),"有","")</f>
        <v/>
      </c>
    </row>
    <row r="5376" customFormat="false" ht="15" hidden="true" customHeight="false" outlineLevel="0" collapsed="false">
      <c r="A5376" s="53" t="str">
        <f aca="false">IF($H5376="","",ROW()-5)</f>
        <v/>
      </c>
      <c r="B5376" s="64" t="s">
        <v>39</v>
      </c>
      <c r="C5376" s="53" t="n">
        <v>191</v>
      </c>
      <c r="D5376" s="53" t="n">
        <v>1</v>
      </c>
      <c r="E5376" s="65" t="str">
        <f aca="false">IF($H5376="","",其他分录!$B191)</f>
        <v/>
      </c>
      <c r="F5376" s="55" t="str">
        <f aca="false">IF($H5376="","",其他分录!$C191)</f>
        <v/>
      </c>
      <c r="G5376" s="48" t="str">
        <f aca="false">IF($H5376="","",其他分录!$D191)</f>
        <v/>
      </c>
      <c r="H5376" s="10" t="str">
        <f aca="false">IF(OR(其他分录!$B191="",N(其他分录!$G191)=0),"",其他分录!$E191)</f>
        <v/>
      </c>
      <c r="I5376" s="42" t="n">
        <f aca="false">IF($M5376="借",$O5376,0)</f>
        <v>0</v>
      </c>
      <c r="J5376" s="42" t="n">
        <f aca="false">IF($M5376="贷",$O5376,0)</f>
        <v>0</v>
      </c>
      <c r="K5376" s="48" t="str">
        <f aca="false">IF($H5376="","",其他分录!$H191)</f>
        <v/>
      </c>
      <c r="L5376" s="66"/>
      <c r="M5376" s="66" t="str">
        <f aca="false">IF($H5376="","","借")</f>
        <v/>
      </c>
      <c r="N5376" s="66"/>
      <c r="O5376" s="67" t="n">
        <f aca="false">IF($H5376="",0,ROUND(N(其他分录!$G191),2))</f>
        <v>0</v>
      </c>
      <c r="P5376" s="64" t="str">
        <f aca="false">IF(AND($H5376&lt;&gt;"",ROUND($O5376,2)&lt;&gt;0),"有","")</f>
        <v/>
      </c>
    </row>
    <row r="5377" customFormat="false" ht="15" hidden="true" customHeight="false" outlineLevel="0" collapsed="false">
      <c r="A5377" s="53" t="str">
        <f aca="false">IF($H5377="","",ROW()-5)</f>
        <v/>
      </c>
      <c r="B5377" s="64" t="s">
        <v>39</v>
      </c>
      <c r="C5377" s="53" t="n">
        <v>191</v>
      </c>
      <c r="D5377" s="53" t="n">
        <v>2</v>
      </c>
      <c r="E5377" s="65" t="str">
        <f aca="false">IF($H5377="","",其他分录!$B191)</f>
        <v/>
      </c>
      <c r="F5377" s="55" t="str">
        <f aca="false">IF($H5377="","",其他分录!$C191)</f>
        <v/>
      </c>
      <c r="G5377" s="48" t="str">
        <f aca="false">IF($H5377="","",其他分录!$D191)</f>
        <v/>
      </c>
      <c r="H5377" s="10" t="str">
        <f aca="false">IF(OR(其他分录!$B191="",N(其他分录!$G191)=0),"",其他分录!$F191)</f>
        <v/>
      </c>
      <c r="I5377" s="42" t="n">
        <f aca="false">IF($M5377="借",$O5377,0)</f>
        <v>0</v>
      </c>
      <c r="J5377" s="42" t="n">
        <f aca="false">IF($M5377="贷",$O5377,0)</f>
        <v>0</v>
      </c>
      <c r="K5377" s="48" t="str">
        <f aca="false">IF($H5377="","",其他分录!$H191)</f>
        <v/>
      </c>
      <c r="L5377" s="66"/>
      <c r="M5377" s="66" t="str">
        <f aca="false">IF($H5377="","","贷")</f>
        <v/>
      </c>
      <c r="N5377" s="66"/>
      <c r="O5377" s="67" t="n">
        <f aca="false">IF($H5377="",0,ROUND(N(其他分录!$G191),2))</f>
        <v>0</v>
      </c>
      <c r="P5377" s="64" t="str">
        <f aca="false">IF(AND($H5377&lt;&gt;"",ROUND($O5377,2)&lt;&gt;0),"有","")</f>
        <v/>
      </c>
    </row>
    <row r="5378" customFormat="false" ht="15" hidden="true" customHeight="false" outlineLevel="0" collapsed="false">
      <c r="A5378" s="53" t="str">
        <f aca="false">IF($H5378="","",ROW()-5)</f>
        <v/>
      </c>
      <c r="B5378" s="64" t="s">
        <v>39</v>
      </c>
      <c r="C5378" s="53" t="n">
        <v>192</v>
      </c>
      <c r="D5378" s="53" t="n">
        <v>1</v>
      </c>
      <c r="E5378" s="65" t="str">
        <f aca="false">IF($H5378="","",其他分录!$B192)</f>
        <v/>
      </c>
      <c r="F5378" s="55" t="str">
        <f aca="false">IF($H5378="","",其他分录!$C192)</f>
        <v/>
      </c>
      <c r="G5378" s="48" t="str">
        <f aca="false">IF($H5378="","",其他分录!$D192)</f>
        <v/>
      </c>
      <c r="H5378" s="10" t="str">
        <f aca="false">IF(OR(其他分录!$B192="",N(其他分录!$G192)=0),"",其他分录!$E192)</f>
        <v/>
      </c>
      <c r="I5378" s="42" t="n">
        <f aca="false">IF($M5378="借",$O5378,0)</f>
        <v>0</v>
      </c>
      <c r="J5378" s="42" t="n">
        <f aca="false">IF($M5378="贷",$O5378,0)</f>
        <v>0</v>
      </c>
      <c r="K5378" s="48" t="str">
        <f aca="false">IF($H5378="","",其他分录!$H192)</f>
        <v/>
      </c>
      <c r="L5378" s="66"/>
      <c r="M5378" s="66" t="str">
        <f aca="false">IF($H5378="","","借")</f>
        <v/>
      </c>
      <c r="N5378" s="66"/>
      <c r="O5378" s="67" t="n">
        <f aca="false">IF($H5378="",0,ROUND(N(其他分录!$G192),2))</f>
        <v>0</v>
      </c>
      <c r="P5378" s="64" t="str">
        <f aca="false">IF(AND($H5378&lt;&gt;"",ROUND($O5378,2)&lt;&gt;0),"有","")</f>
        <v/>
      </c>
    </row>
    <row r="5379" customFormat="false" ht="15" hidden="true" customHeight="false" outlineLevel="0" collapsed="false">
      <c r="A5379" s="53" t="str">
        <f aca="false">IF($H5379="","",ROW()-5)</f>
        <v/>
      </c>
      <c r="B5379" s="64" t="s">
        <v>39</v>
      </c>
      <c r="C5379" s="53" t="n">
        <v>192</v>
      </c>
      <c r="D5379" s="53" t="n">
        <v>2</v>
      </c>
      <c r="E5379" s="65" t="str">
        <f aca="false">IF($H5379="","",其他分录!$B192)</f>
        <v/>
      </c>
      <c r="F5379" s="55" t="str">
        <f aca="false">IF($H5379="","",其他分录!$C192)</f>
        <v/>
      </c>
      <c r="G5379" s="48" t="str">
        <f aca="false">IF($H5379="","",其他分录!$D192)</f>
        <v/>
      </c>
      <c r="H5379" s="10" t="str">
        <f aca="false">IF(OR(其他分录!$B192="",N(其他分录!$G192)=0),"",其他分录!$F192)</f>
        <v/>
      </c>
      <c r="I5379" s="42" t="n">
        <f aca="false">IF($M5379="借",$O5379,0)</f>
        <v>0</v>
      </c>
      <c r="J5379" s="42" t="n">
        <f aca="false">IF($M5379="贷",$O5379,0)</f>
        <v>0</v>
      </c>
      <c r="K5379" s="48" t="str">
        <f aca="false">IF($H5379="","",其他分录!$H192)</f>
        <v/>
      </c>
      <c r="L5379" s="66"/>
      <c r="M5379" s="66" t="str">
        <f aca="false">IF($H5379="","","贷")</f>
        <v/>
      </c>
      <c r="N5379" s="66"/>
      <c r="O5379" s="67" t="n">
        <f aca="false">IF($H5379="",0,ROUND(N(其他分录!$G192),2))</f>
        <v>0</v>
      </c>
      <c r="P5379" s="64" t="str">
        <f aca="false">IF(AND($H5379&lt;&gt;"",ROUND($O5379,2)&lt;&gt;0),"有","")</f>
        <v/>
      </c>
    </row>
    <row r="5380" customFormat="false" ht="15" hidden="true" customHeight="false" outlineLevel="0" collapsed="false">
      <c r="A5380" s="53" t="str">
        <f aca="false">IF($H5380="","",ROW()-5)</f>
        <v/>
      </c>
      <c r="B5380" s="64" t="s">
        <v>39</v>
      </c>
      <c r="C5380" s="53" t="n">
        <v>193</v>
      </c>
      <c r="D5380" s="53" t="n">
        <v>1</v>
      </c>
      <c r="E5380" s="65" t="str">
        <f aca="false">IF($H5380="","",其他分录!$B193)</f>
        <v/>
      </c>
      <c r="F5380" s="55" t="str">
        <f aca="false">IF($H5380="","",其他分录!$C193)</f>
        <v/>
      </c>
      <c r="G5380" s="48" t="str">
        <f aca="false">IF($H5380="","",其他分录!$D193)</f>
        <v/>
      </c>
      <c r="H5380" s="10" t="str">
        <f aca="false">IF(OR(其他分录!$B193="",N(其他分录!$G193)=0),"",其他分录!$E193)</f>
        <v/>
      </c>
      <c r="I5380" s="42" t="n">
        <f aca="false">IF($M5380="借",$O5380,0)</f>
        <v>0</v>
      </c>
      <c r="J5380" s="42" t="n">
        <f aca="false">IF($M5380="贷",$O5380,0)</f>
        <v>0</v>
      </c>
      <c r="K5380" s="48" t="str">
        <f aca="false">IF($H5380="","",其他分录!$H193)</f>
        <v/>
      </c>
      <c r="L5380" s="66"/>
      <c r="M5380" s="66" t="str">
        <f aca="false">IF($H5380="","","借")</f>
        <v/>
      </c>
      <c r="N5380" s="66"/>
      <c r="O5380" s="67" t="n">
        <f aca="false">IF($H5380="",0,ROUND(N(其他分录!$G193),2))</f>
        <v>0</v>
      </c>
      <c r="P5380" s="64" t="str">
        <f aca="false">IF(AND($H5380&lt;&gt;"",ROUND($O5380,2)&lt;&gt;0),"有","")</f>
        <v/>
      </c>
    </row>
    <row r="5381" customFormat="false" ht="15" hidden="true" customHeight="false" outlineLevel="0" collapsed="false">
      <c r="A5381" s="53" t="str">
        <f aca="false">IF($H5381="","",ROW()-5)</f>
        <v/>
      </c>
      <c r="B5381" s="64" t="s">
        <v>39</v>
      </c>
      <c r="C5381" s="53" t="n">
        <v>193</v>
      </c>
      <c r="D5381" s="53" t="n">
        <v>2</v>
      </c>
      <c r="E5381" s="65" t="str">
        <f aca="false">IF($H5381="","",其他分录!$B193)</f>
        <v/>
      </c>
      <c r="F5381" s="55" t="str">
        <f aca="false">IF($H5381="","",其他分录!$C193)</f>
        <v/>
      </c>
      <c r="G5381" s="48" t="str">
        <f aca="false">IF($H5381="","",其他分录!$D193)</f>
        <v/>
      </c>
      <c r="H5381" s="10" t="str">
        <f aca="false">IF(OR(其他分录!$B193="",N(其他分录!$G193)=0),"",其他分录!$F193)</f>
        <v/>
      </c>
      <c r="I5381" s="42" t="n">
        <f aca="false">IF($M5381="借",$O5381,0)</f>
        <v>0</v>
      </c>
      <c r="J5381" s="42" t="n">
        <f aca="false">IF($M5381="贷",$O5381,0)</f>
        <v>0</v>
      </c>
      <c r="K5381" s="48" t="str">
        <f aca="false">IF($H5381="","",其他分录!$H193)</f>
        <v/>
      </c>
      <c r="L5381" s="66"/>
      <c r="M5381" s="66" t="str">
        <f aca="false">IF($H5381="","","贷")</f>
        <v/>
      </c>
      <c r="N5381" s="66"/>
      <c r="O5381" s="67" t="n">
        <f aca="false">IF($H5381="",0,ROUND(N(其他分录!$G193),2))</f>
        <v>0</v>
      </c>
      <c r="P5381" s="64" t="str">
        <f aca="false">IF(AND($H5381&lt;&gt;"",ROUND($O5381,2)&lt;&gt;0),"有","")</f>
        <v/>
      </c>
    </row>
    <row r="5382" customFormat="false" ht="15" hidden="true" customHeight="false" outlineLevel="0" collapsed="false">
      <c r="A5382" s="53" t="str">
        <f aca="false">IF($H5382="","",ROW()-5)</f>
        <v/>
      </c>
      <c r="B5382" s="64" t="s">
        <v>39</v>
      </c>
      <c r="C5382" s="53" t="n">
        <v>194</v>
      </c>
      <c r="D5382" s="53" t="n">
        <v>1</v>
      </c>
      <c r="E5382" s="65" t="str">
        <f aca="false">IF($H5382="","",其他分录!$B194)</f>
        <v/>
      </c>
      <c r="F5382" s="55" t="str">
        <f aca="false">IF($H5382="","",其他分录!$C194)</f>
        <v/>
      </c>
      <c r="G5382" s="48" t="str">
        <f aca="false">IF($H5382="","",其他分录!$D194)</f>
        <v/>
      </c>
      <c r="H5382" s="10" t="str">
        <f aca="false">IF(OR(其他分录!$B194="",N(其他分录!$G194)=0),"",其他分录!$E194)</f>
        <v/>
      </c>
      <c r="I5382" s="42" t="n">
        <f aca="false">IF($M5382="借",$O5382,0)</f>
        <v>0</v>
      </c>
      <c r="J5382" s="42" t="n">
        <f aca="false">IF($M5382="贷",$O5382,0)</f>
        <v>0</v>
      </c>
      <c r="K5382" s="48" t="str">
        <f aca="false">IF($H5382="","",其他分录!$H194)</f>
        <v/>
      </c>
      <c r="L5382" s="66"/>
      <c r="M5382" s="66" t="str">
        <f aca="false">IF($H5382="","","借")</f>
        <v/>
      </c>
      <c r="N5382" s="66"/>
      <c r="O5382" s="67" t="n">
        <f aca="false">IF($H5382="",0,ROUND(N(其他分录!$G194),2))</f>
        <v>0</v>
      </c>
      <c r="P5382" s="64" t="str">
        <f aca="false">IF(AND($H5382&lt;&gt;"",ROUND($O5382,2)&lt;&gt;0),"有","")</f>
        <v/>
      </c>
    </row>
    <row r="5383" customFormat="false" ht="15" hidden="true" customHeight="false" outlineLevel="0" collapsed="false">
      <c r="A5383" s="53" t="str">
        <f aca="false">IF($H5383="","",ROW()-5)</f>
        <v/>
      </c>
      <c r="B5383" s="64" t="s">
        <v>39</v>
      </c>
      <c r="C5383" s="53" t="n">
        <v>194</v>
      </c>
      <c r="D5383" s="53" t="n">
        <v>2</v>
      </c>
      <c r="E5383" s="65" t="str">
        <f aca="false">IF($H5383="","",其他分录!$B194)</f>
        <v/>
      </c>
      <c r="F5383" s="55" t="str">
        <f aca="false">IF($H5383="","",其他分录!$C194)</f>
        <v/>
      </c>
      <c r="G5383" s="48" t="str">
        <f aca="false">IF($H5383="","",其他分录!$D194)</f>
        <v/>
      </c>
      <c r="H5383" s="10" t="str">
        <f aca="false">IF(OR(其他分录!$B194="",N(其他分录!$G194)=0),"",其他分录!$F194)</f>
        <v/>
      </c>
      <c r="I5383" s="42" t="n">
        <f aca="false">IF($M5383="借",$O5383,0)</f>
        <v>0</v>
      </c>
      <c r="J5383" s="42" t="n">
        <f aca="false">IF($M5383="贷",$O5383,0)</f>
        <v>0</v>
      </c>
      <c r="K5383" s="48" t="str">
        <f aca="false">IF($H5383="","",其他分录!$H194)</f>
        <v/>
      </c>
      <c r="L5383" s="66"/>
      <c r="M5383" s="66" t="str">
        <f aca="false">IF($H5383="","","贷")</f>
        <v/>
      </c>
      <c r="N5383" s="66"/>
      <c r="O5383" s="67" t="n">
        <f aca="false">IF($H5383="",0,ROUND(N(其他分录!$G194),2))</f>
        <v>0</v>
      </c>
      <c r="P5383" s="64" t="str">
        <f aca="false">IF(AND($H5383&lt;&gt;"",ROUND($O5383,2)&lt;&gt;0),"有","")</f>
        <v/>
      </c>
    </row>
    <row r="5384" customFormat="false" ht="15" hidden="true" customHeight="false" outlineLevel="0" collapsed="false">
      <c r="A5384" s="53" t="str">
        <f aca="false">IF($H5384="","",ROW()-5)</f>
        <v/>
      </c>
      <c r="B5384" s="64" t="s">
        <v>39</v>
      </c>
      <c r="C5384" s="53" t="n">
        <v>195</v>
      </c>
      <c r="D5384" s="53" t="n">
        <v>1</v>
      </c>
      <c r="E5384" s="65" t="str">
        <f aca="false">IF($H5384="","",其他分录!$B195)</f>
        <v/>
      </c>
      <c r="F5384" s="55" t="str">
        <f aca="false">IF($H5384="","",其他分录!$C195)</f>
        <v/>
      </c>
      <c r="G5384" s="48" t="str">
        <f aca="false">IF($H5384="","",其他分录!$D195)</f>
        <v/>
      </c>
      <c r="H5384" s="10" t="str">
        <f aca="false">IF(OR(其他分录!$B195="",N(其他分录!$G195)=0),"",其他分录!$E195)</f>
        <v/>
      </c>
      <c r="I5384" s="42" t="n">
        <f aca="false">IF($M5384="借",$O5384,0)</f>
        <v>0</v>
      </c>
      <c r="J5384" s="42" t="n">
        <f aca="false">IF($M5384="贷",$O5384,0)</f>
        <v>0</v>
      </c>
      <c r="K5384" s="48" t="str">
        <f aca="false">IF($H5384="","",其他分录!$H195)</f>
        <v/>
      </c>
      <c r="L5384" s="66"/>
      <c r="M5384" s="66" t="str">
        <f aca="false">IF($H5384="","","借")</f>
        <v/>
      </c>
      <c r="N5384" s="66"/>
      <c r="O5384" s="67" t="n">
        <f aca="false">IF($H5384="",0,ROUND(N(其他分录!$G195),2))</f>
        <v>0</v>
      </c>
      <c r="P5384" s="64" t="str">
        <f aca="false">IF(AND($H5384&lt;&gt;"",ROUND($O5384,2)&lt;&gt;0),"有","")</f>
        <v/>
      </c>
    </row>
    <row r="5385" customFormat="false" ht="15" hidden="true" customHeight="false" outlineLevel="0" collapsed="false">
      <c r="A5385" s="53" t="str">
        <f aca="false">IF($H5385="","",ROW()-5)</f>
        <v/>
      </c>
      <c r="B5385" s="64" t="s">
        <v>39</v>
      </c>
      <c r="C5385" s="53" t="n">
        <v>195</v>
      </c>
      <c r="D5385" s="53" t="n">
        <v>2</v>
      </c>
      <c r="E5385" s="65" t="str">
        <f aca="false">IF($H5385="","",其他分录!$B195)</f>
        <v/>
      </c>
      <c r="F5385" s="55" t="str">
        <f aca="false">IF($H5385="","",其他分录!$C195)</f>
        <v/>
      </c>
      <c r="G5385" s="48" t="str">
        <f aca="false">IF($H5385="","",其他分录!$D195)</f>
        <v/>
      </c>
      <c r="H5385" s="10" t="str">
        <f aca="false">IF(OR(其他分录!$B195="",N(其他分录!$G195)=0),"",其他分录!$F195)</f>
        <v/>
      </c>
      <c r="I5385" s="42" t="n">
        <f aca="false">IF($M5385="借",$O5385,0)</f>
        <v>0</v>
      </c>
      <c r="J5385" s="42" t="n">
        <f aca="false">IF($M5385="贷",$O5385,0)</f>
        <v>0</v>
      </c>
      <c r="K5385" s="48" t="str">
        <f aca="false">IF($H5385="","",其他分录!$H195)</f>
        <v/>
      </c>
      <c r="L5385" s="66"/>
      <c r="M5385" s="66" t="str">
        <f aca="false">IF($H5385="","","贷")</f>
        <v/>
      </c>
      <c r="N5385" s="66"/>
      <c r="O5385" s="67" t="n">
        <f aca="false">IF($H5385="",0,ROUND(N(其他分录!$G195),2))</f>
        <v>0</v>
      </c>
      <c r="P5385" s="64" t="str">
        <f aca="false">IF(AND($H5385&lt;&gt;"",ROUND($O5385,2)&lt;&gt;0),"有","")</f>
        <v/>
      </c>
    </row>
    <row r="5386" customFormat="false" ht="15" hidden="true" customHeight="false" outlineLevel="0" collapsed="false">
      <c r="A5386" s="53" t="str">
        <f aca="false">IF($H5386="","",ROW()-5)</f>
        <v/>
      </c>
      <c r="B5386" s="64" t="s">
        <v>39</v>
      </c>
      <c r="C5386" s="53" t="n">
        <v>196</v>
      </c>
      <c r="D5386" s="53" t="n">
        <v>1</v>
      </c>
      <c r="E5386" s="65" t="str">
        <f aca="false">IF($H5386="","",其他分录!$B196)</f>
        <v/>
      </c>
      <c r="F5386" s="55" t="str">
        <f aca="false">IF($H5386="","",其他分录!$C196)</f>
        <v/>
      </c>
      <c r="G5386" s="48" t="str">
        <f aca="false">IF($H5386="","",其他分录!$D196)</f>
        <v/>
      </c>
      <c r="H5386" s="10" t="str">
        <f aca="false">IF(OR(其他分录!$B196="",N(其他分录!$G196)=0),"",其他分录!$E196)</f>
        <v/>
      </c>
      <c r="I5386" s="42" t="n">
        <f aca="false">IF($M5386="借",$O5386,0)</f>
        <v>0</v>
      </c>
      <c r="J5386" s="42" t="n">
        <f aca="false">IF($M5386="贷",$O5386,0)</f>
        <v>0</v>
      </c>
      <c r="K5386" s="48" t="str">
        <f aca="false">IF($H5386="","",其他分录!$H196)</f>
        <v/>
      </c>
      <c r="L5386" s="66"/>
      <c r="M5386" s="66" t="str">
        <f aca="false">IF($H5386="","","借")</f>
        <v/>
      </c>
      <c r="N5386" s="66"/>
      <c r="O5386" s="67" t="n">
        <f aca="false">IF($H5386="",0,ROUND(N(其他分录!$G196),2))</f>
        <v>0</v>
      </c>
      <c r="P5386" s="64" t="str">
        <f aca="false">IF(AND($H5386&lt;&gt;"",ROUND($O5386,2)&lt;&gt;0),"有","")</f>
        <v/>
      </c>
    </row>
    <row r="5387" customFormat="false" ht="15" hidden="true" customHeight="false" outlineLevel="0" collapsed="false">
      <c r="A5387" s="53" t="str">
        <f aca="false">IF($H5387="","",ROW()-5)</f>
        <v/>
      </c>
      <c r="B5387" s="64" t="s">
        <v>39</v>
      </c>
      <c r="C5387" s="53" t="n">
        <v>196</v>
      </c>
      <c r="D5387" s="53" t="n">
        <v>2</v>
      </c>
      <c r="E5387" s="65" t="str">
        <f aca="false">IF($H5387="","",其他分录!$B196)</f>
        <v/>
      </c>
      <c r="F5387" s="55" t="str">
        <f aca="false">IF($H5387="","",其他分录!$C196)</f>
        <v/>
      </c>
      <c r="G5387" s="48" t="str">
        <f aca="false">IF($H5387="","",其他分录!$D196)</f>
        <v/>
      </c>
      <c r="H5387" s="10" t="str">
        <f aca="false">IF(OR(其他分录!$B196="",N(其他分录!$G196)=0),"",其他分录!$F196)</f>
        <v/>
      </c>
      <c r="I5387" s="42" t="n">
        <f aca="false">IF($M5387="借",$O5387,0)</f>
        <v>0</v>
      </c>
      <c r="J5387" s="42" t="n">
        <f aca="false">IF($M5387="贷",$O5387,0)</f>
        <v>0</v>
      </c>
      <c r="K5387" s="48" t="str">
        <f aca="false">IF($H5387="","",其他分录!$H196)</f>
        <v/>
      </c>
      <c r="L5387" s="66"/>
      <c r="M5387" s="66" t="str">
        <f aca="false">IF($H5387="","","贷")</f>
        <v/>
      </c>
      <c r="N5387" s="66"/>
      <c r="O5387" s="67" t="n">
        <f aca="false">IF($H5387="",0,ROUND(N(其他分录!$G196),2))</f>
        <v>0</v>
      </c>
      <c r="P5387" s="64" t="str">
        <f aca="false">IF(AND($H5387&lt;&gt;"",ROUND($O5387,2)&lt;&gt;0),"有","")</f>
        <v/>
      </c>
    </row>
    <row r="5388" customFormat="false" ht="15" hidden="true" customHeight="false" outlineLevel="0" collapsed="false">
      <c r="A5388" s="53" t="str">
        <f aca="false">IF($H5388="","",ROW()-5)</f>
        <v/>
      </c>
      <c r="B5388" s="64" t="s">
        <v>39</v>
      </c>
      <c r="C5388" s="53" t="n">
        <v>197</v>
      </c>
      <c r="D5388" s="53" t="n">
        <v>1</v>
      </c>
      <c r="E5388" s="65" t="str">
        <f aca="false">IF($H5388="","",其他分录!$B197)</f>
        <v/>
      </c>
      <c r="F5388" s="55" t="str">
        <f aca="false">IF($H5388="","",其他分录!$C197)</f>
        <v/>
      </c>
      <c r="G5388" s="48" t="str">
        <f aca="false">IF($H5388="","",其他分录!$D197)</f>
        <v/>
      </c>
      <c r="H5388" s="10" t="str">
        <f aca="false">IF(OR(其他分录!$B197="",N(其他分录!$G197)=0),"",其他分录!$E197)</f>
        <v/>
      </c>
      <c r="I5388" s="42" t="n">
        <f aca="false">IF($M5388="借",$O5388,0)</f>
        <v>0</v>
      </c>
      <c r="J5388" s="42" t="n">
        <f aca="false">IF($M5388="贷",$O5388,0)</f>
        <v>0</v>
      </c>
      <c r="K5388" s="48" t="str">
        <f aca="false">IF($H5388="","",其他分录!$H197)</f>
        <v/>
      </c>
      <c r="L5388" s="66"/>
      <c r="M5388" s="66" t="str">
        <f aca="false">IF($H5388="","","借")</f>
        <v/>
      </c>
      <c r="N5388" s="66"/>
      <c r="O5388" s="67" t="n">
        <f aca="false">IF($H5388="",0,ROUND(N(其他分录!$G197),2))</f>
        <v>0</v>
      </c>
      <c r="P5388" s="64" t="str">
        <f aca="false">IF(AND($H5388&lt;&gt;"",ROUND($O5388,2)&lt;&gt;0),"有","")</f>
        <v/>
      </c>
    </row>
    <row r="5389" customFormat="false" ht="15" hidden="true" customHeight="false" outlineLevel="0" collapsed="false">
      <c r="A5389" s="53" t="str">
        <f aca="false">IF($H5389="","",ROW()-5)</f>
        <v/>
      </c>
      <c r="B5389" s="64" t="s">
        <v>39</v>
      </c>
      <c r="C5389" s="53" t="n">
        <v>197</v>
      </c>
      <c r="D5389" s="53" t="n">
        <v>2</v>
      </c>
      <c r="E5389" s="65" t="str">
        <f aca="false">IF($H5389="","",其他分录!$B197)</f>
        <v/>
      </c>
      <c r="F5389" s="55" t="str">
        <f aca="false">IF($H5389="","",其他分录!$C197)</f>
        <v/>
      </c>
      <c r="G5389" s="48" t="str">
        <f aca="false">IF($H5389="","",其他分录!$D197)</f>
        <v/>
      </c>
      <c r="H5389" s="10" t="str">
        <f aca="false">IF(OR(其他分录!$B197="",N(其他分录!$G197)=0),"",其他分录!$F197)</f>
        <v/>
      </c>
      <c r="I5389" s="42" t="n">
        <f aca="false">IF($M5389="借",$O5389,0)</f>
        <v>0</v>
      </c>
      <c r="J5389" s="42" t="n">
        <f aca="false">IF($M5389="贷",$O5389,0)</f>
        <v>0</v>
      </c>
      <c r="K5389" s="48" t="str">
        <f aca="false">IF($H5389="","",其他分录!$H197)</f>
        <v/>
      </c>
      <c r="L5389" s="66"/>
      <c r="M5389" s="66" t="str">
        <f aca="false">IF($H5389="","","贷")</f>
        <v/>
      </c>
      <c r="N5389" s="66"/>
      <c r="O5389" s="67" t="n">
        <f aca="false">IF($H5389="",0,ROUND(N(其他分录!$G197),2))</f>
        <v>0</v>
      </c>
      <c r="P5389" s="64" t="str">
        <f aca="false">IF(AND($H5389&lt;&gt;"",ROUND($O5389,2)&lt;&gt;0),"有","")</f>
        <v/>
      </c>
    </row>
    <row r="5390" customFormat="false" ht="15" hidden="true" customHeight="false" outlineLevel="0" collapsed="false">
      <c r="A5390" s="53" t="str">
        <f aca="false">IF($H5390="","",ROW()-5)</f>
        <v/>
      </c>
      <c r="B5390" s="64" t="s">
        <v>39</v>
      </c>
      <c r="C5390" s="53" t="n">
        <v>198</v>
      </c>
      <c r="D5390" s="53" t="n">
        <v>1</v>
      </c>
      <c r="E5390" s="65" t="str">
        <f aca="false">IF($H5390="","",其他分录!$B198)</f>
        <v/>
      </c>
      <c r="F5390" s="55" t="str">
        <f aca="false">IF($H5390="","",其他分录!$C198)</f>
        <v/>
      </c>
      <c r="G5390" s="48" t="str">
        <f aca="false">IF($H5390="","",其他分录!$D198)</f>
        <v/>
      </c>
      <c r="H5390" s="10" t="str">
        <f aca="false">IF(OR(其他分录!$B198="",N(其他分录!$G198)=0),"",其他分录!$E198)</f>
        <v/>
      </c>
      <c r="I5390" s="42" t="n">
        <f aca="false">IF($M5390="借",$O5390,0)</f>
        <v>0</v>
      </c>
      <c r="J5390" s="42" t="n">
        <f aca="false">IF($M5390="贷",$O5390,0)</f>
        <v>0</v>
      </c>
      <c r="K5390" s="48" t="str">
        <f aca="false">IF($H5390="","",其他分录!$H198)</f>
        <v/>
      </c>
      <c r="L5390" s="66"/>
      <c r="M5390" s="66" t="str">
        <f aca="false">IF($H5390="","","借")</f>
        <v/>
      </c>
      <c r="N5390" s="66"/>
      <c r="O5390" s="67" t="n">
        <f aca="false">IF($H5390="",0,ROUND(N(其他分录!$G198),2))</f>
        <v>0</v>
      </c>
      <c r="P5390" s="64" t="str">
        <f aca="false">IF(AND($H5390&lt;&gt;"",ROUND($O5390,2)&lt;&gt;0),"有","")</f>
        <v/>
      </c>
    </row>
    <row r="5391" customFormat="false" ht="15" hidden="true" customHeight="false" outlineLevel="0" collapsed="false">
      <c r="A5391" s="53" t="str">
        <f aca="false">IF($H5391="","",ROW()-5)</f>
        <v/>
      </c>
      <c r="B5391" s="64" t="s">
        <v>39</v>
      </c>
      <c r="C5391" s="53" t="n">
        <v>198</v>
      </c>
      <c r="D5391" s="53" t="n">
        <v>2</v>
      </c>
      <c r="E5391" s="65" t="str">
        <f aca="false">IF($H5391="","",其他分录!$B198)</f>
        <v/>
      </c>
      <c r="F5391" s="55" t="str">
        <f aca="false">IF($H5391="","",其他分录!$C198)</f>
        <v/>
      </c>
      <c r="G5391" s="48" t="str">
        <f aca="false">IF($H5391="","",其他分录!$D198)</f>
        <v/>
      </c>
      <c r="H5391" s="10" t="str">
        <f aca="false">IF(OR(其他分录!$B198="",N(其他分录!$G198)=0),"",其他分录!$F198)</f>
        <v/>
      </c>
      <c r="I5391" s="42" t="n">
        <f aca="false">IF($M5391="借",$O5391,0)</f>
        <v>0</v>
      </c>
      <c r="J5391" s="42" t="n">
        <f aca="false">IF($M5391="贷",$O5391,0)</f>
        <v>0</v>
      </c>
      <c r="K5391" s="48" t="str">
        <f aca="false">IF($H5391="","",其他分录!$H198)</f>
        <v/>
      </c>
      <c r="L5391" s="66"/>
      <c r="M5391" s="66" t="str">
        <f aca="false">IF($H5391="","","贷")</f>
        <v/>
      </c>
      <c r="N5391" s="66"/>
      <c r="O5391" s="67" t="n">
        <f aca="false">IF($H5391="",0,ROUND(N(其他分录!$G198),2))</f>
        <v>0</v>
      </c>
      <c r="P5391" s="64" t="str">
        <f aca="false">IF(AND($H5391&lt;&gt;"",ROUND($O5391,2)&lt;&gt;0),"有","")</f>
        <v/>
      </c>
    </row>
    <row r="5392" customFormat="false" ht="15" hidden="true" customHeight="false" outlineLevel="0" collapsed="false">
      <c r="A5392" s="53" t="str">
        <f aca="false">IF($H5392="","",ROW()-5)</f>
        <v/>
      </c>
      <c r="B5392" s="64" t="s">
        <v>39</v>
      </c>
      <c r="C5392" s="53" t="n">
        <v>199</v>
      </c>
      <c r="D5392" s="53" t="n">
        <v>1</v>
      </c>
      <c r="E5392" s="65" t="str">
        <f aca="false">IF($H5392="","",其他分录!$B199)</f>
        <v/>
      </c>
      <c r="F5392" s="55" t="str">
        <f aca="false">IF($H5392="","",其他分录!$C199)</f>
        <v/>
      </c>
      <c r="G5392" s="48" t="str">
        <f aca="false">IF($H5392="","",其他分录!$D199)</f>
        <v/>
      </c>
      <c r="H5392" s="10" t="str">
        <f aca="false">IF(OR(其他分录!$B199="",N(其他分录!$G199)=0),"",其他分录!$E199)</f>
        <v/>
      </c>
      <c r="I5392" s="42" t="n">
        <f aca="false">IF($M5392="借",$O5392,0)</f>
        <v>0</v>
      </c>
      <c r="J5392" s="42" t="n">
        <f aca="false">IF($M5392="贷",$O5392,0)</f>
        <v>0</v>
      </c>
      <c r="K5392" s="48" t="str">
        <f aca="false">IF($H5392="","",其他分录!$H199)</f>
        <v/>
      </c>
      <c r="L5392" s="66"/>
      <c r="M5392" s="66" t="str">
        <f aca="false">IF($H5392="","","借")</f>
        <v/>
      </c>
      <c r="N5392" s="66"/>
      <c r="O5392" s="67" t="n">
        <f aca="false">IF($H5392="",0,ROUND(N(其他分录!$G199),2))</f>
        <v>0</v>
      </c>
      <c r="P5392" s="64" t="str">
        <f aca="false">IF(AND($H5392&lt;&gt;"",ROUND($O5392,2)&lt;&gt;0),"有","")</f>
        <v/>
      </c>
    </row>
    <row r="5393" customFormat="false" ht="15" hidden="true" customHeight="false" outlineLevel="0" collapsed="false">
      <c r="A5393" s="53" t="str">
        <f aca="false">IF($H5393="","",ROW()-5)</f>
        <v/>
      </c>
      <c r="B5393" s="64" t="s">
        <v>39</v>
      </c>
      <c r="C5393" s="53" t="n">
        <v>199</v>
      </c>
      <c r="D5393" s="53" t="n">
        <v>2</v>
      </c>
      <c r="E5393" s="65" t="str">
        <f aca="false">IF($H5393="","",其他分录!$B199)</f>
        <v/>
      </c>
      <c r="F5393" s="55" t="str">
        <f aca="false">IF($H5393="","",其他分录!$C199)</f>
        <v/>
      </c>
      <c r="G5393" s="48" t="str">
        <f aca="false">IF($H5393="","",其他分录!$D199)</f>
        <v/>
      </c>
      <c r="H5393" s="10" t="str">
        <f aca="false">IF(OR(其他分录!$B199="",N(其他分录!$G199)=0),"",其他分录!$F199)</f>
        <v/>
      </c>
      <c r="I5393" s="42" t="n">
        <f aca="false">IF($M5393="借",$O5393,0)</f>
        <v>0</v>
      </c>
      <c r="J5393" s="42" t="n">
        <f aca="false">IF($M5393="贷",$O5393,0)</f>
        <v>0</v>
      </c>
      <c r="K5393" s="48" t="str">
        <f aca="false">IF($H5393="","",其他分录!$H199)</f>
        <v/>
      </c>
      <c r="L5393" s="66"/>
      <c r="M5393" s="66" t="str">
        <f aca="false">IF($H5393="","","贷")</f>
        <v/>
      </c>
      <c r="N5393" s="66"/>
      <c r="O5393" s="67" t="n">
        <f aca="false">IF($H5393="",0,ROUND(N(其他分录!$G199),2))</f>
        <v>0</v>
      </c>
      <c r="P5393" s="64" t="str">
        <f aca="false">IF(AND($H5393&lt;&gt;"",ROUND($O5393,2)&lt;&gt;0),"有","")</f>
        <v/>
      </c>
    </row>
    <row r="5394" customFormat="false" ht="15" hidden="true" customHeight="false" outlineLevel="0" collapsed="false">
      <c r="A5394" s="53" t="str">
        <f aca="false">IF($H5394="","",ROW()-5)</f>
        <v/>
      </c>
      <c r="B5394" s="64" t="s">
        <v>39</v>
      </c>
      <c r="C5394" s="53" t="n">
        <v>200</v>
      </c>
      <c r="D5394" s="53" t="n">
        <v>1</v>
      </c>
      <c r="E5394" s="65" t="str">
        <f aca="false">IF($H5394="","",其他分录!$B200)</f>
        <v/>
      </c>
      <c r="F5394" s="55" t="str">
        <f aca="false">IF($H5394="","",其他分录!$C200)</f>
        <v/>
      </c>
      <c r="G5394" s="48" t="str">
        <f aca="false">IF($H5394="","",其他分录!$D200)</f>
        <v/>
      </c>
      <c r="H5394" s="10" t="str">
        <f aca="false">IF(OR(其他分录!$B200="",N(其他分录!$G200)=0),"",其他分录!$E200)</f>
        <v/>
      </c>
      <c r="I5394" s="42" t="n">
        <f aca="false">IF($M5394="借",$O5394,0)</f>
        <v>0</v>
      </c>
      <c r="J5394" s="42" t="n">
        <f aca="false">IF($M5394="贷",$O5394,0)</f>
        <v>0</v>
      </c>
      <c r="K5394" s="48" t="str">
        <f aca="false">IF($H5394="","",其他分录!$H200)</f>
        <v/>
      </c>
      <c r="L5394" s="66"/>
      <c r="M5394" s="66" t="str">
        <f aca="false">IF($H5394="","","借")</f>
        <v/>
      </c>
      <c r="N5394" s="66"/>
      <c r="O5394" s="67" t="n">
        <f aca="false">IF($H5394="",0,ROUND(N(其他分录!$G200),2))</f>
        <v>0</v>
      </c>
      <c r="P5394" s="64" t="str">
        <f aca="false">IF(AND($H5394&lt;&gt;"",ROUND($O5394,2)&lt;&gt;0),"有","")</f>
        <v/>
      </c>
    </row>
    <row r="5395" customFormat="false" ht="15" hidden="true" customHeight="false" outlineLevel="0" collapsed="false">
      <c r="A5395" s="53" t="str">
        <f aca="false">IF($H5395="","",ROW()-5)</f>
        <v/>
      </c>
      <c r="B5395" s="64" t="s">
        <v>39</v>
      </c>
      <c r="C5395" s="53" t="n">
        <v>200</v>
      </c>
      <c r="D5395" s="53" t="n">
        <v>2</v>
      </c>
      <c r="E5395" s="65" t="str">
        <f aca="false">IF($H5395="","",其他分录!$B200)</f>
        <v/>
      </c>
      <c r="F5395" s="55" t="str">
        <f aca="false">IF($H5395="","",其他分录!$C200)</f>
        <v/>
      </c>
      <c r="G5395" s="48" t="str">
        <f aca="false">IF($H5395="","",其他分录!$D200)</f>
        <v/>
      </c>
      <c r="H5395" s="10" t="str">
        <f aca="false">IF(OR(其他分录!$B200="",N(其他分录!$G200)=0),"",其他分录!$F200)</f>
        <v/>
      </c>
      <c r="I5395" s="42" t="n">
        <f aca="false">IF($M5395="借",$O5395,0)</f>
        <v>0</v>
      </c>
      <c r="J5395" s="42" t="n">
        <f aca="false">IF($M5395="贷",$O5395,0)</f>
        <v>0</v>
      </c>
      <c r="K5395" s="48" t="str">
        <f aca="false">IF($H5395="","",其他分录!$H200)</f>
        <v/>
      </c>
      <c r="L5395" s="66"/>
      <c r="M5395" s="66" t="str">
        <f aca="false">IF($H5395="","","贷")</f>
        <v/>
      </c>
      <c r="N5395" s="66"/>
      <c r="O5395" s="67" t="n">
        <f aca="false">IF($H5395="",0,ROUND(N(其他分录!$G200),2))</f>
        <v>0</v>
      </c>
      <c r="P5395" s="64" t="str">
        <f aca="false">IF(AND($H5395&lt;&gt;"",ROUND($O5395,2)&lt;&gt;0),"有","")</f>
        <v/>
      </c>
    </row>
    <row r="5396" customFormat="false" ht="15" hidden="true" customHeight="false" outlineLevel="0" collapsed="false">
      <c r="A5396" s="53" t="str">
        <f aca="false">IF($H5396="","",ROW()-5)</f>
        <v/>
      </c>
      <c r="B5396" s="64" t="s">
        <v>39</v>
      </c>
      <c r="C5396" s="53" t="n">
        <v>201</v>
      </c>
      <c r="D5396" s="53" t="n">
        <v>1</v>
      </c>
      <c r="E5396" s="65" t="str">
        <f aca="false">IF($H5396="","",其他分录!$B201)</f>
        <v/>
      </c>
      <c r="F5396" s="55" t="str">
        <f aca="false">IF($H5396="","",其他分录!$C201)</f>
        <v/>
      </c>
      <c r="G5396" s="48" t="str">
        <f aca="false">IF($H5396="","",其他分录!$D201)</f>
        <v/>
      </c>
      <c r="H5396" s="10" t="str">
        <f aca="false">IF(OR(其他分录!$B201="",N(其他分录!$G201)=0),"",其他分录!$E201)</f>
        <v/>
      </c>
      <c r="I5396" s="42" t="n">
        <f aca="false">IF($M5396="借",$O5396,0)</f>
        <v>0</v>
      </c>
      <c r="J5396" s="42" t="n">
        <f aca="false">IF($M5396="贷",$O5396,0)</f>
        <v>0</v>
      </c>
      <c r="K5396" s="48" t="str">
        <f aca="false">IF($H5396="","",其他分录!$H201)</f>
        <v/>
      </c>
      <c r="L5396" s="66"/>
      <c r="M5396" s="66" t="str">
        <f aca="false">IF($H5396="","","借")</f>
        <v/>
      </c>
      <c r="N5396" s="66"/>
      <c r="O5396" s="67" t="n">
        <f aca="false">IF($H5396="",0,ROUND(N(其他分录!$G201),2))</f>
        <v>0</v>
      </c>
      <c r="P5396" s="64" t="str">
        <f aca="false">IF(AND($H5396&lt;&gt;"",ROUND($O5396,2)&lt;&gt;0),"有","")</f>
        <v/>
      </c>
    </row>
    <row r="5397" customFormat="false" ht="15" hidden="true" customHeight="false" outlineLevel="0" collapsed="false">
      <c r="A5397" s="53" t="str">
        <f aca="false">IF($H5397="","",ROW()-5)</f>
        <v/>
      </c>
      <c r="B5397" s="64" t="s">
        <v>39</v>
      </c>
      <c r="C5397" s="53" t="n">
        <v>201</v>
      </c>
      <c r="D5397" s="53" t="n">
        <v>2</v>
      </c>
      <c r="E5397" s="65" t="str">
        <f aca="false">IF($H5397="","",其他分录!$B201)</f>
        <v/>
      </c>
      <c r="F5397" s="55" t="str">
        <f aca="false">IF($H5397="","",其他分录!$C201)</f>
        <v/>
      </c>
      <c r="G5397" s="48" t="str">
        <f aca="false">IF($H5397="","",其他分录!$D201)</f>
        <v/>
      </c>
      <c r="H5397" s="10" t="str">
        <f aca="false">IF(OR(其他分录!$B201="",N(其他分录!$G201)=0),"",其他分录!$F201)</f>
        <v/>
      </c>
      <c r="I5397" s="42" t="n">
        <f aca="false">IF($M5397="借",$O5397,0)</f>
        <v>0</v>
      </c>
      <c r="J5397" s="42" t="n">
        <f aca="false">IF($M5397="贷",$O5397,0)</f>
        <v>0</v>
      </c>
      <c r="K5397" s="48" t="str">
        <f aca="false">IF($H5397="","",其他分录!$H201)</f>
        <v/>
      </c>
      <c r="L5397" s="66"/>
      <c r="M5397" s="66" t="str">
        <f aca="false">IF($H5397="","","贷")</f>
        <v/>
      </c>
      <c r="N5397" s="66"/>
      <c r="O5397" s="67" t="n">
        <f aca="false">IF($H5397="",0,ROUND(N(其他分录!$G201),2))</f>
        <v>0</v>
      </c>
      <c r="P5397" s="64" t="str">
        <f aca="false">IF(AND($H5397&lt;&gt;"",ROUND($O5397,2)&lt;&gt;0),"有","")</f>
        <v/>
      </c>
    </row>
    <row r="5398" customFormat="false" ht="15" hidden="true" customHeight="false" outlineLevel="0" collapsed="false">
      <c r="A5398" s="53" t="str">
        <f aca="false">IF($H5398="","",ROW()-5)</f>
        <v/>
      </c>
      <c r="B5398" s="64" t="s">
        <v>39</v>
      </c>
      <c r="C5398" s="53" t="n">
        <v>202</v>
      </c>
      <c r="D5398" s="53" t="n">
        <v>1</v>
      </c>
      <c r="E5398" s="65" t="str">
        <f aca="false">IF($H5398="","",其他分录!$B202)</f>
        <v/>
      </c>
      <c r="F5398" s="55" t="str">
        <f aca="false">IF($H5398="","",其他分录!$C202)</f>
        <v/>
      </c>
      <c r="G5398" s="48" t="str">
        <f aca="false">IF($H5398="","",其他分录!$D202)</f>
        <v/>
      </c>
      <c r="H5398" s="10" t="str">
        <f aca="false">IF(OR(其他分录!$B202="",N(其他分录!$G202)=0),"",其他分录!$E202)</f>
        <v/>
      </c>
      <c r="I5398" s="42" t="n">
        <f aca="false">IF($M5398="借",$O5398,0)</f>
        <v>0</v>
      </c>
      <c r="J5398" s="42" t="n">
        <f aca="false">IF($M5398="贷",$O5398,0)</f>
        <v>0</v>
      </c>
      <c r="K5398" s="48" t="str">
        <f aca="false">IF($H5398="","",其他分录!$H202)</f>
        <v/>
      </c>
      <c r="L5398" s="66"/>
      <c r="M5398" s="66" t="str">
        <f aca="false">IF($H5398="","","借")</f>
        <v/>
      </c>
      <c r="N5398" s="66"/>
      <c r="O5398" s="67" t="n">
        <f aca="false">IF($H5398="",0,ROUND(N(其他分录!$G202),2))</f>
        <v>0</v>
      </c>
      <c r="P5398" s="64" t="str">
        <f aca="false">IF(AND($H5398&lt;&gt;"",ROUND($O5398,2)&lt;&gt;0),"有","")</f>
        <v/>
      </c>
    </row>
    <row r="5399" customFormat="false" ht="15" hidden="true" customHeight="false" outlineLevel="0" collapsed="false">
      <c r="A5399" s="53" t="str">
        <f aca="false">IF($H5399="","",ROW()-5)</f>
        <v/>
      </c>
      <c r="B5399" s="64" t="s">
        <v>39</v>
      </c>
      <c r="C5399" s="53" t="n">
        <v>202</v>
      </c>
      <c r="D5399" s="53" t="n">
        <v>2</v>
      </c>
      <c r="E5399" s="65" t="str">
        <f aca="false">IF($H5399="","",其他分录!$B202)</f>
        <v/>
      </c>
      <c r="F5399" s="55" t="str">
        <f aca="false">IF($H5399="","",其他分录!$C202)</f>
        <v/>
      </c>
      <c r="G5399" s="48" t="str">
        <f aca="false">IF($H5399="","",其他分录!$D202)</f>
        <v/>
      </c>
      <c r="H5399" s="10" t="str">
        <f aca="false">IF(OR(其他分录!$B202="",N(其他分录!$G202)=0),"",其他分录!$F202)</f>
        <v/>
      </c>
      <c r="I5399" s="42" t="n">
        <f aca="false">IF($M5399="借",$O5399,0)</f>
        <v>0</v>
      </c>
      <c r="J5399" s="42" t="n">
        <f aca="false">IF($M5399="贷",$O5399,0)</f>
        <v>0</v>
      </c>
      <c r="K5399" s="48" t="str">
        <f aca="false">IF($H5399="","",其他分录!$H202)</f>
        <v/>
      </c>
      <c r="L5399" s="66"/>
      <c r="M5399" s="66" t="str">
        <f aca="false">IF($H5399="","","贷")</f>
        <v/>
      </c>
      <c r="N5399" s="66"/>
      <c r="O5399" s="67" t="n">
        <f aca="false">IF($H5399="",0,ROUND(N(其他分录!$G202),2))</f>
        <v>0</v>
      </c>
      <c r="P5399" s="64" t="str">
        <f aca="false">IF(AND($H5399&lt;&gt;"",ROUND($O5399,2)&lt;&gt;0),"有","")</f>
        <v/>
      </c>
    </row>
    <row r="5400" customFormat="false" ht="15" hidden="true" customHeight="false" outlineLevel="0" collapsed="false">
      <c r="A5400" s="53" t="str">
        <f aca="false">IF($H5400="","",ROW()-5)</f>
        <v/>
      </c>
      <c r="B5400" s="64" t="s">
        <v>39</v>
      </c>
      <c r="C5400" s="53" t="n">
        <v>203</v>
      </c>
      <c r="D5400" s="53" t="n">
        <v>1</v>
      </c>
      <c r="E5400" s="65" t="str">
        <f aca="false">IF($H5400="","",其他分录!$B203)</f>
        <v/>
      </c>
      <c r="F5400" s="55" t="str">
        <f aca="false">IF($H5400="","",其他分录!$C203)</f>
        <v/>
      </c>
      <c r="G5400" s="48" t="str">
        <f aca="false">IF($H5400="","",其他分录!$D203)</f>
        <v/>
      </c>
      <c r="H5400" s="10" t="str">
        <f aca="false">IF(OR(其他分录!$B203="",N(其他分录!$G203)=0),"",其他分录!$E203)</f>
        <v/>
      </c>
      <c r="I5400" s="42" t="n">
        <f aca="false">IF($M5400="借",$O5400,0)</f>
        <v>0</v>
      </c>
      <c r="J5400" s="42" t="n">
        <f aca="false">IF($M5400="贷",$O5400,0)</f>
        <v>0</v>
      </c>
      <c r="K5400" s="48" t="str">
        <f aca="false">IF($H5400="","",其他分录!$H203)</f>
        <v/>
      </c>
      <c r="L5400" s="66"/>
      <c r="M5400" s="66" t="str">
        <f aca="false">IF($H5400="","","借")</f>
        <v/>
      </c>
      <c r="N5400" s="66"/>
      <c r="O5400" s="67" t="n">
        <f aca="false">IF($H5400="",0,ROUND(N(其他分录!$G203),2))</f>
        <v>0</v>
      </c>
      <c r="P5400" s="64" t="str">
        <f aca="false">IF(AND($H5400&lt;&gt;"",ROUND($O5400,2)&lt;&gt;0),"有","")</f>
        <v/>
      </c>
    </row>
    <row r="5401" customFormat="false" ht="15" hidden="true" customHeight="false" outlineLevel="0" collapsed="false">
      <c r="A5401" s="53" t="str">
        <f aca="false">IF($H5401="","",ROW()-5)</f>
        <v/>
      </c>
      <c r="B5401" s="64" t="s">
        <v>39</v>
      </c>
      <c r="C5401" s="53" t="n">
        <v>203</v>
      </c>
      <c r="D5401" s="53" t="n">
        <v>2</v>
      </c>
      <c r="E5401" s="65" t="str">
        <f aca="false">IF($H5401="","",其他分录!$B203)</f>
        <v/>
      </c>
      <c r="F5401" s="55" t="str">
        <f aca="false">IF($H5401="","",其他分录!$C203)</f>
        <v/>
      </c>
      <c r="G5401" s="48" t="str">
        <f aca="false">IF($H5401="","",其他分录!$D203)</f>
        <v/>
      </c>
      <c r="H5401" s="10" t="str">
        <f aca="false">IF(OR(其他分录!$B203="",N(其他分录!$G203)=0),"",其他分录!$F203)</f>
        <v/>
      </c>
      <c r="I5401" s="42" t="n">
        <f aca="false">IF($M5401="借",$O5401,0)</f>
        <v>0</v>
      </c>
      <c r="J5401" s="42" t="n">
        <f aca="false">IF($M5401="贷",$O5401,0)</f>
        <v>0</v>
      </c>
      <c r="K5401" s="48" t="str">
        <f aca="false">IF($H5401="","",其他分录!$H203)</f>
        <v/>
      </c>
      <c r="L5401" s="66"/>
      <c r="M5401" s="66" t="str">
        <f aca="false">IF($H5401="","","贷")</f>
        <v/>
      </c>
      <c r="N5401" s="66"/>
      <c r="O5401" s="67" t="n">
        <f aca="false">IF($H5401="",0,ROUND(N(其他分录!$G203),2))</f>
        <v>0</v>
      </c>
      <c r="P5401" s="64" t="str">
        <f aca="false">IF(AND($H5401&lt;&gt;"",ROUND($O5401,2)&lt;&gt;0),"有","")</f>
        <v/>
      </c>
    </row>
    <row r="5402" customFormat="false" ht="15" hidden="true" customHeight="false" outlineLevel="0" collapsed="false">
      <c r="A5402" s="53" t="str">
        <f aca="false">IF($H5402="","",ROW()-5)</f>
        <v/>
      </c>
      <c r="B5402" s="64" t="s">
        <v>39</v>
      </c>
      <c r="C5402" s="53" t="n">
        <v>204</v>
      </c>
      <c r="D5402" s="53" t="n">
        <v>1</v>
      </c>
      <c r="E5402" s="65" t="str">
        <f aca="false">IF($H5402="","",其他分录!$B204)</f>
        <v/>
      </c>
      <c r="F5402" s="55" t="str">
        <f aca="false">IF($H5402="","",其他分录!$C204)</f>
        <v/>
      </c>
      <c r="G5402" s="48" t="str">
        <f aca="false">IF($H5402="","",其他分录!$D204)</f>
        <v/>
      </c>
      <c r="H5402" s="10" t="str">
        <f aca="false">IF(OR(其他分录!$B204="",N(其他分录!$G204)=0),"",其他分录!$E204)</f>
        <v/>
      </c>
      <c r="I5402" s="42" t="n">
        <f aca="false">IF($M5402="借",$O5402,0)</f>
        <v>0</v>
      </c>
      <c r="J5402" s="42" t="n">
        <f aca="false">IF($M5402="贷",$O5402,0)</f>
        <v>0</v>
      </c>
      <c r="K5402" s="48" t="str">
        <f aca="false">IF($H5402="","",其他分录!$H204)</f>
        <v/>
      </c>
      <c r="L5402" s="66"/>
      <c r="M5402" s="66" t="str">
        <f aca="false">IF($H5402="","","借")</f>
        <v/>
      </c>
      <c r="N5402" s="66"/>
      <c r="O5402" s="67" t="n">
        <f aca="false">IF($H5402="",0,ROUND(N(其他分录!$G204),2))</f>
        <v>0</v>
      </c>
      <c r="P5402" s="64" t="str">
        <f aca="false">IF(AND($H5402&lt;&gt;"",ROUND($O5402,2)&lt;&gt;0),"有","")</f>
        <v/>
      </c>
    </row>
    <row r="5403" customFormat="false" ht="15" hidden="true" customHeight="false" outlineLevel="0" collapsed="false">
      <c r="A5403" s="53" t="str">
        <f aca="false">IF($H5403="","",ROW()-5)</f>
        <v/>
      </c>
      <c r="B5403" s="64" t="s">
        <v>39</v>
      </c>
      <c r="C5403" s="53" t="n">
        <v>204</v>
      </c>
      <c r="D5403" s="53" t="n">
        <v>2</v>
      </c>
      <c r="E5403" s="65" t="str">
        <f aca="false">IF($H5403="","",其他分录!$B204)</f>
        <v/>
      </c>
      <c r="F5403" s="55" t="str">
        <f aca="false">IF($H5403="","",其他分录!$C204)</f>
        <v/>
      </c>
      <c r="G5403" s="48" t="str">
        <f aca="false">IF($H5403="","",其他分录!$D204)</f>
        <v/>
      </c>
      <c r="H5403" s="10" t="str">
        <f aca="false">IF(OR(其他分录!$B204="",N(其他分录!$G204)=0),"",其他分录!$F204)</f>
        <v/>
      </c>
      <c r="I5403" s="42" t="n">
        <f aca="false">IF($M5403="借",$O5403,0)</f>
        <v>0</v>
      </c>
      <c r="J5403" s="42" t="n">
        <f aca="false">IF($M5403="贷",$O5403,0)</f>
        <v>0</v>
      </c>
      <c r="K5403" s="48" t="str">
        <f aca="false">IF($H5403="","",其他分录!$H204)</f>
        <v/>
      </c>
      <c r="L5403" s="66"/>
      <c r="M5403" s="66" t="str">
        <f aca="false">IF($H5403="","","贷")</f>
        <v/>
      </c>
      <c r="N5403" s="66"/>
      <c r="O5403" s="67" t="n">
        <f aca="false">IF($H5403="",0,ROUND(N(其他分录!$G204),2))</f>
        <v>0</v>
      </c>
      <c r="P5403" s="64" t="str">
        <f aca="false">IF(AND($H5403&lt;&gt;"",ROUND($O5403,2)&lt;&gt;0),"有","")</f>
        <v/>
      </c>
    </row>
    <row r="5404" customFormat="false" ht="15" hidden="true" customHeight="false" outlineLevel="0" collapsed="false">
      <c r="A5404" s="53" t="str">
        <f aca="false">IF($H5404="","",ROW()-5)</f>
        <v/>
      </c>
      <c r="B5404" s="64" t="s">
        <v>39</v>
      </c>
      <c r="C5404" s="53" t="n">
        <v>205</v>
      </c>
      <c r="D5404" s="53" t="n">
        <v>1</v>
      </c>
      <c r="E5404" s="65" t="str">
        <f aca="false">IF($H5404="","",其他分录!$B205)</f>
        <v/>
      </c>
      <c r="F5404" s="55" t="str">
        <f aca="false">IF($H5404="","",其他分录!$C205)</f>
        <v/>
      </c>
      <c r="G5404" s="48" t="str">
        <f aca="false">IF($H5404="","",其他分录!$D205)</f>
        <v/>
      </c>
      <c r="H5404" s="10" t="str">
        <f aca="false">IF(OR(其他分录!$B205="",N(其他分录!$G205)=0),"",其他分录!$E205)</f>
        <v/>
      </c>
      <c r="I5404" s="42" t="n">
        <f aca="false">IF($M5404="借",$O5404,0)</f>
        <v>0</v>
      </c>
      <c r="J5404" s="42" t="n">
        <f aca="false">IF($M5404="贷",$O5404,0)</f>
        <v>0</v>
      </c>
      <c r="K5404" s="48" t="str">
        <f aca="false">IF($H5404="","",其他分录!$H205)</f>
        <v/>
      </c>
      <c r="L5404" s="66"/>
      <c r="M5404" s="66" t="str">
        <f aca="false">IF($H5404="","","借")</f>
        <v/>
      </c>
      <c r="N5404" s="66"/>
      <c r="O5404" s="67" t="n">
        <f aca="false">IF($H5404="",0,ROUND(N(其他分录!$G205),2))</f>
        <v>0</v>
      </c>
      <c r="P5404" s="64" t="str">
        <f aca="false">IF(AND($H5404&lt;&gt;"",ROUND($O5404,2)&lt;&gt;0),"有","")</f>
        <v/>
      </c>
    </row>
    <row r="5405" customFormat="false" ht="15" hidden="true" customHeight="false" outlineLevel="0" collapsed="false">
      <c r="A5405" s="53" t="str">
        <f aca="false">IF($H5405="","",ROW()-5)</f>
        <v/>
      </c>
      <c r="B5405" s="64" t="s">
        <v>39</v>
      </c>
      <c r="C5405" s="53" t="n">
        <v>205</v>
      </c>
      <c r="D5405" s="53" t="n">
        <v>2</v>
      </c>
      <c r="E5405" s="65" t="str">
        <f aca="false">IF($H5405="","",其他分录!$B205)</f>
        <v/>
      </c>
      <c r="F5405" s="55" t="str">
        <f aca="false">IF($H5405="","",其他分录!$C205)</f>
        <v/>
      </c>
      <c r="G5405" s="48" t="str">
        <f aca="false">IF($H5405="","",其他分录!$D205)</f>
        <v/>
      </c>
      <c r="H5405" s="10" t="str">
        <f aca="false">IF(OR(其他分录!$B205="",N(其他分录!$G205)=0),"",其他分录!$F205)</f>
        <v/>
      </c>
      <c r="I5405" s="42" t="n">
        <f aca="false">IF($M5405="借",$O5405,0)</f>
        <v>0</v>
      </c>
      <c r="J5405" s="42" t="n">
        <f aca="false">IF($M5405="贷",$O5405,0)</f>
        <v>0</v>
      </c>
      <c r="K5405" s="48" t="str">
        <f aca="false">IF($H5405="","",其他分录!$H205)</f>
        <v/>
      </c>
      <c r="L5405" s="66"/>
      <c r="M5405" s="66" t="str">
        <f aca="false">IF($H5405="","","贷")</f>
        <v/>
      </c>
      <c r="N5405" s="66"/>
      <c r="O5405" s="67" t="n">
        <f aca="false">IF($H5405="",0,ROUND(N(其他分录!$G205),2))</f>
        <v>0</v>
      </c>
      <c r="P5405" s="64" t="str">
        <f aca="false">IF(AND($H5405&lt;&gt;"",ROUND($O5405,2)&lt;&gt;0),"有","")</f>
        <v/>
      </c>
    </row>
    <row r="5406" customFormat="false" ht="15" hidden="true" customHeight="false" outlineLevel="0" collapsed="false">
      <c r="A5406" s="53" t="str">
        <f aca="false">IF($H5406="","",ROW()-5)</f>
        <v/>
      </c>
      <c r="B5406" s="64" t="s">
        <v>39</v>
      </c>
      <c r="C5406" s="53" t="n">
        <v>206</v>
      </c>
      <c r="D5406" s="53" t="n">
        <v>1</v>
      </c>
      <c r="E5406" s="65" t="str">
        <f aca="false">IF($H5406="","",其他分录!$B206)</f>
        <v/>
      </c>
      <c r="F5406" s="55" t="str">
        <f aca="false">IF($H5406="","",其他分录!$C206)</f>
        <v/>
      </c>
      <c r="G5406" s="48" t="str">
        <f aca="false">IF($H5406="","",其他分录!$D206)</f>
        <v/>
      </c>
      <c r="H5406" s="10" t="str">
        <f aca="false">IF(OR(其他分录!$B206="",N(其他分录!$G206)=0),"",其他分录!$E206)</f>
        <v/>
      </c>
      <c r="I5406" s="42" t="n">
        <f aca="false">IF($M5406="借",$O5406,0)</f>
        <v>0</v>
      </c>
      <c r="J5406" s="42" t="n">
        <f aca="false">IF($M5406="贷",$O5406,0)</f>
        <v>0</v>
      </c>
      <c r="K5406" s="48" t="str">
        <f aca="false">IF($H5406="","",其他分录!$H206)</f>
        <v/>
      </c>
      <c r="L5406" s="66"/>
      <c r="M5406" s="66" t="str">
        <f aca="false">IF($H5406="","","借")</f>
        <v/>
      </c>
      <c r="N5406" s="66"/>
      <c r="O5406" s="67" t="n">
        <f aca="false">IF($H5406="",0,ROUND(N(其他分录!$G206),2))</f>
        <v>0</v>
      </c>
      <c r="P5406" s="64" t="str">
        <f aca="false">IF(AND($H5406&lt;&gt;"",ROUND($O5406,2)&lt;&gt;0),"有","")</f>
        <v/>
      </c>
    </row>
    <row r="5407" customFormat="false" ht="15" hidden="true" customHeight="false" outlineLevel="0" collapsed="false">
      <c r="A5407" s="53" t="str">
        <f aca="false">IF($H5407="","",ROW()-5)</f>
        <v/>
      </c>
      <c r="B5407" s="64" t="s">
        <v>39</v>
      </c>
      <c r="C5407" s="53" t="n">
        <v>206</v>
      </c>
      <c r="D5407" s="53" t="n">
        <v>2</v>
      </c>
      <c r="E5407" s="65" t="str">
        <f aca="false">IF($H5407="","",其他分录!$B206)</f>
        <v/>
      </c>
      <c r="F5407" s="55" t="str">
        <f aca="false">IF($H5407="","",其他分录!$C206)</f>
        <v/>
      </c>
      <c r="G5407" s="48" t="str">
        <f aca="false">IF($H5407="","",其他分录!$D206)</f>
        <v/>
      </c>
      <c r="H5407" s="10" t="str">
        <f aca="false">IF(OR(其他分录!$B206="",N(其他分录!$G206)=0),"",其他分录!$F206)</f>
        <v/>
      </c>
      <c r="I5407" s="42" t="n">
        <f aca="false">IF($M5407="借",$O5407,0)</f>
        <v>0</v>
      </c>
      <c r="J5407" s="42" t="n">
        <f aca="false">IF($M5407="贷",$O5407,0)</f>
        <v>0</v>
      </c>
      <c r="K5407" s="48" t="str">
        <f aca="false">IF($H5407="","",其他分录!$H206)</f>
        <v/>
      </c>
      <c r="L5407" s="66"/>
      <c r="M5407" s="66" t="str">
        <f aca="false">IF($H5407="","","贷")</f>
        <v/>
      </c>
      <c r="N5407" s="66"/>
      <c r="O5407" s="67" t="n">
        <f aca="false">IF($H5407="",0,ROUND(N(其他分录!$G206),2))</f>
        <v>0</v>
      </c>
      <c r="P5407" s="64" t="str">
        <f aca="false">IF(AND($H5407&lt;&gt;"",ROUND($O5407,2)&lt;&gt;0),"有","")</f>
        <v/>
      </c>
    </row>
    <row r="5408" customFormat="false" ht="15" hidden="true" customHeight="false" outlineLevel="0" collapsed="false">
      <c r="A5408" s="53" t="str">
        <f aca="false">IF($H5408="","",ROW()-5)</f>
        <v/>
      </c>
      <c r="B5408" s="64" t="s">
        <v>39</v>
      </c>
      <c r="C5408" s="53" t="n">
        <v>207</v>
      </c>
      <c r="D5408" s="53" t="n">
        <v>1</v>
      </c>
      <c r="E5408" s="65" t="str">
        <f aca="false">IF($H5408="","",其他分录!$B207)</f>
        <v/>
      </c>
      <c r="F5408" s="55" t="str">
        <f aca="false">IF($H5408="","",其他分录!$C207)</f>
        <v/>
      </c>
      <c r="G5408" s="48" t="str">
        <f aca="false">IF($H5408="","",其他分录!$D207)</f>
        <v/>
      </c>
      <c r="H5408" s="10" t="str">
        <f aca="false">IF(OR(其他分录!$B207="",N(其他分录!$G207)=0),"",其他分录!$E207)</f>
        <v/>
      </c>
      <c r="I5408" s="42" t="n">
        <f aca="false">IF($M5408="借",$O5408,0)</f>
        <v>0</v>
      </c>
      <c r="J5408" s="42" t="n">
        <f aca="false">IF($M5408="贷",$O5408,0)</f>
        <v>0</v>
      </c>
      <c r="K5408" s="48" t="str">
        <f aca="false">IF($H5408="","",其他分录!$H207)</f>
        <v/>
      </c>
      <c r="L5408" s="66"/>
      <c r="M5408" s="66" t="str">
        <f aca="false">IF($H5408="","","借")</f>
        <v/>
      </c>
      <c r="N5408" s="66"/>
      <c r="O5408" s="67" t="n">
        <f aca="false">IF($H5408="",0,ROUND(N(其他分录!$G207),2))</f>
        <v>0</v>
      </c>
      <c r="P5408" s="64" t="str">
        <f aca="false">IF(AND($H5408&lt;&gt;"",ROUND($O5408,2)&lt;&gt;0),"有","")</f>
        <v/>
      </c>
    </row>
    <row r="5409" customFormat="false" ht="15" hidden="true" customHeight="false" outlineLevel="0" collapsed="false">
      <c r="A5409" s="53" t="str">
        <f aca="false">IF($H5409="","",ROW()-5)</f>
        <v/>
      </c>
      <c r="B5409" s="64" t="s">
        <v>39</v>
      </c>
      <c r="C5409" s="53" t="n">
        <v>207</v>
      </c>
      <c r="D5409" s="53" t="n">
        <v>2</v>
      </c>
      <c r="E5409" s="65" t="str">
        <f aca="false">IF($H5409="","",其他分录!$B207)</f>
        <v/>
      </c>
      <c r="F5409" s="55" t="str">
        <f aca="false">IF($H5409="","",其他分录!$C207)</f>
        <v/>
      </c>
      <c r="G5409" s="48" t="str">
        <f aca="false">IF($H5409="","",其他分录!$D207)</f>
        <v/>
      </c>
      <c r="H5409" s="10" t="str">
        <f aca="false">IF(OR(其他分录!$B207="",N(其他分录!$G207)=0),"",其他分录!$F207)</f>
        <v/>
      </c>
      <c r="I5409" s="42" t="n">
        <f aca="false">IF($M5409="借",$O5409,0)</f>
        <v>0</v>
      </c>
      <c r="J5409" s="42" t="n">
        <f aca="false">IF($M5409="贷",$O5409,0)</f>
        <v>0</v>
      </c>
      <c r="K5409" s="48" t="str">
        <f aca="false">IF($H5409="","",其他分录!$H207)</f>
        <v/>
      </c>
      <c r="L5409" s="66"/>
      <c r="M5409" s="66" t="str">
        <f aca="false">IF($H5409="","","贷")</f>
        <v/>
      </c>
      <c r="N5409" s="66"/>
      <c r="O5409" s="67" t="n">
        <f aca="false">IF($H5409="",0,ROUND(N(其他分录!$G207),2))</f>
        <v>0</v>
      </c>
      <c r="P5409" s="64" t="str">
        <f aca="false">IF(AND($H5409&lt;&gt;"",ROUND($O5409,2)&lt;&gt;0),"有","")</f>
        <v/>
      </c>
    </row>
    <row r="5410" customFormat="false" ht="15" hidden="true" customHeight="false" outlineLevel="0" collapsed="false">
      <c r="A5410" s="53" t="str">
        <f aca="false">IF($H5410="","",ROW()-5)</f>
        <v/>
      </c>
      <c r="B5410" s="64" t="s">
        <v>39</v>
      </c>
      <c r="C5410" s="53" t="n">
        <v>208</v>
      </c>
      <c r="D5410" s="53" t="n">
        <v>1</v>
      </c>
      <c r="E5410" s="65" t="str">
        <f aca="false">IF($H5410="","",其他分录!$B208)</f>
        <v/>
      </c>
      <c r="F5410" s="55" t="str">
        <f aca="false">IF($H5410="","",其他分录!$C208)</f>
        <v/>
      </c>
      <c r="G5410" s="48" t="str">
        <f aca="false">IF($H5410="","",其他分录!$D208)</f>
        <v/>
      </c>
      <c r="H5410" s="10" t="str">
        <f aca="false">IF(OR(其他分录!$B208="",N(其他分录!$G208)=0),"",其他分录!$E208)</f>
        <v/>
      </c>
      <c r="I5410" s="42" t="n">
        <f aca="false">IF($M5410="借",$O5410,0)</f>
        <v>0</v>
      </c>
      <c r="J5410" s="42" t="n">
        <f aca="false">IF($M5410="贷",$O5410,0)</f>
        <v>0</v>
      </c>
      <c r="K5410" s="48" t="str">
        <f aca="false">IF($H5410="","",其他分录!$H208)</f>
        <v/>
      </c>
      <c r="L5410" s="66"/>
      <c r="M5410" s="66" t="str">
        <f aca="false">IF($H5410="","","借")</f>
        <v/>
      </c>
      <c r="N5410" s="66"/>
      <c r="O5410" s="67" t="n">
        <f aca="false">IF($H5410="",0,ROUND(N(其他分录!$G208),2))</f>
        <v>0</v>
      </c>
      <c r="P5410" s="64" t="str">
        <f aca="false">IF(AND($H5410&lt;&gt;"",ROUND($O5410,2)&lt;&gt;0),"有","")</f>
        <v/>
      </c>
    </row>
    <row r="5411" customFormat="false" ht="15" hidden="true" customHeight="false" outlineLevel="0" collapsed="false">
      <c r="A5411" s="53" t="str">
        <f aca="false">IF($H5411="","",ROW()-5)</f>
        <v/>
      </c>
      <c r="B5411" s="64" t="s">
        <v>39</v>
      </c>
      <c r="C5411" s="53" t="n">
        <v>208</v>
      </c>
      <c r="D5411" s="53" t="n">
        <v>2</v>
      </c>
      <c r="E5411" s="65" t="str">
        <f aca="false">IF($H5411="","",其他分录!$B208)</f>
        <v/>
      </c>
      <c r="F5411" s="55" t="str">
        <f aca="false">IF($H5411="","",其他分录!$C208)</f>
        <v/>
      </c>
      <c r="G5411" s="48" t="str">
        <f aca="false">IF($H5411="","",其他分录!$D208)</f>
        <v/>
      </c>
      <c r="H5411" s="10" t="str">
        <f aca="false">IF(OR(其他分录!$B208="",N(其他分录!$G208)=0),"",其他分录!$F208)</f>
        <v/>
      </c>
      <c r="I5411" s="42" t="n">
        <f aca="false">IF($M5411="借",$O5411,0)</f>
        <v>0</v>
      </c>
      <c r="J5411" s="42" t="n">
        <f aca="false">IF($M5411="贷",$O5411,0)</f>
        <v>0</v>
      </c>
      <c r="K5411" s="48" t="str">
        <f aca="false">IF($H5411="","",其他分录!$H208)</f>
        <v/>
      </c>
      <c r="L5411" s="66"/>
      <c r="M5411" s="66" t="str">
        <f aca="false">IF($H5411="","","贷")</f>
        <v/>
      </c>
      <c r="N5411" s="66"/>
      <c r="O5411" s="67" t="n">
        <f aca="false">IF($H5411="",0,ROUND(N(其他分录!$G208),2))</f>
        <v>0</v>
      </c>
      <c r="P5411" s="64" t="str">
        <f aca="false">IF(AND($H5411&lt;&gt;"",ROUND($O5411,2)&lt;&gt;0),"有","")</f>
        <v/>
      </c>
    </row>
    <row r="5412" customFormat="false" ht="15" hidden="true" customHeight="false" outlineLevel="0" collapsed="false">
      <c r="A5412" s="53" t="str">
        <f aca="false">IF($H5412="","",ROW()-5)</f>
        <v/>
      </c>
      <c r="B5412" s="64" t="s">
        <v>39</v>
      </c>
      <c r="C5412" s="53" t="n">
        <v>209</v>
      </c>
      <c r="D5412" s="53" t="n">
        <v>1</v>
      </c>
      <c r="E5412" s="65" t="str">
        <f aca="false">IF($H5412="","",其他分录!$B209)</f>
        <v/>
      </c>
      <c r="F5412" s="55" t="str">
        <f aca="false">IF($H5412="","",其他分录!$C209)</f>
        <v/>
      </c>
      <c r="G5412" s="48" t="str">
        <f aca="false">IF($H5412="","",其他分录!$D209)</f>
        <v/>
      </c>
      <c r="H5412" s="10" t="str">
        <f aca="false">IF(OR(其他分录!$B209="",N(其他分录!$G209)=0),"",其他分录!$E209)</f>
        <v/>
      </c>
      <c r="I5412" s="42" t="n">
        <f aca="false">IF($M5412="借",$O5412,0)</f>
        <v>0</v>
      </c>
      <c r="J5412" s="42" t="n">
        <f aca="false">IF($M5412="贷",$O5412,0)</f>
        <v>0</v>
      </c>
      <c r="K5412" s="48" t="str">
        <f aca="false">IF($H5412="","",其他分录!$H209)</f>
        <v/>
      </c>
      <c r="L5412" s="66"/>
      <c r="M5412" s="66" t="str">
        <f aca="false">IF($H5412="","","借")</f>
        <v/>
      </c>
      <c r="N5412" s="66"/>
      <c r="O5412" s="67" t="n">
        <f aca="false">IF($H5412="",0,ROUND(N(其他分录!$G209),2))</f>
        <v>0</v>
      </c>
      <c r="P5412" s="64" t="str">
        <f aca="false">IF(AND($H5412&lt;&gt;"",ROUND($O5412,2)&lt;&gt;0),"有","")</f>
        <v/>
      </c>
    </row>
    <row r="5413" customFormat="false" ht="15" hidden="true" customHeight="false" outlineLevel="0" collapsed="false">
      <c r="A5413" s="53" t="str">
        <f aca="false">IF($H5413="","",ROW()-5)</f>
        <v/>
      </c>
      <c r="B5413" s="64" t="s">
        <v>39</v>
      </c>
      <c r="C5413" s="53" t="n">
        <v>209</v>
      </c>
      <c r="D5413" s="53" t="n">
        <v>2</v>
      </c>
      <c r="E5413" s="65" t="str">
        <f aca="false">IF($H5413="","",其他分录!$B209)</f>
        <v/>
      </c>
      <c r="F5413" s="55" t="str">
        <f aca="false">IF($H5413="","",其他分录!$C209)</f>
        <v/>
      </c>
      <c r="G5413" s="48" t="str">
        <f aca="false">IF($H5413="","",其他分录!$D209)</f>
        <v/>
      </c>
      <c r="H5413" s="10" t="str">
        <f aca="false">IF(OR(其他分录!$B209="",N(其他分录!$G209)=0),"",其他分录!$F209)</f>
        <v/>
      </c>
      <c r="I5413" s="42" t="n">
        <f aca="false">IF($M5413="借",$O5413,0)</f>
        <v>0</v>
      </c>
      <c r="J5413" s="42" t="n">
        <f aca="false">IF($M5413="贷",$O5413,0)</f>
        <v>0</v>
      </c>
      <c r="K5413" s="48" t="str">
        <f aca="false">IF($H5413="","",其他分录!$H209)</f>
        <v/>
      </c>
      <c r="L5413" s="66"/>
      <c r="M5413" s="66" t="str">
        <f aca="false">IF($H5413="","","贷")</f>
        <v/>
      </c>
      <c r="N5413" s="66"/>
      <c r="O5413" s="67" t="n">
        <f aca="false">IF($H5413="",0,ROUND(N(其他分录!$G209),2))</f>
        <v>0</v>
      </c>
      <c r="P5413" s="64" t="str">
        <f aca="false">IF(AND($H5413&lt;&gt;"",ROUND($O5413,2)&lt;&gt;0),"有","")</f>
        <v/>
      </c>
    </row>
    <row r="5414" customFormat="false" ht="15" hidden="true" customHeight="false" outlineLevel="0" collapsed="false">
      <c r="A5414" s="53" t="str">
        <f aca="false">IF($H5414="","",ROW()-5)</f>
        <v/>
      </c>
      <c r="B5414" s="64" t="s">
        <v>39</v>
      </c>
      <c r="C5414" s="53" t="n">
        <v>210</v>
      </c>
      <c r="D5414" s="53" t="n">
        <v>1</v>
      </c>
      <c r="E5414" s="65" t="str">
        <f aca="false">IF($H5414="","",其他分录!$B210)</f>
        <v/>
      </c>
      <c r="F5414" s="55" t="str">
        <f aca="false">IF($H5414="","",其他分录!$C210)</f>
        <v/>
      </c>
      <c r="G5414" s="48" t="str">
        <f aca="false">IF($H5414="","",其他分录!$D210)</f>
        <v/>
      </c>
      <c r="H5414" s="10" t="str">
        <f aca="false">IF(OR(其他分录!$B210="",N(其他分录!$G210)=0),"",其他分录!$E210)</f>
        <v/>
      </c>
      <c r="I5414" s="42" t="n">
        <f aca="false">IF($M5414="借",$O5414,0)</f>
        <v>0</v>
      </c>
      <c r="J5414" s="42" t="n">
        <f aca="false">IF($M5414="贷",$O5414,0)</f>
        <v>0</v>
      </c>
      <c r="K5414" s="48" t="str">
        <f aca="false">IF($H5414="","",其他分录!$H210)</f>
        <v/>
      </c>
      <c r="L5414" s="66"/>
      <c r="M5414" s="66" t="str">
        <f aca="false">IF($H5414="","","借")</f>
        <v/>
      </c>
      <c r="N5414" s="66"/>
      <c r="O5414" s="67" t="n">
        <f aca="false">IF($H5414="",0,ROUND(N(其他分录!$G210),2))</f>
        <v>0</v>
      </c>
      <c r="P5414" s="64" t="str">
        <f aca="false">IF(AND($H5414&lt;&gt;"",ROUND($O5414,2)&lt;&gt;0),"有","")</f>
        <v/>
      </c>
    </row>
    <row r="5415" customFormat="false" ht="15" hidden="true" customHeight="false" outlineLevel="0" collapsed="false">
      <c r="A5415" s="53" t="str">
        <f aca="false">IF($H5415="","",ROW()-5)</f>
        <v/>
      </c>
      <c r="B5415" s="64" t="s">
        <v>39</v>
      </c>
      <c r="C5415" s="53" t="n">
        <v>210</v>
      </c>
      <c r="D5415" s="53" t="n">
        <v>2</v>
      </c>
      <c r="E5415" s="65" t="str">
        <f aca="false">IF($H5415="","",其他分录!$B210)</f>
        <v/>
      </c>
      <c r="F5415" s="55" t="str">
        <f aca="false">IF($H5415="","",其他分录!$C210)</f>
        <v/>
      </c>
      <c r="G5415" s="48" t="str">
        <f aca="false">IF($H5415="","",其他分录!$D210)</f>
        <v/>
      </c>
      <c r="H5415" s="10" t="str">
        <f aca="false">IF(OR(其他分录!$B210="",N(其他分录!$G210)=0),"",其他分录!$F210)</f>
        <v/>
      </c>
      <c r="I5415" s="42" t="n">
        <f aca="false">IF($M5415="借",$O5415,0)</f>
        <v>0</v>
      </c>
      <c r="J5415" s="42" t="n">
        <f aca="false">IF($M5415="贷",$O5415,0)</f>
        <v>0</v>
      </c>
      <c r="K5415" s="48" t="str">
        <f aca="false">IF($H5415="","",其他分录!$H210)</f>
        <v/>
      </c>
      <c r="L5415" s="66"/>
      <c r="M5415" s="66" t="str">
        <f aca="false">IF($H5415="","","贷")</f>
        <v/>
      </c>
      <c r="N5415" s="66"/>
      <c r="O5415" s="67" t="n">
        <f aca="false">IF($H5415="",0,ROUND(N(其他分录!$G210),2))</f>
        <v>0</v>
      </c>
      <c r="P5415" s="64" t="str">
        <f aca="false">IF(AND($H5415&lt;&gt;"",ROUND($O5415,2)&lt;&gt;0),"有","")</f>
        <v/>
      </c>
    </row>
    <row r="5416" customFormat="false" ht="15" hidden="true" customHeight="false" outlineLevel="0" collapsed="false">
      <c r="A5416" s="53" t="str">
        <f aca="false">IF($H5416="","",ROW()-5)</f>
        <v/>
      </c>
      <c r="B5416" s="64" t="s">
        <v>39</v>
      </c>
      <c r="C5416" s="53" t="n">
        <v>211</v>
      </c>
      <c r="D5416" s="53" t="n">
        <v>1</v>
      </c>
      <c r="E5416" s="65" t="str">
        <f aca="false">IF($H5416="","",其他分录!$B211)</f>
        <v/>
      </c>
      <c r="F5416" s="55" t="str">
        <f aca="false">IF($H5416="","",其他分录!$C211)</f>
        <v/>
      </c>
      <c r="G5416" s="48" t="str">
        <f aca="false">IF($H5416="","",其他分录!$D211)</f>
        <v/>
      </c>
      <c r="H5416" s="10" t="str">
        <f aca="false">IF(OR(其他分录!$B211="",N(其他分录!$G211)=0),"",其他分录!$E211)</f>
        <v/>
      </c>
      <c r="I5416" s="42" t="n">
        <f aca="false">IF($M5416="借",$O5416,0)</f>
        <v>0</v>
      </c>
      <c r="J5416" s="42" t="n">
        <f aca="false">IF($M5416="贷",$O5416,0)</f>
        <v>0</v>
      </c>
      <c r="K5416" s="48" t="str">
        <f aca="false">IF($H5416="","",其他分录!$H211)</f>
        <v/>
      </c>
      <c r="L5416" s="66"/>
      <c r="M5416" s="66" t="str">
        <f aca="false">IF($H5416="","","借")</f>
        <v/>
      </c>
      <c r="N5416" s="66"/>
      <c r="O5416" s="67" t="n">
        <f aca="false">IF($H5416="",0,ROUND(N(其他分录!$G211),2))</f>
        <v>0</v>
      </c>
      <c r="P5416" s="64" t="str">
        <f aca="false">IF(AND($H5416&lt;&gt;"",ROUND($O5416,2)&lt;&gt;0),"有","")</f>
        <v/>
      </c>
    </row>
    <row r="5417" customFormat="false" ht="15" hidden="true" customHeight="false" outlineLevel="0" collapsed="false">
      <c r="A5417" s="53" t="str">
        <f aca="false">IF($H5417="","",ROW()-5)</f>
        <v/>
      </c>
      <c r="B5417" s="64" t="s">
        <v>39</v>
      </c>
      <c r="C5417" s="53" t="n">
        <v>211</v>
      </c>
      <c r="D5417" s="53" t="n">
        <v>2</v>
      </c>
      <c r="E5417" s="65" t="str">
        <f aca="false">IF($H5417="","",其他分录!$B211)</f>
        <v/>
      </c>
      <c r="F5417" s="55" t="str">
        <f aca="false">IF($H5417="","",其他分录!$C211)</f>
        <v/>
      </c>
      <c r="G5417" s="48" t="str">
        <f aca="false">IF($H5417="","",其他分录!$D211)</f>
        <v/>
      </c>
      <c r="H5417" s="10" t="str">
        <f aca="false">IF(OR(其他分录!$B211="",N(其他分录!$G211)=0),"",其他分录!$F211)</f>
        <v/>
      </c>
      <c r="I5417" s="42" t="n">
        <f aca="false">IF($M5417="借",$O5417,0)</f>
        <v>0</v>
      </c>
      <c r="J5417" s="42" t="n">
        <f aca="false">IF($M5417="贷",$O5417,0)</f>
        <v>0</v>
      </c>
      <c r="K5417" s="48" t="str">
        <f aca="false">IF($H5417="","",其他分录!$H211)</f>
        <v/>
      </c>
      <c r="L5417" s="66"/>
      <c r="M5417" s="66" t="str">
        <f aca="false">IF($H5417="","","贷")</f>
        <v/>
      </c>
      <c r="N5417" s="66"/>
      <c r="O5417" s="67" t="n">
        <f aca="false">IF($H5417="",0,ROUND(N(其他分录!$G211),2))</f>
        <v>0</v>
      </c>
      <c r="P5417" s="64" t="str">
        <f aca="false">IF(AND($H5417&lt;&gt;"",ROUND($O5417,2)&lt;&gt;0),"有","")</f>
        <v/>
      </c>
    </row>
    <row r="5418" customFormat="false" ht="15" hidden="true" customHeight="false" outlineLevel="0" collapsed="false">
      <c r="A5418" s="53" t="str">
        <f aca="false">IF($H5418="","",ROW()-5)</f>
        <v/>
      </c>
      <c r="B5418" s="64" t="s">
        <v>39</v>
      </c>
      <c r="C5418" s="53" t="n">
        <v>212</v>
      </c>
      <c r="D5418" s="53" t="n">
        <v>1</v>
      </c>
      <c r="E5418" s="65" t="str">
        <f aca="false">IF($H5418="","",其他分录!$B212)</f>
        <v/>
      </c>
      <c r="F5418" s="55" t="str">
        <f aca="false">IF($H5418="","",其他分录!$C212)</f>
        <v/>
      </c>
      <c r="G5418" s="48" t="str">
        <f aca="false">IF($H5418="","",其他分录!$D212)</f>
        <v/>
      </c>
      <c r="H5418" s="10" t="str">
        <f aca="false">IF(OR(其他分录!$B212="",N(其他分录!$G212)=0),"",其他分录!$E212)</f>
        <v/>
      </c>
      <c r="I5418" s="42" t="n">
        <f aca="false">IF($M5418="借",$O5418,0)</f>
        <v>0</v>
      </c>
      <c r="J5418" s="42" t="n">
        <f aca="false">IF($M5418="贷",$O5418,0)</f>
        <v>0</v>
      </c>
      <c r="K5418" s="48" t="str">
        <f aca="false">IF($H5418="","",其他分录!$H212)</f>
        <v/>
      </c>
      <c r="L5418" s="66"/>
      <c r="M5418" s="66" t="str">
        <f aca="false">IF($H5418="","","借")</f>
        <v/>
      </c>
      <c r="N5418" s="66"/>
      <c r="O5418" s="67" t="n">
        <f aca="false">IF($H5418="",0,ROUND(N(其他分录!$G212),2))</f>
        <v>0</v>
      </c>
      <c r="P5418" s="64" t="str">
        <f aca="false">IF(AND($H5418&lt;&gt;"",ROUND($O5418,2)&lt;&gt;0),"有","")</f>
        <v/>
      </c>
    </row>
    <row r="5419" customFormat="false" ht="15" hidden="true" customHeight="false" outlineLevel="0" collapsed="false">
      <c r="A5419" s="53" t="str">
        <f aca="false">IF($H5419="","",ROW()-5)</f>
        <v/>
      </c>
      <c r="B5419" s="64" t="s">
        <v>39</v>
      </c>
      <c r="C5419" s="53" t="n">
        <v>212</v>
      </c>
      <c r="D5419" s="53" t="n">
        <v>2</v>
      </c>
      <c r="E5419" s="65" t="str">
        <f aca="false">IF($H5419="","",其他分录!$B212)</f>
        <v/>
      </c>
      <c r="F5419" s="55" t="str">
        <f aca="false">IF($H5419="","",其他分录!$C212)</f>
        <v/>
      </c>
      <c r="G5419" s="48" t="str">
        <f aca="false">IF($H5419="","",其他分录!$D212)</f>
        <v/>
      </c>
      <c r="H5419" s="10" t="str">
        <f aca="false">IF(OR(其他分录!$B212="",N(其他分录!$G212)=0),"",其他分录!$F212)</f>
        <v/>
      </c>
      <c r="I5419" s="42" t="n">
        <f aca="false">IF($M5419="借",$O5419,0)</f>
        <v>0</v>
      </c>
      <c r="J5419" s="42" t="n">
        <f aca="false">IF($M5419="贷",$O5419,0)</f>
        <v>0</v>
      </c>
      <c r="K5419" s="48" t="str">
        <f aca="false">IF($H5419="","",其他分录!$H212)</f>
        <v/>
      </c>
      <c r="L5419" s="66"/>
      <c r="M5419" s="66" t="str">
        <f aca="false">IF($H5419="","","贷")</f>
        <v/>
      </c>
      <c r="N5419" s="66"/>
      <c r="O5419" s="67" t="n">
        <f aca="false">IF($H5419="",0,ROUND(N(其他分录!$G212),2))</f>
        <v>0</v>
      </c>
      <c r="P5419" s="64" t="str">
        <f aca="false">IF(AND($H5419&lt;&gt;"",ROUND($O5419,2)&lt;&gt;0),"有","")</f>
        <v/>
      </c>
    </row>
    <row r="5420" customFormat="false" ht="15" hidden="true" customHeight="false" outlineLevel="0" collapsed="false">
      <c r="A5420" s="53" t="str">
        <f aca="false">IF($H5420="","",ROW()-5)</f>
        <v/>
      </c>
      <c r="B5420" s="64" t="s">
        <v>39</v>
      </c>
      <c r="C5420" s="53" t="n">
        <v>213</v>
      </c>
      <c r="D5420" s="53" t="n">
        <v>1</v>
      </c>
      <c r="E5420" s="65" t="str">
        <f aca="false">IF($H5420="","",其他分录!$B213)</f>
        <v/>
      </c>
      <c r="F5420" s="55" t="str">
        <f aca="false">IF($H5420="","",其他分录!$C213)</f>
        <v/>
      </c>
      <c r="G5420" s="48" t="str">
        <f aca="false">IF($H5420="","",其他分录!$D213)</f>
        <v/>
      </c>
      <c r="H5420" s="10" t="str">
        <f aca="false">IF(OR(其他分录!$B213="",N(其他分录!$G213)=0),"",其他分录!$E213)</f>
        <v/>
      </c>
      <c r="I5420" s="42" t="n">
        <f aca="false">IF($M5420="借",$O5420,0)</f>
        <v>0</v>
      </c>
      <c r="J5420" s="42" t="n">
        <f aca="false">IF($M5420="贷",$O5420,0)</f>
        <v>0</v>
      </c>
      <c r="K5420" s="48" t="str">
        <f aca="false">IF($H5420="","",其他分录!$H213)</f>
        <v/>
      </c>
      <c r="L5420" s="66"/>
      <c r="M5420" s="66" t="str">
        <f aca="false">IF($H5420="","","借")</f>
        <v/>
      </c>
      <c r="N5420" s="66"/>
      <c r="O5420" s="67" t="n">
        <f aca="false">IF($H5420="",0,ROUND(N(其他分录!$G213),2))</f>
        <v>0</v>
      </c>
      <c r="P5420" s="64" t="str">
        <f aca="false">IF(AND($H5420&lt;&gt;"",ROUND($O5420,2)&lt;&gt;0),"有","")</f>
        <v/>
      </c>
    </row>
    <row r="5421" customFormat="false" ht="15" hidden="true" customHeight="false" outlineLevel="0" collapsed="false">
      <c r="A5421" s="53" t="str">
        <f aca="false">IF($H5421="","",ROW()-5)</f>
        <v/>
      </c>
      <c r="B5421" s="64" t="s">
        <v>39</v>
      </c>
      <c r="C5421" s="53" t="n">
        <v>213</v>
      </c>
      <c r="D5421" s="53" t="n">
        <v>2</v>
      </c>
      <c r="E5421" s="65" t="str">
        <f aca="false">IF($H5421="","",其他分录!$B213)</f>
        <v/>
      </c>
      <c r="F5421" s="55" t="str">
        <f aca="false">IF($H5421="","",其他分录!$C213)</f>
        <v/>
      </c>
      <c r="G5421" s="48" t="str">
        <f aca="false">IF($H5421="","",其他分录!$D213)</f>
        <v/>
      </c>
      <c r="H5421" s="10" t="str">
        <f aca="false">IF(OR(其他分录!$B213="",N(其他分录!$G213)=0),"",其他分录!$F213)</f>
        <v/>
      </c>
      <c r="I5421" s="42" t="n">
        <f aca="false">IF($M5421="借",$O5421,0)</f>
        <v>0</v>
      </c>
      <c r="J5421" s="42" t="n">
        <f aca="false">IF($M5421="贷",$O5421,0)</f>
        <v>0</v>
      </c>
      <c r="K5421" s="48" t="str">
        <f aca="false">IF($H5421="","",其他分录!$H213)</f>
        <v/>
      </c>
      <c r="L5421" s="66"/>
      <c r="M5421" s="66" t="str">
        <f aca="false">IF($H5421="","","贷")</f>
        <v/>
      </c>
      <c r="N5421" s="66"/>
      <c r="O5421" s="67" t="n">
        <f aca="false">IF($H5421="",0,ROUND(N(其他分录!$G213),2))</f>
        <v>0</v>
      </c>
      <c r="P5421" s="64" t="str">
        <f aca="false">IF(AND($H5421&lt;&gt;"",ROUND($O5421,2)&lt;&gt;0),"有","")</f>
        <v/>
      </c>
    </row>
    <row r="5422" customFormat="false" ht="15" hidden="true" customHeight="false" outlineLevel="0" collapsed="false">
      <c r="A5422" s="53" t="str">
        <f aca="false">IF($H5422="","",ROW()-5)</f>
        <v/>
      </c>
      <c r="B5422" s="64" t="s">
        <v>39</v>
      </c>
      <c r="C5422" s="53" t="n">
        <v>214</v>
      </c>
      <c r="D5422" s="53" t="n">
        <v>1</v>
      </c>
      <c r="E5422" s="65" t="str">
        <f aca="false">IF($H5422="","",其他分录!$B214)</f>
        <v/>
      </c>
      <c r="F5422" s="55" t="str">
        <f aca="false">IF($H5422="","",其他分录!$C214)</f>
        <v/>
      </c>
      <c r="G5422" s="48" t="str">
        <f aca="false">IF($H5422="","",其他分录!$D214)</f>
        <v/>
      </c>
      <c r="H5422" s="10" t="str">
        <f aca="false">IF(OR(其他分录!$B214="",N(其他分录!$G214)=0),"",其他分录!$E214)</f>
        <v/>
      </c>
      <c r="I5422" s="42" t="n">
        <f aca="false">IF($M5422="借",$O5422,0)</f>
        <v>0</v>
      </c>
      <c r="J5422" s="42" t="n">
        <f aca="false">IF($M5422="贷",$O5422,0)</f>
        <v>0</v>
      </c>
      <c r="K5422" s="48" t="str">
        <f aca="false">IF($H5422="","",其他分录!$H214)</f>
        <v/>
      </c>
      <c r="L5422" s="66"/>
      <c r="M5422" s="66" t="str">
        <f aca="false">IF($H5422="","","借")</f>
        <v/>
      </c>
      <c r="N5422" s="66"/>
      <c r="O5422" s="67" t="n">
        <f aca="false">IF($H5422="",0,ROUND(N(其他分录!$G214),2))</f>
        <v>0</v>
      </c>
      <c r="P5422" s="64" t="str">
        <f aca="false">IF(AND($H5422&lt;&gt;"",ROUND($O5422,2)&lt;&gt;0),"有","")</f>
        <v/>
      </c>
    </row>
    <row r="5423" customFormat="false" ht="15" hidden="true" customHeight="false" outlineLevel="0" collapsed="false">
      <c r="A5423" s="53" t="str">
        <f aca="false">IF($H5423="","",ROW()-5)</f>
        <v/>
      </c>
      <c r="B5423" s="64" t="s">
        <v>39</v>
      </c>
      <c r="C5423" s="53" t="n">
        <v>214</v>
      </c>
      <c r="D5423" s="53" t="n">
        <v>2</v>
      </c>
      <c r="E5423" s="65" t="str">
        <f aca="false">IF($H5423="","",其他分录!$B214)</f>
        <v/>
      </c>
      <c r="F5423" s="55" t="str">
        <f aca="false">IF($H5423="","",其他分录!$C214)</f>
        <v/>
      </c>
      <c r="G5423" s="48" t="str">
        <f aca="false">IF($H5423="","",其他分录!$D214)</f>
        <v/>
      </c>
      <c r="H5423" s="10" t="str">
        <f aca="false">IF(OR(其他分录!$B214="",N(其他分录!$G214)=0),"",其他分录!$F214)</f>
        <v/>
      </c>
      <c r="I5423" s="42" t="n">
        <f aca="false">IF($M5423="借",$O5423,0)</f>
        <v>0</v>
      </c>
      <c r="J5423" s="42" t="n">
        <f aca="false">IF($M5423="贷",$O5423,0)</f>
        <v>0</v>
      </c>
      <c r="K5423" s="48" t="str">
        <f aca="false">IF($H5423="","",其他分录!$H214)</f>
        <v/>
      </c>
      <c r="L5423" s="66"/>
      <c r="M5423" s="66" t="str">
        <f aca="false">IF($H5423="","","贷")</f>
        <v/>
      </c>
      <c r="N5423" s="66"/>
      <c r="O5423" s="67" t="n">
        <f aca="false">IF($H5423="",0,ROUND(N(其他分录!$G214),2))</f>
        <v>0</v>
      </c>
      <c r="P5423" s="64" t="str">
        <f aca="false">IF(AND($H5423&lt;&gt;"",ROUND($O5423,2)&lt;&gt;0),"有","")</f>
        <v/>
      </c>
    </row>
    <row r="5424" customFormat="false" ht="15" hidden="true" customHeight="false" outlineLevel="0" collapsed="false">
      <c r="A5424" s="53" t="str">
        <f aca="false">IF($H5424="","",ROW()-5)</f>
        <v/>
      </c>
      <c r="B5424" s="64" t="s">
        <v>39</v>
      </c>
      <c r="C5424" s="53" t="n">
        <v>215</v>
      </c>
      <c r="D5424" s="53" t="n">
        <v>1</v>
      </c>
      <c r="E5424" s="65" t="str">
        <f aca="false">IF($H5424="","",其他分录!$B215)</f>
        <v/>
      </c>
      <c r="F5424" s="55" t="str">
        <f aca="false">IF($H5424="","",其他分录!$C215)</f>
        <v/>
      </c>
      <c r="G5424" s="48" t="str">
        <f aca="false">IF($H5424="","",其他分录!$D215)</f>
        <v/>
      </c>
      <c r="H5424" s="10" t="str">
        <f aca="false">IF(OR(其他分录!$B215="",N(其他分录!$G215)=0),"",其他分录!$E215)</f>
        <v/>
      </c>
      <c r="I5424" s="42" t="n">
        <f aca="false">IF($M5424="借",$O5424,0)</f>
        <v>0</v>
      </c>
      <c r="J5424" s="42" t="n">
        <f aca="false">IF($M5424="贷",$O5424,0)</f>
        <v>0</v>
      </c>
      <c r="K5424" s="48" t="str">
        <f aca="false">IF($H5424="","",其他分录!$H215)</f>
        <v/>
      </c>
      <c r="L5424" s="66"/>
      <c r="M5424" s="66" t="str">
        <f aca="false">IF($H5424="","","借")</f>
        <v/>
      </c>
      <c r="N5424" s="66"/>
      <c r="O5424" s="67" t="n">
        <f aca="false">IF($H5424="",0,ROUND(N(其他分录!$G215),2))</f>
        <v>0</v>
      </c>
      <c r="P5424" s="64" t="str">
        <f aca="false">IF(AND($H5424&lt;&gt;"",ROUND($O5424,2)&lt;&gt;0),"有","")</f>
        <v/>
      </c>
    </row>
    <row r="5425" customFormat="false" ht="15" hidden="true" customHeight="false" outlineLevel="0" collapsed="false">
      <c r="A5425" s="53" t="str">
        <f aca="false">IF($H5425="","",ROW()-5)</f>
        <v/>
      </c>
      <c r="B5425" s="64" t="s">
        <v>39</v>
      </c>
      <c r="C5425" s="53" t="n">
        <v>215</v>
      </c>
      <c r="D5425" s="53" t="n">
        <v>2</v>
      </c>
      <c r="E5425" s="65" t="str">
        <f aca="false">IF($H5425="","",其他分录!$B215)</f>
        <v/>
      </c>
      <c r="F5425" s="55" t="str">
        <f aca="false">IF($H5425="","",其他分录!$C215)</f>
        <v/>
      </c>
      <c r="G5425" s="48" t="str">
        <f aca="false">IF($H5425="","",其他分录!$D215)</f>
        <v/>
      </c>
      <c r="H5425" s="10" t="str">
        <f aca="false">IF(OR(其他分录!$B215="",N(其他分录!$G215)=0),"",其他分录!$F215)</f>
        <v/>
      </c>
      <c r="I5425" s="42" t="n">
        <f aca="false">IF($M5425="借",$O5425,0)</f>
        <v>0</v>
      </c>
      <c r="J5425" s="42" t="n">
        <f aca="false">IF($M5425="贷",$O5425,0)</f>
        <v>0</v>
      </c>
      <c r="K5425" s="48" t="str">
        <f aca="false">IF($H5425="","",其他分录!$H215)</f>
        <v/>
      </c>
      <c r="L5425" s="66"/>
      <c r="M5425" s="66" t="str">
        <f aca="false">IF($H5425="","","贷")</f>
        <v/>
      </c>
      <c r="N5425" s="66"/>
      <c r="O5425" s="67" t="n">
        <f aca="false">IF($H5425="",0,ROUND(N(其他分录!$G215),2))</f>
        <v>0</v>
      </c>
      <c r="P5425" s="64" t="str">
        <f aca="false">IF(AND($H5425&lt;&gt;"",ROUND($O5425,2)&lt;&gt;0),"有","")</f>
        <v/>
      </c>
    </row>
    <row r="5426" customFormat="false" ht="15" hidden="true" customHeight="false" outlineLevel="0" collapsed="false">
      <c r="A5426" s="53" t="str">
        <f aca="false">IF($H5426="","",ROW()-5)</f>
        <v/>
      </c>
      <c r="B5426" s="64" t="s">
        <v>39</v>
      </c>
      <c r="C5426" s="53" t="n">
        <v>216</v>
      </c>
      <c r="D5426" s="53" t="n">
        <v>1</v>
      </c>
      <c r="E5426" s="65" t="str">
        <f aca="false">IF($H5426="","",其他分录!$B216)</f>
        <v/>
      </c>
      <c r="F5426" s="55" t="str">
        <f aca="false">IF($H5426="","",其他分录!$C216)</f>
        <v/>
      </c>
      <c r="G5426" s="48" t="str">
        <f aca="false">IF($H5426="","",其他分录!$D216)</f>
        <v/>
      </c>
      <c r="H5426" s="10" t="str">
        <f aca="false">IF(OR(其他分录!$B216="",N(其他分录!$G216)=0),"",其他分录!$E216)</f>
        <v/>
      </c>
      <c r="I5426" s="42" t="n">
        <f aca="false">IF($M5426="借",$O5426,0)</f>
        <v>0</v>
      </c>
      <c r="J5426" s="42" t="n">
        <f aca="false">IF($M5426="贷",$O5426,0)</f>
        <v>0</v>
      </c>
      <c r="K5426" s="48" t="str">
        <f aca="false">IF($H5426="","",其他分录!$H216)</f>
        <v/>
      </c>
      <c r="L5426" s="66"/>
      <c r="M5426" s="66" t="str">
        <f aca="false">IF($H5426="","","借")</f>
        <v/>
      </c>
      <c r="N5426" s="66"/>
      <c r="O5426" s="67" t="n">
        <f aca="false">IF($H5426="",0,ROUND(N(其他分录!$G216),2))</f>
        <v>0</v>
      </c>
      <c r="P5426" s="64" t="str">
        <f aca="false">IF(AND($H5426&lt;&gt;"",ROUND($O5426,2)&lt;&gt;0),"有","")</f>
        <v/>
      </c>
    </row>
    <row r="5427" customFormat="false" ht="15" hidden="true" customHeight="false" outlineLevel="0" collapsed="false">
      <c r="A5427" s="53" t="str">
        <f aca="false">IF($H5427="","",ROW()-5)</f>
        <v/>
      </c>
      <c r="B5427" s="64" t="s">
        <v>39</v>
      </c>
      <c r="C5427" s="53" t="n">
        <v>216</v>
      </c>
      <c r="D5427" s="53" t="n">
        <v>2</v>
      </c>
      <c r="E5427" s="65" t="str">
        <f aca="false">IF($H5427="","",其他分录!$B216)</f>
        <v/>
      </c>
      <c r="F5427" s="55" t="str">
        <f aca="false">IF($H5427="","",其他分录!$C216)</f>
        <v/>
      </c>
      <c r="G5427" s="48" t="str">
        <f aca="false">IF($H5427="","",其他分录!$D216)</f>
        <v/>
      </c>
      <c r="H5427" s="10" t="str">
        <f aca="false">IF(OR(其他分录!$B216="",N(其他分录!$G216)=0),"",其他分录!$F216)</f>
        <v/>
      </c>
      <c r="I5427" s="42" t="n">
        <f aca="false">IF($M5427="借",$O5427,0)</f>
        <v>0</v>
      </c>
      <c r="J5427" s="42" t="n">
        <f aca="false">IF($M5427="贷",$O5427,0)</f>
        <v>0</v>
      </c>
      <c r="K5427" s="48" t="str">
        <f aca="false">IF($H5427="","",其他分录!$H216)</f>
        <v/>
      </c>
      <c r="L5427" s="66"/>
      <c r="M5427" s="66" t="str">
        <f aca="false">IF($H5427="","","贷")</f>
        <v/>
      </c>
      <c r="N5427" s="66"/>
      <c r="O5427" s="67" t="n">
        <f aca="false">IF($H5427="",0,ROUND(N(其他分录!$G216),2))</f>
        <v>0</v>
      </c>
      <c r="P5427" s="64" t="str">
        <f aca="false">IF(AND($H5427&lt;&gt;"",ROUND($O5427,2)&lt;&gt;0),"有","")</f>
        <v/>
      </c>
    </row>
    <row r="5428" customFormat="false" ht="15" hidden="true" customHeight="false" outlineLevel="0" collapsed="false">
      <c r="A5428" s="53" t="str">
        <f aca="false">IF($H5428="","",ROW()-5)</f>
        <v/>
      </c>
      <c r="B5428" s="64" t="s">
        <v>39</v>
      </c>
      <c r="C5428" s="53" t="n">
        <v>217</v>
      </c>
      <c r="D5428" s="53" t="n">
        <v>1</v>
      </c>
      <c r="E5428" s="65" t="str">
        <f aca="false">IF($H5428="","",其他分录!$B217)</f>
        <v/>
      </c>
      <c r="F5428" s="55" t="str">
        <f aca="false">IF($H5428="","",其他分录!$C217)</f>
        <v/>
      </c>
      <c r="G5428" s="48" t="str">
        <f aca="false">IF($H5428="","",其他分录!$D217)</f>
        <v/>
      </c>
      <c r="H5428" s="10" t="str">
        <f aca="false">IF(OR(其他分录!$B217="",N(其他分录!$G217)=0),"",其他分录!$E217)</f>
        <v/>
      </c>
      <c r="I5428" s="42" t="n">
        <f aca="false">IF($M5428="借",$O5428,0)</f>
        <v>0</v>
      </c>
      <c r="J5428" s="42" t="n">
        <f aca="false">IF($M5428="贷",$O5428,0)</f>
        <v>0</v>
      </c>
      <c r="K5428" s="48" t="str">
        <f aca="false">IF($H5428="","",其他分录!$H217)</f>
        <v/>
      </c>
      <c r="L5428" s="66"/>
      <c r="M5428" s="66" t="str">
        <f aca="false">IF($H5428="","","借")</f>
        <v/>
      </c>
      <c r="N5428" s="66"/>
      <c r="O5428" s="67" t="n">
        <f aca="false">IF($H5428="",0,ROUND(N(其他分录!$G217),2))</f>
        <v>0</v>
      </c>
      <c r="P5428" s="64" t="str">
        <f aca="false">IF(AND($H5428&lt;&gt;"",ROUND($O5428,2)&lt;&gt;0),"有","")</f>
        <v/>
      </c>
    </row>
    <row r="5429" customFormat="false" ht="15" hidden="true" customHeight="false" outlineLevel="0" collapsed="false">
      <c r="A5429" s="53" t="str">
        <f aca="false">IF($H5429="","",ROW()-5)</f>
        <v/>
      </c>
      <c r="B5429" s="64" t="s">
        <v>39</v>
      </c>
      <c r="C5429" s="53" t="n">
        <v>217</v>
      </c>
      <c r="D5429" s="53" t="n">
        <v>2</v>
      </c>
      <c r="E5429" s="65" t="str">
        <f aca="false">IF($H5429="","",其他分录!$B217)</f>
        <v/>
      </c>
      <c r="F5429" s="55" t="str">
        <f aca="false">IF($H5429="","",其他分录!$C217)</f>
        <v/>
      </c>
      <c r="G5429" s="48" t="str">
        <f aca="false">IF($H5429="","",其他分录!$D217)</f>
        <v/>
      </c>
      <c r="H5429" s="10" t="str">
        <f aca="false">IF(OR(其他分录!$B217="",N(其他分录!$G217)=0),"",其他分录!$F217)</f>
        <v/>
      </c>
      <c r="I5429" s="42" t="n">
        <f aca="false">IF($M5429="借",$O5429,0)</f>
        <v>0</v>
      </c>
      <c r="J5429" s="42" t="n">
        <f aca="false">IF($M5429="贷",$O5429,0)</f>
        <v>0</v>
      </c>
      <c r="K5429" s="48" t="str">
        <f aca="false">IF($H5429="","",其他分录!$H217)</f>
        <v/>
      </c>
      <c r="L5429" s="66"/>
      <c r="M5429" s="66" t="str">
        <f aca="false">IF($H5429="","","贷")</f>
        <v/>
      </c>
      <c r="N5429" s="66"/>
      <c r="O5429" s="67" t="n">
        <f aca="false">IF($H5429="",0,ROUND(N(其他分录!$G217),2))</f>
        <v>0</v>
      </c>
      <c r="P5429" s="64" t="str">
        <f aca="false">IF(AND($H5429&lt;&gt;"",ROUND($O5429,2)&lt;&gt;0),"有","")</f>
        <v/>
      </c>
    </row>
    <row r="5430" customFormat="false" ht="15" hidden="true" customHeight="false" outlineLevel="0" collapsed="false">
      <c r="A5430" s="53" t="str">
        <f aca="false">IF($H5430="","",ROW()-5)</f>
        <v/>
      </c>
      <c r="B5430" s="64" t="s">
        <v>39</v>
      </c>
      <c r="C5430" s="53" t="n">
        <v>218</v>
      </c>
      <c r="D5430" s="53" t="n">
        <v>1</v>
      </c>
      <c r="E5430" s="65" t="str">
        <f aca="false">IF($H5430="","",其他分录!$B218)</f>
        <v/>
      </c>
      <c r="F5430" s="55" t="str">
        <f aca="false">IF($H5430="","",其他分录!$C218)</f>
        <v/>
      </c>
      <c r="G5430" s="48" t="str">
        <f aca="false">IF($H5430="","",其他分录!$D218)</f>
        <v/>
      </c>
      <c r="H5430" s="10" t="str">
        <f aca="false">IF(OR(其他分录!$B218="",N(其他分录!$G218)=0),"",其他分录!$E218)</f>
        <v/>
      </c>
      <c r="I5430" s="42" t="n">
        <f aca="false">IF($M5430="借",$O5430,0)</f>
        <v>0</v>
      </c>
      <c r="J5430" s="42" t="n">
        <f aca="false">IF($M5430="贷",$O5430,0)</f>
        <v>0</v>
      </c>
      <c r="K5430" s="48" t="str">
        <f aca="false">IF($H5430="","",其他分录!$H218)</f>
        <v/>
      </c>
      <c r="L5430" s="66"/>
      <c r="M5430" s="66" t="str">
        <f aca="false">IF($H5430="","","借")</f>
        <v/>
      </c>
      <c r="N5430" s="66"/>
      <c r="O5430" s="67" t="n">
        <f aca="false">IF($H5430="",0,ROUND(N(其他分录!$G218),2))</f>
        <v>0</v>
      </c>
      <c r="P5430" s="64" t="str">
        <f aca="false">IF(AND($H5430&lt;&gt;"",ROUND($O5430,2)&lt;&gt;0),"有","")</f>
        <v/>
      </c>
    </row>
    <row r="5431" customFormat="false" ht="15" hidden="true" customHeight="false" outlineLevel="0" collapsed="false">
      <c r="A5431" s="53" t="str">
        <f aca="false">IF($H5431="","",ROW()-5)</f>
        <v/>
      </c>
      <c r="B5431" s="64" t="s">
        <v>39</v>
      </c>
      <c r="C5431" s="53" t="n">
        <v>218</v>
      </c>
      <c r="D5431" s="53" t="n">
        <v>2</v>
      </c>
      <c r="E5431" s="65" t="str">
        <f aca="false">IF($H5431="","",其他分录!$B218)</f>
        <v/>
      </c>
      <c r="F5431" s="55" t="str">
        <f aca="false">IF($H5431="","",其他分录!$C218)</f>
        <v/>
      </c>
      <c r="G5431" s="48" t="str">
        <f aca="false">IF($H5431="","",其他分录!$D218)</f>
        <v/>
      </c>
      <c r="H5431" s="10" t="str">
        <f aca="false">IF(OR(其他分录!$B218="",N(其他分录!$G218)=0),"",其他分录!$F218)</f>
        <v/>
      </c>
      <c r="I5431" s="42" t="n">
        <f aca="false">IF($M5431="借",$O5431,0)</f>
        <v>0</v>
      </c>
      <c r="J5431" s="42" t="n">
        <f aca="false">IF($M5431="贷",$O5431,0)</f>
        <v>0</v>
      </c>
      <c r="K5431" s="48" t="str">
        <f aca="false">IF($H5431="","",其他分录!$H218)</f>
        <v/>
      </c>
      <c r="L5431" s="66"/>
      <c r="M5431" s="66" t="str">
        <f aca="false">IF($H5431="","","贷")</f>
        <v/>
      </c>
      <c r="N5431" s="66"/>
      <c r="O5431" s="67" t="n">
        <f aca="false">IF($H5431="",0,ROUND(N(其他分录!$G218),2))</f>
        <v>0</v>
      </c>
      <c r="P5431" s="64" t="str">
        <f aca="false">IF(AND($H5431&lt;&gt;"",ROUND($O5431,2)&lt;&gt;0),"有","")</f>
        <v/>
      </c>
    </row>
    <row r="5432" customFormat="false" ht="15" hidden="true" customHeight="false" outlineLevel="0" collapsed="false">
      <c r="A5432" s="53" t="str">
        <f aca="false">IF($H5432="","",ROW()-5)</f>
        <v/>
      </c>
      <c r="B5432" s="64" t="s">
        <v>39</v>
      </c>
      <c r="C5432" s="53" t="n">
        <v>219</v>
      </c>
      <c r="D5432" s="53" t="n">
        <v>1</v>
      </c>
      <c r="E5432" s="65" t="str">
        <f aca="false">IF($H5432="","",其他分录!$B219)</f>
        <v/>
      </c>
      <c r="F5432" s="55" t="str">
        <f aca="false">IF($H5432="","",其他分录!$C219)</f>
        <v/>
      </c>
      <c r="G5432" s="48" t="str">
        <f aca="false">IF($H5432="","",其他分录!$D219)</f>
        <v/>
      </c>
      <c r="H5432" s="10" t="str">
        <f aca="false">IF(OR(其他分录!$B219="",N(其他分录!$G219)=0),"",其他分录!$E219)</f>
        <v/>
      </c>
      <c r="I5432" s="42" t="n">
        <f aca="false">IF($M5432="借",$O5432,0)</f>
        <v>0</v>
      </c>
      <c r="J5432" s="42" t="n">
        <f aca="false">IF($M5432="贷",$O5432,0)</f>
        <v>0</v>
      </c>
      <c r="K5432" s="48" t="str">
        <f aca="false">IF($H5432="","",其他分录!$H219)</f>
        <v/>
      </c>
      <c r="L5432" s="66"/>
      <c r="M5432" s="66" t="str">
        <f aca="false">IF($H5432="","","借")</f>
        <v/>
      </c>
      <c r="N5432" s="66"/>
      <c r="O5432" s="67" t="n">
        <f aca="false">IF($H5432="",0,ROUND(N(其他分录!$G219),2))</f>
        <v>0</v>
      </c>
      <c r="P5432" s="64" t="str">
        <f aca="false">IF(AND($H5432&lt;&gt;"",ROUND($O5432,2)&lt;&gt;0),"有","")</f>
        <v/>
      </c>
    </row>
    <row r="5433" customFormat="false" ht="15" hidden="true" customHeight="false" outlineLevel="0" collapsed="false">
      <c r="A5433" s="53" t="str">
        <f aca="false">IF($H5433="","",ROW()-5)</f>
        <v/>
      </c>
      <c r="B5433" s="64" t="s">
        <v>39</v>
      </c>
      <c r="C5433" s="53" t="n">
        <v>219</v>
      </c>
      <c r="D5433" s="53" t="n">
        <v>2</v>
      </c>
      <c r="E5433" s="65" t="str">
        <f aca="false">IF($H5433="","",其他分录!$B219)</f>
        <v/>
      </c>
      <c r="F5433" s="55" t="str">
        <f aca="false">IF($H5433="","",其他分录!$C219)</f>
        <v/>
      </c>
      <c r="G5433" s="48" t="str">
        <f aca="false">IF($H5433="","",其他分录!$D219)</f>
        <v/>
      </c>
      <c r="H5433" s="10" t="str">
        <f aca="false">IF(OR(其他分录!$B219="",N(其他分录!$G219)=0),"",其他分录!$F219)</f>
        <v/>
      </c>
      <c r="I5433" s="42" t="n">
        <f aca="false">IF($M5433="借",$O5433,0)</f>
        <v>0</v>
      </c>
      <c r="J5433" s="42" t="n">
        <f aca="false">IF($M5433="贷",$O5433,0)</f>
        <v>0</v>
      </c>
      <c r="K5433" s="48" t="str">
        <f aca="false">IF($H5433="","",其他分录!$H219)</f>
        <v/>
      </c>
      <c r="L5433" s="66"/>
      <c r="M5433" s="66" t="str">
        <f aca="false">IF($H5433="","","贷")</f>
        <v/>
      </c>
      <c r="N5433" s="66"/>
      <c r="O5433" s="67" t="n">
        <f aca="false">IF($H5433="",0,ROUND(N(其他分录!$G219),2))</f>
        <v>0</v>
      </c>
      <c r="P5433" s="64" t="str">
        <f aca="false">IF(AND($H5433&lt;&gt;"",ROUND($O5433,2)&lt;&gt;0),"有","")</f>
        <v/>
      </c>
    </row>
    <row r="5434" customFormat="false" ht="15" hidden="true" customHeight="false" outlineLevel="0" collapsed="false">
      <c r="A5434" s="53" t="str">
        <f aca="false">IF($H5434="","",ROW()-5)</f>
        <v/>
      </c>
      <c r="B5434" s="64" t="s">
        <v>39</v>
      </c>
      <c r="C5434" s="53" t="n">
        <v>220</v>
      </c>
      <c r="D5434" s="53" t="n">
        <v>1</v>
      </c>
      <c r="E5434" s="65" t="str">
        <f aca="false">IF($H5434="","",其他分录!$B220)</f>
        <v/>
      </c>
      <c r="F5434" s="55" t="str">
        <f aca="false">IF($H5434="","",其他分录!$C220)</f>
        <v/>
      </c>
      <c r="G5434" s="48" t="str">
        <f aca="false">IF($H5434="","",其他分录!$D220)</f>
        <v/>
      </c>
      <c r="H5434" s="10" t="str">
        <f aca="false">IF(OR(其他分录!$B220="",N(其他分录!$G220)=0),"",其他分录!$E220)</f>
        <v/>
      </c>
      <c r="I5434" s="42" t="n">
        <f aca="false">IF($M5434="借",$O5434,0)</f>
        <v>0</v>
      </c>
      <c r="J5434" s="42" t="n">
        <f aca="false">IF($M5434="贷",$O5434,0)</f>
        <v>0</v>
      </c>
      <c r="K5434" s="48" t="str">
        <f aca="false">IF($H5434="","",其他分录!$H220)</f>
        <v/>
      </c>
      <c r="L5434" s="66"/>
      <c r="M5434" s="66" t="str">
        <f aca="false">IF($H5434="","","借")</f>
        <v/>
      </c>
      <c r="N5434" s="66"/>
      <c r="O5434" s="67" t="n">
        <f aca="false">IF($H5434="",0,ROUND(N(其他分录!$G220),2))</f>
        <v>0</v>
      </c>
      <c r="P5434" s="64" t="str">
        <f aca="false">IF(AND($H5434&lt;&gt;"",ROUND($O5434,2)&lt;&gt;0),"有","")</f>
        <v/>
      </c>
    </row>
    <row r="5435" customFormat="false" ht="15" hidden="true" customHeight="false" outlineLevel="0" collapsed="false">
      <c r="A5435" s="53" t="str">
        <f aca="false">IF($H5435="","",ROW()-5)</f>
        <v/>
      </c>
      <c r="B5435" s="64" t="s">
        <v>39</v>
      </c>
      <c r="C5435" s="53" t="n">
        <v>220</v>
      </c>
      <c r="D5435" s="53" t="n">
        <v>2</v>
      </c>
      <c r="E5435" s="65" t="str">
        <f aca="false">IF($H5435="","",其他分录!$B220)</f>
        <v/>
      </c>
      <c r="F5435" s="55" t="str">
        <f aca="false">IF($H5435="","",其他分录!$C220)</f>
        <v/>
      </c>
      <c r="G5435" s="48" t="str">
        <f aca="false">IF($H5435="","",其他分录!$D220)</f>
        <v/>
      </c>
      <c r="H5435" s="10" t="str">
        <f aca="false">IF(OR(其他分录!$B220="",N(其他分录!$G220)=0),"",其他分录!$F220)</f>
        <v/>
      </c>
      <c r="I5435" s="42" t="n">
        <f aca="false">IF($M5435="借",$O5435,0)</f>
        <v>0</v>
      </c>
      <c r="J5435" s="42" t="n">
        <f aca="false">IF($M5435="贷",$O5435,0)</f>
        <v>0</v>
      </c>
      <c r="K5435" s="48" t="str">
        <f aca="false">IF($H5435="","",其他分录!$H220)</f>
        <v/>
      </c>
      <c r="L5435" s="66"/>
      <c r="M5435" s="66" t="str">
        <f aca="false">IF($H5435="","","贷")</f>
        <v/>
      </c>
      <c r="N5435" s="66"/>
      <c r="O5435" s="67" t="n">
        <f aca="false">IF($H5435="",0,ROUND(N(其他分录!$G220),2))</f>
        <v>0</v>
      </c>
      <c r="P5435" s="64" t="str">
        <f aca="false">IF(AND($H5435&lt;&gt;"",ROUND($O5435,2)&lt;&gt;0),"有","")</f>
        <v/>
      </c>
    </row>
    <row r="5436" customFormat="false" ht="15" hidden="true" customHeight="false" outlineLevel="0" collapsed="false">
      <c r="A5436" s="53" t="str">
        <f aca="false">IF($H5436="","",ROW()-5)</f>
        <v/>
      </c>
      <c r="B5436" s="64" t="s">
        <v>39</v>
      </c>
      <c r="C5436" s="53" t="n">
        <v>221</v>
      </c>
      <c r="D5436" s="53" t="n">
        <v>1</v>
      </c>
      <c r="E5436" s="65" t="str">
        <f aca="false">IF($H5436="","",其他分录!$B221)</f>
        <v/>
      </c>
      <c r="F5436" s="55" t="str">
        <f aca="false">IF($H5436="","",其他分录!$C221)</f>
        <v/>
      </c>
      <c r="G5436" s="48" t="str">
        <f aca="false">IF($H5436="","",其他分录!$D221)</f>
        <v/>
      </c>
      <c r="H5436" s="10" t="str">
        <f aca="false">IF(OR(其他分录!$B221="",N(其他分录!$G221)=0),"",其他分录!$E221)</f>
        <v/>
      </c>
      <c r="I5436" s="42" t="n">
        <f aca="false">IF($M5436="借",$O5436,0)</f>
        <v>0</v>
      </c>
      <c r="J5436" s="42" t="n">
        <f aca="false">IF($M5436="贷",$O5436,0)</f>
        <v>0</v>
      </c>
      <c r="K5436" s="48" t="str">
        <f aca="false">IF($H5436="","",其他分录!$H221)</f>
        <v/>
      </c>
      <c r="L5436" s="66"/>
      <c r="M5436" s="66" t="str">
        <f aca="false">IF($H5436="","","借")</f>
        <v/>
      </c>
      <c r="N5436" s="66"/>
      <c r="O5436" s="67" t="n">
        <f aca="false">IF($H5436="",0,ROUND(N(其他分录!$G221),2))</f>
        <v>0</v>
      </c>
      <c r="P5436" s="64" t="str">
        <f aca="false">IF(AND($H5436&lt;&gt;"",ROUND($O5436,2)&lt;&gt;0),"有","")</f>
        <v/>
      </c>
    </row>
    <row r="5437" customFormat="false" ht="15" hidden="true" customHeight="false" outlineLevel="0" collapsed="false">
      <c r="A5437" s="53" t="str">
        <f aca="false">IF($H5437="","",ROW()-5)</f>
        <v/>
      </c>
      <c r="B5437" s="64" t="s">
        <v>39</v>
      </c>
      <c r="C5437" s="53" t="n">
        <v>221</v>
      </c>
      <c r="D5437" s="53" t="n">
        <v>2</v>
      </c>
      <c r="E5437" s="65" t="str">
        <f aca="false">IF($H5437="","",其他分录!$B221)</f>
        <v/>
      </c>
      <c r="F5437" s="55" t="str">
        <f aca="false">IF($H5437="","",其他分录!$C221)</f>
        <v/>
      </c>
      <c r="G5437" s="48" t="str">
        <f aca="false">IF($H5437="","",其他分录!$D221)</f>
        <v/>
      </c>
      <c r="H5437" s="10" t="str">
        <f aca="false">IF(OR(其他分录!$B221="",N(其他分录!$G221)=0),"",其他分录!$F221)</f>
        <v/>
      </c>
      <c r="I5437" s="42" t="n">
        <f aca="false">IF($M5437="借",$O5437,0)</f>
        <v>0</v>
      </c>
      <c r="J5437" s="42" t="n">
        <f aca="false">IF($M5437="贷",$O5437,0)</f>
        <v>0</v>
      </c>
      <c r="K5437" s="48" t="str">
        <f aca="false">IF($H5437="","",其他分录!$H221)</f>
        <v/>
      </c>
      <c r="L5437" s="66"/>
      <c r="M5437" s="66" t="str">
        <f aca="false">IF($H5437="","","贷")</f>
        <v/>
      </c>
      <c r="N5437" s="66"/>
      <c r="O5437" s="67" t="n">
        <f aca="false">IF($H5437="",0,ROUND(N(其他分录!$G221),2))</f>
        <v>0</v>
      </c>
      <c r="P5437" s="64" t="str">
        <f aca="false">IF(AND($H5437&lt;&gt;"",ROUND($O5437,2)&lt;&gt;0),"有","")</f>
        <v/>
      </c>
    </row>
    <row r="5438" customFormat="false" ht="15" hidden="true" customHeight="false" outlineLevel="0" collapsed="false">
      <c r="A5438" s="53" t="str">
        <f aca="false">IF($H5438="","",ROW()-5)</f>
        <v/>
      </c>
      <c r="B5438" s="64" t="s">
        <v>39</v>
      </c>
      <c r="C5438" s="53" t="n">
        <v>222</v>
      </c>
      <c r="D5438" s="53" t="n">
        <v>1</v>
      </c>
      <c r="E5438" s="65" t="str">
        <f aca="false">IF($H5438="","",其他分录!$B222)</f>
        <v/>
      </c>
      <c r="F5438" s="55" t="str">
        <f aca="false">IF($H5438="","",其他分录!$C222)</f>
        <v/>
      </c>
      <c r="G5438" s="48" t="str">
        <f aca="false">IF($H5438="","",其他分录!$D222)</f>
        <v/>
      </c>
      <c r="H5438" s="10" t="str">
        <f aca="false">IF(OR(其他分录!$B222="",N(其他分录!$G222)=0),"",其他分录!$E222)</f>
        <v/>
      </c>
      <c r="I5438" s="42" t="n">
        <f aca="false">IF($M5438="借",$O5438,0)</f>
        <v>0</v>
      </c>
      <c r="J5438" s="42" t="n">
        <f aca="false">IF($M5438="贷",$O5438,0)</f>
        <v>0</v>
      </c>
      <c r="K5438" s="48" t="str">
        <f aca="false">IF($H5438="","",其他分录!$H222)</f>
        <v/>
      </c>
      <c r="L5438" s="66"/>
      <c r="M5438" s="66" t="str">
        <f aca="false">IF($H5438="","","借")</f>
        <v/>
      </c>
      <c r="N5438" s="66"/>
      <c r="O5438" s="67" t="n">
        <f aca="false">IF($H5438="",0,ROUND(N(其他分录!$G222),2))</f>
        <v>0</v>
      </c>
      <c r="P5438" s="64" t="str">
        <f aca="false">IF(AND($H5438&lt;&gt;"",ROUND($O5438,2)&lt;&gt;0),"有","")</f>
        <v/>
      </c>
    </row>
    <row r="5439" customFormat="false" ht="15" hidden="true" customHeight="false" outlineLevel="0" collapsed="false">
      <c r="A5439" s="53" t="str">
        <f aca="false">IF($H5439="","",ROW()-5)</f>
        <v/>
      </c>
      <c r="B5439" s="64" t="s">
        <v>39</v>
      </c>
      <c r="C5439" s="53" t="n">
        <v>222</v>
      </c>
      <c r="D5439" s="53" t="n">
        <v>2</v>
      </c>
      <c r="E5439" s="65" t="str">
        <f aca="false">IF($H5439="","",其他分录!$B222)</f>
        <v/>
      </c>
      <c r="F5439" s="55" t="str">
        <f aca="false">IF($H5439="","",其他分录!$C222)</f>
        <v/>
      </c>
      <c r="G5439" s="48" t="str">
        <f aca="false">IF($H5439="","",其他分录!$D222)</f>
        <v/>
      </c>
      <c r="H5439" s="10" t="str">
        <f aca="false">IF(OR(其他分录!$B222="",N(其他分录!$G222)=0),"",其他分录!$F222)</f>
        <v/>
      </c>
      <c r="I5439" s="42" t="n">
        <f aca="false">IF($M5439="借",$O5439,0)</f>
        <v>0</v>
      </c>
      <c r="J5439" s="42" t="n">
        <f aca="false">IF($M5439="贷",$O5439,0)</f>
        <v>0</v>
      </c>
      <c r="K5439" s="48" t="str">
        <f aca="false">IF($H5439="","",其他分录!$H222)</f>
        <v/>
      </c>
      <c r="L5439" s="66"/>
      <c r="M5439" s="66" t="str">
        <f aca="false">IF($H5439="","","贷")</f>
        <v/>
      </c>
      <c r="N5439" s="66"/>
      <c r="O5439" s="67" t="n">
        <f aca="false">IF($H5439="",0,ROUND(N(其他分录!$G222),2))</f>
        <v>0</v>
      </c>
      <c r="P5439" s="64" t="str">
        <f aca="false">IF(AND($H5439&lt;&gt;"",ROUND($O5439,2)&lt;&gt;0),"有","")</f>
        <v/>
      </c>
    </row>
    <row r="5440" customFormat="false" ht="15" hidden="true" customHeight="false" outlineLevel="0" collapsed="false">
      <c r="A5440" s="53" t="str">
        <f aca="false">IF($H5440="","",ROW()-5)</f>
        <v/>
      </c>
      <c r="B5440" s="64" t="s">
        <v>39</v>
      </c>
      <c r="C5440" s="53" t="n">
        <v>223</v>
      </c>
      <c r="D5440" s="53" t="n">
        <v>1</v>
      </c>
      <c r="E5440" s="65" t="str">
        <f aca="false">IF($H5440="","",其他分录!$B223)</f>
        <v/>
      </c>
      <c r="F5440" s="55" t="str">
        <f aca="false">IF($H5440="","",其他分录!$C223)</f>
        <v/>
      </c>
      <c r="G5440" s="48" t="str">
        <f aca="false">IF($H5440="","",其他分录!$D223)</f>
        <v/>
      </c>
      <c r="H5440" s="10" t="str">
        <f aca="false">IF(OR(其他分录!$B223="",N(其他分录!$G223)=0),"",其他分录!$E223)</f>
        <v/>
      </c>
      <c r="I5440" s="42" t="n">
        <f aca="false">IF($M5440="借",$O5440,0)</f>
        <v>0</v>
      </c>
      <c r="J5440" s="42" t="n">
        <f aca="false">IF($M5440="贷",$O5440,0)</f>
        <v>0</v>
      </c>
      <c r="K5440" s="48" t="str">
        <f aca="false">IF($H5440="","",其他分录!$H223)</f>
        <v/>
      </c>
      <c r="L5440" s="66"/>
      <c r="M5440" s="66" t="str">
        <f aca="false">IF($H5440="","","借")</f>
        <v/>
      </c>
      <c r="N5440" s="66"/>
      <c r="O5440" s="67" t="n">
        <f aca="false">IF($H5440="",0,ROUND(N(其他分录!$G223),2))</f>
        <v>0</v>
      </c>
      <c r="P5440" s="64" t="str">
        <f aca="false">IF(AND($H5440&lt;&gt;"",ROUND($O5440,2)&lt;&gt;0),"有","")</f>
        <v/>
      </c>
    </row>
    <row r="5441" customFormat="false" ht="15" hidden="true" customHeight="false" outlineLevel="0" collapsed="false">
      <c r="A5441" s="53" t="str">
        <f aca="false">IF($H5441="","",ROW()-5)</f>
        <v/>
      </c>
      <c r="B5441" s="64" t="s">
        <v>39</v>
      </c>
      <c r="C5441" s="53" t="n">
        <v>223</v>
      </c>
      <c r="D5441" s="53" t="n">
        <v>2</v>
      </c>
      <c r="E5441" s="65" t="str">
        <f aca="false">IF($H5441="","",其他分录!$B223)</f>
        <v/>
      </c>
      <c r="F5441" s="55" t="str">
        <f aca="false">IF($H5441="","",其他分录!$C223)</f>
        <v/>
      </c>
      <c r="G5441" s="48" t="str">
        <f aca="false">IF($H5441="","",其他分录!$D223)</f>
        <v/>
      </c>
      <c r="H5441" s="10" t="str">
        <f aca="false">IF(OR(其他分录!$B223="",N(其他分录!$G223)=0),"",其他分录!$F223)</f>
        <v/>
      </c>
      <c r="I5441" s="42" t="n">
        <f aca="false">IF($M5441="借",$O5441,0)</f>
        <v>0</v>
      </c>
      <c r="J5441" s="42" t="n">
        <f aca="false">IF($M5441="贷",$O5441,0)</f>
        <v>0</v>
      </c>
      <c r="K5441" s="48" t="str">
        <f aca="false">IF($H5441="","",其他分录!$H223)</f>
        <v/>
      </c>
      <c r="L5441" s="66"/>
      <c r="M5441" s="66" t="str">
        <f aca="false">IF($H5441="","","贷")</f>
        <v/>
      </c>
      <c r="N5441" s="66"/>
      <c r="O5441" s="67" t="n">
        <f aca="false">IF($H5441="",0,ROUND(N(其他分录!$G223),2))</f>
        <v>0</v>
      </c>
      <c r="P5441" s="64" t="str">
        <f aca="false">IF(AND($H5441&lt;&gt;"",ROUND($O5441,2)&lt;&gt;0),"有","")</f>
        <v/>
      </c>
    </row>
    <row r="5442" customFormat="false" ht="15" hidden="true" customHeight="false" outlineLevel="0" collapsed="false">
      <c r="A5442" s="53" t="str">
        <f aca="false">IF($H5442="","",ROW()-5)</f>
        <v/>
      </c>
      <c r="B5442" s="64" t="s">
        <v>39</v>
      </c>
      <c r="C5442" s="53" t="n">
        <v>224</v>
      </c>
      <c r="D5442" s="53" t="n">
        <v>1</v>
      </c>
      <c r="E5442" s="65" t="str">
        <f aca="false">IF($H5442="","",其他分录!$B224)</f>
        <v/>
      </c>
      <c r="F5442" s="55" t="str">
        <f aca="false">IF($H5442="","",其他分录!$C224)</f>
        <v/>
      </c>
      <c r="G5442" s="48" t="str">
        <f aca="false">IF($H5442="","",其他分录!$D224)</f>
        <v/>
      </c>
      <c r="H5442" s="10" t="str">
        <f aca="false">IF(OR(其他分录!$B224="",N(其他分录!$G224)=0),"",其他分录!$E224)</f>
        <v/>
      </c>
      <c r="I5442" s="42" t="n">
        <f aca="false">IF($M5442="借",$O5442,0)</f>
        <v>0</v>
      </c>
      <c r="J5442" s="42" t="n">
        <f aca="false">IF($M5442="贷",$O5442,0)</f>
        <v>0</v>
      </c>
      <c r="K5442" s="48" t="str">
        <f aca="false">IF($H5442="","",其他分录!$H224)</f>
        <v/>
      </c>
      <c r="L5442" s="66"/>
      <c r="M5442" s="66" t="str">
        <f aca="false">IF($H5442="","","借")</f>
        <v/>
      </c>
      <c r="N5442" s="66"/>
      <c r="O5442" s="67" t="n">
        <f aca="false">IF($H5442="",0,ROUND(N(其他分录!$G224),2))</f>
        <v>0</v>
      </c>
      <c r="P5442" s="64" t="str">
        <f aca="false">IF(AND($H5442&lt;&gt;"",ROUND($O5442,2)&lt;&gt;0),"有","")</f>
        <v/>
      </c>
    </row>
    <row r="5443" customFormat="false" ht="15" hidden="true" customHeight="false" outlineLevel="0" collapsed="false">
      <c r="A5443" s="53" t="str">
        <f aca="false">IF($H5443="","",ROW()-5)</f>
        <v/>
      </c>
      <c r="B5443" s="64" t="s">
        <v>39</v>
      </c>
      <c r="C5443" s="53" t="n">
        <v>224</v>
      </c>
      <c r="D5443" s="53" t="n">
        <v>2</v>
      </c>
      <c r="E5443" s="65" t="str">
        <f aca="false">IF($H5443="","",其他分录!$B224)</f>
        <v/>
      </c>
      <c r="F5443" s="55" t="str">
        <f aca="false">IF($H5443="","",其他分录!$C224)</f>
        <v/>
      </c>
      <c r="G5443" s="48" t="str">
        <f aca="false">IF($H5443="","",其他分录!$D224)</f>
        <v/>
      </c>
      <c r="H5443" s="10" t="str">
        <f aca="false">IF(OR(其他分录!$B224="",N(其他分录!$G224)=0),"",其他分录!$F224)</f>
        <v/>
      </c>
      <c r="I5443" s="42" t="n">
        <f aca="false">IF($M5443="借",$O5443,0)</f>
        <v>0</v>
      </c>
      <c r="J5443" s="42" t="n">
        <f aca="false">IF($M5443="贷",$O5443,0)</f>
        <v>0</v>
      </c>
      <c r="K5443" s="48" t="str">
        <f aca="false">IF($H5443="","",其他分录!$H224)</f>
        <v/>
      </c>
      <c r="L5443" s="66"/>
      <c r="M5443" s="66" t="str">
        <f aca="false">IF($H5443="","","贷")</f>
        <v/>
      </c>
      <c r="N5443" s="66"/>
      <c r="O5443" s="67" t="n">
        <f aca="false">IF($H5443="",0,ROUND(N(其他分录!$G224),2))</f>
        <v>0</v>
      </c>
      <c r="P5443" s="64" t="str">
        <f aca="false">IF(AND($H5443&lt;&gt;"",ROUND($O5443,2)&lt;&gt;0),"有","")</f>
        <v/>
      </c>
    </row>
    <row r="5444" customFormat="false" ht="15" hidden="true" customHeight="false" outlineLevel="0" collapsed="false">
      <c r="A5444" s="53" t="str">
        <f aca="false">IF($H5444="","",ROW()-5)</f>
        <v/>
      </c>
      <c r="B5444" s="64" t="s">
        <v>39</v>
      </c>
      <c r="C5444" s="53" t="n">
        <v>225</v>
      </c>
      <c r="D5444" s="53" t="n">
        <v>1</v>
      </c>
      <c r="E5444" s="65" t="str">
        <f aca="false">IF($H5444="","",其他分录!$B225)</f>
        <v/>
      </c>
      <c r="F5444" s="55" t="str">
        <f aca="false">IF($H5444="","",其他分录!$C225)</f>
        <v/>
      </c>
      <c r="G5444" s="48" t="str">
        <f aca="false">IF($H5444="","",其他分录!$D225)</f>
        <v/>
      </c>
      <c r="H5444" s="10" t="str">
        <f aca="false">IF(OR(其他分录!$B225="",N(其他分录!$G225)=0),"",其他分录!$E225)</f>
        <v/>
      </c>
      <c r="I5444" s="42" t="n">
        <f aca="false">IF($M5444="借",$O5444,0)</f>
        <v>0</v>
      </c>
      <c r="J5444" s="42" t="n">
        <f aca="false">IF($M5444="贷",$O5444,0)</f>
        <v>0</v>
      </c>
      <c r="K5444" s="48" t="str">
        <f aca="false">IF($H5444="","",其他分录!$H225)</f>
        <v/>
      </c>
      <c r="L5444" s="66"/>
      <c r="M5444" s="66" t="str">
        <f aca="false">IF($H5444="","","借")</f>
        <v/>
      </c>
      <c r="N5444" s="66"/>
      <c r="O5444" s="67" t="n">
        <f aca="false">IF($H5444="",0,ROUND(N(其他分录!$G225),2))</f>
        <v>0</v>
      </c>
      <c r="P5444" s="64" t="str">
        <f aca="false">IF(AND($H5444&lt;&gt;"",ROUND($O5444,2)&lt;&gt;0),"有","")</f>
        <v/>
      </c>
    </row>
    <row r="5445" customFormat="false" ht="15" hidden="true" customHeight="false" outlineLevel="0" collapsed="false">
      <c r="A5445" s="53" t="str">
        <f aca="false">IF($H5445="","",ROW()-5)</f>
        <v/>
      </c>
      <c r="B5445" s="64" t="s">
        <v>39</v>
      </c>
      <c r="C5445" s="53" t="n">
        <v>225</v>
      </c>
      <c r="D5445" s="53" t="n">
        <v>2</v>
      </c>
      <c r="E5445" s="65" t="str">
        <f aca="false">IF($H5445="","",其他分录!$B225)</f>
        <v/>
      </c>
      <c r="F5445" s="55" t="str">
        <f aca="false">IF($H5445="","",其他分录!$C225)</f>
        <v/>
      </c>
      <c r="G5445" s="48" t="str">
        <f aca="false">IF($H5445="","",其他分录!$D225)</f>
        <v/>
      </c>
      <c r="H5445" s="10" t="str">
        <f aca="false">IF(OR(其他分录!$B225="",N(其他分录!$G225)=0),"",其他分录!$F225)</f>
        <v/>
      </c>
      <c r="I5445" s="42" t="n">
        <f aca="false">IF($M5445="借",$O5445,0)</f>
        <v>0</v>
      </c>
      <c r="J5445" s="42" t="n">
        <f aca="false">IF($M5445="贷",$O5445,0)</f>
        <v>0</v>
      </c>
      <c r="K5445" s="48" t="str">
        <f aca="false">IF($H5445="","",其他分录!$H225)</f>
        <v/>
      </c>
      <c r="L5445" s="66"/>
      <c r="M5445" s="66" t="str">
        <f aca="false">IF($H5445="","","贷")</f>
        <v/>
      </c>
      <c r="N5445" s="66"/>
      <c r="O5445" s="67" t="n">
        <f aca="false">IF($H5445="",0,ROUND(N(其他分录!$G225),2))</f>
        <v>0</v>
      </c>
      <c r="P5445" s="64" t="str">
        <f aca="false">IF(AND($H5445&lt;&gt;"",ROUND($O5445,2)&lt;&gt;0),"有","")</f>
        <v/>
      </c>
    </row>
    <row r="5446" customFormat="false" ht="15" hidden="true" customHeight="false" outlineLevel="0" collapsed="false">
      <c r="A5446" s="53" t="str">
        <f aca="false">IF($H5446="","",ROW()-5)</f>
        <v/>
      </c>
      <c r="B5446" s="64" t="s">
        <v>39</v>
      </c>
      <c r="C5446" s="53" t="n">
        <v>226</v>
      </c>
      <c r="D5446" s="53" t="n">
        <v>1</v>
      </c>
      <c r="E5446" s="65" t="str">
        <f aca="false">IF($H5446="","",其他分录!$B226)</f>
        <v/>
      </c>
      <c r="F5446" s="55" t="str">
        <f aca="false">IF($H5446="","",其他分录!$C226)</f>
        <v/>
      </c>
      <c r="G5446" s="48" t="str">
        <f aca="false">IF($H5446="","",其他分录!$D226)</f>
        <v/>
      </c>
      <c r="H5446" s="10" t="str">
        <f aca="false">IF(OR(其他分录!$B226="",N(其他分录!$G226)=0),"",其他分录!$E226)</f>
        <v/>
      </c>
      <c r="I5446" s="42" t="n">
        <f aca="false">IF($M5446="借",$O5446,0)</f>
        <v>0</v>
      </c>
      <c r="J5446" s="42" t="n">
        <f aca="false">IF($M5446="贷",$O5446,0)</f>
        <v>0</v>
      </c>
      <c r="K5446" s="48" t="str">
        <f aca="false">IF($H5446="","",其他分录!$H226)</f>
        <v/>
      </c>
      <c r="L5446" s="66"/>
      <c r="M5446" s="66" t="str">
        <f aca="false">IF($H5446="","","借")</f>
        <v/>
      </c>
      <c r="N5446" s="66"/>
      <c r="O5446" s="67" t="n">
        <f aca="false">IF($H5446="",0,ROUND(N(其他分录!$G226),2))</f>
        <v>0</v>
      </c>
      <c r="P5446" s="64" t="str">
        <f aca="false">IF(AND($H5446&lt;&gt;"",ROUND($O5446,2)&lt;&gt;0),"有","")</f>
        <v/>
      </c>
    </row>
    <row r="5447" customFormat="false" ht="15" hidden="true" customHeight="false" outlineLevel="0" collapsed="false">
      <c r="A5447" s="53" t="str">
        <f aca="false">IF($H5447="","",ROW()-5)</f>
        <v/>
      </c>
      <c r="B5447" s="64" t="s">
        <v>39</v>
      </c>
      <c r="C5447" s="53" t="n">
        <v>226</v>
      </c>
      <c r="D5447" s="53" t="n">
        <v>2</v>
      </c>
      <c r="E5447" s="65" t="str">
        <f aca="false">IF($H5447="","",其他分录!$B226)</f>
        <v/>
      </c>
      <c r="F5447" s="55" t="str">
        <f aca="false">IF($H5447="","",其他分录!$C226)</f>
        <v/>
      </c>
      <c r="G5447" s="48" t="str">
        <f aca="false">IF($H5447="","",其他分录!$D226)</f>
        <v/>
      </c>
      <c r="H5447" s="10" t="str">
        <f aca="false">IF(OR(其他分录!$B226="",N(其他分录!$G226)=0),"",其他分录!$F226)</f>
        <v/>
      </c>
      <c r="I5447" s="42" t="n">
        <f aca="false">IF($M5447="借",$O5447,0)</f>
        <v>0</v>
      </c>
      <c r="J5447" s="42" t="n">
        <f aca="false">IF($M5447="贷",$O5447,0)</f>
        <v>0</v>
      </c>
      <c r="K5447" s="48" t="str">
        <f aca="false">IF($H5447="","",其他分录!$H226)</f>
        <v/>
      </c>
      <c r="L5447" s="66"/>
      <c r="M5447" s="66" t="str">
        <f aca="false">IF($H5447="","","贷")</f>
        <v/>
      </c>
      <c r="N5447" s="66"/>
      <c r="O5447" s="67" t="n">
        <f aca="false">IF($H5447="",0,ROUND(N(其他分录!$G226),2))</f>
        <v>0</v>
      </c>
      <c r="P5447" s="64" t="str">
        <f aca="false">IF(AND($H5447&lt;&gt;"",ROUND($O5447,2)&lt;&gt;0),"有","")</f>
        <v/>
      </c>
    </row>
    <row r="5448" customFormat="false" ht="15" hidden="true" customHeight="false" outlineLevel="0" collapsed="false">
      <c r="A5448" s="53" t="str">
        <f aca="false">IF($H5448="","",ROW()-5)</f>
        <v/>
      </c>
      <c r="B5448" s="64" t="s">
        <v>39</v>
      </c>
      <c r="C5448" s="53" t="n">
        <v>227</v>
      </c>
      <c r="D5448" s="53" t="n">
        <v>1</v>
      </c>
      <c r="E5448" s="65" t="str">
        <f aca="false">IF($H5448="","",其他分录!$B227)</f>
        <v/>
      </c>
      <c r="F5448" s="55" t="str">
        <f aca="false">IF($H5448="","",其他分录!$C227)</f>
        <v/>
      </c>
      <c r="G5448" s="48" t="str">
        <f aca="false">IF($H5448="","",其他分录!$D227)</f>
        <v/>
      </c>
      <c r="H5448" s="10" t="str">
        <f aca="false">IF(OR(其他分录!$B227="",N(其他分录!$G227)=0),"",其他分录!$E227)</f>
        <v/>
      </c>
      <c r="I5448" s="42" t="n">
        <f aca="false">IF($M5448="借",$O5448,0)</f>
        <v>0</v>
      </c>
      <c r="J5448" s="42" t="n">
        <f aca="false">IF($M5448="贷",$O5448,0)</f>
        <v>0</v>
      </c>
      <c r="K5448" s="48" t="str">
        <f aca="false">IF($H5448="","",其他分录!$H227)</f>
        <v/>
      </c>
      <c r="L5448" s="66"/>
      <c r="M5448" s="66" t="str">
        <f aca="false">IF($H5448="","","借")</f>
        <v/>
      </c>
      <c r="N5448" s="66"/>
      <c r="O5448" s="67" t="n">
        <f aca="false">IF($H5448="",0,ROUND(N(其他分录!$G227),2))</f>
        <v>0</v>
      </c>
      <c r="P5448" s="64" t="str">
        <f aca="false">IF(AND($H5448&lt;&gt;"",ROUND($O5448,2)&lt;&gt;0),"有","")</f>
        <v/>
      </c>
    </row>
    <row r="5449" customFormat="false" ht="15" hidden="true" customHeight="false" outlineLevel="0" collapsed="false">
      <c r="A5449" s="53" t="str">
        <f aca="false">IF($H5449="","",ROW()-5)</f>
        <v/>
      </c>
      <c r="B5449" s="64" t="s">
        <v>39</v>
      </c>
      <c r="C5449" s="53" t="n">
        <v>227</v>
      </c>
      <c r="D5449" s="53" t="n">
        <v>2</v>
      </c>
      <c r="E5449" s="65" t="str">
        <f aca="false">IF($H5449="","",其他分录!$B227)</f>
        <v/>
      </c>
      <c r="F5449" s="55" t="str">
        <f aca="false">IF($H5449="","",其他分录!$C227)</f>
        <v/>
      </c>
      <c r="G5449" s="48" t="str">
        <f aca="false">IF($H5449="","",其他分录!$D227)</f>
        <v/>
      </c>
      <c r="H5449" s="10" t="str">
        <f aca="false">IF(OR(其他分录!$B227="",N(其他分录!$G227)=0),"",其他分录!$F227)</f>
        <v/>
      </c>
      <c r="I5449" s="42" t="n">
        <f aca="false">IF($M5449="借",$O5449,0)</f>
        <v>0</v>
      </c>
      <c r="J5449" s="42" t="n">
        <f aca="false">IF($M5449="贷",$O5449,0)</f>
        <v>0</v>
      </c>
      <c r="K5449" s="48" t="str">
        <f aca="false">IF($H5449="","",其他分录!$H227)</f>
        <v/>
      </c>
      <c r="L5449" s="66"/>
      <c r="M5449" s="66" t="str">
        <f aca="false">IF($H5449="","","贷")</f>
        <v/>
      </c>
      <c r="N5449" s="66"/>
      <c r="O5449" s="67" t="n">
        <f aca="false">IF($H5449="",0,ROUND(N(其他分录!$G227),2))</f>
        <v>0</v>
      </c>
      <c r="P5449" s="64" t="str">
        <f aca="false">IF(AND($H5449&lt;&gt;"",ROUND($O5449,2)&lt;&gt;0),"有","")</f>
        <v/>
      </c>
    </row>
    <row r="5450" customFormat="false" ht="15" hidden="true" customHeight="false" outlineLevel="0" collapsed="false">
      <c r="A5450" s="53" t="str">
        <f aca="false">IF($H5450="","",ROW()-5)</f>
        <v/>
      </c>
      <c r="B5450" s="64" t="s">
        <v>39</v>
      </c>
      <c r="C5450" s="53" t="n">
        <v>228</v>
      </c>
      <c r="D5450" s="53" t="n">
        <v>1</v>
      </c>
      <c r="E5450" s="65" t="str">
        <f aca="false">IF($H5450="","",其他分录!$B228)</f>
        <v/>
      </c>
      <c r="F5450" s="55" t="str">
        <f aca="false">IF($H5450="","",其他分录!$C228)</f>
        <v/>
      </c>
      <c r="G5450" s="48" t="str">
        <f aca="false">IF($H5450="","",其他分录!$D228)</f>
        <v/>
      </c>
      <c r="H5450" s="10" t="str">
        <f aca="false">IF(OR(其他分录!$B228="",N(其他分录!$G228)=0),"",其他分录!$E228)</f>
        <v/>
      </c>
      <c r="I5450" s="42" t="n">
        <f aca="false">IF($M5450="借",$O5450,0)</f>
        <v>0</v>
      </c>
      <c r="J5450" s="42" t="n">
        <f aca="false">IF($M5450="贷",$O5450,0)</f>
        <v>0</v>
      </c>
      <c r="K5450" s="48" t="str">
        <f aca="false">IF($H5450="","",其他分录!$H228)</f>
        <v/>
      </c>
      <c r="L5450" s="66"/>
      <c r="M5450" s="66" t="str">
        <f aca="false">IF($H5450="","","借")</f>
        <v/>
      </c>
      <c r="N5450" s="66"/>
      <c r="O5450" s="67" t="n">
        <f aca="false">IF($H5450="",0,ROUND(N(其他分录!$G228),2))</f>
        <v>0</v>
      </c>
      <c r="P5450" s="64" t="str">
        <f aca="false">IF(AND($H5450&lt;&gt;"",ROUND($O5450,2)&lt;&gt;0),"有","")</f>
        <v/>
      </c>
    </row>
    <row r="5451" customFormat="false" ht="15" hidden="true" customHeight="false" outlineLevel="0" collapsed="false">
      <c r="A5451" s="53" t="str">
        <f aca="false">IF($H5451="","",ROW()-5)</f>
        <v/>
      </c>
      <c r="B5451" s="64" t="s">
        <v>39</v>
      </c>
      <c r="C5451" s="53" t="n">
        <v>228</v>
      </c>
      <c r="D5451" s="53" t="n">
        <v>2</v>
      </c>
      <c r="E5451" s="65" t="str">
        <f aca="false">IF($H5451="","",其他分录!$B228)</f>
        <v/>
      </c>
      <c r="F5451" s="55" t="str">
        <f aca="false">IF($H5451="","",其他分录!$C228)</f>
        <v/>
      </c>
      <c r="G5451" s="48" t="str">
        <f aca="false">IF($H5451="","",其他分录!$D228)</f>
        <v/>
      </c>
      <c r="H5451" s="10" t="str">
        <f aca="false">IF(OR(其他分录!$B228="",N(其他分录!$G228)=0),"",其他分录!$F228)</f>
        <v/>
      </c>
      <c r="I5451" s="42" t="n">
        <f aca="false">IF($M5451="借",$O5451,0)</f>
        <v>0</v>
      </c>
      <c r="J5451" s="42" t="n">
        <f aca="false">IF($M5451="贷",$O5451,0)</f>
        <v>0</v>
      </c>
      <c r="K5451" s="48" t="str">
        <f aca="false">IF($H5451="","",其他分录!$H228)</f>
        <v/>
      </c>
      <c r="L5451" s="66"/>
      <c r="M5451" s="66" t="str">
        <f aca="false">IF($H5451="","","贷")</f>
        <v/>
      </c>
      <c r="N5451" s="66"/>
      <c r="O5451" s="67" t="n">
        <f aca="false">IF($H5451="",0,ROUND(N(其他分录!$G228),2))</f>
        <v>0</v>
      </c>
      <c r="P5451" s="64" t="str">
        <f aca="false">IF(AND($H5451&lt;&gt;"",ROUND($O5451,2)&lt;&gt;0),"有","")</f>
        <v/>
      </c>
    </row>
    <row r="5452" customFormat="false" ht="15" hidden="true" customHeight="false" outlineLevel="0" collapsed="false">
      <c r="A5452" s="53" t="str">
        <f aca="false">IF($H5452="","",ROW()-5)</f>
        <v/>
      </c>
      <c r="B5452" s="64" t="s">
        <v>39</v>
      </c>
      <c r="C5452" s="53" t="n">
        <v>229</v>
      </c>
      <c r="D5452" s="53" t="n">
        <v>1</v>
      </c>
      <c r="E5452" s="65" t="str">
        <f aca="false">IF($H5452="","",其他分录!$B229)</f>
        <v/>
      </c>
      <c r="F5452" s="55" t="str">
        <f aca="false">IF($H5452="","",其他分录!$C229)</f>
        <v/>
      </c>
      <c r="G5452" s="48" t="str">
        <f aca="false">IF($H5452="","",其他分录!$D229)</f>
        <v/>
      </c>
      <c r="H5452" s="10" t="str">
        <f aca="false">IF(OR(其他分录!$B229="",N(其他分录!$G229)=0),"",其他分录!$E229)</f>
        <v/>
      </c>
      <c r="I5452" s="42" t="n">
        <f aca="false">IF($M5452="借",$O5452,0)</f>
        <v>0</v>
      </c>
      <c r="J5452" s="42" t="n">
        <f aca="false">IF($M5452="贷",$O5452,0)</f>
        <v>0</v>
      </c>
      <c r="K5452" s="48" t="str">
        <f aca="false">IF($H5452="","",其他分录!$H229)</f>
        <v/>
      </c>
      <c r="L5452" s="66"/>
      <c r="M5452" s="66" t="str">
        <f aca="false">IF($H5452="","","借")</f>
        <v/>
      </c>
      <c r="N5452" s="66"/>
      <c r="O5452" s="67" t="n">
        <f aca="false">IF($H5452="",0,ROUND(N(其他分录!$G229),2))</f>
        <v>0</v>
      </c>
      <c r="P5452" s="64" t="str">
        <f aca="false">IF(AND($H5452&lt;&gt;"",ROUND($O5452,2)&lt;&gt;0),"有","")</f>
        <v/>
      </c>
    </row>
    <row r="5453" customFormat="false" ht="15" hidden="true" customHeight="false" outlineLevel="0" collapsed="false">
      <c r="A5453" s="53" t="str">
        <f aca="false">IF($H5453="","",ROW()-5)</f>
        <v/>
      </c>
      <c r="B5453" s="64" t="s">
        <v>39</v>
      </c>
      <c r="C5453" s="53" t="n">
        <v>229</v>
      </c>
      <c r="D5453" s="53" t="n">
        <v>2</v>
      </c>
      <c r="E5453" s="65" t="str">
        <f aca="false">IF($H5453="","",其他分录!$B229)</f>
        <v/>
      </c>
      <c r="F5453" s="55" t="str">
        <f aca="false">IF($H5453="","",其他分录!$C229)</f>
        <v/>
      </c>
      <c r="G5453" s="48" t="str">
        <f aca="false">IF($H5453="","",其他分录!$D229)</f>
        <v/>
      </c>
      <c r="H5453" s="10" t="str">
        <f aca="false">IF(OR(其他分录!$B229="",N(其他分录!$G229)=0),"",其他分录!$F229)</f>
        <v/>
      </c>
      <c r="I5453" s="42" t="n">
        <f aca="false">IF($M5453="借",$O5453,0)</f>
        <v>0</v>
      </c>
      <c r="J5453" s="42" t="n">
        <f aca="false">IF($M5453="贷",$O5453,0)</f>
        <v>0</v>
      </c>
      <c r="K5453" s="48" t="str">
        <f aca="false">IF($H5453="","",其他分录!$H229)</f>
        <v/>
      </c>
      <c r="L5453" s="66"/>
      <c r="M5453" s="66" t="str">
        <f aca="false">IF($H5453="","","贷")</f>
        <v/>
      </c>
      <c r="N5453" s="66"/>
      <c r="O5453" s="67" t="n">
        <f aca="false">IF($H5453="",0,ROUND(N(其他分录!$G229),2))</f>
        <v>0</v>
      </c>
      <c r="P5453" s="64" t="str">
        <f aca="false">IF(AND($H5453&lt;&gt;"",ROUND($O5453,2)&lt;&gt;0),"有","")</f>
        <v/>
      </c>
    </row>
    <row r="5454" customFormat="false" ht="15" hidden="true" customHeight="false" outlineLevel="0" collapsed="false">
      <c r="A5454" s="53" t="str">
        <f aca="false">IF($H5454="","",ROW()-5)</f>
        <v/>
      </c>
      <c r="B5454" s="64" t="s">
        <v>39</v>
      </c>
      <c r="C5454" s="53" t="n">
        <v>230</v>
      </c>
      <c r="D5454" s="53" t="n">
        <v>1</v>
      </c>
      <c r="E5454" s="65" t="str">
        <f aca="false">IF($H5454="","",其他分录!$B230)</f>
        <v/>
      </c>
      <c r="F5454" s="55" t="str">
        <f aca="false">IF($H5454="","",其他分录!$C230)</f>
        <v/>
      </c>
      <c r="G5454" s="48" t="str">
        <f aca="false">IF($H5454="","",其他分录!$D230)</f>
        <v/>
      </c>
      <c r="H5454" s="10" t="str">
        <f aca="false">IF(OR(其他分录!$B230="",N(其他分录!$G230)=0),"",其他分录!$E230)</f>
        <v/>
      </c>
      <c r="I5454" s="42" t="n">
        <f aca="false">IF($M5454="借",$O5454,0)</f>
        <v>0</v>
      </c>
      <c r="J5454" s="42" t="n">
        <f aca="false">IF($M5454="贷",$O5454,0)</f>
        <v>0</v>
      </c>
      <c r="K5454" s="48" t="str">
        <f aca="false">IF($H5454="","",其他分录!$H230)</f>
        <v/>
      </c>
      <c r="L5454" s="66"/>
      <c r="M5454" s="66" t="str">
        <f aca="false">IF($H5454="","","借")</f>
        <v/>
      </c>
      <c r="N5454" s="66"/>
      <c r="O5454" s="67" t="n">
        <f aca="false">IF($H5454="",0,ROUND(N(其他分录!$G230),2))</f>
        <v>0</v>
      </c>
      <c r="P5454" s="64" t="str">
        <f aca="false">IF(AND($H5454&lt;&gt;"",ROUND($O5454,2)&lt;&gt;0),"有","")</f>
        <v/>
      </c>
    </row>
    <row r="5455" customFormat="false" ht="15" hidden="true" customHeight="false" outlineLevel="0" collapsed="false">
      <c r="A5455" s="53" t="str">
        <f aca="false">IF($H5455="","",ROW()-5)</f>
        <v/>
      </c>
      <c r="B5455" s="64" t="s">
        <v>39</v>
      </c>
      <c r="C5455" s="53" t="n">
        <v>230</v>
      </c>
      <c r="D5455" s="53" t="n">
        <v>2</v>
      </c>
      <c r="E5455" s="65" t="str">
        <f aca="false">IF($H5455="","",其他分录!$B230)</f>
        <v/>
      </c>
      <c r="F5455" s="55" t="str">
        <f aca="false">IF($H5455="","",其他分录!$C230)</f>
        <v/>
      </c>
      <c r="G5455" s="48" t="str">
        <f aca="false">IF($H5455="","",其他分录!$D230)</f>
        <v/>
      </c>
      <c r="H5455" s="10" t="str">
        <f aca="false">IF(OR(其他分录!$B230="",N(其他分录!$G230)=0),"",其他分录!$F230)</f>
        <v/>
      </c>
      <c r="I5455" s="42" t="n">
        <f aca="false">IF($M5455="借",$O5455,0)</f>
        <v>0</v>
      </c>
      <c r="J5455" s="42" t="n">
        <f aca="false">IF($M5455="贷",$O5455,0)</f>
        <v>0</v>
      </c>
      <c r="K5455" s="48" t="str">
        <f aca="false">IF($H5455="","",其他分录!$H230)</f>
        <v/>
      </c>
      <c r="L5455" s="66"/>
      <c r="M5455" s="66" t="str">
        <f aca="false">IF($H5455="","","贷")</f>
        <v/>
      </c>
      <c r="N5455" s="66"/>
      <c r="O5455" s="67" t="n">
        <f aca="false">IF($H5455="",0,ROUND(N(其他分录!$G230),2))</f>
        <v>0</v>
      </c>
      <c r="P5455" s="64" t="str">
        <f aca="false">IF(AND($H5455&lt;&gt;"",ROUND($O5455,2)&lt;&gt;0),"有","")</f>
        <v/>
      </c>
    </row>
    <row r="5456" customFormat="false" ht="15" hidden="true" customHeight="false" outlineLevel="0" collapsed="false">
      <c r="A5456" s="53" t="str">
        <f aca="false">IF($H5456="","",ROW()-5)</f>
        <v/>
      </c>
      <c r="B5456" s="64" t="s">
        <v>39</v>
      </c>
      <c r="C5456" s="53" t="n">
        <v>231</v>
      </c>
      <c r="D5456" s="53" t="n">
        <v>1</v>
      </c>
      <c r="E5456" s="65" t="str">
        <f aca="false">IF($H5456="","",其他分录!$B231)</f>
        <v/>
      </c>
      <c r="F5456" s="55" t="str">
        <f aca="false">IF($H5456="","",其他分录!$C231)</f>
        <v/>
      </c>
      <c r="G5456" s="48" t="str">
        <f aca="false">IF($H5456="","",其他分录!$D231)</f>
        <v/>
      </c>
      <c r="H5456" s="10" t="str">
        <f aca="false">IF(OR(其他分录!$B231="",N(其他分录!$G231)=0),"",其他分录!$E231)</f>
        <v/>
      </c>
      <c r="I5456" s="42" t="n">
        <f aca="false">IF($M5456="借",$O5456,0)</f>
        <v>0</v>
      </c>
      <c r="J5456" s="42" t="n">
        <f aca="false">IF($M5456="贷",$O5456,0)</f>
        <v>0</v>
      </c>
      <c r="K5456" s="48" t="str">
        <f aca="false">IF($H5456="","",其他分录!$H231)</f>
        <v/>
      </c>
      <c r="L5456" s="66"/>
      <c r="M5456" s="66" t="str">
        <f aca="false">IF($H5456="","","借")</f>
        <v/>
      </c>
      <c r="N5456" s="66"/>
      <c r="O5456" s="67" t="n">
        <f aca="false">IF($H5456="",0,ROUND(N(其他分录!$G231),2))</f>
        <v>0</v>
      </c>
      <c r="P5456" s="64" t="str">
        <f aca="false">IF(AND($H5456&lt;&gt;"",ROUND($O5456,2)&lt;&gt;0),"有","")</f>
        <v/>
      </c>
    </row>
    <row r="5457" customFormat="false" ht="15" hidden="true" customHeight="false" outlineLevel="0" collapsed="false">
      <c r="A5457" s="53" t="str">
        <f aca="false">IF($H5457="","",ROW()-5)</f>
        <v/>
      </c>
      <c r="B5457" s="64" t="s">
        <v>39</v>
      </c>
      <c r="C5457" s="53" t="n">
        <v>231</v>
      </c>
      <c r="D5457" s="53" t="n">
        <v>2</v>
      </c>
      <c r="E5457" s="65" t="str">
        <f aca="false">IF($H5457="","",其他分录!$B231)</f>
        <v/>
      </c>
      <c r="F5457" s="55" t="str">
        <f aca="false">IF($H5457="","",其他分录!$C231)</f>
        <v/>
      </c>
      <c r="G5457" s="48" t="str">
        <f aca="false">IF($H5457="","",其他分录!$D231)</f>
        <v/>
      </c>
      <c r="H5457" s="10" t="str">
        <f aca="false">IF(OR(其他分录!$B231="",N(其他分录!$G231)=0),"",其他分录!$F231)</f>
        <v/>
      </c>
      <c r="I5457" s="42" t="n">
        <f aca="false">IF($M5457="借",$O5457,0)</f>
        <v>0</v>
      </c>
      <c r="J5457" s="42" t="n">
        <f aca="false">IF($M5457="贷",$O5457,0)</f>
        <v>0</v>
      </c>
      <c r="K5457" s="48" t="str">
        <f aca="false">IF($H5457="","",其他分录!$H231)</f>
        <v/>
      </c>
      <c r="L5457" s="66"/>
      <c r="M5457" s="66" t="str">
        <f aca="false">IF($H5457="","","贷")</f>
        <v/>
      </c>
      <c r="N5457" s="66"/>
      <c r="O5457" s="67" t="n">
        <f aca="false">IF($H5457="",0,ROUND(N(其他分录!$G231),2))</f>
        <v>0</v>
      </c>
      <c r="P5457" s="64" t="str">
        <f aca="false">IF(AND($H5457&lt;&gt;"",ROUND($O5457,2)&lt;&gt;0),"有","")</f>
        <v/>
      </c>
    </row>
    <row r="5458" customFormat="false" ht="15" hidden="true" customHeight="false" outlineLevel="0" collapsed="false">
      <c r="A5458" s="53" t="str">
        <f aca="false">IF($H5458="","",ROW()-5)</f>
        <v/>
      </c>
      <c r="B5458" s="64" t="s">
        <v>39</v>
      </c>
      <c r="C5458" s="53" t="n">
        <v>232</v>
      </c>
      <c r="D5458" s="53" t="n">
        <v>1</v>
      </c>
      <c r="E5458" s="65" t="str">
        <f aca="false">IF($H5458="","",其他分录!$B232)</f>
        <v/>
      </c>
      <c r="F5458" s="55" t="str">
        <f aca="false">IF($H5458="","",其他分录!$C232)</f>
        <v/>
      </c>
      <c r="G5458" s="48" t="str">
        <f aca="false">IF($H5458="","",其他分录!$D232)</f>
        <v/>
      </c>
      <c r="H5458" s="10" t="str">
        <f aca="false">IF(OR(其他分录!$B232="",N(其他分录!$G232)=0),"",其他分录!$E232)</f>
        <v/>
      </c>
      <c r="I5458" s="42" t="n">
        <f aca="false">IF($M5458="借",$O5458,0)</f>
        <v>0</v>
      </c>
      <c r="J5458" s="42" t="n">
        <f aca="false">IF($M5458="贷",$O5458,0)</f>
        <v>0</v>
      </c>
      <c r="K5458" s="48" t="str">
        <f aca="false">IF($H5458="","",其他分录!$H232)</f>
        <v/>
      </c>
      <c r="L5458" s="66"/>
      <c r="M5458" s="66" t="str">
        <f aca="false">IF($H5458="","","借")</f>
        <v/>
      </c>
      <c r="N5458" s="66"/>
      <c r="O5458" s="67" t="n">
        <f aca="false">IF($H5458="",0,ROUND(N(其他分录!$G232),2))</f>
        <v>0</v>
      </c>
      <c r="P5458" s="64" t="str">
        <f aca="false">IF(AND($H5458&lt;&gt;"",ROUND($O5458,2)&lt;&gt;0),"有","")</f>
        <v/>
      </c>
    </row>
    <row r="5459" customFormat="false" ht="15" hidden="true" customHeight="false" outlineLevel="0" collapsed="false">
      <c r="A5459" s="53" t="str">
        <f aca="false">IF($H5459="","",ROW()-5)</f>
        <v/>
      </c>
      <c r="B5459" s="64" t="s">
        <v>39</v>
      </c>
      <c r="C5459" s="53" t="n">
        <v>232</v>
      </c>
      <c r="D5459" s="53" t="n">
        <v>2</v>
      </c>
      <c r="E5459" s="65" t="str">
        <f aca="false">IF($H5459="","",其他分录!$B232)</f>
        <v/>
      </c>
      <c r="F5459" s="55" t="str">
        <f aca="false">IF($H5459="","",其他分录!$C232)</f>
        <v/>
      </c>
      <c r="G5459" s="48" t="str">
        <f aca="false">IF($H5459="","",其他分录!$D232)</f>
        <v/>
      </c>
      <c r="H5459" s="10" t="str">
        <f aca="false">IF(OR(其他分录!$B232="",N(其他分录!$G232)=0),"",其他分录!$F232)</f>
        <v/>
      </c>
      <c r="I5459" s="42" t="n">
        <f aca="false">IF($M5459="借",$O5459,0)</f>
        <v>0</v>
      </c>
      <c r="J5459" s="42" t="n">
        <f aca="false">IF($M5459="贷",$O5459,0)</f>
        <v>0</v>
      </c>
      <c r="K5459" s="48" t="str">
        <f aca="false">IF($H5459="","",其他分录!$H232)</f>
        <v/>
      </c>
      <c r="L5459" s="66"/>
      <c r="M5459" s="66" t="str">
        <f aca="false">IF($H5459="","","贷")</f>
        <v/>
      </c>
      <c r="N5459" s="66"/>
      <c r="O5459" s="67" t="n">
        <f aca="false">IF($H5459="",0,ROUND(N(其他分录!$G232),2))</f>
        <v>0</v>
      </c>
      <c r="P5459" s="64" t="str">
        <f aca="false">IF(AND($H5459&lt;&gt;"",ROUND($O5459,2)&lt;&gt;0),"有","")</f>
        <v/>
      </c>
    </row>
    <row r="5460" customFormat="false" ht="15" hidden="true" customHeight="false" outlineLevel="0" collapsed="false">
      <c r="A5460" s="53" t="str">
        <f aca="false">IF($H5460="","",ROW()-5)</f>
        <v/>
      </c>
      <c r="B5460" s="64" t="s">
        <v>39</v>
      </c>
      <c r="C5460" s="53" t="n">
        <v>233</v>
      </c>
      <c r="D5460" s="53" t="n">
        <v>1</v>
      </c>
      <c r="E5460" s="65" t="str">
        <f aca="false">IF($H5460="","",其他分录!$B233)</f>
        <v/>
      </c>
      <c r="F5460" s="55" t="str">
        <f aca="false">IF($H5460="","",其他分录!$C233)</f>
        <v/>
      </c>
      <c r="G5460" s="48" t="str">
        <f aca="false">IF($H5460="","",其他分录!$D233)</f>
        <v/>
      </c>
      <c r="H5460" s="10" t="str">
        <f aca="false">IF(OR(其他分录!$B233="",N(其他分录!$G233)=0),"",其他分录!$E233)</f>
        <v/>
      </c>
      <c r="I5460" s="42" t="n">
        <f aca="false">IF($M5460="借",$O5460,0)</f>
        <v>0</v>
      </c>
      <c r="J5460" s="42" t="n">
        <f aca="false">IF($M5460="贷",$O5460,0)</f>
        <v>0</v>
      </c>
      <c r="K5460" s="48" t="str">
        <f aca="false">IF($H5460="","",其他分录!$H233)</f>
        <v/>
      </c>
      <c r="L5460" s="66"/>
      <c r="M5460" s="66" t="str">
        <f aca="false">IF($H5460="","","借")</f>
        <v/>
      </c>
      <c r="N5460" s="66"/>
      <c r="O5460" s="67" t="n">
        <f aca="false">IF($H5460="",0,ROUND(N(其他分录!$G233),2))</f>
        <v>0</v>
      </c>
      <c r="P5460" s="64" t="str">
        <f aca="false">IF(AND($H5460&lt;&gt;"",ROUND($O5460,2)&lt;&gt;0),"有","")</f>
        <v/>
      </c>
    </row>
    <row r="5461" customFormat="false" ht="15" hidden="true" customHeight="false" outlineLevel="0" collapsed="false">
      <c r="A5461" s="53" t="str">
        <f aca="false">IF($H5461="","",ROW()-5)</f>
        <v/>
      </c>
      <c r="B5461" s="64" t="s">
        <v>39</v>
      </c>
      <c r="C5461" s="53" t="n">
        <v>233</v>
      </c>
      <c r="D5461" s="53" t="n">
        <v>2</v>
      </c>
      <c r="E5461" s="65" t="str">
        <f aca="false">IF($H5461="","",其他分录!$B233)</f>
        <v/>
      </c>
      <c r="F5461" s="55" t="str">
        <f aca="false">IF($H5461="","",其他分录!$C233)</f>
        <v/>
      </c>
      <c r="G5461" s="48" t="str">
        <f aca="false">IF($H5461="","",其他分录!$D233)</f>
        <v/>
      </c>
      <c r="H5461" s="10" t="str">
        <f aca="false">IF(OR(其他分录!$B233="",N(其他分录!$G233)=0),"",其他分录!$F233)</f>
        <v/>
      </c>
      <c r="I5461" s="42" t="n">
        <f aca="false">IF($M5461="借",$O5461,0)</f>
        <v>0</v>
      </c>
      <c r="J5461" s="42" t="n">
        <f aca="false">IF($M5461="贷",$O5461,0)</f>
        <v>0</v>
      </c>
      <c r="K5461" s="48" t="str">
        <f aca="false">IF($H5461="","",其他分录!$H233)</f>
        <v/>
      </c>
      <c r="L5461" s="66"/>
      <c r="M5461" s="66" t="str">
        <f aca="false">IF($H5461="","","贷")</f>
        <v/>
      </c>
      <c r="N5461" s="66"/>
      <c r="O5461" s="67" t="n">
        <f aca="false">IF($H5461="",0,ROUND(N(其他分录!$G233),2))</f>
        <v>0</v>
      </c>
      <c r="P5461" s="64" t="str">
        <f aca="false">IF(AND($H5461&lt;&gt;"",ROUND($O5461,2)&lt;&gt;0),"有","")</f>
        <v/>
      </c>
    </row>
    <row r="5462" customFormat="false" ht="15" hidden="true" customHeight="false" outlineLevel="0" collapsed="false">
      <c r="A5462" s="53" t="str">
        <f aca="false">IF($H5462="","",ROW()-5)</f>
        <v/>
      </c>
      <c r="B5462" s="64" t="s">
        <v>39</v>
      </c>
      <c r="C5462" s="53" t="n">
        <v>234</v>
      </c>
      <c r="D5462" s="53" t="n">
        <v>1</v>
      </c>
      <c r="E5462" s="65" t="str">
        <f aca="false">IF($H5462="","",其他分录!$B234)</f>
        <v/>
      </c>
      <c r="F5462" s="55" t="str">
        <f aca="false">IF($H5462="","",其他分录!$C234)</f>
        <v/>
      </c>
      <c r="G5462" s="48" t="str">
        <f aca="false">IF($H5462="","",其他分录!$D234)</f>
        <v/>
      </c>
      <c r="H5462" s="10" t="str">
        <f aca="false">IF(OR(其他分录!$B234="",N(其他分录!$G234)=0),"",其他分录!$E234)</f>
        <v/>
      </c>
      <c r="I5462" s="42" t="n">
        <f aca="false">IF($M5462="借",$O5462,0)</f>
        <v>0</v>
      </c>
      <c r="J5462" s="42" t="n">
        <f aca="false">IF($M5462="贷",$O5462,0)</f>
        <v>0</v>
      </c>
      <c r="K5462" s="48" t="str">
        <f aca="false">IF($H5462="","",其他分录!$H234)</f>
        <v/>
      </c>
      <c r="L5462" s="66"/>
      <c r="M5462" s="66" t="str">
        <f aca="false">IF($H5462="","","借")</f>
        <v/>
      </c>
      <c r="N5462" s="66"/>
      <c r="O5462" s="67" t="n">
        <f aca="false">IF($H5462="",0,ROUND(N(其他分录!$G234),2))</f>
        <v>0</v>
      </c>
      <c r="P5462" s="64" t="str">
        <f aca="false">IF(AND($H5462&lt;&gt;"",ROUND($O5462,2)&lt;&gt;0),"有","")</f>
        <v/>
      </c>
    </row>
    <row r="5463" customFormat="false" ht="15" hidden="true" customHeight="false" outlineLevel="0" collapsed="false">
      <c r="A5463" s="53" t="str">
        <f aca="false">IF($H5463="","",ROW()-5)</f>
        <v/>
      </c>
      <c r="B5463" s="64" t="s">
        <v>39</v>
      </c>
      <c r="C5463" s="53" t="n">
        <v>234</v>
      </c>
      <c r="D5463" s="53" t="n">
        <v>2</v>
      </c>
      <c r="E5463" s="65" t="str">
        <f aca="false">IF($H5463="","",其他分录!$B234)</f>
        <v/>
      </c>
      <c r="F5463" s="55" t="str">
        <f aca="false">IF($H5463="","",其他分录!$C234)</f>
        <v/>
      </c>
      <c r="G5463" s="48" t="str">
        <f aca="false">IF($H5463="","",其他分录!$D234)</f>
        <v/>
      </c>
      <c r="H5463" s="10" t="str">
        <f aca="false">IF(OR(其他分录!$B234="",N(其他分录!$G234)=0),"",其他分录!$F234)</f>
        <v/>
      </c>
      <c r="I5463" s="42" t="n">
        <f aca="false">IF($M5463="借",$O5463,0)</f>
        <v>0</v>
      </c>
      <c r="J5463" s="42" t="n">
        <f aca="false">IF($M5463="贷",$O5463,0)</f>
        <v>0</v>
      </c>
      <c r="K5463" s="48" t="str">
        <f aca="false">IF($H5463="","",其他分录!$H234)</f>
        <v/>
      </c>
      <c r="L5463" s="66"/>
      <c r="M5463" s="66" t="str">
        <f aca="false">IF($H5463="","","贷")</f>
        <v/>
      </c>
      <c r="N5463" s="66"/>
      <c r="O5463" s="67" t="n">
        <f aca="false">IF($H5463="",0,ROUND(N(其他分录!$G234),2))</f>
        <v>0</v>
      </c>
      <c r="P5463" s="64" t="str">
        <f aca="false">IF(AND($H5463&lt;&gt;"",ROUND($O5463,2)&lt;&gt;0),"有","")</f>
        <v/>
      </c>
    </row>
    <row r="5464" customFormat="false" ht="15" hidden="true" customHeight="false" outlineLevel="0" collapsed="false">
      <c r="A5464" s="53" t="str">
        <f aca="false">IF($H5464="","",ROW()-5)</f>
        <v/>
      </c>
      <c r="B5464" s="64" t="s">
        <v>39</v>
      </c>
      <c r="C5464" s="53" t="n">
        <v>235</v>
      </c>
      <c r="D5464" s="53" t="n">
        <v>1</v>
      </c>
      <c r="E5464" s="65" t="str">
        <f aca="false">IF($H5464="","",其他分录!$B235)</f>
        <v/>
      </c>
      <c r="F5464" s="55" t="str">
        <f aca="false">IF($H5464="","",其他分录!$C235)</f>
        <v/>
      </c>
      <c r="G5464" s="48" t="str">
        <f aca="false">IF($H5464="","",其他分录!$D235)</f>
        <v/>
      </c>
      <c r="H5464" s="10" t="str">
        <f aca="false">IF(OR(其他分录!$B235="",N(其他分录!$G235)=0),"",其他分录!$E235)</f>
        <v/>
      </c>
      <c r="I5464" s="42" t="n">
        <f aca="false">IF($M5464="借",$O5464,0)</f>
        <v>0</v>
      </c>
      <c r="J5464" s="42" t="n">
        <f aca="false">IF($M5464="贷",$O5464,0)</f>
        <v>0</v>
      </c>
      <c r="K5464" s="48" t="str">
        <f aca="false">IF($H5464="","",其他分录!$H235)</f>
        <v/>
      </c>
      <c r="L5464" s="66"/>
      <c r="M5464" s="66" t="str">
        <f aca="false">IF($H5464="","","借")</f>
        <v/>
      </c>
      <c r="N5464" s="66"/>
      <c r="O5464" s="67" t="n">
        <f aca="false">IF($H5464="",0,ROUND(N(其他分录!$G235),2))</f>
        <v>0</v>
      </c>
      <c r="P5464" s="64" t="str">
        <f aca="false">IF(AND($H5464&lt;&gt;"",ROUND($O5464,2)&lt;&gt;0),"有","")</f>
        <v/>
      </c>
    </row>
    <row r="5465" customFormat="false" ht="15" hidden="true" customHeight="false" outlineLevel="0" collapsed="false">
      <c r="A5465" s="53" t="str">
        <f aca="false">IF($H5465="","",ROW()-5)</f>
        <v/>
      </c>
      <c r="B5465" s="64" t="s">
        <v>39</v>
      </c>
      <c r="C5465" s="53" t="n">
        <v>235</v>
      </c>
      <c r="D5465" s="53" t="n">
        <v>2</v>
      </c>
      <c r="E5465" s="65" t="str">
        <f aca="false">IF($H5465="","",其他分录!$B235)</f>
        <v/>
      </c>
      <c r="F5465" s="55" t="str">
        <f aca="false">IF($H5465="","",其他分录!$C235)</f>
        <v/>
      </c>
      <c r="G5465" s="48" t="str">
        <f aca="false">IF($H5465="","",其他分录!$D235)</f>
        <v/>
      </c>
      <c r="H5465" s="10" t="str">
        <f aca="false">IF(OR(其他分录!$B235="",N(其他分录!$G235)=0),"",其他分录!$F235)</f>
        <v/>
      </c>
      <c r="I5465" s="42" t="n">
        <f aca="false">IF($M5465="借",$O5465,0)</f>
        <v>0</v>
      </c>
      <c r="J5465" s="42" t="n">
        <f aca="false">IF($M5465="贷",$O5465,0)</f>
        <v>0</v>
      </c>
      <c r="K5465" s="48" t="str">
        <f aca="false">IF($H5465="","",其他分录!$H235)</f>
        <v/>
      </c>
      <c r="L5465" s="66"/>
      <c r="M5465" s="66" t="str">
        <f aca="false">IF($H5465="","","贷")</f>
        <v/>
      </c>
      <c r="N5465" s="66"/>
      <c r="O5465" s="67" t="n">
        <f aca="false">IF($H5465="",0,ROUND(N(其他分录!$G235),2))</f>
        <v>0</v>
      </c>
      <c r="P5465" s="64" t="str">
        <f aca="false">IF(AND($H5465&lt;&gt;"",ROUND($O5465,2)&lt;&gt;0),"有","")</f>
        <v/>
      </c>
    </row>
    <row r="5466" customFormat="false" ht="15" hidden="true" customHeight="false" outlineLevel="0" collapsed="false">
      <c r="A5466" s="53" t="str">
        <f aca="false">IF($H5466="","",ROW()-5)</f>
        <v/>
      </c>
      <c r="B5466" s="64" t="s">
        <v>39</v>
      </c>
      <c r="C5466" s="53" t="n">
        <v>236</v>
      </c>
      <c r="D5466" s="53" t="n">
        <v>1</v>
      </c>
      <c r="E5466" s="65" t="str">
        <f aca="false">IF($H5466="","",其他分录!$B236)</f>
        <v/>
      </c>
      <c r="F5466" s="55" t="str">
        <f aca="false">IF($H5466="","",其他分录!$C236)</f>
        <v/>
      </c>
      <c r="G5466" s="48" t="str">
        <f aca="false">IF($H5466="","",其他分录!$D236)</f>
        <v/>
      </c>
      <c r="H5466" s="10" t="str">
        <f aca="false">IF(OR(其他分录!$B236="",N(其他分录!$G236)=0),"",其他分录!$E236)</f>
        <v/>
      </c>
      <c r="I5466" s="42" t="n">
        <f aca="false">IF($M5466="借",$O5466,0)</f>
        <v>0</v>
      </c>
      <c r="J5466" s="42" t="n">
        <f aca="false">IF($M5466="贷",$O5466,0)</f>
        <v>0</v>
      </c>
      <c r="K5466" s="48" t="str">
        <f aca="false">IF($H5466="","",其他分录!$H236)</f>
        <v/>
      </c>
      <c r="L5466" s="66"/>
      <c r="M5466" s="66" t="str">
        <f aca="false">IF($H5466="","","借")</f>
        <v/>
      </c>
      <c r="N5466" s="66"/>
      <c r="O5466" s="67" t="n">
        <f aca="false">IF($H5466="",0,ROUND(N(其他分录!$G236),2))</f>
        <v>0</v>
      </c>
      <c r="P5466" s="64" t="str">
        <f aca="false">IF(AND($H5466&lt;&gt;"",ROUND($O5466,2)&lt;&gt;0),"有","")</f>
        <v/>
      </c>
    </row>
    <row r="5467" customFormat="false" ht="15" hidden="true" customHeight="false" outlineLevel="0" collapsed="false">
      <c r="A5467" s="53" t="str">
        <f aca="false">IF($H5467="","",ROW()-5)</f>
        <v/>
      </c>
      <c r="B5467" s="64" t="s">
        <v>39</v>
      </c>
      <c r="C5467" s="53" t="n">
        <v>236</v>
      </c>
      <c r="D5467" s="53" t="n">
        <v>2</v>
      </c>
      <c r="E5467" s="65" t="str">
        <f aca="false">IF($H5467="","",其他分录!$B236)</f>
        <v/>
      </c>
      <c r="F5467" s="55" t="str">
        <f aca="false">IF($H5467="","",其他分录!$C236)</f>
        <v/>
      </c>
      <c r="G5467" s="48" t="str">
        <f aca="false">IF($H5467="","",其他分录!$D236)</f>
        <v/>
      </c>
      <c r="H5467" s="10" t="str">
        <f aca="false">IF(OR(其他分录!$B236="",N(其他分录!$G236)=0),"",其他分录!$F236)</f>
        <v/>
      </c>
      <c r="I5467" s="42" t="n">
        <f aca="false">IF($M5467="借",$O5467,0)</f>
        <v>0</v>
      </c>
      <c r="J5467" s="42" t="n">
        <f aca="false">IF($M5467="贷",$O5467,0)</f>
        <v>0</v>
      </c>
      <c r="K5467" s="48" t="str">
        <f aca="false">IF($H5467="","",其他分录!$H236)</f>
        <v/>
      </c>
      <c r="L5467" s="66"/>
      <c r="M5467" s="66" t="str">
        <f aca="false">IF($H5467="","","贷")</f>
        <v/>
      </c>
      <c r="N5467" s="66"/>
      <c r="O5467" s="67" t="n">
        <f aca="false">IF($H5467="",0,ROUND(N(其他分录!$G236),2))</f>
        <v>0</v>
      </c>
      <c r="P5467" s="64" t="str">
        <f aca="false">IF(AND($H5467&lt;&gt;"",ROUND($O5467,2)&lt;&gt;0),"有","")</f>
        <v/>
      </c>
    </row>
    <row r="5468" customFormat="false" ht="15" hidden="true" customHeight="false" outlineLevel="0" collapsed="false">
      <c r="A5468" s="53" t="str">
        <f aca="false">IF($H5468="","",ROW()-5)</f>
        <v/>
      </c>
      <c r="B5468" s="64" t="s">
        <v>39</v>
      </c>
      <c r="C5468" s="53" t="n">
        <v>237</v>
      </c>
      <c r="D5468" s="53" t="n">
        <v>1</v>
      </c>
      <c r="E5468" s="65" t="str">
        <f aca="false">IF($H5468="","",其他分录!$B237)</f>
        <v/>
      </c>
      <c r="F5468" s="55" t="str">
        <f aca="false">IF($H5468="","",其他分录!$C237)</f>
        <v/>
      </c>
      <c r="G5468" s="48" t="str">
        <f aca="false">IF($H5468="","",其他分录!$D237)</f>
        <v/>
      </c>
      <c r="H5468" s="10" t="str">
        <f aca="false">IF(OR(其他分录!$B237="",N(其他分录!$G237)=0),"",其他分录!$E237)</f>
        <v/>
      </c>
      <c r="I5468" s="42" t="n">
        <f aca="false">IF($M5468="借",$O5468,0)</f>
        <v>0</v>
      </c>
      <c r="J5468" s="42" t="n">
        <f aca="false">IF($M5468="贷",$O5468,0)</f>
        <v>0</v>
      </c>
      <c r="K5468" s="48" t="str">
        <f aca="false">IF($H5468="","",其他分录!$H237)</f>
        <v/>
      </c>
      <c r="L5468" s="66"/>
      <c r="M5468" s="66" t="str">
        <f aca="false">IF($H5468="","","借")</f>
        <v/>
      </c>
      <c r="N5468" s="66"/>
      <c r="O5468" s="67" t="n">
        <f aca="false">IF($H5468="",0,ROUND(N(其他分录!$G237),2))</f>
        <v>0</v>
      </c>
      <c r="P5468" s="64" t="str">
        <f aca="false">IF(AND($H5468&lt;&gt;"",ROUND($O5468,2)&lt;&gt;0),"有","")</f>
        <v/>
      </c>
    </row>
    <row r="5469" customFormat="false" ht="15" hidden="true" customHeight="false" outlineLevel="0" collapsed="false">
      <c r="A5469" s="53" t="str">
        <f aca="false">IF($H5469="","",ROW()-5)</f>
        <v/>
      </c>
      <c r="B5469" s="64" t="s">
        <v>39</v>
      </c>
      <c r="C5469" s="53" t="n">
        <v>237</v>
      </c>
      <c r="D5469" s="53" t="n">
        <v>2</v>
      </c>
      <c r="E5469" s="65" t="str">
        <f aca="false">IF($H5469="","",其他分录!$B237)</f>
        <v/>
      </c>
      <c r="F5469" s="55" t="str">
        <f aca="false">IF($H5469="","",其他分录!$C237)</f>
        <v/>
      </c>
      <c r="G5469" s="48" t="str">
        <f aca="false">IF($H5469="","",其他分录!$D237)</f>
        <v/>
      </c>
      <c r="H5469" s="10" t="str">
        <f aca="false">IF(OR(其他分录!$B237="",N(其他分录!$G237)=0),"",其他分录!$F237)</f>
        <v/>
      </c>
      <c r="I5469" s="42" t="n">
        <f aca="false">IF($M5469="借",$O5469,0)</f>
        <v>0</v>
      </c>
      <c r="J5469" s="42" t="n">
        <f aca="false">IF($M5469="贷",$O5469,0)</f>
        <v>0</v>
      </c>
      <c r="K5469" s="48" t="str">
        <f aca="false">IF($H5469="","",其他分录!$H237)</f>
        <v/>
      </c>
      <c r="L5469" s="66"/>
      <c r="M5469" s="66" t="str">
        <f aca="false">IF($H5469="","","贷")</f>
        <v/>
      </c>
      <c r="N5469" s="66"/>
      <c r="O5469" s="67" t="n">
        <f aca="false">IF($H5469="",0,ROUND(N(其他分录!$G237),2))</f>
        <v>0</v>
      </c>
      <c r="P5469" s="64" t="str">
        <f aca="false">IF(AND($H5469&lt;&gt;"",ROUND($O5469,2)&lt;&gt;0),"有","")</f>
        <v/>
      </c>
    </row>
    <row r="5470" customFormat="false" ht="15" hidden="true" customHeight="false" outlineLevel="0" collapsed="false">
      <c r="A5470" s="53" t="str">
        <f aca="false">IF($H5470="","",ROW()-5)</f>
        <v/>
      </c>
      <c r="B5470" s="64" t="s">
        <v>39</v>
      </c>
      <c r="C5470" s="53" t="n">
        <v>238</v>
      </c>
      <c r="D5470" s="53" t="n">
        <v>1</v>
      </c>
      <c r="E5470" s="65" t="str">
        <f aca="false">IF($H5470="","",其他分录!$B238)</f>
        <v/>
      </c>
      <c r="F5470" s="55" t="str">
        <f aca="false">IF($H5470="","",其他分录!$C238)</f>
        <v/>
      </c>
      <c r="G5470" s="48" t="str">
        <f aca="false">IF($H5470="","",其他分录!$D238)</f>
        <v/>
      </c>
      <c r="H5470" s="10" t="str">
        <f aca="false">IF(OR(其他分录!$B238="",N(其他分录!$G238)=0),"",其他分录!$E238)</f>
        <v/>
      </c>
      <c r="I5470" s="42" t="n">
        <f aca="false">IF($M5470="借",$O5470,0)</f>
        <v>0</v>
      </c>
      <c r="J5470" s="42" t="n">
        <f aca="false">IF($M5470="贷",$O5470,0)</f>
        <v>0</v>
      </c>
      <c r="K5470" s="48" t="str">
        <f aca="false">IF($H5470="","",其他分录!$H238)</f>
        <v/>
      </c>
      <c r="L5470" s="66"/>
      <c r="M5470" s="66" t="str">
        <f aca="false">IF($H5470="","","借")</f>
        <v/>
      </c>
      <c r="N5470" s="66"/>
      <c r="O5470" s="67" t="n">
        <f aca="false">IF($H5470="",0,ROUND(N(其他分录!$G238),2))</f>
        <v>0</v>
      </c>
      <c r="P5470" s="64" t="str">
        <f aca="false">IF(AND($H5470&lt;&gt;"",ROUND($O5470,2)&lt;&gt;0),"有","")</f>
        <v/>
      </c>
    </row>
    <row r="5471" customFormat="false" ht="15" hidden="true" customHeight="false" outlineLevel="0" collapsed="false">
      <c r="A5471" s="53" t="str">
        <f aca="false">IF($H5471="","",ROW()-5)</f>
        <v/>
      </c>
      <c r="B5471" s="64" t="s">
        <v>39</v>
      </c>
      <c r="C5471" s="53" t="n">
        <v>238</v>
      </c>
      <c r="D5471" s="53" t="n">
        <v>2</v>
      </c>
      <c r="E5471" s="65" t="str">
        <f aca="false">IF($H5471="","",其他分录!$B238)</f>
        <v/>
      </c>
      <c r="F5471" s="55" t="str">
        <f aca="false">IF($H5471="","",其他分录!$C238)</f>
        <v/>
      </c>
      <c r="G5471" s="48" t="str">
        <f aca="false">IF($H5471="","",其他分录!$D238)</f>
        <v/>
      </c>
      <c r="H5471" s="10" t="str">
        <f aca="false">IF(OR(其他分录!$B238="",N(其他分录!$G238)=0),"",其他分录!$F238)</f>
        <v/>
      </c>
      <c r="I5471" s="42" t="n">
        <f aca="false">IF($M5471="借",$O5471,0)</f>
        <v>0</v>
      </c>
      <c r="J5471" s="42" t="n">
        <f aca="false">IF($M5471="贷",$O5471,0)</f>
        <v>0</v>
      </c>
      <c r="K5471" s="48" t="str">
        <f aca="false">IF($H5471="","",其他分录!$H238)</f>
        <v/>
      </c>
      <c r="L5471" s="66"/>
      <c r="M5471" s="66" t="str">
        <f aca="false">IF($H5471="","","贷")</f>
        <v/>
      </c>
      <c r="N5471" s="66"/>
      <c r="O5471" s="67" t="n">
        <f aca="false">IF($H5471="",0,ROUND(N(其他分录!$G238),2))</f>
        <v>0</v>
      </c>
      <c r="P5471" s="64" t="str">
        <f aca="false">IF(AND($H5471&lt;&gt;"",ROUND($O5471,2)&lt;&gt;0),"有","")</f>
        <v/>
      </c>
    </row>
    <row r="5472" customFormat="false" ht="15" hidden="true" customHeight="false" outlineLevel="0" collapsed="false">
      <c r="A5472" s="53" t="str">
        <f aca="false">IF($H5472="","",ROW()-5)</f>
        <v/>
      </c>
      <c r="B5472" s="64" t="s">
        <v>39</v>
      </c>
      <c r="C5472" s="53" t="n">
        <v>239</v>
      </c>
      <c r="D5472" s="53" t="n">
        <v>1</v>
      </c>
      <c r="E5472" s="65" t="str">
        <f aca="false">IF($H5472="","",其他分录!$B239)</f>
        <v/>
      </c>
      <c r="F5472" s="55" t="str">
        <f aca="false">IF($H5472="","",其他分录!$C239)</f>
        <v/>
      </c>
      <c r="G5472" s="48" t="str">
        <f aca="false">IF($H5472="","",其他分录!$D239)</f>
        <v/>
      </c>
      <c r="H5472" s="10" t="str">
        <f aca="false">IF(OR(其他分录!$B239="",N(其他分录!$G239)=0),"",其他分录!$E239)</f>
        <v/>
      </c>
      <c r="I5472" s="42" t="n">
        <f aca="false">IF($M5472="借",$O5472,0)</f>
        <v>0</v>
      </c>
      <c r="J5472" s="42" t="n">
        <f aca="false">IF($M5472="贷",$O5472,0)</f>
        <v>0</v>
      </c>
      <c r="K5472" s="48" t="str">
        <f aca="false">IF($H5472="","",其他分录!$H239)</f>
        <v/>
      </c>
      <c r="L5472" s="66"/>
      <c r="M5472" s="66" t="str">
        <f aca="false">IF($H5472="","","借")</f>
        <v/>
      </c>
      <c r="N5472" s="66"/>
      <c r="O5472" s="67" t="n">
        <f aca="false">IF($H5472="",0,ROUND(N(其他分录!$G239),2))</f>
        <v>0</v>
      </c>
      <c r="P5472" s="64" t="str">
        <f aca="false">IF(AND($H5472&lt;&gt;"",ROUND($O5472,2)&lt;&gt;0),"有","")</f>
        <v/>
      </c>
    </row>
    <row r="5473" customFormat="false" ht="15" hidden="true" customHeight="false" outlineLevel="0" collapsed="false">
      <c r="A5473" s="53" t="str">
        <f aca="false">IF($H5473="","",ROW()-5)</f>
        <v/>
      </c>
      <c r="B5473" s="64" t="s">
        <v>39</v>
      </c>
      <c r="C5473" s="53" t="n">
        <v>239</v>
      </c>
      <c r="D5473" s="53" t="n">
        <v>2</v>
      </c>
      <c r="E5473" s="65" t="str">
        <f aca="false">IF($H5473="","",其他分录!$B239)</f>
        <v/>
      </c>
      <c r="F5473" s="55" t="str">
        <f aca="false">IF($H5473="","",其他分录!$C239)</f>
        <v/>
      </c>
      <c r="G5473" s="48" t="str">
        <f aca="false">IF($H5473="","",其他分录!$D239)</f>
        <v/>
      </c>
      <c r="H5473" s="10" t="str">
        <f aca="false">IF(OR(其他分录!$B239="",N(其他分录!$G239)=0),"",其他分录!$F239)</f>
        <v/>
      </c>
      <c r="I5473" s="42" t="n">
        <f aca="false">IF($M5473="借",$O5473,0)</f>
        <v>0</v>
      </c>
      <c r="J5473" s="42" t="n">
        <f aca="false">IF($M5473="贷",$O5473,0)</f>
        <v>0</v>
      </c>
      <c r="K5473" s="48" t="str">
        <f aca="false">IF($H5473="","",其他分录!$H239)</f>
        <v/>
      </c>
      <c r="L5473" s="66"/>
      <c r="M5473" s="66" t="str">
        <f aca="false">IF($H5473="","","贷")</f>
        <v/>
      </c>
      <c r="N5473" s="66"/>
      <c r="O5473" s="67" t="n">
        <f aca="false">IF($H5473="",0,ROUND(N(其他分录!$G239),2))</f>
        <v>0</v>
      </c>
      <c r="P5473" s="64" t="str">
        <f aca="false">IF(AND($H5473&lt;&gt;"",ROUND($O5473,2)&lt;&gt;0),"有","")</f>
        <v/>
      </c>
    </row>
    <row r="5474" customFormat="false" ht="15" hidden="true" customHeight="false" outlineLevel="0" collapsed="false">
      <c r="A5474" s="53" t="str">
        <f aca="false">IF($H5474="","",ROW()-5)</f>
        <v/>
      </c>
      <c r="B5474" s="64" t="s">
        <v>39</v>
      </c>
      <c r="C5474" s="53" t="n">
        <v>240</v>
      </c>
      <c r="D5474" s="53" t="n">
        <v>1</v>
      </c>
      <c r="E5474" s="65" t="str">
        <f aca="false">IF($H5474="","",其他分录!$B240)</f>
        <v/>
      </c>
      <c r="F5474" s="55" t="str">
        <f aca="false">IF($H5474="","",其他分录!$C240)</f>
        <v/>
      </c>
      <c r="G5474" s="48" t="str">
        <f aca="false">IF($H5474="","",其他分录!$D240)</f>
        <v/>
      </c>
      <c r="H5474" s="10" t="str">
        <f aca="false">IF(OR(其他分录!$B240="",N(其他分录!$G240)=0),"",其他分录!$E240)</f>
        <v/>
      </c>
      <c r="I5474" s="42" t="n">
        <f aca="false">IF($M5474="借",$O5474,0)</f>
        <v>0</v>
      </c>
      <c r="J5474" s="42" t="n">
        <f aca="false">IF($M5474="贷",$O5474,0)</f>
        <v>0</v>
      </c>
      <c r="K5474" s="48" t="str">
        <f aca="false">IF($H5474="","",其他分录!$H240)</f>
        <v/>
      </c>
      <c r="L5474" s="66"/>
      <c r="M5474" s="66" t="str">
        <f aca="false">IF($H5474="","","借")</f>
        <v/>
      </c>
      <c r="N5474" s="66"/>
      <c r="O5474" s="67" t="n">
        <f aca="false">IF($H5474="",0,ROUND(N(其他分录!$G240),2))</f>
        <v>0</v>
      </c>
      <c r="P5474" s="64" t="str">
        <f aca="false">IF(AND($H5474&lt;&gt;"",ROUND($O5474,2)&lt;&gt;0),"有","")</f>
        <v/>
      </c>
    </row>
    <row r="5475" customFormat="false" ht="15" hidden="true" customHeight="false" outlineLevel="0" collapsed="false">
      <c r="A5475" s="53" t="str">
        <f aca="false">IF($H5475="","",ROW()-5)</f>
        <v/>
      </c>
      <c r="B5475" s="64" t="s">
        <v>39</v>
      </c>
      <c r="C5475" s="53" t="n">
        <v>240</v>
      </c>
      <c r="D5475" s="53" t="n">
        <v>2</v>
      </c>
      <c r="E5475" s="65" t="str">
        <f aca="false">IF($H5475="","",其他分录!$B240)</f>
        <v/>
      </c>
      <c r="F5475" s="55" t="str">
        <f aca="false">IF($H5475="","",其他分录!$C240)</f>
        <v/>
      </c>
      <c r="G5475" s="48" t="str">
        <f aca="false">IF($H5475="","",其他分录!$D240)</f>
        <v/>
      </c>
      <c r="H5475" s="10" t="str">
        <f aca="false">IF(OR(其他分录!$B240="",N(其他分录!$G240)=0),"",其他分录!$F240)</f>
        <v/>
      </c>
      <c r="I5475" s="42" t="n">
        <f aca="false">IF($M5475="借",$O5475,0)</f>
        <v>0</v>
      </c>
      <c r="J5475" s="42" t="n">
        <f aca="false">IF($M5475="贷",$O5475,0)</f>
        <v>0</v>
      </c>
      <c r="K5475" s="48" t="str">
        <f aca="false">IF($H5475="","",其他分录!$H240)</f>
        <v/>
      </c>
      <c r="L5475" s="66"/>
      <c r="M5475" s="66" t="str">
        <f aca="false">IF($H5475="","","贷")</f>
        <v/>
      </c>
      <c r="N5475" s="66"/>
      <c r="O5475" s="67" t="n">
        <f aca="false">IF($H5475="",0,ROUND(N(其他分录!$G240),2))</f>
        <v>0</v>
      </c>
      <c r="P5475" s="64" t="str">
        <f aca="false">IF(AND($H5475&lt;&gt;"",ROUND($O5475,2)&lt;&gt;0),"有","")</f>
        <v/>
      </c>
    </row>
    <row r="5476" customFormat="false" ht="15" hidden="true" customHeight="false" outlineLevel="0" collapsed="false">
      <c r="A5476" s="53" t="str">
        <f aca="false">IF($H5476="","",ROW()-5)</f>
        <v/>
      </c>
      <c r="B5476" s="64" t="s">
        <v>39</v>
      </c>
      <c r="C5476" s="53" t="n">
        <v>241</v>
      </c>
      <c r="D5476" s="53" t="n">
        <v>1</v>
      </c>
      <c r="E5476" s="65" t="str">
        <f aca="false">IF($H5476="","",其他分录!$B241)</f>
        <v/>
      </c>
      <c r="F5476" s="55" t="str">
        <f aca="false">IF($H5476="","",其他分录!$C241)</f>
        <v/>
      </c>
      <c r="G5476" s="48" t="str">
        <f aca="false">IF($H5476="","",其他分录!$D241)</f>
        <v/>
      </c>
      <c r="H5476" s="10" t="str">
        <f aca="false">IF(OR(其他分录!$B241="",N(其他分录!$G241)=0),"",其他分录!$E241)</f>
        <v/>
      </c>
      <c r="I5476" s="42" t="n">
        <f aca="false">IF($M5476="借",$O5476,0)</f>
        <v>0</v>
      </c>
      <c r="J5476" s="42" t="n">
        <f aca="false">IF($M5476="贷",$O5476,0)</f>
        <v>0</v>
      </c>
      <c r="K5476" s="48" t="str">
        <f aca="false">IF($H5476="","",其他分录!$H241)</f>
        <v/>
      </c>
      <c r="L5476" s="66"/>
      <c r="M5476" s="66" t="str">
        <f aca="false">IF($H5476="","","借")</f>
        <v/>
      </c>
      <c r="N5476" s="66"/>
      <c r="O5476" s="67" t="n">
        <f aca="false">IF($H5476="",0,ROUND(N(其他分录!$G241),2))</f>
        <v>0</v>
      </c>
      <c r="P5476" s="64" t="str">
        <f aca="false">IF(AND($H5476&lt;&gt;"",ROUND($O5476,2)&lt;&gt;0),"有","")</f>
        <v/>
      </c>
    </row>
    <row r="5477" customFormat="false" ht="15" hidden="true" customHeight="false" outlineLevel="0" collapsed="false">
      <c r="A5477" s="53" t="str">
        <f aca="false">IF($H5477="","",ROW()-5)</f>
        <v/>
      </c>
      <c r="B5477" s="64" t="s">
        <v>39</v>
      </c>
      <c r="C5477" s="53" t="n">
        <v>241</v>
      </c>
      <c r="D5477" s="53" t="n">
        <v>2</v>
      </c>
      <c r="E5477" s="65" t="str">
        <f aca="false">IF($H5477="","",其他分录!$B241)</f>
        <v/>
      </c>
      <c r="F5477" s="55" t="str">
        <f aca="false">IF($H5477="","",其他分录!$C241)</f>
        <v/>
      </c>
      <c r="G5477" s="48" t="str">
        <f aca="false">IF($H5477="","",其他分录!$D241)</f>
        <v/>
      </c>
      <c r="H5477" s="10" t="str">
        <f aca="false">IF(OR(其他分录!$B241="",N(其他分录!$G241)=0),"",其他分录!$F241)</f>
        <v/>
      </c>
      <c r="I5477" s="42" t="n">
        <f aca="false">IF($M5477="借",$O5477,0)</f>
        <v>0</v>
      </c>
      <c r="J5477" s="42" t="n">
        <f aca="false">IF($M5477="贷",$O5477,0)</f>
        <v>0</v>
      </c>
      <c r="K5477" s="48" t="str">
        <f aca="false">IF($H5477="","",其他分录!$H241)</f>
        <v/>
      </c>
      <c r="L5477" s="66"/>
      <c r="M5477" s="66" t="str">
        <f aca="false">IF($H5477="","","贷")</f>
        <v/>
      </c>
      <c r="N5477" s="66"/>
      <c r="O5477" s="67" t="n">
        <f aca="false">IF($H5477="",0,ROUND(N(其他分录!$G241),2))</f>
        <v>0</v>
      </c>
      <c r="P5477" s="64" t="str">
        <f aca="false">IF(AND($H5477&lt;&gt;"",ROUND($O5477,2)&lt;&gt;0),"有","")</f>
        <v/>
      </c>
    </row>
    <row r="5478" customFormat="false" ht="15" hidden="true" customHeight="false" outlineLevel="0" collapsed="false">
      <c r="A5478" s="53" t="str">
        <f aca="false">IF($H5478="","",ROW()-5)</f>
        <v/>
      </c>
      <c r="B5478" s="64" t="s">
        <v>39</v>
      </c>
      <c r="C5478" s="53" t="n">
        <v>242</v>
      </c>
      <c r="D5478" s="53" t="n">
        <v>1</v>
      </c>
      <c r="E5478" s="65" t="str">
        <f aca="false">IF($H5478="","",其他分录!$B242)</f>
        <v/>
      </c>
      <c r="F5478" s="55" t="str">
        <f aca="false">IF($H5478="","",其他分录!$C242)</f>
        <v/>
      </c>
      <c r="G5478" s="48" t="str">
        <f aca="false">IF($H5478="","",其他分录!$D242)</f>
        <v/>
      </c>
      <c r="H5478" s="10" t="str">
        <f aca="false">IF(OR(其他分录!$B242="",N(其他分录!$G242)=0),"",其他分录!$E242)</f>
        <v/>
      </c>
      <c r="I5478" s="42" t="n">
        <f aca="false">IF($M5478="借",$O5478,0)</f>
        <v>0</v>
      </c>
      <c r="J5478" s="42" t="n">
        <f aca="false">IF($M5478="贷",$O5478,0)</f>
        <v>0</v>
      </c>
      <c r="K5478" s="48" t="str">
        <f aca="false">IF($H5478="","",其他分录!$H242)</f>
        <v/>
      </c>
      <c r="L5478" s="66"/>
      <c r="M5478" s="66" t="str">
        <f aca="false">IF($H5478="","","借")</f>
        <v/>
      </c>
      <c r="N5478" s="66"/>
      <c r="O5478" s="67" t="n">
        <f aca="false">IF($H5478="",0,ROUND(N(其他分录!$G242),2))</f>
        <v>0</v>
      </c>
      <c r="P5478" s="64" t="str">
        <f aca="false">IF(AND($H5478&lt;&gt;"",ROUND($O5478,2)&lt;&gt;0),"有","")</f>
        <v/>
      </c>
    </row>
    <row r="5479" customFormat="false" ht="15" hidden="true" customHeight="false" outlineLevel="0" collapsed="false">
      <c r="A5479" s="53" t="str">
        <f aca="false">IF($H5479="","",ROW()-5)</f>
        <v/>
      </c>
      <c r="B5479" s="64" t="s">
        <v>39</v>
      </c>
      <c r="C5479" s="53" t="n">
        <v>242</v>
      </c>
      <c r="D5479" s="53" t="n">
        <v>2</v>
      </c>
      <c r="E5479" s="65" t="str">
        <f aca="false">IF($H5479="","",其他分录!$B242)</f>
        <v/>
      </c>
      <c r="F5479" s="55" t="str">
        <f aca="false">IF($H5479="","",其他分录!$C242)</f>
        <v/>
      </c>
      <c r="G5479" s="48" t="str">
        <f aca="false">IF($H5479="","",其他分录!$D242)</f>
        <v/>
      </c>
      <c r="H5479" s="10" t="str">
        <f aca="false">IF(OR(其他分录!$B242="",N(其他分录!$G242)=0),"",其他分录!$F242)</f>
        <v/>
      </c>
      <c r="I5479" s="42" t="n">
        <f aca="false">IF($M5479="借",$O5479,0)</f>
        <v>0</v>
      </c>
      <c r="J5479" s="42" t="n">
        <f aca="false">IF($M5479="贷",$O5479,0)</f>
        <v>0</v>
      </c>
      <c r="K5479" s="48" t="str">
        <f aca="false">IF($H5479="","",其他分录!$H242)</f>
        <v/>
      </c>
      <c r="L5479" s="66"/>
      <c r="M5479" s="66" t="str">
        <f aca="false">IF($H5479="","","贷")</f>
        <v/>
      </c>
      <c r="N5479" s="66"/>
      <c r="O5479" s="67" t="n">
        <f aca="false">IF($H5479="",0,ROUND(N(其他分录!$G242),2))</f>
        <v>0</v>
      </c>
      <c r="P5479" s="64" t="str">
        <f aca="false">IF(AND($H5479&lt;&gt;"",ROUND($O5479,2)&lt;&gt;0),"有","")</f>
        <v/>
      </c>
    </row>
    <row r="5480" customFormat="false" ht="15" hidden="true" customHeight="false" outlineLevel="0" collapsed="false">
      <c r="A5480" s="53" t="str">
        <f aca="false">IF($H5480="","",ROW()-5)</f>
        <v/>
      </c>
      <c r="B5480" s="64" t="s">
        <v>39</v>
      </c>
      <c r="C5480" s="53" t="n">
        <v>243</v>
      </c>
      <c r="D5480" s="53" t="n">
        <v>1</v>
      </c>
      <c r="E5480" s="65" t="str">
        <f aca="false">IF($H5480="","",其他分录!$B243)</f>
        <v/>
      </c>
      <c r="F5480" s="55" t="str">
        <f aca="false">IF($H5480="","",其他分录!$C243)</f>
        <v/>
      </c>
      <c r="G5480" s="48" t="str">
        <f aca="false">IF($H5480="","",其他分录!$D243)</f>
        <v/>
      </c>
      <c r="H5480" s="10" t="str">
        <f aca="false">IF(OR(其他分录!$B243="",N(其他分录!$G243)=0),"",其他分录!$E243)</f>
        <v/>
      </c>
      <c r="I5480" s="42" t="n">
        <f aca="false">IF($M5480="借",$O5480,0)</f>
        <v>0</v>
      </c>
      <c r="J5480" s="42" t="n">
        <f aca="false">IF($M5480="贷",$O5480,0)</f>
        <v>0</v>
      </c>
      <c r="K5480" s="48" t="str">
        <f aca="false">IF($H5480="","",其他分录!$H243)</f>
        <v/>
      </c>
      <c r="L5480" s="66"/>
      <c r="M5480" s="66" t="str">
        <f aca="false">IF($H5480="","","借")</f>
        <v/>
      </c>
      <c r="N5480" s="66"/>
      <c r="O5480" s="67" t="n">
        <f aca="false">IF($H5480="",0,ROUND(N(其他分录!$G243),2))</f>
        <v>0</v>
      </c>
      <c r="P5480" s="64" t="str">
        <f aca="false">IF(AND($H5480&lt;&gt;"",ROUND($O5480,2)&lt;&gt;0),"有","")</f>
        <v/>
      </c>
    </row>
    <row r="5481" customFormat="false" ht="15" hidden="true" customHeight="false" outlineLevel="0" collapsed="false">
      <c r="A5481" s="53" t="str">
        <f aca="false">IF($H5481="","",ROW()-5)</f>
        <v/>
      </c>
      <c r="B5481" s="64" t="s">
        <v>39</v>
      </c>
      <c r="C5481" s="53" t="n">
        <v>243</v>
      </c>
      <c r="D5481" s="53" t="n">
        <v>2</v>
      </c>
      <c r="E5481" s="65" t="str">
        <f aca="false">IF($H5481="","",其他分录!$B243)</f>
        <v/>
      </c>
      <c r="F5481" s="55" t="str">
        <f aca="false">IF($H5481="","",其他分录!$C243)</f>
        <v/>
      </c>
      <c r="G5481" s="48" t="str">
        <f aca="false">IF($H5481="","",其他分录!$D243)</f>
        <v/>
      </c>
      <c r="H5481" s="10" t="str">
        <f aca="false">IF(OR(其他分录!$B243="",N(其他分录!$G243)=0),"",其他分录!$F243)</f>
        <v/>
      </c>
      <c r="I5481" s="42" t="n">
        <f aca="false">IF($M5481="借",$O5481,0)</f>
        <v>0</v>
      </c>
      <c r="J5481" s="42" t="n">
        <f aca="false">IF($M5481="贷",$O5481,0)</f>
        <v>0</v>
      </c>
      <c r="K5481" s="48" t="str">
        <f aca="false">IF($H5481="","",其他分录!$H243)</f>
        <v/>
      </c>
      <c r="L5481" s="66"/>
      <c r="M5481" s="66" t="str">
        <f aca="false">IF($H5481="","","贷")</f>
        <v/>
      </c>
      <c r="N5481" s="66"/>
      <c r="O5481" s="67" t="n">
        <f aca="false">IF($H5481="",0,ROUND(N(其他分录!$G243),2))</f>
        <v>0</v>
      </c>
      <c r="P5481" s="64" t="str">
        <f aca="false">IF(AND($H5481&lt;&gt;"",ROUND($O5481,2)&lt;&gt;0),"有","")</f>
        <v/>
      </c>
    </row>
    <row r="5482" customFormat="false" ht="15" hidden="true" customHeight="false" outlineLevel="0" collapsed="false">
      <c r="A5482" s="53" t="str">
        <f aca="false">IF($H5482="","",ROW()-5)</f>
        <v/>
      </c>
      <c r="B5482" s="64" t="s">
        <v>39</v>
      </c>
      <c r="C5482" s="53" t="n">
        <v>244</v>
      </c>
      <c r="D5482" s="53" t="n">
        <v>1</v>
      </c>
      <c r="E5482" s="65" t="str">
        <f aca="false">IF($H5482="","",其他分录!$B244)</f>
        <v/>
      </c>
      <c r="F5482" s="55" t="str">
        <f aca="false">IF($H5482="","",其他分录!$C244)</f>
        <v/>
      </c>
      <c r="G5482" s="48" t="str">
        <f aca="false">IF($H5482="","",其他分录!$D244)</f>
        <v/>
      </c>
      <c r="H5482" s="10" t="str">
        <f aca="false">IF(OR(其他分录!$B244="",N(其他分录!$G244)=0),"",其他分录!$E244)</f>
        <v/>
      </c>
      <c r="I5482" s="42" t="n">
        <f aca="false">IF($M5482="借",$O5482,0)</f>
        <v>0</v>
      </c>
      <c r="J5482" s="42" t="n">
        <f aca="false">IF($M5482="贷",$O5482,0)</f>
        <v>0</v>
      </c>
      <c r="K5482" s="48" t="str">
        <f aca="false">IF($H5482="","",其他分录!$H244)</f>
        <v/>
      </c>
      <c r="L5482" s="66"/>
      <c r="M5482" s="66" t="str">
        <f aca="false">IF($H5482="","","借")</f>
        <v/>
      </c>
      <c r="N5482" s="66"/>
      <c r="O5482" s="67" t="n">
        <f aca="false">IF($H5482="",0,ROUND(N(其他分录!$G244),2))</f>
        <v>0</v>
      </c>
      <c r="P5482" s="64" t="str">
        <f aca="false">IF(AND($H5482&lt;&gt;"",ROUND($O5482,2)&lt;&gt;0),"有","")</f>
        <v/>
      </c>
    </row>
    <row r="5483" customFormat="false" ht="15" hidden="true" customHeight="false" outlineLevel="0" collapsed="false">
      <c r="A5483" s="53" t="str">
        <f aca="false">IF($H5483="","",ROW()-5)</f>
        <v/>
      </c>
      <c r="B5483" s="64" t="s">
        <v>39</v>
      </c>
      <c r="C5483" s="53" t="n">
        <v>244</v>
      </c>
      <c r="D5483" s="53" t="n">
        <v>2</v>
      </c>
      <c r="E5483" s="65" t="str">
        <f aca="false">IF($H5483="","",其他分录!$B244)</f>
        <v/>
      </c>
      <c r="F5483" s="55" t="str">
        <f aca="false">IF($H5483="","",其他分录!$C244)</f>
        <v/>
      </c>
      <c r="G5483" s="48" t="str">
        <f aca="false">IF($H5483="","",其他分录!$D244)</f>
        <v/>
      </c>
      <c r="H5483" s="10" t="str">
        <f aca="false">IF(OR(其他分录!$B244="",N(其他分录!$G244)=0),"",其他分录!$F244)</f>
        <v/>
      </c>
      <c r="I5483" s="42" t="n">
        <f aca="false">IF($M5483="借",$O5483,0)</f>
        <v>0</v>
      </c>
      <c r="J5483" s="42" t="n">
        <f aca="false">IF($M5483="贷",$O5483,0)</f>
        <v>0</v>
      </c>
      <c r="K5483" s="48" t="str">
        <f aca="false">IF($H5483="","",其他分录!$H244)</f>
        <v/>
      </c>
      <c r="L5483" s="66"/>
      <c r="M5483" s="66" t="str">
        <f aca="false">IF($H5483="","","贷")</f>
        <v/>
      </c>
      <c r="N5483" s="66"/>
      <c r="O5483" s="67" t="n">
        <f aca="false">IF($H5483="",0,ROUND(N(其他分录!$G244),2))</f>
        <v>0</v>
      </c>
      <c r="P5483" s="64" t="str">
        <f aca="false">IF(AND($H5483&lt;&gt;"",ROUND($O5483,2)&lt;&gt;0),"有","")</f>
        <v/>
      </c>
    </row>
    <row r="5484" customFormat="false" ht="15" hidden="true" customHeight="false" outlineLevel="0" collapsed="false">
      <c r="A5484" s="53" t="str">
        <f aca="false">IF($H5484="","",ROW()-5)</f>
        <v/>
      </c>
      <c r="B5484" s="64" t="s">
        <v>39</v>
      </c>
      <c r="C5484" s="53" t="n">
        <v>245</v>
      </c>
      <c r="D5484" s="53" t="n">
        <v>1</v>
      </c>
      <c r="E5484" s="65" t="str">
        <f aca="false">IF($H5484="","",其他分录!$B245)</f>
        <v/>
      </c>
      <c r="F5484" s="55" t="str">
        <f aca="false">IF($H5484="","",其他分录!$C245)</f>
        <v/>
      </c>
      <c r="G5484" s="48" t="str">
        <f aca="false">IF($H5484="","",其他分录!$D245)</f>
        <v/>
      </c>
      <c r="H5484" s="10" t="str">
        <f aca="false">IF(OR(其他分录!$B245="",N(其他分录!$G245)=0),"",其他分录!$E245)</f>
        <v/>
      </c>
      <c r="I5484" s="42" t="n">
        <f aca="false">IF($M5484="借",$O5484,0)</f>
        <v>0</v>
      </c>
      <c r="J5484" s="42" t="n">
        <f aca="false">IF($M5484="贷",$O5484,0)</f>
        <v>0</v>
      </c>
      <c r="K5484" s="48" t="str">
        <f aca="false">IF($H5484="","",其他分录!$H245)</f>
        <v/>
      </c>
      <c r="L5484" s="66"/>
      <c r="M5484" s="66" t="str">
        <f aca="false">IF($H5484="","","借")</f>
        <v/>
      </c>
      <c r="N5484" s="66"/>
      <c r="O5484" s="67" t="n">
        <f aca="false">IF($H5484="",0,ROUND(N(其他分录!$G245),2))</f>
        <v>0</v>
      </c>
      <c r="P5484" s="64" t="str">
        <f aca="false">IF(AND($H5484&lt;&gt;"",ROUND($O5484,2)&lt;&gt;0),"有","")</f>
        <v/>
      </c>
    </row>
    <row r="5485" customFormat="false" ht="15" hidden="true" customHeight="false" outlineLevel="0" collapsed="false">
      <c r="A5485" s="53" t="str">
        <f aca="false">IF($H5485="","",ROW()-5)</f>
        <v/>
      </c>
      <c r="B5485" s="64" t="s">
        <v>39</v>
      </c>
      <c r="C5485" s="53" t="n">
        <v>245</v>
      </c>
      <c r="D5485" s="53" t="n">
        <v>2</v>
      </c>
      <c r="E5485" s="65" t="str">
        <f aca="false">IF($H5485="","",其他分录!$B245)</f>
        <v/>
      </c>
      <c r="F5485" s="55" t="str">
        <f aca="false">IF($H5485="","",其他分录!$C245)</f>
        <v/>
      </c>
      <c r="G5485" s="48" t="str">
        <f aca="false">IF($H5485="","",其他分录!$D245)</f>
        <v/>
      </c>
      <c r="H5485" s="10" t="str">
        <f aca="false">IF(OR(其他分录!$B245="",N(其他分录!$G245)=0),"",其他分录!$F245)</f>
        <v/>
      </c>
      <c r="I5485" s="42" t="n">
        <f aca="false">IF($M5485="借",$O5485,0)</f>
        <v>0</v>
      </c>
      <c r="J5485" s="42" t="n">
        <f aca="false">IF($M5485="贷",$O5485,0)</f>
        <v>0</v>
      </c>
      <c r="K5485" s="48" t="str">
        <f aca="false">IF($H5485="","",其他分录!$H245)</f>
        <v/>
      </c>
      <c r="L5485" s="66"/>
      <c r="M5485" s="66" t="str">
        <f aca="false">IF($H5485="","","贷")</f>
        <v/>
      </c>
      <c r="N5485" s="66"/>
      <c r="O5485" s="67" t="n">
        <f aca="false">IF($H5485="",0,ROUND(N(其他分录!$G245),2))</f>
        <v>0</v>
      </c>
      <c r="P5485" s="64" t="str">
        <f aca="false">IF(AND($H5485&lt;&gt;"",ROUND($O5485,2)&lt;&gt;0),"有","")</f>
        <v/>
      </c>
    </row>
    <row r="5486" customFormat="false" ht="15" hidden="true" customHeight="false" outlineLevel="0" collapsed="false">
      <c r="A5486" s="53" t="str">
        <f aca="false">IF($H5486="","",ROW()-5)</f>
        <v/>
      </c>
      <c r="B5486" s="64" t="s">
        <v>39</v>
      </c>
      <c r="C5486" s="53" t="n">
        <v>246</v>
      </c>
      <c r="D5486" s="53" t="n">
        <v>1</v>
      </c>
      <c r="E5486" s="65" t="str">
        <f aca="false">IF($H5486="","",其他分录!$B246)</f>
        <v/>
      </c>
      <c r="F5486" s="55" t="str">
        <f aca="false">IF($H5486="","",其他分录!$C246)</f>
        <v/>
      </c>
      <c r="G5486" s="48" t="str">
        <f aca="false">IF($H5486="","",其他分录!$D246)</f>
        <v/>
      </c>
      <c r="H5486" s="10" t="str">
        <f aca="false">IF(OR(其他分录!$B246="",N(其他分录!$G246)=0),"",其他分录!$E246)</f>
        <v/>
      </c>
      <c r="I5486" s="42" t="n">
        <f aca="false">IF($M5486="借",$O5486,0)</f>
        <v>0</v>
      </c>
      <c r="J5486" s="42" t="n">
        <f aca="false">IF($M5486="贷",$O5486,0)</f>
        <v>0</v>
      </c>
      <c r="K5486" s="48" t="str">
        <f aca="false">IF($H5486="","",其他分录!$H246)</f>
        <v/>
      </c>
      <c r="L5486" s="66"/>
      <c r="M5486" s="66" t="str">
        <f aca="false">IF($H5486="","","借")</f>
        <v/>
      </c>
      <c r="N5486" s="66"/>
      <c r="O5486" s="67" t="n">
        <f aca="false">IF($H5486="",0,ROUND(N(其他分录!$G246),2))</f>
        <v>0</v>
      </c>
      <c r="P5486" s="64" t="str">
        <f aca="false">IF(AND($H5486&lt;&gt;"",ROUND($O5486,2)&lt;&gt;0),"有","")</f>
        <v/>
      </c>
    </row>
    <row r="5487" customFormat="false" ht="15" hidden="true" customHeight="false" outlineLevel="0" collapsed="false">
      <c r="A5487" s="53" t="str">
        <f aca="false">IF($H5487="","",ROW()-5)</f>
        <v/>
      </c>
      <c r="B5487" s="64" t="s">
        <v>39</v>
      </c>
      <c r="C5487" s="53" t="n">
        <v>246</v>
      </c>
      <c r="D5487" s="53" t="n">
        <v>2</v>
      </c>
      <c r="E5487" s="65" t="str">
        <f aca="false">IF($H5487="","",其他分录!$B246)</f>
        <v/>
      </c>
      <c r="F5487" s="55" t="str">
        <f aca="false">IF($H5487="","",其他分录!$C246)</f>
        <v/>
      </c>
      <c r="G5487" s="48" t="str">
        <f aca="false">IF($H5487="","",其他分录!$D246)</f>
        <v/>
      </c>
      <c r="H5487" s="10" t="str">
        <f aca="false">IF(OR(其他分录!$B246="",N(其他分录!$G246)=0),"",其他分录!$F246)</f>
        <v/>
      </c>
      <c r="I5487" s="42" t="n">
        <f aca="false">IF($M5487="借",$O5487,0)</f>
        <v>0</v>
      </c>
      <c r="J5487" s="42" t="n">
        <f aca="false">IF($M5487="贷",$O5487,0)</f>
        <v>0</v>
      </c>
      <c r="K5487" s="48" t="str">
        <f aca="false">IF($H5487="","",其他分录!$H246)</f>
        <v/>
      </c>
      <c r="L5487" s="66"/>
      <c r="M5487" s="66" t="str">
        <f aca="false">IF($H5487="","","贷")</f>
        <v/>
      </c>
      <c r="N5487" s="66"/>
      <c r="O5487" s="67" t="n">
        <f aca="false">IF($H5487="",0,ROUND(N(其他分录!$G246),2))</f>
        <v>0</v>
      </c>
      <c r="P5487" s="64" t="str">
        <f aca="false">IF(AND($H5487&lt;&gt;"",ROUND($O5487,2)&lt;&gt;0),"有","")</f>
        <v/>
      </c>
    </row>
    <row r="5488" customFormat="false" ht="15" hidden="true" customHeight="false" outlineLevel="0" collapsed="false">
      <c r="A5488" s="53" t="str">
        <f aca="false">IF($H5488="","",ROW()-5)</f>
        <v/>
      </c>
      <c r="B5488" s="64" t="s">
        <v>39</v>
      </c>
      <c r="C5488" s="53" t="n">
        <v>247</v>
      </c>
      <c r="D5488" s="53" t="n">
        <v>1</v>
      </c>
      <c r="E5488" s="65" t="str">
        <f aca="false">IF($H5488="","",其他分录!$B247)</f>
        <v/>
      </c>
      <c r="F5488" s="55" t="str">
        <f aca="false">IF($H5488="","",其他分录!$C247)</f>
        <v/>
      </c>
      <c r="G5488" s="48" t="str">
        <f aca="false">IF($H5488="","",其他分录!$D247)</f>
        <v/>
      </c>
      <c r="H5488" s="10" t="str">
        <f aca="false">IF(OR(其他分录!$B247="",N(其他分录!$G247)=0),"",其他分录!$E247)</f>
        <v/>
      </c>
      <c r="I5488" s="42" t="n">
        <f aca="false">IF($M5488="借",$O5488,0)</f>
        <v>0</v>
      </c>
      <c r="J5488" s="42" t="n">
        <f aca="false">IF($M5488="贷",$O5488,0)</f>
        <v>0</v>
      </c>
      <c r="K5488" s="48" t="str">
        <f aca="false">IF($H5488="","",其他分录!$H247)</f>
        <v/>
      </c>
      <c r="L5488" s="66"/>
      <c r="M5488" s="66" t="str">
        <f aca="false">IF($H5488="","","借")</f>
        <v/>
      </c>
      <c r="N5488" s="66"/>
      <c r="O5488" s="67" t="n">
        <f aca="false">IF($H5488="",0,ROUND(N(其他分录!$G247),2))</f>
        <v>0</v>
      </c>
      <c r="P5488" s="64" t="str">
        <f aca="false">IF(AND($H5488&lt;&gt;"",ROUND($O5488,2)&lt;&gt;0),"有","")</f>
        <v/>
      </c>
    </row>
    <row r="5489" customFormat="false" ht="15" hidden="true" customHeight="false" outlineLevel="0" collapsed="false">
      <c r="A5489" s="53" t="str">
        <f aca="false">IF($H5489="","",ROW()-5)</f>
        <v/>
      </c>
      <c r="B5489" s="64" t="s">
        <v>39</v>
      </c>
      <c r="C5489" s="53" t="n">
        <v>247</v>
      </c>
      <c r="D5489" s="53" t="n">
        <v>2</v>
      </c>
      <c r="E5489" s="65" t="str">
        <f aca="false">IF($H5489="","",其他分录!$B247)</f>
        <v/>
      </c>
      <c r="F5489" s="55" t="str">
        <f aca="false">IF($H5489="","",其他分录!$C247)</f>
        <v/>
      </c>
      <c r="G5489" s="48" t="str">
        <f aca="false">IF($H5489="","",其他分录!$D247)</f>
        <v/>
      </c>
      <c r="H5489" s="10" t="str">
        <f aca="false">IF(OR(其他分录!$B247="",N(其他分录!$G247)=0),"",其他分录!$F247)</f>
        <v/>
      </c>
      <c r="I5489" s="42" t="n">
        <f aca="false">IF($M5489="借",$O5489,0)</f>
        <v>0</v>
      </c>
      <c r="J5489" s="42" t="n">
        <f aca="false">IF($M5489="贷",$O5489,0)</f>
        <v>0</v>
      </c>
      <c r="K5489" s="48" t="str">
        <f aca="false">IF($H5489="","",其他分录!$H247)</f>
        <v/>
      </c>
      <c r="L5489" s="66"/>
      <c r="M5489" s="66" t="str">
        <f aca="false">IF($H5489="","","贷")</f>
        <v/>
      </c>
      <c r="N5489" s="66"/>
      <c r="O5489" s="67" t="n">
        <f aca="false">IF($H5489="",0,ROUND(N(其他分录!$G247),2))</f>
        <v>0</v>
      </c>
      <c r="P5489" s="64" t="str">
        <f aca="false">IF(AND($H5489&lt;&gt;"",ROUND($O5489,2)&lt;&gt;0),"有","")</f>
        <v/>
      </c>
    </row>
    <row r="5490" customFormat="false" ht="15" hidden="true" customHeight="false" outlineLevel="0" collapsed="false">
      <c r="A5490" s="53" t="str">
        <f aca="false">IF($H5490="","",ROW()-5)</f>
        <v/>
      </c>
      <c r="B5490" s="64" t="s">
        <v>39</v>
      </c>
      <c r="C5490" s="53" t="n">
        <v>248</v>
      </c>
      <c r="D5490" s="53" t="n">
        <v>1</v>
      </c>
      <c r="E5490" s="65" t="str">
        <f aca="false">IF($H5490="","",其他分录!$B248)</f>
        <v/>
      </c>
      <c r="F5490" s="55" t="str">
        <f aca="false">IF($H5490="","",其他分录!$C248)</f>
        <v/>
      </c>
      <c r="G5490" s="48" t="str">
        <f aca="false">IF($H5490="","",其他分录!$D248)</f>
        <v/>
      </c>
      <c r="H5490" s="10" t="str">
        <f aca="false">IF(OR(其他分录!$B248="",N(其他分录!$G248)=0),"",其他分录!$E248)</f>
        <v/>
      </c>
      <c r="I5490" s="42" t="n">
        <f aca="false">IF($M5490="借",$O5490,0)</f>
        <v>0</v>
      </c>
      <c r="J5490" s="42" t="n">
        <f aca="false">IF($M5490="贷",$O5490,0)</f>
        <v>0</v>
      </c>
      <c r="K5490" s="48" t="str">
        <f aca="false">IF($H5490="","",其他分录!$H248)</f>
        <v/>
      </c>
      <c r="L5490" s="66"/>
      <c r="M5490" s="66" t="str">
        <f aca="false">IF($H5490="","","借")</f>
        <v/>
      </c>
      <c r="N5490" s="66"/>
      <c r="O5490" s="67" t="n">
        <f aca="false">IF($H5490="",0,ROUND(N(其他分录!$G248),2))</f>
        <v>0</v>
      </c>
      <c r="P5490" s="64" t="str">
        <f aca="false">IF(AND($H5490&lt;&gt;"",ROUND($O5490,2)&lt;&gt;0),"有","")</f>
        <v/>
      </c>
    </row>
    <row r="5491" customFormat="false" ht="15" hidden="true" customHeight="false" outlineLevel="0" collapsed="false">
      <c r="A5491" s="53" t="str">
        <f aca="false">IF($H5491="","",ROW()-5)</f>
        <v/>
      </c>
      <c r="B5491" s="64" t="s">
        <v>39</v>
      </c>
      <c r="C5491" s="53" t="n">
        <v>248</v>
      </c>
      <c r="D5491" s="53" t="n">
        <v>2</v>
      </c>
      <c r="E5491" s="65" t="str">
        <f aca="false">IF($H5491="","",其他分录!$B248)</f>
        <v/>
      </c>
      <c r="F5491" s="55" t="str">
        <f aca="false">IF($H5491="","",其他分录!$C248)</f>
        <v/>
      </c>
      <c r="G5491" s="48" t="str">
        <f aca="false">IF($H5491="","",其他分录!$D248)</f>
        <v/>
      </c>
      <c r="H5491" s="10" t="str">
        <f aca="false">IF(OR(其他分录!$B248="",N(其他分录!$G248)=0),"",其他分录!$F248)</f>
        <v/>
      </c>
      <c r="I5491" s="42" t="n">
        <f aca="false">IF($M5491="借",$O5491,0)</f>
        <v>0</v>
      </c>
      <c r="J5491" s="42" t="n">
        <f aca="false">IF($M5491="贷",$O5491,0)</f>
        <v>0</v>
      </c>
      <c r="K5491" s="48" t="str">
        <f aca="false">IF($H5491="","",其他分录!$H248)</f>
        <v/>
      </c>
      <c r="L5491" s="66"/>
      <c r="M5491" s="66" t="str">
        <f aca="false">IF($H5491="","","贷")</f>
        <v/>
      </c>
      <c r="N5491" s="66"/>
      <c r="O5491" s="67" t="n">
        <f aca="false">IF($H5491="",0,ROUND(N(其他分录!$G248),2))</f>
        <v>0</v>
      </c>
      <c r="P5491" s="64" t="str">
        <f aca="false">IF(AND($H5491&lt;&gt;"",ROUND($O5491,2)&lt;&gt;0),"有","")</f>
        <v/>
      </c>
    </row>
    <row r="5492" customFormat="false" ht="15" hidden="true" customHeight="false" outlineLevel="0" collapsed="false">
      <c r="A5492" s="53" t="str">
        <f aca="false">IF($H5492="","",ROW()-5)</f>
        <v/>
      </c>
      <c r="B5492" s="64" t="s">
        <v>39</v>
      </c>
      <c r="C5492" s="53" t="n">
        <v>249</v>
      </c>
      <c r="D5492" s="53" t="n">
        <v>1</v>
      </c>
      <c r="E5492" s="65" t="str">
        <f aca="false">IF($H5492="","",其他分录!$B249)</f>
        <v/>
      </c>
      <c r="F5492" s="55" t="str">
        <f aca="false">IF($H5492="","",其他分录!$C249)</f>
        <v/>
      </c>
      <c r="G5492" s="48" t="str">
        <f aca="false">IF($H5492="","",其他分录!$D249)</f>
        <v/>
      </c>
      <c r="H5492" s="10" t="str">
        <f aca="false">IF(OR(其他分录!$B249="",N(其他分录!$G249)=0),"",其他分录!$E249)</f>
        <v/>
      </c>
      <c r="I5492" s="42" t="n">
        <f aca="false">IF($M5492="借",$O5492,0)</f>
        <v>0</v>
      </c>
      <c r="J5492" s="42" t="n">
        <f aca="false">IF($M5492="贷",$O5492,0)</f>
        <v>0</v>
      </c>
      <c r="K5492" s="48" t="str">
        <f aca="false">IF($H5492="","",其他分录!$H249)</f>
        <v/>
      </c>
      <c r="L5492" s="66"/>
      <c r="M5492" s="66" t="str">
        <f aca="false">IF($H5492="","","借")</f>
        <v/>
      </c>
      <c r="N5492" s="66"/>
      <c r="O5492" s="67" t="n">
        <f aca="false">IF($H5492="",0,ROUND(N(其他分录!$G249),2))</f>
        <v>0</v>
      </c>
      <c r="P5492" s="64" t="str">
        <f aca="false">IF(AND($H5492&lt;&gt;"",ROUND($O5492,2)&lt;&gt;0),"有","")</f>
        <v/>
      </c>
    </row>
    <row r="5493" customFormat="false" ht="15" hidden="true" customHeight="false" outlineLevel="0" collapsed="false">
      <c r="A5493" s="53" t="str">
        <f aca="false">IF($H5493="","",ROW()-5)</f>
        <v/>
      </c>
      <c r="B5493" s="64" t="s">
        <v>39</v>
      </c>
      <c r="C5493" s="53" t="n">
        <v>249</v>
      </c>
      <c r="D5493" s="53" t="n">
        <v>2</v>
      </c>
      <c r="E5493" s="65" t="str">
        <f aca="false">IF($H5493="","",其他分录!$B249)</f>
        <v/>
      </c>
      <c r="F5493" s="55" t="str">
        <f aca="false">IF($H5493="","",其他分录!$C249)</f>
        <v/>
      </c>
      <c r="G5493" s="48" t="str">
        <f aca="false">IF($H5493="","",其他分录!$D249)</f>
        <v/>
      </c>
      <c r="H5493" s="10" t="str">
        <f aca="false">IF(OR(其他分录!$B249="",N(其他分录!$G249)=0),"",其他分录!$F249)</f>
        <v/>
      </c>
      <c r="I5493" s="42" t="n">
        <f aca="false">IF($M5493="借",$O5493,0)</f>
        <v>0</v>
      </c>
      <c r="J5493" s="42" t="n">
        <f aca="false">IF($M5493="贷",$O5493,0)</f>
        <v>0</v>
      </c>
      <c r="K5493" s="48" t="str">
        <f aca="false">IF($H5493="","",其他分录!$H249)</f>
        <v/>
      </c>
      <c r="L5493" s="66"/>
      <c r="M5493" s="66" t="str">
        <f aca="false">IF($H5493="","","贷")</f>
        <v/>
      </c>
      <c r="N5493" s="66"/>
      <c r="O5493" s="67" t="n">
        <f aca="false">IF($H5493="",0,ROUND(N(其他分录!$G249),2))</f>
        <v>0</v>
      </c>
      <c r="P5493" s="64" t="str">
        <f aca="false">IF(AND($H5493&lt;&gt;"",ROUND($O5493,2)&lt;&gt;0),"有","")</f>
        <v/>
      </c>
    </row>
    <row r="5494" customFormat="false" ht="15" hidden="true" customHeight="false" outlineLevel="0" collapsed="false">
      <c r="A5494" s="53" t="str">
        <f aca="false">IF($H5494="","",ROW()-5)</f>
        <v/>
      </c>
      <c r="B5494" s="64" t="s">
        <v>39</v>
      </c>
      <c r="C5494" s="53" t="n">
        <v>250</v>
      </c>
      <c r="D5494" s="53" t="n">
        <v>1</v>
      </c>
      <c r="E5494" s="65" t="str">
        <f aca="false">IF($H5494="","",其他分录!$B250)</f>
        <v/>
      </c>
      <c r="F5494" s="55" t="str">
        <f aca="false">IF($H5494="","",其他分录!$C250)</f>
        <v/>
      </c>
      <c r="G5494" s="48" t="str">
        <f aca="false">IF($H5494="","",其他分录!$D250)</f>
        <v/>
      </c>
      <c r="H5494" s="10" t="str">
        <f aca="false">IF(OR(其他分录!$B250="",N(其他分录!$G250)=0),"",其他分录!$E250)</f>
        <v/>
      </c>
      <c r="I5494" s="42" t="n">
        <f aca="false">IF($M5494="借",$O5494,0)</f>
        <v>0</v>
      </c>
      <c r="J5494" s="42" t="n">
        <f aca="false">IF($M5494="贷",$O5494,0)</f>
        <v>0</v>
      </c>
      <c r="K5494" s="48" t="str">
        <f aca="false">IF($H5494="","",其他分录!$H250)</f>
        <v/>
      </c>
      <c r="L5494" s="66"/>
      <c r="M5494" s="66" t="str">
        <f aca="false">IF($H5494="","","借")</f>
        <v/>
      </c>
      <c r="N5494" s="66"/>
      <c r="O5494" s="67" t="n">
        <f aca="false">IF($H5494="",0,ROUND(N(其他分录!$G250),2))</f>
        <v>0</v>
      </c>
      <c r="P5494" s="64" t="str">
        <f aca="false">IF(AND($H5494&lt;&gt;"",ROUND($O5494,2)&lt;&gt;0),"有","")</f>
        <v/>
      </c>
    </row>
    <row r="5495" customFormat="false" ht="15" hidden="true" customHeight="false" outlineLevel="0" collapsed="false">
      <c r="A5495" s="53" t="str">
        <f aca="false">IF($H5495="","",ROW()-5)</f>
        <v/>
      </c>
      <c r="B5495" s="64" t="s">
        <v>39</v>
      </c>
      <c r="C5495" s="53" t="n">
        <v>250</v>
      </c>
      <c r="D5495" s="53" t="n">
        <v>2</v>
      </c>
      <c r="E5495" s="65" t="str">
        <f aca="false">IF($H5495="","",其他分录!$B250)</f>
        <v/>
      </c>
      <c r="F5495" s="55" t="str">
        <f aca="false">IF($H5495="","",其他分录!$C250)</f>
        <v/>
      </c>
      <c r="G5495" s="48" t="str">
        <f aca="false">IF($H5495="","",其他分录!$D250)</f>
        <v/>
      </c>
      <c r="H5495" s="10" t="str">
        <f aca="false">IF(OR(其他分录!$B250="",N(其他分录!$G250)=0),"",其他分录!$F250)</f>
        <v/>
      </c>
      <c r="I5495" s="42" t="n">
        <f aca="false">IF($M5495="借",$O5495,0)</f>
        <v>0</v>
      </c>
      <c r="J5495" s="42" t="n">
        <f aca="false">IF($M5495="贷",$O5495,0)</f>
        <v>0</v>
      </c>
      <c r="K5495" s="48" t="str">
        <f aca="false">IF($H5495="","",其他分录!$H250)</f>
        <v/>
      </c>
      <c r="L5495" s="66"/>
      <c r="M5495" s="66" t="str">
        <f aca="false">IF($H5495="","","贷")</f>
        <v/>
      </c>
      <c r="N5495" s="66"/>
      <c r="O5495" s="67" t="n">
        <f aca="false">IF($H5495="",0,ROUND(N(其他分录!$G250),2))</f>
        <v>0</v>
      </c>
      <c r="P5495" s="64" t="str">
        <f aca="false">IF(AND($H5495&lt;&gt;"",ROUND($O5495,2)&lt;&gt;0),"有","")</f>
        <v/>
      </c>
    </row>
    <row r="5496" customFormat="false" ht="15" hidden="true" customHeight="false" outlineLevel="0" collapsed="false">
      <c r="A5496" s="53" t="str">
        <f aca="false">IF($H5496="","",ROW()-5)</f>
        <v/>
      </c>
      <c r="B5496" s="64" t="s">
        <v>39</v>
      </c>
      <c r="C5496" s="53" t="n">
        <v>251</v>
      </c>
      <c r="D5496" s="53" t="n">
        <v>1</v>
      </c>
      <c r="E5496" s="65" t="str">
        <f aca="false">IF($H5496="","",其他分录!$B251)</f>
        <v/>
      </c>
      <c r="F5496" s="55" t="str">
        <f aca="false">IF($H5496="","",其他分录!$C251)</f>
        <v/>
      </c>
      <c r="G5496" s="48" t="str">
        <f aca="false">IF($H5496="","",其他分录!$D251)</f>
        <v/>
      </c>
      <c r="H5496" s="10" t="str">
        <f aca="false">IF(OR(其他分录!$B251="",N(其他分录!$G251)=0),"",其他分录!$E251)</f>
        <v/>
      </c>
      <c r="I5496" s="42" t="n">
        <f aca="false">IF($M5496="借",$O5496,0)</f>
        <v>0</v>
      </c>
      <c r="J5496" s="42" t="n">
        <f aca="false">IF($M5496="贷",$O5496,0)</f>
        <v>0</v>
      </c>
      <c r="K5496" s="48" t="str">
        <f aca="false">IF($H5496="","",其他分录!$H251)</f>
        <v/>
      </c>
      <c r="L5496" s="66"/>
      <c r="M5496" s="66" t="str">
        <f aca="false">IF($H5496="","","借")</f>
        <v/>
      </c>
      <c r="N5496" s="66"/>
      <c r="O5496" s="67" t="n">
        <f aca="false">IF($H5496="",0,ROUND(N(其他分录!$G251),2))</f>
        <v>0</v>
      </c>
      <c r="P5496" s="64" t="str">
        <f aca="false">IF(AND($H5496&lt;&gt;"",ROUND($O5496,2)&lt;&gt;0),"有","")</f>
        <v/>
      </c>
    </row>
    <row r="5497" customFormat="false" ht="15" hidden="true" customHeight="false" outlineLevel="0" collapsed="false">
      <c r="A5497" s="53" t="str">
        <f aca="false">IF($H5497="","",ROW()-5)</f>
        <v/>
      </c>
      <c r="B5497" s="64" t="s">
        <v>39</v>
      </c>
      <c r="C5497" s="53" t="n">
        <v>251</v>
      </c>
      <c r="D5497" s="53" t="n">
        <v>2</v>
      </c>
      <c r="E5497" s="65" t="str">
        <f aca="false">IF($H5497="","",其他分录!$B251)</f>
        <v/>
      </c>
      <c r="F5497" s="55" t="str">
        <f aca="false">IF($H5497="","",其他分录!$C251)</f>
        <v/>
      </c>
      <c r="G5497" s="48" t="str">
        <f aca="false">IF($H5497="","",其他分录!$D251)</f>
        <v/>
      </c>
      <c r="H5497" s="10" t="str">
        <f aca="false">IF(OR(其他分录!$B251="",N(其他分录!$G251)=0),"",其他分录!$F251)</f>
        <v/>
      </c>
      <c r="I5497" s="42" t="n">
        <f aca="false">IF($M5497="借",$O5497,0)</f>
        <v>0</v>
      </c>
      <c r="J5497" s="42" t="n">
        <f aca="false">IF($M5497="贷",$O5497,0)</f>
        <v>0</v>
      </c>
      <c r="K5497" s="48" t="str">
        <f aca="false">IF($H5497="","",其他分录!$H251)</f>
        <v/>
      </c>
      <c r="L5497" s="66"/>
      <c r="M5497" s="66" t="str">
        <f aca="false">IF($H5497="","","贷")</f>
        <v/>
      </c>
      <c r="N5497" s="66"/>
      <c r="O5497" s="67" t="n">
        <f aca="false">IF($H5497="",0,ROUND(N(其他分录!$G251),2))</f>
        <v>0</v>
      </c>
      <c r="P5497" s="64" t="str">
        <f aca="false">IF(AND($H5497&lt;&gt;"",ROUND($O5497,2)&lt;&gt;0),"有","")</f>
        <v/>
      </c>
    </row>
    <row r="5498" customFormat="false" ht="15" hidden="true" customHeight="false" outlineLevel="0" collapsed="false">
      <c r="A5498" s="53" t="str">
        <f aca="false">IF($H5498="","",ROW()-5)</f>
        <v/>
      </c>
      <c r="B5498" s="64" t="s">
        <v>39</v>
      </c>
      <c r="C5498" s="53" t="n">
        <v>252</v>
      </c>
      <c r="D5498" s="53" t="n">
        <v>1</v>
      </c>
      <c r="E5498" s="65" t="str">
        <f aca="false">IF($H5498="","",其他分录!$B252)</f>
        <v/>
      </c>
      <c r="F5498" s="55" t="str">
        <f aca="false">IF($H5498="","",其他分录!$C252)</f>
        <v/>
      </c>
      <c r="G5498" s="48" t="str">
        <f aca="false">IF($H5498="","",其他分录!$D252)</f>
        <v/>
      </c>
      <c r="H5498" s="10" t="str">
        <f aca="false">IF(OR(其他分录!$B252="",N(其他分录!$G252)=0),"",其他分录!$E252)</f>
        <v/>
      </c>
      <c r="I5498" s="42" t="n">
        <f aca="false">IF($M5498="借",$O5498,0)</f>
        <v>0</v>
      </c>
      <c r="J5498" s="42" t="n">
        <f aca="false">IF($M5498="贷",$O5498,0)</f>
        <v>0</v>
      </c>
      <c r="K5498" s="48" t="str">
        <f aca="false">IF($H5498="","",其他分录!$H252)</f>
        <v/>
      </c>
      <c r="L5498" s="66"/>
      <c r="M5498" s="66" t="str">
        <f aca="false">IF($H5498="","","借")</f>
        <v/>
      </c>
      <c r="N5498" s="66"/>
      <c r="O5498" s="67" t="n">
        <f aca="false">IF($H5498="",0,ROUND(N(其他分录!$G252),2))</f>
        <v>0</v>
      </c>
      <c r="P5498" s="64" t="str">
        <f aca="false">IF(AND($H5498&lt;&gt;"",ROUND($O5498,2)&lt;&gt;0),"有","")</f>
        <v/>
      </c>
    </row>
    <row r="5499" customFormat="false" ht="15" hidden="true" customHeight="false" outlineLevel="0" collapsed="false">
      <c r="A5499" s="53" t="str">
        <f aca="false">IF($H5499="","",ROW()-5)</f>
        <v/>
      </c>
      <c r="B5499" s="64" t="s">
        <v>39</v>
      </c>
      <c r="C5499" s="53" t="n">
        <v>252</v>
      </c>
      <c r="D5499" s="53" t="n">
        <v>2</v>
      </c>
      <c r="E5499" s="65" t="str">
        <f aca="false">IF($H5499="","",其他分录!$B252)</f>
        <v/>
      </c>
      <c r="F5499" s="55" t="str">
        <f aca="false">IF($H5499="","",其他分录!$C252)</f>
        <v/>
      </c>
      <c r="G5499" s="48" t="str">
        <f aca="false">IF($H5499="","",其他分录!$D252)</f>
        <v/>
      </c>
      <c r="H5499" s="10" t="str">
        <f aca="false">IF(OR(其他分录!$B252="",N(其他分录!$G252)=0),"",其他分录!$F252)</f>
        <v/>
      </c>
      <c r="I5499" s="42" t="n">
        <f aca="false">IF($M5499="借",$O5499,0)</f>
        <v>0</v>
      </c>
      <c r="J5499" s="42" t="n">
        <f aca="false">IF($M5499="贷",$O5499,0)</f>
        <v>0</v>
      </c>
      <c r="K5499" s="48" t="str">
        <f aca="false">IF($H5499="","",其他分录!$H252)</f>
        <v/>
      </c>
      <c r="L5499" s="66"/>
      <c r="M5499" s="66" t="str">
        <f aca="false">IF($H5499="","","贷")</f>
        <v/>
      </c>
      <c r="N5499" s="66"/>
      <c r="O5499" s="67" t="n">
        <f aca="false">IF($H5499="",0,ROUND(N(其他分录!$G252),2))</f>
        <v>0</v>
      </c>
      <c r="P5499" s="64" t="str">
        <f aca="false">IF(AND($H5499&lt;&gt;"",ROUND($O5499,2)&lt;&gt;0),"有","")</f>
        <v/>
      </c>
    </row>
    <row r="5500" customFormat="false" ht="15" hidden="true" customHeight="false" outlineLevel="0" collapsed="false">
      <c r="A5500" s="53" t="str">
        <f aca="false">IF($H5500="","",ROW()-5)</f>
        <v/>
      </c>
      <c r="B5500" s="64" t="s">
        <v>39</v>
      </c>
      <c r="C5500" s="53" t="n">
        <v>253</v>
      </c>
      <c r="D5500" s="53" t="n">
        <v>1</v>
      </c>
      <c r="E5500" s="65" t="str">
        <f aca="false">IF($H5500="","",其他分录!$B253)</f>
        <v/>
      </c>
      <c r="F5500" s="55" t="str">
        <f aca="false">IF($H5500="","",其他分录!$C253)</f>
        <v/>
      </c>
      <c r="G5500" s="48" t="str">
        <f aca="false">IF($H5500="","",其他分录!$D253)</f>
        <v/>
      </c>
      <c r="H5500" s="10" t="str">
        <f aca="false">IF(OR(其他分录!$B253="",N(其他分录!$G253)=0),"",其他分录!$E253)</f>
        <v/>
      </c>
      <c r="I5500" s="42" t="n">
        <f aca="false">IF($M5500="借",$O5500,0)</f>
        <v>0</v>
      </c>
      <c r="J5500" s="42" t="n">
        <f aca="false">IF($M5500="贷",$O5500,0)</f>
        <v>0</v>
      </c>
      <c r="K5500" s="48" t="str">
        <f aca="false">IF($H5500="","",其他分录!$H253)</f>
        <v/>
      </c>
      <c r="L5500" s="66"/>
      <c r="M5500" s="66" t="str">
        <f aca="false">IF($H5500="","","借")</f>
        <v/>
      </c>
      <c r="N5500" s="66"/>
      <c r="O5500" s="67" t="n">
        <f aca="false">IF($H5500="",0,ROUND(N(其他分录!$G253),2))</f>
        <v>0</v>
      </c>
      <c r="P5500" s="64" t="str">
        <f aca="false">IF(AND($H5500&lt;&gt;"",ROUND($O5500,2)&lt;&gt;0),"有","")</f>
        <v/>
      </c>
    </row>
    <row r="5501" customFormat="false" ht="15" hidden="true" customHeight="false" outlineLevel="0" collapsed="false">
      <c r="A5501" s="53" t="str">
        <f aca="false">IF($H5501="","",ROW()-5)</f>
        <v/>
      </c>
      <c r="B5501" s="64" t="s">
        <v>39</v>
      </c>
      <c r="C5501" s="53" t="n">
        <v>253</v>
      </c>
      <c r="D5501" s="53" t="n">
        <v>2</v>
      </c>
      <c r="E5501" s="65" t="str">
        <f aca="false">IF($H5501="","",其他分录!$B253)</f>
        <v/>
      </c>
      <c r="F5501" s="55" t="str">
        <f aca="false">IF($H5501="","",其他分录!$C253)</f>
        <v/>
      </c>
      <c r="G5501" s="48" t="str">
        <f aca="false">IF($H5501="","",其他分录!$D253)</f>
        <v/>
      </c>
      <c r="H5501" s="10" t="str">
        <f aca="false">IF(OR(其他分录!$B253="",N(其他分录!$G253)=0),"",其他分录!$F253)</f>
        <v/>
      </c>
      <c r="I5501" s="42" t="n">
        <f aca="false">IF($M5501="借",$O5501,0)</f>
        <v>0</v>
      </c>
      <c r="J5501" s="42" t="n">
        <f aca="false">IF($M5501="贷",$O5501,0)</f>
        <v>0</v>
      </c>
      <c r="K5501" s="48" t="str">
        <f aca="false">IF($H5501="","",其他分录!$H253)</f>
        <v/>
      </c>
      <c r="L5501" s="66"/>
      <c r="M5501" s="66" t="str">
        <f aca="false">IF($H5501="","","贷")</f>
        <v/>
      </c>
      <c r="N5501" s="66"/>
      <c r="O5501" s="67" t="n">
        <f aca="false">IF($H5501="",0,ROUND(N(其他分录!$G253),2))</f>
        <v>0</v>
      </c>
      <c r="P5501" s="64" t="str">
        <f aca="false">IF(AND($H5501&lt;&gt;"",ROUND($O5501,2)&lt;&gt;0),"有","")</f>
        <v/>
      </c>
    </row>
    <row r="5502" customFormat="false" ht="15" hidden="true" customHeight="false" outlineLevel="0" collapsed="false">
      <c r="A5502" s="53" t="str">
        <f aca="false">IF($H5502="","",ROW()-5)</f>
        <v/>
      </c>
      <c r="B5502" s="64" t="s">
        <v>39</v>
      </c>
      <c r="C5502" s="53" t="n">
        <v>254</v>
      </c>
      <c r="D5502" s="53" t="n">
        <v>1</v>
      </c>
      <c r="E5502" s="65" t="str">
        <f aca="false">IF($H5502="","",其他分录!$B254)</f>
        <v/>
      </c>
      <c r="F5502" s="55" t="str">
        <f aca="false">IF($H5502="","",其他分录!$C254)</f>
        <v/>
      </c>
      <c r="G5502" s="48" t="str">
        <f aca="false">IF($H5502="","",其他分录!$D254)</f>
        <v/>
      </c>
      <c r="H5502" s="10" t="str">
        <f aca="false">IF(OR(其他分录!$B254="",N(其他分录!$G254)=0),"",其他分录!$E254)</f>
        <v/>
      </c>
      <c r="I5502" s="42" t="n">
        <f aca="false">IF($M5502="借",$O5502,0)</f>
        <v>0</v>
      </c>
      <c r="J5502" s="42" t="n">
        <f aca="false">IF($M5502="贷",$O5502,0)</f>
        <v>0</v>
      </c>
      <c r="K5502" s="48" t="str">
        <f aca="false">IF($H5502="","",其他分录!$H254)</f>
        <v/>
      </c>
      <c r="L5502" s="66"/>
      <c r="M5502" s="66" t="str">
        <f aca="false">IF($H5502="","","借")</f>
        <v/>
      </c>
      <c r="N5502" s="66"/>
      <c r="O5502" s="67" t="n">
        <f aca="false">IF($H5502="",0,ROUND(N(其他分录!$G254),2))</f>
        <v>0</v>
      </c>
      <c r="P5502" s="64" t="str">
        <f aca="false">IF(AND($H5502&lt;&gt;"",ROUND($O5502,2)&lt;&gt;0),"有","")</f>
        <v/>
      </c>
    </row>
    <row r="5503" customFormat="false" ht="15" hidden="true" customHeight="false" outlineLevel="0" collapsed="false">
      <c r="A5503" s="53" t="str">
        <f aca="false">IF($H5503="","",ROW()-5)</f>
        <v/>
      </c>
      <c r="B5503" s="64" t="s">
        <v>39</v>
      </c>
      <c r="C5503" s="53" t="n">
        <v>254</v>
      </c>
      <c r="D5503" s="53" t="n">
        <v>2</v>
      </c>
      <c r="E5503" s="65" t="str">
        <f aca="false">IF($H5503="","",其他分录!$B254)</f>
        <v/>
      </c>
      <c r="F5503" s="55" t="str">
        <f aca="false">IF($H5503="","",其他分录!$C254)</f>
        <v/>
      </c>
      <c r="G5503" s="48" t="str">
        <f aca="false">IF($H5503="","",其他分录!$D254)</f>
        <v/>
      </c>
      <c r="H5503" s="10" t="str">
        <f aca="false">IF(OR(其他分录!$B254="",N(其他分录!$G254)=0),"",其他分录!$F254)</f>
        <v/>
      </c>
      <c r="I5503" s="42" t="n">
        <f aca="false">IF($M5503="借",$O5503,0)</f>
        <v>0</v>
      </c>
      <c r="J5503" s="42" t="n">
        <f aca="false">IF($M5503="贷",$O5503,0)</f>
        <v>0</v>
      </c>
      <c r="K5503" s="48" t="str">
        <f aca="false">IF($H5503="","",其他分录!$H254)</f>
        <v/>
      </c>
      <c r="L5503" s="66"/>
      <c r="M5503" s="66" t="str">
        <f aca="false">IF($H5503="","","贷")</f>
        <v/>
      </c>
      <c r="N5503" s="66"/>
      <c r="O5503" s="67" t="n">
        <f aca="false">IF($H5503="",0,ROUND(N(其他分录!$G254),2))</f>
        <v>0</v>
      </c>
      <c r="P5503" s="64" t="str">
        <f aca="false">IF(AND($H5503&lt;&gt;"",ROUND($O5503,2)&lt;&gt;0),"有","")</f>
        <v/>
      </c>
    </row>
    <row r="5504" customFormat="false" ht="15" hidden="true" customHeight="false" outlineLevel="0" collapsed="false">
      <c r="A5504" s="53" t="str">
        <f aca="false">IF($H5504="","",ROW()-5)</f>
        <v/>
      </c>
      <c r="B5504" s="64" t="s">
        <v>39</v>
      </c>
      <c r="C5504" s="53" t="n">
        <v>255</v>
      </c>
      <c r="D5504" s="53" t="n">
        <v>1</v>
      </c>
      <c r="E5504" s="65" t="str">
        <f aca="false">IF($H5504="","",其他分录!$B255)</f>
        <v/>
      </c>
      <c r="F5504" s="55" t="str">
        <f aca="false">IF($H5504="","",其他分录!$C255)</f>
        <v/>
      </c>
      <c r="G5504" s="48" t="str">
        <f aca="false">IF($H5504="","",其他分录!$D255)</f>
        <v/>
      </c>
      <c r="H5504" s="10" t="str">
        <f aca="false">IF(OR(其他分录!$B255="",N(其他分录!$G255)=0),"",其他分录!$E255)</f>
        <v/>
      </c>
      <c r="I5504" s="42" t="n">
        <f aca="false">IF($M5504="借",$O5504,0)</f>
        <v>0</v>
      </c>
      <c r="J5504" s="42" t="n">
        <f aca="false">IF($M5504="贷",$O5504,0)</f>
        <v>0</v>
      </c>
      <c r="K5504" s="48" t="str">
        <f aca="false">IF($H5504="","",其他分录!$H255)</f>
        <v/>
      </c>
      <c r="L5504" s="66"/>
      <c r="M5504" s="66" t="str">
        <f aca="false">IF($H5504="","","借")</f>
        <v/>
      </c>
      <c r="N5504" s="66"/>
      <c r="O5504" s="67" t="n">
        <f aca="false">IF($H5504="",0,ROUND(N(其他分录!$G255),2))</f>
        <v>0</v>
      </c>
      <c r="P5504" s="64" t="str">
        <f aca="false">IF(AND($H5504&lt;&gt;"",ROUND($O5504,2)&lt;&gt;0),"有","")</f>
        <v/>
      </c>
    </row>
    <row r="5505" customFormat="false" ht="15" hidden="true" customHeight="false" outlineLevel="0" collapsed="false">
      <c r="A5505" s="53" t="str">
        <f aca="false">IF($H5505="","",ROW()-5)</f>
        <v/>
      </c>
      <c r="B5505" s="64" t="s">
        <v>39</v>
      </c>
      <c r="C5505" s="53" t="n">
        <v>255</v>
      </c>
      <c r="D5505" s="53" t="n">
        <v>2</v>
      </c>
      <c r="E5505" s="65" t="str">
        <f aca="false">IF($H5505="","",其他分录!$B255)</f>
        <v/>
      </c>
      <c r="F5505" s="55" t="str">
        <f aca="false">IF($H5505="","",其他分录!$C255)</f>
        <v/>
      </c>
      <c r="G5505" s="48" t="str">
        <f aca="false">IF($H5505="","",其他分录!$D255)</f>
        <v/>
      </c>
      <c r="H5505" s="10" t="str">
        <f aca="false">IF(OR(其他分录!$B255="",N(其他分录!$G255)=0),"",其他分录!$F255)</f>
        <v/>
      </c>
      <c r="I5505" s="42" t="n">
        <f aca="false">IF($M5505="借",$O5505,0)</f>
        <v>0</v>
      </c>
      <c r="J5505" s="42" t="n">
        <f aca="false">IF($M5505="贷",$O5505,0)</f>
        <v>0</v>
      </c>
      <c r="K5505" s="48" t="str">
        <f aca="false">IF($H5505="","",其他分录!$H255)</f>
        <v/>
      </c>
      <c r="L5505" s="66"/>
      <c r="M5505" s="66" t="str">
        <f aca="false">IF($H5505="","","贷")</f>
        <v/>
      </c>
      <c r="N5505" s="66"/>
      <c r="O5505" s="67" t="n">
        <f aca="false">IF($H5505="",0,ROUND(N(其他分录!$G255),2))</f>
        <v>0</v>
      </c>
      <c r="P5505" s="64" t="str">
        <f aca="false">IF(AND($H5505&lt;&gt;"",ROUND($O5505,2)&lt;&gt;0),"有","")</f>
        <v/>
      </c>
    </row>
  </sheetData>
  <autoFilter ref="A5:P5505">
    <filterColumn colId="15">
      <filters>
        <filter val="有"/>
      </filters>
    </filterColumn>
  </autoFilter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2F5597"/>
    <pageSetUpPr fitToPage="true"/>
  </sheetPr>
  <dimension ref="A1:P2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15" min="7" style="0" width="14"/>
    <col collapsed="false" customWidth="true" hidden="false" outlineLevel="0" max="16" min="16" style="0" width="6"/>
  </cols>
  <sheetData>
    <row r="1" customFormat="false" ht="25.5" hidden="false" customHeight="true" outlineLevel="0" collapsed="false">
      <c r="A1" s="1" t="s">
        <v>732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  <c r="J3" s="70"/>
      <c r="K3" s="70"/>
      <c r="L3" s="70"/>
      <c r="M3" s="70"/>
      <c r="N3" s="70"/>
      <c r="O3" s="70"/>
      <c r="P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544</v>
      </c>
      <c r="B5" s="8" t="s">
        <v>169</v>
      </c>
      <c r="C5" s="8" t="s">
        <v>170</v>
      </c>
      <c r="D5" s="8" t="s">
        <v>736</v>
      </c>
      <c r="E5" s="8" t="s">
        <v>737</v>
      </c>
      <c r="F5" s="8" t="s">
        <v>174</v>
      </c>
      <c r="G5" s="8" t="s">
        <v>738</v>
      </c>
      <c r="H5" s="8" t="s">
        <v>60</v>
      </c>
      <c r="I5" s="8" t="s">
        <v>739</v>
      </c>
      <c r="J5" s="8" t="s">
        <v>740</v>
      </c>
      <c r="K5" s="8" t="s">
        <v>741</v>
      </c>
      <c r="L5" s="8" t="s">
        <v>511</v>
      </c>
      <c r="M5" s="8" t="s">
        <v>742</v>
      </c>
      <c r="N5" s="8" t="s">
        <v>743</v>
      </c>
      <c r="O5" s="8" t="s">
        <v>744</v>
      </c>
      <c r="P5" s="8" t="s">
        <v>731</v>
      </c>
    </row>
    <row r="6" customFormat="false" ht="15" hidden="false" customHeight="false" outlineLevel="0" collapsed="false">
      <c r="A6" s="31" t="s">
        <v>536</v>
      </c>
      <c r="B6" s="31"/>
      <c r="C6" s="31"/>
      <c r="D6" s="31"/>
      <c r="E6" s="31"/>
      <c r="F6" s="31"/>
      <c r="G6" s="12" t="n">
        <f aca="false">SUM(G$7:G$246)</f>
        <v>10036780</v>
      </c>
      <c r="H6" s="12" t="n">
        <f aca="false">SUM(H$7:H$246)</f>
        <v>10036780</v>
      </c>
      <c r="I6" s="12" t="n">
        <f aca="false">SUM(I$7:I$246)</f>
        <v>6139425.12</v>
      </c>
      <c r="J6" s="12" t="n">
        <f aca="false">SUM(J$7:J$246)</f>
        <v>6139425.12</v>
      </c>
      <c r="K6" s="12" t="n">
        <f aca="false">SUM(K$7:K$246)</f>
        <v>4069100</v>
      </c>
      <c r="L6" s="12" t="n">
        <f aca="false">SUM(L$7:L$246)</f>
        <v>14105880</v>
      </c>
      <c r="M6" s="12" t="n">
        <f aca="false">SUM(M$7:M$246)</f>
        <v>6139425.12</v>
      </c>
      <c r="N6" s="12" t="n">
        <f aca="false">SUM(N$7:N$246)</f>
        <v>6139425.12</v>
      </c>
      <c r="O6" s="12" t="n">
        <f aca="false">SUM(O$7:O$246)</f>
        <v>4069100</v>
      </c>
      <c r="P6" s="31"/>
    </row>
    <row r="7" customFormat="false" ht="15" hidden="false" customHeight="false" outlineLevel="0" collapsed="false">
      <c r="A7" s="25" t="str">
        <f aca="false">IF(会计科目表!$B6="","",参数设置!$A$10)</f>
        <v>农业</v>
      </c>
      <c r="B7" s="25" t="str">
        <f aca="false">IF(会计科目表!$B6="","",会计科目表!$A6)</f>
        <v>1001</v>
      </c>
      <c r="C7" s="10" t="str">
        <f aca="false">IF(会计科目表!$B6="","",会计科目表!$B6)</f>
        <v>库存现金</v>
      </c>
      <c r="D7" s="25" t="str">
        <f aca="false">IF($C7="","",会计科目表!$C6)</f>
        <v>资产</v>
      </c>
      <c r="E7" s="25" t="str">
        <f aca="false">IF($C7="","",会计科目表!$D6)</f>
        <v>借</v>
      </c>
      <c r="F7" s="10" t="str">
        <f aca="false">IF($C7="","",会计科目表!$F6)</f>
        <v>货币资金</v>
      </c>
      <c r="G7" s="40" t="n">
        <f aca="false">IF($C7="","",IF($E7="借",SUMIFS(期初余额!$C$6:$C$185,期初余额!$A$6:$A$185,$A7,期初余额!$B$6:$B$185,$C7)-SUMIFS(期初余额!$D$6:$D$185,期初余额!$A$6:$A$185,$A7,期初余额!$B$6:$B$185,$C7),SUMIFS(期初余额!$D$6:$D$185,期初余额!$A$6:$A$185,$A7,期初余额!$B$6:$B$185,$C7)-SUMIFS(期初余额!$C$6:$C$185,期初余额!$A$6:$A$185,$A7,期初余额!$B$6:$B$185,$C7)))</f>
        <v>5000</v>
      </c>
      <c r="H7" s="40" t="n">
        <f aca="false">IF($C7="","",$G7+IF($E7="借",SUMIFS(记账分录!$I$6:$I$5505,记账分录!$F$6:$F$5505,$A7,记账分录!$H$6:$H$5505,$C7,记账分录!$E$6:$E$5505,"&lt;"&amp;$A$4)-SUMIFS(记账分录!$J$6:$J$5505,记账分录!$F$6:$F$5505,$A7,记账分录!$H$6:$H$5505,$C7,记账分录!$E$6:$E$5505,"&lt;"&amp;$A$4),SUMIFS(记账分录!$J$6:$J$5505,记账分录!$F$6:$F$5505,$A7,记账分录!$H$6:$H$5505,$C7,记账分录!$E$6:$E$5505,"&lt;"&amp;$A$4)-SUMIFS(记账分录!$I$6:$I$5505,记账分录!$F$6:$F$5505,$A7,记账分录!$H$6:$H$5505,$C7,记账分录!$E$6:$E$5505,"&lt;"&amp;$A$4)))</f>
        <v>5000</v>
      </c>
      <c r="I7" s="40" t="n">
        <f aca="false">IF($C7="","",SUMIFS(记账分录!$I$6:$I$5505,记账分录!$F$6:$F$5505,$A7,记账分录!$H$6:$H$5505,$C7,记账分录!$E$6:$E$5505,"&gt;="&amp;$A$4,记账分录!$E$6:$E$5505,"&lt;="&amp;$B$4))</f>
        <v>0</v>
      </c>
      <c r="J7" s="40" t="n">
        <f aca="false">IF($C7="","",SUMIFS(记账分录!$J$6:$J$5505,记账分录!$F$6:$F$5505,$A7,记账分录!$H$6:$H$5505,$C7,记账分录!$E$6:$E$5505,"&gt;="&amp;$A$4,记账分录!$E$6:$E$5505,"&lt;="&amp;$B$4))</f>
        <v>1800</v>
      </c>
      <c r="K7" s="42" t="n">
        <f aca="false">IF($C7="","",IF($E7="借",$I7-$J7,$J7-$I7))</f>
        <v>-1800</v>
      </c>
      <c r="L7" s="42" t="n">
        <f aca="false">IF($C7="","",ROUND($H7+$K7,2))</f>
        <v>3200</v>
      </c>
      <c r="M7" s="40" t="n">
        <f aca="false">IF($C7="","",SUMIFS(记账分录!$I$6:$I$5505,记账分录!$F$6:$F$5505,$A7,记账分录!$H$6:$H$5505,$C7,记账分录!$E$6:$E$5505,"&lt;="&amp;$B$4))</f>
        <v>0</v>
      </c>
      <c r="N7" s="40" t="n">
        <f aca="false">IF($C7="","",SUMIFS(记账分录!$J$6:$J$5505,记账分录!$F$6:$F$5505,$A7,记账分录!$H$6:$H$5505,$C7,记账分录!$E$6:$E$5505,"&lt;="&amp;$B$4))</f>
        <v>1800</v>
      </c>
      <c r="O7" s="42" t="n">
        <f aca="false">IF($C7="","",IF($E7="借",$M7-$N7,$N7-$M7))</f>
        <v>-1800</v>
      </c>
      <c r="P7" s="64" t="str">
        <f aca="false">IF($C7="","",IF(OR(ROUND($G7,2)&lt;&gt;0,ROUND($M7,2)&lt;&gt;0,ROUND($N7,2)&lt;&gt;0),"有",""))</f>
        <v>有</v>
      </c>
    </row>
    <row r="8" customFormat="false" ht="15" hidden="false" customHeight="false" outlineLevel="0" collapsed="false">
      <c r="A8" s="25" t="str">
        <f aca="false">IF(会计科目表!$B7="","",参数设置!$A$10)</f>
        <v>农业</v>
      </c>
      <c r="B8" s="25" t="str">
        <f aca="false">IF(会计科目表!$B7="","",会计科目表!$A7)</f>
        <v>1002</v>
      </c>
      <c r="C8" s="10" t="str">
        <f aca="false">IF(会计科目表!$B7="","",会计科目表!$B7)</f>
        <v>银行存款</v>
      </c>
      <c r="D8" s="25" t="str">
        <f aca="false">IF($C8="","",会计科目表!$C7)</f>
        <v>资产</v>
      </c>
      <c r="E8" s="25" t="str">
        <f aca="false">IF($C8="","",会计科目表!$D7)</f>
        <v>借</v>
      </c>
      <c r="F8" s="10" t="str">
        <f aca="false">IF($C8="","",会计科目表!$F7)</f>
        <v>货币资金</v>
      </c>
      <c r="G8" s="40" t="n">
        <f aca="false">IF($C8="","",IF($E8="借",SUMIFS(期初余额!$C$6:$C$185,期初余额!$A$6:$A$185,$A8,期初余额!$B$6:$B$185,$C8)-SUMIFS(期初余额!$D$6:$D$185,期初余额!$A$6:$A$185,$A8,期初余额!$B$6:$B$185,$C8),SUMIFS(期初余额!$D$6:$D$185,期初余额!$A$6:$A$185,$A8,期初余额!$B$6:$B$185,$C8)-SUMIFS(期初余额!$C$6:$C$185,期初余额!$A$6:$A$185,$A8,期初余额!$B$6:$B$185,$C8)))</f>
        <v>180000</v>
      </c>
      <c r="H8" s="40" t="n">
        <f aca="false">IF($C8="","",$G8+IF($E8="借",SUMIFS(记账分录!$I$6:$I$5505,记账分录!$F$6:$F$5505,$A8,记账分录!$H$6:$H$5505,$C8,记账分录!$E$6:$E$5505,"&lt;"&amp;$A$4)-SUMIFS(记账分录!$J$6:$J$5505,记账分录!$F$6:$F$5505,$A8,记账分录!$H$6:$H$5505,$C8,记账分录!$E$6:$E$5505,"&lt;"&amp;$A$4),SUMIFS(记账分录!$J$6:$J$5505,记账分录!$F$6:$F$5505,$A8,记账分录!$H$6:$H$5505,$C8,记账分录!$E$6:$E$5505,"&lt;"&amp;$A$4)-SUMIFS(记账分录!$I$6:$I$5505,记账分录!$F$6:$F$5505,$A8,记账分录!$H$6:$H$5505,$C8,记账分录!$E$6:$E$5505,"&lt;"&amp;$A$4)))</f>
        <v>180000</v>
      </c>
      <c r="I8" s="40" t="n">
        <f aca="false">IF($C8="","",SUMIFS(记账分录!$I$6:$I$5505,记账分录!$F$6:$F$5505,$A8,记账分录!$H$6:$H$5505,$C8,记账分录!$E$6:$E$5505,"&gt;="&amp;$A$4,记账分录!$E$6:$E$5505,"&lt;="&amp;$B$4))</f>
        <v>256000</v>
      </c>
      <c r="J8" s="40" t="n">
        <f aca="false">IF($C8="","",SUMIFS(记账分录!$J$6:$J$5505,记账分录!$F$6:$F$5505,$A8,记账分录!$H$6:$H$5505,$C8,记账分录!$E$6:$E$5505,"&gt;="&amp;$A$4,记账分录!$E$6:$E$5505,"&lt;="&amp;$B$4))</f>
        <v>120000</v>
      </c>
      <c r="K8" s="42" t="n">
        <f aca="false">IF($C8="","",IF($E8="借",$I8-$J8,$J8-$I8))</f>
        <v>136000</v>
      </c>
      <c r="L8" s="42" t="n">
        <f aca="false">IF($C8="","",ROUND($H8+$K8,2))</f>
        <v>316000</v>
      </c>
      <c r="M8" s="40" t="n">
        <f aca="false">IF($C8="","",SUMIFS(记账分录!$I$6:$I$5505,记账分录!$F$6:$F$5505,$A8,记账分录!$H$6:$H$5505,$C8,记账分录!$E$6:$E$5505,"&lt;="&amp;$B$4))</f>
        <v>256000</v>
      </c>
      <c r="N8" s="40" t="n">
        <f aca="false">IF($C8="","",SUMIFS(记账分录!$J$6:$J$5505,记账分录!$F$6:$F$5505,$A8,记账分录!$H$6:$H$5505,$C8,记账分录!$E$6:$E$5505,"&lt;="&amp;$B$4))</f>
        <v>120000</v>
      </c>
      <c r="O8" s="42" t="n">
        <f aca="false">IF($C8="","",IF($E8="借",$M8-$N8,$N8-$M8))</f>
        <v>136000</v>
      </c>
      <c r="P8" s="64" t="str">
        <f aca="false">IF($C8="","",IF(OR(ROUND($G8,2)&lt;&gt;0,ROUND($M8,2)&lt;&gt;0,ROUND($N8,2)&lt;&gt;0),"有",""))</f>
        <v>有</v>
      </c>
    </row>
    <row r="9" customFormat="false" ht="15" hidden="false" customHeight="false" outlineLevel="0" collapsed="false">
      <c r="A9" s="25" t="str">
        <f aca="false">IF(会计科目表!$B8="","",参数设置!$A$10)</f>
        <v>农业</v>
      </c>
      <c r="B9" s="25" t="str">
        <f aca="false">IF(会计科目表!$B8="","",会计科目表!$A8)</f>
        <v>1012</v>
      </c>
      <c r="C9" s="10" t="str">
        <f aca="false">IF(会计科目表!$B8="","",会计科目表!$B8)</f>
        <v>其他货币资金</v>
      </c>
      <c r="D9" s="25" t="str">
        <f aca="false">IF($C9="","",会计科目表!$C8)</f>
        <v>资产</v>
      </c>
      <c r="E9" s="25" t="str">
        <f aca="false">IF($C9="","",会计科目表!$D8)</f>
        <v>借</v>
      </c>
      <c r="F9" s="10" t="str">
        <f aca="false">IF($C9="","",会计科目表!$F8)</f>
        <v>货币资金</v>
      </c>
      <c r="G9" s="40" t="n">
        <f aca="false">IF($C9="","",IF($E9="借",SUMIFS(期初余额!$C$6:$C$185,期初余额!$A$6:$A$185,$A9,期初余额!$B$6:$B$185,$C9)-SUMIFS(期初余额!$D$6:$D$185,期初余额!$A$6:$A$185,$A9,期初余额!$B$6:$B$185,$C9),SUMIFS(期初余额!$D$6:$D$185,期初余额!$A$6:$A$185,$A9,期初余额!$B$6:$B$185,$C9)-SUMIFS(期初余额!$C$6:$C$185,期初余额!$A$6:$A$185,$A9,期初余额!$B$6:$B$185,$C9)))</f>
        <v>0</v>
      </c>
      <c r="H9" s="40" t="n">
        <f aca="false">IF($C9="","",$G9+IF($E9="借",SUMIFS(记账分录!$I$6:$I$5505,记账分录!$F$6:$F$5505,$A9,记账分录!$H$6:$H$5505,$C9,记账分录!$E$6:$E$5505,"&lt;"&amp;$A$4)-SUMIFS(记账分录!$J$6:$J$5505,记账分录!$F$6:$F$5505,$A9,记账分录!$H$6:$H$5505,$C9,记账分录!$E$6:$E$5505,"&lt;"&amp;$A$4),SUMIFS(记账分录!$J$6:$J$5505,记账分录!$F$6:$F$5505,$A9,记账分录!$H$6:$H$5505,$C9,记账分录!$E$6:$E$5505,"&lt;"&amp;$A$4)-SUMIFS(记账分录!$I$6:$I$5505,记账分录!$F$6:$F$5505,$A9,记账分录!$H$6:$H$5505,$C9,记账分录!$E$6:$E$5505,"&lt;"&amp;$A$4)))</f>
        <v>0</v>
      </c>
      <c r="I9" s="40" t="n">
        <f aca="false">IF($C9="","",SUMIFS(记账分录!$I$6:$I$5505,记账分录!$F$6:$F$5505,$A9,记账分录!$H$6:$H$5505,$C9,记账分录!$E$6:$E$5505,"&gt;="&amp;$A$4,记账分录!$E$6:$E$5505,"&lt;="&amp;$B$4))</f>
        <v>0</v>
      </c>
      <c r="J9" s="40" t="n">
        <f aca="false">IF($C9="","",SUMIFS(记账分录!$J$6:$J$5505,记账分录!$F$6:$F$5505,$A9,记账分录!$H$6:$H$5505,$C9,记账分录!$E$6:$E$5505,"&gt;="&amp;$A$4,记账分录!$E$6:$E$5505,"&lt;="&amp;$B$4))</f>
        <v>0</v>
      </c>
      <c r="K9" s="42" t="n">
        <f aca="false">IF($C9="","",IF($E9="借",$I9-$J9,$J9-$I9))</f>
        <v>0</v>
      </c>
      <c r="L9" s="42" t="n">
        <f aca="false">IF($C9="","",ROUND($H9+$K9,2))</f>
        <v>0</v>
      </c>
      <c r="M9" s="40" t="n">
        <f aca="false">IF($C9="","",SUMIFS(记账分录!$I$6:$I$5505,记账分录!$F$6:$F$5505,$A9,记账分录!$H$6:$H$5505,$C9,记账分录!$E$6:$E$5505,"&lt;="&amp;$B$4))</f>
        <v>0</v>
      </c>
      <c r="N9" s="40" t="n">
        <f aca="false">IF($C9="","",SUMIFS(记账分录!$J$6:$J$5505,记账分录!$F$6:$F$5505,$A9,记账分录!$H$6:$H$5505,$C9,记账分录!$E$6:$E$5505,"&lt;="&amp;$B$4))</f>
        <v>0</v>
      </c>
      <c r="O9" s="42" t="n">
        <f aca="false">IF($C9="","",IF($E9="借",$M9-$N9,$N9-$M9))</f>
        <v>0</v>
      </c>
      <c r="P9" s="64" t="str">
        <f aca="false">IF($C9="","",IF(OR(ROUND($G9,2)&lt;&gt;0,ROUND($M9,2)&lt;&gt;0,ROUND($N9,2)&lt;&gt;0),"有",""))</f>
        <v/>
      </c>
    </row>
    <row r="10" customFormat="false" ht="15" hidden="false" customHeight="false" outlineLevel="0" collapsed="false">
      <c r="A10" s="25" t="str">
        <f aca="false">IF(会计科目表!$B9="","",参数设置!$A$10)</f>
        <v>农业</v>
      </c>
      <c r="B10" s="25" t="str">
        <f aca="false">IF(会计科目表!$B9="","",会计科目表!$A9)</f>
        <v>1122</v>
      </c>
      <c r="C10" s="10" t="str">
        <f aca="false">IF(会计科目表!$B9="","",会计科目表!$B9)</f>
        <v>应收账款</v>
      </c>
      <c r="D10" s="25" t="str">
        <f aca="false">IF($C10="","",会计科目表!$C9)</f>
        <v>资产</v>
      </c>
      <c r="E10" s="25" t="str">
        <f aca="false">IF($C10="","",会计科目表!$D9)</f>
        <v>借</v>
      </c>
      <c r="F10" s="10" t="str">
        <f aca="false">IF($C10="","",会计科目表!$F9)</f>
        <v>应收账款</v>
      </c>
      <c r="G10" s="40" t="n">
        <f aca="false">IF($C10="","",IF($E10="借",SUMIFS(期初余额!$C$6:$C$185,期初余额!$A$6:$A$185,$A10,期初余额!$B$6:$B$185,$C10)-SUMIFS(期初余额!$D$6:$D$185,期初余额!$A$6:$A$185,$A10,期初余额!$B$6:$B$185,$C10),SUMIFS(期初余额!$D$6:$D$185,期初余额!$A$6:$A$185,$A10,期初余额!$B$6:$B$185,$C10)-SUMIFS(期初余额!$C$6:$C$185,期初余额!$A$6:$A$185,$A10,期初余额!$B$6:$B$185,$C10)))</f>
        <v>0</v>
      </c>
      <c r="H10" s="40" t="n">
        <f aca="false">IF($C10="","",$G10+IF($E10="借",SUMIFS(记账分录!$I$6:$I$5505,记账分录!$F$6:$F$5505,$A10,记账分录!$H$6:$H$5505,$C10,记账分录!$E$6:$E$5505,"&lt;"&amp;$A$4)-SUMIFS(记账分录!$J$6:$J$5505,记账分录!$F$6:$F$5505,$A10,记账分录!$H$6:$H$5505,$C10,记账分录!$E$6:$E$5505,"&lt;"&amp;$A$4),SUMIFS(记账分录!$J$6:$J$5505,记账分录!$F$6:$F$5505,$A10,记账分录!$H$6:$H$5505,$C10,记账分录!$E$6:$E$5505,"&lt;"&amp;$A$4)-SUMIFS(记账分录!$I$6:$I$5505,记账分录!$F$6:$F$5505,$A10,记账分录!$H$6:$H$5505,$C10,记账分录!$E$6:$E$5505,"&lt;"&amp;$A$4)))</f>
        <v>0</v>
      </c>
      <c r="I10" s="40" t="n">
        <f aca="false">IF($C10="","",SUMIFS(记账分录!$I$6:$I$5505,记账分录!$F$6:$F$5505,$A10,记账分录!$H$6:$H$5505,$C10,记账分录!$E$6:$E$5505,"&gt;="&amp;$A$4,记账分录!$E$6:$E$5505,"&lt;="&amp;$B$4))</f>
        <v>329000</v>
      </c>
      <c r="J10" s="40" t="n">
        <f aca="false">IF($C10="","",SUMIFS(记账分录!$J$6:$J$5505,记账分录!$F$6:$F$5505,$A10,记账分录!$H$6:$H$5505,$C10,记账分录!$E$6:$E$5505,"&gt;="&amp;$A$4,记账分录!$E$6:$E$5505,"&lt;="&amp;$B$4))</f>
        <v>256000</v>
      </c>
      <c r="K10" s="42" t="n">
        <f aca="false">IF($C10="","",IF($E10="借",$I10-$J10,$J10-$I10))</f>
        <v>73000</v>
      </c>
      <c r="L10" s="42" t="n">
        <f aca="false">IF($C10="","",ROUND($H10+$K10,2))</f>
        <v>73000</v>
      </c>
      <c r="M10" s="40" t="n">
        <f aca="false">IF($C10="","",SUMIFS(记账分录!$I$6:$I$5505,记账分录!$F$6:$F$5505,$A10,记账分录!$H$6:$H$5505,$C10,记账分录!$E$6:$E$5505,"&lt;="&amp;$B$4))</f>
        <v>329000</v>
      </c>
      <c r="N10" s="40" t="n">
        <f aca="false">IF($C10="","",SUMIFS(记账分录!$J$6:$J$5505,记账分录!$F$6:$F$5505,$A10,记账分录!$H$6:$H$5505,$C10,记账分录!$E$6:$E$5505,"&lt;="&amp;$B$4))</f>
        <v>256000</v>
      </c>
      <c r="O10" s="42" t="n">
        <f aca="false">IF($C10="","",IF($E10="借",$M10-$N10,$N10-$M10))</f>
        <v>73000</v>
      </c>
      <c r="P10" s="64" t="str">
        <f aca="false">IF($C10="","",IF(OR(ROUND($G10,2)&lt;&gt;0,ROUND($M10,2)&lt;&gt;0,ROUND($N10,2)&lt;&gt;0),"有",""))</f>
        <v>有</v>
      </c>
    </row>
    <row r="11" customFormat="false" ht="15" hidden="false" customHeight="false" outlineLevel="0" collapsed="false">
      <c r="A11" s="25" t="str">
        <f aca="false">IF(会计科目表!$B10="","",参数设置!$A$10)</f>
        <v>农业</v>
      </c>
      <c r="B11" s="25" t="str">
        <f aca="false">IF(会计科目表!$B10="","",会计科目表!$A10)</f>
        <v>1123</v>
      </c>
      <c r="C11" s="10" t="str">
        <f aca="false">IF(会计科目表!$B10="","",会计科目表!$B10)</f>
        <v>预付账款</v>
      </c>
      <c r="D11" s="25" t="str">
        <f aca="false">IF($C11="","",会计科目表!$C10)</f>
        <v>资产</v>
      </c>
      <c r="E11" s="25" t="str">
        <f aca="false">IF($C11="","",会计科目表!$D10)</f>
        <v>借</v>
      </c>
      <c r="F11" s="10" t="str">
        <f aca="false">IF($C11="","",会计科目表!$F10)</f>
        <v>预付款项</v>
      </c>
      <c r="G11" s="40" t="n">
        <f aca="false">IF($C11="","",IF($E11="借",SUMIFS(期初余额!$C$6:$C$185,期初余额!$A$6:$A$185,$A11,期初余额!$B$6:$B$185,$C11)-SUMIFS(期初余额!$D$6:$D$185,期初余额!$A$6:$A$185,$A11,期初余额!$B$6:$B$185,$C11),SUMIFS(期初余额!$D$6:$D$185,期初余额!$A$6:$A$185,$A11,期初余额!$B$6:$B$185,$C11)-SUMIFS(期初余额!$C$6:$C$185,期初余额!$A$6:$A$185,$A11,期初余额!$B$6:$B$185,$C11)))</f>
        <v>0</v>
      </c>
      <c r="H11" s="40" t="n">
        <f aca="false">IF($C11="","",$G11+IF($E11="借",SUMIFS(记账分录!$I$6:$I$5505,记账分录!$F$6:$F$5505,$A11,记账分录!$H$6:$H$5505,$C11,记账分录!$E$6:$E$5505,"&lt;"&amp;$A$4)-SUMIFS(记账分录!$J$6:$J$5505,记账分录!$F$6:$F$5505,$A11,记账分录!$H$6:$H$5505,$C11,记账分录!$E$6:$E$5505,"&lt;"&amp;$A$4),SUMIFS(记账分录!$J$6:$J$5505,记账分录!$F$6:$F$5505,$A11,记账分录!$H$6:$H$5505,$C11,记账分录!$E$6:$E$5505,"&lt;"&amp;$A$4)-SUMIFS(记账分录!$I$6:$I$5505,记账分录!$F$6:$F$5505,$A11,记账分录!$H$6:$H$5505,$C11,记账分录!$E$6:$E$5505,"&lt;"&amp;$A$4)))</f>
        <v>0</v>
      </c>
      <c r="I11" s="40" t="n">
        <f aca="false">IF($C11="","",SUMIFS(记账分录!$I$6:$I$5505,记账分录!$F$6:$F$5505,$A11,记账分录!$H$6:$H$5505,$C11,记账分录!$E$6:$E$5505,"&gt;="&amp;$A$4,记账分录!$E$6:$E$5505,"&lt;="&amp;$B$4))</f>
        <v>0</v>
      </c>
      <c r="J11" s="40" t="n">
        <f aca="false">IF($C11="","",SUMIFS(记账分录!$J$6:$J$5505,记账分录!$F$6:$F$5505,$A11,记账分录!$H$6:$H$5505,$C11,记账分录!$E$6:$E$5505,"&gt;="&amp;$A$4,记账分录!$E$6:$E$5505,"&lt;="&amp;$B$4))</f>
        <v>0</v>
      </c>
      <c r="K11" s="42" t="n">
        <f aca="false">IF($C11="","",IF($E11="借",$I11-$J11,$J11-$I11))</f>
        <v>0</v>
      </c>
      <c r="L11" s="42" t="n">
        <f aca="false">IF($C11="","",ROUND($H11+$K11,2))</f>
        <v>0</v>
      </c>
      <c r="M11" s="40" t="n">
        <f aca="false">IF($C11="","",SUMIFS(记账分录!$I$6:$I$5505,记账分录!$F$6:$F$5505,$A11,记账分录!$H$6:$H$5505,$C11,记账分录!$E$6:$E$5505,"&lt;="&amp;$B$4))</f>
        <v>0</v>
      </c>
      <c r="N11" s="40" t="n">
        <f aca="false">IF($C11="","",SUMIFS(记账分录!$J$6:$J$5505,记账分录!$F$6:$F$5505,$A11,记账分录!$H$6:$H$5505,$C11,记账分录!$E$6:$E$5505,"&lt;="&amp;$B$4))</f>
        <v>0</v>
      </c>
      <c r="O11" s="42" t="n">
        <f aca="false">IF($C11="","",IF($E11="借",$M11-$N11,$N11-$M11))</f>
        <v>0</v>
      </c>
      <c r="P11" s="64" t="str">
        <f aca="false">IF($C11="","",IF(OR(ROUND($G11,2)&lt;&gt;0,ROUND($M11,2)&lt;&gt;0,ROUND($N11,2)&lt;&gt;0),"有",""))</f>
        <v/>
      </c>
    </row>
    <row r="12" customFormat="false" ht="15" hidden="false" customHeight="false" outlineLevel="0" collapsed="false">
      <c r="A12" s="25" t="str">
        <f aca="false">IF(会计科目表!$B11="","",参数设置!$A$10)</f>
        <v>农业</v>
      </c>
      <c r="B12" s="25" t="str">
        <f aca="false">IF(会计科目表!$B11="","",会计科目表!$A11)</f>
        <v>1221</v>
      </c>
      <c r="C12" s="10" t="str">
        <f aca="false">IF(会计科目表!$B11="","",会计科目表!$B11)</f>
        <v>其他应收款</v>
      </c>
      <c r="D12" s="25" t="str">
        <f aca="false">IF($C12="","",会计科目表!$C11)</f>
        <v>资产</v>
      </c>
      <c r="E12" s="25" t="str">
        <f aca="false">IF($C12="","",会计科目表!$D11)</f>
        <v>借</v>
      </c>
      <c r="F12" s="10" t="str">
        <f aca="false">IF($C12="","",会计科目表!$F11)</f>
        <v>其他应收款</v>
      </c>
      <c r="G12" s="40" t="n">
        <f aca="false">IF($C12="","",IF($E12="借",SUMIFS(期初余额!$C$6:$C$185,期初余额!$A$6:$A$185,$A12,期初余额!$B$6:$B$185,$C12)-SUMIFS(期初余额!$D$6:$D$185,期初余额!$A$6:$A$185,$A12,期初余额!$B$6:$B$185,$C12),SUMIFS(期初余额!$D$6:$D$185,期初余额!$A$6:$A$185,$A12,期初余额!$B$6:$B$185,$C12)-SUMIFS(期初余额!$C$6:$C$185,期初余额!$A$6:$A$185,$A12,期初余额!$B$6:$B$185,$C12)))</f>
        <v>0</v>
      </c>
      <c r="H12" s="40" t="n">
        <f aca="false">IF($C12="","",$G12+IF($E12="借",SUMIFS(记账分录!$I$6:$I$5505,记账分录!$F$6:$F$5505,$A12,记账分录!$H$6:$H$5505,$C12,记账分录!$E$6:$E$5505,"&lt;"&amp;$A$4)-SUMIFS(记账分录!$J$6:$J$5505,记账分录!$F$6:$F$5505,$A12,记账分录!$H$6:$H$5505,$C12,记账分录!$E$6:$E$5505,"&lt;"&amp;$A$4),SUMIFS(记账分录!$J$6:$J$5505,记账分录!$F$6:$F$5505,$A12,记账分录!$H$6:$H$5505,$C12,记账分录!$E$6:$E$5505,"&lt;"&amp;$A$4)-SUMIFS(记账分录!$I$6:$I$5505,记账分录!$F$6:$F$5505,$A12,记账分录!$H$6:$H$5505,$C12,记账分录!$E$6:$E$5505,"&lt;"&amp;$A$4)))</f>
        <v>0</v>
      </c>
      <c r="I12" s="40" t="n">
        <f aca="false">IF($C12="","",SUMIFS(记账分录!$I$6:$I$5505,记账分录!$F$6:$F$5505,$A12,记账分录!$H$6:$H$5505,$C12,记账分录!$E$6:$E$5505,"&gt;="&amp;$A$4,记账分录!$E$6:$E$5505,"&lt;="&amp;$B$4))</f>
        <v>0</v>
      </c>
      <c r="J12" s="40" t="n">
        <f aca="false">IF($C12="","",SUMIFS(记账分录!$J$6:$J$5505,记账分录!$F$6:$F$5505,$A12,记账分录!$H$6:$H$5505,$C12,记账分录!$E$6:$E$5505,"&gt;="&amp;$A$4,记账分录!$E$6:$E$5505,"&lt;="&amp;$B$4))</f>
        <v>0</v>
      </c>
      <c r="K12" s="42" t="n">
        <f aca="false">IF($C12="","",IF($E12="借",$I12-$J12,$J12-$I12))</f>
        <v>0</v>
      </c>
      <c r="L12" s="42" t="n">
        <f aca="false">IF($C12="","",ROUND($H12+$K12,2))</f>
        <v>0</v>
      </c>
      <c r="M12" s="40" t="n">
        <f aca="false">IF($C12="","",SUMIFS(记账分录!$I$6:$I$5505,记账分录!$F$6:$F$5505,$A12,记账分录!$H$6:$H$5505,$C12,记账分录!$E$6:$E$5505,"&lt;="&amp;$B$4))</f>
        <v>0</v>
      </c>
      <c r="N12" s="40" t="n">
        <f aca="false">IF($C12="","",SUMIFS(记账分录!$J$6:$J$5505,记账分录!$F$6:$F$5505,$A12,记账分录!$H$6:$H$5505,$C12,记账分录!$E$6:$E$5505,"&lt;="&amp;$B$4))</f>
        <v>0</v>
      </c>
      <c r="O12" s="42" t="n">
        <f aca="false">IF($C12="","",IF($E12="借",$M12-$N12,$N12-$M12))</f>
        <v>0</v>
      </c>
      <c r="P12" s="64" t="str">
        <f aca="false">IF($C12="","",IF(OR(ROUND($G12,2)&lt;&gt;0,ROUND($M12,2)&lt;&gt;0,ROUND($N12,2)&lt;&gt;0),"有",""))</f>
        <v/>
      </c>
    </row>
    <row r="13" customFormat="false" ht="15" hidden="false" customHeight="false" outlineLevel="0" collapsed="false">
      <c r="A13" s="25" t="str">
        <f aca="false">IF(会计科目表!$B12="","",参数设置!$A$10)</f>
        <v>农业</v>
      </c>
      <c r="B13" s="25" t="str">
        <f aca="false">IF(会计科目表!$B12="","",会计科目表!$A12)</f>
        <v>1403</v>
      </c>
      <c r="C13" s="10" t="str">
        <f aca="false">IF(会计科目表!$B12="","",会计科目表!$B12)</f>
        <v>原材料</v>
      </c>
      <c r="D13" s="25" t="str">
        <f aca="false">IF($C13="","",会计科目表!$C12)</f>
        <v>资产</v>
      </c>
      <c r="E13" s="25" t="str">
        <f aca="false">IF($C13="","",会计科目表!$D12)</f>
        <v>借</v>
      </c>
      <c r="F13" s="10" t="str">
        <f aca="false">IF($C13="","",会计科目表!$F12)</f>
        <v>存货</v>
      </c>
      <c r="G13" s="40" t="n">
        <f aca="false">IF($C13="","",IF($E13="借",SUMIFS(期初余额!$C$6:$C$185,期初余额!$A$6:$A$185,$A13,期初余额!$B$6:$B$185,$C13)-SUMIFS(期初余额!$D$6:$D$185,期初余额!$A$6:$A$185,$A13,期初余额!$B$6:$B$185,$C13),SUMIFS(期初余额!$D$6:$D$185,期初余额!$A$6:$A$185,$A13,期初余额!$B$6:$B$185,$C13)-SUMIFS(期初余额!$C$6:$C$185,期初余额!$A$6:$A$185,$A13,期初余额!$B$6:$B$185,$C13)))</f>
        <v>12000</v>
      </c>
      <c r="H13" s="40" t="n">
        <f aca="false">IF($C13="","",$G13+IF($E13="借",SUMIFS(记账分录!$I$6:$I$5505,记账分录!$F$6:$F$5505,$A13,记账分录!$H$6:$H$5505,$C13,记账分录!$E$6:$E$5505,"&lt;"&amp;$A$4)-SUMIFS(记账分录!$J$6:$J$5505,记账分录!$F$6:$F$5505,$A13,记账分录!$H$6:$H$5505,$C13,记账分录!$E$6:$E$5505,"&lt;"&amp;$A$4),SUMIFS(记账分录!$J$6:$J$5505,记账分录!$F$6:$F$5505,$A13,记账分录!$H$6:$H$5505,$C13,记账分录!$E$6:$E$5505,"&lt;"&amp;$A$4)-SUMIFS(记账分录!$I$6:$I$5505,记账分录!$F$6:$F$5505,$A13,记账分录!$H$6:$H$5505,$C13,记账分录!$E$6:$E$5505,"&lt;"&amp;$A$4)))</f>
        <v>12000</v>
      </c>
      <c r="I13" s="40" t="n">
        <f aca="false">IF($C13="","",SUMIFS(记账分录!$I$6:$I$5505,记账分录!$F$6:$F$5505,$A13,记账分录!$H$6:$H$5505,$C13,记账分录!$E$6:$E$5505,"&gt;="&amp;$A$4,记账分录!$E$6:$E$5505,"&lt;="&amp;$B$4))</f>
        <v>17000</v>
      </c>
      <c r="J13" s="40" t="n">
        <f aca="false">IF($C13="","",SUMIFS(记账分录!$J$6:$J$5505,记账分录!$F$6:$F$5505,$A13,记账分录!$H$6:$H$5505,$C13,记账分录!$E$6:$E$5505,"&gt;="&amp;$A$4,记账分录!$E$6:$E$5505,"&lt;="&amp;$B$4))</f>
        <v>16777.78</v>
      </c>
      <c r="K13" s="42" t="n">
        <f aca="false">IF($C13="","",IF($E13="借",$I13-$J13,$J13-$I13))</f>
        <v>222.220000000001</v>
      </c>
      <c r="L13" s="42" t="n">
        <f aca="false">IF($C13="","",ROUND($H13+$K13,2))</f>
        <v>12222.22</v>
      </c>
      <c r="M13" s="40" t="n">
        <f aca="false">IF($C13="","",SUMIFS(记账分录!$I$6:$I$5505,记账分录!$F$6:$F$5505,$A13,记账分录!$H$6:$H$5505,$C13,记账分录!$E$6:$E$5505,"&lt;="&amp;$B$4))</f>
        <v>17000</v>
      </c>
      <c r="N13" s="40" t="n">
        <f aca="false">IF($C13="","",SUMIFS(记账分录!$J$6:$J$5505,记账分录!$F$6:$F$5505,$A13,记账分录!$H$6:$H$5505,$C13,记账分录!$E$6:$E$5505,"&lt;="&amp;$B$4))</f>
        <v>16777.78</v>
      </c>
      <c r="O13" s="42" t="n">
        <f aca="false">IF($C13="","",IF($E13="借",$M13-$N13,$N13-$M13))</f>
        <v>222.220000000001</v>
      </c>
      <c r="P13" s="64" t="str">
        <f aca="false">IF($C13="","",IF(OR(ROUND($G13,2)&lt;&gt;0,ROUND($M13,2)&lt;&gt;0,ROUND($N13,2)&lt;&gt;0),"有",""))</f>
        <v>有</v>
      </c>
    </row>
    <row r="14" customFormat="false" ht="15" hidden="false" customHeight="false" outlineLevel="0" collapsed="false">
      <c r="A14" s="25" t="str">
        <f aca="false">IF(会计科目表!$B13="","",参数设置!$A$10)</f>
        <v>农业</v>
      </c>
      <c r="B14" s="25" t="str">
        <f aca="false">IF(会计科目表!$B13="","",会计科目表!$A13)</f>
        <v>1405</v>
      </c>
      <c r="C14" s="10" t="str">
        <f aca="false">IF(会计科目表!$B13="","",会计科目表!$B13)</f>
        <v>库存商品</v>
      </c>
      <c r="D14" s="25" t="str">
        <f aca="false">IF($C14="","",会计科目表!$C13)</f>
        <v>资产</v>
      </c>
      <c r="E14" s="25" t="str">
        <f aca="false">IF($C14="","",会计科目表!$D13)</f>
        <v>借</v>
      </c>
      <c r="F14" s="10" t="str">
        <f aca="false">IF($C14="","",会计科目表!$F13)</f>
        <v>存货</v>
      </c>
      <c r="G14" s="40" t="n">
        <f aca="false">IF($C14="","",IF($E14="借",SUMIFS(期初余额!$C$6:$C$185,期初余额!$A$6:$A$185,$A14,期初余额!$B$6:$B$185,$C14)-SUMIFS(期初余额!$D$6:$D$185,期初余额!$A$6:$A$185,$A14,期初余额!$B$6:$B$185,$C14),SUMIFS(期初余额!$D$6:$D$185,期初余额!$A$6:$A$185,$A14,期初余额!$B$6:$B$185,$C14)-SUMIFS(期初余额!$C$6:$C$185,期初余额!$A$6:$A$185,$A14,期初余额!$B$6:$B$185,$C14)))</f>
        <v>78000</v>
      </c>
      <c r="H14" s="40" t="n">
        <f aca="false">IF($C14="","",$G14+IF($E14="借",SUMIFS(记账分录!$I$6:$I$5505,记账分录!$F$6:$F$5505,$A14,记账分录!$H$6:$H$5505,$C14,记账分录!$E$6:$E$5505,"&lt;"&amp;$A$4)-SUMIFS(记账分录!$J$6:$J$5505,记账分录!$F$6:$F$5505,$A14,记账分录!$H$6:$H$5505,$C14,记账分录!$E$6:$E$5505,"&lt;"&amp;$A$4),SUMIFS(记账分录!$J$6:$J$5505,记账分录!$F$6:$F$5505,$A14,记账分录!$H$6:$H$5505,$C14,记账分录!$E$6:$E$5505,"&lt;"&amp;$A$4)-SUMIFS(记账分录!$I$6:$I$5505,记账分录!$F$6:$F$5505,$A14,记账分录!$H$6:$H$5505,$C14,记账分录!$E$6:$E$5505,"&lt;"&amp;$A$4)))</f>
        <v>78000</v>
      </c>
      <c r="I14" s="40" t="n">
        <f aca="false">IF($C14="","",SUMIFS(记账分录!$I$6:$I$5505,记账分录!$F$6:$F$5505,$A14,记账分录!$H$6:$H$5505,$C14,记账分录!$E$6:$E$5505,"&gt;="&amp;$A$4,记账分录!$E$6:$E$5505,"&lt;="&amp;$B$4))</f>
        <v>192266.67</v>
      </c>
      <c r="J14" s="40" t="n">
        <f aca="false">IF($C14="","",SUMIFS(记账分录!$J$6:$J$5505,记账分录!$F$6:$F$5505,$A14,记账分录!$H$6:$H$5505,$C14,记账分录!$E$6:$E$5505,"&gt;="&amp;$A$4,记账分录!$E$6:$E$5505,"&lt;="&amp;$B$4))</f>
        <v>214416.51</v>
      </c>
      <c r="K14" s="42" t="n">
        <f aca="false">IF($C14="","",IF($E14="借",$I14-$J14,$J14-$I14))</f>
        <v>-22149.84</v>
      </c>
      <c r="L14" s="42" t="n">
        <f aca="false">IF($C14="","",ROUND($H14+$K14,2))</f>
        <v>55850.16</v>
      </c>
      <c r="M14" s="40" t="n">
        <f aca="false">IF($C14="","",SUMIFS(记账分录!$I$6:$I$5505,记账分录!$F$6:$F$5505,$A14,记账分录!$H$6:$H$5505,$C14,记账分录!$E$6:$E$5505,"&lt;="&amp;$B$4))</f>
        <v>192266.67</v>
      </c>
      <c r="N14" s="40" t="n">
        <f aca="false">IF($C14="","",SUMIFS(记账分录!$J$6:$J$5505,记账分录!$F$6:$F$5505,$A14,记账分录!$H$6:$H$5505,$C14,记账分录!$E$6:$E$5505,"&lt;="&amp;$B$4))</f>
        <v>214416.51</v>
      </c>
      <c r="O14" s="42" t="n">
        <f aca="false">IF($C14="","",IF($E14="借",$M14-$N14,$N14-$M14))</f>
        <v>-22149.84</v>
      </c>
      <c r="P14" s="64" t="str">
        <f aca="false">IF($C14="","",IF(OR(ROUND($G14,2)&lt;&gt;0,ROUND($M14,2)&lt;&gt;0,ROUND($N14,2)&lt;&gt;0),"有",""))</f>
        <v>有</v>
      </c>
    </row>
    <row r="15" customFormat="false" ht="15" hidden="false" customHeight="false" outlineLevel="0" collapsed="false">
      <c r="A15" s="25" t="str">
        <f aca="false">IF(会计科目表!$B14="","",参数设置!$A$10)</f>
        <v>农业</v>
      </c>
      <c r="B15" s="25" t="str">
        <f aca="false">IF(会计科目表!$B14="","",会计科目表!$A14)</f>
        <v>1411</v>
      </c>
      <c r="C15" s="10" t="str">
        <f aca="false">IF(会计科目表!$B14="","",会计科目表!$B14)</f>
        <v>周转材料</v>
      </c>
      <c r="D15" s="25" t="str">
        <f aca="false">IF($C15="","",会计科目表!$C14)</f>
        <v>资产</v>
      </c>
      <c r="E15" s="25" t="str">
        <f aca="false">IF($C15="","",会计科目表!$D14)</f>
        <v>借</v>
      </c>
      <c r="F15" s="10" t="str">
        <f aca="false">IF($C15="","",会计科目表!$F14)</f>
        <v>存货</v>
      </c>
      <c r="G15" s="40" t="n">
        <f aca="false">IF($C15="","",IF($E15="借",SUMIFS(期初余额!$C$6:$C$185,期初余额!$A$6:$A$185,$A15,期初余额!$B$6:$B$185,$C15)-SUMIFS(期初余额!$D$6:$D$185,期初余额!$A$6:$A$185,$A15,期初余额!$B$6:$B$185,$C15),SUMIFS(期初余额!$D$6:$D$185,期初余额!$A$6:$A$185,$A15,期初余额!$B$6:$B$185,$C15)-SUMIFS(期初余额!$C$6:$C$185,期初余额!$A$6:$A$185,$A15,期初余额!$B$6:$B$185,$C15)))</f>
        <v>0</v>
      </c>
      <c r="H15" s="40" t="n">
        <f aca="false">IF($C15="","",$G15+IF($E15="借",SUMIFS(记账分录!$I$6:$I$5505,记账分录!$F$6:$F$5505,$A15,记账分录!$H$6:$H$5505,$C15,记账分录!$E$6:$E$5505,"&lt;"&amp;$A$4)-SUMIFS(记账分录!$J$6:$J$5505,记账分录!$F$6:$F$5505,$A15,记账分录!$H$6:$H$5505,$C15,记账分录!$E$6:$E$5505,"&lt;"&amp;$A$4),SUMIFS(记账分录!$J$6:$J$5505,记账分录!$F$6:$F$5505,$A15,记账分录!$H$6:$H$5505,$C15,记账分录!$E$6:$E$5505,"&lt;"&amp;$A$4)-SUMIFS(记账分录!$I$6:$I$5505,记账分录!$F$6:$F$5505,$A15,记账分录!$H$6:$H$5505,$C15,记账分录!$E$6:$E$5505,"&lt;"&amp;$A$4)))</f>
        <v>0</v>
      </c>
      <c r="I15" s="40" t="n">
        <f aca="false">IF($C15="","",SUMIFS(记账分录!$I$6:$I$5505,记账分录!$F$6:$F$5505,$A15,记账分录!$H$6:$H$5505,$C15,记账分录!$E$6:$E$5505,"&gt;="&amp;$A$4,记账分录!$E$6:$E$5505,"&lt;="&amp;$B$4))</f>
        <v>0</v>
      </c>
      <c r="J15" s="40" t="n">
        <f aca="false">IF($C15="","",SUMIFS(记账分录!$J$6:$J$5505,记账分录!$F$6:$F$5505,$A15,记账分录!$H$6:$H$5505,$C15,记账分录!$E$6:$E$5505,"&gt;="&amp;$A$4,记账分录!$E$6:$E$5505,"&lt;="&amp;$B$4))</f>
        <v>0</v>
      </c>
      <c r="K15" s="42" t="n">
        <f aca="false">IF($C15="","",IF($E15="借",$I15-$J15,$J15-$I15))</f>
        <v>0</v>
      </c>
      <c r="L15" s="42" t="n">
        <f aca="false">IF($C15="","",ROUND($H15+$K15,2))</f>
        <v>0</v>
      </c>
      <c r="M15" s="40" t="n">
        <f aca="false">IF($C15="","",SUMIFS(记账分录!$I$6:$I$5505,记账分录!$F$6:$F$5505,$A15,记账分录!$H$6:$H$5505,$C15,记账分录!$E$6:$E$5505,"&lt;="&amp;$B$4))</f>
        <v>0</v>
      </c>
      <c r="N15" s="40" t="n">
        <f aca="false">IF($C15="","",SUMIFS(记账分录!$J$6:$J$5505,记账分录!$F$6:$F$5505,$A15,记账分录!$H$6:$H$5505,$C15,记账分录!$E$6:$E$5505,"&lt;="&amp;$B$4))</f>
        <v>0</v>
      </c>
      <c r="O15" s="42" t="n">
        <f aca="false">IF($C15="","",IF($E15="借",$M15-$N15,$N15-$M15))</f>
        <v>0</v>
      </c>
      <c r="P15" s="64" t="str">
        <f aca="false">IF($C15="","",IF(OR(ROUND($G15,2)&lt;&gt;0,ROUND($M15,2)&lt;&gt;0,ROUND($N15,2)&lt;&gt;0),"有",""))</f>
        <v/>
      </c>
    </row>
    <row r="16" customFormat="false" ht="15" hidden="false" customHeight="false" outlineLevel="0" collapsed="false">
      <c r="A16" s="25" t="str">
        <f aca="false">IF(会计科目表!$B15="","",参数设置!$A$10)</f>
        <v>农业</v>
      </c>
      <c r="B16" s="25" t="str">
        <f aca="false">IF(会计科目表!$B15="","",会计科目表!$A15)</f>
        <v>1501</v>
      </c>
      <c r="C16" s="10" t="str">
        <f aca="false">IF(会计科目表!$B15="","",会计科目表!$B15)</f>
        <v>生产成本</v>
      </c>
      <c r="D16" s="25" t="str">
        <f aca="false">IF($C16="","",会计科目表!$C15)</f>
        <v>成本</v>
      </c>
      <c r="E16" s="25" t="str">
        <f aca="false">IF($C16="","",会计科目表!$D15)</f>
        <v>借</v>
      </c>
      <c r="F16" s="10" t="str">
        <f aca="false">IF($C16="","",会计科目表!$F15)</f>
        <v>存货</v>
      </c>
      <c r="G16" s="40" t="n">
        <f aca="false">IF($C16="","",IF($E16="借",SUMIFS(期初余额!$C$6:$C$185,期初余额!$A$6:$A$185,$A16,期初余额!$B$6:$B$185,$C16)-SUMIFS(期初余额!$D$6:$D$185,期初余额!$A$6:$A$185,$A16,期初余额!$B$6:$B$185,$C16),SUMIFS(期初余额!$D$6:$D$185,期初余额!$A$6:$A$185,$A16,期初余额!$B$6:$B$185,$C16)-SUMIFS(期初余额!$C$6:$C$185,期初余额!$A$6:$A$185,$A16,期初余额!$B$6:$B$185,$C16)))</f>
        <v>0</v>
      </c>
      <c r="H16" s="40" t="n">
        <f aca="false">IF($C16="","",$G16+IF($E16="借",SUMIFS(记账分录!$I$6:$I$5505,记账分录!$F$6:$F$5505,$A16,记账分录!$H$6:$H$5505,$C16,记账分录!$E$6:$E$5505,"&lt;"&amp;$A$4)-SUMIFS(记账分录!$J$6:$J$5505,记账分录!$F$6:$F$5505,$A16,记账分录!$H$6:$H$5505,$C16,记账分录!$E$6:$E$5505,"&lt;"&amp;$A$4),SUMIFS(记账分录!$J$6:$J$5505,记账分录!$F$6:$F$5505,$A16,记账分录!$H$6:$H$5505,$C16,记账分录!$E$6:$E$5505,"&lt;"&amp;$A$4)-SUMIFS(记账分录!$I$6:$I$5505,记账分录!$F$6:$F$5505,$A16,记账分录!$H$6:$H$5505,$C16,记账分录!$E$6:$E$5505,"&lt;"&amp;$A$4)))</f>
        <v>0</v>
      </c>
      <c r="I16" s="40" t="n">
        <f aca="false">IF($C16="","",SUMIFS(记账分录!$I$6:$I$5505,记账分录!$F$6:$F$5505,$A16,记账分录!$H$6:$H$5505,$C16,记账分录!$E$6:$E$5505,"&gt;="&amp;$A$4,记账分录!$E$6:$E$5505,"&lt;="&amp;$B$4))</f>
        <v>192266.67</v>
      </c>
      <c r="J16" s="40" t="n">
        <f aca="false">IF($C16="","",SUMIFS(记账分录!$J$6:$J$5505,记账分录!$F$6:$F$5505,$A16,记账分录!$H$6:$H$5505,$C16,记账分录!$E$6:$E$5505,"&gt;="&amp;$A$4,记账分录!$E$6:$E$5505,"&lt;="&amp;$B$4))</f>
        <v>192266.67</v>
      </c>
      <c r="K16" s="42" t="n">
        <f aca="false">IF($C16="","",IF($E16="借",$I16-$J16,$J16-$I16))</f>
        <v>0</v>
      </c>
      <c r="L16" s="42" t="n">
        <f aca="false">IF($C16="","",ROUND($H16+$K16,2))</f>
        <v>0</v>
      </c>
      <c r="M16" s="40" t="n">
        <f aca="false">IF($C16="","",SUMIFS(记账分录!$I$6:$I$5505,记账分录!$F$6:$F$5505,$A16,记账分录!$H$6:$H$5505,$C16,记账分录!$E$6:$E$5505,"&lt;="&amp;$B$4))</f>
        <v>192266.67</v>
      </c>
      <c r="N16" s="40" t="n">
        <f aca="false">IF($C16="","",SUMIFS(记账分录!$J$6:$J$5505,记账分录!$F$6:$F$5505,$A16,记账分录!$H$6:$H$5505,$C16,记账分录!$E$6:$E$5505,"&lt;="&amp;$B$4))</f>
        <v>192266.67</v>
      </c>
      <c r="O16" s="42" t="n">
        <f aca="false">IF($C16="","",IF($E16="借",$M16-$N16,$N16-$M16))</f>
        <v>0</v>
      </c>
      <c r="P16" s="64" t="str">
        <f aca="false">IF($C16="","",IF(OR(ROUND($G16,2)&lt;&gt;0,ROUND($M16,2)&lt;&gt;0,ROUND($N16,2)&lt;&gt;0),"有",""))</f>
        <v>有</v>
      </c>
    </row>
    <row r="17" customFormat="false" ht="15" hidden="false" customHeight="false" outlineLevel="0" collapsed="false">
      <c r="A17" s="25" t="str">
        <f aca="false">IF(会计科目表!$B16="","",参数设置!$A$10)</f>
        <v>农业</v>
      </c>
      <c r="B17" s="25" t="str">
        <f aca="false">IF(会计科目表!$B16="","",会计科目表!$A16)</f>
        <v>1601</v>
      </c>
      <c r="C17" s="10" t="str">
        <f aca="false">IF(会计科目表!$B16="","",会计科目表!$B16)</f>
        <v>固定资产</v>
      </c>
      <c r="D17" s="25" t="str">
        <f aca="false">IF($C17="","",会计科目表!$C16)</f>
        <v>资产</v>
      </c>
      <c r="E17" s="25" t="str">
        <f aca="false">IF($C17="","",会计科目表!$D16)</f>
        <v>借</v>
      </c>
      <c r="F17" s="10" t="str">
        <f aca="false">IF($C17="","",会计科目表!$F16)</f>
        <v>固定资产原价</v>
      </c>
      <c r="G17" s="40" t="n">
        <f aca="false">IF($C17="","",IF($E17="借",SUMIFS(期初余额!$C$6:$C$185,期初余额!$A$6:$A$185,$A17,期初余额!$B$6:$B$185,$C17)-SUMIFS(期初余额!$D$6:$D$185,期初余额!$A$6:$A$185,$A17,期初余额!$B$6:$B$185,$C17),SUMIFS(期初余额!$D$6:$D$185,期初余额!$A$6:$A$185,$A17,期初余额!$B$6:$B$185,$C17)-SUMIFS(期初余额!$C$6:$C$185,期初余额!$A$6:$A$185,$A17,期初余额!$B$6:$B$185,$C17)))</f>
        <v>260000</v>
      </c>
      <c r="H17" s="40" t="n">
        <f aca="false">IF($C17="","",$G17+IF($E17="借",SUMIFS(记账分录!$I$6:$I$5505,记账分录!$F$6:$F$5505,$A17,记账分录!$H$6:$H$5505,$C17,记账分录!$E$6:$E$5505,"&lt;"&amp;$A$4)-SUMIFS(记账分录!$J$6:$J$5505,记账分录!$F$6:$F$5505,$A17,记账分录!$H$6:$H$5505,$C17,记账分录!$E$6:$E$5505,"&lt;"&amp;$A$4),SUMIFS(记账分录!$J$6:$J$5505,记账分录!$F$6:$F$5505,$A17,记账分录!$H$6:$H$5505,$C17,记账分录!$E$6:$E$5505,"&lt;"&amp;$A$4)-SUMIFS(记账分录!$I$6:$I$5505,记账分录!$F$6:$F$5505,$A17,记账分录!$H$6:$H$5505,$C17,记账分录!$E$6:$E$5505,"&lt;"&amp;$A$4)))</f>
        <v>260000</v>
      </c>
      <c r="I17" s="40" t="n">
        <f aca="false">IF($C17="","",SUMIFS(记账分录!$I$6:$I$5505,记账分录!$F$6:$F$5505,$A17,记账分录!$H$6:$H$5505,$C17,记账分录!$E$6:$E$5505,"&gt;="&amp;$A$4,记账分录!$E$6:$E$5505,"&lt;="&amp;$B$4))</f>
        <v>0</v>
      </c>
      <c r="J17" s="40" t="n">
        <f aca="false">IF($C17="","",SUMIFS(记账分录!$J$6:$J$5505,记账分录!$F$6:$F$5505,$A17,记账分录!$H$6:$H$5505,$C17,记账分录!$E$6:$E$5505,"&gt;="&amp;$A$4,记账分录!$E$6:$E$5505,"&lt;="&amp;$B$4))</f>
        <v>0</v>
      </c>
      <c r="K17" s="42" t="n">
        <f aca="false">IF($C17="","",IF($E17="借",$I17-$J17,$J17-$I17))</f>
        <v>0</v>
      </c>
      <c r="L17" s="42" t="n">
        <f aca="false">IF($C17="","",ROUND($H17+$K17,2))</f>
        <v>260000</v>
      </c>
      <c r="M17" s="40" t="n">
        <f aca="false">IF($C17="","",SUMIFS(记账分录!$I$6:$I$5505,记账分录!$F$6:$F$5505,$A17,记账分录!$H$6:$H$5505,$C17,记账分录!$E$6:$E$5505,"&lt;="&amp;$B$4))</f>
        <v>0</v>
      </c>
      <c r="N17" s="40" t="n">
        <f aca="false">IF($C17="","",SUMIFS(记账分录!$J$6:$J$5505,记账分录!$F$6:$F$5505,$A17,记账分录!$H$6:$H$5505,$C17,记账分录!$E$6:$E$5505,"&lt;="&amp;$B$4))</f>
        <v>0</v>
      </c>
      <c r="O17" s="42" t="n">
        <f aca="false">IF($C17="","",IF($E17="借",$M17-$N17,$N17-$M17))</f>
        <v>0</v>
      </c>
      <c r="P17" s="64" t="str">
        <f aca="false">IF($C17="","",IF(OR(ROUND($G17,2)&lt;&gt;0,ROUND($M17,2)&lt;&gt;0,ROUND($N17,2)&lt;&gt;0),"有",""))</f>
        <v>有</v>
      </c>
    </row>
    <row r="18" customFormat="false" ht="15" hidden="false" customHeight="false" outlineLevel="0" collapsed="false">
      <c r="A18" s="25" t="str">
        <f aca="false">IF(会计科目表!$B17="","",参数设置!$A$10)</f>
        <v>农业</v>
      </c>
      <c r="B18" s="25" t="str">
        <f aca="false">IF(会计科目表!$B17="","",会计科目表!$A17)</f>
        <v>1602</v>
      </c>
      <c r="C18" s="10" t="str">
        <f aca="false">IF(会计科目表!$B17="","",会计科目表!$B17)</f>
        <v>累计折旧</v>
      </c>
      <c r="D18" s="25" t="str">
        <f aca="false">IF($C18="","",会计科目表!$C17)</f>
        <v>资产</v>
      </c>
      <c r="E18" s="25" t="str">
        <f aca="false">IF($C18="","",会计科目表!$D17)</f>
        <v>贷</v>
      </c>
      <c r="F18" s="10" t="str">
        <f aca="false">IF($C18="","",会计科目表!$F17)</f>
        <v>累计折旧</v>
      </c>
      <c r="G18" s="40" t="n">
        <f aca="false">IF($C18="","",IF($E18="借",SUMIFS(期初余额!$C$6:$C$185,期初余额!$A$6:$A$185,$A18,期初余额!$B$6:$B$185,$C18)-SUMIFS(期初余额!$D$6:$D$185,期初余额!$A$6:$A$185,$A18,期初余额!$B$6:$B$185,$C18),SUMIFS(期初余额!$D$6:$D$185,期初余额!$A$6:$A$185,$A18,期初余额!$B$6:$B$185,$C18)-SUMIFS(期初余额!$C$6:$C$185,期初余额!$A$6:$A$185,$A18,期初余额!$B$6:$B$185,$C18)))</f>
        <v>52000</v>
      </c>
      <c r="H18" s="40" t="n">
        <f aca="false">IF($C18="","",$G18+IF($E18="借",SUMIFS(记账分录!$I$6:$I$5505,记账分录!$F$6:$F$5505,$A18,记账分录!$H$6:$H$5505,$C18,记账分录!$E$6:$E$5505,"&lt;"&amp;$A$4)-SUMIFS(记账分录!$J$6:$J$5505,记账分录!$F$6:$F$5505,$A18,记账分录!$H$6:$H$5505,$C18,记账分录!$E$6:$E$5505,"&lt;"&amp;$A$4),SUMIFS(记账分录!$J$6:$J$5505,记账分录!$F$6:$F$5505,$A18,记账分录!$H$6:$H$5505,$C18,记账分录!$E$6:$E$5505,"&lt;"&amp;$A$4)-SUMIFS(记账分录!$I$6:$I$5505,记账分录!$F$6:$F$5505,$A18,记账分录!$H$6:$H$5505,$C18,记账分录!$E$6:$E$5505,"&lt;"&amp;$A$4)))</f>
        <v>52000</v>
      </c>
      <c r="I18" s="40" t="n">
        <f aca="false">IF($C18="","",SUMIFS(记账分录!$I$6:$I$5505,记账分录!$F$6:$F$5505,$A18,记账分录!$H$6:$H$5505,$C18,记账分录!$E$6:$E$5505,"&gt;="&amp;$A$4,记账分录!$E$6:$E$5505,"&lt;="&amp;$B$4))</f>
        <v>0</v>
      </c>
      <c r="J18" s="40" t="n">
        <f aca="false">IF($C18="","",SUMIFS(记账分录!$J$6:$J$5505,记账分录!$F$6:$F$5505,$A18,记账分录!$H$6:$H$5505,$C18,记账分录!$E$6:$E$5505,"&gt;="&amp;$A$4,记账分录!$E$6:$E$5505,"&lt;="&amp;$B$4))</f>
        <v>26000</v>
      </c>
      <c r="K18" s="42" t="n">
        <f aca="false">IF($C18="","",IF($E18="借",$I18-$J18,$J18-$I18))</f>
        <v>26000</v>
      </c>
      <c r="L18" s="42" t="n">
        <f aca="false">IF($C18="","",ROUND($H18+$K18,2))</f>
        <v>78000</v>
      </c>
      <c r="M18" s="40" t="n">
        <f aca="false">IF($C18="","",SUMIFS(记账分录!$I$6:$I$5505,记账分录!$F$6:$F$5505,$A18,记账分录!$H$6:$H$5505,$C18,记账分录!$E$6:$E$5505,"&lt;="&amp;$B$4))</f>
        <v>0</v>
      </c>
      <c r="N18" s="40" t="n">
        <f aca="false">IF($C18="","",SUMIFS(记账分录!$J$6:$J$5505,记账分录!$F$6:$F$5505,$A18,记账分录!$H$6:$H$5505,$C18,记账分录!$E$6:$E$5505,"&lt;="&amp;$B$4))</f>
        <v>26000</v>
      </c>
      <c r="O18" s="42" t="n">
        <f aca="false">IF($C18="","",IF($E18="借",$M18-$N18,$N18-$M18))</f>
        <v>26000</v>
      </c>
      <c r="P18" s="64" t="str">
        <f aca="false">IF($C18="","",IF(OR(ROUND($G18,2)&lt;&gt;0,ROUND($M18,2)&lt;&gt;0,ROUND($N18,2)&lt;&gt;0),"有",""))</f>
        <v>有</v>
      </c>
    </row>
    <row r="19" customFormat="false" ht="15" hidden="false" customHeight="false" outlineLevel="0" collapsed="false">
      <c r="A19" s="25" t="str">
        <f aca="false">IF(会计科目表!$B18="","",参数设置!$A$10)</f>
        <v>农业</v>
      </c>
      <c r="B19" s="25" t="str">
        <f aca="false">IF(会计科目表!$B18="","",会计科目表!$A18)</f>
        <v>1621</v>
      </c>
      <c r="C19" s="10" t="str">
        <f aca="false">IF(会计科目表!$B18="","",会计科目表!$B18)</f>
        <v>生产性生物资产</v>
      </c>
      <c r="D19" s="25" t="str">
        <f aca="false">IF($C19="","",会计科目表!$C18)</f>
        <v>资产</v>
      </c>
      <c r="E19" s="25" t="str">
        <f aca="false">IF($C19="","",会计科目表!$D18)</f>
        <v>借</v>
      </c>
      <c r="F19" s="10" t="str">
        <f aca="false">IF($C19="","",会计科目表!$F18)</f>
        <v>生产性生物资产原价</v>
      </c>
      <c r="G19" s="40" t="n">
        <f aca="false">IF($C19="","",IF($E19="借",SUMIFS(期初余额!$C$6:$C$185,期初余额!$A$6:$A$185,$A19,期初余额!$B$6:$B$185,$C19)-SUMIFS(期初余额!$D$6:$D$185,期初余额!$A$6:$A$185,$A19,期初余额!$B$6:$B$185,$C19),SUMIFS(期初余额!$D$6:$D$185,期初余额!$A$6:$A$185,$A19,期初余额!$B$6:$B$185,$C19)-SUMIFS(期初余额!$C$6:$C$185,期初余额!$A$6:$A$185,$A19,期初余额!$B$6:$B$185,$C19)))</f>
        <v>600000</v>
      </c>
      <c r="H19" s="40" t="n">
        <f aca="false">IF($C19="","",$G19+IF($E19="借",SUMIFS(记账分录!$I$6:$I$5505,记账分录!$F$6:$F$5505,$A19,记账分录!$H$6:$H$5505,$C19,记账分录!$E$6:$E$5505,"&lt;"&amp;$A$4)-SUMIFS(记账分录!$J$6:$J$5505,记账分录!$F$6:$F$5505,$A19,记账分录!$H$6:$H$5505,$C19,记账分录!$E$6:$E$5505,"&lt;"&amp;$A$4),SUMIFS(记账分录!$J$6:$J$5505,记账分录!$F$6:$F$5505,$A19,记账分录!$H$6:$H$5505,$C19,记账分录!$E$6:$E$5505,"&lt;"&amp;$A$4)-SUMIFS(记账分录!$I$6:$I$5505,记账分录!$F$6:$F$5505,$A19,记账分录!$H$6:$H$5505,$C19,记账分录!$E$6:$E$5505,"&lt;"&amp;$A$4)))</f>
        <v>600000</v>
      </c>
      <c r="I19" s="40" t="n">
        <f aca="false">IF($C19="","",SUMIFS(记账分录!$I$6:$I$5505,记账分录!$F$6:$F$5505,$A19,记账分录!$H$6:$H$5505,$C19,记账分录!$E$6:$E$5505,"&gt;="&amp;$A$4,记账分录!$E$6:$E$5505,"&lt;="&amp;$B$4))</f>
        <v>0</v>
      </c>
      <c r="J19" s="40" t="n">
        <f aca="false">IF($C19="","",SUMIFS(记账分录!$J$6:$J$5505,记账分录!$F$6:$F$5505,$A19,记账分录!$H$6:$H$5505,$C19,记账分录!$E$6:$E$5505,"&gt;="&amp;$A$4,记账分录!$E$6:$E$5505,"&lt;="&amp;$B$4))</f>
        <v>0</v>
      </c>
      <c r="K19" s="42" t="n">
        <f aca="false">IF($C19="","",IF($E19="借",$I19-$J19,$J19-$I19))</f>
        <v>0</v>
      </c>
      <c r="L19" s="42" t="n">
        <f aca="false">IF($C19="","",ROUND($H19+$K19,2))</f>
        <v>600000</v>
      </c>
      <c r="M19" s="40" t="n">
        <f aca="false">IF($C19="","",SUMIFS(记账分录!$I$6:$I$5505,记账分录!$F$6:$F$5505,$A19,记账分录!$H$6:$H$5505,$C19,记账分录!$E$6:$E$5505,"&lt;="&amp;$B$4))</f>
        <v>0</v>
      </c>
      <c r="N19" s="40" t="n">
        <f aca="false">IF($C19="","",SUMIFS(记账分录!$J$6:$J$5505,记账分录!$F$6:$F$5505,$A19,记账分录!$H$6:$H$5505,$C19,记账分录!$E$6:$E$5505,"&lt;="&amp;$B$4))</f>
        <v>0</v>
      </c>
      <c r="O19" s="42" t="n">
        <f aca="false">IF($C19="","",IF($E19="借",$M19-$N19,$N19-$M19))</f>
        <v>0</v>
      </c>
      <c r="P19" s="64" t="str">
        <f aca="false">IF($C19="","",IF(OR(ROUND($G19,2)&lt;&gt;0,ROUND($M19,2)&lt;&gt;0,ROUND($N19,2)&lt;&gt;0),"有",""))</f>
        <v>有</v>
      </c>
    </row>
    <row r="20" customFormat="false" ht="15" hidden="false" customHeight="false" outlineLevel="0" collapsed="false">
      <c r="A20" s="25" t="str">
        <f aca="false">IF(会计科目表!$B19="","",参数设置!$A$10)</f>
        <v>农业</v>
      </c>
      <c r="B20" s="25" t="str">
        <f aca="false">IF(会计科目表!$B19="","",会计科目表!$A19)</f>
        <v>1622</v>
      </c>
      <c r="C20" s="10" t="str">
        <f aca="false">IF(会计科目表!$B19="","",会计科目表!$B19)</f>
        <v>生物资产累计折旧</v>
      </c>
      <c r="D20" s="25" t="str">
        <f aca="false">IF($C20="","",会计科目表!$C19)</f>
        <v>资产</v>
      </c>
      <c r="E20" s="25" t="str">
        <f aca="false">IF($C20="","",会计科目表!$D19)</f>
        <v>贷</v>
      </c>
      <c r="F20" s="10" t="str">
        <f aca="false">IF($C20="","",会计科目表!$F19)</f>
        <v>生物资产累计折旧</v>
      </c>
      <c r="G20" s="40" t="n">
        <f aca="false">IF($C20="","",IF($E20="借",SUMIFS(期初余额!$C$6:$C$185,期初余额!$A$6:$A$185,$A20,期初余额!$B$6:$B$185,$C20)-SUMIFS(期初余额!$D$6:$D$185,期初余额!$A$6:$A$185,$A20,期初余额!$B$6:$B$185,$C20),SUMIFS(期初余额!$D$6:$D$185,期初余额!$A$6:$A$185,$A20,期初余额!$B$6:$B$185,$C20)-SUMIFS(期初余额!$C$6:$C$185,期初余额!$A$6:$A$185,$A20,期初余额!$B$6:$B$185,$C20)))</f>
        <v>40000</v>
      </c>
      <c r="H20" s="40" t="n">
        <f aca="false">IF($C20="","",$G20+IF($E20="借",SUMIFS(记账分录!$I$6:$I$5505,记账分录!$F$6:$F$5505,$A20,记账分录!$H$6:$H$5505,$C20,记账分录!$E$6:$E$5505,"&lt;"&amp;$A$4)-SUMIFS(记账分录!$J$6:$J$5505,记账分录!$F$6:$F$5505,$A20,记账分录!$H$6:$H$5505,$C20,记账分录!$E$6:$E$5505,"&lt;"&amp;$A$4),SUMIFS(记账分录!$J$6:$J$5505,记账分录!$F$6:$F$5505,$A20,记账分录!$H$6:$H$5505,$C20,记账分录!$E$6:$E$5505,"&lt;"&amp;$A$4)-SUMIFS(记账分录!$I$6:$I$5505,记账分录!$F$6:$F$5505,$A20,记账分录!$H$6:$H$5505,$C20,记账分录!$E$6:$E$5505,"&lt;"&amp;$A$4)))</f>
        <v>40000</v>
      </c>
      <c r="I20" s="40" t="n">
        <f aca="false">IF($C20="","",SUMIFS(记账分录!$I$6:$I$5505,记账分录!$F$6:$F$5505,$A20,记账分录!$H$6:$H$5505,$C20,记账分录!$E$6:$E$5505,"&gt;="&amp;$A$4,记账分录!$E$6:$E$5505,"&lt;="&amp;$B$4))</f>
        <v>0</v>
      </c>
      <c r="J20" s="40" t="n">
        <f aca="false">IF($C20="","",SUMIFS(记账分录!$J$6:$J$5505,记账分录!$F$6:$F$5505,$A20,记账分录!$H$6:$H$5505,$C20,记账分录!$E$6:$E$5505,"&gt;="&amp;$A$4,记账分录!$E$6:$E$5505,"&lt;="&amp;$B$4))</f>
        <v>20000</v>
      </c>
      <c r="K20" s="42" t="n">
        <f aca="false">IF($C20="","",IF($E20="借",$I20-$J20,$J20-$I20))</f>
        <v>20000</v>
      </c>
      <c r="L20" s="42" t="n">
        <f aca="false">IF($C20="","",ROUND($H20+$K20,2))</f>
        <v>60000</v>
      </c>
      <c r="M20" s="40" t="n">
        <f aca="false">IF($C20="","",SUMIFS(记账分录!$I$6:$I$5505,记账分录!$F$6:$F$5505,$A20,记账分录!$H$6:$H$5505,$C20,记账分录!$E$6:$E$5505,"&lt;="&amp;$B$4))</f>
        <v>0</v>
      </c>
      <c r="N20" s="40" t="n">
        <f aca="false">IF($C20="","",SUMIFS(记账分录!$J$6:$J$5505,记账分录!$F$6:$F$5505,$A20,记账分录!$H$6:$H$5505,$C20,记账分录!$E$6:$E$5505,"&lt;="&amp;$B$4))</f>
        <v>20000</v>
      </c>
      <c r="O20" s="42" t="n">
        <f aca="false">IF($C20="","",IF($E20="借",$M20-$N20,$N20-$M20))</f>
        <v>20000</v>
      </c>
      <c r="P20" s="64" t="str">
        <f aca="false">IF($C20="","",IF(OR(ROUND($G20,2)&lt;&gt;0,ROUND($M20,2)&lt;&gt;0,ROUND($N20,2)&lt;&gt;0),"有",""))</f>
        <v>有</v>
      </c>
    </row>
    <row r="21" customFormat="false" ht="15" hidden="false" customHeight="false" outlineLevel="0" collapsed="false">
      <c r="A21" s="25" t="str">
        <f aca="false">IF(会计科目表!$B20="","",参数设置!$A$10)</f>
        <v>农业</v>
      </c>
      <c r="B21" s="25" t="str">
        <f aca="false">IF(会计科目表!$B20="","",会计科目表!$A20)</f>
        <v>1701</v>
      </c>
      <c r="C21" s="10" t="str">
        <f aca="false">IF(会计科目表!$B20="","",会计科目表!$B20)</f>
        <v>无形资产</v>
      </c>
      <c r="D21" s="25" t="str">
        <f aca="false">IF($C21="","",会计科目表!$C20)</f>
        <v>资产</v>
      </c>
      <c r="E21" s="25" t="str">
        <f aca="false">IF($C21="","",会计科目表!$D20)</f>
        <v>借</v>
      </c>
      <c r="F21" s="10" t="str">
        <f aca="false">IF($C21="","",会计科目表!$F20)</f>
        <v>无形资产原价</v>
      </c>
      <c r="G21" s="40" t="n">
        <f aca="false">IF($C21="","",IF($E21="借",SUMIFS(期初余额!$C$6:$C$185,期初余额!$A$6:$A$185,$A21,期初余额!$B$6:$B$185,$C21)-SUMIFS(期初余额!$D$6:$D$185,期初余额!$A$6:$A$185,$A21,期初余额!$B$6:$B$185,$C21),SUMIFS(期初余额!$D$6:$D$185,期初余额!$A$6:$A$185,$A21,期初余额!$B$6:$B$185,$C21)-SUMIFS(期初余额!$C$6:$C$185,期初余额!$A$6:$A$185,$A21,期初余额!$B$6:$B$185,$C21)))</f>
        <v>1200000</v>
      </c>
      <c r="H21" s="40" t="n">
        <f aca="false">IF($C21="","",$G21+IF($E21="借",SUMIFS(记账分录!$I$6:$I$5505,记账分录!$F$6:$F$5505,$A21,记账分录!$H$6:$H$5505,$C21,记账分录!$E$6:$E$5505,"&lt;"&amp;$A$4)-SUMIFS(记账分录!$J$6:$J$5505,记账分录!$F$6:$F$5505,$A21,记账分录!$H$6:$H$5505,$C21,记账分录!$E$6:$E$5505,"&lt;"&amp;$A$4),SUMIFS(记账分录!$J$6:$J$5505,记账分录!$F$6:$F$5505,$A21,记账分录!$H$6:$H$5505,$C21,记账分录!$E$6:$E$5505,"&lt;"&amp;$A$4)-SUMIFS(记账分录!$I$6:$I$5505,记账分录!$F$6:$F$5505,$A21,记账分录!$H$6:$H$5505,$C21,记账分录!$E$6:$E$5505,"&lt;"&amp;$A$4)))</f>
        <v>1200000</v>
      </c>
      <c r="I21" s="40" t="n">
        <f aca="false">IF($C21="","",SUMIFS(记账分录!$I$6:$I$5505,记账分录!$F$6:$F$5505,$A21,记账分录!$H$6:$H$5505,$C21,记账分录!$E$6:$E$5505,"&gt;="&amp;$A$4,记账分录!$E$6:$E$5505,"&lt;="&amp;$B$4))</f>
        <v>0</v>
      </c>
      <c r="J21" s="40" t="n">
        <f aca="false">IF($C21="","",SUMIFS(记账分录!$J$6:$J$5505,记账分录!$F$6:$F$5505,$A21,记账分录!$H$6:$H$5505,$C21,记账分录!$E$6:$E$5505,"&gt;="&amp;$A$4,记账分录!$E$6:$E$5505,"&lt;="&amp;$B$4))</f>
        <v>0</v>
      </c>
      <c r="K21" s="42" t="n">
        <f aca="false">IF($C21="","",IF($E21="借",$I21-$J21,$J21-$I21))</f>
        <v>0</v>
      </c>
      <c r="L21" s="42" t="n">
        <f aca="false">IF($C21="","",ROUND($H21+$K21,2))</f>
        <v>1200000</v>
      </c>
      <c r="M21" s="40" t="n">
        <f aca="false">IF($C21="","",SUMIFS(记账分录!$I$6:$I$5505,记账分录!$F$6:$F$5505,$A21,记账分录!$H$6:$H$5505,$C21,记账分录!$E$6:$E$5505,"&lt;="&amp;$B$4))</f>
        <v>0</v>
      </c>
      <c r="N21" s="40" t="n">
        <f aca="false">IF($C21="","",SUMIFS(记账分录!$J$6:$J$5505,记账分录!$F$6:$F$5505,$A21,记账分录!$H$6:$H$5505,$C21,记账分录!$E$6:$E$5505,"&lt;="&amp;$B$4))</f>
        <v>0</v>
      </c>
      <c r="O21" s="42" t="n">
        <f aca="false">IF($C21="","",IF($E21="借",$M21-$N21,$N21-$M21))</f>
        <v>0</v>
      </c>
      <c r="P21" s="64" t="str">
        <f aca="false">IF($C21="","",IF(OR(ROUND($G21,2)&lt;&gt;0,ROUND($M21,2)&lt;&gt;0,ROUND($N21,2)&lt;&gt;0),"有",""))</f>
        <v>有</v>
      </c>
    </row>
    <row r="22" customFormat="false" ht="15" hidden="false" customHeight="false" outlineLevel="0" collapsed="false">
      <c r="A22" s="25" t="str">
        <f aca="false">IF(会计科目表!$B21="","",参数设置!$A$10)</f>
        <v>农业</v>
      </c>
      <c r="B22" s="25" t="str">
        <f aca="false">IF(会计科目表!$B21="","",会计科目表!$A21)</f>
        <v>1702</v>
      </c>
      <c r="C22" s="10" t="str">
        <f aca="false">IF(会计科目表!$B21="","",会计科目表!$B21)</f>
        <v>累计摊销</v>
      </c>
      <c r="D22" s="25" t="str">
        <f aca="false">IF($C22="","",会计科目表!$C21)</f>
        <v>资产</v>
      </c>
      <c r="E22" s="25" t="str">
        <f aca="false">IF($C22="","",会计科目表!$D21)</f>
        <v>贷</v>
      </c>
      <c r="F22" s="10" t="str">
        <f aca="false">IF($C22="","",会计科目表!$F21)</f>
        <v>累计摊销</v>
      </c>
      <c r="G22" s="40" t="n">
        <f aca="false">IF($C22="","",IF($E22="借",SUMIFS(期初余额!$C$6:$C$185,期初余额!$A$6:$A$185,$A22,期初余额!$B$6:$B$185,$C22)-SUMIFS(期初余额!$D$6:$D$185,期初余额!$A$6:$A$185,$A22,期初余额!$B$6:$B$185,$C22),SUMIFS(期初余额!$D$6:$D$185,期初余额!$A$6:$A$185,$A22,期初余额!$B$6:$B$185,$C22)-SUMIFS(期初余额!$C$6:$C$185,期初余额!$A$6:$A$185,$A22,期初余额!$B$6:$B$185,$C22)))</f>
        <v>48000</v>
      </c>
      <c r="H22" s="40" t="n">
        <f aca="false">IF($C22="","",$G22+IF($E22="借",SUMIFS(记账分录!$I$6:$I$5505,记账分录!$F$6:$F$5505,$A22,记账分录!$H$6:$H$5505,$C22,记账分录!$E$6:$E$5505,"&lt;"&amp;$A$4)-SUMIFS(记账分录!$J$6:$J$5505,记账分录!$F$6:$F$5505,$A22,记账分录!$H$6:$H$5505,$C22,记账分录!$E$6:$E$5505,"&lt;"&amp;$A$4),SUMIFS(记账分录!$J$6:$J$5505,记账分录!$F$6:$F$5505,$A22,记账分录!$H$6:$H$5505,$C22,记账分录!$E$6:$E$5505,"&lt;"&amp;$A$4)-SUMIFS(记账分录!$I$6:$I$5505,记账分录!$F$6:$F$5505,$A22,记账分录!$H$6:$H$5505,$C22,记账分录!$E$6:$E$5505,"&lt;"&amp;$A$4)))</f>
        <v>48000</v>
      </c>
      <c r="I22" s="40" t="n">
        <f aca="false">IF($C22="","",SUMIFS(记账分录!$I$6:$I$5505,记账分录!$F$6:$F$5505,$A22,记账分录!$H$6:$H$5505,$C22,记账分录!$E$6:$E$5505,"&gt;="&amp;$A$4,记账分录!$E$6:$E$5505,"&lt;="&amp;$B$4))</f>
        <v>0</v>
      </c>
      <c r="J22" s="40" t="n">
        <f aca="false">IF($C22="","",SUMIFS(记账分录!$J$6:$J$5505,记账分录!$F$6:$F$5505,$A22,记账分录!$H$6:$H$5505,$C22,记账分录!$E$6:$E$5505,"&gt;="&amp;$A$4,记账分录!$E$6:$E$5505,"&lt;="&amp;$B$4))</f>
        <v>24000</v>
      </c>
      <c r="K22" s="42" t="n">
        <f aca="false">IF($C22="","",IF($E22="借",$I22-$J22,$J22-$I22))</f>
        <v>24000</v>
      </c>
      <c r="L22" s="42" t="n">
        <f aca="false">IF($C22="","",ROUND($H22+$K22,2))</f>
        <v>72000</v>
      </c>
      <c r="M22" s="40" t="n">
        <f aca="false">IF($C22="","",SUMIFS(记账分录!$I$6:$I$5505,记账分录!$F$6:$F$5505,$A22,记账分录!$H$6:$H$5505,$C22,记账分录!$E$6:$E$5505,"&lt;="&amp;$B$4))</f>
        <v>0</v>
      </c>
      <c r="N22" s="40" t="n">
        <f aca="false">IF($C22="","",SUMIFS(记账分录!$J$6:$J$5505,记账分录!$F$6:$F$5505,$A22,记账分录!$H$6:$H$5505,$C22,记账分录!$E$6:$E$5505,"&lt;="&amp;$B$4))</f>
        <v>24000</v>
      </c>
      <c r="O22" s="42" t="n">
        <f aca="false">IF($C22="","",IF($E22="借",$M22-$N22,$N22-$M22))</f>
        <v>24000</v>
      </c>
      <c r="P22" s="64" t="str">
        <f aca="false">IF($C22="","",IF(OR(ROUND($G22,2)&lt;&gt;0,ROUND($M22,2)&lt;&gt;0,ROUND($N22,2)&lt;&gt;0),"有",""))</f>
        <v>有</v>
      </c>
    </row>
    <row r="23" customFormat="false" ht="15" hidden="false" customHeight="false" outlineLevel="0" collapsed="false">
      <c r="A23" s="25" t="str">
        <f aca="false">IF(会计科目表!$B22="","",参数设置!$A$10)</f>
        <v>农业</v>
      </c>
      <c r="B23" s="25" t="str">
        <f aca="false">IF(会计科目表!$B22="","",会计科目表!$A22)</f>
        <v>1801</v>
      </c>
      <c r="C23" s="10" t="str">
        <f aca="false">IF(会计科目表!$B22="","",会计科目表!$B22)</f>
        <v>长期待摊费用</v>
      </c>
      <c r="D23" s="25" t="str">
        <f aca="false">IF($C23="","",会计科目表!$C22)</f>
        <v>资产</v>
      </c>
      <c r="E23" s="25" t="str">
        <f aca="false">IF($C23="","",会计科目表!$D22)</f>
        <v>借</v>
      </c>
      <c r="F23" s="10" t="str">
        <f aca="false">IF($C23="","",会计科目表!$F22)</f>
        <v>长期待摊费用</v>
      </c>
      <c r="G23" s="40" t="n">
        <f aca="false">IF($C23="","",IF($E23="借",SUMIFS(期初余额!$C$6:$C$185,期初余额!$A$6:$A$185,$A23,期初余额!$B$6:$B$185,$C23)-SUMIFS(期初余额!$D$6:$D$185,期初余额!$A$6:$A$185,$A23,期初余额!$B$6:$B$185,$C23),SUMIFS(期初余额!$D$6:$D$185,期初余额!$A$6:$A$185,$A23,期初余额!$B$6:$B$185,$C23)-SUMIFS(期初余额!$C$6:$C$185,期初余额!$A$6:$A$185,$A23,期初余额!$B$6:$B$185,$C23)))</f>
        <v>0</v>
      </c>
      <c r="H23" s="40" t="n">
        <f aca="false">IF($C23="","",$G23+IF($E23="借",SUMIFS(记账分录!$I$6:$I$5505,记账分录!$F$6:$F$5505,$A23,记账分录!$H$6:$H$5505,$C23,记账分录!$E$6:$E$5505,"&lt;"&amp;$A$4)-SUMIFS(记账分录!$J$6:$J$5505,记账分录!$F$6:$F$5505,$A23,记账分录!$H$6:$H$5505,$C23,记账分录!$E$6:$E$5505,"&lt;"&amp;$A$4),SUMIFS(记账分录!$J$6:$J$5505,记账分录!$F$6:$F$5505,$A23,记账分录!$H$6:$H$5505,$C23,记账分录!$E$6:$E$5505,"&lt;"&amp;$A$4)-SUMIFS(记账分录!$I$6:$I$5505,记账分录!$F$6:$F$5505,$A23,记账分录!$H$6:$H$5505,$C23,记账分录!$E$6:$E$5505,"&lt;"&amp;$A$4)))</f>
        <v>0</v>
      </c>
      <c r="I23" s="40" t="n">
        <f aca="false">IF($C23="","",SUMIFS(记账分录!$I$6:$I$5505,记账分录!$F$6:$F$5505,$A23,记账分录!$H$6:$H$5505,$C23,记账分录!$E$6:$E$5505,"&gt;="&amp;$A$4,记账分录!$E$6:$E$5505,"&lt;="&amp;$B$4))</f>
        <v>0</v>
      </c>
      <c r="J23" s="40" t="n">
        <f aca="false">IF($C23="","",SUMIFS(记账分录!$J$6:$J$5505,记账分录!$F$6:$F$5505,$A23,记账分录!$H$6:$H$5505,$C23,记账分录!$E$6:$E$5505,"&gt;="&amp;$A$4,记账分录!$E$6:$E$5505,"&lt;="&amp;$B$4))</f>
        <v>0</v>
      </c>
      <c r="K23" s="42" t="n">
        <f aca="false">IF($C23="","",IF($E23="借",$I23-$J23,$J23-$I23))</f>
        <v>0</v>
      </c>
      <c r="L23" s="42" t="n">
        <f aca="false">IF($C23="","",ROUND($H23+$K23,2))</f>
        <v>0</v>
      </c>
      <c r="M23" s="40" t="n">
        <f aca="false">IF($C23="","",SUMIFS(记账分录!$I$6:$I$5505,记账分录!$F$6:$F$5505,$A23,记账分录!$H$6:$H$5505,$C23,记账分录!$E$6:$E$5505,"&lt;="&amp;$B$4))</f>
        <v>0</v>
      </c>
      <c r="N23" s="40" t="n">
        <f aca="false">IF($C23="","",SUMIFS(记账分录!$J$6:$J$5505,记账分录!$F$6:$F$5505,$A23,记账分录!$H$6:$H$5505,$C23,记账分录!$E$6:$E$5505,"&lt;="&amp;$B$4))</f>
        <v>0</v>
      </c>
      <c r="O23" s="42" t="n">
        <f aca="false">IF($C23="","",IF($E23="借",$M23-$N23,$N23-$M23))</f>
        <v>0</v>
      </c>
      <c r="P23" s="64" t="str">
        <f aca="false">IF($C23="","",IF(OR(ROUND($G23,2)&lt;&gt;0,ROUND($M23,2)&lt;&gt;0,ROUND($N23,2)&lt;&gt;0),"有",""))</f>
        <v/>
      </c>
    </row>
    <row r="24" customFormat="false" ht="15" hidden="false" customHeight="false" outlineLevel="0" collapsed="false">
      <c r="A24" s="25" t="str">
        <f aca="false">IF(会计科目表!$B23="","",参数设置!$A$10)</f>
        <v>农业</v>
      </c>
      <c r="B24" s="25" t="str">
        <f aca="false">IF(会计科目表!$B23="","",会计科目表!$A23)</f>
        <v>2001</v>
      </c>
      <c r="C24" s="10" t="str">
        <f aca="false">IF(会计科目表!$B23="","",会计科目表!$B23)</f>
        <v>短期借款</v>
      </c>
      <c r="D24" s="25" t="str">
        <f aca="false">IF($C24="","",会计科目表!$C23)</f>
        <v>负债</v>
      </c>
      <c r="E24" s="25" t="str">
        <f aca="false">IF($C24="","",会计科目表!$D23)</f>
        <v>贷</v>
      </c>
      <c r="F24" s="10" t="str">
        <f aca="false">IF($C24="","",会计科目表!$F23)</f>
        <v>短期借款</v>
      </c>
      <c r="G24" s="40" t="n">
        <f aca="false">IF($C24="","",IF($E24="借",SUMIFS(期初余额!$C$6:$C$185,期初余额!$A$6:$A$185,$A24,期初余额!$B$6:$B$185,$C24)-SUMIFS(期初余额!$D$6:$D$185,期初余额!$A$6:$A$185,$A24,期初余额!$B$6:$B$185,$C24),SUMIFS(期初余额!$D$6:$D$185,期初余额!$A$6:$A$185,$A24,期初余额!$B$6:$B$185,$C24)-SUMIFS(期初余额!$C$6:$C$185,期初余额!$A$6:$A$185,$A24,期初余额!$B$6:$B$185,$C24)))</f>
        <v>200000</v>
      </c>
      <c r="H24" s="40" t="n">
        <f aca="false">IF($C24="","",$G24+IF($E24="借",SUMIFS(记账分录!$I$6:$I$5505,记账分录!$F$6:$F$5505,$A24,记账分录!$H$6:$H$5505,$C24,记账分录!$E$6:$E$5505,"&lt;"&amp;$A$4)-SUMIFS(记账分录!$J$6:$J$5505,记账分录!$F$6:$F$5505,$A24,记账分录!$H$6:$H$5505,$C24,记账分录!$E$6:$E$5505,"&lt;"&amp;$A$4),SUMIFS(记账分录!$J$6:$J$5505,记账分录!$F$6:$F$5505,$A24,记账分录!$H$6:$H$5505,$C24,记账分录!$E$6:$E$5505,"&lt;"&amp;$A$4)-SUMIFS(记账分录!$I$6:$I$5505,记账分录!$F$6:$F$5505,$A24,记账分录!$H$6:$H$5505,$C24,记账分录!$E$6:$E$5505,"&lt;"&amp;$A$4)))</f>
        <v>200000</v>
      </c>
      <c r="I24" s="40" t="n">
        <f aca="false">IF($C24="","",SUMIFS(记账分录!$I$6:$I$5505,记账分录!$F$6:$F$5505,$A24,记账分录!$H$6:$H$5505,$C24,记账分录!$E$6:$E$5505,"&gt;="&amp;$A$4,记账分录!$E$6:$E$5505,"&lt;="&amp;$B$4))</f>
        <v>0</v>
      </c>
      <c r="J24" s="40" t="n">
        <f aca="false">IF($C24="","",SUMIFS(记账分录!$J$6:$J$5505,记账分录!$F$6:$F$5505,$A24,记账分录!$H$6:$H$5505,$C24,记账分录!$E$6:$E$5505,"&gt;="&amp;$A$4,记账分录!$E$6:$E$5505,"&lt;="&amp;$B$4))</f>
        <v>0</v>
      </c>
      <c r="K24" s="42" t="n">
        <f aca="false">IF($C24="","",IF($E24="借",$I24-$J24,$J24-$I24))</f>
        <v>0</v>
      </c>
      <c r="L24" s="42" t="n">
        <f aca="false">IF($C24="","",ROUND($H24+$K24,2))</f>
        <v>200000</v>
      </c>
      <c r="M24" s="40" t="n">
        <f aca="false">IF($C24="","",SUMIFS(记账分录!$I$6:$I$5505,记账分录!$F$6:$F$5505,$A24,记账分录!$H$6:$H$5505,$C24,记账分录!$E$6:$E$5505,"&lt;="&amp;$B$4))</f>
        <v>0</v>
      </c>
      <c r="N24" s="40" t="n">
        <f aca="false">IF($C24="","",SUMIFS(记账分录!$J$6:$J$5505,记账分录!$F$6:$F$5505,$A24,记账分录!$H$6:$H$5505,$C24,记账分录!$E$6:$E$5505,"&lt;="&amp;$B$4))</f>
        <v>0</v>
      </c>
      <c r="O24" s="42" t="n">
        <f aca="false">IF($C24="","",IF($E24="借",$M24-$N24,$N24-$M24))</f>
        <v>0</v>
      </c>
      <c r="P24" s="64" t="str">
        <f aca="false">IF($C24="","",IF(OR(ROUND($G24,2)&lt;&gt;0,ROUND($M24,2)&lt;&gt;0,ROUND($N24,2)&lt;&gt;0),"有",""))</f>
        <v>有</v>
      </c>
    </row>
    <row r="25" customFormat="false" ht="15" hidden="false" customHeight="false" outlineLevel="0" collapsed="false">
      <c r="A25" s="25" t="str">
        <f aca="false">IF(会计科目表!$B24="","",参数设置!$A$10)</f>
        <v>农业</v>
      </c>
      <c r="B25" s="25" t="str">
        <f aca="false">IF(会计科目表!$B24="","",会计科目表!$A24)</f>
        <v>2202</v>
      </c>
      <c r="C25" s="10" t="str">
        <f aca="false">IF(会计科目表!$B24="","",会计科目表!$B24)</f>
        <v>应付账款</v>
      </c>
      <c r="D25" s="25" t="str">
        <f aca="false">IF($C25="","",会计科目表!$C24)</f>
        <v>负债</v>
      </c>
      <c r="E25" s="25" t="str">
        <f aca="false">IF($C25="","",会计科目表!$D24)</f>
        <v>贷</v>
      </c>
      <c r="F25" s="10" t="str">
        <f aca="false">IF($C25="","",会计科目表!$F24)</f>
        <v>应付账款</v>
      </c>
      <c r="G25" s="40" t="n">
        <f aca="false">IF($C25="","",IF($E25="借",SUMIFS(期初余额!$C$6:$C$185,期初余额!$A$6:$A$185,$A25,期初余额!$B$6:$B$185,$C25)-SUMIFS(期初余额!$D$6:$D$185,期初余额!$A$6:$A$185,$A25,期初余额!$B$6:$B$185,$C25),SUMIFS(期初余额!$D$6:$D$185,期初余额!$A$6:$A$185,$A25,期初余额!$B$6:$B$185,$C25)-SUMIFS(期初余额!$C$6:$C$185,期初余额!$A$6:$A$185,$A25,期初余额!$B$6:$B$185,$C25)))</f>
        <v>35000</v>
      </c>
      <c r="H25" s="40" t="n">
        <f aca="false">IF($C25="","",$G25+IF($E25="借",SUMIFS(记账分录!$I$6:$I$5505,记账分录!$F$6:$F$5505,$A25,记账分录!$H$6:$H$5505,$C25,记账分录!$E$6:$E$5505,"&lt;"&amp;$A$4)-SUMIFS(记账分录!$J$6:$J$5505,记账分录!$F$6:$F$5505,$A25,记账分录!$H$6:$H$5505,$C25,记账分录!$E$6:$E$5505,"&lt;"&amp;$A$4),SUMIFS(记账分录!$J$6:$J$5505,记账分录!$F$6:$F$5505,$A25,记账分录!$H$6:$H$5505,$C25,记账分录!$E$6:$E$5505,"&lt;"&amp;$A$4)-SUMIFS(记账分录!$I$6:$I$5505,记账分录!$F$6:$F$5505,$A25,记账分录!$H$6:$H$5505,$C25,记账分录!$E$6:$E$5505,"&lt;"&amp;$A$4)))</f>
        <v>35000</v>
      </c>
      <c r="I25" s="40" t="n">
        <f aca="false">IF($C25="","",SUMIFS(记账分录!$I$6:$I$5505,记账分录!$F$6:$F$5505,$A25,记账分录!$H$6:$H$5505,$C25,记账分录!$E$6:$E$5505,"&gt;="&amp;$A$4,记账分录!$E$6:$E$5505,"&lt;="&amp;$B$4))</f>
        <v>42800</v>
      </c>
      <c r="J25" s="40" t="n">
        <f aca="false">IF($C25="","",SUMIFS(记账分录!$J$6:$J$5505,记账分录!$F$6:$F$5505,$A25,记账分录!$H$6:$H$5505,$C25,记账分录!$E$6:$E$5505,"&gt;="&amp;$A$4,记账分录!$E$6:$E$5505,"&lt;="&amp;$B$4))</f>
        <v>56000</v>
      </c>
      <c r="K25" s="42" t="n">
        <f aca="false">IF($C25="","",IF($E25="借",$I25-$J25,$J25-$I25))</f>
        <v>13200</v>
      </c>
      <c r="L25" s="42" t="n">
        <f aca="false">IF($C25="","",ROUND($H25+$K25,2))</f>
        <v>48200</v>
      </c>
      <c r="M25" s="40" t="n">
        <f aca="false">IF($C25="","",SUMIFS(记账分录!$I$6:$I$5505,记账分录!$F$6:$F$5505,$A25,记账分录!$H$6:$H$5505,$C25,记账分录!$E$6:$E$5505,"&lt;="&amp;$B$4))</f>
        <v>42800</v>
      </c>
      <c r="N25" s="40" t="n">
        <f aca="false">IF($C25="","",SUMIFS(记账分录!$J$6:$J$5505,记账分录!$F$6:$F$5505,$A25,记账分录!$H$6:$H$5505,$C25,记账分录!$E$6:$E$5505,"&lt;="&amp;$B$4))</f>
        <v>56000</v>
      </c>
      <c r="O25" s="42" t="n">
        <f aca="false">IF($C25="","",IF($E25="借",$M25-$N25,$N25-$M25))</f>
        <v>13200</v>
      </c>
      <c r="P25" s="64" t="str">
        <f aca="false">IF($C25="","",IF(OR(ROUND($G25,2)&lt;&gt;0,ROUND($M25,2)&lt;&gt;0,ROUND($N25,2)&lt;&gt;0),"有",""))</f>
        <v>有</v>
      </c>
    </row>
    <row r="26" customFormat="false" ht="15" hidden="false" customHeight="false" outlineLevel="0" collapsed="false">
      <c r="A26" s="25" t="str">
        <f aca="false">IF(会计科目表!$B25="","",参数设置!$A$10)</f>
        <v>农业</v>
      </c>
      <c r="B26" s="25" t="str">
        <f aca="false">IF(会计科目表!$B25="","",会计科目表!$A25)</f>
        <v>2203</v>
      </c>
      <c r="C26" s="10" t="str">
        <f aca="false">IF(会计科目表!$B25="","",会计科目表!$B25)</f>
        <v>预收账款</v>
      </c>
      <c r="D26" s="25" t="str">
        <f aca="false">IF($C26="","",会计科目表!$C25)</f>
        <v>负债</v>
      </c>
      <c r="E26" s="25" t="str">
        <f aca="false">IF($C26="","",会计科目表!$D25)</f>
        <v>贷</v>
      </c>
      <c r="F26" s="10" t="str">
        <f aca="false">IF($C26="","",会计科目表!$F25)</f>
        <v>预收款项</v>
      </c>
      <c r="G26" s="40" t="n">
        <f aca="false">IF($C26="","",IF($E26="借",SUMIFS(期初余额!$C$6:$C$185,期初余额!$A$6:$A$185,$A26,期初余额!$B$6:$B$185,$C26)-SUMIFS(期初余额!$D$6:$D$185,期初余额!$A$6:$A$185,$A26,期初余额!$B$6:$B$185,$C26),SUMIFS(期初余额!$D$6:$D$185,期初余额!$A$6:$A$185,$A26,期初余额!$B$6:$B$185,$C26)-SUMIFS(期初余额!$C$6:$C$185,期初余额!$A$6:$A$185,$A26,期初余额!$B$6:$B$185,$C26)))</f>
        <v>0</v>
      </c>
      <c r="H26" s="40" t="n">
        <f aca="false">IF($C26="","",$G26+IF($E26="借",SUMIFS(记账分录!$I$6:$I$5505,记账分录!$F$6:$F$5505,$A26,记账分录!$H$6:$H$5505,$C26,记账分录!$E$6:$E$5505,"&lt;"&amp;$A$4)-SUMIFS(记账分录!$J$6:$J$5505,记账分录!$F$6:$F$5505,$A26,记账分录!$H$6:$H$5505,$C26,记账分录!$E$6:$E$5505,"&lt;"&amp;$A$4),SUMIFS(记账分录!$J$6:$J$5505,记账分录!$F$6:$F$5505,$A26,记账分录!$H$6:$H$5505,$C26,记账分录!$E$6:$E$5505,"&lt;"&amp;$A$4)-SUMIFS(记账分录!$I$6:$I$5505,记账分录!$F$6:$F$5505,$A26,记账分录!$H$6:$H$5505,$C26,记账分录!$E$6:$E$5505,"&lt;"&amp;$A$4)))</f>
        <v>0</v>
      </c>
      <c r="I26" s="40" t="n">
        <f aca="false">IF($C26="","",SUMIFS(记账分录!$I$6:$I$5505,记账分录!$F$6:$F$5505,$A26,记账分录!$H$6:$H$5505,$C26,记账分录!$E$6:$E$5505,"&gt;="&amp;$A$4,记账分录!$E$6:$E$5505,"&lt;="&amp;$B$4))</f>
        <v>0</v>
      </c>
      <c r="J26" s="40" t="n">
        <f aca="false">IF($C26="","",SUMIFS(记账分录!$J$6:$J$5505,记账分录!$F$6:$F$5505,$A26,记账分录!$H$6:$H$5505,$C26,记账分录!$E$6:$E$5505,"&gt;="&amp;$A$4,记账分录!$E$6:$E$5505,"&lt;="&amp;$B$4))</f>
        <v>0</v>
      </c>
      <c r="K26" s="42" t="n">
        <f aca="false">IF($C26="","",IF($E26="借",$I26-$J26,$J26-$I26))</f>
        <v>0</v>
      </c>
      <c r="L26" s="42" t="n">
        <f aca="false">IF($C26="","",ROUND($H26+$K26,2))</f>
        <v>0</v>
      </c>
      <c r="M26" s="40" t="n">
        <f aca="false">IF($C26="","",SUMIFS(记账分录!$I$6:$I$5505,记账分录!$F$6:$F$5505,$A26,记账分录!$H$6:$H$5505,$C26,记账分录!$E$6:$E$5505,"&lt;="&amp;$B$4))</f>
        <v>0</v>
      </c>
      <c r="N26" s="40" t="n">
        <f aca="false">IF($C26="","",SUMIFS(记账分录!$J$6:$J$5505,记账分录!$F$6:$F$5505,$A26,记账分录!$H$6:$H$5505,$C26,记账分录!$E$6:$E$5505,"&lt;="&amp;$B$4))</f>
        <v>0</v>
      </c>
      <c r="O26" s="42" t="n">
        <f aca="false">IF($C26="","",IF($E26="借",$M26-$N26,$N26-$M26))</f>
        <v>0</v>
      </c>
      <c r="P26" s="64" t="str">
        <f aca="false">IF($C26="","",IF(OR(ROUND($G26,2)&lt;&gt;0,ROUND($M26,2)&lt;&gt;0,ROUND($N26,2)&lt;&gt;0),"有",""))</f>
        <v/>
      </c>
    </row>
    <row r="27" customFormat="false" ht="15" hidden="false" customHeight="false" outlineLevel="0" collapsed="false">
      <c r="A27" s="25" t="str">
        <f aca="false">IF(会计科目表!$B26="","",参数设置!$A$10)</f>
        <v>农业</v>
      </c>
      <c r="B27" s="25" t="str">
        <f aca="false">IF(会计科目表!$B26="","",会计科目表!$A26)</f>
        <v>2211</v>
      </c>
      <c r="C27" s="10" t="str">
        <f aca="false">IF(会计科目表!$B26="","",会计科目表!$B26)</f>
        <v>应付职工薪酬</v>
      </c>
      <c r="D27" s="25" t="str">
        <f aca="false">IF($C27="","",会计科目表!$C26)</f>
        <v>负债</v>
      </c>
      <c r="E27" s="25" t="str">
        <f aca="false">IF($C27="","",会计科目表!$D26)</f>
        <v>贷</v>
      </c>
      <c r="F27" s="10" t="str">
        <f aca="false">IF($C27="","",会计科目表!$F26)</f>
        <v>应付职工薪酬</v>
      </c>
      <c r="G27" s="40" t="n">
        <f aca="false">IF($C27="","",IF($E27="借",SUMIFS(期初余额!$C$6:$C$185,期初余额!$A$6:$A$185,$A27,期初余额!$B$6:$B$185,$C27)-SUMIFS(期初余额!$D$6:$D$185,期初余额!$A$6:$A$185,$A27,期初余额!$B$6:$B$185,$C27),SUMIFS(期初余额!$D$6:$D$185,期初余额!$A$6:$A$185,$A27,期初余额!$B$6:$B$185,$C27)-SUMIFS(期初余额!$C$6:$C$185,期初余额!$A$6:$A$185,$A27,期初余额!$B$6:$B$185,$C27)))</f>
        <v>0</v>
      </c>
      <c r="H27" s="40" t="n">
        <f aca="false">IF($C27="","",$G27+IF($E27="借",SUMIFS(记账分录!$I$6:$I$5505,记账分录!$F$6:$F$5505,$A27,记账分录!$H$6:$H$5505,$C27,记账分录!$E$6:$E$5505,"&lt;"&amp;$A$4)-SUMIFS(记账分录!$J$6:$J$5505,记账分录!$F$6:$F$5505,$A27,记账分录!$H$6:$H$5505,$C27,记账分录!$E$6:$E$5505,"&lt;"&amp;$A$4),SUMIFS(记账分录!$J$6:$J$5505,记账分录!$F$6:$F$5505,$A27,记账分录!$H$6:$H$5505,$C27,记账分录!$E$6:$E$5505,"&lt;"&amp;$A$4)-SUMIFS(记账分录!$I$6:$I$5505,记账分录!$F$6:$F$5505,$A27,记账分录!$H$6:$H$5505,$C27,记账分录!$E$6:$E$5505,"&lt;"&amp;$A$4)))</f>
        <v>0</v>
      </c>
      <c r="I27" s="40" t="n">
        <f aca="false">IF($C27="","",SUMIFS(记账分录!$I$6:$I$5505,记账分录!$F$6:$F$5505,$A27,记账分录!$H$6:$H$5505,$C27,记账分录!$E$6:$E$5505,"&gt;="&amp;$A$4,记账分录!$E$6:$E$5505,"&lt;="&amp;$B$4))</f>
        <v>68000</v>
      </c>
      <c r="J27" s="40" t="n">
        <f aca="false">IF($C27="","",SUMIFS(记账分录!$J$6:$J$5505,记账分录!$F$6:$F$5505,$A27,记账分录!$H$6:$H$5505,$C27,记账分录!$E$6:$E$5505,"&gt;="&amp;$A$4,记账分录!$E$6:$E$5505,"&lt;="&amp;$B$4))</f>
        <v>136000</v>
      </c>
      <c r="K27" s="42" t="n">
        <f aca="false">IF($C27="","",IF($E27="借",$I27-$J27,$J27-$I27))</f>
        <v>68000</v>
      </c>
      <c r="L27" s="42" t="n">
        <f aca="false">IF($C27="","",ROUND($H27+$K27,2))</f>
        <v>68000</v>
      </c>
      <c r="M27" s="40" t="n">
        <f aca="false">IF($C27="","",SUMIFS(记账分录!$I$6:$I$5505,记账分录!$F$6:$F$5505,$A27,记账分录!$H$6:$H$5505,$C27,记账分录!$E$6:$E$5505,"&lt;="&amp;$B$4))</f>
        <v>68000</v>
      </c>
      <c r="N27" s="40" t="n">
        <f aca="false">IF($C27="","",SUMIFS(记账分录!$J$6:$J$5505,记账分录!$F$6:$F$5505,$A27,记账分录!$H$6:$H$5505,$C27,记账分录!$E$6:$E$5505,"&lt;="&amp;$B$4))</f>
        <v>136000</v>
      </c>
      <c r="O27" s="42" t="n">
        <f aca="false">IF($C27="","",IF($E27="借",$M27-$N27,$N27-$M27))</f>
        <v>68000</v>
      </c>
      <c r="P27" s="64" t="str">
        <f aca="false">IF($C27="","",IF(OR(ROUND($G27,2)&lt;&gt;0,ROUND($M27,2)&lt;&gt;0,ROUND($N27,2)&lt;&gt;0),"有",""))</f>
        <v>有</v>
      </c>
    </row>
    <row r="28" customFormat="false" ht="15" hidden="false" customHeight="false" outlineLevel="0" collapsed="false">
      <c r="A28" s="25" t="str">
        <f aca="false">IF(会计科目表!$B27="","",参数设置!$A$10)</f>
        <v>农业</v>
      </c>
      <c r="B28" s="25" t="str">
        <f aca="false">IF(会计科目表!$B27="","",会计科目表!$A27)</f>
        <v>2221</v>
      </c>
      <c r="C28" s="10" t="str">
        <f aca="false">IF(会计科目表!$B27="","",会计科目表!$B27)</f>
        <v>应交税费</v>
      </c>
      <c r="D28" s="25" t="str">
        <f aca="false">IF($C28="","",会计科目表!$C27)</f>
        <v>负债</v>
      </c>
      <c r="E28" s="25" t="str">
        <f aca="false">IF($C28="","",会计科目表!$D27)</f>
        <v>贷</v>
      </c>
      <c r="F28" s="10" t="str">
        <f aca="false">IF($C28="","",会计科目表!$F27)</f>
        <v>应交税费</v>
      </c>
      <c r="G28" s="40" t="n">
        <f aca="false">IF($C28="","",IF($E28="借",SUMIFS(期初余额!$C$6:$C$185,期初余额!$A$6:$A$185,$A28,期初余额!$B$6:$B$185,$C28)-SUMIFS(期初余额!$D$6:$D$185,期初余额!$A$6:$A$185,$A28,期初余额!$B$6:$B$185,$C28),SUMIFS(期初余额!$D$6:$D$185,期初余额!$A$6:$A$185,$A28,期初余额!$B$6:$B$185,$C28)-SUMIFS(期初余额!$C$6:$C$185,期初余额!$A$6:$A$185,$A28,期初余额!$B$6:$B$185,$C28)))</f>
        <v>0</v>
      </c>
      <c r="H28" s="40" t="n">
        <f aca="false">IF($C28="","",$G28+IF($E28="借",SUMIFS(记账分录!$I$6:$I$5505,记账分录!$F$6:$F$5505,$A28,记账分录!$H$6:$H$5505,$C28,记账分录!$E$6:$E$5505,"&lt;"&amp;$A$4)-SUMIFS(记账分录!$J$6:$J$5505,记账分录!$F$6:$F$5505,$A28,记账分录!$H$6:$H$5505,$C28,记账分录!$E$6:$E$5505,"&lt;"&amp;$A$4),SUMIFS(记账分录!$J$6:$J$5505,记账分录!$F$6:$F$5505,$A28,记账分录!$H$6:$H$5505,$C28,记账分录!$E$6:$E$5505,"&lt;"&amp;$A$4)-SUMIFS(记账分录!$I$6:$I$5505,记账分录!$F$6:$F$5505,$A28,记账分录!$H$6:$H$5505,$C28,记账分录!$E$6:$E$5505,"&lt;"&amp;$A$4)))</f>
        <v>0</v>
      </c>
      <c r="I28" s="40" t="n">
        <f aca="false">IF($C28="","",SUMIFS(记账分录!$I$6:$I$5505,记账分录!$F$6:$F$5505,$A28,记账分录!$H$6:$H$5505,$C28,记账分录!$E$6:$E$5505,"&gt;="&amp;$A$4,记账分录!$E$6:$E$5505,"&lt;="&amp;$B$4))</f>
        <v>0</v>
      </c>
      <c r="J28" s="40" t="n">
        <f aca="false">IF($C28="","",SUMIFS(记账分录!$J$6:$J$5505,记账分录!$F$6:$F$5505,$A28,记账分录!$H$6:$H$5505,$C28,记账分录!$E$6:$E$5505,"&gt;="&amp;$A$4,记账分录!$E$6:$E$5505,"&lt;="&amp;$B$4))</f>
        <v>0</v>
      </c>
      <c r="K28" s="42" t="n">
        <f aca="false">IF($C28="","",IF($E28="借",$I28-$J28,$J28-$I28))</f>
        <v>0</v>
      </c>
      <c r="L28" s="42" t="n">
        <f aca="false">IF($C28="","",ROUND($H28+$K28,2))</f>
        <v>0</v>
      </c>
      <c r="M28" s="40" t="n">
        <f aca="false">IF($C28="","",SUMIFS(记账分录!$I$6:$I$5505,记账分录!$F$6:$F$5505,$A28,记账分录!$H$6:$H$5505,$C28,记账分录!$E$6:$E$5505,"&lt;="&amp;$B$4))</f>
        <v>0</v>
      </c>
      <c r="N28" s="40" t="n">
        <f aca="false">IF($C28="","",SUMIFS(记账分录!$J$6:$J$5505,记账分录!$F$6:$F$5505,$A28,记账分录!$H$6:$H$5505,$C28,记账分录!$E$6:$E$5505,"&lt;="&amp;$B$4))</f>
        <v>0</v>
      </c>
      <c r="O28" s="42" t="n">
        <f aca="false">IF($C28="","",IF($E28="借",$M28-$N28,$N28-$M28))</f>
        <v>0</v>
      </c>
      <c r="P28" s="64" t="str">
        <f aca="false">IF($C28="","",IF(OR(ROUND($G28,2)&lt;&gt;0,ROUND($M28,2)&lt;&gt;0,ROUND($N28,2)&lt;&gt;0),"有",""))</f>
        <v/>
      </c>
    </row>
    <row r="29" customFormat="false" ht="15" hidden="false" customHeight="false" outlineLevel="0" collapsed="false">
      <c r="A29" s="25" t="str">
        <f aca="false">IF(会计科目表!$B28="","",参数设置!$A$10)</f>
        <v>农业</v>
      </c>
      <c r="B29" s="25" t="str">
        <f aca="false">IF(会计科目表!$B28="","",会计科目表!$A28)</f>
        <v>2241</v>
      </c>
      <c r="C29" s="10" t="str">
        <f aca="false">IF(会计科目表!$B28="","",会计科目表!$B28)</f>
        <v>其他应付款</v>
      </c>
      <c r="D29" s="25" t="str">
        <f aca="false">IF($C29="","",会计科目表!$C28)</f>
        <v>负债</v>
      </c>
      <c r="E29" s="25" t="str">
        <f aca="false">IF($C29="","",会计科目表!$D28)</f>
        <v>贷</v>
      </c>
      <c r="F29" s="10" t="str">
        <f aca="false">IF($C29="","",会计科目表!$F28)</f>
        <v>其他应付款</v>
      </c>
      <c r="G29" s="40" t="n">
        <f aca="false">IF($C29="","",IF($E29="借",SUMIFS(期初余额!$C$6:$C$185,期初余额!$A$6:$A$185,$A29,期初余额!$B$6:$B$185,$C29)-SUMIFS(期初余额!$D$6:$D$185,期初余额!$A$6:$A$185,$A29,期初余额!$B$6:$B$185,$C29),SUMIFS(期初余额!$D$6:$D$185,期初余额!$A$6:$A$185,$A29,期初余额!$B$6:$B$185,$C29)-SUMIFS(期初余额!$C$6:$C$185,期初余额!$A$6:$A$185,$A29,期初余额!$B$6:$B$185,$C29)))</f>
        <v>0</v>
      </c>
      <c r="H29" s="40" t="n">
        <f aca="false">IF($C29="","",$G29+IF($E29="借",SUMIFS(记账分录!$I$6:$I$5505,记账分录!$F$6:$F$5505,$A29,记账分录!$H$6:$H$5505,$C29,记账分录!$E$6:$E$5505,"&lt;"&amp;$A$4)-SUMIFS(记账分录!$J$6:$J$5505,记账分录!$F$6:$F$5505,$A29,记账分录!$H$6:$H$5505,$C29,记账分录!$E$6:$E$5505,"&lt;"&amp;$A$4),SUMIFS(记账分录!$J$6:$J$5505,记账分录!$F$6:$F$5505,$A29,记账分录!$H$6:$H$5505,$C29,记账分录!$E$6:$E$5505,"&lt;"&amp;$A$4)-SUMIFS(记账分录!$I$6:$I$5505,记账分录!$F$6:$F$5505,$A29,记账分录!$H$6:$H$5505,$C29,记账分录!$E$6:$E$5505,"&lt;"&amp;$A$4)))</f>
        <v>0</v>
      </c>
      <c r="I29" s="40" t="n">
        <f aca="false">IF($C29="","",SUMIFS(记账分录!$I$6:$I$5505,记账分录!$F$6:$F$5505,$A29,记账分录!$H$6:$H$5505,$C29,记账分录!$E$6:$E$5505,"&gt;="&amp;$A$4,记账分录!$E$6:$E$5505,"&lt;="&amp;$B$4))</f>
        <v>0</v>
      </c>
      <c r="J29" s="40" t="n">
        <f aca="false">IF($C29="","",SUMIFS(记账分录!$J$6:$J$5505,记账分录!$F$6:$F$5505,$A29,记账分录!$H$6:$H$5505,$C29,记账分录!$E$6:$E$5505,"&gt;="&amp;$A$4,记账分录!$E$6:$E$5505,"&lt;="&amp;$B$4))</f>
        <v>12000</v>
      </c>
      <c r="K29" s="42" t="n">
        <f aca="false">IF($C29="","",IF($E29="借",$I29-$J29,$J29-$I29))</f>
        <v>12000</v>
      </c>
      <c r="L29" s="42" t="n">
        <f aca="false">IF($C29="","",ROUND($H29+$K29,2))</f>
        <v>12000</v>
      </c>
      <c r="M29" s="40" t="n">
        <f aca="false">IF($C29="","",SUMIFS(记账分录!$I$6:$I$5505,记账分录!$F$6:$F$5505,$A29,记账分录!$H$6:$H$5505,$C29,记账分录!$E$6:$E$5505,"&lt;="&amp;$B$4))</f>
        <v>0</v>
      </c>
      <c r="N29" s="40" t="n">
        <f aca="false">IF($C29="","",SUMIFS(记账分录!$J$6:$J$5505,记账分录!$F$6:$F$5505,$A29,记账分录!$H$6:$H$5505,$C29,记账分录!$E$6:$E$5505,"&lt;="&amp;$B$4))</f>
        <v>12000</v>
      </c>
      <c r="O29" s="42" t="n">
        <f aca="false">IF($C29="","",IF($E29="借",$M29-$N29,$N29-$M29))</f>
        <v>12000</v>
      </c>
      <c r="P29" s="64" t="str">
        <f aca="false">IF($C29="","",IF(OR(ROUND($G29,2)&lt;&gt;0,ROUND($M29,2)&lt;&gt;0,ROUND($N29,2)&lt;&gt;0),"有",""))</f>
        <v>有</v>
      </c>
    </row>
    <row r="30" customFormat="false" ht="15" hidden="false" customHeight="false" outlineLevel="0" collapsed="false">
      <c r="A30" s="25" t="str">
        <f aca="false">IF(会计科目表!$B29="","",参数设置!$A$10)</f>
        <v>农业</v>
      </c>
      <c r="B30" s="25" t="str">
        <f aca="false">IF(会计科目表!$B29="","",会计科目表!$A29)</f>
        <v>2501</v>
      </c>
      <c r="C30" s="10" t="str">
        <f aca="false">IF(会计科目表!$B29="","",会计科目表!$B29)</f>
        <v>长期借款</v>
      </c>
      <c r="D30" s="25" t="str">
        <f aca="false">IF($C30="","",会计科目表!$C29)</f>
        <v>负债</v>
      </c>
      <c r="E30" s="25" t="str">
        <f aca="false">IF($C30="","",会计科目表!$D29)</f>
        <v>贷</v>
      </c>
      <c r="F30" s="10" t="str">
        <f aca="false">IF($C30="","",会计科目表!$F29)</f>
        <v>长期借款</v>
      </c>
      <c r="G30" s="40" t="n">
        <f aca="false">IF($C30="","",IF($E30="借",SUMIFS(期初余额!$C$6:$C$185,期初余额!$A$6:$A$185,$A30,期初余额!$B$6:$B$185,$C30)-SUMIFS(期初余额!$D$6:$D$185,期初余额!$A$6:$A$185,$A30,期初余额!$B$6:$B$185,$C30),SUMIFS(期初余额!$D$6:$D$185,期初余额!$A$6:$A$185,$A30,期初余额!$B$6:$B$185,$C30)-SUMIFS(期初余额!$C$6:$C$185,期初余额!$A$6:$A$185,$A30,期初余额!$B$6:$B$185,$C30)))</f>
        <v>0</v>
      </c>
      <c r="H30" s="40" t="n">
        <f aca="false">IF($C30="","",$G30+IF($E30="借",SUMIFS(记账分录!$I$6:$I$5505,记账分录!$F$6:$F$5505,$A30,记账分录!$H$6:$H$5505,$C30,记账分录!$E$6:$E$5505,"&lt;"&amp;$A$4)-SUMIFS(记账分录!$J$6:$J$5505,记账分录!$F$6:$F$5505,$A30,记账分录!$H$6:$H$5505,$C30,记账分录!$E$6:$E$5505,"&lt;"&amp;$A$4),SUMIFS(记账分录!$J$6:$J$5505,记账分录!$F$6:$F$5505,$A30,记账分录!$H$6:$H$5505,$C30,记账分录!$E$6:$E$5505,"&lt;"&amp;$A$4)-SUMIFS(记账分录!$I$6:$I$5505,记账分录!$F$6:$F$5505,$A30,记账分录!$H$6:$H$5505,$C30,记账分录!$E$6:$E$5505,"&lt;"&amp;$A$4)))</f>
        <v>0</v>
      </c>
      <c r="I30" s="40" t="n">
        <f aca="false">IF($C30="","",SUMIFS(记账分录!$I$6:$I$5505,记账分录!$F$6:$F$5505,$A30,记账分录!$H$6:$H$5505,$C30,记账分录!$E$6:$E$5505,"&gt;="&amp;$A$4,记账分录!$E$6:$E$5505,"&lt;="&amp;$B$4))</f>
        <v>0</v>
      </c>
      <c r="J30" s="40" t="n">
        <f aca="false">IF($C30="","",SUMIFS(记账分录!$J$6:$J$5505,记账分录!$F$6:$F$5505,$A30,记账分录!$H$6:$H$5505,$C30,记账分录!$E$6:$E$5505,"&gt;="&amp;$A$4,记账分录!$E$6:$E$5505,"&lt;="&amp;$B$4))</f>
        <v>0</v>
      </c>
      <c r="K30" s="42" t="n">
        <f aca="false">IF($C30="","",IF($E30="借",$I30-$J30,$J30-$I30))</f>
        <v>0</v>
      </c>
      <c r="L30" s="42" t="n">
        <f aca="false">IF($C30="","",ROUND($H30+$K30,2))</f>
        <v>0</v>
      </c>
      <c r="M30" s="40" t="n">
        <f aca="false">IF($C30="","",SUMIFS(记账分录!$I$6:$I$5505,记账分录!$F$6:$F$5505,$A30,记账分录!$H$6:$H$5505,$C30,记账分录!$E$6:$E$5505,"&lt;="&amp;$B$4))</f>
        <v>0</v>
      </c>
      <c r="N30" s="40" t="n">
        <f aca="false">IF($C30="","",SUMIFS(记账分录!$J$6:$J$5505,记账分录!$F$6:$F$5505,$A30,记账分录!$H$6:$H$5505,$C30,记账分录!$E$6:$E$5505,"&lt;="&amp;$B$4))</f>
        <v>0</v>
      </c>
      <c r="O30" s="42" t="n">
        <f aca="false">IF($C30="","",IF($E30="借",$M30-$N30,$N30-$M30))</f>
        <v>0</v>
      </c>
      <c r="P30" s="64" t="str">
        <f aca="false">IF($C30="","",IF(OR(ROUND($G30,2)&lt;&gt;0,ROUND($M30,2)&lt;&gt;0,ROUND($N30,2)&lt;&gt;0),"有",""))</f>
        <v/>
      </c>
    </row>
    <row r="31" customFormat="false" ht="15" hidden="false" customHeight="false" outlineLevel="0" collapsed="false">
      <c r="A31" s="25" t="str">
        <f aca="false">IF(会计科目表!$B30="","",参数设置!$A$10)</f>
        <v>农业</v>
      </c>
      <c r="B31" s="25" t="str">
        <f aca="false">IF(会计科目表!$B30="","",会计科目表!$A30)</f>
        <v>4001</v>
      </c>
      <c r="C31" s="10" t="str">
        <f aca="false">IF(会计科目表!$B30="","",会计科目表!$B30)</f>
        <v>实收资本</v>
      </c>
      <c r="D31" s="25" t="str">
        <f aca="false">IF($C31="","",会计科目表!$C30)</f>
        <v>权益</v>
      </c>
      <c r="E31" s="25" t="str">
        <f aca="false">IF($C31="","",会计科目表!$D30)</f>
        <v>贷</v>
      </c>
      <c r="F31" s="10" t="str">
        <f aca="false">IF($C31="","",会计科目表!$F30)</f>
        <v>实收资本</v>
      </c>
      <c r="G31" s="40" t="n">
        <f aca="false">IF($C31="","",IF($E31="借",SUMIFS(期初余额!$C$6:$C$185,期初余额!$A$6:$A$185,$A31,期初余额!$B$6:$B$185,$C31)-SUMIFS(期初余额!$D$6:$D$185,期初余额!$A$6:$A$185,$A31,期初余额!$B$6:$B$185,$C31),SUMIFS(期初余额!$D$6:$D$185,期初余额!$A$6:$A$185,$A31,期初余额!$B$6:$B$185,$C31)-SUMIFS(期初余额!$C$6:$C$185,期初余额!$A$6:$A$185,$A31,期初余额!$B$6:$B$185,$C31)))</f>
        <v>1800000</v>
      </c>
      <c r="H31" s="40" t="n">
        <f aca="false">IF($C31="","",$G31+IF($E31="借",SUMIFS(记账分录!$I$6:$I$5505,记账分录!$F$6:$F$5505,$A31,记账分录!$H$6:$H$5505,$C31,记账分录!$E$6:$E$5505,"&lt;"&amp;$A$4)-SUMIFS(记账分录!$J$6:$J$5505,记账分录!$F$6:$F$5505,$A31,记账分录!$H$6:$H$5505,$C31,记账分录!$E$6:$E$5505,"&lt;"&amp;$A$4),SUMIFS(记账分录!$J$6:$J$5505,记账分录!$F$6:$F$5505,$A31,记账分录!$H$6:$H$5505,$C31,记账分录!$E$6:$E$5505,"&lt;"&amp;$A$4)-SUMIFS(记账分录!$I$6:$I$5505,记账分录!$F$6:$F$5505,$A31,记账分录!$H$6:$H$5505,$C31,记账分录!$E$6:$E$5505,"&lt;"&amp;$A$4)))</f>
        <v>1800000</v>
      </c>
      <c r="I31" s="40" t="n">
        <f aca="false">IF($C31="","",SUMIFS(记账分录!$I$6:$I$5505,记账分录!$F$6:$F$5505,$A31,记账分录!$H$6:$H$5505,$C31,记账分录!$E$6:$E$5505,"&gt;="&amp;$A$4,记账分录!$E$6:$E$5505,"&lt;="&amp;$B$4))</f>
        <v>0</v>
      </c>
      <c r="J31" s="40" t="n">
        <f aca="false">IF($C31="","",SUMIFS(记账分录!$J$6:$J$5505,记账分录!$F$6:$F$5505,$A31,记账分录!$H$6:$H$5505,$C31,记账分录!$E$6:$E$5505,"&gt;="&amp;$A$4,记账分录!$E$6:$E$5505,"&lt;="&amp;$B$4))</f>
        <v>0</v>
      </c>
      <c r="K31" s="42" t="n">
        <f aca="false">IF($C31="","",IF($E31="借",$I31-$J31,$J31-$I31))</f>
        <v>0</v>
      </c>
      <c r="L31" s="42" t="n">
        <f aca="false">IF($C31="","",ROUND($H31+$K31,2))</f>
        <v>1800000</v>
      </c>
      <c r="M31" s="40" t="n">
        <f aca="false">IF($C31="","",SUMIFS(记账分录!$I$6:$I$5505,记账分录!$F$6:$F$5505,$A31,记账分录!$H$6:$H$5505,$C31,记账分录!$E$6:$E$5505,"&lt;="&amp;$B$4))</f>
        <v>0</v>
      </c>
      <c r="N31" s="40" t="n">
        <f aca="false">IF($C31="","",SUMIFS(记账分录!$J$6:$J$5505,记账分录!$F$6:$F$5505,$A31,记账分录!$H$6:$H$5505,$C31,记账分录!$E$6:$E$5505,"&lt;="&amp;$B$4))</f>
        <v>0</v>
      </c>
      <c r="O31" s="42" t="n">
        <f aca="false">IF($C31="","",IF($E31="借",$M31-$N31,$N31-$M31))</f>
        <v>0</v>
      </c>
      <c r="P31" s="64" t="str">
        <f aca="false">IF($C31="","",IF(OR(ROUND($G31,2)&lt;&gt;0,ROUND($M31,2)&lt;&gt;0,ROUND($N31,2)&lt;&gt;0),"有",""))</f>
        <v>有</v>
      </c>
    </row>
    <row r="32" customFormat="false" ht="15" hidden="false" customHeight="false" outlineLevel="0" collapsed="false">
      <c r="A32" s="25" t="str">
        <f aca="false">IF(会计科目表!$B31="","",参数设置!$A$10)</f>
        <v>农业</v>
      </c>
      <c r="B32" s="25" t="str">
        <f aca="false">IF(会计科目表!$B31="","",会计科目表!$A31)</f>
        <v>4002</v>
      </c>
      <c r="C32" s="10" t="str">
        <f aca="false">IF(会计科目表!$B31="","",会计科目表!$B31)</f>
        <v>资本公积</v>
      </c>
      <c r="D32" s="25" t="str">
        <f aca="false">IF($C32="","",会计科目表!$C31)</f>
        <v>权益</v>
      </c>
      <c r="E32" s="25" t="str">
        <f aca="false">IF($C32="","",会计科目表!$D31)</f>
        <v>贷</v>
      </c>
      <c r="F32" s="10" t="str">
        <f aca="false">IF($C32="","",会计科目表!$F31)</f>
        <v>资本公积</v>
      </c>
      <c r="G32" s="40" t="n">
        <f aca="false">IF($C32="","",IF($E32="借",SUMIFS(期初余额!$C$6:$C$185,期初余额!$A$6:$A$185,$A32,期初余额!$B$6:$B$185,$C32)-SUMIFS(期初余额!$D$6:$D$185,期初余额!$A$6:$A$185,$A32,期初余额!$B$6:$B$185,$C32),SUMIFS(期初余额!$D$6:$D$185,期初余额!$A$6:$A$185,$A32,期初余额!$B$6:$B$185,$C32)-SUMIFS(期初余额!$C$6:$C$185,期初余额!$A$6:$A$185,$A32,期初余额!$B$6:$B$185,$C32)))</f>
        <v>0</v>
      </c>
      <c r="H32" s="40" t="n">
        <f aca="false">IF($C32="","",$G32+IF($E32="借",SUMIFS(记账分录!$I$6:$I$5505,记账分录!$F$6:$F$5505,$A32,记账分录!$H$6:$H$5505,$C32,记账分录!$E$6:$E$5505,"&lt;"&amp;$A$4)-SUMIFS(记账分录!$J$6:$J$5505,记账分录!$F$6:$F$5505,$A32,记账分录!$H$6:$H$5505,$C32,记账分录!$E$6:$E$5505,"&lt;"&amp;$A$4),SUMIFS(记账分录!$J$6:$J$5505,记账分录!$F$6:$F$5505,$A32,记账分录!$H$6:$H$5505,$C32,记账分录!$E$6:$E$5505,"&lt;"&amp;$A$4)-SUMIFS(记账分录!$I$6:$I$5505,记账分录!$F$6:$F$5505,$A32,记账分录!$H$6:$H$5505,$C32,记账分录!$E$6:$E$5505,"&lt;"&amp;$A$4)))</f>
        <v>0</v>
      </c>
      <c r="I32" s="40" t="n">
        <f aca="false">IF($C32="","",SUMIFS(记账分录!$I$6:$I$5505,记账分录!$F$6:$F$5505,$A32,记账分录!$H$6:$H$5505,$C32,记账分录!$E$6:$E$5505,"&gt;="&amp;$A$4,记账分录!$E$6:$E$5505,"&lt;="&amp;$B$4))</f>
        <v>0</v>
      </c>
      <c r="J32" s="40" t="n">
        <f aca="false">IF($C32="","",SUMIFS(记账分录!$J$6:$J$5505,记账分录!$F$6:$F$5505,$A32,记账分录!$H$6:$H$5505,$C32,记账分录!$E$6:$E$5505,"&gt;="&amp;$A$4,记账分录!$E$6:$E$5505,"&lt;="&amp;$B$4))</f>
        <v>0</v>
      </c>
      <c r="K32" s="42" t="n">
        <f aca="false">IF($C32="","",IF($E32="借",$I32-$J32,$J32-$I32))</f>
        <v>0</v>
      </c>
      <c r="L32" s="42" t="n">
        <f aca="false">IF($C32="","",ROUND($H32+$K32,2))</f>
        <v>0</v>
      </c>
      <c r="M32" s="40" t="n">
        <f aca="false">IF($C32="","",SUMIFS(记账分录!$I$6:$I$5505,记账分录!$F$6:$F$5505,$A32,记账分录!$H$6:$H$5505,$C32,记账分录!$E$6:$E$5505,"&lt;="&amp;$B$4))</f>
        <v>0</v>
      </c>
      <c r="N32" s="40" t="n">
        <f aca="false">IF($C32="","",SUMIFS(记账分录!$J$6:$J$5505,记账分录!$F$6:$F$5505,$A32,记账分录!$H$6:$H$5505,$C32,记账分录!$E$6:$E$5505,"&lt;="&amp;$B$4))</f>
        <v>0</v>
      </c>
      <c r="O32" s="42" t="n">
        <f aca="false">IF($C32="","",IF($E32="借",$M32-$N32,$N32-$M32))</f>
        <v>0</v>
      </c>
      <c r="P32" s="64" t="str">
        <f aca="false">IF($C32="","",IF(OR(ROUND($G32,2)&lt;&gt;0,ROUND($M32,2)&lt;&gt;0,ROUND($N32,2)&lt;&gt;0),"有",""))</f>
        <v/>
      </c>
    </row>
    <row r="33" customFormat="false" ht="15" hidden="false" customHeight="false" outlineLevel="0" collapsed="false">
      <c r="A33" s="25" t="str">
        <f aca="false">IF(会计科目表!$B32="","",参数设置!$A$10)</f>
        <v>农业</v>
      </c>
      <c r="B33" s="25" t="str">
        <f aca="false">IF(会计科目表!$B32="","",会计科目表!$A32)</f>
        <v>4101</v>
      </c>
      <c r="C33" s="10" t="str">
        <f aca="false">IF(会计科目表!$B32="","",会计科目表!$B32)</f>
        <v>盈余公积</v>
      </c>
      <c r="D33" s="25" t="str">
        <f aca="false">IF($C33="","",会计科目表!$C32)</f>
        <v>权益</v>
      </c>
      <c r="E33" s="25" t="str">
        <f aca="false">IF($C33="","",会计科目表!$D32)</f>
        <v>贷</v>
      </c>
      <c r="F33" s="10" t="str">
        <f aca="false">IF($C33="","",会计科目表!$F32)</f>
        <v>盈余公积</v>
      </c>
      <c r="G33" s="40" t="n">
        <f aca="false">IF($C33="","",IF($E33="借",SUMIFS(期初余额!$C$6:$C$185,期初余额!$A$6:$A$185,$A33,期初余额!$B$6:$B$185,$C33)-SUMIFS(期初余额!$D$6:$D$185,期初余额!$A$6:$A$185,$A33,期初余额!$B$6:$B$185,$C33),SUMIFS(期初余额!$D$6:$D$185,期初余额!$A$6:$A$185,$A33,期初余额!$B$6:$B$185,$C33)-SUMIFS(期初余额!$C$6:$C$185,期初余额!$A$6:$A$185,$A33,期初余额!$B$6:$B$185,$C33)))</f>
        <v>0</v>
      </c>
      <c r="H33" s="40" t="n">
        <f aca="false">IF($C33="","",$G33+IF($E33="借",SUMIFS(记账分录!$I$6:$I$5505,记账分录!$F$6:$F$5505,$A33,记账分录!$H$6:$H$5505,$C33,记账分录!$E$6:$E$5505,"&lt;"&amp;$A$4)-SUMIFS(记账分录!$J$6:$J$5505,记账分录!$F$6:$F$5505,$A33,记账分录!$H$6:$H$5505,$C33,记账分录!$E$6:$E$5505,"&lt;"&amp;$A$4),SUMIFS(记账分录!$J$6:$J$5505,记账分录!$F$6:$F$5505,$A33,记账分录!$H$6:$H$5505,$C33,记账分录!$E$6:$E$5505,"&lt;"&amp;$A$4)-SUMIFS(记账分录!$I$6:$I$5505,记账分录!$F$6:$F$5505,$A33,记账分录!$H$6:$H$5505,$C33,记账分录!$E$6:$E$5505,"&lt;"&amp;$A$4)))</f>
        <v>0</v>
      </c>
      <c r="I33" s="40" t="n">
        <f aca="false">IF($C33="","",SUMIFS(记账分录!$I$6:$I$5505,记账分录!$F$6:$F$5505,$A33,记账分录!$H$6:$H$5505,$C33,记账分录!$E$6:$E$5505,"&gt;="&amp;$A$4,记账分录!$E$6:$E$5505,"&lt;="&amp;$B$4))</f>
        <v>0</v>
      </c>
      <c r="J33" s="40" t="n">
        <f aca="false">IF($C33="","",SUMIFS(记账分录!$J$6:$J$5505,记账分录!$F$6:$F$5505,$A33,记账分录!$H$6:$H$5505,$C33,记账分录!$E$6:$E$5505,"&gt;="&amp;$A$4,记账分录!$E$6:$E$5505,"&lt;="&amp;$B$4))</f>
        <v>0</v>
      </c>
      <c r="K33" s="42" t="n">
        <f aca="false">IF($C33="","",IF($E33="借",$I33-$J33,$J33-$I33))</f>
        <v>0</v>
      </c>
      <c r="L33" s="42" t="n">
        <f aca="false">IF($C33="","",ROUND($H33+$K33,2))</f>
        <v>0</v>
      </c>
      <c r="M33" s="40" t="n">
        <f aca="false">IF($C33="","",SUMIFS(记账分录!$I$6:$I$5505,记账分录!$F$6:$F$5505,$A33,记账分录!$H$6:$H$5505,$C33,记账分录!$E$6:$E$5505,"&lt;="&amp;$B$4))</f>
        <v>0</v>
      </c>
      <c r="N33" s="40" t="n">
        <f aca="false">IF($C33="","",SUMIFS(记账分录!$J$6:$J$5505,记账分录!$F$6:$F$5505,$A33,记账分录!$H$6:$H$5505,$C33,记账分录!$E$6:$E$5505,"&lt;="&amp;$B$4))</f>
        <v>0</v>
      </c>
      <c r="O33" s="42" t="n">
        <f aca="false">IF($C33="","",IF($E33="借",$M33-$N33,$N33-$M33))</f>
        <v>0</v>
      </c>
      <c r="P33" s="64" t="str">
        <f aca="false">IF($C33="","",IF(OR(ROUND($G33,2)&lt;&gt;0,ROUND($M33,2)&lt;&gt;0,ROUND($N33,2)&lt;&gt;0),"有",""))</f>
        <v/>
      </c>
    </row>
    <row r="34" customFormat="false" ht="15" hidden="false" customHeight="false" outlineLevel="0" collapsed="false">
      <c r="A34" s="25" t="str">
        <f aca="false">IF(会计科目表!$B33="","",参数设置!$A$10)</f>
        <v>农业</v>
      </c>
      <c r="B34" s="25" t="str">
        <f aca="false">IF(会计科目表!$B33="","",会计科目表!$A33)</f>
        <v>4104</v>
      </c>
      <c r="C34" s="10" t="str">
        <f aca="false">IF(会计科目表!$B33="","",会计科目表!$B33)</f>
        <v>未分配利润</v>
      </c>
      <c r="D34" s="25" t="str">
        <f aca="false">IF($C34="","",会计科目表!$C33)</f>
        <v>权益</v>
      </c>
      <c r="E34" s="25" t="str">
        <f aca="false">IF($C34="","",会计科目表!$D33)</f>
        <v>贷</v>
      </c>
      <c r="F34" s="10" t="str">
        <f aca="false">IF($C34="","",会计科目表!$F33)</f>
        <v>未分配利润</v>
      </c>
      <c r="G34" s="40" t="n">
        <f aca="false">IF($C34="","",IF($E34="借",SUMIFS(期初余额!$C$6:$C$185,期初余额!$A$6:$A$185,$A34,期初余额!$B$6:$B$185,$C34)-SUMIFS(期初余额!$D$6:$D$185,期初余额!$A$6:$A$185,$A34,期初余额!$B$6:$B$185,$C34),SUMIFS(期初余额!$D$6:$D$185,期初余额!$A$6:$A$185,$A34,期初余额!$B$6:$B$185,$C34)-SUMIFS(期初余额!$C$6:$C$185,期初余额!$A$6:$A$185,$A34,期初余额!$B$6:$B$185,$C34)))</f>
        <v>160000</v>
      </c>
      <c r="H34" s="40" t="n">
        <f aca="false">IF($C34="","",$G34+IF($E34="借",SUMIFS(记账分录!$I$6:$I$5505,记账分录!$F$6:$F$5505,$A34,记账分录!$H$6:$H$5505,$C34,记账分录!$E$6:$E$5505,"&lt;"&amp;$A$4)-SUMIFS(记账分录!$J$6:$J$5505,记账分录!$F$6:$F$5505,$A34,记账分录!$H$6:$H$5505,$C34,记账分录!$E$6:$E$5505,"&lt;"&amp;$A$4),SUMIFS(记账分录!$J$6:$J$5505,记账分录!$F$6:$F$5505,$A34,记账分录!$H$6:$H$5505,$C34,记账分录!$E$6:$E$5505,"&lt;"&amp;$A$4)-SUMIFS(记账分录!$I$6:$I$5505,记账分录!$F$6:$F$5505,$A34,记账分录!$H$6:$H$5505,$C34,记账分录!$E$6:$E$5505,"&lt;"&amp;$A$4)))</f>
        <v>160000</v>
      </c>
      <c r="I34" s="40" t="n">
        <f aca="false">IF($C34="","",SUMIFS(记账分录!$I$6:$I$5505,记账分录!$F$6:$F$5505,$A34,记账分录!$H$6:$H$5505,$C34,记账分录!$E$6:$E$5505,"&gt;="&amp;$A$4,记账分录!$E$6:$E$5505,"&lt;="&amp;$B$4))</f>
        <v>0</v>
      </c>
      <c r="J34" s="40" t="n">
        <f aca="false">IF($C34="","",SUMIFS(记账分录!$J$6:$J$5505,记账分录!$F$6:$F$5505,$A34,记账分录!$H$6:$H$5505,$C34,记账分录!$E$6:$E$5505,"&gt;="&amp;$A$4,记账分录!$E$6:$E$5505,"&lt;="&amp;$B$4))</f>
        <v>0</v>
      </c>
      <c r="K34" s="42" t="n">
        <f aca="false">IF($C34="","",IF($E34="借",$I34-$J34,$J34-$I34))</f>
        <v>0</v>
      </c>
      <c r="L34" s="42" t="n">
        <f aca="false">IF($C34="","",ROUND($H34+$K34,2))</f>
        <v>160000</v>
      </c>
      <c r="M34" s="40" t="n">
        <f aca="false">IF($C34="","",SUMIFS(记账分录!$I$6:$I$5505,记账分录!$F$6:$F$5505,$A34,记账分录!$H$6:$H$5505,$C34,记账分录!$E$6:$E$5505,"&lt;="&amp;$B$4))</f>
        <v>0</v>
      </c>
      <c r="N34" s="40" t="n">
        <f aca="false">IF($C34="","",SUMIFS(记账分录!$J$6:$J$5505,记账分录!$F$6:$F$5505,$A34,记账分录!$H$6:$H$5505,$C34,记账分录!$E$6:$E$5505,"&lt;="&amp;$B$4))</f>
        <v>0</v>
      </c>
      <c r="O34" s="42" t="n">
        <f aca="false">IF($C34="","",IF($E34="借",$M34-$N34,$N34-$M34))</f>
        <v>0</v>
      </c>
      <c r="P34" s="64" t="str">
        <f aca="false">IF($C34="","",IF(OR(ROUND($G34,2)&lt;&gt;0,ROUND($M34,2)&lt;&gt;0,ROUND($N34,2)&lt;&gt;0),"有",""))</f>
        <v>有</v>
      </c>
    </row>
    <row r="35" customFormat="false" ht="15" hidden="false" customHeight="false" outlineLevel="0" collapsed="false">
      <c r="A35" s="25" t="str">
        <f aca="false">IF(会计科目表!$B34="","",参数设置!$A$10)</f>
        <v>农业</v>
      </c>
      <c r="B35" s="25" t="str">
        <f aca="false">IF(会计科目表!$B34="","",会计科目表!$A34)</f>
        <v>6001</v>
      </c>
      <c r="C35" s="10" t="str">
        <f aca="false">IF(会计科目表!$B34="","",会计科目表!$B34)</f>
        <v>主营业务收入</v>
      </c>
      <c r="D35" s="25" t="str">
        <f aca="false">IF($C35="","",会计科目表!$C34)</f>
        <v>损益-收入</v>
      </c>
      <c r="E35" s="25" t="str">
        <f aca="false">IF($C35="","",会计科目表!$D34)</f>
        <v>贷</v>
      </c>
      <c r="F35" s="10" t="str">
        <f aca="false">IF($C35="","",会计科目表!$F34)</f>
        <v>营业收入</v>
      </c>
      <c r="G35" s="40" t="n">
        <f aca="false">IF($C35="","",IF($E35="借",SUMIFS(期初余额!$C$6:$C$185,期初余额!$A$6:$A$185,$A35,期初余额!$B$6:$B$185,$C35)-SUMIFS(期初余额!$D$6:$D$185,期初余额!$A$6:$A$185,$A35,期初余额!$B$6:$B$185,$C35),SUMIFS(期初余额!$D$6:$D$185,期初余额!$A$6:$A$185,$A35,期初余额!$B$6:$B$185,$C35)-SUMIFS(期初余额!$C$6:$C$185,期初余额!$A$6:$A$185,$A35,期初余额!$B$6:$B$185,$C35)))</f>
        <v>0</v>
      </c>
      <c r="H35" s="40" t="n">
        <f aca="false">IF($C35="","",$G35+IF($E35="借",SUMIFS(记账分录!$I$6:$I$5505,记账分录!$F$6:$F$5505,$A35,记账分录!$H$6:$H$5505,$C35,记账分录!$E$6:$E$5505,"&lt;"&amp;$A$4)-SUMIFS(记账分录!$J$6:$J$5505,记账分录!$F$6:$F$5505,$A35,记账分录!$H$6:$H$5505,$C35,记账分录!$E$6:$E$5505,"&lt;"&amp;$A$4),SUMIFS(记账分录!$J$6:$J$5505,记账分录!$F$6:$F$5505,$A35,记账分录!$H$6:$H$5505,$C35,记账分录!$E$6:$E$5505,"&lt;"&amp;$A$4)-SUMIFS(记账分录!$I$6:$I$5505,记账分录!$F$6:$F$5505,$A35,记账分录!$H$6:$H$5505,$C35,记账分录!$E$6:$E$5505,"&lt;"&amp;$A$4)))</f>
        <v>0</v>
      </c>
      <c r="I35" s="40" t="n">
        <f aca="false">IF($C35="","",SUMIFS(记账分录!$I$6:$I$5505,记账分录!$F$6:$F$5505,$A35,记账分录!$H$6:$H$5505,$C35,记账分录!$E$6:$E$5505,"&gt;="&amp;$A$4,记账分录!$E$6:$E$5505,"&lt;="&amp;$B$4))</f>
        <v>0</v>
      </c>
      <c r="J35" s="40" t="n">
        <f aca="false">IF($C35="","",SUMIFS(记账分录!$J$6:$J$5505,记账分录!$F$6:$F$5505,$A35,记账分录!$H$6:$H$5505,$C35,记账分录!$E$6:$E$5505,"&gt;="&amp;$A$4,记账分录!$E$6:$E$5505,"&lt;="&amp;$B$4))</f>
        <v>329000</v>
      </c>
      <c r="K35" s="42" t="n">
        <f aca="false">IF($C35="","",IF($E35="借",$I35-$J35,$J35-$I35))</f>
        <v>329000</v>
      </c>
      <c r="L35" s="42" t="n">
        <f aca="false">IF($C35="","",ROUND($H35+$K35,2))</f>
        <v>329000</v>
      </c>
      <c r="M35" s="40" t="n">
        <f aca="false">IF($C35="","",SUMIFS(记账分录!$I$6:$I$5505,记账分录!$F$6:$F$5505,$A35,记账分录!$H$6:$H$5505,$C35,记账分录!$E$6:$E$5505,"&lt;="&amp;$B$4))</f>
        <v>0</v>
      </c>
      <c r="N35" s="40" t="n">
        <f aca="false">IF($C35="","",SUMIFS(记账分录!$J$6:$J$5505,记账分录!$F$6:$F$5505,$A35,记账分录!$H$6:$H$5505,$C35,记账分录!$E$6:$E$5505,"&lt;="&amp;$B$4))</f>
        <v>329000</v>
      </c>
      <c r="O35" s="42" t="n">
        <f aca="false">IF($C35="","",IF($E35="借",$M35-$N35,$N35-$M35))</f>
        <v>329000</v>
      </c>
      <c r="P35" s="64" t="str">
        <f aca="false">IF($C35="","",IF(OR(ROUND($G35,2)&lt;&gt;0,ROUND($M35,2)&lt;&gt;0,ROUND($N35,2)&lt;&gt;0),"有",""))</f>
        <v>有</v>
      </c>
    </row>
    <row r="36" customFormat="false" ht="15" hidden="false" customHeight="false" outlineLevel="0" collapsed="false">
      <c r="A36" s="25" t="str">
        <f aca="false">IF(会计科目表!$B35="","",参数设置!$A$10)</f>
        <v>农业</v>
      </c>
      <c r="B36" s="25" t="str">
        <f aca="false">IF(会计科目表!$B35="","",会计科目表!$A35)</f>
        <v>6051</v>
      </c>
      <c r="C36" s="10" t="str">
        <f aca="false">IF(会计科目表!$B35="","",会计科目表!$B35)</f>
        <v>其他业务收入</v>
      </c>
      <c r="D36" s="25" t="str">
        <f aca="false">IF($C36="","",会计科目表!$C35)</f>
        <v>损益-收入</v>
      </c>
      <c r="E36" s="25" t="str">
        <f aca="false">IF($C36="","",会计科目表!$D35)</f>
        <v>贷</v>
      </c>
      <c r="F36" s="10" t="str">
        <f aca="false">IF($C36="","",会计科目表!$F35)</f>
        <v>营业收入</v>
      </c>
      <c r="G36" s="40" t="n">
        <f aca="false">IF($C36="","",IF($E36="借",SUMIFS(期初余额!$C$6:$C$185,期初余额!$A$6:$A$185,$A36,期初余额!$B$6:$B$185,$C36)-SUMIFS(期初余额!$D$6:$D$185,期初余额!$A$6:$A$185,$A36,期初余额!$B$6:$B$185,$C36),SUMIFS(期初余额!$D$6:$D$185,期初余额!$A$6:$A$185,$A36,期初余额!$B$6:$B$185,$C36)-SUMIFS(期初余额!$C$6:$C$185,期初余额!$A$6:$A$185,$A36,期初余额!$B$6:$B$185,$C36)))</f>
        <v>0</v>
      </c>
      <c r="H36" s="40" t="n">
        <f aca="false">IF($C36="","",$G36+IF($E36="借",SUMIFS(记账分录!$I$6:$I$5505,记账分录!$F$6:$F$5505,$A36,记账分录!$H$6:$H$5505,$C36,记账分录!$E$6:$E$5505,"&lt;"&amp;$A$4)-SUMIFS(记账分录!$J$6:$J$5505,记账分录!$F$6:$F$5505,$A36,记账分录!$H$6:$H$5505,$C36,记账分录!$E$6:$E$5505,"&lt;"&amp;$A$4),SUMIFS(记账分录!$J$6:$J$5505,记账分录!$F$6:$F$5505,$A36,记账分录!$H$6:$H$5505,$C36,记账分录!$E$6:$E$5505,"&lt;"&amp;$A$4)-SUMIFS(记账分录!$I$6:$I$5505,记账分录!$F$6:$F$5505,$A36,记账分录!$H$6:$H$5505,$C36,记账分录!$E$6:$E$5505,"&lt;"&amp;$A$4)))</f>
        <v>0</v>
      </c>
      <c r="I36" s="40" t="n">
        <f aca="false">IF($C36="","",SUMIFS(记账分录!$I$6:$I$5505,记账分录!$F$6:$F$5505,$A36,记账分录!$H$6:$H$5505,$C36,记账分录!$E$6:$E$5505,"&gt;="&amp;$A$4,记账分录!$E$6:$E$5505,"&lt;="&amp;$B$4))</f>
        <v>0</v>
      </c>
      <c r="J36" s="40" t="n">
        <f aca="false">IF($C36="","",SUMIFS(记账分录!$J$6:$J$5505,记账分录!$F$6:$F$5505,$A36,记账分录!$H$6:$H$5505,$C36,记账分录!$E$6:$E$5505,"&gt;="&amp;$A$4,记账分录!$E$6:$E$5505,"&lt;="&amp;$B$4))</f>
        <v>0</v>
      </c>
      <c r="K36" s="42" t="n">
        <f aca="false">IF($C36="","",IF($E36="借",$I36-$J36,$J36-$I36))</f>
        <v>0</v>
      </c>
      <c r="L36" s="42" t="n">
        <f aca="false">IF($C36="","",ROUND($H36+$K36,2))</f>
        <v>0</v>
      </c>
      <c r="M36" s="40" t="n">
        <f aca="false">IF($C36="","",SUMIFS(记账分录!$I$6:$I$5505,记账分录!$F$6:$F$5505,$A36,记账分录!$H$6:$H$5505,$C36,记账分录!$E$6:$E$5505,"&lt;="&amp;$B$4))</f>
        <v>0</v>
      </c>
      <c r="N36" s="40" t="n">
        <f aca="false">IF($C36="","",SUMIFS(记账分录!$J$6:$J$5505,记账分录!$F$6:$F$5505,$A36,记账分录!$H$6:$H$5505,$C36,记账分录!$E$6:$E$5505,"&lt;="&amp;$B$4))</f>
        <v>0</v>
      </c>
      <c r="O36" s="42" t="n">
        <f aca="false">IF($C36="","",IF($E36="借",$M36-$N36,$N36-$M36))</f>
        <v>0</v>
      </c>
      <c r="P36" s="64" t="str">
        <f aca="false">IF($C36="","",IF(OR(ROUND($G36,2)&lt;&gt;0,ROUND($M36,2)&lt;&gt;0,ROUND($N36,2)&lt;&gt;0),"有",""))</f>
        <v/>
      </c>
    </row>
    <row r="37" customFormat="false" ht="15" hidden="false" customHeight="false" outlineLevel="0" collapsed="false">
      <c r="A37" s="25" t="str">
        <f aca="false">IF(会计科目表!$B36="","",参数设置!$A$10)</f>
        <v>农业</v>
      </c>
      <c r="B37" s="25" t="str">
        <f aca="false">IF(会计科目表!$B36="","",会计科目表!$A36)</f>
        <v>6111</v>
      </c>
      <c r="C37" s="10" t="str">
        <f aca="false">IF(会计科目表!$B36="","",会计科目表!$B36)</f>
        <v>投资收益</v>
      </c>
      <c r="D37" s="25" t="str">
        <f aca="false">IF($C37="","",会计科目表!$C36)</f>
        <v>损益-收入</v>
      </c>
      <c r="E37" s="25" t="str">
        <f aca="false">IF($C37="","",会计科目表!$D36)</f>
        <v>贷</v>
      </c>
      <c r="F37" s="10" t="str">
        <f aca="false">IF($C37="","",会计科目表!$F36)</f>
        <v>投资收益</v>
      </c>
      <c r="G37" s="40" t="n">
        <f aca="false">IF($C37="","",IF($E37="借",SUMIFS(期初余额!$C$6:$C$185,期初余额!$A$6:$A$185,$A37,期初余额!$B$6:$B$185,$C37)-SUMIFS(期初余额!$D$6:$D$185,期初余额!$A$6:$A$185,$A37,期初余额!$B$6:$B$185,$C37),SUMIFS(期初余额!$D$6:$D$185,期初余额!$A$6:$A$185,$A37,期初余额!$B$6:$B$185,$C37)-SUMIFS(期初余额!$C$6:$C$185,期初余额!$A$6:$A$185,$A37,期初余额!$B$6:$B$185,$C37)))</f>
        <v>0</v>
      </c>
      <c r="H37" s="40" t="n">
        <f aca="false">IF($C37="","",$G37+IF($E37="借",SUMIFS(记账分录!$I$6:$I$5505,记账分录!$F$6:$F$5505,$A37,记账分录!$H$6:$H$5505,$C37,记账分录!$E$6:$E$5505,"&lt;"&amp;$A$4)-SUMIFS(记账分录!$J$6:$J$5505,记账分录!$F$6:$F$5505,$A37,记账分录!$H$6:$H$5505,$C37,记账分录!$E$6:$E$5505,"&lt;"&amp;$A$4),SUMIFS(记账分录!$J$6:$J$5505,记账分录!$F$6:$F$5505,$A37,记账分录!$H$6:$H$5505,$C37,记账分录!$E$6:$E$5505,"&lt;"&amp;$A$4)-SUMIFS(记账分录!$I$6:$I$5505,记账分录!$F$6:$F$5505,$A37,记账分录!$H$6:$H$5505,$C37,记账分录!$E$6:$E$5505,"&lt;"&amp;$A$4)))</f>
        <v>0</v>
      </c>
      <c r="I37" s="40" t="n">
        <f aca="false">IF($C37="","",SUMIFS(记账分录!$I$6:$I$5505,记账分录!$F$6:$F$5505,$A37,记账分录!$H$6:$H$5505,$C37,记账分录!$E$6:$E$5505,"&gt;="&amp;$A$4,记账分录!$E$6:$E$5505,"&lt;="&amp;$B$4))</f>
        <v>0</v>
      </c>
      <c r="J37" s="40" t="n">
        <f aca="false">IF($C37="","",SUMIFS(记账分录!$J$6:$J$5505,记账分录!$F$6:$F$5505,$A37,记账分录!$H$6:$H$5505,$C37,记账分录!$E$6:$E$5505,"&gt;="&amp;$A$4,记账分录!$E$6:$E$5505,"&lt;="&amp;$B$4))</f>
        <v>0</v>
      </c>
      <c r="K37" s="42" t="n">
        <f aca="false">IF($C37="","",IF($E37="借",$I37-$J37,$J37-$I37))</f>
        <v>0</v>
      </c>
      <c r="L37" s="42" t="n">
        <f aca="false">IF($C37="","",ROUND($H37+$K37,2))</f>
        <v>0</v>
      </c>
      <c r="M37" s="40" t="n">
        <f aca="false">IF($C37="","",SUMIFS(记账分录!$I$6:$I$5505,记账分录!$F$6:$F$5505,$A37,记账分录!$H$6:$H$5505,$C37,记账分录!$E$6:$E$5505,"&lt;="&amp;$B$4))</f>
        <v>0</v>
      </c>
      <c r="N37" s="40" t="n">
        <f aca="false">IF($C37="","",SUMIFS(记账分录!$J$6:$J$5505,记账分录!$F$6:$F$5505,$A37,记账分录!$H$6:$H$5505,$C37,记账分录!$E$6:$E$5505,"&lt;="&amp;$B$4))</f>
        <v>0</v>
      </c>
      <c r="O37" s="42" t="n">
        <f aca="false">IF($C37="","",IF($E37="借",$M37-$N37,$N37-$M37))</f>
        <v>0</v>
      </c>
      <c r="P37" s="64" t="str">
        <f aca="false">IF($C37="","",IF(OR(ROUND($G37,2)&lt;&gt;0,ROUND($M37,2)&lt;&gt;0,ROUND($N37,2)&lt;&gt;0),"有",""))</f>
        <v/>
      </c>
    </row>
    <row r="38" customFormat="false" ht="15" hidden="false" customHeight="false" outlineLevel="0" collapsed="false">
      <c r="A38" s="25" t="str">
        <f aca="false">IF(会计科目表!$B37="","",参数设置!$A$10)</f>
        <v>农业</v>
      </c>
      <c r="B38" s="25" t="str">
        <f aca="false">IF(会计科目表!$B37="","",会计科目表!$A37)</f>
        <v>6301</v>
      </c>
      <c r="C38" s="10" t="str">
        <f aca="false">IF(会计科目表!$B37="","",会计科目表!$B37)</f>
        <v>营业外收入</v>
      </c>
      <c r="D38" s="25" t="str">
        <f aca="false">IF($C38="","",会计科目表!$C37)</f>
        <v>损益-收入</v>
      </c>
      <c r="E38" s="25" t="str">
        <f aca="false">IF($C38="","",会计科目表!$D37)</f>
        <v>贷</v>
      </c>
      <c r="F38" s="10" t="str">
        <f aca="false">IF($C38="","",会计科目表!$F37)</f>
        <v>营业外收入</v>
      </c>
      <c r="G38" s="40" t="n">
        <f aca="false">IF($C38="","",IF($E38="借",SUMIFS(期初余额!$C$6:$C$185,期初余额!$A$6:$A$185,$A38,期初余额!$B$6:$B$185,$C38)-SUMIFS(期初余额!$D$6:$D$185,期初余额!$A$6:$A$185,$A38,期初余额!$B$6:$B$185,$C38),SUMIFS(期初余额!$D$6:$D$185,期初余额!$A$6:$A$185,$A38,期初余额!$B$6:$B$185,$C38)-SUMIFS(期初余额!$C$6:$C$185,期初余额!$A$6:$A$185,$A38,期初余额!$B$6:$B$185,$C38)))</f>
        <v>0</v>
      </c>
      <c r="H38" s="40" t="n">
        <f aca="false">IF($C38="","",$G38+IF($E38="借",SUMIFS(记账分录!$I$6:$I$5505,记账分录!$F$6:$F$5505,$A38,记账分录!$H$6:$H$5505,$C38,记账分录!$E$6:$E$5505,"&lt;"&amp;$A$4)-SUMIFS(记账分录!$J$6:$J$5505,记账分录!$F$6:$F$5505,$A38,记账分录!$H$6:$H$5505,$C38,记账分录!$E$6:$E$5505,"&lt;"&amp;$A$4),SUMIFS(记账分录!$J$6:$J$5505,记账分录!$F$6:$F$5505,$A38,记账分录!$H$6:$H$5505,$C38,记账分录!$E$6:$E$5505,"&lt;"&amp;$A$4)-SUMIFS(记账分录!$I$6:$I$5505,记账分录!$F$6:$F$5505,$A38,记账分录!$H$6:$H$5505,$C38,记账分录!$E$6:$E$5505,"&lt;"&amp;$A$4)))</f>
        <v>0</v>
      </c>
      <c r="I38" s="40" t="n">
        <f aca="false">IF($C38="","",SUMIFS(记账分录!$I$6:$I$5505,记账分录!$F$6:$F$5505,$A38,记账分录!$H$6:$H$5505,$C38,记账分录!$E$6:$E$5505,"&gt;="&amp;$A$4,记账分录!$E$6:$E$5505,"&lt;="&amp;$B$4))</f>
        <v>0</v>
      </c>
      <c r="J38" s="40" t="n">
        <f aca="false">IF($C38="","",SUMIFS(记账分录!$J$6:$J$5505,记账分录!$F$6:$F$5505,$A38,记账分录!$H$6:$H$5505,$C38,记账分录!$E$6:$E$5505,"&gt;="&amp;$A$4,记账分录!$E$6:$E$5505,"&lt;="&amp;$B$4))</f>
        <v>0</v>
      </c>
      <c r="K38" s="42" t="n">
        <f aca="false">IF($C38="","",IF($E38="借",$I38-$J38,$J38-$I38))</f>
        <v>0</v>
      </c>
      <c r="L38" s="42" t="n">
        <f aca="false">IF($C38="","",ROUND($H38+$K38,2))</f>
        <v>0</v>
      </c>
      <c r="M38" s="40" t="n">
        <f aca="false">IF($C38="","",SUMIFS(记账分录!$I$6:$I$5505,记账分录!$F$6:$F$5505,$A38,记账分录!$H$6:$H$5505,$C38,记账分录!$E$6:$E$5505,"&lt;="&amp;$B$4))</f>
        <v>0</v>
      </c>
      <c r="N38" s="40" t="n">
        <f aca="false">IF($C38="","",SUMIFS(记账分录!$J$6:$J$5505,记账分录!$F$6:$F$5505,$A38,记账分录!$H$6:$H$5505,$C38,记账分录!$E$6:$E$5505,"&lt;="&amp;$B$4))</f>
        <v>0</v>
      </c>
      <c r="O38" s="42" t="n">
        <f aca="false">IF($C38="","",IF($E38="借",$M38-$N38,$N38-$M38))</f>
        <v>0</v>
      </c>
      <c r="P38" s="64" t="str">
        <f aca="false">IF($C38="","",IF(OR(ROUND($G38,2)&lt;&gt;0,ROUND($M38,2)&lt;&gt;0,ROUND($N38,2)&lt;&gt;0),"有",""))</f>
        <v/>
      </c>
    </row>
    <row r="39" customFormat="false" ht="15" hidden="false" customHeight="false" outlineLevel="0" collapsed="false">
      <c r="A39" s="25" t="str">
        <f aca="false">IF(会计科目表!$B38="","",参数设置!$A$10)</f>
        <v>农业</v>
      </c>
      <c r="B39" s="25" t="str">
        <f aca="false">IF(会计科目表!$B38="","",会计科目表!$A38)</f>
        <v>6401</v>
      </c>
      <c r="C39" s="10" t="str">
        <f aca="false">IF(会计科目表!$B38="","",会计科目表!$B38)</f>
        <v>主营业务成本</v>
      </c>
      <c r="D39" s="25" t="str">
        <f aca="false">IF($C39="","",会计科目表!$C38)</f>
        <v>损益-费用</v>
      </c>
      <c r="E39" s="25" t="str">
        <f aca="false">IF($C39="","",会计科目表!$D38)</f>
        <v>借</v>
      </c>
      <c r="F39" s="10" t="str">
        <f aca="false">IF($C39="","",会计科目表!$F38)</f>
        <v>营业成本</v>
      </c>
      <c r="G39" s="40" t="n">
        <f aca="false">IF($C39="","",IF($E39="借",SUMIFS(期初余额!$C$6:$C$185,期初余额!$A$6:$A$185,$A39,期初余额!$B$6:$B$185,$C39)-SUMIFS(期初余额!$D$6:$D$185,期初余额!$A$6:$A$185,$A39,期初余额!$B$6:$B$185,$C39),SUMIFS(期初余额!$D$6:$D$185,期初余额!$A$6:$A$185,$A39,期初余额!$B$6:$B$185,$C39)-SUMIFS(期初余额!$C$6:$C$185,期初余额!$A$6:$A$185,$A39,期初余额!$B$6:$B$185,$C39)))</f>
        <v>0</v>
      </c>
      <c r="H39" s="40" t="n">
        <f aca="false">IF($C39="","",$G39+IF($E39="借",SUMIFS(记账分录!$I$6:$I$5505,记账分录!$F$6:$F$5505,$A39,记账分录!$H$6:$H$5505,$C39,记账分录!$E$6:$E$5505,"&lt;"&amp;$A$4)-SUMIFS(记账分录!$J$6:$J$5505,记账分录!$F$6:$F$5505,$A39,记账分录!$H$6:$H$5505,$C39,记账分录!$E$6:$E$5505,"&lt;"&amp;$A$4),SUMIFS(记账分录!$J$6:$J$5505,记账分录!$F$6:$F$5505,$A39,记账分录!$H$6:$H$5505,$C39,记账分录!$E$6:$E$5505,"&lt;"&amp;$A$4)-SUMIFS(记账分录!$I$6:$I$5505,记账分录!$F$6:$F$5505,$A39,记账分录!$H$6:$H$5505,$C39,记账分录!$E$6:$E$5505,"&lt;"&amp;$A$4)))</f>
        <v>0</v>
      </c>
      <c r="I39" s="40" t="n">
        <f aca="false">IF($C39="","",SUMIFS(记账分录!$I$6:$I$5505,记账分录!$F$6:$F$5505,$A39,记账分录!$H$6:$H$5505,$C39,记账分录!$E$6:$E$5505,"&gt;="&amp;$A$4,记账分录!$E$6:$E$5505,"&lt;="&amp;$B$4))</f>
        <v>177927.62</v>
      </c>
      <c r="J39" s="40" t="n">
        <f aca="false">IF($C39="","",SUMIFS(记账分录!$J$6:$J$5505,记账分录!$F$6:$F$5505,$A39,记账分录!$H$6:$H$5505,$C39,记账分录!$E$6:$E$5505,"&gt;="&amp;$A$4,记账分录!$E$6:$E$5505,"&lt;="&amp;$B$4))</f>
        <v>0</v>
      </c>
      <c r="K39" s="42" t="n">
        <f aca="false">IF($C39="","",IF($E39="借",$I39-$J39,$J39-$I39))</f>
        <v>177927.62</v>
      </c>
      <c r="L39" s="42" t="n">
        <f aca="false">IF($C39="","",ROUND($H39+$K39,2))</f>
        <v>177927.62</v>
      </c>
      <c r="M39" s="40" t="n">
        <f aca="false">IF($C39="","",SUMIFS(记账分录!$I$6:$I$5505,记账分录!$F$6:$F$5505,$A39,记账分录!$H$6:$H$5505,$C39,记账分录!$E$6:$E$5505,"&lt;="&amp;$B$4))</f>
        <v>177927.62</v>
      </c>
      <c r="N39" s="40" t="n">
        <f aca="false">IF($C39="","",SUMIFS(记账分录!$J$6:$J$5505,记账分录!$F$6:$F$5505,$A39,记账分录!$H$6:$H$5505,$C39,记账分录!$E$6:$E$5505,"&lt;="&amp;$B$4))</f>
        <v>0</v>
      </c>
      <c r="O39" s="42" t="n">
        <f aca="false">IF($C39="","",IF($E39="借",$M39-$N39,$N39-$M39))</f>
        <v>177927.62</v>
      </c>
      <c r="P39" s="64" t="str">
        <f aca="false">IF($C39="","",IF(OR(ROUND($G39,2)&lt;&gt;0,ROUND($M39,2)&lt;&gt;0,ROUND($N39,2)&lt;&gt;0),"有",""))</f>
        <v>有</v>
      </c>
    </row>
    <row r="40" customFormat="false" ht="15" hidden="false" customHeight="false" outlineLevel="0" collapsed="false">
      <c r="A40" s="25" t="str">
        <f aca="false">IF(会计科目表!$B39="","",参数设置!$A$10)</f>
        <v>农业</v>
      </c>
      <c r="B40" s="25" t="str">
        <f aca="false">IF(会计科目表!$B39="","",会计科目表!$A39)</f>
        <v>6402</v>
      </c>
      <c r="C40" s="10" t="str">
        <f aca="false">IF(会计科目表!$B39="","",会计科目表!$B39)</f>
        <v>其他业务成本</v>
      </c>
      <c r="D40" s="25" t="str">
        <f aca="false">IF($C40="","",会计科目表!$C39)</f>
        <v>损益-费用</v>
      </c>
      <c r="E40" s="25" t="str">
        <f aca="false">IF($C40="","",会计科目表!$D39)</f>
        <v>借</v>
      </c>
      <c r="F40" s="10" t="str">
        <f aca="false">IF($C40="","",会计科目表!$F39)</f>
        <v>营业成本</v>
      </c>
      <c r="G40" s="40" t="n">
        <f aca="false">IF($C40="","",IF($E40="借",SUMIFS(期初余额!$C$6:$C$185,期初余额!$A$6:$A$185,$A40,期初余额!$B$6:$B$185,$C40)-SUMIFS(期初余额!$D$6:$D$185,期初余额!$A$6:$A$185,$A40,期初余额!$B$6:$B$185,$C40),SUMIFS(期初余额!$D$6:$D$185,期初余额!$A$6:$A$185,$A40,期初余额!$B$6:$B$185,$C40)-SUMIFS(期初余额!$C$6:$C$185,期初余额!$A$6:$A$185,$A40,期初余额!$B$6:$B$185,$C40)))</f>
        <v>0</v>
      </c>
      <c r="H40" s="40" t="n">
        <f aca="false">IF($C40="","",$G40+IF($E40="借",SUMIFS(记账分录!$I$6:$I$5505,记账分录!$F$6:$F$5505,$A40,记账分录!$H$6:$H$5505,$C40,记账分录!$E$6:$E$5505,"&lt;"&amp;$A$4)-SUMIFS(记账分录!$J$6:$J$5505,记账分录!$F$6:$F$5505,$A40,记账分录!$H$6:$H$5505,$C40,记账分录!$E$6:$E$5505,"&lt;"&amp;$A$4),SUMIFS(记账分录!$J$6:$J$5505,记账分录!$F$6:$F$5505,$A40,记账分录!$H$6:$H$5505,$C40,记账分录!$E$6:$E$5505,"&lt;"&amp;$A$4)-SUMIFS(记账分录!$I$6:$I$5505,记账分录!$F$6:$F$5505,$A40,记账分录!$H$6:$H$5505,$C40,记账分录!$E$6:$E$5505,"&lt;"&amp;$A$4)))</f>
        <v>0</v>
      </c>
      <c r="I40" s="40" t="n">
        <f aca="false">IF($C40="","",SUMIFS(记账分录!$I$6:$I$5505,记账分录!$F$6:$F$5505,$A40,记账分录!$H$6:$H$5505,$C40,记账分录!$E$6:$E$5505,"&gt;="&amp;$A$4,记账分录!$E$6:$E$5505,"&lt;="&amp;$B$4))</f>
        <v>0</v>
      </c>
      <c r="J40" s="40" t="n">
        <f aca="false">IF($C40="","",SUMIFS(记账分录!$J$6:$J$5505,记账分录!$F$6:$F$5505,$A40,记账分录!$H$6:$H$5505,$C40,记账分录!$E$6:$E$5505,"&gt;="&amp;$A$4,记账分录!$E$6:$E$5505,"&lt;="&amp;$B$4))</f>
        <v>0</v>
      </c>
      <c r="K40" s="42" t="n">
        <f aca="false">IF($C40="","",IF($E40="借",$I40-$J40,$J40-$I40))</f>
        <v>0</v>
      </c>
      <c r="L40" s="42" t="n">
        <f aca="false">IF($C40="","",ROUND($H40+$K40,2))</f>
        <v>0</v>
      </c>
      <c r="M40" s="40" t="n">
        <f aca="false">IF($C40="","",SUMIFS(记账分录!$I$6:$I$5505,记账分录!$F$6:$F$5505,$A40,记账分录!$H$6:$H$5505,$C40,记账分录!$E$6:$E$5505,"&lt;="&amp;$B$4))</f>
        <v>0</v>
      </c>
      <c r="N40" s="40" t="n">
        <f aca="false">IF($C40="","",SUMIFS(记账分录!$J$6:$J$5505,记账分录!$F$6:$F$5505,$A40,记账分录!$H$6:$H$5505,$C40,记账分录!$E$6:$E$5505,"&lt;="&amp;$B$4))</f>
        <v>0</v>
      </c>
      <c r="O40" s="42" t="n">
        <f aca="false">IF($C40="","",IF($E40="借",$M40-$N40,$N40-$M40))</f>
        <v>0</v>
      </c>
      <c r="P40" s="64" t="str">
        <f aca="false">IF($C40="","",IF(OR(ROUND($G40,2)&lt;&gt;0,ROUND($M40,2)&lt;&gt;0,ROUND($N40,2)&lt;&gt;0),"有",""))</f>
        <v/>
      </c>
    </row>
    <row r="41" customFormat="false" ht="15" hidden="false" customHeight="false" outlineLevel="0" collapsed="false">
      <c r="A41" s="25" t="str">
        <f aca="false">IF(会计科目表!$B40="","",参数设置!$A$10)</f>
        <v>农业</v>
      </c>
      <c r="B41" s="25" t="str">
        <f aca="false">IF(会计科目表!$B40="","",会计科目表!$A40)</f>
        <v>6403</v>
      </c>
      <c r="C41" s="10" t="str">
        <f aca="false">IF(会计科目表!$B40="","",会计科目表!$B40)</f>
        <v>税金及附加</v>
      </c>
      <c r="D41" s="25" t="str">
        <f aca="false">IF($C41="","",会计科目表!$C40)</f>
        <v>损益-费用</v>
      </c>
      <c r="E41" s="25" t="str">
        <f aca="false">IF($C41="","",会计科目表!$D40)</f>
        <v>借</v>
      </c>
      <c r="F41" s="10" t="str">
        <f aca="false">IF($C41="","",会计科目表!$F40)</f>
        <v>税金及附加</v>
      </c>
      <c r="G41" s="40" t="n">
        <f aca="false">IF($C41="","",IF($E41="借",SUMIFS(期初余额!$C$6:$C$185,期初余额!$A$6:$A$185,$A41,期初余额!$B$6:$B$185,$C41)-SUMIFS(期初余额!$D$6:$D$185,期初余额!$A$6:$A$185,$A41,期初余额!$B$6:$B$185,$C41),SUMIFS(期初余额!$D$6:$D$185,期初余额!$A$6:$A$185,$A41,期初余额!$B$6:$B$185,$C41)-SUMIFS(期初余额!$C$6:$C$185,期初余额!$A$6:$A$185,$A41,期初余额!$B$6:$B$185,$C41)))</f>
        <v>0</v>
      </c>
      <c r="H41" s="40" t="n">
        <f aca="false">IF($C41="","",$G41+IF($E41="借",SUMIFS(记账分录!$I$6:$I$5505,记账分录!$F$6:$F$5505,$A41,记账分录!$H$6:$H$5505,$C41,记账分录!$E$6:$E$5505,"&lt;"&amp;$A$4)-SUMIFS(记账分录!$J$6:$J$5505,记账分录!$F$6:$F$5505,$A41,记账分录!$H$6:$H$5505,$C41,记账分录!$E$6:$E$5505,"&lt;"&amp;$A$4),SUMIFS(记账分录!$J$6:$J$5505,记账分录!$F$6:$F$5505,$A41,记账分录!$H$6:$H$5505,$C41,记账分录!$E$6:$E$5505,"&lt;"&amp;$A$4)-SUMIFS(记账分录!$I$6:$I$5505,记账分录!$F$6:$F$5505,$A41,记账分录!$H$6:$H$5505,$C41,记账分录!$E$6:$E$5505,"&lt;"&amp;$A$4)))</f>
        <v>0</v>
      </c>
      <c r="I41" s="40" t="n">
        <f aca="false">IF($C41="","",SUMIFS(记账分录!$I$6:$I$5505,记账分录!$F$6:$F$5505,$A41,记账分录!$H$6:$H$5505,$C41,记账分录!$E$6:$E$5505,"&gt;="&amp;$A$4,记账分录!$E$6:$E$5505,"&lt;="&amp;$B$4))</f>
        <v>0</v>
      </c>
      <c r="J41" s="40" t="n">
        <f aca="false">IF($C41="","",SUMIFS(记账分录!$J$6:$J$5505,记账分录!$F$6:$F$5505,$A41,记账分录!$H$6:$H$5505,$C41,记账分录!$E$6:$E$5505,"&gt;="&amp;$A$4,记账分录!$E$6:$E$5505,"&lt;="&amp;$B$4))</f>
        <v>0</v>
      </c>
      <c r="K41" s="42" t="n">
        <f aca="false">IF($C41="","",IF($E41="借",$I41-$J41,$J41-$I41))</f>
        <v>0</v>
      </c>
      <c r="L41" s="42" t="n">
        <f aca="false">IF($C41="","",ROUND($H41+$K41,2))</f>
        <v>0</v>
      </c>
      <c r="M41" s="40" t="n">
        <f aca="false">IF($C41="","",SUMIFS(记账分录!$I$6:$I$5505,记账分录!$F$6:$F$5505,$A41,记账分录!$H$6:$H$5505,$C41,记账分录!$E$6:$E$5505,"&lt;="&amp;$B$4))</f>
        <v>0</v>
      </c>
      <c r="N41" s="40" t="n">
        <f aca="false">IF($C41="","",SUMIFS(记账分录!$J$6:$J$5505,记账分录!$F$6:$F$5505,$A41,记账分录!$H$6:$H$5505,$C41,记账分录!$E$6:$E$5505,"&lt;="&amp;$B$4))</f>
        <v>0</v>
      </c>
      <c r="O41" s="42" t="n">
        <f aca="false">IF($C41="","",IF($E41="借",$M41-$N41,$N41-$M41))</f>
        <v>0</v>
      </c>
      <c r="P41" s="64" t="str">
        <f aca="false">IF($C41="","",IF(OR(ROUND($G41,2)&lt;&gt;0,ROUND($M41,2)&lt;&gt;0,ROUND($N41,2)&lt;&gt;0),"有",""))</f>
        <v/>
      </c>
    </row>
    <row r="42" customFormat="false" ht="15" hidden="false" customHeight="false" outlineLevel="0" collapsed="false">
      <c r="A42" s="25" t="str">
        <f aca="false">IF(会计科目表!$B41="","",参数设置!$A$10)</f>
        <v>农业</v>
      </c>
      <c r="B42" s="25" t="str">
        <f aca="false">IF(会计科目表!$B41="","",会计科目表!$A41)</f>
        <v>6601</v>
      </c>
      <c r="C42" s="10" t="str">
        <f aca="false">IF(会计科目表!$B41="","",会计科目表!$B41)</f>
        <v>销售费用</v>
      </c>
      <c r="D42" s="25" t="str">
        <f aca="false">IF($C42="","",会计科目表!$C41)</f>
        <v>损益-费用</v>
      </c>
      <c r="E42" s="25" t="str">
        <f aca="false">IF($C42="","",会计科目表!$D41)</f>
        <v>借</v>
      </c>
      <c r="F42" s="10" t="str">
        <f aca="false">IF($C42="","",会计科目表!$F41)</f>
        <v>销售费用</v>
      </c>
      <c r="G42" s="40" t="n">
        <f aca="false">IF($C42="","",IF($E42="借",SUMIFS(期初余额!$C$6:$C$185,期初余额!$A$6:$A$185,$A42,期初余额!$B$6:$B$185,$C42)-SUMIFS(期初余额!$D$6:$D$185,期初余额!$A$6:$A$185,$A42,期初余额!$B$6:$B$185,$C42),SUMIFS(期初余额!$D$6:$D$185,期初余额!$A$6:$A$185,$A42,期初余额!$B$6:$B$185,$C42)-SUMIFS(期初余额!$C$6:$C$185,期初余额!$A$6:$A$185,$A42,期初余额!$B$6:$B$185,$C42)))</f>
        <v>0</v>
      </c>
      <c r="H42" s="40" t="n">
        <f aca="false">IF($C42="","",$G42+IF($E42="借",SUMIFS(记账分录!$I$6:$I$5505,记账分录!$F$6:$F$5505,$A42,记账分录!$H$6:$H$5505,$C42,记账分录!$E$6:$E$5505,"&lt;"&amp;$A$4)-SUMIFS(记账分录!$J$6:$J$5505,记账分录!$F$6:$F$5505,$A42,记账分录!$H$6:$H$5505,$C42,记账分录!$E$6:$E$5505,"&lt;"&amp;$A$4),SUMIFS(记账分录!$J$6:$J$5505,记账分录!$F$6:$F$5505,$A42,记账分录!$H$6:$H$5505,$C42,记账分录!$E$6:$E$5505,"&lt;"&amp;$A$4)-SUMIFS(记账分录!$I$6:$I$5505,记账分录!$F$6:$F$5505,$A42,记账分录!$H$6:$H$5505,$C42,记账分录!$E$6:$E$5505,"&lt;"&amp;$A$4)))</f>
        <v>0</v>
      </c>
      <c r="I42" s="40" t="n">
        <f aca="false">IF($C42="","",SUMIFS(记账分录!$I$6:$I$5505,记账分录!$F$6:$F$5505,$A42,记账分录!$H$6:$H$5505,$C42,记账分录!$E$6:$E$5505,"&gt;="&amp;$A$4,记账分录!$E$6:$E$5505,"&lt;="&amp;$B$4))</f>
        <v>0</v>
      </c>
      <c r="J42" s="40" t="n">
        <f aca="false">IF($C42="","",SUMIFS(记账分录!$J$6:$J$5505,记账分录!$F$6:$F$5505,$A42,记账分录!$H$6:$H$5505,$C42,记账分录!$E$6:$E$5505,"&gt;="&amp;$A$4,记账分录!$E$6:$E$5505,"&lt;="&amp;$B$4))</f>
        <v>0</v>
      </c>
      <c r="K42" s="42" t="n">
        <f aca="false">IF($C42="","",IF($E42="借",$I42-$J42,$J42-$I42))</f>
        <v>0</v>
      </c>
      <c r="L42" s="42" t="n">
        <f aca="false">IF($C42="","",ROUND($H42+$K42,2))</f>
        <v>0</v>
      </c>
      <c r="M42" s="40" t="n">
        <f aca="false">IF($C42="","",SUMIFS(记账分录!$I$6:$I$5505,记账分录!$F$6:$F$5505,$A42,记账分录!$H$6:$H$5505,$C42,记账分录!$E$6:$E$5505,"&lt;="&amp;$B$4))</f>
        <v>0</v>
      </c>
      <c r="N42" s="40" t="n">
        <f aca="false">IF($C42="","",SUMIFS(记账分录!$J$6:$J$5505,记账分录!$F$6:$F$5505,$A42,记账分录!$H$6:$H$5505,$C42,记账分录!$E$6:$E$5505,"&lt;="&amp;$B$4))</f>
        <v>0</v>
      </c>
      <c r="O42" s="42" t="n">
        <f aca="false">IF($C42="","",IF($E42="借",$M42-$N42,$N42-$M42))</f>
        <v>0</v>
      </c>
      <c r="P42" s="64" t="str">
        <f aca="false">IF($C42="","",IF(OR(ROUND($G42,2)&lt;&gt;0,ROUND($M42,2)&lt;&gt;0,ROUND($N42,2)&lt;&gt;0),"有",""))</f>
        <v/>
      </c>
    </row>
    <row r="43" customFormat="false" ht="15" hidden="false" customHeight="false" outlineLevel="0" collapsed="false">
      <c r="A43" s="25" t="str">
        <f aca="false">IF(会计科目表!$B42="","",参数设置!$A$10)</f>
        <v>农业</v>
      </c>
      <c r="B43" s="25" t="str">
        <f aca="false">IF(会计科目表!$B42="","",会计科目表!$A42)</f>
        <v>6602</v>
      </c>
      <c r="C43" s="10" t="str">
        <f aca="false">IF(会计科目表!$B42="","",会计科目表!$B42)</f>
        <v>管理费用</v>
      </c>
      <c r="D43" s="25" t="str">
        <f aca="false">IF($C43="","",会计科目表!$C42)</f>
        <v>损益-费用</v>
      </c>
      <c r="E43" s="25" t="str">
        <f aca="false">IF($C43="","",会计科目表!$D42)</f>
        <v>借</v>
      </c>
      <c r="F43" s="10" t="str">
        <f aca="false">IF($C43="","",会计科目表!$F42)</f>
        <v>管理费用</v>
      </c>
      <c r="G43" s="40" t="n">
        <f aca="false">IF($C43="","",IF($E43="借",SUMIFS(期初余额!$C$6:$C$185,期初余额!$A$6:$A$185,$A43,期初余额!$B$6:$B$185,$C43)-SUMIFS(期初余额!$D$6:$D$185,期初余额!$A$6:$A$185,$A43,期初余额!$B$6:$B$185,$C43),SUMIFS(期初余额!$D$6:$D$185,期初余额!$A$6:$A$185,$A43,期初余额!$B$6:$B$185,$C43)-SUMIFS(期初余额!$C$6:$C$185,期初余额!$A$6:$A$185,$A43,期初余额!$B$6:$B$185,$C43)))</f>
        <v>0</v>
      </c>
      <c r="H43" s="40" t="n">
        <f aca="false">IF($C43="","",$G43+IF($E43="借",SUMIFS(记账分录!$I$6:$I$5505,记账分录!$F$6:$F$5505,$A43,记账分录!$H$6:$H$5505,$C43,记账分录!$E$6:$E$5505,"&lt;"&amp;$A$4)-SUMIFS(记账分录!$J$6:$J$5505,记账分录!$F$6:$F$5505,$A43,记账分录!$H$6:$H$5505,$C43,记账分录!$E$6:$E$5505,"&lt;"&amp;$A$4),SUMIFS(记账分录!$J$6:$J$5505,记账分录!$F$6:$F$5505,$A43,记账分录!$H$6:$H$5505,$C43,记账分录!$E$6:$E$5505,"&lt;"&amp;$A$4)-SUMIFS(记账分录!$I$6:$I$5505,记账分录!$F$6:$F$5505,$A43,记账分录!$H$6:$H$5505,$C43,记账分录!$E$6:$E$5505,"&lt;"&amp;$A$4)))</f>
        <v>0</v>
      </c>
      <c r="I43" s="40" t="n">
        <f aca="false">IF($C43="","",SUMIFS(记账分录!$I$6:$I$5505,记账分录!$F$6:$F$5505,$A43,记账分录!$H$6:$H$5505,$C43,记账分录!$E$6:$E$5505,"&gt;="&amp;$A$4,记账分录!$E$6:$E$5505,"&lt;="&amp;$B$4))</f>
        <v>123000</v>
      </c>
      <c r="J43" s="40" t="n">
        <f aca="false">IF($C43="","",SUMIFS(记账分录!$J$6:$J$5505,记账分录!$F$6:$F$5505,$A43,记账分录!$H$6:$H$5505,$C43,记账分录!$E$6:$E$5505,"&gt;="&amp;$A$4,记账分录!$E$6:$E$5505,"&lt;="&amp;$B$4))</f>
        <v>0</v>
      </c>
      <c r="K43" s="42" t="n">
        <f aca="false">IF($C43="","",IF($E43="借",$I43-$J43,$J43-$I43))</f>
        <v>123000</v>
      </c>
      <c r="L43" s="42" t="n">
        <f aca="false">IF($C43="","",ROUND($H43+$K43,2))</f>
        <v>123000</v>
      </c>
      <c r="M43" s="40" t="n">
        <f aca="false">IF($C43="","",SUMIFS(记账分录!$I$6:$I$5505,记账分录!$F$6:$F$5505,$A43,记账分录!$H$6:$H$5505,$C43,记账分录!$E$6:$E$5505,"&lt;="&amp;$B$4))</f>
        <v>123000</v>
      </c>
      <c r="N43" s="40" t="n">
        <f aca="false">IF($C43="","",SUMIFS(记账分录!$J$6:$J$5505,记账分录!$F$6:$F$5505,$A43,记账分录!$H$6:$H$5505,$C43,记账分录!$E$6:$E$5505,"&lt;="&amp;$B$4))</f>
        <v>0</v>
      </c>
      <c r="O43" s="42" t="n">
        <f aca="false">IF($C43="","",IF($E43="借",$M43-$N43,$N43-$M43))</f>
        <v>123000</v>
      </c>
      <c r="P43" s="64" t="str">
        <f aca="false">IF($C43="","",IF(OR(ROUND($G43,2)&lt;&gt;0,ROUND($M43,2)&lt;&gt;0,ROUND($N43,2)&lt;&gt;0),"有",""))</f>
        <v>有</v>
      </c>
    </row>
    <row r="44" customFormat="false" ht="15" hidden="false" customHeight="false" outlineLevel="0" collapsed="false">
      <c r="A44" s="25" t="str">
        <f aca="false">IF(会计科目表!$B43="","",参数设置!$A$10)</f>
        <v>农业</v>
      </c>
      <c r="B44" s="25" t="str">
        <f aca="false">IF(会计科目表!$B43="","",会计科目表!$A43)</f>
        <v>6603</v>
      </c>
      <c r="C44" s="10" t="str">
        <f aca="false">IF(会计科目表!$B43="","",会计科目表!$B43)</f>
        <v>财务费用</v>
      </c>
      <c r="D44" s="25" t="str">
        <f aca="false">IF($C44="","",会计科目表!$C43)</f>
        <v>损益-费用</v>
      </c>
      <c r="E44" s="25" t="str">
        <f aca="false">IF($C44="","",会计科目表!$D43)</f>
        <v>借</v>
      </c>
      <c r="F44" s="10" t="str">
        <f aca="false">IF($C44="","",会计科目表!$F43)</f>
        <v>财务费用</v>
      </c>
      <c r="G44" s="40" t="n">
        <f aca="false">IF($C44="","",IF($E44="借",SUMIFS(期初余额!$C$6:$C$185,期初余额!$A$6:$A$185,$A44,期初余额!$B$6:$B$185,$C44)-SUMIFS(期初余额!$D$6:$D$185,期初余额!$A$6:$A$185,$A44,期初余额!$B$6:$B$185,$C44),SUMIFS(期初余额!$D$6:$D$185,期初余额!$A$6:$A$185,$A44,期初余额!$B$6:$B$185,$C44)-SUMIFS(期初余额!$C$6:$C$185,期初余额!$A$6:$A$185,$A44,期初余额!$B$6:$B$185,$C44)))</f>
        <v>0</v>
      </c>
      <c r="H44" s="40" t="n">
        <f aca="false">IF($C44="","",$G44+IF($E44="借",SUMIFS(记账分录!$I$6:$I$5505,记账分录!$F$6:$F$5505,$A44,记账分录!$H$6:$H$5505,$C44,记账分录!$E$6:$E$5505,"&lt;"&amp;$A$4)-SUMIFS(记账分录!$J$6:$J$5505,记账分录!$F$6:$F$5505,$A44,记账分录!$H$6:$H$5505,$C44,记账分录!$E$6:$E$5505,"&lt;"&amp;$A$4),SUMIFS(记账分录!$J$6:$J$5505,记账分录!$F$6:$F$5505,$A44,记账分录!$H$6:$H$5505,$C44,记账分录!$E$6:$E$5505,"&lt;"&amp;$A$4)-SUMIFS(记账分录!$I$6:$I$5505,记账分录!$F$6:$F$5505,$A44,记账分录!$H$6:$H$5505,$C44,记账分录!$E$6:$E$5505,"&lt;"&amp;$A$4)))</f>
        <v>0</v>
      </c>
      <c r="I44" s="40" t="n">
        <f aca="false">IF($C44="","",SUMIFS(记账分录!$I$6:$I$5505,记账分录!$F$6:$F$5505,$A44,记账分录!$H$6:$H$5505,$C44,记账分录!$E$6:$E$5505,"&gt;="&amp;$A$4,记账分录!$E$6:$E$5505,"&lt;="&amp;$B$4))</f>
        <v>6000</v>
      </c>
      <c r="J44" s="40" t="n">
        <f aca="false">IF($C44="","",SUMIFS(记账分录!$J$6:$J$5505,记账分录!$F$6:$F$5505,$A44,记账分录!$H$6:$H$5505,$C44,记账分录!$E$6:$E$5505,"&gt;="&amp;$A$4,记账分录!$E$6:$E$5505,"&lt;="&amp;$B$4))</f>
        <v>0</v>
      </c>
      <c r="K44" s="42" t="n">
        <f aca="false">IF($C44="","",IF($E44="借",$I44-$J44,$J44-$I44))</f>
        <v>6000</v>
      </c>
      <c r="L44" s="42" t="n">
        <f aca="false">IF($C44="","",ROUND($H44+$K44,2))</f>
        <v>6000</v>
      </c>
      <c r="M44" s="40" t="n">
        <f aca="false">IF($C44="","",SUMIFS(记账分录!$I$6:$I$5505,记账分录!$F$6:$F$5505,$A44,记账分录!$H$6:$H$5505,$C44,记账分录!$E$6:$E$5505,"&lt;="&amp;$B$4))</f>
        <v>6000</v>
      </c>
      <c r="N44" s="40" t="n">
        <f aca="false">IF($C44="","",SUMIFS(记账分录!$J$6:$J$5505,记账分录!$F$6:$F$5505,$A44,记账分录!$H$6:$H$5505,$C44,记账分录!$E$6:$E$5505,"&lt;="&amp;$B$4))</f>
        <v>0</v>
      </c>
      <c r="O44" s="42" t="n">
        <f aca="false">IF($C44="","",IF($E44="借",$M44-$N44,$N44-$M44))</f>
        <v>6000</v>
      </c>
      <c r="P44" s="64" t="str">
        <f aca="false">IF($C44="","",IF(OR(ROUND($G44,2)&lt;&gt;0,ROUND($M44,2)&lt;&gt;0,ROUND($N44,2)&lt;&gt;0),"有",""))</f>
        <v>有</v>
      </c>
    </row>
    <row r="45" customFormat="false" ht="15" hidden="false" customHeight="false" outlineLevel="0" collapsed="false">
      <c r="A45" s="25" t="str">
        <f aca="false">IF(会计科目表!$B44="","",参数设置!$A$10)</f>
        <v>农业</v>
      </c>
      <c r="B45" s="25" t="str">
        <f aca="false">IF(会计科目表!$B44="","",会计科目表!$A44)</f>
        <v>6604</v>
      </c>
      <c r="C45" s="10" t="str">
        <f aca="false">IF(会计科目表!$B44="","",会计科目表!$B44)</f>
        <v>研发费用</v>
      </c>
      <c r="D45" s="25" t="str">
        <f aca="false">IF($C45="","",会计科目表!$C44)</f>
        <v>损益-费用</v>
      </c>
      <c r="E45" s="25" t="str">
        <f aca="false">IF($C45="","",会计科目表!$D44)</f>
        <v>借</v>
      </c>
      <c r="F45" s="10" t="str">
        <f aca="false">IF($C45="","",会计科目表!$F44)</f>
        <v>研发费用</v>
      </c>
      <c r="G45" s="40" t="n">
        <f aca="false">IF($C45="","",IF($E45="借",SUMIFS(期初余额!$C$6:$C$185,期初余额!$A$6:$A$185,$A45,期初余额!$B$6:$B$185,$C45)-SUMIFS(期初余额!$D$6:$D$185,期初余额!$A$6:$A$185,$A45,期初余额!$B$6:$B$185,$C45),SUMIFS(期初余额!$D$6:$D$185,期初余额!$A$6:$A$185,$A45,期初余额!$B$6:$B$185,$C45)-SUMIFS(期初余额!$C$6:$C$185,期初余额!$A$6:$A$185,$A45,期初余额!$B$6:$B$185,$C45)))</f>
        <v>0</v>
      </c>
      <c r="H45" s="40" t="n">
        <f aca="false">IF($C45="","",$G45+IF($E45="借",SUMIFS(记账分录!$I$6:$I$5505,记账分录!$F$6:$F$5505,$A45,记账分录!$H$6:$H$5505,$C45,记账分录!$E$6:$E$5505,"&lt;"&amp;$A$4)-SUMIFS(记账分录!$J$6:$J$5505,记账分录!$F$6:$F$5505,$A45,记账分录!$H$6:$H$5505,$C45,记账分录!$E$6:$E$5505,"&lt;"&amp;$A$4),SUMIFS(记账分录!$J$6:$J$5505,记账分录!$F$6:$F$5505,$A45,记账分录!$H$6:$H$5505,$C45,记账分录!$E$6:$E$5505,"&lt;"&amp;$A$4)-SUMIFS(记账分录!$I$6:$I$5505,记账分录!$F$6:$F$5505,$A45,记账分录!$H$6:$H$5505,$C45,记账分录!$E$6:$E$5505,"&lt;"&amp;$A$4)))</f>
        <v>0</v>
      </c>
      <c r="I45" s="40" t="n">
        <f aca="false">IF($C45="","",SUMIFS(记账分录!$I$6:$I$5505,记账分录!$F$6:$F$5505,$A45,记账分录!$H$6:$H$5505,$C45,记账分录!$E$6:$E$5505,"&gt;="&amp;$A$4,记账分录!$E$6:$E$5505,"&lt;="&amp;$B$4))</f>
        <v>0</v>
      </c>
      <c r="J45" s="40" t="n">
        <f aca="false">IF($C45="","",SUMIFS(记账分录!$J$6:$J$5505,记账分录!$F$6:$F$5505,$A45,记账分录!$H$6:$H$5505,$C45,记账分录!$E$6:$E$5505,"&gt;="&amp;$A$4,记账分录!$E$6:$E$5505,"&lt;="&amp;$B$4))</f>
        <v>0</v>
      </c>
      <c r="K45" s="42" t="n">
        <f aca="false">IF($C45="","",IF($E45="借",$I45-$J45,$J45-$I45))</f>
        <v>0</v>
      </c>
      <c r="L45" s="42" t="n">
        <f aca="false">IF($C45="","",ROUND($H45+$K45,2))</f>
        <v>0</v>
      </c>
      <c r="M45" s="40" t="n">
        <f aca="false">IF($C45="","",SUMIFS(记账分录!$I$6:$I$5505,记账分录!$F$6:$F$5505,$A45,记账分录!$H$6:$H$5505,$C45,记账分录!$E$6:$E$5505,"&lt;="&amp;$B$4))</f>
        <v>0</v>
      </c>
      <c r="N45" s="40" t="n">
        <f aca="false">IF($C45="","",SUMIFS(记账分录!$J$6:$J$5505,记账分录!$F$6:$F$5505,$A45,记账分录!$H$6:$H$5505,$C45,记账分录!$E$6:$E$5505,"&lt;="&amp;$B$4))</f>
        <v>0</v>
      </c>
      <c r="O45" s="42" t="n">
        <f aca="false">IF($C45="","",IF($E45="借",$M45-$N45,$N45-$M45))</f>
        <v>0</v>
      </c>
      <c r="P45" s="64" t="str">
        <f aca="false">IF($C45="","",IF(OR(ROUND($G45,2)&lt;&gt;0,ROUND($M45,2)&lt;&gt;0,ROUND($N45,2)&lt;&gt;0),"有",""))</f>
        <v/>
      </c>
    </row>
    <row r="46" customFormat="false" ht="15" hidden="false" customHeight="false" outlineLevel="0" collapsed="false">
      <c r="A46" s="25" t="str">
        <f aca="false">IF(会计科目表!$B45="","",参数设置!$A$10)</f>
        <v>农业</v>
      </c>
      <c r="B46" s="25" t="str">
        <f aca="false">IF(会计科目表!$B45="","",会计科目表!$A45)</f>
        <v>6711</v>
      </c>
      <c r="C46" s="10" t="str">
        <f aca="false">IF(会计科目表!$B45="","",会计科目表!$B45)</f>
        <v>营业外支出</v>
      </c>
      <c r="D46" s="25" t="str">
        <f aca="false">IF($C46="","",会计科目表!$C45)</f>
        <v>损益-费用</v>
      </c>
      <c r="E46" s="25" t="str">
        <f aca="false">IF($C46="","",会计科目表!$D45)</f>
        <v>借</v>
      </c>
      <c r="F46" s="10" t="str">
        <f aca="false">IF($C46="","",会计科目表!$F45)</f>
        <v>营业外支出</v>
      </c>
      <c r="G46" s="40" t="n">
        <f aca="false">IF($C46="","",IF($E46="借",SUMIFS(期初余额!$C$6:$C$185,期初余额!$A$6:$A$185,$A46,期初余额!$B$6:$B$185,$C46)-SUMIFS(期初余额!$D$6:$D$185,期初余额!$A$6:$A$185,$A46,期初余额!$B$6:$B$185,$C46),SUMIFS(期初余额!$D$6:$D$185,期初余额!$A$6:$A$185,$A46,期初余额!$B$6:$B$185,$C46)-SUMIFS(期初余额!$C$6:$C$185,期初余额!$A$6:$A$185,$A46,期初余额!$B$6:$B$185,$C46)))</f>
        <v>0</v>
      </c>
      <c r="H46" s="40" t="n">
        <f aca="false">IF($C46="","",$G46+IF($E46="借",SUMIFS(记账分录!$I$6:$I$5505,记账分录!$F$6:$F$5505,$A46,记账分录!$H$6:$H$5505,$C46,记账分录!$E$6:$E$5505,"&lt;"&amp;$A$4)-SUMIFS(记账分录!$J$6:$J$5505,记账分录!$F$6:$F$5505,$A46,记账分录!$H$6:$H$5505,$C46,记账分录!$E$6:$E$5505,"&lt;"&amp;$A$4),SUMIFS(记账分录!$J$6:$J$5505,记账分录!$F$6:$F$5505,$A46,记账分录!$H$6:$H$5505,$C46,记账分录!$E$6:$E$5505,"&lt;"&amp;$A$4)-SUMIFS(记账分录!$I$6:$I$5505,记账分录!$F$6:$F$5505,$A46,记账分录!$H$6:$H$5505,$C46,记账分录!$E$6:$E$5505,"&lt;"&amp;$A$4)))</f>
        <v>0</v>
      </c>
      <c r="I46" s="40" t="n">
        <f aca="false">IF($C46="","",SUMIFS(记账分录!$I$6:$I$5505,记账分录!$F$6:$F$5505,$A46,记账分录!$H$6:$H$5505,$C46,记账分录!$E$6:$E$5505,"&gt;="&amp;$A$4,记账分录!$E$6:$E$5505,"&lt;="&amp;$B$4))</f>
        <v>0</v>
      </c>
      <c r="J46" s="40" t="n">
        <f aca="false">IF($C46="","",SUMIFS(记账分录!$J$6:$J$5505,记账分录!$F$6:$F$5505,$A46,记账分录!$H$6:$H$5505,$C46,记账分录!$E$6:$E$5505,"&gt;="&amp;$A$4,记账分录!$E$6:$E$5505,"&lt;="&amp;$B$4))</f>
        <v>0</v>
      </c>
      <c r="K46" s="42" t="n">
        <f aca="false">IF($C46="","",IF($E46="借",$I46-$J46,$J46-$I46))</f>
        <v>0</v>
      </c>
      <c r="L46" s="42" t="n">
        <f aca="false">IF($C46="","",ROUND($H46+$K46,2))</f>
        <v>0</v>
      </c>
      <c r="M46" s="40" t="n">
        <f aca="false">IF($C46="","",SUMIFS(记账分录!$I$6:$I$5505,记账分录!$F$6:$F$5505,$A46,记账分录!$H$6:$H$5505,$C46,记账分录!$E$6:$E$5505,"&lt;="&amp;$B$4))</f>
        <v>0</v>
      </c>
      <c r="N46" s="40" t="n">
        <f aca="false">IF($C46="","",SUMIFS(记账分录!$J$6:$J$5505,记账分录!$F$6:$F$5505,$A46,记账分录!$H$6:$H$5505,$C46,记账分录!$E$6:$E$5505,"&lt;="&amp;$B$4))</f>
        <v>0</v>
      </c>
      <c r="O46" s="42" t="n">
        <f aca="false">IF($C46="","",IF($E46="借",$M46-$N46,$N46-$M46))</f>
        <v>0</v>
      </c>
      <c r="P46" s="64" t="str">
        <f aca="false">IF($C46="","",IF(OR(ROUND($G46,2)&lt;&gt;0,ROUND($M46,2)&lt;&gt;0,ROUND($N46,2)&lt;&gt;0),"有",""))</f>
        <v/>
      </c>
    </row>
    <row r="47" customFormat="false" ht="15" hidden="false" customHeight="false" outlineLevel="0" collapsed="false">
      <c r="A47" s="25" t="str">
        <f aca="false">IF(会计科目表!$B46="","",参数设置!$A$10)</f>
        <v>农业</v>
      </c>
      <c r="B47" s="25" t="str">
        <f aca="false">IF(会计科目表!$B46="","",会计科目表!$A46)</f>
        <v>6801</v>
      </c>
      <c r="C47" s="10" t="str">
        <f aca="false">IF(会计科目表!$B46="","",会计科目表!$B46)</f>
        <v>所得税费用</v>
      </c>
      <c r="D47" s="25" t="str">
        <f aca="false">IF($C47="","",会计科目表!$C46)</f>
        <v>损益-费用</v>
      </c>
      <c r="E47" s="25" t="str">
        <f aca="false">IF($C47="","",会计科目表!$D46)</f>
        <v>借</v>
      </c>
      <c r="F47" s="10" t="str">
        <f aca="false">IF($C47="","",会计科目表!$F46)</f>
        <v>所得税费用</v>
      </c>
      <c r="G47" s="40" t="n">
        <f aca="false">IF($C47="","",IF($E47="借",SUMIFS(期初余额!$C$6:$C$185,期初余额!$A$6:$A$185,$A47,期初余额!$B$6:$B$185,$C47)-SUMIFS(期初余额!$D$6:$D$185,期初余额!$A$6:$A$185,$A47,期初余额!$B$6:$B$185,$C47),SUMIFS(期初余额!$D$6:$D$185,期初余额!$A$6:$A$185,$A47,期初余额!$B$6:$B$185,$C47)-SUMIFS(期初余额!$C$6:$C$185,期初余额!$A$6:$A$185,$A47,期初余额!$B$6:$B$185,$C47)))</f>
        <v>0</v>
      </c>
      <c r="H47" s="40" t="n">
        <f aca="false">IF($C47="","",$G47+IF($E47="借",SUMIFS(记账分录!$I$6:$I$5505,记账分录!$F$6:$F$5505,$A47,记账分录!$H$6:$H$5505,$C47,记账分录!$E$6:$E$5505,"&lt;"&amp;$A$4)-SUMIFS(记账分录!$J$6:$J$5505,记账分录!$F$6:$F$5505,$A47,记账分录!$H$6:$H$5505,$C47,记账分录!$E$6:$E$5505,"&lt;"&amp;$A$4),SUMIFS(记账分录!$J$6:$J$5505,记账分录!$F$6:$F$5505,$A47,记账分录!$H$6:$H$5505,$C47,记账分录!$E$6:$E$5505,"&lt;"&amp;$A$4)-SUMIFS(记账分录!$I$6:$I$5505,记账分录!$F$6:$F$5505,$A47,记账分录!$H$6:$H$5505,$C47,记账分录!$E$6:$E$5505,"&lt;"&amp;$A$4)))</f>
        <v>0</v>
      </c>
      <c r="I47" s="40" t="n">
        <f aca="false">IF($C47="","",SUMIFS(记账分录!$I$6:$I$5505,记账分录!$F$6:$F$5505,$A47,记账分录!$H$6:$H$5505,$C47,记账分录!$E$6:$E$5505,"&gt;="&amp;$A$4,记账分录!$E$6:$E$5505,"&lt;="&amp;$B$4))</f>
        <v>0</v>
      </c>
      <c r="J47" s="40" t="n">
        <f aca="false">IF($C47="","",SUMIFS(记账分录!$J$6:$J$5505,记账分录!$F$6:$F$5505,$A47,记账分录!$H$6:$H$5505,$C47,记账分录!$E$6:$E$5505,"&gt;="&amp;$A$4,记账分录!$E$6:$E$5505,"&lt;="&amp;$B$4))</f>
        <v>0</v>
      </c>
      <c r="K47" s="42" t="n">
        <f aca="false">IF($C47="","",IF($E47="借",$I47-$J47,$J47-$I47))</f>
        <v>0</v>
      </c>
      <c r="L47" s="42" t="n">
        <f aca="false">IF($C47="","",ROUND($H47+$K47,2))</f>
        <v>0</v>
      </c>
      <c r="M47" s="40" t="n">
        <f aca="false">IF($C47="","",SUMIFS(记账分录!$I$6:$I$5505,记账分录!$F$6:$F$5505,$A47,记账分录!$H$6:$H$5505,$C47,记账分录!$E$6:$E$5505,"&lt;="&amp;$B$4))</f>
        <v>0</v>
      </c>
      <c r="N47" s="40" t="n">
        <f aca="false">IF($C47="","",SUMIFS(记账分录!$J$6:$J$5505,记账分录!$F$6:$F$5505,$A47,记账分录!$H$6:$H$5505,$C47,记账分录!$E$6:$E$5505,"&lt;="&amp;$B$4))</f>
        <v>0</v>
      </c>
      <c r="O47" s="42" t="n">
        <f aca="false">IF($C47="","",IF($E47="借",$M47-$N47,$N47-$M47))</f>
        <v>0</v>
      </c>
      <c r="P47" s="64" t="str">
        <f aca="false">IF($C47="","",IF(OR(ROUND($G47,2)&lt;&gt;0,ROUND($M47,2)&lt;&gt;0,ROUND($N47,2)&lt;&gt;0),"有",""))</f>
        <v/>
      </c>
    </row>
    <row r="48" customFormat="false" ht="15" hidden="true" customHeight="false" outlineLevel="0" collapsed="false">
      <c r="A48" s="25" t="str">
        <f aca="false">IF(会计科目表!$B47="","",参数设置!$A$10)</f>
        <v/>
      </c>
      <c r="B48" s="25" t="str">
        <f aca="false">IF(会计科目表!$B47="","",会计科目表!$A47)</f>
        <v/>
      </c>
      <c r="C48" s="10" t="str">
        <f aca="false">IF(会计科目表!$B47="","",会计科目表!$B47)</f>
        <v/>
      </c>
      <c r="D48" s="25" t="str">
        <f aca="false">IF($C48="","",会计科目表!$C47)</f>
        <v/>
      </c>
      <c r="E48" s="25" t="str">
        <f aca="false">IF($C48="","",会计科目表!$D47)</f>
        <v/>
      </c>
      <c r="F48" s="10" t="str">
        <f aca="false">IF($C48="","",会计科目表!$F47)</f>
        <v/>
      </c>
      <c r="G48" s="40" t="str">
        <f aca="false">IF($C48="","",IF($E48="借",SUMIFS(期初余额!$C$6:$C$185,期初余额!$A$6:$A$185,$A48,期初余额!$B$6:$B$185,$C48)-SUMIFS(期初余额!$D$6:$D$185,期初余额!$A$6:$A$185,$A48,期初余额!$B$6:$B$185,$C48),SUMIFS(期初余额!$D$6:$D$185,期初余额!$A$6:$A$185,$A48,期初余额!$B$6:$B$185,$C48)-SUMIFS(期初余额!$C$6:$C$185,期初余额!$A$6:$A$185,$A48,期初余额!$B$6:$B$185,$C48)))</f>
        <v/>
      </c>
      <c r="H48" s="40" t="str">
        <f aca="false">IF($C48="","",$G48+IF($E48="借",SUMIFS(记账分录!$I$6:$I$5505,记账分录!$F$6:$F$5505,$A48,记账分录!$H$6:$H$5505,$C48,记账分录!$E$6:$E$5505,"&lt;"&amp;$A$4)-SUMIFS(记账分录!$J$6:$J$5505,记账分录!$F$6:$F$5505,$A48,记账分录!$H$6:$H$5505,$C48,记账分录!$E$6:$E$5505,"&lt;"&amp;$A$4),SUMIFS(记账分录!$J$6:$J$5505,记账分录!$F$6:$F$5505,$A48,记账分录!$H$6:$H$5505,$C48,记账分录!$E$6:$E$5505,"&lt;"&amp;$A$4)-SUMIFS(记账分录!$I$6:$I$5505,记账分录!$F$6:$F$5505,$A48,记账分录!$H$6:$H$5505,$C48,记账分录!$E$6:$E$5505,"&lt;"&amp;$A$4)))</f>
        <v/>
      </c>
      <c r="I48" s="40" t="str">
        <f aca="false">IF($C48="","",SUMIFS(记账分录!$I$6:$I$5505,记账分录!$F$6:$F$5505,$A48,记账分录!$H$6:$H$5505,$C48,记账分录!$E$6:$E$5505,"&gt;="&amp;$A$4,记账分录!$E$6:$E$5505,"&lt;="&amp;$B$4))</f>
        <v/>
      </c>
      <c r="J48" s="40" t="str">
        <f aca="false">IF($C48="","",SUMIFS(记账分录!$J$6:$J$5505,记账分录!$F$6:$F$5505,$A48,记账分录!$H$6:$H$5505,$C48,记账分录!$E$6:$E$5505,"&gt;="&amp;$A$4,记账分录!$E$6:$E$5505,"&lt;="&amp;$B$4))</f>
        <v/>
      </c>
      <c r="K48" s="42" t="str">
        <f aca="false">IF($C48="","",IF($E48="借",$I48-$J48,$J48-$I48))</f>
        <v/>
      </c>
      <c r="L48" s="42" t="str">
        <f aca="false">IF($C48="","",ROUND($H48+$K48,2))</f>
        <v/>
      </c>
      <c r="M48" s="40" t="str">
        <f aca="false">IF($C48="","",SUMIFS(记账分录!$I$6:$I$5505,记账分录!$F$6:$F$5505,$A48,记账分录!$H$6:$H$5505,$C48,记账分录!$E$6:$E$5505,"&lt;="&amp;$B$4))</f>
        <v/>
      </c>
      <c r="N48" s="40" t="str">
        <f aca="false">IF($C48="","",SUMIFS(记账分录!$J$6:$J$5505,记账分录!$F$6:$F$5505,$A48,记账分录!$H$6:$H$5505,$C48,记账分录!$E$6:$E$5505,"&lt;="&amp;$B$4))</f>
        <v/>
      </c>
      <c r="O48" s="42" t="str">
        <f aca="false">IF($C48="","",IF($E48="借",$M48-$N48,$N48-$M48))</f>
        <v/>
      </c>
      <c r="P48" s="64" t="str">
        <f aca="false">IF($C48="","",IF(OR(ROUND($G48,2)&lt;&gt;0,ROUND($M48,2)&lt;&gt;0,ROUND($N48,2)&lt;&gt;0),"有",""))</f>
        <v/>
      </c>
    </row>
    <row r="49" customFormat="false" ht="15" hidden="true" customHeight="false" outlineLevel="0" collapsed="false">
      <c r="A49" s="25" t="str">
        <f aca="false">IF(会计科目表!$B48="","",参数设置!$A$10)</f>
        <v/>
      </c>
      <c r="B49" s="25" t="str">
        <f aca="false">IF(会计科目表!$B48="","",会计科目表!$A48)</f>
        <v/>
      </c>
      <c r="C49" s="10" t="str">
        <f aca="false">IF(会计科目表!$B48="","",会计科目表!$B48)</f>
        <v/>
      </c>
      <c r="D49" s="25" t="str">
        <f aca="false">IF($C49="","",会计科目表!$C48)</f>
        <v/>
      </c>
      <c r="E49" s="25" t="str">
        <f aca="false">IF($C49="","",会计科目表!$D48)</f>
        <v/>
      </c>
      <c r="F49" s="10" t="str">
        <f aca="false">IF($C49="","",会计科目表!$F48)</f>
        <v/>
      </c>
      <c r="G49" s="40" t="str">
        <f aca="false">IF($C49="","",IF($E49="借",SUMIFS(期初余额!$C$6:$C$185,期初余额!$A$6:$A$185,$A49,期初余额!$B$6:$B$185,$C49)-SUMIFS(期初余额!$D$6:$D$185,期初余额!$A$6:$A$185,$A49,期初余额!$B$6:$B$185,$C49),SUMIFS(期初余额!$D$6:$D$185,期初余额!$A$6:$A$185,$A49,期初余额!$B$6:$B$185,$C49)-SUMIFS(期初余额!$C$6:$C$185,期初余额!$A$6:$A$185,$A49,期初余额!$B$6:$B$185,$C49)))</f>
        <v/>
      </c>
      <c r="H49" s="40" t="str">
        <f aca="false">IF($C49="","",$G49+IF($E49="借",SUMIFS(记账分录!$I$6:$I$5505,记账分录!$F$6:$F$5505,$A49,记账分录!$H$6:$H$5505,$C49,记账分录!$E$6:$E$5505,"&lt;"&amp;$A$4)-SUMIFS(记账分录!$J$6:$J$5505,记账分录!$F$6:$F$5505,$A49,记账分录!$H$6:$H$5505,$C49,记账分录!$E$6:$E$5505,"&lt;"&amp;$A$4),SUMIFS(记账分录!$J$6:$J$5505,记账分录!$F$6:$F$5505,$A49,记账分录!$H$6:$H$5505,$C49,记账分录!$E$6:$E$5505,"&lt;"&amp;$A$4)-SUMIFS(记账分录!$I$6:$I$5505,记账分录!$F$6:$F$5505,$A49,记账分录!$H$6:$H$5505,$C49,记账分录!$E$6:$E$5505,"&lt;"&amp;$A$4)))</f>
        <v/>
      </c>
      <c r="I49" s="40" t="str">
        <f aca="false">IF($C49="","",SUMIFS(记账分录!$I$6:$I$5505,记账分录!$F$6:$F$5505,$A49,记账分录!$H$6:$H$5505,$C49,记账分录!$E$6:$E$5505,"&gt;="&amp;$A$4,记账分录!$E$6:$E$5505,"&lt;="&amp;$B$4))</f>
        <v/>
      </c>
      <c r="J49" s="40" t="str">
        <f aca="false">IF($C49="","",SUMIFS(记账分录!$J$6:$J$5505,记账分录!$F$6:$F$5505,$A49,记账分录!$H$6:$H$5505,$C49,记账分录!$E$6:$E$5505,"&gt;="&amp;$A$4,记账分录!$E$6:$E$5505,"&lt;="&amp;$B$4))</f>
        <v/>
      </c>
      <c r="K49" s="42" t="str">
        <f aca="false">IF($C49="","",IF($E49="借",$I49-$J49,$J49-$I49))</f>
        <v/>
      </c>
      <c r="L49" s="42" t="str">
        <f aca="false">IF($C49="","",ROUND($H49+$K49,2))</f>
        <v/>
      </c>
      <c r="M49" s="40" t="str">
        <f aca="false">IF($C49="","",SUMIFS(记账分录!$I$6:$I$5505,记账分录!$F$6:$F$5505,$A49,记账分录!$H$6:$H$5505,$C49,记账分录!$E$6:$E$5505,"&lt;="&amp;$B$4))</f>
        <v/>
      </c>
      <c r="N49" s="40" t="str">
        <f aca="false">IF($C49="","",SUMIFS(记账分录!$J$6:$J$5505,记账分录!$F$6:$F$5505,$A49,记账分录!$H$6:$H$5505,$C49,记账分录!$E$6:$E$5505,"&lt;="&amp;$B$4))</f>
        <v/>
      </c>
      <c r="O49" s="42" t="str">
        <f aca="false">IF($C49="","",IF($E49="借",$M49-$N49,$N49-$M49))</f>
        <v/>
      </c>
      <c r="P49" s="64" t="str">
        <f aca="false">IF($C49="","",IF(OR(ROUND($G49,2)&lt;&gt;0,ROUND($M49,2)&lt;&gt;0,ROUND($N49,2)&lt;&gt;0),"有",""))</f>
        <v/>
      </c>
    </row>
    <row r="50" customFormat="false" ht="15" hidden="true" customHeight="false" outlineLevel="0" collapsed="false">
      <c r="A50" s="25" t="str">
        <f aca="false">IF(会计科目表!$B49="","",参数设置!$A$10)</f>
        <v/>
      </c>
      <c r="B50" s="25" t="str">
        <f aca="false">IF(会计科目表!$B49="","",会计科目表!$A49)</f>
        <v/>
      </c>
      <c r="C50" s="10" t="str">
        <f aca="false">IF(会计科目表!$B49="","",会计科目表!$B49)</f>
        <v/>
      </c>
      <c r="D50" s="25" t="str">
        <f aca="false">IF($C50="","",会计科目表!$C49)</f>
        <v/>
      </c>
      <c r="E50" s="25" t="str">
        <f aca="false">IF($C50="","",会计科目表!$D49)</f>
        <v/>
      </c>
      <c r="F50" s="10" t="str">
        <f aca="false">IF($C50="","",会计科目表!$F49)</f>
        <v/>
      </c>
      <c r="G50" s="40" t="str">
        <f aca="false">IF($C50="","",IF($E50="借",SUMIFS(期初余额!$C$6:$C$185,期初余额!$A$6:$A$185,$A50,期初余额!$B$6:$B$185,$C50)-SUMIFS(期初余额!$D$6:$D$185,期初余额!$A$6:$A$185,$A50,期初余额!$B$6:$B$185,$C50),SUMIFS(期初余额!$D$6:$D$185,期初余额!$A$6:$A$185,$A50,期初余额!$B$6:$B$185,$C50)-SUMIFS(期初余额!$C$6:$C$185,期初余额!$A$6:$A$185,$A50,期初余额!$B$6:$B$185,$C50)))</f>
        <v/>
      </c>
      <c r="H50" s="40" t="str">
        <f aca="false">IF($C50="","",$G50+IF($E50="借",SUMIFS(记账分录!$I$6:$I$5505,记账分录!$F$6:$F$5505,$A50,记账分录!$H$6:$H$5505,$C50,记账分录!$E$6:$E$5505,"&lt;"&amp;$A$4)-SUMIFS(记账分录!$J$6:$J$5505,记账分录!$F$6:$F$5505,$A50,记账分录!$H$6:$H$5505,$C50,记账分录!$E$6:$E$5505,"&lt;"&amp;$A$4),SUMIFS(记账分录!$J$6:$J$5505,记账分录!$F$6:$F$5505,$A50,记账分录!$H$6:$H$5505,$C50,记账分录!$E$6:$E$5505,"&lt;"&amp;$A$4)-SUMIFS(记账分录!$I$6:$I$5505,记账分录!$F$6:$F$5505,$A50,记账分录!$H$6:$H$5505,$C50,记账分录!$E$6:$E$5505,"&lt;"&amp;$A$4)))</f>
        <v/>
      </c>
      <c r="I50" s="40" t="str">
        <f aca="false">IF($C50="","",SUMIFS(记账分录!$I$6:$I$5505,记账分录!$F$6:$F$5505,$A50,记账分录!$H$6:$H$5505,$C50,记账分录!$E$6:$E$5505,"&gt;="&amp;$A$4,记账分录!$E$6:$E$5505,"&lt;="&amp;$B$4))</f>
        <v/>
      </c>
      <c r="J50" s="40" t="str">
        <f aca="false">IF($C50="","",SUMIFS(记账分录!$J$6:$J$5505,记账分录!$F$6:$F$5505,$A50,记账分录!$H$6:$H$5505,$C50,记账分录!$E$6:$E$5505,"&gt;="&amp;$A$4,记账分录!$E$6:$E$5505,"&lt;="&amp;$B$4))</f>
        <v/>
      </c>
      <c r="K50" s="42" t="str">
        <f aca="false">IF($C50="","",IF($E50="借",$I50-$J50,$J50-$I50))</f>
        <v/>
      </c>
      <c r="L50" s="42" t="str">
        <f aca="false">IF($C50="","",ROUND($H50+$K50,2))</f>
        <v/>
      </c>
      <c r="M50" s="40" t="str">
        <f aca="false">IF($C50="","",SUMIFS(记账分录!$I$6:$I$5505,记账分录!$F$6:$F$5505,$A50,记账分录!$H$6:$H$5505,$C50,记账分录!$E$6:$E$5505,"&lt;="&amp;$B$4))</f>
        <v/>
      </c>
      <c r="N50" s="40" t="str">
        <f aca="false">IF($C50="","",SUMIFS(记账分录!$J$6:$J$5505,记账分录!$F$6:$F$5505,$A50,记账分录!$H$6:$H$5505,$C50,记账分录!$E$6:$E$5505,"&lt;="&amp;$B$4))</f>
        <v/>
      </c>
      <c r="O50" s="42" t="str">
        <f aca="false">IF($C50="","",IF($E50="借",$M50-$N50,$N50-$M50))</f>
        <v/>
      </c>
      <c r="P50" s="64" t="str">
        <f aca="false">IF($C50="","",IF(OR(ROUND($G50,2)&lt;&gt;0,ROUND($M50,2)&lt;&gt;0,ROUND($N50,2)&lt;&gt;0),"有",""))</f>
        <v/>
      </c>
    </row>
    <row r="51" customFormat="false" ht="15" hidden="true" customHeight="false" outlineLevel="0" collapsed="false">
      <c r="A51" s="25" t="str">
        <f aca="false">IF(会计科目表!$B50="","",参数设置!$A$10)</f>
        <v/>
      </c>
      <c r="B51" s="25" t="str">
        <f aca="false">IF(会计科目表!$B50="","",会计科目表!$A50)</f>
        <v/>
      </c>
      <c r="C51" s="10" t="str">
        <f aca="false">IF(会计科目表!$B50="","",会计科目表!$B50)</f>
        <v/>
      </c>
      <c r="D51" s="25" t="str">
        <f aca="false">IF($C51="","",会计科目表!$C50)</f>
        <v/>
      </c>
      <c r="E51" s="25" t="str">
        <f aca="false">IF($C51="","",会计科目表!$D50)</f>
        <v/>
      </c>
      <c r="F51" s="10" t="str">
        <f aca="false">IF($C51="","",会计科目表!$F50)</f>
        <v/>
      </c>
      <c r="G51" s="40" t="str">
        <f aca="false">IF($C51="","",IF($E51="借",SUMIFS(期初余额!$C$6:$C$185,期初余额!$A$6:$A$185,$A51,期初余额!$B$6:$B$185,$C51)-SUMIFS(期初余额!$D$6:$D$185,期初余额!$A$6:$A$185,$A51,期初余额!$B$6:$B$185,$C51),SUMIFS(期初余额!$D$6:$D$185,期初余额!$A$6:$A$185,$A51,期初余额!$B$6:$B$185,$C51)-SUMIFS(期初余额!$C$6:$C$185,期初余额!$A$6:$A$185,$A51,期初余额!$B$6:$B$185,$C51)))</f>
        <v/>
      </c>
      <c r="H51" s="40" t="str">
        <f aca="false">IF($C51="","",$G51+IF($E51="借",SUMIFS(记账分录!$I$6:$I$5505,记账分录!$F$6:$F$5505,$A51,记账分录!$H$6:$H$5505,$C51,记账分录!$E$6:$E$5505,"&lt;"&amp;$A$4)-SUMIFS(记账分录!$J$6:$J$5505,记账分录!$F$6:$F$5505,$A51,记账分录!$H$6:$H$5505,$C51,记账分录!$E$6:$E$5505,"&lt;"&amp;$A$4),SUMIFS(记账分录!$J$6:$J$5505,记账分录!$F$6:$F$5505,$A51,记账分录!$H$6:$H$5505,$C51,记账分录!$E$6:$E$5505,"&lt;"&amp;$A$4)-SUMIFS(记账分录!$I$6:$I$5505,记账分录!$F$6:$F$5505,$A51,记账分录!$H$6:$H$5505,$C51,记账分录!$E$6:$E$5505,"&lt;"&amp;$A$4)))</f>
        <v/>
      </c>
      <c r="I51" s="40" t="str">
        <f aca="false">IF($C51="","",SUMIFS(记账分录!$I$6:$I$5505,记账分录!$F$6:$F$5505,$A51,记账分录!$H$6:$H$5505,$C51,记账分录!$E$6:$E$5505,"&gt;="&amp;$A$4,记账分录!$E$6:$E$5505,"&lt;="&amp;$B$4))</f>
        <v/>
      </c>
      <c r="J51" s="40" t="str">
        <f aca="false">IF($C51="","",SUMIFS(记账分录!$J$6:$J$5505,记账分录!$F$6:$F$5505,$A51,记账分录!$H$6:$H$5505,$C51,记账分录!$E$6:$E$5505,"&gt;="&amp;$A$4,记账分录!$E$6:$E$5505,"&lt;="&amp;$B$4))</f>
        <v/>
      </c>
      <c r="K51" s="42" t="str">
        <f aca="false">IF($C51="","",IF($E51="借",$I51-$J51,$J51-$I51))</f>
        <v/>
      </c>
      <c r="L51" s="42" t="str">
        <f aca="false">IF($C51="","",ROUND($H51+$K51,2))</f>
        <v/>
      </c>
      <c r="M51" s="40" t="str">
        <f aca="false">IF($C51="","",SUMIFS(记账分录!$I$6:$I$5505,记账分录!$F$6:$F$5505,$A51,记账分录!$H$6:$H$5505,$C51,记账分录!$E$6:$E$5505,"&lt;="&amp;$B$4))</f>
        <v/>
      </c>
      <c r="N51" s="40" t="str">
        <f aca="false">IF($C51="","",SUMIFS(记账分录!$J$6:$J$5505,记账分录!$F$6:$F$5505,$A51,记账分录!$H$6:$H$5505,$C51,记账分录!$E$6:$E$5505,"&lt;="&amp;$B$4))</f>
        <v/>
      </c>
      <c r="O51" s="42" t="str">
        <f aca="false">IF($C51="","",IF($E51="借",$M51-$N51,$N51-$M51))</f>
        <v/>
      </c>
      <c r="P51" s="64" t="str">
        <f aca="false">IF($C51="","",IF(OR(ROUND($G51,2)&lt;&gt;0,ROUND($M51,2)&lt;&gt;0,ROUND($N51,2)&lt;&gt;0),"有",""))</f>
        <v/>
      </c>
    </row>
    <row r="52" customFormat="false" ht="15" hidden="true" customHeight="false" outlineLevel="0" collapsed="false">
      <c r="A52" s="25" t="str">
        <f aca="false">IF(会计科目表!$B51="","",参数设置!$A$10)</f>
        <v/>
      </c>
      <c r="B52" s="25" t="str">
        <f aca="false">IF(会计科目表!$B51="","",会计科目表!$A51)</f>
        <v/>
      </c>
      <c r="C52" s="10" t="str">
        <f aca="false">IF(会计科目表!$B51="","",会计科目表!$B51)</f>
        <v/>
      </c>
      <c r="D52" s="25" t="str">
        <f aca="false">IF($C52="","",会计科目表!$C51)</f>
        <v/>
      </c>
      <c r="E52" s="25" t="str">
        <f aca="false">IF($C52="","",会计科目表!$D51)</f>
        <v/>
      </c>
      <c r="F52" s="10" t="str">
        <f aca="false">IF($C52="","",会计科目表!$F51)</f>
        <v/>
      </c>
      <c r="G52" s="40" t="str">
        <f aca="false">IF($C52="","",IF($E52="借",SUMIFS(期初余额!$C$6:$C$185,期初余额!$A$6:$A$185,$A52,期初余额!$B$6:$B$185,$C52)-SUMIFS(期初余额!$D$6:$D$185,期初余额!$A$6:$A$185,$A52,期初余额!$B$6:$B$185,$C52),SUMIFS(期初余额!$D$6:$D$185,期初余额!$A$6:$A$185,$A52,期初余额!$B$6:$B$185,$C52)-SUMIFS(期初余额!$C$6:$C$185,期初余额!$A$6:$A$185,$A52,期初余额!$B$6:$B$185,$C52)))</f>
        <v/>
      </c>
      <c r="H52" s="40" t="str">
        <f aca="false">IF($C52="","",$G52+IF($E52="借",SUMIFS(记账分录!$I$6:$I$5505,记账分录!$F$6:$F$5505,$A52,记账分录!$H$6:$H$5505,$C52,记账分录!$E$6:$E$5505,"&lt;"&amp;$A$4)-SUMIFS(记账分录!$J$6:$J$5505,记账分录!$F$6:$F$5505,$A52,记账分录!$H$6:$H$5505,$C52,记账分录!$E$6:$E$5505,"&lt;"&amp;$A$4),SUMIFS(记账分录!$J$6:$J$5505,记账分录!$F$6:$F$5505,$A52,记账分录!$H$6:$H$5505,$C52,记账分录!$E$6:$E$5505,"&lt;"&amp;$A$4)-SUMIFS(记账分录!$I$6:$I$5505,记账分录!$F$6:$F$5505,$A52,记账分录!$H$6:$H$5505,$C52,记账分录!$E$6:$E$5505,"&lt;"&amp;$A$4)))</f>
        <v/>
      </c>
      <c r="I52" s="40" t="str">
        <f aca="false">IF($C52="","",SUMIFS(记账分录!$I$6:$I$5505,记账分录!$F$6:$F$5505,$A52,记账分录!$H$6:$H$5505,$C52,记账分录!$E$6:$E$5505,"&gt;="&amp;$A$4,记账分录!$E$6:$E$5505,"&lt;="&amp;$B$4))</f>
        <v/>
      </c>
      <c r="J52" s="40" t="str">
        <f aca="false">IF($C52="","",SUMIFS(记账分录!$J$6:$J$5505,记账分录!$F$6:$F$5505,$A52,记账分录!$H$6:$H$5505,$C52,记账分录!$E$6:$E$5505,"&gt;="&amp;$A$4,记账分录!$E$6:$E$5505,"&lt;="&amp;$B$4))</f>
        <v/>
      </c>
      <c r="K52" s="42" t="str">
        <f aca="false">IF($C52="","",IF($E52="借",$I52-$J52,$J52-$I52))</f>
        <v/>
      </c>
      <c r="L52" s="42" t="str">
        <f aca="false">IF($C52="","",ROUND($H52+$K52,2))</f>
        <v/>
      </c>
      <c r="M52" s="40" t="str">
        <f aca="false">IF($C52="","",SUMIFS(记账分录!$I$6:$I$5505,记账分录!$F$6:$F$5505,$A52,记账分录!$H$6:$H$5505,$C52,记账分录!$E$6:$E$5505,"&lt;="&amp;$B$4))</f>
        <v/>
      </c>
      <c r="N52" s="40" t="str">
        <f aca="false">IF($C52="","",SUMIFS(记账分录!$J$6:$J$5505,记账分录!$F$6:$F$5505,$A52,记账分录!$H$6:$H$5505,$C52,记账分录!$E$6:$E$5505,"&lt;="&amp;$B$4))</f>
        <v/>
      </c>
      <c r="O52" s="42" t="str">
        <f aca="false">IF($C52="","",IF($E52="借",$M52-$N52,$N52-$M52))</f>
        <v/>
      </c>
      <c r="P52" s="64" t="str">
        <f aca="false">IF($C52="","",IF(OR(ROUND($G52,2)&lt;&gt;0,ROUND($M52,2)&lt;&gt;0,ROUND($N52,2)&lt;&gt;0),"有",""))</f>
        <v/>
      </c>
    </row>
    <row r="53" customFormat="false" ht="15" hidden="true" customHeight="false" outlineLevel="0" collapsed="false">
      <c r="A53" s="25" t="str">
        <f aca="false">IF(会计科目表!$B52="","",参数设置!$A$10)</f>
        <v/>
      </c>
      <c r="B53" s="25" t="str">
        <f aca="false">IF(会计科目表!$B52="","",会计科目表!$A52)</f>
        <v/>
      </c>
      <c r="C53" s="10" t="str">
        <f aca="false">IF(会计科目表!$B52="","",会计科目表!$B52)</f>
        <v/>
      </c>
      <c r="D53" s="25" t="str">
        <f aca="false">IF($C53="","",会计科目表!$C52)</f>
        <v/>
      </c>
      <c r="E53" s="25" t="str">
        <f aca="false">IF($C53="","",会计科目表!$D52)</f>
        <v/>
      </c>
      <c r="F53" s="10" t="str">
        <f aca="false">IF($C53="","",会计科目表!$F52)</f>
        <v/>
      </c>
      <c r="G53" s="40" t="str">
        <f aca="false">IF($C53="","",IF($E53="借",SUMIFS(期初余额!$C$6:$C$185,期初余额!$A$6:$A$185,$A53,期初余额!$B$6:$B$185,$C53)-SUMIFS(期初余额!$D$6:$D$185,期初余额!$A$6:$A$185,$A53,期初余额!$B$6:$B$185,$C53),SUMIFS(期初余额!$D$6:$D$185,期初余额!$A$6:$A$185,$A53,期初余额!$B$6:$B$185,$C53)-SUMIFS(期初余额!$C$6:$C$185,期初余额!$A$6:$A$185,$A53,期初余额!$B$6:$B$185,$C53)))</f>
        <v/>
      </c>
      <c r="H53" s="40" t="str">
        <f aca="false">IF($C53="","",$G53+IF($E53="借",SUMIFS(记账分录!$I$6:$I$5505,记账分录!$F$6:$F$5505,$A53,记账分录!$H$6:$H$5505,$C53,记账分录!$E$6:$E$5505,"&lt;"&amp;$A$4)-SUMIFS(记账分录!$J$6:$J$5505,记账分录!$F$6:$F$5505,$A53,记账分录!$H$6:$H$5505,$C53,记账分录!$E$6:$E$5505,"&lt;"&amp;$A$4),SUMIFS(记账分录!$J$6:$J$5505,记账分录!$F$6:$F$5505,$A53,记账分录!$H$6:$H$5505,$C53,记账分录!$E$6:$E$5505,"&lt;"&amp;$A$4)-SUMIFS(记账分录!$I$6:$I$5505,记账分录!$F$6:$F$5505,$A53,记账分录!$H$6:$H$5505,$C53,记账分录!$E$6:$E$5505,"&lt;"&amp;$A$4)))</f>
        <v/>
      </c>
      <c r="I53" s="40" t="str">
        <f aca="false">IF($C53="","",SUMIFS(记账分录!$I$6:$I$5505,记账分录!$F$6:$F$5505,$A53,记账分录!$H$6:$H$5505,$C53,记账分录!$E$6:$E$5505,"&gt;="&amp;$A$4,记账分录!$E$6:$E$5505,"&lt;="&amp;$B$4))</f>
        <v/>
      </c>
      <c r="J53" s="40" t="str">
        <f aca="false">IF($C53="","",SUMIFS(记账分录!$J$6:$J$5505,记账分录!$F$6:$F$5505,$A53,记账分录!$H$6:$H$5505,$C53,记账分录!$E$6:$E$5505,"&gt;="&amp;$A$4,记账分录!$E$6:$E$5505,"&lt;="&amp;$B$4))</f>
        <v/>
      </c>
      <c r="K53" s="42" t="str">
        <f aca="false">IF($C53="","",IF($E53="借",$I53-$J53,$J53-$I53))</f>
        <v/>
      </c>
      <c r="L53" s="42" t="str">
        <f aca="false">IF($C53="","",ROUND($H53+$K53,2))</f>
        <v/>
      </c>
      <c r="M53" s="40" t="str">
        <f aca="false">IF($C53="","",SUMIFS(记账分录!$I$6:$I$5505,记账分录!$F$6:$F$5505,$A53,记账分录!$H$6:$H$5505,$C53,记账分录!$E$6:$E$5505,"&lt;="&amp;$B$4))</f>
        <v/>
      </c>
      <c r="N53" s="40" t="str">
        <f aca="false">IF($C53="","",SUMIFS(记账分录!$J$6:$J$5505,记账分录!$F$6:$F$5505,$A53,记账分录!$H$6:$H$5505,$C53,记账分录!$E$6:$E$5505,"&lt;="&amp;$B$4))</f>
        <v/>
      </c>
      <c r="O53" s="42" t="str">
        <f aca="false">IF($C53="","",IF($E53="借",$M53-$N53,$N53-$M53))</f>
        <v/>
      </c>
      <c r="P53" s="64" t="str">
        <f aca="false">IF($C53="","",IF(OR(ROUND($G53,2)&lt;&gt;0,ROUND($M53,2)&lt;&gt;0,ROUND($N53,2)&lt;&gt;0),"有",""))</f>
        <v/>
      </c>
    </row>
    <row r="54" customFormat="false" ht="15" hidden="true" customHeight="false" outlineLevel="0" collapsed="false">
      <c r="A54" s="25" t="str">
        <f aca="false">IF(会计科目表!$B53="","",参数设置!$A$10)</f>
        <v/>
      </c>
      <c r="B54" s="25" t="str">
        <f aca="false">IF(会计科目表!$B53="","",会计科目表!$A53)</f>
        <v/>
      </c>
      <c r="C54" s="10" t="str">
        <f aca="false">IF(会计科目表!$B53="","",会计科目表!$B53)</f>
        <v/>
      </c>
      <c r="D54" s="25" t="str">
        <f aca="false">IF($C54="","",会计科目表!$C53)</f>
        <v/>
      </c>
      <c r="E54" s="25" t="str">
        <f aca="false">IF($C54="","",会计科目表!$D53)</f>
        <v/>
      </c>
      <c r="F54" s="10" t="str">
        <f aca="false">IF($C54="","",会计科目表!$F53)</f>
        <v/>
      </c>
      <c r="G54" s="40" t="str">
        <f aca="false">IF($C54="","",IF($E54="借",SUMIFS(期初余额!$C$6:$C$185,期初余额!$A$6:$A$185,$A54,期初余额!$B$6:$B$185,$C54)-SUMIFS(期初余额!$D$6:$D$185,期初余额!$A$6:$A$185,$A54,期初余额!$B$6:$B$185,$C54),SUMIFS(期初余额!$D$6:$D$185,期初余额!$A$6:$A$185,$A54,期初余额!$B$6:$B$185,$C54)-SUMIFS(期初余额!$C$6:$C$185,期初余额!$A$6:$A$185,$A54,期初余额!$B$6:$B$185,$C54)))</f>
        <v/>
      </c>
      <c r="H54" s="40" t="str">
        <f aca="false">IF($C54="","",$G54+IF($E54="借",SUMIFS(记账分录!$I$6:$I$5505,记账分录!$F$6:$F$5505,$A54,记账分录!$H$6:$H$5505,$C54,记账分录!$E$6:$E$5505,"&lt;"&amp;$A$4)-SUMIFS(记账分录!$J$6:$J$5505,记账分录!$F$6:$F$5505,$A54,记账分录!$H$6:$H$5505,$C54,记账分录!$E$6:$E$5505,"&lt;"&amp;$A$4),SUMIFS(记账分录!$J$6:$J$5505,记账分录!$F$6:$F$5505,$A54,记账分录!$H$6:$H$5505,$C54,记账分录!$E$6:$E$5505,"&lt;"&amp;$A$4)-SUMIFS(记账分录!$I$6:$I$5505,记账分录!$F$6:$F$5505,$A54,记账分录!$H$6:$H$5505,$C54,记账分录!$E$6:$E$5505,"&lt;"&amp;$A$4)))</f>
        <v/>
      </c>
      <c r="I54" s="40" t="str">
        <f aca="false">IF($C54="","",SUMIFS(记账分录!$I$6:$I$5505,记账分录!$F$6:$F$5505,$A54,记账分录!$H$6:$H$5505,$C54,记账分录!$E$6:$E$5505,"&gt;="&amp;$A$4,记账分录!$E$6:$E$5505,"&lt;="&amp;$B$4))</f>
        <v/>
      </c>
      <c r="J54" s="40" t="str">
        <f aca="false">IF($C54="","",SUMIFS(记账分录!$J$6:$J$5505,记账分录!$F$6:$F$5505,$A54,记账分录!$H$6:$H$5505,$C54,记账分录!$E$6:$E$5505,"&gt;="&amp;$A$4,记账分录!$E$6:$E$5505,"&lt;="&amp;$B$4))</f>
        <v/>
      </c>
      <c r="K54" s="42" t="str">
        <f aca="false">IF($C54="","",IF($E54="借",$I54-$J54,$J54-$I54))</f>
        <v/>
      </c>
      <c r="L54" s="42" t="str">
        <f aca="false">IF($C54="","",ROUND($H54+$K54,2))</f>
        <v/>
      </c>
      <c r="M54" s="40" t="str">
        <f aca="false">IF($C54="","",SUMIFS(记账分录!$I$6:$I$5505,记账分录!$F$6:$F$5505,$A54,记账分录!$H$6:$H$5505,$C54,记账分录!$E$6:$E$5505,"&lt;="&amp;$B$4))</f>
        <v/>
      </c>
      <c r="N54" s="40" t="str">
        <f aca="false">IF($C54="","",SUMIFS(记账分录!$J$6:$J$5505,记账分录!$F$6:$F$5505,$A54,记账分录!$H$6:$H$5505,$C54,记账分录!$E$6:$E$5505,"&lt;="&amp;$B$4))</f>
        <v/>
      </c>
      <c r="O54" s="42" t="str">
        <f aca="false">IF($C54="","",IF($E54="借",$M54-$N54,$N54-$M54))</f>
        <v/>
      </c>
      <c r="P54" s="64" t="str">
        <f aca="false">IF($C54="","",IF(OR(ROUND($G54,2)&lt;&gt;0,ROUND($M54,2)&lt;&gt;0,ROUND($N54,2)&lt;&gt;0),"有",""))</f>
        <v/>
      </c>
    </row>
    <row r="55" customFormat="false" ht="15" hidden="true" customHeight="false" outlineLevel="0" collapsed="false">
      <c r="A55" s="25" t="str">
        <f aca="false">IF(会计科目表!$B54="","",参数设置!$A$10)</f>
        <v/>
      </c>
      <c r="B55" s="25" t="str">
        <f aca="false">IF(会计科目表!$B54="","",会计科目表!$A54)</f>
        <v/>
      </c>
      <c r="C55" s="10" t="str">
        <f aca="false">IF(会计科目表!$B54="","",会计科目表!$B54)</f>
        <v/>
      </c>
      <c r="D55" s="25" t="str">
        <f aca="false">IF($C55="","",会计科目表!$C54)</f>
        <v/>
      </c>
      <c r="E55" s="25" t="str">
        <f aca="false">IF($C55="","",会计科目表!$D54)</f>
        <v/>
      </c>
      <c r="F55" s="10" t="str">
        <f aca="false">IF($C55="","",会计科目表!$F54)</f>
        <v/>
      </c>
      <c r="G55" s="40" t="str">
        <f aca="false">IF($C55="","",IF($E55="借",SUMIFS(期初余额!$C$6:$C$185,期初余额!$A$6:$A$185,$A55,期初余额!$B$6:$B$185,$C55)-SUMIFS(期初余额!$D$6:$D$185,期初余额!$A$6:$A$185,$A55,期初余额!$B$6:$B$185,$C55),SUMIFS(期初余额!$D$6:$D$185,期初余额!$A$6:$A$185,$A55,期初余额!$B$6:$B$185,$C55)-SUMIFS(期初余额!$C$6:$C$185,期初余额!$A$6:$A$185,$A55,期初余额!$B$6:$B$185,$C55)))</f>
        <v/>
      </c>
      <c r="H55" s="40" t="str">
        <f aca="false">IF($C55="","",$G55+IF($E55="借",SUMIFS(记账分录!$I$6:$I$5505,记账分录!$F$6:$F$5505,$A55,记账分录!$H$6:$H$5505,$C55,记账分录!$E$6:$E$5505,"&lt;"&amp;$A$4)-SUMIFS(记账分录!$J$6:$J$5505,记账分录!$F$6:$F$5505,$A55,记账分录!$H$6:$H$5505,$C55,记账分录!$E$6:$E$5505,"&lt;"&amp;$A$4),SUMIFS(记账分录!$J$6:$J$5505,记账分录!$F$6:$F$5505,$A55,记账分录!$H$6:$H$5505,$C55,记账分录!$E$6:$E$5505,"&lt;"&amp;$A$4)-SUMIFS(记账分录!$I$6:$I$5505,记账分录!$F$6:$F$5505,$A55,记账分录!$H$6:$H$5505,$C55,记账分录!$E$6:$E$5505,"&lt;"&amp;$A$4)))</f>
        <v/>
      </c>
      <c r="I55" s="40" t="str">
        <f aca="false">IF($C55="","",SUMIFS(记账分录!$I$6:$I$5505,记账分录!$F$6:$F$5505,$A55,记账分录!$H$6:$H$5505,$C55,记账分录!$E$6:$E$5505,"&gt;="&amp;$A$4,记账分录!$E$6:$E$5505,"&lt;="&amp;$B$4))</f>
        <v/>
      </c>
      <c r="J55" s="40" t="str">
        <f aca="false">IF($C55="","",SUMIFS(记账分录!$J$6:$J$5505,记账分录!$F$6:$F$5505,$A55,记账分录!$H$6:$H$5505,$C55,记账分录!$E$6:$E$5505,"&gt;="&amp;$A$4,记账分录!$E$6:$E$5505,"&lt;="&amp;$B$4))</f>
        <v/>
      </c>
      <c r="K55" s="42" t="str">
        <f aca="false">IF($C55="","",IF($E55="借",$I55-$J55,$J55-$I55))</f>
        <v/>
      </c>
      <c r="L55" s="42" t="str">
        <f aca="false">IF($C55="","",ROUND($H55+$K55,2))</f>
        <v/>
      </c>
      <c r="M55" s="40" t="str">
        <f aca="false">IF($C55="","",SUMIFS(记账分录!$I$6:$I$5505,记账分录!$F$6:$F$5505,$A55,记账分录!$H$6:$H$5505,$C55,记账分录!$E$6:$E$5505,"&lt;="&amp;$B$4))</f>
        <v/>
      </c>
      <c r="N55" s="40" t="str">
        <f aca="false">IF($C55="","",SUMIFS(记账分录!$J$6:$J$5505,记账分录!$F$6:$F$5505,$A55,记账分录!$H$6:$H$5505,$C55,记账分录!$E$6:$E$5505,"&lt;="&amp;$B$4))</f>
        <v/>
      </c>
      <c r="O55" s="42" t="str">
        <f aca="false">IF($C55="","",IF($E55="借",$M55-$N55,$N55-$M55))</f>
        <v/>
      </c>
      <c r="P55" s="64" t="str">
        <f aca="false">IF($C55="","",IF(OR(ROUND($G55,2)&lt;&gt;0,ROUND($M55,2)&lt;&gt;0,ROUND($N55,2)&lt;&gt;0),"有",""))</f>
        <v/>
      </c>
    </row>
    <row r="56" customFormat="false" ht="15" hidden="true" customHeight="false" outlineLevel="0" collapsed="false">
      <c r="A56" s="25" t="str">
        <f aca="false">IF(会计科目表!$B55="","",参数设置!$A$10)</f>
        <v/>
      </c>
      <c r="B56" s="25" t="str">
        <f aca="false">IF(会计科目表!$B55="","",会计科目表!$A55)</f>
        <v/>
      </c>
      <c r="C56" s="10" t="str">
        <f aca="false">IF(会计科目表!$B55="","",会计科目表!$B55)</f>
        <v/>
      </c>
      <c r="D56" s="25" t="str">
        <f aca="false">IF($C56="","",会计科目表!$C55)</f>
        <v/>
      </c>
      <c r="E56" s="25" t="str">
        <f aca="false">IF($C56="","",会计科目表!$D55)</f>
        <v/>
      </c>
      <c r="F56" s="10" t="str">
        <f aca="false">IF($C56="","",会计科目表!$F55)</f>
        <v/>
      </c>
      <c r="G56" s="40" t="str">
        <f aca="false">IF($C56="","",IF($E56="借",SUMIFS(期初余额!$C$6:$C$185,期初余额!$A$6:$A$185,$A56,期初余额!$B$6:$B$185,$C56)-SUMIFS(期初余额!$D$6:$D$185,期初余额!$A$6:$A$185,$A56,期初余额!$B$6:$B$185,$C56),SUMIFS(期初余额!$D$6:$D$185,期初余额!$A$6:$A$185,$A56,期初余额!$B$6:$B$185,$C56)-SUMIFS(期初余额!$C$6:$C$185,期初余额!$A$6:$A$185,$A56,期初余额!$B$6:$B$185,$C56)))</f>
        <v/>
      </c>
      <c r="H56" s="40" t="str">
        <f aca="false">IF($C56="","",$G56+IF($E56="借",SUMIFS(记账分录!$I$6:$I$5505,记账分录!$F$6:$F$5505,$A56,记账分录!$H$6:$H$5505,$C56,记账分录!$E$6:$E$5505,"&lt;"&amp;$A$4)-SUMIFS(记账分录!$J$6:$J$5505,记账分录!$F$6:$F$5505,$A56,记账分录!$H$6:$H$5505,$C56,记账分录!$E$6:$E$5505,"&lt;"&amp;$A$4),SUMIFS(记账分录!$J$6:$J$5505,记账分录!$F$6:$F$5505,$A56,记账分录!$H$6:$H$5505,$C56,记账分录!$E$6:$E$5505,"&lt;"&amp;$A$4)-SUMIFS(记账分录!$I$6:$I$5505,记账分录!$F$6:$F$5505,$A56,记账分录!$H$6:$H$5505,$C56,记账分录!$E$6:$E$5505,"&lt;"&amp;$A$4)))</f>
        <v/>
      </c>
      <c r="I56" s="40" t="str">
        <f aca="false">IF($C56="","",SUMIFS(记账分录!$I$6:$I$5505,记账分录!$F$6:$F$5505,$A56,记账分录!$H$6:$H$5505,$C56,记账分录!$E$6:$E$5505,"&gt;="&amp;$A$4,记账分录!$E$6:$E$5505,"&lt;="&amp;$B$4))</f>
        <v/>
      </c>
      <c r="J56" s="40" t="str">
        <f aca="false">IF($C56="","",SUMIFS(记账分录!$J$6:$J$5505,记账分录!$F$6:$F$5505,$A56,记账分录!$H$6:$H$5505,$C56,记账分录!$E$6:$E$5505,"&gt;="&amp;$A$4,记账分录!$E$6:$E$5505,"&lt;="&amp;$B$4))</f>
        <v/>
      </c>
      <c r="K56" s="42" t="str">
        <f aca="false">IF($C56="","",IF($E56="借",$I56-$J56,$J56-$I56))</f>
        <v/>
      </c>
      <c r="L56" s="42" t="str">
        <f aca="false">IF($C56="","",ROUND($H56+$K56,2))</f>
        <v/>
      </c>
      <c r="M56" s="40" t="str">
        <f aca="false">IF($C56="","",SUMIFS(记账分录!$I$6:$I$5505,记账分录!$F$6:$F$5505,$A56,记账分录!$H$6:$H$5505,$C56,记账分录!$E$6:$E$5505,"&lt;="&amp;$B$4))</f>
        <v/>
      </c>
      <c r="N56" s="40" t="str">
        <f aca="false">IF($C56="","",SUMIFS(记账分录!$J$6:$J$5505,记账分录!$F$6:$F$5505,$A56,记账分录!$H$6:$H$5505,$C56,记账分录!$E$6:$E$5505,"&lt;="&amp;$B$4))</f>
        <v/>
      </c>
      <c r="O56" s="42" t="str">
        <f aca="false">IF($C56="","",IF($E56="借",$M56-$N56,$N56-$M56))</f>
        <v/>
      </c>
      <c r="P56" s="64" t="str">
        <f aca="false">IF($C56="","",IF(OR(ROUND($G56,2)&lt;&gt;0,ROUND($M56,2)&lt;&gt;0,ROUND($N56,2)&lt;&gt;0),"有",""))</f>
        <v/>
      </c>
    </row>
    <row r="57" customFormat="false" ht="15" hidden="true" customHeight="false" outlineLevel="0" collapsed="false">
      <c r="A57" s="25" t="str">
        <f aca="false">IF(会计科目表!$B56="","",参数设置!$A$10)</f>
        <v/>
      </c>
      <c r="B57" s="25" t="str">
        <f aca="false">IF(会计科目表!$B56="","",会计科目表!$A56)</f>
        <v/>
      </c>
      <c r="C57" s="10" t="str">
        <f aca="false">IF(会计科目表!$B56="","",会计科目表!$B56)</f>
        <v/>
      </c>
      <c r="D57" s="25" t="str">
        <f aca="false">IF($C57="","",会计科目表!$C56)</f>
        <v/>
      </c>
      <c r="E57" s="25" t="str">
        <f aca="false">IF($C57="","",会计科目表!$D56)</f>
        <v/>
      </c>
      <c r="F57" s="10" t="str">
        <f aca="false">IF($C57="","",会计科目表!$F56)</f>
        <v/>
      </c>
      <c r="G57" s="40" t="str">
        <f aca="false">IF($C57="","",IF($E57="借",SUMIFS(期初余额!$C$6:$C$185,期初余额!$A$6:$A$185,$A57,期初余额!$B$6:$B$185,$C57)-SUMIFS(期初余额!$D$6:$D$185,期初余额!$A$6:$A$185,$A57,期初余额!$B$6:$B$185,$C57),SUMIFS(期初余额!$D$6:$D$185,期初余额!$A$6:$A$185,$A57,期初余额!$B$6:$B$185,$C57)-SUMIFS(期初余额!$C$6:$C$185,期初余额!$A$6:$A$185,$A57,期初余额!$B$6:$B$185,$C57)))</f>
        <v/>
      </c>
      <c r="H57" s="40" t="str">
        <f aca="false">IF($C57="","",$G57+IF($E57="借",SUMIFS(记账分录!$I$6:$I$5505,记账分录!$F$6:$F$5505,$A57,记账分录!$H$6:$H$5505,$C57,记账分录!$E$6:$E$5505,"&lt;"&amp;$A$4)-SUMIFS(记账分录!$J$6:$J$5505,记账分录!$F$6:$F$5505,$A57,记账分录!$H$6:$H$5505,$C57,记账分录!$E$6:$E$5505,"&lt;"&amp;$A$4),SUMIFS(记账分录!$J$6:$J$5505,记账分录!$F$6:$F$5505,$A57,记账分录!$H$6:$H$5505,$C57,记账分录!$E$6:$E$5505,"&lt;"&amp;$A$4)-SUMIFS(记账分录!$I$6:$I$5505,记账分录!$F$6:$F$5505,$A57,记账分录!$H$6:$H$5505,$C57,记账分录!$E$6:$E$5505,"&lt;"&amp;$A$4)))</f>
        <v/>
      </c>
      <c r="I57" s="40" t="str">
        <f aca="false">IF($C57="","",SUMIFS(记账分录!$I$6:$I$5505,记账分录!$F$6:$F$5505,$A57,记账分录!$H$6:$H$5505,$C57,记账分录!$E$6:$E$5505,"&gt;="&amp;$A$4,记账分录!$E$6:$E$5505,"&lt;="&amp;$B$4))</f>
        <v/>
      </c>
      <c r="J57" s="40" t="str">
        <f aca="false">IF($C57="","",SUMIFS(记账分录!$J$6:$J$5505,记账分录!$F$6:$F$5505,$A57,记账分录!$H$6:$H$5505,$C57,记账分录!$E$6:$E$5505,"&gt;="&amp;$A$4,记账分录!$E$6:$E$5505,"&lt;="&amp;$B$4))</f>
        <v/>
      </c>
      <c r="K57" s="42" t="str">
        <f aca="false">IF($C57="","",IF($E57="借",$I57-$J57,$J57-$I57))</f>
        <v/>
      </c>
      <c r="L57" s="42" t="str">
        <f aca="false">IF($C57="","",ROUND($H57+$K57,2))</f>
        <v/>
      </c>
      <c r="M57" s="40" t="str">
        <f aca="false">IF($C57="","",SUMIFS(记账分录!$I$6:$I$5505,记账分录!$F$6:$F$5505,$A57,记账分录!$H$6:$H$5505,$C57,记账分录!$E$6:$E$5505,"&lt;="&amp;$B$4))</f>
        <v/>
      </c>
      <c r="N57" s="40" t="str">
        <f aca="false">IF($C57="","",SUMIFS(记账分录!$J$6:$J$5505,记账分录!$F$6:$F$5505,$A57,记账分录!$H$6:$H$5505,$C57,记账分录!$E$6:$E$5505,"&lt;="&amp;$B$4))</f>
        <v/>
      </c>
      <c r="O57" s="42" t="str">
        <f aca="false">IF($C57="","",IF($E57="借",$M57-$N57,$N57-$M57))</f>
        <v/>
      </c>
      <c r="P57" s="64" t="str">
        <f aca="false">IF($C57="","",IF(OR(ROUND($G57,2)&lt;&gt;0,ROUND($M57,2)&lt;&gt;0,ROUND($N57,2)&lt;&gt;0),"有",""))</f>
        <v/>
      </c>
    </row>
    <row r="58" customFormat="false" ht="15" hidden="true" customHeight="false" outlineLevel="0" collapsed="false">
      <c r="A58" s="25" t="str">
        <f aca="false">IF(会计科目表!$B57="","",参数设置!$A$10)</f>
        <v/>
      </c>
      <c r="B58" s="25" t="str">
        <f aca="false">IF(会计科目表!$B57="","",会计科目表!$A57)</f>
        <v/>
      </c>
      <c r="C58" s="10" t="str">
        <f aca="false">IF(会计科目表!$B57="","",会计科目表!$B57)</f>
        <v/>
      </c>
      <c r="D58" s="25" t="str">
        <f aca="false">IF($C58="","",会计科目表!$C57)</f>
        <v/>
      </c>
      <c r="E58" s="25" t="str">
        <f aca="false">IF($C58="","",会计科目表!$D57)</f>
        <v/>
      </c>
      <c r="F58" s="10" t="str">
        <f aca="false">IF($C58="","",会计科目表!$F57)</f>
        <v/>
      </c>
      <c r="G58" s="40" t="str">
        <f aca="false">IF($C58="","",IF($E58="借",SUMIFS(期初余额!$C$6:$C$185,期初余额!$A$6:$A$185,$A58,期初余额!$B$6:$B$185,$C58)-SUMIFS(期初余额!$D$6:$D$185,期初余额!$A$6:$A$185,$A58,期初余额!$B$6:$B$185,$C58),SUMIFS(期初余额!$D$6:$D$185,期初余额!$A$6:$A$185,$A58,期初余额!$B$6:$B$185,$C58)-SUMIFS(期初余额!$C$6:$C$185,期初余额!$A$6:$A$185,$A58,期初余额!$B$6:$B$185,$C58)))</f>
        <v/>
      </c>
      <c r="H58" s="40" t="str">
        <f aca="false">IF($C58="","",$G58+IF($E58="借",SUMIFS(记账分录!$I$6:$I$5505,记账分录!$F$6:$F$5505,$A58,记账分录!$H$6:$H$5505,$C58,记账分录!$E$6:$E$5505,"&lt;"&amp;$A$4)-SUMIFS(记账分录!$J$6:$J$5505,记账分录!$F$6:$F$5505,$A58,记账分录!$H$6:$H$5505,$C58,记账分录!$E$6:$E$5505,"&lt;"&amp;$A$4),SUMIFS(记账分录!$J$6:$J$5505,记账分录!$F$6:$F$5505,$A58,记账分录!$H$6:$H$5505,$C58,记账分录!$E$6:$E$5505,"&lt;"&amp;$A$4)-SUMIFS(记账分录!$I$6:$I$5505,记账分录!$F$6:$F$5505,$A58,记账分录!$H$6:$H$5505,$C58,记账分录!$E$6:$E$5505,"&lt;"&amp;$A$4)))</f>
        <v/>
      </c>
      <c r="I58" s="40" t="str">
        <f aca="false">IF($C58="","",SUMIFS(记账分录!$I$6:$I$5505,记账分录!$F$6:$F$5505,$A58,记账分录!$H$6:$H$5505,$C58,记账分录!$E$6:$E$5505,"&gt;="&amp;$A$4,记账分录!$E$6:$E$5505,"&lt;="&amp;$B$4))</f>
        <v/>
      </c>
      <c r="J58" s="40" t="str">
        <f aca="false">IF($C58="","",SUMIFS(记账分录!$J$6:$J$5505,记账分录!$F$6:$F$5505,$A58,记账分录!$H$6:$H$5505,$C58,记账分录!$E$6:$E$5505,"&gt;="&amp;$A$4,记账分录!$E$6:$E$5505,"&lt;="&amp;$B$4))</f>
        <v/>
      </c>
      <c r="K58" s="42" t="str">
        <f aca="false">IF($C58="","",IF($E58="借",$I58-$J58,$J58-$I58))</f>
        <v/>
      </c>
      <c r="L58" s="42" t="str">
        <f aca="false">IF($C58="","",ROUND($H58+$K58,2))</f>
        <v/>
      </c>
      <c r="M58" s="40" t="str">
        <f aca="false">IF($C58="","",SUMIFS(记账分录!$I$6:$I$5505,记账分录!$F$6:$F$5505,$A58,记账分录!$H$6:$H$5505,$C58,记账分录!$E$6:$E$5505,"&lt;="&amp;$B$4))</f>
        <v/>
      </c>
      <c r="N58" s="40" t="str">
        <f aca="false">IF($C58="","",SUMIFS(记账分录!$J$6:$J$5505,记账分录!$F$6:$F$5505,$A58,记账分录!$H$6:$H$5505,$C58,记账分录!$E$6:$E$5505,"&lt;="&amp;$B$4))</f>
        <v/>
      </c>
      <c r="O58" s="42" t="str">
        <f aca="false">IF($C58="","",IF($E58="借",$M58-$N58,$N58-$M58))</f>
        <v/>
      </c>
      <c r="P58" s="64" t="str">
        <f aca="false">IF($C58="","",IF(OR(ROUND($G58,2)&lt;&gt;0,ROUND($M58,2)&lt;&gt;0,ROUND($N58,2)&lt;&gt;0),"有",""))</f>
        <v/>
      </c>
    </row>
    <row r="59" customFormat="false" ht="15" hidden="true" customHeight="false" outlineLevel="0" collapsed="false">
      <c r="A59" s="25" t="str">
        <f aca="false">IF(会计科目表!$B58="","",参数设置!$A$10)</f>
        <v/>
      </c>
      <c r="B59" s="25" t="str">
        <f aca="false">IF(会计科目表!$B58="","",会计科目表!$A58)</f>
        <v/>
      </c>
      <c r="C59" s="10" t="str">
        <f aca="false">IF(会计科目表!$B58="","",会计科目表!$B58)</f>
        <v/>
      </c>
      <c r="D59" s="25" t="str">
        <f aca="false">IF($C59="","",会计科目表!$C58)</f>
        <v/>
      </c>
      <c r="E59" s="25" t="str">
        <f aca="false">IF($C59="","",会计科目表!$D58)</f>
        <v/>
      </c>
      <c r="F59" s="10" t="str">
        <f aca="false">IF($C59="","",会计科目表!$F58)</f>
        <v/>
      </c>
      <c r="G59" s="40" t="str">
        <f aca="false">IF($C59="","",IF($E59="借",SUMIFS(期初余额!$C$6:$C$185,期初余额!$A$6:$A$185,$A59,期初余额!$B$6:$B$185,$C59)-SUMIFS(期初余额!$D$6:$D$185,期初余额!$A$6:$A$185,$A59,期初余额!$B$6:$B$185,$C59),SUMIFS(期初余额!$D$6:$D$185,期初余额!$A$6:$A$185,$A59,期初余额!$B$6:$B$185,$C59)-SUMIFS(期初余额!$C$6:$C$185,期初余额!$A$6:$A$185,$A59,期初余额!$B$6:$B$185,$C59)))</f>
        <v/>
      </c>
      <c r="H59" s="40" t="str">
        <f aca="false">IF($C59="","",$G59+IF($E59="借",SUMIFS(记账分录!$I$6:$I$5505,记账分录!$F$6:$F$5505,$A59,记账分录!$H$6:$H$5505,$C59,记账分录!$E$6:$E$5505,"&lt;"&amp;$A$4)-SUMIFS(记账分录!$J$6:$J$5505,记账分录!$F$6:$F$5505,$A59,记账分录!$H$6:$H$5505,$C59,记账分录!$E$6:$E$5505,"&lt;"&amp;$A$4),SUMIFS(记账分录!$J$6:$J$5505,记账分录!$F$6:$F$5505,$A59,记账分录!$H$6:$H$5505,$C59,记账分录!$E$6:$E$5505,"&lt;"&amp;$A$4)-SUMIFS(记账分录!$I$6:$I$5505,记账分录!$F$6:$F$5505,$A59,记账分录!$H$6:$H$5505,$C59,记账分录!$E$6:$E$5505,"&lt;"&amp;$A$4)))</f>
        <v/>
      </c>
      <c r="I59" s="40" t="str">
        <f aca="false">IF($C59="","",SUMIFS(记账分录!$I$6:$I$5505,记账分录!$F$6:$F$5505,$A59,记账分录!$H$6:$H$5505,$C59,记账分录!$E$6:$E$5505,"&gt;="&amp;$A$4,记账分录!$E$6:$E$5505,"&lt;="&amp;$B$4))</f>
        <v/>
      </c>
      <c r="J59" s="40" t="str">
        <f aca="false">IF($C59="","",SUMIFS(记账分录!$J$6:$J$5505,记账分录!$F$6:$F$5505,$A59,记账分录!$H$6:$H$5505,$C59,记账分录!$E$6:$E$5505,"&gt;="&amp;$A$4,记账分录!$E$6:$E$5505,"&lt;="&amp;$B$4))</f>
        <v/>
      </c>
      <c r="K59" s="42" t="str">
        <f aca="false">IF($C59="","",IF($E59="借",$I59-$J59,$J59-$I59))</f>
        <v/>
      </c>
      <c r="L59" s="42" t="str">
        <f aca="false">IF($C59="","",ROUND($H59+$K59,2))</f>
        <v/>
      </c>
      <c r="M59" s="40" t="str">
        <f aca="false">IF($C59="","",SUMIFS(记账分录!$I$6:$I$5505,记账分录!$F$6:$F$5505,$A59,记账分录!$H$6:$H$5505,$C59,记账分录!$E$6:$E$5505,"&lt;="&amp;$B$4))</f>
        <v/>
      </c>
      <c r="N59" s="40" t="str">
        <f aca="false">IF($C59="","",SUMIFS(记账分录!$J$6:$J$5505,记账分录!$F$6:$F$5505,$A59,记账分录!$H$6:$H$5505,$C59,记账分录!$E$6:$E$5505,"&lt;="&amp;$B$4))</f>
        <v/>
      </c>
      <c r="O59" s="42" t="str">
        <f aca="false">IF($C59="","",IF($E59="借",$M59-$N59,$N59-$M59))</f>
        <v/>
      </c>
      <c r="P59" s="64" t="str">
        <f aca="false">IF($C59="","",IF(OR(ROUND($G59,2)&lt;&gt;0,ROUND($M59,2)&lt;&gt;0,ROUND($N59,2)&lt;&gt;0),"有",""))</f>
        <v/>
      </c>
    </row>
    <row r="60" customFormat="false" ht="15" hidden="true" customHeight="false" outlineLevel="0" collapsed="false">
      <c r="A60" s="25" t="str">
        <f aca="false">IF(会计科目表!$B59="","",参数设置!$A$10)</f>
        <v/>
      </c>
      <c r="B60" s="25" t="str">
        <f aca="false">IF(会计科目表!$B59="","",会计科目表!$A59)</f>
        <v/>
      </c>
      <c r="C60" s="10" t="str">
        <f aca="false">IF(会计科目表!$B59="","",会计科目表!$B59)</f>
        <v/>
      </c>
      <c r="D60" s="25" t="str">
        <f aca="false">IF($C60="","",会计科目表!$C59)</f>
        <v/>
      </c>
      <c r="E60" s="25" t="str">
        <f aca="false">IF($C60="","",会计科目表!$D59)</f>
        <v/>
      </c>
      <c r="F60" s="10" t="str">
        <f aca="false">IF($C60="","",会计科目表!$F59)</f>
        <v/>
      </c>
      <c r="G60" s="40" t="str">
        <f aca="false">IF($C60="","",IF($E60="借",SUMIFS(期初余额!$C$6:$C$185,期初余额!$A$6:$A$185,$A60,期初余额!$B$6:$B$185,$C60)-SUMIFS(期初余额!$D$6:$D$185,期初余额!$A$6:$A$185,$A60,期初余额!$B$6:$B$185,$C60),SUMIFS(期初余额!$D$6:$D$185,期初余额!$A$6:$A$185,$A60,期初余额!$B$6:$B$185,$C60)-SUMIFS(期初余额!$C$6:$C$185,期初余额!$A$6:$A$185,$A60,期初余额!$B$6:$B$185,$C60)))</f>
        <v/>
      </c>
      <c r="H60" s="40" t="str">
        <f aca="false">IF($C60="","",$G60+IF($E60="借",SUMIFS(记账分录!$I$6:$I$5505,记账分录!$F$6:$F$5505,$A60,记账分录!$H$6:$H$5505,$C60,记账分录!$E$6:$E$5505,"&lt;"&amp;$A$4)-SUMIFS(记账分录!$J$6:$J$5505,记账分录!$F$6:$F$5505,$A60,记账分录!$H$6:$H$5505,$C60,记账分录!$E$6:$E$5505,"&lt;"&amp;$A$4),SUMIFS(记账分录!$J$6:$J$5505,记账分录!$F$6:$F$5505,$A60,记账分录!$H$6:$H$5505,$C60,记账分录!$E$6:$E$5505,"&lt;"&amp;$A$4)-SUMIFS(记账分录!$I$6:$I$5505,记账分录!$F$6:$F$5505,$A60,记账分录!$H$6:$H$5505,$C60,记账分录!$E$6:$E$5505,"&lt;"&amp;$A$4)))</f>
        <v/>
      </c>
      <c r="I60" s="40" t="str">
        <f aca="false">IF($C60="","",SUMIFS(记账分录!$I$6:$I$5505,记账分录!$F$6:$F$5505,$A60,记账分录!$H$6:$H$5505,$C60,记账分录!$E$6:$E$5505,"&gt;="&amp;$A$4,记账分录!$E$6:$E$5505,"&lt;="&amp;$B$4))</f>
        <v/>
      </c>
      <c r="J60" s="40" t="str">
        <f aca="false">IF($C60="","",SUMIFS(记账分录!$J$6:$J$5505,记账分录!$F$6:$F$5505,$A60,记账分录!$H$6:$H$5505,$C60,记账分录!$E$6:$E$5505,"&gt;="&amp;$A$4,记账分录!$E$6:$E$5505,"&lt;="&amp;$B$4))</f>
        <v/>
      </c>
      <c r="K60" s="42" t="str">
        <f aca="false">IF($C60="","",IF($E60="借",$I60-$J60,$J60-$I60))</f>
        <v/>
      </c>
      <c r="L60" s="42" t="str">
        <f aca="false">IF($C60="","",ROUND($H60+$K60,2))</f>
        <v/>
      </c>
      <c r="M60" s="40" t="str">
        <f aca="false">IF($C60="","",SUMIFS(记账分录!$I$6:$I$5505,记账分录!$F$6:$F$5505,$A60,记账分录!$H$6:$H$5505,$C60,记账分录!$E$6:$E$5505,"&lt;="&amp;$B$4))</f>
        <v/>
      </c>
      <c r="N60" s="40" t="str">
        <f aca="false">IF($C60="","",SUMIFS(记账分录!$J$6:$J$5505,记账分录!$F$6:$F$5505,$A60,记账分录!$H$6:$H$5505,$C60,记账分录!$E$6:$E$5505,"&lt;="&amp;$B$4))</f>
        <v/>
      </c>
      <c r="O60" s="42" t="str">
        <f aca="false">IF($C60="","",IF($E60="借",$M60-$N60,$N60-$M60))</f>
        <v/>
      </c>
      <c r="P60" s="64" t="str">
        <f aca="false">IF($C60="","",IF(OR(ROUND($G60,2)&lt;&gt;0,ROUND($M60,2)&lt;&gt;0,ROUND($N60,2)&lt;&gt;0),"有",""))</f>
        <v/>
      </c>
    </row>
    <row r="61" customFormat="false" ht="15" hidden="true" customHeight="false" outlineLevel="0" collapsed="false">
      <c r="A61" s="25" t="str">
        <f aca="false">IF(会计科目表!$B60="","",参数设置!$A$10)</f>
        <v/>
      </c>
      <c r="B61" s="25" t="str">
        <f aca="false">IF(会计科目表!$B60="","",会计科目表!$A60)</f>
        <v/>
      </c>
      <c r="C61" s="10" t="str">
        <f aca="false">IF(会计科目表!$B60="","",会计科目表!$B60)</f>
        <v/>
      </c>
      <c r="D61" s="25" t="str">
        <f aca="false">IF($C61="","",会计科目表!$C60)</f>
        <v/>
      </c>
      <c r="E61" s="25" t="str">
        <f aca="false">IF($C61="","",会计科目表!$D60)</f>
        <v/>
      </c>
      <c r="F61" s="10" t="str">
        <f aca="false">IF($C61="","",会计科目表!$F60)</f>
        <v/>
      </c>
      <c r="G61" s="40" t="str">
        <f aca="false">IF($C61="","",IF($E61="借",SUMIFS(期初余额!$C$6:$C$185,期初余额!$A$6:$A$185,$A61,期初余额!$B$6:$B$185,$C61)-SUMIFS(期初余额!$D$6:$D$185,期初余额!$A$6:$A$185,$A61,期初余额!$B$6:$B$185,$C61),SUMIFS(期初余额!$D$6:$D$185,期初余额!$A$6:$A$185,$A61,期初余额!$B$6:$B$185,$C61)-SUMIFS(期初余额!$C$6:$C$185,期初余额!$A$6:$A$185,$A61,期初余额!$B$6:$B$185,$C61)))</f>
        <v/>
      </c>
      <c r="H61" s="40" t="str">
        <f aca="false">IF($C61="","",$G61+IF($E61="借",SUMIFS(记账分录!$I$6:$I$5505,记账分录!$F$6:$F$5505,$A61,记账分录!$H$6:$H$5505,$C61,记账分录!$E$6:$E$5505,"&lt;"&amp;$A$4)-SUMIFS(记账分录!$J$6:$J$5505,记账分录!$F$6:$F$5505,$A61,记账分录!$H$6:$H$5505,$C61,记账分录!$E$6:$E$5505,"&lt;"&amp;$A$4),SUMIFS(记账分录!$J$6:$J$5505,记账分录!$F$6:$F$5505,$A61,记账分录!$H$6:$H$5505,$C61,记账分录!$E$6:$E$5505,"&lt;"&amp;$A$4)-SUMIFS(记账分录!$I$6:$I$5505,记账分录!$F$6:$F$5505,$A61,记账分录!$H$6:$H$5505,$C61,记账分录!$E$6:$E$5505,"&lt;"&amp;$A$4)))</f>
        <v/>
      </c>
      <c r="I61" s="40" t="str">
        <f aca="false">IF($C61="","",SUMIFS(记账分录!$I$6:$I$5505,记账分录!$F$6:$F$5505,$A61,记账分录!$H$6:$H$5505,$C61,记账分录!$E$6:$E$5505,"&gt;="&amp;$A$4,记账分录!$E$6:$E$5505,"&lt;="&amp;$B$4))</f>
        <v/>
      </c>
      <c r="J61" s="40" t="str">
        <f aca="false">IF($C61="","",SUMIFS(记账分录!$J$6:$J$5505,记账分录!$F$6:$F$5505,$A61,记账分录!$H$6:$H$5505,$C61,记账分录!$E$6:$E$5505,"&gt;="&amp;$A$4,记账分录!$E$6:$E$5505,"&lt;="&amp;$B$4))</f>
        <v/>
      </c>
      <c r="K61" s="42" t="str">
        <f aca="false">IF($C61="","",IF($E61="借",$I61-$J61,$J61-$I61))</f>
        <v/>
      </c>
      <c r="L61" s="42" t="str">
        <f aca="false">IF($C61="","",ROUND($H61+$K61,2))</f>
        <v/>
      </c>
      <c r="M61" s="40" t="str">
        <f aca="false">IF($C61="","",SUMIFS(记账分录!$I$6:$I$5505,记账分录!$F$6:$F$5505,$A61,记账分录!$H$6:$H$5505,$C61,记账分录!$E$6:$E$5505,"&lt;="&amp;$B$4))</f>
        <v/>
      </c>
      <c r="N61" s="40" t="str">
        <f aca="false">IF($C61="","",SUMIFS(记账分录!$J$6:$J$5505,记账分录!$F$6:$F$5505,$A61,记账分录!$H$6:$H$5505,$C61,记账分录!$E$6:$E$5505,"&lt;="&amp;$B$4))</f>
        <v/>
      </c>
      <c r="O61" s="42" t="str">
        <f aca="false">IF($C61="","",IF($E61="借",$M61-$N61,$N61-$M61))</f>
        <v/>
      </c>
      <c r="P61" s="64" t="str">
        <f aca="false">IF($C61="","",IF(OR(ROUND($G61,2)&lt;&gt;0,ROUND($M61,2)&lt;&gt;0,ROUND($N61,2)&lt;&gt;0),"有",""))</f>
        <v/>
      </c>
    </row>
    <row r="62" customFormat="false" ht="15" hidden="true" customHeight="false" outlineLevel="0" collapsed="false">
      <c r="A62" s="25" t="str">
        <f aca="false">IF(会计科目表!$B61="","",参数设置!$A$10)</f>
        <v/>
      </c>
      <c r="B62" s="25" t="str">
        <f aca="false">IF(会计科目表!$B61="","",会计科目表!$A61)</f>
        <v/>
      </c>
      <c r="C62" s="10" t="str">
        <f aca="false">IF(会计科目表!$B61="","",会计科目表!$B61)</f>
        <v/>
      </c>
      <c r="D62" s="25" t="str">
        <f aca="false">IF($C62="","",会计科目表!$C61)</f>
        <v/>
      </c>
      <c r="E62" s="25" t="str">
        <f aca="false">IF($C62="","",会计科目表!$D61)</f>
        <v/>
      </c>
      <c r="F62" s="10" t="str">
        <f aca="false">IF($C62="","",会计科目表!$F61)</f>
        <v/>
      </c>
      <c r="G62" s="40" t="str">
        <f aca="false">IF($C62="","",IF($E62="借",SUMIFS(期初余额!$C$6:$C$185,期初余额!$A$6:$A$185,$A62,期初余额!$B$6:$B$185,$C62)-SUMIFS(期初余额!$D$6:$D$185,期初余额!$A$6:$A$185,$A62,期初余额!$B$6:$B$185,$C62),SUMIFS(期初余额!$D$6:$D$185,期初余额!$A$6:$A$185,$A62,期初余额!$B$6:$B$185,$C62)-SUMIFS(期初余额!$C$6:$C$185,期初余额!$A$6:$A$185,$A62,期初余额!$B$6:$B$185,$C62)))</f>
        <v/>
      </c>
      <c r="H62" s="40" t="str">
        <f aca="false">IF($C62="","",$G62+IF($E62="借",SUMIFS(记账分录!$I$6:$I$5505,记账分录!$F$6:$F$5505,$A62,记账分录!$H$6:$H$5505,$C62,记账分录!$E$6:$E$5505,"&lt;"&amp;$A$4)-SUMIFS(记账分录!$J$6:$J$5505,记账分录!$F$6:$F$5505,$A62,记账分录!$H$6:$H$5505,$C62,记账分录!$E$6:$E$5505,"&lt;"&amp;$A$4),SUMIFS(记账分录!$J$6:$J$5505,记账分录!$F$6:$F$5505,$A62,记账分录!$H$6:$H$5505,$C62,记账分录!$E$6:$E$5505,"&lt;"&amp;$A$4)-SUMIFS(记账分录!$I$6:$I$5505,记账分录!$F$6:$F$5505,$A62,记账分录!$H$6:$H$5505,$C62,记账分录!$E$6:$E$5505,"&lt;"&amp;$A$4)))</f>
        <v/>
      </c>
      <c r="I62" s="40" t="str">
        <f aca="false">IF($C62="","",SUMIFS(记账分录!$I$6:$I$5505,记账分录!$F$6:$F$5505,$A62,记账分录!$H$6:$H$5505,$C62,记账分录!$E$6:$E$5505,"&gt;="&amp;$A$4,记账分录!$E$6:$E$5505,"&lt;="&amp;$B$4))</f>
        <v/>
      </c>
      <c r="J62" s="40" t="str">
        <f aca="false">IF($C62="","",SUMIFS(记账分录!$J$6:$J$5505,记账分录!$F$6:$F$5505,$A62,记账分录!$H$6:$H$5505,$C62,记账分录!$E$6:$E$5505,"&gt;="&amp;$A$4,记账分录!$E$6:$E$5505,"&lt;="&amp;$B$4))</f>
        <v/>
      </c>
      <c r="K62" s="42" t="str">
        <f aca="false">IF($C62="","",IF($E62="借",$I62-$J62,$J62-$I62))</f>
        <v/>
      </c>
      <c r="L62" s="42" t="str">
        <f aca="false">IF($C62="","",ROUND($H62+$K62,2))</f>
        <v/>
      </c>
      <c r="M62" s="40" t="str">
        <f aca="false">IF($C62="","",SUMIFS(记账分录!$I$6:$I$5505,记账分录!$F$6:$F$5505,$A62,记账分录!$H$6:$H$5505,$C62,记账分录!$E$6:$E$5505,"&lt;="&amp;$B$4))</f>
        <v/>
      </c>
      <c r="N62" s="40" t="str">
        <f aca="false">IF($C62="","",SUMIFS(记账分录!$J$6:$J$5505,记账分录!$F$6:$F$5505,$A62,记账分录!$H$6:$H$5505,$C62,记账分录!$E$6:$E$5505,"&lt;="&amp;$B$4))</f>
        <v/>
      </c>
      <c r="O62" s="42" t="str">
        <f aca="false">IF($C62="","",IF($E62="借",$M62-$N62,$N62-$M62))</f>
        <v/>
      </c>
      <c r="P62" s="64" t="str">
        <f aca="false">IF($C62="","",IF(OR(ROUND($G62,2)&lt;&gt;0,ROUND($M62,2)&lt;&gt;0,ROUND($N62,2)&lt;&gt;0),"有",""))</f>
        <v/>
      </c>
    </row>
    <row r="63" customFormat="false" ht="15" hidden="true" customHeight="false" outlineLevel="0" collapsed="false">
      <c r="A63" s="25" t="str">
        <f aca="false">IF(会计科目表!$B62="","",参数设置!$A$10)</f>
        <v/>
      </c>
      <c r="B63" s="25" t="str">
        <f aca="false">IF(会计科目表!$B62="","",会计科目表!$A62)</f>
        <v/>
      </c>
      <c r="C63" s="10" t="str">
        <f aca="false">IF(会计科目表!$B62="","",会计科目表!$B62)</f>
        <v/>
      </c>
      <c r="D63" s="25" t="str">
        <f aca="false">IF($C63="","",会计科目表!$C62)</f>
        <v/>
      </c>
      <c r="E63" s="25" t="str">
        <f aca="false">IF($C63="","",会计科目表!$D62)</f>
        <v/>
      </c>
      <c r="F63" s="10" t="str">
        <f aca="false">IF($C63="","",会计科目表!$F62)</f>
        <v/>
      </c>
      <c r="G63" s="40" t="str">
        <f aca="false">IF($C63="","",IF($E63="借",SUMIFS(期初余额!$C$6:$C$185,期初余额!$A$6:$A$185,$A63,期初余额!$B$6:$B$185,$C63)-SUMIFS(期初余额!$D$6:$D$185,期初余额!$A$6:$A$185,$A63,期初余额!$B$6:$B$185,$C63),SUMIFS(期初余额!$D$6:$D$185,期初余额!$A$6:$A$185,$A63,期初余额!$B$6:$B$185,$C63)-SUMIFS(期初余额!$C$6:$C$185,期初余额!$A$6:$A$185,$A63,期初余额!$B$6:$B$185,$C63)))</f>
        <v/>
      </c>
      <c r="H63" s="40" t="str">
        <f aca="false">IF($C63="","",$G63+IF($E63="借",SUMIFS(记账分录!$I$6:$I$5505,记账分录!$F$6:$F$5505,$A63,记账分录!$H$6:$H$5505,$C63,记账分录!$E$6:$E$5505,"&lt;"&amp;$A$4)-SUMIFS(记账分录!$J$6:$J$5505,记账分录!$F$6:$F$5505,$A63,记账分录!$H$6:$H$5505,$C63,记账分录!$E$6:$E$5505,"&lt;"&amp;$A$4),SUMIFS(记账分录!$J$6:$J$5505,记账分录!$F$6:$F$5505,$A63,记账分录!$H$6:$H$5505,$C63,记账分录!$E$6:$E$5505,"&lt;"&amp;$A$4)-SUMIFS(记账分录!$I$6:$I$5505,记账分录!$F$6:$F$5505,$A63,记账分录!$H$6:$H$5505,$C63,记账分录!$E$6:$E$5505,"&lt;"&amp;$A$4)))</f>
        <v/>
      </c>
      <c r="I63" s="40" t="str">
        <f aca="false">IF($C63="","",SUMIFS(记账分录!$I$6:$I$5505,记账分录!$F$6:$F$5505,$A63,记账分录!$H$6:$H$5505,$C63,记账分录!$E$6:$E$5505,"&gt;="&amp;$A$4,记账分录!$E$6:$E$5505,"&lt;="&amp;$B$4))</f>
        <v/>
      </c>
      <c r="J63" s="40" t="str">
        <f aca="false">IF($C63="","",SUMIFS(记账分录!$J$6:$J$5505,记账分录!$F$6:$F$5505,$A63,记账分录!$H$6:$H$5505,$C63,记账分录!$E$6:$E$5505,"&gt;="&amp;$A$4,记账分录!$E$6:$E$5505,"&lt;="&amp;$B$4))</f>
        <v/>
      </c>
      <c r="K63" s="42" t="str">
        <f aca="false">IF($C63="","",IF($E63="借",$I63-$J63,$J63-$I63))</f>
        <v/>
      </c>
      <c r="L63" s="42" t="str">
        <f aca="false">IF($C63="","",ROUND($H63+$K63,2))</f>
        <v/>
      </c>
      <c r="M63" s="40" t="str">
        <f aca="false">IF($C63="","",SUMIFS(记账分录!$I$6:$I$5505,记账分录!$F$6:$F$5505,$A63,记账分录!$H$6:$H$5505,$C63,记账分录!$E$6:$E$5505,"&lt;="&amp;$B$4))</f>
        <v/>
      </c>
      <c r="N63" s="40" t="str">
        <f aca="false">IF($C63="","",SUMIFS(记账分录!$J$6:$J$5505,记账分录!$F$6:$F$5505,$A63,记账分录!$H$6:$H$5505,$C63,记账分录!$E$6:$E$5505,"&lt;="&amp;$B$4))</f>
        <v/>
      </c>
      <c r="O63" s="42" t="str">
        <f aca="false">IF($C63="","",IF($E63="借",$M63-$N63,$N63-$M63))</f>
        <v/>
      </c>
      <c r="P63" s="64" t="str">
        <f aca="false">IF($C63="","",IF(OR(ROUND($G63,2)&lt;&gt;0,ROUND($M63,2)&lt;&gt;0,ROUND($N63,2)&lt;&gt;0),"有",""))</f>
        <v/>
      </c>
    </row>
    <row r="64" customFormat="false" ht="15" hidden="true" customHeight="false" outlineLevel="0" collapsed="false">
      <c r="A64" s="25" t="str">
        <f aca="false">IF(会计科目表!$B63="","",参数设置!$A$10)</f>
        <v/>
      </c>
      <c r="B64" s="25" t="str">
        <f aca="false">IF(会计科目表!$B63="","",会计科目表!$A63)</f>
        <v/>
      </c>
      <c r="C64" s="10" t="str">
        <f aca="false">IF(会计科目表!$B63="","",会计科目表!$B63)</f>
        <v/>
      </c>
      <c r="D64" s="25" t="str">
        <f aca="false">IF($C64="","",会计科目表!$C63)</f>
        <v/>
      </c>
      <c r="E64" s="25" t="str">
        <f aca="false">IF($C64="","",会计科目表!$D63)</f>
        <v/>
      </c>
      <c r="F64" s="10" t="str">
        <f aca="false">IF($C64="","",会计科目表!$F63)</f>
        <v/>
      </c>
      <c r="G64" s="40" t="str">
        <f aca="false">IF($C64="","",IF($E64="借",SUMIFS(期初余额!$C$6:$C$185,期初余额!$A$6:$A$185,$A64,期初余额!$B$6:$B$185,$C64)-SUMIFS(期初余额!$D$6:$D$185,期初余额!$A$6:$A$185,$A64,期初余额!$B$6:$B$185,$C64),SUMIFS(期初余额!$D$6:$D$185,期初余额!$A$6:$A$185,$A64,期初余额!$B$6:$B$185,$C64)-SUMIFS(期初余额!$C$6:$C$185,期初余额!$A$6:$A$185,$A64,期初余额!$B$6:$B$185,$C64)))</f>
        <v/>
      </c>
      <c r="H64" s="40" t="str">
        <f aca="false">IF($C64="","",$G64+IF($E64="借",SUMIFS(记账分录!$I$6:$I$5505,记账分录!$F$6:$F$5505,$A64,记账分录!$H$6:$H$5505,$C64,记账分录!$E$6:$E$5505,"&lt;"&amp;$A$4)-SUMIFS(记账分录!$J$6:$J$5505,记账分录!$F$6:$F$5505,$A64,记账分录!$H$6:$H$5505,$C64,记账分录!$E$6:$E$5505,"&lt;"&amp;$A$4),SUMIFS(记账分录!$J$6:$J$5505,记账分录!$F$6:$F$5505,$A64,记账分录!$H$6:$H$5505,$C64,记账分录!$E$6:$E$5505,"&lt;"&amp;$A$4)-SUMIFS(记账分录!$I$6:$I$5505,记账分录!$F$6:$F$5505,$A64,记账分录!$H$6:$H$5505,$C64,记账分录!$E$6:$E$5505,"&lt;"&amp;$A$4)))</f>
        <v/>
      </c>
      <c r="I64" s="40" t="str">
        <f aca="false">IF($C64="","",SUMIFS(记账分录!$I$6:$I$5505,记账分录!$F$6:$F$5505,$A64,记账分录!$H$6:$H$5505,$C64,记账分录!$E$6:$E$5505,"&gt;="&amp;$A$4,记账分录!$E$6:$E$5505,"&lt;="&amp;$B$4))</f>
        <v/>
      </c>
      <c r="J64" s="40" t="str">
        <f aca="false">IF($C64="","",SUMIFS(记账分录!$J$6:$J$5505,记账分录!$F$6:$F$5505,$A64,记账分录!$H$6:$H$5505,$C64,记账分录!$E$6:$E$5505,"&gt;="&amp;$A$4,记账分录!$E$6:$E$5505,"&lt;="&amp;$B$4))</f>
        <v/>
      </c>
      <c r="K64" s="42" t="str">
        <f aca="false">IF($C64="","",IF($E64="借",$I64-$J64,$J64-$I64))</f>
        <v/>
      </c>
      <c r="L64" s="42" t="str">
        <f aca="false">IF($C64="","",ROUND($H64+$K64,2))</f>
        <v/>
      </c>
      <c r="M64" s="40" t="str">
        <f aca="false">IF($C64="","",SUMIFS(记账分录!$I$6:$I$5505,记账分录!$F$6:$F$5505,$A64,记账分录!$H$6:$H$5505,$C64,记账分录!$E$6:$E$5505,"&lt;="&amp;$B$4))</f>
        <v/>
      </c>
      <c r="N64" s="40" t="str">
        <f aca="false">IF($C64="","",SUMIFS(记账分录!$J$6:$J$5505,记账分录!$F$6:$F$5505,$A64,记账分录!$H$6:$H$5505,$C64,记账分录!$E$6:$E$5505,"&lt;="&amp;$B$4))</f>
        <v/>
      </c>
      <c r="O64" s="42" t="str">
        <f aca="false">IF($C64="","",IF($E64="借",$M64-$N64,$N64-$M64))</f>
        <v/>
      </c>
      <c r="P64" s="64" t="str">
        <f aca="false">IF($C64="","",IF(OR(ROUND($G64,2)&lt;&gt;0,ROUND($M64,2)&lt;&gt;0,ROUND($N64,2)&lt;&gt;0),"有",""))</f>
        <v/>
      </c>
    </row>
    <row r="65" customFormat="false" ht="15" hidden="true" customHeight="false" outlineLevel="0" collapsed="false">
      <c r="A65" s="25" t="str">
        <f aca="false">IF(会计科目表!$B64="","",参数设置!$A$10)</f>
        <v/>
      </c>
      <c r="B65" s="25" t="str">
        <f aca="false">IF(会计科目表!$B64="","",会计科目表!$A64)</f>
        <v/>
      </c>
      <c r="C65" s="10" t="str">
        <f aca="false">IF(会计科目表!$B64="","",会计科目表!$B64)</f>
        <v/>
      </c>
      <c r="D65" s="25" t="str">
        <f aca="false">IF($C65="","",会计科目表!$C64)</f>
        <v/>
      </c>
      <c r="E65" s="25" t="str">
        <f aca="false">IF($C65="","",会计科目表!$D64)</f>
        <v/>
      </c>
      <c r="F65" s="10" t="str">
        <f aca="false">IF($C65="","",会计科目表!$F64)</f>
        <v/>
      </c>
      <c r="G65" s="40" t="str">
        <f aca="false">IF($C65="","",IF($E65="借",SUMIFS(期初余额!$C$6:$C$185,期初余额!$A$6:$A$185,$A65,期初余额!$B$6:$B$185,$C65)-SUMIFS(期初余额!$D$6:$D$185,期初余额!$A$6:$A$185,$A65,期初余额!$B$6:$B$185,$C65),SUMIFS(期初余额!$D$6:$D$185,期初余额!$A$6:$A$185,$A65,期初余额!$B$6:$B$185,$C65)-SUMIFS(期初余额!$C$6:$C$185,期初余额!$A$6:$A$185,$A65,期初余额!$B$6:$B$185,$C65)))</f>
        <v/>
      </c>
      <c r="H65" s="40" t="str">
        <f aca="false">IF($C65="","",$G65+IF($E65="借",SUMIFS(记账分录!$I$6:$I$5505,记账分录!$F$6:$F$5505,$A65,记账分录!$H$6:$H$5505,$C65,记账分录!$E$6:$E$5505,"&lt;"&amp;$A$4)-SUMIFS(记账分录!$J$6:$J$5505,记账分录!$F$6:$F$5505,$A65,记账分录!$H$6:$H$5505,$C65,记账分录!$E$6:$E$5505,"&lt;"&amp;$A$4),SUMIFS(记账分录!$J$6:$J$5505,记账分录!$F$6:$F$5505,$A65,记账分录!$H$6:$H$5505,$C65,记账分录!$E$6:$E$5505,"&lt;"&amp;$A$4)-SUMIFS(记账分录!$I$6:$I$5505,记账分录!$F$6:$F$5505,$A65,记账分录!$H$6:$H$5505,$C65,记账分录!$E$6:$E$5505,"&lt;"&amp;$A$4)))</f>
        <v/>
      </c>
      <c r="I65" s="40" t="str">
        <f aca="false">IF($C65="","",SUMIFS(记账分录!$I$6:$I$5505,记账分录!$F$6:$F$5505,$A65,记账分录!$H$6:$H$5505,$C65,记账分录!$E$6:$E$5505,"&gt;="&amp;$A$4,记账分录!$E$6:$E$5505,"&lt;="&amp;$B$4))</f>
        <v/>
      </c>
      <c r="J65" s="40" t="str">
        <f aca="false">IF($C65="","",SUMIFS(记账分录!$J$6:$J$5505,记账分录!$F$6:$F$5505,$A65,记账分录!$H$6:$H$5505,$C65,记账分录!$E$6:$E$5505,"&gt;="&amp;$A$4,记账分录!$E$6:$E$5505,"&lt;="&amp;$B$4))</f>
        <v/>
      </c>
      <c r="K65" s="42" t="str">
        <f aca="false">IF($C65="","",IF($E65="借",$I65-$J65,$J65-$I65))</f>
        <v/>
      </c>
      <c r="L65" s="42" t="str">
        <f aca="false">IF($C65="","",ROUND($H65+$K65,2))</f>
        <v/>
      </c>
      <c r="M65" s="40" t="str">
        <f aca="false">IF($C65="","",SUMIFS(记账分录!$I$6:$I$5505,记账分录!$F$6:$F$5505,$A65,记账分录!$H$6:$H$5505,$C65,记账分录!$E$6:$E$5505,"&lt;="&amp;$B$4))</f>
        <v/>
      </c>
      <c r="N65" s="40" t="str">
        <f aca="false">IF($C65="","",SUMIFS(记账分录!$J$6:$J$5505,记账分录!$F$6:$F$5505,$A65,记账分录!$H$6:$H$5505,$C65,记账分录!$E$6:$E$5505,"&lt;="&amp;$B$4))</f>
        <v/>
      </c>
      <c r="O65" s="42" t="str">
        <f aca="false">IF($C65="","",IF($E65="借",$M65-$N65,$N65-$M65))</f>
        <v/>
      </c>
      <c r="P65" s="64" t="str">
        <f aca="false">IF($C65="","",IF(OR(ROUND($G65,2)&lt;&gt;0,ROUND($M65,2)&lt;&gt;0,ROUND($N65,2)&lt;&gt;0),"有",""))</f>
        <v/>
      </c>
    </row>
    <row r="66" customFormat="false" ht="15" hidden="true" customHeight="false" outlineLevel="0" collapsed="false">
      <c r="A66" s="25" t="str">
        <f aca="false">IF(会计科目表!$B65="","",参数设置!$A$10)</f>
        <v/>
      </c>
      <c r="B66" s="25" t="str">
        <f aca="false">IF(会计科目表!$B65="","",会计科目表!$A65)</f>
        <v/>
      </c>
      <c r="C66" s="10" t="str">
        <f aca="false">IF(会计科目表!$B65="","",会计科目表!$B65)</f>
        <v/>
      </c>
      <c r="D66" s="25" t="str">
        <f aca="false">IF($C66="","",会计科目表!$C65)</f>
        <v/>
      </c>
      <c r="E66" s="25" t="str">
        <f aca="false">IF($C66="","",会计科目表!$D65)</f>
        <v/>
      </c>
      <c r="F66" s="10" t="str">
        <f aca="false">IF($C66="","",会计科目表!$F65)</f>
        <v/>
      </c>
      <c r="G66" s="40" t="str">
        <f aca="false">IF($C66="","",IF($E66="借",SUMIFS(期初余额!$C$6:$C$185,期初余额!$A$6:$A$185,$A66,期初余额!$B$6:$B$185,$C66)-SUMIFS(期初余额!$D$6:$D$185,期初余额!$A$6:$A$185,$A66,期初余额!$B$6:$B$185,$C66),SUMIFS(期初余额!$D$6:$D$185,期初余额!$A$6:$A$185,$A66,期初余额!$B$6:$B$185,$C66)-SUMIFS(期初余额!$C$6:$C$185,期初余额!$A$6:$A$185,$A66,期初余额!$B$6:$B$185,$C66)))</f>
        <v/>
      </c>
      <c r="H66" s="40" t="str">
        <f aca="false">IF($C66="","",$G66+IF($E66="借",SUMIFS(记账分录!$I$6:$I$5505,记账分录!$F$6:$F$5505,$A66,记账分录!$H$6:$H$5505,$C66,记账分录!$E$6:$E$5505,"&lt;"&amp;$A$4)-SUMIFS(记账分录!$J$6:$J$5505,记账分录!$F$6:$F$5505,$A66,记账分录!$H$6:$H$5505,$C66,记账分录!$E$6:$E$5505,"&lt;"&amp;$A$4),SUMIFS(记账分录!$J$6:$J$5505,记账分录!$F$6:$F$5505,$A66,记账分录!$H$6:$H$5505,$C66,记账分录!$E$6:$E$5505,"&lt;"&amp;$A$4)-SUMIFS(记账分录!$I$6:$I$5505,记账分录!$F$6:$F$5505,$A66,记账分录!$H$6:$H$5505,$C66,记账分录!$E$6:$E$5505,"&lt;"&amp;$A$4)))</f>
        <v/>
      </c>
      <c r="I66" s="40" t="str">
        <f aca="false">IF($C66="","",SUMIFS(记账分录!$I$6:$I$5505,记账分录!$F$6:$F$5505,$A66,记账分录!$H$6:$H$5505,$C66,记账分录!$E$6:$E$5505,"&gt;="&amp;$A$4,记账分录!$E$6:$E$5505,"&lt;="&amp;$B$4))</f>
        <v/>
      </c>
      <c r="J66" s="40" t="str">
        <f aca="false">IF($C66="","",SUMIFS(记账分录!$J$6:$J$5505,记账分录!$F$6:$F$5505,$A66,记账分录!$H$6:$H$5505,$C66,记账分录!$E$6:$E$5505,"&gt;="&amp;$A$4,记账分录!$E$6:$E$5505,"&lt;="&amp;$B$4))</f>
        <v/>
      </c>
      <c r="K66" s="42" t="str">
        <f aca="false">IF($C66="","",IF($E66="借",$I66-$J66,$J66-$I66))</f>
        <v/>
      </c>
      <c r="L66" s="42" t="str">
        <f aca="false">IF($C66="","",ROUND($H66+$K66,2))</f>
        <v/>
      </c>
      <c r="M66" s="40" t="str">
        <f aca="false">IF($C66="","",SUMIFS(记账分录!$I$6:$I$5505,记账分录!$F$6:$F$5505,$A66,记账分录!$H$6:$H$5505,$C66,记账分录!$E$6:$E$5505,"&lt;="&amp;$B$4))</f>
        <v/>
      </c>
      <c r="N66" s="40" t="str">
        <f aca="false">IF($C66="","",SUMIFS(记账分录!$J$6:$J$5505,记账分录!$F$6:$F$5505,$A66,记账分录!$H$6:$H$5505,$C66,记账分录!$E$6:$E$5505,"&lt;="&amp;$B$4))</f>
        <v/>
      </c>
      <c r="O66" s="42" t="str">
        <f aca="false">IF($C66="","",IF($E66="借",$M66-$N66,$N66-$M66))</f>
        <v/>
      </c>
      <c r="P66" s="64" t="str">
        <f aca="false">IF($C66="","",IF(OR(ROUND($G66,2)&lt;&gt;0,ROUND($M66,2)&lt;&gt;0,ROUND($N66,2)&lt;&gt;0),"有",""))</f>
        <v/>
      </c>
    </row>
    <row r="67" customFormat="false" ht="15" hidden="true" customHeight="false" outlineLevel="0" collapsed="false">
      <c r="A67" s="25" t="str">
        <f aca="false">IF(会计科目表!$B66="","",参数设置!$A$10)</f>
        <v/>
      </c>
      <c r="B67" s="25" t="str">
        <f aca="false">IF(会计科目表!$B66="","",会计科目表!$A66)</f>
        <v/>
      </c>
      <c r="C67" s="10" t="str">
        <f aca="false">IF(会计科目表!$B66="","",会计科目表!$B66)</f>
        <v/>
      </c>
      <c r="D67" s="25" t="str">
        <f aca="false">IF($C67="","",会计科目表!$C66)</f>
        <v/>
      </c>
      <c r="E67" s="25" t="str">
        <f aca="false">IF($C67="","",会计科目表!$D66)</f>
        <v/>
      </c>
      <c r="F67" s="10" t="str">
        <f aca="false">IF($C67="","",会计科目表!$F66)</f>
        <v/>
      </c>
      <c r="G67" s="40" t="str">
        <f aca="false">IF($C67="","",IF($E67="借",SUMIFS(期初余额!$C$6:$C$185,期初余额!$A$6:$A$185,$A67,期初余额!$B$6:$B$185,$C67)-SUMIFS(期初余额!$D$6:$D$185,期初余额!$A$6:$A$185,$A67,期初余额!$B$6:$B$185,$C67),SUMIFS(期初余额!$D$6:$D$185,期初余额!$A$6:$A$185,$A67,期初余额!$B$6:$B$185,$C67)-SUMIFS(期初余额!$C$6:$C$185,期初余额!$A$6:$A$185,$A67,期初余额!$B$6:$B$185,$C67)))</f>
        <v/>
      </c>
      <c r="H67" s="40" t="str">
        <f aca="false">IF($C67="","",$G67+IF($E67="借",SUMIFS(记账分录!$I$6:$I$5505,记账分录!$F$6:$F$5505,$A67,记账分录!$H$6:$H$5505,$C67,记账分录!$E$6:$E$5505,"&lt;"&amp;$A$4)-SUMIFS(记账分录!$J$6:$J$5505,记账分录!$F$6:$F$5505,$A67,记账分录!$H$6:$H$5505,$C67,记账分录!$E$6:$E$5505,"&lt;"&amp;$A$4),SUMIFS(记账分录!$J$6:$J$5505,记账分录!$F$6:$F$5505,$A67,记账分录!$H$6:$H$5505,$C67,记账分录!$E$6:$E$5505,"&lt;"&amp;$A$4)-SUMIFS(记账分录!$I$6:$I$5505,记账分录!$F$6:$F$5505,$A67,记账分录!$H$6:$H$5505,$C67,记账分录!$E$6:$E$5505,"&lt;"&amp;$A$4)))</f>
        <v/>
      </c>
      <c r="I67" s="40" t="str">
        <f aca="false">IF($C67="","",SUMIFS(记账分录!$I$6:$I$5505,记账分录!$F$6:$F$5505,$A67,记账分录!$H$6:$H$5505,$C67,记账分录!$E$6:$E$5505,"&gt;="&amp;$A$4,记账分录!$E$6:$E$5505,"&lt;="&amp;$B$4))</f>
        <v/>
      </c>
      <c r="J67" s="40" t="str">
        <f aca="false">IF($C67="","",SUMIFS(记账分录!$J$6:$J$5505,记账分录!$F$6:$F$5505,$A67,记账分录!$H$6:$H$5505,$C67,记账分录!$E$6:$E$5505,"&gt;="&amp;$A$4,记账分录!$E$6:$E$5505,"&lt;="&amp;$B$4))</f>
        <v/>
      </c>
      <c r="K67" s="42" t="str">
        <f aca="false">IF($C67="","",IF($E67="借",$I67-$J67,$J67-$I67))</f>
        <v/>
      </c>
      <c r="L67" s="42" t="str">
        <f aca="false">IF($C67="","",ROUND($H67+$K67,2))</f>
        <v/>
      </c>
      <c r="M67" s="40" t="str">
        <f aca="false">IF($C67="","",SUMIFS(记账分录!$I$6:$I$5505,记账分录!$F$6:$F$5505,$A67,记账分录!$H$6:$H$5505,$C67,记账分录!$E$6:$E$5505,"&lt;="&amp;$B$4))</f>
        <v/>
      </c>
      <c r="N67" s="40" t="str">
        <f aca="false">IF($C67="","",SUMIFS(记账分录!$J$6:$J$5505,记账分录!$F$6:$F$5505,$A67,记账分录!$H$6:$H$5505,$C67,记账分录!$E$6:$E$5505,"&lt;="&amp;$B$4))</f>
        <v/>
      </c>
      <c r="O67" s="42" t="str">
        <f aca="false">IF($C67="","",IF($E67="借",$M67-$N67,$N67-$M67))</f>
        <v/>
      </c>
      <c r="P67" s="64" t="str">
        <f aca="false">IF($C67="","",IF(OR(ROUND($G67,2)&lt;&gt;0,ROUND($M67,2)&lt;&gt;0,ROUND($N67,2)&lt;&gt;0),"有",""))</f>
        <v/>
      </c>
    </row>
    <row r="68" customFormat="false" ht="15" hidden="true" customHeight="false" outlineLevel="0" collapsed="false">
      <c r="A68" s="25" t="str">
        <f aca="false">IF(会计科目表!$B67="","",参数设置!$A$10)</f>
        <v/>
      </c>
      <c r="B68" s="25" t="str">
        <f aca="false">IF(会计科目表!$B67="","",会计科目表!$A67)</f>
        <v/>
      </c>
      <c r="C68" s="10" t="str">
        <f aca="false">IF(会计科目表!$B67="","",会计科目表!$B67)</f>
        <v/>
      </c>
      <c r="D68" s="25" t="str">
        <f aca="false">IF($C68="","",会计科目表!$C67)</f>
        <v/>
      </c>
      <c r="E68" s="25" t="str">
        <f aca="false">IF($C68="","",会计科目表!$D67)</f>
        <v/>
      </c>
      <c r="F68" s="10" t="str">
        <f aca="false">IF($C68="","",会计科目表!$F67)</f>
        <v/>
      </c>
      <c r="G68" s="40" t="str">
        <f aca="false">IF($C68="","",IF($E68="借",SUMIFS(期初余额!$C$6:$C$185,期初余额!$A$6:$A$185,$A68,期初余额!$B$6:$B$185,$C68)-SUMIFS(期初余额!$D$6:$D$185,期初余额!$A$6:$A$185,$A68,期初余额!$B$6:$B$185,$C68),SUMIFS(期初余额!$D$6:$D$185,期初余额!$A$6:$A$185,$A68,期初余额!$B$6:$B$185,$C68)-SUMIFS(期初余额!$C$6:$C$185,期初余额!$A$6:$A$185,$A68,期初余额!$B$6:$B$185,$C68)))</f>
        <v/>
      </c>
      <c r="H68" s="40" t="str">
        <f aca="false">IF($C68="","",$G68+IF($E68="借",SUMIFS(记账分录!$I$6:$I$5505,记账分录!$F$6:$F$5505,$A68,记账分录!$H$6:$H$5505,$C68,记账分录!$E$6:$E$5505,"&lt;"&amp;$A$4)-SUMIFS(记账分录!$J$6:$J$5505,记账分录!$F$6:$F$5505,$A68,记账分录!$H$6:$H$5505,$C68,记账分录!$E$6:$E$5505,"&lt;"&amp;$A$4),SUMIFS(记账分录!$J$6:$J$5505,记账分录!$F$6:$F$5505,$A68,记账分录!$H$6:$H$5505,$C68,记账分录!$E$6:$E$5505,"&lt;"&amp;$A$4)-SUMIFS(记账分录!$I$6:$I$5505,记账分录!$F$6:$F$5505,$A68,记账分录!$H$6:$H$5505,$C68,记账分录!$E$6:$E$5505,"&lt;"&amp;$A$4)))</f>
        <v/>
      </c>
      <c r="I68" s="40" t="str">
        <f aca="false">IF($C68="","",SUMIFS(记账分录!$I$6:$I$5505,记账分录!$F$6:$F$5505,$A68,记账分录!$H$6:$H$5505,$C68,记账分录!$E$6:$E$5505,"&gt;="&amp;$A$4,记账分录!$E$6:$E$5505,"&lt;="&amp;$B$4))</f>
        <v/>
      </c>
      <c r="J68" s="40" t="str">
        <f aca="false">IF($C68="","",SUMIFS(记账分录!$J$6:$J$5505,记账分录!$F$6:$F$5505,$A68,记账分录!$H$6:$H$5505,$C68,记账分录!$E$6:$E$5505,"&gt;="&amp;$A$4,记账分录!$E$6:$E$5505,"&lt;="&amp;$B$4))</f>
        <v/>
      </c>
      <c r="K68" s="42" t="str">
        <f aca="false">IF($C68="","",IF($E68="借",$I68-$J68,$J68-$I68))</f>
        <v/>
      </c>
      <c r="L68" s="42" t="str">
        <f aca="false">IF($C68="","",ROUND($H68+$K68,2))</f>
        <v/>
      </c>
      <c r="M68" s="40" t="str">
        <f aca="false">IF($C68="","",SUMIFS(记账分录!$I$6:$I$5505,记账分录!$F$6:$F$5505,$A68,记账分录!$H$6:$H$5505,$C68,记账分录!$E$6:$E$5505,"&lt;="&amp;$B$4))</f>
        <v/>
      </c>
      <c r="N68" s="40" t="str">
        <f aca="false">IF($C68="","",SUMIFS(记账分录!$J$6:$J$5505,记账分录!$F$6:$F$5505,$A68,记账分录!$H$6:$H$5505,$C68,记账分录!$E$6:$E$5505,"&lt;="&amp;$B$4))</f>
        <v/>
      </c>
      <c r="O68" s="42" t="str">
        <f aca="false">IF($C68="","",IF($E68="借",$M68-$N68,$N68-$M68))</f>
        <v/>
      </c>
      <c r="P68" s="64" t="str">
        <f aca="false">IF($C68="","",IF(OR(ROUND($G68,2)&lt;&gt;0,ROUND($M68,2)&lt;&gt;0,ROUND($N68,2)&lt;&gt;0),"有",""))</f>
        <v/>
      </c>
    </row>
    <row r="69" customFormat="false" ht="15" hidden="true" customHeight="false" outlineLevel="0" collapsed="false">
      <c r="A69" s="25" t="str">
        <f aca="false">IF(会计科目表!$B68="","",参数设置!$A$10)</f>
        <v/>
      </c>
      <c r="B69" s="25" t="str">
        <f aca="false">IF(会计科目表!$B68="","",会计科目表!$A68)</f>
        <v/>
      </c>
      <c r="C69" s="10" t="str">
        <f aca="false">IF(会计科目表!$B68="","",会计科目表!$B68)</f>
        <v/>
      </c>
      <c r="D69" s="25" t="str">
        <f aca="false">IF($C69="","",会计科目表!$C68)</f>
        <v/>
      </c>
      <c r="E69" s="25" t="str">
        <f aca="false">IF($C69="","",会计科目表!$D68)</f>
        <v/>
      </c>
      <c r="F69" s="10" t="str">
        <f aca="false">IF($C69="","",会计科目表!$F68)</f>
        <v/>
      </c>
      <c r="G69" s="40" t="str">
        <f aca="false">IF($C69="","",IF($E69="借",SUMIFS(期初余额!$C$6:$C$185,期初余额!$A$6:$A$185,$A69,期初余额!$B$6:$B$185,$C69)-SUMIFS(期初余额!$D$6:$D$185,期初余额!$A$6:$A$185,$A69,期初余额!$B$6:$B$185,$C69),SUMIFS(期初余额!$D$6:$D$185,期初余额!$A$6:$A$185,$A69,期初余额!$B$6:$B$185,$C69)-SUMIFS(期初余额!$C$6:$C$185,期初余额!$A$6:$A$185,$A69,期初余额!$B$6:$B$185,$C69)))</f>
        <v/>
      </c>
      <c r="H69" s="40" t="str">
        <f aca="false">IF($C69="","",$G69+IF($E69="借",SUMIFS(记账分录!$I$6:$I$5505,记账分录!$F$6:$F$5505,$A69,记账分录!$H$6:$H$5505,$C69,记账分录!$E$6:$E$5505,"&lt;"&amp;$A$4)-SUMIFS(记账分录!$J$6:$J$5505,记账分录!$F$6:$F$5505,$A69,记账分录!$H$6:$H$5505,$C69,记账分录!$E$6:$E$5505,"&lt;"&amp;$A$4),SUMIFS(记账分录!$J$6:$J$5505,记账分录!$F$6:$F$5505,$A69,记账分录!$H$6:$H$5505,$C69,记账分录!$E$6:$E$5505,"&lt;"&amp;$A$4)-SUMIFS(记账分录!$I$6:$I$5505,记账分录!$F$6:$F$5505,$A69,记账分录!$H$6:$H$5505,$C69,记账分录!$E$6:$E$5505,"&lt;"&amp;$A$4)))</f>
        <v/>
      </c>
      <c r="I69" s="40" t="str">
        <f aca="false">IF($C69="","",SUMIFS(记账分录!$I$6:$I$5505,记账分录!$F$6:$F$5505,$A69,记账分录!$H$6:$H$5505,$C69,记账分录!$E$6:$E$5505,"&gt;="&amp;$A$4,记账分录!$E$6:$E$5505,"&lt;="&amp;$B$4))</f>
        <v/>
      </c>
      <c r="J69" s="40" t="str">
        <f aca="false">IF($C69="","",SUMIFS(记账分录!$J$6:$J$5505,记账分录!$F$6:$F$5505,$A69,记账分录!$H$6:$H$5505,$C69,记账分录!$E$6:$E$5505,"&gt;="&amp;$A$4,记账分录!$E$6:$E$5505,"&lt;="&amp;$B$4))</f>
        <v/>
      </c>
      <c r="K69" s="42" t="str">
        <f aca="false">IF($C69="","",IF($E69="借",$I69-$J69,$J69-$I69))</f>
        <v/>
      </c>
      <c r="L69" s="42" t="str">
        <f aca="false">IF($C69="","",ROUND($H69+$K69,2))</f>
        <v/>
      </c>
      <c r="M69" s="40" t="str">
        <f aca="false">IF($C69="","",SUMIFS(记账分录!$I$6:$I$5505,记账分录!$F$6:$F$5505,$A69,记账分录!$H$6:$H$5505,$C69,记账分录!$E$6:$E$5505,"&lt;="&amp;$B$4))</f>
        <v/>
      </c>
      <c r="N69" s="40" t="str">
        <f aca="false">IF($C69="","",SUMIFS(记账分录!$J$6:$J$5505,记账分录!$F$6:$F$5505,$A69,记账分录!$H$6:$H$5505,$C69,记账分录!$E$6:$E$5505,"&lt;="&amp;$B$4))</f>
        <v/>
      </c>
      <c r="O69" s="42" t="str">
        <f aca="false">IF($C69="","",IF($E69="借",$M69-$N69,$N69-$M69))</f>
        <v/>
      </c>
      <c r="P69" s="64" t="str">
        <f aca="false">IF($C69="","",IF(OR(ROUND($G69,2)&lt;&gt;0,ROUND($M69,2)&lt;&gt;0,ROUND($N69,2)&lt;&gt;0),"有",""))</f>
        <v/>
      </c>
    </row>
    <row r="70" customFormat="false" ht="15" hidden="true" customHeight="false" outlineLevel="0" collapsed="false">
      <c r="A70" s="25" t="str">
        <f aca="false">IF(会计科目表!$B69="","",参数设置!$A$10)</f>
        <v/>
      </c>
      <c r="B70" s="25" t="str">
        <f aca="false">IF(会计科目表!$B69="","",会计科目表!$A69)</f>
        <v/>
      </c>
      <c r="C70" s="10" t="str">
        <f aca="false">IF(会计科目表!$B69="","",会计科目表!$B69)</f>
        <v/>
      </c>
      <c r="D70" s="25" t="str">
        <f aca="false">IF($C70="","",会计科目表!$C69)</f>
        <v/>
      </c>
      <c r="E70" s="25" t="str">
        <f aca="false">IF($C70="","",会计科目表!$D69)</f>
        <v/>
      </c>
      <c r="F70" s="10" t="str">
        <f aca="false">IF($C70="","",会计科目表!$F69)</f>
        <v/>
      </c>
      <c r="G70" s="40" t="str">
        <f aca="false">IF($C70="","",IF($E70="借",SUMIFS(期初余额!$C$6:$C$185,期初余额!$A$6:$A$185,$A70,期初余额!$B$6:$B$185,$C70)-SUMIFS(期初余额!$D$6:$D$185,期初余额!$A$6:$A$185,$A70,期初余额!$B$6:$B$185,$C70),SUMIFS(期初余额!$D$6:$D$185,期初余额!$A$6:$A$185,$A70,期初余额!$B$6:$B$185,$C70)-SUMIFS(期初余额!$C$6:$C$185,期初余额!$A$6:$A$185,$A70,期初余额!$B$6:$B$185,$C70)))</f>
        <v/>
      </c>
      <c r="H70" s="40" t="str">
        <f aca="false">IF($C70="","",$G70+IF($E70="借",SUMIFS(记账分录!$I$6:$I$5505,记账分录!$F$6:$F$5505,$A70,记账分录!$H$6:$H$5505,$C70,记账分录!$E$6:$E$5505,"&lt;"&amp;$A$4)-SUMIFS(记账分录!$J$6:$J$5505,记账分录!$F$6:$F$5505,$A70,记账分录!$H$6:$H$5505,$C70,记账分录!$E$6:$E$5505,"&lt;"&amp;$A$4),SUMIFS(记账分录!$J$6:$J$5505,记账分录!$F$6:$F$5505,$A70,记账分录!$H$6:$H$5505,$C70,记账分录!$E$6:$E$5505,"&lt;"&amp;$A$4)-SUMIFS(记账分录!$I$6:$I$5505,记账分录!$F$6:$F$5505,$A70,记账分录!$H$6:$H$5505,$C70,记账分录!$E$6:$E$5505,"&lt;"&amp;$A$4)))</f>
        <v/>
      </c>
      <c r="I70" s="40" t="str">
        <f aca="false">IF($C70="","",SUMIFS(记账分录!$I$6:$I$5505,记账分录!$F$6:$F$5505,$A70,记账分录!$H$6:$H$5505,$C70,记账分录!$E$6:$E$5505,"&gt;="&amp;$A$4,记账分录!$E$6:$E$5505,"&lt;="&amp;$B$4))</f>
        <v/>
      </c>
      <c r="J70" s="40" t="str">
        <f aca="false">IF($C70="","",SUMIFS(记账分录!$J$6:$J$5505,记账分录!$F$6:$F$5505,$A70,记账分录!$H$6:$H$5505,$C70,记账分录!$E$6:$E$5505,"&gt;="&amp;$A$4,记账分录!$E$6:$E$5505,"&lt;="&amp;$B$4))</f>
        <v/>
      </c>
      <c r="K70" s="42" t="str">
        <f aca="false">IF($C70="","",IF($E70="借",$I70-$J70,$J70-$I70))</f>
        <v/>
      </c>
      <c r="L70" s="42" t="str">
        <f aca="false">IF($C70="","",ROUND($H70+$K70,2))</f>
        <v/>
      </c>
      <c r="M70" s="40" t="str">
        <f aca="false">IF($C70="","",SUMIFS(记账分录!$I$6:$I$5505,记账分录!$F$6:$F$5505,$A70,记账分录!$H$6:$H$5505,$C70,记账分录!$E$6:$E$5505,"&lt;="&amp;$B$4))</f>
        <v/>
      </c>
      <c r="N70" s="40" t="str">
        <f aca="false">IF($C70="","",SUMIFS(记账分录!$J$6:$J$5505,记账分录!$F$6:$F$5505,$A70,记账分录!$H$6:$H$5505,$C70,记账分录!$E$6:$E$5505,"&lt;="&amp;$B$4))</f>
        <v/>
      </c>
      <c r="O70" s="42" t="str">
        <f aca="false">IF($C70="","",IF($E70="借",$M70-$N70,$N70-$M70))</f>
        <v/>
      </c>
      <c r="P70" s="64" t="str">
        <f aca="false">IF($C70="","",IF(OR(ROUND($G70,2)&lt;&gt;0,ROUND($M70,2)&lt;&gt;0,ROUND($N70,2)&lt;&gt;0),"有",""))</f>
        <v/>
      </c>
    </row>
    <row r="71" customFormat="false" ht="15" hidden="true" customHeight="false" outlineLevel="0" collapsed="false">
      <c r="A71" s="25" t="str">
        <f aca="false">IF(会计科目表!$B70="","",参数设置!$A$10)</f>
        <v/>
      </c>
      <c r="B71" s="25" t="str">
        <f aca="false">IF(会计科目表!$B70="","",会计科目表!$A70)</f>
        <v/>
      </c>
      <c r="C71" s="10" t="str">
        <f aca="false">IF(会计科目表!$B70="","",会计科目表!$B70)</f>
        <v/>
      </c>
      <c r="D71" s="25" t="str">
        <f aca="false">IF($C71="","",会计科目表!$C70)</f>
        <v/>
      </c>
      <c r="E71" s="25" t="str">
        <f aca="false">IF($C71="","",会计科目表!$D70)</f>
        <v/>
      </c>
      <c r="F71" s="10" t="str">
        <f aca="false">IF($C71="","",会计科目表!$F70)</f>
        <v/>
      </c>
      <c r="G71" s="40" t="str">
        <f aca="false">IF($C71="","",IF($E71="借",SUMIFS(期初余额!$C$6:$C$185,期初余额!$A$6:$A$185,$A71,期初余额!$B$6:$B$185,$C71)-SUMIFS(期初余额!$D$6:$D$185,期初余额!$A$6:$A$185,$A71,期初余额!$B$6:$B$185,$C71),SUMIFS(期初余额!$D$6:$D$185,期初余额!$A$6:$A$185,$A71,期初余额!$B$6:$B$185,$C71)-SUMIFS(期初余额!$C$6:$C$185,期初余额!$A$6:$A$185,$A71,期初余额!$B$6:$B$185,$C71)))</f>
        <v/>
      </c>
      <c r="H71" s="40" t="str">
        <f aca="false">IF($C71="","",$G71+IF($E71="借",SUMIFS(记账分录!$I$6:$I$5505,记账分录!$F$6:$F$5505,$A71,记账分录!$H$6:$H$5505,$C71,记账分录!$E$6:$E$5505,"&lt;"&amp;$A$4)-SUMIFS(记账分录!$J$6:$J$5505,记账分录!$F$6:$F$5505,$A71,记账分录!$H$6:$H$5505,$C71,记账分录!$E$6:$E$5505,"&lt;"&amp;$A$4),SUMIFS(记账分录!$J$6:$J$5505,记账分录!$F$6:$F$5505,$A71,记账分录!$H$6:$H$5505,$C71,记账分录!$E$6:$E$5505,"&lt;"&amp;$A$4)-SUMIFS(记账分录!$I$6:$I$5505,记账分录!$F$6:$F$5505,$A71,记账分录!$H$6:$H$5505,$C71,记账分录!$E$6:$E$5505,"&lt;"&amp;$A$4)))</f>
        <v/>
      </c>
      <c r="I71" s="40" t="str">
        <f aca="false">IF($C71="","",SUMIFS(记账分录!$I$6:$I$5505,记账分录!$F$6:$F$5505,$A71,记账分录!$H$6:$H$5505,$C71,记账分录!$E$6:$E$5505,"&gt;="&amp;$A$4,记账分录!$E$6:$E$5505,"&lt;="&amp;$B$4))</f>
        <v/>
      </c>
      <c r="J71" s="40" t="str">
        <f aca="false">IF($C71="","",SUMIFS(记账分录!$J$6:$J$5505,记账分录!$F$6:$F$5505,$A71,记账分录!$H$6:$H$5505,$C71,记账分录!$E$6:$E$5505,"&gt;="&amp;$A$4,记账分录!$E$6:$E$5505,"&lt;="&amp;$B$4))</f>
        <v/>
      </c>
      <c r="K71" s="42" t="str">
        <f aca="false">IF($C71="","",IF($E71="借",$I71-$J71,$J71-$I71))</f>
        <v/>
      </c>
      <c r="L71" s="42" t="str">
        <f aca="false">IF($C71="","",ROUND($H71+$K71,2))</f>
        <v/>
      </c>
      <c r="M71" s="40" t="str">
        <f aca="false">IF($C71="","",SUMIFS(记账分录!$I$6:$I$5505,记账分录!$F$6:$F$5505,$A71,记账分录!$H$6:$H$5505,$C71,记账分录!$E$6:$E$5505,"&lt;="&amp;$B$4))</f>
        <v/>
      </c>
      <c r="N71" s="40" t="str">
        <f aca="false">IF($C71="","",SUMIFS(记账分录!$J$6:$J$5505,记账分录!$F$6:$F$5505,$A71,记账分录!$H$6:$H$5505,$C71,记账分录!$E$6:$E$5505,"&lt;="&amp;$B$4))</f>
        <v/>
      </c>
      <c r="O71" s="42" t="str">
        <f aca="false">IF($C71="","",IF($E71="借",$M71-$N71,$N71-$M71))</f>
        <v/>
      </c>
      <c r="P71" s="64" t="str">
        <f aca="false">IF($C71="","",IF(OR(ROUND($G71,2)&lt;&gt;0,ROUND($M71,2)&lt;&gt;0,ROUND($N71,2)&lt;&gt;0),"有",""))</f>
        <v/>
      </c>
    </row>
    <row r="72" customFormat="false" ht="15" hidden="true" customHeight="false" outlineLevel="0" collapsed="false">
      <c r="A72" s="25" t="str">
        <f aca="false">IF(会计科目表!$B71="","",参数设置!$A$10)</f>
        <v/>
      </c>
      <c r="B72" s="25" t="str">
        <f aca="false">IF(会计科目表!$B71="","",会计科目表!$A71)</f>
        <v/>
      </c>
      <c r="C72" s="10" t="str">
        <f aca="false">IF(会计科目表!$B71="","",会计科目表!$B71)</f>
        <v/>
      </c>
      <c r="D72" s="25" t="str">
        <f aca="false">IF($C72="","",会计科目表!$C71)</f>
        <v/>
      </c>
      <c r="E72" s="25" t="str">
        <f aca="false">IF($C72="","",会计科目表!$D71)</f>
        <v/>
      </c>
      <c r="F72" s="10" t="str">
        <f aca="false">IF($C72="","",会计科目表!$F71)</f>
        <v/>
      </c>
      <c r="G72" s="40" t="str">
        <f aca="false">IF($C72="","",IF($E72="借",SUMIFS(期初余额!$C$6:$C$185,期初余额!$A$6:$A$185,$A72,期初余额!$B$6:$B$185,$C72)-SUMIFS(期初余额!$D$6:$D$185,期初余额!$A$6:$A$185,$A72,期初余额!$B$6:$B$185,$C72),SUMIFS(期初余额!$D$6:$D$185,期初余额!$A$6:$A$185,$A72,期初余额!$B$6:$B$185,$C72)-SUMIFS(期初余额!$C$6:$C$185,期初余额!$A$6:$A$185,$A72,期初余额!$B$6:$B$185,$C72)))</f>
        <v/>
      </c>
      <c r="H72" s="40" t="str">
        <f aca="false">IF($C72="","",$G72+IF($E72="借",SUMIFS(记账分录!$I$6:$I$5505,记账分录!$F$6:$F$5505,$A72,记账分录!$H$6:$H$5505,$C72,记账分录!$E$6:$E$5505,"&lt;"&amp;$A$4)-SUMIFS(记账分录!$J$6:$J$5505,记账分录!$F$6:$F$5505,$A72,记账分录!$H$6:$H$5505,$C72,记账分录!$E$6:$E$5505,"&lt;"&amp;$A$4),SUMIFS(记账分录!$J$6:$J$5505,记账分录!$F$6:$F$5505,$A72,记账分录!$H$6:$H$5505,$C72,记账分录!$E$6:$E$5505,"&lt;"&amp;$A$4)-SUMIFS(记账分录!$I$6:$I$5505,记账分录!$F$6:$F$5505,$A72,记账分录!$H$6:$H$5505,$C72,记账分录!$E$6:$E$5505,"&lt;"&amp;$A$4)))</f>
        <v/>
      </c>
      <c r="I72" s="40" t="str">
        <f aca="false">IF($C72="","",SUMIFS(记账分录!$I$6:$I$5505,记账分录!$F$6:$F$5505,$A72,记账分录!$H$6:$H$5505,$C72,记账分录!$E$6:$E$5505,"&gt;="&amp;$A$4,记账分录!$E$6:$E$5505,"&lt;="&amp;$B$4))</f>
        <v/>
      </c>
      <c r="J72" s="40" t="str">
        <f aca="false">IF($C72="","",SUMIFS(记账分录!$J$6:$J$5505,记账分录!$F$6:$F$5505,$A72,记账分录!$H$6:$H$5505,$C72,记账分录!$E$6:$E$5505,"&gt;="&amp;$A$4,记账分录!$E$6:$E$5505,"&lt;="&amp;$B$4))</f>
        <v/>
      </c>
      <c r="K72" s="42" t="str">
        <f aca="false">IF($C72="","",IF($E72="借",$I72-$J72,$J72-$I72))</f>
        <v/>
      </c>
      <c r="L72" s="42" t="str">
        <f aca="false">IF($C72="","",ROUND($H72+$K72,2))</f>
        <v/>
      </c>
      <c r="M72" s="40" t="str">
        <f aca="false">IF($C72="","",SUMIFS(记账分录!$I$6:$I$5505,记账分录!$F$6:$F$5505,$A72,记账分录!$H$6:$H$5505,$C72,记账分录!$E$6:$E$5505,"&lt;="&amp;$B$4))</f>
        <v/>
      </c>
      <c r="N72" s="40" t="str">
        <f aca="false">IF($C72="","",SUMIFS(记账分录!$J$6:$J$5505,记账分录!$F$6:$F$5505,$A72,记账分录!$H$6:$H$5505,$C72,记账分录!$E$6:$E$5505,"&lt;="&amp;$B$4))</f>
        <v/>
      </c>
      <c r="O72" s="42" t="str">
        <f aca="false">IF($C72="","",IF($E72="借",$M72-$N72,$N72-$M72))</f>
        <v/>
      </c>
      <c r="P72" s="64" t="str">
        <f aca="false">IF($C72="","",IF(OR(ROUND($G72,2)&lt;&gt;0,ROUND($M72,2)&lt;&gt;0,ROUND($N72,2)&lt;&gt;0),"有",""))</f>
        <v/>
      </c>
    </row>
    <row r="73" customFormat="false" ht="15" hidden="true" customHeight="false" outlineLevel="0" collapsed="false">
      <c r="A73" s="25" t="str">
        <f aca="false">IF(会计科目表!$B72="","",参数设置!$A$10)</f>
        <v/>
      </c>
      <c r="B73" s="25" t="str">
        <f aca="false">IF(会计科目表!$B72="","",会计科目表!$A72)</f>
        <v/>
      </c>
      <c r="C73" s="10" t="str">
        <f aca="false">IF(会计科目表!$B72="","",会计科目表!$B72)</f>
        <v/>
      </c>
      <c r="D73" s="25" t="str">
        <f aca="false">IF($C73="","",会计科目表!$C72)</f>
        <v/>
      </c>
      <c r="E73" s="25" t="str">
        <f aca="false">IF($C73="","",会计科目表!$D72)</f>
        <v/>
      </c>
      <c r="F73" s="10" t="str">
        <f aca="false">IF($C73="","",会计科目表!$F72)</f>
        <v/>
      </c>
      <c r="G73" s="40" t="str">
        <f aca="false">IF($C73="","",IF($E73="借",SUMIFS(期初余额!$C$6:$C$185,期初余额!$A$6:$A$185,$A73,期初余额!$B$6:$B$185,$C73)-SUMIFS(期初余额!$D$6:$D$185,期初余额!$A$6:$A$185,$A73,期初余额!$B$6:$B$185,$C73),SUMIFS(期初余额!$D$6:$D$185,期初余额!$A$6:$A$185,$A73,期初余额!$B$6:$B$185,$C73)-SUMIFS(期初余额!$C$6:$C$185,期初余额!$A$6:$A$185,$A73,期初余额!$B$6:$B$185,$C73)))</f>
        <v/>
      </c>
      <c r="H73" s="40" t="str">
        <f aca="false">IF($C73="","",$G73+IF($E73="借",SUMIFS(记账分录!$I$6:$I$5505,记账分录!$F$6:$F$5505,$A73,记账分录!$H$6:$H$5505,$C73,记账分录!$E$6:$E$5505,"&lt;"&amp;$A$4)-SUMIFS(记账分录!$J$6:$J$5505,记账分录!$F$6:$F$5505,$A73,记账分录!$H$6:$H$5505,$C73,记账分录!$E$6:$E$5505,"&lt;"&amp;$A$4),SUMIFS(记账分录!$J$6:$J$5505,记账分录!$F$6:$F$5505,$A73,记账分录!$H$6:$H$5505,$C73,记账分录!$E$6:$E$5505,"&lt;"&amp;$A$4)-SUMIFS(记账分录!$I$6:$I$5505,记账分录!$F$6:$F$5505,$A73,记账分录!$H$6:$H$5505,$C73,记账分录!$E$6:$E$5505,"&lt;"&amp;$A$4)))</f>
        <v/>
      </c>
      <c r="I73" s="40" t="str">
        <f aca="false">IF($C73="","",SUMIFS(记账分录!$I$6:$I$5505,记账分录!$F$6:$F$5505,$A73,记账分录!$H$6:$H$5505,$C73,记账分录!$E$6:$E$5505,"&gt;="&amp;$A$4,记账分录!$E$6:$E$5505,"&lt;="&amp;$B$4))</f>
        <v/>
      </c>
      <c r="J73" s="40" t="str">
        <f aca="false">IF($C73="","",SUMIFS(记账分录!$J$6:$J$5505,记账分录!$F$6:$F$5505,$A73,记账分录!$H$6:$H$5505,$C73,记账分录!$E$6:$E$5505,"&gt;="&amp;$A$4,记账分录!$E$6:$E$5505,"&lt;="&amp;$B$4))</f>
        <v/>
      </c>
      <c r="K73" s="42" t="str">
        <f aca="false">IF($C73="","",IF($E73="借",$I73-$J73,$J73-$I73))</f>
        <v/>
      </c>
      <c r="L73" s="42" t="str">
        <f aca="false">IF($C73="","",ROUND($H73+$K73,2))</f>
        <v/>
      </c>
      <c r="M73" s="40" t="str">
        <f aca="false">IF($C73="","",SUMIFS(记账分录!$I$6:$I$5505,记账分录!$F$6:$F$5505,$A73,记账分录!$H$6:$H$5505,$C73,记账分录!$E$6:$E$5505,"&lt;="&amp;$B$4))</f>
        <v/>
      </c>
      <c r="N73" s="40" t="str">
        <f aca="false">IF($C73="","",SUMIFS(记账分录!$J$6:$J$5505,记账分录!$F$6:$F$5505,$A73,记账分录!$H$6:$H$5505,$C73,记账分录!$E$6:$E$5505,"&lt;="&amp;$B$4))</f>
        <v/>
      </c>
      <c r="O73" s="42" t="str">
        <f aca="false">IF($C73="","",IF($E73="借",$M73-$N73,$N73-$M73))</f>
        <v/>
      </c>
      <c r="P73" s="64" t="str">
        <f aca="false">IF($C73="","",IF(OR(ROUND($G73,2)&lt;&gt;0,ROUND($M73,2)&lt;&gt;0,ROUND($N73,2)&lt;&gt;0),"有",""))</f>
        <v/>
      </c>
    </row>
    <row r="74" customFormat="false" ht="15" hidden="true" customHeight="false" outlineLevel="0" collapsed="false">
      <c r="A74" s="25" t="str">
        <f aca="false">IF(会计科目表!$B73="","",参数设置!$A$10)</f>
        <v/>
      </c>
      <c r="B74" s="25" t="str">
        <f aca="false">IF(会计科目表!$B73="","",会计科目表!$A73)</f>
        <v/>
      </c>
      <c r="C74" s="10" t="str">
        <f aca="false">IF(会计科目表!$B73="","",会计科目表!$B73)</f>
        <v/>
      </c>
      <c r="D74" s="25" t="str">
        <f aca="false">IF($C74="","",会计科目表!$C73)</f>
        <v/>
      </c>
      <c r="E74" s="25" t="str">
        <f aca="false">IF($C74="","",会计科目表!$D73)</f>
        <v/>
      </c>
      <c r="F74" s="10" t="str">
        <f aca="false">IF($C74="","",会计科目表!$F73)</f>
        <v/>
      </c>
      <c r="G74" s="40" t="str">
        <f aca="false">IF($C74="","",IF($E74="借",SUMIFS(期初余额!$C$6:$C$185,期初余额!$A$6:$A$185,$A74,期初余额!$B$6:$B$185,$C74)-SUMIFS(期初余额!$D$6:$D$185,期初余额!$A$6:$A$185,$A74,期初余额!$B$6:$B$185,$C74),SUMIFS(期初余额!$D$6:$D$185,期初余额!$A$6:$A$185,$A74,期初余额!$B$6:$B$185,$C74)-SUMIFS(期初余额!$C$6:$C$185,期初余额!$A$6:$A$185,$A74,期初余额!$B$6:$B$185,$C74)))</f>
        <v/>
      </c>
      <c r="H74" s="40" t="str">
        <f aca="false">IF($C74="","",$G74+IF($E74="借",SUMIFS(记账分录!$I$6:$I$5505,记账分录!$F$6:$F$5505,$A74,记账分录!$H$6:$H$5505,$C74,记账分录!$E$6:$E$5505,"&lt;"&amp;$A$4)-SUMIFS(记账分录!$J$6:$J$5505,记账分录!$F$6:$F$5505,$A74,记账分录!$H$6:$H$5505,$C74,记账分录!$E$6:$E$5505,"&lt;"&amp;$A$4),SUMIFS(记账分录!$J$6:$J$5505,记账分录!$F$6:$F$5505,$A74,记账分录!$H$6:$H$5505,$C74,记账分录!$E$6:$E$5505,"&lt;"&amp;$A$4)-SUMIFS(记账分录!$I$6:$I$5505,记账分录!$F$6:$F$5505,$A74,记账分录!$H$6:$H$5505,$C74,记账分录!$E$6:$E$5505,"&lt;"&amp;$A$4)))</f>
        <v/>
      </c>
      <c r="I74" s="40" t="str">
        <f aca="false">IF($C74="","",SUMIFS(记账分录!$I$6:$I$5505,记账分录!$F$6:$F$5505,$A74,记账分录!$H$6:$H$5505,$C74,记账分录!$E$6:$E$5505,"&gt;="&amp;$A$4,记账分录!$E$6:$E$5505,"&lt;="&amp;$B$4))</f>
        <v/>
      </c>
      <c r="J74" s="40" t="str">
        <f aca="false">IF($C74="","",SUMIFS(记账分录!$J$6:$J$5505,记账分录!$F$6:$F$5505,$A74,记账分录!$H$6:$H$5505,$C74,记账分录!$E$6:$E$5505,"&gt;="&amp;$A$4,记账分录!$E$6:$E$5505,"&lt;="&amp;$B$4))</f>
        <v/>
      </c>
      <c r="K74" s="42" t="str">
        <f aca="false">IF($C74="","",IF($E74="借",$I74-$J74,$J74-$I74))</f>
        <v/>
      </c>
      <c r="L74" s="42" t="str">
        <f aca="false">IF($C74="","",ROUND($H74+$K74,2))</f>
        <v/>
      </c>
      <c r="M74" s="40" t="str">
        <f aca="false">IF($C74="","",SUMIFS(记账分录!$I$6:$I$5505,记账分录!$F$6:$F$5505,$A74,记账分录!$H$6:$H$5505,$C74,记账分录!$E$6:$E$5505,"&lt;="&amp;$B$4))</f>
        <v/>
      </c>
      <c r="N74" s="40" t="str">
        <f aca="false">IF($C74="","",SUMIFS(记账分录!$J$6:$J$5505,记账分录!$F$6:$F$5505,$A74,记账分录!$H$6:$H$5505,$C74,记账分录!$E$6:$E$5505,"&lt;="&amp;$B$4))</f>
        <v/>
      </c>
      <c r="O74" s="42" t="str">
        <f aca="false">IF($C74="","",IF($E74="借",$M74-$N74,$N74-$M74))</f>
        <v/>
      </c>
      <c r="P74" s="64" t="str">
        <f aca="false">IF($C74="","",IF(OR(ROUND($G74,2)&lt;&gt;0,ROUND($M74,2)&lt;&gt;0,ROUND($N74,2)&lt;&gt;0),"有",""))</f>
        <v/>
      </c>
    </row>
    <row r="75" customFormat="false" ht="15" hidden="true" customHeight="false" outlineLevel="0" collapsed="false">
      <c r="A75" s="25" t="str">
        <f aca="false">IF(会计科目表!$B74="","",参数设置!$A$10)</f>
        <v/>
      </c>
      <c r="B75" s="25" t="str">
        <f aca="false">IF(会计科目表!$B74="","",会计科目表!$A74)</f>
        <v/>
      </c>
      <c r="C75" s="10" t="str">
        <f aca="false">IF(会计科目表!$B74="","",会计科目表!$B74)</f>
        <v/>
      </c>
      <c r="D75" s="25" t="str">
        <f aca="false">IF($C75="","",会计科目表!$C74)</f>
        <v/>
      </c>
      <c r="E75" s="25" t="str">
        <f aca="false">IF($C75="","",会计科目表!$D74)</f>
        <v/>
      </c>
      <c r="F75" s="10" t="str">
        <f aca="false">IF($C75="","",会计科目表!$F74)</f>
        <v/>
      </c>
      <c r="G75" s="40" t="str">
        <f aca="false">IF($C75="","",IF($E75="借",SUMIFS(期初余额!$C$6:$C$185,期初余额!$A$6:$A$185,$A75,期初余额!$B$6:$B$185,$C75)-SUMIFS(期初余额!$D$6:$D$185,期初余额!$A$6:$A$185,$A75,期初余额!$B$6:$B$185,$C75),SUMIFS(期初余额!$D$6:$D$185,期初余额!$A$6:$A$185,$A75,期初余额!$B$6:$B$185,$C75)-SUMIFS(期初余额!$C$6:$C$185,期初余额!$A$6:$A$185,$A75,期初余额!$B$6:$B$185,$C75)))</f>
        <v/>
      </c>
      <c r="H75" s="40" t="str">
        <f aca="false">IF($C75="","",$G75+IF($E75="借",SUMIFS(记账分录!$I$6:$I$5505,记账分录!$F$6:$F$5505,$A75,记账分录!$H$6:$H$5505,$C75,记账分录!$E$6:$E$5505,"&lt;"&amp;$A$4)-SUMIFS(记账分录!$J$6:$J$5505,记账分录!$F$6:$F$5505,$A75,记账分录!$H$6:$H$5505,$C75,记账分录!$E$6:$E$5505,"&lt;"&amp;$A$4),SUMIFS(记账分录!$J$6:$J$5505,记账分录!$F$6:$F$5505,$A75,记账分录!$H$6:$H$5505,$C75,记账分录!$E$6:$E$5505,"&lt;"&amp;$A$4)-SUMIFS(记账分录!$I$6:$I$5505,记账分录!$F$6:$F$5505,$A75,记账分录!$H$6:$H$5505,$C75,记账分录!$E$6:$E$5505,"&lt;"&amp;$A$4)))</f>
        <v/>
      </c>
      <c r="I75" s="40" t="str">
        <f aca="false">IF($C75="","",SUMIFS(记账分录!$I$6:$I$5505,记账分录!$F$6:$F$5505,$A75,记账分录!$H$6:$H$5505,$C75,记账分录!$E$6:$E$5505,"&gt;="&amp;$A$4,记账分录!$E$6:$E$5505,"&lt;="&amp;$B$4))</f>
        <v/>
      </c>
      <c r="J75" s="40" t="str">
        <f aca="false">IF($C75="","",SUMIFS(记账分录!$J$6:$J$5505,记账分录!$F$6:$F$5505,$A75,记账分录!$H$6:$H$5505,$C75,记账分录!$E$6:$E$5505,"&gt;="&amp;$A$4,记账分录!$E$6:$E$5505,"&lt;="&amp;$B$4))</f>
        <v/>
      </c>
      <c r="K75" s="42" t="str">
        <f aca="false">IF($C75="","",IF($E75="借",$I75-$J75,$J75-$I75))</f>
        <v/>
      </c>
      <c r="L75" s="42" t="str">
        <f aca="false">IF($C75="","",ROUND($H75+$K75,2))</f>
        <v/>
      </c>
      <c r="M75" s="40" t="str">
        <f aca="false">IF($C75="","",SUMIFS(记账分录!$I$6:$I$5505,记账分录!$F$6:$F$5505,$A75,记账分录!$H$6:$H$5505,$C75,记账分录!$E$6:$E$5505,"&lt;="&amp;$B$4))</f>
        <v/>
      </c>
      <c r="N75" s="40" t="str">
        <f aca="false">IF($C75="","",SUMIFS(记账分录!$J$6:$J$5505,记账分录!$F$6:$F$5505,$A75,记账分录!$H$6:$H$5505,$C75,记账分录!$E$6:$E$5505,"&lt;="&amp;$B$4))</f>
        <v/>
      </c>
      <c r="O75" s="42" t="str">
        <f aca="false">IF($C75="","",IF($E75="借",$M75-$N75,$N75-$M75))</f>
        <v/>
      </c>
      <c r="P75" s="64" t="str">
        <f aca="false">IF($C75="","",IF(OR(ROUND($G75,2)&lt;&gt;0,ROUND($M75,2)&lt;&gt;0,ROUND($N75,2)&lt;&gt;0),"有",""))</f>
        <v/>
      </c>
    </row>
    <row r="76" customFormat="false" ht="15" hidden="true" customHeight="false" outlineLevel="0" collapsed="false">
      <c r="A76" s="25" t="str">
        <f aca="false">IF(会计科目表!$B75="","",参数设置!$A$10)</f>
        <v/>
      </c>
      <c r="B76" s="25" t="str">
        <f aca="false">IF(会计科目表!$B75="","",会计科目表!$A75)</f>
        <v/>
      </c>
      <c r="C76" s="10" t="str">
        <f aca="false">IF(会计科目表!$B75="","",会计科目表!$B75)</f>
        <v/>
      </c>
      <c r="D76" s="25" t="str">
        <f aca="false">IF($C76="","",会计科目表!$C75)</f>
        <v/>
      </c>
      <c r="E76" s="25" t="str">
        <f aca="false">IF($C76="","",会计科目表!$D75)</f>
        <v/>
      </c>
      <c r="F76" s="10" t="str">
        <f aca="false">IF($C76="","",会计科目表!$F75)</f>
        <v/>
      </c>
      <c r="G76" s="40" t="str">
        <f aca="false">IF($C76="","",IF($E76="借",SUMIFS(期初余额!$C$6:$C$185,期初余额!$A$6:$A$185,$A76,期初余额!$B$6:$B$185,$C76)-SUMIFS(期初余额!$D$6:$D$185,期初余额!$A$6:$A$185,$A76,期初余额!$B$6:$B$185,$C76),SUMIFS(期初余额!$D$6:$D$185,期初余额!$A$6:$A$185,$A76,期初余额!$B$6:$B$185,$C76)-SUMIFS(期初余额!$C$6:$C$185,期初余额!$A$6:$A$185,$A76,期初余额!$B$6:$B$185,$C76)))</f>
        <v/>
      </c>
      <c r="H76" s="40" t="str">
        <f aca="false">IF($C76="","",$G76+IF($E76="借",SUMIFS(记账分录!$I$6:$I$5505,记账分录!$F$6:$F$5505,$A76,记账分录!$H$6:$H$5505,$C76,记账分录!$E$6:$E$5505,"&lt;"&amp;$A$4)-SUMIFS(记账分录!$J$6:$J$5505,记账分录!$F$6:$F$5505,$A76,记账分录!$H$6:$H$5505,$C76,记账分录!$E$6:$E$5505,"&lt;"&amp;$A$4),SUMIFS(记账分录!$J$6:$J$5505,记账分录!$F$6:$F$5505,$A76,记账分录!$H$6:$H$5505,$C76,记账分录!$E$6:$E$5505,"&lt;"&amp;$A$4)-SUMIFS(记账分录!$I$6:$I$5505,记账分录!$F$6:$F$5505,$A76,记账分录!$H$6:$H$5505,$C76,记账分录!$E$6:$E$5505,"&lt;"&amp;$A$4)))</f>
        <v/>
      </c>
      <c r="I76" s="40" t="str">
        <f aca="false">IF($C76="","",SUMIFS(记账分录!$I$6:$I$5505,记账分录!$F$6:$F$5505,$A76,记账分录!$H$6:$H$5505,$C76,记账分录!$E$6:$E$5505,"&gt;="&amp;$A$4,记账分录!$E$6:$E$5505,"&lt;="&amp;$B$4))</f>
        <v/>
      </c>
      <c r="J76" s="40" t="str">
        <f aca="false">IF($C76="","",SUMIFS(记账分录!$J$6:$J$5505,记账分录!$F$6:$F$5505,$A76,记账分录!$H$6:$H$5505,$C76,记账分录!$E$6:$E$5505,"&gt;="&amp;$A$4,记账分录!$E$6:$E$5505,"&lt;="&amp;$B$4))</f>
        <v/>
      </c>
      <c r="K76" s="42" t="str">
        <f aca="false">IF($C76="","",IF($E76="借",$I76-$J76,$J76-$I76))</f>
        <v/>
      </c>
      <c r="L76" s="42" t="str">
        <f aca="false">IF($C76="","",ROUND($H76+$K76,2))</f>
        <v/>
      </c>
      <c r="M76" s="40" t="str">
        <f aca="false">IF($C76="","",SUMIFS(记账分录!$I$6:$I$5505,记账分录!$F$6:$F$5505,$A76,记账分录!$H$6:$H$5505,$C76,记账分录!$E$6:$E$5505,"&lt;="&amp;$B$4))</f>
        <v/>
      </c>
      <c r="N76" s="40" t="str">
        <f aca="false">IF($C76="","",SUMIFS(记账分录!$J$6:$J$5505,记账分录!$F$6:$F$5505,$A76,记账分录!$H$6:$H$5505,$C76,记账分录!$E$6:$E$5505,"&lt;="&amp;$B$4))</f>
        <v/>
      </c>
      <c r="O76" s="42" t="str">
        <f aca="false">IF($C76="","",IF($E76="借",$M76-$N76,$N76-$M76))</f>
        <v/>
      </c>
      <c r="P76" s="64" t="str">
        <f aca="false">IF($C76="","",IF(OR(ROUND($G76,2)&lt;&gt;0,ROUND($M76,2)&lt;&gt;0,ROUND($N76,2)&lt;&gt;0),"有",""))</f>
        <v/>
      </c>
    </row>
    <row r="77" customFormat="false" ht="15" hidden="true" customHeight="false" outlineLevel="0" collapsed="false">
      <c r="A77" s="25" t="str">
        <f aca="false">IF(会计科目表!$B76="","",参数设置!$A$10)</f>
        <v/>
      </c>
      <c r="B77" s="25" t="str">
        <f aca="false">IF(会计科目表!$B76="","",会计科目表!$A76)</f>
        <v/>
      </c>
      <c r="C77" s="10" t="str">
        <f aca="false">IF(会计科目表!$B76="","",会计科目表!$B76)</f>
        <v/>
      </c>
      <c r="D77" s="25" t="str">
        <f aca="false">IF($C77="","",会计科目表!$C76)</f>
        <v/>
      </c>
      <c r="E77" s="25" t="str">
        <f aca="false">IF($C77="","",会计科目表!$D76)</f>
        <v/>
      </c>
      <c r="F77" s="10" t="str">
        <f aca="false">IF($C77="","",会计科目表!$F76)</f>
        <v/>
      </c>
      <c r="G77" s="40" t="str">
        <f aca="false">IF($C77="","",IF($E77="借",SUMIFS(期初余额!$C$6:$C$185,期初余额!$A$6:$A$185,$A77,期初余额!$B$6:$B$185,$C77)-SUMIFS(期初余额!$D$6:$D$185,期初余额!$A$6:$A$185,$A77,期初余额!$B$6:$B$185,$C77),SUMIFS(期初余额!$D$6:$D$185,期初余额!$A$6:$A$185,$A77,期初余额!$B$6:$B$185,$C77)-SUMIFS(期初余额!$C$6:$C$185,期初余额!$A$6:$A$185,$A77,期初余额!$B$6:$B$185,$C77)))</f>
        <v/>
      </c>
      <c r="H77" s="40" t="str">
        <f aca="false">IF($C77="","",$G77+IF($E77="借",SUMIFS(记账分录!$I$6:$I$5505,记账分录!$F$6:$F$5505,$A77,记账分录!$H$6:$H$5505,$C77,记账分录!$E$6:$E$5505,"&lt;"&amp;$A$4)-SUMIFS(记账分录!$J$6:$J$5505,记账分录!$F$6:$F$5505,$A77,记账分录!$H$6:$H$5505,$C77,记账分录!$E$6:$E$5505,"&lt;"&amp;$A$4),SUMIFS(记账分录!$J$6:$J$5505,记账分录!$F$6:$F$5505,$A77,记账分录!$H$6:$H$5505,$C77,记账分录!$E$6:$E$5505,"&lt;"&amp;$A$4)-SUMIFS(记账分录!$I$6:$I$5505,记账分录!$F$6:$F$5505,$A77,记账分录!$H$6:$H$5505,$C77,记账分录!$E$6:$E$5505,"&lt;"&amp;$A$4)))</f>
        <v/>
      </c>
      <c r="I77" s="40" t="str">
        <f aca="false">IF($C77="","",SUMIFS(记账分录!$I$6:$I$5505,记账分录!$F$6:$F$5505,$A77,记账分录!$H$6:$H$5505,$C77,记账分录!$E$6:$E$5505,"&gt;="&amp;$A$4,记账分录!$E$6:$E$5505,"&lt;="&amp;$B$4))</f>
        <v/>
      </c>
      <c r="J77" s="40" t="str">
        <f aca="false">IF($C77="","",SUMIFS(记账分录!$J$6:$J$5505,记账分录!$F$6:$F$5505,$A77,记账分录!$H$6:$H$5505,$C77,记账分录!$E$6:$E$5505,"&gt;="&amp;$A$4,记账分录!$E$6:$E$5505,"&lt;="&amp;$B$4))</f>
        <v/>
      </c>
      <c r="K77" s="42" t="str">
        <f aca="false">IF($C77="","",IF($E77="借",$I77-$J77,$J77-$I77))</f>
        <v/>
      </c>
      <c r="L77" s="42" t="str">
        <f aca="false">IF($C77="","",ROUND($H77+$K77,2))</f>
        <v/>
      </c>
      <c r="M77" s="40" t="str">
        <f aca="false">IF($C77="","",SUMIFS(记账分录!$I$6:$I$5505,记账分录!$F$6:$F$5505,$A77,记账分录!$H$6:$H$5505,$C77,记账分录!$E$6:$E$5505,"&lt;="&amp;$B$4))</f>
        <v/>
      </c>
      <c r="N77" s="40" t="str">
        <f aca="false">IF($C77="","",SUMIFS(记账分录!$J$6:$J$5505,记账分录!$F$6:$F$5505,$A77,记账分录!$H$6:$H$5505,$C77,记账分录!$E$6:$E$5505,"&lt;="&amp;$B$4))</f>
        <v/>
      </c>
      <c r="O77" s="42" t="str">
        <f aca="false">IF($C77="","",IF($E77="借",$M77-$N77,$N77-$M77))</f>
        <v/>
      </c>
      <c r="P77" s="64" t="str">
        <f aca="false">IF($C77="","",IF(OR(ROUND($G77,2)&lt;&gt;0,ROUND($M77,2)&lt;&gt;0,ROUND($N77,2)&lt;&gt;0),"有",""))</f>
        <v/>
      </c>
    </row>
    <row r="78" customFormat="false" ht="15" hidden="true" customHeight="false" outlineLevel="0" collapsed="false">
      <c r="A78" s="25" t="str">
        <f aca="false">IF(会计科目表!$B77="","",参数设置!$A$10)</f>
        <v/>
      </c>
      <c r="B78" s="25" t="str">
        <f aca="false">IF(会计科目表!$B77="","",会计科目表!$A77)</f>
        <v/>
      </c>
      <c r="C78" s="10" t="str">
        <f aca="false">IF(会计科目表!$B77="","",会计科目表!$B77)</f>
        <v/>
      </c>
      <c r="D78" s="25" t="str">
        <f aca="false">IF($C78="","",会计科目表!$C77)</f>
        <v/>
      </c>
      <c r="E78" s="25" t="str">
        <f aca="false">IF($C78="","",会计科目表!$D77)</f>
        <v/>
      </c>
      <c r="F78" s="10" t="str">
        <f aca="false">IF($C78="","",会计科目表!$F77)</f>
        <v/>
      </c>
      <c r="G78" s="40" t="str">
        <f aca="false">IF($C78="","",IF($E78="借",SUMIFS(期初余额!$C$6:$C$185,期初余额!$A$6:$A$185,$A78,期初余额!$B$6:$B$185,$C78)-SUMIFS(期初余额!$D$6:$D$185,期初余额!$A$6:$A$185,$A78,期初余额!$B$6:$B$185,$C78),SUMIFS(期初余额!$D$6:$D$185,期初余额!$A$6:$A$185,$A78,期初余额!$B$6:$B$185,$C78)-SUMIFS(期初余额!$C$6:$C$185,期初余额!$A$6:$A$185,$A78,期初余额!$B$6:$B$185,$C78)))</f>
        <v/>
      </c>
      <c r="H78" s="40" t="str">
        <f aca="false">IF($C78="","",$G78+IF($E78="借",SUMIFS(记账分录!$I$6:$I$5505,记账分录!$F$6:$F$5505,$A78,记账分录!$H$6:$H$5505,$C78,记账分录!$E$6:$E$5505,"&lt;"&amp;$A$4)-SUMIFS(记账分录!$J$6:$J$5505,记账分录!$F$6:$F$5505,$A78,记账分录!$H$6:$H$5505,$C78,记账分录!$E$6:$E$5505,"&lt;"&amp;$A$4),SUMIFS(记账分录!$J$6:$J$5505,记账分录!$F$6:$F$5505,$A78,记账分录!$H$6:$H$5505,$C78,记账分录!$E$6:$E$5505,"&lt;"&amp;$A$4)-SUMIFS(记账分录!$I$6:$I$5505,记账分录!$F$6:$F$5505,$A78,记账分录!$H$6:$H$5505,$C78,记账分录!$E$6:$E$5505,"&lt;"&amp;$A$4)))</f>
        <v/>
      </c>
      <c r="I78" s="40" t="str">
        <f aca="false">IF($C78="","",SUMIFS(记账分录!$I$6:$I$5505,记账分录!$F$6:$F$5505,$A78,记账分录!$H$6:$H$5505,$C78,记账分录!$E$6:$E$5505,"&gt;="&amp;$A$4,记账分录!$E$6:$E$5505,"&lt;="&amp;$B$4))</f>
        <v/>
      </c>
      <c r="J78" s="40" t="str">
        <f aca="false">IF($C78="","",SUMIFS(记账分录!$J$6:$J$5505,记账分录!$F$6:$F$5505,$A78,记账分录!$H$6:$H$5505,$C78,记账分录!$E$6:$E$5505,"&gt;="&amp;$A$4,记账分录!$E$6:$E$5505,"&lt;="&amp;$B$4))</f>
        <v/>
      </c>
      <c r="K78" s="42" t="str">
        <f aca="false">IF($C78="","",IF($E78="借",$I78-$J78,$J78-$I78))</f>
        <v/>
      </c>
      <c r="L78" s="42" t="str">
        <f aca="false">IF($C78="","",ROUND($H78+$K78,2))</f>
        <v/>
      </c>
      <c r="M78" s="40" t="str">
        <f aca="false">IF($C78="","",SUMIFS(记账分录!$I$6:$I$5505,记账分录!$F$6:$F$5505,$A78,记账分录!$H$6:$H$5505,$C78,记账分录!$E$6:$E$5505,"&lt;="&amp;$B$4))</f>
        <v/>
      </c>
      <c r="N78" s="40" t="str">
        <f aca="false">IF($C78="","",SUMIFS(记账分录!$J$6:$J$5505,记账分录!$F$6:$F$5505,$A78,记账分录!$H$6:$H$5505,$C78,记账分录!$E$6:$E$5505,"&lt;="&amp;$B$4))</f>
        <v/>
      </c>
      <c r="O78" s="42" t="str">
        <f aca="false">IF($C78="","",IF($E78="借",$M78-$N78,$N78-$M78))</f>
        <v/>
      </c>
      <c r="P78" s="64" t="str">
        <f aca="false">IF($C78="","",IF(OR(ROUND($G78,2)&lt;&gt;0,ROUND($M78,2)&lt;&gt;0,ROUND($N78,2)&lt;&gt;0),"有",""))</f>
        <v/>
      </c>
    </row>
    <row r="79" customFormat="false" ht="15" hidden="true" customHeight="false" outlineLevel="0" collapsed="false">
      <c r="A79" s="25" t="str">
        <f aca="false">IF(会计科目表!$B78="","",参数设置!$A$10)</f>
        <v/>
      </c>
      <c r="B79" s="25" t="str">
        <f aca="false">IF(会计科目表!$B78="","",会计科目表!$A78)</f>
        <v/>
      </c>
      <c r="C79" s="10" t="str">
        <f aca="false">IF(会计科目表!$B78="","",会计科目表!$B78)</f>
        <v/>
      </c>
      <c r="D79" s="25" t="str">
        <f aca="false">IF($C79="","",会计科目表!$C78)</f>
        <v/>
      </c>
      <c r="E79" s="25" t="str">
        <f aca="false">IF($C79="","",会计科目表!$D78)</f>
        <v/>
      </c>
      <c r="F79" s="10" t="str">
        <f aca="false">IF($C79="","",会计科目表!$F78)</f>
        <v/>
      </c>
      <c r="G79" s="40" t="str">
        <f aca="false">IF($C79="","",IF($E79="借",SUMIFS(期初余额!$C$6:$C$185,期初余额!$A$6:$A$185,$A79,期初余额!$B$6:$B$185,$C79)-SUMIFS(期初余额!$D$6:$D$185,期初余额!$A$6:$A$185,$A79,期初余额!$B$6:$B$185,$C79),SUMIFS(期初余额!$D$6:$D$185,期初余额!$A$6:$A$185,$A79,期初余额!$B$6:$B$185,$C79)-SUMIFS(期初余额!$C$6:$C$185,期初余额!$A$6:$A$185,$A79,期初余额!$B$6:$B$185,$C79)))</f>
        <v/>
      </c>
      <c r="H79" s="40" t="str">
        <f aca="false">IF($C79="","",$G79+IF($E79="借",SUMIFS(记账分录!$I$6:$I$5505,记账分录!$F$6:$F$5505,$A79,记账分录!$H$6:$H$5505,$C79,记账分录!$E$6:$E$5505,"&lt;"&amp;$A$4)-SUMIFS(记账分录!$J$6:$J$5505,记账分录!$F$6:$F$5505,$A79,记账分录!$H$6:$H$5505,$C79,记账分录!$E$6:$E$5505,"&lt;"&amp;$A$4),SUMIFS(记账分录!$J$6:$J$5505,记账分录!$F$6:$F$5505,$A79,记账分录!$H$6:$H$5505,$C79,记账分录!$E$6:$E$5505,"&lt;"&amp;$A$4)-SUMIFS(记账分录!$I$6:$I$5505,记账分录!$F$6:$F$5505,$A79,记账分录!$H$6:$H$5505,$C79,记账分录!$E$6:$E$5505,"&lt;"&amp;$A$4)))</f>
        <v/>
      </c>
      <c r="I79" s="40" t="str">
        <f aca="false">IF($C79="","",SUMIFS(记账分录!$I$6:$I$5505,记账分录!$F$6:$F$5505,$A79,记账分录!$H$6:$H$5505,$C79,记账分录!$E$6:$E$5505,"&gt;="&amp;$A$4,记账分录!$E$6:$E$5505,"&lt;="&amp;$B$4))</f>
        <v/>
      </c>
      <c r="J79" s="40" t="str">
        <f aca="false">IF($C79="","",SUMIFS(记账分录!$J$6:$J$5505,记账分录!$F$6:$F$5505,$A79,记账分录!$H$6:$H$5505,$C79,记账分录!$E$6:$E$5505,"&gt;="&amp;$A$4,记账分录!$E$6:$E$5505,"&lt;="&amp;$B$4))</f>
        <v/>
      </c>
      <c r="K79" s="42" t="str">
        <f aca="false">IF($C79="","",IF($E79="借",$I79-$J79,$J79-$I79))</f>
        <v/>
      </c>
      <c r="L79" s="42" t="str">
        <f aca="false">IF($C79="","",ROUND($H79+$K79,2))</f>
        <v/>
      </c>
      <c r="M79" s="40" t="str">
        <f aca="false">IF($C79="","",SUMIFS(记账分录!$I$6:$I$5505,记账分录!$F$6:$F$5505,$A79,记账分录!$H$6:$H$5505,$C79,记账分录!$E$6:$E$5505,"&lt;="&amp;$B$4))</f>
        <v/>
      </c>
      <c r="N79" s="40" t="str">
        <f aca="false">IF($C79="","",SUMIFS(记账分录!$J$6:$J$5505,记账分录!$F$6:$F$5505,$A79,记账分录!$H$6:$H$5505,$C79,记账分录!$E$6:$E$5505,"&lt;="&amp;$B$4))</f>
        <v/>
      </c>
      <c r="O79" s="42" t="str">
        <f aca="false">IF($C79="","",IF($E79="借",$M79-$N79,$N79-$M79))</f>
        <v/>
      </c>
      <c r="P79" s="64" t="str">
        <f aca="false">IF($C79="","",IF(OR(ROUND($G79,2)&lt;&gt;0,ROUND($M79,2)&lt;&gt;0,ROUND($N79,2)&lt;&gt;0),"有",""))</f>
        <v/>
      </c>
    </row>
    <row r="80" customFormat="false" ht="15" hidden="true" customHeight="false" outlineLevel="0" collapsed="false">
      <c r="A80" s="25" t="str">
        <f aca="false">IF(会计科目表!$B79="","",参数设置!$A$10)</f>
        <v/>
      </c>
      <c r="B80" s="25" t="str">
        <f aca="false">IF(会计科目表!$B79="","",会计科目表!$A79)</f>
        <v/>
      </c>
      <c r="C80" s="10" t="str">
        <f aca="false">IF(会计科目表!$B79="","",会计科目表!$B79)</f>
        <v/>
      </c>
      <c r="D80" s="25" t="str">
        <f aca="false">IF($C80="","",会计科目表!$C79)</f>
        <v/>
      </c>
      <c r="E80" s="25" t="str">
        <f aca="false">IF($C80="","",会计科目表!$D79)</f>
        <v/>
      </c>
      <c r="F80" s="10" t="str">
        <f aca="false">IF($C80="","",会计科目表!$F79)</f>
        <v/>
      </c>
      <c r="G80" s="40" t="str">
        <f aca="false">IF($C80="","",IF($E80="借",SUMIFS(期初余额!$C$6:$C$185,期初余额!$A$6:$A$185,$A80,期初余额!$B$6:$B$185,$C80)-SUMIFS(期初余额!$D$6:$D$185,期初余额!$A$6:$A$185,$A80,期初余额!$B$6:$B$185,$C80),SUMIFS(期初余额!$D$6:$D$185,期初余额!$A$6:$A$185,$A80,期初余额!$B$6:$B$185,$C80)-SUMIFS(期初余额!$C$6:$C$185,期初余额!$A$6:$A$185,$A80,期初余额!$B$6:$B$185,$C80)))</f>
        <v/>
      </c>
      <c r="H80" s="40" t="str">
        <f aca="false">IF($C80="","",$G80+IF($E80="借",SUMIFS(记账分录!$I$6:$I$5505,记账分录!$F$6:$F$5505,$A80,记账分录!$H$6:$H$5505,$C80,记账分录!$E$6:$E$5505,"&lt;"&amp;$A$4)-SUMIFS(记账分录!$J$6:$J$5505,记账分录!$F$6:$F$5505,$A80,记账分录!$H$6:$H$5505,$C80,记账分录!$E$6:$E$5505,"&lt;"&amp;$A$4),SUMIFS(记账分录!$J$6:$J$5505,记账分录!$F$6:$F$5505,$A80,记账分录!$H$6:$H$5505,$C80,记账分录!$E$6:$E$5505,"&lt;"&amp;$A$4)-SUMIFS(记账分录!$I$6:$I$5505,记账分录!$F$6:$F$5505,$A80,记账分录!$H$6:$H$5505,$C80,记账分录!$E$6:$E$5505,"&lt;"&amp;$A$4)))</f>
        <v/>
      </c>
      <c r="I80" s="40" t="str">
        <f aca="false">IF($C80="","",SUMIFS(记账分录!$I$6:$I$5505,记账分录!$F$6:$F$5505,$A80,记账分录!$H$6:$H$5505,$C80,记账分录!$E$6:$E$5505,"&gt;="&amp;$A$4,记账分录!$E$6:$E$5505,"&lt;="&amp;$B$4))</f>
        <v/>
      </c>
      <c r="J80" s="40" t="str">
        <f aca="false">IF($C80="","",SUMIFS(记账分录!$J$6:$J$5505,记账分录!$F$6:$F$5505,$A80,记账分录!$H$6:$H$5505,$C80,记账分录!$E$6:$E$5505,"&gt;="&amp;$A$4,记账分录!$E$6:$E$5505,"&lt;="&amp;$B$4))</f>
        <v/>
      </c>
      <c r="K80" s="42" t="str">
        <f aca="false">IF($C80="","",IF($E80="借",$I80-$J80,$J80-$I80))</f>
        <v/>
      </c>
      <c r="L80" s="42" t="str">
        <f aca="false">IF($C80="","",ROUND($H80+$K80,2))</f>
        <v/>
      </c>
      <c r="M80" s="40" t="str">
        <f aca="false">IF($C80="","",SUMIFS(记账分录!$I$6:$I$5505,记账分录!$F$6:$F$5505,$A80,记账分录!$H$6:$H$5505,$C80,记账分录!$E$6:$E$5505,"&lt;="&amp;$B$4))</f>
        <v/>
      </c>
      <c r="N80" s="40" t="str">
        <f aca="false">IF($C80="","",SUMIFS(记账分录!$J$6:$J$5505,记账分录!$F$6:$F$5505,$A80,记账分录!$H$6:$H$5505,$C80,记账分录!$E$6:$E$5505,"&lt;="&amp;$B$4))</f>
        <v/>
      </c>
      <c r="O80" s="42" t="str">
        <f aca="false">IF($C80="","",IF($E80="借",$M80-$N80,$N80-$M80))</f>
        <v/>
      </c>
      <c r="P80" s="64" t="str">
        <f aca="false">IF($C80="","",IF(OR(ROUND($G80,2)&lt;&gt;0,ROUND($M80,2)&lt;&gt;0,ROUND($N80,2)&lt;&gt;0),"有",""))</f>
        <v/>
      </c>
    </row>
    <row r="81" customFormat="false" ht="15" hidden="true" customHeight="false" outlineLevel="0" collapsed="false">
      <c r="A81" s="25" t="str">
        <f aca="false">IF(会计科目表!$B80="","",参数设置!$A$10)</f>
        <v/>
      </c>
      <c r="B81" s="25" t="str">
        <f aca="false">IF(会计科目表!$B80="","",会计科目表!$A80)</f>
        <v/>
      </c>
      <c r="C81" s="10" t="str">
        <f aca="false">IF(会计科目表!$B80="","",会计科目表!$B80)</f>
        <v/>
      </c>
      <c r="D81" s="25" t="str">
        <f aca="false">IF($C81="","",会计科目表!$C80)</f>
        <v/>
      </c>
      <c r="E81" s="25" t="str">
        <f aca="false">IF($C81="","",会计科目表!$D80)</f>
        <v/>
      </c>
      <c r="F81" s="10" t="str">
        <f aca="false">IF($C81="","",会计科目表!$F80)</f>
        <v/>
      </c>
      <c r="G81" s="40" t="str">
        <f aca="false">IF($C81="","",IF($E81="借",SUMIFS(期初余额!$C$6:$C$185,期初余额!$A$6:$A$185,$A81,期初余额!$B$6:$B$185,$C81)-SUMIFS(期初余额!$D$6:$D$185,期初余额!$A$6:$A$185,$A81,期初余额!$B$6:$B$185,$C81),SUMIFS(期初余额!$D$6:$D$185,期初余额!$A$6:$A$185,$A81,期初余额!$B$6:$B$185,$C81)-SUMIFS(期初余额!$C$6:$C$185,期初余额!$A$6:$A$185,$A81,期初余额!$B$6:$B$185,$C81)))</f>
        <v/>
      </c>
      <c r="H81" s="40" t="str">
        <f aca="false">IF($C81="","",$G81+IF($E81="借",SUMIFS(记账分录!$I$6:$I$5505,记账分录!$F$6:$F$5505,$A81,记账分录!$H$6:$H$5505,$C81,记账分录!$E$6:$E$5505,"&lt;"&amp;$A$4)-SUMIFS(记账分录!$J$6:$J$5505,记账分录!$F$6:$F$5505,$A81,记账分录!$H$6:$H$5505,$C81,记账分录!$E$6:$E$5505,"&lt;"&amp;$A$4),SUMIFS(记账分录!$J$6:$J$5505,记账分录!$F$6:$F$5505,$A81,记账分录!$H$6:$H$5505,$C81,记账分录!$E$6:$E$5505,"&lt;"&amp;$A$4)-SUMIFS(记账分录!$I$6:$I$5505,记账分录!$F$6:$F$5505,$A81,记账分录!$H$6:$H$5505,$C81,记账分录!$E$6:$E$5505,"&lt;"&amp;$A$4)))</f>
        <v/>
      </c>
      <c r="I81" s="40" t="str">
        <f aca="false">IF($C81="","",SUMIFS(记账分录!$I$6:$I$5505,记账分录!$F$6:$F$5505,$A81,记账分录!$H$6:$H$5505,$C81,记账分录!$E$6:$E$5505,"&gt;="&amp;$A$4,记账分录!$E$6:$E$5505,"&lt;="&amp;$B$4))</f>
        <v/>
      </c>
      <c r="J81" s="40" t="str">
        <f aca="false">IF($C81="","",SUMIFS(记账分录!$J$6:$J$5505,记账分录!$F$6:$F$5505,$A81,记账分录!$H$6:$H$5505,$C81,记账分录!$E$6:$E$5505,"&gt;="&amp;$A$4,记账分录!$E$6:$E$5505,"&lt;="&amp;$B$4))</f>
        <v/>
      </c>
      <c r="K81" s="42" t="str">
        <f aca="false">IF($C81="","",IF($E81="借",$I81-$J81,$J81-$I81))</f>
        <v/>
      </c>
      <c r="L81" s="42" t="str">
        <f aca="false">IF($C81="","",ROUND($H81+$K81,2))</f>
        <v/>
      </c>
      <c r="M81" s="40" t="str">
        <f aca="false">IF($C81="","",SUMIFS(记账分录!$I$6:$I$5505,记账分录!$F$6:$F$5505,$A81,记账分录!$H$6:$H$5505,$C81,记账分录!$E$6:$E$5505,"&lt;="&amp;$B$4))</f>
        <v/>
      </c>
      <c r="N81" s="40" t="str">
        <f aca="false">IF($C81="","",SUMIFS(记账分录!$J$6:$J$5505,记账分录!$F$6:$F$5505,$A81,记账分录!$H$6:$H$5505,$C81,记账分录!$E$6:$E$5505,"&lt;="&amp;$B$4))</f>
        <v/>
      </c>
      <c r="O81" s="42" t="str">
        <f aca="false">IF($C81="","",IF($E81="借",$M81-$N81,$N81-$M81))</f>
        <v/>
      </c>
      <c r="P81" s="64" t="str">
        <f aca="false">IF($C81="","",IF(OR(ROUND($G81,2)&lt;&gt;0,ROUND($M81,2)&lt;&gt;0,ROUND($N81,2)&lt;&gt;0),"有",""))</f>
        <v/>
      </c>
    </row>
    <row r="82" customFormat="false" ht="15" hidden="true" customHeight="false" outlineLevel="0" collapsed="false">
      <c r="A82" s="25" t="str">
        <f aca="false">IF(会计科目表!$B81="","",参数设置!$A$10)</f>
        <v/>
      </c>
      <c r="B82" s="25" t="str">
        <f aca="false">IF(会计科目表!$B81="","",会计科目表!$A81)</f>
        <v/>
      </c>
      <c r="C82" s="10" t="str">
        <f aca="false">IF(会计科目表!$B81="","",会计科目表!$B81)</f>
        <v/>
      </c>
      <c r="D82" s="25" t="str">
        <f aca="false">IF($C82="","",会计科目表!$C81)</f>
        <v/>
      </c>
      <c r="E82" s="25" t="str">
        <f aca="false">IF($C82="","",会计科目表!$D81)</f>
        <v/>
      </c>
      <c r="F82" s="10" t="str">
        <f aca="false">IF($C82="","",会计科目表!$F81)</f>
        <v/>
      </c>
      <c r="G82" s="40" t="str">
        <f aca="false">IF($C82="","",IF($E82="借",SUMIFS(期初余额!$C$6:$C$185,期初余额!$A$6:$A$185,$A82,期初余额!$B$6:$B$185,$C82)-SUMIFS(期初余额!$D$6:$D$185,期初余额!$A$6:$A$185,$A82,期初余额!$B$6:$B$185,$C82),SUMIFS(期初余额!$D$6:$D$185,期初余额!$A$6:$A$185,$A82,期初余额!$B$6:$B$185,$C82)-SUMIFS(期初余额!$C$6:$C$185,期初余额!$A$6:$A$185,$A82,期初余额!$B$6:$B$185,$C82)))</f>
        <v/>
      </c>
      <c r="H82" s="40" t="str">
        <f aca="false">IF($C82="","",$G82+IF($E82="借",SUMIFS(记账分录!$I$6:$I$5505,记账分录!$F$6:$F$5505,$A82,记账分录!$H$6:$H$5505,$C82,记账分录!$E$6:$E$5505,"&lt;"&amp;$A$4)-SUMIFS(记账分录!$J$6:$J$5505,记账分录!$F$6:$F$5505,$A82,记账分录!$H$6:$H$5505,$C82,记账分录!$E$6:$E$5505,"&lt;"&amp;$A$4),SUMIFS(记账分录!$J$6:$J$5505,记账分录!$F$6:$F$5505,$A82,记账分录!$H$6:$H$5505,$C82,记账分录!$E$6:$E$5505,"&lt;"&amp;$A$4)-SUMIFS(记账分录!$I$6:$I$5505,记账分录!$F$6:$F$5505,$A82,记账分录!$H$6:$H$5505,$C82,记账分录!$E$6:$E$5505,"&lt;"&amp;$A$4)))</f>
        <v/>
      </c>
      <c r="I82" s="40" t="str">
        <f aca="false">IF($C82="","",SUMIFS(记账分录!$I$6:$I$5505,记账分录!$F$6:$F$5505,$A82,记账分录!$H$6:$H$5505,$C82,记账分录!$E$6:$E$5505,"&gt;="&amp;$A$4,记账分录!$E$6:$E$5505,"&lt;="&amp;$B$4))</f>
        <v/>
      </c>
      <c r="J82" s="40" t="str">
        <f aca="false">IF($C82="","",SUMIFS(记账分录!$J$6:$J$5505,记账分录!$F$6:$F$5505,$A82,记账分录!$H$6:$H$5505,$C82,记账分录!$E$6:$E$5505,"&gt;="&amp;$A$4,记账分录!$E$6:$E$5505,"&lt;="&amp;$B$4))</f>
        <v/>
      </c>
      <c r="K82" s="42" t="str">
        <f aca="false">IF($C82="","",IF($E82="借",$I82-$J82,$J82-$I82))</f>
        <v/>
      </c>
      <c r="L82" s="42" t="str">
        <f aca="false">IF($C82="","",ROUND($H82+$K82,2))</f>
        <v/>
      </c>
      <c r="M82" s="40" t="str">
        <f aca="false">IF($C82="","",SUMIFS(记账分录!$I$6:$I$5505,记账分录!$F$6:$F$5505,$A82,记账分录!$H$6:$H$5505,$C82,记账分录!$E$6:$E$5505,"&lt;="&amp;$B$4))</f>
        <v/>
      </c>
      <c r="N82" s="40" t="str">
        <f aca="false">IF($C82="","",SUMIFS(记账分录!$J$6:$J$5505,记账分录!$F$6:$F$5505,$A82,记账分录!$H$6:$H$5505,$C82,记账分录!$E$6:$E$5505,"&lt;="&amp;$B$4))</f>
        <v/>
      </c>
      <c r="O82" s="42" t="str">
        <f aca="false">IF($C82="","",IF($E82="借",$M82-$N82,$N82-$M82))</f>
        <v/>
      </c>
      <c r="P82" s="64" t="str">
        <f aca="false">IF($C82="","",IF(OR(ROUND($G82,2)&lt;&gt;0,ROUND($M82,2)&lt;&gt;0,ROUND($N82,2)&lt;&gt;0),"有",""))</f>
        <v/>
      </c>
    </row>
    <row r="83" customFormat="false" ht="15" hidden="true" customHeight="false" outlineLevel="0" collapsed="false">
      <c r="A83" s="25" t="str">
        <f aca="false">IF(会计科目表!$B82="","",参数设置!$A$10)</f>
        <v/>
      </c>
      <c r="B83" s="25" t="str">
        <f aca="false">IF(会计科目表!$B82="","",会计科目表!$A82)</f>
        <v/>
      </c>
      <c r="C83" s="10" t="str">
        <f aca="false">IF(会计科目表!$B82="","",会计科目表!$B82)</f>
        <v/>
      </c>
      <c r="D83" s="25" t="str">
        <f aca="false">IF($C83="","",会计科目表!$C82)</f>
        <v/>
      </c>
      <c r="E83" s="25" t="str">
        <f aca="false">IF($C83="","",会计科目表!$D82)</f>
        <v/>
      </c>
      <c r="F83" s="10" t="str">
        <f aca="false">IF($C83="","",会计科目表!$F82)</f>
        <v/>
      </c>
      <c r="G83" s="40" t="str">
        <f aca="false">IF($C83="","",IF($E83="借",SUMIFS(期初余额!$C$6:$C$185,期初余额!$A$6:$A$185,$A83,期初余额!$B$6:$B$185,$C83)-SUMIFS(期初余额!$D$6:$D$185,期初余额!$A$6:$A$185,$A83,期初余额!$B$6:$B$185,$C83),SUMIFS(期初余额!$D$6:$D$185,期初余额!$A$6:$A$185,$A83,期初余额!$B$6:$B$185,$C83)-SUMIFS(期初余额!$C$6:$C$185,期初余额!$A$6:$A$185,$A83,期初余额!$B$6:$B$185,$C83)))</f>
        <v/>
      </c>
      <c r="H83" s="40" t="str">
        <f aca="false">IF($C83="","",$G83+IF($E83="借",SUMIFS(记账分录!$I$6:$I$5505,记账分录!$F$6:$F$5505,$A83,记账分录!$H$6:$H$5505,$C83,记账分录!$E$6:$E$5505,"&lt;"&amp;$A$4)-SUMIFS(记账分录!$J$6:$J$5505,记账分录!$F$6:$F$5505,$A83,记账分录!$H$6:$H$5505,$C83,记账分录!$E$6:$E$5505,"&lt;"&amp;$A$4),SUMIFS(记账分录!$J$6:$J$5505,记账分录!$F$6:$F$5505,$A83,记账分录!$H$6:$H$5505,$C83,记账分录!$E$6:$E$5505,"&lt;"&amp;$A$4)-SUMIFS(记账分录!$I$6:$I$5505,记账分录!$F$6:$F$5505,$A83,记账分录!$H$6:$H$5505,$C83,记账分录!$E$6:$E$5505,"&lt;"&amp;$A$4)))</f>
        <v/>
      </c>
      <c r="I83" s="40" t="str">
        <f aca="false">IF($C83="","",SUMIFS(记账分录!$I$6:$I$5505,记账分录!$F$6:$F$5505,$A83,记账分录!$H$6:$H$5505,$C83,记账分录!$E$6:$E$5505,"&gt;="&amp;$A$4,记账分录!$E$6:$E$5505,"&lt;="&amp;$B$4))</f>
        <v/>
      </c>
      <c r="J83" s="40" t="str">
        <f aca="false">IF($C83="","",SUMIFS(记账分录!$J$6:$J$5505,记账分录!$F$6:$F$5505,$A83,记账分录!$H$6:$H$5505,$C83,记账分录!$E$6:$E$5505,"&gt;="&amp;$A$4,记账分录!$E$6:$E$5505,"&lt;="&amp;$B$4))</f>
        <v/>
      </c>
      <c r="K83" s="42" t="str">
        <f aca="false">IF($C83="","",IF($E83="借",$I83-$J83,$J83-$I83))</f>
        <v/>
      </c>
      <c r="L83" s="42" t="str">
        <f aca="false">IF($C83="","",ROUND($H83+$K83,2))</f>
        <v/>
      </c>
      <c r="M83" s="40" t="str">
        <f aca="false">IF($C83="","",SUMIFS(记账分录!$I$6:$I$5505,记账分录!$F$6:$F$5505,$A83,记账分录!$H$6:$H$5505,$C83,记账分录!$E$6:$E$5505,"&lt;="&amp;$B$4))</f>
        <v/>
      </c>
      <c r="N83" s="40" t="str">
        <f aca="false">IF($C83="","",SUMIFS(记账分录!$J$6:$J$5505,记账分录!$F$6:$F$5505,$A83,记账分录!$H$6:$H$5505,$C83,记账分录!$E$6:$E$5505,"&lt;="&amp;$B$4))</f>
        <v/>
      </c>
      <c r="O83" s="42" t="str">
        <f aca="false">IF($C83="","",IF($E83="借",$M83-$N83,$N83-$M83))</f>
        <v/>
      </c>
      <c r="P83" s="64" t="str">
        <f aca="false">IF($C83="","",IF(OR(ROUND($G83,2)&lt;&gt;0,ROUND($M83,2)&lt;&gt;0,ROUND($N83,2)&lt;&gt;0),"有",""))</f>
        <v/>
      </c>
    </row>
    <row r="84" customFormat="false" ht="15" hidden="true" customHeight="false" outlineLevel="0" collapsed="false">
      <c r="A84" s="25" t="str">
        <f aca="false">IF(会计科目表!$B83="","",参数设置!$A$10)</f>
        <v/>
      </c>
      <c r="B84" s="25" t="str">
        <f aca="false">IF(会计科目表!$B83="","",会计科目表!$A83)</f>
        <v/>
      </c>
      <c r="C84" s="10" t="str">
        <f aca="false">IF(会计科目表!$B83="","",会计科目表!$B83)</f>
        <v/>
      </c>
      <c r="D84" s="25" t="str">
        <f aca="false">IF($C84="","",会计科目表!$C83)</f>
        <v/>
      </c>
      <c r="E84" s="25" t="str">
        <f aca="false">IF($C84="","",会计科目表!$D83)</f>
        <v/>
      </c>
      <c r="F84" s="10" t="str">
        <f aca="false">IF($C84="","",会计科目表!$F83)</f>
        <v/>
      </c>
      <c r="G84" s="40" t="str">
        <f aca="false">IF($C84="","",IF($E84="借",SUMIFS(期初余额!$C$6:$C$185,期初余额!$A$6:$A$185,$A84,期初余额!$B$6:$B$185,$C84)-SUMIFS(期初余额!$D$6:$D$185,期初余额!$A$6:$A$185,$A84,期初余额!$B$6:$B$185,$C84),SUMIFS(期初余额!$D$6:$D$185,期初余额!$A$6:$A$185,$A84,期初余额!$B$6:$B$185,$C84)-SUMIFS(期初余额!$C$6:$C$185,期初余额!$A$6:$A$185,$A84,期初余额!$B$6:$B$185,$C84)))</f>
        <v/>
      </c>
      <c r="H84" s="40" t="str">
        <f aca="false">IF($C84="","",$G84+IF($E84="借",SUMIFS(记账分录!$I$6:$I$5505,记账分录!$F$6:$F$5505,$A84,记账分录!$H$6:$H$5505,$C84,记账分录!$E$6:$E$5505,"&lt;"&amp;$A$4)-SUMIFS(记账分录!$J$6:$J$5505,记账分录!$F$6:$F$5505,$A84,记账分录!$H$6:$H$5505,$C84,记账分录!$E$6:$E$5505,"&lt;"&amp;$A$4),SUMIFS(记账分录!$J$6:$J$5505,记账分录!$F$6:$F$5505,$A84,记账分录!$H$6:$H$5505,$C84,记账分录!$E$6:$E$5505,"&lt;"&amp;$A$4)-SUMIFS(记账分录!$I$6:$I$5505,记账分录!$F$6:$F$5505,$A84,记账分录!$H$6:$H$5505,$C84,记账分录!$E$6:$E$5505,"&lt;"&amp;$A$4)))</f>
        <v/>
      </c>
      <c r="I84" s="40" t="str">
        <f aca="false">IF($C84="","",SUMIFS(记账分录!$I$6:$I$5505,记账分录!$F$6:$F$5505,$A84,记账分录!$H$6:$H$5505,$C84,记账分录!$E$6:$E$5505,"&gt;="&amp;$A$4,记账分录!$E$6:$E$5505,"&lt;="&amp;$B$4))</f>
        <v/>
      </c>
      <c r="J84" s="40" t="str">
        <f aca="false">IF($C84="","",SUMIFS(记账分录!$J$6:$J$5505,记账分录!$F$6:$F$5505,$A84,记账分录!$H$6:$H$5505,$C84,记账分录!$E$6:$E$5505,"&gt;="&amp;$A$4,记账分录!$E$6:$E$5505,"&lt;="&amp;$B$4))</f>
        <v/>
      </c>
      <c r="K84" s="42" t="str">
        <f aca="false">IF($C84="","",IF($E84="借",$I84-$J84,$J84-$I84))</f>
        <v/>
      </c>
      <c r="L84" s="42" t="str">
        <f aca="false">IF($C84="","",ROUND($H84+$K84,2))</f>
        <v/>
      </c>
      <c r="M84" s="40" t="str">
        <f aca="false">IF($C84="","",SUMIFS(记账分录!$I$6:$I$5505,记账分录!$F$6:$F$5505,$A84,记账分录!$H$6:$H$5505,$C84,记账分录!$E$6:$E$5505,"&lt;="&amp;$B$4))</f>
        <v/>
      </c>
      <c r="N84" s="40" t="str">
        <f aca="false">IF($C84="","",SUMIFS(记账分录!$J$6:$J$5505,记账分录!$F$6:$F$5505,$A84,记账分录!$H$6:$H$5505,$C84,记账分录!$E$6:$E$5505,"&lt;="&amp;$B$4))</f>
        <v/>
      </c>
      <c r="O84" s="42" t="str">
        <f aca="false">IF($C84="","",IF($E84="借",$M84-$N84,$N84-$M84))</f>
        <v/>
      </c>
      <c r="P84" s="64" t="str">
        <f aca="false">IF($C84="","",IF(OR(ROUND($G84,2)&lt;&gt;0,ROUND($M84,2)&lt;&gt;0,ROUND($N84,2)&lt;&gt;0),"有",""))</f>
        <v/>
      </c>
    </row>
    <row r="85" customFormat="false" ht="15" hidden="true" customHeight="false" outlineLevel="0" collapsed="false">
      <c r="A85" s="25" t="str">
        <f aca="false">IF(会计科目表!$B84="","",参数设置!$A$10)</f>
        <v/>
      </c>
      <c r="B85" s="25" t="str">
        <f aca="false">IF(会计科目表!$B84="","",会计科目表!$A84)</f>
        <v/>
      </c>
      <c r="C85" s="10" t="str">
        <f aca="false">IF(会计科目表!$B84="","",会计科目表!$B84)</f>
        <v/>
      </c>
      <c r="D85" s="25" t="str">
        <f aca="false">IF($C85="","",会计科目表!$C84)</f>
        <v/>
      </c>
      <c r="E85" s="25" t="str">
        <f aca="false">IF($C85="","",会计科目表!$D84)</f>
        <v/>
      </c>
      <c r="F85" s="10" t="str">
        <f aca="false">IF($C85="","",会计科目表!$F84)</f>
        <v/>
      </c>
      <c r="G85" s="40" t="str">
        <f aca="false">IF($C85="","",IF($E85="借",SUMIFS(期初余额!$C$6:$C$185,期初余额!$A$6:$A$185,$A85,期初余额!$B$6:$B$185,$C85)-SUMIFS(期初余额!$D$6:$D$185,期初余额!$A$6:$A$185,$A85,期初余额!$B$6:$B$185,$C85),SUMIFS(期初余额!$D$6:$D$185,期初余额!$A$6:$A$185,$A85,期初余额!$B$6:$B$185,$C85)-SUMIFS(期初余额!$C$6:$C$185,期初余额!$A$6:$A$185,$A85,期初余额!$B$6:$B$185,$C85)))</f>
        <v/>
      </c>
      <c r="H85" s="40" t="str">
        <f aca="false">IF($C85="","",$G85+IF($E85="借",SUMIFS(记账分录!$I$6:$I$5505,记账分录!$F$6:$F$5505,$A85,记账分录!$H$6:$H$5505,$C85,记账分录!$E$6:$E$5505,"&lt;"&amp;$A$4)-SUMIFS(记账分录!$J$6:$J$5505,记账分录!$F$6:$F$5505,$A85,记账分录!$H$6:$H$5505,$C85,记账分录!$E$6:$E$5505,"&lt;"&amp;$A$4),SUMIFS(记账分录!$J$6:$J$5505,记账分录!$F$6:$F$5505,$A85,记账分录!$H$6:$H$5505,$C85,记账分录!$E$6:$E$5505,"&lt;"&amp;$A$4)-SUMIFS(记账分录!$I$6:$I$5505,记账分录!$F$6:$F$5505,$A85,记账分录!$H$6:$H$5505,$C85,记账分录!$E$6:$E$5505,"&lt;"&amp;$A$4)))</f>
        <v/>
      </c>
      <c r="I85" s="40" t="str">
        <f aca="false">IF($C85="","",SUMIFS(记账分录!$I$6:$I$5505,记账分录!$F$6:$F$5505,$A85,记账分录!$H$6:$H$5505,$C85,记账分录!$E$6:$E$5505,"&gt;="&amp;$A$4,记账分录!$E$6:$E$5505,"&lt;="&amp;$B$4))</f>
        <v/>
      </c>
      <c r="J85" s="40" t="str">
        <f aca="false">IF($C85="","",SUMIFS(记账分录!$J$6:$J$5505,记账分录!$F$6:$F$5505,$A85,记账分录!$H$6:$H$5505,$C85,记账分录!$E$6:$E$5505,"&gt;="&amp;$A$4,记账分录!$E$6:$E$5505,"&lt;="&amp;$B$4))</f>
        <v/>
      </c>
      <c r="K85" s="42" t="str">
        <f aca="false">IF($C85="","",IF($E85="借",$I85-$J85,$J85-$I85))</f>
        <v/>
      </c>
      <c r="L85" s="42" t="str">
        <f aca="false">IF($C85="","",ROUND($H85+$K85,2))</f>
        <v/>
      </c>
      <c r="M85" s="40" t="str">
        <f aca="false">IF($C85="","",SUMIFS(记账分录!$I$6:$I$5505,记账分录!$F$6:$F$5505,$A85,记账分录!$H$6:$H$5505,$C85,记账分录!$E$6:$E$5505,"&lt;="&amp;$B$4))</f>
        <v/>
      </c>
      <c r="N85" s="40" t="str">
        <f aca="false">IF($C85="","",SUMIFS(记账分录!$J$6:$J$5505,记账分录!$F$6:$F$5505,$A85,记账分录!$H$6:$H$5505,$C85,记账分录!$E$6:$E$5505,"&lt;="&amp;$B$4))</f>
        <v/>
      </c>
      <c r="O85" s="42" t="str">
        <f aca="false">IF($C85="","",IF($E85="借",$M85-$N85,$N85-$M85))</f>
        <v/>
      </c>
      <c r="P85" s="64" t="str">
        <f aca="false">IF($C85="","",IF(OR(ROUND($G85,2)&lt;&gt;0,ROUND($M85,2)&lt;&gt;0,ROUND($N85,2)&lt;&gt;0),"有",""))</f>
        <v/>
      </c>
    </row>
    <row r="86" customFormat="false" ht="15" hidden="true" customHeight="false" outlineLevel="0" collapsed="false">
      <c r="A86" s="25" t="str">
        <f aca="false">IF(会计科目表!$B85="","",参数设置!$A$10)</f>
        <v/>
      </c>
      <c r="B86" s="25" t="str">
        <f aca="false">IF(会计科目表!$B85="","",会计科目表!$A85)</f>
        <v/>
      </c>
      <c r="C86" s="10" t="str">
        <f aca="false">IF(会计科目表!$B85="","",会计科目表!$B85)</f>
        <v/>
      </c>
      <c r="D86" s="25" t="str">
        <f aca="false">IF($C86="","",会计科目表!$C85)</f>
        <v/>
      </c>
      <c r="E86" s="25" t="str">
        <f aca="false">IF($C86="","",会计科目表!$D85)</f>
        <v/>
      </c>
      <c r="F86" s="10" t="str">
        <f aca="false">IF($C86="","",会计科目表!$F85)</f>
        <v/>
      </c>
      <c r="G86" s="40" t="str">
        <f aca="false">IF($C86="","",IF($E86="借",SUMIFS(期初余额!$C$6:$C$185,期初余额!$A$6:$A$185,$A86,期初余额!$B$6:$B$185,$C86)-SUMIFS(期初余额!$D$6:$D$185,期初余额!$A$6:$A$185,$A86,期初余额!$B$6:$B$185,$C86),SUMIFS(期初余额!$D$6:$D$185,期初余额!$A$6:$A$185,$A86,期初余额!$B$6:$B$185,$C86)-SUMIFS(期初余额!$C$6:$C$185,期初余额!$A$6:$A$185,$A86,期初余额!$B$6:$B$185,$C86)))</f>
        <v/>
      </c>
      <c r="H86" s="40" t="str">
        <f aca="false">IF($C86="","",$G86+IF($E86="借",SUMIFS(记账分录!$I$6:$I$5505,记账分录!$F$6:$F$5505,$A86,记账分录!$H$6:$H$5505,$C86,记账分录!$E$6:$E$5505,"&lt;"&amp;$A$4)-SUMIFS(记账分录!$J$6:$J$5505,记账分录!$F$6:$F$5505,$A86,记账分录!$H$6:$H$5505,$C86,记账分录!$E$6:$E$5505,"&lt;"&amp;$A$4),SUMIFS(记账分录!$J$6:$J$5505,记账分录!$F$6:$F$5505,$A86,记账分录!$H$6:$H$5505,$C86,记账分录!$E$6:$E$5505,"&lt;"&amp;$A$4)-SUMIFS(记账分录!$I$6:$I$5505,记账分录!$F$6:$F$5505,$A86,记账分录!$H$6:$H$5505,$C86,记账分录!$E$6:$E$5505,"&lt;"&amp;$A$4)))</f>
        <v/>
      </c>
      <c r="I86" s="40" t="str">
        <f aca="false">IF($C86="","",SUMIFS(记账分录!$I$6:$I$5505,记账分录!$F$6:$F$5505,$A86,记账分录!$H$6:$H$5505,$C86,记账分录!$E$6:$E$5505,"&gt;="&amp;$A$4,记账分录!$E$6:$E$5505,"&lt;="&amp;$B$4))</f>
        <v/>
      </c>
      <c r="J86" s="40" t="str">
        <f aca="false">IF($C86="","",SUMIFS(记账分录!$J$6:$J$5505,记账分录!$F$6:$F$5505,$A86,记账分录!$H$6:$H$5505,$C86,记账分录!$E$6:$E$5505,"&gt;="&amp;$A$4,记账分录!$E$6:$E$5505,"&lt;="&amp;$B$4))</f>
        <v/>
      </c>
      <c r="K86" s="42" t="str">
        <f aca="false">IF($C86="","",IF($E86="借",$I86-$J86,$J86-$I86))</f>
        <v/>
      </c>
      <c r="L86" s="42" t="str">
        <f aca="false">IF($C86="","",ROUND($H86+$K86,2))</f>
        <v/>
      </c>
      <c r="M86" s="40" t="str">
        <f aca="false">IF($C86="","",SUMIFS(记账分录!$I$6:$I$5505,记账分录!$F$6:$F$5505,$A86,记账分录!$H$6:$H$5505,$C86,记账分录!$E$6:$E$5505,"&lt;="&amp;$B$4))</f>
        <v/>
      </c>
      <c r="N86" s="40" t="str">
        <f aca="false">IF($C86="","",SUMIFS(记账分录!$J$6:$J$5505,记账分录!$F$6:$F$5505,$A86,记账分录!$H$6:$H$5505,$C86,记账分录!$E$6:$E$5505,"&lt;="&amp;$B$4))</f>
        <v/>
      </c>
      <c r="O86" s="42" t="str">
        <f aca="false">IF($C86="","",IF($E86="借",$M86-$N86,$N86-$M86))</f>
        <v/>
      </c>
      <c r="P86" s="64" t="str">
        <f aca="false">IF($C86="","",IF(OR(ROUND($G86,2)&lt;&gt;0,ROUND($M86,2)&lt;&gt;0,ROUND($N86,2)&lt;&gt;0),"有",""))</f>
        <v/>
      </c>
    </row>
    <row r="87" customFormat="false" ht="15" hidden="false" customHeight="false" outlineLevel="0" collapsed="false">
      <c r="A87" s="25" t="str">
        <f aca="false">IF(会计科目表!$B6="","",参数设置!$A$11)</f>
        <v>木业</v>
      </c>
      <c r="B87" s="25" t="str">
        <f aca="false">IF(会计科目表!$B6="","",会计科目表!$A6)</f>
        <v>1001</v>
      </c>
      <c r="C87" s="10" t="str">
        <f aca="false">IF(会计科目表!$B6="","",会计科目表!$B6)</f>
        <v>库存现金</v>
      </c>
      <c r="D87" s="25" t="str">
        <f aca="false">IF($C87="","",会计科目表!$C6)</f>
        <v>资产</v>
      </c>
      <c r="E87" s="25" t="str">
        <f aca="false">IF($C87="","",会计科目表!$D6)</f>
        <v>借</v>
      </c>
      <c r="F87" s="10" t="str">
        <f aca="false">IF($C87="","",会计科目表!$F6)</f>
        <v>货币资金</v>
      </c>
      <c r="G87" s="40" t="n">
        <f aca="false">IF($C87="","",IF($E87="借",SUMIFS(期初余额!$C$6:$C$185,期初余额!$A$6:$A$185,$A87,期初余额!$B$6:$B$185,$C87)-SUMIFS(期初余额!$D$6:$D$185,期初余额!$A$6:$A$185,$A87,期初余额!$B$6:$B$185,$C87),SUMIFS(期初余额!$D$6:$D$185,期初余额!$A$6:$A$185,$A87,期初余额!$B$6:$B$185,$C87)-SUMIFS(期初余额!$C$6:$C$185,期初余额!$A$6:$A$185,$A87,期初余额!$B$6:$B$185,$C87)))</f>
        <v>3000</v>
      </c>
      <c r="H87" s="40" t="n">
        <f aca="false">IF($C87="","",$G87+IF($E87="借",SUMIFS(记账分录!$I$6:$I$5505,记账分录!$F$6:$F$5505,$A87,记账分录!$H$6:$H$5505,$C87,记账分录!$E$6:$E$5505,"&lt;"&amp;$A$4)-SUMIFS(记账分录!$J$6:$J$5505,记账分录!$F$6:$F$5505,$A87,记账分录!$H$6:$H$5505,$C87,记账分录!$E$6:$E$5505,"&lt;"&amp;$A$4),SUMIFS(记账分录!$J$6:$J$5505,记账分录!$F$6:$F$5505,$A87,记账分录!$H$6:$H$5505,$C87,记账分录!$E$6:$E$5505,"&lt;"&amp;$A$4)-SUMIFS(记账分录!$I$6:$I$5505,记账分录!$F$6:$F$5505,$A87,记账分录!$H$6:$H$5505,$C87,记账分录!$E$6:$E$5505,"&lt;"&amp;$A$4)))</f>
        <v>3000</v>
      </c>
      <c r="I87" s="40" t="n">
        <f aca="false">IF($C87="","",SUMIFS(记账分录!$I$6:$I$5505,记账分录!$F$6:$F$5505,$A87,记账分录!$H$6:$H$5505,$C87,记账分录!$E$6:$E$5505,"&gt;="&amp;$A$4,记账分录!$E$6:$E$5505,"&lt;="&amp;$B$4))</f>
        <v>0</v>
      </c>
      <c r="J87" s="40" t="n">
        <f aca="false">IF($C87="","",SUMIFS(记账分录!$J$6:$J$5505,记账分录!$F$6:$F$5505,$A87,记账分录!$H$6:$H$5505,$C87,记账分录!$E$6:$E$5505,"&gt;="&amp;$A$4,记账分录!$E$6:$E$5505,"&lt;="&amp;$B$4))</f>
        <v>860</v>
      </c>
      <c r="K87" s="42" t="n">
        <f aca="false">IF($C87="","",IF($E87="借",$I87-$J87,$J87-$I87))</f>
        <v>-860</v>
      </c>
      <c r="L87" s="42" t="n">
        <f aca="false">IF($C87="","",ROUND($H87+$K87,2))</f>
        <v>2140</v>
      </c>
      <c r="M87" s="40" t="n">
        <f aca="false">IF($C87="","",SUMIFS(记账分录!$I$6:$I$5505,记账分录!$F$6:$F$5505,$A87,记账分录!$H$6:$H$5505,$C87,记账分录!$E$6:$E$5505,"&lt;="&amp;$B$4))</f>
        <v>0</v>
      </c>
      <c r="N87" s="40" t="n">
        <f aca="false">IF($C87="","",SUMIFS(记账分录!$J$6:$J$5505,记账分录!$F$6:$F$5505,$A87,记账分录!$H$6:$H$5505,$C87,记账分录!$E$6:$E$5505,"&lt;="&amp;$B$4))</f>
        <v>860</v>
      </c>
      <c r="O87" s="42" t="n">
        <f aca="false">IF($C87="","",IF($E87="借",$M87-$N87,$N87-$M87))</f>
        <v>-860</v>
      </c>
      <c r="P87" s="64" t="str">
        <f aca="false">IF($C87="","",IF(OR(ROUND($G87,2)&lt;&gt;0,ROUND($M87,2)&lt;&gt;0,ROUND($N87,2)&lt;&gt;0),"有",""))</f>
        <v>有</v>
      </c>
    </row>
    <row r="88" customFormat="false" ht="15" hidden="false" customHeight="false" outlineLevel="0" collapsed="false">
      <c r="A88" s="25" t="str">
        <f aca="false">IF(会计科目表!$B7="","",参数设置!$A$11)</f>
        <v>木业</v>
      </c>
      <c r="B88" s="25" t="str">
        <f aca="false">IF(会计科目表!$B7="","",会计科目表!$A7)</f>
        <v>1002</v>
      </c>
      <c r="C88" s="10" t="str">
        <f aca="false">IF(会计科目表!$B7="","",会计科目表!$B7)</f>
        <v>银行存款</v>
      </c>
      <c r="D88" s="25" t="str">
        <f aca="false">IF($C88="","",会计科目表!$C7)</f>
        <v>资产</v>
      </c>
      <c r="E88" s="25" t="str">
        <f aca="false">IF($C88="","",会计科目表!$D7)</f>
        <v>借</v>
      </c>
      <c r="F88" s="10" t="str">
        <f aca="false">IF($C88="","",会计科目表!$F7)</f>
        <v>货币资金</v>
      </c>
      <c r="G88" s="40" t="n">
        <f aca="false">IF($C88="","",IF($E88="借",SUMIFS(期初余额!$C$6:$C$185,期初余额!$A$6:$A$185,$A88,期初余额!$B$6:$B$185,$C88)-SUMIFS(期初余额!$D$6:$D$185,期初余额!$A$6:$A$185,$A88,期初余额!$B$6:$B$185,$C88),SUMIFS(期初余额!$D$6:$D$185,期初余额!$A$6:$A$185,$A88,期初余额!$B$6:$B$185,$C88)-SUMIFS(期初余额!$C$6:$C$185,期初余额!$A$6:$A$185,$A88,期初余额!$B$6:$B$185,$C88)))</f>
        <v>260000</v>
      </c>
      <c r="H88" s="40" t="n">
        <f aca="false">IF($C88="","",$G88+IF($E88="借",SUMIFS(记账分录!$I$6:$I$5505,记账分录!$F$6:$F$5505,$A88,记账分录!$H$6:$H$5505,$C88,记账分录!$E$6:$E$5505,"&lt;"&amp;$A$4)-SUMIFS(记账分录!$J$6:$J$5505,记账分录!$F$6:$F$5505,$A88,记账分录!$H$6:$H$5505,$C88,记账分录!$E$6:$E$5505,"&lt;"&amp;$A$4),SUMIFS(记账分录!$J$6:$J$5505,记账分录!$F$6:$F$5505,$A88,记账分录!$H$6:$H$5505,$C88,记账分录!$E$6:$E$5505,"&lt;"&amp;$A$4)-SUMIFS(记账分录!$I$6:$I$5505,记账分录!$F$6:$F$5505,$A88,记账分录!$H$6:$H$5505,$C88,记账分录!$E$6:$E$5505,"&lt;"&amp;$A$4)))</f>
        <v>260000</v>
      </c>
      <c r="I88" s="40" t="n">
        <f aca="false">IF($C88="","",SUMIFS(记账分录!$I$6:$I$5505,记账分录!$F$6:$F$5505,$A88,记账分录!$H$6:$H$5505,$C88,记账分录!$E$6:$E$5505,"&gt;="&amp;$A$4,记账分录!$E$6:$E$5505,"&lt;="&amp;$B$4))</f>
        <v>520000</v>
      </c>
      <c r="J88" s="40" t="n">
        <f aca="false">IF($C88="","",SUMIFS(记账分录!$J$6:$J$5505,记账分录!$F$6:$F$5505,$A88,记账分录!$H$6:$H$5505,$C88,记账分录!$E$6:$E$5505,"&gt;="&amp;$A$4,记账分录!$E$6:$E$5505,"&lt;="&amp;$B$4))</f>
        <v>361760</v>
      </c>
      <c r="K88" s="42" t="n">
        <f aca="false">IF($C88="","",IF($E88="借",$I88-$J88,$J88-$I88))</f>
        <v>158240</v>
      </c>
      <c r="L88" s="42" t="n">
        <f aca="false">IF($C88="","",ROUND($H88+$K88,2))</f>
        <v>418240</v>
      </c>
      <c r="M88" s="40" t="n">
        <f aca="false">IF($C88="","",SUMIFS(记账分录!$I$6:$I$5505,记账分录!$F$6:$F$5505,$A88,记账分录!$H$6:$H$5505,$C88,记账分录!$E$6:$E$5505,"&lt;="&amp;$B$4))</f>
        <v>520000</v>
      </c>
      <c r="N88" s="40" t="n">
        <f aca="false">IF($C88="","",SUMIFS(记账分录!$J$6:$J$5505,记账分录!$F$6:$F$5505,$A88,记账分录!$H$6:$H$5505,$C88,记账分录!$E$6:$E$5505,"&lt;="&amp;$B$4))</f>
        <v>361760</v>
      </c>
      <c r="O88" s="42" t="n">
        <f aca="false">IF($C88="","",IF($E88="借",$M88-$N88,$N88-$M88))</f>
        <v>158240</v>
      </c>
      <c r="P88" s="64" t="str">
        <f aca="false">IF($C88="","",IF(OR(ROUND($G88,2)&lt;&gt;0,ROUND($M88,2)&lt;&gt;0,ROUND($N88,2)&lt;&gt;0),"有",""))</f>
        <v>有</v>
      </c>
    </row>
    <row r="89" customFormat="false" ht="15" hidden="false" customHeight="false" outlineLevel="0" collapsed="false">
      <c r="A89" s="25" t="str">
        <f aca="false">IF(会计科目表!$B8="","",参数设置!$A$11)</f>
        <v>木业</v>
      </c>
      <c r="B89" s="25" t="str">
        <f aca="false">IF(会计科目表!$B8="","",会计科目表!$A8)</f>
        <v>1012</v>
      </c>
      <c r="C89" s="10" t="str">
        <f aca="false">IF(会计科目表!$B8="","",会计科目表!$B8)</f>
        <v>其他货币资金</v>
      </c>
      <c r="D89" s="25" t="str">
        <f aca="false">IF($C89="","",会计科目表!$C8)</f>
        <v>资产</v>
      </c>
      <c r="E89" s="25" t="str">
        <f aca="false">IF($C89="","",会计科目表!$D8)</f>
        <v>借</v>
      </c>
      <c r="F89" s="10" t="str">
        <f aca="false">IF($C89="","",会计科目表!$F8)</f>
        <v>货币资金</v>
      </c>
      <c r="G89" s="40" t="n">
        <f aca="false">IF($C89="","",IF($E89="借",SUMIFS(期初余额!$C$6:$C$185,期初余额!$A$6:$A$185,$A89,期初余额!$B$6:$B$185,$C89)-SUMIFS(期初余额!$D$6:$D$185,期初余额!$A$6:$A$185,$A89,期初余额!$B$6:$B$185,$C89),SUMIFS(期初余额!$D$6:$D$185,期初余额!$A$6:$A$185,$A89,期初余额!$B$6:$B$185,$C89)-SUMIFS(期初余额!$C$6:$C$185,期初余额!$A$6:$A$185,$A89,期初余额!$B$6:$B$185,$C89)))</f>
        <v>0</v>
      </c>
      <c r="H89" s="40" t="n">
        <f aca="false">IF($C89="","",$G89+IF($E89="借",SUMIFS(记账分录!$I$6:$I$5505,记账分录!$F$6:$F$5505,$A89,记账分录!$H$6:$H$5505,$C89,记账分录!$E$6:$E$5505,"&lt;"&amp;$A$4)-SUMIFS(记账分录!$J$6:$J$5505,记账分录!$F$6:$F$5505,$A89,记账分录!$H$6:$H$5505,$C89,记账分录!$E$6:$E$5505,"&lt;"&amp;$A$4),SUMIFS(记账分录!$J$6:$J$5505,记账分录!$F$6:$F$5505,$A89,记账分录!$H$6:$H$5505,$C89,记账分录!$E$6:$E$5505,"&lt;"&amp;$A$4)-SUMIFS(记账分录!$I$6:$I$5505,记账分录!$F$6:$F$5505,$A89,记账分录!$H$6:$H$5505,$C89,记账分录!$E$6:$E$5505,"&lt;"&amp;$A$4)))</f>
        <v>0</v>
      </c>
      <c r="I89" s="40" t="n">
        <f aca="false">IF($C89="","",SUMIFS(记账分录!$I$6:$I$5505,记账分录!$F$6:$F$5505,$A89,记账分录!$H$6:$H$5505,$C89,记账分录!$E$6:$E$5505,"&gt;="&amp;$A$4,记账分录!$E$6:$E$5505,"&lt;="&amp;$B$4))</f>
        <v>0</v>
      </c>
      <c r="J89" s="40" t="n">
        <f aca="false">IF($C89="","",SUMIFS(记账分录!$J$6:$J$5505,记账分录!$F$6:$F$5505,$A89,记账分录!$H$6:$H$5505,$C89,记账分录!$E$6:$E$5505,"&gt;="&amp;$A$4,记账分录!$E$6:$E$5505,"&lt;="&amp;$B$4))</f>
        <v>0</v>
      </c>
      <c r="K89" s="42" t="n">
        <f aca="false">IF($C89="","",IF($E89="借",$I89-$J89,$J89-$I89))</f>
        <v>0</v>
      </c>
      <c r="L89" s="42" t="n">
        <f aca="false">IF($C89="","",ROUND($H89+$K89,2))</f>
        <v>0</v>
      </c>
      <c r="M89" s="40" t="n">
        <f aca="false">IF($C89="","",SUMIFS(记账分录!$I$6:$I$5505,记账分录!$F$6:$F$5505,$A89,记账分录!$H$6:$H$5505,$C89,记账分录!$E$6:$E$5505,"&lt;="&amp;$B$4))</f>
        <v>0</v>
      </c>
      <c r="N89" s="40" t="n">
        <f aca="false">IF($C89="","",SUMIFS(记账分录!$J$6:$J$5505,记账分录!$F$6:$F$5505,$A89,记账分录!$H$6:$H$5505,$C89,记账分录!$E$6:$E$5505,"&lt;="&amp;$B$4))</f>
        <v>0</v>
      </c>
      <c r="O89" s="42" t="n">
        <f aca="false">IF($C89="","",IF($E89="借",$M89-$N89,$N89-$M89))</f>
        <v>0</v>
      </c>
      <c r="P89" s="64" t="str">
        <f aca="false">IF($C89="","",IF(OR(ROUND($G89,2)&lt;&gt;0,ROUND($M89,2)&lt;&gt;0,ROUND($N89,2)&lt;&gt;0),"有",""))</f>
        <v/>
      </c>
    </row>
    <row r="90" customFormat="false" ht="15" hidden="false" customHeight="false" outlineLevel="0" collapsed="false">
      <c r="A90" s="25" t="str">
        <f aca="false">IF(会计科目表!$B9="","",参数设置!$A$11)</f>
        <v>木业</v>
      </c>
      <c r="B90" s="25" t="str">
        <f aca="false">IF(会计科目表!$B9="","",会计科目表!$A9)</f>
        <v>1122</v>
      </c>
      <c r="C90" s="10" t="str">
        <f aca="false">IF(会计科目表!$B9="","",会计科目表!$B9)</f>
        <v>应收账款</v>
      </c>
      <c r="D90" s="25" t="str">
        <f aca="false">IF($C90="","",会计科目表!$C9)</f>
        <v>资产</v>
      </c>
      <c r="E90" s="25" t="str">
        <f aca="false">IF($C90="","",会计科目表!$D9)</f>
        <v>借</v>
      </c>
      <c r="F90" s="10" t="str">
        <f aca="false">IF($C90="","",会计科目表!$F9)</f>
        <v>应收账款</v>
      </c>
      <c r="G90" s="40" t="n">
        <f aca="false">IF($C90="","",IF($E90="借",SUMIFS(期初余额!$C$6:$C$185,期初余额!$A$6:$A$185,$A90,期初余额!$B$6:$B$185,$C90)-SUMIFS(期初余额!$D$6:$D$185,期初余额!$A$6:$A$185,$A90,期初余额!$B$6:$B$185,$C90),SUMIFS(期初余额!$D$6:$D$185,期初余额!$A$6:$A$185,$A90,期初余额!$B$6:$B$185,$C90)-SUMIFS(期初余额!$C$6:$C$185,期初余额!$A$6:$A$185,$A90,期初余额!$B$6:$B$185,$C90)))</f>
        <v>156000</v>
      </c>
      <c r="H90" s="40" t="n">
        <f aca="false">IF($C90="","",$G90+IF($E90="借",SUMIFS(记账分录!$I$6:$I$5505,记账分录!$F$6:$F$5505,$A90,记账分录!$H$6:$H$5505,$C90,记账分录!$E$6:$E$5505,"&lt;"&amp;$A$4)-SUMIFS(记账分录!$J$6:$J$5505,记账分录!$F$6:$F$5505,$A90,记账分录!$H$6:$H$5505,$C90,记账分录!$E$6:$E$5505,"&lt;"&amp;$A$4),SUMIFS(记账分录!$J$6:$J$5505,记账分录!$F$6:$F$5505,$A90,记账分录!$H$6:$H$5505,$C90,记账分录!$E$6:$E$5505,"&lt;"&amp;$A$4)-SUMIFS(记账分录!$I$6:$I$5505,记账分录!$F$6:$F$5505,$A90,记账分录!$H$6:$H$5505,$C90,记账分录!$E$6:$E$5505,"&lt;"&amp;$A$4)))</f>
        <v>156000</v>
      </c>
      <c r="I90" s="40" t="n">
        <f aca="false">IF($C90="","",SUMIFS(记账分录!$I$6:$I$5505,记账分录!$F$6:$F$5505,$A90,记账分录!$H$6:$H$5505,$C90,记账分录!$E$6:$E$5505,"&gt;="&amp;$A$4,记账分录!$E$6:$E$5505,"&lt;="&amp;$B$4))</f>
        <v>582000</v>
      </c>
      <c r="J90" s="40" t="n">
        <f aca="false">IF($C90="","",SUMIFS(记账分录!$J$6:$J$5505,记账分录!$F$6:$F$5505,$A90,记账分录!$H$6:$H$5505,$C90,记账分录!$E$6:$E$5505,"&gt;="&amp;$A$4,记账分录!$E$6:$E$5505,"&lt;="&amp;$B$4))</f>
        <v>370000</v>
      </c>
      <c r="K90" s="42" t="n">
        <f aca="false">IF($C90="","",IF($E90="借",$I90-$J90,$J90-$I90))</f>
        <v>212000</v>
      </c>
      <c r="L90" s="42" t="n">
        <f aca="false">IF($C90="","",ROUND($H90+$K90,2))</f>
        <v>368000</v>
      </c>
      <c r="M90" s="40" t="n">
        <f aca="false">IF($C90="","",SUMIFS(记账分录!$I$6:$I$5505,记账分录!$F$6:$F$5505,$A90,记账分录!$H$6:$H$5505,$C90,记账分录!$E$6:$E$5505,"&lt;="&amp;$B$4))</f>
        <v>582000</v>
      </c>
      <c r="N90" s="40" t="n">
        <f aca="false">IF($C90="","",SUMIFS(记账分录!$J$6:$J$5505,记账分录!$F$6:$F$5505,$A90,记账分录!$H$6:$H$5505,$C90,记账分录!$E$6:$E$5505,"&lt;="&amp;$B$4))</f>
        <v>370000</v>
      </c>
      <c r="O90" s="42" t="n">
        <f aca="false">IF($C90="","",IF($E90="借",$M90-$N90,$N90-$M90))</f>
        <v>212000</v>
      </c>
      <c r="P90" s="64" t="str">
        <f aca="false">IF($C90="","",IF(OR(ROUND($G90,2)&lt;&gt;0,ROUND($M90,2)&lt;&gt;0,ROUND($N90,2)&lt;&gt;0),"有",""))</f>
        <v>有</v>
      </c>
    </row>
    <row r="91" customFormat="false" ht="15" hidden="false" customHeight="false" outlineLevel="0" collapsed="false">
      <c r="A91" s="25" t="str">
        <f aca="false">IF(会计科目表!$B10="","",参数设置!$A$11)</f>
        <v>木业</v>
      </c>
      <c r="B91" s="25" t="str">
        <f aca="false">IF(会计科目表!$B10="","",会计科目表!$A10)</f>
        <v>1123</v>
      </c>
      <c r="C91" s="10" t="str">
        <f aca="false">IF(会计科目表!$B10="","",会计科目表!$B10)</f>
        <v>预付账款</v>
      </c>
      <c r="D91" s="25" t="str">
        <f aca="false">IF($C91="","",会计科目表!$C10)</f>
        <v>资产</v>
      </c>
      <c r="E91" s="25" t="str">
        <f aca="false">IF($C91="","",会计科目表!$D10)</f>
        <v>借</v>
      </c>
      <c r="F91" s="10" t="str">
        <f aca="false">IF($C91="","",会计科目表!$F10)</f>
        <v>预付款项</v>
      </c>
      <c r="G91" s="40" t="n">
        <f aca="false">IF($C91="","",IF($E91="借",SUMIFS(期初余额!$C$6:$C$185,期初余额!$A$6:$A$185,$A91,期初余额!$B$6:$B$185,$C91)-SUMIFS(期初余额!$D$6:$D$185,期初余额!$A$6:$A$185,$A91,期初余额!$B$6:$B$185,$C91),SUMIFS(期初余额!$D$6:$D$185,期初余额!$A$6:$A$185,$A91,期初余额!$B$6:$B$185,$C91)-SUMIFS(期初余额!$C$6:$C$185,期初余额!$A$6:$A$185,$A91,期初余额!$B$6:$B$185,$C91)))</f>
        <v>0</v>
      </c>
      <c r="H91" s="40" t="n">
        <f aca="false">IF($C91="","",$G91+IF($E91="借",SUMIFS(记账分录!$I$6:$I$5505,记账分录!$F$6:$F$5505,$A91,记账分录!$H$6:$H$5505,$C91,记账分录!$E$6:$E$5505,"&lt;"&amp;$A$4)-SUMIFS(记账分录!$J$6:$J$5505,记账分录!$F$6:$F$5505,$A91,记账分录!$H$6:$H$5505,$C91,记账分录!$E$6:$E$5505,"&lt;"&amp;$A$4),SUMIFS(记账分录!$J$6:$J$5505,记账分录!$F$6:$F$5505,$A91,记账分录!$H$6:$H$5505,$C91,记账分录!$E$6:$E$5505,"&lt;"&amp;$A$4)-SUMIFS(记账分录!$I$6:$I$5505,记账分录!$F$6:$F$5505,$A91,记账分录!$H$6:$H$5505,$C91,记账分录!$E$6:$E$5505,"&lt;"&amp;$A$4)))</f>
        <v>0</v>
      </c>
      <c r="I91" s="40" t="n">
        <f aca="false">IF($C91="","",SUMIFS(记账分录!$I$6:$I$5505,记账分录!$F$6:$F$5505,$A91,记账分录!$H$6:$H$5505,$C91,记账分录!$E$6:$E$5505,"&gt;="&amp;$A$4,记账分录!$E$6:$E$5505,"&lt;="&amp;$B$4))</f>
        <v>0</v>
      </c>
      <c r="J91" s="40" t="n">
        <f aca="false">IF($C91="","",SUMIFS(记账分录!$J$6:$J$5505,记账分录!$F$6:$F$5505,$A91,记账分录!$H$6:$H$5505,$C91,记账分录!$E$6:$E$5505,"&gt;="&amp;$A$4,记账分录!$E$6:$E$5505,"&lt;="&amp;$B$4))</f>
        <v>0</v>
      </c>
      <c r="K91" s="42" t="n">
        <f aca="false">IF($C91="","",IF($E91="借",$I91-$J91,$J91-$I91))</f>
        <v>0</v>
      </c>
      <c r="L91" s="42" t="n">
        <f aca="false">IF($C91="","",ROUND($H91+$K91,2))</f>
        <v>0</v>
      </c>
      <c r="M91" s="40" t="n">
        <f aca="false">IF($C91="","",SUMIFS(记账分录!$I$6:$I$5505,记账分录!$F$6:$F$5505,$A91,记账分录!$H$6:$H$5505,$C91,记账分录!$E$6:$E$5505,"&lt;="&amp;$B$4))</f>
        <v>0</v>
      </c>
      <c r="N91" s="40" t="n">
        <f aca="false">IF($C91="","",SUMIFS(记账分录!$J$6:$J$5505,记账分录!$F$6:$F$5505,$A91,记账分录!$H$6:$H$5505,$C91,记账分录!$E$6:$E$5505,"&lt;="&amp;$B$4))</f>
        <v>0</v>
      </c>
      <c r="O91" s="42" t="n">
        <f aca="false">IF($C91="","",IF($E91="借",$M91-$N91,$N91-$M91))</f>
        <v>0</v>
      </c>
      <c r="P91" s="64" t="str">
        <f aca="false">IF($C91="","",IF(OR(ROUND($G91,2)&lt;&gt;0,ROUND($M91,2)&lt;&gt;0,ROUND($N91,2)&lt;&gt;0),"有",""))</f>
        <v/>
      </c>
    </row>
    <row r="92" customFormat="false" ht="15" hidden="false" customHeight="false" outlineLevel="0" collapsed="false">
      <c r="A92" s="25" t="str">
        <f aca="false">IF(会计科目表!$B11="","",参数设置!$A$11)</f>
        <v>木业</v>
      </c>
      <c r="B92" s="25" t="str">
        <f aca="false">IF(会计科目表!$B11="","",会计科目表!$A11)</f>
        <v>1221</v>
      </c>
      <c r="C92" s="10" t="str">
        <f aca="false">IF(会计科目表!$B11="","",会计科目表!$B11)</f>
        <v>其他应收款</v>
      </c>
      <c r="D92" s="25" t="str">
        <f aca="false">IF($C92="","",会计科目表!$C11)</f>
        <v>资产</v>
      </c>
      <c r="E92" s="25" t="str">
        <f aca="false">IF($C92="","",会计科目表!$D11)</f>
        <v>借</v>
      </c>
      <c r="F92" s="10" t="str">
        <f aca="false">IF($C92="","",会计科目表!$F11)</f>
        <v>其他应收款</v>
      </c>
      <c r="G92" s="40" t="n">
        <f aca="false">IF($C92="","",IF($E92="借",SUMIFS(期初余额!$C$6:$C$185,期初余额!$A$6:$A$185,$A92,期初余额!$B$6:$B$185,$C92)-SUMIFS(期初余额!$D$6:$D$185,期初余额!$A$6:$A$185,$A92,期初余额!$B$6:$B$185,$C92),SUMIFS(期初余额!$D$6:$D$185,期初余额!$A$6:$A$185,$A92,期初余额!$B$6:$B$185,$C92)-SUMIFS(期初余额!$C$6:$C$185,期初余额!$A$6:$A$185,$A92,期初余额!$B$6:$B$185,$C92)))</f>
        <v>0</v>
      </c>
      <c r="H92" s="40" t="n">
        <f aca="false">IF($C92="","",$G92+IF($E92="借",SUMIFS(记账分录!$I$6:$I$5505,记账分录!$F$6:$F$5505,$A92,记账分录!$H$6:$H$5505,$C92,记账分录!$E$6:$E$5505,"&lt;"&amp;$A$4)-SUMIFS(记账分录!$J$6:$J$5505,记账分录!$F$6:$F$5505,$A92,记账分录!$H$6:$H$5505,$C92,记账分录!$E$6:$E$5505,"&lt;"&amp;$A$4),SUMIFS(记账分录!$J$6:$J$5505,记账分录!$F$6:$F$5505,$A92,记账分录!$H$6:$H$5505,$C92,记账分录!$E$6:$E$5505,"&lt;"&amp;$A$4)-SUMIFS(记账分录!$I$6:$I$5505,记账分录!$F$6:$F$5505,$A92,记账分录!$H$6:$H$5505,$C92,记账分录!$E$6:$E$5505,"&lt;"&amp;$A$4)))</f>
        <v>0</v>
      </c>
      <c r="I92" s="40" t="n">
        <f aca="false">IF($C92="","",SUMIFS(记账分录!$I$6:$I$5505,记账分录!$F$6:$F$5505,$A92,记账分录!$H$6:$H$5505,$C92,记账分录!$E$6:$E$5505,"&gt;="&amp;$A$4,记账分录!$E$6:$E$5505,"&lt;="&amp;$B$4))</f>
        <v>0</v>
      </c>
      <c r="J92" s="40" t="n">
        <f aca="false">IF($C92="","",SUMIFS(记账分录!$J$6:$J$5505,记账分录!$F$6:$F$5505,$A92,记账分录!$H$6:$H$5505,$C92,记账分录!$E$6:$E$5505,"&gt;="&amp;$A$4,记账分录!$E$6:$E$5505,"&lt;="&amp;$B$4))</f>
        <v>0</v>
      </c>
      <c r="K92" s="42" t="n">
        <f aca="false">IF($C92="","",IF($E92="借",$I92-$J92,$J92-$I92))</f>
        <v>0</v>
      </c>
      <c r="L92" s="42" t="n">
        <f aca="false">IF($C92="","",ROUND($H92+$K92,2))</f>
        <v>0</v>
      </c>
      <c r="M92" s="40" t="n">
        <f aca="false">IF($C92="","",SUMIFS(记账分录!$I$6:$I$5505,记账分录!$F$6:$F$5505,$A92,记账分录!$H$6:$H$5505,$C92,记账分录!$E$6:$E$5505,"&lt;="&amp;$B$4))</f>
        <v>0</v>
      </c>
      <c r="N92" s="40" t="n">
        <f aca="false">IF($C92="","",SUMIFS(记账分录!$J$6:$J$5505,记账分录!$F$6:$F$5505,$A92,记账分录!$H$6:$H$5505,$C92,记账分录!$E$6:$E$5505,"&lt;="&amp;$B$4))</f>
        <v>0</v>
      </c>
      <c r="O92" s="42" t="n">
        <f aca="false">IF($C92="","",IF($E92="借",$M92-$N92,$N92-$M92))</f>
        <v>0</v>
      </c>
      <c r="P92" s="64" t="str">
        <f aca="false">IF($C92="","",IF(OR(ROUND($G92,2)&lt;&gt;0,ROUND($M92,2)&lt;&gt;0,ROUND($N92,2)&lt;&gt;0),"有",""))</f>
        <v/>
      </c>
    </row>
    <row r="93" customFormat="false" ht="15" hidden="false" customHeight="false" outlineLevel="0" collapsed="false">
      <c r="A93" s="25" t="str">
        <f aca="false">IF(会计科目表!$B12="","",参数设置!$A$11)</f>
        <v>木业</v>
      </c>
      <c r="B93" s="25" t="str">
        <f aca="false">IF(会计科目表!$B12="","",会计科目表!$A12)</f>
        <v>1403</v>
      </c>
      <c r="C93" s="10" t="str">
        <f aca="false">IF(会计科目表!$B12="","",会计科目表!$B12)</f>
        <v>原材料</v>
      </c>
      <c r="D93" s="25" t="str">
        <f aca="false">IF($C93="","",会计科目表!$C12)</f>
        <v>资产</v>
      </c>
      <c r="E93" s="25" t="str">
        <f aca="false">IF($C93="","",会计科目表!$D12)</f>
        <v>借</v>
      </c>
      <c r="F93" s="10" t="str">
        <f aca="false">IF($C93="","",会计科目表!$F12)</f>
        <v>存货</v>
      </c>
      <c r="G93" s="40" t="n">
        <f aca="false">IF($C93="","",IF($E93="借",SUMIFS(期初余额!$C$6:$C$185,期初余额!$A$6:$A$185,$A93,期初余额!$B$6:$B$185,$C93)-SUMIFS(期初余额!$D$6:$D$185,期初余额!$A$6:$A$185,$A93,期初余额!$B$6:$B$185,$C93),SUMIFS(期初余额!$D$6:$D$185,期初余额!$A$6:$A$185,$A93,期初余额!$B$6:$B$185,$C93)-SUMIFS(期初余额!$C$6:$C$185,期初余额!$A$6:$A$185,$A93,期初余额!$B$6:$B$185,$C93)))</f>
        <v>81850</v>
      </c>
      <c r="H93" s="40" t="n">
        <f aca="false">IF($C93="","",$G93+IF($E93="借",SUMIFS(记账分录!$I$6:$I$5505,记账分录!$F$6:$F$5505,$A93,记账分录!$H$6:$H$5505,$C93,记账分录!$E$6:$E$5505,"&lt;"&amp;$A$4)-SUMIFS(记账分录!$J$6:$J$5505,记账分录!$F$6:$F$5505,$A93,记账分录!$H$6:$H$5505,$C93,记账分录!$E$6:$E$5505,"&lt;"&amp;$A$4),SUMIFS(记账分录!$J$6:$J$5505,记账分录!$F$6:$F$5505,$A93,记账分录!$H$6:$H$5505,$C93,记账分录!$E$6:$E$5505,"&lt;"&amp;$A$4)-SUMIFS(记账分录!$I$6:$I$5505,记账分录!$F$6:$F$5505,$A93,记账分录!$H$6:$H$5505,$C93,记账分录!$E$6:$E$5505,"&lt;"&amp;$A$4)))</f>
        <v>81850</v>
      </c>
      <c r="I93" s="40" t="n">
        <f aca="false">IF($C93="","",SUMIFS(记账分录!$I$6:$I$5505,记账分录!$F$6:$F$5505,$A93,记账分录!$H$6:$H$5505,$C93,记账分录!$E$6:$E$5505,"&gt;="&amp;$A$4,记账分录!$E$6:$E$5505,"&lt;="&amp;$B$4))</f>
        <v>304800</v>
      </c>
      <c r="J93" s="40" t="n">
        <f aca="false">IF($C93="","",SUMIFS(记账分录!$J$6:$J$5505,记账分录!$F$6:$F$5505,$A93,记账分录!$H$6:$H$5505,$C93,记账分录!$E$6:$E$5505,"&gt;="&amp;$A$4,记账分录!$E$6:$E$5505,"&lt;="&amp;$B$4))</f>
        <v>242498.64</v>
      </c>
      <c r="K93" s="42" t="n">
        <f aca="false">IF($C93="","",IF($E93="借",$I93-$J93,$J93-$I93))</f>
        <v>62301.36</v>
      </c>
      <c r="L93" s="42" t="n">
        <f aca="false">IF($C93="","",ROUND($H93+$K93,2))</f>
        <v>144151.36</v>
      </c>
      <c r="M93" s="40" t="n">
        <f aca="false">IF($C93="","",SUMIFS(记账分录!$I$6:$I$5505,记账分录!$F$6:$F$5505,$A93,记账分录!$H$6:$H$5505,$C93,记账分录!$E$6:$E$5505,"&lt;="&amp;$B$4))</f>
        <v>304800</v>
      </c>
      <c r="N93" s="40" t="n">
        <f aca="false">IF($C93="","",SUMIFS(记账分录!$J$6:$J$5505,记账分录!$F$6:$F$5505,$A93,记账分录!$H$6:$H$5505,$C93,记账分录!$E$6:$E$5505,"&lt;="&amp;$B$4))</f>
        <v>242498.64</v>
      </c>
      <c r="O93" s="42" t="n">
        <f aca="false">IF($C93="","",IF($E93="借",$M93-$N93,$N93-$M93))</f>
        <v>62301.36</v>
      </c>
      <c r="P93" s="64" t="str">
        <f aca="false">IF($C93="","",IF(OR(ROUND($G93,2)&lt;&gt;0,ROUND($M93,2)&lt;&gt;0,ROUND($N93,2)&lt;&gt;0),"有",""))</f>
        <v>有</v>
      </c>
    </row>
    <row r="94" customFormat="false" ht="15" hidden="false" customHeight="false" outlineLevel="0" collapsed="false">
      <c r="A94" s="25" t="str">
        <f aca="false">IF(会计科目表!$B13="","",参数设置!$A$11)</f>
        <v>木业</v>
      </c>
      <c r="B94" s="25" t="str">
        <f aca="false">IF(会计科目表!$B13="","",会计科目表!$A13)</f>
        <v>1405</v>
      </c>
      <c r="C94" s="10" t="str">
        <f aca="false">IF(会计科目表!$B13="","",会计科目表!$B13)</f>
        <v>库存商品</v>
      </c>
      <c r="D94" s="25" t="str">
        <f aca="false">IF($C94="","",会计科目表!$C13)</f>
        <v>资产</v>
      </c>
      <c r="E94" s="25" t="str">
        <f aca="false">IF($C94="","",会计科目表!$D13)</f>
        <v>借</v>
      </c>
      <c r="F94" s="10" t="str">
        <f aca="false">IF($C94="","",会计科目表!$F13)</f>
        <v>存货</v>
      </c>
      <c r="G94" s="40" t="n">
        <f aca="false">IF($C94="","",IF($E94="借",SUMIFS(期初余额!$C$6:$C$185,期初余额!$A$6:$A$185,$A94,期初余额!$B$6:$B$185,$C94)-SUMIFS(期初余额!$D$6:$D$185,期初余额!$A$6:$A$185,$A94,期初余额!$B$6:$B$185,$C94),SUMIFS(期初余额!$D$6:$D$185,期初余额!$A$6:$A$185,$A94,期初余额!$B$6:$B$185,$C94)-SUMIFS(期初余额!$C$6:$C$185,期初余额!$A$6:$A$185,$A94,期初余额!$B$6:$B$185,$C94)))</f>
        <v>104400</v>
      </c>
      <c r="H94" s="40" t="n">
        <f aca="false">IF($C94="","",$G94+IF($E94="借",SUMIFS(记账分录!$I$6:$I$5505,记账分录!$F$6:$F$5505,$A94,记账分录!$H$6:$H$5505,$C94,记账分录!$E$6:$E$5505,"&lt;"&amp;$A$4)-SUMIFS(记账分录!$J$6:$J$5505,记账分录!$F$6:$F$5505,$A94,记账分录!$H$6:$H$5505,$C94,记账分录!$E$6:$E$5505,"&lt;"&amp;$A$4),SUMIFS(记账分录!$J$6:$J$5505,记账分录!$F$6:$F$5505,$A94,记账分录!$H$6:$H$5505,$C94,记账分录!$E$6:$E$5505,"&lt;"&amp;$A$4)-SUMIFS(记账分录!$I$6:$I$5505,记账分录!$F$6:$F$5505,$A94,记账分录!$H$6:$H$5505,$C94,记账分录!$E$6:$E$5505,"&lt;"&amp;$A$4)))</f>
        <v>104400</v>
      </c>
      <c r="I94" s="40" t="n">
        <f aca="false">IF($C94="","",SUMIFS(记账分录!$I$6:$I$5505,记账分录!$F$6:$F$5505,$A94,记账分录!$H$6:$H$5505,$C94,记账分录!$E$6:$E$5505,"&gt;="&amp;$A$4,记账分录!$E$6:$E$5505,"&lt;="&amp;$B$4))</f>
        <v>329498.64</v>
      </c>
      <c r="J94" s="40" t="n">
        <f aca="false">IF($C94="","",SUMIFS(记账分录!$J$6:$J$5505,记账分录!$F$6:$F$5505,$A94,记账分录!$H$6:$H$5505,$C94,记账分录!$E$6:$E$5505,"&gt;="&amp;$A$4,记账分录!$E$6:$E$5505,"&lt;="&amp;$B$4))</f>
        <v>366029.05</v>
      </c>
      <c r="K94" s="42" t="n">
        <f aca="false">IF($C94="","",IF($E94="借",$I94-$J94,$J94-$I94))</f>
        <v>-36530.41</v>
      </c>
      <c r="L94" s="42" t="n">
        <f aca="false">IF($C94="","",ROUND($H94+$K94,2))</f>
        <v>67869.59</v>
      </c>
      <c r="M94" s="40" t="n">
        <f aca="false">IF($C94="","",SUMIFS(记账分录!$I$6:$I$5505,记账分录!$F$6:$F$5505,$A94,记账分录!$H$6:$H$5505,$C94,记账分录!$E$6:$E$5505,"&lt;="&amp;$B$4))</f>
        <v>329498.64</v>
      </c>
      <c r="N94" s="40" t="n">
        <f aca="false">IF($C94="","",SUMIFS(记账分录!$J$6:$J$5505,记账分录!$F$6:$F$5505,$A94,记账分录!$H$6:$H$5505,$C94,记账分录!$E$6:$E$5505,"&lt;="&amp;$B$4))</f>
        <v>366029.05</v>
      </c>
      <c r="O94" s="42" t="n">
        <f aca="false">IF($C94="","",IF($E94="借",$M94-$N94,$N94-$M94))</f>
        <v>-36530.41</v>
      </c>
      <c r="P94" s="64" t="str">
        <f aca="false">IF($C94="","",IF(OR(ROUND($G94,2)&lt;&gt;0,ROUND($M94,2)&lt;&gt;0,ROUND($N94,2)&lt;&gt;0),"有",""))</f>
        <v>有</v>
      </c>
    </row>
    <row r="95" customFormat="false" ht="15" hidden="false" customHeight="false" outlineLevel="0" collapsed="false">
      <c r="A95" s="25" t="str">
        <f aca="false">IF(会计科目表!$B14="","",参数设置!$A$11)</f>
        <v>木业</v>
      </c>
      <c r="B95" s="25" t="str">
        <f aca="false">IF(会计科目表!$B14="","",会计科目表!$A14)</f>
        <v>1411</v>
      </c>
      <c r="C95" s="10" t="str">
        <f aca="false">IF(会计科目表!$B14="","",会计科目表!$B14)</f>
        <v>周转材料</v>
      </c>
      <c r="D95" s="25" t="str">
        <f aca="false">IF($C95="","",会计科目表!$C14)</f>
        <v>资产</v>
      </c>
      <c r="E95" s="25" t="str">
        <f aca="false">IF($C95="","",会计科目表!$D14)</f>
        <v>借</v>
      </c>
      <c r="F95" s="10" t="str">
        <f aca="false">IF($C95="","",会计科目表!$F14)</f>
        <v>存货</v>
      </c>
      <c r="G95" s="40" t="n">
        <f aca="false">IF($C95="","",IF($E95="借",SUMIFS(期初余额!$C$6:$C$185,期初余额!$A$6:$A$185,$A95,期初余额!$B$6:$B$185,$C95)-SUMIFS(期初余额!$D$6:$D$185,期初余额!$A$6:$A$185,$A95,期初余额!$B$6:$B$185,$C95),SUMIFS(期初余额!$D$6:$D$185,期初余额!$A$6:$A$185,$A95,期初余额!$B$6:$B$185,$C95)-SUMIFS(期初余额!$C$6:$C$185,期初余额!$A$6:$A$185,$A95,期初余额!$B$6:$B$185,$C95)))</f>
        <v>0</v>
      </c>
      <c r="H95" s="40" t="n">
        <f aca="false">IF($C95="","",$G95+IF($E95="借",SUMIFS(记账分录!$I$6:$I$5505,记账分录!$F$6:$F$5505,$A95,记账分录!$H$6:$H$5505,$C95,记账分录!$E$6:$E$5505,"&lt;"&amp;$A$4)-SUMIFS(记账分录!$J$6:$J$5505,记账分录!$F$6:$F$5505,$A95,记账分录!$H$6:$H$5505,$C95,记账分录!$E$6:$E$5505,"&lt;"&amp;$A$4),SUMIFS(记账分录!$J$6:$J$5505,记账分录!$F$6:$F$5505,$A95,记账分录!$H$6:$H$5505,$C95,记账分录!$E$6:$E$5505,"&lt;"&amp;$A$4)-SUMIFS(记账分录!$I$6:$I$5505,记账分录!$F$6:$F$5505,$A95,记账分录!$H$6:$H$5505,$C95,记账分录!$E$6:$E$5505,"&lt;"&amp;$A$4)))</f>
        <v>0</v>
      </c>
      <c r="I95" s="40" t="n">
        <f aca="false">IF($C95="","",SUMIFS(记账分录!$I$6:$I$5505,记账分录!$F$6:$F$5505,$A95,记账分录!$H$6:$H$5505,$C95,记账分录!$E$6:$E$5505,"&gt;="&amp;$A$4,记账分录!$E$6:$E$5505,"&lt;="&amp;$B$4))</f>
        <v>0</v>
      </c>
      <c r="J95" s="40" t="n">
        <f aca="false">IF($C95="","",SUMIFS(记账分录!$J$6:$J$5505,记账分录!$F$6:$F$5505,$A95,记账分录!$H$6:$H$5505,$C95,记账分录!$E$6:$E$5505,"&gt;="&amp;$A$4,记账分录!$E$6:$E$5505,"&lt;="&amp;$B$4))</f>
        <v>0</v>
      </c>
      <c r="K95" s="42" t="n">
        <f aca="false">IF($C95="","",IF($E95="借",$I95-$J95,$J95-$I95))</f>
        <v>0</v>
      </c>
      <c r="L95" s="42" t="n">
        <f aca="false">IF($C95="","",ROUND($H95+$K95,2))</f>
        <v>0</v>
      </c>
      <c r="M95" s="40" t="n">
        <f aca="false">IF($C95="","",SUMIFS(记账分录!$I$6:$I$5505,记账分录!$F$6:$F$5505,$A95,记账分录!$H$6:$H$5505,$C95,记账分录!$E$6:$E$5505,"&lt;="&amp;$B$4))</f>
        <v>0</v>
      </c>
      <c r="N95" s="40" t="n">
        <f aca="false">IF($C95="","",SUMIFS(记账分录!$J$6:$J$5505,记账分录!$F$6:$F$5505,$A95,记账分录!$H$6:$H$5505,$C95,记账分录!$E$6:$E$5505,"&lt;="&amp;$B$4))</f>
        <v>0</v>
      </c>
      <c r="O95" s="42" t="n">
        <f aca="false">IF($C95="","",IF($E95="借",$M95-$N95,$N95-$M95))</f>
        <v>0</v>
      </c>
      <c r="P95" s="64" t="str">
        <f aca="false">IF($C95="","",IF(OR(ROUND($G95,2)&lt;&gt;0,ROUND($M95,2)&lt;&gt;0,ROUND($N95,2)&lt;&gt;0),"有",""))</f>
        <v/>
      </c>
    </row>
    <row r="96" customFormat="false" ht="15" hidden="false" customHeight="false" outlineLevel="0" collapsed="false">
      <c r="A96" s="25" t="str">
        <f aca="false">IF(会计科目表!$B15="","",参数设置!$A$11)</f>
        <v>木业</v>
      </c>
      <c r="B96" s="25" t="str">
        <f aca="false">IF(会计科目表!$B15="","",会计科目表!$A15)</f>
        <v>1501</v>
      </c>
      <c r="C96" s="10" t="str">
        <f aca="false">IF(会计科目表!$B15="","",会计科目表!$B15)</f>
        <v>生产成本</v>
      </c>
      <c r="D96" s="25" t="str">
        <f aca="false">IF($C96="","",会计科目表!$C15)</f>
        <v>成本</v>
      </c>
      <c r="E96" s="25" t="str">
        <f aca="false">IF($C96="","",会计科目表!$D15)</f>
        <v>借</v>
      </c>
      <c r="F96" s="10" t="str">
        <f aca="false">IF($C96="","",会计科目表!$F15)</f>
        <v>存货</v>
      </c>
      <c r="G96" s="40" t="n">
        <f aca="false">IF($C96="","",IF($E96="借",SUMIFS(期初余额!$C$6:$C$185,期初余额!$A$6:$A$185,$A96,期初余额!$B$6:$B$185,$C96)-SUMIFS(期初余额!$D$6:$D$185,期初余额!$A$6:$A$185,$A96,期初余额!$B$6:$B$185,$C96),SUMIFS(期初余额!$D$6:$D$185,期初余额!$A$6:$A$185,$A96,期初余额!$B$6:$B$185,$C96)-SUMIFS(期初余额!$C$6:$C$185,期初余额!$A$6:$A$185,$A96,期初余额!$B$6:$B$185,$C96)))</f>
        <v>0</v>
      </c>
      <c r="H96" s="40" t="n">
        <f aca="false">IF($C96="","",$G96+IF($E96="借",SUMIFS(记账分录!$I$6:$I$5505,记账分录!$F$6:$F$5505,$A96,记账分录!$H$6:$H$5505,$C96,记账分录!$E$6:$E$5505,"&lt;"&amp;$A$4)-SUMIFS(记账分录!$J$6:$J$5505,记账分录!$F$6:$F$5505,$A96,记账分录!$H$6:$H$5505,$C96,记账分录!$E$6:$E$5505,"&lt;"&amp;$A$4),SUMIFS(记账分录!$J$6:$J$5505,记账分录!$F$6:$F$5505,$A96,记账分录!$H$6:$H$5505,$C96,记账分录!$E$6:$E$5505,"&lt;"&amp;$A$4)-SUMIFS(记账分录!$I$6:$I$5505,记账分录!$F$6:$F$5505,$A96,记账分录!$H$6:$H$5505,$C96,记账分录!$E$6:$E$5505,"&lt;"&amp;$A$4)))</f>
        <v>0</v>
      </c>
      <c r="I96" s="40" t="n">
        <f aca="false">IF($C96="","",SUMIFS(记账分录!$I$6:$I$5505,记账分录!$F$6:$F$5505,$A96,记账分录!$H$6:$H$5505,$C96,记账分录!$E$6:$E$5505,"&gt;="&amp;$A$4,记账分录!$E$6:$E$5505,"&lt;="&amp;$B$4))</f>
        <v>329498.64</v>
      </c>
      <c r="J96" s="40" t="n">
        <f aca="false">IF($C96="","",SUMIFS(记账分录!$J$6:$J$5505,记账分录!$F$6:$F$5505,$A96,记账分录!$H$6:$H$5505,$C96,记账分录!$E$6:$E$5505,"&gt;="&amp;$A$4,记账分录!$E$6:$E$5505,"&lt;="&amp;$B$4))</f>
        <v>329498.64</v>
      </c>
      <c r="K96" s="42" t="n">
        <f aca="false">IF($C96="","",IF($E96="借",$I96-$J96,$J96-$I96))</f>
        <v>0</v>
      </c>
      <c r="L96" s="42" t="n">
        <f aca="false">IF($C96="","",ROUND($H96+$K96,2))</f>
        <v>0</v>
      </c>
      <c r="M96" s="40" t="n">
        <f aca="false">IF($C96="","",SUMIFS(记账分录!$I$6:$I$5505,记账分录!$F$6:$F$5505,$A96,记账分录!$H$6:$H$5505,$C96,记账分录!$E$6:$E$5505,"&lt;="&amp;$B$4))</f>
        <v>329498.64</v>
      </c>
      <c r="N96" s="40" t="n">
        <f aca="false">IF($C96="","",SUMIFS(记账分录!$J$6:$J$5505,记账分录!$F$6:$F$5505,$A96,记账分录!$H$6:$H$5505,$C96,记账分录!$E$6:$E$5505,"&lt;="&amp;$B$4))</f>
        <v>329498.64</v>
      </c>
      <c r="O96" s="42" t="n">
        <f aca="false">IF($C96="","",IF($E96="借",$M96-$N96,$N96-$M96))</f>
        <v>0</v>
      </c>
      <c r="P96" s="64" t="str">
        <f aca="false">IF($C96="","",IF(OR(ROUND($G96,2)&lt;&gt;0,ROUND($M96,2)&lt;&gt;0,ROUND($N96,2)&lt;&gt;0),"有",""))</f>
        <v>有</v>
      </c>
    </row>
    <row r="97" customFormat="false" ht="15" hidden="false" customHeight="false" outlineLevel="0" collapsed="false">
      <c r="A97" s="25" t="str">
        <f aca="false">IF(会计科目表!$B16="","",参数设置!$A$11)</f>
        <v>木业</v>
      </c>
      <c r="B97" s="25" t="str">
        <f aca="false">IF(会计科目表!$B16="","",会计科目表!$A16)</f>
        <v>1601</v>
      </c>
      <c r="C97" s="10" t="str">
        <f aca="false">IF(会计科目表!$B16="","",会计科目表!$B16)</f>
        <v>固定资产</v>
      </c>
      <c r="D97" s="25" t="str">
        <f aca="false">IF($C97="","",会计科目表!$C16)</f>
        <v>资产</v>
      </c>
      <c r="E97" s="25" t="str">
        <f aca="false">IF($C97="","",会计科目表!$D16)</f>
        <v>借</v>
      </c>
      <c r="F97" s="10" t="str">
        <f aca="false">IF($C97="","",会计科目表!$F16)</f>
        <v>固定资产原价</v>
      </c>
      <c r="G97" s="40" t="n">
        <f aca="false">IF($C97="","",IF($E97="借",SUMIFS(期初余额!$C$6:$C$185,期初余额!$A$6:$A$185,$A97,期初余额!$B$6:$B$185,$C97)-SUMIFS(期初余额!$D$6:$D$185,期初余额!$A$6:$A$185,$A97,期初余额!$B$6:$B$185,$C97),SUMIFS(期初余额!$D$6:$D$185,期初余额!$A$6:$A$185,$A97,期初余额!$B$6:$B$185,$C97)-SUMIFS(期初余额!$C$6:$C$185,期初余额!$A$6:$A$185,$A97,期初余额!$B$6:$B$185,$C97)))</f>
        <v>980000</v>
      </c>
      <c r="H97" s="40" t="n">
        <f aca="false">IF($C97="","",$G97+IF($E97="借",SUMIFS(记账分录!$I$6:$I$5505,记账分录!$F$6:$F$5505,$A97,记账分录!$H$6:$H$5505,$C97,记账分录!$E$6:$E$5505,"&lt;"&amp;$A$4)-SUMIFS(记账分录!$J$6:$J$5505,记账分录!$F$6:$F$5505,$A97,记账分录!$H$6:$H$5505,$C97,记账分录!$E$6:$E$5505,"&lt;"&amp;$A$4),SUMIFS(记账分录!$J$6:$J$5505,记账分录!$F$6:$F$5505,$A97,记账分录!$H$6:$H$5505,$C97,记账分录!$E$6:$E$5505,"&lt;"&amp;$A$4)-SUMIFS(记账分录!$I$6:$I$5505,记账分录!$F$6:$F$5505,$A97,记账分录!$H$6:$H$5505,$C97,记账分录!$E$6:$E$5505,"&lt;"&amp;$A$4)))</f>
        <v>980000</v>
      </c>
      <c r="I97" s="40" t="n">
        <f aca="false">IF($C97="","",SUMIFS(记账分录!$I$6:$I$5505,记账分录!$F$6:$F$5505,$A97,记账分录!$H$6:$H$5505,$C97,记账分录!$E$6:$E$5505,"&gt;="&amp;$A$4,记账分录!$E$6:$E$5505,"&lt;="&amp;$B$4))</f>
        <v>0</v>
      </c>
      <c r="J97" s="40" t="n">
        <f aca="false">IF($C97="","",SUMIFS(记账分录!$J$6:$J$5505,记账分录!$F$6:$F$5505,$A97,记账分录!$H$6:$H$5505,$C97,记账分录!$E$6:$E$5505,"&gt;="&amp;$A$4,记账分录!$E$6:$E$5505,"&lt;="&amp;$B$4))</f>
        <v>0</v>
      </c>
      <c r="K97" s="42" t="n">
        <f aca="false">IF($C97="","",IF($E97="借",$I97-$J97,$J97-$I97))</f>
        <v>0</v>
      </c>
      <c r="L97" s="42" t="n">
        <f aca="false">IF($C97="","",ROUND($H97+$K97,2))</f>
        <v>980000</v>
      </c>
      <c r="M97" s="40" t="n">
        <f aca="false">IF($C97="","",SUMIFS(记账分录!$I$6:$I$5505,记账分录!$F$6:$F$5505,$A97,记账分录!$H$6:$H$5505,$C97,记账分录!$E$6:$E$5505,"&lt;="&amp;$B$4))</f>
        <v>0</v>
      </c>
      <c r="N97" s="40" t="n">
        <f aca="false">IF($C97="","",SUMIFS(记账分录!$J$6:$J$5505,记账分录!$F$6:$F$5505,$A97,记账分录!$H$6:$H$5505,$C97,记账分录!$E$6:$E$5505,"&lt;="&amp;$B$4))</f>
        <v>0</v>
      </c>
      <c r="O97" s="42" t="n">
        <f aca="false">IF($C97="","",IF($E97="借",$M97-$N97,$N97-$M97))</f>
        <v>0</v>
      </c>
      <c r="P97" s="64" t="str">
        <f aca="false">IF($C97="","",IF(OR(ROUND($G97,2)&lt;&gt;0,ROUND($M97,2)&lt;&gt;0,ROUND($N97,2)&lt;&gt;0),"有",""))</f>
        <v>有</v>
      </c>
    </row>
    <row r="98" customFormat="false" ht="15" hidden="false" customHeight="false" outlineLevel="0" collapsed="false">
      <c r="A98" s="25" t="str">
        <f aca="false">IF(会计科目表!$B17="","",参数设置!$A$11)</f>
        <v>木业</v>
      </c>
      <c r="B98" s="25" t="str">
        <f aca="false">IF(会计科目表!$B17="","",会计科目表!$A17)</f>
        <v>1602</v>
      </c>
      <c r="C98" s="10" t="str">
        <f aca="false">IF(会计科目表!$B17="","",会计科目表!$B17)</f>
        <v>累计折旧</v>
      </c>
      <c r="D98" s="25" t="str">
        <f aca="false">IF($C98="","",会计科目表!$C17)</f>
        <v>资产</v>
      </c>
      <c r="E98" s="25" t="str">
        <f aca="false">IF($C98="","",会计科目表!$D17)</f>
        <v>贷</v>
      </c>
      <c r="F98" s="10" t="str">
        <f aca="false">IF($C98="","",会计科目表!$F17)</f>
        <v>累计折旧</v>
      </c>
      <c r="G98" s="40" t="n">
        <f aca="false">IF($C98="","",IF($E98="借",SUMIFS(期初余额!$C$6:$C$185,期初余额!$A$6:$A$185,$A98,期初余额!$B$6:$B$185,$C98)-SUMIFS(期初余额!$D$6:$D$185,期初余额!$A$6:$A$185,$A98,期初余额!$B$6:$B$185,$C98),SUMIFS(期初余额!$D$6:$D$185,期初余额!$A$6:$A$185,$A98,期初余额!$B$6:$B$185,$C98)-SUMIFS(期初余额!$C$6:$C$185,期初余额!$A$6:$A$185,$A98,期初余额!$B$6:$B$185,$C98)))</f>
        <v>196000</v>
      </c>
      <c r="H98" s="40" t="n">
        <f aca="false">IF($C98="","",$G98+IF($E98="借",SUMIFS(记账分录!$I$6:$I$5505,记账分录!$F$6:$F$5505,$A98,记账分录!$H$6:$H$5505,$C98,记账分录!$E$6:$E$5505,"&lt;"&amp;$A$4)-SUMIFS(记账分录!$J$6:$J$5505,记账分录!$F$6:$F$5505,$A98,记账分录!$H$6:$H$5505,$C98,记账分录!$E$6:$E$5505,"&lt;"&amp;$A$4),SUMIFS(记账分录!$J$6:$J$5505,记账分录!$F$6:$F$5505,$A98,记账分录!$H$6:$H$5505,$C98,记账分录!$E$6:$E$5505,"&lt;"&amp;$A$4)-SUMIFS(记账分录!$I$6:$I$5505,记账分录!$F$6:$F$5505,$A98,记账分录!$H$6:$H$5505,$C98,记账分录!$E$6:$E$5505,"&lt;"&amp;$A$4)))</f>
        <v>196000</v>
      </c>
      <c r="I98" s="40" t="n">
        <f aca="false">IF($C98="","",SUMIFS(记账分录!$I$6:$I$5505,记账分录!$F$6:$F$5505,$A98,记账分录!$H$6:$H$5505,$C98,记账分录!$E$6:$E$5505,"&gt;="&amp;$A$4,记账分录!$E$6:$E$5505,"&lt;="&amp;$B$4))</f>
        <v>0</v>
      </c>
      <c r="J98" s="40" t="n">
        <f aca="false">IF($C98="","",SUMIFS(记账分录!$J$6:$J$5505,记账分录!$F$6:$F$5505,$A98,记账分录!$H$6:$H$5505,$C98,记账分录!$E$6:$E$5505,"&gt;="&amp;$A$4,记账分录!$E$6:$E$5505,"&lt;="&amp;$B$4))</f>
        <v>98000</v>
      </c>
      <c r="K98" s="42" t="n">
        <f aca="false">IF($C98="","",IF($E98="借",$I98-$J98,$J98-$I98))</f>
        <v>98000</v>
      </c>
      <c r="L98" s="42" t="n">
        <f aca="false">IF($C98="","",ROUND($H98+$K98,2))</f>
        <v>294000</v>
      </c>
      <c r="M98" s="40" t="n">
        <f aca="false">IF($C98="","",SUMIFS(记账分录!$I$6:$I$5505,记账分录!$F$6:$F$5505,$A98,记账分录!$H$6:$H$5505,$C98,记账分录!$E$6:$E$5505,"&lt;="&amp;$B$4))</f>
        <v>0</v>
      </c>
      <c r="N98" s="40" t="n">
        <f aca="false">IF($C98="","",SUMIFS(记账分录!$J$6:$J$5505,记账分录!$F$6:$F$5505,$A98,记账分录!$H$6:$H$5505,$C98,记账分录!$E$6:$E$5505,"&lt;="&amp;$B$4))</f>
        <v>98000</v>
      </c>
      <c r="O98" s="42" t="n">
        <f aca="false">IF($C98="","",IF($E98="借",$M98-$N98,$N98-$M98))</f>
        <v>98000</v>
      </c>
      <c r="P98" s="64" t="str">
        <f aca="false">IF($C98="","",IF(OR(ROUND($G98,2)&lt;&gt;0,ROUND($M98,2)&lt;&gt;0,ROUND($N98,2)&lt;&gt;0),"有",""))</f>
        <v>有</v>
      </c>
    </row>
    <row r="99" customFormat="false" ht="15" hidden="false" customHeight="false" outlineLevel="0" collapsed="false">
      <c r="A99" s="25" t="str">
        <f aca="false">IF(会计科目表!$B18="","",参数设置!$A$11)</f>
        <v>木业</v>
      </c>
      <c r="B99" s="25" t="str">
        <f aca="false">IF(会计科目表!$B18="","",会计科目表!$A18)</f>
        <v>1621</v>
      </c>
      <c r="C99" s="10" t="str">
        <f aca="false">IF(会计科目表!$B18="","",会计科目表!$B18)</f>
        <v>生产性生物资产</v>
      </c>
      <c r="D99" s="25" t="str">
        <f aca="false">IF($C99="","",会计科目表!$C18)</f>
        <v>资产</v>
      </c>
      <c r="E99" s="25" t="str">
        <f aca="false">IF($C99="","",会计科目表!$D18)</f>
        <v>借</v>
      </c>
      <c r="F99" s="10" t="str">
        <f aca="false">IF($C99="","",会计科目表!$F18)</f>
        <v>生产性生物资产原价</v>
      </c>
      <c r="G99" s="40" t="n">
        <f aca="false">IF($C99="","",IF($E99="借",SUMIFS(期初余额!$C$6:$C$185,期初余额!$A$6:$A$185,$A99,期初余额!$B$6:$B$185,$C99)-SUMIFS(期初余额!$D$6:$D$185,期初余额!$A$6:$A$185,$A99,期初余额!$B$6:$B$185,$C99),SUMIFS(期初余额!$D$6:$D$185,期初余额!$A$6:$A$185,$A99,期初余额!$B$6:$B$185,$C99)-SUMIFS(期初余额!$C$6:$C$185,期初余额!$A$6:$A$185,$A99,期初余额!$B$6:$B$185,$C99)))</f>
        <v>0</v>
      </c>
      <c r="H99" s="40" t="n">
        <f aca="false">IF($C99="","",$G99+IF($E99="借",SUMIFS(记账分录!$I$6:$I$5505,记账分录!$F$6:$F$5505,$A99,记账分录!$H$6:$H$5505,$C99,记账分录!$E$6:$E$5505,"&lt;"&amp;$A$4)-SUMIFS(记账分录!$J$6:$J$5505,记账分录!$F$6:$F$5505,$A99,记账分录!$H$6:$H$5505,$C99,记账分录!$E$6:$E$5505,"&lt;"&amp;$A$4),SUMIFS(记账分录!$J$6:$J$5505,记账分录!$F$6:$F$5505,$A99,记账分录!$H$6:$H$5505,$C99,记账分录!$E$6:$E$5505,"&lt;"&amp;$A$4)-SUMIFS(记账分录!$I$6:$I$5505,记账分录!$F$6:$F$5505,$A99,记账分录!$H$6:$H$5505,$C99,记账分录!$E$6:$E$5505,"&lt;"&amp;$A$4)))</f>
        <v>0</v>
      </c>
      <c r="I99" s="40" t="n">
        <f aca="false">IF($C99="","",SUMIFS(记账分录!$I$6:$I$5505,记账分录!$F$6:$F$5505,$A99,记账分录!$H$6:$H$5505,$C99,记账分录!$E$6:$E$5505,"&gt;="&amp;$A$4,记账分录!$E$6:$E$5505,"&lt;="&amp;$B$4))</f>
        <v>0</v>
      </c>
      <c r="J99" s="40" t="n">
        <f aca="false">IF($C99="","",SUMIFS(记账分录!$J$6:$J$5505,记账分录!$F$6:$F$5505,$A99,记账分录!$H$6:$H$5505,$C99,记账分录!$E$6:$E$5505,"&gt;="&amp;$A$4,记账分录!$E$6:$E$5505,"&lt;="&amp;$B$4))</f>
        <v>0</v>
      </c>
      <c r="K99" s="42" t="n">
        <f aca="false">IF($C99="","",IF($E99="借",$I99-$J99,$J99-$I99))</f>
        <v>0</v>
      </c>
      <c r="L99" s="42" t="n">
        <f aca="false">IF($C99="","",ROUND($H99+$K99,2))</f>
        <v>0</v>
      </c>
      <c r="M99" s="40" t="n">
        <f aca="false">IF($C99="","",SUMIFS(记账分录!$I$6:$I$5505,记账分录!$F$6:$F$5505,$A99,记账分录!$H$6:$H$5505,$C99,记账分录!$E$6:$E$5505,"&lt;="&amp;$B$4))</f>
        <v>0</v>
      </c>
      <c r="N99" s="40" t="n">
        <f aca="false">IF($C99="","",SUMIFS(记账分录!$J$6:$J$5505,记账分录!$F$6:$F$5505,$A99,记账分录!$H$6:$H$5505,$C99,记账分录!$E$6:$E$5505,"&lt;="&amp;$B$4))</f>
        <v>0</v>
      </c>
      <c r="O99" s="42" t="n">
        <f aca="false">IF($C99="","",IF($E99="借",$M99-$N99,$N99-$M99))</f>
        <v>0</v>
      </c>
      <c r="P99" s="64" t="str">
        <f aca="false">IF($C99="","",IF(OR(ROUND($G99,2)&lt;&gt;0,ROUND($M99,2)&lt;&gt;0,ROUND($N99,2)&lt;&gt;0),"有",""))</f>
        <v/>
      </c>
    </row>
    <row r="100" customFormat="false" ht="15" hidden="false" customHeight="false" outlineLevel="0" collapsed="false">
      <c r="A100" s="25" t="str">
        <f aca="false">IF(会计科目表!$B19="","",参数设置!$A$11)</f>
        <v>木业</v>
      </c>
      <c r="B100" s="25" t="str">
        <f aca="false">IF(会计科目表!$B19="","",会计科目表!$A19)</f>
        <v>1622</v>
      </c>
      <c r="C100" s="10" t="str">
        <f aca="false">IF(会计科目表!$B19="","",会计科目表!$B19)</f>
        <v>生物资产累计折旧</v>
      </c>
      <c r="D100" s="25" t="str">
        <f aca="false">IF($C100="","",会计科目表!$C19)</f>
        <v>资产</v>
      </c>
      <c r="E100" s="25" t="str">
        <f aca="false">IF($C100="","",会计科目表!$D19)</f>
        <v>贷</v>
      </c>
      <c r="F100" s="10" t="str">
        <f aca="false">IF($C100="","",会计科目表!$F19)</f>
        <v>生物资产累计折旧</v>
      </c>
      <c r="G100" s="40" t="n">
        <f aca="false">IF($C100="","",IF($E100="借",SUMIFS(期初余额!$C$6:$C$185,期初余额!$A$6:$A$185,$A100,期初余额!$B$6:$B$185,$C100)-SUMIFS(期初余额!$D$6:$D$185,期初余额!$A$6:$A$185,$A100,期初余额!$B$6:$B$185,$C100),SUMIFS(期初余额!$D$6:$D$185,期初余额!$A$6:$A$185,$A100,期初余额!$B$6:$B$185,$C100)-SUMIFS(期初余额!$C$6:$C$185,期初余额!$A$6:$A$185,$A100,期初余额!$B$6:$B$185,$C100)))</f>
        <v>0</v>
      </c>
      <c r="H100" s="40" t="n">
        <f aca="false">IF($C100="","",$G100+IF($E100="借",SUMIFS(记账分录!$I$6:$I$5505,记账分录!$F$6:$F$5505,$A100,记账分录!$H$6:$H$5505,$C100,记账分录!$E$6:$E$5505,"&lt;"&amp;$A$4)-SUMIFS(记账分录!$J$6:$J$5505,记账分录!$F$6:$F$5505,$A100,记账分录!$H$6:$H$5505,$C100,记账分录!$E$6:$E$5505,"&lt;"&amp;$A$4),SUMIFS(记账分录!$J$6:$J$5505,记账分录!$F$6:$F$5505,$A100,记账分录!$H$6:$H$5505,$C100,记账分录!$E$6:$E$5505,"&lt;"&amp;$A$4)-SUMIFS(记账分录!$I$6:$I$5505,记账分录!$F$6:$F$5505,$A100,记账分录!$H$6:$H$5505,$C100,记账分录!$E$6:$E$5505,"&lt;"&amp;$A$4)))</f>
        <v>0</v>
      </c>
      <c r="I100" s="40" t="n">
        <f aca="false">IF($C100="","",SUMIFS(记账分录!$I$6:$I$5505,记账分录!$F$6:$F$5505,$A100,记账分录!$H$6:$H$5505,$C100,记账分录!$E$6:$E$5505,"&gt;="&amp;$A$4,记账分录!$E$6:$E$5505,"&lt;="&amp;$B$4))</f>
        <v>0</v>
      </c>
      <c r="J100" s="40" t="n">
        <f aca="false">IF($C100="","",SUMIFS(记账分录!$J$6:$J$5505,记账分录!$F$6:$F$5505,$A100,记账分录!$H$6:$H$5505,$C100,记账分录!$E$6:$E$5505,"&gt;="&amp;$A$4,记账分录!$E$6:$E$5505,"&lt;="&amp;$B$4))</f>
        <v>0</v>
      </c>
      <c r="K100" s="42" t="n">
        <f aca="false">IF($C100="","",IF($E100="借",$I100-$J100,$J100-$I100))</f>
        <v>0</v>
      </c>
      <c r="L100" s="42" t="n">
        <f aca="false">IF($C100="","",ROUND($H100+$K100,2))</f>
        <v>0</v>
      </c>
      <c r="M100" s="40" t="n">
        <f aca="false">IF($C100="","",SUMIFS(记账分录!$I$6:$I$5505,记账分录!$F$6:$F$5505,$A100,记账分录!$H$6:$H$5505,$C100,记账分录!$E$6:$E$5505,"&lt;="&amp;$B$4))</f>
        <v>0</v>
      </c>
      <c r="N100" s="40" t="n">
        <f aca="false">IF($C100="","",SUMIFS(记账分录!$J$6:$J$5505,记账分录!$F$6:$F$5505,$A100,记账分录!$H$6:$H$5505,$C100,记账分录!$E$6:$E$5505,"&lt;="&amp;$B$4))</f>
        <v>0</v>
      </c>
      <c r="O100" s="42" t="n">
        <f aca="false">IF($C100="","",IF($E100="借",$M100-$N100,$N100-$M100))</f>
        <v>0</v>
      </c>
      <c r="P100" s="64" t="str">
        <f aca="false">IF($C100="","",IF(OR(ROUND($G100,2)&lt;&gt;0,ROUND($M100,2)&lt;&gt;0,ROUND($N100,2)&lt;&gt;0),"有",""))</f>
        <v/>
      </c>
    </row>
    <row r="101" customFormat="false" ht="15" hidden="false" customHeight="false" outlineLevel="0" collapsed="false">
      <c r="A101" s="25" t="str">
        <f aca="false">IF(会计科目表!$B20="","",参数设置!$A$11)</f>
        <v>木业</v>
      </c>
      <c r="B101" s="25" t="str">
        <f aca="false">IF(会计科目表!$B20="","",会计科目表!$A20)</f>
        <v>1701</v>
      </c>
      <c r="C101" s="10" t="str">
        <f aca="false">IF(会计科目表!$B20="","",会计科目表!$B20)</f>
        <v>无形资产</v>
      </c>
      <c r="D101" s="25" t="str">
        <f aca="false">IF($C101="","",会计科目表!$C20)</f>
        <v>资产</v>
      </c>
      <c r="E101" s="25" t="str">
        <f aca="false">IF($C101="","",会计科目表!$D20)</f>
        <v>借</v>
      </c>
      <c r="F101" s="10" t="str">
        <f aca="false">IF($C101="","",会计科目表!$F20)</f>
        <v>无形资产原价</v>
      </c>
      <c r="G101" s="40" t="n">
        <f aca="false">IF($C101="","",IF($E101="借",SUMIFS(期初余额!$C$6:$C$185,期初余额!$A$6:$A$185,$A101,期初余额!$B$6:$B$185,$C101)-SUMIFS(期初余额!$D$6:$D$185,期初余额!$A$6:$A$185,$A101,期初余额!$B$6:$B$185,$C101),SUMIFS(期初余额!$D$6:$D$185,期初余额!$A$6:$A$185,$A101,期初余额!$B$6:$B$185,$C101)-SUMIFS(期初余额!$C$6:$C$185,期初余额!$A$6:$A$185,$A101,期初余额!$B$6:$B$185,$C101)))</f>
        <v>0</v>
      </c>
      <c r="H101" s="40" t="n">
        <f aca="false">IF($C101="","",$G101+IF($E101="借",SUMIFS(记账分录!$I$6:$I$5505,记账分录!$F$6:$F$5505,$A101,记账分录!$H$6:$H$5505,$C101,记账分录!$E$6:$E$5505,"&lt;"&amp;$A$4)-SUMIFS(记账分录!$J$6:$J$5505,记账分录!$F$6:$F$5505,$A101,记账分录!$H$6:$H$5505,$C101,记账分录!$E$6:$E$5505,"&lt;"&amp;$A$4),SUMIFS(记账分录!$J$6:$J$5505,记账分录!$F$6:$F$5505,$A101,记账分录!$H$6:$H$5505,$C101,记账分录!$E$6:$E$5505,"&lt;"&amp;$A$4)-SUMIFS(记账分录!$I$6:$I$5505,记账分录!$F$6:$F$5505,$A101,记账分录!$H$6:$H$5505,$C101,记账分录!$E$6:$E$5505,"&lt;"&amp;$A$4)))</f>
        <v>0</v>
      </c>
      <c r="I101" s="40" t="n">
        <f aca="false">IF($C101="","",SUMIFS(记账分录!$I$6:$I$5505,记账分录!$F$6:$F$5505,$A101,记账分录!$H$6:$H$5505,$C101,记账分录!$E$6:$E$5505,"&gt;="&amp;$A$4,记账分录!$E$6:$E$5505,"&lt;="&amp;$B$4))</f>
        <v>0</v>
      </c>
      <c r="J101" s="40" t="n">
        <f aca="false">IF($C101="","",SUMIFS(记账分录!$J$6:$J$5505,记账分录!$F$6:$F$5505,$A101,记账分录!$H$6:$H$5505,$C101,记账分录!$E$6:$E$5505,"&gt;="&amp;$A$4,记账分录!$E$6:$E$5505,"&lt;="&amp;$B$4))</f>
        <v>0</v>
      </c>
      <c r="K101" s="42" t="n">
        <f aca="false">IF($C101="","",IF($E101="借",$I101-$J101,$J101-$I101))</f>
        <v>0</v>
      </c>
      <c r="L101" s="42" t="n">
        <f aca="false">IF($C101="","",ROUND($H101+$K101,2))</f>
        <v>0</v>
      </c>
      <c r="M101" s="40" t="n">
        <f aca="false">IF($C101="","",SUMIFS(记账分录!$I$6:$I$5505,记账分录!$F$6:$F$5505,$A101,记账分录!$H$6:$H$5505,$C101,记账分录!$E$6:$E$5505,"&lt;="&amp;$B$4))</f>
        <v>0</v>
      </c>
      <c r="N101" s="40" t="n">
        <f aca="false">IF($C101="","",SUMIFS(记账分录!$J$6:$J$5505,记账分录!$F$6:$F$5505,$A101,记账分录!$H$6:$H$5505,$C101,记账分录!$E$6:$E$5505,"&lt;="&amp;$B$4))</f>
        <v>0</v>
      </c>
      <c r="O101" s="42" t="n">
        <f aca="false">IF($C101="","",IF($E101="借",$M101-$N101,$N101-$M101))</f>
        <v>0</v>
      </c>
      <c r="P101" s="64" t="str">
        <f aca="false">IF($C101="","",IF(OR(ROUND($G101,2)&lt;&gt;0,ROUND($M101,2)&lt;&gt;0,ROUND($N101,2)&lt;&gt;0),"有",""))</f>
        <v/>
      </c>
    </row>
    <row r="102" customFormat="false" ht="15" hidden="false" customHeight="false" outlineLevel="0" collapsed="false">
      <c r="A102" s="25" t="str">
        <f aca="false">IF(会计科目表!$B21="","",参数设置!$A$11)</f>
        <v>木业</v>
      </c>
      <c r="B102" s="25" t="str">
        <f aca="false">IF(会计科目表!$B21="","",会计科目表!$A21)</f>
        <v>1702</v>
      </c>
      <c r="C102" s="10" t="str">
        <f aca="false">IF(会计科目表!$B21="","",会计科目表!$B21)</f>
        <v>累计摊销</v>
      </c>
      <c r="D102" s="25" t="str">
        <f aca="false">IF($C102="","",会计科目表!$C21)</f>
        <v>资产</v>
      </c>
      <c r="E102" s="25" t="str">
        <f aca="false">IF($C102="","",会计科目表!$D21)</f>
        <v>贷</v>
      </c>
      <c r="F102" s="10" t="str">
        <f aca="false">IF($C102="","",会计科目表!$F21)</f>
        <v>累计摊销</v>
      </c>
      <c r="G102" s="40" t="n">
        <f aca="false">IF($C102="","",IF($E102="借",SUMIFS(期初余额!$C$6:$C$185,期初余额!$A$6:$A$185,$A102,期初余额!$B$6:$B$185,$C102)-SUMIFS(期初余额!$D$6:$D$185,期初余额!$A$6:$A$185,$A102,期初余额!$B$6:$B$185,$C102),SUMIFS(期初余额!$D$6:$D$185,期初余额!$A$6:$A$185,$A102,期初余额!$B$6:$B$185,$C102)-SUMIFS(期初余额!$C$6:$C$185,期初余额!$A$6:$A$185,$A102,期初余额!$B$6:$B$185,$C102)))</f>
        <v>0</v>
      </c>
      <c r="H102" s="40" t="n">
        <f aca="false">IF($C102="","",$G102+IF($E102="借",SUMIFS(记账分录!$I$6:$I$5505,记账分录!$F$6:$F$5505,$A102,记账分录!$H$6:$H$5505,$C102,记账分录!$E$6:$E$5505,"&lt;"&amp;$A$4)-SUMIFS(记账分录!$J$6:$J$5505,记账分录!$F$6:$F$5505,$A102,记账分录!$H$6:$H$5505,$C102,记账分录!$E$6:$E$5505,"&lt;"&amp;$A$4),SUMIFS(记账分录!$J$6:$J$5505,记账分录!$F$6:$F$5505,$A102,记账分录!$H$6:$H$5505,$C102,记账分录!$E$6:$E$5505,"&lt;"&amp;$A$4)-SUMIFS(记账分录!$I$6:$I$5505,记账分录!$F$6:$F$5505,$A102,记账分录!$H$6:$H$5505,$C102,记账分录!$E$6:$E$5505,"&lt;"&amp;$A$4)))</f>
        <v>0</v>
      </c>
      <c r="I102" s="40" t="n">
        <f aca="false">IF($C102="","",SUMIFS(记账分录!$I$6:$I$5505,记账分录!$F$6:$F$5505,$A102,记账分录!$H$6:$H$5505,$C102,记账分录!$E$6:$E$5505,"&gt;="&amp;$A$4,记账分录!$E$6:$E$5505,"&lt;="&amp;$B$4))</f>
        <v>0</v>
      </c>
      <c r="J102" s="40" t="n">
        <f aca="false">IF($C102="","",SUMIFS(记账分录!$J$6:$J$5505,记账分录!$F$6:$F$5505,$A102,记账分录!$H$6:$H$5505,$C102,记账分录!$E$6:$E$5505,"&gt;="&amp;$A$4,记账分录!$E$6:$E$5505,"&lt;="&amp;$B$4))</f>
        <v>0</v>
      </c>
      <c r="K102" s="42" t="n">
        <f aca="false">IF($C102="","",IF($E102="借",$I102-$J102,$J102-$I102))</f>
        <v>0</v>
      </c>
      <c r="L102" s="42" t="n">
        <f aca="false">IF($C102="","",ROUND($H102+$K102,2))</f>
        <v>0</v>
      </c>
      <c r="M102" s="40" t="n">
        <f aca="false">IF($C102="","",SUMIFS(记账分录!$I$6:$I$5505,记账分录!$F$6:$F$5505,$A102,记账分录!$H$6:$H$5505,$C102,记账分录!$E$6:$E$5505,"&lt;="&amp;$B$4))</f>
        <v>0</v>
      </c>
      <c r="N102" s="40" t="n">
        <f aca="false">IF($C102="","",SUMIFS(记账分录!$J$6:$J$5505,记账分录!$F$6:$F$5505,$A102,记账分录!$H$6:$H$5505,$C102,记账分录!$E$6:$E$5505,"&lt;="&amp;$B$4))</f>
        <v>0</v>
      </c>
      <c r="O102" s="42" t="n">
        <f aca="false">IF($C102="","",IF($E102="借",$M102-$N102,$N102-$M102))</f>
        <v>0</v>
      </c>
      <c r="P102" s="64" t="str">
        <f aca="false">IF($C102="","",IF(OR(ROUND($G102,2)&lt;&gt;0,ROUND($M102,2)&lt;&gt;0,ROUND($N102,2)&lt;&gt;0),"有",""))</f>
        <v/>
      </c>
    </row>
    <row r="103" customFormat="false" ht="15" hidden="false" customHeight="false" outlineLevel="0" collapsed="false">
      <c r="A103" s="25" t="str">
        <f aca="false">IF(会计科目表!$B22="","",参数设置!$A$11)</f>
        <v>木业</v>
      </c>
      <c r="B103" s="25" t="str">
        <f aca="false">IF(会计科目表!$B22="","",会计科目表!$A22)</f>
        <v>1801</v>
      </c>
      <c r="C103" s="10" t="str">
        <f aca="false">IF(会计科目表!$B22="","",会计科目表!$B22)</f>
        <v>长期待摊费用</v>
      </c>
      <c r="D103" s="25" t="str">
        <f aca="false">IF($C103="","",会计科目表!$C22)</f>
        <v>资产</v>
      </c>
      <c r="E103" s="25" t="str">
        <f aca="false">IF($C103="","",会计科目表!$D22)</f>
        <v>借</v>
      </c>
      <c r="F103" s="10" t="str">
        <f aca="false">IF($C103="","",会计科目表!$F22)</f>
        <v>长期待摊费用</v>
      </c>
      <c r="G103" s="40" t="n">
        <f aca="false">IF($C103="","",IF($E103="借",SUMIFS(期初余额!$C$6:$C$185,期初余额!$A$6:$A$185,$A103,期初余额!$B$6:$B$185,$C103)-SUMIFS(期初余额!$D$6:$D$185,期初余额!$A$6:$A$185,$A103,期初余额!$B$6:$B$185,$C103),SUMIFS(期初余额!$D$6:$D$185,期初余额!$A$6:$A$185,$A103,期初余额!$B$6:$B$185,$C103)-SUMIFS(期初余额!$C$6:$C$185,期初余额!$A$6:$A$185,$A103,期初余额!$B$6:$B$185,$C103)))</f>
        <v>0</v>
      </c>
      <c r="H103" s="40" t="n">
        <f aca="false">IF($C103="","",$G103+IF($E103="借",SUMIFS(记账分录!$I$6:$I$5505,记账分录!$F$6:$F$5505,$A103,记账分录!$H$6:$H$5505,$C103,记账分录!$E$6:$E$5505,"&lt;"&amp;$A$4)-SUMIFS(记账分录!$J$6:$J$5505,记账分录!$F$6:$F$5505,$A103,记账分录!$H$6:$H$5505,$C103,记账分录!$E$6:$E$5505,"&lt;"&amp;$A$4),SUMIFS(记账分录!$J$6:$J$5505,记账分录!$F$6:$F$5505,$A103,记账分录!$H$6:$H$5505,$C103,记账分录!$E$6:$E$5505,"&lt;"&amp;$A$4)-SUMIFS(记账分录!$I$6:$I$5505,记账分录!$F$6:$F$5505,$A103,记账分录!$H$6:$H$5505,$C103,记账分录!$E$6:$E$5505,"&lt;"&amp;$A$4)))</f>
        <v>0</v>
      </c>
      <c r="I103" s="40" t="n">
        <f aca="false">IF($C103="","",SUMIFS(记账分录!$I$6:$I$5505,记账分录!$F$6:$F$5505,$A103,记账分录!$H$6:$H$5505,$C103,记账分录!$E$6:$E$5505,"&gt;="&amp;$A$4,记账分录!$E$6:$E$5505,"&lt;="&amp;$B$4))</f>
        <v>0</v>
      </c>
      <c r="J103" s="40" t="n">
        <f aca="false">IF($C103="","",SUMIFS(记账分录!$J$6:$J$5505,记账分录!$F$6:$F$5505,$A103,记账分录!$H$6:$H$5505,$C103,记账分录!$E$6:$E$5505,"&gt;="&amp;$A$4,记账分录!$E$6:$E$5505,"&lt;="&amp;$B$4))</f>
        <v>0</v>
      </c>
      <c r="K103" s="42" t="n">
        <f aca="false">IF($C103="","",IF($E103="借",$I103-$J103,$J103-$I103))</f>
        <v>0</v>
      </c>
      <c r="L103" s="42" t="n">
        <f aca="false">IF($C103="","",ROUND($H103+$K103,2))</f>
        <v>0</v>
      </c>
      <c r="M103" s="40" t="n">
        <f aca="false">IF($C103="","",SUMIFS(记账分录!$I$6:$I$5505,记账分录!$F$6:$F$5505,$A103,记账分录!$H$6:$H$5505,$C103,记账分录!$E$6:$E$5505,"&lt;="&amp;$B$4))</f>
        <v>0</v>
      </c>
      <c r="N103" s="40" t="n">
        <f aca="false">IF($C103="","",SUMIFS(记账分录!$J$6:$J$5505,记账分录!$F$6:$F$5505,$A103,记账分录!$H$6:$H$5505,$C103,记账分录!$E$6:$E$5505,"&lt;="&amp;$B$4))</f>
        <v>0</v>
      </c>
      <c r="O103" s="42" t="n">
        <f aca="false">IF($C103="","",IF($E103="借",$M103-$N103,$N103-$M103))</f>
        <v>0</v>
      </c>
      <c r="P103" s="64" t="str">
        <f aca="false">IF($C103="","",IF(OR(ROUND($G103,2)&lt;&gt;0,ROUND($M103,2)&lt;&gt;0,ROUND($N103,2)&lt;&gt;0),"有",""))</f>
        <v/>
      </c>
    </row>
    <row r="104" customFormat="false" ht="15" hidden="false" customHeight="false" outlineLevel="0" collapsed="false">
      <c r="A104" s="25" t="str">
        <f aca="false">IF(会计科目表!$B23="","",参数设置!$A$11)</f>
        <v>木业</v>
      </c>
      <c r="B104" s="25" t="str">
        <f aca="false">IF(会计科目表!$B23="","",会计科目表!$A23)</f>
        <v>2001</v>
      </c>
      <c r="C104" s="10" t="str">
        <f aca="false">IF(会计科目表!$B23="","",会计科目表!$B23)</f>
        <v>短期借款</v>
      </c>
      <c r="D104" s="25" t="str">
        <f aca="false">IF($C104="","",会计科目表!$C23)</f>
        <v>负债</v>
      </c>
      <c r="E104" s="25" t="str">
        <f aca="false">IF($C104="","",会计科目表!$D23)</f>
        <v>贷</v>
      </c>
      <c r="F104" s="10" t="str">
        <f aca="false">IF($C104="","",会计科目表!$F23)</f>
        <v>短期借款</v>
      </c>
      <c r="G104" s="40" t="n">
        <f aca="false">IF($C104="","",IF($E104="借",SUMIFS(期初余额!$C$6:$C$185,期初余额!$A$6:$A$185,$A104,期初余额!$B$6:$B$185,$C104)-SUMIFS(期初余额!$D$6:$D$185,期初余额!$A$6:$A$185,$A104,期初余额!$B$6:$B$185,$C104),SUMIFS(期初余额!$D$6:$D$185,期初余额!$A$6:$A$185,$A104,期初余额!$B$6:$B$185,$C104)-SUMIFS(期初余额!$C$6:$C$185,期初余额!$A$6:$A$185,$A104,期初余额!$B$6:$B$185,$C104)))</f>
        <v>300000</v>
      </c>
      <c r="H104" s="40" t="n">
        <f aca="false">IF($C104="","",$G104+IF($E104="借",SUMIFS(记账分录!$I$6:$I$5505,记账分录!$F$6:$F$5505,$A104,记账分录!$H$6:$H$5505,$C104,记账分录!$E$6:$E$5505,"&lt;"&amp;$A$4)-SUMIFS(记账分录!$J$6:$J$5505,记账分录!$F$6:$F$5505,$A104,记账分录!$H$6:$H$5505,$C104,记账分录!$E$6:$E$5505,"&lt;"&amp;$A$4),SUMIFS(记账分录!$J$6:$J$5505,记账分录!$F$6:$F$5505,$A104,记账分录!$H$6:$H$5505,$C104,记账分录!$E$6:$E$5505,"&lt;"&amp;$A$4)-SUMIFS(记账分录!$I$6:$I$5505,记账分录!$F$6:$F$5505,$A104,记账分录!$H$6:$H$5505,$C104,记账分录!$E$6:$E$5505,"&lt;"&amp;$A$4)))</f>
        <v>300000</v>
      </c>
      <c r="I104" s="40" t="n">
        <f aca="false">IF($C104="","",SUMIFS(记账分录!$I$6:$I$5505,记账分录!$F$6:$F$5505,$A104,记账分录!$H$6:$H$5505,$C104,记账分录!$E$6:$E$5505,"&gt;="&amp;$A$4,记账分录!$E$6:$E$5505,"&lt;="&amp;$B$4))</f>
        <v>0</v>
      </c>
      <c r="J104" s="40" t="n">
        <f aca="false">IF($C104="","",SUMIFS(记账分录!$J$6:$J$5505,记账分录!$F$6:$F$5505,$A104,记账分录!$H$6:$H$5505,$C104,记账分录!$E$6:$E$5505,"&gt;="&amp;$A$4,记账分录!$E$6:$E$5505,"&lt;="&amp;$B$4))</f>
        <v>150000</v>
      </c>
      <c r="K104" s="42" t="n">
        <f aca="false">IF($C104="","",IF($E104="借",$I104-$J104,$J104-$I104))</f>
        <v>150000</v>
      </c>
      <c r="L104" s="42" t="n">
        <f aca="false">IF($C104="","",ROUND($H104+$K104,2))</f>
        <v>450000</v>
      </c>
      <c r="M104" s="40" t="n">
        <f aca="false">IF($C104="","",SUMIFS(记账分录!$I$6:$I$5505,记账分录!$F$6:$F$5505,$A104,记账分录!$H$6:$H$5505,$C104,记账分录!$E$6:$E$5505,"&lt;="&amp;$B$4))</f>
        <v>0</v>
      </c>
      <c r="N104" s="40" t="n">
        <f aca="false">IF($C104="","",SUMIFS(记账分录!$J$6:$J$5505,记账分录!$F$6:$F$5505,$A104,记账分录!$H$6:$H$5505,$C104,记账分录!$E$6:$E$5505,"&lt;="&amp;$B$4))</f>
        <v>150000</v>
      </c>
      <c r="O104" s="42" t="n">
        <f aca="false">IF($C104="","",IF($E104="借",$M104-$N104,$N104-$M104))</f>
        <v>150000</v>
      </c>
      <c r="P104" s="64" t="str">
        <f aca="false">IF($C104="","",IF(OR(ROUND($G104,2)&lt;&gt;0,ROUND($M104,2)&lt;&gt;0,ROUND($N104,2)&lt;&gt;0),"有",""))</f>
        <v>有</v>
      </c>
    </row>
    <row r="105" customFormat="false" ht="15" hidden="false" customHeight="false" outlineLevel="0" collapsed="false">
      <c r="A105" s="25" t="str">
        <f aca="false">IF(会计科目表!$B24="","",参数设置!$A$11)</f>
        <v>木业</v>
      </c>
      <c r="B105" s="25" t="str">
        <f aca="false">IF(会计科目表!$B24="","",会计科目表!$A24)</f>
        <v>2202</v>
      </c>
      <c r="C105" s="10" t="str">
        <f aca="false">IF(会计科目表!$B24="","",会计科目表!$B24)</f>
        <v>应付账款</v>
      </c>
      <c r="D105" s="25" t="str">
        <f aca="false">IF($C105="","",会计科目表!$C24)</f>
        <v>负债</v>
      </c>
      <c r="E105" s="25" t="str">
        <f aca="false">IF($C105="","",会计科目表!$D24)</f>
        <v>贷</v>
      </c>
      <c r="F105" s="10" t="str">
        <f aca="false">IF($C105="","",会计科目表!$F24)</f>
        <v>应付账款</v>
      </c>
      <c r="G105" s="40" t="n">
        <f aca="false">IF($C105="","",IF($E105="借",SUMIFS(期初余额!$C$6:$C$185,期初余额!$A$6:$A$185,$A105,期初余额!$B$6:$B$185,$C105)-SUMIFS(期初余额!$D$6:$D$185,期初余额!$A$6:$A$185,$A105,期初余额!$B$6:$B$185,$C105),SUMIFS(期初余额!$D$6:$D$185,期初余额!$A$6:$A$185,$A105,期初余额!$B$6:$B$185,$C105)-SUMIFS(期初余额!$C$6:$C$185,期初余额!$A$6:$A$185,$A105,期初余额!$B$6:$B$185,$C105)))</f>
        <v>88000</v>
      </c>
      <c r="H105" s="40" t="n">
        <f aca="false">IF($C105="","",$G105+IF($E105="借",SUMIFS(记账分录!$I$6:$I$5505,记账分录!$F$6:$F$5505,$A105,记账分录!$H$6:$H$5505,$C105,记账分录!$E$6:$E$5505,"&lt;"&amp;$A$4)-SUMIFS(记账分录!$J$6:$J$5505,记账分录!$F$6:$F$5505,$A105,记账分录!$H$6:$H$5505,$C105,记账分录!$E$6:$E$5505,"&lt;"&amp;$A$4),SUMIFS(记账分录!$J$6:$J$5505,记账分录!$F$6:$F$5505,$A105,记账分录!$H$6:$H$5505,$C105,记账分录!$E$6:$E$5505,"&lt;"&amp;$A$4)-SUMIFS(记账分录!$I$6:$I$5505,记账分录!$F$6:$F$5505,$A105,记账分录!$H$6:$H$5505,$C105,记账分录!$E$6:$E$5505,"&lt;"&amp;$A$4)))</f>
        <v>88000</v>
      </c>
      <c r="I105" s="40" t="n">
        <f aca="false">IF($C105="","",SUMIFS(记账分录!$I$6:$I$5505,记账分录!$F$6:$F$5505,$A105,记账分录!$H$6:$H$5505,$C105,记账分录!$E$6:$E$5505,"&gt;="&amp;$A$4,记账分录!$E$6:$E$5505,"&lt;="&amp;$B$4))</f>
        <v>265800</v>
      </c>
      <c r="J105" s="40" t="n">
        <f aca="false">IF($C105="","",SUMIFS(记账分录!$J$6:$J$5505,记账分录!$F$6:$F$5505,$A105,记账分录!$H$6:$H$5505,$C105,记账分录!$E$6:$E$5505,"&gt;="&amp;$A$4,记账分录!$E$6:$E$5505,"&lt;="&amp;$B$4))</f>
        <v>304800</v>
      </c>
      <c r="K105" s="42" t="n">
        <f aca="false">IF($C105="","",IF($E105="借",$I105-$J105,$J105-$I105))</f>
        <v>39000</v>
      </c>
      <c r="L105" s="42" t="n">
        <f aca="false">IF($C105="","",ROUND($H105+$K105,2))</f>
        <v>127000</v>
      </c>
      <c r="M105" s="40" t="n">
        <f aca="false">IF($C105="","",SUMIFS(记账分录!$I$6:$I$5505,记账分录!$F$6:$F$5505,$A105,记账分录!$H$6:$H$5505,$C105,记账分录!$E$6:$E$5505,"&lt;="&amp;$B$4))</f>
        <v>265800</v>
      </c>
      <c r="N105" s="40" t="n">
        <f aca="false">IF($C105="","",SUMIFS(记账分录!$J$6:$J$5505,记账分录!$F$6:$F$5505,$A105,记账分录!$H$6:$H$5505,$C105,记账分录!$E$6:$E$5505,"&lt;="&amp;$B$4))</f>
        <v>304800</v>
      </c>
      <c r="O105" s="42" t="n">
        <f aca="false">IF($C105="","",IF($E105="借",$M105-$N105,$N105-$M105))</f>
        <v>39000</v>
      </c>
      <c r="P105" s="64" t="str">
        <f aca="false">IF($C105="","",IF(OR(ROUND($G105,2)&lt;&gt;0,ROUND($M105,2)&lt;&gt;0,ROUND($N105,2)&lt;&gt;0),"有",""))</f>
        <v>有</v>
      </c>
    </row>
    <row r="106" customFormat="false" ht="15" hidden="false" customHeight="false" outlineLevel="0" collapsed="false">
      <c r="A106" s="25" t="str">
        <f aca="false">IF(会计科目表!$B25="","",参数设置!$A$11)</f>
        <v>木业</v>
      </c>
      <c r="B106" s="25" t="str">
        <f aca="false">IF(会计科目表!$B25="","",会计科目表!$A25)</f>
        <v>2203</v>
      </c>
      <c r="C106" s="10" t="str">
        <f aca="false">IF(会计科目表!$B25="","",会计科目表!$B25)</f>
        <v>预收账款</v>
      </c>
      <c r="D106" s="25" t="str">
        <f aca="false">IF($C106="","",会计科目表!$C25)</f>
        <v>负债</v>
      </c>
      <c r="E106" s="25" t="str">
        <f aca="false">IF($C106="","",会计科目表!$D25)</f>
        <v>贷</v>
      </c>
      <c r="F106" s="10" t="str">
        <f aca="false">IF($C106="","",会计科目表!$F25)</f>
        <v>预收款项</v>
      </c>
      <c r="G106" s="40" t="n">
        <f aca="false">IF($C106="","",IF($E106="借",SUMIFS(期初余额!$C$6:$C$185,期初余额!$A$6:$A$185,$A106,期初余额!$B$6:$B$185,$C106)-SUMIFS(期初余额!$D$6:$D$185,期初余额!$A$6:$A$185,$A106,期初余额!$B$6:$B$185,$C106),SUMIFS(期初余额!$D$6:$D$185,期初余额!$A$6:$A$185,$A106,期初余额!$B$6:$B$185,$C106)-SUMIFS(期初余额!$C$6:$C$185,期初余额!$A$6:$A$185,$A106,期初余额!$B$6:$B$185,$C106)))</f>
        <v>0</v>
      </c>
      <c r="H106" s="40" t="n">
        <f aca="false">IF($C106="","",$G106+IF($E106="借",SUMIFS(记账分录!$I$6:$I$5505,记账分录!$F$6:$F$5505,$A106,记账分录!$H$6:$H$5505,$C106,记账分录!$E$6:$E$5505,"&lt;"&amp;$A$4)-SUMIFS(记账分录!$J$6:$J$5505,记账分录!$F$6:$F$5505,$A106,记账分录!$H$6:$H$5505,$C106,记账分录!$E$6:$E$5505,"&lt;"&amp;$A$4),SUMIFS(记账分录!$J$6:$J$5505,记账分录!$F$6:$F$5505,$A106,记账分录!$H$6:$H$5505,$C106,记账分录!$E$6:$E$5505,"&lt;"&amp;$A$4)-SUMIFS(记账分录!$I$6:$I$5505,记账分录!$F$6:$F$5505,$A106,记账分录!$H$6:$H$5505,$C106,记账分录!$E$6:$E$5505,"&lt;"&amp;$A$4)))</f>
        <v>0</v>
      </c>
      <c r="I106" s="40" t="n">
        <f aca="false">IF($C106="","",SUMIFS(记账分录!$I$6:$I$5505,记账分录!$F$6:$F$5505,$A106,记账分录!$H$6:$H$5505,$C106,记账分录!$E$6:$E$5505,"&gt;="&amp;$A$4,记账分录!$E$6:$E$5505,"&lt;="&amp;$B$4))</f>
        <v>0</v>
      </c>
      <c r="J106" s="40" t="n">
        <f aca="false">IF($C106="","",SUMIFS(记账分录!$J$6:$J$5505,记账分录!$F$6:$F$5505,$A106,记账分录!$H$6:$H$5505,$C106,记账分录!$E$6:$E$5505,"&gt;="&amp;$A$4,记账分录!$E$6:$E$5505,"&lt;="&amp;$B$4))</f>
        <v>0</v>
      </c>
      <c r="K106" s="42" t="n">
        <f aca="false">IF($C106="","",IF($E106="借",$I106-$J106,$J106-$I106))</f>
        <v>0</v>
      </c>
      <c r="L106" s="42" t="n">
        <f aca="false">IF($C106="","",ROUND($H106+$K106,2))</f>
        <v>0</v>
      </c>
      <c r="M106" s="40" t="n">
        <f aca="false">IF($C106="","",SUMIFS(记账分录!$I$6:$I$5505,记账分录!$F$6:$F$5505,$A106,记账分录!$H$6:$H$5505,$C106,记账分录!$E$6:$E$5505,"&lt;="&amp;$B$4))</f>
        <v>0</v>
      </c>
      <c r="N106" s="40" t="n">
        <f aca="false">IF($C106="","",SUMIFS(记账分录!$J$6:$J$5505,记账分录!$F$6:$F$5505,$A106,记账分录!$H$6:$H$5505,$C106,记账分录!$E$6:$E$5505,"&lt;="&amp;$B$4))</f>
        <v>0</v>
      </c>
      <c r="O106" s="42" t="n">
        <f aca="false">IF($C106="","",IF($E106="借",$M106-$N106,$N106-$M106))</f>
        <v>0</v>
      </c>
      <c r="P106" s="64" t="str">
        <f aca="false">IF($C106="","",IF(OR(ROUND($G106,2)&lt;&gt;0,ROUND($M106,2)&lt;&gt;0,ROUND($N106,2)&lt;&gt;0),"有",""))</f>
        <v/>
      </c>
    </row>
    <row r="107" customFormat="false" ht="15" hidden="false" customHeight="false" outlineLevel="0" collapsed="false">
      <c r="A107" s="25" t="str">
        <f aca="false">IF(会计科目表!$B26="","",参数设置!$A$11)</f>
        <v>木业</v>
      </c>
      <c r="B107" s="25" t="str">
        <f aca="false">IF(会计科目表!$B26="","",会计科目表!$A26)</f>
        <v>2211</v>
      </c>
      <c r="C107" s="10" t="str">
        <f aca="false">IF(会计科目表!$B26="","",会计科目表!$B26)</f>
        <v>应付职工薪酬</v>
      </c>
      <c r="D107" s="25" t="str">
        <f aca="false">IF($C107="","",会计科目表!$C26)</f>
        <v>负债</v>
      </c>
      <c r="E107" s="25" t="str">
        <f aca="false">IF($C107="","",会计科目表!$D26)</f>
        <v>贷</v>
      </c>
      <c r="F107" s="10" t="str">
        <f aca="false">IF($C107="","",会计科目表!$F26)</f>
        <v>应付职工薪酬</v>
      </c>
      <c r="G107" s="40" t="n">
        <f aca="false">IF($C107="","",IF($E107="借",SUMIFS(期初余额!$C$6:$C$185,期初余额!$A$6:$A$185,$A107,期初余额!$B$6:$B$185,$C107)-SUMIFS(期初余额!$D$6:$D$185,期初余额!$A$6:$A$185,$A107,期初余额!$B$6:$B$185,$C107),SUMIFS(期初余额!$D$6:$D$185,期初余额!$A$6:$A$185,$A107,期初余额!$B$6:$B$185,$C107)-SUMIFS(期初余额!$C$6:$C$185,期初余额!$A$6:$A$185,$A107,期初余额!$B$6:$B$185,$C107)))</f>
        <v>0</v>
      </c>
      <c r="H107" s="40" t="n">
        <f aca="false">IF($C107="","",$G107+IF($E107="借",SUMIFS(记账分录!$I$6:$I$5505,记账分录!$F$6:$F$5505,$A107,记账分录!$H$6:$H$5505,$C107,记账分录!$E$6:$E$5505,"&lt;"&amp;$A$4)-SUMIFS(记账分录!$J$6:$J$5505,记账分录!$F$6:$F$5505,$A107,记账分录!$H$6:$H$5505,$C107,记账分录!$E$6:$E$5505,"&lt;"&amp;$A$4),SUMIFS(记账分录!$J$6:$J$5505,记账分录!$F$6:$F$5505,$A107,记账分录!$H$6:$H$5505,$C107,记账分录!$E$6:$E$5505,"&lt;"&amp;$A$4)-SUMIFS(记账分录!$I$6:$I$5505,记账分录!$F$6:$F$5505,$A107,记账分录!$H$6:$H$5505,$C107,记账分录!$E$6:$E$5505,"&lt;"&amp;$A$4)))</f>
        <v>0</v>
      </c>
      <c r="I107" s="40" t="n">
        <f aca="false">IF($C107="","",SUMIFS(记账分录!$I$6:$I$5505,记账分录!$F$6:$F$5505,$A107,记账分录!$H$6:$H$5505,$C107,记账分录!$E$6:$E$5505,"&gt;="&amp;$A$4,记账分录!$E$6:$E$5505,"&lt;="&amp;$B$4))</f>
        <v>50000</v>
      </c>
      <c r="J107" s="40" t="n">
        <f aca="false">IF($C107="","",SUMIFS(记账分录!$J$6:$J$5505,记账分录!$F$6:$F$5505,$A107,记账分录!$H$6:$H$5505,$C107,记账分录!$E$6:$E$5505,"&gt;="&amp;$A$4,记账分录!$E$6:$E$5505,"&lt;="&amp;$B$4))</f>
        <v>69000</v>
      </c>
      <c r="K107" s="42" t="n">
        <f aca="false">IF($C107="","",IF($E107="借",$I107-$J107,$J107-$I107))</f>
        <v>19000</v>
      </c>
      <c r="L107" s="42" t="n">
        <f aca="false">IF($C107="","",ROUND($H107+$K107,2))</f>
        <v>19000</v>
      </c>
      <c r="M107" s="40" t="n">
        <f aca="false">IF($C107="","",SUMIFS(记账分录!$I$6:$I$5505,记账分录!$F$6:$F$5505,$A107,记账分录!$H$6:$H$5505,$C107,记账分录!$E$6:$E$5505,"&lt;="&amp;$B$4))</f>
        <v>50000</v>
      </c>
      <c r="N107" s="40" t="n">
        <f aca="false">IF($C107="","",SUMIFS(记账分录!$J$6:$J$5505,记账分录!$F$6:$F$5505,$A107,记账分录!$H$6:$H$5505,$C107,记账分录!$E$6:$E$5505,"&lt;="&amp;$B$4))</f>
        <v>69000</v>
      </c>
      <c r="O107" s="42" t="n">
        <f aca="false">IF($C107="","",IF($E107="借",$M107-$N107,$N107-$M107))</f>
        <v>19000</v>
      </c>
      <c r="P107" s="64" t="str">
        <f aca="false">IF($C107="","",IF(OR(ROUND($G107,2)&lt;&gt;0,ROUND($M107,2)&lt;&gt;0,ROUND($N107,2)&lt;&gt;0),"有",""))</f>
        <v>有</v>
      </c>
    </row>
    <row r="108" customFormat="false" ht="15" hidden="false" customHeight="false" outlineLevel="0" collapsed="false">
      <c r="A108" s="25" t="str">
        <f aca="false">IF(会计科目表!$B27="","",参数设置!$A$11)</f>
        <v>木业</v>
      </c>
      <c r="B108" s="25" t="str">
        <f aca="false">IF(会计科目表!$B27="","",会计科目表!$A27)</f>
        <v>2221</v>
      </c>
      <c r="C108" s="10" t="str">
        <f aca="false">IF(会计科目表!$B27="","",会计科目表!$B27)</f>
        <v>应交税费</v>
      </c>
      <c r="D108" s="25" t="str">
        <f aca="false">IF($C108="","",会计科目表!$C27)</f>
        <v>负债</v>
      </c>
      <c r="E108" s="25" t="str">
        <f aca="false">IF($C108="","",会计科目表!$D27)</f>
        <v>贷</v>
      </c>
      <c r="F108" s="10" t="str">
        <f aca="false">IF($C108="","",会计科目表!$F27)</f>
        <v>应交税费</v>
      </c>
      <c r="G108" s="40" t="n">
        <f aca="false">IF($C108="","",IF($E108="借",SUMIFS(期初余额!$C$6:$C$185,期初余额!$A$6:$A$185,$A108,期初余额!$B$6:$B$185,$C108)-SUMIFS(期初余额!$D$6:$D$185,期初余额!$A$6:$A$185,$A108,期初余额!$B$6:$B$185,$C108),SUMIFS(期初余额!$D$6:$D$185,期初余额!$A$6:$A$185,$A108,期初余额!$B$6:$B$185,$C108)-SUMIFS(期初余额!$C$6:$C$185,期初余额!$A$6:$A$185,$A108,期初余额!$B$6:$B$185,$C108)))</f>
        <v>0</v>
      </c>
      <c r="H108" s="40" t="n">
        <f aca="false">IF($C108="","",$G108+IF($E108="借",SUMIFS(记账分录!$I$6:$I$5505,记账分录!$F$6:$F$5505,$A108,记账分录!$H$6:$H$5505,$C108,记账分录!$E$6:$E$5505,"&lt;"&amp;$A$4)-SUMIFS(记账分录!$J$6:$J$5505,记账分录!$F$6:$F$5505,$A108,记账分录!$H$6:$H$5505,$C108,记账分录!$E$6:$E$5505,"&lt;"&amp;$A$4),SUMIFS(记账分录!$J$6:$J$5505,记账分录!$F$6:$F$5505,$A108,记账分录!$H$6:$H$5505,$C108,记账分录!$E$6:$E$5505,"&lt;"&amp;$A$4)-SUMIFS(记账分录!$I$6:$I$5505,记账分录!$F$6:$F$5505,$A108,记账分录!$H$6:$H$5505,$C108,记账分录!$E$6:$E$5505,"&lt;"&amp;$A$4)))</f>
        <v>0</v>
      </c>
      <c r="I108" s="40" t="n">
        <f aca="false">IF($C108="","",SUMIFS(记账分录!$I$6:$I$5505,记账分录!$F$6:$F$5505,$A108,记账分录!$H$6:$H$5505,$C108,记账分录!$E$6:$E$5505,"&gt;="&amp;$A$4,记账分录!$E$6:$E$5505,"&lt;="&amp;$B$4))</f>
        <v>0</v>
      </c>
      <c r="J108" s="40" t="n">
        <f aca="false">IF($C108="","",SUMIFS(记账分录!$J$6:$J$5505,记账分录!$F$6:$F$5505,$A108,记账分录!$H$6:$H$5505,$C108,记账分录!$E$6:$E$5505,"&gt;="&amp;$A$4,记账分录!$E$6:$E$5505,"&lt;="&amp;$B$4))</f>
        <v>0</v>
      </c>
      <c r="K108" s="42" t="n">
        <f aca="false">IF($C108="","",IF($E108="借",$I108-$J108,$J108-$I108))</f>
        <v>0</v>
      </c>
      <c r="L108" s="42" t="n">
        <f aca="false">IF($C108="","",ROUND($H108+$K108,2))</f>
        <v>0</v>
      </c>
      <c r="M108" s="40" t="n">
        <f aca="false">IF($C108="","",SUMIFS(记账分录!$I$6:$I$5505,记账分录!$F$6:$F$5505,$A108,记账分录!$H$6:$H$5505,$C108,记账分录!$E$6:$E$5505,"&lt;="&amp;$B$4))</f>
        <v>0</v>
      </c>
      <c r="N108" s="40" t="n">
        <f aca="false">IF($C108="","",SUMIFS(记账分录!$J$6:$J$5505,记账分录!$F$6:$F$5505,$A108,记账分录!$H$6:$H$5505,$C108,记账分录!$E$6:$E$5505,"&lt;="&amp;$B$4))</f>
        <v>0</v>
      </c>
      <c r="O108" s="42" t="n">
        <f aca="false">IF($C108="","",IF($E108="借",$M108-$N108,$N108-$M108))</f>
        <v>0</v>
      </c>
      <c r="P108" s="64" t="str">
        <f aca="false">IF($C108="","",IF(OR(ROUND($G108,2)&lt;&gt;0,ROUND($M108,2)&lt;&gt;0,ROUND($N108,2)&lt;&gt;0),"有",""))</f>
        <v/>
      </c>
    </row>
    <row r="109" customFormat="false" ht="15" hidden="false" customHeight="false" outlineLevel="0" collapsed="false">
      <c r="A109" s="25" t="str">
        <f aca="false">IF(会计科目表!$B28="","",参数设置!$A$11)</f>
        <v>木业</v>
      </c>
      <c r="B109" s="25" t="str">
        <f aca="false">IF(会计科目表!$B28="","",会计科目表!$A28)</f>
        <v>2241</v>
      </c>
      <c r="C109" s="10" t="str">
        <f aca="false">IF(会计科目表!$B28="","",会计科目表!$B28)</f>
        <v>其他应付款</v>
      </c>
      <c r="D109" s="25" t="str">
        <f aca="false">IF($C109="","",会计科目表!$C28)</f>
        <v>负债</v>
      </c>
      <c r="E109" s="25" t="str">
        <f aca="false">IF($C109="","",会计科目表!$D28)</f>
        <v>贷</v>
      </c>
      <c r="F109" s="10" t="str">
        <f aca="false">IF($C109="","",会计科目表!$F28)</f>
        <v>其他应付款</v>
      </c>
      <c r="G109" s="40" t="n">
        <f aca="false">IF($C109="","",IF($E109="借",SUMIFS(期初余额!$C$6:$C$185,期初余额!$A$6:$A$185,$A109,期初余额!$B$6:$B$185,$C109)-SUMIFS(期初余额!$D$6:$D$185,期初余额!$A$6:$A$185,$A109,期初余额!$B$6:$B$185,$C109),SUMIFS(期初余额!$D$6:$D$185,期初余额!$A$6:$A$185,$A109,期初余额!$B$6:$B$185,$C109)-SUMIFS(期初余额!$C$6:$C$185,期初余额!$A$6:$A$185,$A109,期初余额!$B$6:$B$185,$C109)))</f>
        <v>0</v>
      </c>
      <c r="H109" s="40" t="n">
        <f aca="false">IF($C109="","",$G109+IF($E109="借",SUMIFS(记账分录!$I$6:$I$5505,记账分录!$F$6:$F$5505,$A109,记账分录!$H$6:$H$5505,$C109,记账分录!$E$6:$E$5505,"&lt;"&amp;$A$4)-SUMIFS(记账分录!$J$6:$J$5505,记账分录!$F$6:$F$5505,$A109,记账分录!$H$6:$H$5505,$C109,记账分录!$E$6:$E$5505,"&lt;"&amp;$A$4),SUMIFS(记账分录!$J$6:$J$5505,记账分录!$F$6:$F$5505,$A109,记账分录!$H$6:$H$5505,$C109,记账分录!$E$6:$E$5505,"&lt;"&amp;$A$4)-SUMIFS(记账分录!$I$6:$I$5505,记账分录!$F$6:$F$5505,$A109,记账分录!$H$6:$H$5505,$C109,记账分录!$E$6:$E$5505,"&lt;"&amp;$A$4)))</f>
        <v>0</v>
      </c>
      <c r="I109" s="40" t="n">
        <f aca="false">IF($C109="","",SUMIFS(记账分录!$I$6:$I$5505,记账分录!$F$6:$F$5505,$A109,记账分录!$H$6:$H$5505,$C109,记账分录!$E$6:$E$5505,"&gt;="&amp;$A$4,记账分录!$E$6:$E$5505,"&lt;="&amp;$B$4))</f>
        <v>0</v>
      </c>
      <c r="J109" s="40" t="n">
        <f aca="false">IF($C109="","",SUMIFS(记账分录!$J$6:$J$5505,记账分录!$F$6:$F$5505,$A109,记账分录!$H$6:$H$5505,$C109,记账分录!$E$6:$E$5505,"&gt;="&amp;$A$4,记账分录!$E$6:$E$5505,"&lt;="&amp;$B$4))</f>
        <v>24000</v>
      </c>
      <c r="K109" s="42" t="n">
        <f aca="false">IF($C109="","",IF($E109="借",$I109-$J109,$J109-$I109))</f>
        <v>24000</v>
      </c>
      <c r="L109" s="42" t="n">
        <f aca="false">IF($C109="","",ROUND($H109+$K109,2))</f>
        <v>24000</v>
      </c>
      <c r="M109" s="40" t="n">
        <f aca="false">IF($C109="","",SUMIFS(记账分录!$I$6:$I$5505,记账分录!$F$6:$F$5505,$A109,记账分录!$H$6:$H$5505,$C109,记账分录!$E$6:$E$5505,"&lt;="&amp;$B$4))</f>
        <v>0</v>
      </c>
      <c r="N109" s="40" t="n">
        <f aca="false">IF($C109="","",SUMIFS(记账分录!$J$6:$J$5505,记账分录!$F$6:$F$5505,$A109,记账分录!$H$6:$H$5505,$C109,记账分录!$E$6:$E$5505,"&lt;="&amp;$B$4))</f>
        <v>24000</v>
      </c>
      <c r="O109" s="42" t="n">
        <f aca="false">IF($C109="","",IF($E109="借",$M109-$N109,$N109-$M109))</f>
        <v>24000</v>
      </c>
      <c r="P109" s="64" t="str">
        <f aca="false">IF($C109="","",IF(OR(ROUND($G109,2)&lt;&gt;0,ROUND($M109,2)&lt;&gt;0,ROUND($N109,2)&lt;&gt;0),"有",""))</f>
        <v>有</v>
      </c>
    </row>
    <row r="110" customFormat="false" ht="15" hidden="false" customHeight="false" outlineLevel="0" collapsed="false">
      <c r="A110" s="25" t="str">
        <f aca="false">IF(会计科目表!$B29="","",参数设置!$A$11)</f>
        <v>木业</v>
      </c>
      <c r="B110" s="25" t="str">
        <f aca="false">IF(会计科目表!$B29="","",会计科目表!$A29)</f>
        <v>2501</v>
      </c>
      <c r="C110" s="10" t="str">
        <f aca="false">IF(会计科目表!$B29="","",会计科目表!$B29)</f>
        <v>长期借款</v>
      </c>
      <c r="D110" s="25" t="str">
        <f aca="false">IF($C110="","",会计科目表!$C29)</f>
        <v>负债</v>
      </c>
      <c r="E110" s="25" t="str">
        <f aca="false">IF($C110="","",会计科目表!$D29)</f>
        <v>贷</v>
      </c>
      <c r="F110" s="10" t="str">
        <f aca="false">IF($C110="","",会计科目表!$F29)</f>
        <v>长期借款</v>
      </c>
      <c r="G110" s="40" t="n">
        <f aca="false">IF($C110="","",IF($E110="借",SUMIFS(期初余额!$C$6:$C$185,期初余额!$A$6:$A$185,$A110,期初余额!$B$6:$B$185,$C110)-SUMIFS(期初余额!$D$6:$D$185,期初余额!$A$6:$A$185,$A110,期初余额!$B$6:$B$185,$C110),SUMIFS(期初余额!$D$6:$D$185,期初余额!$A$6:$A$185,$A110,期初余额!$B$6:$B$185,$C110)-SUMIFS(期初余额!$C$6:$C$185,期初余额!$A$6:$A$185,$A110,期初余额!$B$6:$B$185,$C110)))</f>
        <v>0</v>
      </c>
      <c r="H110" s="40" t="n">
        <f aca="false">IF($C110="","",$G110+IF($E110="借",SUMIFS(记账分录!$I$6:$I$5505,记账分录!$F$6:$F$5505,$A110,记账分录!$H$6:$H$5505,$C110,记账分录!$E$6:$E$5505,"&lt;"&amp;$A$4)-SUMIFS(记账分录!$J$6:$J$5505,记账分录!$F$6:$F$5505,$A110,记账分录!$H$6:$H$5505,$C110,记账分录!$E$6:$E$5505,"&lt;"&amp;$A$4),SUMIFS(记账分录!$J$6:$J$5505,记账分录!$F$6:$F$5505,$A110,记账分录!$H$6:$H$5505,$C110,记账分录!$E$6:$E$5505,"&lt;"&amp;$A$4)-SUMIFS(记账分录!$I$6:$I$5505,记账分录!$F$6:$F$5505,$A110,记账分录!$H$6:$H$5505,$C110,记账分录!$E$6:$E$5505,"&lt;"&amp;$A$4)))</f>
        <v>0</v>
      </c>
      <c r="I110" s="40" t="n">
        <f aca="false">IF($C110="","",SUMIFS(记账分录!$I$6:$I$5505,记账分录!$F$6:$F$5505,$A110,记账分录!$H$6:$H$5505,$C110,记账分录!$E$6:$E$5505,"&gt;="&amp;$A$4,记账分录!$E$6:$E$5505,"&lt;="&amp;$B$4))</f>
        <v>0</v>
      </c>
      <c r="J110" s="40" t="n">
        <f aca="false">IF($C110="","",SUMIFS(记账分录!$J$6:$J$5505,记账分录!$F$6:$F$5505,$A110,记账分录!$H$6:$H$5505,$C110,记账分录!$E$6:$E$5505,"&gt;="&amp;$A$4,记账分录!$E$6:$E$5505,"&lt;="&amp;$B$4))</f>
        <v>0</v>
      </c>
      <c r="K110" s="42" t="n">
        <f aca="false">IF($C110="","",IF($E110="借",$I110-$J110,$J110-$I110))</f>
        <v>0</v>
      </c>
      <c r="L110" s="42" t="n">
        <f aca="false">IF($C110="","",ROUND($H110+$K110,2))</f>
        <v>0</v>
      </c>
      <c r="M110" s="40" t="n">
        <f aca="false">IF($C110="","",SUMIFS(记账分录!$I$6:$I$5505,记账分录!$F$6:$F$5505,$A110,记账分录!$H$6:$H$5505,$C110,记账分录!$E$6:$E$5505,"&lt;="&amp;$B$4))</f>
        <v>0</v>
      </c>
      <c r="N110" s="40" t="n">
        <f aca="false">IF($C110="","",SUMIFS(记账分录!$J$6:$J$5505,记账分录!$F$6:$F$5505,$A110,记账分录!$H$6:$H$5505,$C110,记账分录!$E$6:$E$5505,"&lt;="&amp;$B$4))</f>
        <v>0</v>
      </c>
      <c r="O110" s="42" t="n">
        <f aca="false">IF($C110="","",IF($E110="借",$M110-$N110,$N110-$M110))</f>
        <v>0</v>
      </c>
      <c r="P110" s="64" t="str">
        <f aca="false">IF($C110="","",IF(OR(ROUND($G110,2)&lt;&gt;0,ROUND($M110,2)&lt;&gt;0,ROUND($N110,2)&lt;&gt;0),"有",""))</f>
        <v/>
      </c>
    </row>
    <row r="111" customFormat="false" ht="15" hidden="false" customHeight="false" outlineLevel="0" collapsed="false">
      <c r="A111" s="25" t="str">
        <f aca="false">IF(会计科目表!$B30="","",参数设置!$A$11)</f>
        <v>木业</v>
      </c>
      <c r="B111" s="25" t="str">
        <f aca="false">IF(会计科目表!$B30="","",会计科目表!$A30)</f>
        <v>4001</v>
      </c>
      <c r="C111" s="10" t="str">
        <f aca="false">IF(会计科目表!$B30="","",会计科目表!$B30)</f>
        <v>实收资本</v>
      </c>
      <c r="D111" s="25" t="str">
        <f aca="false">IF($C111="","",会计科目表!$C30)</f>
        <v>权益</v>
      </c>
      <c r="E111" s="25" t="str">
        <f aca="false">IF($C111="","",会计科目表!$D30)</f>
        <v>贷</v>
      </c>
      <c r="F111" s="10" t="str">
        <f aca="false">IF($C111="","",会计科目表!$F30)</f>
        <v>实收资本</v>
      </c>
      <c r="G111" s="40" t="n">
        <f aca="false">IF($C111="","",IF($E111="借",SUMIFS(期初余额!$C$6:$C$185,期初余额!$A$6:$A$185,$A111,期初余额!$B$6:$B$185,$C111)-SUMIFS(期初余额!$D$6:$D$185,期初余额!$A$6:$A$185,$A111,期初余额!$B$6:$B$185,$C111),SUMIFS(期初余额!$D$6:$D$185,期初余额!$A$6:$A$185,$A111,期初余额!$B$6:$B$185,$C111)-SUMIFS(期初余额!$C$6:$C$185,期初余额!$A$6:$A$185,$A111,期初余额!$B$6:$B$185,$C111)))</f>
        <v>800000</v>
      </c>
      <c r="H111" s="40" t="n">
        <f aca="false">IF($C111="","",$G111+IF($E111="借",SUMIFS(记账分录!$I$6:$I$5505,记账分录!$F$6:$F$5505,$A111,记账分录!$H$6:$H$5505,$C111,记账分录!$E$6:$E$5505,"&lt;"&amp;$A$4)-SUMIFS(记账分录!$J$6:$J$5505,记账分录!$F$6:$F$5505,$A111,记账分录!$H$6:$H$5505,$C111,记账分录!$E$6:$E$5505,"&lt;"&amp;$A$4),SUMIFS(记账分录!$J$6:$J$5505,记账分录!$F$6:$F$5505,$A111,记账分录!$H$6:$H$5505,$C111,记账分录!$E$6:$E$5505,"&lt;"&amp;$A$4)-SUMIFS(记账分录!$I$6:$I$5505,记账分录!$F$6:$F$5505,$A111,记账分录!$H$6:$H$5505,$C111,记账分录!$E$6:$E$5505,"&lt;"&amp;$A$4)))</f>
        <v>800000</v>
      </c>
      <c r="I111" s="40" t="n">
        <f aca="false">IF($C111="","",SUMIFS(记账分录!$I$6:$I$5505,记账分录!$F$6:$F$5505,$A111,记账分录!$H$6:$H$5505,$C111,记账分录!$E$6:$E$5505,"&gt;="&amp;$A$4,记账分录!$E$6:$E$5505,"&lt;="&amp;$B$4))</f>
        <v>0</v>
      </c>
      <c r="J111" s="40" t="n">
        <f aca="false">IF($C111="","",SUMIFS(记账分录!$J$6:$J$5505,记账分录!$F$6:$F$5505,$A111,记账分录!$H$6:$H$5505,$C111,记账分录!$E$6:$E$5505,"&gt;="&amp;$A$4,记账分录!$E$6:$E$5505,"&lt;="&amp;$B$4))</f>
        <v>0</v>
      </c>
      <c r="K111" s="42" t="n">
        <f aca="false">IF($C111="","",IF($E111="借",$I111-$J111,$J111-$I111))</f>
        <v>0</v>
      </c>
      <c r="L111" s="42" t="n">
        <f aca="false">IF($C111="","",ROUND($H111+$K111,2))</f>
        <v>800000</v>
      </c>
      <c r="M111" s="40" t="n">
        <f aca="false">IF($C111="","",SUMIFS(记账分录!$I$6:$I$5505,记账分录!$F$6:$F$5505,$A111,记账分录!$H$6:$H$5505,$C111,记账分录!$E$6:$E$5505,"&lt;="&amp;$B$4))</f>
        <v>0</v>
      </c>
      <c r="N111" s="40" t="n">
        <f aca="false">IF($C111="","",SUMIFS(记账分录!$J$6:$J$5505,记账分录!$F$6:$F$5505,$A111,记账分录!$H$6:$H$5505,$C111,记账分录!$E$6:$E$5505,"&lt;="&amp;$B$4))</f>
        <v>0</v>
      </c>
      <c r="O111" s="42" t="n">
        <f aca="false">IF($C111="","",IF($E111="借",$M111-$N111,$N111-$M111))</f>
        <v>0</v>
      </c>
      <c r="P111" s="64" t="str">
        <f aca="false">IF($C111="","",IF(OR(ROUND($G111,2)&lt;&gt;0,ROUND($M111,2)&lt;&gt;0,ROUND($N111,2)&lt;&gt;0),"有",""))</f>
        <v>有</v>
      </c>
    </row>
    <row r="112" customFormat="false" ht="15" hidden="false" customHeight="false" outlineLevel="0" collapsed="false">
      <c r="A112" s="25" t="str">
        <f aca="false">IF(会计科目表!$B31="","",参数设置!$A$11)</f>
        <v>木业</v>
      </c>
      <c r="B112" s="25" t="str">
        <f aca="false">IF(会计科目表!$B31="","",会计科目表!$A31)</f>
        <v>4002</v>
      </c>
      <c r="C112" s="10" t="str">
        <f aca="false">IF(会计科目表!$B31="","",会计科目表!$B31)</f>
        <v>资本公积</v>
      </c>
      <c r="D112" s="25" t="str">
        <f aca="false">IF($C112="","",会计科目表!$C31)</f>
        <v>权益</v>
      </c>
      <c r="E112" s="25" t="str">
        <f aca="false">IF($C112="","",会计科目表!$D31)</f>
        <v>贷</v>
      </c>
      <c r="F112" s="10" t="str">
        <f aca="false">IF($C112="","",会计科目表!$F31)</f>
        <v>资本公积</v>
      </c>
      <c r="G112" s="40" t="n">
        <f aca="false">IF($C112="","",IF($E112="借",SUMIFS(期初余额!$C$6:$C$185,期初余额!$A$6:$A$185,$A112,期初余额!$B$6:$B$185,$C112)-SUMIFS(期初余额!$D$6:$D$185,期初余额!$A$6:$A$185,$A112,期初余额!$B$6:$B$185,$C112),SUMIFS(期初余额!$D$6:$D$185,期初余额!$A$6:$A$185,$A112,期初余额!$B$6:$B$185,$C112)-SUMIFS(期初余额!$C$6:$C$185,期初余额!$A$6:$A$185,$A112,期初余额!$B$6:$B$185,$C112)))</f>
        <v>0</v>
      </c>
      <c r="H112" s="40" t="n">
        <f aca="false">IF($C112="","",$G112+IF($E112="借",SUMIFS(记账分录!$I$6:$I$5505,记账分录!$F$6:$F$5505,$A112,记账分录!$H$6:$H$5505,$C112,记账分录!$E$6:$E$5505,"&lt;"&amp;$A$4)-SUMIFS(记账分录!$J$6:$J$5505,记账分录!$F$6:$F$5505,$A112,记账分录!$H$6:$H$5505,$C112,记账分录!$E$6:$E$5505,"&lt;"&amp;$A$4),SUMIFS(记账分录!$J$6:$J$5505,记账分录!$F$6:$F$5505,$A112,记账分录!$H$6:$H$5505,$C112,记账分录!$E$6:$E$5505,"&lt;"&amp;$A$4)-SUMIFS(记账分录!$I$6:$I$5505,记账分录!$F$6:$F$5505,$A112,记账分录!$H$6:$H$5505,$C112,记账分录!$E$6:$E$5505,"&lt;"&amp;$A$4)))</f>
        <v>0</v>
      </c>
      <c r="I112" s="40" t="n">
        <f aca="false">IF($C112="","",SUMIFS(记账分录!$I$6:$I$5505,记账分录!$F$6:$F$5505,$A112,记账分录!$H$6:$H$5505,$C112,记账分录!$E$6:$E$5505,"&gt;="&amp;$A$4,记账分录!$E$6:$E$5505,"&lt;="&amp;$B$4))</f>
        <v>0</v>
      </c>
      <c r="J112" s="40" t="n">
        <f aca="false">IF($C112="","",SUMIFS(记账分录!$J$6:$J$5505,记账分录!$F$6:$F$5505,$A112,记账分录!$H$6:$H$5505,$C112,记账分录!$E$6:$E$5505,"&gt;="&amp;$A$4,记账分录!$E$6:$E$5505,"&lt;="&amp;$B$4))</f>
        <v>0</v>
      </c>
      <c r="K112" s="42" t="n">
        <f aca="false">IF($C112="","",IF($E112="借",$I112-$J112,$J112-$I112))</f>
        <v>0</v>
      </c>
      <c r="L112" s="42" t="n">
        <f aca="false">IF($C112="","",ROUND($H112+$K112,2))</f>
        <v>0</v>
      </c>
      <c r="M112" s="40" t="n">
        <f aca="false">IF($C112="","",SUMIFS(记账分录!$I$6:$I$5505,记账分录!$F$6:$F$5505,$A112,记账分录!$H$6:$H$5505,$C112,记账分录!$E$6:$E$5505,"&lt;="&amp;$B$4))</f>
        <v>0</v>
      </c>
      <c r="N112" s="40" t="n">
        <f aca="false">IF($C112="","",SUMIFS(记账分录!$J$6:$J$5505,记账分录!$F$6:$F$5505,$A112,记账分录!$H$6:$H$5505,$C112,记账分录!$E$6:$E$5505,"&lt;="&amp;$B$4))</f>
        <v>0</v>
      </c>
      <c r="O112" s="42" t="n">
        <f aca="false">IF($C112="","",IF($E112="借",$M112-$N112,$N112-$M112))</f>
        <v>0</v>
      </c>
      <c r="P112" s="64" t="str">
        <f aca="false">IF($C112="","",IF(OR(ROUND($G112,2)&lt;&gt;0,ROUND($M112,2)&lt;&gt;0,ROUND($N112,2)&lt;&gt;0),"有",""))</f>
        <v/>
      </c>
    </row>
    <row r="113" customFormat="false" ht="15" hidden="false" customHeight="false" outlineLevel="0" collapsed="false">
      <c r="A113" s="25" t="str">
        <f aca="false">IF(会计科目表!$B32="","",参数设置!$A$11)</f>
        <v>木业</v>
      </c>
      <c r="B113" s="25" t="str">
        <f aca="false">IF(会计科目表!$B32="","",会计科目表!$A32)</f>
        <v>4101</v>
      </c>
      <c r="C113" s="10" t="str">
        <f aca="false">IF(会计科目表!$B32="","",会计科目表!$B32)</f>
        <v>盈余公积</v>
      </c>
      <c r="D113" s="25" t="str">
        <f aca="false">IF($C113="","",会计科目表!$C32)</f>
        <v>权益</v>
      </c>
      <c r="E113" s="25" t="str">
        <f aca="false">IF($C113="","",会计科目表!$D32)</f>
        <v>贷</v>
      </c>
      <c r="F113" s="10" t="str">
        <f aca="false">IF($C113="","",会计科目表!$F32)</f>
        <v>盈余公积</v>
      </c>
      <c r="G113" s="40" t="n">
        <f aca="false">IF($C113="","",IF($E113="借",SUMIFS(期初余额!$C$6:$C$185,期初余额!$A$6:$A$185,$A113,期初余额!$B$6:$B$185,$C113)-SUMIFS(期初余额!$D$6:$D$185,期初余额!$A$6:$A$185,$A113,期初余额!$B$6:$B$185,$C113),SUMIFS(期初余额!$D$6:$D$185,期初余额!$A$6:$A$185,$A113,期初余额!$B$6:$B$185,$C113)-SUMIFS(期初余额!$C$6:$C$185,期初余额!$A$6:$A$185,$A113,期初余额!$B$6:$B$185,$C113)))</f>
        <v>0</v>
      </c>
      <c r="H113" s="40" t="n">
        <f aca="false">IF($C113="","",$G113+IF($E113="借",SUMIFS(记账分录!$I$6:$I$5505,记账分录!$F$6:$F$5505,$A113,记账分录!$H$6:$H$5505,$C113,记账分录!$E$6:$E$5505,"&lt;"&amp;$A$4)-SUMIFS(记账分录!$J$6:$J$5505,记账分录!$F$6:$F$5505,$A113,记账分录!$H$6:$H$5505,$C113,记账分录!$E$6:$E$5505,"&lt;"&amp;$A$4),SUMIFS(记账分录!$J$6:$J$5505,记账分录!$F$6:$F$5505,$A113,记账分录!$H$6:$H$5505,$C113,记账分录!$E$6:$E$5505,"&lt;"&amp;$A$4)-SUMIFS(记账分录!$I$6:$I$5505,记账分录!$F$6:$F$5505,$A113,记账分录!$H$6:$H$5505,$C113,记账分录!$E$6:$E$5505,"&lt;"&amp;$A$4)))</f>
        <v>0</v>
      </c>
      <c r="I113" s="40" t="n">
        <f aca="false">IF($C113="","",SUMIFS(记账分录!$I$6:$I$5505,记账分录!$F$6:$F$5505,$A113,记账分录!$H$6:$H$5505,$C113,记账分录!$E$6:$E$5505,"&gt;="&amp;$A$4,记账分录!$E$6:$E$5505,"&lt;="&amp;$B$4))</f>
        <v>0</v>
      </c>
      <c r="J113" s="40" t="n">
        <f aca="false">IF($C113="","",SUMIFS(记账分录!$J$6:$J$5505,记账分录!$F$6:$F$5505,$A113,记账分录!$H$6:$H$5505,$C113,记账分录!$E$6:$E$5505,"&gt;="&amp;$A$4,记账分录!$E$6:$E$5505,"&lt;="&amp;$B$4))</f>
        <v>0</v>
      </c>
      <c r="K113" s="42" t="n">
        <f aca="false">IF($C113="","",IF($E113="借",$I113-$J113,$J113-$I113))</f>
        <v>0</v>
      </c>
      <c r="L113" s="42" t="n">
        <f aca="false">IF($C113="","",ROUND($H113+$K113,2))</f>
        <v>0</v>
      </c>
      <c r="M113" s="40" t="n">
        <f aca="false">IF($C113="","",SUMIFS(记账分录!$I$6:$I$5505,记账分录!$F$6:$F$5505,$A113,记账分录!$H$6:$H$5505,$C113,记账分录!$E$6:$E$5505,"&lt;="&amp;$B$4))</f>
        <v>0</v>
      </c>
      <c r="N113" s="40" t="n">
        <f aca="false">IF($C113="","",SUMIFS(记账分录!$J$6:$J$5505,记账分录!$F$6:$F$5505,$A113,记账分录!$H$6:$H$5505,$C113,记账分录!$E$6:$E$5505,"&lt;="&amp;$B$4))</f>
        <v>0</v>
      </c>
      <c r="O113" s="42" t="n">
        <f aca="false">IF($C113="","",IF($E113="借",$M113-$N113,$N113-$M113))</f>
        <v>0</v>
      </c>
      <c r="P113" s="64" t="str">
        <f aca="false">IF($C113="","",IF(OR(ROUND($G113,2)&lt;&gt;0,ROUND($M113,2)&lt;&gt;0,ROUND($N113,2)&lt;&gt;0),"有",""))</f>
        <v/>
      </c>
    </row>
    <row r="114" customFormat="false" ht="15" hidden="false" customHeight="false" outlineLevel="0" collapsed="false">
      <c r="A114" s="25" t="str">
        <f aca="false">IF(会计科目表!$B33="","",参数设置!$A$11)</f>
        <v>木业</v>
      </c>
      <c r="B114" s="25" t="str">
        <f aca="false">IF(会计科目表!$B33="","",会计科目表!$A33)</f>
        <v>4104</v>
      </c>
      <c r="C114" s="10" t="str">
        <f aca="false">IF(会计科目表!$B33="","",会计科目表!$B33)</f>
        <v>未分配利润</v>
      </c>
      <c r="D114" s="25" t="str">
        <f aca="false">IF($C114="","",会计科目表!$C33)</f>
        <v>权益</v>
      </c>
      <c r="E114" s="25" t="str">
        <f aca="false">IF($C114="","",会计科目表!$D33)</f>
        <v>贷</v>
      </c>
      <c r="F114" s="10" t="str">
        <f aca="false">IF($C114="","",会计科目表!$F33)</f>
        <v>未分配利润</v>
      </c>
      <c r="G114" s="40" t="n">
        <f aca="false">IF($C114="","",IF($E114="借",SUMIFS(期初余额!$C$6:$C$185,期初余额!$A$6:$A$185,$A114,期初余额!$B$6:$B$185,$C114)-SUMIFS(期初余额!$D$6:$D$185,期初余额!$A$6:$A$185,$A114,期初余额!$B$6:$B$185,$C114),SUMIFS(期初余额!$D$6:$D$185,期初余额!$A$6:$A$185,$A114,期初余额!$B$6:$B$185,$C114)-SUMIFS(期初余额!$C$6:$C$185,期初余额!$A$6:$A$185,$A114,期初余额!$B$6:$B$185,$C114)))</f>
        <v>201250</v>
      </c>
      <c r="H114" s="40" t="n">
        <f aca="false">IF($C114="","",$G114+IF($E114="借",SUMIFS(记账分录!$I$6:$I$5505,记账分录!$F$6:$F$5505,$A114,记账分录!$H$6:$H$5505,$C114,记账分录!$E$6:$E$5505,"&lt;"&amp;$A$4)-SUMIFS(记账分录!$J$6:$J$5505,记账分录!$F$6:$F$5505,$A114,记账分录!$H$6:$H$5505,$C114,记账分录!$E$6:$E$5505,"&lt;"&amp;$A$4),SUMIFS(记账分录!$J$6:$J$5505,记账分录!$F$6:$F$5505,$A114,记账分录!$H$6:$H$5505,$C114,记账分录!$E$6:$E$5505,"&lt;"&amp;$A$4)-SUMIFS(记账分录!$I$6:$I$5505,记账分录!$F$6:$F$5505,$A114,记账分录!$H$6:$H$5505,$C114,记账分录!$E$6:$E$5505,"&lt;"&amp;$A$4)))</f>
        <v>201250</v>
      </c>
      <c r="I114" s="40" t="n">
        <f aca="false">IF($C114="","",SUMIFS(记账分录!$I$6:$I$5505,记账分录!$F$6:$F$5505,$A114,记账分录!$H$6:$H$5505,$C114,记账分录!$E$6:$E$5505,"&gt;="&amp;$A$4,记账分录!$E$6:$E$5505,"&lt;="&amp;$B$4))</f>
        <v>0</v>
      </c>
      <c r="J114" s="40" t="n">
        <f aca="false">IF($C114="","",SUMIFS(记账分录!$J$6:$J$5505,记账分录!$F$6:$F$5505,$A114,记账分录!$H$6:$H$5505,$C114,记账分录!$E$6:$E$5505,"&gt;="&amp;$A$4,记账分录!$E$6:$E$5505,"&lt;="&amp;$B$4))</f>
        <v>0</v>
      </c>
      <c r="K114" s="42" t="n">
        <f aca="false">IF($C114="","",IF($E114="借",$I114-$J114,$J114-$I114))</f>
        <v>0</v>
      </c>
      <c r="L114" s="42" t="n">
        <f aca="false">IF($C114="","",ROUND($H114+$K114,2))</f>
        <v>201250</v>
      </c>
      <c r="M114" s="40" t="n">
        <f aca="false">IF($C114="","",SUMIFS(记账分录!$I$6:$I$5505,记账分录!$F$6:$F$5505,$A114,记账分录!$H$6:$H$5505,$C114,记账分录!$E$6:$E$5505,"&lt;="&amp;$B$4))</f>
        <v>0</v>
      </c>
      <c r="N114" s="40" t="n">
        <f aca="false">IF($C114="","",SUMIFS(记账分录!$J$6:$J$5505,记账分录!$F$6:$F$5505,$A114,记账分录!$H$6:$H$5505,$C114,记账分录!$E$6:$E$5505,"&lt;="&amp;$B$4))</f>
        <v>0</v>
      </c>
      <c r="O114" s="42" t="n">
        <f aca="false">IF($C114="","",IF($E114="借",$M114-$N114,$N114-$M114))</f>
        <v>0</v>
      </c>
      <c r="P114" s="64" t="str">
        <f aca="false">IF($C114="","",IF(OR(ROUND($G114,2)&lt;&gt;0,ROUND($M114,2)&lt;&gt;0,ROUND($N114,2)&lt;&gt;0),"有",""))</f>
        <v>有</v>
      </c>
    </row>
    <row r="115" customFormat="false" ht="15" hidden="false" customHeight="false" outlineLevel="0" collapsed="false">
      <c r="A115" s="25" t="str">
        <f aca="false">IF(会计科目表!$B34="","",参数设置!$A$11)</f>
        <v>木业</v>
      </c>
      <c r="B115" s="25" t="str">
        <f aca="false">IF(会计科目表!$B34="","",会计科目表!$A34)</f>
        <v>6001</v>
      </c>
      <c r="C115" s="10" t="str">
        <f aca="false">IF(会计科目表!$B34="","",会计科目表!$B34)</f>
        <v>主营业务收入</v>
      </c>
      <c r="D115" s="25" t="str">
        <f aca="false">IF($C115="","",会计科目表!$C34)</f>
        <v>损益-收入</v>
      </c>
      <c r="E115" s="25" t="str">
        <f aca="false">IF($C115="","",会计科目表!$D34)</f>
        <v>贷</v>
      </c>
      <c r="F115" s="10" t="str">
        <f aca="false">IF($C115="","",会计科目表!$F34)</f>
        <v>营业收入</v>
      </c>
      <c r="G115" s="40" t="n">
        <f aca="false">IF($C115="","",IF($E115="借",SUMIFS(期初余额!$C$6:$C$185,期初余额!$A$6:$A$185,$A115,期初余额!$B$6:$B$185,$C115)-SUMIFS(期初余额!$D$6:$D$185,期初余额!$A$6:$A$185,$A115,期初余额!$B$6:$B$185,$C115),SUMIFS(期初余额!$D$6:$D$185,期初余额!$A$6:$A$185,$A115,期初余额!$B$6:$B$185,$C115)-SUMIFS(期初余额!$C$6:$C$185,期初余额!$A$6:$A$185,$A115,期初余额!$B$6:$B$185,$C115)))</f>
        <v>0</v>
      </c>
      <c r="H115" s="40" t="n">
        <f aca="false">IF($C115="","",$G115+IF($E115="借",SUMIFS(记账分录!$I$6:$I$5505,记账分录!$F$6:$F$5505,$A115,记账分录!$H$6:$H$5505,$C115,记账分录!$E$6:$E$5505,"&lt;"&amp;$A$4)-SUMIFS(记账分录!$J$6:$J$5505,记账分录!$F$6:$F$5505,$A115,记账分录!$H$6:$H$5505,$C115,记账分录!$E$6:$E$5505,"&lt;"&amp;$A$4),SUMIFS(记账分录!$J$6:$J$5505,记账分录!$F$6:$F$5505,$A115,记账分录!$H$6:$H$5505,$C115,记账分录!$E$6:$E$5505,"&lt;"&amp;$A$4)-SUMIFS(记账分录!$I$6:$I$5505,记账分录!$F$6:$F$5505,$A115,记账分录!$H$6:$H$5505,$C115,记账分录!$E$6:$E$5505,"&lt;"&amp;$A$4)))</f>
        <v>0</v>
      </c>
      <c r="I115" s="40" t="n">
        <f aca="false">IF($C115="","",SUMIFS(记账分录!$I$6:$I$5505,记账分录!$F$6:$F$5505,$A115,记账分录!$H$6:$H$5505,$C115,记账分录!$E$6:$E$5505,"&gt;="&amp;$A$4,记账分录!$E$6:$E$5505,"&lt;="&amp;$B$4))</f>
        <v>0</v>
      </c>
      <c r="J115" s="40" t="n">
        <f aca="false">IF($C115="","",SUMIFS(记账分录!$J$6:$J$5505,记账分录!$F$6:$F$5505,$A115,记账分录!$H$6:$H$5505,$C115,记账分录!$E$6:$E$5505,"&gt;="&amp;$A$4,记账分录!$E$6:$E$5505,"&lt;="&amp;$B$4))</f>
        <v>582000</v>
      </c>
      <c r="K115" s="42" t="n">
        <f aca="false">IF($C115="","",IF($E115="借",$I115-$J115,$J115-$I115))</f>
        <v>582000</v>
      </c>
      <c r="L115" s="42" t="n">
        <f aca="false">IF($C115="","",ROUND($H115+$K115,2))</f>
        <v>582000</v>
      </c>
      <c r="M115" s="40" t="n">
        <f aca="false">IF($C115="","",SUMIFS(记账分录!$I$6:$I$5505,记账分录!$F$6:$F$5505,$A115,记账分录!$H$6:$H$5505,$C115,记账分录!$E$6:$E$5505,"&lt;="&amp;$B$4))</f>
        <v>0</v>
      </c>
      <c r="N115" s="40" t="n">
        <f aca="false">IF($C115="","",SUMIFS(记账分录!$J$6:$J$5505,记账分录!$F$6:$F$5505,$A115,记账分录!$H$6:$H$5505,$C115,记账分录!$E$6:$E$5505,"&lt;="&amp;$B$4))</f>
        <v>582000</v>
      </c>
      <c r="O115" s="42" t="n">
        <f aca="false">IF($C115="","",IF($E115="借",$M115-$N115,$N115-$M115))</f>
        <v>582000</v>
      </c>
      <c r="P115" s="64" t="str">
        <f aca="false">IF($C115="","",IF(OR(ROUND($G115,2)&lt;&gt;0,ROUND($M115,2)&lt;&gt;0,ROUND($N115,2)&lt;&gt;0),"有",""))</f>
        <v>有</v>
      </c>
    </row>
    <row r="116" customFormat="false" ht="15" hidden="false" customHeight="false" outlineLevel="0" collapsed="false">
      <c r="A116" s="25" t="str">
        <f aca="false">IF(会计科目表!$B35="","",参数设置!$A$11)</f>
        <v>木业</v>
      </c>
      <c r="B116" s="25" t="str">
        <f aca="false">IF(会计科目表!$B35="","",会计科目表!$A35)</f>
        <v>6051</v>
      </c>
      <c r="C116" s="10" t="str">
        <f aca="false">IF(会计科目表!$B35="","",会计科目表!$B35)</f>
        <v>其他业务收入</v>
      </c>
      <c r="D116" s="25" t="str">
        <f aca="false">IF($C116="","",会计科目表!$C35)</f>
        <v>损益-收入</v>
      </c>
      <c r="E116" s="25" t="str">
        <f aca="false">IF($C116="","",会计科目表!$D35)</f>
        <v>贷</v>
      </c>
      <c r="F116" s="10" t="str">
        <f aca="false">IF($C116="","",会计科目表!$F35)</f>
        <v>营业收入</v>
      </c>
      <c r="G116" s="40" t="n">
        <f aca="false">IF($C116="","",IF($E116="借",SUMIFS(期初余额!$C$6:$C$185,期初余额!$A$6:$A$185,$A116,期初余额!$B$6:$B$185,$C116)-SUMIFS(期初余额!$D$6:$D$185,期初余额!$A$6:$A$185,$A116,期初余额!$B$6:$B$185,$C116),SUMIFS(期初余额!$D$6:$D$185,期初余额!$A$6:$A$185,$A116,期初余额!$B$6:$B$185,$C116)-SUMIFS(期初余额!$C$6:$C$185,期初余额!$A$6:$A$185,$A116,期初余额!$B$6:$B$185,$C116)))</f>
        <v>0</v>
      </c>
      <c r="H116" s="40" t="n">
        <f aca="false">IF($C116="","",$G116+IF($E116="借",SUMIFS(记账分录!$I$6:$I$5505,记账分录!$F$6:$F$5505,$A116,记账分录!$H$6:$H$5505,$C116,记账分录!$E$6:$E$5505,"&lt;"&amp;$A$4)-SUMIFS(记账分录!$J$6:$J$5505,记账分录!$F$6:$F$5505,$A116,记账分录!$H$6:$H$5505,$C116,记账分录!$E$6:$E$5505,"&lt;"&amp;$A$4),SUMIFS(记账分录!$J$6:$J$5505,记账分录!$F$6:$F$5505,$A116,记账分录!$H$6:$H$5505,$C116,记账分录!$E$6:$E$5505,"&lt;"&amp;$A$4)-SUMIFS(记账分录!$I$6:$I$5505,记账分录!$F$6:$F$5505,$A116,记账分录!$H$6:$H$5505,$C116,记账分录!$E$6:$E$5505,"&lt;"&amp;$A$4)))</f>
        <v>0</v>
      </c>
      <c r="I116" s="40" t="n">
        <f aca="false">IF($C116="","",SUMIFS(记账分录!$I$6:$I$5505,记账分录!$F$6:$F$5505,$A116,记账分录!$H$6:$H$5505,$C116,记账分录!$E$6:$E$5505,"&gt;="&amp;$A$4,记账分录!$E$6:$E$5505,"&lt;="&amp;$B$4))</f>
        <v>0</v>
      </c>
      <c r="J116" s="40" t="n">
        <f aca="false">IF($C116="","",SUMIFS(记账分录!$J$6:$J$5505,记账分录!$F$6:$F$5505,$A116,记账分录!$H$6:$H$5505,$C116,记账分录!$E$6:$E$5505,"&gt;="&amp;$A$4,记账分录!$E$6:$E$5505,"&lt;="&amp;$B$4))</f>
        <v>0</v>
      </c>
      <c r="K116" s="42" t="n">
        <f aca="false">IF($C116="","",IF($E116="借",$I116-$J116,$J116-$I116))</f>
        <v>0</v>
      </c>
      <c r="L116" s="42" t="n">
        <f aca="false">IF($C116="","",ROUND($H116+$K116,2))</f>
        <v>0</v>
      </c>
      <c r="M116" s="40" t="n">
        <f aca="false">IF($C116="","",SUMIFS(记账分录!$I$6:$I$5505,记账分录!$F$6:$F$5505,$A116,记账分录!$H$6:$H$5505,$C116,记账分录!$E$6:$E$5505,"&lt;="&amp;$B$4))</f>
        <v>0</v>
      </c>
      <c r="N116" s="40" t="n">
        <f aca="false">IF($C116="","",SUMIFS(记账分录!$J$6:$J$5505,记账分录!$F$6:$F$5505,$A116,记账分录!$H$6:$H$5505,$C116,记账分录!$E$6:$E$5505,"&lt;="&amp;$B$4))</f>
        <v>0</v>
      </c>
      <c r="O116" s="42" t="n">
        <f aca="false">IF($C116="","",IF($E116="借",$M116-$N116,$N116-$M116))</f>
        <v>0</v>
      </c>
      <c r="P116" s="64" t="str">
        <f aca="false">IF($C116="","",IF(OR(ROUND($G116,2)&lt;&gt;0,ROUND($M116,2)&lt;&gt;0,ROUND($N116,2)&lt;&gt;0),"有",""))</f>
        <v/>
      </c>
    </row>
    <row r="117" customFormat="false" ht="15" hidden="false" customHeight="false" outlineLevel="0" collapsed="false">
      <c r="A117" s="25" t="str">
        <f aca="false">IF(会计科目表!$B36="","",参数设置!$A$11)</f>
        <v>木业</v>
      </c>
      <c r="B117" s="25" t="str">
        <f aca="false">IF(会计科目表!$B36="","",会计科目表!$A36)</f>
        <v>6111</v>
      </c>
      <c r="C117" s="10" t="str">
        <f aca="false">IF(会计科目表!$B36="","",会计科目表!$B36)</f>
        <v>投资收益</v>
      </c>
      <c r="D117" s="25" t="str">
        <f aca="false">IF($C117="","",会计科目表!$C36)</f>
        <v>损益-收入</v>
      </c>
      <c r="E117" s="25" t="str">
        <f aca="false">IF($C117="","",会计科目表!$D36)</f>
        <v>贷</v>
      </c>
      <c r="F117" s="10" t="str">
        <f aca="false">IF($C117="","",会计科目表!$F36)</f>
        <v>投资收益</v>
      </c>
      <c r="G117" s="40" t="n">
        <f aca="false">IF($C117="","",IF($E117="借",SUMIFS(期初余额!$C$6:$C$185,期初余额!$A$6:$A$185,$A117,期初余额!$B$6:$B$185,$C117)-SUMIFS(期初余额!$D$6:$D$185,期初余额!$A$6:$A$185,$A117,期初余额!$B$6:$B$185,$C117),SUMIFS(期初余额!$D$6:$D$185,期初余额!$A$6:$A$185,$A117,期初余额!$B$6:$B$185,$C117)-SUMIFS(期初余额!$C$6:$C$185,期初余额!$A$6:$A$185,$A117,期初余额!$B$6:$B$185,$C117)))</f>
        <v>0</v>
      </c>
      <c r="H117" s="40" t="n">
        <f aca="false">IF($C117="","",$G117+IF($E117="借",SUMIFS(记账分录!$I$6:$I$5505,记账分录!$F$6:$F$5505,$A117,记账分录!$H$6:$H$5505,$C117,记账分录!$E$6:$E$5505,"&lt;"&amp;$A$4)-SUMIFS(记账分录!$J$6:$J$5505,记账分录!$F$6:$F$5505,$A117,记账分录!$H$6:$H$5505,$C117,记账分录!$E$6:$E$5505,"&lt;"&amp;$A$4),SUMIFS(记账分录!$J$6:$J$5505,记账分录!$F$6:$F$5505,$A117,记账分录!$H$6:$H$5505,$C117,记账分录!$E$6:$E$5505,"&lt;"&amp;$A$4)-SUMIFS(记账分录!$I$6:$I$5505,记账分录!$F$6:$F$5505,$A117,记账分录!$H$6:$H$5505,$C117,记账分录!$E$6:$E$5505,"&lt;"&amp;$A$4)))</f>
        <v>0</v>
      </c>
      <c r="I117" s="40" t="n">
        <f aca="false">IF($C117="","",SUMIFS(记账分录!$I$6:$I$5505,记账分录!$F$6:$F$5505,$A117,记账分录!$H$6:$H$5505,$C117,记账分录!$E$6:$E$5505,"&gt;="&amp;$A$4,记账分录!$E$6:$E$5505,"&lt;="&amp;$B$4))</f>
        <v>0</v>
      </c>
      <c r="J117" s="40" t="n">
        <f aca="false">IF($C117="","",SUMIFS(记账分录!$J$6:$J$5505,记账分录!$F$6:$F$5505,$A117,记账分录!$H$6:$H$5505,$C117,记账分录!$E$6:$E$5505,"&gt;="&amp;$A$4,记账分录!$E$6:$E$5505,"&lt;="&amp;$B$4))</f>
        <v>0</v>
      </c>
      <c r="K117" s="42" t="n">
        <f aca="false">IF($C117="","",IF($E117="借",$I117-$J117,$J117-$I117))</f>
        <v>0</v>
      </c>
      <c r="L117" s="42" t="n">
        <f aca="false">IF($C117="","",ROUND($H117+$K117,2))</f>
        <v>0</v>
      </c>
      <c r="M117" s="40" t="n">
        <f aca="false">IF($C117="","",SUMIFS(记账分录!$I$6:$I$5505,记账分录!$F$6:$F$5505,$A117,记账分录!$H$6:$H$5505,$C117,记账分录!$E$6:$E$5505,"&lt;="&amp;$B$4))</f>
        <v>0</v>
      </c>
      <c r="N117" s="40" t="n">
        <f aca="false">IF($C117="","",SUMIFS(记账分录!$J$6:$J$5505,记账分录!$F$6:$F$5505,$A117,记账分录!$H$6:$H$5505,$C117,记账分录!$E$6:$E$5505,"&lt;="&amp;$B$4))</f>
        <v>0</v>
      </c>
      <c r="O117" s="42" t="n">
        <f aca="false">IF($C117="","",IF($E117="借",$M117-$N117,$N117-$M117))</f>
        <v>0</v>
      </c>
      <c r="P117" s="64" t="str">
        <f aca="false">IF($C117="","",IF(OR(ROUND($G117,2)&lt;&gt;0,ROUND($M117,2)&lt;&gt;0,ROUND($N117,2)&lt;&gt;0),"有",""))</f>
        <v/>
      </c>
    </row>
    <row r="118" customFormat="false" ht="15" hidden="false" customHeight="false" outlineLevel="0" collapsed="false">
      <c r="A118" s="25" t="str">
        <f aca="false">IF(会计科目表!$B37="","",参数设置!$A$11)</f>
        <v>木业</v>
      </c>
      <c r="B118" s="25" t="str">
        <f aca="false">IF(会计科目表!$B37="","",会计科目表!$A37)</f>
        <v>6301</v>
      </c>
      <c r="C118" s="10" t="str">
        <f aca="false">IF(会计科目表!$B37="","",会计科目表!$B37)</f>
        <v>营业外收入</v>
      </c>
      <c r="D118" s="25" t="str">
        <f aca="false">IF($C118="","",会计科目表!$C37)</f>
        <v>损益-收入</v>
      </c>
      <c r="E118" s="25" t="str">
        <f aca="false">IF($C118="","",会计科目表!$D37)</f>
        <v>贷</v>
      </c>
      <c r="F118" s="10" t="str">
        <f aca="false">IF($C118="","",会计科目表!$F37)</f>
        <v>营业外收入</v>
      </c>
      <c r="G118" s="40" t="n">
        <f aca="false">IF($C118="","",IF($E118="借",SUMIFS(期初余额!$C$6:$C$185,期初余额!$A$6:$A$185,$A118,期初余额!$B$6:$B$185,$C118)-SUMIFS(期初余额!$D$6:$D$185,期初余额!$A$6:$A$185,$A118,期初余额!$B$6:$B$185,$C118),SUMIFS(期初余额!$D$6:$D$185,期初余额!$A$6:$A$185,$A118,期初余额!$B$6:$B$185,$C118)-SUMIFS(期初余额!$C$6:$C$185,期初余额!$A$6:$A$185,$A118,期初余额!$B$6:$B$185,$C118)))</f>
        <v>0</v>
      </c>
      <c r="H118" s="40" t="n">
        <f aca="false">IF($C118="","",$G118+IF($E118="借",SUMIFS(记账分录!$I$6:$I$5505,记账分录!$F$6:$F$5505,$A118,记账分录!$H$6:$H$5505,$C118,记账分录!$E$6:$E$5505,"&lt;"&amp;$A$4)-SUMIFS(记账分录!$J$6:$J$5505,记账分录!$F$6:$F$5505,$A118,记账分录!$H$6:$H$5505,$C118,记账分录!$E$6:$E$5505,"&lt;"&amp;$A$4),SUMIFS(记账分录!$J$6:$J$5505,记账分录!$F$6:$F$5505,$A118,记账分录!$H$6:$H$5505,$C118,记账分录!$E$6:$E$5505,"&lt;"&amp;$A$4)-SUMIFS(记账分录!$I$6:$I$5505,记账分录!$F$6:$F$5505,$A118,记账分录!$H$6:$H$5505,$C118,记账分录!$E$6:$E$5505,"&lt;"&amp;$A$4)))</f>
        <v>0</v>
      </c>
      <c r="I118" s="40" t="n">
        <f aca="false">IF($C118="","",SUMIFS(记账分录!$I$6:$I$5505,记账分录!$F$6:$F$5505,$A118,记账分录!$H$6:$H$5505,$C118,记账分录!$E$6:$E$5505,"&gt;="&amp;$A$4,记账分录!$E$6:$E$5505,"&lt;="&amp;$B$4))</f>
        <v>0</v>
      </c>
      <c r="J118" s="40" t="n">
        <f aca="false">IF($C118="","",SUMIFS(记账分录!$J$6:$J$5505,记账分录!$F$6:$F$5505,$A118,记账分录!$H$6:$H$5505,$C118,记账分录!$E$6:$E$5505,"&gt;="&amp;$A$4,记账分录!$E$6:$E$5505,"&lt;="&amp;$B$4))</f>
        <v>0</v>
      </c>
      <c r="K118" s="42" t="n">
        <f aca="false">IF($C118="","",IF($E118="借",$I118-$J118,$J118-$I118))</f>
        <v>0</v>
      </c>
      <c r="L118" s="42" t="n">
        <f aca="false">IF($C118="","",ROUND($H118+$K118,2))</f>
        <v>0</v>
      </c>
      <c r="M118" s="40" t="n">
        <f aca="false">IF($C118="","",SUMIFS(记账分录!$I$6:$I$5505,记账分录!$F$6:$F$5505,$A118,记账分录!$H$6:$H$5505,$C118,记账分录!$E$6:$E$5505,"&lt;="&amp;$B$4))</f>
        <v>0</v>
      </c>
      <c r="N118" s="40" t="n">
        <f aca="false">IF($C118="","",SUMIFS(记账分录!$J$6:$J$5505,记账分录!$F$6:$F$5505,$A118,记账分录!$H$6:$H$5505,$C118,记账分录!$E$6:$E$5505,"&lt;="&amp;$B$4))</f>
        <v>0</v>
      </c>
      <c r="O118" s="42" t="n">
        <f aca="false">IF($C118="","",IF($E118="借",$M118-$N118,$N118-$M118))</f>
        <v>0</v>
      </c>
      <c r="P118" s="64" t="str">
        <f aca="false">IF($C118="","",IF(OR(ROUND($G118,2)&lt;&gt;0,ROUND($M118,2)&lt;&gt;0,ROUND($N118,2)&lt;&gt;0),"有",""))</f>
        <v/>
      </c>
    </row>
    <row r="119" customFormat="false" ht="15" hidden="false" customHeight="false" outlineLevel="0" collapsed="false">
      <c r="A119" s="25" t="str">
        <f aca="false">IF(会计科目表!$B38="","",参数设置!$A$11)</f>
        <v>木业</v>
      </c>
      <c r="B119" s="25" t="str">
        <f aca="false">IF(会计科目表!$B38="","",会计科目表!$A38)</f>
        <v>6401</v>
      </c>
      <c r="C119" s="10" t="str">
        <f aca="false">IF(会计科目表!$B38="","",会计科目表!$B38)</f>
        <v>主营业务成本</v>
      </c>
      <c r="D119" s="25" t="str">
        <f aca="false">IF($C119="","",会计科目表!$C38)</f>
        <v>损益-费用</v>
      </c>
      <c r="E119" s="25" t="str">
        <f aca="false">IF($C119="","",会计科目表!$D38)</f>
        <v>借</v>
      </c>
      <c r="F119" s="10" t="str">
        <f aca="false">IF($C119="","",会计科目表!$F38)</f>
        <v>营业成本</v>
      </c>
      <c r="G119" s="40" t="n">
        <f aca="false">IF($C119="","",IF($E119="借",SUMIFS(期初余额!$C$6:$C$185,期初余额!$A$6:$A$185,$A119,期初余额!$B$6:$B$185,$C119)-SUMIFS(期初余额!$D$6:$D$185,期初余额!$A$6:$A$185,$A119,期初余额!$B$6:$B$185,$C119),SUMIFS(期初余额!$D$6:$D$185,期初余额!$A$6:$A$185,$A119,期初余额!$B$6:$B$185,$C119)-SUMIFS(期初余额!$C$6:$C$185,期初余额!$A$6:$A$185,$A119,期初余额!$B$6:$B$185,$C119)))</f>
        <v>0</v>
      </c>
      <c r="H119" s="40" t="n">
        <f aca="false">IF($C119="","",$G119+IF($E119="借",SUMIFS(记账分录!$I$6:$I$5505,记账分录!$F$6:$F$5505,$A119,记账分录!$H$6:$H$5505,$C119,记账分录!$E$6:$E$5505,"&lt;"&amp;$A$4)-SUMIFS(记账分录!$J$6:$J$5505,记账分录!$F$6:$F$5505,$A119,记账分录!$H$6:$H$5505,$C119,记账分录!$E$6:$E$5505,"&lt;"&amp;$A$4),SUMIFS(记账分录!$J$6:$J$5505,记账分录!$F$6:$F$5505,$A119,记账分录!$H$6:$H$5505,$C119,记账分录!$E$6:$E$5505,"&lt;"&amp;$A$4)-SUMIFS(记账分录!$I$6:$I$5505,记账分录!$F$6:$F$5505,$A119,记账分录!$H$6:$H$5505,$C119,记账分录!$E$6:$E$5505,"&lt;"&amp;$A$4)))</f>
        <v>0</v>
      </c>
      <c r="I119" s="40" t="n">
        <f aca="false">IF($C119="","",SUMIFS(记账分录!$I$6:$I$5505,记账分录!$F$6:$F$5505,$A119,记账分录!$H$6:$H$5505,$C119,记账分录!$E$6:$E$5505,"&gt;="&amp;$A$4,记账分录!$E$6:$E$5505,"&lt;="&amp;$B$4))</f>
        <v>366029.05</v>
      </c>
      <c r="J119" s="40" t="n">
        <f aca="false">IF($C119="","",SUMIFS(记账分录!$J$6:$J$5505,记账分录!$F$6:$F$5505,$A119,记账分录!$H$6:$H$5505,$C119,记账分录!$E$6:$E$5505,"&gt;="&amp;$A$4,记账分录!$E$6:$E$5505,"&lt;="&amp;$B$4))</f>
        <v>0</v>
      </c>
      <c r="K119" s="42" t="n">
        <f aca="false">IF($C119="","",IF($E119="借",$I119-$J119,$J119-$I119))</f>
        <v>366029.05</v>
      </c>
      <c r="L119" s="42" t="n">
        <f aca="false">IF($C119="","",ROUND($H119+$K119,2))</f>
        <v>366029.05</v>
      </c>
      <c r="M119" s="40" t="n">
        <f aca="false">IF($C119="","",SUMIFS(记账分录!$I$6:$I$5505,记账分录!$F$6:$F$5505,$A119,记账分录!$H$6:$H$5505,$C119,记账分录!$E$6:$E$5505,"&lt;="&amp;$B$4))</f>
        <v>366029.05</v>
      </c>
      <c r="N119" s="40" t="n">
        <f aca="false">IF($C119="","",SUMIFS(记账分录!$J$6:$J$5505,记账分录!$F$6:$F$5505,$A119,记账分录!$H$6:$H$5505,$C119,记账分录!$E$6:$E$5505,"&lt;="&amp;$B$4))</f>
        <v>0</v>
      </c>
      <c r="O119" s="42" t="n">
        <f aca="false">IF($C119="","",IF($E119="借",$M119-$N119,$N119-$M119))</f>
        <v>366029.05</v>
      </c>
      <c r="P119" s="64" t="str">
        <f aca="false">IF($C119="","",IF(OR(ROUND($G119,2)&lt;&gt;0,ROUND($M119,2)&lt;&gt;0,ROUND($N119,2)&lt;&gt;0),"有",""))</f>
        <v>有</v>
      </c>
    </row>
    <row r="120" customFormat="false" ht="15" hidden="false" customHeight="false" outlineLevel="0" collapsed="false">
      <c r="A120" s="25" t="str">
        <f aca="false">IF(会计科目表!$B39="","",参数设置!$A$11)</f>
        <v>木业</v>
      </c>
      <c r="B120" s="25" t="str">
        <f aca="false">IF(会计科目表!$B39="","",会计科目表!$A39)</f>
        <v>6402</v>
      </c>
      <c r="C120" s="10" t="str">
        <f aca="false">IF(会计科目表!$B39="","",会计科目表!$B39)</f>
        <v>其他业务成本</v>
      </c>
      <c r="D120" s="25" t="str">
        <f aca="false">IF($C120="","",会计科目表!$C39)</f>
        <v>损益-费用</v>
      </c>
      <c r="E120" s="25" t="str">
        <f aca="false">IF($C120="","",会计科目表!$D39)</f>
        <v>借</v>
      </c>
      <c r="F120" s="10" t="str">
        <f aca="false">IF($C120="","",会计科目表!$F39)</f>
        <v>营业成本</v>
      </c>
      <c r="G120" s="40" t="n">
        <f aca="false">IF($C120="","",IF($E120="借",SUMIFS(期初余额!$C$6:$C$185,期初余额!$A$6:$A$185,$A120,期初余额!$B$6:$B$185,$C120)-SUMIFS(期初余额!$D$6:$D$185,期初余额!$A$6:$A$185,$A120,期初余额!$B$6:$B$185,$C120),SUMIFS(期初余额!$D$6:$D$185,期初余额!$A$6:$A$185,$A120,期初余额!$B$6:$B$185,$C120)-SUMIFS(期初余额!$C$6:$C$185,期初余额!$A$6:$A$185,$A120,期初余额!$B$6:$B$185,$C120)))</f>
        <v>0</v>
      </c>
      <c r="H120" s="40" t="n">
        <f aca="false">IF($C120="","",$G120+IF($E120="借",SUMIFS(记账分录!$I$6:$I$5505,记账分录!$F$6:$F$5505,$A120,记账分录!$H$6:$H$5505,$C120,记账分录!$E$6:$E$5505,"&lt;"&amp;$A$4)-SUMIFS(记账分录!$J$6:$J$5505,记账分录!$F$6:$F$5505,$A120,记账分录!$H$6:$H$5505,$C120,记账分录!$E$6:$E$5505,"&lt;"&amp;$A$4),SUMIFS(记账分录!$J$6:$J$5505,记账分录!$F$6:$F$5505,$A120,记账分录!$H$6:$H$5505,$C120,记账分录!$E$6:$E$5505,"&lt;"&amp;$A$4)-SUMIFS(记账分录!$I$6:$I$5505,记账分录!$F$6:$F$5505,$A120,记账分录!$H$6:$H$5505,$C120,记账分录!$E$6:$E$5505,"&lt;"&amp;$A$4)))</f>
        <v>0</v>
      </c>
      <c r="I120" s="40" t="n">
        <f aca="false">IF($C120="","",SUMIFS(记账分录!$I$6:$I$5505,记账分录!$F$6:$F$5505,$A120,记账分录!$H$6:$H$5505,$C120,记账分录!$E$6:$E$5505,"&gt;="&amp;$A$4,记账分录!$E$6:$E$5505,"&lt;="&amp;$B$4))</f>
        <v>0</v>
      </c>
      <c r="J120" s="40" t="n">
        <f aca="false">IF($C120="","",SUMIFS(记账分录!$J$6:$J$5505,记账分录!$F$6:$F$5505,$A120,记账分录!$H$6:$H$5505,$C120,记账分录!$E$6:$E$5505,"&gt;="&amp;$A$4,记账分录!$E$6:$E$5505,"&lt;="&amp;$B$4))</f>
        <v>0</v>
      </c>
      <c r="K120" s="42" t="n">
        <f aca="false">IF($C120="","",IF($E120="借",$I120-$J120,$J120-$I120))</f>
        <v>0</v>
      </c>
      <c r="L120" s="42" t="n">
        <f aca="false">IF($C120="","",ROUND($H120+$K120,2))</f>
        <v>0</v>
      </c>
      <c r="M120" s="40" t="n">
        <f aca="false">IF($C120="","",SUMIFS(记账分录!$I$6:$I$5505,记账分录!$F$6:$F$5505,$A120,记账分录!$H$6:$H$5505,$C120,记账分录!$E$6:$E$5505,"&lt;="&amp;$B$4))</f>
        <v>0</v>
      </c>
      <c r="N120" s="40" t="n">
        <f aca="false">IF($C120="","",SUMIFS(记账分录!$J$6:$J$5505,记账分录!$F$6:$F$5505,$A120,记账分录!$H$6:$H$5505,$C120,记账分录!$E$6:$E$5505,"&lt;="&amp;$B$4))</f>
        <v>0</v>
      </c>
      <c r="O120" s="42" t="n">
        <f aca="false">IF($C120="","",IF($E120="借",$M120-$N120,$N120-$M120))</f>
        <v>0</v>
      </c>
      <c r="P120" s="64" t="str">
        <f aca="false">IF($C120="","",IF(OR(ROUND($G120,2)&lt;&gt;0,ROUND($M120,2)&lt;&gt;0,ROUND($N120,2)&lt;&gt;0),"有",""))</f>
        <v/>
      </c>
    </row>
    <row r="121" customFormat="false" ht="15" hidden="false" customHeight="false" outlineLevel="0" collapsed="false">
      <c r="A121" s="25" t="str">
        <f aca="false">IF(会计科目表!$B40="","",参数设置!$A$11)</f>
        <v>木业</v>
      </c>
      <c r="B121" s="25" t="str">
        <f aca="false">IF(会计科目表!$B40="","",会计科目表!$A40)</f>
        <v>6403</v>
      </c>
      <c r="C121" s="10" t="str">
        <f aca="false">IF(会计科目表!$B40="","",会计科目表!$B40)</f>
        <v>税金及附加</v>
      </c>
      <c r="D121" s="25" t="str">
        <f aca="false">IF($C121="","",会计科目表!$C40)</f>
        <v>损益-费用</v>
      </c>
      <c r="E121" s="25" t="str">
        <f aca="false">IF($C121="","",会计科目表!$D40)</f>
        <v>借</v>
      </c>
      <c r="F121" s="10" t="str">
        <f aca="false">IF($C121="","",会计科目表!$F40)</f>
        <v>税金及附加</v>
      </c>
      <c r="G121" s="40" t="n">
        <f aca="false">IF($C121="","",IF($E121="借",SUMIFS(期初余额!$C$6:$C$185,期初余额!$A$6:$A$185,$A121,期初余额!$B$6:$B$185,$C121)-SUMIFS(期初余额!$D$6:$D$185,期初余额!$A$6:$A$185,$A121,期初余额!$B$6:$B$185,$C121),SUMIFS(期初余额!$D$6:$D$185,期初余额!$A$6:$A$185,$A121,期初余额!$B$6:$B$185,$C121)-SUMIFS(期初余额!$C$6:$C$185,期初余额!$A$6:$A$185,$A121,期初余额!$B$6:$B$185,$C121)))</f>
        <v>0</v>
      </c>
      <c r="H121" s="40" t="n">
        <f aca="false">IF($C121="","",$G121+IF($E121="借",SUMIFS(记账分录!$I$6:$I$5505,记账分录!$F$6:$F$5505,$A121,记账分录!$H$6:$H$5505,$C121,记账分录!$E$6:$E$5505,"&lt;"&amp;$A$4)-SUMIFS(记账分录!$J$6:$J$5505,记账分录!$F$6:$F$5505,$A121,记账分录!$H$6:$H$5505,$C121,记账分录!$E$6:$E$5505,"&lt;"&amp;$A$4),SUMIFS(记账分录!$J$6:$J$5505,记账分录!$F$6:$F$5505,$A121,记账分录!$H$6:$H$5505,$C121,记账分录!$E$6:$E$5505,"&lt;"&amp;$A$4)-SUMIFS(记账分录!$I$6:$I$5505,记账分录!$F$6:$F$5505,$A121,记账分录!$H$6:$H$5505,$C121,记账分录!$E$6:$E$5505,"&lt;"&amp;$A$4)))</f>
        <v>0</v>
      </c>
      <c r="I121" s="40" t="n">
        <f aca="false">IF($C121="","",SUMIFS(记账分录!$I$6:$I$5505,记账分录!$F$6:$F$5505,$A121,记账分录!$H$6:$H$5505,$C121,记账分录!$E$6:$E$5505,"&gt;="&amp;$A$4,记账分录!$E$6:$E$5505,"&lt;="&amp;$B$4))</f>
        <v>31360</v>
      </c>
      <c r="J121" s="40" t="n">
        <f aca="false">IF($C121="","",SUMIFS(记账分录!$J$6:$J$5505,记账分录!$F$6:$F$5505,$A121,记账分录!$H$6:$H$5505,$C121,记账分录!$E$6:$E$5505,"&gt;="&amp;$A$4,记账分录!$E$6:$E$5505,"&lt;="&amp;$B$4))</f>
        <v>0</v>
      </c>
      <c r="K121" s="42" t="n">
        <f aca="false">IF($C121="","",IF($E121="借",$I121-$J121,$J121-$I121))</f>
        <v>31360</v>
      </c>
      <c r="L121" s="42" t="n">
        <f aca="false">IF($C121="","",ROUND($H121+$K121,2))</f>
        <v>31360</v>
      </c>
      <c r="M121" s="40" t="n">
        <f aca="false">IF($C121="","",SUMIFS(记账分录!$I$6:$I$5505,记账分录!$F$6:$F$5505,$A121,记账分录!$H$6:$H$5505,$C121,记账分录!$E$6:$E$5505,"&lt;="&amp;$B$4))</f>
        <v>31360</v>
      </c>
      <c r="N121" s="40" t="n">
        <f aca="false">IF($C121="","",SUMIFS(记账分录!$J$6:$J$5505,记账分录!$F$6:$F$5505,$A121,记账分录!$H$6:$H$5505,$C121,记账分录!$E$6:$E$5505,"&lt;="&amp;$B$4))</f>
        <v>0</v>
      </c>
      <c r="O121" s="42" t="n">
        <f aca="false">IF($C121="","",IF($E121="借",$M121-$N121,$N121-$M121))</f>
        <v>31360</v>
      </c>
      <c r="P121" s="64" t="str">
        <f aca="false">IF($C121="","",IF(OR(ROUND($G121,2)&lt;&gt;0,ROUND($M121,2)&lt;&gt;0,ROUND($N121,2)&lt;&gt;0),"有",""))</f>
        <v>有</v>
      </c>
    </row>
    <row r="122" customFormat="false" ht="15" hidden="false" customHeight="false" outlineLevel="0" collapsed="false">
      <c r="A122" s="25" t="str">
        <f aca="false">IF(会计科目表!$B41="","",参数设置!$A$11)</f>
        <v>木业</v>
      </c>
      <c r="B122" s="25" t="str">
        <f aca="false">IF(会计科目表!$B41="","",会计科目表!$A41)</f>
        <v>6601</v>
      </c>
      <c r="C122" s="10" t="str">
        <f aca="false">IF(会计科目表!$B41="","",会计科目表!$B41)</f>
        <v>销售费用</v>
      </c>
      <c r="D122" s="25" t="str">
        <f aca="false">IF($C122="","",会计科目表!$C41)</f>
        <v>损益-费用</v>
      </c>
      <c r="E122" s="25" t="str">
        <f aca="false">IF($C122="","",会计科目表!$D41)</f>
        <v>借</v>
      </c>
      <c r="F122" s="10" t="str">
        <f aca="false">IF($C122="","",会计科目表!$F41)</f>
        <v>销售费用</v>
      </c>
      <c r="G122" s="40" t="n">
        <f aca="false">IF($C122="","",IF($E122="借",SUMIFS(期初余额!$C$6:$C$185,期初余额!$A$6:$A$185,$A122,期初余额!$B$6:$B$185,$C122)-SUMIFS(期初余额!$D$6:$D$185,期初余额!$A$6:$A$185,$A122,期初余额!$B$6:$B$185,$C122),SUMIFS(期初余额!$D$6:$D$185,期初余额!$A$6:$A$185,$A122,期初余额!$B$6:$B$185,$C122)-SUMIFS(期初余额!$C$6:$C$185,期初余额!$A$6:$A$185,$A122,期初余额!$B$6:$B$185,$C122)))</f>
        <v>0</v>
      </c>
      <c r="H122" s="40" t="n">
        <f aca="false">IF($C122="","",$G122+IF($E122="借",SUMIFS(记账分录!$I$6:$I$5505,记账分录!$F$6:$F$5505,$A122,记账分录!$H$6:$H$5505,$C122,记账分录!$E$6:$E$5505,"&lt;"&amp;$A$4)-SUMIFS(记账分录!$J$6:$J$5505,记账分录!$F$6:$F$5505,$A122,记账分录!$H$6:$H$5505,$C122,记账分录!$E$6:$E$5505,"&lt;"&amp;$A$4),SUMIFS(记账分录!$J$6:$J$5505,记账分录!$F$6:$F$5505,$A122,记账分录!$H$6:$H$5505,$C122,记账分录!$E$6:$E$5505,"&lt;"&amp;$A$4)-SUMIFS(记账分录!$I$6:$I$5505,记账分录!$F$6:$F$5505,$A122,记账分录!$H$6:$H$5505,$C122,记账分录!$E$6:$E$5505,"&lt;"&amp;$A$4)))</f>
        <v>0</v>
      </c>
      <c r="I122" s="40" t="n">
        <f aca="false">IF($C122="","",SUMIFS(记账分录!$I$6:$I$5505,记账分录!$F$6:$F$5505,$A122,记账分录!$H$6:$H$5505,$C122,记账分录!$E$6:$E$5505,"&gt;="&amp;$A$4,记账分录!$E$6:$E$5505,"&lt;="&amp;$B$4))</f>
        <v>0</v>
      </c>
      <c r="J122" s="40" t="n">
        <f aca="false">IF($C122="","",SUMIFS(记账分录!$J$6:$J$5505,记账分录!$F$6:$F$5505,$A122,记账分录!$H$6:$H$5505,$C122,记账分录!$E$6:$E$5505,"&gt;="&amp;$A$4,记账分录!$E$6:$E$5505,"&lt;="&amp;$B$4))</f>
        <v>0</v>
      </c>
      <c r="K122" s="42" t="n">
        <f aca="false">IF($C122="","",IF($E122="借",$I122-$J122,$J122-$I122))</f>
        <v>0</v>
      </c>
      <c r="L122" s="42" t="n">
        <f aca="false">IF($C122="","",ROUND($H122+$K122,2))</f>
        <v>0</v>
      </c>
      <c r="M122" s="40" t="n">
        <f aca="false">IF($C122="","",SUMIFS(记账分录!$I$6:$I$5505,记账分录!$F$6:$F$5505,$A122,记账分录!$H$6:$H$5505,$C122,记账分录!$E$6:$E$5505,"&lt;="&amp;$B$4))</f>
        <v>0</v>
      </c>
      <c r="N122" s="40" t="n">
        <f aca="false">IF($C122="","",SUMIFS(记账分录!$J$6:$J$5505,记账分录!$F$6:$F$5505,$A122,记账分录!$H$6:$H$5505,$C122,记账分录!$E$6:$E$5505,"&lt;="&amp;$B$4))</f>
        <v>0</v>
      </c>
      <c r="O122" s="42" t="n">
        <f aca="false">IF($C122="","",IF($E122="借",$M122-$N122,$N122-$M122))</f>
        <v>0</v>
      </c>
      <c r="P122" s="64" t="str">
        <f aca="false">IF($C122="","",IF(OR(ROUND($G122,2)&lt;&gt;0,ROUND($M122,2)&lt;&gt;0,ROUND($N122,2)&lt;&gt;0),"有",""))</f>
        <v/>
      </c>
    </row>
    <row r="123" customFormat="false" ht="15" hidden="false" customHeight="false" outlineLevel="0" collapsed="false">
      <c r="A123" s="25" t="str">
        <f aca="false">IF(会计科目表!$B42="","",参数设置!$A$11)</f>
        <v>木业</v>
      </c>
      <c r="B123" s="25" t="str">
        <f aca="false">IF(会计科目表!$B42="","",会计科目表!$A42)</f>
        <v>6602</v>
      </c>
      <c r="C123" s="10" t="str">
        <f aca="false">IF(会计科目表!$B42="","",会计科目表!$B42)</f>
        <v>管理费用</v>
      </c>
      <c r="D123" s="25" t="str">
        <f aca="false">IF($C123="","",会计科目表!$C42)</f>
        <v>损益-费用</v>
      </c>
      <c r="E123" s="25" t="str">
        <f aca="false">IF($C123="","",会计科目表!$D42)</f>
        <v>借</v>
      </c>
      <c r="F123" s="10" t="str">
        <f aca="false">IF($C123="","",会计科目表!$F42)</f>
        <v>管理费用</v>
      </c>
      <c r="G123" s="40" t="n">
        <f aca="false">IF($C123="","",IF($E123="借",SUMIFS(期初余额!$C$6:$C$185,期初余额!$A$6:$A$185,$A123,期初余额!$B$6:$B$185,$C123)-SUMIFS(期初余额!$D$6:$D$185,期初余额!$A$6:$A$185,$A123,期初余额!$B$6:$B$185,$C123),SUMIFS(期初余额!$D$6:$D$185,期初余额!$A$6:$A$185,$A123,期初余额!$B$6:$B$185,$C123)-SUMIFS(期初余额!$C$6:$C$185,期初余额!$A$6:$A$185,$A123,期初余额!$B$6:$B$185,$C123)))</f>
        <v>0</v>
      </c>
      <c r="H123" s="40" t="n">
        <f aca="false">IF($C123="","",$G123+IF($E123="借",SUMIFS(记账分录!$I$6:$I$5505,记账分录!$F$6:$F$5505,$A123,记账分录!$H$6:$H$5505,$C123,记账分录!$E$6:$E$5505,"&lt;"&amp;$A$4)-SUMIFS(记账分录!$J$6:$J$5505,记账分录!$F$6:$F$5505,$A123,记账分录!$H$6:$H$5505,$C123,记账分录!$E$6:$E$5505,"&lt;"&amp;$A$4),SUMIFS(记账分录!$J$6:$J$5505,记账分录!$F$6:$F$5505,$A123,记账分录!$H$6:$H$5505,$C123,记账分录!$E$6:$E$5505,"&lt;"&amp;$A$4)-SUMIFS(记账分录!$I$6:$I$5505,记账分录!$F$6:$F$5505,$A123,记账分录!$H$6:$H$5505,$C123,记账分录!$E$6:$E$5505,"&lt;"&amp;$A$4)))</f>
        <v>0</v>
      </c>
      <c r="I123" s="40" t="n">
        <f aca="false">IF($C123="","",SUMIFS(记账分录!$I$6:$I$5505,记账分录!$F$6:$F$5505,$A123,记账分录!$H$6:$H$5505,$C123,记账分录!$E$6:$E$5505,"&gt;="&amp;$A$4,记账分录!$E$6:$E$5505,"&lt;="&amp;$B$4))</f>
        <v>113460</v>
      </c>
      <c r="J123" s="40" t="n">
        <f aca="false">IF($C123="","",SUMIFS(记账分录!$J$6:$J$5505,记账分录!$F$6:$F$5505,$A123,记账分录!$H$6:$H$5505,$C123,记账分录!$E$6:$E$5505,"&gt;="&amp;$A$4,记账分录!$E$6:$E$5505,"&lt;="&amp;$B$4))</f>
        <v>0</v>
      </c>
      <c r="K123" s="42" t="n">
        <f aca="false">IF($C123="","",IF($E123="借",$I123-$J123,$J123-$I123))</f>
        <v>113460</v>
      </c>
      <c r="L123" s="42" t="n">
        <f aca="false">IF($C123="","",ROUND($H123+$K123,2))</f>
        <v>113460</v>
      </c>
      <c r="M123" s="40" t="n">
        <f aca="false">IF($C123="","",SUMIFS(记账分录!$I$6:$I$5505,记账分录!$F$6:$F$5505,$A123,记账分录!$H$6:$H$5505,$C123,记账分录!$E$6:$E$5505,"&lt;="&amp;$B$4))</f>
        <v>113460</v>
      </c>
      <c r="N123" s="40" t="n">
        <f aca="false">IF($C123="","",SUMIFS(记账分录!$J$6:$J$5505,记账分录!$F$6:$F$5505,$A123,记账分录!$H$6:$H$5505,$C123,记账分录!$E$6:$E$5505,"&lt;="&amp;$B$4))</f>
        <v>0</v>
      </c>
      <c r="O123" s="42" t="n">
        <f aca="false">IF($C123="","",IF($E123="借",$M123-$N123,$N123-$M123))</f>
        <v>113460</v>
      </c>
      <c r="P123" s="64" t="str">
        <f aca="false">IF($C123="","",IF(OR(ROUND($G123,2)&lt;&gt;0,ROUND($M123,2)&lt;&gt;0,ROUND($N123,2)&lt;&gt;0),"有",""))</f>
        <v>有</v>
      </c>
    </row>
    <row r="124" customFormat="false" ht="15" hidden="false" customHeight="false" outlineLevel="0" collapsed="false">
      <c r="A124" s="25" t="str">
        <f aca="false">IF(会计科目表!$B43="","",参数设置!$A$11)</f>
        <v>木业</v>
      </c>
      <c r="B124" s="25" t="str">
        <f aca="false">IF(会计科目表!$B43="","",会计科目表!$A43)</f>
        <v>6603</v>
      </c>
      <c r="C124" s="10" t="str">
        <f aca="false">IF(会计科目表!$B43="","",会计科目表!$B43)</f>
        <v>财务费用</v>
      </c>
      <c r="D124" s="25" t="str">
        <f aca="false">IF($C124="","",会计科目表!$C43)</f>
        <v>损益-费用</v>
      </c>
      <c r="E124" s="25" t="str">
        <f aca="false">IF($C124="","",会计科目表!$D43)</f>
        <v>借</v>
      </c>
      <c r="F124" s="10" t="str">
        <f aca="false">IF($C124="","",会计科目表!$F43)</f>
        <v>财务费用</v>
      </c>
      <c r="G124" s="40" t="n">
        <f aca="false">IF($C124="","",IF($E124="借",SUMIFS(期初余额!$C$6:$C$185,期初余额!$A$6:$A$185,$A124,期初余额!$B$6:$B$185,$C124)-SUMIFS(期初余额!$D$6:$D$185,期初余额!$A$6:$A$185,$A124,期初余额!$B$6:$B$185,$C124),SUMIFS(期初余额!$D$6:$D$185,期初余额!$A$6:$A$185,$A124,期初余额!$B$6:$B$185,$C124)-SUMIFS(期初余额!$C$6:$C$185,期初余额!$A$6:$A$185,$A124,期初余额!$B$6:$B$185,$C124)))</f>
        <v>0</v>
      </c>
      <c r="H124" s="40" t="n">
        <f aca="false">IF($C124="","",$G124+IF($E124="借",SUMIFS(记账分录!$I$6:$I$5505,记账分录!$F$6:$F$5505,$A124,记账分录!$H$6:$H$5505,$C124,记账分录!$E$6:$E$5505,"&lt;"&amp;$A$4)-SUMIFS(记账分录!$J$6:$J$5505,记账分录!$F$6:$F$5505,$A124,记账分录!$H$6:$H$5505,$C124,记账分录!$E$6:$E$5505,"&lt;"&amp;$A$4),SUMIFS(记账分录!$J$6:$J$5505,记账分录!$F$6:$F$5505,$A124,记账分录!$H$6:$H$5505,$C124,记账分录!$E$6:$E$5505,"&lt;"&amp;$A$4)-SUMIFS(记账分录!$I$6:$I$5505,记账分录!$F$6:$F$5505,$A124,记账分录!$H$6:$H$5505,$C124,记账分录!$E$6:$E$5505,"&lt;"&amp;$A$4)))</f>
        <v>0</v>
      </c>
      <c r="I124" s="40" t="n">
        <f aca="false">IF($C124="","",SUMIFS(记账分录!$I$6:$I$5505,记账分录!$F$6:$F$5505,$A124,记账分录!$H$6:$H$5505,$C124,记账分录!$E$6:$E$5505,"&gt;="&amp;$A$4,记账分录!$E$6:$E$5505,"&lt;="&amp;$B$4))</f>
        <v>0</v>
      </c>
      <c r="J124" s="40" t="n">
        <f aca="false">IF($C124="","",SUMIFS(记账分录!$J$6:$J$5505,记账分录!$F$6:$F$5505,$A124,记账分录!$H$6:$H$5505,$C124,记账分录!$E$6:$E$5505,"&gt;="&amp;$A$4,记账分录!$E$6:$E$5505,"&lt;="&amp;$B$4))</f>
        <v>0</v>
      </c>
      <c r="K124" s="42" t="n">
        <f aca="false">IF($C124="","",IF($E124="借",$I124-$J124,$J124-$I124))</f>
        <v>0</v>
      </c>
      <c r="L124" s="42" t="n">
        <f aca="false">IF($C124="","",ROUND($H124+$K124,2))</f>
        <v>0</v>
      </c>
      <c r="M124" s="40" t="n">
        <f aca="false">IF($C124="","",SUMIFS(记账分录!$I$6:$I$5505,记账分录!$F$6:$F$5505,$A124,记账分录!$H$6:$H$5505,$C124,记账分录!$E$6:$E$5505,"&lt;="&amp;$B$4))</f>
        <v>0</v>
      </c>
      <c r="N124" s="40" t="n">
        <f aca="false">IF($C124="","",SUMIFS(记账分录!$J$6:$J$5505,记账分录!$F$6:$F$5505,$A124,记账分录!$H$6:$H$5505,$C124,记账分录!$E$6:$E$5505,"&lt;="&amp;$B$4))</f>
        <v>0</v>
      </c>
      <c r="O124" s="42" t="n">
        <f aca="false">IF($C124="","",IF($E124="借",$M124-$N124,$N124-$M124))</f>
        <v>0</v>
      </c>
      <c r="P124" s="64" t="str">
        <f aca="false">IF($C124="","",IF(OR(ROUND($G124,2)&lt;&gt;0,ROUND($M124,2)&lt;&gt;0,ROUND($N124,2)&lt;&gt;0),"有",""))</f>
        <v/>
      </c>
    </row>
    <row r="125" customFormat="false" ht="15" hidden="false" customHeight="false" outlineLevel="0" collapsed="false">
      <c r="A125" s="25" t="str">
        <f aca="false">IF(会计科目表!$B44="","",参数设置!$A$11)</f>
        <v>木业</v>
      </c>
      <c r="B125" s="25" t="str">
        <f aca="false">IF(会计科目表!$B44="","",会计科目表!$A44)</f>
        <v>6604</v>
      </c>
      <c r="C125" s="10" t="str">
        <f aca="false">IF(会计科目表!$B44="","",会计科目表!$B44)</f>
        <v>研发费用</v>
      </c>
      <c r="D125" s="25" t="str">
        <f aca="false">IF($C125="","",会计科目表!$C44)</f>
        <v>损益-费用</v>
      </c>
      <c r="E125" s="25" t="str">
        <f aca="false">IF($C125="","",会计科目表!$D44)</f>
        <v>借</v>
      </c>
      <c r="F125" s="10" t="str">
        <f aca="false">IF($C125="","",会计科目表!$F44)</f>
        <v>研发费用</v>
      </c>
      <c r="G125" s="40" t="n">
        <f aca="false">IF($C125="","",IF($E125="借",SUMIFS(期初余额!$C$6:$C$185,期初余额!$A$6:$A$185,$A125,期初余额!$B$6:$B$185,$C125)-SUMIFS(期初余额!$D$6:$D$185,期初余额!$A$6:$A$185,$A125,期初余额!$B$6:$B$185,$C125),SUMIFS(期初余额!$D$6:$D$185,期初余额!$A$6:$A$185,$A125,期初余额!$B$6:$B$185,$C125)-SUMIFS(期初余额!$C$6:$C$185,期初余额!$A$6:$A$185,$A125,期初余额!$B$6:$B$185,$C125)))</f>
        <v>0</v>
      </c>
      <c r="H125" s="40" t="n">
        <f aca="false">IF($C125="","",$G125+IF($E125="借",SUMIFS(记账分录!$I$6:$I$5505,记账分录!$F$6:$F$5505,$A125,记账分录!$H$6:$H$5505,$C125,记账分录!$E$6:$E$5505,"&lt;"&amp;$A$4)-SUMIFS(记账分录!$J$6:$J$5505,记账分录!$F$6:$F$5505,$A125,记账分录!$H$6:$H$5505,$C125,记账分录!$E$6:$E$5505,"&lt;"&amp;$A$4),SUMIFS(记账分录!$J$6:$J$5505,记账分录!$F$6:$F$5505,$A125,记账分录!$H$6:$H$5505,$C125,记账分录!$E$6:$E$5505,"&lt;"&amp;$A$4)-SUMIFS(记账分录!$I$6:$I$5505,记账分录!$F$6:$F$5505,$A125,记账分录!$H$6:$H$5505,$C125,记账分录!$E$6:$E$5505,"&lt;"&amp;$A$4)))</f>
        <v>0</v>
      </c>
      <c r="I125" s="40" t="n">
        <f aca="false">IF($C125="","",SUMIFS(记账分录!$I$6:$I$5505,记账分录!$F$6:$F$5505,$A125,记账分录!$H$6:$H$5505,$C125,记账分录!$E$6:$E$5505,"&gt;="&amp;$A$4,记账分录!$E$6:$E$5505,"&lt;="&amp;$B$4))</f>
        <v>0</v>
      </c>
      <c r="J125" s="40" t="n">
        <f aca="false">IF($C125="","",SUMIFS(记账分录!$J$6:$J$5505,记账分录!$F$6:$F$5505,$A125,记账分录!$H$6:$H$5505,$C125,记账分录!$E$6:$E$5505,"&gt;="&amp;$A$4,记账分录!$E$6:$E$5505,"&lt;="&amp;$B$4))</f>
        <v>0</v>
      </c>
      <c r="K125" s="42" t="n">
        <f aca="false">IF($C125="","",IF($E125="借",$I125-$J125,$J125-$I125))</f>
        <v>0</v>
      </c>
      <c r="L125" s="42" t="n">
        <f aca="false">IF($C125="","",ROUND($H125+$K125,2))</f>
        <v>0</v>
      </c>
      <c r="M125" s="40" t="n">
        <f aca="false">IF($C125="","",SUMIFS(记账分录!$I$6:$I$5505,记账分录!$F$6:$F$5505,$A125,记账分录!$H$6:$H$5505,$C125,记账分录!$E$6:$E$5505,"&lt;="&amp;$B$4))</f>
        <v>0</v>
      </c>
      <c r="N125" s="40" t="n">
        <f aca="false">IF($C125="","",SUMIFS(记账分录!$J$6:$J$5505,记账分录!$F$6:$F$5505,$A125,记账分录!$H$6:$H$5505,$C125,记账分录!$E$6:$E$5505,"&lt;="&amp;$B$4))</f>
        <v>0</v>
      </c>
      <c r="O125" s="42" t="n">
        <f aca="false">IF($C125="","",IF($E125="借",$M125-$N125,$N125-$M125))</f>
        <v>0</v>
      </c>
      <c r="P125" s="64" t="str">
        <f aca="false">IF($C125="","",IF(OR(ROUND($G125,2)&lt;&gt;0,ROUND($M125,2)&lt;&gt;0,ROUND($N125,2)&lt;&gt;0),"有",""))</f>
        <v/>
      </c>
    </row>
    <row r="126" customFormat="false" ht="15" hidden="false" customHeight="false" outlineLevel="0" collapsed="false">
      <c r="A126" s="25" t="str">
        <f aca="false">IF(会计科目表!$B45="","",参数设置!$A$11)</f>
        <v>木业</v>
      </c>
      <c r="B126" s="25" t="str">
        <f aca="false">IF(会计科目表!$B45="","",会计科目表!$A45)</f>
        <v>6711</v>
      </c>
      <c r="C126" s="10" t="str">
        <f aca="false">IF(会计科目表!$B45="","",会计科目表!$B45)</f>
        <v>营业外支出</v>
      </c>
      <c r="D126" s="25" t="str">
        <f aca="false">IF($C126="","",会计科目表!$C45)</f>
        <v>损益-费用</v>
      </c>
      <c r="E126" s="25" t="str">
        <f aca="false">IF($C126="","",会计科目表!$D45)</f>
        <v>借</v>
      </c>
      <c r="F126" s="10" t="str">
        <f aca="false">IF($C126="","",会计科目表!$F45)</f>
        <v>营业外支出</v>
      </c>
      <c r="G126" s="40" t="n">
        <f aca="false">IF($C126="","",IF($E126="借",SUMIFS(期初余额!$C$6:$C$185,期初余额!$A$6:$A$185,$A126,期初余额!$B$6:$B$185,$C126)-SUMIFS(期初余额!$D$6:$D$185,期初余额!$A$6:$A$185,$A126,期初余额!$B$6:$B$185,$C126),SUMIFS(期初余额!$D$6:$D$185,期初余额!$A$6:$A$185,$A126,期初余额!$B$6:$B$185,$C126)-SUMIFS(期初余额!$C$6:$C$185,期初余额!$A$6:$A$185,$A126,期初余额!$B$6:$B$185,$C126)))</f>
        <v>0</v>
      </c>
      <c r="H126" s="40" t="n">
        <f aca="false">IF($C126="","",$G126+IF($E126="借",SUMIFS(记账分录!$I$6:$I$5505,记账分录!$F$6:$F$5505,$A126,记账分录!$H$6:$H$5505,$C126,记账分录!$E$6:$E$5505,"&lt;"&amp;$A$4)-SUMIFS(记账分录!$J$6:$J$5505,记账分录!$F$6:$F$5505,$A126,记账分录!$H$6:$H$5505,$C126,记账分录!$E$6:$E$5505,"&lt;"&amp;$A$4),SUMIFS(记账分录!$J$6:$J$5505,记账分录!$F$6:$F$5505,$A126,记账分录!$H$6:$H$5505,$C126,记账分录!$E$6:$E$5505,"&lt;"&amp;$A$4)-SUMIFS(记账分录!$I$6:$I$5505,记账分录!$F$6:$F$5505,$A126,记账分录!$H$6:$H$5505,$C126,记账分录!$E$6:$E$5505,"&lt;"&amp;$A$4)))</f>
        <v>0</v>
      </c>
      <c r="I126" s="40" t="n">
        <f aca="false">IF($C126="","",SUMIFS(记账分录!$I$6:$I$5505,记账分录!$F$6:$F$5505,$A126,记账分录!$H$6:$H$5505,$C126,记账分录!$E$6:$E$5505,"&gt;="&amp;$A$4,记账分录!$E$6:$E$5505,"&lt;="&amp;$B$4))</f>
        <v>0</v>
      </c>
      <c r="J126" s="40" t="n">
        <f aca="false">IF($C126="","",SUMIFS(记账分录!$J$6:$J$5505,记账分录!$F$6:$F$5505,$A126,记账分录!$H$6:$H$5505,$C126,记账分录!$E$6:$E$5505,"&gt;="&amp;$A$4,记账分录!$E$6:$E$5505,"&lt;="&amp;$B$4))</f>
        <v>0</v>
      </c>
      <c r="K126" s="42" t="n">
        <f aca="false">IF($C126="","",IF($E126="借",$I126-$J126,$J126-$I126))</f>
        <v>0</v>
      </c>
      <c r="L126" s="42" t="n">
        <f aca="false">IF($C126="","",ROUND($H126+$K126,2))</f>
        <v>0</v>
      </c>
      <c r="M126" s="40" t="n">
        <f aca="false">IF($C126="","",SUMIFS(记账分录!$I$6:$I$5505,记账分录!$F$6:$F$5505,$A126,记账分录!$H$6:$H$5505,$C126,记账分录!$E$6:$E$5505,"&lt;="&amp;$B$4))</f>
        <v>0</v>
      </c>
      <c r="N126" s="40" t="n">
        <f aca="false">IF($C126="","",SUMIFS(记账分录!$J$6:$J$5505,记账分录!$F$6:$F$5505,$A126,记账分录!$H$6:$H$5505,$C126,记账分录!$E$6:$E$5505,"&lt;="&amp;$B$4))</f>
        <v>0</v>
      </c>
      <c r="O126" s="42" t="n">
        <f aca="false">IF($C126="","",IF($E126="借",$M126-$N126,$N126-$M126))</f>
        <v>0</v>
      </c>
      <c r="P126" s="64" t="str">
        <f aca="false">IF($C126="","",IF(OR(ROUND($G126,2)&lt;&gt;0,ROUND($M126,2)&lt;&gt;0,ROUND($N126,2)&lt;&gt;0),"有",""))</f>
        <v/>
      </c>
    </row>
    <row r="127" customFormat="false" ht="15" hidden="false" customHeight="false" outlineLevel="0" collapsed="false">
      <c r="A127" s="25" t="str">
        <f aca="false">IF(会计科目表!$B46="","",参数设置!$A$11)</f>
        <v>木业</v>
      </c>
      <c r="B127" s="25" t="str">
        <f aca="false">IF(会计科目表!$B46="","",会计科目表!$A46)</f>
        <v>6801</v>
      </c>
      <c r="C127" s="10" t="str">
        <f aca="false">IF(会计科目表!$B46="","",会计科目表!$B46)</f>
        <v>所得税费用</v>
      </c>
      <c r="D127" s="25" t="str">
        <f aca="false">IF($C127="","",会计科目表!$C46)</f>
        <v>损益-费用</v>
      </c>
      <c r="E127" s="25" t="str">
        <f aca="false">IF($C127="","",会计科目表!$D46)</f>
        <v>借</v>
      </c>
      <c r="F127" s="10" t="str">
        <f aca="false">IF($C127="","",会计科目表!$F46)</f>
        <v>所得税费用</v>
      </c>
      <c r="G127" s="40" t="n">
        <f aca="false">IF($C127="","",IF($E127="借",SUMIFS(期初余额!$C$6:$C$185,期初余额!$A$6:$A$185,$A127,期初余额!$B$6:$B$185,$C127)-SUMIFS(期初余额!$D$6:$D$185,期初余额!$A$6:$A$185,$A127,期初余额!$B$6:$B$185,$C127),SUMIFS(期初余额!$D$6:$D$185,期初余额!$A$6:$A$185,$A127,期初余额!$B$6:$B$185,$C127)-SUMIFS(期初余额!$C$6:$C$185,期初余额!$A$6:$A$185,$A127,期初余额!$B$6:$B$185,$C127)))</f>
        <v>0</v>
      </c>
      <c r="H127" s="40" t="n">
        <f aca="false">IF($C127="","",$G127+IF($E127="借",SUMIFS(记账分录!$I$6:$I$5505,记账分录!$F$6:$F$5505,$A127,记账分录!$H$6:$H$5505,$C127,记账分录!$E$6:$E$5505,"&lt;"&amp;$A$4)-SUMIFS(记账分录!$J$6:$J$5505,记账分录!$F$6:$F$5505,$A127,记账分录!$H$6:$H$5505,$C127,记账分录!$E$6:$E$5505,"&lt;"&amp;$A$4),SUMIFS(记账分录!$J$6:$J$5505,记账分录!$F$6:$F$5505,$A127,记账分录!$H$6:$H$5505,$C127,记账分录!$E$6:$E$5505,"&lt;"&amp;$A$4)-SUMIFS(记账分录!$I$6:$I$5505,记账分录!$F$6:$F$5505,$A127,记账分录!$H$6:$H$5505,$C127,记账分录!$E$6:$E$5505,"&lt;"&amp;$A$4)))</f>
        <v>0</v>
      </c>
      <c r="I127" s="40" t="n">
        <f aca="false">IF($C127="","",SUMIFS(记账分录!$I$6:$I$5505,记账分录!$F$6:$F$5505,$A127,记账分录!$H$6:$H$5505,$C127,记账分录!$E$6:$E$5505,"&gt;="&amp;$A$4,记账分录!$E$6:$E$5505,"&lt;="&amp;$B$4))</f>
        <v>6000</v>
      </c>
      <c r="J127" s="40" t="n">
        <f aca="false">IF($C127="","",SUMIFS(记账分录!$J$6:$J$5505,记账分录!$F$6:$F$5505,$A127,记账分录!$H$6:$H$5505,$C127,记账分录!$E$6:$E$5505,"&gt;="&amp;$A$4,记账分录!$E$6:$E$5505,"&lt;="&amp;$B$4))</f>
        <v>0</v>
      </c>
      <c r="K127" s="42" t="n">
        <f aca="false">IF($C127="","",IF($E127="借",$I127-$J127,$J127-$I127))</f>
        <v>6000</v>
      </c>
      <c r="L127" s="42" t="n">
        <f aca="false">IF($C127="","",ROUND($H127+$K127,2))</f>
        <v>6000</v>
      </c>
      <c r="M127" s="40" t="n">
        <f aca="false">IF($C127="","",SUMIFS(记账分录!$I$6:$I$5505,记账分录!$F$6:$F$5505,$A127,记账分录!$H$6:$H$5505,$C127,记账分录!$E$6:$E$5505,"&lt;="&amp;$B$4))</f>
        <v>6000</v>
      </c>
      <c r="N127" s="40" t="n">
        <f aca="false">IF($C127="","",SUMIFS(记账分录!$J$6:$J$5505,记账分录!$F$6:$F$5505,$A127,记账分录!$H$6:$H$5505,$C127,记账分录!$E$6:$E$5505,"&lt;="&amp;$B$4))</f>
        <v>0</v>
      </c>
      <c r="O127" s="42" t="n">
        <f aca="false">IF($C127="","",IF($E127="借",$M127-$N127,$N127-$M127))</f>
        <v>6000</v>
      </c>
      <c r="P127" s="64" t="str">
        <f aca="false">IF($C127="","",IF(OR(ROUND($G127,2)&lt;&gt;0,ROUND($M127,2)&lt;&gt;0,ROUND($N127,2)&lt;&gt;0),"有",""))</f>
        <v>有</v>
      </c>
    </row>
    <row r="128" customFormat="false" ht="15" hidden="true" customHeight="false" outlineLevel="0" collapsed="false">
      <c r="A128" s="25" t="str">
        <f aca="false">IF(会计科目表!$B47="","",参数设置!$A$11)</f>
        <v/>
      </c>
      <c r="B128" s="25" t="str">
        <f aca="false">IF(会计科目表!$B47="","",会计科目表!$A47)</f>
        <v/>
      </c>
      <c r="C128" s="10" t="str">
        <f aca="false">IF(会计科目表!$B47="","",会计科目表!$B47)</f>
        <v/>
      </c>
      <c r="D128" s="25" t="str">
        <f aca="false">IF($C128="","",会计科目表!$C47)</f>
        <v/>
      </c>
      <c r="E128" s="25" t="str">
        <f aca="false">IF($C128="","",会计科目表!$D47)</f>
        <v/>
      </c>
      <c r="F128" s="10" t="str">
        <f aca="false">IF($C128="","",会计科目表!$F47)</f>
        <v/>
      </c>
      <c r="G128" s="40" t="str">
        <f aca="false">IF($C128="","",IF($E128="借",SUMIFS(期初余额!$C$6:$C$185,期初余额!$A$6:$A$185,$A128,期初余额!$B$6:$B$185,$C128)-SUMIFS(期初余额!$D$6:$D$185,期初余额!$A$6:$A$185,$A128,期初余额!$B$6:$B$185,$C128),SUMIFS(期初余额!$D$6:$D$185,期初余额!$A$6:$A$185,$A128,期初余额!$B$6:$B$185,$C128)-SUMIFS(期初余额!$C$6:$C$185,期初余额!$A$6:$A$185,$A128,期初余额!$B$6:$B$185,$C128)))</f>
        <v/>
      </c>
      <c r="H128" s="40" t="str">
        <f aca="false">IF($C128="","",$G128+IF($E128="借",SUMIFS(记账分录!$I$6:$I$5505,记账分录!$F$6:$F$5505,$A128,记账分录!$H$6:$H$5505,$C128,记账分录!$E$6:$E$5505,"&lt;"&amp;$A$4)-SUMIFS(记账分录!$J$6:$J$5505,记账分录!$F$6:$F$5505,$A128,记账分录!$H$6:$H$5505,$C128,记账分录!$E$6:$E$5505,"&lt;"&amp;$A$4),SUMIFS(记账分录!$J$6:$J$5505,记账分录!$F$6:$F$5505,$A128,记账分录!$H$6:$H$5505,$C128,记账分录!$E$6:$E$5505,"&lt;"&amp;$A$4)-SUMIFS(记账分录!$I$6:$I$5505,记账分录!$F$6:$F$5505,$A128,记账分录!$H$6:$H$5505,$C128,记账分录!$E$6:$E$5505,"&lt;"&amp;$A$4)))</f>
        <v/>
      </c>
      <c r="I128" s="40" t="str">
        <f aca="false">IF($C128="","",SUMIFS(记账分录!$I$6:$I$5505,记账分录!$F$6:$F$5505,$A128,记账分录!$H$6:$H$5505,$C128,记账分录!$E$6:$E$5505,"&gt;="&amp;$A$4,记账分录!$E$6:$E$5505,"&lt;="&amp;$B$4))</f>
        <v/>
      </c>
      <c r="J128" s="40" t="str">
        <f aca="false">IF($C128="","",SUMIFS(记账分录!$J$6:$J$5505,记账分录!$F$6:$F$5505,$A128,记账分录!$H$6:$H$5505,$C128,记账分录!$E$6:$E$5505,"&gt;="&amp;$A$4,记账分录!$E$6:$E$5505,"&lt;="&amp;$B$4))</f>
        <v/>
      </c>
      <c r="K128" s="42" t="str">
        <f aca="false">IF($C128="","",IF($E128="借",$I128-$J128,$J128-$I128))</f>
        <v/>
      </c>
      <c r="L128" s="42" t="str">
        <f aca="false">IF($C128="","",ROUND($H128+$K128,2))</f>
        <v/>
      </c>
      <c r="M128" s="40" t="str">
        <f aca="false">IF($C128="","",SUMIFS(记账分录!$I$6:$I$5505,记账分录!$F$6:$F$5505,$A128,记账分录!$H$6:$H$5505,$C128,记账分录!$E$6:$E$5505,"&lt;="&amp;$B$4))</f>
        <v/>
      </c>
      <c r="N128" s="40" t="str">
        <f aca="false">IF($C128="","",SUMIFS(记账分录!$J$6:$J$5505,记账分录!$F$6:$F$5505,$A128,记账分录!$H$6:$H$5505,$C128,记账分录!$E$6:$E$5505,"&lt;="&amp;$B$4))</f>
        <v/>
      </c>
      <c r="O128" s="42" t="str">
        <f aca="false">IF($C128="","",IF($E128="借",$M128-$N128,$N128-$M128))</f>
        <v/>
      </c>
      <c r="P128" s="64" t="str">
        <f aca="false">IF($C128="","",IF(OR(ROUND($G128,2)&lt;&gt;0,ROUND($M128,2)&lt;&gt;0,ROUND($N128,2)&lt;&gt;0),"有",""))</f>
        <v/>
      </c>
    </row>
    <row r="129" customFormat="false" ht="15" hidden="true" customHeight="false" outlineLevel="0" collapsed="false">
      <c r="A129" s="25" t="str">
        <f aca="false">IF(会计科目表!$B48="","",参数设置!$A$11)</f>
        <v/>
      </c>
      <c r="B129" s="25" t="str">
        <f aca="false">IF(会计科目表!$B48="","",会计科目表!$A48)</f>
        <v/>
      </c>
      <c r="C129" s="10" t="str">
        <f aca="false">IF(会计科目表!$B48="","",会计科目表!$B48)</f>
        <v/>
      </c>
      <c r="D129" s="25" t="str">
        <f aca="false">IF($C129="","",会计科目表!$C48)</f>
        <v/>
      </c>
      <c r="E129" s="25" t="str">
        <f aca="false">IF($C129="","",会计科目表!$D48)</f>
        <v/>
      </c>
      <c r="F129" s="10" t="str">
        <f aca="false">IF($C129="","",会计科目表!$F48)</f>
        <v/>
      </c>
      <c r="G129" s="40" t="str">
        <f aca="false">IF($C129="","",IF($E129="借",SUMIFS(期初余额!$C$6:$C$185,期初余额!$A$6:$A$185,$A129,期初余额!$B$6:$B$185,$C129)-SUMIFS(期初余额!$D$6:$D$185,期初余额!$A$6:$A$185,$A129,期初余额!$B$6:$B$185,$C129),SUMIFS(期初余额!$D$6:$D$185,期初余额!$A$6:$A$185,$A129,期初余额!$B$6:$B$185,$C129)-SUMIFS(期初余额!$C$6:$C$185,期初余额!$A$6:$A$185,$A129,期初余额!$B$6:$B$185,$C129)))</f>
        <v/>
      </c>
      <c r="H129" s="40" t="str">
        <f aca="false">IF($C129="","",$G129+IF($E129="借",SUMIFS(记账分录!$I$6:$I$5505,记账分录!$F$6:$F$5505,$A129,记账分录!$H$6:$H$5505,$C129,记账分录!$E$6:$E$5505,"&lt;"&amp;$A$4)-SUMIFS(记账分录!$J$6:$J$5505,记账分录!$F$6:$F$5505,$A129,记账分录!$H$6:$H$5505,$C129,记账分录!$E$6:$E$5505,"&lt;"&amp;$A$4),SUMIFS(记账分录!$J$6:$J$5505,记账分录!$F$6:$F$5505,$A129,记账分录!$H$6:$H$5505,$C129,记账分录!$E$6:$E$5505,"&lt;"&amp;$A$4)-SUMIFS(记账分录!$I$6:$I$5505,记账分录!$F$6:$F$5505,$A129,记账分录!$H$6:$H$5505,$C129,记账分录!$E$6:$E$5505,"&lt;"&amp;$A$4)))</f>
        <v/>
      </c>
      <c r="I129" s="40" t="str">
        <f aca="false">IF($C129="","",SUMIFS(记账分录!$I$6:$I$5505,记账分录!$F$6:$F$5505,$A129,记账分录!$H$6:$H$5505,$C129,记账分录!$E$6:$E$5505,"&gt;="&amp;$A$4,记账分录!$E$6:$E$5505,"&lt;="&amp;$B$4))</f>
        <v/>
      </c>
      <c r="J129" s="40" t="str">
        <f aca="false">IF($C129="","",SUMIFS(记账分录!$J$6:$J$5505,记账分录!$F$6:$F$5505,$A129,记账分录!$H$6:$H$5505,$C129,记账分录!$E$6:$E$5505,"&gt;="&amp;$A$4,记账分录!$E$6:$E$5505,"&lt;="&amp;$B$4))</f>
        <v/>
      </c>
      <c r="K129" s="42" t="str">
        <f aca="false">IF($C129="","",IF($E129="借",$I129-$J129,$J129-$I129))</f>
        <v/>
      </c>
      <c r="L129" s="42" t="str">
        <f aca="false">IF($C129="","",ROUND($H129+$K129,2))</f>
        <v/>
      </c>
      <c r="M129" s="40" t="str">
        <f aca="false">IF($C129="","",SUMIFS(记账分录!$I$6:$I$5505,记账分录!$F$6:$F$5505,$A129,记账分录!$H$6:$H$5505,$C129,记账分录!$E$6:$E$5505,"&lt;="&amp;$B$4))</f>
        <v/>
      </c>
      <c r="N129" s="40" t="str">
        <f aca="false">IF($C129="","",SUMIFS(记账分录!$J$6:$J$5505,记账分录!$F$6:$F$5505,$A129,记账分录!$H$6:$H$5505,$C129,记账分录!$E$6:$E$5505,"&lt;="&amp;$B$4))</f>
        <v/>
      </c>
      <c r="O129" s="42" t="str">
        <f aca="false">IF($C129="","",IF($E129="借",$M129-$N129,$N129-$M129))</f>
        <v/>
      </c>
      <c r="P129" s="64" t="str">
        <f aca="false">IF($C129="","",IF(OR(ROUND($G129,2)&lt;&gt;0,ROUND($M129,2)&lt;&gt;0,ROUND($N129,2)&lt;&gt;0),"有",""))</f>
        <v/>
      </c>
    </row>
    <row r="130" customFormat="false" ht="15" hidden="true" customHeight="false" outlineLevel="0" collapsed="false">
      <c r="A130" s="25" t="str">
        <f aca="false">IF(会计科目表!$B49="","",参数设置!$A$11)</f>
        <v/>
      </c>
      <c r="B130" s="25" t="str">
        <f aca="false">IF(会计科目表!$B49="","",会计科目表!$A49)</f>
        <v/>
      </c>
      <c r="C130" s="10" t="str">
        <f aca="false">IF(会计科目表!$B49="","",会计科目表!$B49)</f>
        <v/>
      </c>
      <c r="D130" s="25" t="str">
        <f aca="false">IF($C130="","",会计科目表!$C49)</f>
        <v/>
      </c>
      <c r="E130" s="25" t="str">
        <f aca="false">IF($C130="","",会计科目表!$D49)</f>
        <v/>
      </c>
      <c r="F130" s="10" t="str">
        <f aca="false">IF($C130="","",会计科目表!$F49)</f>
        <v/>
      </c>
      <c r="G130" s="40" t="str">
        <f aca="false">IF($C130="","",IF($E130="借",SUMIFS(期初余额!$C$6:$C$185,期初余额!$A$6:$A$185,$A130,期初余额!$B$6:$B$185,$C130)-SUMIFS(期初余额!$D$6:$D$185,期初余额!$A$6:$A$185,$A130,期初余额!$B$6:$B$185,$C130),SUMIFS(期初余额!$D$6:$D$185,期初余额!$A$6:$A$185,$A130,期初余额!$B$6:$B$185,$C130)-SUMIFS(期初余额!$C$6:$C$185,期初余额!$A$6:$A$185,$A130,期初余额!$B$6:$B$185,$C130)))</f>
        <v/>
      </c>
      <c r="H130" s="40" t="str">
        <f aca="false">IF($C130="","",$G130+IF($E130="借",SUMIFS(记账分录!$I$6:$I$5505,记账分录!$F$6:$F$5505,$A130,记账分录!$H$6:$H$5505,$C130,记账分录!$E$6:$E$5505,"&lt;"&amp;$A$4)-SUMIFS(记账分录!$J$6:$J$5505,记账分录!$F$6:$F$5505,$A130,记账分录!$H$6:$H$5505,$C130,记账分录!$E$6:$E$5505,"&lt;"&amp;$A$4),SUMIFS(记账分录!$J$6:$J$5505,记账分录!$F$6:$F$5505,$A130,记账分录!$H$6:$H$5505,$C130,记账分录!$E$6:$E$5505,"&lt;"&amp;$A$4)-SUMIFS(记账分录!$I$6:$I$5505,记账分录!$F$6:$F$5505,$A130,记账分录!$H$6:$H$5505,$C130,记账分录!$E$6:$E$5505,"&lt;"&amp;$A$4)))</f>
        <v/>
      </c>
      <c r="I130" s="40" t="str">
        <f aca="false">IF($C130="","",SUMIFS(记账分录!$I$6:$I$5505,记账分录!$F$6:$F$5505,$A130,记账分录!$H$6:$H$5505,$C130,记账分录!$E$6:$E$5505,"&gt;="&amp;$A$4,记账分录!$E$6:$E$5505,"&lt;="&amp;$B$4))</f>
        <v/>
      </c>
      <c r="J130" s="40" t="str">
        <f aca="false">IF($C130="","",SUMIFS(记账分录!$J$6:$J$5505,记账分录!$F$6:$F$5505,$A130,记账分录!$H$6:$H$5505,$C130,记账分录!$E$6:$E$5505,"&gt;="&amp;$A$4,记账分录!$E$6:$E$5505,"&lt;="&amp;$B$4))</f>
        <v/>
      </c>
      <c r="K130" s="42" t="str">
        <f aca="false">IF($C130="","",IF($E130="借",$I130-$J130,$J130-$I130))</f>
        <v/>
      </c>
      <c r="L130" s="42" t="str">
        <f aca="false">IF($C130="","",ROUND($H130+$K130,2))</f>
        <v/>
      </c>
      <c r="M130" s="40" t="str">
        <f aca="false">IF($C130="","",SUMIFS(记账分录!$I$6:$I$5505,记账分录!$F$6:$F$5505,$A130,记账分录!$H$6:$H$5505,$C130,记账分录!$E$6:$E$5505,"&lt;="&amp;$B$4))</f>
        <v/>
      </c>
      <c r="N130" s="40" t="str">
        <f aca="false">IF($C130="","",SUMIFS(记账分录!$J$6:$J$5505,记账分录!$F$6:$F$5505,$A130,记账分录!$H$6:$H$5505,$C130,记账分录!$E$6:$E$5505,"&lt;="&amp;$B$4))</f>
        <v/>
      </c>
      <c r="O130" s="42" t="str">
        <f aca="false">IF($C130="","",IF($E130="借",$M130-$N130,$N130-$M130))</f>
        <v/>
      </c>
      <c r="P130" s="64" t="str">
        <f aca="false">IF($C130="","",IF(OR(ROUND($G130,2)&lt;&gt;0,ROUND($M130,2)&lt;&gt;0,ROUND($N130,2)&lt;&gt;0),"有",""))</f>
        <v/>
      </c>
    </row>
    <row r="131" customFormat="false" ht="15" hidden="true" customHeight="false" outlineLevel="0" collapsed="false">
      <c r="A131" s="25" t="str">
        <f aca="false">IF(会计科目表!$B50="","",参数设置!$A$11)</f>
        <v/>
      </c>
      <c r="B131" s="25" t="str">
        <f aca="false">IF(会计科目表!$B50="","",会计科目表!$A50)</f>
        <v/>
      </c>
      <c r="C131" s="10" t="str">
        <f aca="false">IF(会计科目表!$B50="","",会计科目表!$B50)</f>
        <v/>
      </c>
      <c r="D131" s="25" t="str">
        <f aca="false">IF($C131="","",会计科目表!$C50)</f>
        <v/>
      </c>
      <c r="E131" s="25" t="str">
        <f aca="false">IF($C131="","",会计科目表!$D50)</f>
        <v/>
      </c>
      <c r="F131" s="10" t="str">
        <f aca="false">IF($C131="","",会计科目表!$F50)</f>
        <v/>
      </c>
      <c r="G131" s="40" t="str">
        <f aca="false">IF($C131="","",IF($E131="借",SUMIFS(期初余额!$C$6:$C$185,期初余额!$A$6:$A$185,$A131,期初余额!$B$6:$B$185,$C131)-SUMIFS(期初余额!$D$6:$D$185,期初余额!$A$6:$A$185,$A131,期初余额!$B$6:$B$185,$C131),SUMIFS(期初余额!$D$6:$D$185,期初余额!$A$6:$A$185,$A131,期初余额!$B$6:$B$185,$C131)-SUMIFS(期初余额!$C$6:$C$185,期初余额!$A$6:$A$185,$A131,期初余额!$B$6:$B$185,$C131)))</f>
        <v/>
      </c>
      <c r="H131" s="40" t="str">
        <f aca="false">IF($C131="","",$G131+IF($E131="借",SUMIFS(记账分录!$I$6:$I$5505,记账分录!$F$6:$F$5505,$A131,记账分录!$H$6:$H$5505,$C131,记账分录!$E$6:$E$5505,"&lt;"&amp;$A$4)-SUMIFS(记账分录!$J$6:$J$5505,记账分录!$F$6:$F$5505,$A131,记账分录!$H$6:$H$5505,$C131,记账分录!$E$6:$E$5505,"&lt;"&amp;$A$4),SUMIFS(记账分录!$J$6:$J$5505,记账分录!$F$6:$F$5505,$A131,记账分录!$H$6:$H$5505,$C131,记账分录!$E$6:$E$5505,"&lt;"&amp;$A$4)-SUMIFS(记账分录!$I$6:$I$5505,记账分录!$F$6:$F$5505,$A131,记账分录!$H$6:$H$5505,$C131,记账分录!$E$6:$E$5505,"&lt;"&amp;$A$4)))</f>
        <v/>
      </c>
      <c r="I131" s="40" t="str">
        <f aca="false">IF($C131="","",SUMIFS(记账分录!$I$6:$I$5505,记账分录!$F$6:$F$5505,$A131,记账分录!$H$6:$H$5505,$C131,记账分录!$E$6:$E$5505,"&gt;="&amp;$A$4,记账分录!$E$6:$E$5505,"&lt;="&amp;$B$4))</f>
        <v/>
      </c>
      <c r="J131" s="40" t="str">
        <f aca="false">IF($C131="","",SUMIFS(记账分录!$J$6:$J$5505,记账分录!$F$6:$F$5505,$A131,记账分录!$H$6:$H$5505,$C131,记账分录!$E$6:$E$5505,"&gt;="&amp;$A$4,记账分录!$E$6:$E$5505,"&lt;="&amp;$B$4))</f>
        <v/>
      </c>
      <c r="K131" s="42" t="str">
        <f aca="false">IF($C131="","",IF($E131="借",$I131-$J131,$J131-$I131))</f>
        <v/>
      </c>
      <c r="L131" s="42" t="str">
        <f aca="false">IF($C131="","",ROUND($H131+$K131,2))</f>
        <v/>
      </c>
      <c r="M131" s="40" t="str">
        <f aca="false">IF($C131="","",SUMIFS(记账分录!$I$6:$I$5505,记账分录!$F$6:$F$5505,$A131,记账分录!$H$6:$H$5505,$C131,记账分录!$E$6:$E$5505,"&lt;="&amp;$B$4))</f>
        <v/>
      </c>
      <c r="N131" s="40" t="str">
        <f aca="false">IF($C131="","",SUMIFS(记账分录!$J$6:$J$5505,记账分录!$F$6:$F$5505,$A131,记账分录!$H$6:$H$5505,$C131,记账分录!$E$6:$E$5505,"&lt;="&amp;$B$4))</f>
        <v/>
      </c>
      <c r="O131" s="42" t="str">
        <f aca="false">IF($C131="","",IF($E131="借",$M131-$N131,$N131-$M131))</f>
        <v/>
      </c>
      <c r="P131" s="64" t="str">
        <f aca="false">IF($C131="","",IF(OR(ROUND($G131,2)&lt;&gt;0,ROUND($M131,2)&lt;&gt;0,ROUND($N131,2)&lt;&gt;0),"有",""))</f>
        <v/>
      </c>
    </row>
    <row r="132" customFormat="false" ht="15" hidden="true" customHeight="false" outlineLevel="0" collapsed="false">
      <c r="A132" s="25" t="str">
        <f aca="false">IF(会计科目表!$B51="","",参数设置!$A$11)</f>
        <v/>
      </c>
      <c r="B132" s="25" t="str">
        <f aca="false">IF(会计科目表!$B51="","",会计科目表!$A51)</f>
        <v/>
      </c>
      <c r="C132" s="10" t="str">
        <f aca="false">IF(会计科目表!$B51="","",会计科目表!$B51)</f>
        <v/>
      </c>
      <c r="D132" s="25" t="str">
        <f aca="false">IF($C132="","",会计科目表!$C51)</f>
        <v/>
      </c>
      <c r="E132" s="25" t="str">
        <f aca="false">IF($C132="","",会计科目表!$D51)</f>
        <v/>
      </c>
      <c r="F132" s="10" t="str">
        <f aca="false">IF($C132="","",会计科目表!$F51)</f>
        <v/>
      </c>
      <c r="G132" s="40" t="str">
        <f aca="false">IF($C132="","",IF($E132="借",SUMIFS(期初余额!$C$6:$C$185,期初余额!$A$6:$A$185,$A132,期初余额!$B$6:$B$185,$C132)-SUMIFS(期初余额!$D$6:$D$185,期初余额!$A$6:$A$185,$A132,期初余额!$B$6:$B$185,$C132),SUMIFS(期初余额!$D$6:$D$185,期初余额!$A$6:$A$185,$A132,期初余额!$B$6:$B$185,$C132)-SUMIFS(期初余额!$C$6:$C$185,期初余额!$A$6:$A$185,$A132,期初余额!$B$6:$B$185,$C132)))</f>
        <v/>
      </c>
      <c r="H132" s="40" t="str">
        <f aca="false">IF($C132="","",$G132+IF($E132="借",SUMIFS(记账分录!$I$6:$I$5505,记账分录!$F$6:$F$5505,$A132,记账分录!$H$6:$H$5505,$C132,记账分录!$E$6:$E$5505,"&lt;"&amp;$A$4)-SUMIFS(记账分录!$J$6:$J$5505,记账分录!$F$6:$F$5505,$A132,记账分录!$H$6:$H$5505,$C132,记账分录!$E$6:$E$5505,"&lt;"&amp;$A$4),SUMIFS(记账分录!$J$6:$J$5505,记账分录!$F$6:$F$5505,$A132,记账分录!$H$6:$H$5505,$C132,记账分录!$E$6:$E$5505,"&lt;"&amp;$A$4)-SUMIFS(记账分录!$I$6:$I$5505,记账分录!$F$6:$F$5505,$A132,记账分录!$H$6:$H$5505,$C132,记账分录!$E$6:$E$5505,"&lt;"&amp;$A$4)))</f>
        <v/>
      </c>
      <c r="I132" s="40" t="str">
        <f aca="false">IF($C132="","",SUMIFS(记账分录!$I$6:$I$5505,记账分录!$F$6:$F$5505,$A132,记账分录!$H$6:$H$5505,$C132,记账分录!$E$6:$E$5505,"&gt;="&amp;$A$4,记账分录!$E$6:$E$5505,"&lt;="&amp;$B$4))</f>
        <v/>
      </c>
      <c r="J132" s="40" t="str">
        <f aca="false">IF($C132="","",SUMIFS(记账分录!$J$6:$J$5505,记账分录!$F$6:$F$5505,$A132,记账分录!$H$6:$H$5505,$C132,记账分录!$E$6:$E$5505,"&gt;="&amp;$A$4,记账分录!$E$6:$E$5505,"&lt;="&amp;$B$4))</f>
        <v/>
      </c>
      <c r="K132" s="42" t="str">
        <f aca="false">IF($C132="","",IF($E132="借",$I132-$J132,$J132-$I132))</f>
        <v/>
      </c>
      <c r="L132" s="42" t="str">
        <f aca="false">IF($C132="","",ROUND($H132+$K132,2))</f>
        <v/>
      </c>
      <c r="M132" s="40" t="str">
        <f aca="false">IF($C132="","",SUMIFS(记账分录!$I$6:$I$5505,记账分录!$F$6:$F$5505,$A132,记账分录!$H$6:$H$5505,$C132,记账分录!$E$6:$E$5505,"&lt;="&amp;$B$4))</f>
        <v/>
      </c>
      <c r="N132" s="40" t="str">
        <f aca="false">IF($C132="","",SUMIFS(记账分录!$J$6:$J$5505,记账分录!$F$6:$F$5505,$A132,记账分录!$H$6:$H$5505,$C132,记账分录!$E$6:$E$5505,"&lt;="&amp;$B$4))</f>
        <v/>
      </c>
      <c r="O132" s="42" t="str">
        <f aca="false">IF($C132="","",IF($E132="借",$M132-$N132,$N132-$M132))</f>
        <v/>
      </c>
      <c r="P132" s="64" t="str">
        <f aca="false">IF($C132="","",IF(OR(ROUND($G132,2)&lt;&gt;0,ROUND($M132,2)&lt;&gt;0,ROUND($N132,2)&lt;&gt;0),"有",""))</f>
        <v/>
      </c>
    </row>
    <row r="133" customFormat="false" ht="15" hidden="true" customHeight="false" outlineLevel="0" collapsed="false">
      <c r="A133" s="25" t="str">
        <f aca="false">IF(会计科目表!$B52="","",参数设置!$A$11)</f>
        <v/>
      </c>
      <c r="B133" s="25" t="str">
        <f aca="false">IF(会计科目表!$B52="","",会计科目表!$A52)</f>
        <v/>
      </c>
      <c r="C133" s="10" t="str">
        <f aca="false">IF(会计科目表!$B52="","",会计科目表!$B52)</f>
        <v/>
      </c>
      <c r="D133" s="25" t="str">
        <f aca="false">IF($C133="","",会计科目表!$C52)</f>
        <v/>
      </c>
      <c r="E133" s="25" t="str">
        <f aca="false">IF($C133="","",会计科目表!$D52)</f>
        <v/>
      </c>
      <c r="F133" s="10" t="str">
        <f aca="false">IF($C133="","",会计科目表!$F52)</f>
        <v/>
      </c>
      <c r="G133" s="40" t="str">
        <f aca="false">IF($C133="","",IF($E133="借",SUMIFS(期初余额!$C$6:$C$185,期初余额!$A$6:$A$185,$A133,期初余额!$B$6:$B$185,$C133)-SUMIFS(期初余额!$D$6:$D$185,期初余额!$A$6:$A$185,$A133,期初余额!$B$6:$B$185,$C133),SUMIFS(期初余额!$D$6:$D$185,期初余额!$A$6:$A$185,$A133,期初余额!$B$6:$B$185,$C133)-SUMIFS(期初余额!$C$6:$C$185,期初余额!$A$6:$A$185,$A133,期初余额!$B$6:$B$185,$C133)))</f>
        <v/>
      </c>
      <c r="H133" s="40" t="str">
        <f aca="false">IF($C133="","",$G133+IF($E133="借",SUMIFS(记账分录!$I$6:$I$5505,记账分录!$F$6:$F$5505,$A133,记账分录!$H$6:$H$5505,$C133,记账分录!$E$6:$E$5505,"&lt;"&amp;$A$4)-SUMIFS(记账分录!$J$6:$J$5505,记账分录!$F$6:$F$5505,$A133,记账分录!$H$6:$H$5505,$C133,记账分录!$E$6:$E$5505,"&lt;"&amp;$A$4),SUMIFS(记账分录!$J$6:$J$5505,记账分录!$F$6:$F$5505,$A133,记账分录!$H$6:$H$5505,$C133,记账分录!$E$6:$E$5505,"&lt;"&amp;$A$4)-SUMIFS(记账分录!$I$6:$I$5505,记账分录!$F$6:$F$5505,$A133,记账分录!$H$6:$H$5505,$C133,记账分录!$E$6:$E$5505,"&lt;"&amp;$A$4)))</f>
        <v/>
      </c>
      <c r="I133" s="40" t="str">
        <f aca="false">IF($C133="","",SUMIFS(记账分录!$I$6:$I$5505,记账分录!$F$6:$F$5505,$A133,记账分录!$H$6:$H$5505,$C133,记账分录!$E$6:$E$5505,"&gt;="&amp;$A$4,记账分录!$E$6:$E$5505,"&lt;="&amp;$B$4))</f>
        <v/>
      </c>
      <c r="J133" s="40" t="str">
        <f aca="false">IF($C133="","",SUMIFS(记账分录!$J$6:$J$5505,记账分录!$F$6:$F$5505,$A133,记账分录!$H$6:$H$5505,$C133,记账分录!$E$6:$E$5505,"&gt;="&amp;$A$4,记账分录!$E$6:$E$5505,"&lt;="&amp;$B$4))</f>
        <v/>
      </c>
      <c r="K133" s="42" t="str">
        <f aca="false">IF($C133="","",IF($E133="借",$I133-$J133,$J133-$I133))</f>
        <v/>
      </c>
      <c r="L133" s="42" t="str">
        <f aca="false">IF($C133="","",ROUND($H133+$K133,2))</f>
        <v/>
      </c>
      <c r="M133" s="40" t="str">
        <f aca="false">IF($C133="","",SUMIFS(记账分录!$I$6:$I$5505,记账分录!$F$6:$F$5505,$A133,记账分录!$H$6:$H$5505,$C133,记账分录!$E$6:$E$5505,"&lt;="&amp;$B$4))</f>
        <v/>
      </c>
      <c r="N133" s="40" t="str">
        <f aca="false">IF($C133="","",SUMIFS(记账分录!$J$6:$J$5505,记账分录!$F$6:$F$5505,$A133,记账分录!$H$6:$H$5505,$C133,记账分录!$E$6:$E$5505,"&lt;="&amp;$B$4))</f>
        <v/>
      </c>
      <c r="O133" s="42" t="str">
        <f aca="false">IF($C133="","",IF($E133="借",$M133-$N133,$N133-$M133))</f>
        <v/>
      </c>
      <c r="P133" s="64" t="str">
        <f aca="false">IF($C133="","",IF(OR(ROUND($G133,2)&lt;&gt;0,ROUND($M133,2)&lt;&gt;0,ROUND($N133,2)&lt;&gt;0),"有",""))</f>
        <v/>
      </c>
    </row>
    <row r="134" customFormat="false" ht="15" hidden="true" customHeight="false" outlineLevel="0" collapsed="false">
      <c r="A134" s="25" t="str">
        <f aca="false">IF(会计科目表!$B53="","",参数设置!$A$11)</f>
        <v/>
      </c>
      <c r="B134" s="25" t="str">
        <f aca="false">IF(会计科目表!$B53="","",会计科目表!$A53)</f>
        <v/>
      </c>
      <c r="C134" s="10" t="str">
        <f aca="false">IF(会计科目表!$B53="","",会计科目表!$B53)</f>
        <v/>
      </c>
      <c r="D134" s="25" t="str">
        <f aca="false">IF($C134="","",会计科目表!$C53)</f>
        <v/>
      </c>
      <c r="E134" s="25" t="str">
        <f aca="false">IF($C134="","",会计科目表!$D53)</f>
        <v/>
      </c>
      <c r="F134" s="10" t="str">
        <f aca="false">IF($C134="","",会计科目表!$F53)</f>
        <v/>
      </c>
      <c r="G134" s="40" t="str">
        <f aca="false">IF($C134="","",IF($E134="借",SUMIFS(期初余额!$C$6:$C$185,期初余额!$A$6:$A$185,$A134,期初余额!$B$6:$B$185,$C134)-SUMIFS(期初余额!$D$6:$D$185,期初余额!$A$6:$A$185,$A134,期初余额!$B$6:$B$185,$C134),SUMIFS(期初余额!$D$6:$D$185,期初余额!$A$6:$A$185,$A134,期初余额!$B$6:$B$185,$C134)-SUMIFS(期初余额!$C$6:$C$185,期初余额!$A$6:$A$185,$A134,期初余额!$B$6:$B$185,$C134)))</f>
        <v/>
      </c>
      <c r="H134" s="40" t="str">
        <f aca="false">IF($C134="","",$G134+IF($E134="借",SUMIFS(记账分录!$I$6:$I$5505,记账分录!$F$6:$F$5505,$A134,记账分录!$H$6:$H$5505,$C134,记账分录!$E$6:$E$5505,"&lt;"&amp;$A$4)-SUMIFS(记账分录!$J$6:$J$5505,记账分录!$F$6:$F$5505,$A134,记账分录!$H$6:$H$5505,$C134,记账分录!$E$6:$E$5505,"&lt;"&amp;$A$4),SUMIFS(记账分录!$J$6:$J$5505,记账分录!$F$6:$F$5505,$A134,记账分录!$H$6:$H$5505,$C134,记账分录!$E$6:$E$5505,"&lt;"&amp;$A$4)-SUMIFS(记账分录!$I$6:$I$5505,记账分录!$F$6:$F$5505,$A134,记账分录!$H$6:$H$5505,$C134,记账分录!$E$6:$E$5505,"&lt;"&amp;$A$4)))</f>
        <v/>
      </c>
      <c r="I134" s="40" t="str">
        <f aca="false">IF($C134="","",SUMIFS(记账分录!$I$6:$I$5505,记账分录!$F$6:$F$5505,$A134,记账分录!$H$6:$H$5505,$C134,记账分录!$E$6:$E$5505,"&gt;="&amp;$A$4,记账分录!$E$6:$E$5505,"&lt;="&amp;$B$4))</f>
        <v/>
      </c>
      <c r="J134" s="40" t="str">
        <f aca="false">IF($C134="","",SUMIFS(记账分录!$J$6:$J$5505,记账分录!$F$6:$F$5505,$A134,记账分录!$H$6:$H$5505,$C134,记账分录!$E$6:$E$5505,"&gt;="&amp;$A$4,记账分录!$E$6:$E$5505,"&lt;="&amp;$B$4))</f>
        <v/>
      </c>
      <c r="K134" s="42" t="str">
        <f aca="false">IF($C134="","",IF($E134="借",$I134-$J134,$J134-$I134))</f>
        <v/>
      </c>
      <c r="L134" s="42" t="str">
        <f aca="false">IF($C134="","",ROUND($H134+$K134,2))</f>
        <v/>
      </c>
      <c r="M134" s="40" t="str">
        <f aca="false">IF($C134="","",SUMIFS(记账分录!$I$6:$I$5505,记账分录!$F$6:$F$5505,$A134,记账分录!$H$6:$H$5505,$C134,记账分录!$E$6:$E$5505,"&lt;="&amp;$B$4))</f>
        <v/>
      </c>
      <c r="N134" s="40" t="str">
        <f aca="false">IF($C134="","",SUMIFS(记账分录!$J$6:$J$5505,记账分录!$F$6:$F$5505,$A134,记账分录!$H$6:$H$5505,$C134,记账分录!$E$6:$E$5505,"&lt;="&amp;$B$4))</f>
        <v/>
      </c>
      <c r="O134" s="42" t="str">
        <f aca="false">IF($C134="","",IF($E134="借",$M134-$N134,$N134-$M134))</f>
        <v/>
      </c>
      <c r="P134" s="64" t="str">
        <f aca="false">IF($C134="","",IF(OR(ROUND($G134,2)&lt;&gt;0,ROUND($M134,2)&lt;&gt;0,ROUND($N134,2)&lt;&gt;0),"有",""))</f>
        <v/>
      </c>
    </row>
    <row r="135" customFormat="false" ht="15" hidden="true" customHeight="false" outlineLevel="0" collapsed="false">
      <c r="A135" s="25" t="str">
        <f aca="false">IF(会计科目表!$B54="","",参数设置!$A$11)</f>
        <v/>
      </c>
      <c r="B135" s="25" t="str">
        <f aca="false">IF(会计科目表!$B54="","",会计科目表!$A54)</f>
        <v/>
      </c>
      <c r="C135" s="10" t="str">
        <f aca="false">IF(会计科目表!$B54="","",会计科目表!$B54)</f>
        <v/>
      </c>
      <c r="D135" s="25" t="str">
        <f aca="false">IF($C135="","",会计科目表!$C54)</f>
        <v/>
      </c>
      <c r="E135" s="25" t="str">
        <f aca="false">IF($C135="","",会计科目表!$D54)</f>
        <v/>
      </c>
      <c r="F135" s="10" t="str">
        <f aca="false">IF($C135="","",会计科目表!$F54)</f>
        <v/>
      </c>
      <c r="G135" s="40" t="str">
        <f aca="false">IF($C135="","",IF($E135="借",SUMIFS(期初余额!$C$6:$C$185,期初余额!$A$6:$A$185,$A135,期初余额!$B$6:$B$185,$C135)-SUMIFS(期初余额!$D$6:$D$185,期初余额!$A$6:$A$185,$A135,期初余额!$B$6:$B$185,$C135),SUMIFS(期初余额!$D$6:$D$185,期初余额!$A$6:$A$185,$A135,期初余额!$B$6:$B$185,$C135)-SUMIFS(期初余额!$C$6:$C$185,期初余额!$A$6:$A$185,$A135,期初余额!$B$6:$B$185,$C135)))</f>
        <v/>
      </c>
      <c r="H135" s="40" t="str">
        <f aca="false">IF($C135="","",$G135+IF($E135="借",SUMIFS(记账分录!$I$6:$I$5505,记账分录!$F$6:$F$5505,$A135,记账分录!$H$6:$H$5505,$C135,记账分录!$E$6:$E$5505,"&lt;"&amp;$A$4)-SUMIFS(记账分录!$J$6:$J$5505,记账分录!$F$6:$F$5505,$A135,记账分录!$H$6:$H$5505,$C135,记账分录!$E$6:$E$5505,"&lt;"&amp;$A$4),SUMIFS(记账分录!$J$6:$J$5505,记账分录!$F$6:$F$5505,$A135,记账分录!$H$6:$H$5505,$C135,记账分录!$E$6:$E$5505,"&lt;"&amp;$A$4)-SUMIFS(记账分录!$I$6:$I$5505,记账分录!$F$6:$F$5505,$A135,记账分录!$H$6:$H$5505,$C135,记账分录!$E$6:$E$5505,"&lt;"&amp;$A$4)))</f>
        <v/>
      </c>
      <c r="I135" s="40" t="str">
        <f aca="false">IF($C135="","",SUMIFS(记账分录!$I$6:$I$5505,记账分录!$F$6:$F$5505,$A135,记账分录!$H$6:$H$5505,$C135,记账分录!$E$6:$E$5505,"&gt;="&amp;$A$4,记账分录!$E$6:$E$5505,"&lt;="&amp;$B$4))</f>
        <v/>
      </c>
      <c r="J135" s="40" t="str">
        <f aca="false">IF($C135="","",SUMIFS(记账分录!$J$6:$J$5505,记账分录!$F$6:$F$5505,$A135,记账分录!$H$6:$H$5505,$C135,记账分录!$E$6:$E$5505,"&gt;="&amp;$A$4,记账分录!$E$6:$E$5505,"&lt;="&amp;$B$4))</f>
        <v/>
      </c>
      <c r="K135" s="42" t="str">
        <f aca="false">IF($C135="","",IF($E135="借",$I135-$J135,$J135-$I135))</f>
        <v/>
      </c>
      <c r="L135" s="42" t="str">
        <f aca="false">IF($C135="","",ROUND($H135+$K135,2))</f>
        <v/>
      </c>
      <c r="M135" s="40" t="str">
        <f aca="false">IF($C135="","",SUMIFS(记账分录!$I$6:$I$5505,记账分录!$F$6:$F$5505,$A135,记账分录!$H$6:$H$5505,$C135,记账分录!$E$6:$E$5505,"&lt;="&amp;$B$4))</f>
        <v/>
      </c>
      <c r="N135" s="40" t="str">
        <f aca="false">IF($C135="","",SUMIFS(记账分录!$J$6:$J$5505,记账分录!$F$6:$F$5505,$A135,记账分录!$H$6:$H$5505,$C135,记账分录!$E$6:$E$5505,"&lt;="&amp;$B$4))</f>
        <v/>
      </c>
      <c r="O135" s="42" t="str">
        <f aca="false">IF($C135="","",IF($E135="借",$M135-$N135,$N135-$M135))</f>
        <v/>
      </c>
      <c r="P135" s="64" t="str">
        <f aca="false">IF($C135="","",IF(OR(ROUND($G135,2)&lt;&gt;0,ROUND($M135,2)&lt;&gt;0,ROUND($N135,2)&lt;&gt;0),"有",""))</f>
        <v/>
      </c>
    </row>
    <row r="136" customFormat="false" ht="15" hidden="true" customHeight="false" outlineLevel="0" collapsed="false">
      <c r="A136" s="25" t="str">
        <f aca="false">IF(会计科目表!$B55="","",参数设置!$A$11)</f>
        <v/>
      </c>
      <c r="B136" s="25" t="str">
        <f aca="false">IF(会计科目表!$B55="","",会计科目表!$A55)</f>
        <v/>
      </c>
      <c r="C136" s="10" t="str">
        <f aca="false">IF(会计科目表!$B55="","",会计科目表!$B55)</f>
        <v/>
      </c>
      <c r="D136" s="25" t="str">
        <f aca="false">IF($C136="","",会计科目表!$C55)</f>
        <v/>
      </c>
      <c r="E136" s="25" t="str">
        <f aca="false">IF($C136="","",会计科目表!$D55)</f>
        <v/>
      </c>
      <c r="F136" s="10" t="str">
        <f aca="false">IF($C136="","",会计科目表!$F55)</f>
        <v/>
      </c>
      <c r="G136" s="40" t="str">
        <f aca="false">IF($C136="","",IF($E136="借",SUMIFS(期初余额!$C$6:$C$185,期初余额!$A$6:$A$185,$A136,期初余额!$B$6:$B$185,$C136)-SUMIFS(期初余额!$D$6:$D$185,期初余额!$A$6:$A$185,$A136,期初余额!$B$6:$B$185,$C136),SUMIFS(期初余额!$D$6:$D$185,期初余额!$A$6:$A$185,$A136,期初余额!$B$6:$B$185,$C136)-SUMIFS(期初余额!$C$6:$C$185,期初余额!$A$6:$A$185,$A136,期初余额!$B$6:$B$185,$C136)))</f>
        <v/>
      </c>
      <c r="H136" s="40" t="str">
        <f aca="false">IF($C136="","",$G136+IF($E136="借",SUMIFS(记账分录!$I$6:$I$5505,记账分录!$F$6:$F$5505,$A136,记账分录!$H$6:$H$5505,$C136,记账分录!$E$6:$E$5505,"&lt;"&amp;$A$4)-SUMIFS(记账分录!$J$6:$J$5505,记账分录!$F$6:$F$5505,$A136,记账分录!$H$6:$H$5505,$C136,记账分录!$E$6:$E$5505,"&lt;"&amp;$A$4),SUMIFS(记账分录!$J$6:$J$5505,记账分录!$F$6:$F$5505,$A136,记账分录!$H$6:$H$5505,$C136,记账分录!$E$6:$E$5505,"&lt;"&amp;$A$4)-SUMIFS(记账分录!$I$6:$I$5505,记账分录!$F$6:$F$5505,$A136,记账分录!$H$6:$H$5505,$C136,记账分录!$E$6:$E$5505,"&lt;"&amp;$A$4)))</f>
        <v/>
      </c>
      <c r="I136" s="40" t="str">
        <f aca="false">IF($C136="","",SUMIFS(记账分录!$I$6:$I$5505,记账分录!$F$6:$F$5505,$A136,记账分录!$H$6:$H$5505,$C136,记账分录!$E$6:$E$5505,"&gt;="&amp;$A$4,记账分录!$E$6:$E$5505,"&lt;="&amp;$B$4))</f>
        <v/>
      </c>
      <c r="J136" s="40" t="str">
        <f aca="false">IF($C136="","",SUMIFS(记账分录!$J$6:$J$5505,记账分录!$F$6:$F$5505,$A136,记账分录!$H$6:$H$5505,$C136,记账分录!$E$6:$E$5505,"&gt;="&amp;$A$4,记账分录!$E$6:$E$5505,"&lt;="&amp;$B$4))</f>
        <v/>
      </c>
      <c r="K136" s="42" t="str">
        <f aca="false">IF($C136="","",IF($E136="借",$I136-$J136,$J136-$I136))</f>
        <v/>
      </c>
      <c r="L136" s="42" t="str">
        <f aca="false">IF($C136="","",ROUND($H136+$K136,2))</f>
        <v/>
      </c>
      <c r="M136" s="40" t="str">
        <f aca="false">IF($C136="","",SUMIFS(记账分录!$I$6:$I$5505,记账分录!$F$6:$F$5505,$A136,记账分录!$H$6:$H$5505,$C136,记账分录!$E$6:$E$5505,"&lt;="&amp;$B$4))</f>
        <v/>
      </c>
      <c r="N136" s="40" t="str">
        <f aca="false">IF($C136="","",SUMIFS(记账分录!$J$6:$J$5505,记账分录!$F$6:$F$5505,$A136,记账分录!$H$6:$H$5505,$C136,记账分录!$E$6:$E$5505,"&lt;="&amp;$B$4))</f>
        <v/>
      </c>
      <c r="O136" s="42" t="str">
        <f aca="false">IF($C136="","",IF($E136="借",$M136-$N136,$N136-$M136))</f>
        <v/>
      </c>
      <c r="P136" s="64" t="str">
        <f aca="false">IF($C136="","",IF(OR(ROUND($G136,2)&lt;&gt;0,ROUND($M136,2)&lt;&gt;0,ROUND($N136,2)&lt;&gt;0),"有",""))</f>
        <v/>
      </c>
    </row>
    <row r="137" customFormat="false" ht="15" hidden="true" customHeight="false" outlineLevel="0" collapsed="false">
      <c r="A137" s="25" t="str">
        <f aca="false">IF(会计科目表!$B56="","",参数设置!$A$11)</f>
        <v/>
      </c>
      <c r="B137" s="25" t="str">
        <f aca="false">IF(会计科目表!$B56="","",会计科目表!$A56)</f>
        <v/>
      </c>
      <c r="C137" s="10" t="str">
        <f aca="false">IF(会计科目表!$B56="","",会计科目表!$B56)</f>
        <v/>
      </c>
      <c r="D137" s="25" t="str">
        <f aca="false">IF($C137="","",会计科目表!$C56)</f>
        <v/>
      </c>
      <c r="E137" s="25" t="str">
        <f aca="false">IF($C137="","",会计科目表!$D56)</f>
        <v/>
      </c>
      <c r="F137" s="10" t="str">
        <f aca="false">IF($C137="","",会计科目表!$F56)</f>
        <v/>
      </c>
      <c r="G137" s="40" t="str">
        <f aca="false">IF($C137="","",IF($E137="借",SUMIFS(期初余额!$C$6:$C$185,期初余额!$A$6:$A$185,$A137,期初余额!$B$6:$B$185,$C137)-SUMIFS(期初余额!$D$6:$D$185,期初余额!$A$6:$A$185,$A137,期初余额!$B$6:$B$185,$C137),SUMIFS(期初余额!$D$6:$D$185,期初余额!$A$6:$A$185,$A137,期初余额!$B$6:$B$185,$C137)-SUMIFS(期初余额!$C$6:$C$185,期初余额!$A$6:$A$185,$A137,期初余额!$B$6:$B$185,$C137)))</f>
        <v/>
      </c>
      <c r="H137" s="40" t="str">
        <f aca="false">IF($C137="","",$G137+IF($E137="借",SUMIFS(记账分录!$I$6:$I$5505,记账分录!$F$6:$F$5505,$A137,记账分录!$H$6:$H$5505,$C137,记账分录!$E$6:$E$5505,"&lt;"&amp;$A$4)-SUMIFS(记账分录!$J$6:$J$5505,记账分录!$F$6:$F$5505,$A137,记账分录!$H$6:$H$5505,$C137,记账分录!$E$6:$E$5505,"&lt;"&amp;$A$4),SUMIFS(记账分录!$J$6:$J$5505,记账分录!$F$6:$F$5505,$A137,记账分录!$H$6:$H$5505,$C137,记账分录!$E$6:$E$5505,"&lt;"&amp;$A$4)-SUMIFS(记账分录!$I$6:$I$5505,记账分录!$F$6:$F$5505,$A137,记账分录!$H$6:$H$5505,$C137,记账分录!$E$6:$E$5505,"&lt;"&amp;$A$4)))</f>
        <v/>
      </c>
      <c r="I137" s="40" t="str">
        <f aca="false">IF($C137="","",SUMIFS(记账分录!$I$6:$I$5505,记账分录!$F$6:$F$5505,$A137,记账分录!$H$6:$H$5505,$C137,记账分录!$E$6:$E$5505,"&gt;="&amp;$A$4,记账分录!$E$6:$E$5505,"&lt;="&amp;$B$4))</f>
        <v/>
      </c>
      <c r="J137" s="40" t="str">
        <f aca="false">IF($C137="","",SUMIFS(记账分录!$J$6:$J$5505,记账分录!$F$6:$F$5505,$A137,记账分录!$H$6:$H$5505,$C137,记账分录!$E$6:$E$5505,"&gt;="&amp;$A$4,记账分录!$E$6:$E$5505,"&lt;="&amp;$B$4))</f>
        <v/>
      </c>
      <c r="K137" s="42" t="str">
        <f aca="false">IF($C137="","",IF($E137="借",$I137-$J137,$J137-$I137))</f>
        <v/>
      </c>
      <c r="L137" s="42" t="str">
        <f aca="false">IF($C137="","",ROUND($H137+$K137,2))</f>
        <v/>
      </c>
      <c r="M137" s="40" t="str">
        <f aca="false">IF($C137="","",SUMIFS(记账分录!$I$6:$I$5505,记账分录!$F$6:$F$5505,$A137,记账分录!$H$6:$H$5505,$C137,记账分录!$E$6:$E$5505,"&lt;="&amp;$B$4))</f>
        <v/>
      </c>
      <c r="N137" s="40" t="str">
        <f aca="false">IF($C137="","",SUMIFS(记账分录!$J$6:$J$5505,记账分录!$F$6:$F$5505,$A137,记账分录!$H$6:$H$5505,$C137,记账分录!$E$6:$E$5505,"&lt;="&amp;$B$4))</f>
        <v/>
      </c>
      <c r="O137" s="42" t="str">
        <f aca="false">IF($C137="","",IF($E137="借",$M137-$N137,$N137-$M137))</f>
        <v/>
      </c>
      <c r="P137" s="64" t="str">
        <f aca="false">IF($C137="","",IF(OR(ROUND($G137,2)&lt;&gt;0,ROUND($M137,2)&lt;&gt;0,ROUND($N137,2)&lt;&gt;0),"有",""))</f>
        <v/>
      </c>
    </row>
    <row r="138" customFormat="false" ht="15" hidden="true" customHeight="false" outlineLevel="0" collapsed="false">
      <c r="A138" s="25" t="str">
        <f aca="false">IF(会计科目表!$B57="","",参数设置!$A$11)</f>
        <v/>
      </c>
      <c r="B138" s="25" t="str">
        <f aca="false">IF(会计科目表!$B57="","",会计科目表!$A57)</f>
        <v/>
      </c>
      <c r="C138" s="10" t="str">
        <f aca="false">IF(会计科目表!$B57="","",会计科目表!$B57)</f>
        <v/>
      </c>
      <c r="D138" s="25" t="str">
        <f aca="false">IF($C138="","",会计科目表!$C57)</f>
        <v/>
      </c>
      <c r="E138" s="25" t="str">
        <f aca="false">IF($C138="","",会计科目表!$D57)</f>
        <v/>
      </c>
      <c r="F138" s="10" t="str">
        <f aca="false">IF($C138="","",会计科目表!$F57)</f>
        <v/>
      </c>
      <c r="G138" s="40" t="str">
        <f aca="false">IF($C138="","",IF($E138="借",SUMIFS(期初余额!$C$6:$C$185,期初余额!$A$6:$A$185,$A138,期初余额!$B$6:$B$185,$C138)-SUMIFS(期初余额!$D$6:$D$185,期初余额!$A$6:$A$185,$A138,期初余额!$B$6:$B$185,$C138),SUMIFS(期初余额!$D$6:$D$185,期初余额!$A$6:$A$185,$A138,期初余额!$B$6:$B$185,$C138)-SUMIFS(期初余额!$C$6:$C$185,期初余额!$A$6:$A$185,$A138,期初余额!$B$6:$B$185,$C138)))</f>
        <v/>
      </c>
      <c r="H138" s="40" t="str">
        <f aca="false">IF($C138="","",$G138+IF($E138="借",SUMIFS(记账分录!$I$6:$I$5505,记账分录!$F$6:$F$5505,$A138,记账分录!$H$6:$H$5505,$C138,记账分录!$E$6:$E$5505,"&lt;"&amp;$A$4)-SUMIFS(记账分录!$J$6:$J$5505,记账分录!$F$6:$F$5505,$A138,记账分录!$H$6:$H$5505,$C138,记账分录!$E$6:$E$5505,"&lt;"&amp;$A$4),SUMIFS(记账分录!$J$6:$J$5505,记账分录!$F$6:$F$5505,$A138,记账分录!$H$6:$H$5505,$C138,记账分录!$E$6:$E$5505,"&lt;"&amp;$A$4)-SUMIFS(记账分录!$I$6:$I$5505,记账分录!$F$6:$F$5505,$A138,记账分录!$H$6:$H$5505,$C138,记账分录!$E$6:$E$5505,"&lt;"&amp;$A$4)))</f>
        <v/>
      </c>
      <c r="I138" s="40" t="str">
        <f aca="false">IF($C138="","",SUMIFS(记账分录!$I$6:$I$5505,记账分录!$F$6:$F$5505,$A138,记账分录!$H$6:$H$5505,$C138,记账分录!$E$6:$E$5505,"&gt;="&amp;$A$4,记账分录!$E$6:$E$5505,"&lt;="&amp;$B$4))</f>
        <v/>
      </c>
      <c r="J138" s="40" t="str">
        <f aca="false">IF($C138="","",SUMIFS(记账分录!$J$6:$J$5505,记账分录!$F$6:$F$5505,$A138,记账分录!$H$6:$H$5505,$C138,记账分录!$E$6:$E$5505,"&gt;="&amp;$A$4,记账分录!$E$6:$E$5505,"&lt;="&amp;$B$4))</f>
        <v/>
      </c>
      <c r="K138" s="42" t="str">
        <f aca="false">IF($C138="","",IF($E138="借",$I138-$J138,$J138-$I138))</f>
        <v/>
      </c>
      <c r="L138" s="42" t="str">
        <f aca="false">IF($C138="","",ROUND($H138+$K138,2))</f>
        <v/>
      </c>
      <c r="M138" s="40" t="str">
        <f aca="false">IF($C138="","",SUMIFS(记账分录!$I$6:$I$5505,记账分录!$F$6:$F$5505,$A138,记账分录!$H$6:$H$5505,$C138,记账分录!$E$6:$E$5505,"&lt;="&amp;$B$4))</f>
        <v/>
      </c>
      <c r="N138" s="40" t="str">
        <f aca="false">IF($C138="","",SUMIFS(记账分录!$J$6:$J$5505,记账分录!$F$6:$F$5505,$A138,记账分录!$H$6:$H$5505,$C138,记账分录!$E$6:$E$5505,"&lt;="&amp;$B$4))</f>
        <v/>
      </c>
      <c r="O138" s="42" t="str">
        <f aca="false">IF($C138="","",IF($E138="借",$M138-$N138,$N138-$M138))</f>
        <v/>
      </c>
      <c r="P138" s="64" t="str">
        <f aca="false">IF($C138="","",IF(OR(ROUND($G138,2)&lt;&gt;0,ROUND($M138,2)&lt;&gt;0,ROUND($N138,2)&lt;&gt;0),"有",""))</f>
        <v/>
      </c>
    </row>
    <row r="139" customFormat="false" ht="15" hidden="true" customHeight="false" outlineLevel="0" collapsed="false">
      <c r="A139" s="25" t="str">
        <f aca="false">IF(会计科目表!$B58="","",参数设置!$A$11)</f>
        <v/>
      </c>
      <c r="B139" s="25" t="str">
        <f aca="false">IF(会计科目表!$B58="","",会计科目表!$A58)</f>
        <v/>
      </c>
      <c r="C139" s="10" t="str">
        <f aca="false">IF(会计科目表!$B58="","",会计科目表!$B58)</f>
        <v/>
      </c>
      <c r="D139" s="25" t="str">
        <f aca="false">IF($C139="","",会计科目表!$C58)</f>
        <v/>
      </c>
      <c r="E139" s="25" t="str">
        <f aca="false">IF($C139="","",会计科目表!$D58)</f>
        <v/>
      </c>
      <c r="F139" s="10" t="str">
        <f aca="false">IF($C139="","",会计科目表!$F58)</f>
        <v/>
      </c>
      <c r="G139" s="40" t="str">
        <f aca="false">IF($C139="","",IF($E139="借",SUMIFS(期初余额!$C$6:$C$185,期初余额!$A$6:$A$185,$A139,期初余额!$B$6:$B$185,$C139)-SUMIFS(期初余额!$D$6:$D$185,期初余额!$A$6:$A$185,$A139,期初余额!$B$6:$B$185,$C139),SUMIFS(期初余额!$D$6:$D$185,期初余额!$A$6:$A$185,$A139,期初余额!$B$6:$B$185,$C139)-SUMIFS(期初余额!$C$6:$C$185,期初余额!$A$6:$A$185,$A139,期初余额!$B$6:$B$185,$C139)))</f>
        <v/>
      </c>
      <c r="H139" s="40" t="str">
        <f aca="false">IF($C139="","",$G139+IF($E139="借",SUMIFS(记账分录!$I$6:$I$5505,记账分录!$F$6:$F$5505,$A139,记账分录!$H$6:$H$5505,$C139,记账分录!$E$6:$E$5505,"&lt;"&amp;$A$4)-SUMIFS(记账分录!$J$6:$J$5505,记账分录!$F$6:$F$5505,$A139,记账分录!$H$6:$H$5505,$C139,记账分录!$E$6:$E$5505,"&lt;"&amp;$A$4),SUMIFS(记账分录!$J$6:$J$5505,记账分录!$F$6:$F$5505,$A139,记账分录!$H$6:$H$5505,$C139,记账分录!$E$6:$E$5505,"&lt;"&amp;$A$4)-SUMIFS(记账分录!$I$6:$I$5505,记账分录!$F$6:$F$5505,$A139,记账分录!$H$6:$H$5505,$C139,记账分录!$E$6:$E$5505,"&lt;"&amp;$A$4)))</f>
        <v/>
      </c>
      <c r="I139" s="40" t="str">
        <f aca="false">IF($C139="","",SUMIFS(记账分录!$I$6:$I$5505,记账分录!$F$6:$F$5505,$A139,记账分录!$H$6:$H$5505,$C139,记账分录!$E$6:$E$5505,"&gt;="&amp;$A$4,记账分录!$E$6:$E$5505,"&lt;="&amp;$B$4))</f>
        <v/>
      </c>
      <c r="J139" s="40" t="str">
        <f aca="false">IF($C139="","",SUMIFS(记账分录!$J$6:$J$5505,记账分录!$F$6:$F$5505,$A139,记账分录!$H$6:$H$5505,$C139,记账分录!$E$6:$E$5505,"&gt;="&amp;$A$4,记账分录!$E$6:$E$5505,"&lt;="&amp;$B$4))</f>
        <v/>
      </c>
      <c r="K139" s="42" t="str">
        <f aca="false">IF($C139="","",IF($E139="借",$I139-$J139,$J139-$I139))</f>
        <v/>
      </c>
      <c r="L139" s="42" t="str">
        <f aca="false">IF($C139="","",ROUND($H139+$K139,2))</f>
        <v/>
      </c>
      <c r="M139" s="40" t="str">
        <f aca="false">IF($C139="","",SUMIFS(记账分录!$I$6:$I$5505,记账分录!$F$6:$F$5505,$A139,记账分录!$H$6:$H$5505,$C139,记账分录!$E$6:$E$5505,"&lt;="&amp;$B$4))</f>
        <v/>
      </c>
      <c r="N139" s="40" t="str">
        <f aca="false">IF($C139="","",SUMIFS(记账分录!$J$6:$J$5505,记账分录!$F$6:$F$5505,$A139,记账分录!$H$6:$H$5505,$C139,记账分录!$E$6:$E$5505,"&lt;="&amp;$B$4))</f>
        <v/>
      </c>
      <c r="O139" s="42" t="str">
        <f aca="false">IF($C139="","",IF($E139="借",$M139-$N139,$N139-$M139))</f>
        <v/>
      </c>
      <c r="P139" s="64" t="str">
        <f aca="false">IF($C139="","",IF(OR(ROUND($G139,2)&lt;&gt;0,ROUND($M139,2)&lt;&gt;0,ROUND($N139,2)&lt;&gt;0),"有",""))</f>
        <v/>
      </c>
    </row>
    <row r="140" customFormat="false" ht="15" hidden="true" customHeight="false" outlineLevel="0" collapsed="false">
      <c r="A140" s="25" t="str">
        <f aca="false">IF(会计科目表!$B59="","",参数设置!$A$11)</f>
        <v/>
      </c>
      <c r="B140" s="25" t="str">
        <f aca="false">IF(会计科目表!$B59="","",会计科目表!$A59)</f>
        <v/>
      </c>
      <c r="C140" s="10" t="str">
        <f aca="false">IF(会计科目表!$B59="","",会计科目表!$B59)</f>
        <v/>
      </c>
      <c r="D140" s="25" t="str">
        <f aca="false">IF($C140="","",会计科目表!$C59)</f>
        <v/>
      </c>
      <c r="E140" s="25" t="str">
        <f aca="false">IF($C140="","",会计科目表!$D59)</f>
        <v/>
      </c>
      <c r="F140" s="10" t="str">
        <f aca="false">IF($C140="","",会计科目表!$F59)</f>
        <v/>
      </c>
      <c r="G140" s="40" t="str">
        <f aca="false">IF($C140="","",IF($E140="借",SUMIFS(期初余额!$C$6:$C$185,期初余额!$A$6:$A$185,$A140,期初余额!$B$6:$B$185,$C140)-SUMIFS(期初余额!$D$6:$D$185,期初余额!$A$6:$A$185,$A140,期初余额!$B$6:$B$185,$C140),SUMIFS(期初余额!$D$6:$D$185,期初余额!$A$6:$A$185,$A140,期初余额!$B$6:$B$185,$C140)-SUMIFS(期初余额!$C$6:$C$185,期初余额!$A$6:$A$185,$A140,期初余额!$B$6:$B$185,$C140)))</f>
        <v/>
      </c>
      <c r="H140" s="40" t="str">
        <f aca="false">IF($C140="","",$G140+IF($E140="借",SUMIFS(记账分录!$I$6:$I$5505,记账分录!$F$6:$F$5505,$A140,记账分录!$H$6:$H$5505,$C140,记账分录!$E$6:$E$5505,"&lt;"&amp;$A$4)-SUMIFS(记账分录!$J$6:$J$5505,记账分录!$F$6:$F$5505,$A140,记账分录!$H$6:$H$5505,$C140,记账分录!$E$6:$E$5505,"&lt;"&amp;$A$4),SUMIFS(记账分录!$J$6:$J$5505,记账分录!$F$6:$F$5505,$A140,记账分录!$H$6:$H$5505,$C140,记账分录!$E$6:$E$5505,"&lt;"&amp;$A$4)-SUMIFS(记账分录!$I$6:$I$5505,记账分录!$F$6:$F$5505,$A140,记账分录!$H$6:$H$5505,$C140,记账分录!$E$6:$E$5505,"&lt;"&amp;$A$4)))</f>
        <v/>
      </c>
      <c r="I140" s="40" t="str">
        <f aca="false">IF($C140="","",SUMIFS(记账分录!$I$6:$I$5505,记账分录!$F$6:$F$5505,$A140,记账分录!$H$6:$H$5505,$C140,记账分录!$E$6:$E$5505,"&gt;="&amp;$A$4,记账分录!$E$6:$E$5505,"&lt;="&amp;$B$4))</f>
        <v/>
      </c>
      <c r="J140" s="40" t="str">
        <f aca="false">IF($C140="","",SUMIFS(记账分录!$J$6:$J$5505,记账分录!$F$6:$F$5505,$A140,记账分录!$H$6:$H$5505,$C140,记账分录!$E$6:$E$5505,"&gt;="&amp;$A$4,记账分录!$E$6:$E$5505,"&lt;="&amp;$B$4))</f>
        <v/>
      </c>
      <c r="K140" s="42" t="str">
        <f aca="false">IF($C140="","",IF($E140="借",$I140-$J140,$J140-$I140))</f>
        <v/>
      </c>
      <c r="L140" s="42" t="str">
        <f aca="false">IF($C140="","",ROUND($H140+$K140,2))</f>
        <v/>
      </c>
      <c r="M140" s="40" t="str">
        <f aca="false">IF($C140="","",SUMIFS(记账分录!$I$6:$I$5505,记账分录!$F$6:$F$5505,$A140,记账分录!$H$6:$H$5505,$C140,记账分录!$E$6:$E$5505,"&lt;="&amp;$B$4))</f>
        <v/>
      </c>
      <c r="N140" s="40" t="str">
        <f aca="false">IF($C140="","",SUMIFS(记账分录!$J$6:$J$5505,记账分录!$F$6:$F$5505,$A140,记账分录!$H$6:$H$5505,$C140,记账分录!$E$6:$E$5505,"&lt;="&amp;$B$4))</f>
        <v/>
      </c>
      <c r="O140" s="42" t="str">
        <f aca="false">IF($C140="","",IF($E140="借",$M140-$N140,$N140-$M140))</f>
        <v/>
      </c>
      <c r="P140" s="64" t="str">
        <f aca="false">IF($C140="","",IF(OR(ROUND($G140,2)&lt;&gt;0,ROUND($M140,2)&lt;&gt;0,ROUND($N140,2)&lt;&gt;0),"有",""))</f>
        <v/>
      </c>
    </row>
    <row r="141" customFormat="false" ht="15" hidden="true" customHeight="false" outlineLevel="0" collapsed="false">
      <c r="A141" s="25" t="str">
        <f aca="false">IF(会计科目表!$B60="","",参数设置!$A$11)</f>
        <v/>
      </c>
      <c r="B141" s="25" t="str">
        <f aca="false">IF(会计科目表!$B60="","",会计科目表!$A60)</f>
        <v/>
      </c>
      <c r="C141" s="10" t="str">
        <f aca="false">IF(会计科目表!$B60="","",会计科目表!$B60)</f>
        <v/>
      </c>
      <c r="D141" s="25" t="str">
        <f aca="false">IF($C141="","",会计科目表!$C60)</f>
        <v/>
      </c>
      <c r="E141" s="25" t="str">
        <f aca="false">IF($C141="","",会计科目表!$D60)</f>
        <v/>
      </c>
      <c r="F141" s="10" t="str">
        <f aca="false">IF($C141="","",会计科目表!$F60)</f>
        <v/>
      </c>
      <c r="G141" s="40" t="str">
        <f aca="false">IF($C141="","",IF($E141="借",SUMIFS(期初余额!$C$6:$C$185,期初余额!$A$6:$A$185,$A141,期初余额!$B$6:$B$185,$C141)-SUMIFS(期初余额!$D$6:$D$185,期初余额!$A$6:$A$185,$A141,期初余额!$B$6:$B$185,$C141),SUMIFS(期初余额!$D$6:$D$185,期初余额!$A$6:$A$185,$A141,期初余额!$B$6:$B$185,$C141)-SUMIFS(期初余额!$C$6:$C$185,期初余额!$A$6:$A$185,$A141,期初余额!$B$6:$B$185,$C141)))</f>
        <v/>
      </c>
      <c r="H141" s="40" t="str">
        <f aca="false">IF($C141="","",$G141+IF($E141="借",SUMIFS(记账分录!$I$6:$I$5505,记账分录!$F$6:$F$5505,$A141,记账分录!$H$6:$H$5505,$C141,记账分录!$E$6:$E$5505,"&lt;"&amp;$A$4)-SUMIFS(记账分录!$J$6:$J$5505,记账分录!$F$6:$F$5505,$A141,记账分录!$H$6:$H$5505,$C141,记账分录!$E$6:$E$5505,"&lt;"&amp;$A$4),SUMIFS(记账分录!$J$6:$J$5505,记账分录!$F$6:$F$5505,$A141,记账分录!$H$6:$H$5505,$C141,记账分录!$E$6:$E$5505,"&lt;"&amp;$A$4)-SUMIFS(记账分录!$I$6:$I$5505,记账分录!$F$6:$F$5505,$A141,记账分录!$H$6:$H$5505,$C141,记账分录!$E$6:$E$5505,"&lt;"&amp;$A$4)))</f>
        <v/>
      </c>
      <c r="I141" s="40" t="str">
        <f aca="false">IF($C141="","",SUMIFS(记账分录!$I$6:$I$5505,记账分录!$F$6:$F$5505,$A141,记账分录!$H$6:$H$5505,$C141,记账分录!$E$6:$E$5505,"&gt;="&amp;$A$4,记账分录!$E$6:$E$5505,"&lt;="&amp;$B$4))</f>
        <v/>
      </c>
      <c r="J141" s="40" t="str">
        <f aca="false">IF($C141="","",SUMIFS(记账分录!$J$6:$J$5505,记账分录!$F$6:$F$5505,$A141,记账分录!$H$6:$H$5505,$C141,记账分录!$E$6:$E$5505,"&gt;="&amp;$A$4,记账分录!$E$6:$E$5505,"&lt;="&amp;$B$4))</f>
        <v/>
      </c>
      <c r="K141" s="42" t="str">
        <f aca="false">IF($C141="","",IF($E141="借",$I141-$J141,$J141-$I141))</f>
        <v/>
      </c>
      <c r="L141" s="42" t="str">
        <f aca="false">IF($C141="","",ROUND($H141+$K141,2))</f>
        <v/>
      </c>
      <c r="M141" s="40" t="str">
        <f aca="false">IF($C141="","",SUMIFS(记账分录!$I$6:$I$5505,记账分录!$F$6:$F$5505,$A141,记账分录!$H$6:$H$5505,$C141,记账分录!$E$6:$E$5505,"&lt;="&amp;$B$4))</f>
        <v/>
      </c>
      <c r="N141" s="40" t="str">
        <f aca="false">IF($C141="","",SUMIFS(记账分录!$J$6:$J$5505,记账分录!$F$6:$F$5505,$A141,记账分录!$H$6:$H$5505,$C141,记账分录!$E$6:$E$5505,"&lt;="&amp;$B$4))</f>
        <v/>
      </c>
      <c r="O141" s="42" t="str">
        <f aca="false">IF($C141="","",IF($E141="借",$M141-$N141,$N141-$M141))</f>
        <v/>
      </c>
      <c r="P141" s="64" t="str">
        <f aca="false">IF($C141="","",IF(OR(ROUND($G141,2)&lt;&gt;0,ROUND($M141,2)&lt;&gt;0,ROUND($N141,2)&lt;&gt;0),"有",""))</f>
        <v/>
      </c>
    </row>
    <row r="142" customFormat="false" ht="15" hidden="true" customHeight="false" outlineLevel="0" collapsed="false">
      <c r="A142" s="25" t="str">
        <f aca="false">IF(会计科目表!$B61="","",参数设置!$A$11)</f>
        <v/>
      </c>
      <c r="B142" s="25" t="str">
        <f aca="false">IF(会计科目表!$B61="","",会计科目表!$A61)</f>
        <v/>
      </c>
      <c r="C142" s="10" t="str">
        <f aca="false">IF(会计科目表!$B61="","",会计科目表!$B61)</f>
        <v/>
      </c>
      <c r="D142" s="25" t="str">
        <f aca="false">IF($C142="","",会计科目表!$C61)</f>
        <v/>
      </c>
      <c r="E142" s="25" t="str">
        <f aca="false">IF($C142="","",会计科目表!$D61)</f>
        <v/>
      </c>
      <c r="F142" s="10" t="str">
        <f aca="false">IF($C142="","",会计科目表!$F61)</f>
        <v/>
      </c>
      <c r="G142" s="40" t="str">
        <f aca="false">IF($C142="","",IF($E142="借",SUMIFS(期初余额!$C$6:$C$185,期初余额!$A$6:$A$185,$A142,期初余额!$B$6:$B$185,$C142)-SUMIFS(期初余额!$D$6:$D$185,期初余额!$A$6:$A$185,$A142,期初余额!$B$6:$B$185,$C142),SUMIFS(期初余额!$D$6:$D$185,期初余额!$A$6:$A$185,$A142,期初余额!$B$6:$B$185,$C142)-SUMIFS(期初余额!$C$6:$C$185,期初余额!$A$6:$A$185,$A142,期初余额!$B$6:$B$185,$C142)))</f>
        <v/>
      </c>
      <c r="H142" s="40" t="str">
        <f aca="false">IF($C142="","",$G142+IF($E142="借",SUMIFS(记账分录!$I$6:$I$5505,记账分录!$F$6:$F$5505,$A142,记账分录!$H$6:$H$5505,$C142,记账分录!$E$6:$E$5505,"&lt;"&amp;$A$4)-SUMIFS(记账分录!$J$6:$J$5505,记账分录!$F$6:$F$5505,$A142,记账分录!$H$6:$H$5505,$C142,记账分录!$E$6:$E$5505,"&lt;"&amp;$A$4),SUMIFS(记账分录!$J$6:$J$5505,记账分录!$F$6:$F$5505,$A142,记账分录!$H$6:$H$5505,$C142,记账分录!$E$6:$E$5505,"&lt;"&amp;$A$4)-SUMIFS(记账分录!$I$6:$I$5505,记账分录!$F$6:$F$5505,$A142,记账分录!$H$6:$H$5505,$C142,记账分录!$E$6:$E$5505,"&lt;"&amp;$A$4)))</f>
        <v/>
      </c>
      <c r="I142" s="40" t="str">
        <f aca="false">IF($C142="","",SUMIFS(记账分录!$I$6:$I$5505,记账分录!$F$6:$F$5505,$A142,记账分录!$H$6:$H$5505,$C142,记账分录!$E$6:$E$5505,"&gt;="&amp;$A$4,记账分录!$E$6:$E$5505,"&lt;="&amp;$B$4))</f>
        <v/>
      </c>
      <c r="J142" s="40" t="str">
        <f aca="false">IF($C142="","",SUMIFS(记账分录!$J$6:$J$5505,记账分录!$F$6:$F$5505,$A142,记账分录!$H$6:$H$5505,$C142,记账分录!$E$6:$E$5505,"&gt;="&amp;$A$4,记账分录!$E$6:$E$5505,"&lt;="&amp;$B$4))</f>
        <v/>
      </c>
      <c r="K142" s="42" t="str">
        <f aca="false">IF($C142="","",IF($E142="借",$I142-$J142,$J142-$I142))</f>
        <v/>
      </c>
      <c r="L142" s="42" t="str">
        <f aca="false">IF($C142="","",ROUND($H142+$K142,2))</f>
        <v/>
      </c>
      <c r="M142" s="40" t="str">
        <f aca="false">IF($C142="","",SUMIFS(记账分录!$I$6:$I$5505,记账分录!$F$6:$F$5505,$A142,记账分录!$H$6:$H$5505,$C142,记账分录!$E$6:$E$5505,"&lt;="&amp;$B$4))</f>
        <v/>
      </c>
      <c r="N142" s="40" t="str">
        <f aca="false">IF($C142="","",SUMIFS(记账分录!$J$6:$J$5505,记账分录!$F$6:$F$5505,$A142,记账分录!$H$6:$H$5505,$C142,记账分录!$E$6:$E$5505,"&lt;="&amp;$B$4))</f>
        <v/>
      </c>
      <c r="O142" s="42" t="str">
        <f aca="false">IF($C142="","",IF($E142="借",$M142-$N142,$N142-$M142))</f>
        <v/>
      </c>
      <c r="P142" s="64" t="str">
        <f aca="false">IF($C142="","",IF(OR(ROUND($G142,2)&lt;&gt;0,ROUND($M142,2)&lt;&gt;0,ROUND($N142,2)&lt;&gt;0),"有",""))</f>
        <v/>
      </c>
    </row>
    <row r="143" customFormat="false" ht="15" hidden="true" customHeight="false" outlineLevel="0" collapsed="false">
      <c r="A143" s="25" t="str">
        <f aca="false">IF(会计科目表!$B62="","",参数设置!$A$11)</f>
        <v/>
      </c>
      <c r="B143" s="25" t="str">
        <f aca="false">IF(会计科目表!$B62="","",会计科目表!$A62)</f>
        <v/>
      </c>
      <c r="C143" s="10" t="str">
        <f aca="false">IF(会计科目表!$B62="","",会计科目表!$B62)</f>
        <v/>
      </c>
      <c r="D143" s="25" t="str">
        <f aca="false">IF($C143="","",会计科目表!$C62)</f>
        <v/>
      </c>
      <c r="E143" s="25" t="str">
        <f aca="false">IF($C143="","",会计科目表!$D62)</f>
        <v/>
      </c>
      <c r="F143" s="10" t="str">
        <f aca="false">IF($C143="","",会计科目表!$F62)</f>
        <v/>
      </c>
      <c r="G143" s="40" t="str">
        <f aca="false">IF($C143="","",IF($E143="借",SUMIFS(期初余额!$C$6:$C$185,期初余额!$A$6:$A$185,$A143,期初余额!$B$6:$B$185,$C143)-SUMIFS(期初余额!$D$6:$D$185,期初余额!$A$6:$A$185,$A143,期初余额!$B$6:$B$185,$C143),SUMIFS(期初余额!$D$6:$D$185,期初余额!$A$6:$A$185,$A143,期初余额!$B$6:$B$185,$C143)-SUMIFS(期初余额!$C$6:$C$185,期初余额!$A$6:$A$185,$A143,期初余额!$B$6:$B$185,$C143)))</f>
        <v/>
      </c>
      <c r="H143" s="40" t="str">
        <f aca="false">IF($C143="","",$G143+IF($E143="借",SUMIFS(记账分录!$I$6:$I$5505,记账分录!$F$6:$F$5505,$A143,记账分录!$H$6:$H$5505,$C143,记账分录!$E$6:$E$5505,"&lt;"&amp;$A$4)-SUMIFS(记账分录!$J$6:$J$5505,记账分录!$F$6:$F$5505,$A143,记账分录!$H$6:$H$5505,$C143,记账分录!$E$6:$E$5505,"&lt;"&amp;$A$4),SUMIFS(记账分录!$J$6:$J$5505,记账分录!$F$6:$F$5505,$A143,记账分录!$H$6:$H$5505,$C143,记账分录!$E$6:$E$5505,"&lt;"&amp;$A$4)-SUMIFS(记账分录!$I$6:$I$5505,记账分录!$F$6:$F$5505,$A143,记账分录!$H$6:$H$5505,$C143,记账分录!$E$6:$E$5505,"&lt;"&amp;$A$4)))</f>
        <v/>
      </c>
      <c r="I143" s="40" t="str">
        <f aca="false">IF($C143="","",SUMIFS(记账分录!$I$6:$I$5505,记账分录!$F$6:$F$5505,$A143,记账分录!$H$6:$H$5505,$C143,记账分录!$E$6:$E$5505,"&gt;="&amp;$A$4,记账分录!$E$6:$E$5505,"&lt;="&amp;$B$4))</f>
        <v/>
      </c>
      <c r="J143" s="40" t="str">
        <f aca="false">IF($C143="","",SUMIFS(记账分录!$J$6:$J$5505,记账分录!$F$6:$F$5505,$A143,记账分录!$H$6:$H$5505,$C143,记账分录!$E$6:$E$5505,"&gt;="&amp;$A$4,记账分录!$E$6:$E$5505,"&lt;="&amp;$B$4))</f>
        <v/>
      </c>
      <c r="K143" s="42" t="str">
        <f aca="false">IF($C143="","",IF($E143="借",$I143-$J143,$J143-$I143))</f>
        <v/>
      </c>
      <c r="L143" s="42" t="str">
        <f aca="false">IF($C143="","",ROUND($H143+$K143,2))</f>
        <v/>
      </c>
      <c r="M143" s="40" t="str">
        <f aca="false">IF($C143="","",SUMIFS(记账分录!$I$6:$I$5505,记账分录!$F$6:$F$5505,$A143,记账分录!$H$6:$H$5505,$C143,记账分录!$E$6:$E$5505,"&lt;="&amp;$B$4))</f>
        <v/>
      </c>
      <c r="N143" s="40" t="str">
        <f aca="false">IF($C143="","",SUMIFS(记账分录!$J$6:$J$5505,记账分录!$F$6:$F$5505,$A143,记账分录!$H$6:$H$5505,$C143,记账分录!$E$6:$E$5505,"&lt;="&amp;$B$4))</f>
        <v/>
      </c>
      <c r="O143" s="42" t="str">
        <f aca="false">IF($C143="","",IF($E143="借",$M143-$N143,$N143-$M143))</f>
        <v/>
      </c>
      <c r="P143" s="64" t="str">
        <f aca="false">IF($C143="","",IF(OR(ROUND($G143,2)&lt;&gt;0,ROUND($M143,2)&lt;&gt;0,ROUND($N143,2)&lt;&gt;0),"有",""))</f>
        <v/>
      </c>
    </row>
    <row r="144" customFormat="false" ht="15" hidden="true" customHeight="false" outlineLevel="0" collapsed="false">
      <c r="A144" s="25" t="str">
        <f aca="false">IF(会计科目表!$B63="","",参数设置!$A$11)</f>
        <v/>
      </c>
      <c r="B144" s="25" t="str">
        <f aca="false">IF(会计科目表!$B63="","",会计科目表!$A63)</f>
        <v/>
      </c>
      <c r="C144" s="10" t="str">
        <f aca="false">IF(会计科目表!$B63="","",会计科目表!$B63)</f>
        <v/>
      </c>
      <c r="D144" s="25" t="str">
        <f aca="false">IF($C144="","",会计科目表!$C63)</f>
        <v/>
      </c>
      <c r="E144" s="25" t="str">
        <f aca="false">IF($C144="","",会计科目表!$D63)</f>
        <v/>
      </c>
      <c r="F144" s="10" t="str">
        <f aca="false">IF($C144="","",会计科目表!$F63)</f>
        <v/>
      </c>
      <c r="G144" s="40" t="str">
        <f aca="false">IF($C144="","",IF($E144="借",SUMIFS(期初余额!$C$6:$C$185,期初余额!$A$6:$A$185,$A144,期初余额!$B$6:$B$185,$C144)-SUMIFS(期初余额!$D$6:$D$185,期初余额!$A$6:$A$185,$A144,期初余额!$B$6:$B$185,$C144),SUMIFS(期初余额!$D$6:$D$185,期初余额!$A$6:$A$185,$A144,期初余额!$B$6:$B$185,$C144)-SUMIFS(期初余额!$C$6:$C$185,期初余额!$A$6:$A$185,$A144,期初余额!$B$6:$B$185,$C144)))</f>
        <v/>
      </c>
      <c r="H144" s="40" t="str">
        <f aca="false">IF($C144="","",$G144+IF($E144="借",SUMIFS(记账分录!$I$6:$I$5505,记账分录!$F$6:$F$5505,$A144,记账分录!$H$6:$H$5505,$C144,记账分录!$E$6:$E$5505,"&lt;"&amp;$A$4)-SUMIFS(记账分录!$J$6:$J$5505,记账分录!$F$6:$F$5505,$A144,记账分录!$H$6:$H$5505,$C144,记账分录!$E$6:$E$5505,"&lt;"&amp;$A$4),SUMIFS(记账分录!$J$6:$J$5505,记账分录!$F$6:$F$5505,$A144,记账分录!$H$6:$H$5505,$C144,记账分录!$E$6:$E$5505,"&lt;"&amp;$A$4)-SUMIFS(记账分录!$I$6:$I$5505,记账分录!$F$6:$F$5505,$A144,记账分录!$H$6:$H$5505,$C144,记账分录!$E$6:$E$5505,"&lt;"&amp;$A$4)))</f>
        <v/>
      </c>
      <c r="I144" s="40" t="str">
        <f aca="false">IF($C144="","",SUMIFS(记账分录!$I$6:$I$5505,记账分录!$F$6:$F$5505,$A144,记账分录!$H$6:$H$5505,$C144,记账分录!$E$6:$E$5505,"&gt;="&amp;$A$4,记账分录!$E$6:$E$5505,"&lt;="&amp;$B$4))</f>
        <v/>
      </c>
      <c r="J144" s="40" t="str">
        <f aca="false">IF($C144="","",SUMIFS(记账分录!$J$6:$J$5505,记账分录!$F$6:$F$5505,$A144,记账分录!$H$6:$H$5505,$C144,记账分录!$E$6:$E$5505,"&gt;="&amp;$A$4,记账分录!$E$6:$E$5505,"&lt;="&amp;$B$4))</f>
        <v/>
      </c>
      <c r="K144" s="42" t="str">
        <f aca="false">IF($C144="","",IF($E144="借",$I144-$J144,$J144-$I144))</f>
        <v/>
      </c>
      <c r="L144" s="42" t="str">
        <f aca="false">IF($C144="","",ROUND($H144+$K144,2))</f>
        <v/>
      </c>
      <c r="M144" s="40" t="str">
        <f aca="false">IF($C144="","",SUMIFS(记账分录!$I$6:$I$5505,记账分录!$F$6:$F$5505,$A144,记账分录!$H$6:$H$5505,$C144,记账分录!$E$6:$E$5505,"&lt;="&amp;$B$4))</f>
        <v/>
      </c>
      <c r="N144" s="40" t="str">
        <f aca="false">IF($C144="","",SUMIFS(记账分录!$J$6:$J$5505,记账分录!$F$6:$F$5505,$A144,记账分录!$H$6:$H$5505,$C144,记账分录!$E$6:$E$5505,"&lt;="&amp;$B$4))</f>
        <v/>
      </c>
      <c r="O144" s="42" t="str">
        <f aca="false">IF($C144="","",IF($E144="借",$M144-$N144,$N144-$M144))</f>
        <v/>
      </c>
      <c r="P144" s="64" t="str">
        <f aca="false">IF($C144="","",IF(OR(ROUND($G144,2)&lt;&gt;0,ROUND($M144,2)&lt;&gt;0,ROUND($N144,2)&lt;&gt;0),"有",""))</f>
        <v/>
      </c>
    </row>
    <row r="145" customFormat="false" ht="15" hidden="true" customHeight="false" outlineLevel="0" collapsed="false">
      <c r="A145" s="25" t="str">
        <f aca="false">IF(会计科目表!$B64="","",参数设置!$A$11)</f>
        <v/>
      </c>
      <c r="B145" s="25" t="str">
        <f aca="false">IF(会计科目表!$B64="","",会计科目表!$A64)</f>
        <v/>
      </c>
      <c r="C145" s="10" t="str">
        <f aca="false">IF(会计科目表!$B64="","",会计科目表!$B64)</f>
        <v/>
      </c>
      <c r="D145" s="25" t="str">
        <f aca="false">IF($C145="","",会计科目表!$C64)</f>
        <v/>
      </c>
      <c r="E145" s="25" t="str">
        <f aca="false">IF($C145="","",会计科目表!$D64)</f>
        <v/>
      </c>
      <c r="F145" s="10" t="str">
        <f aca="false">IF($C145="","",会计科目表!$F64)</f>
        <v/>
      </c>
      <c r="G145" s="40" t="str">
        <f aca="false">IF($C145="","",IF($E145="借",SUMIFS(期初余额!$C$6:$C$185,期初余额!$A$6:$A$185,$A145,期初余额!$B$6:$B$185,$C145)-SUMIFS(期初余额!$D$6:$D$185,期初余额!$A$6:$A$185,$A145,期初余额!$B$6:$B$185,$C145),SUMIFS(期初余额!$D$6:$D$185,期初余额!$A$6:$A$185,$A145,期初余额!$B$6:$B$185,$C145)-SUMIFS(期初余额!$C$6:$C$185,期初余额!$A$6:$A$185,$A145,期初余额!$B$6:$B$185,$C145)))</f>
        <v/>
      </c>
      <c r="H145" s="40" t="str">
        <f aca="false">IF($C145="","",$G145+IF($E145="借",SUMIFS(记账分录!$I$6:$I$5505,记账分录!$F$6:$F$5505,$A145,记账分录!$H$6:$H$5505,$C145,记账分录!$E$6:$E$5505,"&lt;"&amp;$A$4)-SUMIFS(记账分录!$J$6:$J$5505,记账分录!$F$6:$F$5505,$A145,记账分录!$H$6:$H$5505,$C145,记账分录!$E$6:$E$5505,"&lt;"&amp;$A$4),SUMIFS(记账分录!$J$6:$J$5505,记账分录!$F$6:$F$5505,$A145,记账分录!$H$6:$H$5505,$C145,记账分录!$E$6:$E$5505,"&lt;"&amp;$A$4)-SUMIFS(记账分录!$I$6:$I$5505,记账分录!$F$6:$F$5505,$A145,记账分录!$H$6:$H$5505,$C145,记账分录!$E$6:$E$5505,"&lt;"&amp;$A$4)))</f>
        <v/>
      </c>
      <c r="I145" s="40" t="str">
        <f aca="false">IF($C145="","",SUMIFS(记账分录!$I$6:$I$5505,记账分录!$F$6:$F$5505,$A145,记账分录!$H$6:$H$5505,$C145,记账分录!$E$6:$E$5505,"&gt;="&amp;$A$4,记账分录!$E$6:$E$5505,"&lt;="&amp;$B$4))</f>
        <v/>
      </c>
      <c r="J145" s="40" t="str">
        <f aca="false">IF($C145="","",SUMIFS(记账分录!$J$6:$J$5505,记账分录!$F$6:$F$5505,$A145,记账分录!$H$6:$H$5505,$C145,记账分录!$E$6:$E$5505,"&gt;="&amp;$A$4,记账分录!$E$6:$E$5505,"&lt;="&amp;$B$4))</f>
        <v/>
      </c>
      <c r="K145" s="42" t="str">
        <f aca="false">IF($C145="","",IF($E145="借",$I145-$J145,$J145-$I145))</f>
        <v/>
      </c>
      <c r="L145" s="42" t="str">
        <f aca="false">IF($C145="","",ROUND($H145+$K145,2))</f>
        <v/>
      </c>
      <c r="M145" s="40" t="str">
        <f aca="false">IF($C145="","",SUMIFS(记账分录!$I$6:$I$5505,记账分录!$F$6:$F$5505,$A145,记账分录!$H$6:$H$5505,$C145,记账分录!$E$6:$E$5505,"&lt;="&amp;$B$4))</f>
        <v/>
      </c>
      <c r="N145" s="40" t="str">
        <f aca="false">IF($C145="","",SUMIFS(记账分录!$J$6:$J$5505,记账分录!$F$6:$F$5505,$A145,记账分录!$H$6:$H$5505,$C145,记账分录!$E$6:$E$5505,"&lt;="&amp;$B$4))</f>
        <v/>
      </c>
      <c r="O145" s="42" t="str">
        <f aca="false">IF($C145="","",IF($E145="借",$M145-$N145,$N145-$M145))</f>
        <v/>
      </c>
      <c r="P145" s="64" t="str">
        <f aca="false">IF($C145="","",IF(OR(ROUND($G145,2)&lt;&gt;0,ROUND($M145,2)&lt;&gt;0,ROUND($N145,2)&lt;&gt;0),"有",""))</f>
        <v/>
      </c>
    </row>
    <row r="146" customFormat="false" ht="15" hidden="true" customHeight="false" outlineLevel="0" collapsed="false">
      <c r="A146" s="25" t="str">
        <f aca="false">IF(会计科目表!$B65="","",参数设置!$A$11)</f>
        <v/>
      </c>
      <c r="B146" s="25" t="str">
        <f aca="false">IF(会计科目表!$B65="","",会计科目表!$A65)</f>
        <v/>
      </c>
      <c r="C146" s="10" t="str">
        <f aca="false">IF(会计科目表!$B65="","",会计科目表!$B65)</f>
        <v/>
      </c>
      <c r="D146" s="25" t="str">
        <f aca="false">IF($C146="","",会计科目表!$C65)</f>
        <v/>
      </c>
      <c r="E146" s="25" t="str">
        <f aca="false">IF($C146="","",会计科目表!$D65)</f>
        <v/>
      </c>
      <c r="F146" s="10" t="str">
        <f aca="false">IF($C146="","",会计科目表!$F65)</f>
        <v/>
      </c>
      <c r="G146" s="40" t="str">
        <f aca="false">IF($C146="","",IF($E146="借",SUMIFS(期初余额!$C$6:$C$185,期初余额!$A$6:$A$185,$A146,期初余额!$B$6:$B$185,$C146)-SUMIFS(期初余额!$D$6:$D$185,期初余额!$A$6:$A$185,$A146,期初余额!$B$6:$B$185,$C146),SUMIFS(期初余额!$D$6:$D$185,期初余额!$A$6:$A$185,$A146,期初余额!$B$6:$B$185,$C146)-SUMIFS(期初余额!$C$6:$C$185,期初余额!$A$6:$A$185,$A146,期初余额!$B$6:$B$185,$C146)))</f>
        <v/>
      </c>
      <c r="H146" s="40" t="str">
        <f aca="false">IF($C146="","",$G146+IF($E146="借",SUMIFS(记账分录!$I$6:$I$5505,记账分录!$F$6:$F$5505,$A146,记账分录!$H$6:$H$5505,$C146,记账分录!$E$6:$E$5505,"&lt;"&amp;$A$4)-SUMIFS(记账分录!$J$6:$J$5505,记账分录!$F$6:$F$5505,$A146,记账分录!$H$6:$H$5505,$C146,记账分录!$E$6:$E$5505,"&lt;"&amp;$A$4),SUMIFS(记账分录!$J$6:$J$5505,记账分录!$F$6:$F$5505,$A146,记账分录!$H$6:$H$5505,$C146,记账分录!$E$6:$E$5505,"&lt;"&amp;$A$4)-SUMIFS(记账分录!$I$6:$I$5505,记账分录!$F$6:$F$5505,$A146,记账分录!$H$6:$H$5505,$C146,记账分录!$E$6:$E$5505,"&lt;"&amp;$A$4)))</f>
        <v/>
      </c>
      <c r="I146" s="40" t="str">
        <f aca="false">IF($C146="","",SUMIFS(记账分录!$I$6:$I$5505,记账分录!$F$6:$F$5505,$A146,记账分录!$H$6:$H$5505,$C146,记账分录!$E$6:$E$5505,"&gt;="&amp;$A$4,记账分录!$E$6:$E$5505,"&lt;="&amp;$B$4))</f>
        <v/>
      </c>
      <c r="J146" s="40" t="str">
        <f aca="false">IF($C146="","",SUMIFS(记账分录!$J$6:$J$5505,记账分录!$F$6:$F$5505,$A146,记账分录!$H$6:$H$5505,$C146,记账分录!$E$6:$E$5505,"&gt;="&amp;$A$4,记账分录!$E$6:$E$5505,"&lt;="&amp;$B$4))</f>
        <v/>
      </c>
      <c r="K146" s="42" t="str">
        <f aca="false">IF($C146="","",IF($E146="借",$I146-$J146,$J146-$I146))</f>
        <v/>
      </c>
      <c r="L146" s="42" t="str">
        <f aca="false">IF($C146="","",ROUND($H146+$K146,2))</f>
        <v/>
      </c>
      <c r="M146" s="40" t="str">
        <f aca="false">IF($C146="","",SUMIFS(记账分录!$I$6:$I$5505,记账分录!$F$6:$F$5505,$A146,记账分录!$H$6:$H$5505,$C146,记账分录!$E$6:$E$5505,"&lt;="&amp;$B$4))</f>
        <v/>
      </c>
      <c r="N146" s="40" t="str">
        <f aca="false">IF($C146="","",SUMIFS(记账分录!$J$6:$J$5505,记账分录!$F$6:$F$5505,$A146,记账分录!$H$6:$H$5505,$C146,记账分录!$E$6:$E$5505,"&lt;="&amp;$B$4))</f>
        <v/>
      </c>
      <c r="O146" s="42" t="str">
        <f aca="false">IF($C146="","",IF($E146="借",$M146-$N146,$N146-$M146))</f>
        <v/>
      </c>
      <c r="P146" s="64" t="str">
        <f aca="false">IF($C146="","",IF(OR(ROUND($G146,2)&lt;&gt;0,ROUND($M146,2)&lt;&gt;0,ROUND($N146,2)&lt;&gt;0),"有",""))</f>
        <v/>
      </c>
    </row>
    <row r="147" customFormat="false" ht="15" hidden="true" customHeight="false" outlineLevel="0" collapsed="false">
      <c r="A147" s="25" t="str">
        <f aca="false">IF(会计科目表!$B66="","",参数设置!$A$11)</f>
        <v/>
      </c>
      <c r="B147" s="25" t="str">
        <f aca="false">IF(会计科目表!$B66="","",会计科目表!$A66)</f>
        <v/>
      </c>
      <c r="C147" s="10" t="str">
        <f aca="false">IF(会计科目表!$B66="","",会计科目表!$B66)</f>
        <v/>
      </c>
      <c r="D147" s="25" t="str">
        <f aca="false">IF($C147="","",会计科目表!$C66)</f>
        <v/>
      </c>
      <c r="E147" s="25" t="str">
        <f aca="false">IF($C147="","",会计科目表!$D66)</f>
        <v/>
      </c>
      <c r="F147" s="10" t="str">
        <f aca="false">IF($C147="","",会计科目表!$F66)</f>
        <v/>
      </c>
      <c r="G147" s="40" t="str">
        <f aca="false">IF($C147="","",IF($E147="借",SUMIFS(期初余额!$C$6:$C$185,期初余额!$A$6:$A$185,$A147,期初余额!$B$6:$B$185,$C147)-SUMIFS(期初余额!$D$6:$D$185,期初余额!$A$6:$A$185,$A147,期初余额!$B$6:$B$185,$C147),SUMIFS(期初余额!$D$6:$D$185,期初余额!$A$6:$A$185,$A147,期初余额!$B$6:$B$185,$C147)-SUMIFS(期初余额!$C$6:$C$185,期初余额!$A$6:$A$185,$A147,期初余额!$B$6:$B$185,$C147)))</f>
        <v/>
      </c>
      <c r="H147" s="40" t="str">
        <f aca="false">IF($C147="","",$G147+IF($E147="借",SUMIFS(记账分录!$I$6:$I$5505,记账分录!$F$6:$F$5505,$A147,记账分录!$H$6:$H$5505,$C147,记账分录!$E$6:$E$5505,"&lt;"&amp;$A$4)-SUMIFS(记账分录!$J$6:$J$5505,记账分录!$F$6:$F$5505,$A147,记账分录!$H$6:$H$5505,$C147,记账分录!$E$6:$E$5505,"&lt;"&amp;$A$4),SUMIFS(记账分录!$J$6:$J$5505,记账分录!$F$6:$F$5505,$A147,记账分录!$H$6:$H$5505,$C147,记账分录!$E$6:$E$5505,"&lt;"&amp;$A$4)-SUMIFS(记账分录!$I$6:$I$5505,记账分录!$F$6:$F$5505,$A147,记账分录!$H$6:$H$5505,$C147,记账分录!$E$6:$E$5505,"&lt;"&amp;$A$4)))</f>
        <v/>
      </c>
      <c r="I147" s="40" t="str">
        <f aca="false">IF($C147="","",SUMIFS(记账分录!$I$6:$I$5505,记账分录!$F$6:$F$5505,$A147,记账分录!$H$6:$H$5505,$C147,记账分录!$E$6:$E$5505,"&gt;="&amp;$A$4,记账分录!$E$6:$E$5505,"&lt;="&amp;$B$4))</f>
        <v/>
      </c>
      <c r="J147" s="40" t="str">
        <f aca="false">IF($C147="","",SUMIFS(记账分录!$J$6:$J$5505,记账分录!$F$6:$F$5505,$A147,记账分录!$H$6:$H$5505,$C147,记账分录!$E$6:$E$5505,"&gt;="&amp;$A$4,记账分录!$E$6:$E$5505,"&lt;="&amp;$B$4))</f>
        <v/>
      </c>
      <c r="K147" s="42" t="str">
        <f aca="false">IF($C147="","",IF($E147="借",$I147-$J147,$J147-$I147))</f>
        <v/>
      </c>
      <c r="L147" s="42" t="str">
        <f aca="false">IF($C147="","",ROUND($H147+$K147,2))</f>
        <v/>
      </c>
      <c r="M147" s="40" t="str">
        <f aca="false">IF($C147="","",SUMIFS(记账分录!$I$6:$I$5505,记账分录!$F$6:$F$5505,$A147,记账分录!$H$6:$H$5505,$C147,记账分录!$E$6:$E$5505,"&lt;="&amp;$B$4))</f>
        <v/>
      </c>
      <c r="N147" s="40" t="str">
        <f aca="false">IF($C147="","",SUMIFS(记账分录!$J$6:$J$5505,记账分录!$F$6:$F$5505,$A147,记账分录!$H$6:$H$5505,$C147,记账分录!$E$6:$E$5505,"&lt;="&amp;$B$4))</f>
        <v/>
      </c>
      <c r="O147" s="42" t="str">
        <f aca="false">IF($C147="","",IF($E147="借",$M147-$N147,$N147-$M147))</f>
        <v/>
      </c>
      <c r="P147" s="64" t="str">
        <f aca="false">IF($C147="","",IF(OR(ROUND($G147,2)&lt;&gt;0,ROUND($M147,2)&lt;&gt;0,ROUND($N147,2)&lt;&gt;0),"有",""))</f>
        <v/>
      </c>
    </row>
    <row r="148" customFormat="false" ht="15" hidden="true" customHeight="false" outlineLevel="0" collapsed="false">
      <c r="A148" s="25" t="str">
        <f aca="false">IF(会计科目表!$B67="","",参数设置!$A$11)</f>
        <v/>
      </c>
      <c r="B148" s="25" t="str">
        <f aca="false">IF(会计科目表!$B67="","",会计科目表!$A67)</f>
        <v/>
      </c>
      <c r="C148" s="10" t="str">
        <f aca="false">IF(会计科目表!$B67="","",会计科目表!$B67)</f>
        <v/>
      </c>
      <c r="D148" s="25" t="str">
        <f aca="false">IF($C148="","",会计科目表!$C67)</f>
        <v/>
      </c>
      <c r="E148" s="25" t="str">
        <f aca="false">IF($C148="","",会计科目表!$D67)</f>
        <v/>
      </c>
      <c r="F148" s="10" t="str">
        <f aca="false">IF($C148="","",会计科目表!$F67)</f>
        <v/>
      </c>
      <c r="G148" s="40" t="str">
        <f aca="false">IF($C148="","",IF($E148="借",SUMIFS(期初余额!$C$6:$C$185,期初余额!$A$6:$A$185,$A148,期初余额!$B$6:$B$185,$C148)-SUMIFS(期初余额!$D$6:$D$185,期初余额!$A$6:$A$185,$A148,期初余额!$B$6:$B$185,$C148),SUMIFS(期初余额!$D$6:$D$185,期初余额!$A$6:$A$185,$A148,期初余额!$B$6:$B$185,$C148)-SUMIFS(期初余额!$C$6:$C$185,期初余额!$A$6:$A$185,$A148,期初余额!$B$6:$B$185,$C148)))</f>
        <v/>
      </c>
      <c r="H148" s="40" t="str">
        <f aca="false">IF($C148="","",$G148+IF($E148="借",SUMIFS(记账分录!$I$6:$I$5505,记账分录!$F$6:$F$5505,$A148,记账分录!$H$6:$H$5505,$C148,记账分录!$E$6:$E$5505,"&lt;"&amp;$A$4)-SUMIFS(记账分录!$J$6:$J$5505,记账分录!$F$6:$F$5505,$A148,记账分录!$H$6:$H$5505,$C148,记账分录!$E$6:$E$5505,"&lt;"&amp;$A$4),SUMIFS(记账分录!$J$6:$J$5505,记账分录!$F$6:$F$5505,$A148,记账分录!$H$6:$H$5505,$C148,记账分录!$E$6:$E$5505,"&lt;"&amp;$A$4)-SUMIFS(记账分录!$I$6:$I$5505,记账分录!$F$6:$F$5505,$A148,记账分录!$H$6:$H$5505,$C148,记账分录!$E$6:$E$5505,"&lt;"&amp;$A$4)))</f>
        <v/>
      </c>
      <c r="I148" s="40" t="str">
        <f aca="false">IF($C148="","",SUMIFS(记账分录!$I$6:$I$5505,记账分录!$F$6:$F$5505,$A148,记账分录!$H$6:$H$5505,$C148,记账分录!$E$6:$E$5505,"&gt;="&amp;$A$4,记账分录!$E$6:$E$5505,"&lt;="&amp;$B$4))</f>
        <v/>
      </c>
      <c r="J148" s="40" t="str">
        <f aca="false">IF($C148="","",SUMIFS(记账分录!$J$6:$J$5505,记账分录!$F$6:$F$5505,$A148,记账分录!$H$6:$H$5505,$C148,记账分录!$E$6:$E$5505,"&gt;="&amp;$A$4,记账分录!$E$6:$E$5505,"&lt;="&amp;$B$4))</f>
        <v/>
      </c>
      <c r="K148" s="42" t="str">
        <f aca="false">IF($C148="","",IF($E148="借",$I148-$J148,$J148-$I148))</f>
        <v/>
      </c>
      <c r="L148" s="42" t="str">
        <f aca="false">IF($C148="","",ROUND($H148+$K148,2))</f>
        <v/>
      </c>
      <c r="M148" s="40" t="str">
        <f aca="false">IF($C148="","",SUMIFS(记账分录!$I$6:$I$5505,记账分录!$F$6:$F$5505,$A148,记账分录!$H$6:$H$5505,$C148,记账分录!$E$6:$E$5505,"&lt;="&amp;$B$4))</f>
        <v/>
      </c>
      <c r="N148" s="40" t="str">
        <f aca="false">IF($C148="","",SUMIFS(记账分录!$J$6:$J$5505,记账分录!$F$6:$F$5505,$A148,记账分录!$H$6:$H$5505,$C148,记账分录!$E$6:$E$5505,"&lt;="&amp;$B$4))</f>
        <v/>
      </c>
      <c r="O148" s="42" t="str">
        <f aca="false">IF($C148="","",IF($E148="借",$M148-$N148,$N148-$M148))</f>
        <v/>
      </c>
      <c r="P148" s="64" t="str">
        <f aca="false">IF($C148="","",IF(OR(ROUND($G148,2)&lt;&gt;0,ROUND($M148,2)&lt;&gt;0,ROUND($N148,2)&lt;&gt;0),"有",""))</f>
        <v/>
      </c>
    </row>
    <row r="149" customFormat="false" ht="15" hidden="true" customHeight="false" outlineLevel="0" collapsed="false">
      <c r="A149" s="25" t="str">
        <f aca="false">IF(会计科目表!$B68="","",参数设置!$A$11)</f>
        <v/>
      </c>
      <c r="B149" s="25" t="str">
        <f aca="false">IF(会计科目表!$B68="","",会计科目表!$A68)</f>
        <v/>
      </c>
      <c r="C149" s="10" t="str">
        <f aca="false">IF(会计科目表!$B68="","",会计科目表!$B68)</f>
        <v/>
      </c>
      <c r="D149" s="25" t="str">
        <f aca="false">IF($C149="","",会计科目表!$C68)</f>
        <v/>
      </c>
      <c r="E149" s="25" t="str">
        <f aca="false">IF($C149="","",会计科目表!$D68)</f>
        <v/>
      </c>
      <c r="F149" s="10" t="str">
        <f aca="false">IF($C149="","",会计科目表!$F68)</f>
        <v/>
      </c>
      <c r="G149" s="40" t="str">
        <f aca="false">IF($C149="","",IF($E149="借",SUMIFS(期初余额!$C$6:$C$185,期初余额!$A$6:$A$185,$A149,期初余额!$B$6:$B$185,$C149)-SUMIFS(期初余额!$D$6:$D$185,期初余额!$A$6:$A$185,$A149,期初余额!$B$6:$B$185,$C149),SUMIFS(期初余额!$D$6:$D$185,期初余额!$A$6:$A$185,$A149,期初余额!$B$6:$B$185,$C149)-SUMIFS(期初余额!$C$6:$C$185,期初余额!$A$6:$A$185,$A149,期初余额!$B$6:$B$185,$C149)))</f>
        <v/>
      </c>
      <c r="H149" s="40" t="str">
        <f aca="false">IF($C149="","",$G149+IF($E149="借",SUMIFS(记账分录!$I$6:$I$5505,记账分录!$F$6:$F$5505,$A149,记账分录!$H$6:$H$5505,$C149,记账分录!$E$6:$E$5505,"&lt;"&amp;$A$4)-SUMIFS(记账分录!$J$6:$J$5505,记账分录!$F$6:$F$5505,$A149,记账分录!$H$6:$H$5505,$C149,记账分录!$E$6:$E$5505,"&lt;"&amp;$A$4),SUMIFS(记账分录!$J$6:$J$5505,记账分录!$F$6:$F$5505,$A149,记账分录!$H$6:$H$5505,$C149,记账分录!$E$6:$E$5505,"&lt;"&amp;$A$4)-SUMIFS(记账分录!$I$6:$I$5505,记账分录!$F$6:$F$5505,$A149,记账分录!$H$6:$H$5505,$C149,记账分录!$E$6:$E$5505,"&lt;"&amp;$A$4)))</f>
        <v/>
      </c>
      <c r="I149" s="40" t="str">
        <f aca="false">IF($C149="","",SUMIFS(记账分录!$I$6:$I$5505,记账分录!$F$6:$F$5505,$A149,记账分录!$H$6:$H$5505,$C149,记账分录!$E$6:$E$5505,"&gt;="&amp;$A$4,记账分录!$E$6:$E$5505,"&lt;="&amp;$B$4))</f>
        <v/>
      </c>
      <c r="J149" s="40" t="str">
        <f aca="false">IF($C149="","",SUMIFS(记账分录!$J$6:$J$5505,记账分录!$F$6:$F$5505,$A149,记账分录!$H$6:$H$5505,$C149,记账分录!$E$6:$E$5505,"&gt;="&amp;$A$4,记账分录!$E$6:$E$5505,"&lt;="&amp;$B$4))</f>
        <v/>
      </c>
      <c r="K149" s="42" t="str">
        <f aca="false">IF($C149="","",IF($E149="借",$I149-$J149,$J149-$I149))</f>
        <v/>
      </c>
      <c r="L149" s="42" t="str">
        <f aca="false">IF($C149="","",ROUND($H149+$K149,2))</f>
        <v/>
      </c>
      <c r="M149" s="40" t="str">
        <f aca="false">IF($C149="","",SUMIFS(记账分录!$I$6:$I$5505,记账分录!$F$6:$F$5505,$A149,记账分录!$H$6:$H$5505,$C149,记账分录!$E$6:$E$5505,"&lt;="&amp;$B$4))</f>
        <v/>
      </c>
      <c r="N149" s="40" t="str">
        <f aca="false">IF($C149="","",SUMIFS(记账分录!$J$6:$J$5505,记账分录!$F$6:$F$5505,$A149,记账分录!$H$6:$H$5505,$C149,记账分录!$E$6:$E$5505,"&lt;="&amp;$B$4))</f>
        <v/>
      </c>
      <c r="O149" s="42" t="str">
        <f aca="false">IF($C149="","",IF($E149="借",$M149-$N149,$N149-$M149))</f>
        <v/>
      </c>
      <c r="P149" s="64" t="str">
        <f aca="false">IF($C149="","",IF(OR(ROUND($G149,2)&lt;&gt;0,ROUND($M149,2)&lt;&gt;0,ROUND($N149,2)&lt;&gt;0),"有",""))</f>
        <v/>
      </c>
    </row>
    <row r="150" customFormat="false" ht="15" hidden="true" customHeight="false" outlineLevel="0" collapsed="false">
      <c r="A150" s="25" t="str">
        <f aca="false">IF(会计科目表!$B69="","",参数设置!$A$11)</f>
        <v/>
      </c>
      <c r="B150" s="25" t="str">
        <f aca="false">IF(会计科目表!$B69="","",会计科目表!$A69)</f>
        <v/>
      </c>
      <c r="C150" s="10" t="str">
        <f aca="false">IF(会计科目表!$B69="","",会计科目表!$B69)</f>
        <v/>
      </c>
      <c r="D150" s="25" t="str">
        <f aca="false">IF($C150="","",会计科目表!$C69)</f>
        <v/>
      </c>
      <c r="E150" s="25" t="str">
        <f aca="false">IF($C150="","",会计科目表!$D69)</f>
        <v/>
      </c>
      <c r="F150" s="10" t="str">
        <f aca="false">IF($C150="","",会计科目表!$F69)</f>
        <v/>
      </c>
      <c r="G150" s="40" t="str">
        <f aca="false">IF($C150="","",IF($E150="借",SUMIFS(期初余额!$C$6:$C$185,期初余额!$A$6:$A$185,$A150,期初余额!$B$6:$B$185,$C150)-SUMIFS(期初余额!$D$6:$D$185,期初余额!$A$6:$A$185,$A150,期初余额!$B$6:$B$185,$C150),SUMIFS(期初余额!$D$6:$D$185,期初余额!$A$6:$A$185,$A150,期初余额!$B$6:$B$185,$C150)-SUMIFS(期初余额!$C$6:$C$185,期初余额!$A$6:$A$185,$A150,期初余额!$B$6:$B$185,$C150)))</f>
        <v/>
      </c>
      <c r="H150" s="40" t="str">
        <f aca="false">IF($C150="","",$G150+IF($E150="借",SUMIFS(记账分录!$I$6:$I$5505,记账分录!$F$6:$F$5505,$A150,记账分录!$H$6:$H$5505,$C150,记账分录!$E$6:$E$5505,"&lt;"&amp;$A$4)-SUMIFS(记账分录!$J$6:$J$5505,记账分录!$F$6:$F$5505,$A150,记账分录!$H$6:$H$5505,$C150,记账分录!$E$6:$E$5505,"&lt;"&amp;$A$4),SUMIFS(记账分录!$J$6:$J$5505,记账分录!$F$6:$F$5505,$A150,记账分录!$H$6:$H$5505,$C150,记账分录!$E$6:$E$5505,"&lt;"&amp;$A$4)-SUMIFS(记账分录!$I$6:$I$5505,记账分录!$F$6:$F$5505,$A150,记账分录!$H$6:$H$5505,$C150,记账分录!$E$6:$E$5505,"&lt;"&amp;$A$4)))</f>
        <v/>
      </c>
      <c r="I150" s="40" t="str">
        <f aca="false">IF($C150="","",SUMIFS(记账分录!$I$6:$I$5505,记账分录!$F$6:$F$5505,$A150,记账分录!$H$6:$H$5505,$C150,记账分录!$E$6:$E$5505,"&gt;="&amp;$A$4,记账分录!$E$6:$E$5505,"&lt;="&amp;$B$4))</f>
        <v/>
      </c>
      <c r="J150" s="40" t="str">
        <f aca="false">IF($C150="","",SUMIFS(记账分录!$J$6:$J$5505,记账分录!$F$6:$F$5505,$A150,记账分录!$H$6:$H$5505,$C150,记账分录!$E$6:$E$5505,"&gt;="&amp;$A$4,记账分录!$E$6:$E$5505,"&lt;="&amp;$B$4))</f>
        <v/>
      </c>
      <c r="K150" s="42" t="str">
        <f aca="false">IF($C150="","",IF($E150="借",$I150-$J150,$J150-$I150))</f>
        <v/>
      </c>
      <c r="L150" s="42" t="str">
        <f aca="false">IF($C150="","",ROUND($H150+$K150,2))</f>
        <v/>
      </c>
      <c r="M150" s="40" t="str">
        <f aca="false">IF($C150="","",SUMIFS(记账分录!$I$6:$I$5505,记账分录!$F$6:$F$5505,$A150,记账分录!$H$6:$H$5505,$C150,记账分录!$E$6:$E$5505,"&lt;="&amp;$B$4))</f>
        <v/>
      </c>
      <c r="N150" s="40" t="str">
        <f aca="false">IF($C150="","",SUMIFS(记账分录!$J$6:$J$5505,记账分录!$F$6:$F$5505,$A150,记账分录!$H$6:$H$5505,$C150,记账分录!$E$6:$E$5505,"&lt;="&amp;$B$4))</f>
        <v/>
      </c>
      <c r="O150" s="42" t="str">
        <f aca="false">IF($C150="","",IF($E150="借",$M150-$N150,$N150-$M150))</f>
        <v/>
      </c>
      <c r="P150" s="64" t="str">
        <f aca="false">IF($C150="","",IF(OR(ROUND($G150,2)&lt;&gt;0,ROUND($M150,2)&lt;&gt;0,ROUND($N150,2)&lt;&gt;0),"有",""))</f>
        <v/>
      </c>
    </row>
    <row r="151" customFormat="false" ht="15" hidden="true" customHeight="false" outlineLevel="0" collapsed="false">
      <c r="A151" s="25" t="str">
        <f aca="false">IF(会计科目表!$B70="","",参数设置!$A$11)</f>
        <v/>
      </c>
      <c r="B151" s="25" t="str">
        <f aca="false">IF(会计科目表!$B70="","",会计科目表!$A70)</f>
        <v/>
      </c>
      <c r="C151" s="10" t="str">
        <f aca="false">IF(会计科目表!$B70="","",会计科目表!$B70)</f>
        <v/>
      </c>
      <c r="D151" s="25" t="str">
        <f aca="false">IF($C151="","",会计科目表!$C70)</f>
        <v/>
      </c>
      <c r="E151" s="25" t="str">
        <f aca="false">IF($C151="","",会计科目表!$D70)</f>
        <v/>
      </c>
      <c r="F151" s="10" t="str">
        <f aca="false">IF($C151="","",会计科目表!$F70)</f>
        <v/>
      </c>
      <c r="G151" s="40" t="str">
        <f aca="false">IF($C151="","",IF($E151="借",SUMIFS(期初余额!$C$6:$C$185,期初余额!$A$6:$A$185,$A151,期初余额!$B$6:$B$185,$C151)-SUMIFS(期初余额!$D$6:$D$185,期初余额!$A$6:$A$185,$A151,期初余额!$B$6:$B$185,$C151),SUMIFS(期初余额!$D$6:$D$185,期初余额!$A$6:$A$185,$A151,期初余额!$B$6:$B$185,$C151)-SUMIFS(期初余额!$C$6:$C$185,期初余额!$A$6:$A$185,$A151,期初余额!$B$6:$B$185,$C151)))</f>
        <v/>
      </c>
      <c r="H151" s="40" t="str">
        <f aca="false">IF($C151="","",$G151+IF($E151="借",SUMIFS(记账分录!$I$6:$I$5505,记账分录!$F$6:$F$5505,$A151,记账分录!$H$6:$H$5505,$C151,记账分录!$E$6:$E$5505,"&lt;"&amp;$A$4)-SUMIFS(记账分录!$J$6:$J$5505,记账分录!$F$6:$F$5505,$A151,记账分录!$H$6:$H$5505,$C151,记账分录!$E$6:$E$5505,"&lt;"&amp;$A$4),SUMIFS(记账分录!$J$6:$J$5505,记账分录!$F$6:$F$5505,$A151,记账分录!$H$6:$H$5505,$C151,记账分录!$E$6:$E$5505,"&lt;"&amp;$A$4)-SUMIFS(记账分录!$I$6:$I$5505,记账分录!$F$6:$F$5505,$A151,记账分录!$H$6:$H$5505,$C151,记账分录!$E$6:$E$5505,"&lt;"&amp;$A$4)))</f>
        <v/>
      </c>
      <c r="I151" s="40" t="str">
        <f aca="false">IF($C151="","",SUMIFS(记账分录!$I$6:$I$5505,记账分录!$F$6:$F$5505,$A151,记账分录!$H$6:$H$5505,$C151,记账分录!$E$6:$E$5505,"&gt;="&amp;$A$4,记账分录!$E$6:$E$5505,"&lt;="&amp;$B$4))</f>
        <v/>
      </c>
      <c r="J151" s="40" t="str">
        <f aca="false">IF($C151="","",SUMIFS(记账分录!$J$6:$J$5505,记账分录!$F$6:$F$5505,$A151,记账分录!$H$6:$H$5505,$C151,记账分录!$E$6:$E$5505,"&gt;="&amp;$A$4,记账分录!$E$6:$E$5505,"&lt;="&amp;$B$4))</f>
        <v/>
      </c>
      <c r="K151" s="42" t="str">
        <f aca="false">IF($C151="","",IF($E151="借",$I151-$J151,$J151-$I151))</f>
        <v/>
      </c>
      <c r="L151" s="42" t="str">
        <f aca="false">IF($C151="","",ROUND($H151+$K151,2))</f>
        <v/>
      </c>
      <c r="M151" s="40" t="str">
        <f aca="false">IF($C151="","",SUMIFS(记账分录!$I$6:$I$5505,记账分录!$F$6:$F$5505,$A151,记账分录!$H$6:$H$5505,$C151,记账分录!$E$6:$E$5505,"&lt;="&amp;$B$4))</f>
        <v/>
      </c>
      <c r="N151" s="40" t="str">
        <f aca="false">IF($C151="","",SUMIFS(记账分录!$J$6:$J$5505,记账分录!$F$6:$F$5505,$A151,记账分录!$H$6:$H$5505,$C151,记账分录!$E$6:$E$5505,"&lt;="&amp;$B$4))</f>
        <v/>
      </c>
      <c r="O151" s="42" t="str">
        <f aca="false">IF($C151="","",IF($E151="借",$M151-$N151,$N151-$M151))</f>
        <v/>
      </c>
      <c r="P151" s="64" t="str">
        <f aca="false">IF($C151="","",IF(OR(ROUND($G151,2)&lt;&gt;0,ROUND($M151,2)&lt;&gt;0,ROUND($N151,2)&lt;&gt;0),"有",""))</f>
        <v/>
      </c>
    </row>
    <row r="152" customFormat="false" ht="15" hidden="true" customHeight="false" outlineLevel="0" collapsed="false">
      <c r="A152" s="25" t="str">
        <f aca="false">IF(会计科目表!$B71="","",参数设置!$A$11)</f>
        <v/>
      </c>
      <c r="B152" s="25" t="str">
        <f aca="false">IF(会计科目表!$B71="","",会计科目表!$A71)</f>
        <v/>
      </c>
      <c r="C152" s="10" t="str">
        <f aca="false">IF(会计科目表!$B71="","",会计科目表!$B71)</f>
        <v/>
      </c>
      <c r="D152" s="25" t="str">
        <f aca="false">IF($C152="","",会计科目表!$C71)</f>
        <v/>
      </c>
      <c r="E152" s="25" t="str">
        <f aca="false">IF($C152="","",会计科目表!$D71)</f>
        <v/>
      </c>
      <c r="F152" s="10" t="str">
        <f aca="false">IF($C152="","",会计科目表!$F71)</f>
        <v/>
      </c>
      <c r="G152" s="40" t="str">
        <f aca="false">IF($C152="","",IF($E152="借",SUMIFS(期初余额!$C$6:$C$185,期初余额!$A$6:$A$185,$A152,期初余额!$B$6:$B$185,$C152)-SUMIFS(期初余额!$D$6:$D$185,期初余额!$A$6:$A$185,$A152,期初余额!$B$6:$B$185,$C152),SUMIFS(期初余额!$D$6:$D$185,期初余额!$A$6:$A$185,$A152,期初余额!$B$6:$B$185,$C152)-SUMIFS(期初余额!$C$6:$C$185,期初余额!$A$6:$A$185,$A152,期初余额!$B$6:$B$185,$C152)))</f>
        <v/>
      </c>
      <c r="H152" s="40" t="str">
        <f aca="false">IF($C152="","",$G152+IF($E152="借",SUMIFS(记账分录!$I$6:$I$5505,记账分录!$F$6:$F$5505,$A152,记账分录!$H$6:$H$5505,$C152,记账分录!$E$6:$E$5505,"&lt;"&amp;$A$4)-SUMIFS(记账分录!$J$6:$J$5505,记账分录!$F$6:$F$5505,$A152,记账分录!$H$6:$H$5505,$C152,记账分录!$E$6:$E$5505,"&lt;"&amp;$A$4),SUMIFS(记账分录!$J$6:$J$5505,记账分录!$F$6:$F$5505,$A152,记账分录!$H$6:$H$5505,$C152,记账分录!$E$6:$E$5505,"&lt;"&amp;$A$4)-SUMIFS(记账分录!$I$6:$I$5505,记账分录!$F$6:$F$5505,$A152,记账分录!$H$6:$H$5505,$C152,记账分录!$E$6:$E$5505,"&lt;"&amp;$A$4)))</f>
        <v/>
      </c>
      <c r="I152" s="40" t="str">
        <f aca="false">IF($C152="","",SUMIFS(记账分录!$I$6:$I$5505,记账分录!$F$6:$F$5505,$A152,记账分录!$H$6:$H$5505,$C152,记账分录!$E$6:$E$5505,"&gt;="&amp;$A$4,记账分录!$E$6:$E$5505,"&lt;="&amp;$B$4))</f>
        <v/>
      </c>
      <c r="J152" s="40" t="str">
        <f aca="false">IF($C152="","",SUMIFS(记账分录!$J$6:$J$5505,记账分录!$F$6:$F$5505,$A152,记账分录!$H$6:$H$5505,$C152,记账分录!$E$6:$E$5505,"&gt;="&amp;$A$4,记账分录!$E$6:$E$5505,"&lt;="&amp;$B$4))</f>
        <v/>
      </c>
      <c r="K152" s="42" t="str">
        <f aca="false">IF($C152="","",IF($E152="借",$I152-$J152,$J152-$I152))</f>
        <v/>
      </c>
      <c r="L152" s="42" t="str">
        <f aca="false">IF($C152="","",ROUND($H152+$K152,2))</f>
        <v/>
      </c>
      <c r="M152" s="40" t="str">
        <f aca="false">IF($C152="","",SUMIFS(记账分录!$I$6:$I$5505,记账分录!$F$6:$F$5505,$A152,记账分录!$H$6:$H$5505,$C152,记账分录!$E$6:$E$5505,"&lt;="&amp;$B$4))</f>
        <v/>
      </c>
      <c r="N152" s="40" t="str">
        <f aca="false">IF($C152="","",SUMIFS(记账分录!$J$6:$J$5505,记账分录!$F$6:$F$5505,$A152,记账分录!$H$6:$H$5505,$C152,记账分录!$E$6:$E$5505,"&lt;="&amp;$B$4))</f>
        <v/>
      </c>
      <c r="O152" s="42" t="str">
        <f aca="false">IF($C152="","",IF($E152="借",$M152-$N152,$N152-$M152))</f>
        <v/>
      </c>
      <c r="P152" s="64" t="str">
        <f aca="false">IF($C152="","",IF(OR(ROUND($G152,2)&lt;&gt;0,ROUND($M152,2)&lt;&gt;0,ROUND($N152,2)&lt;&gt;0),"有",""))</f>
        <v/>
      </c>
    </row>
    <row r="153" customFormat="false" ht="15" hidden="true" customHeight="false" outlineLevel="0" collapsed="false">
      <c r="A153" s="25" t="str">
        <f aca="false">IF(会计科目表!$B72="","",参数设置!$A$11)</f>
        <v/>
      </c>
      <c r="B153" s="25" t="str">
        <f aca="false">IF(会计科目表!$B72="","",会计科目表!$A72)</f>
        <v/>
      </c>
      <c r="C153" s="10" t="str">
        <f aca="false">IF(会计科目表!$B72="","",会计科目表!$B72)</f>
        <v/>
      </c>
      <c r="D153" s="25" t="str">
        <f aca="false">IF($C153="","",会计科目表!$C72)</f>
        <v/>
      </c>
      <c r="E153" s="25" t="str">
        <f aca="false">IF($C153="","",会计科目表!$D72)</f>
        <v/>
      </c>
      <c r="F153" s="10" t="str">
        <f aca="false">IF($C153="","",会计科目表!$F72)</f>
        <v/>
      </c>
      <c r="G153" s="40" t="str">
        <f aca="false">IF($C153="","",IF($E153="借",SUMIFS(期初余额!$C$6:$C$185,期初余额!$A$6:$A$185,$A153,期初余额!$B$6:$B$185,$C153)-SUMIFS(期初余额!$D$6:$D$185,期初余额!$A$6:$A$185,$A153,期初余额!$B$6:$B$185,$C153),SUMIFS(期初余额!$D$6:$D$185,期初余额!$A$6:$A$185,$A153,期初余额!$B$6:$B$185,$C153)-SUMIFS(期初余额!$C$6:$C$185,期初余额!$A$6:$A$185,$A153,期初余额!$B$6:$B$185,$C153)))</f>
        <v/>
      </c>
      <c r="H153" s="40" t="str">
        <f aca="false">IF($C153="","",$G153+IF($E153="借",SUMIFS(记账分录!$I$6:$I$5505,记账分录!$F$6:$F$5505,$A153,记账分录!$H$6:$H$5505,$C153,记账分录!$E$6:$E$5505,"&lt;"&amp;$A$4)-SUMIFS(记账分录!$J$6:$J$5505,记账分录!$F$6:$F$5505,$A153,记账分录!$H$6:$H$5505,$C153,记账分录!$E$6:$E$5505,"&lt;"&amp;$A$4),SUMIFS(记账分录!$J$6:$J$5505,记账分录!$F$6:$F$5505,$A153,记账分录!$H$6:$H$5505,$C153,记账分录!$E$6:$E$5505,"&lt;"&amp;$A$4)-SUMIFS(记账分录!$I$6:$I$5505,记账分录!$F$6:$F$5505,$A153,记账分录!$H$6:$H$5505,$C153,记账分录!$E$6:$E$5505,"&lt;"&amp;$A$4)))</f>
        <v/>
      </c>
      <c r="I153" s="40" t="str">
        <f aca="false">IF($C153="","",SUMIFS(记账分录!$I$6:$I$5505,记账分录!$F$6:$F$5505,$A153,记账分录!$H$6:$H$5505,$C153,记账分录!$E$6:$E$5505,"&gt;="&amp;$A$4,记账分录!$E$6:$E$5505,"&lt;="&amp;$B$4))</f>
        <v/>
      </c>
      <c r="J153" s="40" t="str">
        <f aca="false">IF($C153="","",SUMIFS(记账分录!$J$6:$J$5505,记账分录!$F$6:$F$5505,$A153,记账分录!$H$6:$H$5505,$C153,记账分录!$E$6:$E$5505,"&gt;="&amp;$A$4,记账分录!$E$6:$E$5505,"&lt;="&amp;$B$4))</f>
        <v/>
      </c>
      <c r="K153" s="42" t="str">
        <f aca="false">IF($C153="","",IF($E153="借",$I153-$J153,$J153-$I153))</f>
        <v/>
      </c>
      <c r="L153" s="42" t="str">
        <f aca="false">IF($C153="","",ROUND($H153+$K153,2))</f>
        <v/>
      </c>
      <c r="M153" s="40" t="str">
        <f aca="false">IF($C153="","",SUMIFS(记账分录!$I$6:$I$5505,记账分录!$F$6:$F$5505,$A153,记账分录!$H$6:$H$5505,$C153,记账分录!$E$6:$E$5505,"&lt;="&amp;$B$4))</f>
        <v/>
      </c>
      <c r="N153" s="40" t="str">
        <f aca="false">IF($C153="","",SUMIFS(记账分录!$J$6:$J$5505,记账分录!$F$6:$F$5505,$A153,记账分录!$H$6:$H$5505,$C153,记账分录!$E$6:$E$5505,"&lt;="&amp;$B$4))</f>
        <v/>
      </c>
      <c r="O153" s="42" t="str">
        <f aca="false">IF($C153="","",IF($E153="借",$M153-$N153,$N153-$M153))</f>
        <v/>
      </c>
      <c r="P153" s="64" t="str">
        <f aca="false">IF($C153="","",IF(OR(ROUND($G153,2)&lt;&gt;0,ROUND($M153,2)&lt;&gt;0,ROUND($N153,2)&lt;&gt;0),"有",""))</f>
        <v/>
      </c>
    </row>
    <row r="154" customFormat="false" ht="15" hidden="true" customHeight="false" outlineLevel="0" collapsed="false">
      <c r="A154" s="25" t="str">
        <f aca="false">IF(会计科目表!$B73="","",参数设置!$A$11)</f>
        <v/>
      </c>
      <c r="B154" s="25" t="str">
        <f aca="false">IF(会计科目表!$B73="","",会计科目表!$A73)</f>
        <v/>
      </c>
      <c r="C154" s="10" t="str">
        <f aca="false">IF(会计科目表!$B73="","",会计科目表!$B73)</f>
        <v/>
      </c>
      <c r="D154" s="25" t="str">
        <f aca="false">IF($C154="","",会计科目表!$C73)</f>
        <v/>
      </c>
      <c r="E154" s="25" t="str">
        <f aca="false">IF($C154="","",会计科目表!$D73)</f>
        <v/>
      </c>
      <c r="F154" s="10" t="str">
        <f aca="false">IF($C154="","",会计科目表!$F73)</f>
        <v/>
      </c>
      <c r="G154" s="40" t="str">
        <f aca="false">IF($C154="","",IF($E154="借",SUMIFS(期初余额!$C$6:$C$185,期初余额!$A$6:$A$185,$A154,期初余额!$B$6:$B$185,$C154)-SUMIFS(期初余额!$D$6:$D$185,期初余额!$A$6:$A$185,$A154,期初余额!$B$6:$B$185,$C154),SUMIFS(期初余额!$D$6:$D$185,期初余额!$A$6:$A$185,$A154,期初余额!$B$6:$B$185,$C154)-SUMIFS(期初余额!$C$6:$C$185,期初余额!$A$6:$A$185,$A154,期初余额!$B$6:$B$185,$C154)))</f>
        <v/>
      </c>
      <c r="H154" s="40" t="str">
        <f aca="false">IF($C154="","",$G154+IF($E154="借",SUMIFS(记账分录!$I$6:$I$5505,记账分录!$F$6:$F$5505,$A154,记账分录!$H$6:$H$5505,$C154,记账分录!$E$6:$E$5505,"&lt;"&amp;$A$4)-SUMIFS(记账分录!$J$6:$J$5505,记账分录!$F$6:$F$5505,$A154,记账分录!$H$6:$H$5505,$C154,记账分录!$E$6:$E$5505,"&lt;"&amp;$A$4),SUMIFS(记账分录!$J$6:$J$5505,记账分录!$F$6:$F$5505,$A154,记账分录!$H$6:$H$5505,$C154,记账分录!$E$6:$E$5505,"&lt;"&amp;$A$4)-SUMIFS(记账分录!$I$6:$I$5505,记账分录!$F$6:$F$5505,$A154,记账分录!$H$6:$H$5505,$C154,记账分录!$E$6:$E$5505,"&lt;"&amp;$A$4)))</f>
        <v/>
      </c>
      <c r="I154" s="40" t="str">
        <f aca="false">IF($C154="","",SUMIFS(记账分录!$I$6:$I$5505,记账分录!$F$6:$F$5505,$A154,记账分录!$H$6:$H$5505,$C154,记账分录!$E$6:$E$5505,"&gt;="&amp;$A$4,记账分录!$E$6:$E$5505,"&lt;="&amp;$B$4))</f>
        <v/>
      </c>
      <c r="J154" s="40" t="str">
        <f aca="false">IF($C154="","",SUMIFS(记账分录!$J$6:$J$5505,记账分录!$F$6:$F$5505,$A154,记账分录!$H$6:$H$5505,$C154,记账分录!$E$6:$E$5505,"&gt;="&amp;$A$4,记账分录!$E$6:$E$5505,"&lt;="&amp;$B$4))</f>
        <v/>
      </c>
      <c r="K154" s="42" t="str">
        <f aca="false">IF($C154="","",IF($E154="借",$I154-$J154,$J154-$I154))</f>
        <v/>
      </c>
      <c r="L154" s="42" t="str">
        <f aca="false">IF($C154="","",ROUND($H154+$K154,2))</f>
        <v/>
      </c>
      <c r="M154" s="40" t="str">
        <f aca="false">IF($C154="","",SUMIFS(记账分录!$I$6:$I$5505,记账分录!$F$6:$F$5505,$A154,记账分录!$H$6:$H$5505,$C154,记账分录!$E$6:$E$5505,"&lt;="&amp;$B$4))</f>
        <v/>
      </c>
      <c r="N154" s="40" t="str">
        <f aca="false">IF($C154="","",SUMIFS(记账分录!$J$6:$J$5505,记账分录!$F$6:$F$5505,$A154,记账分录!$H$6:$H$5505,$C154,记账分录!$E$6:$E$5505,"&lt;="&amp;$B$4))</f>
        <v/>
      </c>
      <c r="O154" s="42" t="str">
        <f aca="false">IF($C154="","",IF($E154="借",$M154-$N154,$N154-$M154))</f>
        <v/>
      </c>
      <c r="P154" s="64" t="str">
        <f aca="false">IF($C154="","",IF(OR(ROUND($G154,2)&lt;&gt;0,ROUND($M154,2)&lt;&gt;0,ROUND($N154,2)&lt;&gt;0),"有",""))</f>
        <v/>
      </c>
    </row>
    <row r="155" customFormat="false" ht="15" hidden="true" customHeight="false" outlineLevel="0" collapsed="false">
      <c r="A155" s="25" t="str">
        <f aca="false">IF(会计科目表!$B74="","",参数设置!$A$11)</f>
        <v/>
      </c>
      <c r="B155" s="25" t="str">
        <f aca="false">IF(会计科目表!$B74="","",会计科目表!$A74)</f>
        <v/>
      </c>
      <c r="C155" s="10" t="str">
        <f aca="false">IF(会计科目表!$B74="","",会计科目表!$B74)</f>
        <v/>
      </c>
      <c r="D155" s="25" t="str">
        <f aca="false">IF($C155="","",会计科目表!$C74)</f>
        <v/>
      </c>
      <c r="E155" s="25" t="str">
        <f aca="false">IF($C155="","",会计科目表!$D74)</f>
        <v/>
      </c>
      <c r="F155" s="10" t="str">
        <f aca="false">IF($C155="","",会计科目表!$F74)</f>
        <v/>
      </c>
      <c r="G155" s="40" t="str">
        <f aca="false">IF($C155="","",IF($E155="借",SUMIFS(期初余额!$C$6:$C$185,期初余额!$A$6:$A$185,$A155,期初余额!$B$6:$B$185,$C155)-SUMIFS(期初余额!$D$6:$D$185,期初余额!$A$6:$A$185,$A155,期初余额!$B$6:$B$185,$C155),SUMIFS(期初余额!$D$6:$D$185,期初余额!$A$6:$A$185,$A155,期初余额!$B$6:$B$185,$C155)-SUMIFS(期初余额!$C$6:$C$185,期初余额!$A$6:$A$185,$A155,期初余额!$B$6:$B$185,$C155)))</f>
        <v/>
      </c>
      <c r="H155" s="40" t="str">
        <f aca="false">IF($C155="","",$G155+IF($E155="借",SUMIFS(记账分录!$I$6:$I$5505,记账分录!$F$6:$F$5505,$A155,记账分录!$H$6:$H$5505,$C155,记账分录!$E$6:$E$5505,"&lt;"&amp;$A$4)-SUMIFS(记账分录!$J$6:$J$5505,记账分录!$F$6:$F$5505,$A155,记账分录!$H$6:$H$5505,$C155,记账分录!$E$6:$E$5505,"&lt;"&amp;$A$4),SUMIFS(记账分录!$J$6:$J$5505,记账分录!$F$6:$F$5505,$A155,记账分录!$H$6:$H$5505,$C155,记账分录!$E$6:$E$5505,"&lt;"&amp;$A$4)-SUMIFS(记账分录!$I$6:$I$5505,记账分录!$F$6:$F$5505,$A155,记账分录!$H$6:$H$5505,$C155,记账分录!$E$6:$E$5505,"&lt;"&amp;$A$4)))</f>
        <v/>
      </c>
      <c r="I155" s="40" t="str">
        <f aca="false">IF($C155="","",SUMIFS(记账分录!$I$6:$I$5505,记账分录!$F$6:$F$5505,$A155,记账分录!$H$6:$H$5505,$C155,记账分录!$E$6:$E$5505,"&gt;="&amp;$A$4,记账分录!$E$6:$E$5505,"&lt;="&amp;$B$4))</f>
        <v/>
      </c>
      <c r="J155" s="40" t="str">
        <f aca="false">IF($C155="","",SUMIFS(记账分录!$J$6:$J$5505,记账分录!$F$6:$F$5505,$A155,记账分录!$H$6:$H$5505,$C155,记账分录!$E$6:$E$5505,"&gt;="&amp;$A$4,记账分录!$E$6:$E$5505,"&lt;="&amp;$B$4))</f>
        <v/>
      </c>
      <c r="K155" s="42" t="str">
        <f aca="false">IF($C155="","",IF($E155="借",$I155-$J155,$J155-$I155))</f>
        <v/>
      </c>
      <c r="L155" s="42" t="str">
        <f aca="false">IF($C155="","",ROUND($H155+$K155,2))</f>
        <v/>
      </c>
      <c r="M155" s="40" t="str">
        <f aca="false">IF($C155="","",SUMIFS(记账分录!$I$6:$I$5505,记账分录!$F$6:$F$5505,$A155,记账分录!$H$6:$H$5505,$C155,记账分录!$E$6:$E$5505,"&lt;="&amp;$B$4))</f>
        <v/>
      </c>
      <c r="N155" s="40" t="str">
        <f aca="false">IF($C155="","",SUMIFS(记账分录!$J$6:$J$5505,记账分录!$F$6:$F$5505,$A155,记账分录!$H$6:$H$5505,$C155,记账分录!$E$6:$E$5505,"&lt;="&amp;$B$4))</f>
        <v/>
      </c>
      <c r="O155" s="42" t="str">
        <f aca="false">IF($C155="","",IF($E155="借",$M155-$N155,$N155-$M155))</f>
        <v/>
      </c>
      <c r="P155" s="64" t="str">
        <f aca="false">IF($C155="","",IF(OR(ROUND($G155,2)&lt;&gt;0,ROUND($M155,2)&lt;&gt;0,ROUND($N155,2)&lt;&gt;0),"有",""))</f>
        <v/>
      </c>
    </row>
    <row r="156" customFormat="false" ht="15" hidden="true" customHeight="false" outlineLevel="0" collapsed="false">
      <c r="A156" s="25" t="str">
        <f aca="false">IF(会计科目表!$B75="","",参数设置!$A$11)</f>
        <v/>
      </c>
      <c r="B156" s="25" t="str">
        <f aca="false">IF(会计科目表!$B75="","",会计科目表!$A75)</f>
        <v/>
      </c>
      <c r="C156" s="10" t="str">
        <f aca="false">IF(会计科目表!$B75="","",会计科目表!$B75)</f>
        <v/>
      </c>
      <c r="D156" s="25" t="str">
        <f aca="false">IF($C156="","",会计科目表!$C75)</f>
        <v/>
      </c>
      <c r="E156" s="25" t="str">
        <f aca="false">IF($C156="","",会计科目表!$D75)</f>
        <v/>
      </c>
      <c r="F156" s="10" t="str">
        <f aca="false">IF($C156="","",会计科目表!$F75)</f>
        <v/>
      </c>
      <c r="G156" s="40" t="str">
        <f aca="false">IF($C156="","",IF($E156="借",SUMIFS(期初余额!$C$6:$C$185,期初余额!$A$6:$A$185,$A156,期初余额!$B$6:$B$185,$C156)-SUMIFS(期初余额!$D$6:$D$185,期初余额!$A$6:$A$185,$A156,期初余额!$B$6:$B$185,$C156),SUMIFS(期初余额!$D$6:$D$185,期初余额!$A$6:$A$185,$A156,期初余额!$B$6:$B$185,$C156)-SUMIFS(期初余额!$C$6:$C$185,期初余额!$A$6:$A$185,$A156,期初余额!$B$6:$B$185,$C156)))</f>
        <v/>
      </c>
      <c r="H156" s="40" t="str">
        <f aca="false">IF($C156="","",$G156+IF($E156="借",SUMIFS(记账分录!$I$6:$I$5505,记账分录!$F$6:$F$5505,$A156,记账分录!$H$6:$H$5505,$C156,记账分录!$E$6:$E$5505,"&lt;"&amp;$A$4)-SUMIFS(记账分录!$J$6:$J$5505,记账分录!$F$6:$F$5505,$A156,记账分录!$H$6:$H$5505,$C156,记账分录!$E$6:$E$5505,"&lt;"&amp;$A$4),SUMIFS(记账分录!$J$6:$J$5505,记账分录!$F$6:$F$5505,$A156,记账分录!$H$6:$H$5505,$C156,记账分录!$E$6:$E$5505,"&lt;"&amp;$A$4)-SUMIFS(记账分录!$I$6:$I$5505,记账分录!$F$6:$F$5505,$A156,记账分录!$H$6:$H$5505,$C156,记账分录!$E$6:$E$5505,"&lt;"&amp;$A$4)))</f>
        <v/>
      </c>
      <c r="I156" s="40" t="str">
        <f aca="false">IF($C156="","",SUMIFS(记账分录!$I$6:$I$5505,记账分录!$F$6:$F$5505,$A156,记账分录!$H$6:$H$5505,$C156,记账分录!$E$6:$E$5505,"&gt;="&amp;$A$4,记账分录!$E$6:$E$5505,"&lt;="&amp;$B$4))</f>
        <v/>
      </c>
      <c r="J156" s="40" t="str">
        <f aca="false">IF($C156="","",SUMIFS(记账分录!$J$6:$J$5505,记账分录!$F$6:$F$5505,$A156,记账分录!$H$6:$H$5505,$C156,记账分录!$E$6:$E$5505,"&gt;="&amp;$A$4,记账分录!$E$6:$E$5505,"&lt;="&amp;$B$4))</f>
        <v/>
      </c>
      <c r="K156" s="42" t="str">
        <f aca="false">IF($C156="","",IF($E156="借",$I156-$J156,$J156-$I156))</f>
        <v/>
      </c>
      <c r="L156" s="42" t="str">
        <f aca="false">IF($C156="","",ROUND($H156+$K156,2))</f>
        <v/>
      </c>
      <c r="M156" s="40" t="str">
        <f aca="false">IF($C156="","",SUMIFS(记账分录!$I$6:$I$5505,记账分录!$F$6:$F$5505,$A156,记账分录!$H$6:$H$5505,$C156,记账分录!$E$6:$E$5505,"&lt;="&amp;$B$4))</f>
        <v/>
      </c>
      <c r="N156" s="40" t="str">
        <f aca="false">IF($C156="","",SUMIFS(记账分录!$J$6:$J$5505,记账分录!$F$6:$F$5505,$A156,记账分录!$H$6:$H$5505,$C156,记账分录!$E$6:$E$5505,"&lt;="&amp;$B$4))</f>
        <v/>
      </c>
      <c r="O156" s="42" t="str">
        <f aca="false">IF($C156="","",IF($E156="借",$M156-$N156,$N156-$M156))</f>
        <v/>
      </c>
      <c r="P156" s="64" t="str">
        <f aca="false">IF($C156="","",IF(OR(ROUND($G156,2)&lt;&gt;0,ROUND($M156,2)&lt;&gt;0,ROUND($N156,2)&lt;&gt;0),"有",""))</f>
        <v/>
      </c>
    </row>
    <row r="157" customFormat="false" ht="15" hidden="true" customHeight="false" outlineLevel="0" collapsed="false">
      <c r="A157" s="25" t="str">
        <f aca="false">IF(会计科目表!$B76="","",参数设置!$A$11)</f>
        <v/>
      </c>
      <c r="B157" s="25" t="str">
        <f aca="false">IF(会计科目表!$B76="","",会计科目表!$A76)</f>
        <v/>
      </c>
      <c r="C157" s="10" t="str">
        <f aca="false">IF(会计科目表!$B76="","",会计科目表!$B76)</f>
        <v/>
      </c>
      <c r="D157" s="25" t="str">
        <f aca="false">IF($C157="","",会计科目表!$C76)</f>
        <v/>
      </c>
      <c r="E157" s="25" t="str">
        <f aca="false">IF($C157="","",会计科目表!$D76)</f>
        <v/>
      </c>
      <c r="F157" s="10" t="str">
        <f aca="false">IF($C157="","",会计科目表!$F76)</f>
        <v/>
      </c>
      <c r="G157" s="40" t="str">
        <f aca="false">IF($C157="","",IF($E157="借",SUMIFS(期初余额!$C$6:$C$185,期初余额!$A$6:$A$185,$A157,期初余额!$B$6:$B$185,$C157)-SUMIFS(期初余额!$D$6:$D$185,期初余额!$A$6:$A$185,$A157,期初余额!$B$6:$B$185,$C157),SUMIFS(期初余额!$D$6:$D$185,期初余额!$A$6:$A$185,$A157,期初余额!$B$6:$B$185,$C157)-SUMIFS(期初余额!$C$6:$C$185,期初余额!$A$6:$A$185,$A157,期初余额!$B$6:$B$185,$C157)))</f>
        <v/>
      </c>
      <c r="H157" s="40" t="str">
        <f aca="false">IF($C157="","",$G157+IF($E157="借",SUMIFS(记账分录!$I$6:$I$5505,记账分录!$F$6:$F$5505,$A157,记账分录!$H$6:$H$5505,$C157,记账分录!$E$6:$E$5505,"&lt;"&amp;$A$4)-SUMIFS(记账分录!$J$6:$J$5505,记账分录!$F$6:$F$5505,$A157,记账分录!$H$6:$H$5505,$C157,记账分录!$E$6:$E$5505,"&lt;"&amp;$A$4),SUMIFS(记账分录!$J$6:$J$5505,记账分录!$F$6:$F$5505,$A157,记账分录!$H$6:$H$5505,$C157,记账分录!$E$6:$E$5505,"&lt;"&amp;$A$4)-SUMIFS(记账分录!$I$6:$I$5505,记账分录!$F$6:$F$5505,$A157,记账分录!$H$6:$H$5505,$C157,记账分录!$E$6:$E$5505,"&lt;"&amp;$A$4)))</f>
        <v/>
      </c>
      <c r="I157" s="40" t="str">
        <f aca="false">IF($C157="","",SUMIFS(记账分录!$I$6:$I$5505,记账分录!$F$6:$F$5505,$A157,记账分录!$H$6:$H$5505,$C157,记账分录!$E$6:$E$5505,"&gt;="&amp;$A$4,记账分录!$E$6:$E$5505,"&lt;="&amp;$B$4))</f>
        <v/>
      </c>
      <c r="J157" s="40" t="str">
        <f aca="false">IF($C157="","",SUMIFS(记账分录!$J$6:$J$5505,记账分录!$F$6:$F$5505,$A157,记账分录!$H$6:$H$5505,$C157,记账分录!$E$6:$E$5505,"&gt;="&amp;$A$4,记账分录!$E$6:$E$5505,"&lt;="&amp;$B$4))</f>
        <v/>
      </c>
      <c r="K157" s="42" t="str">
        <f aca="false">IF($C157="","",IF($E157="借",$I157-$J157,$J157-$I157))</f>
        <v/>
      </c>
      <c r="L157" s="42" t="str">
        <f aca="false">IF($C157="","",ROUND($H157+$K157,2))</f>
        <v/>
      </c>
      <c r="M157" s="40" t="str">
        <f aca="false">IF($C157="","",SUMIFS(记账分录!$I$6:$I$5505,记账分录!$F$6:$F$5505,$A157,记账分录!$H$6:$H$5505,$C157,记账分录!$E$6:$E$5505,"&lt;="&amp;$B$4))</f>
        <v/>
      </c>
      <c r="N157" s="40" t="str">
        <f aca="false">IF($C157="","",SUMIFS(记账分录!$J$6:$J$5505,记账分录!$F$6:$F$5505,$A157,记账分录!$H$6:$H$5505,$C157,记账分录!$E$6:$E$5505,"&lt;="&amp;$B$4))</f>
        <v/>
      </c>
      <c r="O157" s="42" t="str">
        <f aca="false">IF($C157="","",IF($E157="借",$M157-$N157,$N157-$M157))</f>
        <v/>
      </c>
      <c r="P157" s="64" t="str">
        <f aca="false">IF($C157="","",IF(OR(ROUND($G157,2)&lt;&gt;0,ROUND($M157,2)&lt;&gt;0,ROUND($N157,2)&lt;&gt;0),"有",""))</f>
        <v/>
      </c>
    </row>
    <row r="158" customFormat="false" ht="15" hidden="true" customHeight="false" outlineLevel="0" collapsed="false">
      <c r="A158" s="25" t="str">
        <f aca="false">IF(会计科目表!$B77="","",参数设置!$A$11)</f>
        <v/>
      </c>
      <c r="B158" s="25" t="str">
        <f aca="false">IF(会计科目表!$B77="","",会计科目表!$A77)</f>
        <v/>
      </c>
      <c r="C158" s="10" t="str">
        <f aca="false">IF(会计科目表!$B77="","",会计科目表!$B77)</f>
        <v/>
      </c>
      <c r="D158" s="25" t="str">
        <f aca="false">IF($C158="","",会计科目表!$C77)</f>
        <v/>
      </c>
      <c r="E158" s="25" t="str">
        <f aca="false">IF($C158="","",会计科目表!$D77)</f>
        <v/>
      </c>
      <c r="F158" s="10" t="str">
        <f aca="false">IF($C158="","",会计科目表!$F77)</f>
        <v/>
      </c>
      <c r="G158" s="40" t="str">
        <f aca="false">IF($C158="","",IF($E158="借",SUMIFS(期初余额!$C$6:$C$185,期初余额!$A$6:$A$185,$A158,期初余额!$B$6:$B$185,$C158)-SUMIFS(期初余额!$D$6:$D$185,期初余额!$A$6:$A$185,$A158,期初余额!$B$6:$B$185,$C158),SUMIFS(期初余额!$D$6:$D$185,期初余额!$A$6:$A$185,$A158,期初余额!$B$6:$B$185,$C158)-SUMIFS(期初余额!$C$6:$C$185,期初余额!$A$6:$A$185,$A158,期初余额!$B$6:$B$185,$C158)))</f>
        <v/>
      </c>
      <c r="H158" s="40" t="str">
        <f aca="false">IF($C158="","",$G158+IF($E158="借",SUMIFS(记账分录!$I$6:$I$5505,记账分录!$F$6:$F$5505,$A158,记账分录!$H$6:$H$5505,$C158,记账分录!$E$6:$E$5505,"&lt;"&amp;$A$4)-SUMIFS(记账分录!$J$6:$J$5505,记账分录!$F$6:$F$5505,$A158,记账分录!$H$6:$H$5505,$C158,记账分录!$E$6:$E$5505,"&lt;"&amp;$A$4),SUMIFS(记账分录!$J$6:$J$5505,记账分录!$F$6:$F$5505,$A158,记账分录!$H$6:$H$5505,$C158,记账分录!$E$6:$E$5505,"&lt;"&amp;$A$4)-SUMIFS(记账分录!$I$6:$I$5505,记账分录!$F$6:$F$5505,$A158,记账分录!$H$6:$H$5505,$C158,记账分录!$E$6:$E$5505,"&lt;"&amp;$A$4)))</f>
        <v/>
      </c>
      <c r="I158" s="40" t="str">
        <f aca="false">IF($C158="","",SUMIFS(记账分录!$I$6:$I$5505,记账分录!$F$6:$F$5505,$A158,记账分录!$H$6:$H$5505,$C158,记账分录!$E$6:$E$5505,"&gt;="&amp;$A$4,记账分录!$E$6:$E$5505,"&lt;="&amp;$B$4))</f>
        <v/>
      </c>
      <c r="J158" s="40" t="str">
        <f aca="false">IF($C158="","",SUMIFS(记账分录!$J$6:$J$5505,记账分录!$F$6:$F$5505,$A158,记账分录!$H$6:$H$5505,$C158,记账分录!$E$6:$E$5505,"&gt;="&amp;$A$4,记账分录!$E$6:$E$5505,"&lt;="&amp;$B$4))</f>
        <v/>
      </c>
      <c r="K158" s="42" t="str">
        <f aca="false">IF($C158="","",IF($E158="借",$I158-$J158,$J158-$I158))</f>
        <v/>
      </c>
      <c r="L158" s="42" t="str">
        <f aca="false">IF($C158="","",ROUND($H158+$K158,2))</f>
        <v/>
      </c>
      <c r="M158" s="40" t="str">
        <f aca="false">IF($C158="","",SUMIFS(记账分录!$I$6:$I$5505,记账分录!$F$6:$F$5505,$A158,记账分录!$H$6:$H$5505,$C158,记账分录!$E$6:$E$5505,"&lt;="&amp;$B$4))</f>
        <v/>
      </c>
      <c r="N158" s="40" t="str">
        <f aca="false">IF($C158="","",SUMIFS(记账分录!$J$6:$J$5505,记账分录!$F$6:$F$5505,$A158,记账分录!$H$6:$H$5505,$C158,记账分录!$E$6:$E$5505,"&lt;="&amp;$B$4))</f>
        <v/>
      </c>
      <c r="O158" s="42" t="str">
        <f aca="false">IF($C158="","",IF($E158="借",$M158-$N158,$N158-$M158))</f>
        <v/>
      </c>
      <c r="P158" s="64" t="str">
        <f aca="false">IF($C158="","",IF(OR(ROUND($G158,2)&lt;&gt;0,ROUND($M158,2)&lt;&gt;0,ROUND($N158,2)&lt;&gt;0),"有",""))</f>
        <v/>
      </c>
    </row>
    <row r="159" customFormat="false" ht="15" hidden="true" customHeight="false" outlineLevel="0" collapsed="false">
      <c r="A159" s="25" t="str">
        <f aca="false">IF(会计科目表!$B78="","",参数设置!$A$11)</f>
        <v/>
      </c>
      <c r="B159" s="25" t="str">
        <f aca="false">IF(会计科目表!$B78="","",会计科目表!$A78)</f>
        <v/>
      </c>
      <c r="C159" s="10" t="str">
        <f aca="false">IF(会计科目表!$B78="","",会计科目表!$B78)</f>
        <v/>
      </c>
      <c r="D159" s="25" t="str">
        <f aca="false">IF($C159="","",会计科目表!$C78)</f>
        <v/>
      </c>
      <c r="E159" s="25" t="str">
        <f aca="false">IF($C159="","",会计科目表!$D78)</f>
        <v/>
      </c>
      <c r="F159" s="10" t="str">
        <f aca="false">IF($C159="","",会计科目表!$F78)</f>
        <v/>
      </c>
      <c r="G159" s="40" t="str">
        <f aca="false">IF($C159="","",IF($E159="借",SUMIFS(期初余额!$C$6:$C$185,期初余额!$A$6:$A$185,$A159,期初余额!$B$6:$B$185,$C159)-SUMIFS(期初余额!$D$6:$D$185,期初余额!$A$6:$A$185,$A159,期初余额!$B$6:$B$185,$C159),SUMIFS(期初余额!$D$6:$D$185,期初余额!$A$6:$A$185,$A159,期初余额!$B$6:$B$185,$C159)-SUMIFS(期初余额!$C$6:$C$185,期初余额!$A$6:$A$185,$A159,期初余额!$B$6:$B$185,$C159)))</f>
        <v/>
      </c>
      <c r="H159" s="40" t="str">
        <f aca="false">IF($C159="","",$G159+IF($E159="借",SUMIFS(记账分录!$I$6:$I$5505,记账分录!$F$6:$F$5505,$A159,记账分录!$H$6:$H$5505,$C159,记账分录!$E$6:$E$5505,"&lt;"&amp;$A$4)-SUMIFS(记账分录!$J$6:$J$5505,记账分录!$F$6:$F$5505,$A159,记账分录!$H$6:$H$5505,$C159,记账分录!$E$6:$E$5505,"&lt;"&amp;$A$4),SUMIFS(记账分录!$J$6:$J$5505,记账分录!$F$6:$F$5505,$A159,记账分录!$H$6:$H$5505,$C159,记账分录!$E$6:$E$5505,"&lt;"&amp;$A$4)-SUMIFS(记账分录!$I$6:$I$5505,记账分录!$F$6:$F$5505,$A159,记账分录!$H$6:$H$5505,$C159,记账分录!$E$6:$E$5505,"&lt;"&amp;$A$4)))</f>
        <v/>
      </c>
      <c r="I159" s="40" t="str">
        <f aca="false">IF($C159="","",SUMIFS(记账分录!$I$6:$I$5505,记账分录!$F$6:$F$5505,$A159,记账分录!$H$6:$H$5505,$C159,记账分录!$E$6:$E$5505,"&gt;="&amp;$A$4,记账分录!$E$6:$E$5505,"&lt;="&amp;$B$4))</f>
        <v/>
      </c>
      <c r="J159" s="40" t="str">
        <f aca="false">IF($C159="","",SUMIFS(记账分录!$J$6:$J$5505,记账分录!$F$6:$F$5505,$A159,记账分录!$H$6:$H$5505,$C159,记账分录!$E$6:$E$5505,"&gt;="&amp;$A$4,记账分录!$E$6:$E$5505,"&lt;="&amp;$B$4))</f>
        <v/>
      </c>
      <c r="K159" s="42" t="str">
        <f aca="false">IF($C159="","",IF($E159="借",$I159-$J159,$J159-$I159))</f>
        <v/>
      </c>
      <c r="L159" s="42" t="str">
        <f aca="false">IF($C159="","",ROUND($H159+$K159,2))</f>
        <v/>
      </c>
      <c r="M159" s="40" t="str">
        <f aca="false">IF($C159="","",SUMIFS(记账分录!$I$6:$I$5505,记账分录!$F$6:$F$5505,$A159,记账分录!$H$6:$H$5505,$C159,记账分录!$E$6:$E$5505,"&lt;="&amp;$B$4))</f>
        <v/>
      </c>
      <c r="N159" s="40" t="str">
        <f aca="false">IF($C159="","",SUMIFS(记账分录!$J$6:$J$5505,记账分录!$F$6:$F$5505,$A159,记账分录!$H$6:$H$5505,$C159,记账分录!$E$6:$E$5505,"&lt;="&amp;$B$4))</f>
        <v/>
      </c>
      <c r="O159" s="42" t="str">
        <f aca="false">IF($C159="","",IF($E159="借",$M159-$N159,$N159-$M159))</f>
        <v/>
      </c>
      <c r="P159" s="64" t="str">
        <f aca="false">IF($C159="","",IF(OR(ROUND($G159,2)&lt;&gt;0,ROUND($M159,2)&lt;&gt;0,ROUND($N159,2)&lt;&gt;0),"有",""))</f>
        <v/>
      </c>
    </row>
    <row r="160" customFormat="false" ht="15" hidden="true" customHeight="false" outlineLevel="0" collapsed="false">
      <c r="A160" s="25" t="str">
        <f aca="false">IF(会计科目表!$B79="","",参数设置!$A$11)</f>
        <v/>
      </c>
      <c r="B160" s="25" t="str">
        <f aca="false">IF(会计科目表!$B79="","",会计科目表!$A79)</f>
        <v/>
      </c>
      <c r="C160" s="10" t="str">
        <f aca="false">IF(会计科目表!$B79="","",会计科目表!$B79)</f>
        <v/>
      </c>
      <c r="D160" s="25" t="str">
        <f aca="false">IF($C160="","",会计科目表!$C79)</f>
        <v/>
      </c>
      <c r="E160" s="25" t="str">
        <f aca="false">IF($C160="","",会计科目表!$D79)</f>
        <v/>
      </c>
      <c r="F160" s="10" t="str">
        <f aca="false">IF($C160="","",会计科目表!$F79)</f>
        <v/>
      </c>
      <c r="G160" s="40" t="str">
        <f aca="false">IF($C160="","",IF($E160="借",SUMIFS(期初余额!$C$6:$C$185,期初余额!$A$6:$A$185,$A160,期初余额!$B$6:$B$185,$C160)-SUMIFS(期初余额!$D$6:$D$185,期初余额!$A$6:$A$185,$A160,期初余额!$B$6:$B$185,$C160),SUMIFS(期初余额!$D$6:$D$185,期初余额!$A$6:$A$185,$A160,期初余额!$B$6:$B$185,$C160)-SUMIFS(期初余额!$C$6:$C$185,期初余额!$A$6:$A$185,$A160,期初余额!$B$6:$B$185,$C160)))</f>
        <v/>
      </c>
      <c r="H160" s="40" t="str">
        <f aca="false">IF($C160="","",$G160+IF($E160="借",SUMIFS(记账分录!$I$6:$I$5505,记账分录!$F$6:$F$5505,$A160,记账分录!$H$6:$H$5505,$C160,记账分录!$E$6:$E$5505,"&lt;"&amp;$A$4)-SUMIFS(记账分录!$J$6:$J$5505,记账分录!$F$6:$F$5505,$A160,记账分录!$H$6:$H$5505,$C160,记账分录!$E$6:$E$5505,"&lt;"&amp;$A$4),SUMIFS(记账分录!$J$6:$J$5505,记账分录!$F$6:$F$5505,$A160,记账分录!$H$6:$H$5505,$C160,记账分录!$E$6:$E$5505,"&lt;"&amp;$A$4)-SUMIFS(记账分录!$I$6:$I$5505,记账分录!$F$6:$F$5505,$A160,记账分录!$H$6:$H$5505,$C160,记账分录!$E$6:$E$5505,"&lt;"&amp;$A$4)))</f>
        <v/>
      </c>
      <c r="I160" s="40" t="str">
        <f aca="false">IF($C160="","",SUMIFS(记账分录!$I$6:$I$5505,记账分录!$F$6:$F$5505,$A160,记账分录!$H$6:$H$5505,$C160,记账分录!$E$6:$E$5505,"&gt;="&amp;$A$4,记账分录!$E$6:$E$5505,"&lt;="&amp;$B$4))</f>
        <v/>
      </c>
      <c r="J160" s="40" t="str">
        <f aca="false">IF($C160="","",SUMIFS(记账分录!$J$6:$J$5505,记账分录!$F$6:$F$5505,$A160,记账分录!$H$6:$H$5505,$C160,记账分录!$E$6:$E$5505,"&gt;="&amp;$A$4,记账分录!$E$6:$E$5505,"&lt;="&amp;$B$4))</f>
        <v/>
      </c>
      <c r="K160" s="42" t="str">
        <f aca="false">IF($C160="","",IF($E160="借",$I160-$J160,$J160-$I160))</f>
        <v/>
      </c>
      <c r="L160" s="42" t="str">
        <f aca="false">IF($C160="","",ROUND($H160+$K160,2))</f>
        <v/>
      </c>
      <c r="M160" s="40" t="str">
        <f aca="false">IF($C160="","",SUMIFS(记账分录!$I$6:$I$5505,记账分录!$F$6:$F$5505,$A160,记账分录!$H$6:$H$5505,$C160,记账分录!$E$6:$E$5505,"&lt;="&amp;$B$4))</f>
        <v/>
      </c>
      <c r="N160" s="40" t="str">
        <f aca="false">IF($C160="","",SUMIFS(记账分录!$J$6:$J$5505,记账分录!$F$6:$F$5505,$A160,记账分录!$H$6:$H$5505,$C160,记账分录!$E$6:$E$5505,"&lt;="&amp;$B$4))</f>
        <v/>
      </c>
      <c r="O160" s="42" t="str">
        <f aca="false">IF($C160="","",IF($E160="借",$M160-$N160,$N160-$M160))</f>
        <v/>
      </c>
      <c r="P160" s="64" t="str">
        <f aca="false">IF($C160="","",IF(OR(ROUND($G160,2)&lt;&gt;0,ROUND($M160,2)&lt;&gt;0,ROUND($N160,2)&lt;&gt;0),"有",""))</f>
        <v/>
      </c>
    </row>
    <row r="161" customFormat="false" ht="15" hidden="true" customHeight="false" outlineLevel="0" collapsed="false">
      <c r="A161" s="25" t="str">
        <f aca="false">IF(会计科目表!$B80="","",参数设置!$A$11)</f>
        <v/>
      </c>
      <c r="B161" s="25" t="str">
        <f aca="false">IF(会计科目表!$B80="","",会计科目表!$A80)</f>
        <v/>
      </c>
      <c r="C161" s="10" t="str">
        <f aca="false">IF(会计科目表!$B80="","",会计科目表!$B80)</f>
        <v/>
      </c>
      <c r="D161" s="25" t="str">
        <f aca="false">IF($C161="","",会计科目表!$C80)</f>
        <v/>
      </c>
      <c r="E161" s="25" t="str">
        <f aca="false">IF($C161="","",会计科目表!$D80)</f>
        <v/>
      </c>
      <c r="F161" s="10" t="str">
        <f aca="false">IF($C161="","",会计科目表!$F80)</f>
        <v/>
      </c>
      <c r="G161" s="40" t="str">
        <f aca="false">IF($C161="","",IF($E161="借",SUMIFS(期初余额!$C$6:$C$185,期初余额!$A$6:$A$185,$A161,期初余额!$B$6:$B$185,$C161)-SUMIFS(期初余额!$D$6:$D$185,期初余额!$A$6:$A$185,$A161,期初余额!$B$6:$B$185,$C161),SUMIFS(期初余额!$D$6:$D$185,期初余额!$A$6:$A$185,$A161,期初余额!$B$6:$B$185,$C161)-SUMIFS(期初余额!$C$6:$C$185,期初余额!$A$6:$A$185,$A161,期初余额!$B$6:$B$185,$C161)))</f>
        <v/>
      </c>
      <c r="H161" s="40" t="str">
        <f aca="false">IF($C161="","",$G161+IF($E161="借",SUMIFS(记账分录!$I$6:$I$5505,记账分录!$F$6:$F$5505,$A161,记账分录!$H$6:$H$5505,$C161,记账分录!$E$6:$E$5505,"&lt;"&amp;$A$4)-SUMIFS(记账分录!$J$6:$J$5505,记账分录!$F$6:$F$5505,$A161,记账分录!$H$6:$H$5505,$C161,记账分录!$E$6:$E$5505,"&lt;"&amp;$A$4),SUMIFS(记账分录!$J$6:$J$5505,记账分录!$F$6:$F$5505,$A161,记账分录!$H$6:$H$5505,$C161,记账分录!$E$6:$E$5505,"&lt;"&amp;$A$4)-SUMIFS(记账分录!$I$6:$I$5505,记账分录!$F$6:$F$5505,$A161,记账分录!$H$6:$H$5505,$C161,记账分录!$E$6:$E$5505,"&lt;"&amp;$A$4)))</f>
        <v/>
      </c>
      <c r="I161" s="40" t="str">
        <f aca="false">IF($C161="","",SUMIFS(记账分录!$I$6:$I$5505,记账分录!$F$6:$F$5505,$A161,记账分录!$H$6:$H$5505,$C161,记账分录!$E$6:$E$5505,"&gt;="&amp;$A$4,记账分录!$E$6:$E$5505,"&lt;="&amp;$B$4))</f>
        <v/>
      </c>
      <c r="J161" s="40" t="str">
        <f aca="false">IF($C161="","",SUMIFS(记账分录!$J$6:$J$5505,记账分录!$F$6:$F$5505,$A161,记账分录!$H$6:$H$5505,$C161,记账分录!$E$6:$E$5505,"&gt;="&amp;$A$4,记账分录!$E$6:$E$5505,"&lt;="&amp;$B$4))</f>
        <v/>
      </c>
      <c r="K161" s="42" t="str">
        <f aca="false">IF($C161="","",IF($E161="借",$I161-$J161,$J161-$I161))</f>
        <v/>
      </c>
      <c r="L161" s="42" t="str">
        <f aca="false">IF($C161="","",ROUND($H161+$K161,2))</f>
        <v/>
      </c>
      <c r="M161" s="40" t="str">
        <f aca="false">IF($C161="","",SUMIFS(记账分录!$I$6:$I$5505,记账分录!$F$6:$F$5505,$A161,记账分录!$H$6:$H$5505,$C161,记账分录!$E$6:$E$5505,"&lt;="&amp;$B$4))</f>
        <v/>
      </c>
      <c r="N161" s="40" t="str">
        <f aca="false">IF($C161="","",SUMIFS(记账分录!$J$6:$J$5505,记账分录!$F$6:$F$5505,$A161,记账分录!$H$6:$H$5505,$C161,记账分录!$E$6:$E$5505,"&lt;="&amp;$B$4))</f>
        <v/>
      </c>
      <c r="O161" s="42" t="str">
        <f aca="false">IF($C161="","",IF($E161="借",$M161-$N161,$N161-$M161))</f>
        <v/>
      </c>
      <c r="P161" s="64" t="str">
        <f aca="false">IF($C161="","",IF(OR(ROUND($G161,2)&lt;&gt;0,ROUND($M161,2)&lt;&gt;0,ROUND($N161,2)&lt;&gt;0),"有",""))</f>
        <v/>
      </c>
    </row>
    <row r="162" customFormat="false" ht="15" hidden="true" customHeight="false" outlineLevel="0" collapsed="false">
      <c r="A162" s="25" t="str">
        <f aca="false">IF(会计科目表!$B81="","",参数设置!$A$11)</f>
        <v/>
      </c>
      <c r="B162" s="25" t="str">
        <f aca="false">IF(会计科目表!$B81="","",会计科目表!$A81)</f>
        <v/>
      </c>
      <c r="C162" s="10" t="str">
        <f aca="false">IF(会计科目表!$B81="","",会计科目表!$B81)</f>
        <v/>
      </c>
      <c r="D162" s="25" t="str">
        <f aca="false">IF($C162="","",会计科目表!$C81)</f>
        <v/>
      </c>
      <c r="E162" s="25" t="str">
        <f aca="false">IF($C162="","",会计科目表!$D81)</f>
        <v/>
      </c>
      <c r="F162" s="10" t="str">
        <f aca="false">IF($C162="","",会计科目表!$F81)</f>
        <v/>
      </c>
      <c r="G162" s="40" t="str">
        <f aca="false">IF($C162="","",IF($E162="借",SUMIFS(期初余额!$C$6:$C$185,期初余额!$A$6:$A$185,$A162,期初余额!$B$6:$B$185,$C162)-SUMIFS(期初余额!$D$6:$D$185,期初余额!$A$6:$A$185,$A162,期初余额!$B$6:$B$185,$C162),SUMIFS(期初余额!$D$6:$D$185,期初余额!$A$6:$A$185,$A162,期初余额!$B$6:$B$185,$C162)-SUMIFS(期初余额!$C$6:$C$185,期初余额!$A$6:$A$185,$A162,期初余额!$B$6:$B$185,$C162)))</f>
        <v/>
      </c>
      <c r="H162" s="40" t="str">
        <f aca="false">IF($C162="","",$G162+IF($E162="借",SUMIFS(记账分录!$I$6:$I$5505,记账分录!$F$6:$F$5505,$A162,记账分录!$H$6:$H$5505,$C162,记账分录!$E$6:$E$5505,"&lt;"&amp;$A$4)-SUMIFS(记账分录!$J$6:$J$5505,记账分录!$F$6:$F$5505,$A162,记账分录!$H$6:$H$5505,$C162,记账分录!$E$6:$E$5505,"&lt;"&amp;$A$4),SUMIFS(记账分录!$J$6:$J$5505,记账分录!$F$6:$F$5505,$A162,记账分录!$H$6:$H$5505,$C162,记账分录!$E$6:$E$5505,"&lt;"&amp;$A$4)-SUMIFS(记账分录!$I$6:$I$5505,记账分录!$F$6:$F$5505,$A162,记账分录!$H$6:$H$5505,$C162,记账分录!$E$6:$E$5505,"&lt;"&amp;$A$4)))</f>
        <v/>
      </c>
      <c r="I162" s="40" t="str">
        <f aca="false">IF($C162="","",SUMIFS(记账分录!$I$6:$I$5505,记账分录!$F$6:$F$5505,$A162,记账分录!$H$6:$H$5505,$C162,记账分录!$E$6:$E$5505,"&gt;="&amp;$A$4,记账分录!$E$6:$E$5505,"&lt;="&amp;$B$4))</f>
        <v/>
      </c>
      <c r="J162" s="40" t="str">
        <f aca="false">IF($C162="","",SUMIFS(记账分录!$J$6:$J$5505,记账分录!$F$6:$F$5505,$A162,记账分录!$H$6:$H$5505,$C162,记账分录!$E$6:$E$5505,"&gt;="&amp;$A$4,记账分录!$E$6:$E$5505,"&lt;="&amp;$B$4))</f>
        <v/>
      </c>
      <c r="K162" s="42" t="str">
        <f aca="false">IF($C162="","",IF($E162="借",$I162-$J162,$J162-$I162))</f>
        <v/>
      </c>
      <c r="L162" s="42" t="str">
        <f aca="false">IF($C162="","",ROUND($H162+$K162,2))</f>
        <v/>
      </c>
      <c r="M162" s="40" t="str">
        <f aca="false">IF($C162="","",SUMIFS(记账分录!$I$6:$I$5505,记账分录!$F$6:$F$5505,$A162,记账分录!$H$6:$H$5505,$C162,记账分录!$E$6:$E$5505,"&lt;="&amp;$B$4))</f>
        <v/>
      </c>
      <c r="N162" s="40" t="str">
        <f aca="false">IF($C162="","",SUMIFS(记账分录!$J$6:$J$5505,记账分录!$F$6:$F$5505,$A162,记账分录!$H$6:$H$5505,$C162,记账分录!$E$6:$E$5505,"&lt;="&amp;$B$4))</f>
        <v/>
      </c>
      <c r="O162" s="42" t="str">
        <f aca="false">IF($C162="","",IF($E162="借",$M162-$N162,$N162-$M162))</f>
        <v/>
      </c>
      <c r="P162" s="64" t="str">
        <f aca="false">IF($C162="","",IF(OR(ROUND($G162,2)&lt;&gt;0,ROUND($M162,2)&lt;&gt;0,ROUND($N162,2)&lt;&gt;0),"有",""))</f>
        <v/>
      </c>
    </row>
    <row r="163" customFormat="false" ht="15" hidden="true" customHeight="false" outlineLevel="0" collapsed="false">
      <c r="A163" s="25" t="str">
        <f aca="false">IF(会计科目表!$B82="","",参数设置!$A$11)</f>
        <v/>
      </c>
      <c r="B163" s="25" t="str">
        <f aca="false">IF(会计科目表!$B82="","",会计科目表!$A82)</f>
        <v/>
      </c>
      <c r="C163" s="10" t="str">
        <f aca="false">IF(会计科目表!$B82="","",会计科目表!$B82)</f>
        <v/>
      </c>
      <c r="D163" s="25" t="str">
        <f aca="false">IF($C163="","",会计科目表!$C82)</f>
        <v/>
      </c>
      <c r="E163" s="25" t="str">
        <f aca="false">IF($C163="","",会计科目表!$D82)</f>
        <v/>
      </c>
      <c r="F163" s="10" t="str">
        <f aca="false">IF($C163="","",会计科目表!$F82)</f>
        <v/>
      </c>
      <c r="G163" s="40" t="str">
        <f aca="false">IF($C163="","",IF($E163="借",SUMIFS(期初余额!$C$6:$C$185,期初余额!$A$6:$A$185,$A163,期初余额!$B$6:$B$185,$C163)-SUMIFS(期初余额!$D$6:$D$185,期初余额!$A$6:$A$185,$A163,期初余额!$B$6:$B$185,$C163),SUMIFS(期初余额!$D$6:$D$185,期初余额!$A$6:$A$185,$A163,期初余额!$B$6:$B$185,$C163)-SUMIFS(期初余额!$C$6:$C$185,期初余额!$A$6:$A$185,$A163,期初余额!$B$6:$B$185,$C163)))</f>
        <v/>
      </c>
      <c r="H163" s="40" t="str">
        <f aca="false">IF($C163="","",$G163+IF($E163="借",SUMIFS(记账分录!$I$6:$I$5505,记账分录!$F$6:$F$5505,$A163,记账分录!$H$6:$H$5505,$C163,记账分录!$E$6:$E$5505,"&lt;"&amp;$A$4)-SUMIFS(记账分录!$J$6:$J$5505,记账分录!$F$6:$F$5505,$A163,记账分录!$H$6:$H$5505,$C163,记账分录!$E$6:$E$5505,"&lt;"&amp;$A$4),SUMIFS(记账分录!$J$6:$J$5505,记账分录!$F$6:$F$5505,$A163,记账分录!$H$6:$H$5505,$C163,记账分录!$E$6:$E$5505,"&lt;"&amp;$A$4)-SUMIFS(记账分录!$I$6:$I$5505,记账分录!$F$6:$F$5505,$A163,记账分录!$H$6:$H$5505,$C163,记账分录!$E$6:$E$5505,"&lt;"&amp;$A$4)))</f>
        <v/>
      </c>
      <c r="I163" s="40" t="str">
        <f aca="false">IF($C163="","",SUMIFS(记账分录!$I$6:$I$5505,记账分录!$F$6:$F$5505,$A163,记账分录!$H$6:$H$5505,$C163,记账分录!$E$6:$E$5505,"&gt;="&amp;$A$4,记账分录!$E$6:$E$5505,"&lt;="&amp;$B$4))</f>
        <v/>
      </c>
      <c r="J163" s="40" t="str">
        <f aca="false">IF($C163="","",SUMIFS(记账分录!$J$6:$J$5505,记账分录!$F$6:$F$5505,$A163,记账分录!$H$6:$H$5505,$C163,记账分录!$E$6:$E$5505,"&gt;="&amp;$A$4,记账分录!$E$6:$E$5505,"&lt;="&amp;$B$4))</f>
        <v/>
      </c>
      <c r="K163" s="42" t="str">
        <f aca="false">IF($C163="","",IF($E163="借",$I163-$J163,$J163-$I163))</f>
        <v/>
      </c>
      <c r="L163" s="42" t="str">
        <f aca="false">IF($C163="","",ROUND($H163+$K163,2))</f>
        <v/>
      </c>
      <c r="M163" s="40" t="str">
        <f aca="false">IF($C163="","",SUMIFS(记账分录!$I$6:$I$5505,记账分录!$F$6:$F$5505,$A163,记账分录!$H$6:$H$5505,$C163,记账分录!$E$6:$E$5505,"&lt;="&amp;$B$4))</f>
        <v/>
      </c>
      <c r="N163" s="40" t="str">
        <f aca="false">IF($C163="","",SUMIFS(记账分录!$J$6:$J$5505,记账分录!$F$6:$F$5505,$A163,记账分录!$H$6:$H$5505,$C163,记账分录!$E$6:$E$5505,"&lt;="&amp;$B$4))</f>
        <v/>
      </c>
      <c r="O163" s="42" t="str">
        <f aca="false">IF($C163="","",IF($E163="借",$M163-$N163,$N163-$M163))</f>
        <v/>
      </c>
      <c r="P163" s="64" t="str">
        <f aca="false">IF($C163="","",IF(OR(ROUND($G163,2)&lt;&gt;0,ROUND($M163,2)&lt;&gt;0,ROUND($N163,2)&lt;&gt;0),"有",""))</f>
        <v/>
      </c>
    </row>
    <row r="164" customFormat="false" ht="15" hidden="true" customHeight="false" outlineLevel="0" collapsed="false">
      <c r="A164" s="25" t="str">
        <f aca="false">IF(会计科目表!$B83="","",参数设置!$A$11)</f>
        <v/>
      </c>
      <c r="B164" s="25" t="str">
        <f aca="false">IF(会计科目表!$B83="","",会计科目表!$A83)</f>
        <v/>
      </c>
      <c r="C164" s="10" t="str">
        <f aca="false">IF(会计科目表!$B83="","",会计科目表!$B83)</f>
        <v/>
      </c>
      <c r="D164" s="25" t="str">
        <f aca="false">IF($C164="","",会计科目表!$C83)</f>
        <v/>
      </c>
      <c r="E164" s="25" t="str">
        <f aca="false">IF($C164="","",会计科目表!$D83)</f>
        <v/>
      </c>
      <c r="F164" s="10" t="str">
        <f aca="false">IF($C164="","",会计科目表!$F83)</f>
        <v/>
      </c>
      <c r="G164" s="40" t="str">
        <f aca="false">IF($C164="","",IF($E164="借",SUMIFS(期初余额!$C$6:$C$185,期初余额!$A$6:$A$185,$A164,期初余额!$B$6:$B$185,$C164)-SUMIFS(期初余额!$D$6:$D$185,期初余额!$A$6:$A$185,$A164,期初余额!$B$6:$B$185,$C164),SUMIFS(期初余额!$D$6:$D$185,期初余额!$A$6:$A$185,$A164,期初余额!$B$6:$B$185,$C164)-SUMIFS(期初余额!$C$6:$C$185,期初余额!$A$6:$A$185,$A164,期初余额!$B$6:$B$185,$C164)))</f>
        <v/>
      </c>
      <c r="H164" s="40" t="str">
        <f aca="false">IF($C164="","",$G164+IF($E164="借",SUMIFS(记账分录!$I$6:$I$5505,记账分录!$F$6:$F$5505,$A164,记账分录!$H$6:$H$5505,$C164,记账分录!$E$6:$E$5505,"&lt;"&amp;$A$4)-SUMIFS(记账分录!$J$6:$J$5505,记账分录!$F$6:$F$5505,$A164,记账分录!$H$6:$H$5505,$C164,记账分录!$E$6:$E$5505,"&lt;"&amp;$A$4),SUMIFS(记账分录!$J$6:$J$5505,记账分录!$F$6:$F$5505,$A164,记账分录!$H$6:$H$5505,$C164,记账分录!$E$6:$E$5505,"&lt;"&amp;$A$4)-SUMIFS(记账分录!$I$6:$I$5505,记账分录!$F$6:$F$5505,$A164,记账分录!$H$6:$H$5505,$C164,记账分录!$E$6:$E$5505,"&lt;"&amp;$A$4)))</f>
        <v/>
      </c>
      <c r="I164" s="40" t="str">
        <f aca="false">IF($C164="","",SUMIFS(记账分录!$I$6:$I$5505,记账分录!$F$6:$F$5505,$A164,记账分录!$H$6:$H$5505,$C164,记账分录!$E$6:$E$5505,"&gt;="&amp;$A$4,记账分录!$E$6:$E$5505,"&lt;="&amp;$B$4))</f>
        <v/>
      </c>
      <c r="J164" s="40" t="str">
        <f aca="false">IF($C164="","",SUMIFS(记账分录!$J$6:$J$5505,记账分录!$F$6:$F$5505,$A164,记账分录!$H$6:$H$5505,$C164,记账分录!$E$6:$E$5505,"&gt;="&amp;$A$4,记账分录!$E$6:$E$5505,"&lt;="&amp;$B$4))</f>
        <v/>
      </c>
      <c r="K164" s="42" t="str">
        <f aca="false">IF($C164="","",IF($E164="借",$I164-$J164,$J164-$I164))</f>
        <v/>
      </c>
      <c r="L164" s="42" t="str">
        <f aca="false">IF($C164="","",ROUND($H164+$K164,2))</f>
        <v/>
      </c>
      <c r="M164" s="40" t="str">
        <f aca="false">IF($C164="","",SUMIFS(记账分录!$I$6:$I$5505,记账分录!$F$6:$F$5505,$A164,记账分录!$H$6:$H$5505,$C164,记账分录!$E$6:$E$5505,"&lt;="&amp;$B$4))</f>
        <v/>
      </c>
      <c r="N164" s="40" t="str">
        <f aca="false">IF($C164="","",SUMIFS(记账分录!$J$6:$J$5505,记账分录!$F$6:$F$5505,$A164,记账分录!$H$6:$H$5505,$C164,记账分录!$E$6:$E$5505,"&lt;="&amp;$B$4))</f>
        <v/>
      </c>
      <c r="O164" s="42" t="str">
        <f aca="false">IF($C164="","",IF($E164="借",$M164-$N164,$N164-$M164))</f>
        <v/>
      </c>
      <c r="P164" s="64" t="str">
        <f aca="false">IF($C164="","",IF(OR(ROUND($G164,2)&lt;&gt;0,ROUND($M164,2)&lt;&gt;0,ROUND($N164,2)&lt;&gt;0),"有",""))</f>
        <v/>
      </c>
    </row>
    <row r="165" customFormat="false" ht="15" hidden="true" customHeight="false" outlineLevel="0" collapsed="false">
      <c r="A165" s="25" t="str">
        <f aca="false">IF(会计科目表!$B84="","",参数设置!$A$11)</f>
        <v/>
      </c>
      <c r="B165" s="25" t="str">
        <f aca="false">IF(会计科目表!$B84="","",会计科目表!$A84)</f>
        <v/>
      </c>
      <c r="C165" s="10" t="str">
        <f aca="false">IF(会计科目表!$B84="","",会计科目表!$B84)</f>
        <v/>
      </c>
      <c r="D165" s="25" t="str">
        <f aca="false">IF($C165="","",会计科目表!$C84)</f>
        <v/>
      </c>
      <c r="E165" s="25" t="str">
        <f aca="false">IF($C165="","",会计科目表!$D84)</f>
        <v/>
      </c>
      <c r="F165" s="10" t="str">
        <f aca="false">IF($C165="","",会计科目表!$F84)</f>
        <v/>
      </c>
      <c r="G165" s="40" t="str">
        <f aca="false">IF($C165="","",IF($E165="借",SUMIFS(期初余额!$C$6:$C$185,期初余额!$A$6:$A$185,$A165,期初余额!$B$6:$B$185,$C165)-SUMIFS(期初余额!$D$6:$D$185,期初余额!$A$6:$A$185,$A165,期初余额!$B$6:$B$185,$C165),SUMIFS(期初余额!$D$6:$D$185,期初余额!$A$6:$A$185,$A165,期初余额!$B$6:$B$185,$C165)-SUMIFS(期初余额!$C$6:$C$185,期初余额!$A$6:$A$185,$A165,期初余额!$B$6:$B$185,$C165)))</f>
        <v/>
      </c>
      <c r="H165" s="40" t="str">
        <f aca="false">IF($C165="","",$G165+IF($E165="借",SUMIFS(记账分录!$I$6:$I$5505,记账分录!$F$6:$F$5505,$A165,记账分录!$H$6:$H$5505,$C165,记账分录!$E$6:$E$5505,"&lt;"&amp;$A$4)-SUMIFS(记账分录!$J$6:$J$5505,记账分录!$F$6:$F$5505,$A165,记账分录!$H$6:$H$5505,$C165,记账分录!$E$6:$E$5505,"&lt;"&amp;$A$4),SUMIFS(记账分录!$J$6:$J$5505,记账分录!$F$6:$F$5505,$A165,记账分录!$H$6:$H$5505,$C165,记账分录!$E$6:$E$5505,"&lt;"&amp;$A$4)-SUMIFS(记账分录!$I$6:$I$5505,记账分录!$F$6:$F$5505,$A165,记账分录!$H$6:$H$5505,$C165,记账分录!$E$6:$E$5505,"&lt;"&amp;$A$4)))</f>
        <v/>
      </c>
      <c r="I165" s="40" t="str">
        <f aca="false">IF($C165="","",SUMIFS(记账分录!$I$6:$I$5505,记账分录!$F$6:$F$5505,$A165,记账分录!$H$6:$H$5505,$C165,记账分录!$E$6:$E$5505,"&gt;="&amp;$A$4,记账分录!$E$6:$E$5505,"&lt;="&amp;$B$4))</f>
        <v/>
      </c>
      <c r="J165" s="40" t="str">
        <f aca="false">IF($C165="","",SUMIFS(记账分录!$J$6:$J$5505,记账分录!$F$6:$F$5505,$A165,记账分录!$H$6:$H$5505,$C165,记账分录!$E$6:$E$5505,"&gt;="&amp;$A$4,记账分录!$E$6:$E$5505,"&lt;="&amp;$B$4))</f>
        <v/>
      </c>
      <c r="K165" s="42" t="str">
        <f aca="false">IF($C165="","",IF($E165="借",$I165-$J165,$J165-$I165))</f>
        <v/>
      </c>
      <c r="L165" s="42" t="str">
        <f aca="false">IF($C165="","",ROUND($H165+$K165,2))</f>
        <v/>
      </c>
      <c r="M165" s="40" t="str">
        <f aca="false">IF($C165="","",SUMIFS(记账分录!$I$6:$I$5505,记账分录!$F$6:$F$5505,$A165,记账分录!$H$6:$H$5505,$C165,记账分录!$E$6:$E$5505,"&lt;="&amp;$B$4))</f>
        <v/>
      </c>
      <c r="N165" s="40" t="str">
        <f aca="false">IF($C165="","",SUMIFS(记账分录!$J$6:$J$5505,记账分录!$F$6:$F$5505,$A165,记账分录!$H$6:$H$5505,$C165,记账分录!$E$6:$E$5505,"&lt;="&amp;$B$4))</f>
        <v/>
      </c>
      <c r="O165" s="42" t="str">
        <f aca="false">IF($C165="","",IF($E165="借",$M165-$N165,$N165-$M165))</f>
        <v/>
      </c>
      <c r="P165" s="64" t="str">
        <f aca="false">IF($C165="","",IF(OR(ROUND($G165,2)&lt;&gt;0,ROUND($M165,2)&lt;&gt;0,ROUND($N165,2)&lt;&gt;0),"有",""))</f>
        <v/>
      </c>
    </row>
    <row r="166" customFormat="false" ht="15" hidden="true" customHeight="false" outlineLevel="0" collapsed="false">
      <c r="A166" s="25" t="str">
        <f aca="false">IF(会计科目表!$B85="","",参数设置!$A$11)</f>
        <v/>
      </c>
      <c r="B166" s="25" t="str">
        <f aca="false">IF(会计科目表!$B85="","",会计科目表!$A85)</f>
        <v/>
      </c>
      <c r="C166" s="10" t="str">
        <f aca="false">IF(会计科目表!$B85="","",会计科目表!$B85)</f>
        <v/>
      </c>
      <c r="D166" s="25" t="str">
        <f aca="false">IF($C166="","",会计科目表!$C85)</f>
        <v/>
      </c>
      <c r="E166" s="25" t="str">
        <f aca="false">IF($C166="","",会计科目表!$D85)</f>
        <v/>
      </c>
      <c r="F166" s="10" t="str">
        <f aca="false">IF($C166="","",会计科目表!$F85)</f>
        <v/>
      </c>
      <c r="G166" s="40" t="str">
        <f aca="false">IF($C166="","",IF($E166="借",SUMIFS(期初余额!$C$6:$C$185,期初余额!$A$6:$A$185,$A166,期初余额!$B$6:$B$185,$C166)-SUMIFS(期初余额!$D$6:$D$185,期初余额!$A$6:$A$185,$A166,期初余额!$B$6:$B$185,$C166),SUMIFS(期初余额!$D$6:$D$185,期初余额!$A$6:$A$185,$A166,期初余额!$B$6:$B$185,$C166)-SUMIFS(期初余额!$C$6:$C$185,期初余额!$A$6:$A$185,$A166,期初余额!$B$6:$B$185,$C166)))</f>
        <v/>
      </c>
      <c r="H166" s="40" t="str">
        <f aca="false">IF($C166="","",$G166+IF($E166="借",SUMIFS(记账分录!$I$6:$I$5505,记账分录!$F$6:$F$5505,$A166,记账分录!$H$6:$H$5505,$C166,记账分录!$E$6:$E$5505,"&lt;"&amp;$A$4)-SUMIFS(记账分录!$J$6:$J$5505,记账分录!$F$6:$F$5505,$A166,记账分录!$H$6:$H$5505,$C166,记账分录!$E$6:$E$5505,"&lt;"&amp;$A$4),SUMIFS(记账分录!$J$6:$J$5505,记账分录!$F$6:$F$5505,$A166,记账分录!$H$6:$H$5505,$C166,记账分录!$E$6:$E$5505,"&lt;"&amp;$A$4)-SUMIFS(记账分录!$I$6:$I$5505,记账分录!$F$6:$F$5505,$A166,记账分录!$H$6:$H$5505,$C166,记账分录!$E$6:$E$5505,"&lt;"&amp;$A$4)))</f>
        <v/>
      </c>
      <c r="I166" s="40" t="str">
        <f aca="false">IF($C166="","",SUMIFS(记账分录!$I$6:$I$5505,记账分录!$F$6:$F$5505,$A166,记账分录!$H$6:$H$5505,$C166,记账分录!$E$6:$E$5505,"&gt;="&amp;$A$4,记账分录!$E$6:$E$5505,"&lt;="&amp;$B$4))</f>
        <v/>
      </c>
      <c r="J166" s="40" t="str">
        <f aca="false">IF($C166="","",SUMIFS(记账分录!$J$6:$J$5505,记账分录!$F$6:$F$5505,$A166,记账分录!$H$6:$H$5505,$C166,记账分录!$E$6:$E$5505,"&gt;="&amp;$A$4,记账分录!$E$6:$E$5505,"&lt;="&amp;$B$4))</f>
        <v/>
      </c>
      <c r="K166" s="42" t="str">
        <f aca="false">IF($C166="","",IF($E166="借",$I166-$J166,$J166-$I166))</f>
        <v/>
      </c>
      <c r="L166" s="42" t="str">
        <f aca="false">IF($C166="","",ROUND($H166+$K166,2))</f>
        <v/>
      </c>
      <c r="M166" s="40" t="str">
        <f aca="false">IF($C166="","",SUMIFS(记账分录!$I$6:$I$5505,记账分录!$F$6:$F$5505,$A166,记账分录!$H$6:$H$5505,$C166,记账分录!$E$6:$E$5505,"&lt;="&amp;$B$4))</f>
        <v/>
      </c>
      <c r="N166" s="40" t="str">
        <f aca="false">IF($C166="","",SUMIFS(记账分录!$J$6:$J$5505,记账分录!$F$6:$F$5505,$A166,记账分录!$H$6:$H$5505,$C166,记账分录!$E$6:$E$5505,"&lt;="&amp;$B$4))</f>
        <v/>
      </c>
      <c r="O166" s="42" t="str">
        <f aca="false">IF($C166="","",IF($E166="借",$M166-$N166,$N166-$M166))</f>
        <v/>
      </c>
      <c r="P166" s="64" t="str">
        <f aca="false">IF($C166="","",IF(OR(ROUND($G166,2)&lt;&gt;0,ROUND($M166,2)&lt;&gt;0,ROUND($N166,2)&lt;&gt;0),"有",""))</f>
        <v/>
      </c>
    </row>
    <row r="167" customFormat="false" ht="15" hidden="false" customHeight="false" outlineLevel="0" collapsed="false">
      <c r="A167" s="25" t="str">
        <f aca="false">IF(会计科目表!$B6="","",参数设置!$A$12)</f>
        <v>科技</v>
      </c>
      <c r="B167" s="25" t="str">
        <f aca="false">IF(会计科目表!$B6="","",会计科目表!$A6)</f>
        <v>1001</v>
      </c>
      <c r="C167" s="10" t="str">
        <f aca="false">IF(会计科目表!$B6="","",会计科目表!$B6)</f>
        <v>库存现金</v>
      </c>
      <c r="D167" s="25" t="str">
        <f aca="false">IF($C167="","",会计科目表!$C6)</f>
        <v>资产</v>
      </c>
      <c r="E167" s="25" t="str">
        <f aca="false">IF($C167="","",会计科目表!$D6)</f>
        <v>借</v>
      </c>
      <c r="F167" s="10" t="str">
        <f aca="false">IF($C167="","",会计科目表!$F6)</f>
        <v>货币资金</v>
      </c>
      <c r="G167" s="40" t="n">
        <f aca="false">IF($C167="","",IF($E167="借",SUMIFS(期初余额!$C$6:$C$185,期初余额!$A$6:$A$185,$A167,期初余额!$B$6:$B$185,$C167)-SUMIFS(期初余额!$D$6:$D$185,期初余额!$A$6:$A$185,$A167,期初余额!$B$6:$B$185,$C167),SUMIFS(期初余额!$D$6:$D$185,期初余额!$A$6:$A$185,$A167,期初余额!$B$6:$B$185,$C167)-SUMIFS(期初余额!$C$6:$C$185,期初余额!$A$6:$A$185,$A167,期初余额!$B$6:$B$185,$C167)))</f>
        <v>2000</v>
      </c>
      <c r="H167" s="40" t="n">
        <f aca="false">IF($C167="","",$G167+IF($E167="借",SUMIFS(记账分录!$I$6:$I$5505,记账分录!$F$6:$F$5505,$A167,记账分录!$H$6:$H$5505,$C167,记账分录!$E$6:$E$5505,"&lt;"&amp;$A$4)-SUMIFS(记账分录!$J$6:$J$5505,记账分录!$F$6:$F$5505,$A167,记账分录!$H$6:$H$5505,$C167,记账分录!$E$6:$E$5505,"&lt;"&amp;$A$4),SUMIFS(记账分录!$J$6:$J$5505,记账分录!$F$6:$F$5505,$A167,记账分录!$H$6:$H$5505,$C167,记账分录!$E$6:$E$5505,"&lt;"&amp;$A$4)-SUMIFS(记账分录!$I$6:$I$5505,记账分录!$F$6:$F$5505,$A167,记账分录!$H$6:$H$5505,$C167,记账分录!$E$6:$E$5505,"&lt;"&amp;$A$4)))</f>
        <v>2000</v>
      </c>
      <c r="I167" s="40" t="n">
        <f aca="false">IF($C167="","",SUMIFS(记账分录!$I$6:$I$5505,记账分录!$F$6:$F$5505,$A167,记账分录!$H$6:$H$5505,$C167,记账分录!$E$6:$E$5505,"&gt;="&amp;$A$4,记账分录!$E$6:$E$5505,"&lt;="&amp;$B$4))</f>
        <v>0</v>
      </c>
      <c r="J167" s="40" t="n">
        <f aca="false">IF($C167="","",SUMIFS(记账分录!$J$6:$J$5505,记账分录!$F$6:$F$5505,$A167,记账分录!$H$6:$H$5505,$C167,记账分录!$E$6:$E$5505,"&gt;="&amp;$A$4,记账分录!$E$6:$E$5505,"&lt;="&amp;$B$4))</f>
        <v>0</v>
      </c>
      <c r="K167" s="42" t="n">
        <f aca="false">IF($C167="","",IF($E167="借",$I167-$J167,$J167-$I167))</f>
        <v>0</v>
      </c>
      <c r="L167" s="42" t="n">
        <f aca="false">IF($C167="","",ROUND($H167+$K167,2))</f>
        <v>2000</v>
      </c>
      <c r="M167" s="40" t="n">
        <f aca="false">IF($C167="","",SUMIFS(记账分录!$I$6:$I$5505,记账分录!$F$6:$F$5505,$A167,记账分录!$H$6:$H$5505,$C167,记账分录!$E$6:$E$5505,"&lt;="&amp;$B$4))</f>
        <v>0</v>
      </c>
      <c r="N167" s="40" t="n">
        <f aca="false">IF($C167="","",SUMIFS(记账分录!$J$6:$J$5505,记账分录!$F$6:$F$5505,$A167,记账分录!$H$6:$H$5505,$C167,记账分录!$E$6:$E$5505,"&lt;="&amp;$B$4))</f>
        <v>0</v>
      </c>
      <c r="O167" s="42" t="n">
        <f aca="false">IF($C167="","",IF($E167="借",$M167-$N167,$N167-$M167))</f>
        <v>0</v>
      </c>
      <c r="P167" s="64" t="str">
        <f aca="false">IF($C167="","",IF(OR(ROUND($G167,2)&lt;&gt;0,ROUND($M167,2)&lt;&gt;0,ROUND($N167,2)&lt;&gt;0),"有",""))</f>
        <v>有</v>
      </c>
    </row>
    <row r="168" customFormat="false" ht="15" hidden="false" customHeight="false" outlineLevel="0" collapsed="false">
      <c r="A168" s="25" t="str">
        <f aca="false">IF(会计科目表!$B7="","",参数设置!$A$12)</f>
        <v>科技</v>
      </c>
      <c r="B168" s="25" t="str">
        <f aca="false">IF(会计科目表!$B7="","",会计科目表!$A7)</f>
        <v>1002</v>
      </c>
      <c r="C168" s="10" t="str">
        <f aca="false">IF(会计科目表!$B7="","",会计科目表!$B7)</f>
        <v>银行存款</v>
      </c>
      <c r="D168" s="25" t="str">
        <f aca="false">IF($C168="","",会计科目表!$C7)</f>
        <v>资产</v>
      </c>
      <c r="E168" s="25" t="str">
        <f aca="false">IF($C168="","",会计科目表!$D7)</f>
        <v>借</v>
      </c>
      <c r="F168" s="10" t="str">
        <f aca="false">IF($C168="","",会计科目表!$F7)</f>
        <v>货币资金</v>
      </c>
      <c r="G168" s="40" t="n">
        <f aca="false">IF($C168="","",IF($E168="借",SUMIFS(期初余额!$C$6:$C$185,期初余额!$A$6:$A$185,$A168,期初余额!$B$6:$B$185,$C168)-SUMIFS(期初余额!$D$6:$D$185,期初余额!$A$6:$A$185,$A168,期初余额!$B$6:$B$185,$C168),SUMIFS(期初余额!$D$6:$D$185,期初余额!$A$6:$A$185,$A168,期初余额!$B$6:$B$185,$C168)-SUMIFS(期初余额!$C$6:$C$185,期初余额!$A$6:$A$185,$A168,期初余额!$B$6:$B$185,$C168)))</f>
        <v>320000</v>
      </c>
      <c r="H168" s="40" t="n">
        <f aca="false">IF($C168="","",$G168+IF($E168="借",SUMIFS(记账分录!$I$6:$I$5505,记账分录!$F$6:$F$5505,$A168,记账分录!$H$6:$H$5505,$C168,记账分录!$E$6:$E$5505,"&lt;"&amp;$A$4)-SUMIFS(记账分录!$J$6:$J$5505,记账分录!$F$6:$F$5505,$A168,记账分录!$H$6:$H$5505,$C168,记账分录!$E$6:$E$5505,"&lt;"&amp;$A$4),SUMIFS(记账分录!$J$6:$J$5505,记账分录!$F$6:$F$5505,$A168,记账分录!$H$6:$H$5505,$C168,记账分录!$E$6:$E$5505,"&lt;"&amp;$A$4)-SUMIFS(记账分录!$I$6:$I$5505,记账分录!$F$6:$F$5505,$A168,记账分录!$H$6:$H$5505,$C168,记账分录!$E$6:$E$5505,"&lt;"&amp;$A$4)))</f>
        <v>320000</v>
      </c>
      <c r="I168" s="40" t="n">
        <f aca="false">IF($C168="","",SUMIFS(记账分录!$I$6:$I$5505,记账分录!$F$6:$F$5505,$A168,记账分录!$H$6:$H$5505,$C168,记账分录!$E$6:$E$5505,"&gt;="&amp;$A$4,记账分录!$E$6:$E$5505,"&lt;="&amp;$B$4))</f>
        <v>430000</v>
      </c>
      <c r="J168" s="40" t="n">
        <f aca="false">IF($C168="","",SUMIFS(记账分录!$J$6:$J$5505,记账分录!$F$6:$F$5505,$A168,记账分录!$H$6:$H$5505,$C168,记账分录!$E$6:$E$5505,"&gt;="&amp;$A$4,记账分录!$E$6:$E$5505,"&lt;="&amp;$B$4))</f>
        <v>217340</v>
      </c>
      <c r="K168" s="42" t="n">
        <f aca="false">IF($C168="","",IF($E168="借",$I168-$J168,$J168-$I168))</f>
        <v>212660</v>
      </c>
      <c r="L168" s="42" t="n">
        <f aca="false">IF($C168="","",ROUND($H168+$K168,2))</f>
        <v>532660</v>
      </c>
      <c r="M168" s="40" t="n">
        <f aca="false">IF($C168="","",SUMIFS(记账分录!$I$6:$I$5505,记账分录!$F$6:$F$5505,$A168,记账分录!$H$6:$H$5505,$C168,记账分录!$E$6:$E$5505,"&lt;="&amp;$B$4))</f>
        <v>430000</v>
      </c>
      <c r="N168" s="40" t="n">
        <f aca="false">IF($C168="","",SUMIFS(记账分录!$J$6:$J$5505,记账分录!$F$6:$F$5505,$A168,记账分录!$H$6:$H$5505,$C168,记账分录!$E$6:$E$5505,"&lt;="&amp;$B$4))</f>
        <v>217340</v>
      </c>
      <c r="O168" s="42" t="n">
        <f aca="false">IF($C168="","",IF($E168="借",$M168-$N168,$N168-$M168))</f>
        <v>212660</v>
      </c>
      <c r="P168" s="64" t="str">
        <f aca="false">IF($C168="","",IF(OR(ROUND($G168,2)&lt;&gt;0,ROUND($M168,2)&lt;&gt;0,ROUND($N168,2)&lt;&gt;0),"有",""))</f>
        <v>有</v>
      </c>
    </row>
    <row r="169" customFormat="false" ht="15" hidden="false" customHeight="false" outlineLevel="0" collapsed="false">
      <c r="A169" s="25" t="str">
        <f aca="false">IF(会计科目表!$B8="","",参数设置!$A$12)</f>
        <v>科技</v>
      </c>
      <c r="B169" s="25" t="str">
        <f aca="false">IF(会计科目表!$B8="","",会计科目表!$A8)</f>
        <v>1012</v>
      </c>
      <c r="C169" s="10" t="str">
        <f aca="false">IF(会计科目表!$B8="","",会计科目表!$B8)</f>
        <v>其他货币资金</v>
      </c>
      <c r="D169" s="25" t="str">
        <f aca="false">IF($C169="","",会计科目表!$C8)</f>
        <v>资产</v>
      </c>
      <c r="E169" s="25" t="str">
        <f aca="false">IF($C169="","",会计科目表!$D8)</f>
        <v>借</v>
      </c>
      <c r="F169" s="10" t="str">
        <f aca="false">IF($C169="","",会计科目表!$F8)</f>
        <v>货币资金</v>
      </c>
      <c r="G169" s="40" t="n">
        <f aca="false">IF($C169="","",IF($E169="借",SUMIFS(期初余额!$C$6:$C$185,期初余额!$A$6:$A$185,$A169,期初余额!$B$6:$B$185,$C169)-SUMIFS(期初余额!$D$6:$D$185,期初余额!$A$6:$A$185,$A169,期初余额!$B$6:$B$185,$C169),SUMIFS(期初余额!$D$6:$D$185,期初余额!$A$6:$A$185,$A169,期初余额!$B$6:$B$185,$C169)-SUMIFS(期初余额!$C$6:$C$185,期初余额!$A$6:$A$185,$A169,期初余额!$B$6:$B$185,$C169)))</f>
        <v>0</v>
      </c>
      <c r="H169" s="40" t="n">
        <f aca="false">IF($C169="","",$G169+IF($E169="借",SUMIFS(记账分录!$I$6:$I$5505,记账分录!$F$6:$F$5505,$A169,记账分录!$H$6:$H$5505,$C169,记账分录!$E$6:$E$5505,"&lt;"&amp;$A$4)-SUMIFS(记账分录!$J$6:$J$5505,记账分录!$F$6:$F$5505,$A169,记账分录!$H$6:$H$5505,$C169,记账分录!$E$6:$E$5505,"&lt;"&amp;$A$4),SUMIFS(记账分录!$J$6:$J$5505,记账分录!$F$6:$F$5505,$A169,记账分录!$H$6:$H$5505,$C169,记账分录!$E$6:$E$5505,"&lt;"&amp;$A$4)-SUMIFS(记账分录!$I$6:$I$5505,记账分录!$F$6:$F$5505,$A169,记账分录!$H$6:$H$5505,$C169,记账分录!$E$6:$E$5505,"&lt;"&amp;$A$4)))</f>
        <v>0</v>
      </c>
      <c r="I169" s="40" t="n">
        <f aca="false">IF($C169="","",SUMIFS(记账分录!$I$6:$I$5505,记账分录!$F$6:$F$5505,$A169,记账分录!$H$6:$H$5505,$C169,记账分录!$E$6:$E$5505,"&gt;="&amp;$A$4,记账分录!$E$6:$E$5505,"&lt;="&amp;$B$4))</f>
        <v>0</v>
      </c>
      <c r="J169" s="40" t="n">
        <f aca="false">IF($C169="","",SUMIFS(记账分录!$J$6:$J$5505,记账分录!$F$6:$F$5505,$A169,记账分录!$H$6:$H$5505,$C169,记账分录!$E$6:$E$5505,"&gt;="&amp;$A$4,记账分录!$E$6:$E$5505,"&lt;="&amp;$B$4))</f>
        <v>0</v>
      </c>
      <c r="K169" s="42" t="n">
        <f aca="false">IF($C169="","",IF($E169="借",$I169-$J169,$J169-$I169))</f>
        <v>0</v>
      </c>
      <c r="L169" s="42" t="n">
        <f aca="false">IF($C169="","",ROUND($H169+$K169,2))</f>
        <v>0</v>
      </c>
      <c r="M169" s="40" t="n">
        <f aca="false">IF($C169="","",SUMIFS(记账分录!$I$6:$I$5505,记账分录!$F$6:$F$5505,$A169,记账分录!$H$6:$H$5505,$C169,记账分录!$E$6:$E$5505,"&lt;="&amp;$B$4))</f>
        <v>0</v>
      </c>
      <c r="N169" s="40" t="n">
        <f aca="false">IF($C169="","",SUMIFS(记账分录!$J$6:$J$5505,记账分录!$F$6:$F$5505,$A169,记账分录!$H$6:$H$5505,$C169,记账分录!$E$6:$E$5505,"&lt;="&amp;$B$4))</f>
        <v>0</v>
      </c>
      <c r="O169" s="42" t="n">
        <f aca="false">IF($C169="","",IF($E169="借",$M169-$N169,$N169-$M169))</f>
        <v>0</v>
      </c>
      <c r="P169" s="64" t="str">
        <f aca="false">IF($C169="","",IF(OR(ROUND($G169,2)&lt;&gt;0,ROUND($M169,2)&lt;&gt;0,ROUND($N169,2)&lt;&gt;0),"有",""))</f>
        <v/>
      </c>
    </row>
    <row r="170" customFormat="false" ht="15" hidden="false" customHeight="false" outlineLevel="0" collapsed="false">
      <c r="A170" s="25" t="str">
        <f aca="false">IF(会计科目表!$B9="","",参数设置!$A$12)</f>
        <v>科技</v>
      </c>
      <c r="B170" s="25" t="str">
        <f aca="false">IF(会计科目表!$B9="","",会计科目表!$A9)</f>
        <v>1122</v>
      </c>
      <c r="C170" s="10" t="str">
        <f aca="false">IF(会计科目表!$B9="","",会计科目表!$B9)</f>
        <v>应收账款</v>
      </c>
      <c r="D170" s="25" t="str">
        <f aca="false">IF($C170="","",会计科目表!$C9)</f>
        <v>资产</v>
      </c>
      <c r="E170" s="25" t="str">
        <f aca="false">IF($C170="","",会计科目表!$D9)</f>
        <v>借</v>
      </c>
      <c r="F170" s="10" t="str">
        <f aca="false">IF($C170="","",会计科目表!$F9)</f>
        <v>应收账款</v>
      </c>
      <c r="G170" s="40" t="n">
        <f aca="false">IF($C170="","",IF($E170="借",SUMIFS(期初余额!$C$6:$C$185,期初余额!$A$6:$A$185,$A170,期初余额!$B$6:$B$185,$C170)-SUMIFS(期初余额!$D$6:$D$185,期初余额!$A$6:$A$185,$A170,期初余额!$B$6:$B$185,$C170),SUMIFS(期初余额!$D$6:$D$185,期初余额!$A$6:$A$185,$A170,期初余额!$B$6:$B$185,$C170)-SUMIFS(期初余额!$C$6:$C$185,期初余额!$A$6:$A$185,$A170,期初余额!$B$6:$B$185,$C170)))</f>
        <v>88000</v>
      </c>
      <c r="H170" s="40" t="n">
        <f aca="false">IF($C170="","",$G170+IF($E170="借",SUMIFS(记账分录!$I$6:$I$5505,记账分录!$F$6:$F$5505,$A170,记账分录!$H$6:$H$5505,$C170,记账分录!$E$6:$E$5505,"&lt;"&amp;$A$4)-SUMIFS(记账分录!$J$6:$J$5505,记账分录!$F$6:$F$5505,$A170,记账分录!$H$6:$H$5505,$C170,记账分录!$E$6:$E$5505,"&lt;"&amp;$A$4),SUMIFS(记账分录!$J$6:$J$5505,记账分录!$F$6:$F$5505,$A170,记账分录!$H$6:$H$5505,$C170,记账分录!$E$6:$E$5505,"&lt;"&amp;$A$4)-SUMIFS(记账分录!$I$6:$I$5505,记账分录!$F$6:$F$5505,$A170,记账分录!$H$6:$H$5505,$C170,记账分录!$E$6:$E$5505,"&lt;"&amp;$A$4)))</f>
        <v>88000</v>
      </c>
      <c r="I170" s="40" t="n">
        <f aca="false">IF($C170="","",SUMIFS(记账分录!$I$6:$I$5505,记账分录!$F$6:$F$5505,$A170,记账分录!$H$6:$H$5505,$C170,记账分录!$E$6:$E$5505,"&gt;="&amp;$A$4,记账分录!$E$6:$E$5505,"&lt;="&amp;$B$4))</f>
        <v>444750</v>
      </c>
      <c r="J170" s="40" t="n">
        <f aca="false">IF($C170="","",SUMIFS(记账分录!$J$6:$J$5505,记账分录!$F$6:$F$5505,$A170,记账分录!$H$6:$H$5505,$C170,记账分录!$E$6:$E$5505,"&gt;="&amp;$A$4,记账分录!$E$6:$E$5505,"&lt;="&amp;$B$4))</f>
        <v>330000</v>
      </c>
      <c r="K170" s="42" t="n">
        <f aca="false">IF($C170="","",IF($E170="借",$I170-$J170,$J170-$I170))</f>
        <v>114750</v>
      </c>
      <c r="L170" s="42" t="n">
        <f aca="false">IF($C170="","",ROUND($H170+$K170,2))</f>
        <v>202750</v>
      </c>
      <c r="M170" s="40" t="n">
        <f aca="false">IF($C170="","",SUMIFS(记账分录!$I$6:$I$5505,记账分录!$F$6:$F$5505,$A170,记账分录!$H$6:$H$5505,$C170,记账分录!$E$6:$E$5505,"&lt;="&amp;$B$4))</f>
        <v>444750</v>
      </c>
      <c r="N170" s="40" t="n">
        <f aca="false">IF($C170="","",SUMIFS(记账分录!$J$6:$J$5505,记账分录!$F$6:$F$5505,$A170,记账分录!$H$6:$H$5505,$C170,记账分录!$E$6:$E$5505,"&lt;="&amp;$B$4))</f>
        <v>330000</v>
      </c>
      <c r="O170" s="42" t="n">
        <f aca="false">IF($C170="","",IF($E170="借",$M170-$N170,$N170-$M170))</f>
        <v>114750</v>
      </c>
      <c r="P170" s="64" t="str">
        <f aca="false">IF($C170="","",IF(OR(ROUND($G170,2)&lt;&gt;0,ROUND($M170,2)&lt;&gt;0,ROUND($N170,2)&lt;&gt;0),"有",""))</f>
        <v>有</v>
      </c>
    </row>
    <row r="171" customFormat="false" ht="15" hidden="false" customHeight="false" outlineLevel="0" collapsed="false">
      <c r="A171" s="25" t="str">
        <f aca="false">IF(会计科目表!$B10="","",参数设置!$A$12)</f>
        <v>科技</v>
      </c>
      <c r="B171" s="25" t="str">
        <f aca="false">IF(会计科目表!$B10="","",会计科目表!$A10)</f>
        <v>1123</v>
      </c>
      <c r="C171" s="10" t="str">
        <f aca="false">IF(会计科目表!$B10="","",会计科目表!$B10)</f>
        <v>预付账款</v>
      </c>
      <c r="D171" s="25" t="str">
        <f aca="false">IF($C171="","",会计科目表!$C10)</f>
        <v>资产</v>
      </c>
      <c r="E171" s="25" t="str">
        <f aca="false">IF($C171="","",会计科目表!$D10)</f>
        <v>借</v>
      </c>
      <c r="F171" s="10" t="str">
        <f aca="false">IF($C171="","",会计科目表!$F10)</f>
        <v>预付款项</v>
      </c>
      <c r="G171" s="40" t="n">
        <f aca="false">IF($C171="","",IF($E171="借",SUMIFS(期初余额!$C$6:$C$185,期初余额!$A$6:$A$185,$A171,期初余额!$B$6:$B$185,$C171)-SUMIFS(期初余额!$D$6:$D$185,期初余额!$A$6:$A$185,$A171,期初余额!$B$6:$B$185,$C171),SUMIFS(期初余额!$D$6:$D$185,期初余额!$A$6:$A$185,$A171,期初余额!$B$6:$B$185,$C171)-SUMIFS(期初余额!$C$6:$C$185,期初余额!$A$6:$A$185,$A171,期初余额!$B$6:$B$185,$C171)))</f>
        <v>0</v>
      </c>
      <c r="H171" s="40" t="n">
        <f aca="false">IF($C171="","",$G171+IF($E171="借",SUMIFS(记账分录!$I$6:$I$5505,记账分录!$F$6:$F$5505,$A171,记账分录!$H$6:$H$5505,$C171,记账分录!$E$6:$E$5505,"&lt;"&amp;$A$4)-SUMIFS(记账分录!$J$6:$J$5505,记账分录!$F$6:$F$5505,$A171,记账分录!$H$6:$H$5505,$C171,记账分录!$E$6:$E$5505,"&lt;"&amp;$A$4),SUMIFS(记账分录!$J$6:$J$5505,记账分录!$F$6:$F$5505,$A171,记账分录!$H$6:$H$5505,$C171,记账分录!$E$6:$E$5505,"&lt;"&amp;$A$4)-SUMIFS(记账分录!$I$6:$I$5505,记账分录!$F$6:$F$5505,$A171,记账分录!$H$6:$H$5505,$C171,记账分录!$E$6:$E$5505,"&lt;"&amp;$A$4)))</f>
        <v>0</v>
      </c>
      <c r="I171" s="40" t="n">
        <f aca="false">IF($C171="","",SUMIFS(记账分录!$I$6:$I$5505,记账分录!$F$6:$F$5505,$A171,记账分录!$H$6:$H$5505,$C171,记账分录!$E$6:$E$5505,"&gt;="&amp;$A$4,记账分录!$E$6:$E$5505,"&lt;="&amp;$B$4))</f>
        <v>0</v>
      </c>
      <c r="J171" s="40" t="n">
        <f aca="false">IF($C171="","",SUMIFS(记账分录!$J$6:$J$5505,记账分录!$F$6:$F$5505,$A171,记账分录!$H$6:$H$5505,$C171,记账分录!$E$6:$E$5505,"&gt;="&amp;$A$4,记账分录!$E$6:$E$5505,"&lt;="&amp;$B$4))</f>
        <v>0</v>
      </c>
      <c r="K171" s="42" t="n">
        <f aca="false">IF($C171="","",IF($E171="借",$I171-$J171,$J171-$I171))</f>
        <v>0</v>
      </c>
      <c r="L171" s="42" t="n">
        <f aca="false">IF($C171="","",ROUND($H171+$K171,2))</f>
        <v>0</v>
      </c>
      <c r="M171" s="40" t="n">
        <f aca="false">IF($C171="","",SUMIFS(记账分录!$I$6:$I$5505,记账分录!$F$6:$F$5505,$A171,记账分录!$H$6:$H$5505,$C171,记账分录!$E$6:$E$5505,"&lt;="&amp;$B$4))</f>
        <v>0</v>
      </c>
      <c r="N171" s="40" t="n">
        <f aca="false">IF($C171="","",SUMIFS(记账分录!$J$6:$J$5505,记账分录!$F$6:$F$5505,$A171,记账分录!$H$6:$H$5505,$C171,记账分录!$E$6:$E$5505,"&lt;="&amp;$B$4))</f>
        <v>0</v>
      </c>
      <c r="O171" s="42" t="n">
        <f aca="false">IF($C171="","",IF($E171="借",$M171-$N171,$N171-$M171))</f>
        <v>0</v>
      </c>
      <c r="P171" s="64" t="str">
        <f aca="false">IF($C171="","",IF(OR(ROUND($G171,2)&lt;&gt;0,ROUND($M171,2)&lt;&gt;0,ROUND($N171,2)&lt;&gt;0),"有",""))</f>
        <v/>
      </c>
    </row>
    <row r="172" customFormat="false" ht="15" hidden="false" customHeight="false" outlineLevel="0" collapsed="false">
      <c r="A172" s="25" t="str">
        <f aca="false">IF(会计科目表!$B11="","",参数设置!$A$12)</f>
        <v>科技</v>
      </c>
      <c r="B172" s="25" t="str">
        <f aca="false">IF(会计科目表!$B11="","",会计科目表!$A11)</f>
        <v>1221</v>
      </c>
      <c r="C172" s="10" t="str">
        <f aca="false">IF(会计科目表!$B11="","",会计科目表!$B11)</f>
        <v>其他应收款</v>
      </c>
      <c r="D172" s="25" t="str">
        <f aca="false">IF($C172="","",会计科目表!$C11)</f>
        <v>资产</v>
      </c>
      <c r="E172" s="25" t="str">
        <f aca="false">IF($C172="","",会计科目表!$D11)</f>
        <v>借</v>
      </c>
      <c r="F172" s="10" t="str">
        <f aca="false">IF($C172="","",会计科目表!$F11)</f>
        <v>其他应收款</v>
      </c>
      <c r="G172" s="40" t="n">
        <f aca="false">IF($C172="","",IF($E172="借",SUMIFS(期初余额!$C$6:$C$185,期初余额!$A$6:$A$185,$A172,期初余额!$B$6:$B$185,$C172)-SUMIFS(期初余额!$D$6:$D$185,期初余额!$A$6:$A$185,$A172,期初余额!$B$6:$B$185,$C172),SUMIFS(期初余额!$D$6:$D$185,期初余额!$A$6:$A$185,$A172,期初余额!$B$6:$B$185,$C172)-SUMIFS(期初余额!$C$6:$C$185,期初余额!$A$6:$A$185,$A172,期初余额!$B$6:$B$185,$C172)))</f>
        <v>0</v>
      </c>
      <c r="H172" s="40" t="n">
        <f aca="false">IF($C172="","",$G172+IF($E172="借",SUMIFS(记账分录!$I$6:$I$5505,记账分录!$F$6:$F$5505,$A172,记账分录!$H$6:$H$5505,$C172,记账分录!$E$6:$E$5505,"&lt;"&amp;$A$4)-SUMIFS(记账分录!$J$6:$J$5505,记账分录!$F$6:$F$5505,$A172,记账分录!$H$6:$H$5505,$C172,记账分录!$E$6:$E$5505,"&lt;"&amp;$A$4),SUMIFS(记账分录!$J$6:$J$5505,记账分录!$F$6:$F$5505,$A172,记账分录!$H$6:$H$5505,$C172,记账分录!$E$6:$E$5505,"&lt;"&amp;$A$4)-SUMIFS(记账分录!$I$6:$I$5505,记账分录!$F$6:$F$5505,$A172,记账分录!$H$6:$H$5505,$C172,记账分录!$E$6:$E$5505,"&lt;"&amp;$A$4)))</f>
        <v>0</v>
      </c>
      <c r="I172" s="40" t="n">
        <f aca="false">IF($C172="","",SUMIFS(记账分录!$I$6:$I$5505,记账分录!$F$6:$F$5505,$A172,记账分录!$H$6:$H$5505,$C172,记账分录!$E$6:$E$5505,"&gt;="&amp;$A$4,记账分录!$E$6:$E$5505,"&lt;="&amp;$B$4))</f>
        <v>0</v>
      </c>
      <c r="J172" s="40" t="n">
        <f aca="false">IF($C172="","",SUMIFS(记账分录!$J$6:$J$5505,记账分录!$F$6:$F$5505,$A172,记账分录!$H$6:$H$5505,$C172,记账分录!$E$6:$E$5505,"&gt;="&amp;$A$4,记账分录!$E$6:$E$5505,"&lt;="&amp;$B$4))</f>
        <v>0</v>
      </c>
      <c r="K172" s="42" t="n">
        <f aca="false">IF($C172="","",IF($E172="借",$I172-$J172,$J172-$I172))</f>
        <v>0</v>
      </c>
      <c r="L172" s="42" t="n">
        <f aca="false">IF($C172="","",ROUND($H172+$K172,2))</f>
        <v>0</v>
      </c>
      <c r="M172" s="40" t="n">
        <f aca="false">IF($C172="","",SUMIFS(记账分录!$I$6:$I$5505,记账分录!$F$6:$F$5505,$A172,记账分录!$H$6:$H$5505,$C172,记账分录!$E$6:$E$5505,"&lt;="&amp;$B$4))</f>
        <v>0</v>
      </c>
      <c r="N172" s="40" t="n">
        <f aca="false">IF($C172="","",SUMIFS(记账分录!$J$6:$J$5505,记账分录!$F$6:$F$5505,$A172,记账分录!$H$6:$H$5505,$C172,记账分录!$E$6:$E$5505,"&lt;="&amp;$B$4))</f>
        <v>0</v>
      </c>
      <c r="O172" s="42" t="n">
        <f aca="false">IF($C172="","",IF($E172="借",$M172-$N172,$N172-$M172))</f>
        <v>0</v>
      </c>
      <c r="P172" s="64" t="str">
        <f aca="false">IF($C172="","",IF(OR(ROUND($G172,2)&lt;&gt;0,ROUND($M172,2)&lt;&gt;0,ROUND($N172,2)&lt;&gt;0),"有",""))</f>
        <v/>
      </c>
    </row>
    <row r="173" customFormat="false" ht="15" hidden="false" customHeight="false" outlineLevel="0" collapsed="false">
      <c r="A173" s="25" t="str">
        <f aca="false">IF(会计科目表!$B12="","",参数设置!$A$12)</f>
        <v>科技</v>
      </c>
      <c r="B173" s="25" t="str">
        <f aca="false">IF(会计科目表!$B12="","",会计科目表!$A12)</f>
        <v>1403</v>
      </c>
      <c r="C173" s="10" t="str">
        <f aca="false">IF(会计科目表!$B12="","",会计科目表!$B12)</f>
        <v>原材料</v>
      </c>
      <c r="D173" s="25" t="str">
        <f aca="false">IF($C173="","",会计科目表!$C12)</f>
        <v>资产</v>
      </c>
      <c r="E173" s="25" t="str">
        <f aca="false">IF($C173="","",会计科目表!$D12)</f>
        <v>借</v>
      </c>
      <c r="F173" s="10" t="str">
        <f aca="false">IF($C173="","",会计科目表!$F12)</f>
        <v>存货</v>
      </c>
      <c r="G173" s="40" t="n">
        <f aca="false">IF($C173="","",IF($E173="借",SUMIFS(期初余额!$C$6:$C$185,期初余额!$A$6:$A$185,$A173,期初余额!$B$6:$B$185,$C173)-SUMIFS(期初余额!$D$6:$D$185,期初余额!$A$6:$A$185,$A173,期初余额!$B$6:$B$185,$C173),SUMIFS(期初余额!$D$6:$D$185,期初余额!$A$6:$A$185,$A173,期初余额!$B$6:$B$185,$C173)-SUMIFS(期初余额!$C$6:$C$185,期初余额!$A$6:$A$185,$A173,期初余额!$B$6:$B$185,$C173)))</f>
        <v>28340</v>
      </c>
      <c r="H173" s="40" t="n">
        <f aca="false">IF($C173="","",$G173+IF($E173="借",SUMIFS(记账分录!$I$6:$I$5505,记账分录!$F$6:$F$5505,$A173,记账分录!$H$6:$H$5505,$C173,记账分录!$E$6:$E$5505,"&lt;"&amp;$A$4)-SUMIFS(记账分录!$J$6:$J$5505,记账分录!$F$6:$F$5505,$A173,记账分录!$H$6:$H$5505,$C173,记账分录!$E$6:$E$5505,"&lt;"&amp;$A$4),SUMIFS(记账分录!$J$6:$J$5505,记账分录!$F$6:$F$5505,$A173,记账分录!$H$6:$H$5505,$C173,记账分录!$E$6:$E$5505,"&lt;"&amp;$A$4)-SUMIFS(记账分录!$I$6:$I$5505,记账分录!$F$6:$F$5505,$A173,记账分录!$H$6:$H$5505,$C173,记账分录!$E$6:$E$5505,"&lt;"&amp;$A$4)))</f>
        <v>28340</v>
      </c>
      <c r="I173" s="40" t="n">
        <f aca="false">IF($C173="","",SUMIFS(记账分录!$I$6:$I$5505,记账分录!$F$6:$F$5505,$A173,记账分录!$H$6:$H$5505,$C173,记账分录!$E$6:$E$5505,"&gt;="&amp;$A$4,记账分录!$E$6:$E$5505,"&lt;="&amp;$B$4))</f>
        <v>79280</v>
      </c>
      <c r="J173" s="40" t="n">
        <f aca="false">IF($C173="","",SUMIFS(记账分录!$J$6:$J$5505,记账分录!$F$6:$F$5505,$A173,记账分录!$H$6:$H$5505,$C173,记账分录!$E$6:$E$5505,"&gt;="&amp;$A$4,记账分录!$E$6:$E$5505,"&lt;="&amp;$B$4))</f>
        <v>81489.87</v>
      </c>
      <c r="K173" s="42" t="n">
        <f aca="false">IF($C173="","",IF($E173="借",$I173-$J173,$J173-$I173))</f>
        <v>-2209.87</v>
      </c>
      <c r="L173" s="42" t="n">
        <f aca="false">IF($C173="","",ROUND($H173+$K173,2))</f>
        <v>26130.13</v>
      </c>
      <c r="M173" s="40" t="n">
        <f aca="false">IF($C173="","",SUMIFS(记账分录!$I$6:$I$5505,记账分录!$F$6:$F$5505,$A173,记账分录!$H$6:$H$5505,$C173,记账分录!$E$6:$E$5505,"&lt;="&amp;$B$4))</f>
        <v>79280</v>
      </c>
      <c r="N173" s="40" t="n">
        <f aca="false">IF($C173="","",SUMIFS(记账分录!$J$6:$J$5505,记账分录!$F$6:$F$5505,$A173,记账分录!$H$6:$H$5505,$C173,记账分录!$E$6:$E$5505,"&lt;="&amp;$B$4))</f>
        <v>81489.87</v>
      </c>
      <c r="O173" s="42" t="n">
        <f aca="false">IF($C173="","",IF($E173="借",$M173-$N173,$N173-$M173))</f>
        <v>-2209.87</v>
      </c>
      <c r="P173" s="64" t="str">
        <f aca="false">IF($C173="","",IF(OR(ROUND($G173,2)&lt;&gt;0,ROUND($M173,2)&lt;&gt;0,ROUND($N173,2)&lt;&gt;0),"有",""))</f>
        <v>有</v>
      </c>
    </row>
    <row r="174" customFormat="false" ht="15" hidden="false" customHeight="false" outlineLevel="0" collapsed="false">
      <c r="A174" s="25" t="str">
        <f aca="false">IF(会计科目表!$B13="","",参数设置!$A$12)</f>
        <v>科技</v>
      </c>
      <c r="B174" s="25" t="str">
        <f aca="false">IF(会计科目表!$B13="","",会计科目表!$A13)</f>
        <v>1405</v>
      </c>
      <c r="C174" s="10" t="str">
        <f aca="false">IF(会计科目表!$B13="","",会计科目表!$B13)</f>
        <v>库存商品</v>
      </c>
      <c r="D174" s="25" t="str">
        <f aca="false">IF($C174="","",会计科目表!$C13)</f>
        <v>资产</v>
      </c>
      <c r="E174" s="25" t="str">
        <f aca="false">IF($C174="","",会计科目表!$D13)</f>
        <v>借</v>
      </c>
      <c r="F174" s="10" t="str">
        <f aca="false">IF($C174="","",会计科目表!$F13)</f>
        <v>存货</v>
      </c>
      <c r="G174" s="40" t="n">
        <f aca="false">IF($C174="","",IF($E174="借",SUMIFS(期初余额!$C$6:$C$185,期初余额!$A$6:$A$185,$A174,期初余额!$B$6:$B$185,$C174)-SUMIFS(期初余额!$D$6:$D$185,期初余额!$A$6:$A$185,$A174,期初余额!$B$6:$B$185,$C174),SUMIFS(期初余额!$D$6:$D$185,期初余额!$A$6:$A$185,$A174,期初余额!$B$6:$B$185,$C174)-SUMIFS(期初余额!$C$6:$C$185,期初余额!$A$6:$A$185,$A174,期初余额!$B$6:$B$185,$C174)))</f>
        <v>79800</v>
      </c>
      <c r="H174" s="40" t="n">
        <f aca="false">IF($C174="","",$G174+IF($E174="借",SUMIFS(记账分录!$I$6:$I$5505,记账分录!$F$6:$F$5505,$A174,记账分录!$H$6:$H$5505,$C174,记账分录!$E$6:$E$5505,"&lt;"&amp;$A$4)-SUMIFS(记账分录!$J$6:$J$5505,记账分录!$F$6:$F$5505,$A174,记账分录!$H$6:$H$5505,$C174,记账分录!$E$6:$E$5505,"&lt;"&amp;$A$4),SUMIFS(记账分录!$J$6:$J$5505,记账分录!$F$6:$F$5505,$A174,记账分录!$H$6:$H$5505,$C174,记账分录!$E$6:$E$5505,"&lt;"&amp;$A$4)-SUMIFS(记账分录!$I$6:$I$5505,记账分录!$F$6:$F$5505,$A174,记账分录!$H$6:$H$5505,$C174,记账分录!$E$6:$E$5505,"&lt;"&amp;$A$4)))</f>
        <v>79800</v>
      </c>
      <c r="I174" s="40" t="n">
        <f aca="false">IF($C174="","",SUMIFS(记账分录!$I$6:$I$5505,记账分录!$F$6:$F$5505,$A174,记账分录!$H$6:$H$5505,$C174,记账分录!$E$6:$E$5505,"&gt;="&amp;$A$4,记账分录!$E$6:$E$5505,"&lt;="&amp;$B$4))</f>
        <v>229675.7</v>
      </c>
      <c r="J174" s="40" t="n">
        <f aca="false">IF($C174="","",SUMIFS(记账分录!$J$6:$J$5505,记账分录!$F$6:$F$5505,$A174,记账分录!$H$6:$H$5505,$C174,记账分录!$E$6:$E$5505,"&gt;="&amp;$A$4,记账分录!$E$6:$E$5505,"&lt;="&amp;$B$4))</f>
        <v>211582.26</v>
      </c>
      <c r="K174" s="42" t="n">
        <f aca="false">IF($C174="","",IF($E174="借",$I174-$J174,$J174-$I174))</f>
        <v>18093.44</v>
      </c>
      <c r="L174" s="42" t="n">
        <f aca="false">IF($C174="","",ROUND($H174+$K174,2))</f>
        <v>97893.44</v>
      </c>
      <c r="M174" s="40" t="n">
        <f aca="false">IF($C174="","",SUMIFS(记账分录!$I$6:$I$5505,记账分录!$F$6:$F$5505,$A174,记账分录!$H$6:$H$5505,$C174,记账分录!$E$6:$E$5505,"&lt;="&amp;$B$4))</f>
        <v>229675.7</v>
      </c>
      <c r="N174" s="40" t="n">
        <f aca="false">IF($C174="","",SUMIFS(记账分录!$J$6:$J$5505,记账分录!$F$6:$F$5505,$A174,记账分录!$H$6:$H$5505,$C174,记账分录!$E$6:$E$5505,"&lt;="&amp;$B$4))</f>
        <v>211582.26</v>
      </c>
      <c r="O174" s="42" t="n">
        <f aca="false">IF($C174="","",IF($E174="借",$M174-$N174,$N174-$M174))</f>
        <v>18093.44</v>
      </c>
      <c r="P174" s="64" t="str">
        <f aca="false">IF($C174="","",IF(OR(ROUND($G174,2)&lt;&gt;0,ROUND($M174,2)&lt;&gt;0,ROUND($N174,2)&lt;&gt;0),"有",""))</f>
        <v>有</v>
      </c>
    </row>
    <row r="175" customFormat="false" ht="15" hidden="false" customHeight="false" outlineLevel="0" collapsed="false">
      <c r="A175" s="25" t="str">
        <f aca="false">IF(会计科目表!$B14="","",参数设置!$A$12)</f>
        <v>科技</v>
      </c>
      <c r="B175" s="25" t="str">
        <f aca="false">IF(会计科目表!$B14="","",会计科目表!$A14)</f>
        <v>1411</v>
      </c>
      <c r="C175" s="10" t="str">
        <f aca="false">IF(会计科目表!$B14="","",会计科目表!$B14)</f>
        <v>周转材料</v>
      </c>
      <c r="D175" s="25" t="str">
        <f aca="false">IF($C175="","",会计科目表!$C14)</f>
        <v>资产</v>
      </c>
      <c r="E175" s="25" t="str">
        <f aca="false">IF($C175="","",会计科目表!$D14)</f>
        <v>借</v>
      </c>
      <c r="F175" s="10" t="str">
        <f aca="false">IF($C175="","",会计科目表!$F14)</f>
        <v>存货</v>
      </c>
      <c r="G175" s="40" t="n">
        <f aca="false">IF($C175="","",IF($E175="借",SUMIFS(期初余额!$C$6:$C$185,期初余额!$A$6:$A$185,$A175,期初余额!$B$6:$B$185,$C175)-SUMIFS(期初余额!$D$6:$D$185,期初余额!$A$6:$A$185,$A175,期初余额!$B$6:$B$185,$C175),SUMIFS(期初余额!$D$6:$D$185,期初余额!$A$6:$A$185,$A175,期初余额!$B$6:$B$185,$C175)-SUMIFS(期初余额!$C$6:$C$185,期初余额!$A$6:$A$185,$A175,期初余额!$B$6:$B$185,$C175)))</f>
        <v>0</v>
      </c>
      <c r="H175" s="40" t="n">
        <f aca="false">IF($C175="","",$G175+IF($E175="借",SUMIFS(记账分录!$I$6:$I$5505,记账分录!$F$6:$F$5505,$A175,记账分录!$H$6:$H$5505,$C175,记账分录!$E$6:$E$5505,"&lt;"&amp;$A$4)-SUMIFS(记账分录!$J$6:$J$5505,记账分录!$F$6:$F$5505,$A175,记账分录!$H$6:$H$5505,$C175,记账分录!$E$6:$E$5505,"&lt;"&amp;$A$4),SUMIFS(记账分录!$J$6:$J$5505,记账分录!$F$6:$F$5505,$A175,记账分录!$H$6:$H$5505,$C175,记账分录!$E$6:$E$5505,"&lt;"&amp;$A$4)-SUMIFS(记账分录!$I$6:$I$5505,记账分录!$F$6:$F$5505,$A175,记账分录!$H$6:$H$5505,$C175,记账分录!$E$6:$E$5505,"&lt;"&amp;$A$4)))</f>
        <v>0</v>
      </c>
      <c r="I175" s="40" t="n">
        <f aca="false">IF($C175="","",SUMIFS(记账分录!$I$6:$I$5505,记账分录!$F$6:$F$5505,$A175,记账分录!$H$6:$H$5505,$C175,记账分录!$E$6:$E$5505,"&gt;="&amp;$A$4,记账分录!$E$6:$E$5505,"&lt;="&amp;$B$4))</f>
        <v>0</v>
      </c>
      <c r="J175" s="40" t="n">
        <f aca="false">IF($C175="","",SUMIFS(记账分录!$J$6:$J$5505,记账分录!$F$6:$F$5505,$A175,记账分录!$H$6:$H$5505,$C175,记账分录!$E$6:$E$5505,"&gt;="&amp;$A$4,记账分录!$E$6:$E$5505,"&lt;="&amp;$B$4))</f>
        <v>0</v>
      </c>
      <c r="K175" s="42" t="n">
        <f aca="false">IF($C175="","",IF($E175="借",$I175-$J175,$J175-$I175))</f>
        <v>0</v>
      </c>
      <c r="L175" s="42" t="n">
        <f aca="false">IF($C175="","",ROUND($H175+$K175,2))</f>
        <v>0</v>
      </c>
      <c r="M175" s="40" t="n">
        <f aca="false">IF($C175="","",SUMIFS(记账分录!$I$6:$I$5505,记账分录!$F$6:$F$5505,$A175,记账分录!$H$6:$H$5505,$C175,记账分录!$E$6:$E$5505,"&lt;="&amp;$B$4))</f>
        <v>0</v>
      </c>
      <c r="N175" s="40" t="n">
        <f aca="false">IF($C175="","",SUMIFS(记账分录!$J$6:$J$5505,记账分录!$F$6:$F$5505,$A175,记账分录!$H$6:$H$5505,$C175,记账分录!$E$6:$E$5505,"&lt;="&amp;$B$4))</f>
        <v>0</v>
      </c>
      <c r="O175" s="42" t="n">
        <f aca="false">IF($C175="","",IF($E175="借",$M175-$N175,$N175-$M175))</f>
        <v>0</v>
      </c>
      <c r="P175" s="64" t="str">
        <f aca="false">IF($C175="","",IF(OR(ROUND($G175,2)&lt;&gt;0,ROUND($M175,2)&lt;&gt;0,ROUND($N175,2)&lt;&gt;0),"有",""))</f>
        <v/>
      </c>
    </row>
    <row r="176" customFormat="false" ht="15" hidden="false" customHeight="false" outlineLevel="0" collapsed="false">
      <c r="A176" s="25" t="str">
        <f aca="false">IF(会计科目表!$B15="","",参数设置!$A$12)</f>
        <v>科技</v>
      </c>
      <c r="B176" s="25" t="str">
        <f aca="false">IF(会计科目表!$B15="","",会计科目表!$A15)</f>
        <v>1501</v>
      </c>
      <c r="C176" s="10" t="str">
        <f aca="false">IF(会计科目表!$B15="","",会计科目表!$B15)</f>
        <v>生产成本</v>
      </c>
      <c r="D176" s="25" t="str">
        <f aca="false">IF($C176="","",会计科目表!$C15)</f>
        <v>成本</v>
      </c>
      <c r="E176" s="25" t="str">
        <f aca="false">IF($C176="","",会计科目表!$D15)</f>
        <v>借</v>
      </c>
      <c r="F176" s="10" t="str">
        <f aca="false">IF($C176="","",会计科目表!$F15)</f>
        <v>存货</v>
      </c>
      <c r="G176" s="40" t="n">
        <f aca="false">IF($C176="","",IF($E176="借",SUMIFS(期初余额!$C$6:$C$185,期初余额!$A$6:$A$185,$A176,期初余额!$B$6:$B$185,$C176)-SUMIFS(期初余额!$D$6:$D$185,期初余额!$A$6:$A$185,$A176,期初余额!$B$6:$B$185,$C176),SUMIFS(期初余额!$D$6:$D$185,期初余额!$A$6:$A$185,$A176,期初余额!$B$6:$B$185,$C176)-SUMIFS(期初余额!$C$6:$C$185,期初余额!$A$6:$A$185,$A176,期初余额!$B$6:$B$185,$C176)))</f>
        <v>0</v>
      </c>
      <c r="H176" s="40" t="n">
        <f aca="false">IF($C176="","",$G176+IF($E176="借",SUMIFS(记账分录!$I$6:$I$5505,记账分录!$F$6:$F$5505,$A176,记账分录!$H$6:$H$5505,$C176,记账分录!$E$6:$E$5505,"&lt;"&amp;$A$4)-SUMIFS(记账分录!$J$6:$J$5505,记账分录!$F$6:$F$5505,$A176,记账分录!$H$6:$H$5505,$C176,记账分录!$E$6:$E$5505,"&lt;"&amp;$A$4),SUMIFS(记账分录!$J$6:$J$5505,记账分录!$F$6:$F$5505,$A176,记账分录!$H$6:$H$5505,$C176,记账分录!$E$6:$E$5505,"&lt;"&amp;$A$4)-SUMIFS(记账分录!$I$6:$I$5505,记账分录!$F$6:$F$5505,$A176,记账分录!$H$6:$H$5505,$C176,记账分录!$E$6:$E$5505,"&lt;"&amp;$A$4)))</f>
        <v>0</v>
      </c>
      <c r="I176" s="40" t="n">
        <f aca="false">IF($C176="","",SUMIFS(记账分录!$I$6:$I$5505,记账分录!$F$6:$F$5505,$A176,记账分录!$H$6:$H$5505,$C176,记账分录!$E$6:$E$5505,"&gt;="&amp;$A$4,记账分录!$E$6:$E$5505,"&lt;="&amp;$B$4))</f>
        <v>229675.7</v>
      </c>
      <c r="J176" s="40" t="n">
        <f aca="false">IF($C176="","",SUMIFS(记账分录!$J$6:$J$5505,记账分录!$F$6:$F$5505,$A176,记账分录!$H$6:$H$5505,$C176,记账分录!$E$6:$E$5505,"&gt;="&amp;$A$4,记账分录!$E$6:$E$5505,"&lt;="&amp;$B$4))</f>
        <v>229675.7</v>
      </c>
      <c r="K176" s="42" t="n">
        <f aca="false">IF($C176="","",IF($E176="借",$I176-$J176,$J176-$I176))</f>
        <v>0</v>
      </c>
      <c r="L176" s="42" t="n">
        <f aca="false">IF($C176="","",ROUND($H176+$K176,2))</f>
        <v>0</v>
      </c>
      <c r="M176" s="40" t="n">
        <f aca="false">IF($C176="","",SUMIFS(记账分录!$I$6:$I$5505,记账分录!$F$6:$F$5505,$A176,记账分录!$H$6:$H$5505,$C176,记账分录!$E$6:$E$5505,"&lt;="&amp;$B$4))</f>
        <v>229675.7</v>
      </c>
      <c r="N176" s="40" t="n">
        <f aca="false">IF($C176="","",SUMIFS(记账分录!$J$6:$J$5505,记账分录!$F$6:$F$5505,$A176,记账分录!$H$6:$H$5505,$C176,记账分录!$E$6:$E$5505,"&lt;="&amp;$B$4))</f>
        <v>229675.7</v>
      </c>
      <c r="O176" s="42" t="n">
        <f aca="false">IF($C176="","",IF($E176="借",$M176-$N176,$N176-$M176))</f>
        <v>0</v>
      </c>
      <c r="P176" s="64" t="str">
        <f aca="false">IF($C176="","",IF(OR(ROUND($G176,2)&lt;&gt;0,ROUND($M176,2)&lt;&gt;0,ROUND($N176,2)&lt;&gt;0),"有",""))</f>
        <v>有</v>
      </c>
    </row>
    <row r="177" customFormat="false" ht="15" hidden="false" customHeight="false" outlineLevel="0" collapsed="false">
      <c r="A177" s="25" t="str">
        <f aca="false">IF(会计科目表!$B16="","",参数设置!$A$12)</f>
        <v>科技</v>
      </c>
      <c r="B177" s="25" t="str">
        <f aca="false">IF(会计科目表!$B16="","",会计科目表!$A16)</f>
        <v>1601</v>
      </c>
      <c r="C177" s="10" t="str">
        <f aca="false">IF(会计科目表!$B16="","",会计科目表!$B16)</f>
        <v>固定资产</v>
      </c>
      <c r="D177" s="25" t="str">
        <f aca="false">IF($C177="","",会计科目表!$C16)</f>
        <v>资产</v>
      </c>
      <c r="E177" s="25" t="str">
        <f aca="false">IF($C177="","",会计科目表!$D16)</f>
        <v>借</v>
      </c>
      <c r="F177" s="10" t="str">
        <f aca="false">IF($C177="","",会计科目表!$F16)</f>
        <v>固定资产原价</v>
      </c>
      <c r="G177" s="40" t="n">
        <f aca="false">IF($C177="","",IF($E177="借",SUMIFS(期初余额!$C$6:$C$185,期初余额!$A$6:$A$185,$A177,期初余额!$B$6:$B$185,$C177)-SUMIFS(期初余额!$D$6:$D$185,期初余额!$A$6:$A$185,$A177,期初余额!$B$6:$B$185,$C177),SUMIFS(期初余额!$D$6:$D$185,期初余额!$A$6:$A$185,$A177,期初余额!$B$6:$B$185,$C177)-SUMIFS(期初余额!$C$6:$C$185,期初余额!$A$6:$A$185,$A177,期初余额!$B$6:$B$185,$C177)))</f>
        <v>520000</v>
      </c>
      <c r="H177" s="40" t="n">
        <f aca="false">IF($C177="","",$G177+IF($E177="借",SUMIFS(记账分录!$I$6:$I$5505,记账分录!$F$6:$F$5505,$A177,记账分录!$H$6:$H$5505,$C177,记账分录!$E$6:$E$5505,"&lt;"&amp;$A$4)-SUMIFS(记账分录!$J$6:$J$5505,记账分录!$F$6:$F$5505,$A177,记账分录!$H$6:$H$5505,$C177,记账分录!$E$6:$E$5505,"&lt;"&amp;$A$4),SUMIFS(记账分录!$J$6:$J$5505,记账分录!$F$6:$F$5505,$A177,记账分录!$H$6:$H$5505,$C177,记账分录!$E$6:$E$5505,"&lt;"&amp;$A$4)-SUMIFS(记账分录!$I$6:$I$5505,记账分录!$F$6:$F$5505,$A177,记账分录!$H$6:$H$5505,$C177,记账分录!$E$6:$E$5505,"&lt;"&amp;$A$4)))</f>
        <v>520000</v>
      </c>
      <c r="I177" s="40" t="n">
        <f aca="false">IF($C177="","",SUMIFS(记账分录!$I$6:$I$5505,记账分录!$F$6:$F$5505,$A177,记账分录!$H$6:$H$5505,$C177,记账分录!$E$6:$E$5505,"&gt;="&amp;$A$4,记账分录!$E$6:$E$5505,"&lt;="&amp;$B$4))</f>
        <v>0</v>
      </c>
      <c r="J177" s="40" t="n">
        <f aca="false">IF($C177="","",SUMIFS(记账分录!$J$6:$J$5505,记账分录!$F$6:$F$5505,$A177,记账分录!$H$6:$H$5505,$C177,记账分录!$E$6:$E$5505,"&gt;="&amp;$A$4,记账分录!$E$6:$E$5505,"&lt;="&amp;$B$4))</f>
        <v>0</v>
      </c>
      <c r="K177" s="42" t="n">
        <f aca="false">IF($C177="","",IF($E177="借",$I177-$J177,$J177-$I177))</f>
        <v>0</v>
      </c>
      <c r="L177" s="42" t="n">
        <f aca="false">IF($C177="","",ROUND($H177+$K177,2))</f>
        <v>520000</v>
      </c>
      <c r="M177" s="40" t="n">
        <f aca="false">IF($C177="","",SUMIFS(记账分录!$I$6:$I$5505,记账分录!$F$6:$F$5505,$A177,记账分录!$H$6:$H$5505,$C177,记账分录!$E$6:$E$5505,"&lt;="&amp;$B$4))</f>
        <v>0</v>
      </c>
      <c r="N177" s="40" t="n">
        <f aca="false">IF($C177="","",SUMIFS(记账分录!$J$6:$J$5505,记账分录!$F$6:$F$5505,$A177,记账分录!$H$6:$H$5505,$C177,记账分录!$E$6:$E$5505,"&lt;="&amp;$B$4))</f>
        <v>0</v>
      </c>
      <c r="O177" s="42" t="n">
        <f aca="false">IF($C177="","",IF($E177="借",$M177-$N177,$N177-$M177))</f>
        <v>0</v>
      </c>
      <c r="P177" s="64" t="str">
        <f aca="false">IF($C177="","",IF(OR(ROUND($G177,2)&lt;&gt;0,ROUND($M177,2)&lt;&gt;0,ROUND($N177,2)&lt;&gt;0),"有",""))</f>
        <v>有</v>
      </c>
    </row>
    <row r="178" customFormat="false" ht="15" hidden="false" customHeight="false" outlineLevel="0" collapsed="false">
      <c r="A178" s="25" t="str">
        <f aca="false">IF(会计科目表!$B17="","",参数设置!$A$12)</f>
        <v>科技</v>
      </c>
      <c r="B178" s="25" t="str">
        <f aca="false">IF(会计科目表!$B17="","",会计科目表!$A17)</f>
        <v>1602</v>
      </c>
      <c r="C178" s="10" t="str">
        <f aca="false">IF(会计科目表!$B17="","",会计科目表!$B17)</f>
        <v>累计折旧</v>
      </c>
      <c r="D178" s="25" t="str">
        <f aca="false">IF($C178="","",会计科目表!$C17)</f>
        <v>资产</v>
      </c>
      <c r="E178" s="25" t="str">
        <f aca="false">IF($C178="","",会计科目表!$D17)</f>
        <v>贷</v>
      </c>
      <c r="F178" s="10" t="str">
        <f aca="false">IF($C178="","",会计科目表!$F17)</f>
        <v>累计折旧</v>
      </c>
      <c r="G178" s="40" t="n">
        <f aca="false">IF($C178="","",IF($E178="借",SUMIFS(期初余额!$C$6:$C$185,期初余额!$A$6:$A$185,$A178,期初余额!$B$6:$B$185,$C178)-SUMIFS(期初余额!$D$6:$D$185,期初余额!$A$6:$A$185,$A178,期初余额!$B$6:$B$185,$C178),SUMIFS(期初余额!$D$6:$D$185,期初余额!$A$6:$A$185,$A178,期初余额!$B$6:$B$185,$C178)-SUMIFS(期初余额!$C$6:$C$185,期初余额!$A$6:$A$185,$A178,期初余额!$B$6:$B$185,$C178)))</f>
        <v>104000</v>
      </c>
      <c r="H178" s="40" t="n">
        <f aca="false">IF($C178="","",$G178+IF($E178="借",SUMIFS(记账分录!$I$6:$I$5505,记账分录!$F$6:$F$5505,$A178,记账分录!$H$6:$H$5505,$C178,记账分录!$E$6:$E$5505,"&lt;"&amp;$A$4)-SUMIFS(记账分录!$J$6:$J$5505,记账分录!$F$6:$F$5505,$A178,记账分录!$H$6:$H$5505,$C178,记账分录!$E$6:$E$5505,"&lt;"&amp;$A$4),SUMIFS(记账分录!$J$6:$J$5505,记账分录!$F$6:$F$5505,$A178,记账分录!$H$6:$H$5505,$C178,记账分录!$E$6:$E$5505,"&lt;"&amp;$A$4)-SUMIFS(记账分录!$I$6:$I$5505,记账分录!$F$6:$F$5505,$A178,记账分录!$H$6:$H$5505,$C178,记账分录!$E$6:$E$5505,"&lt;"&amp;$A$4)))</f>
        <v>104000</v>
      </c>
      <c r="I178" s="40" t="n">
        <f aca="false">IF($C178="","",SUMIFS(记账分录!$I$6:$I$5505,记账分录!$F$6:$F$5505,$A178,记账分录!$H$6:$H$5505,$C178,记账分录!$E$6:$E$5505,"&gt;="&amp;$A$4,记账分录!$E$6:$E$5505,"&lt;="&amp;$B$4))</f>
        <v>0</v>
      </c>
      <c r="J178" s="40" t="n">
        <f aca="false">IF($C178="","",SUMIFS(记账分录!$J$6:$J$5505,记账分录!$F$6:$F$5505,$A178,记账分录!$H$6:$H$5505,$C178,记账分录!$E$6:$E$5505,"&gt;="&amp;$A$4,记账分录!$E$6:$E$5505,"&lt;="&amp;$B$4))</f>
        <v>52000</v>
      </c>
      <c r="K178" s="42" t="n">
        <f aca="false">IF($C178="","",IF($E178="借",$I178-$J178,$J178-$I178))</f>
        <v>52000</v>
      </c>
      <c r="L178" s="42" t="n">
        <f aca="false">IF($C178="","",ROUND($H178+$K178,2))</f>
        <v>156000</v>
      </c>
      <c r="M178" s="40" t="n">
        <f aca="false">IF($C178="","",SUMIFS(记账分录!$I$6:$I$5505,记账分录!$F$6:$F$5505,$A178,记账分录!$H$6:$H$5505,$C178,记账分录!$E$6:$E$5505,"&lt;="&amp;$B$4))</f>
        <v>0</v>
      </c>
      <c r="N178" s="40" t="n">
        <f aca="false">IF($C178="","",SUMIFS(记账分录!$J$6:$J$5505,记账分录!$F$6:$F$5505,$A178,记账分录!$H$6:$H$5505,$C178,记账分录!$E$6:$E$5505,"&lt;="&amp;$B$4))</f>
        <v>52000</v>
      </c>
      <c r="O178" s="42" t="n">
        <f aca="false">IF($C178="","",IF($E178="借",$M178-$N178,$N178-$M178))</f>
        <v>52000</v>
      </c>
      <c r="P178" s="64" t="str">
        <f aca="false">IF($C178="","",IF(OR(ROUND($G178,2)&lt;&gt;0,ROUND($M178,2)&lt;&gt;0,ROUND($N178,2)&lt;&gt;0),"有",""))</f>
        <v>有</v>
      </c>
    </row>
    <row r="179" customFormat="false" ht="15" hidden="false" customHeight="false" outlineLevel="0" collapsed="false">
      <c r="A179" s="25" t="str">
        <f aca="false">IF(会计科目表!$B18="","",参数设置!$A$12)</f>
        <v>科技</v>
      </c>
      <c r="B179" s="25" t="str">
        <f aca="false">IF(会计科目表!$B18="","",会计科目表!$A18)</f>
        <v>1621</v>
      </c>
      <c r="C179" s="10" t="str">
        <f aca="false">IF(会计科目表!$B18="","",会计科目表!$B18)</f>
        <v>生产性生物资产</v>
      </c>
      <c r="D179" s="25" t="str">
        <f aca="false">IF($C179="","",会计科目表!$C18)</f>
        <v>资产</v>
      </c>
      <c r="E179" s="25" t="str">
        <f aca="false">IF($C179="","",会计科目表!$D18)</f>
        <v>借</v>
      </c>
      <c r="F179" s="10" t="str">
        <f aca="false">IF($C179="","",会计科目表!$F18)</f>
        <v>生产性生物资产原价</v>
      </c>
      <c r="G179" s="40" t="n">
        <f aca="false">IF($C179="","",IF($E179="借",SUMIFS(期初余额!$C$6:$C$185,期初余额!$A$6:$A$185,$A179,期初余额!$B$6:$B$185,$C179)-SUMIFS(期初余额!$D$6:$D$185,期初余额!$A$6:$A$185,$A179,期初余额!$B$6:$B$185,$C179),SUMIFS(期初余额!$D$6:$D$185,期初余额!$A$6:$A$185,$A179,期初余额!$B$6:$B$185,$C179)-SUMIFS(期初余额!$C$6:$C$185,期初余额!$A$6:$A$185,$A179,期初余额!$B$6:$B$185,$C179)))</f>
        <v>0</v>
      </c>
      <c r="H179" s="40" t="n">
        <f aca="false">IF($C179="","",$G179+IF($E179="借",SUMIFS(记账分录!$I$6:$I$5505,记账分录!$F$6:$F$5505,$A179,记账分录!$H$6:$H$5505,$C179,记账分录!$E$6:$E$5505,"&lt;"&amp;$A$4)-SUMIFS(记账分录!$J$6:$J$5505,记账分录!$F$6:$F$5505,$A179,记账分录!$H$6:$H$5505,$C179,记账分录!$E$6:$E$5505,"&lt;"&amp;$A$4),SUMIFS(记账分录!$J$6:$J$5505,记账分录!$F$6:$F$5505,$A179,记账分录!$H$6:$H$5505,$C179,记账分录!$E$6:$E$5505,"&lt;"&amp;$A$4)-SUMIFS(记账分录!$I$6:$I$5505,记账分录!$F$6:$F$5505,$A179,记账分录!$H$6:$H$5505,$C179,记账分录!$E$6:$E$5505,"&lt;"&amp;$A$4)))</f>
        <v>0</v>
      </c>
      <c r="I179" s="40" t="n">
        <f aca="false">IF($C179="","",SUMIFS(记账分录!$I$6:$I$5505,记账分录!$F$6:$F$5505,$A179,记账分录!$H$6:$H$5505,$C179,记账分录!$E$6:$E$5505,"&gt;="&amp;$A$4,记账分录!$E$6:$E$5505,"&lt;="&amp;$B$4))</f>
        <v>0</v>
      </c>
      <c r="J179" s="40" t="n">
        <f aca="false">IF($C179="","",SUMIFS(记账分录!$J$6:$J$5505,记账分录!$F$6:$F$5505,$A179,记账分录!$H$6:$H$5505,$C179,记账分录!$E$6:$E$5505,"&gt;="&amp;$A$4,记账分录!$E$6:$E$5505,"&lt;="&amp;$B$4))</f>
        <v>0</v>
      </c>
      <c r="K179" s="42" t="n">
        <f aca="false">IF($C179="","",IF($E179="借",$I179-$J179,$J179-$I179))</f>
        <v>0</v>
      </c>
      <c r="L179" s="42" t="n">
        <f aca="false">IF($C179="","",ROUND($H179+$K179,2))</f>
        <v>0</v>
      </c>
      <c r="M179" s="40" t="n">
        <f aca="false">IF($C179="","",SUMIFS(记账分录!$I$6:$I$5505,记账分录!$F$6:$F$5505,$A179,记账分录!$H$6:$H$5505,$C179,记账分录!$E$6:$E$5505,"&lt;="&amp;$B$4))</f>
        <v>0</v>
      </c>
      <c r="N179" s="40" t="n">
        <f aca="false">IF($C179="","",SUMIFS(记账分录!$J$6:$J$5505,记账分录!$F$6:$F$5505,$A179,记账分录!$H$6:$H$5505,$C179,记账分录!$E$6:$E$5505,"&lt;="&amp;$B$4))</f>
        <v>0</v>
      </c>
      <c r="O179" s="42" t="n">
        <f aca="false">IF($C179="","",IF($E179="借",$M179-$N179,$N179-$M179))</f>
        <v>0</v>
      </c>
      <c r="P179" s="64" t="str">
        <f aca="false">IF($C179="","",IF(OR(ROUND($G179,2)&lt;&gt;0,ROUND($M179,2)&lt;&gt;0,ROUND($N179,2)&lt;&gt;0),"有",""))</f>
        <v/>
      </c>
    </row>
    <row r="180" customFormat="false" ht="15" hidden="false" customHeight="false" outlineLevel="0" collapsed="false">
      <c r="A180" s="25" t="str">
        <f aca="false">IF(会计科目表!$B19="","",参数设置!$A$12)</f>
        <v>科技</v>
      </c>
      <c r="B180" s="25" t="str">
        <f aca="false">IF(会计科目表!$B19="","",会计科目表!$A19)</f>
        <v>1622</v>
      </c>
      <c r="C180" s="10" t="str">
        <f aca="false">IF(会计科目表!$B19="","",会计科目表!$B19)</f>
        <v>生物资产累计折旧</v>
      </c>
      <c r="D180" s="25" t="str">
        <f aca="false">IF($C180="","",会计科目表!$C19)</f>
        <v>资产</v>
      </c>
      <c r="E180" s="25" t="str">
        <f aca="false">IF($C180="","",会计科目表!$D19)</f>
        <v>贷</v>
      </c>
      <c r="F180" s="10" t="str">
        <f aca="false">IF($C180="","",会计科目表!$F19)</f>
        <v>生物资产累计折旧</v>
      </c>
      <c r="G180" s="40" t="n">
        <f aca="false">IF($C180="","",IF($E180="借",SUMIFS(期初余额!$C$6:$C$185,期初余额!$A$6:$A$185,$A180,期初余额!$B$6:$B$185,$C180)-SUMIFS(期初余额!$D$6:$D$185,期初余额!$A$6:$A$185,$A180,期初余额!$B$6:$B$185,$C180),SUMIFS(期初余额!$D$6:$D$185,期初余额!$A$6:$A$185,$A180,期初余额!$B$6:$B$185,$C180)-SUMIFS(期初余额!$C$6:$C$185,期初余额!$A$6:$A$185,$A180,期初余额!$B$6:$B$185,$C180)))</f>
        <v>0</v>
      </c>
      <c r="H180" s="40" t="n">
        <f aca="false">IF($C180="","",$G180+IF($E180="借",SUMIFS(记账分录!$I$6:$I$5505,记账分录!$F$6:$F$5505,$A180,记账分录!$H$6:$H$5505,$C180,记账分录!$E$6:$E$5505,"&lt;"&amp;$A$4)-SUMIFS(记账分录!$J$6:$J$5505,记账分录!$F$6:$F$5505,$A180,记账分录!$H$6:$H$5505,$C180,记账分录!$E$6:$E$5505,"&lt;"&amp;$A$4),SUMIFS(记账分录!$J$6:$J$5505,记账分录!$F$6:$F$5505,$A180,记账分录!$H$6:$H$5505,$C180,记账分录!$E$6:$E$5505,"&lt;"&amp;$A$4)-SUMIFS(记账分录!$I$6:$I$5505,记账分录!$F$6:$F$5505,$A180,记账分录!$H$6:$H$5505,$C180,记账分录!$E$6:$E$5505,"&lt;"&amp;$A$4)))</f>
        <v>0</v>
      </c>
      <c r="I180" s="40" t="n">
        <f aca="false">IF($C180="","",SUMIFS(记账分录!$I$6:$I$5505,记账分录!$F$6:$F$5505,$A180,记账分录!$H$6:$H$5505,$C180,记账分录!$E$6:$E$5505,"&gt;="&amp;$A$4,记账分录!$E$6:$E$5505,"&lt;="&amp;$B$4))</f>
        <v>0</v>
      </c>
      <c r="J180" s="40" t="n">
        <f aca="false">IF($C180="","",SUMIFS(记账分录!$J$6:$J$5505,记账分录!$F$6:$F$5505,$A180,记账分录!$H$6:$H$5505,$C180,记账分录!$E$6:$E$5505,"&gt;="&amp;$A$4,记账分录!$E$6:$E$5505,"&lt;="&amp;$B$4))</f>
        <v>0</v>
      </c>
      <c r="K180" s="42" t="n">
        <f aca="false">IF($C180="","",IF($E180="借",$I180-$J180,$J180-$I180))</f>
        <v>0</v>
      </c>
      <c r="L180" s="42" t="n">
        <f aca="false">IF($C180="","",ROUND($H180+$K180,2))</f>
        <v>0</v>
      </c>
      <c r="M180" s="40" t="n">
        <f aca="false">IF($C180="","",SUMIFS(记账分录!$I$6:$I$5505,记账分录!$F$6:$F$5505,$A180,记账分录!$H$6:$H$5505,$C180,记账分录!$E$6:$E$5505,"&lt;="&amp;$B$4))</f>
        <v>0</v>
      </c>
      <c r="N180" s="40" t="n">
        <f aca="false">IF($C180="","",SUMIFS(记账分录!$J$6:$J$5505,记账分录!$F$6:$F$5505,$A180,记账分录!$H$6:$H$5505,$C180,记账分录!$E$6:$E$5505,"&lt;="&amp;$B$4))</f>
        <v>0</v>
      </c>
      <c r="O180" s="42" t="n">
        <f aca="false">IF($C180="","",IF($E180="借",$M180-$N180,$N180-$M180))</f>
        <v>0</v>
      </c>
      <c r="P180" s="64" t="str">
        <f aca="false">IF($C180="","",IF(OR(ROUND($G180,2)&lt;&gt;0,ROUND($M180,2)&lt;&gt;0,ROUND($N180,2)&lt;&gt;0),"有",""))</f>
        <v/>
      </c>
    </row>
    <row r="181" customFormat="false" ht="15" hidden="false" customHeight="false" outlineLevel="0" collapsed="false">
      <c r="A181" s="25" t="str">
        <f aca="false">IF(会计科目表!$B20="","",参数设置!$A$12)</f>
        <v>科技</v>
      </c>
      <c r="B181" s="25" t="str">
        <f aca="false">IF(会计科目表!$B20="","",会计科目表!$A20)</f>
        <v>1701</v>
      </c>
      <c r="C181" s="10" t="str">
        <f aca="false">IF(会计科目表!$B20="","",会计科目表!$B20)</f>
        <v>无形资产</v>
      </c>
      <c r="D181" s="25" t="str">
        <f aca="false">IF($C181="","",会计科目表!$C20)</f>
        <v>资产</v>
      </c>
      <c r="E181" s="25" t="str">
        <f aca="false">IF($C181="","",会计科目表!$D20)</f>
        <v>借</v>
      </c>
      <c r="F181" s="10" t="str">
        <f aca="false">IF($C181="","",会计科目表!$F20)</f>
        <v>无形资产原价</v>
      </c>
      <c r="G181" s="40" t="n">
        <f aca="false">IF($C181="","",IF($E181="借",SUMIFS(期初余额!$C$6:$C$185,期初余额!$A$6:$A$185,$A181,期初余额!$B$6:$B$185,$C181)-SUMIFS(期初余额!$D$6:$D$185,期初余额!$A$6:$A$185,$A181,期初余额!$B$6:$B$185,$C181),SUMIFS(期初余额!$D$6:$D$185,期初余额!$A$6:$A$185,$A181,期初余额!$B$6:$B$185,$C181)-SUMIFS(期初余额!$C$6:$C$185,期初余额!$A$6:$A$185,$A181,期初余额!$B$6:$B$185,$C181)))</f>
        <v>60000</v>
      </c>
      <c r="H181" s="40" t="n">
        <f aca="false">IF($C181="","",$G181+IF($E181="借",SUMIFS(记账分录!$I$6:$I$5505,记账分录!$F$6:$F$5505,$A181,记账分录!$H$6:$H$5505,$C181,记账分录!$E$6:$E$5505,"&lt;"&amp;$A$4)-SUMIFS(记账分录!$J$6:$J$5505,记账分录!$F$6:$F$5505,$A181,记账分录!$H$6:$H$5505,$C181,记账分录!$E$6:$E$5505,"&lt;"&amp;$A$4),SUMIFS(记账分录!$J$6:$J$5505,记账分录!$F$6:$F$5505,$A181,记账分录!$H$6:$H$5505,$C181,记账分录!$E$6:$E$5505,"&lt;"&amp;$A$4)-SUMIFS(记账分录!$I$6:$I$5505,记账分录!$F$6:$F$5505,$A181,记账分录!$H$6:$H$5505,$C181,记账分录!$E$6:$E$5505,"&lt;"&amp;$A$4)))</f>
        <v>60000</v>
      </c>
      <c r="I181" s="40" t="n">
        <f aca="false">IF($C181="","",SUMIFS(记账分录!$I$6:$I$5505,记账分录!$F$6:$F$5505,$A181,记账分录!$H$6:$H$5505,$C181,记账分录!$E$6:$E$5505,"&gt;="&amp;$A$4,记账分录!$E$6:$E$5505,"&lt;="&amp;$B$4))</f>
        <v>0</v>
      </c>
      <c r="J181" s="40" t="n">
        <f aca="false">IF($C181="","",SUMIFS(记账分录!$J$6:$J$5505,记账分录!$F$6:$F$5505,$A181,记账分录!$H$6:$H$5505,$C181,记账分录!$E$6:$E$5505,"&gt;="&amp;$A$4,记账分录!$E$6:$E$5505,"&lt;="&amp;$B$4))</f>
        <v>0</v>
      </c>
      <c r="K181" s="42" t="n">
        <f aca="false">IF($C181="","",IF($E181="借",$I181-$J181,$J181-$I181))</f>
        <v>0</v>
      </c>
      <c r="L181" s="42" t="n">
        <f aca="false">IF($C181="","",ROUND($H181+$K181,2))</f>
        <v>60000</v>
      </c>
      <c r="M181" s="40" t="n">
        <f aca="false">IF($C181="","",SUMIFS(记账分录!$I$6:$I$5505,记账分录!$F$6:$F$5505,$A181,记账分录!$H$6:$H$5505,$C181,记账分录!$E$6:$E$5505,"&lt;="&amp;$B$4))</f>
        <v>0</v>
      </c>
      <c r="N181" s="40" t="n">
        <f aca="false">IF($C181="","",SUMIFS(记账分录!$J$6:$J$5505,记账分录!$F$6:$F$5505,$A181,记账分录!$H$6:$H$5505,$C181,记账分录!$E$6:$E$5505,"&lt;="&amp;$B$4))</f>
        <v>0</v>
      </c>
      <c r="O181" s="42" t="n">
        <f aca="false">IF($C181="","",IF($E181="借",$M181-$N181,$N181-$M181))</f>
        <v>0</v>
      </c>
      <c r="P181" s="64" t="str">
        <f aca="false">IF($C181="","",IF(OR(ROUND($G181,2)&lt;&gt;0,ROUND($M181,2)&lt;&gt;0,ROUND($N181,2)&lt;&gt;0),"有",""))</f>
        <v>有</v>
      </c>
    </row>
    <row r="182" customFormat="false" ht="15" hidden="false" customHeight="false" outlineLevel="0" collapsed="false">
      <c r="A182" s="25" t="str">
        <f aca="false">IF(会计科目表!$B21="","",参数设置!$A$12)</f>
        <v>科技</v>
      </c>
      <c r="B182" s="25" t="str">
        <f aca="false">IF(会计科目表!$B21="","",会计科目表!$A21)</f>
        <v>1702</v>
      </c>
      <c r="C182" s="10" t="str">
        <f aca="false">IF(会计科目表!$B21="","",会计科目表!$B21)</f>
        <v>累计摊销</v>
      </c>
      <c r="D182" s="25" t="str">
        <f aca="false">IF($C182="","",会计科目表!$C21)</f>
        <v>资产</v>
      </c>
      <c r="E182" s="25" t="str">
        <f aca="false">IF($C182="","",会计科目表!$D21)</f>
        <v>贷</v>
      </c>
      <c r="F182" s="10" t="str">
        <f aca="false">IF($C182="","",会计科目表!$F21)</f>
        <v>累计摊销</v>
      </c>
      <c r="G182" s="40" t="n">
        <f aca="false">IF($C182="","",IF($E182="借",SUMIFS(期初余额!$C$6:$C$185,期初余额!$A$6:$A$185,$A182,期初余额!$B$6:$B$185,$C182)-SUMIFS(期初余额!$D$6:$D$185,期初余额!$A$6:$A$185,$A182,期初余额!$B$6:$B$185,$C182),SUMIFS(期初余额!$D$6:$D$185,期初余额!$A$6:$A$185,$A182,期初余额!$B$6:$B$185,$C182)-SUMIFS(期初余额!$C$6:$C$185,期初余额!$A$6:$A$185,$A182,期初余额!$B$6:$B$185,$C182)))</f>
        <v>12000</v>
      </c>
      <c r="H182" s="40" t="n">
        <f aca="false">IF($C182="","",$G182+IF($E182="借",SUMIFS(记账分录!$I$6:$I$5505,记账分录!$F$6:$F$5505,$A182,记账分录!$H$6:$H$5505,$C182,记账分录!$E$6:$E$5505,"&lt;"&amp;$A$4)-SUMIFS(记账分录!$J$6:$J$5505,记账分录!$F$6:$F$5505,$A182,记账分录!$H$6:$H$5505,$C182,记账分录!$E$6:$E$5505,"&lt;"&amp;$A$4),SUMIFS(记账分录!$J$6:$J$5505,记账分录!$F$6:$F$5505,$A182,记账分录!$H$6:$H$5505,$C182,记账分录!$E$6:$E$5505,"&lt;"&amp;$A$4)-SUMIFS(记账分录!$I$6:$I$5505,记账分录!$F$6:$F$5505,$A182,记账分录!$H$6:$H$5505,$C182,记账分录!$E$6:$E$5505,"&lt;"&amp;$A$4)))</f>
        <v>12000</v>
      </c>
      <c r="I182" s="40" t="n">
        <f aca="false">IF($C182="","",SUMIFS(记账分录!$I$6:$I$5505,记账分录!$F$6:$F$5505,$A182,记账分录!$H$6:$H$5505,$C182,记账分录!$E$6:$E$5505,"&gt;="&amp;$A$4,记账分录!$E$6:$E$5505,"&lt;="&amp;$B$4))</f>
        <v>0</v>
      </c>
      <c r="J182" s="40" t="n">
        <f aca="false">IF($C182="","",SUMIFS(记账分录!$J$6:$J$5505,记账分录!$F$6:$F$5505,$A182,记账分录!$H$6:$H$5505,$C182,记账分录!$E$6:$E$5505,"&gt;="&amp;$A$4,记账分录!$E$6:$E$5505,"&lt;="&amp;$B$4))</f>
        <v>6000</v>
      </c>
      <c r="K182" s="42" t="n">
        <f aca="false">IF($C182="","",IF($E182="借",$I182-$J182,$J182-$I182))</f>
        <v>6000</v>
      </c>
      <c r="L182" s="42" t="n">
        <f aca="false">IF($C182="","",ROUND($H182+$K182,2))</f>
        <v>18000</v>
      </c>
      <c r="M182" s="40" t="n">
        <f aca="false">IF($C182="","",SUMIFS(记账分录!$I$6:$I$5505,记账分录!$F$6:$F$5505,$A182,记账分录!$H$6:$H$5505,$C182,记账分录!$E$6:$E$5505,"&lt;="&amp;$B$4))</f>
        <v>0</v>
      </c>
      <c r="N182" s="40" t="n">
        <f aca="false">IF($C182="","",SUMIFS(记账分录!$J$6:$J$5505,记账分录!$F$6:$F$5505,$A182,记账分录!$H$6:$H$5505,$C182,记账分录!$E$6:$E$5505,"&lt;="&amp;$B$4))</f>
        <v>6000</v>
      </c>
      <c r="O182" s="42" t="n">
        <f aca="false">IF($C182="","",IF($E182="借",$M182-$N182,$N182-$M182))</f>
        <v>6000</v>
      </c>
      <c r="P182" s="64" t="str">
        <f aca="false">IF($C182="","",IF(OR(ROUND($G182,2)&lt;&gt;0,ROUND($M182,2)&lt;&gt;0,ROUND($N182,2)&lt;&gt;0),"有",""))</f>
        <v>有</v>
      </c>
    </row>
    <row r="183" customFormat="false" ht="15" hidden="false" customHeight="false" outlineLevel="0" collapsed="false">
      <c r="A183" s="25" t="str">
        <f aca="false">IF(会计科目表!$B22="","",参数设置!$A$12)</f>
        <v>科技</v>
      </c>
      <c r="B183" s="25" t="str">
        <f aca="false">IF(会计科目表!$B22="","",会计科目表!$A22)</f>
        <v>1801</v>
      </c>
      <c r="C183" s="10" t="str">
        <f aca="false">IF(会计科目表!$B22="","",会计科目表!$B22)</f>
        <v>长期待摊费用</v>
      </c>
      <c r="D183" s="25" t="str">
        <f aca="false">IF($C183="","",会计科目表!$C22)</f>
        <v>资产</v>
      </c>
      <c r="E183" s="25" t="str">
        <f aca="false">IF($C183="","",会计科目表!$D22)</f>
        <v>借</v>
      </c>
      <c r="F183" s="10" t="str">
        <f aca="false">IF($C183="","",会计科目表!$F22)</f>
        <v>长期待摊费用</v>
      </c>
      <c r="G183" s="40" t="n">
        <f aca="false">IF($C183="","",IF($E183="借",SUMIFS(期初余额!$C$6:$C$185,期初余额!$A$6:$A$185,$A183,期初余额!$B$6:$B$185,$C183)-SUMIFS(期初余额!$D$6:$D$185,期初余额!$A$6:$A$185,$A183,期初余额!$B$6:$B$185,$C183),SUMIFS(期初余额!$D$6:$D$185,期初余额!$A$6:$A$185,$A183,期初余额!$B$6:$B$185,$C183)-SUMIFS(期初余额!$C$6:$C$185,期初余额!$A$6:$A$185,$A183,期初余额!$B$6:$B$185,$C183)))</f>
        <v>0</v>
      </c>
      <c r="H183" s="40" t="n">
        <f aca="false">IF($C183="","",$G183+IF($E183="借",SUMIFS(记账分录!$I$6:$I$5505,记账分录!$F$6:$F$5505,$A183,记账分录!$H$6:$H$5505,$C183,记账分录!$E$6:$E$5505,"&lt;"&amp;$A$4)-SUMIFS(记账分录!$J$6:$J$5505,记账分录!$F$6:$F$5505,$A183,记账分录!$H$6:$H$5505,$C183,记账分录!$E$6:$E$5505,"&lt;"&amp;$A$4),SUMIFS(记账分录!$J$6:$J$5505,记账分录!$F$6:$F$5505,$A183,记账分录!$H$6:$H$5505,$C183,记账分录!$E$6:$E$5505,"&lt;"&amp;$A$4)-SUMIFS(记账分录!$I$6:$I$5505,记账分录!$F$6:$F$5505,$A183,记账分录!$H$6:$H$5505,$C183,记账分录!$E$6:$E$5505,"&lt;"&amp;$A$4)))</f>
        <v>0</v>
      </c>
      <c r="I183" s="40" t="n">
        <f aca="false">IF($C183="","",SUMIFS(记账分录!$I$6:$I$5505,记账分录!$F$6:$F$5505,$A183,记账分录!$H$6:$H$5505,$C183,记账分录!$E$6:$E$5505,"&gt;="&amp;$A$4,记账分录!$E$6:$E$5505,"&lt;="&amp;$B$4))</f>
        <v>0</v>
      </c>
      <c r="J183" s="40" t="n">
        <f aca="false">IF($C183="","",SUMIFS(记账分录!$J$6:$J$5505,记账分录!$F$6:$F$5505,$A183,记账分录!$H$6:$H$5505,$C183,记账分录!$E$6:$E$5505,"&gt;="&amp;$A$4,记账分录!$E$6:$E$5505,"&lt;="&amp;$B$4))</f>
        <v>0</v>
      </c>
      <c r="K183" s="42" t="n">
        <f aca="false">IF($C183="","",IF($E183="借",$I183-$J183,$J183-$I183))</f>
        <v>0</v>
      </c>
      <c r="L183" s="42" t="n">
        <f aca="false">IF($C183="","",ROUND($H183+$K183,2))</f>
        <v>0</v>
      </c>
      <c r="M183" s="40" t="n">
        <f aca="false">IF($C183="","",SUMIFS(记账分录!$I$6:$I$5505,记账分录!$F$6:$F$5505,$A183,记账分录!$H$6:$H$5505,$C183,记账分录!$E$6:$E$5505,"&lt;="&amp;$B$4))</f>
        <v>0</v>
      </c>
      <c r="N183" s="40" t="n">
        <f aca="false">IF($C183="","",SUMIFS(记账分录!$J$6:$J$5505,记账分录!$F$6:$F$5505,$A183,记账分录!$H$6:$H$5505,$C183,记账分录!$E$6:$E$5505,"&lt;="&amp;$B$4))</f>
        <v>0</v>
      </c>
      <c r="O183" s="42" t="n">
        <f aca="false">IF($C183="","",IF($E183="借",$M183-$N183,$N183-$M183))</f>
        <v>0</v>
      </c>
      <c r="P183" s="64" t="str">
        <f aca="false">IF($C183="","",IF(OR(ROUND($G183,2)&lt;&gt;0,ROUND($M183,2)&lt;&gt;0,ROUND($N183,2)&lt;&gt;0),"有",""))</f>
        <v/>
      </c>
    </row>
    <row r="184" customFormat="false" ht="15" hidden="false" customHeight="false" outlineLevel="0" collapsed="false">
      <c r="A184" s="25" t="str">
        <f aca="false">IF(会计科目表!$B23="","",参数设置!$A$12)</f>
        <v>科技</v>
      </c>
      <c r="B184" s="25" t="str">
        <f aca="false">IF(会计科目表!$B23="","",会计科目表!$A23)</f>
        <v>2001</v>
      </c>
      <c r="C184" s="10" t="str">
        <f aca="false">IF(会计科目表!$B23="","",会计科目表!$B23)</f>
        <v>短期借款</v>
      </c>
      <c r="D184" s="25" t="str">
        <f aca="false">IF($C184="","",会计科目表!$C23)</f>
        <v>负债</v>
      </c>
      <c r="E184" s="25" t="str">
        <f aca="false">IF($C184="","",会计科目表!$D23)</f>
        <v>贷</v>
      </c>
      <c r="F184" s="10" t="str">
        <f aca="false">IF($C184="","",会计科目表!$F23)</f>
        <v>短期借款</v>
      </c>
      <c r="G184" s="40" t="n">
        <f aca="false">IF($C184="","",IF($E184="借",SUMIFS(期初余额!$C$6:$C$185,期初余额!$A$6:$A$185,$A184,期初余额!$B$6:$B$185,$C184)-SUMIFS(期初余额!$D$6:$D$185,期初余额!$A$6:$A$185,$A184,期初余额!$B$6:$B$185,$C184),SUMIFS(期初余额!$D$6:$D$185,期初余额!$A$6:$A$185,$A184,期初余额!$B$6:$B$185,$C184)-SUMIFS(期初余额!$C$6:$C$185,期初余额!$A$6:$A$185,$A184,期初余额!$B$6:$B$185,$C184)))</f>
        <v>0</v>
      </c>
      <c r="H184" s="40" t="n">
        <f aca="false">IF($C184="","",$G184+IF($E184="借",SUMIFS(记账分录!$I$6:$I$5505,记账分录!$F$6:$F$5505,$A184,记账分录!$H$6:$H$5505,$C184,记账分录!$E$6:$E$5505,"&lt;"&amp;$A$4)-SUMIFS(记账分录!$J$6:$J$5505,记账分录!$F$6:$F$5505,$A184,记账分录!$H$6:$H$5505,$C184,记账分录!$E$6:$E$5505,"&lt;"&amp;$A$4),SUMIFS(记账分录!$J$6:$J$5505,记账分录!$F$6:$F$5505,$A184,记账分录!$H$6:$H$5505,$C184,记账分录!$E$6:$E$5505,"&lt;"&amp;$A$4)-SUMIFS(记账分录!$I$6:$I$5505,记账分录!$F$6:$F$5505,$A184,记账分录!$H$6:$H$5505,$C184,记账分录!$E$6:$E$5505,"&lt;"&amp;$A$4)))</f>
        <v>0</v>
      </c>
      <c r="I184" s="40" t="n">
        <f aca="false">IF($C184="","",SUMIFS(记账分录!$I$6:$I$5505,记账分录!$F$6:$F$5505,$A184,记账分录!$H$6:$H$5505,$C184,记账分录!$E$6:$E$5505,"&gt;="&amp;$A$4,记账分录!$E$6:$E$5505,"&lt;="&amp;$B$4))</f>
        <v>0</v>
      </c>
      <c r="J184" s="40" t="n">
        <f aca="false">IF($C184="","",SUMIFS(记账分录!$J$6:$J$5505,记账分录!$F$6:$F$5505,$A184,记账分录!$H$6:$H$5505,$C184,记账分录!$E$6:$E$5505,"&gt;="&amp;$A$4,记账分录!$E$6:$E$5505,"&lt;="&amp;$B$4))</f>
        <v>0</v>
      </c>
      <c r="K184" s="42" t="n">
        <f aca="false">IF($C184="","",IF($E184="借",$I184-$J184,$J184-$I184))</f>
        <v>0</v>
      </c>
      <c r="L184" s="42" t="n">
        <f aca="false">IF($C184="","",ROUND($H184+$K184,2))</f>
        <v>0</v>
      </c>
      <c r="M184" s="40" t="n">
        <f aca="false">IF($C184="","",SUMIFS(记账分录!$I$6:$I$5505,记账分录!$F$6:$F$5505,$A184,记账分录!$H$6:$H$5505,$C184,记账分录!$E$6:$E$5505,"&lt;="&amp;$B$4))</f>
        <v>0</v>
      </c>
      <c r="N184" s="40" t="n">
        <f aca="false">IF($C184="","",SUMIFS(记账分录!$J$6:$J$5505,记账分录!$F$6:$F$5505,$A184,记账分录!$H$6:$H$5505,$C184,记账分录!$E$6:$E$5505,"&lt;="&amp;$B$4))</f>
        <v>0</v>
      </c>
      <c r="O184" s="42" t="n">
        <f aca="false">IF($C184="","",IF($E184="借",$M184-$N184,$N184-$M184))</f>
        <v>0</v>
      </c>
      <c r="P184" s="64" t="str">
        <f aca="false">IF($C184="","",IF(OR(ROUND($G184,2)&lt;&gt;0,ROUND($M184,2)&lt;&gt;0,ROUND($N184,2)&lt;&gt;0),"有",""))</f>
        <v/>
      </c>
    </row>
    <row r="185" customFormat="false" ht="15" hidden="false" customHeight="false" outlineLevel="0" collapsed="false">
      <c r="A185" s="25" t="str">
        <f aca="false">IF(会计科目表!$B24="","",参数设置!$A$12)</f>
        <v>科技</v>
      </c>
      <c r="B185" s="25" t="str">
        <f aca="false">IF(会计科目表!$B24="","",会计科目表!$A24)</f>
        <v>2202</v>
      </c>
      <c r="C185" s="10" t="str">
        <f aca="false">IF(会计科目表!$B24="","",会计科目表!$B24)</f>
        <v>应付账款</v>
      </c>
      <c r="D185" s="25" t="str">
        <f aca="false">IF($C185="","",会计科目表!$C24)</f>
        <v>负债</v>
      </c>
      <c r="E185" s="25" t="str">
        <f aca="false">IF($C185="","",会计科目表!$D24)</f>
        <v>贷</v>
      </c>
      <c r="F185" s="10" t="str">
        <f aca="false">IF($C185="","",会计科目表!$F24)</f>
        <v>应付账款</v>
      </c>
      <c r="G185" s="40" t="n">
        <f aca="false">IF($C185="","",IF($E185="借",SUMIFS(期初余额!$C$6:$C$185,期初余额!$A$6:$A$185,$A185,期初余额!$B$6:$B$185,$C185)-SUMIFS(期初余额!$D$6:$D$185,期初余额!$A$6:$A$185,$A185,期初余额!$B$6:$B$185,$C185),SUMIFS(期初余额!$D$6:$D$185,期初余额!$A$6:$A$185,$A185,期初余额!$B$6:$B$185,$C185)-SUMIFS(期初余额!$C$6:$C$185,期初余额!$A$6:$A$185,$A185,期初余额!$B$6:$B$185,$C185)))</f>
        <v>45000</v>
      </c>
      <c r="H185" s="40" t="n">
        <f aca="false">IF($C185="","",$G185+IF($E185="借",SUMIFS(记账分录!$I$6:$I$5505,记账分录!$F$6:$F$5505,$A185,记账分录!$H$6:$H$5505,$C185,记账分录!$E$6:$E$5505,"&lt;"&amp;$A$4)-SUMIFS(记账分录!$J$6:$J$5505,记账分录!$F$6:$F$5505,$A185,记账分录!$H$6:$H$5505,$C185,记账分录!$E$6:$E$5505,"&lt;"&amp;$A$4),SUMIFS(记账分录!$J$6:$J$5505,记账分录!$F$6:$F$5505,$A185,记账分录!$H$6:$H$5505,$C185,记账分录!$E$6:$E$5505,"&lt;"&amp;$A$4)-SUMIFS(记账分录!$I$6:$I$5505,记账分录!$F$6:$F$5505,$A185,记账分录!$H$6:$H$5505,$C185,记账分录!$E$6:$E$5505,"&lt;"&amp;$A$4)))</f>
        <v>45000</v>
      </c>
      <c r="I185" s="40" t="n">
        <f aca="false">IF($C185="","",SUMIFS(记账分录!$I$6:$I$5505,记账分录!$F$6:$F$5505,$A185,记账分录!$H$6:$H$5505,$C185,记账分录!$E$6:$E$5505,"&gt;="&amp;$A$4,记账分录!$E$6:$E$5505,"&lt;="&amp;$B$4))</f>
        <v>63280</v>
      </c>
      <c r="J185" s="40" t="n">
        <f aca="false">IF($C185="","",SUMIFS(记账分录!$J$6:$J$5505,记账分录!$F$6:$F$5505,$A185,记账分录!$H$6:$H$5505,$C185,记账分录!$E$6:$E$5505,"&gt;="&amp;$A$4,记账分录!$E$6:$E$5505,"&lt;="&amp;$B$4))</f>
        <v>79280</v>
      </c>
      <c r="K185" s="42" t="n">
        <f aca="false">IF($C185="","",IF($E185="借",$I185-$J185,$J185-$I185))</f>
        <v>16000</v>
      </c>
      <c r="L185" s="42" t="n">
        <f aca="false">IF($C185="","",ROUND($H185+$K185,2))</f>
        <v>61000</v>
      </c>
      <c r="M185" s="40" t="n">
        <f aca="false">IF($C185="","",SUMIFS(记账分录!$I$6:$I$5505,记账分录!$F$6:$F$5505,$A185,记账分录!$H$6:$H$5505,$C185,记账分录!$E$6:$E$5505,"&lt;="&amp;$B$4))</f>
        <v>63280</v>
      </c>
      <c r="N185" s="40" t="n">
        <f aca="false">IF($C185="","",SUMIFS(记账分录!$J$6:$J$5505,记账分录!$F$6:$F$5505,$A185,记账分录!$H$6:$H$5505,$C185,记账分录!$E$6:$E$5505,"&lt;="&amp;$B$4))</f>
        <v>79280</v>
      </c>
      <c r="O185" s="42" t="n">
        <f aca="false">IF($C185="","",IF($E185="借",$M185-$N185,$N185-$M185))</f>
        <v>16000</v>
      </c>
      <c r="P185" s="64" t="str">
        <f aca="false">IF($C185="","",IF(OR(ROUND($G185,2)&lt;&gt;0,ROUND($M185,2)&lt;&gt;0,ROUND($N185,2)&lt;&gt;0),"有",""))</f>
        <v>有</v>
      </c>
    </row>
    <row r="186" customFormat="false" ht="15" hidden="false" customHeight="false" outlineLevel="0" collapsed="false">
      <c r="A186" s="25" t="str">
        <f aca="false">IF(会计科目表!$B25="","",参数设置!$A$12)</f>
        <v>科技</v>
      </c>
      <c r="B186" s="25" t="str">
        <f aca="false">IF(会计科目表!$B25="","",会计科目表!$A25)</f>
        <v>2203</v>
      </c>
      <c r="C186" s="10" t="str">
        <f aca="false">IF(会计科目表!$B25="","",会计科目表!$B25)</f>
        <v>预收账款</v>
      </c>
      <c r="D186" s="25" t="str">
        <f aca="false">IF($C186="","",会计科目表!$C25)</f>
        <v>负债</v>
      </c>
      <c r="E186" s="25" t="str">
        <f aca="false">IF($C186="","",会计科目表!$D25)</f>
        <v>贷</v>
      </c>
      <c r="F186" s="10" t="str">
        <f aca="false">IF($C186="","",会计科目表!$F25)</f>
        <v>预收款项</v>
      </c>
      <c r="G186" s="40" t="n">
        <f aca="false">IF($C186="","",IF($E186="借",SUMIFS(期初余额!$C$6:$C$185,期初余额!$A$6:$A$185,$A186,期初余额!$B$6:$B$185,$C186)-SUMIFS(期初余额!$D$6:$D$185,期初余额!$A$6:$A$185,$A186,期初余额!$B$6:$B$185,$C186),SUMIFS(期初余额!$D$6:$D$185,期初余额!$A$6:$A$185,$A186,期初余额!$B$6:$B$185,$C186)-SUMIFS(期初余额!$C$6:$C$185,期初余额!$A$6:$A$185,$A186,期初余额!$B$6:$B$185,$C186)))</f>
        <v>0</v>
      </c>
      <c r="H186" s="40" t="n">
        <f aca="false">IF($C186="","",$G186+IF($E186="借",SUMIFS(记账分录!$I$6:$I$5505,记账分录!$F$6:$F$5505,$A186,记账分录!$H$6:$H$5505,$C186,记账分录!$E$6:$E$5505,"&lt;"&amp;$A$4)-SUMIFS(记账分录!$J$6:$J$5505,记账分录!$F$6:$F$5505,$A186,记账分录!$H$6:$H$5505,$C186,记账分录!$E$6:$E$5505,"&lt;"&amp;$A$4),SUMIFS(记账分录!$J$6:$J$5505,记账分录!$F$6:$F$5505,$A186,记账分录!$H$6:$H$5505,$C186,记账分录!$E$6:$E$5505,"&lt;"&amp;$A$4)-SUMIFS(记账分录!$I$6:$I$5505,记账分录!$F$6:$F$5505,$A186,记账分录!$H$6:$H$5505,$C186,记账分录!$E$6:$E$5505,"&lt;"&amp;$A$4)))</f>
        <v>0</v>
      </c>
      <c r="I186" s="40" t="n">
        <f aca="false">IF($C186="","",SUMIFS(记账分录!$I$6:$I$5505,记账分录!$F$6:$F$5505,$A186,记账分录!$H$6:$H$5505,$C186,记账分录!$E$6:$E$5505,"&gt;="&amp;$A$4,记账分录!$E$6:$E$5505,"&lt;="&amp;$B$4))</f>
        <v>0</v>
      </c>
      <c r="J186" s="40" t="n">
        <f aca="false">IF($C186="","",SUMIFS(记账分录!$J$6:$J$5505,记账分录!$F$6:$F$5505,$A186,记账分录!$H$6:$H$5505,$C186,记账分录!$E$6:$E$5505,"&gt;="&amp;$A$4,记账分录!$E$6:$E$5505,"&lt;="&amp;$B$4))</f>
        <v>0</v>
      </c>
      <c r="K186" s="42" t="n">
        <f aca="false">IF($C186="","",IF($E186="借",$I186-$J186,$J186-$I186))</f>
        <v>0</v>
      </c>
      <c r="L186" s="42" t="n">
        <f aca="false">IF($C186="","",ROUND($H186+$K186,2))</f>
        <v>0</v>
      </c>
      <c r="M186" s="40" t="n">
        <f aca="false">IF($C186="","",SUMIFS(记账分录!$I$6:$I$5505,记账分录!$F$6:$F$5505,$A186,记账分录!$H$6:$H$5505,$C186,记账分录!$E$6:$E$5505,"&lt;="&amp;$B$4))</f>
        <v>0</v>
      </c>
      <c r="N186" s="40" t="n">
        <f aca="false">IF($C186="","",SUMIFS(记账分录!$J$6:$J$5505,记账分录!$F$6:$F$5505,$A186,记账分录!$H$6:$H$5505,$C186,记账分录!$E$6:$E$5505,"&lt;="&amp;$B$4))</f>
        <v>0</v>
      </c>
      <c r="O186" s="42" t="n">
        <f aca="false">IF($C186="","",IF($E186="借",$M186-$N186,$N186-$M186))</f>
        <v>0</v>
      </c>
      <c r="P186" s="64" t="str">
        <f aca="false">IF($C186="","",IF(OR(ROUND($G186,2)&lt;&gt;0,ROUND($M186,2)&lt;&gt;0,ROUND($N186,2)&lt;&gt;0),"有",""))</f>
        <v/>
      </c>
    </row>
    <row r="187" customFormat="false" ht="15" hidden="false" customHeight="false" outlineLevel="0" collapsed="false">
      <c r="A187" s="25" t="str">
        <f aca="false">IF(会计科目表!$B26="","",参数设置!$A$12)</f>
        <v>科技</v>
      </c>
      <c r="B187" s="25" t="str">
        <f aca="false">IF(会计科目表!$B26="","",会计科目表!$A26)</f>
        <v>2211</v>
      </c>
      <c r="C187" s="10" t="str">
        <f aca="false">IF(会计科目表!$B26="","",会计科目表!$B26)</f>
        <v>应付职工薪酬</v>
      </c>
      <c r="D187" s="25" t="str">
        <f aca="false">IF($C187="","",会计科目表!$C26)</f>
        <v>负债</v>
      </c>
      <c r="E187" s="25" t="str">
        <f aca="false">IF($C187="","",会计科目表!$D26)</f>
        <v>贷</v>
      </c>
      <c r="F187" s="10" t="str">
        <f aca="false">IF($C187="","",会计科目表!$F26)</f>
        <v>应付职工薪酬</v>
      </c>
      <c r="G187" s="40" t="n">
        <f aca="false">IF($C187="","",IF($E187="借",SUMIFS(期初余额!$C$6:$C$185,期初余额!$A$6:$A$185,$A187,期初余额!$B$6:$B$185,$C187)-SUMIFS(期初余额!$D$6:$D$185,期初余额!$A$6:$A$185,$A187,期初余额!$B$6:$B$185,$C187),SUMIFS(期初余额!$D$6:$D$185,期初余额!$A$6:$A$185,$A187,期初余额!$B$6:$B$185,$C187)-SUMIFS(期初余额!$C$6:$C$185,期初余额!$A$6:$A$185,$A187,期初余额!$B$6:$B$185,$C187)))</f>
        <v>18000</v>
      </c>
      <c r="H187" s="40" t="n">
        <f aca="false">IF($C187="","",$G187+IF($E187="借",SUMIFS(记账分录!$I$6:$I$5505,记账分录!$F$6:$F$5505,$A187,记账分录!$H$6:$H$5505,$C187,记账分录!$E$6:$E$5505,"&lt;"&amp;$A$4)-SUMIFS(记账分录!$J$6:$J$5505,记账分录!$F$6:$F$5505,$A187,记账分录!$H$6:$H$5505,$C187,记账分录!$E$6:$E$5505,"&lt;"&amp;$A$4),SUMIFS(记账分录!$J$6:$J$5505,记账分录!$F$6:$F$5505,$A187,记账分录!$H$6:$H$5505,$C187,记账分录!$E$6:$E$5505,"&lt;"&amp;$A$4)-SUMIFS(记账分录!$I$6:$I$5505,记账分录!$F$6:$F$5505,$A187,记账分录!$H$6:$H$5505,$C187,记账分录!$E$6:$E$5505,"&lt;"&amp;$A$4)))</f>
        <v>18000</v>
      </c>
      <c r="I187" s="40" t="n">
        <f aca="false">IF($C187="","",SUMIFS(记账分录!$I$6:$I$5505,记账分录!$F$6:$F$5505,$A187,记账分录!$H$6:$H$5505,$C187,记账分录!$E$6:$E$5505,"&gt;="&amp;$A$4,记账分录!$E$6:$E$5505,"&lt;="&amp;$B$4))</f>
        <v>73000</v>
      </c>
      <c r="J187" s="40" t="n">
        <f aca="false">IF($C187="","",SUMIFS(记账分录!$J$6:$J$5505,记账分录!$F$6:$F$5505,$A187,记账分录!$H$6:$H$5505,$C187,记账分录!$E$6:$E$5505,"&gt;="&amp;$A$4,记账分录!$E$6:$E$5505,"&lt;="&amp;$B$4))</f>
        <v>75000</v>
      </c>
      <c r="K187" s="42" t="n">
        <f aca="false">IF($C187="","",IF($E187="借",$I187-$J187,$J187-$I187))</f>
        <v>2000</v>
      </c>
      <c r="L187" s="42" t="n">
        <f aca="false">IF($C187="","",ROUND($H187+$K187,2))</f>
        <v>20000</v>
      </c>
      <c r="M187" s="40" t="n">
        <f aca="false">IF($C187="","",SUMIFS(记账分录!$I$6:$I$5505,记账分录!$F$6:$F$5505,$A187,记账分录!$H$6:$H$5505,$C187,记账分录!$E$6:$E$5505,"&lt;="&amp;$B$4))</f>
        <v>73000</v>
      </c>
      <c r="N187" s="40" t="n">
        <f aca="false">IF($C187="","",SUMIFS(记账分录!$J$6:$J$5505,记账分录!$F$6:$F$5505,$A187,记账分录!$H$6:$H$5505,$C187,记账分录!$E$6:$E$5505,"&lt;="&amp;$B$4))</f>
        <v>75000</v>
      </c>
      <c r="O187" s="42" t="n">
        <f aca="false">IF($C187="","",IF($E187="借",$M187-$N187,$N187-$M187))</f>
        <v>2000</v>
      </c>
      <c r="P187" s="64" t="str">
        <f aca="false">IF($C187="","",IF(OR(ROUND($G187,2)&lt;&gt;0,ROUND($M187,2)&lt;&gt;0,ROUND($N187,2)&lt;&gt;0),"有",""))</f>
        <v>有</v>
      </c>
    </row>
    <row r="188" customFormat="false" ht="15" hidden="false" customHeight="false" outlineLevel="0" collapsed="false">
      <c r="A188" s="25" t="str">
        <f aca="false">IF(会计科目表!$B27="","",参数设置!$A$12)</f>
        <v>科技</v>
      </c>
      <c r="B188" s="25" t="str">
        <f aca="false">IF(会计科目表!$B27="","",会计科目表!$A27)</f>
        <v>2221</v>
      </c>
      <c r="C188" s="10" t="str">
        <f aca="false">IF(会计科目表!$B27="","",会计科目表!$B27)</f>
        <v>应交税费</v>
      </c>
      <c r="D188" s="25" t="str">
        <f aca="false">IF($C188="","",会计科目表!$C27)</f>
        <v>负债</v>
      </c>
      <c r="E188" s="25" t="str">
        <f aca="false">IF($C188="","",会计科目表!$D27)</f>
        <v>贷</v>
      </c>
      <c r="F188" s="10" t="str">
        <f aca="false">IF($C188="","",会计科目表!$F27)</f>
        <v>应交税费</v>
      </c>
      <c r="G188" s="40" t="n">
        <f aca="false">IF($C188="","",IF($E188="借",SUMIFS(期初余额!$C$6:$C$185,期初余额!$A$6:$A$185,$A188,期初余额!$B$6:$B$185,$C188)-SUMIFS(期初余额!$D$6:$D$185,期初余额!$A$6:$A$185,$A188,期初余额!$B$6:$B$185,$C188),SUMIFS(期初余额!$D$6:$D$185,期初余额!$A$6:$A$185,$A188,期初余额!$B$6:$B$185,$C188)-SUMIFS(期初余额!$C$6:$C$185,期初余额!$A$6:$A$185,$A188,期初余额!$B$6:$B$185,$C188)))</f>
        <v>0</v>
      </c>
      <c r="H188" s="40" t="n">
        <f aca="false">IF($C188="","",$G188+IF($E188="借",SUMIFS(记账分录!$I$6:$I$5505,记账分录!$F$6:$F$5505,$A188,记账分录!$H$6:$H$5505,$C188,记账分录!$E$6:$E$5505,"&lt;"&amp;$A$4)-SUMIFS(记账分录!$J$6:$J$5505,记账分录!$F$6:$F$5505,$A188,记账分录!$H$6:$H$5505,$C188,记账分录!$E$6:$E$5505,"&lt;"&amp;$A$4),SUMIFS(记账分录!$J$6:$J$5505,记账分录!$F$6:$F$5505,$A188,记账分录!$H$6:$H$5505,$C188,记账分录!$E$6:$E$5505,"&lt;"&amp;$A$4)-SUMIFS(记账分录!$I$6:$I$5505,记账分录!$F$6:$F$5505,$A188,记账分录!$H$6:$H$5505,$C188,记账分录!$E$6:$E$5505,"&lt;"&amp;$A$4)))</f>
        <v>0</v>
      </c>
      <c r="I188" s="40" t="n">
        <f aca="false">IF($C188="","",SUMIFS(记账分录!$I$6:$I$5505,记账分录!$F$6:$F$5505,$A188,记账分录!$H$6:$H$5505,$C188,记账分录!$E$6:$E$5505,"&gt;="&amp;$A$4,记账分录!$E$6:$E$5505,"&lt;="&amp;$B$4))</f>
        <v>0</v>
      </c>
      <c r="J188" s="40" t="n">
        <f aca="false">IF($C188="","",SUMIFS(记账分录!$J$6:$J$5505,记账分录!$F$6:$F$5505,$A188,记账分录!$H$6:$H$5505,$C188,记账分录!$E$6:$E$5505,"&gt;="&amp;$A$4,记账分录!$E$6:$E$5505,"&lt;="&amp;$B$4))</f>
        <v>0</v>
      </c>
      <c r="K188" s="42" t="n">
        <f aca="false">IF($C188="","",IF($E188="借",$I188-$J188,$J188-$I188))</f>
        <v>0</v>
      </c>
      <c r="L188" s="42" t="n">
        <f aca="false">IF($C188="","",ROUND($H188+$K188,2))</f>
        <v>0</v>
      </c>
      <c r="M188" s="40" t="n">
        <f aca="false">IF($C188="","",SUMIFS(记账分录!$I$6:$I$5505,记账分录!$F$6:$F$5505,$A188,记账分录!$H$6:$H$5505,$C188,记账分录!$E$6:$E$5505,"&lt;="&amp;$B$4))</f>
        <v>0</v>
      </c>
      <c r="N188" s="40" t="n">
        <f aca="false">IF($C188="","",SUMIFS(记账分录!$J$6:$J$5505,记账分录!$F$6:$F$5505,$A188,记账分录!$H$6:$H$5505,$C188,记账分录!$E$6:$E$5505,"&lt;="&amp;$B$4))</f>
        <v>0</v>
      </c>
      <c r="O188" s="42" t="n">
        <f aca="false">IF($C188="","",IF($E188="借",$M188-$N188,$N188-$M188))</f>
        <v>0</v>
      </c>
      <c r="P188" s="64" t="str">
        <f aca="false">IF($C188="","",IF(OR(ROUND($G188,2)&lt;&gt;0,ROUND($M188,2)&lt;&gt;0,ROUND($N188,2)&lt;&gt;0),"有",""))</f>
        <v/>
      </c>
    </row>
    <row r="189" customFormat="false" ht="15" hidden="false" customHeight="false" outlineLevel="0" collapsed="false">
      <c r="A189" s="25" t="str">
        <f aca="false">IF(会计科目表!$B28="","",参数设置!$A$12)</f>
        <v>科技</v>
      </c>
      <c r="B189" s="25" t="str">
        <f aca="false">IF(会计科目表!$B28="","",会计科目表!$A28)</f>
        <v>2241</v>
      </c>
      <c r="C189" s="10" t="str">
        <f aca="false">IF(会计科目表!$B28="","",会计科目表!$B28)</f>
        <v>其他应付款</v>
      </c>
      <c r="D189" s="25" t="str">
        <f aca="false">IF($C189="","",会计科目表!$C28)</f>
        <v>负债</v>
      </c>
      <c r="E189" s="25" t="str">
        <f aca="false">IF($C189="","",会计科目表!$D28)</f>
        <v>贷</v>
      </c>
      <c r="F189" s="10" t="str">
        <f aca="false">IF($C189="","",会计科目表!$F28)</f>
        <v>其他应付款</v>
      </c>
      <c r="G189" s="40" t="n">
        <f aca="false">IF($C189="","",IF($E189="借",SUMIFS(期初余额!$C$6:$C$185,期初余额!$A$6:$A$185,$A189,期初余额!$B$6:$B$185,$C189)-SUMIFS(期初余额!$D$6:$D$185,期初余额!$A$6:$A$185,$A189,期初余额!$B$6:$B$185,$C189),SUMIFS(期初余额!$D$6:$D$185,期初余额!$A$6:$A$185,$A189,期初余额!$B$6:$B$185,$C189)-SUMIFS(期初余额!$C$6:$C$185,期初余额!$A$6:$A$185,$A189,期初余额!$B$6:$B$185,$C189)))</f>
        <v>0</v>
      </c>
      <c r="H189" s="40" t="n">
        <f aca="false">IF($C189="","",$G189+IF($E189="借",SUMIFS(记账分录!$I$6:$I$5505,记账分录!$F$6:$F$5505,$A189,记账分录!$H$6:$H$5505,$C189,记账分录!$E$6:$E$5505,"&lt;"&amp;$A$4)-SUMIFS(记账分录!$J$6:$J$5505,记账分录!$F$6:$F$5505,$A189,记账分录!$H$6:$H$5505,$C189,记账分录!$E$6:$E$5505,"&lt;"&amp;$A$4),SUMIFS(记账分录!$J$6:$J$5505,记账分录!$F$6:$F$5505,$A189,记账分录!$H$6:$H$5505,$C189,记账分录!$E$6:$E$5505,"&lt;"&amp;$A$4)-SUMIFS(记账分录!$I$6:$I$5505,记账分录!$F$6:$F$5505,$A189,记账分录!$H$6:$H$5505,$C189,记账分录!$E$6:$E$5505,"&lt;"&amp;$A$4)))</f>
        <v>0</v>
      </c>
      <c r="I189" s="40" t="n">
        <f aca="false">IF($C189="","",SUMIFS(记账分录!$I$6:$I$5505,记账分录!$F$6:$F$5505,$A189,记账分录!$H$6:$H$5505,$C189,记账分录!$E$6:$E$5505,"&gt;="&amp;$A$4,记账分录!$E$6:$E$5505,"&lt;="&amp;$B$4))</f>
        <v>0</v>
      </c>
      <c r="J189" s="40" t="n">
        <f aca="false">IF($C189="","",SUMIFS(记账分录!$J$6:$J$5505,记账分录!$F$6:$F$5505,$A189,记账分录!$H$6:$H$5505,$C189,记账分录!$E$6:$E$5505,"&gt;="&amp;$A$4,记账分录!$E$6:$E$5505,"&lt;="&amp;$B$4))</f>
        <v>9600</v>
      </c>
      <c r="K189" s="42" t="n">
        <f aca="false">IF($C189="","",IF($E189="借",$I189-$J189,$J189-$I189))</f>
        <v>9600</v>
      </c>
      <c r="L189" s="42" t="n">
        <f aca="false">IF($C189="","",ROUND($H189+$K189,2))</f>
        <v>9600</v>
      </c>
      <c r="M189" s="40" t="n">
        <f aca="false">IF($C189="","",SUMIFS(记账分录!$I$6:$I$5505,记账分录!$F$6:$F$5505,$A189,记账分录!$H$6:$H$5505,$C189,记账分录!$E$6:$E$5505,"&lt;="&amp;$B$4))</f>
        <v>0</v>
      </c>
      <c r="N189" s="40" t="n">
        <f aca="false">IF($C189="","",SUMIFS(记账分录!$J$6:$J$5505,记账分录!$F$6:$F$5505,$A189,记账分录!$H$6:$H$5505,$C189,记账分录!$E$6:$E$5505,"&lt;="&amp;$B$4))</f>
        <v>9600</v>
      </c>
      <c r="O189" s="42" t="n">
        <f aca="false">IF($C189="","",IF($E189="借",$M189-$N189,$N189-$M189))</f>
        <v>9600</v>
      </c>
      <c r="P189" s="64" t="str">
        <f aca="false">IF($C189="","",IF(OR(ROUND($G189,2)&lt;&gt;0,ROUND($M189,2)&lt;&gt;0,ROUND($N189,2)&lt;&gt;0),"有",""))</f>
        <v>有</v>
      </c>
    </row>
    <row r="190" customFormat="false" ht="15" hidden="false" customHeight="false" outlineLevel="0" collapsed="false">
      <c r="A190" s="25" t="str">
        <f aca="false">IF(会计科目表!$B29="","",参数设置!$A$12)</f>
        <v>科技</v>
      </c>
      <c r="B190" s="25" t="str">
        <f aca="false">IF(会计科目表!$B29="","",会计科目表!$A29)</f>
        <v>2501</v>
      </c>
      <c r="C190" s="10" t="str">
        <f aca="false">IF(会计科目表!$B29="","",会计科目表!$B29)</f>
        <v>长期借款</v>
      </c>
      <c r="D190" s="25" t="str">
        <f aca="false">IF($C190="","",会计科目表!$C29)</f>
        <v>负债</v>
      </c>
      <c r="E190" s="25" t="str">
        <f aca="false">IF($C190="","",会计科目表!$D29)</f>
        <v>贷</v>
      </c>
      <c r="F190" s="10" t="str">
        <f aca="false">IF($C190="","",会计科目表!$F29)</f>
        <v>长期借款</v>
      </c>
      <c r="G190" s="40" t="n">
        <f aca="false">IF($C190="","",IF($E190="借",SUMIFS(期初余额!$C$6:$C$185,期初余额!$A$6:$A$185,$A190,期初余额!$B$6:$B$185,$C190)-SUMIFS(期初余额!$D$6:$D$185,期初余额!$A$6:$A$185,$A190,期初余额!$B$6:$B$185,$C190),SUMIFS(期初余额!$D$6:$D$185,期初余额!$A$6:$A$185,$A190,期初余额!$B$6:$B$185,$C190)-SUMIFS(期初余额!$C$6:$C$185,期初余额!$A$6:$A$185,$A190,期初余额!$B$6:$B$185,$C190)))</f>
        <v>0</v>
      </c>
      <c r="H190" s="40" t="n">
        <f aca="false">IF($C190="","",$G190+IF($E190="借",SUMIFS(记账分录!$I$6:$I$5505,记账分录!$F$6:$F$5505,$A190,记账分录!$H$6:$H$5505,$C190,记账分录!$E$6:$E$5505,"&lt;"&amp;$A$4)-SUMIFS(记账分录!$J$6:$J$5505,记账分录!$F$6:$F$5505,$A190,记账分录!$H$6:$H$5505,$C190,记账分录!$E$6:$E$5505,"&lt;"&amp;$A$4),SUMIFS(记账分录!$J$6:$J$5505,记账分录!$F$6:$F$5505,$A190,记账分录!$H$6:$H$5505,$C190,记账分录!$E$6:$E$5505,"&lt;"&amp;$A$4)-SUMIFS(记账分录!$I$6:$I$5505,记账分录!$F$6:$F$5505,$A190,记账分录!$H$6:$H$5505,$C190,记账分录!$E$6:$E$5505,"&lt;"&amp;$A$4)))</f>
        <v>0</v>
      </c>
      <c r="I190" s="40" t="n">
        <f aca="false">IF($C190="","",SUMIFS(记账分录!$I$6:$I$5505,记账分录!$F$6:$F$5505,$A190,记账分录!$H$6:$H$5505,$C190,记账分录!$E$6:$E$5505,"&gt;="&amp;$A$4,记账分录!$E$6:$E$5505,"&lt;="&amp;$B$4))</f>
        <v>0</v>
      </c>
      <c r="J190" s="40" t="n">
        <f aca="false">IF($C190="","",SUMIFS(记账分录!$J$6:$J$5505,记账分录!$F$6:$F$5505,$A190,记账分录!$H$6:$H$5505,$C190,记账分录!$E$6:$E$5505,"&gt;="&amp;$A$4,记账分录!$E$6:$E$5505,"&lt;="&amp;$B$4))</f>
        <v>0</v>
      </c>
      <c r="K190" s="42" t="n">
        <f aca="false">IF($C190="","",IF($E190="借",$I190-$J190,$J190-$I190))</f>
        <v>0</v>
      </c>
      <c r="L190" s="42" t="n">
        <f aca="false">IF($C190="","",ROUND($H190+$K190,2))</f>
        <v>0</v>
      </c>
      <c r="M190" s="40" t="n">
        <f aca="false">IF($C190="","",SUMIFS(记账分录!$I$6:$I$5505,记账分录!$F$6:$F$5505,$A190,记账分录!$H$6:$H$5505,$C190,记账分录!$E$6:$E$5505,"&lt;="&amp;$B$4))</f>
        <v>0</v>
      </c>
      <c r="N190" s="40" t="n">
        <f aca="false">IF($C190="","",SUMIFS(记账分录!$J$6:$J$5505,记账分录!$F$6:$F$5505,$A190,记账分录!$H$6:$H$5505,$C190,记账分录!$E$6:$E$5505,"&lt;="&amp;$B$4))</f>
        <v>0</v>
      </c>
      <c r="O190" s="42" t="n">
        <f aca="false">IF($C190="","",IF($E190="借",$M190-$N190,$N190-$M190))</f>
        <v>0</v>
      </c>
      <c r="P190" s="64" t="str">
        <f aca="false">IF($C190="","",IF(OR(ROUND($G190,2)&lt;&gt;0,ROUND($M190,2)&lt;&gt;0,ROUND($N190,2)&lt;&gt;0),"有",""))</f>
        <v/>
      </c>
    </row>
    <row r="191" customFormat="false" ht="15" hidden="false" customHeight="false" outlineLevel="0" collapsed="false">
      <c r="A191" s="25" t="str">
        <f aca="false">IF(会计科目表!$B30="","",参数设置!$A$12)</f>
        <v>科技</v>
      </c>
      <c r="B191" s="25" t="str">
        <f aca="false">IF(会计科目表!$B30="","",会计科目表!$A30)</f>
        <v>4001</v>
      </c>
      <c r="C191" s="10" t="str">
        <f aca="false">IF(会计科目表!$B30="","",会计科目表!$B30)</f>
        <v>实收资本</v>
      </c>
      <c r="D191" s="25" t="str">
        <f aca="false">IF($C191="","",会计科目表!$C30)</f>
        <v>权益</v>
      </c>
      <c r="E191" s="25" t="str">
        <f aca="false">IF($C191="","",会计科目表!$D30)</f>
        <v>贷</v>
      </c>
      <c r="F191" s="10" t="str">
        <f aca="false">IF($C191="","",会计科目表!$F30)</f>
        <v>实收资本</v>
      </c>
      <c r="G191" s="40" t="n">
        <f aca="false">IF($C191="","",IF($E191="借",SUMIFS(期初余额!$C$6:$C$185,期初余额!$A$6:$A$185,$A191,期初余额!$B$6:$B$185,$C191)-SUMIFS(期初余额!$D$6:$D$185,期初余额!$A$6:$A$185,$A191,期初余额!$B$6:$B$185,$C191),SUMIFS(期初余额!$D$6:$D$185,期初余额!$A$6:$A$185,$A191,期初余额!$B$6:$B$185,$C191)-SUMIFS(期初余额!$C$6:$C$185,期初余额!$A$6:$A$185,$A191,期初余额!$B$6:$B$185,$C191)))</f>
        <v>700000</v>
      </c>
      <c r="H191" s="40" t="n">
        <f aca="false">IF($C191="","",$G191+IF($E191="借",SUMIFS(记账分录!$I$6:$I$5505,记账分录!$F$6:$F$5505,$A191,记账分录!$H$6:$H$5505,$C191,记账分录!$E$6:$E$5505,"&lt;"&amp;$A$4)-SUMIFS(记账分录!$J$6:$J$5505,记账分录!$F$6:$F$5505,$A191,记账分录!$H$6:$H$5505,$C191,记账分录!$E$6:$E$5505,"&lt;"&amp;$A$4),SUMIFS(记账分录!$J$6:$J$5505,记账分录!$F$6:$F$5505,$A191,记账分录!$H$6:$H$5505,$C191,记账分录!$E$6:$E$5505,"&lt;"&amp;$A$4)-SUMIFS(记账分录!$I$6:$I$5505,记账分录!$F$6:$F$5505,$A191,记账分录!$H$6:$H$5505,$C191,记账分录!$E$6:$E$5505,"&lt;"&amp;$A$4)))</f>
        <v>700000</v>
      </c>
      <c r="I191" s="40" t="n">
        <f aca="false">IF($C191="","",SUMIFS(记账分录!$I$6:$I$5505,记账分录!$F$6:$F$5505,$A191,记账分录!$H$6:$H$5505,$C191,记账分录!$E$6:$E$5505,"&gt;="&amp;$A$4,记账分录!$E$6:$E$5505,"&lt;="&amp;$B$4))</f>
        <v>0</v>
      </c>
      <c r="J191" s="40" t="n">
        <f aca="false">IF($C191="","",SUMIFS(记账分录!$J$6:$J$5505,记账分录!$F$6:$F$5505,$A191,记账分录!$H$6:$H$5505,$C191,记账分录!$E$6:$E$5505,"&gt;="&amp;$A$4,记账分录!$E$6:$E$5505,"&lt;="&amp;$B$4))</f>
        <v>100000</v>
      </c>
      <c r="K191" s="42" t="n">
        <f aca="false">IF($C191="","",IF($E191="借",$I191-$J191,$J191-$I191))</f>
        <v>100000</v>
      </c>
      <c r="L191" s="42" t="n">
        <f aca="false">IF($C191="","",ROUND($H191+$K191,2))</f>
        <v>800000</v>
      </c>
      <c r="M191" s="40" t="n">
        <f aca="false">IF($C191="","",SUMIFS(记账分录!$I$6:$I$5505,记账分录!$F$6:$F$5505,$A191,记账分录!$H$6:$H$5505,$C191,记账分录!$E$6:$E$5505,"&lt;="&amp;$B$4))</f>
        <v>0</v>
      </c>
      <c r="N191" s="40" t="n">
        <f aca="false">IF($C191="","",SUMIFS(记账分录!$J$6:$J$5505,记账分录!$F$6:$F$5505,$A191,记账分录!$H$6:$H$5505,$C191,记账分录!$E$6:$E$5505,"&lt;="&amp;$B$4))</f>
        <v>100000</v>
      </c>
      <c r="O191" s="42" t="n">
        <f aca="false">IF($C191="","",IF($E191="借",$M191-$N191,$N191-$M191))</f>
        <v>100000</v>
      </c>
      <c r="P191" s="64" t="str">
        <f aca="false">IF($C191="","",IF(OR(ROUND($G191,2)&lt;&gt;0,ROUND($M191,2)&lt;&gt;0,ROUND($N191,2)&lt;&gt;0),"有",""))</f>
        <v>有</v>
      </c>
    </row>
    <row r="192" customFormat="false" ht="15" hidden="false" customHeight="false" outlineLevel="0" collapsed="false">
      <c r="A192" s="25" t="str">
        <f aca="false">IF(会计科目表!$B31="","",参数设置!$A$12)</f>
        <v>科技</v>
      </c>
      <c r="B192" s="25" t="str">
        <f aca="false">IF(会计科目表!$B31="","",会计科目表!$A31)</f>
        <v>4002</v>
      </c>
      <c r="C192" s="10" t="str">
        <f aca="false">IF(会计科目表!$B31="","",会计科目表!$B31)</f>
        <v>资本公积</v>
      </c>
      <c r="D192" s="25" t="str">
        <f aca="false">IF($C192="","",会计科目表!$C31)</f>
        <v>权益</v>
      </c>
      <c r="E192" s="25" t="str">
        <f aca="false">IF($C192="","",会计科目表!$D31)</f>
        <v>贷</v>
      </c>
      <c r="F192" s="10" t="str">
        <f aca="false">IF($C192="","",会计科目表!$F31)</f>
        <v>资本公积</v>
      </c>
      <c r="G192" s="40" t="n">
        <f aca="false">IF($C192="","",IF($E192="借",SUMIFS(期初余额!$C$6:$C$185,期初余额!$A$6:$A$185,$A192,期初余额!$B$6:$B$185,$C192)-SUMIFS(期初余额!$D$6:$D$185,期初余额!$A$6:$A$185,$A192,期初余额!$B$6:$B$185,$C192),SUMIFS(期初余额!$D$6:$D$185,期初余额!$A$6:$A$185,$A192,期初余额!$B$6:$B$185,$C192)-SUMIFS(期初余额!$C$6:$C$185,期初余额!$A$6:$A$185,$A192,期初余额!$B$6:$B$185,$C192)))</f>
        <v>0</v>
      </c>
      <c r="H192" s="40" t="n">
        <f aca="false">IF($C192="","",$G192+IF($E192="借",SUMIFS(记账分录!$I$6:$I$5505,记账分录!$F$6:$F$5505,$A192,记账分录!$H$6:$H$5505,$C192,记账分录!$E$6:$E$5505,"&lt;"&amp;$A$4)-SUMIFS(记账分录!$J$6:$J$5505,记账分录!$F$6:$F$5505,$A192,记账分录!$H$6:$H$5505,$C192,记账分录!$E$6:$E$5505,"&lt;"&amp;$A$4),SUMIFS(记账分录!$J$6:$J$5505,记账分录!$F$6:$F$5505,$A192,记账分录!$H$6:$H$5505,$C192,记账分录!$E$6:$E$5505,"&lt;"&amp;$A$4)-SUMIFS(记账分录!$I$6:$I$5505,记账分录!$F$6:$F$5505,$A192,记账分录!$H$6:$H$5505,$C192,记账分录!$E$6:$E$5505,"&lt;"&amp;$A$4)))</f>
        <v>0</v>
      </c>
      <c r="I192" s="40" t="n">
        <f aca="false">IF($C192="","",SUMIFS(记账分录!$I$6:$I$5505,记账分录!$F$6:$F$5505,$A192,记账分录!$H$6:$H$5505,$C192,记账分录!$E$6:$E$5505,"&gt;="&amp;$A$4,记账分录!$E$6:$E$5505,"&lt;="&amp;$B$4))</f>
        <v>0</v>
      </c>
      <c r="J192" s="40" t="n">
        <f aca="false">IF($C192="","",SUMIFS(记账分录!$J$6:$J$5505,记账分录!$F$6:$F$5505,$A192,记账分录!$H$6:$H$5505,$C192,记账分录!$E$6:$E$5505,"&gt;="&amp;$A$4,记账分录!$E$6:$E$5505,"&lt;="&amp;$B$4))</f>
        <v>0</v>
      </c>
      <c r="K192" s="42" t="n">
        <f aca="false">IF($C192="","",IF($E192="借",$I192-$J192,$J192-$I192))</f>
        <v>0</v>
      </c>
      <c r="L192" s="42" t="n">
        <f aca="false">IF($C192="","",ROUND($H192+$K192,2))</f>
        <v>0</v>
      </c>
      <c r="M192" s="40" t="n">
        <f aca="false">IF($C192="","",SUMIFS(记账分录!$I$6:$I$5505,记账分录!$F$6:$F$5505,$A192,记账分录!$H$6:$H$5505,$C192,记账分录!$E$6:$E$5505,"&lt;="&amp;$B$4))</f>
        <v>0</v>
      </c>
      <c r="N192" s="40" t="n">
        <f aca="false">IF($C192="","",SUMIFS(记账分录!$J$6:$J$5505,记账分录!$F$6:$F$5505,$A192,记账分录!$H$6:$H$5505,$C192,记账分录!$E$6:$E$5505,"&lt;="&amp;$B$4))</f>
        <v>0</v>
      </c>
      <c r="O192" s="42" t="n">
        <f aca="false">IF($C192="","",IF($E192="借",$M192-$N192,$N192-$M192))</f>
        <v>0</v>
      </c>
      <c r="P192" s="64" t="str">
        <f aca="false">IF($C192="","",IF(OR(ROUND($G192,2)&lt;&gt;0,ROUND($M192,2)&lt;&gt;0,ROUND($N192,2)&lt;&gt;0),"有",""))</f>
        <v/>
      </c>
    </row>
    <row r="193" customFormat="false" ht="15" hidden="false" customHeight="false" outlineLevel="0" collapsed="false">
      <c r="A193" s="25" t="str">
        <f aca="false">IF(会计科目表!$B32="","",参数设置!$A$12)</f>
        <v>科技</v>
      </c>
      <c r="B193" s="25" t="str">
        <f aca="false">IF(会计科目表!$B32="","",会计科目表!$A32)</f>
        <v>4101</v>
      </c>
      <c r="C193" s="10" t="str">
        <f aca="false">IF(会计科目表!$B32="","",会计科目表!$B32)</f>
        <v>盈余公积</v>
      </c>
      <c r="D193" s="25" t="str">
        <f aca="false">IF($C193="","",会计科目表!$C32)</f>
        <v>权益</v>
      </c>
      <c r="E193" s="25" t="str">
        <f aca="false">IF($C193="","",会计科目表!$D32)</f>
        <v>贷</v>
      </c>
      <c r="F193" s="10" t="str">
        <f aca="false">IF($C193="","",会计科目表!$F32)</f>
        <v>盈余公积</v>
      </c>
      <c r="G193" s="40" t="n">
        <f aca="false">IF($C193="","",IF($E193="借",SUMIFS(期初余额!$C$6:$C$185,期初余额!$A$6:$A$185,$A193,期初余额!$B$6:$B$185,$C193)-SUMIFS(期初余额!$D$6:$D$185,期初余额!$A$6:$A$185,$A193,期初余额!$B$6:$B$185,$C193),SUMIFS(期初余额!$D$6:$D$185,期初余额!$A$6:$A$185,$A193,期初余额!$B$6:$B$185,$C193)-SUMIFS(期初余额!$C$6:$C$185,期初余额!$A$6:$A$185,$A193,期初余额!$B$6:$B$185,$C193)))</f>
        <v>0</v>
      </c>
      <c r="H193" s="40" t="n">
        <f aca="false">IF($C193="","",$G193+IF($E193="借",SUMIFS(记账分录!$I$6:$I$5505,记账分录!$F$6:$F$5505,$A193,记账分录!$H$6:$H$5505,$C193,记账分录!$E$6:$E$5505,"&lt;"&amp;$A$4)-SUMIFS(记账分录!$J$6:$J$5505,记账分录!$F$6:$F$5505,$A193,记账分录!$H$6:$H$5505,$C193,记账分录!$E$6:$E$5505,"&lt;"&amp;$A$4),SUMIFS(记账分录!$J$6:$J$5505,记账分录!$F$6:$F$5505,$A193,记账分录!$H$6:$H$5505,$C193,记账分录!$E$6:$E$5505,"&lt;"&amp;$A$4)-SUMIFS(记账分录!$I$6:$I$5505,记账分录!$F$6:$F$5505,$A193,记账分录!$H$6:$H$5505,$C193,记账分录!$E$6:$E$5505,"&lt;"&amp;$A$4)))</f>
        <v>0</v>
      </c>
      <c r="I193" s="40" t="n">
        <f aca="false">IF($C193="","",SUMIFS(记账分录!$I$6:$I$5505,记账分录!$F$6:$F$5505,$A193,记账分录!$H$6:$H$5505,$C193,记账分录!$E$6:$E$5505,"&gt;="&amp;$A$4,记账分录!$E$6:$E$5505,"&lt;="&amp;$B$4))</f>
        <v>0</v>
      </c>
      <c r="J193" s="40" t="n">
        <f aca="false">IF($C193="","",SUMIFS(记账分录!$J$6:$J$5505,记账分录!$F$6:$F$5505,$A193,记账分录!$H$6:$H$5505,$C193,记账分录!$E$6:$E$5505,"&gt;="&amp;$A$4,记账分录!$E$6:$E$5505,"&lt;="&amp;$B$4))</f>
        <v>0</v>
      </c>
      <c r="K193" s="42" t="n">
        <f aca="false">IF($C193="","",IF($E193="借",$I193-$J193,$J193-$I193))</f>
        <v>0</v>
      </c>
      <c r="L193" s="42" t="n">
        <f aca="false">IF($C193="","",ROUND($H193+$K193,2))</f>
        <v>0</v>
      </c>
      <c r="M193" s="40" t="n">
        <f aca="false">IF($C193="","",SUMIFS(记账分录!$I$6:$I$5505,记账分录!$F$6:$F$5505,$A193,记账分录!$H$6:$H$5505,$C193,记账分录!$E$6:$E$5505,"&lt;="&amp;$B$4))</f>
        <v>0</v>
      </c>
      <c r="N193" s="40" t="n">
        <f aca="false">IF($C193="","",SUMIFS(记账分录!$J$6:$J$5505,记账分录!$F$6:$F$5505,$A193,记账分录!$H$6:$H$5505,$C193,记账分录!$E$6:$E$5505,"&lt;="&amp;$B$4))</f>
        <v>0</v>
      </c>
      <c r="O193" s="42" t="n">
        <f aca="false">IF($C193="","",IF($E193="借",$M193-$N193,$N193-$M193))</f>
        <v>0</v>
      </c>
      <c r="P193" s="64" t="str">
        <f aca="false">IF($C193="","",IF(OR(ROUND($G193,2)&lt;&gt;0,ROUND($M193,2)&lt;&gt;0,ROUND($N193,2)&lt;&gt;0),"有",""))</f>
        <v/>
      </c>
    </row>
    <row r="194" customFormat="false" ht="15" hidden="false" customHeight="false" outlineLevel="0" collapsed="false">
      <c r="A194" s="25" t="str">
        <f aca="false">IF(会计科目表!$B33="","",参数设置!$A$12)</f>
        <v>科技</v>
      </c>
      <c r="B194" s="25" t="str">
        <f aca="false">IF(会计科目表!$B33="","",会计科目表!$A33)</f>
        <v>4104</v>
      </c>
      <c r="C194" s="10" t="str">
        <f aca="false">IF(会计科目表!$B33="","",会计科目表!$B33)</f>
        <v>未分配利润</v>
      </c>
      <c r="D194" s="25" t="str">
        <f aca="false">IF($C194="","",会计科目表!$C33)</f>
        <v>权益</v>
      </c>
      <c r="E194" s="25" t="str">
        <f aca="false">IF($C194="","",会计科目表!$D33)</f>
        <v>贷</v>
      </c>
      <c r="F194" s="10" t="str">
        <f aca="false">IF($C194="","",会计科目表!$F33)</f>
        <v>未分配利润</v>
      </c>
      <c r="G194" s="40" t="n">
        <f aca="false">IF($C194="","",IF($E194="借",SUMIFS(期初余额!$C$6:$C$185,期初余额!$A$6:$A$185,$A194,期初余额!$B$6:$B$185,$C194)-SUMIFS(期初余额!$D$6:$D$185,期初余额!$A$6:$A$185,$A194,期初余额!$B$6:$B$185,$C194),SUMIFS(期初余额!$D$6:$D$185,期初余额!$A$6:$A$185,$A194,期初余额!$B$6:$B$185,$C194)-SUMIFS(期初余额!$C$6:$C$185,期初余额!$A$6:$A$185,$A194,期初余额!$B$6:$B$185,$C194)))</f>
        <v>219140</v>
      </c>
      <c r="H194" s="40" t="n">
        <f aca="false">IF($C194="","",$G194+IF($E194="借",SUMIFS(记账分录!$I$6:$I$5505,记账分录!$F$6:$F$5505,$A194,记账分录!$H$6:$H$5505,$C194,记账分录!$E$6:$E$5505,"&lt;"&amp;$A$4)-SUMIFS(记账分录!$J$6:$J$5505,记账分录!$F$6:$F$5505,$A194,记账分录!$H$6:$H$5505,$C194,记账分录!$E$6:$E$5505,"&lt;"&amp;$A$4),SUMIFS(记账分录!$J$6:$J$5505,记账分录!$F$6:$F$5505,$A194,记账分录!$H$6:$H$5505,$C194,记账分录!$E$6:$E$5505,"&lt;"&amp;$A$4)-SUMIFS(记账分录!$I$6:$I$5505,记账分录!$F$6:$F$5505,$A194,记账分录!$H$6:$H$5505,$C194,记账分录!$E$6:$E$5505,"&lt;"&amp;$A$4)))</f>
        <v>219140</v>
      </c>
      <c r="I194" s="40" t="n">
        <f aca="false">IF($C194="","",SUMIFS(记账分录!$I$6:$I$5505,记账分录!$F$6:$F$5505,$A194,记账分录!$H$6:$H$5505,$C194,记账分录!$E$6:$E$5505,"&gt;="&amp;$A$4,记账分录!$E$6:$E$5505,"&lt;="&amp;$B$4))</f>
        <v>0</v>
      </c>
      <c r="J194" s="40" t="n">
        <f aca="false">IF($C194="","",SUMIFS(记账分录!$J$6:$J$5505,记账分录!$F$6:$F$5505,$A194,记账分录!$H$6:$H$5505,$C194,记账分录!$E$6:$E$5505,"&gt;="&amp;$A$4,记账分录!$E$6:$E$5505,"&lt;="&amp;$B$4))</f>
        <v>0</v>
      </c>
      <c r="K194" s="42" t="n">
        <f aca="false">IF($C194="","",IF($E194="借",$I194-$J194,$J194-$I194))</f>
        <v>0</v>
      </c>
      <c r="L194" s="42" t="n">
        <f aca="false">IF($C194="","",ROUND($H194+$K194,2))</f>
        <v>219140</v>
      </c>
      <c r="M194" s="40" t="n">
        <f aca="false">IF($C194="","",SUMIFS(记账分录!$I$6:$I$5505,记账分录!$F$6:$F$5505,$A194,记账分录!$H$6:$H$5505,$C194,记账分录!$E$6:$E$5505,"&lt;="&amp;$B$4))</f>
        <v>0</v>
      </c>
      <c r="N194" s="40" t="n">
        <f aca="false">IF($C194="","",SUMIFS(记账分录!$J$6:$J$5505,记账分录!$F$6:$F$5505,$A194,记账分录!$H$6:$H$5505,$C194,记账分录!$E$6:$E$5505,"&lt;="&amp;$B$4))</f>
        <v>0</v>
      </c>
      <c r="O194" s="42" t="n">
        <f aca="false">IF($C194="","",IF($E194="借",$M194-$N194,$N194-$M194))</f>
        <v>0</v>
      </c>
      <c r="P194" s="64" t="str">
        <f aca="false">IF($C194="","",IF(OR(ROUND($G194,2)&lt;&gt;0,ROUND($M194,2)&lt;&gt;0,ROUND($N194,2)&lt;&gt;0),"有",""))</f>
        <v>有</v>
      </c>
    </row>
    <row r="195" customFormat="false" ht="15" hidden="false" customHeight="false" outlineLevel="0" collapsed="false">
      <c r="A195" s="25" t="str">
        <f aca="false">IF(会计科目表!$B34="","",参数设置!$A$12)</f>
        <v>科技</v>
      </c>
      <c r="B195" s="25" t="str">
        <f aca="false">IF(会计科目表!$B34="","",会计科目表!$A34)</f>
        <v>6001</v>
      </c>
      <c r="C195" s="10" t="str">
        <f aca="false">IF(会计科目表!$B34="","",会计科目表!$B34)</f>
        <v>主营业务收入</v>
      </c>
      <c r="D195" s="25" t="str">
        <f aca="false">IF($C195="","",会计科目表!$C34)</f>
        <v>损益-收入</v>
      </c>
      <c r="E195" s="25" t="str">
        <f aca="false">IF($C195="","",会计科目表!$D34)</f>
        <v>贷</v>
      </c>
      <c r="F195" s="10" t="str">
        <f aca="false">IF($C195="","",会计科目表!$F34)</f>
        <v>营业收入</v>
      </c>
      <c r="G195" s="40" t="n">
        <f aca="false">IF($C195="","",IF($E195="借",SUMIFS(期初余额!$C$6:$C$185,期初余额!$A$6:$A$185,$A195,期初余额!$B$6:$B$185,$C195)-SUMIFS(期初余额!$D$6:$D$185,期初余额!$A$6:$A$185,$A195,期初余额!$B$6:$B$185,$C195),SUMIFS(期初余额!$D$6:$D$185,期初余额!$A$6:$A$185,$A195,期初余额!$B$6:$B$185,$C195)-SUMIFS(期初余额!$C$6:$C$185,期初余额!$A$6:$A$185,$A195,期初余额!$B$6:$B$185,$C195)))</f>
        <v>0</v>
      </c>
      <c r="H195" s="40" t="n">
        <f aca="false">IF($C195="","",$G195+IF($E195="借",SUMIFS(记账分录!$I$6:$I$5505,记账分录!$F$6:$F$5505,$A195,记账分录!$H$6:$H$5505,$C195,记账分录!$E$6:$E$5505,"&lt;"&amp;$A$4)-SUMIFS(记账分录!$J$6:$J$5505,记账分录!$F$6:$F$5505,$A195,记账分录!$H$6:$H$5505,$C195,记账分录!$E$6:$E$5505,"&lt;"&amp;$A$4),SUMIFS(记账分录!$J$6:$J$5505,记账分录!$F$6:$F$5505,$A195,记账分录!$H$6:$H$5505,$C195,记账分录!$E$6:$E$5505,"&lt;"&amp;$A$4)-SUMIFS(记账分录!$I$6:$I$5505,记账分录!$F$6:$F$5505,$A195,记账分录!$H$6:$H$5505,$C195,记账分录!$E$6:$E$5505,"&lt;"&amp;$A$4)))</f>
        <v>0</v>
      </c>
      <c r="I195" s="40" t="n">
        <f aca="false">IF($C195="","",SUMIFS(记账分录!$I$6:$I$5505,记账分录!$F$6:$F$5505,$A195,记账分录!$H$6:$H$5505,$C195,记账分录!$E$6:$E$5505,"&gt;="&amp;$A$4,记账分录!$E$6:$E$5505,"&lt;="&amp;$B$4))</f>
        <v>0</v>
      </c>
      <c r="J195" s="40" t="n">
        <f aca="false">IF($C195="","",SUMIFS(记账分录!$J$6:$J$5505,记账分录!$F$6:$F$5505,$A195,记账分录!$H$6:$H$5505,$C195,记账分录!$E$6:$E$5505,"&gt;="&amp;$A$4,记账分录!$E$6:$E$5505,"&lt;="&amp;$B$4))</f>
        <v>444750</v>
      </c>
      <c r="K195" s="42" t="n">
        <f aca="false">IF($C195="","",IF($E195="借",$I195-$J195,$J195-$I195))</f>
        <v>444750</v>
      </c>
      <c r="L195" s="42" t="n">
        <f aca="false">IF($C195="","",ROUND($H195+$K195,2))</f>
        <v>444750</v>
      </c>
      <c r="M195" s="40" t="n">
        <f aca="false">IF($C195="","",SUMIFS(记账分录!$I$6:$I$5505,记账分录!$F$6:$F$5505,$A195,记账分录!$H$6:$H$5505,$C195,记账分录!$E$6:$E$5505,"&lt;="&amp;$B$4))</f>
        <v>0</v>
      </c>
      <c r="N195" s="40" t="n">
        <f aca="false">IF($C195="","",SUMIFS(记账分录!$J$6:$J$5505,记账分录!$F$6:$F$5505,$A195,记账分录!$H$6:$H$5505,$C195,记账分录!$E$6:$E$5505,"&lt;="&amp;$B$4))</f>
        <v>444750</v>
      </c>
      <c r="O195" s="42" t="n">
        <f aca="false">IF($C195="","",IF($E195="借",$M195-$N195,$N195-$M195))</f>
        <v>444750</v>
      </c>
      <c r="P195" s="64" t="str">
        <f aca="false">IF($C195="","",IF(OR(ROUND($G195,2)&lt;&gt;0,ROUND($M195,2)&lt;&gt;0,ROUND($N195,2)&lt;&gt;0),"有",""))</f>
        <v>有</v>
      </c>
    </row>
    <row r="196" customFormat="false" ht="15" hidden="false" customHeight="false" outlineLevel="0" collapsed="false">
      <c r="A196" s="25" t="str">
        <f aca="false">IF(会计科目表!$B35="","",参数设置!$A$12)</f>
        <v>科技</v>
      </c>
      <c r="B196" s="25" t="str">
        <f aca="false">IF(会计科目表!$B35="","",会计科目表!$A35)</f>
        <v>6051</v>
      </c>
      <c r="C196" s="10" t="str">
        <f aca="false">IF(会计科目表!$B35="","",会计科目表!$B35)</f>
        <v>其他业务收入</v>
      </c>
      <c r="D196" s="25" t="str">
        <f aca="false">IF($C196="","",会计科目表!$C35)</f>
        <v>损益-收入</v>
      </c>
      <c r="E196" s="25" t="str">
        <f aca="false">IF($C196="","",会计科目表!$D35)</f>
        <v>贷</v>
      </c>
      <c r="F196" s="10" t="str">
        <f aca="false">IF($C196="","",会计科目表!$F35)</f>
        <v>营业收入</v>
      </c>
      <c r="G196" s="40" t="n">
        <f aca="false">IF($C196="","",IF($E196="借",SUMIFS(期初余额!$C$6:$C$185,期初余额!$A$6:$A$185,$A196,期初余额!$B$6:$B$185,$C196)-SUMIFS(期初余额!$D$6:$D$185,期初余额!$A$6:$A$185,$A196,期初余额!$B$6:$B$185,$C196),SUMIFS(期初余额!$D$6:$D$185,期初余额!$A$6:$A$185,$A196,期初余额!$B$6:$B$185,$C196)-SUMIFS(期初余额!$C$6:$C$185,期初余额!$A$6:$A$185,$A196,期初余额!$B$6:$B$185,$C196)))</f>
        <v>0</v>
      </c>
      <c r="H196" s="40" t="n">
        <f aca="false">IF($C196="","",$G196+IF($E196="借",SUMIFS(记账分录!$I$6:$I$5505,记账分录!$F$6:$F$5505,$A196,记账分录!$H$6:$H$5505,$C196,记账分录!$E$6:$E$5505,"&lt;"&amp;$A$4)-SUMIFS(记账分录!$J$6:$J$5505,记账分录!$F$6:$F$5505,$A196,记账分录!$H$6:$H$5505,$C196,记账分录!$E$6:$E$5505,"&lt;"&amp;$A$4),SUMIFS(记账分录!$J$6:$J$5505,记账分录!$F$6:$F$5505,$A196,记账分录!$H$6:$H$5505,$C196,记账分录!$E$6:$E$5505,"&lt;"&amp;$A$4)-SUMIFS(记账分录!$I$6:$I$5505,记账分录!$F$6:$F$5505,$A196,记账分录!$H$6:$H$5505,$C196,记账分录!$E$6:$E$5505,"&lt;"&amp;$A$4)))</f>
        <v>0</v>
      </c>
      <c r="I196" s="40" t="n">
        <f aca="false">IF($C196="","",SUMIFS(记账分录!$I$6:$I$5505,记账分录!$F$6:$F$5505,$A196,记账分录!$H$6:$H$5505,$C196,记账分录!$E$6:$E$5505,"&gt;="&amp;$A$4,记账分录!$E$6:$E$5505,"&lt;="&amp;$B$4))</f>
        <v>0</v>
      </c>
      <c r="J196" s="40" t="n">
        <f aca="false">IF($C196="","",SUMIFS(记账分录!$J$6:$J$5505,记账分录!$F$6:$F$5505,$A196,记账分录!$H$6:$H$5505,$C196,记账分录!$E$6:$E$5505,"&gt;="&amp;$A$4,记账分录!$E$6:$E$5505,"&lt;="&amp;$B$4))</f>
        <v>0</v>
      </c>
      <c r="K196" s="42" t="n">
        <f aca="false">IF($C196="","",IF($E196="借",$I196-$J196,$J196-$I196))</f>
        <v>0</v>
      </c>
      <c r="L196" s="42" t="n">
        <f aca="false">IF($C196="","",ROUND($H196+$K196,2))</f>
        <v>0</v>
      </c>
      <c r="M196" s="40" t="n">
        <f aca="false">IF($C196="","",SUMIFS(记账分录!$I$6:$I$5505,记账分录!$F$6:$F$5505,$A196,记账分录!$H$6:$H$5505,$C196,记账分录!$E$6:$E$5505,"&lt;="&amp;$B$4))</f>
        <v>0</v>
      </c>
      <c r="N196" s="40" t="n">
        <f aca="false">IF($C196="","",SUMIFS(记账分录!$J$6:$J$5505,记账分录!$F$6:$F$5505,$A196,记账分录!$H$6:$H$5505,$C196,记账分录!$E$6:$E$5505,"&lt;="&amp;$B$4))</f>
        <v>0</v>
      </c>
      <c r="O196" s="42" t="n">
        <f aca="false">IF($C196="","",IF($E196="借",$M196-$N196,$N196-$M196))</f>
        <v>0</v>
      </c>
      <c r="P196" s="64" t="str">
        <f aca="false">IF($C196="","",IF(OR(ROUND($G196,2)&lt;&gt;0,ROUND($M196,2)&lt;&gt;0,ROUND($N196,2)&lt;&gt;0),"有",""))</f>
        <v/>
      </c>
    </row>
    <row r="197" customFormat="false" ht="15" hidden="false" customHeight="false" outlineLevel="0" collapsed="false">
      <c r="A197" s="25" t="str">
        <f aca="false">IF(会计科目表!$B36="","",参数设置!$A$12)</f>
        <v>科技</v>
      </c>
      <c r="B197" s="25" t="str">
        <f aca="false">IF(会计科目表!$B36="","",会计科目表!$A36)</f>
        <v>6111</v>
      </c>
      <c r="C197" s="10" t="str">
        <f aca="false">IF(会计科目表!$B36="","",会计科目表!$B36)</f>
        <v>投资收益</v>
      </c>
      <c r="D197" s="25" t="str">
        <f aca="false">IF($C197="","",会计科目表!$C36)</f>
        <v>损益-收入</v>
      </c>
      <c r="E197" s="25" t="str">
        <f aca="false">IF($C197="","",会计科目表!$D36)</f>
        <v>贷</v>
      </c>
      <c r="F197" s="10" t="str">
        <f aca="false">IF($C197="","",会计科目表!$F36)</f>
        <v>投资收益</v>
      </c>
      <c r="G197" s="40" t="n">
        <f aca="false">IF($C197="","",IF($E197="借",SUMIFS(期初余额!$C$6:$C$185,期初余额!$A$6:$A$185,$A197,期初余额!$B$6:$B$185,$C197)-SUMIFS(期初余额!$D$6:$D$185,期初余额!$A$6:$A$185,$A197,期初余额!$B$6:$B$185,$C197),SUMIFS(期初余额!$D$6:$D$185,期初余额!$A$6:$A$185,$A197,期初余额!$B$6:$B$185,$C197)-SUMIFS(期初余额!$C$6:$C$185,期初余额!$A$6:$A$185,$A197,期初余额!$B$6:$B$185,$C197)))</f>
        <v>0</v>
      </c>
      <c r="H197" s="40" t="n">
        <f aca="false">IF($C197="","",$G197+IF($E197="借",SUMIFS(记账分录!$I$6:$I$5505,记账分录!$F$6:$F$5505,$A197,记账分录!$H$6:$H$5505,$C197,记账分录!$E$6:$E$5505,"&lt;"&amp;$A$4)-SUMIFS(记账分录!$J$6:$J$5505,记账分录!$F$6:$F$5505,$A197,记账分录!$H$6:$H$5505,$C197,记账分录!$E$6:$E$5505,"&lt;"&amp;$A$4),SUMIFS(记账分录!$J$6:$J$5505,记账分录!$F$6:$F$5505,$A197,记账分录!$H$6:$H$5505,$C197,记账分录!$E$6:$E$5505,"&lt;"&amp;$A$4)-SUMIFS(记账分录!$I$6:$I$5505,记账分录!$F$6:$F$5505,$A197,记账分录!$H$6:$H$5505,$C197,记账分录!$E$6:$E$5505,"&lt;"&amp;$A$4)))</f>
        <v>0</v>
      </c>
      <c r="I197" s="40" t="n">
        <f aca="false">IF($C197="","",SUMIFS(记账分录!$I$6:$I$5505,记账分录!$F$6:$F$5505,$A197,记账分录!$H$6:$H$5505,$C197,记账分录!$E$6:$E$5505,"&gt;="&amp;$A$4,记账分录!$E$6:$E$5505,"&lt;="&amp;$B$4))</f>
        <v>0</v>
      </c>
      <c r="J197" s="40" t="n">
        <f aca="false">IF($C197="","",SUMIFS(记账分录!$J$6:$J$5505,记账分录!$F$6:$F$5505,$A197,记账分录!$H$6:$H$5505,$C197,记账分录!$E$6:$E$5505,"&gt;="&amp;$A$4,记账分录!$E$6:$E$5505,"&lt;="&amp;$B$4))</f>
        <v>0</v>
      </c>
      <c r="K197" s="42" t="n">
        <f aca="false">IF($C197="","",IF($E197="借",$I197-$J197,$J197-$I197))</f>
        <v>0</v>
      </c>
      <c r="L197" s="42" t="n">
        <f aca="false">IF($C197="","",ROUND($H197+$K197,2))</f>
        <v>0</v>
      </c>
      <c r="M197" s="40" t="n">
        <f aca="false">IF($C197="","",SUMIFS(记账分录!$I$6:$I$5505,记账分录!$F$6:$F$5505,$A197,记账分录!$H$6:$H$5505,$C197,记账分录!$E$6:$E$5505,"&lt;="&amp;$B$4))</f>
        <v>0</v>
      </c>
      <c r="N197" s="40" t="n">
        <f aca="false">IF($C197="","",SUMIFS(记账分录!$J$6:$J$5505,记账分录!$F$6:$F$5505,$A197,记账分录!$H$6:$H$5505,$C197,记账分录!$E$6:$E$5505,"&lt;="&amp;$B$4))</f>
        <v>0</v>
      </c>
      <c r="O197" s="42" t="n">
        <f aca="false">IF($C197="","",IF($E197="借",$M197-$N197,$N197-$M197))</f>
        <v>0</v>
      </c>
      <c r="P197" s="64" t="str">
        <f aca="false">IF($C197="","",IF(OR(ROUND($G197,2)&lt;&gt;0,ROUND($M197,2)&lt;&gt;0,ROUND($N197,2)&lt;&gt;0),"有",""))</f>
        <v/>
      </c>
    </row>
    <row r="198" customFormat="false" ht="15" hidden="false" customHeight="false" outlineLevel="0" collapsed="false">
      <c r="A198" s="25" t="str">
        <f aca="false">IF(会计科目表!$B37="","",参数设置!$A$12)</f>
        <v>科技</v>
      </c>
      <c r="B198" s="25" t="str">
        <f aca="false">IF(会计科目表!$B37="","",会计科目表!$A37)</f>
        <v>6301</v>
      </c>
      <c r="C198" s="10" t="str">
        <f aca="false">IF(会计科目表!$B37="","",会计科目表!$B37)</f>
        <v>营业外收入</v>
      </c>
      <c r="D198" s="25" t="str">
        <f aca="false">IF($C198="","",会计科目表!$C37)</f>
        <v>损益-收入</v>
      </c>
      <c r="E198" s="25" t="str">
        <f aca="false">IF($C198="","",会计科目表!$D37)</f>
        <v>贷</v>
      </c>
      <c r="F198" s="10" t="str">
        <f aca="false">IF($C198="","",会计科目表!$F37)</f>
        <v>营业外收入</v>
      </c>
      <c r="G198" s="40" t="n">
        <f aca="false">IF($C198="","",IF($E198="借",SUMIFS(期初余额!$C$6:$C$185,期初余额!$A$6:$A$185,$A198,期初余额!$B$6:$B$185,$C198)-SUMIFS(期初余额!$D$6:$D$185,期初余额!$A$6:$A$185,$A198,期初余额!$B$6:$B$185,$C198),SUMIFS(期初余额!$D$6:$D$185,期初余额!$A$6:$A$185,$A198,期初余额!$B$6:$B$185,$C198)-SUMIFS(期初余额!$C$6:$C$185,期初余额!$A$6:$A$185,$A198,期初余额!$B$6:$B$185,$C198)))</f>
        <v>0</v>
      </c>
      <c r="H198" s="40" t="n">
        <f aca="false">IF($C198="","",$G198+IF($E198="借",SUMIFS(记账分录!$I$6:$I$5505,记账分录!$F$6:$F$5505,$A198,记账分录!$H$6:$H$5505,$C198,记账分录!$E$6:$E$5505,"&lt;"&amp;$A$4)-SUMIFS(记账分录!$J$6:$J$5505,记账分录!$F$6:$F$5505,$A198,记账分录!$H$6:$H$5505,$C198,记账分录!$E$6:$E$5505,"&lt;"&amp;$A$4),SUMIFS(记账分录!$J$6:$J$5505,记账分录!$F$6:$F$5505,$A198,记账分录!$H$6:$H$5505,$C198,记账分录!$E$6:$E$5505,"&lt;"&amp;$A$4)-SUMIFS(记账分录!$I$6:$I$5505,记账分录!$F$6:$F$5505,$A198,记账分录!$H$6:$H$5505,$C198,记账分录!$E$6:$E$5505,"&lt;"&amp;$A$4)))</f>
        <v>0</v>
      </c>
      <c r="I198" s="40" t="n">
        <f aca="false">IF($C198="","",SUMIFS(记账分录!$I$6:$I$5505,记账分录!$F$6:$F$5505,$A198,记账分录!$H$6:$H$5505,$C198,记账分录!$E$6:$E$5505,"&gt;="&amp;$A$4,记账分录!$E$6:$E$5505,"&lt;="&amp;$B$4))</f>
        <v>0</v>
      </c>
      <c r="J198" s="40" t="n">
        <f aca="false">IF($C198="","",SUMIFS(记账分录!$J$6:$J$5505,记账分录!$F$6:$F$5505,$A198,记账分录!$H$6:$H$5505,$C198,记账分录!$E$6:$E$5505,"&gt;="&amp;$A$4,记账分录!$E$6:$E$5505,"&lt;="&amp;$B$4))</f>
        <v>0</v>
      </c>
      <c r="K198" s="42" t="n">
        <f aca="false">IF($C198="","",IF($E198="借",$I198-$J198,$J198-$I198))</f>
        <v>0</v>
      </c>
      <c r="L198" s="42" t="n">
        <f aca="false">IF($C198="","",ROUND($H198+$K198,2))</f>
        <v>0</v>
      </c>
      <c r="M198" s="40" t="n">
        <f aca="false">IF($C198="","",SUMIFS(记账分录!$I$6:$I$5505,记账分录!$F$6:$F$5505,$A198,记账分录!$H$6:$H$5505,$C198,记账分录!$E$6:$E$5505,"&lt;="&amp;$B$4))</f>
        <v>0</v>
      </c>
      <c r="N198" s="40" t="n">
        <f aca="false">IF($C198="","",SUMIFS(记账分录!$J$6:$J$5505,记账分录!$F$6:$F$5505,$A198,记账分录!$H$6:$H$5505,$C198,记账分录!$E$6:$E$5505,"&lt;="&amp;$B$4))</f>
        <v>0</v>
      </c>
      <c r="O198" s="42" t="n">
        <f aca="false">IF($C198="","",IF($E198="借",$M198-$N198,$N198-$M198))</f>
        <v>0</v>
      </c>
      <c r="P198" s="64" t="str">
        <f aca="false">IF($C198="","",IF(OR(ROUND($G198,2)&lt;&gt;0,ROUND($M198,2)&lt;&gt;0,ROUND($N198,2)&lt;&gt;0),"有",""))</f>
        <v/>
      </c>
    </row>
    <row r="199" customFormat="false" ht="15" hidden="false" customHeight="false" outlineLevel="0" collapsed="false">
      <c r="A199" s="25" t="str">
        <f aca="false">IF(会计科目表!$B38="","",参数设置!$A$12)</f>
        <v>科技</v>
      </c>
      <c r="B199" s="25" t="str">
        <f aca="false">IF(会计科目表!$B38="","",会计科目表!$A38)</f>
        <v>6401</v>
      </c>
      <c r="C199" s="10" t="str">
        <f aca="false">IF(会计科目表!$B38="","",会计科目表!$B38)</f>
        <v>主营业务成本</v>
      </c>
      <c r="D199" s="25" t="str">
        <f aca="false">IF($C199="","",会计科目表!$C38)</f>
        <v>损益-费用</v>
      </c>
      <c r="E199" s="25" t="str">
        <f aca="false">IF($C199="","",会计科目表!$D38)</f>
        <v>借</v>
      </c>
      <c r="F199" s="10" t="str">
        <f aca="false">IF($C199="","",会计科目表!$F38)</f>
        <v>营业成本</v>
      </c>
      <c r="G199" s="40" t="n">
        <f aca="false">IF($C199="","",IF($E199="借",SUMIFS(期初余额!$C$6:$C$185,期初余额!$A$6:$A$185,$A199,期初余额!$B$6:$B$185,$C199)-SUMIFS(期初余额!$D$6:$D$185,期初余额!$A$6:$A$185,$A199,期初余额!$B$6:$B$185,$C199),SUMIFS(期初余额!$D$6:$D$185,期初余额!$A$6:$A$185,$A199,期初余额!$B$6:$B$185,$C199)-SUMIFS(期初余额!$C$6:$C$185,期初余额!$A$6:$A$185,$A199,期初余额!$B$6:$B$185,$C199)))</f>
        <v>0</v>
      </c>
      <c r="H199" s="40" t="n">
        <f aca="false">IF($C199="","",$G199+IF($E199="借",SUMIFS(记账分录!$I$6:$I$5505,记账分录!$F$6:$F$5505,$A199,记账分录!$H$6:$H$5505,$C199,记账分录!$E$6:$E$5505,"&lt;"&amp;$A$4)-SUMIFS(记账分录!$J$6:$J$5505,记账分录!$F$6:$F$5505,$A199,记账分录!$H$6:$H$5505,$C199,记账分录!$E$6:$E$5505,"&lt;"&amp;$A$4),SUMIFS(记账分录!$J$6:$J$5505,记账分录!$F$6:$F$5505,$A199,记账分录!$H$6:$H$5505,$C199,记账分录!$E$6:$E$5505,"&lt;"&amp;$A$4)-SUMIFS(记账分录!$I$6:$I$5505,记账分录!$F$6:$F$5505,$A199,记账分录!$H$6:$H$5505,$C199,记账分录!$E$6:$E$5505,"&lt;"&amp;$A$4)))</f>
        <v>0</v>
      </c>
      <c r="I199" s="40" t="n">
        <f aca="false">IF($C199="","",SUMIFS(记账分录!$I$6:$I$5505,记账分录!$F$6:$F$5505,$A199,记账分录!$H$6:$H$5505,$C199,记账分录!$E$6:$E$5505,"&gt;="&amp;$A$4,记账分录!$E$6:$E$5505,"&lt;="&amp;$B$4))</f>
        <v>138396.43</v>
      </c>
      <c r="J199" s="40" t="n">
        <f aca="false">IF($C199="","",SUMIFS(记账分录!$J$6:$J$5505,记账分录!$F$6:$F$5505,$A199,记账分录!$H$6:$H$5505,$C199,记账分录!$E$6:$E$5505,"&gt;="&amp;$A$4,记账分录!$E$6:$E$5505,"&lt;="&amp;$B$4))</f>
        <v>0</v>
      </c>
      <c r="K199" s="42" t="n">
        <f aca="false">IF($C199="","",IF($E199="借",$I199-$J199,$J199-$I199))</f>
        <v>138396.43</v>
      </c>
      <c r="L199" s="42" t="n">
        <f aca="false">IF($C199="","",ROUND($H199+$K199,2))</f>
        <v>138396.43</v>
      </c>
      <c r="M199" s="40" t="n">
        <f aca="false">IF($C199="","",SUMIFS(记账分录!$I$6:$I$5505,记账分录!$F$6:$F$5505,$A199,记账分录!$H$6:$H$5505,$C199,记账分录!$E$6:$E$5505,"&lt;="&amp;$B$4))</f>
        <v>138396.43</v>
      </c>
      <c r="N199" s="40" t="n">
        <f aca="false">IF($C199="","",SUMIFS(记账分录!$J$6:$J$5505,记账分录!$F$6:$F$5505,$A199,记账分录!$H$6:$H$5505,$C199,记账分录!$E$6:$E$5505,"&lt;="&amp;$B$4))</f>
        <v>0</v>
      </c>
      <c r="O199" s="42" t="n">
        <f aca="false">IF($C199="","",IF($E199="借",$M199-$N199,$N199-$M199))</f>
        <v>138396.43</v>
      </c>
      <c r="P199" s="64" t="str">
        <f aca="false">IF($C199="","",IF(OR(ROUND($G199,2)&lt;&gt;0,ROUND($M199,2)&lt;&gt;0,ROUND($N199,2)&lt;&gt;0),"有",""))</f>
        <v>有</v>
      </c>
    </row>
    <row r="200" customFormat="false" ht="15" hidden="false" customHeight="false" outlineLevel="0" collapsed="false">
      <c r="A200" s="25" t="str">
        <f aca="false">IF(会计科目表!$B39="","",参数设置!$A$12)</f>
        <v>科技</v>
      </c>
      <c r="B200" s="25" t="str">
        <f aca="false">IF(会计科目表!$B39="","",会计科目表!$A39)</f>
        <v>6402</v>
      </c>
      <c r="C200" s="10" t="str">
        <f aca="false">IF(会计科目表!$B39="","",会计科目表!$B39)</f>
        <v>其他业务成本</v>
      </c>
      <c r="D200" s="25" t="str">
        <f aca="false">IF($C200="","",会计科目表!$C39)</f>
        <v>损益-费用</v>
      </c>
      <c r="E200" s="25" t="str">
        <f aca="false">IF($C200="","",会计科目表!$D39)</f>
        <v>借</v>
      </c>
      <c r="F200" s="10" t="str">
        <f aca="false">IF($C200="","",会计科目表!$F39)</f>
        <v>营业成本</v>
      </c>
      <c r="G200" s="40" t="n">
        <f aca="false">IF($C200="","",IF($E200="借",SUMIFS(期初余额!$C$6:$C$185,期初余额!$A$6:$A$185,$A200,期初余额!$B$6:$B$185,$C200)-SUMIFS(期初余额!$D$6:$D$185,期初余额!$A$6:$A$185,$A200,期初余额!$B$6:$B$185,$C200),SUMIFS(期初余额!$D$6:$D$185,期初余额!$A$6:$A$185,$A200,期初余额!$B$6:$B$185,$C200)-SUMIFS(期初余额!$C$6:$C$185,期初余额!$A$6:$A$185,$A200,期初余额!$B$6:$B$185,$C200)))</f>
        <v>0</v>
      </c>
      <c r="H200" s="40" t="n">
        <f aca="false">IF($C200="","",$G200+IF($E200="借",SUMIFS(记账分录!$I$6:$I$5505,记账分录!$F$6:$F$5505,$A200,记账分录!$H$6:$H$5505,$C200,记账分录!$E$6:$E$5505,"&lt;"&amp;$A$4)-SUMIFS(记账分录!$J$6:$J$5505,记账分录!$F$6:$F$5505,$A200,记账分录!$H$6:$H$5505,$C200,记账分录!$E$6:$E$5505,"&lt;"&amp;$A$4),SUMIFS(记账分录!$J$6:$J$5505,记账分录!$F$6:$F$5505,$A200,记账分录!$H$6:$H$5505,$C200,记账分录!$E$6:$E$5505,"&lt;"&amp;$A$4)-SUMIFS(记账分录!$I$6:$I$5505,记账分录!$F$6:$F$5505,$A200,记账分录!$H$6:$H$5505,$C200,记账分录!$E$6:$E$5505,"&lt;"&amp;$A$4)))</f>
        <v>0</v>
      </c>
      <c r="I200" s="40" t="n">
        <f aca="false">IF($C200="","",SUMIFS(记账分录!$I$6:$I$5505,记账分录!$F$6:$F$5505,$A200,记账分录!$H$6:$H$5505,$C200,记账分录!$E$6:$E$5505,"&gt;="&amp;$A$4,记账分录!$E$6:$E$5505,"&lt;="&amp;$B$4))</f>
        <v>0</v>
      </c>
      <c r="J200" s="40" t="n">
        <f aca="false">IF($C200="","",SUMIFS(记账分录!$J$6:$J$5505,记账分录!$F$6:$F$5505,$A200,记账分录!$H$6:$H$5505,$C200,记账分录!$E$6:$E$5505,"&gt;="&amp;$A$4,记账分录!$E$6:$E$5505,"&lt;="&amp;$B$4))</f>
        <v>0</v>
      </c>
      <c r="K200" s="42" t="n">
        <f aca="false">IF($C200="","",IF($E200="借",$I200-$J200,$J200-$I200))</f>
        <v>0</v>
      </c>
      <c r="L200" s="42" t="n">
        <f aca="false">IF($C200="","",ROUND($H200+$K200,2))</f>
        <v>0</v>
      </c>
      <c r="M200" s="40" t="n">
        <f aca="false">IF($C200="","",SUMIFS(记账分录!$I$6:$I$5505,记账分录!$F$6:$F$5505,$A200,记账分录!$H$6:$H$5505,$C200,记账分录!$E$6:$E$5505,"&lt;="&amp;$B$4))</f>
        <v>0</v>
      </c>
      <c r="N200" s="40" t="n">
        <f aca="false">IF($C200="","",SUMIFS(记账分录!$J$6:$J$5505,记账分录!$F$6:$F$5505,$A200,记账分录!$H$6:$H$5505,$C200,记账分录!$E$6:$E$5505,"&lt;="&amp;$B$4))</f>
        <v>0</v>
      </c>
      <c r="O200" s="42" t="n">
        <f aca="false">IF($C200="","",IF($E200="借",$M200-$N200,$N200-$M200))</f>
        <v>0</v>
      </c>
      <c r="P200" s="64" t="str">
        <f aca="false">IF($C200="","",IF(OR(ROUND($G200,2)&lt;&gt;0,ROUND($M200,2)&lt;&gt;0,ROUND($N200,2)&lt;&gt;0),"有",""))</f>
        <v/>
      </c>
    </row>
    <row r="201" customFormat="false" ht="15" hidden="false" customHeight="false" outlineLevel="0" collapsed="false">
      <c r="A201" s="25" t="str">
        <f aca="false">IF(会计科目表!$B40="","",参数设置!$A$12)</f>
        <v>科技</v>
      </c>
      <c r="B201" s="25" t="str">
        <f aca="false">IF(会计科目表!$B40="","",会计科目表!$A40)</f>
        <v>6403</v>
      </c>
      <c r="C201" s="10" t="str">
        <f aca="false">IF(会计科目表!$B40="","",会计科目表!$B40)</f>
        <v>税金及附加</v>
      </c>
      <c r="D201" s="25" t="str">
        <f aca="false">IF($C201="","",会计科目表!$C40)</f>
        <v>损益-费用</v>
      </c>
      <c r="E201" s="25" t="str">
        <f aca="false">IF($C201="","",会计科目表!$D40)</f>
        <v>借</v>
      </c>
      <c r="F201" s="10" t="str">
        <f aca="false">IF($C201="","",会计科目表!$F40)</f>
        <v>税金及附加</v>
      </c>
      <c r="G201" s="40" t="n">
        <f aca="false">IF($C201="","",IF($E201="借",SUMIFS(期初余额!$C$6:$C$185,期初余额!$A$6:$A$185,$A201,期初余额!$B$6:$B$185,$C201)-SUMIFS(期初余额!$D$6:$D$185,期初余额!$A$6:$A$185,$A201,期初余额!$B$6:$B$185,$C201),SUMIFS(期初余额!$D$6:$D$185,期初余额!$A$6:$A$185,$A201,期初余额!$B$6:$B$185,$C201)-SUMIFS(期初余额!$C$6:$C$185,期初余额!$A$6:$A$185,$A201,期初余额!$B$6:$B$185,$C201)))</f>
        <v>0</v>
      </c>
      <c r="H201" s="40" t="n">
        <f aca="false">IF($C201="","",$G201+IF($E201="借",SUMIFS(记账分录!$I$6:$I$5505,记账分录!$F$6:$F$5505,$A201,记账分录!$H$6:$H$5505,$C201,记账分录!$E$6:$E$5505,"&lt;"&amp;$A$4)-SUMIFS(记账分录!$J$6:$J$5505,记账分录!$F$6:$F$5505,$A201,记账分录!$H$6:$H$5505,$C201,记账分录!$E$6:$E$5505,"&lt;"&amp;$A$4),SUMIFS(记账分录!$J$6:$J$5505,记账分录!$F$6:$F$5505,$A201,记账分录!$H$6:$H$5505,$C201,记账分录!$E$6:$E$5505,"&lt;"&amp;$A$4)-SUMIFS(记账分录!$I$6:$I$5505,记账分录!$F$6:$F$5505,$A201,记账分录!$H$6:$H$5505,$C201,记账分录!$E$6:$E$5505,"&lt;"&amp;$A$4)))</f>
        <v>0</v>
      </c>
      <c r="I201" s="40" t="n">
        <f aca="false">IF($C201="","",SUMIFS(记账分录!$I$6:$I$5505,记账分录!$F$6:$F$5505,$A201,记账分录!$H$6:$H$5505,$C201,记账分录!$E$6:$E$5505,"&gt;="&amp;$A$4,记账分录!$E$6:$E$5505,"&lt;="&amp;$B$4))</f>
        <v>42560</v>
      </c>
      <c r="J201" s="40" t="n">
        <f aca="false">IF($C201="","",SUMIFS(记账分录!$J$6:$J$5505,记账分录!$F$6:$F$5505,$A201,记账分录!$H$6:$H$5505,$C201,记账分录!$E$6:$E$5505,"&gt;="&amp;$A$4,记账分录!$E$6:$E$5505,"&lt;="&amp;$B$4))</f>
        <v>0</v>
      </c>
      <c r="K201" s="42" t="n">
        <f aca="false">IF($C201="","",IF($E201="借",$I201-$J201,$J201-$I201))</f>
        <v>42560</v>
      </c>
      <c r="L201" s="42" t="n">
        <f aca="false">IF($C201="","",ROUND($H201+$K201,2))</f>
        <v>42560</v>
      </c>
      <c r="M201" s="40" t="n">
        <f aca="false">IF($C201="","",SUMIFS(记账分录!$I$6:$I$5505,记账分录!$F$6:$F$5505,$A201,记账分录!$H$6:$H$5505,$C201,记账分录!$E$6:$E$5505,"&lt;="&amp;$B$4))</f>
        <v>42560</v>
      </c>
      <c r="N201" s="40" t="n">
        <f aca="false">IF($C201="","",SUMIFS(记账分录!$J$6:$J$5505,记账分录!$F$6:$F$5505,$A201,记账分录!$H$6:$H$5505,$C201,记账分录!$E$6:$E$5505,"&lt;="&amp;$B$4))</f>
        <v>0</v>
      </c>
      <c r="O201" s="42" t="n">
        <f aca="false">IF($C201="","",IF($E201="借",$M201-$N201,$N201-$M201))</f>
        <v>42560</v>
      </c>
      <c r="P201" s="64" t="str">
        <f aca="false">IF($C201="","",IF(OR(ROUND($G201,2)&lt;&gt;0,ROUND($M201,2)&lt;&gt;0,ROUND($N201,2)&lt;&gt;0),"有",""))</f>
        <v>有</v>
      </c>
    </row>
    <row r="202" customFormat="false" ht="15" hidden="false" customHeight="false" outlineLevel="0" collapsed="false">
      <c r="A202" s="25" t="str">
        <f aca="false">IF(会计科目表!$B41="","",参数设置!$A$12)</f>
        <v>科技</v>
      </c>
      <c r="B202" s="25" t="str">
        <f aca="false">IF(会计科目表!$B41="","",会计科目表!$A41)</f>
        <v>6601</v>
      </c>
      <c r="C202" s="10" t="str">
        <f aca="false">IF(会计科目表!$B41="","",会计科目表!$B41)</f>
        <v>销售费用</v>
      </c>
      <c r="D202" s="25" t="str">
        <f aca="false">IF($C202="","",会计科目表!$C41)</f>
        <v>损益-费用</v>
      </c>
      <c r="E202" s="25" t="str">
        <f aca="false">IF($C202="","",会计科目表!$D41)</f>
        <v>借</v>
      </c>
      <c r="F202" s="10" t="str">
        <f aca="false">IF($C202="","",会计科目表!$F41)</f>
        <v>销售费用</v>
      </c>
      <c r="G202" s="40" t="n">
        <f aca="false">IF($C202="","",IF($E202="借",SUMIFS(期初余额!$C$6:$C$185,期初余额!$A$6:$A$185,$A202,期初余额!$B$6:$B$185,$C202)-SUMIFS(期初余额!$D$6:$D$185,期初余额!$A$6:$A$185,$A202,期初余额!$B$6:$B$185,$C202),SUMIFS(期初余额!$D$6:$D$185,期初余额!$A$6:$A$185,$A202,期初余额!$B$6:$B$185,$C202)-SUMIFS(期初余额!$C$6:$C$185,期初余额!$A$6:$A$185,$A202,期初余额!$B$6:$B$185,$C202)))</f>
        <v>0</v>
      </c>
      <c r="H202" s="40" t="n">
        <f aca="false">IF($C202="","",$G202+IF($E202="借",SUMIFS(记账分录!$I$6:$I$5505,记账分录!$F$6:$F$5505,$A202,记账分录!$H$6:$H$5505,$C202,记账分录!$E$6:$E$5505,"&lt;"&amp;$A$4)-SUMIFS(记账分录!$J$6:$J$5505,记账分录!$F$6:$F$5505,$A202,记账分录!$H$6:$H$5505,$C202,记账分录!$E$6:$E$5505,"&lt;"&amp;$A$4),SUMIFS(记账分录!$J$6:$J$5505,记账分录!$F$6:$F$5505,$A202,记账分录!$H$6:$H$5505,$C202,记账分录!$E$6:$E$5505,"&lt;"&amp;$A$4)-SUMIFS(记账分录!$I$6:$I$5505,记账分录!$F$6:$F$5505,$A202,记账分录!$H$6:$H$5505,$C202,记账分录!$E$6:$E$5505,"&lt;"&amp;$A$4)))</f>
        <v>0</v>
      </c>
      <c r="I202" s="40" t="n">
        <f aca="false">IF($C202="","",SUMIFS(记账分录!$I$6:$I$5505,记账分录!$F$6:$F$5505,$A202,记账分录!$H$6:$H$5505,$C202,记账分录!$E$6:$E$5505,"&gt;="&amp;$A$4,记账分录!$E$6:$E$5505,"&lt;="&amp;$B$4))</f>
        <v>36100</v>
      </c>
      <c r="J202" s="40" t="n">
        <f aca="false">IF($C202="","",SUMIFS(记账分录!$J$6:$J$5505,记账分录!$F$6:$F$5505,$A202,记账分录!$H$6:$H$5505,$C202,记账分录!$E$6:$E$5505,"&gt;="&amp;$A$4,记账分录!$E$6:$E$5505,"&lt;="&amp;$B$4))</f>
        <v>0</v>
      </c>
      <c r="K202" s="42" t="n">
        <f aca="false">IF($C202="","",IF($E202="借",$I202-$J202,$J202-$I202))</f>
        <v>36100</v>
      </c>
      <c r="L202" s="42" t="n">
        <f aca="false">IF($C202="","",ROUND($H202+$K202,2))</f>
        <v>36100</v>
      </c>
      <c r="M202" s="40" t="n">
        <f aca="false">IF($C202="","",SUMIFS(记账分录!$I$6:$I$5505,记账分录!$F$6:$F$5505,$A202,记账分录!$H$6:$H$5505,$C202,记账分录!$E$6:$E$5505,"&lt;="&amp;$B$4))</f>
        <v>36100</v>
      </c>
      <c r="N202" s="40" t="n">
        <f aca="false">IF($C202="","",SUMIFS(记账分录!$J$6:$J$5505,记账分录!$F$6:$F$5505,$A202,记账分录!$H$6:$H$5505,$C202,记账分录!$E$6:$E$5505,"&lt;="&amp;$B$4))</f>
        <v>0</v>
      </c>
      <c r="O202" s="42" t="n">
        <f aca="false">IF($C202="","",IF($E202="借",$M202-$N202,$N202-$M202))</f>
        <v>36100</v>
      </c>
      <c r="P202" s="64" t="str">
        <f aca="false">IF($C202="","",IF(OR(ROUND($G202,2)&lt;&gt;0,ROUND($M202,2)&lt;&gt;0,ROUND($N202,2)&lt;&gt;0),"有",""))</f>
        <v>有</v>
      </c>
    </row>
    <row r="203" customFormat="false" ht="15" hidden="false" customHeight="false" outlineLevel="0" collapsed="false">
      <c r="A203" s="25" t="str">
        <f aca="false">IF(会计科目表!$B42="","",参数设置!$A$12)</f>
        <v>科技</v>
      </c>
      <c r="B203" s="25" t="str">
        <f aca="false">IF(会计科目表!$B42="","",会计科目表!$A42)</f>
        <v>6602</v>
      </c>
      <c r="C203" s="10" t="str">
        <f aca="false">IF(会计科目表!$B42="","",会计科目表!$B42)</f>
        <v>管理费用</v>
      </c>
      <c r="D203" s="25" t="str">
        <f aca="false">IF($C203="","",会计科目表!$C42)</f>
        <v>损益-费用</v>
      </c>
      <c r="E203" s="25" t="str">
        <f aca="false">IF($C203="","",会计科目表!$D42)</f>
        <v>借</v>
      </c>
      <c r="F203" s="10" t="str">
        <f aca="false">IF($C203="","",会计科目表!$F42)</f>
        <v>管理费用</v>
      </c>
      <c r="G203" s="40" t="n">
        <f aca="false">IF($C203="","",IF($E203="借",SUMIFS(期初余额!$C$6:$C$185,期初余额!$A$6:$A$185,$A203,期初余额!$B$6:$B$185,$C203)-SUMIFS(期初余额!$D$6:$D$185,期初余额!$A$6:$A$185,$A203,期初余额!$B$6:$B$185,$C203),SUMIFS(期初余额!$D$6:$D$185,期初余额!$A$6:$A$185,$A203,期初余额!$B$6:$B$185,$C203)-SUMIFS(期初余额!$C$6:$C$185,期初余额!$A$6:$A$185,$A203,期初余额!$B$6:$B$185,$C203)))</f>
        <v>0</v>
      </c>
      <c r="H203" s="40" t="n">
        <f aca="false">IF($C203="","",$G203+IF($E203="借",SUMIFS(记账分录!$I$6:$I$5505,记账分录!$F$6:$F$5505,$A203,记账分录!$H$6:$H$5505,$C203,记账分录!$E$6:$E$5505,"&lt;"&amp;$A$4)-SUMIFS(记账分录!$J$6:$J$5505,记账分录!$F$6:$F$5505,$A203,记账分录!$H$6:$H$5505,$C203,记账分录!$E$6:$E$5505,"&lt;"&amp;$A$4),SUMIFS(记账分录!$J$6:$J$5505,记账分录!$F$6:$F$5505,$A203,记账分录!$H$6:$H$5505,$C203,记账分录!$E$6:$E$5505,"&lt;"&amp;$A$4)-SUMIFS(记账分录!$I$6:$I$5505,记账分录!$F$6:$F$5505,$A203,记账分录!$H$6:$H$5505,$C203,记账分录!$E$6:$E$5505,"&lt;"&amp;$A$4)))</f>
        <v>0</v>
      </c>
      <c r="I203" s="40" t="n">
        <f aca="false">IF($C203="","",SUMIFS(记账分录!$I$6:$I$5505,记账分录!$F$6:$F$5505,$A203,记账分录!$H$6:$H$5505,$C203,记账分录!$E$6:$E$5505,"&gt;="&amp;$A$4,记账分录!$E$6:$E$5505,"&lt;="&amp;$B$4))</f>
        <v>58000</v>
      </c>
      <c r="J203" s="40" t="n">
        <f aca="false">IF($C203="","",SUMIFS(记账分录!$J$6:$J$5505,记账分录!$F$6:$F$5505,$A203,记账分录!$H$6:$H$5505,$C203,记账分录!$E$6:$E$5505,"&gt;="&amp;$A$4,记账分录!$E$6:$E$5505,"&lt;="&amp;$B$4))</f>
        <v>0</v>
      </c>
      <c r="K203" s="42" t="n">
        <f aca="false">IF($C203="","",IF($E203="借",$I203-$J203,$J203-$I203))</f>
        <v>58000</v>
      </c>
      <c r="L203" s="42" t="n">
        <f aca="false">IF($C203="","",ROUND($H203+$K203,2))</f>
        <v>58000</v>
      </c>
      <c r="M203" s="40" t="n">
        <f aca="false">IF($C203="","",SUMIFS(记账分录!$I$6:$I$5505,记账分录!$F$6:$F$5505,$A203,记账分录!$H$6:$H$5505,$C203,记账分录!$E$6:$E$5505,"&lt;="&amp;$B$4))</f>
        <v>58000</v>
      </c>
      <c r="N203" s="40" t="n">
        <f aca="false">IF($C203="","",SUMIFS(记账分录!$J$6:$J$5505,记账分录!$F$6:$F$5505,$A203,记账分录!$H$6:$H$5505,$C203,记账分录!$E$6:$E$5505,"&lt;="&amp;$B$4))</f>
        <v>0</v>
      </c>
      <c r="O203" s="42" t="n">
        <f aca="false">IF($C203="","",IF($E203="借",$M203-$N203,$N203-$M203))</f>
        <v>58000</v>
      </c>
      <c r="P203" s="64" t="str">
        <f aca="false">IF($C203="","",IF(OR(ROUND($G203,2)&lt;&gt;0,ROUND($M203,2)&lt;&gt;0,ROUND($N203,2)&lt;&gt;0),"有",""))</f>
        <v>有</v>
      </c>
    </row>
    <row r="204" customFormat="false" ht="15" hidden="false" customHeight="false" outlineLevel="0" collapsed="false">
      <c r="A204" s="25" t="str">
        <f aca="false">IF(会计科目表!$B43="","",参数设置!$A$12)</f>
        <v>科技</v>
      </c>
      <c r="B204" s="25" t="str">
        <f aca="false">IF(会计科目表!$B43="","",会计科目表!$A43)</f>
        <v>6603</v>
      </c>
      <c r="C204" s="10" t="str">
        <f aca="false">IF(会计科目表!$B43="","",会计科目表!$B43)</f>
        <v>财务费用</v>
      </c>
      <c r="D204" s="25" t="str">
        <f aca="false">IF($C204="","",会计科目表!$C43)</f>
        <v>损益-费用</v>
      </c>
      <c r="E204" s="25" t="str">
        <f aca="false">IF($C204="","",会计科目表!$D43)</f>
        <v>借</v>
      </c>
      <c r="F204" s="10" t="str">
        <f aca="false">IF($C204="","",会计科目表!$F43)</f>
        <v>财务费用</v>
      </c>
      <c r="G204" s="40" t="n">
        <f aca="false">IF($C204="","",IF($E204="借",SUMIFS(期初余额!$C$6:$C$185,期初余额!$A$6:$A$185,$A204,期初余额!$B$6:$B$185,$C204)-SUMIFS(期初余额!$D$6:$D$185,期初余额!$A$6:$A$185,$A204,期初余额!$B$6:$B$185,$C204),SUMIFS(期初余额!$D$6:$D$185,期初余额!$A$6:$A$185,$A204,期初余额!$B$6:$B$185,$C204)-SUMIFS(期初余额!$C$6:$C$185,期初余额!$A$6:$A$185,$A204,期初余额!$B$6:$B$185,$C204)))</f>
        <v>0</v>
      </c>
      <c r="H204" s="40" t="n">
        <f aca="false">IF($C204="","",$G204+IF($E204="借",SUMIFS(记账分录!$I$6:$I$5505,记账分录!$F$6:$F$5505,$A204,记账分录!$H$6:$H$5505,$C204,记账分录!$E$6:$E$5505,"&lt;"&amp;$A$4)-SUMIFS(记账分录!$J$6:$J$5505,记账分录!$F$6:$F$5505,$A204,记账分录!$H$6:$H$5505,$C204,记账分录!$E$6:$E$5505,"&lt;"&amp;$A$4),SUMIFS(记账分录!$J$6:$J$5505,记账分录!$F$6:$F$5505,$A204,记账分录!$H$6:$H$5505,$C204,记账分录!$E$6:$E$5505,"&lt;"&amp;$A$4)-SUMIFS(记账分录!$I$6:$I$5505,记账分录!$F$6:$F$5505,$A204,记账分录!$H$6:$H$5505,$C204,记账分录!$E$6:$E$5505,"&lt;"&amp;$A$4)))</f>
        <v>0</v>
      </c>
      <c r="I204" s="40" t="n">
        <f aca="false">IF($C204="","",SUMIFS(记账分录!$I$6:$I$5505,记账分录!$F$6:$F$5505,$A204,记账分录!$H$6:$H$5505,$C204,记账分录!$E$6:$E$5505,"&gt;="&amp;$A$4,记账分录!$E$6:$E$5505,"&lt;="&amp;$B$4))</f>
        <v>0</v>
      </c>
      <c r="J204" s="40" t="n">
        <f aca="false">IF($C204="","",SUMIFS(记账分录!$J$6:$J$5505,记账分录!$F$6:$F$5505,$A204,记账分录!$H$6:$H$5505,$C204,记账分录!$E$6:$E$5505,"&gt;="&amp;$A$4,记账分录!$E$6:$E$5505,"&lt;="&amp;$B$4))</f>
        <v>0</v>
      </c>
      <c r="K204" s="42" t="n">
        <f aca="false">IF($C204="","",IF($E204="借",$I204-$J204,$J204-$I204))</f>
        <v>0</v>
      </c>
      <c r="L204" s="42" t="n">
        <f aca="false">IF($C204="","",ROUND($H204+$K204,2))</f>
        <v>0</v>
      </c>
      <c r="M204" s="40" t="n">
        <f aca="false">IF($C204="","",SUMIFS(记账分录!$I$6:$I$5505,记账分录!$F$6:$F$5505,$A204,记账分录!$H$6:$H$5505,$C204,记账分录!$E$6:$E$5505,"&lt;="&amp;$B$4))</f>
        <v>0</v>
      </c>
      <c r="N204" s="40" t="n">
        <f aca="false">IF($C204="","",SUMIFS(记账分录!$J$6:$J$5505,记账分录!$F$6:$F$5505,$A204,记账分录!$H$6:$H$5505,$C204,记账分录!$E$6:$E$5505,"&lt;="&amp;$B$4))</f>
        <v>0</v>
      </c>
      <c r="O204" s="42" t="n">
        <f aca="false">IF($C204="","",IF($E204="借",$M204-$N204,$N204-$M204))</f>
        <v>0</v>
      </c>
      <c r="P204" s="64" t="str">
        <f aca="false">IF($C204="","",IF(OR(ROUND($G204,2)&lt;&gt;0,ROUND($M204,2)&lt;&gt;0,ROUND($N204,2)&lt;&gt;0),"有",""))</f>
        <v/>
      </c>
    </row>
    <row r="205" customFormat="false" ht="15" hidden="false" customHeight="false" outlineLevel="0" collapsed="false">
      <c r="A205" s="25" t="str">
        <f aca="false">IF(会计科目表!$B44="","",参数设置!$A$12)</f>
        <v>科技</v>
      </c>
      <c r="B205" s="25" t="str">
        <f aca="false">IF(会计科目表!$B44="","",会计科目表!$A44)</f>
        <v>6604</v>
      </c>
      <c r="C205" s="10" t="str">
        <f aca="false">IF(会计科目表!$B44="","",会计科目表!$B44)</f>
        <v>研发费用</v>
      </c>
      <c r="D205" s="25" t="str">
        <f aca="false">IF($C205="","",会计科目表!$C44)</f>
        <v>损益-费用</v>
      </c>
      <c r="E205" s="25" t="str">
        <f aca="false">IF($C205="","",会计科目表!$D44)</f>
        <v>借</v>
      </c>
      <c r="F205" s="10" t="str">
        <f aca="false">IF($C205="","",会计科目表!$F44)</f>
        <v>研发费用</v>
      </c>
      <c r="G205" s="40" t="n">
        <f aca="false">IF($C205="","",IF($E205="借",SUMIFS(期初余额!$C$6:$C$185,期初余额!$A$6:$A$185,$A205,期初余额!$B$6:$B$185,$C205)-SUMIFS(期初余额!$D$6:$D$185,期初余额!$A$6:$A$185,$A205,期初余额!$B$6:$B$185,$C205),SUMIFS(期初余额!$D$6:$D$185,期初余额!$A$6:$A$185,$A205,期初余额!$B$6:$B$185,$C205)-SUMIFS(期初余额!$C$6:$C$185,期初余额!$A$6:$A$185,$A205,期初余额!$B$6:$B$185,$C205)))</f>
        <v>0</v>
      </c>
      <c r="H205" s="40" t="n">
        <f aca="false">IF($C205="","",$G205+IF($E205="借",SUMIFS(记账分录!$I$6:$I$5505,记账分录!$F$6:$F$5505,$A205,记账分录!$H$6:$H$5505,$C205,记账分录!$E$6:$E$5505,"&lt;"&amp;$A$4)-SUMIFS(记账分录!$J$6:$J$5505,记账分录!$F$6:$F$5505,$A205,记账分录!$H$6:$H$5505,$C205,记账分录!$E$6:$E$5505,"&lt;"&amp;$A$4),SUMIFS(记账分录!$J$6:$J$5505,记账分录!$F$6:$F$5505,$A205,记账分录!$H$6:$H$5505,$C205,记账分录!$E$6:$E$5505,"&lt;"&amp;$A$4)-SUMIFS(记账分录!$I$6:$I$5505,记账分录!$F$6:$F$5505,$A205,记账分录!$H$6:$H$5505,$C205,记账分录!$E$6:$E$5505,"&lt;"&amp;$A$4)))</f>
        <v>0</v>
      </c>
      <c r="I205" s="40" t="n">
        <f aca="false">IF($C205="","",SUMIFS(记账分录!$I$6:$I$5505,记账分录!$F$6:$F$5505,$A205,记账分录!$H$6:$H$5505,$C205,记账分录!$E$6:$E$5505,"&gt;="&amp;$A$4,记账分录!$E$6:$E$5505,"&lt;="&amp;$B$4))</f>
        <v>0</v>
      </c>
      <c r="J205" s="40" t="n">
        <f aca="false">IF($C205="","",SUMIFS(记账分录!$J$6:$J$5505,记账分录!$F$6:$F$5505,$A205,记账分录!$H$6:$H$5505,$C205,记账分录!$E$6:$E$5505,"&gt;="&amp;$A$4,记账分录!$E$6:$E$5505,"&lt;="&amp;$B$4))</f>
        <v>0</v>
      </c>
      <c r="K205" s="42" t="n">
        <f aca="false">IF($C205="","",IF($E205="借",$I205-$J205,$J205-$I205))</f>
        <v>0</v>
      </c>
      <c r="L205" s="42" t="n">
        <f aca="false">IF($C205="","",ROUND($H205+$K205,2))</f>
        <v>0</v>
      </c>
      <c r="M205" s="40" t="n">
        <f aca="false">IF($C205="","",SUMIFS(记账分录!$I$6:$I$5505,记账分录!$F$6:$F$5505,$A205,记账分录!$H$6:$H$5505,$C205,记账分录!$E$6:$E$5505,"&lt;="&amp;$B$4))</f>
        <v>0</v>
      </c>
      <c r="N205" s="40" t="n">
        <f aca="false">IF($C205="","",SUMIFS(记账分录!$J$6:$J$5505,记账分录!$F$6:$F$5505,$A205,记账分录!$H$6:$H$5505,$C205,记账分录!$E$6:$E$5505,"&lt;="&amp;$B$4))</f>
        <v>0</v>
      </c>
      <c r="O205" s="42" t="n">
        <f aca="false">IF($C205="","",IF($E205="借",$M205-$N205,$N205-$M205))</f>
        <v>0</v>
      </c>
      <c r="P205" s="64" t="str">
        <f aca="false">IF($C205="","",IF(OR(ROUND($G205,2)&lt;&gt;0,ROUND($M205,2)&lt;&gt;0,ROUND($N205,2)&lt;&gt;0),"有",""))</f>
        <v/>
      </c>
    </row>
    <row r="206" customFormat="false" ht="15" hidden="false" customHeight="false" outlineLevel="0" collapsed="false">
      <c r="A206" s="25" t="str">
        <f aca="false">IF(会计科目表!$B45="","",参数设置!$A$12)</f>
        <v>科技</v>
      </c>
      <c r="B206" s="25" t="str">
        <f aca="false">IF(会计科目表!$B45="","",会计科目表!$A45)</f>
        <v>6711</v>
      </c>
      <c r="C206" s="10" t="str">
        <f aca="false">IF(会计科目表!$B45="","",会计科目表!$B45)</f>
        <v>营业外支出</v>
      </c>
      <c r="D206" s="25" t="str">
        <f aca="false">IF($C206="","",会计科目表!$C45)</f>
        <v>损益-费用</v>
      </c>
      <c r="E206" s="25" t="str">
        <f aca="false">IF($C206="","",会计科目表!$D45)</f>
        <v>借</v>
      </c>
      <c r="F206" s="10" t="str">
        <f aca="false">IF($C206="","",会计科目表!$F45)</f>
        <v>营业外支出</v>
      </c>
      <c r="G206" s="40" t="n">
        <f aca="false">IF($C206="","",IF($E206="借",SUMIFS(期初余额!$C$6:$C$185,期初余额!$A$6:$A$185,$A206,期初余额!$B$6:$B$185,$C206)-SUMIFS(期初余额!$D$6:$D$185,期初余额!$A$6:$A$185,$A206,期初余额!$B$6:$B$185,$C206),SUMIFS(期初余额!$D$6:$D$185,期初余额!$A$6:$A$185,$A206,期初余额!$B$6:$B$185,$C206)-SUMIFS(期初余额!$C$6:$C$185,期初余额!$A$6:$A$185,$A206,期初余额!$B$6:$B$185,$C206)))</f>
        <v>0</v>
      </c>
      <c r="H206" s="40" t="n">
        <f aca="false">IF($C206="","",$G206+IF($E206="借",SUMIFS(记账分录!$I$6:$I$5505,记账分录!$F$6:$F$5505,$A206,记账分录!$H$6:$H$5505,$C206,记账分录!$E$6:$E$5505,"&lt;"&amp;$A$4)-SUMIFS(记账分录!$J$6:$J$5505,记账分录!$F$6:$F$5505,$A206,记账分录!$H$6:$H$5505,$C206,记账分录!$E$6:$E$5505,"&lt;"&amp;$A$4),SUMIFS(记账分录!$J$6:$J$5505,记账分录!$F$6:$F$5505,$A206,记账分录!$H$6:$H$5505,$C206,记账分录!$E$6:$E$5505,"&lt;"&amp;$A$4)-SUMIFS(记账分录!$I$6:$I$5505,记账分录!$F$6:$F$5505,$A206,记账分录!$H$6:$H$5505,$C206,记账分录!$E$6:$E$5505,"&lt;"&amp;$A$4)))</f>
        <v>0</v>
      </c>
      <c r="I206" s="40" t="n">
        <f aca="false">IF($C206="","",SUMIFS(记账分录!$I$6:$I$5505,记账分录!$F$6:$F$5505,$A206,记账分录!$H$6:$H$5505,$C206,记账分录!$E$6:$E$5505,"&gt;="&amp;$A$4,记账分录!$E$6:$E$5505,"&lt;="&amp;$B$4))</f>
        <v>0</v>
      </c>
      <c r="J206" s="40" t="n">
        <f aca="false">IF($C206="","",SUMIFS(记账分录!$J$6:$J$5505,记账分录!$F$6:$F$5505,$A206,记账分录!$H$6:$H$5505,$C206,记账分录!$E$6:$E$5505,"&gt;="&amp;$A$4,记账分录!$E$6:$E$5505,"&lt;="&amp;$B$4))</f>
        <v>0</v>
      </c>
      <c r="K206" s="42" t="n">
        <f aca="false">IF($C206="","",IF($E206="借",$I206-$J206,$J206-$I206))</f>
        <v>0</v>
      </c>
      <c r="L206" s="42" t="n">
        <f aca="false">IF($C206="","",ROUND($H206+$K206,2))</f>
        <v>0</v>
      </c>
      <c r="M206" s="40" t="n">
        <f aca="false">IF($C206="","",SUMIFS(记账分录!$I$6:$I$5505,记账分录!$F$6:$F$5505,$A206,记账分录!$H$6:$H$5505,$C206,记账分录!$E$6:$E$5505,"&lt;="&amp;$B$4))</f>
        <v>0</v>
      </c>
      <c r="N206" s="40" t="n">
        <f aca="false">IF($C206="","",SUMIFS(记账分录!$J$6:$J$5505,记账分录!$F$6:$F$5505,$A206,记账分录!$H$6:$H$5505,$C206,记账分录!$E$6:$E$5505,"&lt;="&amp;$B$4))</f>
        <v>0</v>
      </c>
      <c r="O206" s="42" t="n">
        <f aca="false">IF($C206="","",IF($E206="借",$M206-$N206,$N206-$M206))</f>
        <v>0</v>
      </c>
      <c r="P206" s="64" t="str">
        <f aca="false">IF($C206="","",IF(OR(ROUND($G206,2)&lt;&gt;0,ROUND($M206,2)&lt;&gt;0,ROUND($N206,2)&lt;&gt;0),"有",""))</f>
        <v/>
      </c>
    </row>
    <row r="207" customFormat="false" ht="15" hidden="false" customHeight="false" outlineLevel="0" collapsed="false">
      <c r="A207" s="25" t="str">
        <f aca="false">IF(会计科目表!$B46="","",参数设置!$A$12)</f>
        <v>科技</v>
      </c>
      <c r="B207" s="25" t="str">
        <f aca="false">IF(会计科目表!$B46="","",会计科目表!$A46)</f>
        <v>6801</v>
      </c>
      <c r="C207" s="10" t="str">
        <f aca="false">IF(会计科目表!$B46="","",会计科目表!$B46)</f>
        <v>所得税费用</v>
      </c>
      <c r="D207" s="25" t="str">
        <f aca="false">IF($C207="","",会计科目表!$C46)</f>
        <v>损益-费用</v>
      </c>
      <c r="E207" s="25" t="str">
        <f aca="false">IF($C207="","",会计科目表!$D46)</f>
        <v>借</v>
      </c>
      <c r="F207" s="10" t="str">
        <f aca="false">IF($C207="","",会计科目表!$F46)</f>
        <v>所得税费用</v>
      </c>
      <c r="G207" s="40" t="n">
        <f aca="false">IF($C207="","",IF($E207="借",SUMIFS(期初余额!$C$6:$C$185,期初余额!$A$6:$A$185,$A207,期初余额!$B$6:$B$185,$C207)-SUMIFS(期初余额!$D$6:$D$185,期初余额!$A$6:$A$185,$A207,期初余额!$B$6:$B$185,$C207),SUMIFS(期初余额!$D$6:$D$185,期初余额!$A$6:$A$185,$A207,期初余额!$B$6:$B$185,$C207)-SUMIFS(期初余额!$C$6:$C$185,期初余额!$A$6:$A$185,$A207,期初余额!$B$6:$B$185,$C207)))</f>
        <v>0</v>
      </c>
      <c r="H207" s="40" t="n">
        <f aca="false">IF($C207="","",$G207+IF($E207="借",SUMIFS(记账分录!$I$6:$I$5505,记账分录!$F$6:$F$5505,$A207,记账分录!$H$6:$H$5505,$C207,记账分录!$E$6:$E$5505,"&lt;"&amp;$A$4)-SUMIFS(记账分录!$J$6:$J$5505,记账分录!$F$6:$F$5505,$A207,记账分录!$H$6:$H$5505,$C207,记账分录!$E$6:$E$5505,"&lt;"&amp;$A$4),SUMIFS(记账分录!$J$6:$J$5505,记账分录!$F$6:$F$5505,$A207,记账分录!$H$6:$H$5505,$C207,记账分录!$E$6:$E$5505,"&lt;"&amp;$A$4)-SUMIFS(记账分录!$I$6:$I$5505,记账分录!$F$6:$F$5505,$A207,记账分录!$H$6:$H$5505,$C207,记账分录!$E$6:$E$5505,"&lt;"&amp;$A$4)))</f>
        <v>0</v>
      </c>
      <c r="I207" s="40" t="n">
        <f aca="false">IF($C207="","",SUMIFS(记账分录!$I$6:$I$5505,记账分录!$F$6:$F$5505,$A207,记账分录!$H$6:$H$5505,$C207,记账分录!$E$6:$E$5505,"&gt;="&amp;$A$4,记账分录!$E$6:$E$5505,"&lt;="&amp;$B$4))</f>
        <v>12000</v>
      </c>
      <c r="J207" s="40" t="n">
        <f aca="false">IF($C207="","",SUMIFS(记账分录!$J$6:$J$5505,记账分录!$F$6:$F$5505,$A207,记账分录!$H$6:$H$5505,$C207,记账分录!$E$6:$E$5505,"&gt;="&amp;$A$4,记账分录!$E$6:$E$5505,"&lt;="&amp;$B$4))</f>
        <v>0</v>
      </c>
      <c r="K207" s="42" t="n">
        <f aca="false">IF($C207="","",IF($E207="借",$I207-$J207,$J207-$I207))</f>
        <v>12000</v>
      </c>
      <c r="L207" s="42" t="n">
        <f aca="false">IF($C207="","",ROUND($H207+$K207,2))</f>
        <v>12000</v>
      </c>
      <c r="M207" s="40" t="n">
        <f aca="false">IF($C207="","",SUMIFS(记账分录!$I$6:$I$5505,记账分录!$F$6:$F$5505,$A207,记账分录!$H$6:$H$5505,$C207,记账分录!$E$6:$E$5505,"&lt;="&amp;$B$4))</f>
        <v>12000</v>
      </c>
      <c r="N207" s="40" t="n">
        <f aca="false">IF($C207="","",SUMIFS(记账分录!$J$6:$J$5505,记账分录!$F$6:$F$5505,$A207,记账分录!$H$6:$H$5505,$C207,记账分录!$E$6:$E$5505,"&lt;="&amp;$B$4))</f>
        <v>0</v>
      </c>
      <c r="O207" s="42" t="n">
        <f aca="false">IF($C207="","",IF($E207="借",$M207-$N207,$N207-$M207))</f>
        <v>12000</v>
      </c>
      <c r="P207" s="64" t="str">
        <f aca="false">IF($C207="","",IF(OR(ROUND($G207,2)&lt;&gt;0,ROUND($M207,2)&lt;&gt;0,ROUND($N207,2)&lt;&gt;0),"有",""))</f>
        <v>有</v>
      </c>
    </row>
    <row r="208" customFormat="false" ht="15" hidden="false" customHeight="false" outlineLevel="0" collapsed="false">
      <c r="A208" s="25" t="str">
        <f aca="false">IF(会计科目表!$B47="","",参数设置!$A$12)</f>
        <v/>
      </c>
      <c r="B208" s="25" t="str">
        <f aca="false">IF(会计科目表!$B47="","",会计科目表!$A47)</f>
        <v/>
      </c>
      <c r="C208" s="10" t="str">
        <f aca="false">IF(会计科目表!$B47="","",会计科目表!$B47)</f>
        <v/>
      </c>
      <c r="D208" s="25" t="str">
        <f aca="false">IF($C208="","",会计科目表!$C47)</f>
        <v/>
      </c>
      <c r="E208" s="25" t="str">
        <f aca="false">IF($C208="","",会计科目表!$D47)</f>
        <v/>
      </c>
      <c r="F208" s="10" t="str">
        <f aca="false">IF($C208="","",会计科目表!$F47)</f>
        <v/>
      </c>
      <c r="G208" s="40" t="str">
        <f aca="false">IF($C208="","",IF($E208="借",SUMIFS(期初余额!$C$6:$C$185,期初余额!$A$6:$A$185,$A208,期初余额!$B$6:$B$185,$C208)-SUMIFS(期初余额!$D$6:$D$185,期初余额!$A$6:$A$185,$A208,期初余额!$B$6:$B$185,$C208),SUMIFS(期初余额!$D$6:$D$185,期初余额!$A$6:$A$185,$A208,期初余额!$B$6:$B$185,$C208)-SUMIFS(期初余额!$C$6:$C$185,期初余额!$A$6:$A$185,$A208,期初余额!$B$6:$B$185,$C208)))</f>
        <v/>
      </c>
      <c r="H208" s="40" t="str">
        <f aca="false">IF($C208="","",$G208+IF($E208="借",SUMIFS(记账分录!$I$6:$I$5505,记账分录!$F$6:$F$5505,$A208,记账分录!$H$6:$H$5505,$C208,记账分录!$E$6:$E$5505,"&lt;"&amp;$A$4)-SUMIFS(记账分录!$J$6:$J$5505,记账分录!$F$6:$F$5505,$A208,记账分录!$H$6:$H$5505,$C208,记账分录!$E$6:$E$5505,"&lt;"&amp;$A$4),SUMIFS(记账分录!$J$6:$J$5505,记账分录!$F$6:$F$5505,$A208,记账分录!$H$6:$H$5505,$C208,记账分录!$E$6:$E$5505,"&lt;"&amp;$A$4)-SUMIFS(记账分录!$I$6:$I$5505,记账分录!$F$6:$F$5505,$A208,记账分录!$H$6:$H$5505,$C208,记账分录!$E$6:$E$5505,"&lt;"&amp;$A$4)))</f>
        <v/>
      </c>
      <c r="I208" s="40" t="str">
        <f aca="false">IF($C208="","",SUMIFS(记账分录!$I$6:$I$5505,记账分录!$F$6:$F$5505,$A208,记账分录!$H$6:$H$5505,$C208,记账分录!$E$6:$E$5505,"&gt;="&amp;$A$4,记账分录!$E$6:$E$5505,"&lt;="&amp;$B$4))</f>
        <v/>
      </c>
      <c r="J208" s="40" t="str">
        <f aca="false">IF($C208="","",SUMIFS(记账分录!$J$6:$J$5505,记账分录!$F$6:$F$5505,$A208,记账分录!$H$6:$H$5505,$C208,记账分录!$E$6:$E$5505,"&gt;="&amp;$A$4,记账分录!$E$6:$E$5505,"&lt;="&amp;$B$4))</f>
        <v/>
      </c>
      <c r="K208" s="42" t="str">
        <f aca="false">IF($C208="","",IF($E208="借",$I208-$J208,$J208-$I208))</f>
        <v/>
      </c>
      <c r="L208" s="42" t="str">
        <f aca="false">IF($C208="","",ROUND($H208+$K208,2))</f>
        <v/>
      </c>
      <c r="M208" s="40" t="str">
        <f aca="false">IF($C208="","",SUMIFS(记账分录!$I$6:$I$5505,记账分录!$F$6:$F$5505,$A208,记账分录!$H$6:$H$5505,$C208,记账分录!$E$6:$E$5505,"&lt;="&amp;$B$4))</f>
        <v/>
      </c>
      <c r="N208" s="40" t="str">
        <f aca="false">IF($C208="","",SUMIFS(记账分录!$J$6:$J$5505,记账分录!$F$6:$F$5505,$A208,记账分录!$H$6:$H$5505,$C208,记账分录!$E$6:$E$5505,"&lt;="&amp;$B$4))</f>
        <v/>
      </c>
      <c r="O208" s="42" t="str">
        <f aca="false">IF($C208="","",IF($E208="借",$M208-$N208,$N208-$M208))</f>
        <v/>
      </c>
      <c r="P208" s="64" t="str">
        <f aca="false">IF($C208="","",IF(OR(ROUND($G208,2)&lt;&gt;0,ROUND($M208,2)&lt;&gt;0,ROUND($N208,2)&lt;&gt;0),"有",""))</f>
        <v/>
      </c>
    </row>
    <row r="209" customFormat="false" ht="15" hidden="false" customHeight="false" outlineLevel="0" collapsed="false">
      <c r="A209" s="25" t="str">
        <f aca="false">IF(会计科目表!$B48="","",参数设置!$A$12)</f>
        <v/>
      </c>
      <c r="B209" s="25" t="str">
        <f aca="false">IF(会计科目表!$B48="","",会计科目表!$A48)</f>
        <v/>
      </c>
      <c r="C209" s="10" t="str">
        <f aca="false">IF(会计科目表!$B48="","",会计科目表!$B48)</f>
        <v/>
      </c>
      <c r="D209" s="25" t="str">
        <f aca="false">IF($C209="","",会计科目表!$C48)</f>
        <v/>
      </c>
      <c r="E209" s="25" t="str">
        <f aca="false">IF($C209="","",会计科目表!$D48)</f>
        <v/>
      </c>
      <c r="F209" s="10" t="str">
        <f aca="false">IF($C209="","",会计科目表!$F48)</f>
        <v/>
      </c>
      <c r="G209" s="40" t="str">
        <f aca="false">IF($C209="","",IF($E209="借",SUMIFS(期初余额!$C$6:$C$185,期初余额!$A$6:$A$185,$A209,期初余额!$B$6:$B$185,$C209)-SUMIFS(期初余额!$D$6:$D$185,期初余额!$A$6:$A$185,$A209,期初余额!$B$6:$B$185,$C209),SUMIFS(期初余额!$D$6:$D$185,期初余额!$A$6:$A$185,$A209,期初余额!$B$6:$B$185,$C209)-SUMIFS(期初余额!$C$6:$C$185,期初余额!$A$6:$A$185,$A209,期初余额!$B$6:$B$185,$C209)))</f>
        <v/>
      </c>
      <c r="H209" s="40" t="str">
        <f aca="false">IF($C209="","",$G209+IF($E209="借",SUMIFS(记账分录!$I$6:$I$5505,记账分录!$F$6:$F$5505,$A209,记账分录!$H$6:$H$5505,$C209,记账分录!$E$6:$E$5505,"&lt;"&amp;$A$4)-SUMIFS(记账分录!$J$6:$J$5505,记账分录!$F$6:$F$5505,$A209,记账分录!$H$6:$H$5505,$C209,记账分录!$E$6:$E$5505,"&lt;"&amp;$A$4),SUMIFS(记账分录!$J$6:$J$5505,记账分录!$F$6:$F$5505,$A209,记账分录!$H$6:$H$5505,$C209,记账分录!$E$6:$E$5505,"&lt;"&amp;$A$4)-SUMIFS(记账分录!$I$6:$I$5505,记账分录!$F$6:$F$5505,$A209,记账分录!$H$6:$H$5505,$C209,记账分录!$E$6:$E$5505,"&lt;"&amp;$A$4)))</f>
        <v/>
      </c>
      <c r="I209" s="40" t="str">
        <f aca="false">IF($C209="","",SUMIFS(记账分录!$I$6:$I$5505,记账分录!$F$6:$F$5505,$A209,记账分录!$H$6:$H$5505,$C209,记账分录!$E$6:$E$5505,"&gt;="&amp;$A$4,记账分录!$E$6:$E$5505,"&lt;="&amp;$B$4))</f>
        <v/>
      </c>
      <c r="J209" s="40" t="str">
        <f aca="false">IF($C209="","",SUMIFS(记账分录!$J$6:$J$5505,记账分录!$F$6:$F$5505,$A209,记账分录!$H$6:$H$5505,$C209,记账分录!$E$6:$E$5505,"&gt;="&amp;$A$4,记账分录!$E$6:$E$5505,"&lt;="&amp;$B$4))</f>
        <v/>
      </c>
      <c r="K209" s="42" t="str">
        <f aca="false">IF($C209="","",IF($E209="借",$I209-$J209,$J209-$I209))</f>
        <v/>
      </c>
      <c r="L209" s="42" t="str">
        <f aca="false">IF($C209="","",ROUND($H209+$K209,2))</f>
        <v/>
      </c>
      <c r="M209" s="40" t="str">
        <f aca="false">IF($C209="","",SUMIFS(记账分录!$I$6:$I$5505,记账分录!$F$6:$F$5505,$A209,记账分录!$H$6:$H$5505,$C209,记账分录!$E$6:$E$5505,"&lt;="&amp;$B$4))</f>
        <v/>
      </c>
      <c r="N209" s="40" t="str">
        <f aca="false">IF($C209="","",SUMIFS(记账分录!$J$6:$J$5505,记账分录!$F$6:$F$5505,$A209,记账分录!$H$6:$H$5505,$C209,记账分录!$E$6:$E$5505,"&lt;="&amp;$B$4))</f>
        <v/>
      </c>
      <c r="O209" s="42" t="str">
        <f aca="false">IF($C209="","",IF($E209="借",$M209-$N209,$N209-$M209))</f>
        <v/>
      </c>
      <c r="P209" s="64" t="str">
        <f aca="false">IF($C209="","",IF(OR(ROUND($G209,2)&lt;&gt;0,ROUND($M209,2)&lt;&gt;0,ROUND($N209,2)&lt;&gt;0),"有",""))</f>
        <v/>
      </c>
    </row>
    <row r="210" customFormat="false" ht="15" hidden="false" customHeight="false" outlineLevel="0" collapsed="false">
      <c r="A210" s="25" t="str">
        <f aca="false">IF(会计科目表!$B49="","",参数设置!$A$12)</f>
        <v/>
      </c>
      <c r="B210" s="25" t="str">
        <f aca="false">IF(会计科目表!$B49="","",会计科目表!$A49)</f>
        <v/>
      </c>
      <c r="C210" s="10" t="str">
        <f aca="false">IF(会计科目表!$B49="","",会计科目表!$B49)</f>
        <v/>
      </c>
      <c r="D210" s="25" t="str">
        <f aca="false">IF($C210="","",会计科目表!$C49)</f>
        <v/>
      </c>
      <c r="E210" s="25" t="str">
        <f aca="false">IF($C210="","",会计科目表!$D49)</f>
        <v/>
      </c>
      <c r="F210" s="10" t="str">
        <f aca="false">IF($C210="","",会计科目表!$F49)</f>
        <v/>
      </c>
      <c r="G210" s="40" t="str">
        <f aca="false">IF($C210="","",IF($E210="借",SUMIFS(期初余额!$C$6:$C$185,期初余额!$A$6:$A$185,$A210,期初余额!$B$6:$B$185,$C210)-SUMIFS(期初余额!$D$6:$D$185,期初余额!$A$6:$A$185,$A210,期初余额!$B$6:$B$185,$C210),SUMIFS(期初余额!$D$6:$D$185,期初余额!$A$6:$A$185,$A210,期初余额!$B$6:$B$185,$C210)-SUMIFS(期初余额!$C$6:$C$185,期初余额!$A$6:$A$185,$A210,期初余额!$B$6:$B$185,$C210)))</f>
        <v/>
      </c>
      <c r="H210" s="40" t="str">
        <f aca="false">IF($C210="","",$G210+IF($E210="借",SUMIFS(记账分录!$I$6:$I$5505,记账分录!$F$6:$F$5505,$A210,记账分录!$H$6:$H$5505,$C210,记账分录!$E$6:$E$5505,"&lt;"&amp;$A$4)-SUMIFS(记账分录!$J$6:$J$5505,记账分录!$F$6:$F$5505,$A210,记账分录!$H$6:$H$5505,$C210,记账分录!$E$6:$E$5505,"&lt;"&amp;$A$4),SUMIFS(记账分录!$J$6:$J$5505,记账分录!$F$6:$F$5505,$A210,记账分录!$H$6:$H$5505,$C210,记账分录!$E$6:$E$5505,"&lt;"&amp;$A$4)-SUMIFS(记账分录!$I$6:$I$5505,记账分录!$F$6:$F$5505,$A210,记账分录!$H$6:$H$5505,$C210,记账分录!$E$6:$E$5505,"&lt;"&amp;$A$4)))</f>
        <v/>
      </c>
      <c r="I210" s="40" t="str">
        <f aca="false">IF($C210="","",SUMIFS(记账分录!$I$6:$I$5505,记账分录!$F$6:$F$5505,$A210,记账分录!$H$6:$H$5505,$C210,记账分录!$E$6:$E$5505,"&gt;="&amp;$A$4,记账分录!$E$6:$E$5505,"&lt;="&amp;$B$4))</f>
        <v/>
      </c>
      <c r="J210" s="40" t="str">
        <f aca="false">IF($C210="","",SUMIFS(记账分录!$J$6:$J$5505,记账分录!$F$6:$F$5505,$A210,记账分录!$H$6:$H$5505,$C210,记账分录!$E$6:$E$5505,"&gt;="&amp;$A$4,记账分录!$E$6:$E$5505,"&lt;="&amp;$B$4))</f>
        <v/>
      </c>
      <c r="K210" s="42" t="str">
        <f aca="false">IF($C210="","",IF($E210="借",$I210-$J210,$J210-$I210))</f>
        <v/>
      </c>
      <c r="L210" s="42" t="str">
        <f aca="false">IF($C210="","",ROUND($H210+$K210,2))</f>
        <v/>
      </c>
      <c r="M210" s="40" t="str">
        <f aca="false">IF($C210="","",SUMIFS(记账分录!$I$6:$I$5505,记账分录!$F$6:$F$5505,$A210,记账分录!$H$6:$H$5505,$C210,记账分录!$E$6:$E$5505,"&lt;="&amp;$B$4))</f>
        <v/>
      </c>
      <c r="N210" s="40" t="str">
        <f aca="false">IF($C210="","",SUMIFS(记账分录!$J$6:$J$5505,记账分录!$F$6:$F$5505,$A210,记账分录!$H$6:$H$5505,$C210,记账分录!$E$6:$E$5505,"&lt;="&amp;$B$4))</f>
        <v/>
      </c>
      <c r="O210" s="42" t="str">
        <f aca="false">IF($C210="","",IF($E210="借",$M210-$N210,$N210-$M210))</f>
        <v/>
      </c>
      <c r="P210" s="64" t="str">
        <f aca="false">IF($C210="","",IF(OR(ROUND($G210,2)&lt;&gt;0,ROUND($M210,2)&lt;&gt;0,ROUND($N210,2)&lt;&gt;0),"有",""))</f>
        <v/>
      </c>
    </row>
    <row r="211" customFormat="false" ht="15" hidden="true" customHeight="false" outlineLevel="0" collapsed="false">
      <c r="A211" s="25" t="str">
        <f aca="false">IF(会计科目表!$B50="","",参数设置!$A$12)</f>
        <v/>
      </c>
      <c r="B211" s="25" t="str">
        <f aca="false">IF(会计科目表!$B50="","",会计科目表!$A50)</f>
        <v/>
      </c>
      <c r="C211" s="10" t="str">
        <f aca="false">IF(会计科目表!$B50="","",会计科目表!$B50)</f>
        <v/>
      </c>
      <c r="D211" s="25" t="str">
        <f aca="false">IF($C211="","",会计科目表!$C50)</f>
        <v/>
      </c>
      <c r="E211" s="25" t="str">
        <f aca="false">IF($C211="","",会计科目表!$D50)</f>
        <v/>
      </c>
      <c r="F211" s="10" t="str">
        <f aca="false">IF($C211="","",会计科目表!$F50)</f>
        <v/>
      </c>
      <c r="G211" s="40" t="str">
        <f aca="false">IF($C211="","",IF($E211="借",SUMIFS(期初余额!$C$6:$C$185,期初余额!$A$6:$A$185,$A211,期初余额!$B$6:$B$185,$C211)-SUMIFS(期初余额!$D$6:$D$185,期初余额!$A$6:$A$185,$A211,期初余额!$B$6:$B$185,$C211),SUMIFS(期初余额!$D$6:$D$185,期初余额!$A$6:$A$185,$A211,期初余额!$B$6:$B$185,$C211)-SUMIFS(期初余额!$C$6:$C$185,期初余额!$A$6:$A$185,$A211,期初余额!$B$6:$B$185,$C211)))</f>
        <v/>
      </c>
      <c r="H211" s="40" t="str">
        <f aca="false">IF($C211="","",$G211+IF($E211="借",SUMIFS(记账分录!$I$6:$I$5505,记账分录!$F$6:$F$5505,$A211,记账分录!$H$6:$H$5505,$C211,记账分录!$E$6:$E$5505,"&lt;"&amp;$A$4)-SUMIFS(记账分录!$J$6:$J$5505,记账分录!$F$6:$F$5505,$A211,记账分录!$H$6:$H$5505,$C211,记账分录!$E$6:$E$5505,"&lt;"&amp;$A$4),SUMIFS(记账分录!$J$6:$J$5505,记账分录!$F$6:$F$5505,$A211,记账分录!$H$6:$H$5505,$C211,记账分录!$E$6:$E$5505,"&lt;"&amp;$A$4)-SUMIFS(记账分录!$I$6:$I$5505,记账分录!$F$6:$F$5505,$A211,记账分录!$H$6:$H$5505,$C211,记账分录!$E$6:$E$5505,"&lt;"&amp;$A$4)))</f>
        <v/>
      </c>
      <c r="I211" s="40" t="str">
        <f aca="false">IF($C211="","",SUMIFS(记账分录!$I$6:$I$5505,记账分录!$F$6:$F$5505,$A211,记账分录!$H$6:$H$5505,$C211,记账分录!$E$6:$E$5505,"&gt;="&amp;$A$4,记账分录!$E$6:$E$5505,"&lt;="&amp;$B$4))</f>
        <v/>
      </c>
      <c r="J211" s="40" t="str">
        <f aca="false">IF($C211="","",SUMIFS(记账分录!$J$6:$J$5505,记账分录!$F$6:$F$5505,$A211,记账分录!$H$6:$H$5505,$C211,记账分录!$E$6:$E$5505,"&gt;="&amp;$A$4,记账分录!$E$6:$E$5505,"&lt;="&amp;$B$4))</f>
        <v/>
      </c>
      <c r="K211" s="42" t="str">
        <f aca="false">IF($C211="","",IF($E211="借",$I211-$J211,$J211-$I211))</f>
        <v/>
      </c>
      <c r="L211" s="42" t="str">
        <f aca="false">IF($C211="","",ROUND($H211+$K211,2))</f>
        <v/>
      </c>
      <c r="M211" s="40" t="str">
        <f aca="false">IF($C211="","",SUMIFS(记账分录!$I$6:$I$5505,记账分录!$F$6:$F$5505,$A211,记账分录!$H$6:$H$5505,$C211,记账分录!$E$6:$E$5505,"&lt;="&amp;$B$4))</f>
        <v/>
      </c>
      <c r="N211" s="40" t="str">
        <f aca="false">IF($C211="","",SUMIFS(记账分录!$J$6:$J$5505,记账分录!$F$6:$F$5505,$A211,记账分录!$H$6:$H$5505,$C211,记账分录!$E$6:$E$5505,"&lt;="&amp;$B$4))</f>
        <v/>
      </c>
      <c r="O211" s="42" t="str">
        <f aca="false">IF($C211="","",IF($E211="借",$M211-$N211,$N211-$M211))</f>
        <v/>
      </c>
      <c r="P211" s="64" t="str">
        <f aca="false">IF($C211="","",IF(OR(ROUND($G211,2)&lt;&gt;0,ROUND($M211,2)&lt;&gt;0,ROUND($N211,2)&lt;&gt;0),"有",""))</f>
        <v/>
      </c>
    </row>
    <row r="212" customFormat="false" ht="15" hidden="true" customHeight="false" outlineLevel="0" collapsed="false">
      <c r="A212" s="25" t="str">
        <f aca="false">IF(会计科目表!$B51="","",参数设置!$A$12)</f>
        <v/>
      </c>
      <c r="B212" s="25" t="str">
        <f aca="false">IF(会计科目表!$B51="","",会计科目表!$A51)</f>
        <v/>
      </c>
      <c r="C212" s="10" t="str">
        <f aca="false">IF(会计科目表!$B51="","",会计科目表!$B51)</f>
        <v/>
      </c>
      <c r="D212" s="25" t="str">
        <f aca="false">IF($C212="","",会计科目表!$C51)</f>
        <v/>
      </c>
      <c r="E212" s="25" t="str">
        <f aca="false">IF($C212="","",会计科目表!$D51)</f>
        <v/>
      </c>
      <c r="F212" s="10" t="str">
        <f aca="false">IF($C212="","",会计科目表!$F51)</f>
        <v/>
      </c>
      <c r="G212" s="40" t="str">
        <f aca="false">IF($C212="","",IF($E212="借",SUMIFS(期初余额!$C$6:$C$185,期初余额!$A$6:$A$185,$A212,期初余额!$B$6:$B$185,$C212)-SUMIFS(期初余额!$D$6:$D$185,期初余额!$A$6:$A$185,$A212,期初余额!$B$6:$B$185,$C212),SUMIFS(期初余额!$D$6:$D$185,期初余额!$A$6:$A$185,$A212,期初余额!$B$6:$B$185,$C212)-SUMIFS(期初余额!$C$6:$C$185,期初余额!$A$6:$A$185,$A212,期初余额!$B$6:$B$185,$C212)))</f>
        <v/>
      </c>
      <c r="H212" s="40" t="str">
        <f aca="false">IF($C212="","",$G212+IF($E212="借",SUMIFS(记账分录!$I$6:$I$5505,记账分录!$F$6:$F$5505,$A212,记账分录!$H$6:$H$5505,$C212,记账分录!$E$6:$E$5505,"&lt;"&amp;$A$4)-SUMIFS(记账分录!$J$6:$J$5505,记账分录!$F$6:$F$5505,$A212,记账分录!$H$6:$H$5505,$C212,记账分录!$E$6:$E$5505,"&lt;"&amp;$A$4),SUMIFS(记账分录!$J$6:$J$5505,记账分录!$F$6:$F$5505,$A212,记账分录!$H$6:$H$5505,$C212,记账分录!$E$6:$E$5505,"&lt;"&amp;$A$4)-SUMIFS(记账分录!$I$6:$I$5505,记账分录!$F$6:$F$5505,$A212,记账分录!$H$6:$H$5505,$C212,记账分录!$E$6:$E$5505,"&lt;"&amp;$A$4)))</f>
        <v/>
      </c>
      <c r="I212" s="40" t="str">
        <f aca="false">IF($C212="","",SUMIFS(记账分录!$I$6:$I$5505,记账分录!$F$6:$F$5505,$A212,记账分录!$H$6:$H$5505,$C212,记账分录!$E$6:$E$5505,"&gt;="&amp;$A$4,记账分录!$E$6:$E$5505,"&lt;="&amp;$B$4))</f>
        <v/>
      </c>
      <c r="J212" s="40" t="str">
        <f aca="false">IF($C212="","",SUMIFS(记账分录!$J$6:$J$5505,记账分录!$F$6:$F$5505,$A212,记账分录!$H$6:$H$5505,$C212,记账分录!$E$6:$E$5505,"&gt;="&amp;$A$4,记账分录!$E$6:$E$5505,"&lt;="&amp;$B$4))</f>
        <v/>
      </c>
      <c r="K212" s="42" t="str">
        <f aca="false">IF($C212="","",IF($E212="借",$I212-$J212,$J212-$I212))</f>
        <v/>
      </c>
      <c r="L212" s="42" t="str">
        <f aca="false">IF($C212="","",ROUND($H212+$K212,2))</f>
        <v/>
      </c>
      <c r="M212" s="40" t="str">
        <f aca="false">IF($C212="","",SUMIFS(记账分录!$I$6:$I$5505,记账分录!$F$6:$F$5505,$A212,记账分录!$H$6:$H$5505,$C212,记账分录!$E$6:$E$5505,"&lt;="&amp;$B$4))</f>
        <v/>
      </c>
      <c r="N212" s="40" t="str">
        <f aca="false">IF($C212="","",SUMIFS(记账分录!$J$6:$J$5505,记账分录!$F$6:$F$5505,$A212,记账分录!$H$6:$H$5505,$C212,记账分录!$E$6:$E$5505,"&lt;="&amp;$B$4))</f>
        <v/>
      </c>
      <c r="O212" s="42" t="str">
        <f aca="false">IF($C212="","",IF($E212="借",$M212-$N212,$N212-$M212))</f>
        <v/>
      </c>
      <c r="P212" s="64" t="str">
        <f aca="false">IF($C212="","",IF(OR(ROUND($G212,2)&lt;&gt;0,ROUND($M212,2)&lt;&gt;0,ROUND($N212,2)&lt;&gt;0),"有",""))</f>
        <v/>
      </c>
    </row>
    <row r="213" customFormat="false" ht="15" hidden="true" customHeight="false" outlineLevel="0" collapsed="false">
      <c r="A213" s="25" t="str">
        <f aca="false">IF(会计科目表!$B52="","",参数设置!$A$12)</f>
        <v/>
      </c>
      <c r="B213" s="25" t="str">
        <f aca="false">IF(会计科目表!$B52="","",会计科目表!$A52)</f>
        <v/>
      </c>
      <c r="C213" s="10" t="str">
        <f aca="false">IF(会计科目表!$B52="","",会计科目表!$B52)</f>
        <v/>
      </c>
      <c r="D213" s="25" t="str">
        <f aca="false">IF($C213="","",会计科目表!$C52)</f>
        <v/>
      </c>
      <c r="E213" s="25" t="str">
        <f aca="false">IF($C213="","",会计科目表!$D52)</f>
        <v/>
      </c>
      <c r="F213" s="10" t="str">
        <f aca="false">IF($C213="","",会计科目表!$F52)</f>
        <v/>
      </c>
      <c r="G213" s="40" t="str">
        <f aca="false">IF($C213="","",IF($E213="借",SUMIFS(期初余额!$C$6:$C$185,期初余额!$A$6:$A$185,$A213,期初余额!$B$6:$B$185,$C213)-SUMIFS(期初余额!$D$6:$D$185,期初余额!$A$6:$A$185,$A213,期初余额!$B$6:$B$185,$C213),SUMIFS(期初余额!$D$6:$D$185,期初余额!$A$6:$A$185,$A213,期初余额!$B$6:$B$185,$C213)-SUMIFS(期初余额!$C$6:$C$185,期初余额!$A$6:$A$185,$A213,期初余额!$B$6:$B$185,$C213)))</f>
        <v/>
      </c>
      <c r="H213" s="40" t="str">
        <f aca="false">IF($C213="","",$G213+IF($E213="借",SUMIFS(记账分录!$I$6:$I$5505,记账分录!$F$6:$F$5505,$A213,记账分录!$H$6:$H$5505,$C213,记账分录!$E$6:$E$5505,"&lt;"&amp;$A$4)-SUMIFS(记账分录!$J$6:$J$5505,记账分录!$F$6:$F$5505,$A213,记账分录!$H$6:$H$5505,$C213,记账分录!$E$6:$E$5505,"&lt;"&amp;$A$4),SUMIFS(记账分录!$J$6:$J$5505,记账分录!$F$6:$F$5505,$A213,记账分录!$H$6:$H$5505,$C213,记账分录!$E$6:$E$5505,"&lt;"&amp;$A$4)-SUMIFS(记账分录!$I$6:$I$5505,记账分录!$F$6:$F$5505,$A213,记账分录!$H$6:$H$5505,$C213,记账分录!$E$6:$E$5505,"&lt;"&amp;$A$4)))</f>
        <v/>
      </c>
      <c r="I213" s="40" t="str">
        <f aca="false">IF($C213="","",SUMIFS(记账分录!$I$6:$I$5505,记账分录!$F$6:$F$5505,$A213,记账分录!$H$6:$H$5505,$C213,记账分录!$E$6:$E$5505,"&gt;="&amp;$A$4,记账分录!$E$6:$E$5505,"&lt;="&amp;$B$4))</f>
        <v/>
      </c>
      <c r="J213" s="40" t="str">
        <f aca="false">IF($C213="","",SUMIFS(记账分录!$J$6:$J$5505,记账分录!$F$6:$F$5505,$A213,记账分录!$H$6:$H$5505,$C213,记账分录!$E$6:$E$5505,"&gt;="&amp;$A$4,记账分录!$E$6:$E$5505,"&lt;="&amp;$B$4))</f>
        <v/>
      </c>
      <c r="K213" s="42" t="str">
        <f aca="false">IF($C213="","",IF($E213="借",$I213-$J213,$J213-$I213))</f>
        <v/>
      </c>
      <c r="L213" s="42" t="str">
        <f aca="false">IF($C213="","",ROUND($H213+$K213,2))</f>
        <v/>
      </c>
      <c r="M213" s="40" t="str">
        <f aca="false">IF($C213="","",SUMIFS(记账分录!$I$6:$I$5505,记账分录!$F$6:$F$5505,$A213,记账分录!$H$6:$H$5505,$C213,记账分录!$E$6:$E$5505,"&lt;="&amp;$B$4))</f>
        <v/>
      </c>
      <c r="N213" s="40" t="str">
        <f aca="false">IF($C213="","",SUMIFS(记账分录!$J$6:$J$5505,记账分录!$F$6:$F$5505,$A213,记账分录!$H$6:$H$5505,$C213,记账分录!$E$6:$E$5505,"&lt;="&amp;$B$4))</f>
        <v/>
      </c>
      <c r="O213" s="42" t="str">
        <f aca="false">IF($C213="","",IF($E213="借",$M213-$N213,$N213-$M213))</f>
        <v/>
      </c>
      <c r="P213" s="64" t="str">
        <f aca="false">IF($C213="","",IF(OR(ROUND($G213,2)&lt;&gt;0,ROUND($M213,2)&lt;&gt;0,ROUND($N213,2)&lt;&gt;0),"有",""))</f>
        <v/>
      </c>
    </row>
    <row r="214" customFormat="false" ht="15" hidden="true" customHeight="false" outlineLevel="0" collapsed="false">
      <c r="A214" s="25" t="str">
        <f aca="false">IF(会计科目表!$B53="","",参数设置!$A$12)</f>
        <v/>
      </c>
      <c r="B214" s="25" t="str">
        <f aca="false">IF(会计科目表!$B53="","",会计科目表!$A53)</f>
        <v/>
      </c>
      <c r="C214" s="10" t="str">
        <f aca="false">IF(会计科目表!$B53="","",会计科目表!$B53)</f>
        <v/>
      </c>
      <c r="D214" s="25" t="str">
        <f aca="false">IF($C214="","",会计科目表!$C53)</f>
        <v/>
      </c>
      <c r="E214" s="25" t="str">
        <f aca="false">IF($C214="","",会计科目表!$D53)</f>
        <v/>
      </c>
      <c r="F214" s="10" t="str">
        <f aca="false">IF($C214="","",会计科目表!$F53)</f>
        <v/>
      </c>
      <c r="G214" s="40" t="str">
        <f aca="false">IF($C214="","",IF($E214="借",SUMIFS(期初余额!$C$6:$C$185,期初余额!$A$6:$A$185,$A214,期初余额!$B$6:$B$185,$C214)-SUMIFS(期初余额!$D$6:$D$185,期初余额!$A$6:$A$185,$A214,期初余额!$B$6:$B$185,$C214),SUMIFS(期初余额!$D$6:$D$185,期初余额!$A$6:$A$185,$A214,期初余额!$B$6:$B$185,$C214)-SUMIFS(期初余额!$C$6:$C$185,期初余额!$A$6:$A$185,$A214,期初余额!$B$6:$B$185,$C214)))</f>
        <v/>
      </c>
      <c r="H214" s="40" t="str">
        <f aca="false">IF($C214="","",$G214+IF($E214="借",SUMIFS(记账分录!$I$6:$I$5505,记账分录!$F$6:$F$5505,$A214,记账分录!$H$6:$H$5505,$C214,记账分录!$E$6:$E$5505,"&lt;"&amp;$A$4)-SUMIFS(记账分录!$J$6:$J$5505,记账分录!$F$6:$F$5505,$A214,记账分录!$H$6:$H$5505,$C214,记账分录!$E$6:$E$5505,"&lt;"&amp;$A$4),SUMIFS(记账分录!$J$6:$J$5505,记账分录!$F$6:$F$5505,$A214,记账分录!$H$6:$H$5505,$C214,记账分录!$E$6:$E$5505,"&lt;"&amp;$A$4)-SUMIFS(记账分录!$I$6:$I$5505,记账分录!$F$6:$F$5505,$A214,记账分录!$H$6:$H$5505,$C214,记账分录!$E$6:$E$5505,"&lt;"&amp;$A$4)))</f>
        <v/>
      </c>
      <c r="I214" s="40" t="str">
        <f aca="false">IF($C214="","",SUMIFS(记账分录!$I$6:$I$5505,记账分录!$F$6:$F$5505,$A214,记账分录!$H$6:$H$5505,$C214,记账分录!$E$6:$E$5505,"&gt;="&amp;$A$4,记账分录!$E$6:$E$5505,"&lt;="&amp;$B$4))</f>
        <v/>
      </c>
      <c r="J214" s="40" t="str">
        <f aca="false">IF($C214="","",SUMIFS(记账分录!$J$6:$J$5505,记账分录!$F$6:$F$5505,$A214,记账分录!$H$6:$H$5505,$C214,记账分录!$E$6:$E$5505,"&gt;="&amp;$A$4,记账分录!$E$6:$E$5505,"&lt;="&amp;$B$4))</f>
        <v/>
      </c>
      <c r="K214" s="42" t="str">
        <f aca="false">IF($C214="","",IF($E214="借",$I214-$J214,$J214-$I214))</f>
        <v/>
      </c>
      <c r="L214" s="42" t="str">
        <f aca="false">IF($C214="","",ROUND($H214+$K214,2))</f>
        <v/>
      </c>
      <c r="M214" s="40" t="str">
        <f aca="false">IF($C214="","",SUMIFS(记账分录!$I$6:$I$5505,记账分录!$F$6:$F$5505,$A214,记账分录!$H$6:$H$5505,$C214,记账分录!$E$6:$E$5505,"&lt;="&amp;$B$4))</f>
        <v/>
      </c>
      <c r="N214" s="40" t="str">
        <f aca="false">IF($C214="","",SUMIFS(记账分录!$J$6:$J$5505,记账分录!$F$6:$F$5505,$A214,记账分录!$H$6:$H$5505,$C214,记账分录!$E$6:$E$5505,"&lt;="&amp;$B$4))</f>
        <v/>
      </c>
      <c r="O214" s="42" t="str">
        <f aca="false">IF($C214="","",IF($E214="借",$M214-$N214,$N214-$M214))</f>
        <v/>
      </c>
      <c r="P214" s="64" t="str">
        <f aca="false">IF($C214="","",IF(OR(ROUND($G214,2)&lt;&gt;0,ROUND($M214,2)&lt;&gt;0,ROUND($N214,2)&lt;&gt;0),"有",""))</f>
        <v/>
      </c>
    </row>
    <row r="215" customFormat="false" ht="15" hidden="true" customHeight="false" outlineLevel="0" collapsed="false">
      <c r="A215" s="25" t="str">
        <f aca="false">IF(会计科目表!$B54="","",参数设置!$A$12)</f>
        <v/>
      </c>
      <c r="B215" s="25" t="str">
        <f aca="false">IF(会计科目表!$B54="","",会计科目表!$A54)</f>
        <v/>
      </c>
      <c r="C215" s="10" t="str">
        <f aca="false">IF(会计科目表!$B54="","",会计科目表!$B54)</f>
        <v/>
      </c>
      <c r="D215" s="25" t="str">
        <f aca="false">IF($C215="","",会计科目表!$C54)</f>
        <v/>
      </c>
      <c r="E215" s="25" t="str">
        <f aca="false">IF($C215="","",会计科目表!$D54)</f>
        <v/>
      </c>
      <c r="F215" s="10" t="str">
        <f aca="false">IF($C215="","",会计科目表!$F54)</f>
        <v/>
      </c>
      <c r="G215" s="40" t="str">
        <f aca="false">IF($C215="","",IF($E215="借",SUMIFS(期初余额!$C$6:$C$185,期初余额!$A$6:$A$185,$A215,期初余额!$B$6:$B$185,$C215)-SUMIFS(期初余额!$D$6:$D$185,期初余额!$A$6:$A$185,$A215,期初余额!$B$6:$B$185,$C215),SUMIFS(期初余额!$D$6:$D$185,期初余额!$A$6:$A$185,$A215,期初余额!$B$6:$B$185,$C215)-SUMIFS(期初余额!$C$6:$C$185,期初余额!$A$6:$A$185,$A215,期初余额!$B$6:$B$185,$C215)))</f>
        <v/>
      </c>
      <c r="H215" s="40" t="str">
        <f aca="false">IF($C215="","",$G215+IF($E215="借",SUMIFS(记账分录!$I$6:$I$5505,记账分录!$F$6:$F$5505,$A215,记账分录!$H$6:$H$5505,$C215,记账分录!$E$6:$E$5505,"&lt;"&amp;$A$4)-SUMIFS(记账分录!$J$6:$J$5505,记账分录!$F$6:$F$5505,$A215,记账分录!$H$6:$H$5505,$C215,记账分录!$E$6:$E$5505,"&lt;"&amp;$A$4),SUMIFS(记账分录!$J$6:$J$5505,记账分录!$F$6:$F$5505,$A215,记账分录!$H$6:$H$5505,$C215,记账分录!$E$6:$E$5505,"&lt;"&amp;$A$4)-SUMIFS(记账分录!$I$6:$I$5505,记账分录!$F$6:$F$5505,$A215,记账分录!$H$6:$H$5505,$C215,记账分录!$E$6:$E$5505,"&lt;"&amp;$A$4)))</f>
        <v/>
      </c>
      <c r="I215" s="40" t="str">
        <f aca="false">IF($C215="","",SUMIFS(记账分录!$I$6:$I$5505,记账分录!$F$6:$F$5505,$A215,记账分录!$H$6:$H$5505,$C215,记账分录!$E$6:$E$5505,"&gt;="&amp;$A$4,记账分录!$E$6:$E$5505,"&lt;="&amp;$B$4))</f>
        <v/>
      </c>
      <c r="J215" s="40" t="str">
        <f aca="false">IF($C215="","",SUMIFS(记账分录!$J$6:$J$5505,记账分录!$F$6:$F$5505,$A215,记账分录!$H$6:$H$5505,$C215,记账分录!$E$6:$E$5505,"&gt;="&amp;$A$4,记账分录!$E$6:$E$5505,"&lt;="&amp;$B$4))</f>
        <v/>
      </c>
      <c r="K215" s="42" t="str">
        <f aca="false">IF($C215="","",IF($E215="借",$I215-$J215,$J215-$I215))</f>
        <v/>
      </c>
      <c r="L215" s="42" t="str">
        <f aca="false">IF($C215="","",ROUND($H215+$K215,2))</f>
        <v/>
      </c>
      <c r="M215" s="40" t="str">
        <f aca="false">IF($C215="","",SUMIFS(记账分录!$I$6:$I$5505,记账分录!$F$6:$F$5505,$A215,记账分录!$H$6:$H$5505,$C215,记账分录!$E$6:$E$5505,"&lt;="&amp;$B$4))</f>
        <v/>
      </c>
      <c r="N215" s="40" t="str">
        <f aca="false">IF($C215="","",SUMIFS(记账分录!$J$6:$J$5505,记账分录!$F$6:$F$5505,$A215,记账分录!$H$6:$H$5505,$C215,记账分录!$E$6:$E$5505,"&lt;="&amp;$B$4))</f>
        <v/>
      </c>
      <c r="O215" s="42" t="str">
        <f aca="false">IF($C215="","",IF($E215="借",$M215-$N215,$N215-$M215))</f>
        <v/>
      </c>
      <c r="P215" s="64" t="str">
        <f aca="false">IF($C215="","",IF(OR(ROUND($G215,2)&lt;&gt;0,ROUND($M215,2)&lt;&gt;0,ROUND($N215,2)&lt;&gt;0),"有",""))</f>
        <v/>
      </c>
    </row>
    <row r="216" customFormat="false" ht="15" hidden="true" customHeight="false" outlineLevel="0" collapsed="false">
      <c r="A216" s="25" t="str">
        <f aca="false">IF(会计科目表!$B55="","",参数设置!$A$12)</f>
        <v/>
      </c>
      <c r="B216" s="25" t="str">
        <f aca="false">IF(会计科目表!$B55="","",会计科目表!$A55)</f>
        <v/>
      </c>
      <c r="C216" s="10" t="str">
        <f aca="false">IF(会计科目表!$B55="","",会计科目表!$B55)</f>
        <v/>
      </c>
      <c r="D216" s="25" t="str">
        <f aca="false">IF($C216="","",会计科目表!$C55)</f>
        <v/>
      </c>
      <c r="E216" s="25" t="str">
        <f aca="false">IF($C216="","",会计科目表!$D55)</f>
        <v/>
      </c>
      <c r="F216" s="10" t="str">
        <f aca="false">IF($C216="","",会计科目表!$F55)</f>
        <v/>
      </c>
      <c r="G216" s="40" t="str">
        <f aca="false">IF($C216="","",IF($E216="借",SUMIFS(期初余额!$C$6:$C$185,期初余额!$A$6:$A$185,$A216,期初余额!$B$6:$B$185,$C216)-SUMIFS(期初余额!$D$6:$D$185,期初余额!$A$6:$A$185,$A216,期初余额!$B$6:$B$185,$C216),SUMIFS(期初余额!$D$6:$D$185,期初余额!$A$6:$A$185,$A216,期初余额!$B$6:$B$185,$C216)-SUMIFS(期初余额!$C$6:$C$185,期初余额!$A$6:$A$185,$A216,期初余额!$B$6:$B$185,$C216)))</f>
        <v/>
      </c>
      <c r="H216" s="40" t="str">
        <f aca="false">IF($C216="","",$G216+IF($E216="借",SUMIFS(记账分录!$I$6:$I$5505,记账分录!$F$6:$F$5505,$A216,记账分录!$H$6:$H$5505,$C216,记账分录!$E$6:$E$5505,"&lt;"&amp;$A$4)-SUMIFS(记账分录!$J$6:$J$5505,记账分录!$F$6:$F$5505,$A216,记账分录!$H$6:$H$5505,$C216,记账分录!$E$6:$E$5505,"&lt;"&amp;$A$4),SUMIFS(记账分录!$J$6:$J$5505,记账分录!$F$6:$F$5505,$A216,记账分录!$H$6:$H$5505,$C216,记账分录!$E$6:$E$5505,"&lt;"&amp;$A$4)-SUMIFS(记账分录!$I$6:$I$5505,记账分录!$F$6:$F$5505,$A216,记账分录!$H$6:$H$5505,$C216,记账分录!$E$6:$E$5505,"&lt;"&amp;$A$4)))</f>
        <v/>
      </c>
      <c r="I216" s="40" t="str">
        <f aca="false">IF($C216="","",SUMIFS(记账分录!$I$6:$I$5505,记账分录!$F$6:$F$5505,$A216,记账分录!$H$6:$H$5505,$C216,记账分录!$E$6:$E$5505,"&gt;="&amp;$A$4,记账分录!$E$6:$E$5505,"&lt;="&amp;$B$4))</f>
        <v/>
      </c>
      <c r="J216" s="40" t="str">
        <f aca="false">IF($C216="","",SUMIFS(记账分录!$J$6:$J$5505,记账分录!$F$6:$F$5505,$A216,记账分录!$H$6:$H$5505,$C216,记账分录!$E$6:$E$5505,"&gt;="&amp;$A$4,记账分录!$E$6:$E$5505,"&lt;="&amp;$B$4))</f>
        <v/>
      </c>
      <c r="K216" s="42" t="str">
        <f aca="false">IF($C216="","",IF($E216="借",$I216-$J216,$J216-$I216))</f>
        <v/>
      </c>
      <c r="L216" s="42" t="str">
        <f aca="false">IF($C216="","",ROUND($H216+$K216,2))</f>
        <v/>
      </c>
      <c r="M216" s="40" t="str">
        <f aca="false">IF($C216="","",SUMIFS(记账分录!$I$6:$I$5505,记账分录!$F$6:$F$5505,$A216,记账分录!$H$6:$H$5505,$C216,记账分录!$E$6:$E$5505,"&lt;="&amp;$B$4))</f>
        <v/>
      </c>
      <c r="N216" s="40" t="str">
        <f aca="false">IF($C216="","",SUMIFS(记账分录!$J$6:$J$5505,记账分录!$F$6:$F$5505,$A216,记账分录!$H$6:$H$5505,$C216,记账分录!$E$6:$E$5505,"&lt;="&amp;$B$4))</f>
        <v/>
      </c>
      <c r="O216" s="42" t="str">
        <f aca="false">IF($C216="","",IF($E216="借",$M216-$N216,$N216-$M216))</f>
        <v/>
      </c>
      <c r="P216" s="64" t="str">
        <f aca="false">IF($C216="","",IF(OR(ROUND($G216,2)&lt;&gt;0,ROUND($M216,2)&lt;&gt;0,ROUND($N216,2)&lt;&gt;0),"有",""))</f>
        <v/>
      </c>
    </row>
    <row r="217" customFormat="false" ht="15" hidden="true" customHeight="false" outlineLevel="0" collapsed="false">
      <c r="A217" s="25" t="str">
        <f aca="false">IF(会计科目表!$B56="","",参数设置!$A$12)</f>
        <v/>
      </c>
      <c r="B217" s="25" t="str">
        <f aca="false">IF(会计科目表!$B56="","",会计科目表!$A56)</f>
        <v/>
      </c>
      <c r="C217" s="10" t="str">
        <f aca="false">IF(会计科目表!$B56="","",会计科目表!$B56)</f>
        <v/>
      </c>
      <c r="D217" s="25" t="str">
        <f aca="false">IF($C217="","",会计科目表!$C56)</f>
        <v/>
      </c>
      <c r="E217" s="25" t="str">
        <f aca="false">IF($C217="","",会计科目表!$D56)</f>
        <v/>
      </c>
      <c r="F217" s="10" t="str">
        <f aca="false">IF($C217="","",会计科目表!$F56)</f>
        <v/>
      </c>
      <c r="G217" s="40" t="str">
        <f aca="false">IF($C217="","",IF($E217="借",SUMIFS(期初余额!$C$6:$C$185,期初余额!$A$6:$A$185,$A217,期初余额!$B$6:$B$185,$C217)-SUMIFS(期初余额!$D$6:$D$185,期初余额!$A$6:$A$185,$A217,期初余额!$B$6:$B$185,$C217),SUMIFS(期初余额!$D$6:$D$185,期初余额!$A$6:$A$185,$A217,期初余额!$B$6:$B$185,$C217)-SUMIFS(期初余额!$C$6:$C$185,期初余额!$A$6:$A$185,$A217,期初余额!$B$6:$B$185,$C217)))</f>
        <v/>
      </c>
      <c r="H217" s="40" t="str">
        <f aca="false">IF($C217="","",$G217+IF($E217="借",SUMIFS(记账分录!$I$6:$I$5505,记账分录!$F$6:$F$5505,$A217,记账分录!$H$6:$H$5505,$C217,记账分录!$E$6:$E$5505,"&lt;"&amp;$A$4)-SUMIFS(记账分录!$J$6:$J$5505,记账分录!$F$6:$F$5505,$A217,记账分录!$H$6:$H$5505,$C217,记账分录!$E$6:$E$5505,"&lt;"&amp;$A$4),SUMIFS(记账分录!$J$6:$J$5505,记账分录!$F$6:$F$5505,$A217,记账分录!$H$6:$H$5505,$C217,记账分录!$E$6:$E$5505,"&lt;"&amp;$A$4)-SUMIFS(记账分录!$I$6:$I$5505,记账分录!$F$6:$F$5505,$A217,记账分录!$H$6:$H$5505,$C217,记账分录!$E$6:$E$5505,"&lt;"&amp;$A$4)))</f>
        <v/>
      </c>
      <c r="I217" s="40" t="str">
        <f aca="false">IF($C217="","",SUMIFS(记账分录!$I$6:$I$5505,记账分录!$F$6:$F$5505,$A217,记账分录!$H$6:$H$5505,$C217,记账分录!$E$6:$E$5505,"&gt;="&amp;$A$4,记账分录!$E$6:$E$5505,"&lt;="&amp;$B$4))</f>
        <v/>
      </c>
      <c r="J217" s="40" t="str">
        <f aca="false">IF($C217="","",SUMIFS(记账分录!$J$6:$J$5505,记账分录!$F$6:$F$5505,$A217,记账分录!$H$6:$H$5505,$C217,记账分录!$E$6:$E$5505,"&gt;="&amp;$A$4,记账分录!$E$6:$E$5505,"&lt;="&amp;$B$4))</f>
        <v/>
      </c>
      <c r="K217" s="42" t="str">
        <f aca="false">IF($C217="","",IF($E217="借",$I217-$J217,$J217-$I217))</f>
        <v/>
      </c>
      <c r="L217" s="42" t="str">
        <f aca="false">IF($C217="","",ROUND($H217+$K217,2))</f>
        <v/>
      </c>
      <c r="M217" s="40" t="str">
        <f aca="false">IF($C217="","",SUMIFS(记账分录!$I$6:$I$5505,记账分录!$F$6:$F$5505,$A217,记账分录!$H$6:$H$5505,$C217,记账分录!$E$6:$E$5505,"&lt;="&amp;$B$4))</f>
        <v/>
      </c>
      <c r="N217" s="40" t="str">
        <f aca="false">IF($C217="","",SUMIFS(记账分录!$J$6:$J$5505,记账分录!$F$6:$F$5505,$A217,记账分录!$H$6:$H$5505,$C217,记账分录!$E$6:$E$5505,"&lt;="&amp;$B$4))</f>
        <v/>
      </c>
      <c r="O217" s="42" t="str">
        <f aca="false">IF($C217="","",IF($E217="借",$M217-$N217,$N217-$M217))</f>
        <v/>
      </c>
      <c r="P217" s="64" t="str">
        <f aca="false">IF($C217="","",IF(OR(ROUND($G217,2)&lt;&gt;0,ROUND($M217,2)&lt;&gt;0,ROUND($N217,2)&lt;&gt;0),"有",""))</f>
        <v/>
      </c>
    </row>
    <row r="218" customFormat="false" ht="15" hidden="true" customHeight="false" outlineLevel="0" collapsed="false">
      <c r="A218" s="25" t="str">
        <f aca="false">IF(会计科目表!$B57="","",参数设置!$A$12)</f>
        <v/>
      </c>
      <c r="B218" s="25" t="str">
        <f aca="false">IF(会计科目表!$B57="","",会计科目表!$A57)</f>
        <v/>
      </c>
      <c r="C218" s="10" t="str">
        <f aca="false">IF(会计科目表!$B57="","",会计科目表!$B57)</f>
        <v/>
      </c>
      <c r="D218" s="25" t="str">
        <f aca="false">IF($C218="","",会计科目表!$C57)</f>
        <v/>
      </c>
      <c r="E218" s="25" t="str">
        <f aca="false">IF($C218="","",会计科目表!$D57)</f>
        <v/>
      </c>
      <c r="F218" s="10" t="str">
        <f aca="false">IF($C218="","",会计科目表!$F57)</f>
        <v/>
      </c>
      <c r="G218" s="40" t="str">
        <f aca="false">IF($C218="","",IF($E218="借",SUMIFS(期初余额!$C$6:$C$185,期初余额!$A$6:$A$185,$A218,期初余额!$B$6:$B$185,$C218)-SUMIFS(期初余额!$D$6:$D$185,期初余额!$A$6:$A$185,$A218,期初余额!$B$6:$B$185,$C218),SUMIFS(期初余额!$D$6:$D$185,期初余额!$A$6:$A$185,$A218,期初余额!$B$6:$B$185,$C218)-SUMIFS(期初余额!$C$6:$C$185,期初余额!$A$6:$A$185,$A218,期初余额!$B$6:$B$185,$C218)))</f>
        <v/>
      </c>
      <c r="H218" s="40" t="str">
        <f aca="false">IF($C218="","",$G218+IF($E218="借",SUMIFS(记账分录!$I$6:$I$5505,记账分录!$F$6:$F$5505,$A218,记账分录!$H$6:$H$5505,$C218,记账分录!$E$6:$E$5505,"&lt;"&amp;$A$4)-SUMIFS(记账分录!$J$6:$J$5505,记账分录!$F$6:$F$5505,$A218,记账分录!$H$6:$H$5505,$C218,记账分录!$E$6:$E$5505,"&lt;"&amp;$A$4),SUMIFS(记账分录!$J$6:$J$5505,记账分录!$F$6:$F$5505,$A218,记账分录!$H$6:$H$5505,$C218,记账分录!$E$6:$E$5505,"&lt;"&amp;$A$4)-SUMIFS(记账分录!$I$6:$I$5505,记账分录!$F$6:$F$5505,$A218,记账分录!$H$6:$H$5505,$C218,记账分录!$E$6:$E$5505,"&lt;"&amp;$A$4)))</f>
        <v/>
      </c>
      <c r="I218" s="40" t="str">
        <f aca="false">IF($C218="","",SUMIFS(记账分录!$I$6:$I$5505,记账分录!$F$6:$F$5505,$A218,记账分录!$H$6:$H$5505,$C218,记账分录!$E$6:$E$5505,"&gt;="&amp;$A$4,记账分录!$E$6:$E$5505,"&lt;="&amp;$B$4))</f>
        <v/>
      </c>
      <c r="J218" s="40" t="str">
        <f aca="false">IF($C218="","",SUMIFS(记账分录!$J$6:$J$5505,记账分录!$F$6:$F$5505,$A218,记账分录!$H$6:$H$5505,$C218,记账分录!$E$6:$E$5505,"&gt;="&amp;$A$4,记账分录!$E$6:$E$5505,"&lt;="&amp;$B$4))</f>
        <v/>
      </c>
      <c r="K218" s="42" t="str">
        <f aca="false">IF($C218="","",IF($E218="借",$I218-$J218,$J218-$I218))</f>
        <v/>
      </c>
      <c r="L218" s="42" t="str">
        <f aca="false">IF($C218="","",ROUND($H218+$K218,2))</f>
        <v/>
      </c>
      <c r="M218" s="40" t="str">
        <f aca="false">IF($C218="","",SUMIFS(记账分录!$I$6:$I$5505,记账分录!$F$6:$F$5505,$A218,记账分录!$H$6:$H$5505,$C218,记账分录!$E$6:$E$5505,"&lt;="&amp;$B$4))</f>
        <v/>
      </c>
      <c r="N218" s="40" t="str">
        <f aca="false">IF($C218="","",SUMIFS(记账分录!$J$6:$J$5505,记账分录!$F$6:$F$5505,$A218,记账分录!$H$6:$H$5505,$C218,记账分录!$E$6:$E$5505,"&lt;="&amp;$B$4))</f>
        <v/>
      </c>
      <c r="O218" s="42" t="str">
        <f aca="false">IF($C218="","",IF($E218="借",$M218-$N218,$N218-$M218))</f>
        <v/>
      </c>
      <c r="P218" s="64" t="str">
        <f aca="false">IF($C218="","",IF(OR(ROUND($G218,2)&lt;&gt;0,ROUND($M218,2)&lt;&gt;0,ROUND($N218,2)&lt;&gt;0),"有",""))</f>
        <v/>
      </c>
    </row>
    <row r="219" customFormat="false" ht="15" hidden="true" customHeight="false" outlineLevel="0" collapsed="false">
      <c r="A219" s="25" t="str">
        <f aca="false">IF(会计科目表!$B58="","",参数设置!$A$12)</f>
        <v/>
      </c>
      <c r="B219" s="25" t="str">
        <f aca="false">IF(会计科目表!$B58="","",会计科目表!$A58)</f>
        <v/>
      </c>
      <c r="C219" s="10" t="str">
        <f aca="false">IF(会计科目表!$B58="","",会计科目表!$B58)</f>
        <v/>
      </c>
      <c r="D219" s="25" t="str">
        <f aca="false">IF($C219="","",会计科目表!$C58)</f>
        <v/>
      </c>
      <c r="E219" s="25" t="str">
        <f aca="false">IF($C219="","",会计科目表!$D58)</f>
        <v/>
      </c>
      <c r="F219" s="10" t="str">
        <f aca="false">IF($C219="","",会计科目表!$F58)</f>
        <v/>
      </c>
      <c r="G219" s="40" t="str">
        <f aca="false">IF($C219="","",IF($E219="借",SUMIFS(期初余额!$C$6:$C$185,期初余额!$A$6:$A$185,$A219,期初余额!$B$6:$B$185,$C219)-SUMIFS(期初余额!$D$6:$D$185,期初余额!$A$6:$A$185,$A219,期初余额!$B$6:$B$185,$C219),SUMIFS(期初余额!$D$6:$D$185,期初余额!$A$6:$A$185,$A219,期初余额!$B$6:$B$185,$C219)-SUMIFS(期初余额!$C$6:$C$185,期初余额!$A$6:$A$185,$A219,期初余额!$B$6:$B$185,$C219)))</f>
        <v/>
      </c>
      <c r="H219" s="40" t="str">
        <f aca="false">IF($C219="","",$G219+IF($E219="借",SUMIFS(记账分录!$I$6:$I$5505,记账分录!$F$6:$F$5505,$A219,记账分录!$H$6:$H$5505,$C219,记账分录!$E$6:$E$5505,"&lt;"&amp;$A$4)-SUMIFS(记账分录!$J$6:$J$5505,记账分录!$F$6:$F$5505,$A219,记账分录!$H$6:$H$5505,$C219,记账分录!$E$6:$E$5505,"&lt;"&amp;$A$4),SUMIFS(记账分录!$J$6:$J$5505,记账分录!$F$6:$F$5505,$A219,记账分录!$H$6:$H$5505,$C219,记账分录!$E$6:$E$5505,"&lt;"&amp;$A$4)-SUMIFS(记账分录!$I$6:$I$5505,记账分录!$F$6:$F$5505,$A219,记账分录!$H$6:$H$5505,$C219,记账分录!$E$6:$E$5505,"&lt;"&amp;$A$4)))</f>
        <v/>
      </c>
      <c r="I219" s="40" t="str">
        <f aca="false">IF($C219="","",SUMIFS(记账分录!$I$6:$I$5505,记账分录!$F$6:$F$5505,$A219,记账分录!$H$6:$H$5505,$C219,记账分录!$E$6:$E$5505,"&gt;="&amp;$A$4,记账分录!$E$6:$E$5505,"&lt;="&amp;$B$4))</f>
        <v/>
      </c>
      <c r="J219" s="40" t="str">
        <f aca="false">IF($C219="","",SUMIFS(记账分录!$J$6:$J$5505,记账分录!$F$6:$F$5505,$A219,记账分录!$H$6:$H$5505,$C219,记账分录!$E$6:$E$5505,"&gt;="&amp;$A$4,记账分录!$E$6:$E$5505,"&lt;="&amp;$B$4))</f>
        <v/>
      </c>
      <c r="K219" s="42" t="str">
        <f aca="false">IF($C219="","",IF($E219="借",$I219-$J219,$J219-$I219))</f>
        <v/>
      </c>
      <c r="L219" s="42" t="str">
        <f aca="false">IF($C219="","",ROUND($H219+$K219,2))</f>
        <v/>
      </c>
      <c r="M219" s="40" t="str">
        <f aca="false">IF($C219="","",SUMIFS(记账分录!$I$6:$I$5505,记账分录!$F$6:$F$5505,$A219,记账分录!$H$6:$H$5505,$C219,记账分录!$E$6:$E$5505,"&lt;="&amp;$B$4))</f>
        <v/>
      </c>
      <c r="N219" s="40" t="str">
        <f aca="false">IF($C219="","",SUMIFS(记账分录!$J$6:$J$5505,记账分录!$F$6:$F$5505,$A219,记账分录!$H$6:$H$5505,$C219,记账分录!$E$6:$E$5505,"&lt;="&amp;$B$4))</f>
        <v/>
      </c>
      <c r="O219" s="42" t="str">
        <f aca="false">IF($C219="","",IF($E219="借",$M219-$N219,$N219-$M219))</f>
        <v/>
      </c>
      <c r="P219" s="64" t="str">
        <f aca="false">IF($C219="","",IF(OR(ROUND($G219,2)&lt;&gt;0,ROUND($M219,2)&lt;&gt;0,ROUND($N219,2)&lt;&gt;0),"有",""))</f>
        <v/>
      </c>
    </row>
    <row r="220" customFormat="false" ht="15" hidden="true" customHeight="false" outlineLevel="0" collapsed="false">
      <c r="A220" s="25" t="str">
        <f aca="false">IF(会计科目表!$B59="","",参数设置!$A$12)</f>
        <v/>
      </c>
      <c r="B220" s="25" t="str">
        <f aca="false">IF(会计科目表!$B59="","",会计科目表!$A59)</f>
        <v/>
      </c>
      <c r="C220" s="10" t="str">
        <f aca="false">IF(会计科目表!$B59="","",会计科目表!$B59)</f>
        <v/>
      </c>
      <c r="D220" s="25" t="str">
        <f aca="false">IF($C220="","",会计科目表!$C59)</f>
        <v/>
      </c>
      <c r="E220" s="25" t="str">
        <f aca="false">IF($C220="","",会计科目表!$D59)</f>
        <v/>
      </c>
      <c r="F220" s="10" t="str">
        <f aca="false">IF($C220="","",会计科目表!$F59)</f>
        <v/>
      </c>
      <c r="G220" s="40" t="str">
        <f aca="false">IF($C220="","",IF($E220="借",SUMIFS(期初余额!$C$6:$C$185,期初余额!$A$6:$A$185,$A220,期初余额!$B$6:$B$185,$C220)-SUMIFS(期初余额!$D$6:$D$185,期初余额!$A$6:$A$185,$A220,期初余额!$B$6:$B$185,$C220),SUMIFS(期初余额!$D$6:$D$185,期初余额!$A$6:$A$185,$A220,期初余额!$B$6:$B$185,$C220)-SUMIFS(期初余额!$C$6:$C$185,期初余额!$A$6:$A$185,$A220,期初余额!$B$6:$B$185,$C220)))</f>
        <v/>
      </c>
      <c r="H220" s="40" t="str">
        <f aca="false">IF($C220="","",$G220+IF($E220="借",SUMIFS(记账分录!$I$6:$I$5505,记账分录!$F$6:$F$5505,$A220,记账分录!$H$6:$H$5505,$C220,记账分录!$E$6:$E$5505,"&lt;"&amp;$A$4)-SUMIFS(记账分录!$J$6:$J$5505,记账分录!$F$6:$F$5505,$A220,记账分录!$H$6:$H$5505,$C220,记账分录!$E$6:$E$5505,"&lt;"&amp;$A$4),SUMIFS(记账分录!$J$6:$J$5505,记账分录!$F$6:$F$5505,$A220,记账分录!$H$6:$H$5505,$C220,记账分录!$E$6:$E$5505,"&lt;"&amp;$A$4)-SUMIFS(记账分录!$I$6:$I$5505,记账分录!$F$6:$F$5505,$A220,记账分录!$H$6:$H$5505,$C220,记账分录!$E$6:$E$5505,"&lt;"&amp;$A$4)))</f>
        <v/>
      </c>
      <c r="I220" s="40" t="str">
        <f aca="false">IF($C220="","",SUMIFS(记账分录!$I$6:$I$5505,记账分录!$F$6:$F$5505,$A220,记账分录!$H$6:$H$5505,$C220,记账分录!$E$6:$E$5505,"&gt;="&amp;$A$4,记账分录!$E$6:$E$5505,"&lt;="&amp;$B$4))</f>
        <v/>
      </c>
      <c r="J220" s="40" t="str">
        <f aca="false">IF($C220="","",SUMIFS(记账分录!$J$6:$J$5505,记账分录!$F$6:$F$5505,$A220,记账分录!$H$6:$H$5505,$C220,记账分录!$E$6:$E$5505,"&gt;="&amp;$A$4,记账分录!$E$6:$E$5505,"&lt;="&amp;$B$4))</f>
        <v/>
      </c>
      <c r="K220" s="42" t="str">
        <f aca="false">IF($C220="","",IF($E220="借",$I220-$J220,$J220-$I220))</f>
        <v/>
      </c>
      <c r="L220" s="42" t="str">
        <f aca="false">IF($C220="","",ROUND($H220+$K220,2))</f>
        <v/>
      </c>
      <c r="M220" s="40" t="str">
        <f aca="false">IF($C220="","",SUMIFS(记账分录!$I$6:$I$5505,记账分录!$F$6:$F$5505,$A220,记账分录!$H$6:$H$5505,$C220,记账分录!$E$6:$E$5505,"&lt;="&amp;$B$4))</f>
        <v/>
      </c>
      <c r="N220" s="40" t="str">
        <f aca="false">IF($C220="","",SUMIFS(记账分录!$J$6:$J$5505,记账分录!$F$6:$F$5505,$A220,记账分录!$H$6:$H$5505,$C220,记账分录!$E$6:$E$5505,"&lt;="&amp;$B$4))</f>
        <v/>
      </c>
      <c r="O220" s="42" t="str">
        <f aca="false">IF($C220="","",IF($E220="借",$M220-$N220,$N220-$M220))</f>
        <v/>
      </c>
      <c r="P220" s="64" t="str">
        <f aca="false">IF($C220="","",IF(OR(ROUND($G220,2)&lt;&gt;0,ROUND($M220,2)&lt;&gt;0,ROUND($N220,2)&lt;&gt;0),"有",""))</f>
        <v/>
      </c>
    </row>
    <row r="221" customFormat="false" ht="15" hidden="true" customHeight="false" outlineLevel="0" collapsed="false">
      <c r="A221" s="25" t="str">
        <f aca="false">IF(会计科目表!$B60="","",参数设置!$A$12)</f>
        <v/>
      </c>
      <c r="B221" s="25" t="str">
        <f aca="false">IF(会计科目表!$B60="","",会计科目表!$A60)</f>
        <v/>
      </c>
      <c r="C221" s="10" t="str">
        <f aca="false">IF(会计科目表!$B60="","",会计科目表!$B60)</f>
        <v/>
      </c>
      <c r="D221" s="25" t="str">
        <f aca="false">IF($C221="","",会计科目表!$C60)</f>
        <v/>
      </c>
      <c r="E221" s="25" t="str">
        <f aca="false">IF($C221="","",会计科目表!$D60)</f>
        <v/>
      </c>
      <c r="F221" s="10" t="str">
        <f aca="false">IF($C221="","",会计科目表!$F60)</f>
        <v/>
      </c>
      <c r="G221" s="40" t="str">
        <f aca="false">IF($C221="","",IF($E221="借",SUMIFS(期初余额!$C$6:$C$185,期初余额!$A$6:$A$185,$A221,期初余额!$B$6:$B$185,$C221)-SUMIFS(期初余额!$D$6:$D$185,期初余额!$A$6:$A$185,$A221,期初余额!$B$6:$B$185,$C221),SUMIFS(期初余额!$D$6:$D$185,期初余额!$A$6:$A$185,$A221,期初余额!$B$6:$B$185,$C221)-SUMIFS(期初余额!$C$6:$C$185,期初余额!$A$6:$A$185,$A221,期初余额!$B$6:$B$185,$C221)))</f>
        <v/>
      </c>
      <c r="H221" s="40" t="str">
        <f aca="false">IF($C221="","",$G221+IF($E221="借",SUMIFS(记账分录!$I$6:$I$5505,记账分录!$F$6:$F$5505,$A221,记账分录!$H$6:$H$5505,$C221,记账分录!$E$6:$E$5505,"&lt;"&amp;$A$4)-SUMIFS(记账分录!$J$6:$J$5505,记账分录!$F$6:$F$5505,$A221,记账分录!$H$6:$H$5505,$C221,记账分录!$E$6:$E$5505,"&lt;"&amp;$A$4),SUMIFS(记账分录!$J$6:$J$5505,记账分录!$F$6:$F$5505,$A221,记账分录!$H$6:$H$5505,$C221,记账分录!$E$6:$E$5505,"&lt;"&amp;$A$4)-SUMIFS(记账分录!$I$6:$I$5505,记账分录!$F$6:$F$5505,$A221,记账分录!$H$6:$H$5505,$C221,记账分录!$E$6:$E$5505,"&lt;"&amp;$A$4)))</f>
        <v/>
      </c>
      <c r="I221" s="40" t="str">
        <f aca="false">IF($C221="","",SUMIFS(记账分录!$I$6:$I$5505,记账分录!$F$6:$F$5505,$A221,记账分录!$H$6:$H$5505,$C221,记账分录!$E$6:$E$5505,"&gt;="&amp;$A$4,记账分录!$E$6:$E$5505,"&lt;="&amp;$B$4))</f>
        <v/>
      </c>
      <c r="J221" s="40" t="str">
        <f aca="false">IF($C221="","",SUMIFS(记账分录!$J$6:$J$5505,记账分录!$F$6:$F$5505,$A221,记账分录!$H$6:$H$5505,$C221,记账分录!$E$6:$E$5505,"&gt;="&amp;$A$4,记账分录!$E$6:$E$5505,"&lt;="&amp;$B$4))</f>
        <v/>
      </c>
      <c r="K221" s="42" t="str">
        <f aca="false">IF($C221="","",IF($E221="借",$I221-$J221,$J221-$I221))</f>
        <v/>
      </c>
      <c r="L221" s="42" t="str">
        <f aca="false">IF($C221="","",ROUND($H221+$K221,2))</f>
        <v/>
      </c>
      <c r="M221" s="40" t="str">
        <f aca="false">IF($C221="","",SUMIFS(记账分录!$I$6:$I$5505,记账分录!$F$6:$F$5505,$A221,记账分录!$H$6:$H$5505,$C221,记账分录!$E$6:$E$5505,"&lt;="&amp;$B$4))</f>
        <v/>
      </c>
      <c r="N221" s="40" t="str">
        <f aca="false">IF($C221="","",SUMIFS(记账分录!$J$6:$J$5505,记账分录!$F$6:$F$5505,$A221,记账分录!$H$6:$H$5505,$C221,记账分录!$E$6:$E$5505,"&lt;="&amp;$B$4))</f>
        <v/>
      </c>
      <c r="O221" s="42" t="str">
        <f aca="false">IF($C221="","",IF($E221="借",$M221-$N221,$N221-$M221))</f>
        <v/>
      </c>
      <c r="P221" s="64" t="str">
        <f aca="false">IF($C221="","",IF(OR(ROUND($G221,2)&lt;&gt;0,ROUND($M221,2)&lt;&gt;0,ROUND($N221,2)&lt;&gt;0),"有",""))</f>
        <v/>
      </c>
    </row>
    <row r="222" customFormat="false" ht="15" hidden="true" customHeight="false" outlineLevel="0" collapsed="false">
      <c r="A222" s="25" t="str">
        <f aca="false">IF(会计科目表!$B61="","",参数设置!$A$12)</f>
        <v/>
      </c>
      <c r="B222" s="25" t="str">
        <f aca="false">IF(会计科目表!$B61="","",会计科目表!$A61)</f>
        <v/>
      </c>
      <c r="C222" s="10" t="str">
        <f aca="false">IF(会计科目表!$B61="","",会计科目表!$B61)</f>
        <v/>
      </c>
      <c r="D222" s="25" t="str">
        <f aca="false">IF($C222="","",会计科目表!$C61)</f>
        <v/>
      </c>
      <c r="E222" s="25" t="str">
        <f aca="false">IF($C222="","",会计科目表!$D61)</f>
        <v/>
      </c>
      <c r="F222" s="10" t="str">
        <f aca="false">IF($C222="","",会计科目表!$F61)</f>
        <v/>
      </c>
      <c r="G222" s="40" t="str">
        <f aca="false">IF($C222="","",IF($E222="借",SUMIFS(期初余额!$C$6:$C$185,期初余额!$A$6:$A$185,$A222,期初余额!$B$6:$B$185,$C222)-SUMIFS(期初余额!$D$6:$D$185,期初余额!$A$6:$A$185,$A222,期初余额!$B$6:$B$185,$C222),SUMIFS(期初余额!$D$6:$D$185,期初余额!$A$6:$A$185,$A222,期初余额!$B$6:$B$185,$C222)-SUMIFS(期初余额!$C$6:$C$185,期初余额!$A$6:$A$185,$A222,期初余额!$B$6:$B$185,$C222)))</f>
        <v/>
      </c>
      <c r="H222" s="40" t="str">
        <f aca="false">IF($C222="","",$G222+IF($E222="借",SUMIFS(记账分录!$I$6:$I$5505,记账分录!$F$6:$F$5505,$A222,记账分录!$H$6:$H$5505,$C222,记账分录!$E$6:$E$5505,"&lt;"&amp;$A$4)-SUMIFS(记账分录!$J$6:$J$5505,记账分录!$F$6:$F$5505,$A222,记账分录!$H$6:$H$5505,$C222,记账分录!$E$6:$E$5505,"&lt;"&amp;$A$4),SUMIFS(记账分录!$J$6:$J$5505,记账分录!$F$6:$F$5505,$A222,记账分录!$H$6:$H$5505,$C222,记账分录!$E$6:$E$5505,"&lt;"&amp;$A$4)-SUMIFS(记账分录!$I$6:$I$5505,记账分录!$F$6:$F$5505,$A222,记账分录!$H$6:$H$5505,$C222,记账分录!$E$6:$E$5505,"&lt;"&amp;$A$4)))</f>
        <v/>
      </c>
      <c r="I222" s="40" t="str">
        <f aca="false">IF($C222="","",SUMIFS(记账分录!$I$6:$I$5505,记账分录!$F$6:$F$5505,$A222,记账分录!$H$6:$H$5505,$C222,记账分录!$E$6:$E$5505,"&gt;="&amp;$A$4,记账分录!$E$6:$E$5505,"&lt;="&amp;$B$4))</f>
        <v/>
      </c>
      <c r="J222" s="40" t="str">
        <f aca="false">IF($C222="","",SUMIFS(记账分录!$J$6:$J$5505,记账分录!$F$6:$F$5505,$A222,记账分录!$H$6:$H$5505,$C222,记账分录!$E$6:$E$5505,"&gt;="&amp;$A$4,记账分录!$E$6:$E$5505,"&lt;="&amp;$B$4))</f>
        <v/>
      </c>
      <c r="K222" s="42" t="str">
        <f aca="false">IF($C222="","",IF($E222="借",$I222-$J222,$J222-$I222))</f>
        <v/>
      </c>
      <c r="L222" s="42" t="str">
        <f aca="false">IF($C222="","",ROUND($H222+$K222,2))</f>
        <v/>
      </c>
      <c r="M222" s="40" t="str">
        <f aca="false">IF($C222="","",SUMIFS(记账分录!$I$6:$I$5505,记账分录!$F$6:$F$5505,$A222,记账分录!$H$6:$H$5505,$C222,记账分录!$E$6:$E$5505,"&lt;="&amp;$B$4))</f>
        <v/>
      </c>
      <c r="N222" s="40" t="str">
        <f aca="false">IF($C222="","",SUMIFS(记账分录!$J$6:$J$5505,记账分录!$F$6:$F$5505,$A222,记账分录!$H$6:$H$5505,$C222,记账分录!$E$6:$E$5505,"&lt;="&amp;$B$4))</f>
        <v/>
      </c>
      <c r="O222" s="42" t="str">
        <f aca="false">IF($C222="","",IF($E222="借",$M222-$N222,$N222-$M222))</f>
        <v/>
      </c>
      <c r="P222" s="64" t="str">
        <f aca="false">IF($C222="","",IF(OR(ROUND($G222,2)&lt;&gt;0,ROUND($M222,2)&lt;&gt;0,ROUND($N222,2)&lt;&gt;0),"有",""))</f>
        <v/>
      </c>
    </row>
    <row r="223" customFormat="false" ht="15" hidden="true" customHeight="false" outlineLevel="0" collapsed="false">
      <c r="A223" s="25" t="str">
        <f aca="false">IF(会计科目表!$B62="","",参数设置!$A$12)</f>
        <v/>
      </c>
      <c r="B223" s="25" t="str">
        <f aca="false">IF(会计科目表!$B62="","",会计科目表!$A62)</f>
        <v/>
      </c>
      <c r="C223" s="10" t="str">
        <f aca="false">IF(会计科目表!$B62="","",会计科目表!$B62)</f>
        <v/>
      </c>
      <c r="D223" s="25" t="str">
        <f aca="false">IF($C223="","",会计科目表!$C62)</f>
        <v/>
      </c>
      <c r="E223" s="25" t="str">
        <f aca="false">IF($C223="","",会计科目表!$D62)</f>
        <v/>
      </c>
      <c r="F223" s="10" t="str">
        <f aca="false">IF($C223="","",会计科目表!$F62)</f>
        <v/>
      </c>
      <c r="G223" s="40" t="str">
        <f aca="false">IF($C223="","",IF($E223="借",SUMIFS(期初余额!$C$6:$C$185,期初余额!$A$6:$A$185,$A223,期初余额!$B$6:$B$185,$C223)-SUMIFS(期初余额!$D$6:$D$185,期初余额!$A$6:$A$185,$A223,期初余额!$B$6:$B$185,$C223),SUMIFS(期初余额!$D$6:$D$185,期初余额!$A$6:$A$185,$A223,期初余额!$B$6:$B$185,$C223)-SUMIFS(期初余额!$C$6:$C$185,期初余额!$A$6:$A$185,$A223,期初余额!$B$6:$B$185,$C223)))</f>
        <v/>
      </c>
      <c r="H223" s="40" t="str">
        <f aca="false">IF($C223="","",$G223+IF($E223="借",SUMIFS(记账分录!$I$6:$I$5505,记账分录!$F$6:$F$5505,$A223,记账分录!$H$6:$H$5505,$C223,记账分录!$E$6:$E$5505,"&lt;"&amp;$A$4)-SUMIFS(记账分录!$J$6:$J$5505,记账分录!$F$6:$F$5505,$A223,记账分录!$H$6:$H$5505,$C223,记账分录!$E$6:$E$5505,"&lt;"&amp;$A$4),SUMIFS(记账分录!$J$6:$J$5505,记账分录!$F$6:$F$5505,$A223,记账分录!$H$6:$H$5505,$C223,记账分录!$E$6:$E$5505,"&lt;"&amp;$A$4)-SUMIFS(记账分录!$I$6:$I$5505,记账分录!$F$6:$F$5505,$A223,记账分录!$H$6:$H$5505,$C223,记账分录!$E$6:$E$5505,"&lt;"&amp;$A$4)))</f>
        <v/>
      </c>
      <c r="I223" s="40" t="str">
        <f aca="false">IF($C223="","",SUMIFS(记账分录!$I$6:$I$5505,记账分录!$F$6:$F$5505,$A223,记账分录!$H$6:$H$5505,$C223,记账分录!$E$6:$E$5505,"&gt;="&amp;$A$4,记账分录!$E$6:$E$5505,"&lt;="&amp;$B$4))</f>
        <v/>
      </c>
      <c r="J223" s="40" t="str">
        <f aca="false">IF($C223="","",SUMIFS(记账分录!$J$6:$J$5505,记账分录!$F$6:$F$5505,$A223,记账分录!$H$6:$H$5505,$C223,记账分录!$E$6:$E$5505,"&gt;="&amp;$A$4,记账分录!$E$6:$E$5505,"&lt;="&amp;$B$4))</f>
        <v/>
      </c>
      <c r="K223" s="42" t="str">
        <f aca="false">IF($C223="","",IF($E223="借",$I223-$J223,$J223-$I223))</f>
        <v/>
      </c>
      <c r="L223" s="42" t="str">
        <f aca="false">IF($C223="","",ROUND($H223+$K223,2))</f>
        <v/>
      </c>
      <c r="M223" s="40" t="str">
        <f aca="false">IF($C223="","",SUMIFS(记账分录!$I$6:$I$5505,记账分录!$F$6:$F$5505,$A223,记账分录!$H$6:$H$5505,$C223,记账分录!$E$6:$E$5505,"&lt;="&amp;$B$4))</f>
        <v/>
      </c>
      <c r="N223" s="40" t="str">
        <f aca="false">IF($C223="","",SUMIFS(记账分录!$J$6:$J$5505,记账分录!$F$6:$F$5505,$A223,记账分录!$H$6:$H$5505,$C223,记账分录!$E$6:$E$5505,"&lt;="&amp;$B$4))</f>
        <v/>
      </c>
      <c r="O223" s="42" t="str">
        <f aca="false">IF($C223="","",IF($E223="借",$M223-$N223,$N223-$M223))</f>
        <v/>
      </c>
      <c r="P223" s="64" t="str">
        <f aca="false">IF($C223="","",IF(OR(ROUND($G223,2)&lt;&gt;0,ROUND($M223,2)&lt;&gt;0,ROUND($N223,2)&lt;&gt;0),"有",""))</f>
        <v/>
      </c>
    </row>
    <row r="224" customFormat="false" ht="15" hidden="true" customHeight="false" outlineLevel="0" collapsed="false">
      <c r="A224" s="25" t="str">
        <f aca="false">IF(会计科目表!$B63="","",参数设置!$A$12)</f>
        <v/>
      </c>
      <c r="B224" s="25" t="str">
        <f aca="false">IF(会计科目表!$B63="","",会计科目表!$A63)</f>
        <v/>
      </c>
      <c r="C224" s="10" t="str">
        <f aca="false">IF(会计科目表!$B63="","",会计科目表!$B63)</f>
        <v/>
      </c>
      <c r="D224" s="25" t="str">
        <f aca="false">IF($C224="","",会计科目表!$C63)</f>
        <v/>
      </c>
      <c r="E224" s="25" t="str">
        <f aca="false">IF($C224="","",会计科目表!$D63)</f>
        <v/>
      </c>
      <c r="F224" s="10" t="str">
        <f aca="false">IF($C224="","",会计科目表!$F63)</f>
        <v/>
      </c>
      <c r="G224" s="40" t="str">
        <f aca="false">IF($C224="","",IF($E224="借",SUMIFS(期初余额!$C$6:$C$185,期初余额!$A$6:$A$185,$A224,期初余额!$B$6:$B$185,$C224)-SUMIFS(期初余额!$D$6:$D$185,期初余额!$A$6:$A$185,$A224,期初余额!$B$6:$B$185,$C224),SUMIFS(期初余额!$D$6:$D$185,期初余额!$A$6:$A$185,$A224,期初余额!$B$6:$B$185,$C224)-SUMIFS(期初余额!$C$6:$C$185,期初余额!$A$6:$A$185,$A224,期初余额!$B$6:$B$185,$C224)))</f>
        <v/>
      </c>
      <c r="H224" s="40" t="str">
        <f aca="false">IF($C224="","",$G224+IF($E224="借",SUMIFS(记账分录!$I$6:$I$5505,记账分录!$F$6:$F$5505,$A224,记账分录!$H$6:$H$5505,$C224,记账分录!$E$6:$E$5505,"&lt;"&amp;$A$4)-SUMIFS(记账分录!$J$6:$J$5505,记账分录!$F$6:$F$5505,$A224,记账分录!$H$6:$H$5505,$C224,记账分录!$E$6:$E$5505,"&lt;"&amp;$A$4),SUMIFS(记账分录!$J$6:$J$5505,记账分录!$F$6:$F$5505,$A224,记账分录!$H$6:$H$5505,$C224,记账分录!$E$6:$E$5505,"&lt;"&amp;$A$4)-SUMIFS(记账分录!$I$6:$I$5505,记账分录!$F$6:$F$5505,$A224,记账分录!$H$6:$H$5505,$C224,记账分录!$E$6:$E$5505,"&lt;"&amp;$A$4)))</f>
        <v/>
      </c>
      <c r="I224" s="40" t="str">
        <f aca="false">IF($C224="","",SUMIFS(记账分录!$I$6:$I$5505,记账分录!$F$6:$F$5505,$A224,记账分录!$H$6:$H$5505,$C224,记账分录!$E$6:$E$5505,"&gt;="&amp;$A$4,记账分录!$E$6:$E$5505,"&lt;="&amp;$B$4))</f>
        <v/>
      </c>
      <c r="J224" s="40" t="str">
        <f aca="false">IF($C224="","",SUMIFS(记账分录!$J$6:$J$5505,记账分录!$F$6:$F$5505,$A224,记账分录!$H$6:$H$5505,$C224,记账分录!$E$6:$E$5505,"&gt;="&amp;$A$4,记账分录!$E$6:$E$5505,"&lt;="&amp;$B$4))</f>
        <v/>
      </c>
      <c r="K224" s="42" t="str">
        <f aca="false">IF($C224="","",IF($E224="借",$I224-$J224,$J224-$I224))</f>
        <v/>
      </c>
      <c r="L224" s="42" t="str">
        <f aca="false">IF($C224="","",ROUND($H224+$K224,2))</f>
        <v/>
      </c>
      <c r="M224" s="40" t="str">
        <f aca="false">IF($C224="","",SUMIFS(记账分录!$I$6:$I$5505,记账分录!$F$6:$F$5505,$A224,记账分录!$H$6:$H$5505,$C224,记账分录!$E$6:$E$5505,"&lt;="&amp;$B$4))</f>
        <v/>
      </c>
      <c r="N224" s="40" t="str">
        <f aca="false">IF($C224="","",SUMIFS(记账分录!$J$6:$J$5505,记账分录!$F$6:$F$5505,$A224,记账分录!$H$6:$H$5505,$C224,记账分录!$E$6:$E$5505,"&lt;="&amp;$B$4))</f>
        <v/>
      </c>
      <c r="O224" s="42" t="str">
        <f aca="false">IF($C224="","",IF($E224="借",$M224-$N224,$N224-$M224))</f>
        <v/>
      </c>
      <c r="P224" s="64" t="str">
        <f aca="false">IF($C224="","",IF(OR(ROUND($G224,2)&lt;&gt;0,ROUND($M224,2)&lt;&gt;0,ROUND($N224,2)&lt;&gt;0),"有",""))</f>
        <v/>
      </c>
    </row>
    <row r="225" customFormat="false" ht="15" hidden="true" customHeight="false" outlineLevel="0" collapsed="false">
      <c r="A225" s="25" t="str">
        <f aca="false">IF(会计科目表!$B64="","",参数设置!$A$12)</f>
        <v/>
      </c>
      <c r="B225" s="25" t="str">
        <f aca="false">IF(会计科目表!$B64="","",会计科目表!$A64)</f>
        <v/>
      </c>
      <c r="C225" s="10" t="str">
        <f aca="false">IF(会计科目表!$B64="","",会计科目表!$B64)</f>
        <v/>
      </c>
      <c r="D225" s="25" t="str">
        <f aca="false">IF($C225="","",会计科目表!$C64)</f>
        <v/>
      </c>
      <c r="E225" s="25" t="str">
        <f aca="false">IF($C225="","",会计科目表!$D64)</f>
        <v/>
      </c>
      <c r="F225" s="10" t="str">
        <f aca="false">IF($C225="","",会计科目表!$F64)</f>
        <v/>
      </c>
      <c r="G225" s="40" t="str">
        <f aca="false">IF($C225="","",IF($E225="借",SUMIFS(期初余额!$C$6:$C$185,期初余额!$A$6:$A$185,$A225,期初余额!$B$6:$B$185,$C225)-SUMIFS(期初余额!$D$6:$D$185,期初余额!$A$6:$A$185,$A225,期初余额!$B$6:$B$185,$C225),SUMIFS(期初余额!$D$6:$D$185,期初余额!$A$6:$A$185,$A225,期初余额!$B$6:$B$185,$C225)-SUMIFS(期初余额!$C$6:$C$185,期初余额!$A$6:$A$185,$A225,期初余额!$B$6:$B$185,$C225)))</f>
        <v/>
      </c>
      <c r="H225" s="40" t="str">
        <f aca="false">IF($C225="","",$G225+IF($E225="借",SUMIFS(记账分录!$I$6:$I$5505,记账分录!$F$6:$F$5505,$A225,记账分录!$H$6:$H$5505,$C225,记账分录!$E$6:$E$5505,"&lt;"&amp;$A$4)-SUMIFS(记账分录!$J$6:$J$5505,记账分录!$F$6:$F$5505,$A225,记账分录!$H$6:$H$5505,$C225,记账分录!$E$6:$E$5505,"&lt;"&amp;$A$4),SUMIFS(记账分录!$J$6:$J$5505,记账分录!$F$6:$F$5505,$A225,记账分录!$H$6:$H$5505,$C225,记账分录!$E$6:$E$5505,"&lt;"&amp;$A$4)-SUMIFS(记账分录!$I$6:$I$5505,记账分录!$F$6:$F$5505,$A225,记账分录!$H$6:$H$5505,$C225,记账分录!$E$6:$E$5505,"&lt;"&amp;$A$4)))</f>
        <v/>
      </c>
      <c r="I225" s="40" t="str">
        <f aca="false">IF($C225="","",SUMIFS(记账分录!$I$6:$I$5505,记账分录!$F$6:$F$5505,$A225,记账分录!$H$6:$H$5505,$C225,记账分录!$E$6:$E$5505,"&gt;="&amp;$A$4,记账分录!$E$6:$E$5505,"&lt;="&amp;$B$4))</f>
        <v/>
      </c>
      <c r="J225" s="40" t="str">
        <f aca="false">IF($C225="","",SUMIFS(记账分录!$J$6:$J$5505,记账分录!$F$6:$F$5505,$A225,记账分录!$H$6:$H$5505,$C225,记账分录!$E$6:$E$5505,"&gt;="&amp;$A$4,记账分录!$E$6:$E$5505,"&lt;="&amp;$B$4))</f>
        <v/>
      </c>
      <c r="K225" s="42" t="str">
        <f aca="false">IF($C225="","",IF($E225="借",$I225-$J225,$J225-$I225))</f>
        <v/>
      </c>
      <c r="L225" s="42" t="str">
        <f aca="false">IF($C225="","",ROUND($H225+$K225,2))</f>
        <v/>
      </c>
      <c r="M225" s="40" t="str">
        <f aca="false">IF($C225="","",SUMIFS(记账分录!$I$6:$I$5505,记账分录!$F$6:$F$5505,$A225,记账分录!$H$6:$H$5505,$C225,记账分录!$E$6:$E$5505,"&lt;="&amp;$B$4))</f>
        <v/>
      </c>
      <c r="N225" s="40" t="str">
        <f aca="false">IF($C225="","",SUMIFS(记账分录!$J$6:$J$5505,记账分录!$F$6:$F$5505,$A225,记账分录!$H$6:$H$5505,$C225,记账分录!$E$6:$E$5505,"&lt;="&amp;$B$4))</f>
        <v/>
      </c>
      <c r="O225" s="42" t="str">
        <f aca="false">IF($C225="","",IF($E225="借",$M225-$N225,$N225-$M225))</f>
        <v/>
      </c>
      <c r="P225" s="64" t="str">
        <f aca="false">IF($C225="","",IF(OR(ROUND($G225,2)&lt;&gt;0,ROUND($M225,2)&lt;&gt;0,ROUND($N225,2)&lt;&gt;0),"有",""))</f>
        <v/>
      </c>
    </row>
    <row r="226" customFormat="false" ht="15" hidden="true" customHeight="false" outlineLevel="0" collapsed="false">
      <c r="A226" s="25" t="str">
        <f aca="false">IF(会计科目表!$B65="","",参数设置!$A$12)</f>
        <v/>
      </c>
      <c r="B226" s="25" t="str">
        <f aca="false">IF(会计科目表!$B65="","",会计科目表!$A65)</f>
        <v/>
      </c>
      <c r="C226" s="10" t="str">
        <f aca="false">IF(会计科目表!$B65="","",会计科目表!$B65)</f>
        <v/>
      </c>
      <c r="D226" s="25" t="str">
        <f aca="false">IF($C226="","",会计科目表!$C65)</f>
        <v/>
      </c>
      <c r="E226" s="25" t="str">
        <f aca="false">IF($C226="","",会计科目表!$D65)</f>
        <v/>
      </c>
      <c r="F226" s="10" t="str">
        <f aca="false">IF($C226="","",会计科目表!$F65)</f>
        <v/>
      </c>
      <c r="G226" s="40" t="str">
        <f aca="false">IF($C226="","",IF($E226="借",SUMIFS(期初余额!$C$6:$C$185,期初余额!$A$6:$A$185,$A226,期初余额!$B$6:$B$185,$C226)-SUMIFS(期初余额!$D$6:$D$185,期初余额!$A$6:$A$185,$A226,期初余额!$B$6:$B$185,$C226),SUMIFS(期初余额!$D$6:$D$185,期初余额!$A$6:$A$185,$A226,期初余额!$B$6:$B$185,$C226)-SUMIFS(期初余额!$C$6:$C$185,期初余额!$A$6:$A$185,$A226,期初余额!$B$6:$B$185,$C226)))</f>
        <v/>
      </c>
      <c r="H226" s="40" t="str">
        <f aca="false">IF($C226="","",$G226+IF($E226="借",SUMIFS(记账分录!$I$6:$I$5505,记账分录!$F$6:$F$5505,$A226,记账分录!$H$6:$H$5505,$C226,记账分录!$E$6:$E$5505,"&lt;"&amp;$A$4)-SUMIFS(记账分录!$J$6:$J$5505,记账分录!$F$6:$F$5505,$A226,记账分录!$H$6:$H$5505,$C226,记账分录!$E$6:$E$5505,"&lt;"&amp;$A$4),SUMIFS(记账分录!$J$6:$J$5505,记账分录!$F$6:$F$5505,$A226,记账分录!$H$6:$H$5505,$C226,记账分录!$E$6:$E$5505,"&lt;"&amp;$A$4)-SUMIFS(记账分录!$I$6:$I$5505,记账分录!$F$6:$F$5505,$A226,记账分录!$H$6:$H$5505,$C226,记账分录!$E$6:$E$5505,"&lt;"&amp;$A$4)))</f>
        <v/>
      </c>
      <c r="I226" s="40" t="str">
        <f aca="false">IF($C226="","",SUMIFS(记账分录!$I$6:$I$5505,记账分录!$F$6:$F$5505,$A226,记账分录!$H$6:$H$5505,$C226,记账分录!$E$6:$E$5505,"&gt;="&amp;$A$4,记账分录!$E$6:$E$5505,"&lt;="&amp;$B$4))</f>
        <v/>
      </c>
      <c r="J226" s="40" t="str">
        <f aca="false">IF($C226="","",SUMIFS(记账分录!$J$6:$J$5505,记账分录!$F$6:$F$5505,$A226,记账分录!$H$6:$H$5505,$C226,记账分录!$E$6:$E$5505,"&gt;="&amp;$A$4,记账分录!$E$6:$E$5505,"&lt;="&amp;$B$4))</f>
        <v/>
      </c>
      <c r="K226" s="42" t="str">
        <f aca="false">IF($C226="","",IF($E226="借",$I226-$J226,$J226-$I226))</f>
        <v/>
      </c>
      <c r="L226" s="42" t="str">
        <f aca="false">IF($C226="","",ROUND($H226+$K226,2))</f>
        <v/>
      </c>
      <c r="M226" s="40" t="str">
        <f aca="false">IF($C226="","",SUMIFS(记账分录!$I$6:$I$5505,记账分录!$F$6:$F$5505,$A226,记账分录!$H$6:$H$5505,$C226,记账分录!$E$6:$E$5505,"&lt;="&amp;$B$4))</f>
        <v/>
      </c>
      <c r="N226" s="40" t="str">
        <f aca="false">IF($C226="","",SUMIFS(记账分录!$J$6:$J$5505,记账分录!$F$6:$F$5505,$A226,记账分录!$H$6:$H$5505,$C226,记账分录!$E$6:$E$5505,"&lt;="&amp;$B$4))</f>
        <v/>
      </c>
      <c r="O226" s="42" t="str">
        <f aca="false">IF($C226="","",IF($E226="借",$M226-$N226,$N226-$M226))</f>
        <v/>
      </c>
      <c r="P226" s="64" t="str">
        <f aca="false">IF($C226="","",IF(OR(ROUND($G226,2)&lt;&gt;0,ROUND($M226,2)&lt;&gt;0,ROUND($N226,2)&lt;&gt;0),"有",""))</f>
        <v/>
      </c>
    </row>
    <row r="227" customFormat="false" ht="15" hidden="true" customHeight="false" outlineLevel="0" collapsed="false">
      <c r="A227" s="25" t="str">
        <f aca="false">IF(会计科目表!$B66="","",参数设置!$A$12)</f>
        <v/>
      </c>
      <c r="B227" s="25" t="str">
        <f aca="false">IF(会计科目表!$B66="","",会计科目表!$A66)</f>
        <v/>
      </c>
      <c r="C227" s="10" t="str">
        <f aca="false">IF(会计科目表!$B66="","",会计科目表!$B66)</f>
        <v/>
      </c>
      <c r="D227" s="25" t="str">
        <f aca="false">IF($C227="","",会计科目表!$C66)</f>
        <v/>
      </c>
      <c r="E227" s="25" t="str">
        <f aca="false">IF($C227="","",会计科目表!$D66)</f>
        <v/>
      </c>
      <c r="F227" s="10" t="str">
        <f aca="false">IF($C227="","",会计科目表!$F66)</f>
        <v/>
      </c>
      <c r="G227" s="40" t="str">
        <f aca="false">IF($C227="","",IF($E227="借",SUMIFS(期初余额!$C$6:$C$185,期初余额!$A$6:$A$185,$A227,期初余额!$B$6:$B$185,$C227)-SUMIFS(期初余额!$D$6:$D$185,期初余额!$A$6:$A$185,$A227,期初余额!$B$6:$B$185,$C227),SUMIFS(期初余额!$D$6:$D$185,期初余额!$A$6:$A$185,$A227,期初余额!$B$6:$B$185,$C227)-SUMIFS(期初余额!$C$6:$C$185,期初余额!$A$6:$A$185,$A227,期初余额!$B$6:$B$185,$C227)))</f>
        <v/>
      </c>
      <c r="H227" s="40" t="str">
        <f aca="false">IF($C227="","",$G227+IF($E227="借",SUMIFS(记账分录!$I$6:$I$5505,记账分录!$F$6:$F$5505,$A227,记账分录!$H$6:$H$5505,$C227,记账分录!$E$6:$E$5505,"&lt;"&amp;$A$4)-SUMIFS(记账分录!$J$6:$J$5505,记账分录!$F$6:$F$5505,$A227,记账分录!$H$6:$H$5505,$C227,记账分录!$E$6:$E$5505,"&lt;"&amp;$A$4),SUMIFS(记账分录!$J$6:$J$5505,记账分录!$F$6:$F$5505,$A227,记账分录!$H$6:$H$5505,$C227,记账分录!$E$6:$E$5505,"&lt;"&amp;$A$4)-SUMIFS(记账分录!$I$6:$I$5505,记账分录!$F$6:$F$5505,$A227,记账分录!$H$6:$H$5505,$C227,记账分录!$E$6:$E$5505,"&lt;"&amp;$A$4)))</f>
        <v/>
      </c>
      <c r="I227" s="40" t="str">
        <f aca="false">IF($C227="","",SUMIFS(记账分录!$I$6:$I$5505,记账分录!$F$6:$F$5505,$A227,记账分录!$H$6:$H$5505,$C227,记账分录!$E$6:$E$5505,"&gt;="&amp;$A$4,记账分录!$E$6:$E$5505,"&lt;="&amp;$B$4))</f>
        <v/>
      </c>
      <c r="J227" s="40" t="str">
        <f aca="false">IF($C227="","",SUMIFS(记账分录!$J$6:$J$5505,记账分录!$F$6:$F$5505,$A227,记账分录!$H$6:$H$5505,$C227,记账分录!$E$6:$E$5505,"&gt;="&amp;$A$4,记账分录!$E$6:$E$5505,"&lt;="&amp;$B$4))</f>
        <v/>
      </c>
      <c r="K227" s="42" t="str">
        <f aca="false">IF($C227="","",IF($E227="借",$I227-$J227,$J227-$I227))</f>
        <v/>
      </c>
      <c r="L227" s="42" t="str">
        <f aca="false">IF($C227="","",ROUND($H227+$K227,2))</f>
        <v/>
      </c>
      <c r="M227" s="40" t="str">
        <f aca="false">IF($C227="","",SUMIFS(记账分录!$I$6:$I$5505,记账分录!$F$6:$F$5505,$A227,记账分录!$H$6:$H$5505,$C227,记账分录!$E$6:$E$5505,"&lt;="&amp;$B$4))</f>
        <v/>
      </c>
      <c r="N227" s="40" t="str">
        <f aca="false">IF($C227="","",SUMIFS(记账分录!$J$6:$J$5505,记账分录!$F$6:$F$5505,$A227,记账分录!$H$6:$H$5505,$C227,记账分录!$E$6:$E$5505,"&lt;="&amp;$B$4))</f>
        <v/>
      </c>
      <c r="O227" s="42" t="str">
        <f aca="false">IF($C227="","",IF($E227="借",$M227-$N227,$N227-$M227))</f>
        <v/>
      </c>
      <c r="P227" s="64" t="str">
        <f aca="false">IF($C227="","",IF(OR(ROUND($G227,2)&lt;&gt;0,ROUND($M227,2)&lt;&gt;0,ROUND($N227,2)&lt;&gt;0),"有",""))</f>
        <v/>
      </c>
    </row>
    <row r="228" customFormat="false" ht="15" hidden="true" customHeight="false" outlineLevel="0" collapsed="false">
      <c r="A228" s="25" t="str">
        <f aca="false">IF(会计科目表!$B67="","",参数设置!$A$12)</f>
        <v/>
      </c>
      <c r="B228" s="25" t="str">
        <f aca="false">IF(会计科目表!$B67="","",会计科目表!$A67)</f>
        <v/>
      </c>
      <c r="C228" s="10" t="str">
        <f aca="false">IF(会计科目表!$B67="","",会计科目表!$B67)</f>
        <v/>
      </c>
      <c r="D228" s="25" t="str">
        <f aca="false">IF($C228="","",会计科目表!$C67)</f>
        <v/>
      </c>
      <c r="E228" s="25" t="str">
        <f aca="false">IF($C228="","",会计科目表!$D67)</f>
        <v/>
      </c>
      <c r="F228" s="10" t="str">
        <f aca="false">IF($C228="","",会计科目表!$F67)</f>
        <v/>
      </c>
      <c r="G228" s="40" t="str">
        <f aca="false">IF($C228="","",IF($E228="借",SUMIFS(期初余额!$C$6:$C$185,期初余额!$A$6:$A$185,$A228,期初余额!$B$6:$B$185,$C228)-SUMIFS(期初余额!$D$6:$D$185,期初余额!$A$6:$A$185,$A228,期初余额!$B$6:$B$185,$C228),SUMIFS(期初余额!$D$6:$D$185,期初余额!$A$6:$A$185,$A228,期初余额!$B$6:$B$185,$C228)-SUMIFS(期初余额!$C$6:$C$185,期初余额!$A$6:$A$185,$A228,期初余额!$B$6:$B$185,$C228)))</f>
        <v/>
      </c>
      <c r="H228" s="40" t="str">
        <f aca="false">IF($C228="","",$G228+IF($E228="借",SUMIFS(记账分录!$I$6:$I$5505,记账分录!$F$6:$F$5505,$A228,记账分录!$H$6:$H$5505,$C228,记账分录!$E$6:$E$5505,"&lt;"&amp;$A$4)-SUMIFS(记账分录!$J$6:$J$5505,记账分录!$F$6:$F$5505,$A228,记账分录!$H$6:$H$5505,$C228,记账分录!$E$6:$E$5505,"&lt;"&amp;$A$4),SUMIFS(记账分录!$J$6:$J$5505,记账分录!$F$6:$F$5505,$A228,记账分录!$H$6:$H$5505,$C228,记账分录!$E$6:$E$5505,"&lt;"&amp;$A$4)-SUMIFS(记账分录!$I$6:$I$5505,记账分录!$F$6:$F$5505,$A228,记账分录!$H$6:$H$5505,$C228,记账分录!$E$6:$E$5505,"&lt;"&amp;$A$4)))</f>
        <v/>
      </c>
      <c r="I228" s="40" t="str">
        <f aca="false">IF($C228="","",SUMIFS(记账分录!$I$6:$I$5505,记账分录!$F$6:$F$5505,$A228,记账分录!$H$6:$H$5505,$C228,记账分录!$E$6:$E$5505,"&gt;="&amp;$A$4,记账分录!$E$6:$E$5505,"&lt;="&amp;$B$4))</f>
        <v/>
      </c>
      <c r="J228" s="40" t="str">
        <f aca="false">IF($C228="","",SUMIFS(记账分录!$J$6:$J$5505,记账分录!$F$6:$F$5505,$A228,记账分录!$H$6:$H$5505,$C228,记账分录!$E$6:$E$5505,"&gt;="&amp;$A$4,记账分录!$E$6:$E$5505,"&lt;="&amp;$B$4))</f>
        <v/>
      </c>
      <c r="K228" s="42" t="str">
        <f aca="false">IF($C228="","",IF($E228="借",$I228-$J228,$J228-$I228))</f>
        <v/>
      </c>
      <c r="L228" s="42" t="str">
        <f aca="false">IF($C228="","",ROUND($H228+$K228,2))</f>
        <v/>
      </c>
      <c r="M228" s="40" t="str">
        <f aca="false">IF($C228="","",SUMIFS(记账分录!$I$6:$I$5505,记账分录!$F$6:$F$5505,$A228,记账分录!$H$6:$H$5505,$C228,记账分录!$E$6:$E$5505,"&lt;="&amp;$B$4))</f>
        <v/>
      </c>
      <c r="N228" s="40" t="str">
        <f aca="false">IF($C228="","",SUMIFS(记账分录!$J$6:$J$5505,记账分录!$F$6:$F$5505,$A228,记账分录!$H$6:$H$5505,$C228,记账分录!$E$6:$E$5505,"&lt;="&amp;$B$4))</f>
        <v/>
      </c>
      <c r="O228" s="42" t="str">
        <f aca="false">IF($C228="","",IF($E228="借",$M228-$N228,$N228-$M228))</f>
        <v/>
      </c>
      <c r="P228" s="64" t="str">
        <f aca="false">IF($C228="","",IF(OR(ROUND($G228,2)&lt;&gt;0,ROUND($M228,2)&lt;&gt;0,ROUND($N228,2)&lt;&gt;0),"有",""))</f>
        <v/>
      </c>
    </row>
    <row r="229" customFormat="false" ht="15" hidden="true" customHeight="false" outlineLevel="0" collapsed="false">
      <c r="A229" s="25" t="str">
        <f aca="false">IF(会计科目表!$B68="","",参数设置!$A$12)</f>
        <v/>
      </c>
      <c r="B229" s="25" t="str">
        <f aca="false">IF(会计科目表!$B68="","",会计科目表!$A68)</f>
        <v/>
      </c>
      <c r="C229" s="10" t="str">
        <f aca="false">IF(会计科目表!$B68="","",会计科目表!$B68)</f>
        <v/>
      </c>
      <c r="D229" s="25" t="str">
        <f aca="false">IF($C229="","",会计科目表!$C68)</f>
        <v/>
      </c>
      <c r="E229" s="25" t="str">
        <f aca="false">IF($C229="","",会计科目表!$D68)</f>
        <v/>
      </c>
      <c r="F229" s="10" t="str">
        <f aca="false">IF($C229="","",会计科目表!$F68)</f>
        <v/>
      </c>
      <c r="G229" s="40" t="str">
        <f aca="false">IF($C229="","",IF($E229="借",SUMIFS(期初余额!$C$6:$C$185,期初余额!$A$6:$A$185,$A229,期初余额!$B$6:$B$185,$C229)-SUMIFS(期初余额!$D$6:$D$185,期初余额!$A$6:$A$185,$A229,期初余额!$B$6:$B$185,$C229),SUMIFS(期初余额!$D$6:$D$185,期初余额!$A$6:$A$185,$A229,期初余额!$B$6:$B$185,$C229)-SUMIFS(期初余额!$C$6:$C$185,期初余额!$A$6:$A$185,$A229,期初余额!$B$6:$B$185,$C229)))</f>
        <v/>
      </c>
      <c r="H229" s="40" t="str">
        <f aca="false">IF($C229="","",$G229+IF($E229="借",SUMIFS(记账分录!$I$6:$I$5505,记账分录!$F$6:$F$5505,$A229,记账分录!$H$6:$H$5505,$C229,记账分录!$E$6:$E$5505,"&lt;"&amp;$A$4)-SUMIFS(记账分录!$J$6:$J$5505,记账分录!$F$6:$F$5505,$A229,记账分录!$H$6:$H$5505,$C229,记账分录!$E$6:$E$5505,"&lt;"&amp;$A$4),SUMIFS(记账分录!$J$6:$J$5505,记账分录!$F$6:$F$5505,$A229,记账分录!$H$6:$H$5505,$C229,记账分录!$E$6:$E$5505,"&lt;"&amp;$A$4)-SUMIFS(记账分录!$I$6:$I$5505,记账分录!$F$6:$F$5505,$A229,记账分录!$H$6:$H$5505,$C229,记账分录!$E$6:$E$5505,"&lt;"&amp;$A$4)))</f>
        <v/>
      </c>
      <c r="I229" s="40" t="str">
        <f aca="false">IF($C229="","",SUMIFS(记账分录!$I$6:$I$5505,记账分录!$F$6:$F$5505,$A229,记账分录!$H$6:$H$5505,$C229,记账分录!$E$6:$E$5505,"&gt;="&amp;$A$4,记账分录!$E$6:$E$5505,"&lt;="&amp;$B$4))</f>
        <v/>
      </c>
      <c r="J229" s="40" t="str">
        <f aca="false">IF($C229="","",SUMIFS(记账分录!$J$6:$J$5505,记账分录!$F$6:$F$5505,$A229,记账分录!$H$6:$H$5505,$C229,记账分录!$E$6:$E$5505,"&gt;="&amp;$A$4,记账分录!$E$6:$E$5505,"&lt;="&amp;$B$4))</f>
        <v/>
      </c>
      <c r="K229" s="42" t="str">
        <f aca="false">IF($C229="","",IF($E229="借",$I229-$J229,$J229-$I229))</f>
        <v/>
      </c>
      <c r="L229" s="42" t="str">
        <f aca="false">IF($C229="","",ROUND($H229+$K229,2))</f>
        <v/>
      </c>
      <c r="M229" s="40" t="str">
        <f aca="false">IF($C229="","",SUMIFS(记账分录!$I$6:$I$5505,记账分录!$F$6:$F$5505,$A229,记账分录!$H$6:$H$5505,$C229,记账分录!$E$6:$E$5505,"&lt;="&amp;$B$4))</f>
        <v/>
      </c>
      <c r="N229" s="40" t="str">
        <f aca="false">IF($C229="","",SUMIFS(记账分录!$J$6:$J$5505,记账分录!$F$6:$F$5505,$A229,记账分录!$H$6:$H$5505,$C229,记账分录!$E$6:$E$5505,"&lt;="&amp;$B$4))</f>
        <v/>
      </c>
      <c r="O229" s="42" t="str">
        <f aca="false">IF($C229="","",IF($E229="借",$M229-$N229,$N229-$M229))</f>
        <v/>
      </c>
      <c r="P229" s="64" t="str">
        <f aca="false">IF($C229="","",IF(OR(ROUND($G229,2)&lt;&gt;0,ROUND($M229,2)&lt;&gt;0,ROUND($N229,2)&lt;&gt;0),"有",""))</f>
        <v/>
      </c>
    </row>
    <row r="230" customFormat="false" ht="15" hidden="true" customHeight="false" outlineLevel="0" collapsed="false">
      <c r="A230" s="25" t="str">
        <f aca="false">IF(会计科目表!$B69="","",参数设置!$A$12)</f>
        <v/>
      </c>
      <c r="B230" s="25" t="str">
        <f aca="false">IF(会计科目表!$B69="","",会计科目表!$A69)</f>
        <v/>
      </c>
      <c r="C230" s="10" t="str">
        <f aca="false">IF(会计科目表!$B69="","",会计科目表!$B69)</f>
        <v/>
      </c>
      <c r="D230" s="25" t="str">
        <f aca="false">IF($C230="","",会计科目表!$C69)</f>
        <v/>
      </c>
      <c r="E230" s="25" t="str">
        <f aca="false">IF($C230="","",会计科目表!$D69)</f>
        <v/>
      </c>
      <c r="F230" s="10" t="str">
        <f aca="false">IF($C230="","",会计科目表!$F69)</f>
        <v/>
      </c>
      <c r="G230" s="40" t="str">
        <f aca="false">IF($C230="","",IF($E230="借",SUMIFS(期初余额!$C$6:$C$185,期初余额!$A$6:$A$185,$A230,期初余额!$B$6:$B$185,$C230)-SUMIFS(期初余额!$D$6:$D$185,期初余额!$A$6:$A$185,$A230,期初余额!$B$6:$B$185,$C230),SUMIFS(期初余额!$D$6:$D$185,期初余额!$A$6:$A$185,$A230,期初余额!$B$6:$B$185,$C230)-SUMIFS(期初余额!$C$6:$C$185,期初余额!$A$6:$A$185,$A230,期初余额!$B$6:$B$185,$C230)))</f>
        <v/>
      </c>
      <c r="H230" s="40" t="str">
        <f aca="false">IF($C230="","",$G230+IF($E230="借",SUMIFS(记账分录!$I$6:$I$5505,记账分录!$F$6:$F$5505,$A230,记账分录!$H$6:$H$5505,$C230,记账分录!$E$6:$E$5505,"&lt;"&amp;$A$4)-SUMIFS(记账分录!$J$6:$J$5505,记账分录!$F$6:$F$5505,$A230,记账分录!$H$6:$H$5505,$C230,记账分录!$E$6:$E$5505,"&lt;"&amp;$A$4),SUMIFS(记账分录!$J$6:$J$5505,记账分录!$F$6:$F$5505,$A230,记账分录!$H$6:$H$5505,$C230,记账分录!$E$6:$E$5505,"&lt;"&amp;$A$4)-SUMIFS(记账分录!$I$6:$I$5505,记账分录!$F$6:$F$5505,$A230,记账分录!$H$6:$H$5505,$C230,记账分录!$E$6:$E$5505,"&lt;"&amp;$A$4)))</f>
        <v/>
      </c>
      <c r="I230" s="40" t="str">
        <f aca="false">IF($C230="","",SUMIFS(记账分录!$I$6:$I$5505,记账分录!$F$6:$F$5505,$A230,记账分录!$H$6:$H$5505,$C230,记账分录!$E$6:$E$5505,"&gt;="&amp;$A$4,记账分录!$E$6:$E$5505,"&lt;="&amp;$B$4))</f>
        <v/>
      </c>
      <c r="J230" s="40" t="str">
        <f aca="false">IF($C230="","",SUMIFS(记账分录!$J$6:$J$5505,记账分录!$F$6:$F$5505,$A230,记账分录!$H$6:$H$5505,$C230,记账分录!$E$6:$E$5505,"&gt;="&amp;$A$4,记账分录!$E$6:$E$5505,"&lt;="&amp;$B$4))</f>
        <v/>
      </c>
      <c r="K230" s="42" t="str">
        <f aca="false">IF($C230="","",IF($E230="借",$I230-$J230,$J230-$I230))</f>
        <v/>
      </c>
      <c r="L230" s="42" t="str">
        <f aca="false">IF($C230="","",ROUND($H230+$K230,2))</f>
        <v/>
      </c>
      <c r="M230" s="40" t="str">
        <f aca="false">IF($C230="","",SUMIFS(记账分录!$I$6:$I$5505,记账分录!$F$6:$F$5505,$A230,记账分录!$H$6:$H$5505,$C230,记账分录!$E$6:$E$5505,"&lt;="&amp;$B$4))</f>
        <v/>
      </c>
      <c r="N230" s="40" t="str">
        <f aca="false">IF($C230="","",SUMIFS(记账分录!$J$6:$J$5505,记账分录!$F$6:$F$5505,$A230,记账分录!$H$6:$H$5505,$C230,记账分录!$E$6:$E$5505,"&lt;="&amp;$B$4))</f>
        <v/>
      </c>
      <c r="O230" s="42" t="str">
        <f aca="false">IF($C230="","",IF($E230="借",$M230-$N230,$N230-$M230))</f>
        <v/>
      </c>
      <c r="P230" s="64" t="str">
        <f aca="false">IF($C230="","",IF(OR(ROUND($G230,2)&lt;&gt;0,ROUND($M230,2)&lt;&gt;0,ROUND($N230,2)&lt;&gt;0),"有",""))</f>
        <v/>
      </c>
    </row>
    <row r="231" customFormat="false" ht="15" hidden="true" customHeight="false" outlineLevel="0" collapsed="false">
      <c r="A231" s="25" t="str">
        <f aca="false">IF(会计科目表!$B70="","",参数设置!$A$12)</f>
        <v/>
      </c>
      <c r="B231" s="25" t="str">
        <f aca="false">IF(会计科目表!$B70="","",会计科目表!$A70)</f>
        <v/>
      </c>
      <c r="C231" s="10" t="str">
        <f aca="false">IF(会计科目表!$B70="","",会计科目表!$B70)</f>
        <v/>
      </c>
      <c r="D231" s="25" t="str">
        <f aca="false">IF($C231="","",会计科目表!$C70)</f>
        <v/>
      </c>
      <c r="E231" s="25" t="str">
        <f aca="false">IF($C231="","",会计科目表!$D70)</f>
        <v/>
      </c>
      <c r="F231" s="10" t="str">
        <f aca="false">IF($C231="","",会计科目表!$F70)</f>
        <v/>
      </c>
      <c r="G231" s="40" t="str">
        <f aca="false">IF($C231="","",IF($E231="借",SUMIFS(期初余额!$C$6:$C$185,期初余额!$A$6:$A$185,$A231,期初余额!$B$6:$B$185,$C231)-SUMIFS(期初余额!$D$6:$D$185,期初余额!$A$6:$A$185,$A231,期初余额!$B$6:$B$185,$C231),SUMIFS(期初余额!$D$6:$D$185,期初余额!$A$6:$A$185,$A231,期初余额!$B$6:$B$185,$C231)-SUMIFS(期初余额!$C$6:$C$185,期初余额!$A$6:$A$185,$A231,期初余额!$B$6:$B$185,$C231)))</f>
        <v/>
      </c>
      <c r="H231" s="40" t="str">
        <f aca="false">IF($C231="","",$G231+IF($E231="借",SUMIFS(记账分录!$I$6:$I$5505,记账分录!$F$6:$F$5505,$A231,记账分录!$H$6:$H$5505,$C231,记账分录!$E$6:$E$5505,"&lt;"&amp;$A$4)-SUMIFS(记账分录!$J$6:$J$5505,记账分录!$F$6:$F$5505,$A231,记账分录!$H$6:$H$5505,$C231,记账分录!$E$6:$E$5505,"&lt;"&amp;$A$4),SUMIFS(记账分录!$J$6:$J$5505,记账分录!$F$6:$F$5505,$A231,记账分录!$H$6:$H$5505,$C231,记账分录!$E$6:$E$5505,"&lt;"&amp;$A$4)-SUMIFS(记账分录!$I$6:$I$5505,记账分录!$F$6:$F$5505,$A231,记账分录!$H$6:$H$5505,$C231,记账分录!$E$6:$E$5505,"&lt;"&amp;$A$4)))</f>
        <v/>
      </c>
      <c r="I231" s="40" t="str">
        <f aca="false">IF($C231="","",SUMIFS(记账分录!$I$6:$I$5505,记账分录!$F$6:$F$5505,$A231,记账分录!$H$6:$H$5505,$C231,记账分录!$E$6:$E$5505,"&gt;="&amp;$A$4,记账分录!$E$6:$E$5505,"&lt;="&amp;$B$4))</f>
        <v/>
      </c>
      <c r="J231" s="40" t="str">
        <f aca="false">IF($C231="","",SUMIFS(记账分录!$J$6:$J$5505,记账分录!$F$6:$F$5505,$A231,记账分录!$H$6:$H$5505,$C231,记账分录!$E$6:$E$5505,"&gt;="&amp;$A$4,记账分录!$E$6:$E$5505,"&lt;="&amp;$B$4))</f>
        <v/>
      </c>
      <c r="K231" s="42" t="str">
        <f aca="false">IF($C231="","",IF($E231="借",$I231-$J231,$J231-$I231))</f>
        <v/>
      </c>
      <c r="L231" s="42" t="str">
        <f aca="false">IF($C231="","",ROUND($H231+$K231,2))</f>
        <v/>
      </c>
      <c r="M231" s="40" t="str">
        <f aca="false">IF($C231="","",SUMIFS(记账分录!$I$6:$I$5505,记账分录!$F$6:$F$5505,$A231,记账分录!$H$6:$H$5505,$C231,记账分录!$E$6:$E$5505,"&lt;="&amp;$B$4))</f>
        <v/>
      </c>
      <c r="N231" s="40" t="str">
        <f aca="false">IF($C231="","",SUMIFS(记账分录!$J$6:$J$5505,记账分录!$F$6:$F$5505,$A231,记账分录!$H$6:$H$5505,$C231,记账分录!$E$6:$E$5505,"&lt;="&amp;$B$4))</f>
        <v/>
      </c>
      <c r="O231" s="42" t="str">
        <f aca="false">IF($C231="","",IF($E231="借",$M231-$N231,$N231-$M231))</f>
        <v/>
      </c>
      <c r="P231" s="64" t="str">
        <f aca="false">IF($C231="","",IF(OR(ROUND($G231,2)&lt;&gt;0,ROUND($M231,2)&lt;&gt;0,ROUND($N231,2)&lt;&gt;0),"有",""))</f>
        <v/>
      </c>
    </row>
    <row r="232" customFormat="false" ht="15" hidden="true" customHeight="false" outlineLevel="0" collapsed="false">
      <c r="A232" s="25" t="str">
        <f aca="false">IF(会计科目表!$B71="","",参数设置!$A$12)</f>
        <v/>
      </c>
      <c r="B232" s="25" t="str">
        <f aca="false">IF(会计科目表!$B71="","",会计科目表!$A71)</f>
        <v/>
      </c>
      <c r="C232" s="10" t="str">
        <f aca="false">IF(会计科目表!$B71="","",会计科目表!$B71)</f>
        <v/>
      </c>
      <c r="D232" s="25" t="str">
        <f aca="false">IF($C232="","",会计科目表!$C71)</f>
        <v/>
      </c>
      <c r="E232" s="25" t="str">
        <f aca="false">IF($C232="","",会计科目表!$D71)</f>
        <v/>
      </c>
      <c r="F232" s="10" t="str">
        <f aca="false">IF($C232="","",会计科目表!$F71)</f>
        <v/>
      </c>
      <c r="G232" s="40" t="str">
        <f aca="false">IF($C232="","",IF($E232="借",SUMIFS(期初余额!$C$6:$C$185,期初余额!$A$6:$A$185,$A232,期初余额!$B$6:$B$185,$C232)-SUMIFS(期初余额!$D$6:$D$185,期初余额!$A$6:$A$185,$A232,期初余额!$B$6:$B$185,$C232),SUMIFS(期初余额!$D$6:$D$185,期初余额!$A$6:$A$185,$A232,期初余额!$B$6:$B$185,$C232)-SUMIFS(期初余额!$C$6:$C$185,期初余额!$A$6:$A$185,$A232,期初余额!$B$6:$B$185,$C232)))</f>
        <v/>
      </c>
      <c r="H232" s="40" t="str">
        <f aca="false">IF($C232="","",$G232+IF($E232="借",SUMIFS(记账分录!$I$6:$I$5505,记账分录!$F$6:$F$5505,$A232,记账分录!$H$6:$H$5505,$C232,记账分录!$E$6:$E$5505,"&lt;"&amp;$A$4)-SUMIFS(记账分录!$J$6:$J$5505,记账分录!$F$6:$F$5505,$A232,记账分录!$H$6:$H$5505,$C232,记账分录!$E$6:$E$5505,"&lt;"&amp;$A$4),SUMIFS(记账分录!$J$6:$J$5505,记账分录!$F$6:$F$5505,$A232,记账分录!$H$6:$H$5505,$C232,记账分录!$E$6:$E$5505,"&lt;"&amp;$A$4)-SUMIFS(记账分录!$I$6:$I$5505,记账分录!$F$6:$F$5505,$A232,记账分录!$H$6:$H$5505,$C232,记账分录!$E$6:$E$5505,"&lt;"&amp;$A$4)))</f>
        <v/>
      </c>
      <c r="I232" s="40" t="str">
        <f aca="false">IF($C232="","",SUMIFS(记账分录!$I$6:$I$5505,记账分录!$F$6:$F$5505,$A232,记账分录!$H$6:$H$5505,$C232,记账分录!$E$6:$E$5505,"&gt;="&amp;$A$4,记账分录!$E$6:$E$5505,"&lt;="&amp;$B$4))</f>
        <v/>
      </c>
      <c r="J232" s="40" t="str">
        <f aca="false">IF($C232="","",SUMIFS(记账分录!$J$6:$J$5505,记账分录!$F$6:$F$5505,$A232,记账分录!$H$6:$H$5505,$C232,记账分录!$E$6:$E$5505,"&gt;="&amp;$A$4,记账分录!$E$6:$E$5505,"&lt;="&amp;$B$4))</f>
        <v/>
      </c>
      <c r="K232" s="42" t="str">
        <f aca="false">IF($C232="","",IF($E232="借",$I232-$J232,$J232-$I232))</f>
        <v/>
      </c>
      <c r="L232" s="42" t="str">
        <f aca="false">IF($C232="","",ROUND($H232+$K232,2))</f>
        <v/>
      </c>
      <c r="M232" s="40" t="str">
        <f aca="false">IF($C232="","",SUMIFS(记账分录!$I$6:$I$5505,记账分录!$F$6:$F$5505,$A232,记账分录!$H$6:$H$5505,$C232,记账分录!$E$6:$E$5505,"&lt;="&amp;$B$4))</f>
        <v/>
      </c>
      <c r="N232" s="40" t="str">
        <f aca="false">IF($C232="","",SUMIFS(记账分录!$J$6:$J$5505,记账分录!$F$6:$F$5505,$A232,记账分录!$H$6:$H$5505,$C232,记账分录!$E$6:$E$5505,"&lt;="&amp;$B$4))</f>
        <v/>
      </c>
      <c r="O232" s="42" t="str">
        <f aca="false">IF($C232="","",IF($E232="借",$M232-$N232,$N232-$M232))</f>
        <v/>
      </c>
      <c r="P232" s="64" t="str">
        <f aca="false">IF($C232="","",IF(OR(ROUND($G232,2)&lt;&gt;0,ROUND($M232,2)&lt;&gt;0,ROUND($N232,2)&lt;&gt;0),"有",""))</f>
        <v/>
      </c>
    </row>
    <row r="233" customFormat="false" ht="15" hidden="true" customHeight="false" outlineLevel="0" collapsed="false">
      <c r="A233" s="25" t="str">
        <f aca="false">IF(会计科目表!$B72="","",参数设置!$A$12)</f>
        <v/>
      </c>
      <c r="B233" s="25" t="str">
        <f aca="false">IF(会计科目表!$B72="","",会计科目表!$A72)</f>
        <v/>
      </c>
      <c r="C233" s="10" t="str">
        <f aca="false">IF(会计科目表!$B72="","",会计科目表!$B72)</f>
        <v/>
      </c>
      <c r="D233" s="25" t="str">
        <f aca="false">IF($C233="","",会计科目表!$C72)</f>
        <v/>
      </c>
      <c r="E233" s="25" t="str">
        <f aca="false">IF($C233="","",会计科目表!$D72)</f>
        <v/>
      </c>
      <c r="F233" s="10" t="str">
        <f aca="false">IF($C233="","",会计科目表!$F72)</f>
        <v/>
      </c>
      <c r="G233" s="40" t="str">
        <f aca="false">IF($C233="","",IF($E233="借",SUMIFS(期初余额!$C$6:$C$185,期初余额!$A$6:$A$185,$A233,期初余额!$B$6:$B$185,$C233)-SUMIFS(期初余额!$D$6:$D$185,期初余额!$A$6:$A$185,$A233,期初余额!$B$6:$B$185,$C233),SUMIFS(期初余额!$D$6:$D$185,期初余额!$A$6:$A$185,$A233,期初余额!$B$6:$B$185,$C233)-SUMIFS(期初余额!$C$6:$C$185,期初余额!$A$6:$A$185,$A233,期初余额!$B$6:$B$185,$C233)))</f>
        <v/>
      </c>
      <c r="H233" s="40" t="str">
        <f aca="false">IF($C233="","",$G233+IF($E233="借",SUMIFS(记账分录!$I$6:$I$5505,记账分录!$F$6:$F$5505,$A233,记账分录!$H$6:$H$5505,$C233,记账分录!$E$6:$E$5505,"&lt;"&amp;$A$4)-SUMIFS(记账分录!$J$6:$J$5505,记账分录!$F$6:$F$5505,$A233,记账分录!$H$6:$H$5505,$C233,记账分录!$E$6:$E$5505,"&lt;"&amp;$A$4),SUMIFS(记账分录!$J$6:$J$5505,记账分录!$F$6:$F$5505,$A233,记账分录!$H$6:$H$5505,$C233,记账分录!$E$6:$E$5505,"&lt;"&amp;$A$4)-SUMIFS(记账分录!$I$6:$I$5505,记账分录!$F$6:$F$5505,$A233,记账分录!$H$6:$H$5505,$C233,记账分录!$E$6:$E$5505,"&lt;"&amp;$A$4)))</f>
        <v/>
      </c>
      <c r="I233" s="40" t="str">
        <f aca="false">IF($C233="","",SUMIFS(记账分录!$I$6:$I$5505,记账分录!$F$6:$F$5505,$A233,记账分录!$H$6:$H$5505,$C233,记账分录!$E$6:$E$5505,"&gt;="&amp;$A$4,记账分录!$E$6:$E$5505,"&lt;="&amp;$B$4))</f>
        <v/>
      </c>
      <c r="J233" s="40" t="str">
        <f aca="false">IF($C233="","",SUMIFS(记账分录!$J$6:$J$5505,记账分录!$F$6:$F$5505,$A233,记账分录!$H$6:$H$5505,$C233,记账分录!$E$6:$E$5505,"&gt;="&amp;$A$4,记账分录!$E$6:$E$5505,"&lt;="&amp;$B$4))</f>
        <v/>
      </c>
      <c r="K233" s="42" t="str">
        <f aca="false">IF($C233="","",IF($E233="借",$I233-$J233,$J233-$I233))</f>
        <v/>
      </c>
      <c r="L233" s="42" t="str">
        <f aca="false">IF($C233="","",ROUND($H233+$K233,2))</f>
        <v/>
      </c>
      <c r="M233" s="40" t="str">
        <f aca="false">IF($C233="","",SUMIFS(记账分录!$I$6:$I$5505,记账分录!$F$6:$F$5505,$A233,记账分录!$H$6:$H$5505,$C233,记账分录!$E$6:$E$5505,"&lt;="&amp;$B$4))</f>
        <v/>
      </c>
      <c r="N233" s="40" t="str">
        <f aca="false">IF($C233="","",SUMIFS(记账分录!$J$6:$J$5505,记账分录!$F$6:$F$5505,$A233,记账分录!$H$6:$H$5505,$C233,记账分录!$E$6:$E$5505,"&lt;="&amp;$B$4))</f>
        <v/>
      </c>
      <c r="O233" s="42" t="str">
        <f aca="false">IF($C233="","",IF($E233="借",$M233-$N233,$N233-$M233))</f>
        <v/>
      </c>
      <c r="P233" s="64" t="str">
        <f aca="false">IF($C233="","",IF(OR(ROUND($G233,2)&lt;&gt;0,ROUND($M233,2)&lt;&gt;0,ROUND($N233,2)&lt;&gt;0),"有",""))</f>
        <v/>
      </c>
    </row>
    <row r="234" customFormat="false" ht="15" hidden="true" customHeight="false" outlineLevel="0" collapsed="false">
      <c r="A234" s="25" t="str">
        <f aca="false">IF(会计科目表!$B73="","",参数设置!$A$12)</f>
        <v/>
      </c>
      <c r="B234" s="25" t="str">
        <f aca="false">IF(会计科目表!$B73="","",会计科目表!$A73)</f>
        <v/>
      </c>
      <c r="C234" s="10" t="str">
        <f aca="false">IF(会计科目表!$B73="","",会计科目表!$B73)</f>
        <v/>
      </c>
      <c r="D234" s="25" t="str">
        <f aca="false">IF($C234="","",会计科目表!$C73)</f>
        <v/>
      </c>
      <c r="E234" s="25" t="str">
        <f aca="false">IF($C234="","",会计科目表!$D73)</f>
        <v/>
      </c>
      <c r="F234" s="10" t="str">
        <f aca="false">IF($C234="","",会计科目表!$F73)</f>
        <v/>
      </c>
      <c r="G234" s="40" t="str">
        <f aca="false">IF($C234="","",IF($E234="借",SUMIFS(期初余额!$C$6:$C$185,期初余额!$A$6:$A$185,$A234,期初余额!$B$6:$B$185,$C234)-SUMIFS(期初余额!$D$6:$D$185,期初余额!$A$6:$A$185,$A234,期初余额!$B$6:$B$185,$C234),SUMIFS(期初余额!$D$6:$D$185,期初余额!$A$6:$A$185,$A234,期初余额!$B$6:$B$185,$C234)-SUMIFS(期初余额!$C$6:$C$185,期初余额!$A$6:$A$185,$A234,期初余额!$B$6:$B$185,$C234)))</f>
        <v/>
      </c>
      <c r="H234" s="40" t="str">
        <f aca="false">IF($C234="","",$G234+IF($E234="借",SUMIFS(记账分录!$I$6:$I$5505,记账分录!$F$6:$F$5505,$A234,记账分录!$H$6:$H$5505,$C234,记账分录!$E$6:$E$5505,"&lt;"&amp;$A$4)-SUMIFS(记账分录!$J$6:$J$5505,记账分录!$F$6:$F$5505,$A234,记账分录!$H$6:$H$5505,$C234,记账分录!$E$6:$E$5505,"&lt;"&amp;$A$4),SUMIFS(记账分录!$J$6:$J$5505,记账分录!$F$6:$F$5505,$A234,记账分录!$H$6:$H$5505,$C234,记账分录!$E$6:$E$5505,"&lt;"&amp;$A$4)-SUMIFS(记账分录!$I$6:$I$5505,记账分录!$F$6:$F$5505,$A234,记账分录!$H$6:$H$5505,$C234,记账分录!$E$6:$E$5505,"&lt;"&amp;$A$4)))</f>
        <v/>
      </c>
      <c r="I234" s="40" t="str">
        <f aca="false">IF($C234="","",SUMIFS(记账分录!$I$6:$I$5505,记账分录!$F$6:$F$5505,$A234,记账分录!$H$6:$H$5505,$C234,记账分录!$E$6:$E$5505,"&gt;="&amp;$A$4,记账分录!$E$6:$E$5505,"&lt;="&amp;$B$4))</f>
        <v/>
      </c>
      <c r="J234" s="40" t="str">
        <f aca="false">IF($C234="","",SUMIFS(记账分录!$J$6:$J$5505,记账分录!$F$6:$F$5505,$A234,记账分录!$H$6:$H$5505,$C234,记账分录!$E$6:$E$5505,"&gt;="&amp;$A$4,记账分录!$E$6:$E$5505,"&lt;="&amp;$B$4))</f>
        <v/>
      </c>
      <c r="K234" s="42" t="str">
        <f aca="false">IF($C234="","",IF($E234="借",$I234-$J234,$J234-$I234))</f>
        <v/>
      </c>
      <c r="L234" s="42" t="str">
        <f aca="false">IF($C234="","",ROUND($H234+$K234,2))</f>
        <v/>
      </c>
      <c r="M234" s="40" t="str">
        <f aca="false">IF($C234="","",SUMIFS(记账分录!$I$6:$I$5505,记账分录!$F$6:$F$5505,$A234,记账分录!$H$6:$H$5505,$C234,记账分录!$E$6:$E$5505,"&lt;="&amp;$B$4))</f>
        <v/>
      </c>
      <c r="N234" s="40" t="str">
        <f aca="false">IF($C234="","",SUMIFS(记账分录!$J$6:$J$5505,记账分录!$F$6:$F$5505,$A234,记账分录!$H$6:$H$5505,$C234,记账分录!$E$6:$E$5505,"&lt;="&amp;$B$4))</f>
        <v/>
      </c>
      <c r="O234" s="42" t="str">
        <f aca="false">IF($C234="","",IF($E234="借",$M234-$N234,$N234-$M234))</f>
        <v/>
      </c>
      <c r="P234" s="64" t="str">
        <f aca="false">IF($C234="","",IF(OR(ROUND($G234,2)&lt;&gt;0,ROUND($M234,2)&lt;&gt;0,ROUND($N234,2)&lt;&gt;0),"有",""))</f>
        <v/>
      </c>
    </row>
    <row r="235" customFormat="false" ht="15" hidden="true" customHeight="false" outlineLevel="0" collapsed="false">
      <c r="A235" s="25" t="str">
        <f aca="false">IF(会计科目表!$B74="","",参数设置!$A$12)</f>
        <v/>
      </c>
      <c r="B235" s="25" t="str">
        <f aca="false">IF(会计科目表!$B74="","",会计科目表!$A74)</f>
        <v/>
      </c>
      <c r="C235" s="10" t="str">
        <f aca="false">IF(会计科目表!$B74="","",会计科目表!$B74)</f>
        <v/>
      </c>
      <c r="D235" s="25" t="str">
        <f aca="false">IF($C235="","",会计科目表!$C74)</f>
        <v/>
      </c>
      <c r="E235" s="25" t="str">
        <f aca="false">IF($C235="","",会计科目表!$D74)</f>
        <v/>
      </c>
      <c r="F235" s="10" t="str">
        <f aca="false">IF($C235="","",会计科目表!$F74)</f>
        <v/>
      </c>
      <c r="G235" s="40" t="str">
        <f aca="false">IF($C235="","",IF($E235="借",SUMIFS(期初余额!$C$6:$C$185,期初余额!$A$6:$A$185,$A235,期初余额!$B$6:$B$185,$C235)-SUMIFS(期初余额!$D$6:$D$185,期初余额!$A$6:$A$185,$A235,期初余额!$B$6:$B$185,$C235),SUMIFS(期初余额!$D$6:$D$185,期初余额!$A$6:$A$185,$A235,期初余额!$B$6:$B$185,$C235)-SUMIFS(期初余额!$C$6:$C$185,期初余额!$A$6:$A$185,$A235,期初余额!$B$6:$B$185,$C235)))</f>
        <v/>
      </c>
      <c r="H235" s="40" t="str">
        <f aca="false">IF($C235="","",$G235+IF($E235="借",SUMIFS(记账分录!$I$6:$I$5505,记账分录!$F$6:$F$5505,$A235,记账分录!$H$6:$H$5505,$C235,记账分录!$E$6:$E$5505,"&lt;"&amp;$A$4)-SUMIFS(记账分录!$J$6:$J$5505,记账分录!$F$6:$F$5505,$A235,记账分录!$H$6:$H$5505,$C235,记账分录!$E$6:$E$5505,"&lt;"&amp;$A$4),SUMIFS(记账分录!$J$6:$J$5505,记账分录!$F$6:$F$5505,$A235,记账分录!$H$6:$H$5505,$C235,记账分录!$E$6:$E$5505,"&lt;"&amp;$A$4)-SUMIFS(记账分录!$I$6:$I$5505,记账分录!$F$6:$F$5505,$A235,记账分录!$H$6:$H$5505,$C235,记账分录!$E$6:$E$5505,"&lt;"&amp;$A$4)))</f>
        <v/>
      </c>
      <c r="I235" s="40" t="str">
        <f aca="false">IF($C235="","",SUMIFS(记账分录!$I$6:$I$5505,记账分录!$F$6:$F$5505,$A235,记账分录!$H$6:$H$5505,$C235,记账分录!$E$6:$E$5505,"&gt;="&amp;$A$4,记账分录!$E$6:$E$5505,"&lt;="&amp;$B$4))</f>
        <v/>
      </c>
      <c r="J235" s="40" t="str">
        <f aca="false">IF($C235="","",SUMIFS(记账分录!$J$6:$J$5505,记账分录!$F$6:$F$5505,$A235,记账分录!$H$6:$H$5505,$C235,记账分录!$E$6:$E$5505,"&gt;="&amp;$A$4,记账分录!$E$6:$E$5505,"&lt;="&amp;$B$4))</f>
        <v/>
      </c>
      <c r="K235" s="42" t="str">
        <f aca="false">IF($C235="","",IF($E235="借",$I235-$J235,$J235-$I235))</f>
        <v/>
      </c>
      <c r="L235" s="42" t="str">
        <f aca="false">IF($C235="","",ROUND($H235+$K235,2))</f>
        <v/>
      </c>
      <c r="M235" s="40" t="str">
        <f aca="false">IF($C235="","",SUMIFS(记账分录!$I$6:$I$5505,记账分录!$F$6:$F$5505,$A235,记账分录!$H$6:$H$5505,$C235,记账分录!$E$6:$E$5505,"&lt;="&amp;$B$4))</f>
        <v/>
      </c>
      <c r="N235" s="40" t="str">
        <f aca="false">IF($C235="","",SUMIFS(记账分录!$J$6:$J$5505,记账分录!$F$6:$F$5505,$A235,记账分录!$H$6:$H$5505,$C235,记账分录!$E$6:$E$5505,"&lt;="&amp;$B$4))</f>
        <v/>
      </c>
      <c r="O235" s="42" t="str">
        <f aca="false">IF($C235="","",IF($E235="借",$M235-$N235,$N235-$M235))</f>
        <v/>
      </c>
      <c r="P235" s="64" t="str">
        <f aca="false">IF($C235="","",IF(OR(ROUND($G235,2)&lt;&gt;0,ROUND($M235,2)&lt;&gt;0,ROUND($N235,2)&lt;&gt;0),"有",""))</f>
        <v/>
      </c>
    </row>
    <row r="236" customFormat="false" ht="15" hidden="true" customHeight="false" outlineLevel="0" collapsed="false">
      <c r="A236" s="25" t="str">
        <f aca="false">IF(会计科目表!$B75="","",参数设置!$A$12)</f>
        <v/>
      </c>
      <c r="B236" s="25" t="str">
        <f aca="false">IF(会计科目表!$B75="","",会计科目表!$A75)</f>
        <v/>
      </c>
      <c r="C236" s="10" t="str">
        <f aca="false">IF(会计科目表!$B75="","",会计科目表!$B75)</f>
        <v/>
      </c>
      <c r="D236" s="25" t="str">
        <f aca="false">IF($C236="","",会计科目表!$C75)</f>
        <v/>
      </c>
      <c r="E236" s="25" t="str">
        <f aca="false">IF($C236="","",会计科目表!$D75)</f>
        <v/>
      </c>
      <c r="F236" s="10" t="str">
        <f aca="false">IF($C236="","",会计科目表!$F75)</f>
        <v/>
      </c>
      <c r="G236" s="40" t="str">
        <f aca="false">IF($C236="","",IF($E236="借",SUMIFS(期初余额!$C$6:$C$185,期初余额!$A$6:$A$185,$A236,期初余额!$B$6:$B$185,$C236)-SUMIFS(期初余额!$D$6:$D$185,期初余额!$A$6:$A$185,$A236,期初余额!$B$6:$B$185,$C236),SUMIFS(期初余额!$D$6:$D$185,期初余额!$A$6:$A$185,$A236,期初余额!$B$6:$B$185,$C236)-SUMIFS(期初余额!$C$6:$C$185,期初余额!$A$6:$A$185,$A236,期初余额!$B$6:$B$185,$C236)))</f>
        <v/>
      </c>
      <c r="H236" s="40" t="str">
        <f aca="false">IF($C236="","",$G236+IF($E236="借",SUMIFS(记账分录!$I$6:$I$5505,记账分录!$F$6:$F$5505,$A236,记账分录!$H$6:$H$5505,$C236,记账分录!$E$6:$E$5505,"&lt;"&amp;$A$4)-SUMIFS(记账分录!$J$6:$J$5505,记账分录!$F$6:$F$5505,$A236,记账分录!$H$6:$H$5505,$C236,记账分录!$E$6:$E$5505,"&lt;"&amp;$A$4),SUMIFS(记账分录!$J$6:$J$5505,记账分录!$F$6:$F$5505,$A236,记账分录!$H$6:$H$5505,$C236,记账分录!$E$6:$E$5505,"&lt;"&amp;$A$4)-SUMIFS(记账分录!$I$6:$I$5505,记账分录!$F$6:$F$5505,$A236,记账分录!$H$6:$H$5505,$C236,记账分录!$E$6:$E$5505,"&lt;"&amp;$A$4)))</f>
        <v/>
      </c>
      <c r="I236" s="40" t="str">
        <f aca="false">IF($C236="","",SUMIFS(记账分录!$I$6:$I$5505,记账分录!$F$6:$F$5505,$A236,记账分录!$H$6:$H$5505,$C236,记账分录!$E$6:$E$5505,"&gt;="&amp;$A$4,记账分录!$E$6:$E$5505,"&lt;="&amp;$B$4))</f>
        <v/>
      </c>
      <c r="J236" s="40" t="str">
        <f aca="false">IF($C236="","",SUMIFS(记账分录!$J$6:$J$5505,记账分录!$F$6:$F$5505,$A236,记账分录!$H$6:$H$5505,$C236,记账分录!$E$6:$E$5505,"&gt;="&amp;$A$4,记账分录!$E$6:$E$5505,"&lt;="&amp;$B$4))</f>
        <v/>
      </c>
      <c r="K236" s="42" t="str">
        <f aca="false">IF($C236="","",IF($E236="借",$I236-$J236,$J236-$I236))</f>
        <v/>
      </c>
      <c r="L236" s="42" t="str">
        <f aca="false">IF($C236="","",ROUND($H236+$K236,2))</f>
        <v/>
      </c>
      <c r="M236" s="40" t="str">
        <f aca="false">IF($C236="","",SUMIFS(记账分录!$I$6:$I$5505,记账分录!$F$6:$F$5505,$A236,记账分录!$H$6:$H$5505,$C236,记账分录!$E$6:$E$5505,"&lt;="&amp;$B$4))</f>
        <v/>
      </c>
      <c r="N236" s="40" t="str">
        <f aca="false">IF($C236="","",SUMIFS(记账分录!$J$6:$J$5505,记账分录!$F$6:$F$5505,$A236,记账分录!$H$6:$H$5505,$C236,记账分录!$E$6:$E$5505,"&lt;="&amp;$B$4))</f>
        <v/>
      </c>
      <c r="O236" s="42" t="str">
        <f aca="false">IF($C236="","",IF($E236="借",$M236-$N236,$N236-$M236))</f>
        <v/>
      </c>
      <c r="P236" s="64" t="str">
        <f aca="false">IF($C236="","",IF(OR(ROUND($G236,2)&lt;&gt;0,ROUND($M236,2)&lt;&gt;0,ROUND($N236,2)&lt;&gt;0),"有",""))</f>
        <v/>
      </c>
    </row>
    <row r="237" customFormat="false" ht="15" hidden="true" customHeight="false" outlineLevel="0" collapsed="false">
      <c r="A237" s="25" t="str">
        <f aca="false">IF(会计科目表!$B76="","",参数设置!$A$12)</f>
        <v/>
      </c>
      <c r="B237" s="25" t="str">
        <f aca="false">IF(会计科目表!$B76="","",会计科目表!$A76)</f>
        <v/>
      </c>
      <c r="C237" s="10" t="str">
        <f aca="false">IF(会计科目表!$B76="","",会计科目表!$B76)</f>
        <v/>
      </c>
      <c r="D237" s="25" t="str">
        <f aca="false">IF($C237="","",会计科目表!$C76)</f>
        <v/>
      </c>
      <c r="E237" s="25" t="str">
        <f aca="false">IF($C237="","",会计科目表!$D76)</f>
        <v/>
      </c>
      <c r="F237" s="10" t="str">
        <f aca="false">IF($C237="","",会计科目表!$F76)</f>
        <v/>
      </c>
      <c r="G237" s="40" t="str">
        <f aca="false">IF($C237="","",IF($E237="借",SUMIFS(期初余额!$C$6:$C$185,期初余额!$A$6:$A$185,$A237,期初余额!$B$6:$B$185,$C237)-SUMIFS(期初余额!$D$6:$D$185,期初余额!$A$6:$A$185,$A237,期初余额!$B$6:$B$185,$C237),SUMIFS(期初余额!$D$6:$D$185,期初余额!$A$6:$A$185,$A237,期初余额!$B$6:$B$185,$C237)-SUMIFS(期初余额!$C$6:$C$185,期初余额!$A$6:$A$185,$A237,期初余额!$B$6:$B$185,$C237)))</f>
        <v/>
      </c>
      <c r="H237" s="40" t="str">
        <f aca="false">IF($C237="","",$G237+IF($E237="借",SUMIFS(记账分录!$I$6:$I$5505,记账分录!$F$6:$F$5505,$A237,记账分录!$H$6:$H$5505,$C237,记账分录!$E$6:$E$5505,"&lt;"&amp;$A$4)-SUMIFS(记账分录!$J$6:$J$5505,记账分录!$F$6:$F$5505,$A237,记账分录!$H$6:$H$5505,$C237,记账分录!$E$6:$E$5505,"&lt;"&amp;$A$4),SUMIFS(记账分录!$J$6:$J$5505,记账分录!$F$6:$F$5505,$A237,记账分录!$H$6:$H$5505,$C237,记账分录!$E$6:$E$5505,"&lt;"&amp;$A$4)-SUMIFS(记账分录!$I$6:$I$5505,记账分录!$F$6:$F$5505,$A237,记账分录!$H$6:$H$5505,$C237,记账分录!$E$6:$E$5505,"&lt;"&amp;$A$4)))</f>
        <v/>
      </c>
      <c r="I237" s="40" t="str">
        <f aca="false">IF($C237="","",SUMIFS(记账分录!$I$6:$I$5505,记账分录!$F$6:$F$5505,$A237,记账分录!$H$6:$H$5505,$C237,记账分录!$E$6:$E$5505,"&gt;="&amp;$A$4,记账分录!$E$6:$E$5505,"&lt;="&amp;$B$4))</f>
        <v/>
      </c>
      <c r="J237" s="40" t="str">
        <f aca="false">IF($C237="","",SUMIFS(记账分录!$J$6:$J$5505,记账分录!$F$6:$F$5505,$A237,记账分录!$H$6:$H$5505,$C237,记账分录!$E$6:$E$5505,"&gt;="&amp;$A$4,记账分录!$E$6:$E$5505,"&lt;="&amp;$B$4))</f>
        <v/>
      </c>
      <c r="K237" s="42" t="str">
        <f aca="false">IF($C237="","",IF($E237="借",$I237-$J237,$J237-$I237))</f>
        <v/>
      </c>
      <c r="L237" s="42" t="str">
        <f aca="false">IF($C237="","",ROUND($H237+$K237,2))</f>
        <v/>
      </c>
      <c r="M237" s="40" t="str">
        <f aca="false">IF($C237="","",SUMIFS(记账分录!$I$6:$I$5505,记账分录!$F$6:$F$5505,$A237,记账分录!$H$6:$H$5505,$C237,记账分录!$E$6:$E$5505,"&lt;="&amp;$B$4))</f>
        <v/>
      </c>
      <c r="N237" s="40" t="str">
        <f aca="false">IF($C237="","",SUMIFS(记账分录!$J$6:$J$5505,记账分录!$F$6:$F$5505,$A237,记账分录!$H$6:$H$5505,$C237,记账分录!$E$6:$E$5505,"&lt;="&amp;$B$4))</f>
        <v/>
      </c>
      <c r="O237" s="42" t="str">
        <f aca="false">IF($C237="","",IF($E237="借",$M237-$N237,$N237-$M237))</f>
        <v/>
      </c>
      <c r="P237" s="64" t="str">
        <f aca="false">IF($C237="","",IF(OR(ROUND($G237,2)&lt;&gt;0,ROUND($M237,2)&lt;&gt;0,ROUND($N237,2)&lt;&gt;0),"有",""))</f>
        <v/>
      </c>
    </row>
    <row r="238" customFormat="false" ht="15" hidden="true" customHeight="false" outlineLevel="0" collapsed="false">
      <c r="A238" s="25" t="str">
        <f aca="false">IF(会计科目表!$B77="","",参数设置!$A$12)</f>
        <v/>
      </c>
      <c r="B238" s="25" t="str">
        <f aca="false">IF(会计科目表!$B77="","",会计科目表!$A77)</f>
        <v/>
      </c>
      <c r="C238" s="10" t="str">
        <f aca="false">IF(会计科目表!$B77="","",会计科目表!$B77)</f>
        <v/>
      </c>
      <c r="D238" s="25" t="str">
        <f aca="false">IF($C238="","",会计科目表!$C77)</f>
        <v/>
      </c>
      <c r="E238" s="25" t="str">
        <f aca="false">IF($C238="","",会计科目表!$D77)</f>
        <v/>
      </c>
      <c r="F238" s="10" t="str">
        <f aca="false">IF($C238="","",会计科目表!$F77)</f>
        <v/>
      </c>
      <c r="G238" s="40" t="str">
        <f aca="false">IF($C238="","",IF($E238="借",SUMIFS(期初余额!$C$6:$C$185,期初余额!$A$6:$A$185,$A238,期初余额!$B$6:$B$185,$C238)-SUMIFS(期初余额!$D$6:$D$185,期初余额!$A$6:$A$185,$A238,期初余额!$B$6:$B$185,$C238),SUMIFS(期初余额!$D$6:$D$185,期初余额!$A$6:$A$185,$A238,期初余额!$B$6:$B$185,$C238)-SUMIFS(期初余额!$C$6:$C$185,期初余额!$A$6:$A$185,$A238,期初余额!$B$6:$B$185,$C238)))</f>
        <v/>
      </c>
      <c r="H238" s="40" t="str">
        <f aca="false">IF($C238="","",$G238+IF($E238="借",SUMIFS(记账分录!$I$6:$I$5505,记账分录!$F$6:$F$5505,$A238,记账分录!$H$6:$H$5505,$C238,记账分录!$E$6:$E$5505,"&lt;"&amp;$A$4)-SUMIFS(记账分录!$J$6:$J$5505,记账分录!$F$6:$F$5505,$A238,记账分录!$H$6:$H$5505,$C238,记账分录!$E$6:$E$5505,"&lt;"&amp;$A$4),SUMIFS(记账分录!$J$6:$J$5505,记账分录!$F$6:$F$5505,$A238,记账分录!$H$6:$H$5505,$C238,记账分录!$E$6:$E$5505,"&lt;"&amp;$A$4)-SUMIFS(记账分录!$I$6:$I$5505,记账分录!$F$6:$F$5505,$A238,记账分录!$H$6:$H$5505,$C238,记账分录!$E$6:$E$5505,"&lt;"&amp;$A$4)))</f>
        <v/>
      </c>
      <c r="I238" s="40" t="str">
        <f aca="false">IF($C238="","",SUMIFS(记账分录!$I$6:$I$5505,记账分录!$F$6:$F$5505,$A238,记账分录!$H$6:$H$5505,$C238,记账分录!$E$6:$E$5505,"&gt;="&amp;$A$4,记账分录!$E$6:$E$5505,"&lt;="&amp;$B$4))</f>
        <v/>
      </c>
      <c r="J238" s="40" t="str">
        <f aca="false">IF($C238="","",SUMIFS(记账分录!$J$6:$J$5505,记账分录!$F$6:$F$5505,$A238,记账分录!$H$6:$H$5505,$C238,记账分录!$E$6:$E$5505,"&gt;="&amp;$A$4,记账分录!$E$6:$E$5505,"&lt;="&amp;$B$4))</f>
        <v/>
      </c>
      <c r="K238" s="42" t="str">
        <f aca="false">IF($C238="","",IF($E238="借",$I238-$J238,$J238-$I238))</f>
        <v/>
      </c>
      <c r="L238" s="42" t="str">
        <f aca="false">IF($C238="","",ROUND($H238+$K238,2))</f>
        <v/>
      </c>
      <c r="M238" s="40" t="str">
        <f aca="false">IF($C238="","",SUMIFS(记账分录!$I$6:$I$5505,记账分录!$F$6:$F$5505,$A238,记账分录!$H$6:$H$5505,$C238,记账分录!$E$6:$E$5505,"&lt;="&amp;$B$4))</f>
        <v/>
      </c>
      <c r="N238" s="40" t="str">
        <f aca="false">IF($C238="","",SUMIFS(记账分录!$J$6:$J$5505,记账分录!$F$6:$F$5505,$A238,记账分录!$H$6:$H$5505,$C238,记账分录!$E$6:$E$5505,"&lt;="&amp;$B$4))</f>
        <v/>
      </c>
      <c r="O238" s="42" t="str">
        <f aca="false">IF($C238="","",IF($E238="借",$M238-$N238,$N238-$M238))</f>
        <v/>
      </c>
      <c r="P238" s="64" t="str">
        <f aca="false">IF($C238="","",IF(OR(ROUND($G238,2)&lt;&gt;0,ROUND($M238,2)&lt;&gt;0,ROUND($N238,2)&lt;&gt;0),"有",""))</f>
        <v/>
      </c>
    </row>
    <row r="239" customFormat="false" ht="15" hidden="true" customHeight="false" outlineLevel="0" collapsed="false">
      <c r="A239" s="25" t="str">
        <f aca="false">IF(会计科目表!$B78="","",参数设置!$A$12)</f>
        <v/>
      </c>
      <c r="B239" s="25" t="str">
        <f aca="false">IF(会计科目表!$B78="","",会计科目表!$A78)</f>
        <v/>
      </c>
      <c r="C239" s="10" t="str">
        <f aca="false">IF(会计科目表!$B78="","",会计科目表!$B78)</f>
        <v/>
      </c>
      <c r="D239" s="25" t="str">
        <f aca="false">IF($C239="","",会计科目表!$C78)</f>
        <v/>
      </c>
      <c r="E239" s="25" t="str">
        <f aca="false">IF($C239="","",会计科目表!$D78)</f>
        <v/>
      </c>
      <c r="F239" s="10" t="str">
        <f aca="false">IF($C239="","",会计科目表!$F78)</f>
        <v/>
      </c>
      <c r="G239" s="40" t="str">
        <f aca="false">IF($C239="","",IF($E239="借",SUMIFS(期初余额!$C$6:$C$185,期初余额!$A$6:$A$185,$A239,期初余额!$B$6:$B$185,$C239)-SUMIFS(期初余额!$D$6:$D$185,期初余额!$A$6:$A$185,$A239,期初余额!$B$6:$B$185,$C239),SUMIFS(期初余额!$D$6:$D$185,期初余额!$A$6:$A$185,$A239,期初余额!$B$6:$B$185,$C239)-SUMIFS(期初余额!$C$6:$C$185,期初余额!$A$6:$A$185,$A239,期初余额!$B$6:$B$185,$C239)))</f>
        <v/>
      </c>
      <c r="H239" s="40" t="str">
        <f aca="false">IF($C239="","",$G239+IF($E239="借",SUMIFS(记账分录!$I$6:$I$5505,记账分录!$F$6:$F$5505,$A239,记账分录!$H$6:$H$5505,$C239,记账分录!$E$6:$E$5505,"&lt;"&amp;$A$4)-SUMIFS(记账分录!$J$6:$J$5505,记账分录!$F$6:$F$5505,$A239,记账分录!$H$6:$H$5505,$C239,记账分录!$E$6:$E$5505,"&lt;"&amp;$A$4),SUMIFS(记账分录!$J$6:$J$5505,记账分录!$F$6:$F$5505,$A239,记账分录!$H$6:$H$5505,$C239,记账分录!$E$6:$E$5505,"&lt;"&amp;$A$4)-SUMIFS(记账分录!$I$6:$I$5505,记账分录!$F$6:$F$5505,$A239,记账分录!$H$6:$H$5505,$C239,记账分录!$E$6:$E$5505,"&lt;"&amp;$A$4)))</f>
        <v/>
      </c>
      <c r="I239" s="40" t="str">
        <f aca="false">IF($C239="","",SUMIFS(记账分录!$I$6:$I$5505,记账分录!$F$6:$F$5505,$A239,记账分录!$H$6:$H$5505,$C239,记账分录!$E$6:$E$5505,"&gt;="&amp;$A$4,记账分录!$E$6:$E$5505,"&lt;="&amp;$B$4))</f>
        <v/>
      </c>
      <c r="J239" s="40" t="str">
        <f aca="false">IF($C239="","",SUMIFS(记账分录!$J$6:$J$5505,记账分录!$F$6:$F$5505,$A239,记账分录!$H$6:$H$5505,$C239,记账分录!$E$6:$E$5505,"&gt;="&amp;$A$4,记账分录!$E$6:$E$5505,"&lt;="&amp;$B$4))</f>
        <v/>
      </c>
      <c r="K239" s="42" t="str">
        <f aca="false">IF($C239="","",IF($E239="借",$I239-$J239,$J239-$I239))</f>
        <v/>
      </c>
      <c r="L239" s="42" t="str">
        <f aca="false">IF($C239="","",ROUND($H239+$K239,2))</f>
        <v/>
      </c>
      <c r="M239" s="40" t="str">
        <f aca="false">IF($C239="","",SUMIFS(记账分录!$I$6:$I$5505,记账分录!$F$6:$F$5505,$A239,记账分录!$H$6:$H$5505,$C239,记账分录!$E$6:$E$5505,"&lt;="&amp;$B$4))</f>
        <v/>
      </c>
      <c r="N239" s="40" t="str">
        <f aca="false">IF($C239="","",SUMIFS(记账分录!$J$6:$J$5505,记账分录!$F$6:$F$5505,$A239,记账分录!$H$6:$H$5505,$C239,记账分录!$E$6:$E$5505,"&lt;="&amp;$B$4))</f>
        <v/>
      </c>
      <c r="O239" s="42" t="str">
        <f aca="false">IF($C239="","",IF($E239="借",$M239-$N239,$N239-$M239))</f>
        <v/>
      </c>
      <c r="P239" s="64" t="str">
        <f aca="false">IF($C239="","",IF(OR(ROUND($G239,2)&lt;&gt;0,ROUND($M239,2)&lt;&gt;0,ROUND($N239,2)&lt;&gt;0),"有",""))</f>
        <v/>
      </c>
    </row>
    <row r="240" customFormat="false" ht="15" hidden="true" customHeight="false" outlineLevel="0" collapsed="false">
      <c r="A240" s="25" t="str">
        <f aca="false">IF(会计科目表!$B79="","",参数设置!$A$12)</f>
        <v/>
      </c>
      <c r="B240" s="25" t="str">
        <f aca="false">IF(会计科目表!$B79="","",会计科目表!$A79)</f>
        <v/>
      </c>
      <c r="C240" s="10" t="str">
        <f aca="false">IF(会计科目表!$B79="","",会计科目表!$B79)</f>
        <v/>
      </c>
      <c r="D240" s="25" t="str">
        <f aca="false">IF($C240="","",会计科目表!$C79)</f>
        <v/>
      </c>
      <c r="E240" s="25" t="str">
        <f aca="false">IF($C240="","",会计科目表!$D79)</f>
        <v/>
      </c>
      <c r="F240" s="10" t="str">
        <f aca="false">IF($C240="","",会计科目表!$F79)</f>
        <v/>
      </c>
      <c r="G240" s="40" t="str">
        <f aca="false">IF($C240="","",IF($E240="借",SUMIFS(期初余额!$C$6:$C$185,期初余额!$A$6:$A$185,$A240,期初余额!$B$6:$B$185,$C240)-SUMIFS(期初余额!$D$6:$D$185,期初余额!$A$6:$A$185,$A240,期初余额!$B$6:$B$185,$C240),SUMIFS(期初余额!$D$6:$D$185,期初余额!$A$6:$A$185,$A240,期初余额!$B$6:$B$185,$C240)-SUMIFS(期初余额!$C$6:$C$185,期初余额!$A$6:$A$185,$A240,期初余额!$B$6:$B$185,$C240)))</f>
        <v/>
      </c>
      <c r="H240" s="40" t="str">
        <f aca="false">IF($C240="","",$G240+IF($E240="借",SUMIFS(记账分录!$I$6:$I$5505,记账分录!$F$6:$F$5505,$A240,记账分录!$H$6:$H$5505,$C240,记账分录!$E$6:$E$5505,"&lt;"&amp;$A$4)-SUMIFS(记账分录!$J$6:$J$5505,记账分录!$F$6:$F$5505,$A240,记账分录!$H$6:$H$5505,$C240,记账分录!$E$6:$E$5505,"&lt;"&amp;$A$4),SUMIFS(记账分录!$J$6:$J$5505,记账分录!$F$6:$F$5505,$A240,记账分录!$H$6:$H$5505,$C240,记账分录!$E$6:$E$5505,"&lt;"&amp;$A$4)-SUMIFS(记账分录!$I$6:$I$5505,记账分录!$F$6:$F$5505,$A240,记账分录!$H$6:$H$5505,$C240,记账分录!$E$6:$E$5505,"&lt;"&amp;$A$4)))</f>
        <v/>
      </c>
      <c r="I240" s="40" t="str">
        <f aca="false">IF($C240="","",SUMIFS(记账分录!$I$6:$I$5505,记账分录!$F$6:$F$5505,$A240,记账分录!$H$6:$H$5505,$C240,记账分录!$E$6:$E$5505,"&gt;="&amp;$A$4,记账分录!$E$6:$E$5505,"&lt;="&amp;$B$4))</f>
        <v/>
      </c>
      <c r="J240" s="40" t="str">
        <f aca="false">IF($C240="","",SUMIFS(记账分录!$J$6:$J$5505,记账分录!$F$6:$F$5505,$A240,记账分录!$H$6:$H$5505,$C240,记账分录!$E$6:$E$5505,"&gt;="&amp;$A$4,记账分录!$E$6:$E$5505,"&lt;="&amp;$B$4))</f>
        <v/>
      </c>
      <c r="K240" s="42" t="str">
        <f aca="false">IF($C240="","",IF($E240="借",$I240-$J240,$J240-$I240))</f>
        <v/>
      </c>
      <c r="L240" s="42" t="str">
        <f aca="false">IF($C240="","",ROUND($H240+$K240,2))</f>
        <v/>
      </c>
      <c r="M240" s="40" t="str">
        <f aca="false">IF($C240="","",SUMIFS(记账分录!$I$6:$I$5505,记账分录!$F$6:$F$5505,$A240,记账分录!$H$6:$H$5505,$C240,记账分录!$E$6:$E$5505,"&lt;="&amp;$B$4))</f>
        <v/>
      </c>
      <c r="N240" s="40" t="str">
        <f aca="false">IF($C240="","",SUMIFS(记账分录!$J$6:$J$5505,记账分录!$F$6:$F$5505,$A240,记账分录!$H$6:$H$5505,$C240,记账分录!$E$6:$E$5505,"&lt;="&amp;$B$4))</f>
        <v/>
      </c>
      <c r="O240" s="42" t="str">
        <f aca="false">IF($C240="","",IF($E240="借",$M240-$N240,$N240-$M240))</f>
        <v/>
      </c>
      <c r="P240" s="64" t="str">
        <f aca="false">IF($C240="","",IF(OR(ROUND($G240,2)&lt;&gt;0,ROUND($M240,2)&lt;&gt;0,ROUND($N240,2)&lt;&gt;0),"有",""))</f>
        <v/>
      </c>
    </row>
    <row r="241" customFormat="false" ht="15" hidden="true" customHeight="false" outlineLevel="0" collapsed="false">
      <c r="A241" s="25" t="str">
        <f aca="false">IF(会计科目表!$B80="","",参数设置!$A$12)</f>
        <v/>
      </c>
      <c r="B241" s="25" t="str">
        <f aca="false">IF(会计科目表!$B80="","",会计科目表!$A80)</f>
        <v/>
      </c>
      <c r="C241" s="10" t="str">
        <f aca="false">IF(会计科目表!$B80="","",会计科目表!$B80)</f>
        <v/>
      </c>
      <c r="D241" s="25" t="str">
        <f aca="false">IF($C241="","",会计科目表!$C80)</f>
        <v/>
      </c>
      <c r="E241" s="25" t="str">
        <f aca="false">IF($C241="","",会计科目表!$D80)</f>
        <v/>
      </c>
      <c r="F241" s="10" t="str">
        <f aca="false">IF($C241="","",会计科目表!$F80)</f>
        <v/>
      </c>
      <c r="G241" s="40" t="str">
        <f aca="false">IF($C241="","",IF($E241="借",SUMIFS(期初余额!$C$6:$C$185,期初余额!$A$6:$A$185,$A241,期初余额!$B$6:$B$185,$C241)-SUMIFS(期初余额!$D$6:$D$185,期初余额!$A$6:$A$185,$A241,期初余额!$B$6:$B$185,$C241),SUMIFS(期初余额!$D$6:$D$185,期初余额!$A$6:$A$185,$A241,期初余额!$B$6:$B$185,$C241)-SUMIFS(期初余额!$C$6:$C$185,期初余额!$A$6:$A$185,$A241,期初余额!$B$6:$B$185,$C241)))</f>
        <v/>
      </c>
      <c r="H241" s="40" t="str">
        <f aca="false">IF($C241="","",$G241+IF($E241="借",SUMIFS(记账分录!$I$6:$I$5505,记账分录!$F$6:$F$5505,$A241,记账分录!$H$6:$H$5505,$C241,记账分录!$E$6:$E$5505,"&lt;"&amp;$A$4)-SUMIFS(记账分录!$J$6:$J$5505,记账分录!$F$6:$F$5505,$A241,记账分录!$H$6:$H$5505,$C241,记账分录!$E$6:$E$5505,"&lt;"&amp;$A$4),SUMIFS(记账分录!$J$6:$J$5505,记账分录!$F$6:$F$5505,$A241,记账分录!$H$6:$H$5505,$C241,记账分录!$E$6:$E$5505,"&lt;"&amp;$A$4)-SUMIFS(记账分录!$I$6:$I$5505,记账分录!$F$6:$F$5505,$A241,记账分录!$H$6:$H$5505,$C241,记账分录!$E$6:$E$5505,"&lt;"&amp;$A$4)))</f>
        <v/>
      </c>
      <c r="I241" s="40" t="str">
        <f aca="false">IF($C241="","",SUMIFS(记账分录!$I$6:$I$5505,记账分录!$F$6:$F$5505,$A241,记账分录!$H$6:$H$5505,$C241,记账分录!$E$6:$E$5505,"&gt;="&amp;$A$4,记账分录!$E$6:$E$5505,"&lt;="&amp;$B$4))</f>
        <v/>
      </c>
      <c r="J241" s="40" t="str">
        <f aca="false">IF($C241="","",SUMIFS(记账分录!$J$6:$J$5505,记账分录!$F$6:$F$5505,$A241,记账分录!$H$6:$H$5505,$C241,记账分录!$E$6:$E$5505,"&gt;="&amp;$A$4,记账分录!$E$6:$E$5505,"&lt;="&amp;$B$4))</f>
        <v/>
      </c>
      <c r="K241" s="42" t="str">
        <f aca="false">IF($C241="","",IF($E241="借",$I241-$J241,$J241-$I241))</f>
        <v/>
      </c>
      <c r="L241" s="42" t="str">
        <f aca="false">IF($C241="","",ROUND($H241+$K241,2))</f>
        <v/>
      </c>
      <c r="M241" s="40" t="str">
        <f aca="false">IF($C241="","",SUMIFS(记账分录!$I$6:$I$5505,记账分录!$F$6:$F$5505,$A241,记账分录!$H$6:$H$5505,$C241,记账分录!$E$6:$E$5505,"&lt;="&amp;$B$4))</f>
        <v/>
      </c>
      <c r="N241" s="40" t="str">
        <f aca="false">IF($C241="","",SUMIFS(记账分录!$J$6:$J$5505,记账分录!$F$6:$F$5505,$A241,记账分录!$H$6:$H$5505,$C241,记账分录!$E$6:$E$5505,"&lt;="&amp;$B$4))</f>
        <v/>
      </c>
      <c r="O241" s="42" t="str">
        <f aca="false">IF($C241="","",IF($E241="借",$M241-$N241,$N241-$M241))</f>
        <v/>
      </c>
      <c r="P241" s="64" t="str">
        <f aca="false">IF($C241="","",IF(OR(ROUND($G241,2)&lt;&gt;0,ROUND($M241,2)&lt;&gt;0,ROUND($N241,2)&lt;&gt;0),"有",""))</f>
        <v/>
      </c>
    </row>
    <row r="242" customFormat="false" ht="15" hidden="true" customHeight="false" outlineLevel="0" collapsed="false">
      <c r="A242" s="25" t="str">
        <f aca="false">IF(会计科目表!$B81="","",参数设置!$A$12)</f>
        <v/>
      </c>
      <c r="B242" s="25" t="str">
        <f aca="false">IF(会计科目表!$B81="","",会计科目表!$A81)</f>
        <v/>
      </c>
      <c r="C242" s="10" t="str">
        <f aca="false">IF(会计科目表!$B81="","",会计科目表!$B81)</f>
        <v/>
      </c>
      <c r="D242" s="25" t="str">
        <f aca="false">IF($C242="","",会计科目表!$C81)</f>
        <v/>
      </c>
      <c r="E242" s="25" t="str">
        <f aca="false">IF($C242="","",会计科目表!$D81)</f>
        <v/>
      </c>
      <c r="F242" s="10" t="str">
        <f aca="false">IF($C242="","",会计科目表!$F81)</f>
        <v/>
      </c>
      <c r="G242" s="40" t="str">
        <f aca="false">IF($C242="","",IF($E242="借",SUMIFS(期初余额!$C$6:$C$185,期初余额!$A$6:$A$185,$A242,期初余额!$B$6:$B$185,$C242)-SUMIFS(期初余额!$D$6:$D$185,期初余额!$A$6:$A$185,$A242,期初余额!$B$6:$B$185,$C242),SUMIFS(期初余额!$D$6:$D$185,期初余额!$A$6:$A$185,$A242,期初余额!$B$6:$B$185,$C242)-SUMIFS(期初余额!$C$6:$C$185,期初余额!$A$6:$A$185,$A242,期初余额!$B$6:$B$185,$C242)))</f>
        <v/>
      </c>
      <c r="H242" s="40" t="str">
        <f aca="false">IF($C242="","",$G242+IF($E242="借",SUMIFS(记账分录!$I$6:$I$5505,记账分录!$F$6:$F$5505,$A242,记账分录!$H$6:$H$5505,$C242,记账分录!$E$6:$E$5505,"&lt;"&amp;$A$4)-SUMIFS(记账分录!$J$6:$J$5505,记账分录!$F$6:$F$5505,$A242,记账分录!$H$6:$H$5505,$C242,记账分录!$E$6:$E$5505,"&lt;"&amp;$A$4),SUMIFS(记账分录!$J$6:$J$5505,记账分录!$F$6:$F$5505,$A242,记账分录!$H$6:$H$5505,$C242,记账分录!$E$6:$E$5505,"&lt;"&amp;$A$4)-SUMIFS(记账分录!$I$6:$I$5505,记账分录!$F$6:$F$5505,$A242,记账分录!$H$6:$H$5505,$C242,记账分录!$E$6:$E$5505,"&lt;"&amp;$A$4)))</f>
        <v/>
      </c>
      <c r="I242" s="40" t="str">
        <f aca="false">IF($C242="","",SUMIFS(记账分录!$I$6:$I$5505,记账分录!$F$6:$F$5505,$A242,记账分录!$H$6:$H$5505,$C242,记账分录!$E$6:$E$5505,"&gt;="&amp;$A$4,记账分录!$E$6:$E$5505,"&lt;="&amp;$B$4))</f>
        <v/>
      </c>
      <c r="J242" s="40" t="str">
        <f aca="false">IF($C242="","",SUMIFS(记账分录!$J$6:$J$5505,记账分录!$F$6:$F$5505,$A242,记账分录!$H$6:$H$5505,$C242,记账分录!$E$6:$E$5505,"&gt;="&amp;$A$4,记账分录!$E$6:$E$5505,"&lt;="&amp;$B$4))</f>
        <v/>
      </c>
      <c r="K242" s="42" t="str">
        <f aca="false">IF($C242="","",IF($E242="借",$I242-$J242,$J242-$I242))</f>
        <v/>
      </c>
      <c r="L242" s="42" t="str">
        <f aca="false">IF($C242="","",ROUND($H242+$K242,2))</f>
        <v/>
      </c>
      <c r="M242" s="40" t="str">
        <f aca="false">IF($C242="","",SUMIFS(记账分录!$I$6:$I$5505,记账分录!$F$6:$F$5505,$A242,记账分录!$H$6:$H$5505,$C242,记账分录!$E$6:$E$5505,"&lt;="&amp;$B$4))</f>
        <v/>
      </c>
      <c r="N242" s="40" t="str">
        <f aca="false">IF($C242="","",SUMIFS(记账分录!$J$6:$J$5505,记账分录!$F$6:$F$5505,$A242,记账分录!$H$6:$H$5505,$C242,记账分录!$E$6:$E$5505,"&lt;="&amp;$B$4))</f>
        <v/>
      </c>
      <c r="O242" s="42" t="str">
        <f aca="false">IF($C242="","",IF($E242="借",$M242-$N242,$N242-$M242))</f>
        <v/>
      </c>
      <c r="P242" s="64" t="str">
        <f aca="false">IF($C242="","",IF(OR(ROUND($G242,2)&lt;&gt;0,ROUND($M242,2)&lt;&gt;0,ROUND($N242,2)&lt;&gt;0),"有",""))</f>
        <v/>
      </c>
    </row>
    <row r="243" customFormat="false" ht="15" hidden="true" customHeight="false" outlineLevel="0" collapsed="false">
      <c r="A243" s="25" t="str">
        <f aca="false">IF(会计科目表!$B82="","",参数设置!$A$12)</f>
        <v/>
      </c>
      <c r="B243" s="25" t="str">
        <f aca="false">IF(会计科目表!$B82="","",会计科目表!$A82)</f>
        <v/>
      </c>
      <c r="C243" s="10" t="str">
        <f aca="false">IF(会计科目表!$B82="","",会计科目表!$B82)</f>
        <v/>
      </c>
      <c r="D243" s="25" t="str">
        <f aca="false">IF($C243="","",会计科目表!$C82)</f>
        <v/>
      </c>
      <c r="E243" s="25" t="str">
        <f aca="false">IF($C243="","",会计科目表!$D82)</f>
        <v/>
      </c>
      <c r="F243" s="10" t="str">
        <f aca="false">IF($C243="","",会计科目表!$F82)</f>
        <v/>
      </c>
      <c r="G243" s="40" t="str">
        <f aca="false">IF($C243="","",IF($E243="借",SUMIFS(期初余额!$C$6:$C$185,期初余额!$A$6:$A$185,$A243,期初余额!$B$6:$B$185,$C243)-SUMIFS(期初余额!$D$6:$D$185,期初余额!$A$6:$A$185,$A243,期初余额!$B$6:$B$185,$C243),SUMIFS(期初余额!$D$6:$D$185,期初余额!$A$6:$A$185,$A243,期初余额!$B$6:$B$185,$C243)-SUMIFS(期初余额!$C$6:$C$185,期初余额!$A$6:$A$185,$A243,期初余额!$B$6:$B$185,$C243)))</f>
        <v/>
      </c>
      <c r="H243" s="40" t="str">
        <f aca="false">IF($C243="","",$G243+IF($E243="借",SUMIFS(记账分录!$I$6:$I$5505,记账分录!$F$6:$F$5505,$A243,记账分录!$H$6:$H$5505,$C243,记账分录!$E$6:$E$5505,"&lt;"&amp;$A$4)-SUMIFS(记账分录!$J$6:$J$5505,记账分录!$F$6:$F$5505,$A243,记账分录!$H$6:$H$5505,$C243,记账分录!$E$6:$E$5505,"&lt;"&amp;$A$4),SUMIFS(记账分录!$J$6:$J$5505,记账分录!$F$6:$F$5505,$A243,记账分录!$H$6:$H$5505,$C243,记账分录!$E$6:$E$5505,"&lt;"&amp;$A$4)-SUMIFS(记账分录!$I$6:$I$5505,记账分录!$F$6:$F$5505,$A243,记账分录!$H$6:$H$5505,$C243,记账分录!$E$6:$E$5505,"&lt;"&amp;$A$4)))</f>
        <v/>
      </c>
      <c r="I243" s="40" t="str">
        <f aca="false">IF($C243="","",SUMIFS(记账分录!$I$6:$I$5505,记账分录!$F$6:$F$5505,$A243,记账分录!$H$6:$H$5505,$C243,记账分录!$E$6:$E$5505,"&gt;="&amp;$A$4,记账分录!$E$6:$E$5505,"&lt;="&amp;$B$4))</f>
        <v/>
      </c>
      <c r="J243" s="40" t="str">
        <f aca="false">IF($C243="","",SUMIFS(记账分录!$J$6:$J$5505,记账分录!$F$6:$F$5505,$A243,记账分录!$H$6:$H$5505,$C243,记账分录!$E$6:$E$5505,"&gt;="&amp;$A$4,记账分录!$E$6:$E$5505,"&lt;="&amp;$B$4))</f>
        <v/>
      </c>
      <c r="K243" s="42" t="str">
        <f aca="false">IF($C243="","",IF($E243="借",$I243-$J243,$J243-$I243))</f>
        <v/>
      </c>
      <c r="L243" s="42" t="str">
        <f aca="false">IF($C243="","",ROUND($H243+$K243,2))</f>
        <v/>
      </c>
      <c r="M243" s="40" t="str">
        <f aca="false">IF($C243="","",SUMIFS(记账分录!$I$6:$I$5505,记账分录!$F$6:$F$5505,$A243,记账分录!$H$6:$H$5505,$C243,记账分录!$E$6:$E$5505,"&lt;="&amp;$B$4))</f>
        <v/>
      </c>
      <c r="N243" s="40" t="str">
        <f aca="false">IF($C243="","",SUMIFS(记账分录!$J$6:$J$5505,记账分录!$F$6:$F$5505,$A243,记账分录!$H$6:$H$5505,$C243,记账分录!$E$6:$E$5505,"&lt;="&amp;$B$4))</f>
        <v/>
      </c>
      <c r="O243" s="42" t="str">
        <f aca="false">IF($C243="","",IF($E243="借",$M243-$N243,$N243-$M243))</f>
        <v/>
      </c>
      <c r="P243" s="64" t="str">
        <f aca="false">IF($C243="","",IF(OR(ROUND($G243,2)&lt;&gt;0,ROUND($M243,2)&lt;&gt;0,ROUND($N243,2)&lt;&gt;0),"有",""))</f>
        <v/>
      </c>
    </row>
    <row r="244" customFormat="false" ht="15" hidden="true" customHeight="false" outlineLevel="0" collapsed="false">
      <c r="A244" s="25" t="str">
        <f aca="false">IF(会计科目表!$B83="","",参数设置!$A$12)</f>
        <v/>
      </c>
      <c r="B244" s="25" t="str">
        <f aca="false">IF(会计科目表!$B83="","",会计科目表!$A83)</f>
        <v/>
      </c>
      <c r="C244" s="10" t="str">
        <f aca="false">IF(会计科目表!$B83="","",会计科目表!$B83)</f>
        <v/>
      </c>
      <c r="D244" s="25" t="str">
        <f aca="false">IF($C244="","",会计科目表!$C83)</f>
        <v/>
      </c>
      <c r="E244" s="25" t="str">
        <f aca="false">IF($C244="","",会计科目表!$D83)</f>
        <v/>
      </c>
      <c r="F244" s="10" t="str">
        <f aca="false">IF($C244="","",会计科目表!$F83)</f>
        <v/>
      </c>
      <c r="G244" s="40" t="str">
        <f aca="false">IF($C244="","",IF($E244="借",SUMIFS(期初余额!$C$6:$C$185,期初余额!$A$6:$A$185,$A244,期初余额!$B$6:$B$185,$C244)-SUMIFS(期初余额!$D$6:$D$185,期初余额!$A$6:$A$185,$A244,期初余额!$B$6:$B$185,$C244),SUMIFS(期初余额!$D$6:$D$185,期初余额!$A$6:$A$185,$A244,期初余额!$B$6:$B$185,$C244)-SUMIFS(期初余额!$C$6:$C$185,期初余额!$A$6:$A$185,$A244,期初余额!$B$6:$B$185,$C244)))</f>
        <v/>
      </c>
      <c r="H244" s="40" t="str">
        <f aca="false">IF($C244="","",$G244+IF($E244="借",SUMIFS(记账分录!$I$6:$I$5505,记账分录!$F$6:$F$5505,$A244,记账分录!$H$6:$H$5505,$C244,记账分录!$E$6:$E$5505,"&lt;"&amp;$A$4)-SUMIFS(记账分录!$J$6:$J$5505,记账分录!$F$6:$F$5505,$A244,记账分录!$H$6:$H$5505,$C244,记账分录!$E$6:$E$5505,"&lt;"&amp;$A$4),SUMIFS(记账分录!$J$6:$J$5505,记账分录!$F$6:$F$5505,$A244,记账分录!$H$6:$H$5505,$C244,记账分录!$E$6:$E$5505,"&lt;"&amp;$A$4)-SUMIFS(记账分录!$I$6:$I$5505,记账分录!$F$6:$F$5505,$A244,记账分录!$H$6:$H$5505,$C244,记账分录!$E$6:$E$5505,"&lt;"&amp;$A$4)))</f>
        <v/>
      </c>
      <c r="I244" s="40" t="str">
        <f aca="false">IF($C244="","",SUMIFS(记账分录!$I$6:$I$5505,记账分录!$F$6:$F$5505,$A244,记账分录!$H$6:$H$5505,$C244,记账分录!$E$6:$E$5505,"&gt;="&amp;$A$4,记账分录!$E$6:$E$5505,"&lt;="&amp;$B$4))</f>
        <v/>
      </c>
      <c r="J244" s="40" t="str">
        <f aca="false">IF($C244="","",SUMIFS(记账分录!$J$6:$J$5505,记账分录!$F$6:$F$5505,$A244,记账分录!$H$6:$H$5505,$C244,记账分录!$E$6:$E$5505,"&gt;="&amp;$A$4,记账分录!$E$6:$E$5505,"&lt;="&amp;$B$4))</f>
        <v/>
      </c>
      <c r="K244" s="42" t="str">
        <f aca="false">IF($C244="","",IF($E244="借",$I244-$J244,$J244-$I244))</f>
        <v/>
      </c>
      <c r="L244" s="42" t="str">
        <f aca="false">IF($C244="","",ROUND($H244+$K244,2))</f>
        <v/>
      </c>
      <c r="M244" s="40" t="str">
        <f aca="false">IF($C244="","",SUMIFS(记账分录!$I$6:$I$5505,记账分录!$F$6:$F$5505,$A244,记账分录!$H$6:$H$5505,$C244,记账分录!$E$6:$E$5505,"&lt;="&amp;$B$4))</f>
        <v/>
      </c>
      <c r="N244" s="40" t="str">
        <f aca="false">IF($C244="","",SUMIFS(记账分录!$J$6:$J$5505,记账分录!$F$6:$F$5505,$A244,记账分录!$H$6:$H$5505,$C244,记账分录!$E$6:$E$5505,"&lt;="&amp;$B$4))</f>
        <v/>
      </c>
      <c r="O244" s="42" t="str">
        <f aca="false">IF($C244="","",IF($E244="借",$M244-$N244,$N244-$M244))</f>
        <v/>
      </c>
      <c r="P244" s="64" t="str">
        <f aca="false">IF($C244="","",IF(OR(ROUND($G244,2)&lt;&gt;0,ROUND($M244,2)&lt;&gt;0,ROUND($N244,2)&lt;&gt;0),"有",""))</f>
        <v/>
      </c>
    </row>
    <row r="245" customFormat="false" ht="15" hidden="true" customHeight="false" outlineLevel="0" collapsed="false">
      <c r="A245" s="25" t="str">
        <f aca="false">IF(会计科目表!$B84="","",参数设置!$A$12)</f>
        <v/>
      </c>
      <c r="B245" s="25" t="str">
        <f aca="false">IF(会计科目表!$B84="","",会计科目表!$A84)</f>
        <v/>
      </c>
      <c r="C245" s="10" t="str">
        <f aca="false">IF(会计科目表!$B84="","",会计科目表!$B84)</f>
        <v/>
      </c>
      <c r="D245" s="25" t="str">
        <f aca="false">IF($C245="","",会计科目表!$C84)</f>
        <v/>
      </c>
      <c r="E245" s="25" t="str">
        <f aca="false">IF($C245="","",会计科目表!$D84)</f>
        <v/>
      </c>
      <c r="F245" s="10" t="str">
        <f aca="false">IF($C245="","",会计科目表!$F84)</f>
        <v/>
      </c>
      <c r="G245" s="40" t="str">
        <f aca="false">IF($C245="","",IF($E245="借",SUMIFS(期初余额!$C$6:$C$185,期初余额!$A$6:$A$185,$A245,期初余额!$B$6:$B$185,$C245)-SUMIFS(期初余额!$D$6:$D$185,期初余额!$A$6:$A$185,$A245,期初余额!$B$6:$B$185,$C245),SUMIFS(期初余额!$D$6:$D$185,期初余额!$A$6:$A$185,$A245,期初余额!$B$6:$B$185,$C245)-SUMIFS(期初余额!$C$6:$C$185,期初余额!$A$6:$A$185,$A245,期初余额!$B$6:$B$185,$C245)))</f>
        <v/>
      </c>
      <c r="H245" s="40" t="str">
        <f aca="false">IF($C245="","",$G245+IF($E245="借",SUMIFS(记账分录!$I$6:$I$5505,记账分录!$F$6:$F$5505,$A245,记账分录!$H$6:$H$5505,$C245,记账分录!$E$6:$E$5505,"&lt;"&amp;$A$4)-SUMIFS(记账分录!$J$6:$J$5505,记账分录!$F$6:$F$5505,$A245,记账分录!$H$6:$H$5505,$C245,记账分录!$E$6:$E$5505,"&lt;"&amp;$A$4),SUMIFS(记账分录!$J$6:$J$5505,记账分录!$F$6:$F$5505,$A245,记账分录!$H$6:$H$5505,$C245,记账分录!$E$6:$E$5505,"&lt;"&amp;$A$4)-SUMIFS(记账分录!$I$6:$I$5505,记账分录!$F$6:$F$5505,$A245,记账分录!$H$6:$H$5505,$C245,记账分录!$E$6:$E$5505,"&lt;"&amp;$A$4)))</f>
        <v/>
      </c>
      <c r="I245" s="40" t="str">
        <f aca="false">IF($C245="","",SUMIFS(记账分录!$I$6:$I$5505,记账分录!$F$6:$F$5505,$A245,记账分录!$H$6:$H$5505,$C245,记账分录!$E$6:$E$5505,"&gt;="&amp;$A$4,记账分录!$E$6:$E$5505,"&lt;="&amp;$B$4))</f>
        <v/>
      </c>
      <c r="J245" s="40" t="str">
        <f aca="false">IF($C245="","",SUMIFS(记账分录!$J$6:$J$5505,记账分录!$F$6:$F$5505,$A245,记账分录!$H$6:$H$5505,$C245,记账分录!$E$6:$E$5505,"&gt;="&amp;$A$4,记账分录!$E$6:$E$5505,"&lt;="&amp;$B$4))</f>
        <v/>
      </c>
      <c r="K245" s="42" t="str">
        <f aca="false">IF($C245="","",IF($E245="借",$I245-$J245,$J245-$I245))</f>
        <v/>
      </c>
      <c r="L245" s="42" t="str">
        <f aca="false">IF($C245="","",ROUND($H245+$K245,2))</f>
        <v/>
      </c>
      <c r="M245" s="40" t="str">
        <f aca="false">IF($C245="","",SUMIFS(记账分录!$I$6:$I$5505,记账分录!$F$6:$F$5505,$A245,记账分录!$H$6:$H$5505,$C245,记账分录!$E$6:$E$5505,"&lt;="&amp;$B$4))</f>
        <v/>
      </c>
      <c r="N245" s="40" t="str">
        <f aca="false">IF($C245="","",SUMIFS(记账分录!$J$6:$J$5505,记账分录!$F$6:$F$5505,$A245,记账分录!$H$6:$H$5505,$C245,记账分录!$E$6:$E$5505,"&lt;="&amp;$B$4))</f>
        <v/>
      </c>
      <c r="O245" s="42" t="str">
        <f aca="false">IF($C245="","",IF($E245="借",$M245-$N245,$N245-$M245))</f>
        <v/>
      </c>
      <c r="P245" s="64" t="str">
        <f aca="false">IF($C245="","",IF(OR(ROUND($G245,2)&lt;&gt;0,ROUND($M245,2)&lt;&gt;0,ROUND($N245,2)&lt;&gt;0),"有",""))</f>
        <v/>
      </c>
    </row>
    <row r="246" customFormat="false" ht="15" hidden="true" customHeight="false" outlineLevel="0" collapsed="false">
      <c r="A246" s="25" t="str">
        <f aca="false">IF(会计科目表!$B85="","",参数设置!$A$12)</f>
        <v/>
      </c>
      <c r="B246" s="25" t="str">
        <f aca="false">IF(会计科目表!$B85="","",会计科目表!$A85)</f>
        <v/>
      </c>
      <c r="C246" s="10" t="str">
        <f aca="false">IF(会计科目表!$B85="","",会计科目表!$B85)</f>
        <v/>
      </c>
      <c r="D246" s="25" t="str">
        <f aca="false">IF($C246="","",会计科目表!$C85)</f>
        <v/>
      </c>
      <c r="E246" s="25" t="str">
        <f aca="false">IF($C246="","",会计科目表!$D85)</f>
        <v/>
      </c>
      <c r="F246" s="10" t="str">
        <f aca="false">IF($C246="","",会计科目表!$F85)</f>
        <v/>
      </c>
      <c r="G246" s="40" t="str">
        <f aca="false">IF($C246="","",IF($E246="借",SUMIFS(期初余额!$C$6:$C$185,期初余额!$A$6:$A$185,$A246,期初余额!$B$6:$B$185,$C246)-SUMIFS(期初余额!$D$6:$D$185,期初余额!$A$6:$A$185,$A246,期初余额!$B$6:$B$185,$C246),SUMIFS(期初余额!$D$6:$D$185,期初余额!$A$6:$A$185,$A246,期初余额!$B$6:$B$185,$C246)-SUMIFS(期初余额!$C$6:$C$185,期初余额!$A$6:$A$185,$A246,期初余额!$B$6:$B$185,$C246)))</f>
        <v/>
      </c>
      <c r="H246" s="40" t="str">
        <f aca="false">IF($C246="","",$G246+IF($E246="借",SUMIFS(记账分录!$I$6:$I$5505,记账分录!$F$6:$F$5505,$A246,记账分录!$H$6:$H$5505,$C246,记账分录!$E$6:$E$5505,"&lt;"&amp;$A$4)-SUMIFS(记账分录!$J$6:$J$5505,记账分录!$F$6:$F$5505,$A246,记账分录!$H$6:$H$5505,$C246,记账分录!$E$6:$E$5505,"&lt;"&amp;$A$4),SUMIFS(记账分录!$J$6:$J$5505,记账分录!$F$6:$F$5505,$A246,记账分录!$H$6:$H$5505,$C246,记账分录!$E$6:$E$5505,"&lt;"&amp;$A$4)-SUMIFS(记账分录!$I$6:$I$5505,记账分录!$F$6:$F$5505,$A246,记账分录!$H$6:$H$5505,$C246,记账分录!$E$6:$E$5505,"&lt;"&amp;$A$4)))</f>
        <v/>
      </c>
      <c r="I246" s="40" t="str">
        <f aca="false">IF($C246="","",SUMIFS(记账分录!$I$6:$I$5505,记账分录!$F$6:$F$5505,$A246,记账分录!$H$6:$H$5505,$C246,记账分录!$E$6:$E$5505,"&gt;="&amp;$A$4,记账分录!$E$6:$E$5505,"&lt;="&amp;$B$4))</f>
        <v/>
      </c>
      <c r="J246" s="40" t="str">
        <f aca="false">IF($C246="","",SUMIFS(记账分录!$J$6:$J$5505,记账分录!$F$6:$F$5505,$A246,记账分录!$H$6:$H$5505,$C246,记账分录!$E$6:$E$5505,"&gt;="&amp;$A$4,记账分录!$E$6:$E$5505,"&lt;="&amp;$B$4))</f>
        <v/>
      </c>
      <c r="K246" s="42" t="str">
        <f aca="false">IF($C246="","",IF($E246="借",$I246-$J246,$J246-$I246))</f>
        <v/>
      </c>
      <c r="L246" s="42" t="str">
        <f aca="false">IF($C246="","",ROUND($H246+$K246,2))</f>
        <v/>
      </c>
      <c r="M246" s="40" t="str">
        <f aca="false">IF($C246="","",SUMIFS(记账分录!$I$6:$I$5505,记账分录!$F$6:$F$5505,$A246,记账分录!$H$6:$H$5505,$C246,记账分录!$E$6:$E$5505,"&lt;="&amp;$B$4))</f>
        <v/>
      </c>
      <c r="N246" s="40" t="str">
        <f aca="false">IF($C246="","",SUMIFS(记账分录!$J$6:$J$5505,记账分录!$F$6:$F$5505,$A246,记账分录!$H$6:$H$5505,$C246,记账分录!$E$6:$E$5505,"&lt;="&amp;$B$4))</f>
        <v/>
      </c>
      <c r="O246" s="42" t="str">
        <f aca="false">IF($C246="","",IF($E246="借",$M246-$N246,$N246-$M246))</f>
        <v/>
      </c>
      <c r="P246" s="64" t="str">
        <f aca="false">IF($C246="","",IF(OR(ROUND($G246,2)&lt;&gt;0,ROUND($M246,2)&lt;&gt;0,ROUND($N246,2)&lt;&gt;0),"有",""))</f>
        <v/>
      </c>
    </row>
  </sheetData>
  <autoFilter ref="A5:P246">
    <filterColumn colId="15">
      <filters>
        <filter val="有"/>
      </filters>
    </filterColumn>
  </autoFilter>
  <mergeCells count="3">
    <mergeCell ref="A1:P1"/>
    <mergeCell ref="A2:P2"/>
    <mergeCell ref="H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7"/>
    <col collapsed="false" customWidth="true" hidden="false" outlineLevel="0" max="4" min="4" style="0" width="2"/>
    <col collapsed="false" customWidth="true" hidden="false" outlineLevel="0" max="5" min="5" style="0" width="32"/>
    <col collapsed="false" customWidth="true" hidden="false" outlineLevel="0" max="7" min="6" style="0" width="17"/>
  </cols>
  <sheetData>
    <row r="1" customFormat="false" ht="25.5" hidden="false" customHeight="true" outlineLevel="0" collapsed="false">
      <c r="A1" s="1" t="s">
        <v>745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746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181</v>
      </c>
      <c r="B5" s="8" t="s">
        <v>747</v>
      </c>
      <c r="C5" s="8" t="s">
        <v>748</v>
      </c>
      <c r="D5" s="8"/>
      <c r="E5" s="8" t="s">
        <v>749</v>
      </c>
      <c r="F5" s="8" t="s">
        <v>747</v>
      </c>
      <c r="G5" s="8" t="s">
        <v>748</v>
      </c>
    </row>
    <row r="6" customFormat="false" ht="15" hidden="false" customHeight="false" outlineLevel="0" collapsed="false">
      <c r="A6" s="72" t="s">
        <v>750</v>
      </c>
      <c r="B6" s="42"/>
      <c r="C6" s="42"/>
      <c r="E6" s="72" t="s">
        <v>751</v>
      </c>
      <c r="F6" s="42"/>
      <c r="G6" s="42"/>
    </row>
    <row r="7" customFormat="false" ht="15" hidden="false" customHeight="false" outlineLevel="0" collapsed="false">
      <c r="A7" s="10" t="s">
        <v>752</v>
      </c>
      <c r="B7" s="73" t="n">
        <f aca="false">SUMIFS(科目余额表!$G$7:$G$246,科目余额表!$A$7:$A$246,参数设置!$A$10,科目余额表!$F$7:$F$246,"货币资金")</f>
        <v>185000</v>
      </c>
      <c r="C7" s="73" t="n">
        <f aca="false">SUMIFS(科目余额表!$L$7:$L$246,科目余额表!$A$7:$A$246,参数设置!$A$10,科目余额表!$F$7:$F$246,"货币资金")</f>
        <v>319200</v>
      </c>
      <c r="E7" s="10" t="s">
        <v>753</v>
      </c>
      <c r="F7" s="73" t="n">
        <f aca="false">SUMIFS(科目余额表!$G$7:$G$246,科目余额表!$A$7:$A$246,参数设置!$A$10,科目余额表!$F$7:$F$246,"短期借款")</f>
        <v>200000</v>
      </c>
      <c r="G7" s="73" t="n">
        <f aca="false">SUMIFS(科目余额表!$L$7:$L$246,科目余额表!$A$7:$A$246,参数设置!$A$10,科目余额表!$F$7:$F$246,"短期借款")</f>
        <v>200000</v>
      </c>
    </row>
    <row r="8" customFormat="false" ht="15" hidden="false" customHeight="false" outlineLevel="0" collapsed="false">
      <c r="A8" s="10" t="s">
        <v>754</v>
      </c>
      <c r="B8" s="73" t="n">
        <f aca="false">SUMIFS(科目余额表!$G$7:$G$246,科目余额表!$A$7:$A$246,参数设置!$A$10,科目余额表!$F$7:$F$246,"应收账款")</f>
        <v>0</v>
      </c>
      <c r="C8" s="73" t="n">
        <f aca="false">SUMIFS(科目余额表!$L$7:$L$246,科目余额表!$A$7:$A$246,参数设置!$A$10,科目余额表!$F$7:$F$246,"应收账款")</f>
        <v>73000</v>
      </c>
      <c r="E8" s="10" t="s">
        <v>755</v>
      </c>
      <c r="F8" s="73" t="n">
        <f aca="false">SUMIFS(科目余额表!$G$7:$G$246,科目余额表!$A$7:$A$246,参数设置!$A$10,科目余额表!$F$7:$F$246,"应付账款")</f>
        <v>35000</v>
      </c>
      <c r="G8" s="73" t="n">
        <f aca="false">SUMIFS(科目余额表!$L$7:$L$246,科目余额表!$A$7:$A$246,参数设置!$A$10,科目余额表!$F$7:$F$246,"应付账款")</f>
        <v>48200</v>
      </c>
    </row>
    <row r="9" customFormat="false" ht="15" hidden="false" customHeight="false" outlineLevel="0" collapsed="false">
      <c r="A9" s="10" t="s">
        <v>756</v>
      </c>
      <c r="B9" s="73" t="n">
        <f aca="false">SUMIFS(科目余额表!$G$7:$G$246,科目余额表!$A$7:$A$246,参数设置!$A$10,科目余额表!$F$7:$F$246,"预付款项")</f>
        <v>0</v>
      </c>
      <c r="C9" s="73" t="n">
        <f aca="false">SUMIFS(科目余额表!$L$7:$L$246,科目余额表!$A$7:$A$246,参数设置!$A$10,科目余额表!$F$7:$F$246,"预付款项")</f>
        <v>0</v>
      </c>
      <c r="E9" s="10" t="s">
        <v>757</v>
      </c>
      <c r="F9" s="73" t="n">
        <f aca="false">SUMIFS(科目余额表!$G$7:$G$246,科目余额表!$A$7:$A$246,参数设置!$A$10,科目余额表!$F$7:$F$246,"预收款项")</f>
        <v>0</v>
      </c>
      <c r="G9" s="73" t="n">
        <f aca="false">SUMIFS(科目余额表!$L$7:$L$246,科目余额表!$A$7:$A$246,参数设置!$A$10,科目余额表!$F$7:$F$246,"预收款项")</f>
        <v>0</v>
      </c>
    </row>
    <row r="10" customFormat="false" ht="15" hidden="false" customHeight="false" outlineLevel="0" collapsed="false">
      <c r="A10" s="10" t="s">
        <v>758</v>
      </c>
      <c r="B10" s="73" t="n">
        <f aca="false">SUMIFS(科目余额表!$G$7:$G$246,科目余额表!$A$7:$A$246,参数设置!$A$10,科目余额表!$F$7:$F$246,"其他应收款")</f>
        <v>0</v>
      </c>
      <c r="C10" s="73" t="n">
        <f aca="false">SUMIFS(科目余额表!$L$7:$L$246,科目余额表!$A$7:$A$246,参数设置!$A$10,科目余额表!$F$7:$F$246,"其他应收款")</f>
        <v>0</v>
      </c>
      <c r="E10" s="10" t="s">
        <v>759</v>
      </c>
      <c r="F10" s="73" t="n">
        <f aca="false">SUMIFS(科目余额表!$G$7:$G$246,科目余额表!$A$7:$A$246,参数设置!$A$10,科目余额表!$F$7:$F$246,"应付职工薪酬")</f>
        <v>0</v>
      </c>
      <c r="G10" s="73" t="n">
        <f aca="false">SUMIFS(科目余额表!$L$7:$L$246,科目余额表!$A$7:$A$246,参数设置!$A$10,科目余额表!$F$7:$F$246,"应付职工薪酬")</f>
        <v>68000</v>
      </c>
    </row>
    <row r="11" customFormat="false" ht="15" hidden="false" customHeight="false" outlineLevel="0" collapsed="false">
      <c r="A11" s="10" t="s">
        <v>760</v>
      </c>
      <c r="B11" s="73" t="n">
        <f aca="false">SUMIFS(科目余额表!$G$7:$G$246,科目余额表!$A$7:$A$246,参数设置!$A$10,科目余额表!$F$7:$F$246,"存货")</f>
        <v>90000</v>
      </c>
      <c r="C11" s="73" t="n">
        <f aca="false">SUMIFS(科目余额表!$L$7:$L$246,科目余额表!$A$7:$A$246,参数设置!$A$10,科目余额表!$F$7:$F$246,"存货")</f>
        <v>68072.38</v>
      </c>
      <c r="E11" s="10" t="s">
        <v>761</v>
      </c>
      <c r="F11" s="73" t="n">
        <f aca="false">SUMIFS(科目余额表!$G$7:$G$246,科目余额表!$A$7:$A$246,参数设置!$A$10,科目余额表!$F$7:$F$246,"应交税费")</f>
        <v>0</v>
      </c>
      <c r="G11" s="73" t="n">
        <f aca="false">SUMIFS(科目余额表!$L$7:$L$246,科目余额表!$A$7:$A$246,参数设置!$A$10,科目余额表!$F$7:$F$246,"应交税费")</f>
        <v>0</v>
      </c>
    </row>
    <row r="12" customFormat="false" ht="15" hidden="false" customHeight="false" outlineLevel="0" collapsed="false">
      <c r="A12" s="14" t="s">
        <v>762</v>
      </c>
      <c r="B12" s="12" t="n">
        <f aca="false">SUM(B7:B11)</f>
        <v>275000</v>
      </c>
      <c r="C12" s="12" t="n">
        <f aca="false">SUM(C7:C11)</f>
        <v>460272.38</v>
      </c>
      <c r="E12" s="10" t="s">
        <v>763</v>
      </c>
      <c r="F12" s="73" t="n">
        <f aca="false">SUMIFS(科目余额表!$G$7:$G$246,科目余额表!$A$7:$A$246,参数设置!$A$10,科目余额表!$F$7:$F$246,"其他应付款")</f>
        <v>0</v>
      </c>
      <c r="G12" s="73" t="n">
        <f aca="false">SUMIFS(科目余额表!$L$7:$L$246,科目余额表!$A$7:$A$246,参数设置!$A$10,科目余额表!$F$7:$F$246,"其他应付款")</f>
        <v>12000</v>
      </c>
    </row>
    <row r="13" customFormat="false" ht="15" hidden="false" customHeight="false" outlineLevel="0" collapsed="false">
      <c r="A13" s="72" t="s">
        <v>764</v>
      </c>
      <c r="B13" s="42"/>
      <c r="C13" s="42"/>
      <c r="E13" s="14" t="s">
        <v>765</v>
      </c>
      <c r="F13" s="12" t="n">
        <f aca="false">SUM(F7:F12)</f>
        <v>235000</v>
      </c>
      <c r="G13" s="12" t="n">
        <f aca="false">SUM(G7:G12)</f>
        <v>328200</v>
      </c>
    </row>
    <row r="14" customFormat="false" ht="15" hidden="false" customHeight="false" outlineLevel="0" collapsed="false">
      <c r="A14" s="10" t="s">
        <v>766</v>
      </c>
      <c r="B14" s="73" t="n">
        <f aca="false">SUMIFS(科目余额表!$G$7:$G$246,科目余额表!$A$7:$A$246,参数设置!$A$10,科目余额表!$F$7:$F$246,"固定资产原价")</f>
        <v>260000</v>
      </c>
      <c r="C14" s="73" t="n">
        <f aca="false">SUMIFS(科目余额表!$L$7:$L$246,科目余额表!$A$7:$A$246,参数设置!$A$10,科目余额表!$F$7:$F$246,"固定资产原价")</f>
        <v>260000</v>
      </c>
      <c r="E14" s="72" t="s">
        <v>767</v>
      </c>
      <c r="F14" s="42"/>
      <c r="G14" s="42"/>
    </row>
    <row r="15" customFormat="false" ht="15" hidden="false" customHeight="false" outlineLevel="0" collapsed="false">
      <c r="A15" s="10" t="s">
        <v>768</v>
      </c>
      <c r="B15" s="73" t="n">
        <f aca="false">SUMIFS(科目余额表!$G$7:$G$246,科目余额表!$A$7:$A$246,参数设置!$A$10,科目余额表!$F$7:$F$246,"累计折旧")</f>
        <v>52000</v>
      </c>
      <c r="C15" s="73" t="n">
        <f aca="false">SUMIFS(科目余额表!$L$7:$L$246,科目余额表!$A$7:$A$246,参数设置!$A$10,科目余额表!$F$7:$F$246,"累计折旧")</f>
        <v>78000</v>
      </c>
      <c r="E15" s="10" t="s">
        <v>769</v>
      </c>
      <c r="F15" s="73" t="n">
        <f aca="false">SUMIFS(科目余额表!$G$7:$G$246,科目余额表!$A$7:$A$246,参数设置!$A$10,科目余额表!$F$7:$F$246,"长期借款")</f>
        <v>0</v>
      </c>
      <c r="G15" s="73" t="n">
        <f aca="false">SUMIFS(科目余额表!$L$7:$L$246,科目余额表!$A$7:$A$246,参数设置!$A$10,科目余额表!$F$7:$F$246,"长期借款")</f>
        <v>0</v>
      </c>
    </row>
    <row r="16" customFormat="false" ht="15" hidden="false" customHeight="false" outlineLevel="0" collapsed="false">
      <c r="A16" s="14" t="s">
        <v>770</v>
      </c>
      <c r="B16" s="12" t="n">
        <f aca="false">B14-B15</f>
        <v>208000</v>
      </c>
      <c r="C16" s="12" t="n">
        <f aca="false">C14-C15</f>
        <v>182000</v>
      </c>
      <c r="E16" s="14" t="s">
        <v>26</v>
      </c>
      <c r="F16" s="12" t="n">
        <f aca="false">F13+F15</f>
        <v>235000</v>
      </c>
      <c r="G16" s="12" t="n">
        <f aca="false">G13+G15</f>
        <v>328200</v>
      </c>
    </row>
    <row r="17" customFormat="false" ht="15" hidden="false" customHeight="false" outlineLevel="0" collapsed="false">
      <c r="A17" s="10" t="s">
        <v>771</v>
      </c>
      <c r="B17" s="73" t="n">
        <f aca="false">SUMIFS(科目余额表!$G$7:$G$246,科目余额表!$A$7:$A$246,参数设置!$A$10,科目余额表!$F$7:$F$246,"生产性生物资产原价")</f>
        <v>600000</v>
      </c>
      <c r="C17" s="73" t="n">
        <f aca="false">SUMIFS(科目余额表!$L$7:$L$246,科目余额表!$A$7:$A$246,参数设置!$A$10,科目余额表!$F$7:$F$246,"生产性生物资产原价")</f>
        <v>600000</v>
      </c>
      <c r="E17" s="72" t="s">
        <v>772</v>
      </c>
      <c r="F17" s="42"/>
      <c r="G17" s="42"/>
    </row>
    <row r="18" customFormat="false" ht="15" hidden="false" customHeight="false" outlineLevel="0" collapsed="false">
      <c r="A18" s="10" t="s">
        <v>773</v>
      </c>
      <c r="B18" s="73" t="n">
        <f aca="false">SUMIFS(科目余额表!$G$7:$G$246,科目余额表!$A$7:$A$246,参数设置!$A$10,科目余额表!$F$7:$F$246,"生物资产累计折旧")</f>
        <v>40000</v>
      </c>
      <c r="C18" s="73" t="n">
        <f aca="false">SUMIFS(科目余额表!$L$7:$L$246,科目余额表!$A$7:$A$246,参数设置!$A$10,科目余额表!$F$7:$F$246,"生物资产累计折旧")</f>
        <v>60000</v>
      </c>
      <c r="E18" s="10" t="s">
        <v>774</v>
      </c>
      <c r="F18" s="73" t="n">
        <f aca="false">SUMIFS(科目余额表!$G$7:$G$246,科目余额表!$A$7:$A$246,参数设置!$A$10,科目余额表!$F$7:$F$246,"实收资本")</f>
        <v>1800000</v>
      </c>
      <c r="G18" s="73" t="n">
        <f aca="false">SUMIFS(科目余额表!$L$7:$L$246,科目余额表!$A$7:$A$246,参数设置!$A$10,科目余额表!$F$7:$F$246,"实收资本")</f>
        <v>1800000</v>
      </c>
    </row>
    <row r="19" customFormat="false" ht="15" hidden="false" customHeight="false" outlineLevel="0" collapsed="false">
      <c r="A19" s="14" t="s">
        <v>775</v>
      </c>
      <c r="B19" s="12" t="n">
        <f aca="false">B17-B18</f>
        <v>560000</v>
      </c>
      <c r="C19" s="12" t="n">
        <f aca="false">C17-C18</f>
        <v>540000</v>
      </c>
      <c r="E19" s="10" t="s">
        <v>776</v>
      </c>
      <c r="F19" s="73" t="n">
        <f aca="false">SUMIFS(科目余额表!$G$7:$G$246,科目余额表!$A$7:$A$246,参数设置!$A$10,科目余额表!$F$7:$F$246,"资本公积")</f>
        <v>0</v>
      </c>
      <c r="G19" s="73" t="n">
        <f aca="false">SUMIFS(科目余额表!$L$7:$L$246,科目余额表!$A$7:$A$246,参数设置!$A$10,科目余额表!$F$7:$F$246,"资本公积")</f>
        <v>0</v>
      </c>
    </row>
    <row r="20" customFormat="false" ht="15" hidden="false" customHeight="false" outlineLevel="0" collapsed="false">
      <c r="A20" s="10" t="s">
        <v>777</v>
      </c>
      <c r="B20" s="73" t="n">
        <f aca="false">SUMIFS(科目余额表!$G$7:$G$246,科目余额表!$A$7:$A$246,参数设置!$A$10,科目余额表!$F$7:$F$246,"无形资产原价")</f>
        <v>1200000</v>
      </c>
      <c r="C20" s="73" t="n">
        <f aca="false">SUMIFS(科目余额表!$L$7:$L$246,科目余额表!$A$7:$A$246,参数设置!$A$10,科目余额表!$F$7:$F$246,"无形资产原价")</f>
        <v>1200000</v>
      </c>
      <c r="E20" s="10" t="s">
        <v>778</v>
      </c>
      <c r="F20" s="73" t="n">
        <f aca="false">SUMIFS(科目余额表!$G$7:$G$246,科目余额表!$A$7:$A$246,参数设置!$A$10,科目余额表!$F$7:$F$246,"盈余公积")</f>
        <v>0</v>
      </c>
      <c r="G20" s="73" t="n">
        <f aca="false">SUMIFS(科目余额表!$L$7:$L$246,科目余额表!$A$7:$A$246,参数设置!$A$10,科目余额表!$F$7:$F$246,"盈余公积")</f>
        <v>0</v>
      </c>
    </row>
    <row r="21" customFormat="false" ht="15" hidden="false" customHeight="false" outlineLevel="0" collapsed="false">
      <c r="A21" s="10" t="s">
        <v>779</v>
      </c>
      <c r="B21" s="73" t="n">
        <f aca="false">SUMIFS(科目余额表!$G$7:$G$246,科目余额表!$A$7:$A$246,参数设置!$A$10,科目余额表!$F$7:$F$246,"累计摊销")</f>
        <v>48000</v>
      </c>
      <c r="C21" s="73" t="n">
        <f aca="false">SUMIFS(科目余额表!$L$7:$L$246,科目余额表!$A$7:$A$246,参数设置!$A$10,科目余额表!$F$7:$F$246,"累计摊销")</f>
        <v>72000</v>
      </c>
      <c r="E21" s="14" t="s">
        <v>780</v>
      </c>
      <c r="F21" s="12" t="n">
        <f aca="false">SUMIFS(科目余额表!$G$7:$G$246,科目余额表!$A$7:$A$246,参数设置!$A$10,科目余额表!$F$7:$F$246,"未分配利润")+0</f>
        <v>160000</v>
      </c>
      <c r="G21" s="12" t="n">
        <f aca="false">SUMIFS(科目余额表!$L$7:$L$246,科目余额表!$A$7:$A$246,参数设置!$A$10,科目余额表!$F$7:$F$246,"未分配利润")+(SUMIFS(科目余额表!$O$7:$O$246,科目余额表!$A$7:$A$246,参数设置!$A$10,科目余额表!$D$7:$D$246,"损益-收入")-SUMIFS(科目余额表!$O$7:$O$246,科目余额表!$A$7:$A$246,参数设置!$A$10,科目余额表!$D$7:$D$246,"损益-费用"))</f>
        <v>182072.38</v>
      </c>
    </row>
    <row r="22" customFormat="false" ht="15" hidden="false" customHeight="false" outlineLevel="0" collapsed="false">
      <c r="A22" s="14" t="s">
        <v>781</v>
      </c>
      <c r="B22" s="12" t="n">
        <f aca="false">B20-B21</f>
        <v>1152000</v>
      </c>
      <c r="C22" s="12" t="n">
        <f aca="false">C20-C21</f>
        <v>1128000</v>
      </c>
      <c r="E22" s="14" t="s">
        <v>782</v>
      </c>
      <c r="F22" s="12" t="n">
        <f aca="false">SUM(F18:F21)</f>
        <v>1960000</v>
      </c>
      <c r="G22" s="12" t="n">
        <f aca="false">SUM(G18:G21)</f>
        <v>1982072.38</v>
      </c>
    </row>
    <row r="23" customFormat="false" ht="15" hidden="false" customHeight="false" outlineLevel="0" collapsed="false">
      <c r="A23" s="10" t="s">
        <v>783</v>
      </c>
      <c r="B23" s="73" t="n">
        <f aca="false">SUMIFS(科目余额表!$G$7:$G$246,科目余额表!$A$7:$A$246,参数设置!$A$10,科目余额表!$F$7:$F$246,"长期待摊费用")</f>
        <v>0</v>
      </c>
      <c r="C23" s="73" t="n">
        <f aca="false">SUMIFS(科目余额表!$L$7:$L$246,科目余额表!$A$7:$A$246,参数设置!$A$10,科目余额表!$F$7:$F$246,"长期待摊费用")</f>
        <v>0</v>
      </c>
      <c r="E23" s="14" t="s">
        <v>784</v>
      </c>
      <c r="F23" s="12" t="n">
        <f aca="false">F16+F22</f>
        <v>2195000</v>
      </c>
      <c r="G23" s="12" t="n">
        <f aca="false">G16+G22</f>
        <v>2310272.38</v>
      </c>
    </row>
    <row r="24" customFormat="false" ht="15" hidden="false" customHeight="false" outlineLevel="0" collapsed="false">
      <c r="A24" s="14" t="s">
        <v>785</v>
      </c>
      <c r="B24" s="12" t="n">
        <f aca="false">B16+B19+B22+B23</f>
        <v>1920000</v>
      </c>
      <c r="C24" s="12" t="n">
        <f aca="false">C16+C19+C22+C23</f>
        <v>1850000</v>
      </c>
      <c r="E24" s="72" t="s">
        <v>786</v>
      </c>
      <c r="F24" s="42"/>
      <c r="G24" s="42"/>
    </row>
    <row r="25" customFormat="false" ht="15" hidden="false" customHeight="false" outlineLevel="0" collapsed="false">
      <c r="A25" s="14" t="s">
        <v>21</v>
      </c>
      <c r="B25" s="12" t="n">
        <f aca="false">B12+B24</f>
        <v>2195000</v>
      </c>
      <c r="C25" s="12" t="n">
        <f aca="false">C12+C24</f>
        <v>2310272.38</v>
      </c>
      <c r="E25" s="14" t="s">
        <v>787</v>
      </c>
      <c r="F25" s="74" t="str">
        <f aca="false">IF(ROUND(B25-F23,2)=0,"√ 平衡","✗ 差 "&amp;TEXT(B25-F23,"#,##0.00"))</f>
        <v>√ 平衡</v>
      </c>
      <c r="G25" s="74" t="str">
        <f aca="false">IF(ROUND(C25-G23,2)=0,"√ 平衡","✗ 差 "&amp;TEXT(C25-G23,"#,##0.00"))</f>
        <v>√ 平衡</v>
      </c>
    </row>
  </sheetData>
  <mergeCells count="3">
    <mergeCell ref="A1:G1"/>
    <mergeCell ref="A2:G2"/>
    <mergeCell ref="H3:I3"/>
  </mergeCells>
  <conditionalFormatting sqref="F25">
    <cfRule type="expression" priority="2" aboveAverage="0" equalAverage="0" bottom="0" percent="0" rank="0" text="" dxfId="0">
      <formula>LEFT($F$25,1)="✗"</formula>
    </cfRule>
  </conditionalFormatting>
  <conditionalFormatting sqref="G25">
    <cfRule type="expression" priority="3" aboveAverage="0" equalAverage="0" bottom="0" percent="0" rank="0" text="" dxfId="0">
      <formula>LEFT($G$25,1)="✗"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25.5" hidden="false" customHeight="true" outlineLevel="0" collapsed="false">
      <c r="A1" s="1" t="s">
        <v>788</v>
      </c>
      <c r="B1" s="1"/>
      <c r="C1" s="1"/>
    </row>
    <row r="2" customFormat="false" ht="15" hidden="false" customHeight="true" outlineLevel="0" collapsed="false">
      <c r="A2" s="2" t="s">
        <v>789</v>
      </c>
      <c r="B2" s="2"/>
      <c r="C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790</v>
      </c>
      <c r="B5" s="8" t="s">
        <v>791</v>
      </c>
      <c r="C5" s="8" t="s">
        <v>792</v>
      </c>
    </row>
    <row r="6" customFormat="false" ht="15" hidden="false" customHeight="false" outlineLevel="0" collapsed="false">
      <c r="A6" s="10" t="s">
        <v>793</v>
      </c>
      <c r="B6" s="73" t="n">
        <f aca="false">SUMIFS(科目余额表!$K$7:$K$246,科目余额表!$A$7:$A$246,参数设置!$A$10,科目余额表!$F$7:$F$246,"营业收入")</f>
        <v>329000</v>
      </c>
      <c r="C6" s="73" t="n">
        <f aca="false">SUMIFS(科目余额表!$O$7:$O$246,科目余额表!$A$7:$A$246,参数设置!$A$10,科目余额表!$F$7:$F$246,"营业收入")</f>
        <v>329000</v>
      </c>
    </row>
    <row r="7" customFormat="false" ht="15" hidden="false" customHeight="false" outlineLevel="0" collapsed="false">
      <c r="A7" s="10" t="s">
        <v>794</v>
      </c>
      <c r="B7" s="73" t="n">
        <f aca="false">SUMIFS(科目余额表!$K$7:$K$246,科目余额表!$A$7:$A$246,参数设置!$A$10,科目余额表!$F$7:$F$246,"营业成本")</f>
        <v>177927.62</v>
      </c>
      <c r="C7" s="73" t="n">
        <f aca="false">SUMIFS(科目余额表!$O$7:$O$246,科目余额表!$A$7:$A$246,参数设置!$A$10,科目余额表!$F$7:$F$246,"营业成本")</f>
        <v>177927.62</v>
      </c>
    </row>
    <row r="8" customFormat="false" ht="15" hidden="false" customHeight="false" outlineLevel="0" collapsed="false">
      <c r="A8" s="10" t="s">
        <v>795</v>
      </c>
      <c r="B8" s="73" t="n">
        <f aca="false">SUMIFS(科目余额表!$K$7:$K$246,科目余额表!$A$7:$A$246,参数设置!$A$10,科目余额表!$F$7:$F$246,"税金及附加")</f>
        <v>0</v>
      </c>
      <c r="C8" s="73" t="n">
        <f aca="false">SUMIFS(科目余额表!$O$7:$O$246,科目余额表!$A$7:$A$246,参数设置!$A$10,科目余额表!$F$7:$F$246,"税金及附加")</f>
        <v>0</v>
      </c>
    </row>
    <row r="9" customFormat="false" ht="15" hidden="false" customHeight="false" outlineLevel="0" collapsed="false">
      <c r="A9" s="10" t="s">
        <v>796</v>
      </c>
      <c r="B9" s="73" t="n">
        <f aca="false">SUMIFS(科目余额表!$K$7:$K$246,科目余额表!$A$7:$A$246,参数设置!$A$10,科目余额表!$F$7:$F$246,"销售费用")</f>
        <v>0</v>
      </c>
      <c r="C9" s="73" t="n">
        <f aca="false">SUMIFS(科目余额表!$O$7:$O$246,科目余额表!$A$7:$A$246,参数设置!$A$10,科目余额表!$F$7:$F$246,"销售费用")</f>
        <v>0</v>
      </c>
    </row>
    <row r="10" customFormat="false" ht="15" hidden="false" customHeight="false" outlineLevel="0" collapsed="false">
      <c r="A10" s="10" t="s">
        <v>797</v>
      </c>
      <c r="B10" s="73" t="n">
        <f aca="false">SUMIFS(科目余额表!$K$7:$K$246,科目余额表!$A$7:$A$246,参数设置!$A$10,科目余额表!$F$7:$F$246,"管理费用")</f>
        <v>123000</v>
      </c>
      <c r="C10" s="73" t="n">
        <f aca="false">SUMIFS(科目余额表!$O$7:$O$246,科目余额表!$A$7:$A$246,参数设置!$A$10,科目余额表!$F$7:$F$246,"管理费用")</f>
        <v>123000</v>
      </c>
    </row>
    <row r="11" customFormat="false" ht="15" hidden="false" customHeight="false" outlineLevel="0" collapsed="false">
      <c r="A11" s="10" t="s">
        <v>798</v>
      </c>
      <c r="B11" s="73" t="n">
        <f aca="false">SUMIFS(科目余额表!$K$7:$K$246,科目余额表!$A$7:$A$246,参数设置!$A$10,科目余额表!$F$7:$F$246,"研发费用")</f>
        <v>0</v>
      </c>
      <c r="C11" s="73" t="n">
        <f aca="false">SUMIFS(科目余额表!$O$7:$O$246,科目余额表!$A$7:$A$246,参数设置!$A$10,科目余额表!$F$7:$F$246,"研发费用")</f>
        <v>0</v>
      </c>
    </row>
    <row r="12" customFormat="false" ht="15" hidden="false" customHeight="false" outlineLevel="0" collapsed="false">
      <c r="A12" s="10" t="s">
        <v>799</v>
      </c>
      <c r="B12" s="73" t="n">
        <f aca="false">SUMIFS(科目余额表!$K$7:$K$246,科目余额表!$A$7:$A$246,参数设置!$A$10,科目余额表!$F$7:$F$246,"财务费用")</f>
        <v>6000</v>
      </c>
      <c r="C12" s="73" t="n">
        <f aca="false">SUMIFS(科目余额表!$O$7:$O$246,科目余额表!$A$7:$A$246,参数设置!$A$10,科目余额表!$F$7:$F$246,"财务费用")</f>
        <v>6000</v>
      </c>
    </row>
    <row r="13" customFormat="false" ht="15" hidden="false" customHeight="false" outlineLevel="0" collapsed="false">
      <c r="A13" s="10" t="s">
        <v>800</v>
      </c>
      <c r="B13" s="73" t="n">
        <f aca="false">SUMIFS(科目余额表!$K$7:$K$246,科目余额表!$A$7:$A$246,参数设置!$A$10,科目余额表!$F$7:$F$246,"投资收益")</f>
        <v>0</v>
      </c>
      <c r="C13" s="73" t="n">
        <f aca="false">SUMIFS(科目余额表!$O$7:$O$246,科目余额表!$A$7:$A$246,参数设置!$A$10,科目余额表!$F$7:$F$246,"投资收益")</f>
        <v>0</v>
      </c>
    </row>
    <row r="14" customFormat="false" ht="15" hidden="false" customHeight="false" outlineLevel="0" collapsed="false">
      <c r="A14" s="14" t="s">
        <v>801</v>
      </c>
      <c r="B14" s="12" t="n">
        <f aca="false">B6-B7-B8-B9-B10-B11-B12+B13</f>
        <v>22072.38</v>
      </c>
      <c r="C14" s="12" t="n">
        <f aca="false">C6-C7-C8-C9-C10-C11-C12+C13</f>
        <v>22072.38</v>
      </c>
    </row>
    <row r="15" customFormat="false" ht="15" hidden="false" customHeight="false" outlineLevel="0" collapsed="false">
      <c r="A15" s="10" t="s">
        <v>802</v>
      </c>
      <c r="B15" s="73" t="n">
        <f aca="false">SUMIFS(科目余额表!$K$7:$K$246,科目余额表!$A$7:$A$246,参数设置!$A$10,科目余额表!$F$7:$F$246,"营业外收入")</f>
        <v>0</v>
      </c>
      <c r="C15" s="73" t="n">
        <f aca="false">SUMIFS(科目余额表!$O$7:$O$246,科目余额表!$A$7:$A$246,参数设置!$A$10,科目余额表!$F$7:$F$246,"营业外收入")</f>
        <v>0</v>
      </c>
    </row>
    <row r="16" customFormat="false" ht="15" hidden="false" customHeight="false" outlineLevel="0" collapsed="false">
      <c r="A16" s="10" t="s">
        <v>803</v>
      </c>
      <c r="B16" s="73" t="n">
        <f aca="false">SUMIFS(科目余额表!$K$7:$K$246,科目余额表!$A$7:$A$246,参数设置!$A$10,科目余额表!$F$7:$F$246,"营业外支出")</f>
        <v>0</v>
      </c>
      <c r="C16" s="73" t="n">
        <f aca="false">SUMIFS(科目余额表!$O$7:$O$246,科目余额表!$A$7:$A$246,参数设置!$A$10,科目余额表!$F$7:$F$246,"营业外支出")</f>
        <v>0</v>
      </c>
    </row>
    <row r="17" customFormat="false" ht="15" hidden="false" customHeight="false" outlineLevel="0" collapsed="false">
      <c r="A17" s="14" t="s">
        <v>804</v>
      </c>
      <c r="B17" s="12" t="n">
        <f aca="false">B14+B15-B16</f>
        <v>22072.38</v>
      </c>
      <c r="C17" s="12" t="n">
        <f aca="false">C14+C15-C16</f>
        <v>22072.38</v>
      </c>
    </row>
    <row r="18" customFormat="false" ht="15" hidden="false" customHeight="false" outlineLevel="0" collapsed="false">
      <c r="A18" s="10" t="s">
        <v>805</v>
      </c>
      <c r="B18" s="73" t="n">
        <f aca="false">SUMIFS(科目余额表!$K$7:$K$246,科目余额表!$A$7:$A$246,参数设置!$A$10,科目余额表!$F$7:$F$246,"所得税费用")</f>
        <v>0</v>
      </c>
      <c r="C18" s="73" t="n">
        <f aca="false">SUMIFS(科目余额表!$O$7:$O$246,科目余额表!$A$7:$A$246,参数设置!$A$10,科目余额表!$F$7:$F$246,"所得税费用")</f>
        <v>0</v>
      </c>
    </row>
    <row r="19" customFormat="false" ht="15" hidden="false" customHeight="false" outlineLevel="0" collapsed="false">
      <c r="A19" s="14" t="s">
        <v>806</v>
      </c>
      <c r="B19" s="12" t="n">
        <f aca="false">B17-B18</f>
        <v>22072.38</v>
      </c>
      <c r="C19" s="12" t="n">
        <f aca="false">C17-C18</f>
        <v>22072.38</v>
      </c>
    </row>
    <row r="21" customFormat="false" ht="15" hidden="false" customHeight="false" outlineLevel="0" collapsed="false">
      <c r="A21" s="75" t="s">
        <v>807</v>
      </c>
      <c r="B21" s="76" t="n">
        <f aca="false">IF(ROUND(B6,2)=0,"—",(B6-B7)/B6)</f>
        <v>0.459186565349544</v>
      </c>
      <c r="C21" s="76" t="n">
        <f aca="false">IF(ROUND(C6,2)=0,"—",(C6-C7)/C6)</f>
        <v>0.459186565349544</v>
      </c>
    </row>
    <row r="22" customFormat="false" ht="15" hidden="false" customHeight="false" outlineLevel="0" collapsed="false">
      <c r="A22" s="75" t="s">
        <v>808</v>
      </c>
      <c r="B22" s="76" t="n">
        <f aca="false">IF(ROUND(B6,2)=0,"—",B19/B6)</f>
        <v>0.0670893009118541</v>
      </c>
      <c r="C22" s="76" t="n">
        <f aca="false">IF(ROUND(C6,2)=0,"—",C19/C6)</f>
        <v>0.0670893009118541</v>
      </c>
    </row>
  </sheetData>
  <mergeCells count="3">
    <mergeCell ref="A1:C1"/>
    <mergeCell ref="A2:C2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7"/>
    <col collapsed="false" customWidth="true" hidden="false" outlineLevel="0" max="4" min="4" style="0" width="2"/>
    <col collapsed="false" customWidth="true" hidden="false" outlineLevel="0" max="5" min="5" style="0" width="32"/>
    <col collapsed="false" customWidth="true" hidden="false" outlineLevel="0" max="7" min="6" style="0" width="17"/>
  </cols>
  <sheetData>
    <row r="1" customFormat="false" ht="25.5" hidden="false" customHeight="true" outlineLevel="0" collapsed="false">
      <c r="A1" s="1" t="s">
        <v>809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746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181</v>
      </c>
      <c r="B5" s="8" t="s">
        <v>747</v>
      </c>
      <c r="C5" s="8" t="s">
        <v>748</v>
      </c>
      <c r="D5" s="8"/>
      <c r="E5" s="8" t="s">
        <v>749</v>
      </c>
      <c r="F5" s="8" t="s">
        <v>747</v>
      </c>
      <c r="G5" s="8" t="s">
        <v>748</v>
      </c>
    </row>
    <row r="6" customFormat="false" ht="15" hidden="false" customHeight="false" outlineLevel="0" collapsed="false">
      <c r="A6" s="72" t="s">
        <v>750</v>
      </c>
      <c r="B6" s="42"/>
      <c r="C6" s="42"/>
      <c r="E6" s="72" t="s">
        <v>751</v>
      </c>
      <c r="F6" s="42"/>
      <c r="G6" s="42"/>
    </row>
    <row r="7" customFormat="false" ht="15" hidden="false" customHeight="false" outlineLevel="0" collapsed="false">
      <c r="A7" s="10" t="s">
        <v>752</v>
      </c>
      <c r="B7" s="73" t="n">
        <f aca="false">SUMIFS(科目余额表!$G$7:$G$246,科目余额表!$A$7:$A$246,参数设置!$A$11,科目余额表!$F$7:$F$246,"货币资金")</f>
        <v>263000</v>
      </c>
      <c r="C7" s="73" t="n">
        <f aca="false">SUMIFS(科目余额表!$L$7:$L$246,科目余额表!$A$7:$A$246,参数设置!$A$11,科目余额表!$F$7:$F$246,"货币资金")</f>
        <v>420380</v>
      </c>
      <c r="E7" s="10" t="s">
        <v>753</v>
      </c>
      <c r="F7" s="73" t="n">
        <f aca="false">SUMIFS(科目余额表!$G$7:$G$246,科目余额表!$A$7:$A$246,参数设置!$A$11,科目余额表!$F$7:$F$246,"短期借款")</f>
        <v>300000</v>
      </c>
      <c r="G7" s="73" t="n">
        <f aca="false">SUMIFS(科目余额表!$L$7:$L$246,科目余额表!$A$7:$A$246,参数设置!$A$11,科目余额表!$F$7:$F$246,"短期借款")</f>
        <v>450000</v>
      </c>
    </row>
    <row r="8" customFormat="false" ht="15" hidden="false" customHeight="false" outlineLevel="0" collapsed="false">
      <c r="A8" s="10" t="s">
        <v>754</v>
      </c>
      <c r="B8" s="73" t="n">
        <f aca="false">SUMIFS(科目余额表!$G$7:$G$246,科目余额表!$A$7:$A$246,参数设置!$A$11,科目余额表!$F$7:$F$246,"应收账款")</f>
        <v>156000</v>
      </c>
      <c r="C8" s="73" t="n">
        <f aca="false">SUMIFS(科目余额表!$L$7:$L$246,科目余额表!$A$7:$A$246,参数设置!$A$11,科目余额表!$F$7:$F$246,"应收账款")</f>
        <v>368000</v>
      </c>
      <c r="E8" s="10" t="s">
        <v>755</v>
      </c>
      <c r="F8" s="73" t="n">
        <f aca="false">SUMIFS(科目余额表!$G$7:$G$246,科目余额表!$A$7:$A$246,参数设置!$A$11,科目余额表!$F$7:$F$246,"应付账款")</f>
        <v>88000</v>
      </c>
      <c r="G8" s="73" t="n">
        <f aca="false">SUMIFS(科目余额表!$L$7:$L$246,科目余额表!$A$7:$A$246,参数设置!$A$11,科目余额表!$F$7:$F$246,"应付账款")</f>
        <v>127000</v>
      </c>
    </row>
    <row r="9" customFormat="false" ht="15" hidden="false" customHeight="false" outlineLevel="0" collapsed="false">
      <c r="A9" s="10" t="s">
        <v>756</v>
      </c>
      <c r="B9" s="73" t="n">
        <f aca="false">SUMIFS(科目余额表!$G$7:$G$246,科目余额表!$A$7:$A$246,参数设置!$A$11,科目余额表!$F$7:$F$246,"预付款项")</f>
        <v>0</v>
      </c>
      <c r="C9" s="73" t="n">
        <f aca="false">SUMIFS(科目余额表!$L$7:$L$246,科目余额表!$A$7:$A$246,参数设置!$A$11,科目余额表!$F$7:$F$246,"预付款项")</f>
        <v>0</v>
      </c>
      <c r="E9" s="10" t="s">
        <v>757</v>
      </c>
      <c r="F9" s="73" t="n">
        <f aca="false">SUMIFS(科目余额表!$G$7:$G$246,科目余额表!$A$7:$A$246,参数设置!$A$11,科目余额表!$F$7:$F$246,"预收款项")</f>
        <v>0</v>
      </c>
      <c r="G9" s="73" t="n">
        <f aca="false">SUMIFS(科目余额表!$L$7:$L$246,科目余额表!$A$7:$A$246,参数设置!$A$11,科目余额表!$F$7:$F$246,"预收款项")</f>
        <v>0</v>
      </c>
    </row>
    <row r="10" customFormat="false" ht="15" hidden="false" customHeight="false" outlineLevel="0" collapsed="false">
      <c r="A10" s="10" t="s">
        <v>758</v>
      </c>
      <c r="B10" s="73" t="n">
        <f aca="false">SUMIFS(科目余额表!$G$7:$G$246,科目余额表!$A$7:$A$246,参数设置!$A$11,科目余额表!$F$7:$F$246,"其他应收款")</f>
        <v>0</v>
      </c>
      <c r="C10" s="73" t="n">
        <f aca="false">SUMIFS(科目余额表!$L$7:$L$246,科目余额表!$A$7:$A$246,参数设置!$A$11,科目余额表!$F$7:$F$246,"其他应收款")</f>
        <v>0</v>
      </c>
      <c r="E10" s="10" t="s">
        <v>759</v>
      </c>
      <c r="F10" s="73" t="n">
        <f aca="false">SUMIFS(科目余额表!$G$7:$G$246,科目余额表!$A$7:$A$246,参数设置!$A$11,科目余额表!$F$7:$F$246,"应付职工薪酬")</f>
        <v>0</v>
      </c>
      <c r="G10" s="73" t="n">
        <f aca="false">SUMIFS(科目余额表!$L$7:$L$246,科目余额表!$A$7:$A$246,参数设置!$A$11,科目余额表!$F$7:$F$246,"应付职工薪酬")</f>
        <v>19000</v>
      </c>
    </row>
    <row r="11" customFormat="false" ht="15" hidden="false" customHeight="false" outlineLevel="0" collapsed="false">
      <c r="A11" s="10" t="s">
        <v>760</v>
      </c>
      <c r="B11" s="73" t="n">
        <f aca="false">SUMIFS(科目余额表!$G$7:$G$246,科目余额表!$A$7:$A$246,参数设置!$A$11,科目余额表!$F$7:$F$246,"存货")</f>
        <v>186250</v>
      </c>
      <c r="C11" s="73" t="n">
        <f aca="false">SUMIFS(科目余额表!$L$7:$L$246,科目余额表!$A$7:$A$246,参数设置!$A$11,科目余额表!$F$7:$F$246,"存货")</f>
        <v>212020.95</v>
      </c>
      <c r="E11" s="10" t="s">
        <v>761</v>
      </c>
      <c r="F11" s="73" t="n">
        <f aca="false">SUMIFS(科目余额表!$G$7:$G$246,科目余额表!$A$7:$A$246,参数设置!$A$11,科目余额表!$F$7:$F$246,"应交税费")</f>
        <v>0</v>
      </c>
      <c r="G11" s="73" t="n">
        <f aca="false">SUMIFS(科目余额表!$L$7:$L$246,科目余额表!$A$7:$A$246,参数设置!$A$11,科目余额表!$F$7:$F$246,"应交税费")</f>
        <v>0</v>
      </c>
    </row>
    <row r="12" customFormat="false" ht="15" hidden="false" customHeight="false" outlineLevel="0" collapsed="false">
      <c r="A12" s="14" t="s">
        <v>762</v>
      </c>
      <c r="B12" s="12" t="n">
        <f aca="false">SUM(B7:B11)</f>
        <v>605250</v>
      </c>
      <c r="C12" s="12" t="n">
        <f aca="false">SUM(C7:C11)</f>
        <v>1000400.95</v>
      </c>
      <c r="E12" s="10" t="s">
        <v>763</v>
      </c>
      <c r="F12" s="73" t="n">
        <f aca="false">SUMIFS(科目余额表!$G$7:$G$246,科目余额表!$A$7:$A$246,参数设置!$A$11,科目余额表!$F$7:$F$246,"其他应付款")</f>
        <v>0</v>
      </c>
      <c r="G12" s="73" t="n">
        <f aca="false">SUMIFS(科目余额表!$L$7:$L$246,科目余额表!$A$7:$A$246,参数设置!$A$11,科目余额表!$F$7:$F$246,"其他应付款")</f>
        <v>24000</v>
      </c>
    </row>
    <row r="13" customFormat="false" ht="15" hidden="false" customHeight="false" outlineLevel="0" collapsed="false">
      <c r="A13" s="72" t="s">
        <v>764</v>
      </c>
      <c r="B13" s="42"/>
      <c r="C13" s="42"/>
      <c r="E13" s="14" t="s">
        <v>765</v>
      </c>
      <c r="F13" s="12" t="n">
        <f aca="false">SUM(F7:F12)</f>
        <v>388000</v>
      </c>
      <c r="G13" s="12" t="n">
        <f aca="false">SUM(G7:G12)</f>
        <v>620000</v>
      </c>
    </row>
    <row r="14" customFormat="false" ht="15" hidden="false" customHeight="false" outlineLevel="0" collapsed="false">
      <c r="A14" s="10" t="s">
        <v>766</v>
      </c>
      <c r="B14" s="73" t="n">
        <f aca="false">SUMIFS(科目余额表!$G$7:$G$246,科目余额表!$A$7:$A$246,参数设置!$A$11,科目余额表!$F$7:$F$246,"固定资产原价")</f>
        <v>980000</v>
      </c>
      <c r="C14" s="73" t="n">
        <f aca="false">SUMIFS(科目余额表!$L$7:$L$246,科目余额表!$A$7:$A$246,参数设置!$A$11,科目余额表!$F$7:$F$246,"固定资产原价")</f>
        <v>980000</v>
      </c>
      <c r="E14" s="72" t="s">
        <v>767</v>
      </c>
      <c r="F14" s="42"/>
      <c r="G14" s="42"/>
    </row>
    <row r="15" customFormat="false" ht="15" hidden="false" customHeight="false" outlineLevel="0" collapsed="false">
      <c r="A15" s="10" t="s">
        <v>768</v>
      </c>
      <c r="B15" s="73" t="n">
        <f aca="false">SUMIFS(科目余额表!$G$7:$G$246,科目余额表!$A$7:$A$246,参数设置!$A$11,科目余额表!$F$7:$F$246,"累计折旧")</f>
        <v>196000</v>
      </c>
      <c r="C15" s="73" t="n">
        <f aca="false">SUMIFS(科目余额表!$L$7:$L$246,科目余额表!$A$7:$A$246,参数设置!$A$11,科目余额表!$F$7:$F$246,"累计折旧")</f>
        <v>294000</v>
      </c>
      <c r="E15" s="10" t="s">
        <v>769</v>
      </c>
      <c r="F15" s="73" t="n">
        <f aca="false">SUMIFS(科目余额表!$G$7:$G$246,科目余额表!$A$7:$A$246,参数设置!$A$11,科目余额表!$F$7:$F$246,"长期借款")</f>
        <v>0</v>
      </c>
      <c r="G15" s="73" t="n">
        <f aca="false">SUMIFS(科目余额表!$L$7:$L$246,科目余额表!$A$7:$A$246,参数设置!$A$11,科目余额表!$F$7:$F$246,"长期借款")</f>
        <v>0</v>
      </c>
    </row>
    <row r="16" customFormat="false" ht="15" hidden="false" customHeight="false" outlineLevel="0" collapsed="false">
      <c r="A16" s="14" t="s">
        <v>770</v>
      </c>
      <c r="B16" s="12" t="n">
        <f aca="false">B14-B15</f>
        <v>784000</v>
      </c>
      <c r="C16" s="12" t="n">
        <f aca="false">C14-C15</f>
        <v>686000</v>
      </c>
      <c r="E16" s="14" t="s">
        <v>26</v>
      </c>
      <c r="F16" s="12" t="n">
        <f aca="false">F13+F15</f>
        <v>388000</v>
      </c>
      <c r="G16" s="12" t="n">
        <f aca="false">G13+G15</f>
        <v>620000</v>
      </c>
    </row>
    <row r="17" customFormat="false" ht="15" hidden="false" customHeight="false" outlineLevel="0" collapsed="false">
      <c r="A17" s="10" t="s">
        <v>771</v>
      </c>
      <c r="B17" s="73" t="n">
        <f aca="false">SUMIFS(科目余额表!$G$7:$G$246,科目余额表!$A$7:$A$246,参数设置!$A$11,科目余额表!$F$7:$F$246,"生产性生物资产原价")</f>
        <v>0</v>
      </c>
      <c r="C17" s="73" t="n">
        <f aca="false">SUMIFS(科目余额表!$L$7:$L$246,科目余额表!$A$7:$A$246,参数设置!$A$11,科目余额表!$F$7:$F$246,"生产性生物资产原价")</f>
        <v>0</v>
      </c>
      <c r="E17" s="72" t="s">
        <v>772</v>
      </c>
      <c r="F17" s="42"/>
      <c r="G17" s="42"/>
    </row>
    <row r="18" customFormat="false" ht="15" hidden="false" customHeight="false" outlineLevel="0" collapsed="false">
      <c r="A18" s="10" t="s">
        <v>773</v>
      </c>
      <c r="B18" s="73" t="n">
        <f aca="false">SUMIFS(科目余额表!$G$7:$G$246,科目余额表!$A$7:$A$246,参数设置!$A$11,科目余额表!$F$7:$F$246,"生物资产累计折旧")</f>
        <v>0</v>
      </c>
      <c r="C18" s="73" t="n">
        <f aca="false">SUMIFS(科目余额表!$L$7:$L$246,科目余额表!$A$7:$A$246,参数设置!$A$11,科目余额表!$F$7:$F$246,"生物资产累计折旧")</f>
        <v>0</v>
      </c>
      <c r="E18" s="10" t="s">
        <v>774</v>
      </c>
      <c r="F18" s="73" t="n">
        <f aca="false">SUMIFS(科目余额表!$G$7:$G$246,科目余额表!$A$7:$A$246,参数设置!$A$11,科目余额表!$F$7:$F$246,"实收资本")</f>
        <v>800000</v>
      </c>
      <c r="G18" s="73" t="n">
        <f aca="false">SUMIFS(科目余额表!$L$7:$L$246,科目余额表!$A$7:$A$246,参数设置!$A$11,科目余额表!$F$7:$F$246,"实收资本")</f>
        <v>800000</v>
      </c>
    </row>
    <row r="19" customFormat="false" ht="15" hidden="false" customHeight="false" outlineLevel="0" collapsed="false">
      <c r="A19" s="14" t="s">
        <v>775</v>
      </c>
      <c r="B19" s="12" t="n">
        <f aca="false">B17-B18</f>
        <v>0</v>
      </c>
      <c r="C19" s="12" t="n">
        <f aca="false">C17-C18</f>
        <v>0</v>
      </c>
      <c r="E19" s="10" t="s">
        <v>776</v>
      </c>
      <c r="F19" s="73" t="n">
        <f aca="false">SUMIFS(科目余额表!$G$7:$G$246,科目余额表!$A$7:$A$246,参数设置!$A$11,科目余额表!$F$7:$F$246,"资本公积")</f>
        <v>0</v>
      </c>
      <c r="G19" s="73" t="n">
        <f aca="false">SUMIFS(科目余额表!$L$7:$L$246,科目余额表!$A$7:$A$246,参数设置!$A$11,科目余额表!$F$7:$F$246,"资本公积")</f>
        <v>0</v>
      </c>
    </row>
    <row r="20" customFormat="false" ht="15" hidden="false" customHeight="false" outlineLevel="0" collapsed="false">
      <c r="A20" s="10" t="s">
        <v>777</v>
      </c>
      <c r="B20" s="73" t="n">
        <f aca="false">SUMIFS(科目余额表!$G$7:$G$246,科目余额表!$A$7:$A$246,参数设置!$A$11,科目余额表!$F$7:$F$246,"无形资产原价")</f>
        <v>0</v>
      </c>
      <c r="C20" s="73" t="n">
        <f aca="false">SUMIFS(科目余额表!$L$7:$L$246,科目余额表!$A$7:$A$246,参数设置!$A$11,科目余额表!$F$7:$F$246,"无形资产原价")</f>
        <v>0</v>
      </c>
      <c r="E20" s="10" t="s">
        <v>778</v>
      </c>
      <c r="F20" s="73" t="n">
        <f aca="false">SUMIFS(科目余额表!$G$7:$G$246,科目余额表!$A$7:$A$246,参数设置!$A$11,科目余额表!$F$7:$F$246,"盈余公积")</f>
        <v>0</v>
      </c>
      <c r="G20" s="73" t="n">
        <f aca="false">SUMIFS(科目余额表!$L$7:$L$246,科目余额表!$A$7:$A$246,参数设置!$A$11,科目余额表!$F$7:$F$246,"盈余公积")</f>
        <v>0</v>
      </c>
    </row>
    <row r="21" customFormat="false" ht="15" hidden="false" customHeight="false" outlineLevel="0" collapsed="false">
      <c r="A21" s="10" t="s">
        <v>779</v>
      </c>
      <c r="B21" s="73" t="n">
        <f aca="false">SUMIFS(科目余额表!$G$7:$G$246,科目余额表!$A$7:$A$246,参数设置!$A$11,科目余额表!$F$7:$F$246,"累计摊销")</f>
        <v>0</v>
      </c>
      <c r="C21" s="73" t="n">
        <f aca="false">SUMIFS(科目余额表!$L$7:$L$246,科目余额表!$A$7:$A$246,参数设置!$A$11,科目余额表!$F$7:$F$246,"累计摊销")</f>
        <v>0</v>
      </c>
      <c r="E21" s="14" t="s">
        <v>780</v>
      </c>
      <c r="F21" s="12" t="n">
        <f aca="false">SUMIFS(科目余额表!$G$7:$G$246,科目余额表!$A$7:$A$246,参数设置!$A$11,科目余额表!$F$7:$F$246,"未分配利润")+0</f>
        <v>201250</v>
      </c>
      <c r="G21" s="12" t="n">
        <f aca="false">SUMIFS(科目余额表!$L$7:$L$246,科目余额表!$A$7:$A$246,参数设置!$A$11,科目余额表!$F$7:$F$246,"未分配利润")+(SUMIFS(科目余额表!$O$7:$O$246,科目余额表!$A$7:$A$246,参数设置!$A$11,科目余额表!$D$7:$D$246,"损益-收入")-SUMIFS(科目余额表!$O$7:$O$246,科目余额表!$A$7:$A$246,参数设置!$A$11,科目余额表!$D$7:$D$246,"损益-费用"))</f>
        <v>266400.95</v>
      </c>
    </row>
    <row r="22" customFormat="false" ht="15" hidden="false" customHeight="false" outlineLevel="0" collapsed="false">
      <c r="A22" s="14" t="s">
        <v>781</v>
      </c>
      <c r="B22" s="12" t="n">
        <f aca="false">B20-B21</f>
        <v>0</v>
      </c>
      <c r="C22" s="12" t="n">
        <f aca="false">C20-C21</f>
        <v>0</v>
      </c>
      <c r="E22" s="14" t="s">
        <v>782</v>
      </c>
      <c r="F22" s="12" t="n">
        <f aca="false">SUM(F18:F21)</f>
        <v>1001250</v>
      </c>
      <c r="G22" s="12" t="n">
        <f aca="false">SUM(G18:G21)</f>
        <v>1066400.95</v>
      </c>
    </row>
    <row r="23" customFormat="false" ht="15" hidden="false" customHeight="false" outlineLevel="0" collapsed="false">
      <c r="A23" s="10" t="s">
        <v>783</v>
      </c>
      <c r="B23" s="73" t="n">
        <f aca="false">SUMIFS(科目余额表!$G$7:$G$246,科目余额表!$A$7:$A$246,参数设置!$A$11,科目余额表!$F$7:$F$246,"长期待摊费用")</f>
        <v>0</v>
      </c>
      <c r="C23" s="73" t="n">
        <f aca="false">SUMIFS(科目余额表!$L$7:$L$246,科目余额表!$A$7:$A$246,参数设置!$A$11,科目余额表!$F$7:$F$246,"长期待摊费用")</f>
        <v>0</v>
      </c>
      <c r="E23" s="14" t="s">
        <v>784</v>
      </c>
      <c r="F23" s="12" t="n">
        <f aca="false">F16+F22</f>
        <v>1389250</v>
      </c>
      <c r="G23" s="12" t="n">
        <f aca="false">G16+G22</f>
        <v>1686400.95</v>
      </c>
    </row>
    <row r="24" customFormat="false" ht="15" hidden="false" customHeight="false" outlineLevel="0" collapsed="false">
      <c r="A24" s="14" t="s">
        <v>785</v>
      </c>
      <c r="B24" s="12" t="n">
        <f aca="false">B16+B19+B22+B23</f>
        <v>784000</v>
      </c>
      <c r="C24" s="12" t="n">
        <f aca="false">C16+C19+C22+C23</f>
        <v>686000</v>
      </c>
      <c r="E24" s="72" t="s">
        <v>786</v>
      </c>
      <c r="F24" s="42"/>
      <c r="G24" s="42"/>
    </row>
    <row r="25" customFormat="false" ht="15" hidden="false" customHeight="false" outlineLevel="0" collapsed="false">
      <c r="A25" s="14" t="s">
        <v>21</v>
      </c>
      <c r="B25" s="12" t="n">
        <f aca="false">B12+B24</f>
        <v>1389250</v>
      </c>
      <c r="C25" s="12" t="n">
        <f aca="false">C12+C24</f>
        <v>1686400.95</v>
      </c>
      <c r="E25" s="14" t="s">
        <v>787</v>
      </c>
      <c r="F25" s="74" t="str">
        <f aca="false">IF(ROUND(B25-F23,2)=0,"√ 平衡","✗ 差 "&amp;TEXT(B25-F23,"#,##0.00"))</f>
        <v>√ 平衡</v>
      </c>
      <c r="G25" s="74" t="str">
        <f aca="false">IF(ROUND(C25-G23,2)=0,"√ 平衡","✗ 差 "&amp;TEXT(C25-G23,"#,##0.00"))</f>
        <v>√ 平衡</v>
      </c>
    </row>
  </sheetData>
  <mergeCells count="3">
    <mergeCell ref="A1:G1"/>
    <mergeCell ref="A2:G2"/>
    <mergeCell ref="H3:I3"/>
  </mergeCells>
  <conditionalFormatting sqref="F25">
    <cfRule type="expression" priority="2" aboveAverage="0" equalAverage="0" bottom="0" percent="0" rank="0" text="" dxfId="0">
      <formula>LEFT($F$25,1)="✗"</formula>
    </cfRule>
  </conditionalFormatting>
  <conditionalFormatting sqref="G25">
    <cfRule type="expression" priority="3" aboveAverage="0" equalAverage="0" bottom="0" percent="0" rank="0" text="" dxfId="0">
      <formula>LEFT($G$25,1)="✗"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25.5" hidden="false" customHeight="true" outlineLevel="0" collapsed="false">
      <c r="A1" s="1" t="s">
        <v>810</v>
      </c>
      <c r="B1" s="1"/>
      <c r="C1" s="1"/>
    </row>
    <row r="2" customFormat="false" ht="15" hidden="false" customHeight="true" outlineLevel="0" collapsed="false">
      <c r="A2" s="2" t="s">
        <v>789</v>
      </c>
      <c r="B2" s="2"/>
      <c r="C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790</v>
      </c>
      <c r="B5" s="8" t="s">
        <v>791</v>
      </c>
      <c r="C5" s="8" t="s">
        <v>792</v>
      </c>
    </row>
    <row r="6" customFormat="false" ht="15" hidden="false" customHeight="false" outlineLevel="0" collapsed="false">
      <c r="A6" s="10" t="s">
        <v>793</v>
      </c>
      <c r="B6" s="73" t="n">
        <f aca="false">SUMIFS(科目余额表!$K$7:$K$246,科目余额表!$A$7:$A$246,参数设置!$A$11,科目余额表!$F$7:$F$246,"营业收入")</f>
        <v>582000</v>
      </c>
      <c r="C6" s="73" t="n">
        <f aca="false">SUMIFS(科目余额表!$O$7:$O$246,科目余额表!$A$7:$A$246,参数设置!$A$11,科目余额表!$F$7:$F$246,"营业收入")</f>
        <v>582000</v>
      </c>
    </row>
    <row r="7" customFormat="false" ht="15" hidden="false" customHeight="false" outlineLevel="0" collapsed="false">
      <c r="A7" s="10" t="s">
        <v>794</v>
      </c>
      <c r="B7" s="73" t="n">
        <f aca="false">SUMIFS(科目余额表!$K$7:$K$246,科目余额表!$A$7:$A$246,参数设置!$A$11,科目余额表!$F$7:$F$246,"营业成本")</f>
        <v>366029.05</v>
      </c>
      <c r="C7" s="73" t="n">
        <f aca="false">SUMIFS(科目余额表!$O$7:$O$246,科目余额表!$A$7:$A$246,参数设置!$A$11,科目余额表!$F$7:$F$246,"营业成本")</f>
        <v>366029.05</v>
      </c>
    </row>
    <row r="8" customFormat="false" ht="15" hidden="false" customHeight="false" outlineLevel="0" collapsed="false">
      <c r="A8" s="10" t="s">
        <v>795</v>
      </c>
      <c r="B8" s="73" t="n">
        <f aca="false">SUMIFS(科目余额表!$K$7:$K$246,科目余额表!$A$7:$A$246,参数设置!$A$11,科目余额表!$F$7:$F$246,"税金及附加")</f>
        <v>31360</v>
      </c>
      <c r="C8" s="73" t="n">
        <f aca="false">SUMIFS(科目余额表!$O$7:$O$246,科目余额表!$A$7:$A$246,参数设置!$A$11,科目余额表!$F$7:$F$246,"税金及附加")</f>
        <v>31360</v>
      </c>
    </row>
    <row r="9" customFormat="false" ht="15" hidden="false" customHeight="false" outlineLevel="0" collapsed="false">
      <c r="A9" s="10" t="s">
        <v>796</v>
      </c>
      <c r="B9" s="73" t="n">
        <f aca="false">SUMIFS(科目余额表!$K$7:$K$246,科目余额表!$A$7:$A$246,参数设置!$A$11,科目余额表!$F$7:$F$246,"销售费用")</f>
        <v>0</v>
      </c>
      <c r="C9" s="73" t="n">
        <f aca="false">SUMIFS(科目余额表!$O$7:$O$246,科目余额表!$A$7:$A$246,参数设置!$A$11,科目余额表!$F$7:$F$246,"销售费用")</f>
        <v>0</v>
      </c>
    </row>
    <row r="10" customFormat="false" ht="15" hidden="false" customHeight="false" outlineLevel="0" collapsed="false">
      <c r="A10" s="10" t="s">
        <v>797</v>
      </c>
      <c r="B10" s="73" t="n">
        <f aca="false">SUMIFS(科目余额表!$K$7:$K$246,科目余额表!$A$7:$A$246,参数设置!$A$11,科目余额表!$F$7:$F$246,"管理费用")</f>
        <v>113460</v>
      </c>
      <c r="C10" s="73" t="n">
        <f aca="false">SUMIFS(科目余额表!$O$7:$O$246,科目余额表!$A$7:$A$246,参数设置!$A$11,科目余额表!$F$7:$F$246,"管理费用")</f>
        <v>113460</v>
      </c>
    </row>
    <row r="11" customFormat="false" ht="15" hidden="false" customHeight="false" outlineLevel="0" collapsed="false">
      <c r="A11" s="10" t="s">
        <v>798</v>
      </c>
      <c r="B11" s="73" t="n">
        <f aca="false">SUMIFS(科目余额表!$K$7:$K$246,科目余额表!$A$7:$A$246,参数设置!$A$11,科目余额表!$F$7:$F$246,"研发费用")</f>
        <v>0</v>
      </c>
      <c r="C11" s="73" t="n">
        <f aca="false">SUMIFS(科目余额表!$O$7:$O$246,科目余额表!$A$7:$A$246,参数设置!$A$11,科目余额表!$F$7:$F$246,"研发费用")</f>
        <v>0</v>
      </c>
    </row>
    <row r="12" customFormat="false" ht="15" hidden="false" customHeight="false" outlineLevel="0" collapsed="false">
      <c r="A12" s="10" t="s">
        <v>799</v>
      </c>
      <c r="B12" s="73" t="n">
        <f aca="false">SUMIFS(科目余额表!$K$7:$K$246,科目余额表!$A$7:$A$246,参数设置!$A$11,科目余额表!$F$7:$F$246,"财务费用")</f>
        <v>0</v>
      </c>
      <c r="C12" s="73" t="n">
        <f aca="false">SUMIFS(科目余额表!$O$7:$O$246,科目余额表!$A$7:$A$246,参数设置!$A$11,科目余额表!$F$7:$F$246,"财务费用")</f>
        <v>0</v>
      </c>
    </row>
    <row r="13" customFormat="false" ht="15" hidden="false" customHeight="false" outlineLevel="0" collapsed="false">
      <c r="A13" s="10" t="s">
        <v>800</v>
      </c>
      <c r="B13" s="73" t="n">
        <f aca="false">SUMIFS(科目余额表!$K$7:$K$246,科目余额表!$A$7:$A$246,参数设置!$A$11,科目余额表!$F$7:$F$246,"投资收益")</f>
        <v>0</v>
      </c>
      <c r="C13" s="73" t="n">
        <f aca="false">SUMIFS(科目余额表!$O$7:$O$246,科目余额表!$A$7:$A$246,参数设置!$A$11,科目余额表!$F$7:$F$246,"投资收益")</f>
        <v>0</v>
      </c>
    </row>
    <row r="14" customFormat="false" ht="15" hidden="false" customHeight="false" outlineLevel="0" collapsed="false">
      <c r="A14" s="14" t="s">
        <v>801</v>
      </c>
      <c r="B14" s="12" t="n">
        <f aca="false">B6-B7-B8-B9-B10-B11-B12+B13</f>
        <v>71150.95</v>
      </c>
      <c r="C14" s="12" t="n">
        <f aca="false">C6-C7-C8-C9-C10-C11-C12+C13</f>
        <v>71150.95</v>
      </c>
    </row>
    <row r="15" customFormat="false" ht="15" hidden="false" customHeight="false" outlineLevel="0" collapsed="false">
      <c r="A15" s="10" t="s">
        <v>802</v>
      </c>
      <c r="B15" s="73" t="n">
        <f aca="false">SUMIFS(科目余额表!$K$7:$K$246,科目余额表!$A$7:$A$246,参数设置!$A$11,科目余额表!$F$7:$F$246,"营业外收入")</f>
        <v>0</v>
      </c>
      <c r="C15" s="73" t="n">
        <f aca="false">SUMIFS(科目余额表!$O$7:$O$246,科目余额表!$A$7:$A$246,参数设置!$A$11,科目余额表!$F$7:$F$246,"营业外收入")</f>
        <v>0</v>
      </c>
    </row>
    <row r="16" customFormat="false" ht="15" hidden="false" customHeight="false" outlineLevel="0" collapsed="false">
      <c r="A16" s="10" t="s">
        <v>803</v>
      </c>
      <c r="B16" s="73" t="n">
        <f aca="false">SUMIFS(科目余额表!$K$7:$K$246,科目余额表!$A$7:$A$246,参数设置!$A$11,科目余额表!$F$7:$F$246,"营业外支出")</f>
        <v>0</v>
      </c>
      <c r="C16" s="73" t="n">
        <f aca="false">SUMIFS(科目余额表!$O$7:$O$246,科目余额表!$A$7:$A$246,参数设置!$A$11,科目余额表!$F$7:$F$246,"营业外支出")</f>
        <v>0</v>
      </c>
    </row>
    <row r="17" customFormat="false" ht="15" hidden="false" customHeight="false" outlineLevel="0" collapsed="false">
      <c r="A17" s="14" t="s">
        <v>804</v>
      </c>
      <c r="B17" s="12" t="n">
        <f aca="false">B14+B15-B16</f>
        <v>71150.95</v>
      </c>
      <c r="C17" s="12" t="n">
        <f aca="false">C14+C15-C16</f>
        <v>71150.95</v>
      </c>
    </row>
    <row r="18" customFormat="false" ht="15" hidden="false" customHeight="false" outlineLevel="0" collapsed="false">
      <c r="A18" s="10" t="s">
        <v>805</v>
      </c>
      <c r="B18" s="73" t="n">
        <f aca="false">SUMIFS(科目余额表!$K$7:$K$246,科目余额表!$A$7:$A$246,参数设置!$A$11,科目余额表!$F$7:$F$246,"所得税费用")</f>
        <v>6000</v>
      </c>
      <c r="C18" s="73" t="n">
        <f aca="false">SUMIFS(科目余额表!$O$7:$O$246,科目余额表!$A$7:$A$246,参数设置!$A$11,科目余额表!$F$7:$F$246,"所得税费用")</f>
        <v>6000</v>
      </c>
    </row>
    <row r="19" customFormat="false" ht="15" hidden="false" customHeight="false" outlineLevel="0" collapsed="false">
      <c r="A19" s="14" t="s">
        <v>806</v>
      </c>
      <c r="B19" s="12" t="n">
        <f aca="false">B17-B18</f>
        <v>65150.95</v>
      </c>
      <c r="C19" s="12" t="n">
        <f aca="false">C17-C18</f>
        <v>65150.95</v>
      </c>
    </row>
    <row r="21" customFormat="false" ht="15" hidden="false" customHeight="false" outlineLevel="0" collapsed="false">
      <c r="A21" s="75" t="s">
        <v>807</v>
      </c>
      <c r="B21" s="76" t="n">
        <f aca="false">IF(ROUND(B6,2)=0,"—",(B6-B7)/B6)</f>
        <v>0.37108410652921</v>
      </c>
      <c r="C21" s="76" t="n">
        <f aca="false">IF(ROUND(C6,2)=0,"—",(C6-C7)/C6)</f>
        <v>0.37108410652921</v>
      </c>
    </row>
    <row r="22" customFormat="false" ht="15" hidden="false" customHeight="false" outlineLevel="0" collapsed="false">
      <c r="A22" s="75" t="s">
        <v>808</v>
      </c>
      <c r="B22" s="76" t="n">
        <f aca="false">IF(ROUND(B6,2)=0,"—",B19/B6)</f>
        <v>0.111943213058419</v>
      </c>
      <c r="C22" s="76" t="n">
        <f aca="false">IF(ROUND(C6,2)=0,"—",C19/C6)</f>
        <v>0.111943213058419</v>
      </c>
    </row>
  </sheetData>
  <mergeCells count="3">
    <mergeCell ref="A1:C1"/>
    <mergeCell ref="A2:C2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7"/>
    <col collapsed="false" customWidth="true" hidden="false" outlineLevel="0" max="4" min="4" style="0" width="2"/>
    <col collapsed="false" customWidth="true" hidden="false" outlineLevel="0" max="5" min="5" style="0" width="32"/>
    <col collapsed="false" customWidth="true" hidden="false" outlineLevel="0" max="7" min="6" style="0" width="17"/>
  </cols>
  <sheetData>
    <row r="1" customFormat="false" ht="25.5" hidden="false" customHeight="true" outlineLevel="0" collapsed="false">
      <c r="A1" s="1" t="s">
        <v>811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746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181</v>
      </c>
      <c r="B5" s="8" t="s">
        <v>747</v>
      </c>
      <c r="C5" s="8" t="s">
        <v>748</v>
      </c>
      <c r="D5" s="8"/>
      <c r="E5" s="8" t="s">
        <v>749</v>
      </c>
      <c r="F5" s="8" t="s">
        <v>747</v>
      </c>
      <c r="G5" s="8" t="s">
        <v>748</v>
      </c>
    </row>
    <row r="6" customFormat="false" ht="15" hidden="false" customHeight="false" outlineLevel="0" collapsed="false">
      <c r="A6" s="72" t="s">
        <v>750</v>
      </c>
      <c r="B6" s="42"/>
      <c r="C6" s="42"/>
      <c r="E6" s="72" t="s">
        <v>751</v>
      </c>
      <c r="F6" s="42"/>
      <c r="G6" s="42"/>
    </row>
    <row r="7" customFormat="false" ht="15" hidden="false" customHeight="false" outlineLevel="0" collapsed="false">
      <c r="A7" s="10" t="s">
        <v>752</v>
      </c>
      <c r="B7" s="73" t="n">
        <f aca="false">SUMIFS(科目余额表!$G$7:$G$246,科目余额表!$A$7:$A$246,参数设置!$A$12,科目余额表!$F$7:$F$246,"货币资金")</f>
        <v>322000</v>
      </c>
      <c r="C7" s="73" t="n">
        <f aca="false">SUMIFS(科目余额表!$L$7:$L$246,科目余额表!$A$7:$A$246,参数设置!$A$12,科目余额表!$F$7:$F$246,"货币资金")</f>
        <v>534660</v>
      </c>
      <c r="E7" s="10" t="s">
        <v>753</v>
      </c>
      <c r="F7" s="73" t="n">
        <f aca="false">SUMIFS(科目余额表!$G$7:$G$246,科目余额表!$A$7:$A$246,参数设置!$A$12,科目余额表!$F$7:$F$246,"短期借款")</f>
        <v>0</v>
      </c>
      <c r="G7" s="73" t="n">
        <f aca="false">SUMIFS(科目余额表!$L$7:$L$246,科目余额表!$A$7:$A$246,参数设置!$A$12,科目余额表!$F$7:$F$246,"短期借款")</f>
        <v>0</v>
      </c>
    </row>
    <row r="8" customFormat="false" ht="15" hidden="false" customHeight="false" outlineLevel="0" collapsed="false">
      <c r="A8" s="10" t="s">
        <v>754</v>
      </c>
      <c r="B8" s="73" t="n">
        <f aca="false">SUMIFS(科目余额表!$G$7:$G$246,科目余额表!$A$7:$A$246,参数设置!$A$12,科目余额表!$F$7:$F$246,"应收账款")</f>
        <v>88000</v>
      </c>
      <c r="C8" s="73" t="n">
        <f aca="false">SUMIFS(科目余额表!$L$7:$L$246,科目余额表!$A$7:$A$246,参数设置!$A$12,科目余额表!$F$7:$F$246,"应收账款")</f>
        <v>202750</v>
      </c>
      <c r="E8" s="10" t="s">
        <v>755</v>
      </c>
      <c r="F8" s="73" t="n">
        <f aca="false">SUMIFS(科目余额表!$G$7:$G$246,科目余额表!$A$7:$A$246,参数设置!$A$12,科目余额表!$F$7:$F$246,"应付账款")</f>
        <v>45000</v>
      </c>
      <c r="G8" s="73" t="n">
        <f aca="false">SUMIFS(科目余额表!$L$7:$L$246,科目余额表!$A$7:$A$246,参数设置!$A$12,科目余额表!$F$7:$F$246,"应付账款")</f>
        <v>61000</v>
      </c>
    </row>
    <row r="9" customFormat="false" ht="15" hidden="false" customHeight="false" outlineLevel="0" collapsed="false">
      <c r="A9" s="10" t="s">
        <v>756</v>
      </c>
      <c r="B9" s="73" t="n">
        <f aca="false">SUMIFS(科目余额表!$G$7:$G$246,科目余额表!$A$7:$A$246,参数设置!$A$12,科目余额表!$F$7:$F$246,"预付款项")</f>
        <v>0</v>
      </c>
      <c r="C9" s="73" t="n">
        <f aca="false">SUMIFS(科目余额表!$L$7:$L$246,科目余额表!$A$7:$A$246,参数设置!$A$12,科目余额表!$F$7:$F$246,"预付款项")</f>
        <v>0</v>
      </c>
      <c r="E9" s="10" t="s">
        <v>757</v>
      </c>
      <c r="F9" s="73" t="n">
        <f aca="false">SUMIFS(科目余额表!$G$7:$G$246,科目余额表!$A$7:$A$246,参数设置!$A$12,科目余额表!$F$7:$F$246,"预收款项")</f>
        <v>0</v>
      </c>
      <c r="G9" s="73" t="n">
        <f aca="false">SUMIFS(科目余额表!$L$7:$L$246,科目余额表!$A$7:$A$246,参数设置!$A$12,科目余额表!$F$7:$F$246,"预收款项")</f>
        <v>0</v>
      </c>
    </row>
    <row r="10" customFormat="false" ht="15" hidden="false" customHeight="false" outlineLevel="0" collapsed="false">
      <c r="A10" s="10" t="s">
        <v>758</v>
      </c>
      <c r="B10" s="73" t="n">
        <f aca="false">SUMIFS(科目余额表!$G$7:$G$246,科目余额表!$A$7:$A$246,参数设置!$A$12,科目余额表!$F$7:$F$246,"其他应收款")</f>
        <v>0</v>
      </c>
      <c r="C10" s="73" t="n">
        <f aca="false">SUMIFS(科目余额表!$L$7:$L$246,科目余额表!$A$7:$A$246,参数设置!$A$12,科目余额表!$F$7:$F$246,"其他应收款")</f>
        <v>0</v>
      </c>
      <c r="E10" s="10" t="s">
        <v>759</v>
      </c>
      <c r="F10" s="73" t="n">
        <f aca="false">SUMIFS(科目余额表!$G$7:$G$246,科目余额表!$A$7:$A$246,参数设置!$A$12,科目余额表!$F$7:$F$246,"应付职工薪酬")</f>
        <v>18000</v>
      </c>
      <c r="G10" s="73" t="n">
        <f aca="false">SUMIFS(科目余额表!$L$7:$L$246,科目余额表!$A$7:$A$246,参数设置!$A$12,科目余额表!$F$7:$F$246,"应付职工薪酬")</f>
        <v>20000</v>
      </c>
    </row>
    <row r="11" customFormat="false" ht="15" hidden="false" customHeight="false" outlineLevel="0" collapsed="false">
      <c r="A11" s="10" t="s">
        <v>760</v>
      </c>
      <c r="B11" s="73" t="n">
        <f aca="false">SUMIFS(科目余额表!$G$7:$G$246,科目余额表!$A$7:$A$246,参数设置!$A$12,科目余额表!$F$7:$F$246,"存货")</f>
        <v>108140</v>
      </c>
      <c r="C11" s="73" t="n">
        <f aca="false">SUMIFS(科目余额表!$L$7:$L$246,科目余额表!$A$7:$A$246,参数设置!$A$12,科目余额表!$F$7:$F$246,"存货")</f>
        <v>124023.57</v>
      </c>
      <c r="E11" s="10" t="s">
        <v>761</v>
      </c>
      <c r="F11" s="73" t="n">
        <f aca="false">SUMIFS(科目余额表!$G$7:$G$246,科目余额表!$A$7:$A$246,参数设置!$A$12,科目余额表!$F$7:$F$246,"应交税费")</f>
        <v>0</v>
      </c>
      <c r="G11" s="73" t="n">
        <f aca="false">SUMIFS(科目余额表!$L$7:$L$246,科目余额表!$A$7:$A$246,参数设置!$A$12,科目余额表!$F$7:$F$246,"应交税费")</f>
        <v>0</v>
      </c>
    </row>
    <row r="12" customFormat="false" ht="15" hidden="false" customHeight="false" outlineLevel="0" collapsed="false">
      <c r="A12" s="14" t="s">
        <v>762</v>
      </c>
      <c r="B12" s="12" t="n">
        <f aca="false">SUM(B7:B11)</f>
        <v>518140</v>
      </c>
      <c r="C12" s="12" t="n">
        <f aca="false">SUM(C7:C11)</f>
        <v>861433.57</v>
      </c>
      <c r="E12" s="10" t="s">
        <v>763</v>
      </c>
      <c r="F12" s="73" t="n">
        <f aca="false">SUMIFS(科目余额表!$G$7:$G$246,科目余额表!$A$7:$A$246,参数设置!$A$12,科目余额表!$F$7:$F$246,"其他应付款")</f>
        <v>0</v>
      </c>
      <c r="G12" s="73" t="n">
        <f aca="false">SUMIFS(科目余额表!$L$7:$L$246,科目余额表!$A$7:$A$246,参数设置!$A$12,科目余额表!$F$7:$F$246,"其他应付款")</f>
        <v>9600</v>
      </c>
    </row>
    <row r="13" customFormat="false" ht="15" hidden="false" customHeight="false" outlineLevel="0" collapsed="false">
      <c r="A13" s="72" t="s">
        <v>764</v>
      </c>
      <c r="B13" s="42"/>
      <c r="C13" s="42"/>
      <c r="E13" s="14" t="s">
        <v>765</v>
      </c>
      <c r="F13" s="12" t="n">
        <f aca="false">SUM(F7:F12)</f>
        <v>63000</v>
      </c>
      <c r="G13" s="12" t="n">
        <f aca="false">SUM(G7:G12)</f>
        <v>90600</v>
      </c>
    </row>
    <row r="14" customFormat="false" ht="15" hidden="false" customHeight="false" outlineLevel="0" collapsed="false">
      <c r="A14" s="10" t="s">
        <v>766</v>
      </c>
      <c r="B14" s="73" t="n">
        <f aca="false">SUMIFS(科目余额表!$G$7:$G$246,科目余额表!$A$7:$A$246,参数设置!$A$12,科目余额表!$F$7:$F$246,"固定资产原价")</f>
        <v>520000</v>
      </c>
      <c r="C14" s="73" t="n">
        <f aca="false">SUMIFS(科目余额表!$L$7:$L$246,科目余额表!$A$7:$A$246,参数设置!$A$12,科目余额表!$F$7:$F$246,"固定资产原价")</f>
        <v>520000</v>
      </c>
      <c r="E14" s="72" t="s">
        <v>767</v>
      </c>
      <c r="F14" s="42"/>
      <c r="G14" s="42"/>
    </row>
    <row r="15" customFormat="false" ht="15" hidden="false" customHeight="false" outlineLevel="0" collapsed="false">
      <c r="A15" s="10" t="s">
        <v>768</v>
      </c>
      <c r="B15" s="73" t="n">
        <f aca="false">SUMIFS(科目余额表!$G$7:$G$246,科目余额表!$A$7:$A$246,参数设置!$A$12,科目余额表!$F$7:$F$246,"累计折旧")</f>
        <v>104000</v>
      </c>
      <c r="C15" s="73" t="n">
        <f aca="false">SUMIFS(科目余额表!$L$7:$L$246,科目余额表!$A$7:$A$246,参数设置!$A$12,科目余额表!$F$7:$F$246,"累计折旧")</f>
        <v>156000</v>
      </c>
      <c r="E15" s="10" t="s">
        <v>769</v>
      </c>
      <c r="F15" s="73" t="n">
        <f aca="false">SUMIFS(科目余额表!$G$7:$G$246,科目余额表!$A$7:$A$246,参数设置!$A$12,科目余额表!$F$7:$F$246,"长期借款")</f>
        <v>0</v>
      </c>
      <c r="G15" s="73" t="n">
        <f aca="false">SUMIFS(科目余额表!$L$7:$L$246,科目余额表!$A$7:$A$246,参数设置!$A$12,科目余额表!$F$7:$F$246,"长期借款")</f>
        <v>0</v>
      </c>
    </row>
    <row r="16" customFormat="false" ht="15" hidden="false" customHeight="false" outlineLevel="0" collapsed="false">
      <c r="A16" s="14" t="s">
        <v>770</v>
      </c>
      <c r="B16" s="12" t="n">
        <f aca="false">B14-B15</f>
        <v>416000</v>
      </c>
      <c r="C16" s="12" t="n">
        <f aca="false">C14-C15</f>
        <v>364000</v>
      </c>
      <c r="E16" s="14" t="s">
        <v>26</v>
      </c>
      <c r="F16" s="12" t="n">
        <f aca="false">F13+F15</f>
        <v>63000</v>
      </c>
      <c r="G16" s="12" t="n">
        <f aca="false">G13+G15</f>
        <v>90600</v>
      </c>
    </row>
    <row r="17" customFormat="false" ht="15" hidden="false" customHeight="false" outlineLevel="0" collapsed="false">
      <c r="A17" s="10" t="s">
        <v>771</v>
      </c>
      <c r="B17" s="73" t="n">
        <f aca="false">SUMIFS(科目余额表!$G$7:$G$246,科目余额表!$A$7:$A$246,参数设置!$A$12,科目余额表!$F$7:$F$246,"生产性生物资产原价")</f>
        <v>0</v>
      </c>
      <c r="C17" s="73" t="n">
        <f aca="false">SUMIFS(科目余额表!$L$7:$L$246,科目余额表!$A$7:$A$246,参数设置!$A$12,科目余额表!$F$7:$F$246,"生产性生物资产原价")</f>
        <v>0</v>
      </c>
      <c r="E17" s="72" t="s">
        <v>772</v>
      </c>
      <c r="F17" s="42"/>
      <c r="G17" s="42"/>
    </row>
    <row r="18" customFormat="false" ht="15" hidden="false" customHeight="false" outlineLevel="0" collapsed="false">
      <c r="A18" s="10" t="s">
        <v>773</v>
      </c>
      <c r="B18" s="73" t="n">
        <f aca="false">SUMIFS(科目余额表!$G$7:$G$246,科目余额表!$A$7:$A$246,参数设置!$A$12,科目余额表!$F$7:$F$246,"生物资产累计折旧")</f>
        <v>0</v>
      </c>
      <c r="C18" s="73" t="n">
        <f aca="false">SUMIFS(科目余额表!$L$7:$L$246,科目余额表!$A$7:$A$246,参数设置!$A$12,科目余额表!$F$7:$F$246,"生物资产累计折旧")</f>
        <v>0</v>
      </c>
      <c r="E18" s="10" t="s">
        <v>774</v>
      </c>
      <c r="F18" s="73" t="n">
        <f aca="false">SUMIFS(科目余额表!$G$7:$G$246,科目余额表!$A$7:$A$246,参数设置!$A$12,科目余额表!$F$7:$F$246,"实收资本")</f>
        <v>700000</v>
      </c>
      <c r="G18" s="73" t="n">
        <f aca="false">SUMIFS(科目余额表!$L$7:$L$246,科目余额表!$A$7:$A$246,参数设置!$A$12,科目余额表!$F$7:$F$246,"实收资本")</f>
        <v>800000</v>
      </c>
    </row>
    <row r="19" customFormat="false" ht="15" hidden="false" customHeight="false" outlineLevel="0" collapsed="false">
      <c r="A19" s="14" t="s">
        <v>775</v>
      </c>
      <c r="B19" s="12" t="n">
        <f aca="false">B17-B18</f>
        <v>0</v>
      </c>
      <c r="C19" s="12" t="n">
        <f aca="false">C17-C18</f>
        <v>0</v>
      </c>
      <c r="E19" s="10" t="s">
        <v>776</v>
      </c>
      <c r="F19" s="73" t="n">
        <f aca="false">SUMIFS(科目余额表!$G$7:$G$246,科目余额表!$A$7:$A$246,参数设置!$A$12,科目余额表!$F$7:$F$246,"资本公积")</f>
        <v>0</v>
      </c>
      <c r="G19" s="73" t="n">
        <f aca="false">SUMIFS(科目余额表!$L$7:$L$246,科目余额表!$A$7:$A$246,参数设置!$A$12,科目余额表!$F$7:$F$246,"资本公积")</f>
        <v>0</v>
      </c>
    </row>
    <row r="20" customFormat="false" ht="15" hidden="false" customHeight="false" outlineLevel="0" collapsed="false">
      <c r="A20" s="10" t="s">
        <v>777</v>
      </c>
      <c r="B20" s="73" t="n">
        <f aca="false">SUMIFS(科目余额表!$G$7:$G$246,科目余额表!$A$7:$A$246,参数设置!$A$12,科目余额表!$F$7:$F$246,"无形资产原价")</f>
        <v>60000</v>
      </c>
      <c r="C20" s="73" t="n">
        <f aca="false">SUMIFS(科目余额表!$L$7:$L$246,科目余额表!$A$7:$A$246,参数设置!$A$12,科目余额表!$F$7:$F$246,"无形资产原价")</f>
        <v>60000</v>
      </c>
      <c r="E20" s="10" t="s">
        <v>778</v>
      </c>
      <c r="F20" s="73" t="n">
        <f aca="false">SUMIFS(科目余额表!$G$7:$G$246,科目余额表!$A$7:$A$246,参数设置!$A$12,科目余额表!$F$7:$F$246,"盈余公积")</f>
        <v>0</v>
      </c>
      <c r="G20" s="73" t="n">
        <f aca="false">SUMIFS(科目余额表!$L$7:$L$246,科目余额表!$A$7:$A$246,参数设置!$A$12,科目余额表!$F$7:$F$246,"盈余公积")</f>
        <v>0</v>
      </c>
    </row>
    <row r="21" customFormat="false" ht="15" hidden="false" customHeight="false" outlineLevel="0" collapsed="false">
      <c r="A21" s="10" t="s">
        <v>779</v>
      </c>
      <c r="B21" s="73" t="n">
        <f aca="false">SUMIFS(科目余额表!$G$7:$G$246,科目余额表!$A$7:$A$246,参数设置!$A$12,科目余额表!$F$7:$F$246,"累计摊销")</f>
        <v>12000</v>
      </c>
      <c r="C21" s="73" t="n">
        <f aca="false">SUMIFS(科目余额表!$L$7:$L$246,科目余额表!$A$7:$A$246,参数设置!$A$12,科目余额表!$F$7:$F$246,"累计摊销")</f>
        <v>18000</v>
      </c>
      <c r="E21" s="14" t="s">
        <v>780</v>
      </c>
      <c r="F21" s="12" t="n">
        <f aca="false">SUMIFS(科目余额表!$G$7:$G$246,科目余额表!$A$7:$A$246,参数设置!$A$12,科目余额表!$F$7:$F$246,"未分配利润")+0</f>
        <v>219140</v>
      </c>
      <c r="G21" s="12" t="n">
        <f aca="false">SUMIFS(科目余额表!$L$7:$L$246,科目余额表!$A$7:$A$246,参数设置!$A$12,科目余额表!$F$7:$F$246,"未分配利润")+(SUMIFS(科目余额表!$O$7:$O$246,科目余额表!$A$7:$A$246,参数设置!$A$12,科目余额表!$D$7:$D$246,"损益-收入")-SUMIFS(科目余额表!$O$7:$O$246,科目余额表!$A$7:$A$246,参数设置!$A$12,科目余额表!$D$7:$D$246,"损益-费用"))</f>
        <v>376833.57</v>
      </c>
    </row>
    <row r="22" customFormat="false" ht="15" hidden="false" customHeight="false" outlineLevel="0" collapsed="false">
      <c r="A22" s="14" t="s">
        <v>781</v>
      </c>
      <c r="B22" s="12" t="n">
        <f aca="false">B20-B21</f>
        <v>48000</v>
      </c>
      <c r="C22" s="12" t="n">
        <f aca="false">C20-C21</f>
        <v>42000</v>
      </c>
      <c r="E22" s="14" t="s">
        <v>782</v>
      </c>
      <c r="F22" s="12" t="n">
        <f aca="false">SUM(F18:F21)</f>
        <v>919140</v>
      </c>
      <c r="G22" s="12" t="n">
        <f aca="false">SUM(G18:G21)</f>
        <v>1176833.57</v>
      </c>
    </row>
    <row r="23" customFormat="false" ht="15" hidden="false" customHeight="false" outlineLevel="0" collapsed="false">
      <c r="A23" s="10" t="s">
        <v>783</v>
      </c>
      <c r="B23" s="73" t="n">
        <f aca="false">SUMIFS(科目余额表!$G$7:$G$246,科目余额表!$A$7:$A$246,参数设置!$A$12,科目余额表!$F$7:$F$246,"长期待摊费用")</f>
        <v>0</v>
      </c>
      <c r="C23" s="73" t="n">
        <f aca="false">SUMIFS(科目余额表!$L$7:$L$246,科目余额表!$A$7:$A$246,参数设置!$A$12,科目余额表!$F$7:$F$246,"长期待摊费用")</f>
        <v>0</v>
      </c>
      <c r="E23" s="14" t="s">
        <v>784</v>
      </c>
      <c r="F23" s="12" t="n">
        <f aca="false">F16+F22</f>
        <v>982140</v>
      </c>
      <c r="G23" s="12" t="n">
        <f aca="false">G16+G22</f>
        <v>1267433.57</v>
      </c>
    </row>
    <row r="24" customFormat="false" ht="15" hidden="false" customHeight="false" outlineLevel="0" collapsed="false">
      <c r="A24" s="14" t="s">
        <v>785</v>
      </c>
      <c r="B24" s="12" t="n">
        <f aca="false">B16+B19+B22+B23</f>
        <v>464000</v>
      </c>
      <c r="C24" s="12" t="n">
        <f aca="false">C16+C19+C22+C23</f>
        <v>406000</v>
      </c>
      <c r="E24" s="72" t="s">
        <v>786</v>
      </c>
      <c r="F24" s="42"/>
      <c r="G24" s="42"/>
    </row>
    <row r="25" customFormat="false" ht="15" hidden="false" customHeight="false" outlineLevel="0" collapsed="false">
      <c r="A25" s="14" t="s">
        <v>21</v>
      </c>
      <c r="B25" s="12" t="n">
        <f aca="false">B12+B24</f>
        <v>982140</v>
      </c>
      <c r="C25" s="12" t="n">
        <f aca="false">C12+C24</f>
        <v>1267433.57</v>
      </c>
      <c r="E25" s="14" t="s">
        <v>787</v>
      </c>
      <c r="F25" s="74" t="str">
        <f aca="false">IF(ROUND(B25-F23,2)=0,"√ 平衡","✗ 差 "&amp;TEXT(B25-F23,"#,##0.00"))</f>
        <v>√ 平衡</v>
      </c>
      <c r="G25" s="74" t="str">
        <f aca="false">IF(ROUND(C25-G23,2)=0,"√ 平衡","✗ 差 "&amp;TEXT(C25-G23,"#,##0.00"))</f>
        <v>√ 平衡</v>
      </c>
    </row>
  </sheetData>
  <mergeCells count="3">
    <mergeCell ref="A1:G1"/>
    <mergeCell ref="A2:G2"/>
    <mergeCell ref="H3:I3"/>
  </mergeCells>
  <conditionalFormatting sqref="F25">
    <cfRule type="expression" priority="2" aboveAverage="0" equalAverage="0" bottom="0" percent="0" rank="0" text="" dxfId="0">
      <formula>LEFT($F$25,1)="✗"</formula>
    </cfRule>
  </conditionalFormatting>
  <conditionalFormatting sqref="G25">
    <cfRule type="expression" priority="3" aboveAverage="0" equalAverage="0" bottom="0" percent="0" rank="0" text="" dxfId="0">
      <formula>LEFT($G$25,1)="✗"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25.5" hidden="false" customHeight="true" outlineLevel="0" collapsed="false">
      <c r="A1" s="1" t="s">
        <v>812</v>
      </c>
      <c r="B1" s="1"/>
      <c r="C1" s="1"/>
    </row>
    <row r="2" customFormat="false" ht="15" hidden="false" customHeight="true" outlineLevel="0" collapsed="false">
      <c r="A2" s="2" t="s">
        <v>789</v>
      </c>
      <c r="B2" s="2"/>
      <c r="C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790</v>
      </c>
      <c r="B5" s="8" t="s">
        <v>791</v>
      </c>
      <c r="C5" s="8" t="s">
        <v>792</v>
      </c>
    </row>
    <row r="6" customFormat="false" ht="15" hidden="false" customHeight="false" outlineLevel="0" collapsed="false">
      <c r="A6" s="10" t="s">
        <v>793</v>
      </c>
      <c r="B6" s="73" t="n">
        <f aca="false">SUMIFS(科目余额表!$K$7:$K$246,科目余额表!$A$7:$A$246,参数设置!$A$12,科目余额表!$F$7:$F$246,"营业收入")</f>
        <v>444750</v>
      </c>
      <c r="C6" s="73" t="n">
        <f aca="false">SUMIFS(科目余额表!$O$7:$O$246,科目余额表!$A$7:$A$246,参数设置!$A$12,科目余额表!$F$7:$F$246,"营业收入")</f>
        <v>444750</v>
      </c>
    </row>
    <row r="7" customFormat="false" ht="15" hidden="false" customHeight="false" outlineLevel="0" collapsed="false">
      <c r="A7" s="10" t="s">
        <v>794</v>
      </c>
      <c r="B7" s="73" t="n">
        <f aca="false">SUMIFS(科目余额表!$K$7:$K$246,科目余额表!$A$7:$A$246,参数设置!$A$12,科目余额表!$F$7:$F$246,"营业成本")</f>
        <v>138396.43</v>
      </c>
      <c r="C7" s="73" t="n">
        <f aca="false">SUMIFS(科目余额表!$O$7:$O$246,科目余额表!$A$7:$A$246,参数设置!$A$12,科目余额表!$F$7:$F$246,"营业成本")</f>
        <v>138396.43</v>
      </c>
    </row>
    <row r="8" customFormat="false" ht="15" hidden="false" customHeight="false" outlineLevel="0" collapsed="false">
      <c r="A8" s="10" t="s">
        <v>795</v>
      </c>
      <c r="B8" s="73" t="n">
        <f aca="false">SUMIFS(科目余额表!$K$7:$K$246,科目余额表!$A$7:$A$246,参数设置!$A$12,科目余额表!$F$7:$F$246,"税金及附加")</f>
        <v>42560</v>
      </c>
      <c r="C8" s="73" t="n">
        <f aca="false">SUMIFS(科目余额表!$O$7:$O$246,科目余额表!$A$7:$A$246,参数设置!$A$12,科目余额表!$F$7:$F$246,"税金及附加")</f>
        <v>42560</v>
      </c>
    </row>
    <row r="9" customFormat="false" ht="15" hidden="false" customHeight="false" outlineLevel="0" collapsed="false">
      <c r="A9" s="10" t="s">
        <v>796</v>
      </c>
      <c r="B9" s="73" t="n">
        <f aca="false">SUMIFS(科目余额表!$K$7:$K$246,科目余额表!$A$7:$A$246,参数设置!$A$12,科目余额表!$F$7:$F$246,"销售费用")</f>
        <v>36100</v>
      </c>
      <c r="C9" s="73" t="n">
        <f aca="false">SUMIFS(科目余额表!$O$7:$O$246,科目余额表!$A$7:$A$246,参数设置!$A$12,科目余额表!$F$7:$F$246,"销售费用")</f>
        <v>36100</v>
      </c>
    </row>
    <row r="10" customFormat="false" ht="15" hidden="false" customHeight="false" outlineLevel="0" collapsed="false">
      <c r="A10" s="10" t="s">
        <v>797</v>
      </c>
      <c r="B10" s="73" t="n">
        <f aca="false">SUMIFS(科目余额表!$K$7:$K$246,科目余额表!$A$7:$A$246,参数设置!$A$12,科目余额表!$F$7:$F$246,"管理费用")</f>
        <v>58000</v>
      </c>
      <c r="C10" s="73" t="n">
        <f aca="false">SUMIFS(科目余额表!$O$7:$O$246,科目余额表!$A$7:$A$246,参数设置!$A$12,科目余额表!$F$7:$F$246,"管理费用")</f>
        <v>58000</v>
      </c>
    </row>
    <row r="11" customFormat="false" ht="15" hidden="false" customHeight="false" outlineLevel="0" collapsed="false">
      <c r="A11" s="10" t="s">
        <v>798</v>
      </c>
      <c r="B11" s="73" t="n">
        <f aca="false">SUMIFS(科目余额表!$K$7:$K$246,科目余额表!$A$7:$A$246,参数设置!$A$12,科目余额表!$F$7:$F$246,"研发费用")</f>
        <v>0</v>
      </c>
      <c r="C11" s="73" t="n">
        <f aca="false">SUMIFS(科目余额表!$O$7:$O$246,科目余额表!$A$7:$A$246,参数设置!$A$12,科目余额表!$F$7:$F$246,"研发费用")</f>
        <v>0</v>
      </c>
    </row>
    <row r="12" customFormat="false" ht="15" hidden="false" customHeight="false" outlineLevel="0" collapsed="false">
      <c r="A12" s="10" t="s">
        <v>799</v>
      </c>
      <c r="B12" s="73" t="n">
        <f aca="false">SUMIFS(科目余额表!$K$7:$K$246,科目余额表!$A$7:$A$246,参数设置!$A$12,科目余额表!$F$7:$F$246,"财务费用")</f>
        <v>0</v>
      </c>
      <c r="C12" s="73" t="n">
        <f aca="false">SUMIFS(科目余额表!$O$7:$O$246,科目余额表!$A$7:$A$246,参数设置!$A$12,科目余额表!$F$7:$F$246,"财务费用")</f>
        <v>0</v>
      </c>
    </row>
    <row r="13" customFormat="false" ht="15" hidden="false" customHeight="false" outlineLevel="0" collapsed="false">
      <c r="A13" s="10" t="s">
        <v>800</v>
      </c>
      <c r="B13" s="73" t="n">
        <f aca="false">SUMIFS(科目余额表!$K$7:$K$246,科目余额表!$A$7:$A$246,参数设置!$A$12,科目余额表!$F$7:$F$246,"投资收益")</f>
        <v>0</v>
      </c>
      <c r="C13" s="73" t="n">
        <f aca="false">SUMIFS(科目余额表!$O$7:$O$246,科目余额表!$A$7:$A$246,参数设置!$A$12,科目余额表!$F$7:$F$246,"投资收益")</f>
        <v>0</v>
      </c>
    </row>
    <row r="14" customFormat="false" ht="15" hidden="false" customHeight="false" outlineLevel="0" collapsed="false">
      <c r="A14" s="14" t="s">
        <v>801</v>
      </c>
      <c r="B14" s="12" t="n">
        <f aca="false">B6-B7-B8-B9-B10-B11-B12+B13</f>
        <v>169693.57</v>
      </c>
      <c r="C14" s="12" t="n">
        <f aca="false">C6-C7-C8-C9-C10-C11-C12+C13</f>
        <v>169693.57</v>
      </c>
    </row>
    <row r="15" customFormat="false" ht="15" hidden="false" customHeight="false" outlineLevel="0" collapsed="false">
      <c r="A15" s="10" t="s">
        <v>802</v>
      </c>
      <c r="B15" s="73" t="n">
        <f aca="false">SUMIFS(科目余额表!$K$7:$K$246,科目余额表!$A$7:$A$246,参数设置!$A$12,科目余额表!$F$7:$F$246,"营业外收入")</f>
        <v>0</v>
      </c>
      <c r="C15" s="73" t="n">
        <f aca="false">SUMIFS(科目余额表!$O$7:$O$246,科目余额表!$A$7:$A$246,参数设置!$A$12,科目余额表!$F$7:$F$246,"营业外收入")</f>
        <v>0</v>
      </c>
    </row>
    <row r="16" customFormat="false" ht="15" hidden="false" customHeight="false" outlineLevel="0" collapsed="false">
      <c r="A16" s="10" t="s">
        <v>803</v>
      </c>
      <c r="B16" s="73" t="n">
        <f aca="false">SUMIFS(科目余额表!$K$7:$K$246,科目余额表!$A$7:$A$246,参数设置!$A$12,科目余额表!$F$7:$F$246,"营业外支出")</f>
        <v>0</v>
      </c>
      <c r="C16" s="73" t="n">
        <f aca="false">SUMIFS(科目余额表!$O$7:$O$246,科目余额表!$A$7:$A$246,参数设置!$A$12,科目余额表!$F$7:$F$246,"营业外支出")</f>
        <v>0</v>
      </c>
    </row>
    <row r="17" customFormat="false" ht="15" hidden="false" customHeight="false" outlineLevel="0" collapsed="false">
      <c r="A17" s="14" t="s">
        <v>804</v>
      </c>
      <c r="B17" s="12" t="n">
        <f aca="false">B14+B15-B16</f>
        <v>169693.57</v>
      </c>
      <c r="C17" s="12" t="n">
        <f aca="false">C14+C15-C16</f>
        <v>169693.57</v>
      </c>
    </row>
    <row r="18" customFormat="false" ht="15" hidden="false" customHeight="false" outlineLevel="0" collapsed="false">
      <c r="A18" s="10" t="s">
        <v>805</v>
      </c>
      <c r="B18" s="73" t="n">
        <f aca="false">SUMIFS(科目余额表!$K$7:$K$246,科目余额表!$A$7:$A$246,参数设置!$A$12,科目余额表!$F$7:$F$246,"所得税费用")</f>
        <v>12000</v>
      </c>
      <c r="C18" s="73" t="n">
        <f aca="false">SUMIFS(科目余额表!$O$7:$O$246,科目余额表!$A$7:$A$246,参数设置!$A$12,科目余额表!$F$7:$F$246,"所得税费用")</f>
        <v>12000</v>
      </c>
    </row>
    <row r="19" customFormat="false" ht="15" hidden="false" customHeight="false" outlineLevel="0" collapsed="false">
      <c r="A19" s="14" t="s">
        <v>806</v>
      </c>
      <c r="B19" s="12" t="n">
        <f aca="false">B17-B18</f>
        <v>157693.57</v>
      </c>
      <c r="C19" s="12" t="n">
        <f aca="false">C17-C18</f>
        <v>157693.57</v>
      </c>
    </row>
    <row r="21" customFormat="false" ht="15" hidden="false" customHeight="false" outlineLevel="0" collapsed="false">
      <c r="A21" s="75" t="s">
        <v>807</v>
      </c>
      <c r="B21" s="76" t="n">
        <f aca="false">IF(ROUND(B6,2)=0,"—",(B6-B7)/B6)</f>
        <v>0.688821967397414</v>
      </c>
      <c r="C21" s="76" t="n">
        <f aca="false">IF(ROUND(C6,2)=0,"—",(C6-C7)/C6)</f>
        <v>0.688821967397414</v>
      </c>
    </row>
    <row r="22" customFormat="false" ht="15" hidden="false" customHeight="false" outlineLevel="0" collapsed="false">
      <c r="A22" s="75" t="s">
        <v>808</v>
      </c>
      <c r="B22" s="76" t="n">
        <f aca="false">IF(ROUND(B6,2)=0,"—",B19/B6)</f>
        <v>0.354566767847105</v>
      </c>
      <c r="C22" s="76" t="n">
        <f aca="false">IF(ROUND(C6,2)=0,"—",C19/C6)</f>
        <v>0.354566767847105</v>
      </c>
    </row>
  </sheetData>
  <mergeCells count="3">
    <mergeCell ref="A1:C1"/>
    <mergeCell ref="A2:C2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</cols>
  <sheetData>
    <row r="1" customFormat="false" ht="25.5" hidden="false" customHeight="true" outlineLevel="0" collapsed="false">
      <c r="A1" s="1" t="s">
        <v>813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814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22.35" hidden="false" customHeight="true" outlineLevel="0" collapsed="false">
      <c r="A5" s="3" t="s">
        <v>815</v>
      </c>
      <c r="B5" s="77" t="n">
        <v>0</v>
      </c>
      <c r="C5" s="45" t="s">
        <v>816</v>
      </c>
      <c r="D5" s="45"/>
      <c r="E5" s="45"/>
      <c r="F5" s="45"/>
      <c r="G5" s="45"/>
    </row>
    <row r="7" customFormat="false" ht="30" hidden="false" customHeight="true" outlineLevel="0" collapsed="false">
      <c r="A7" s="8" t="s">
        <v>817</v>
      </c>
      <c r="B7" s="8" t="s">
        <v>6</v>
      </c>
      <c r="C7" s="8" t="s">
        <v>7</v>
      </c>
      <c r="D7" s="8" t="s">
        <v>8</v>
      </c>
      <c r="E7" s="8" t="s">
        <v>818</v>
      </c>
      <c r="F7" s="8" t="s">
        <v>819</v>
      </c>
      <c r="G7" s="8" t="s">
        <v>820</v>
      </c>
    </row>
    <row r="8" customFormat="false" ht="15" hidden="false" customHeight="false" outlineLevel="0" collapsed="false">
      <c r="A8" s="10" t="s">
        <v>793</v>
      </c>
      <c r="B8" s="73" t="n">
        <f aca="false">SUMIFS(科目余额表!$O$7:$O$246,科目余额表!$A$7:$A$246,参数设置!$A$10,科目余额表!$F$7:$F$246,"营业收入")</f>
        <v>329000</v>
      </c>
      <c r="C8" s="73" t="n">
        <f aca="false">SUMIFS(科目余额表!$O$7:$O$246,科目余额表!$A$7:$A$246,参数设置!$A$11,科目余额表!$F$7:$F$246,"营业收入")</f>
        <v>582000</v>
      </c>
      <c r="D8" s="73" t="n">
        <f aca="false">SUMIFS(科目余额表!$O$7:$O$246,科目余额表!$A$7:$A$246,参数设置!$A$12,科目余额表!$F$7:$F$246,"营业收入")</f>
        <v>444750</v>
      </c>
      <c r="E8" s="12" t="n">
        <f aca="false">SUM(B8:D8)</f>
        <v>1355750</v>
      </c>
      <c r="F8" s="73" t="n">
        <f aca="false">-(SUMIFS(购销流水!$Q$6:$Q$805,购销流水!$X$6:$X$805,"是",购销流水!$D$6:$D$805,"销售出库")-SUMIFS(购销流水!$Q$6:$Q$805,购销流水!$X$6:$X$805,"是",购销流水!$D$6:$D$805,"销售退回"))</f>
        <v>-245000</v>
      </c>
      <c r="G8" s="12" t="n">
        <f aca="false">E8+F8</f>
        <v>1110750</v>
      </c>
    </row>
    <row r="9" customFormat="false" ht="15" hidden="false" customHeight="false" outlineLevel="0" collapsed="false">
      <c r="A9" s="10" t="s">
        <v>794</v>
      </c>
      <c r="B9" s="73" t="n">
        <f aca="false">SUMIFS(科目余额表!$O$7:$O$246,科目余额表!$A$7:$A$246,参数设置!$A$10,科目余额表!$F$7:$F$246,"营业成本")</f>
        <v>177927.62</v>
      </c>
      <c r="C9" s="73" t="n">
        <f aca="false">SUMIFS(科目余额表!$O$7:$O$246,科目余额表!$A$7:$A$246,参数设置!$A$11,科目余额表!$F$7:$F$246,"营业成本")</f>
        <v>366029.05</v>
      </c>
      <c r="D9" s="73" t="n">
        <f aca="false">SUMIFS(科目余额表!$O$7:$O$246,科目余额表!$A$7:$A$246,参数设置!$A$12,科目余额表!$F$7:$F$246,"营业成本")</f>
        <v>138396.43</v>
      </c>
      <c r="E9" s="12" t="n">
        <f aca="false">SUM(B9:D9)</f>
        <v>682353.1</v>
      </c>
      <c r="F9" s="73" t="n">
        <f aca="false">-((SUMIFS(购销流水!$Q$6:$Q$805,购销流水!$X$6:$X$805,"是",购销流水!$D$6:$D$805,"销售出库")-SUMIFS(购销流水!$Q$6:$Q$805,购销流水!$X$6:$X$805,"是",购销流水!$D$6:$D$805,"销售退回"))-N($B$5))</f>
        <v>-245000</v>
      </c>
      <c r="G9" s="12" t="n">
        <f aca="false">E9+F9</f>
        <v>437353.1</v>
      </c>
    </row>
    <row r="10" customFormat="false" ht="15" hidden="false" customHeight="false" outlineLevel="0" collapsed="false">
      <c r="A10" s="10" t="s">
        <v>795</v>
      </c>
      <c r="B10" s="73" t="n">
        <f aca="false">SUMIFS(科目余额表!$O$7:$O$246,科目余额表!$A$7:$A$246,参数设置!$A$10,科目余额表!$F$7:$F$246,"税金及附加")</f>
        <v>0</v>
      </c>
      <c r="C10" s="73" t="n">
        <f aca="false">SUMIFS(科目余额表!$O$7:$O$246,科目余额表!$A$7:$A$246,参数设置!$A$11,科目余额表!$F$7:$F$246,"税金及附加")</f>
        <v>31360</v>
      </c>
      <c r="D10" s="73" t="n">
        <f aca="false">SUMIFS(科目余额表!$O$7:$O$246,科目余额表!$A$7:$A$246,参数设置!$A$12,科目余额表!$F$7:$F$246,"税金及附加")</f>
        <v>42560</v>
      </c>
      <c r="E10" s="12" t="n">
        <f aca="false">SUM(B10:D10)</f>
        <v>73920</v>
      </c>
      <c r="F10" s="78" t="n">
        <v>0</v>
      </c>
      <c r="G10" s="12" t="n">
        <f aca="false">E10+F10</f>
        <v>73920</v>
      </c>
    </row>
    <row r="11" customFormat="false" ht="15" hidden="false" customHeight="false" outlineLevel="0" collapsed="false">
      <c r="A11" s="10" t="s">
        <v>796</v>
      </c>
      <c r="B11" s="73" t="n">
        <f aca="false">SUMIFS(科目余额表!$O$7:$O$246,科目余额表!$A$7:$A$246,参数设置!$A$10,科目余额表!$F$7:$F$246,"销售费用")</f>
        <v>0</v>
      </c>
      <c r="C11" s="73" t="n">
        <f aca="false">SUMIFS(科目余额表!$O$7:$O$246,科目余额表!$A$7:$A$246,参数设置!$A$11,科目余额表!$F$7:$F$246,"销售费用")</f>
        <v>0</v>
      </c>
      <c r="D11" s="73" t="n">
        <f aca="false">SUMIFS(科目余额表!$O$7:$O$246,科目余额表!$A$7:$A$246,参数设置!$A$12,科目余额表!$F$7:$F$246,"销售费用")</f>
        <v>36100</v>
      </c>
      <c r="E11" s="12" t="n">
        <f aca="false">SUM(B11:D11)</f>
        <v>36100</v>
      </c>
      <c r="F11" s="78" t="n">
        <v>0</v>
      </c>
      <c r="G11" s="12" t="n">
        <f aca="false">E11+F11</f>
        <v>36100</v>
      </c>
    </row>
    <row r="12" customFormat="false" ht="15" hidden="false" customHeight="false" outlineLevel="0" collapsed="false">
      <c r="A12" s="10" t="s">
        <v>797</v>
      </c>
      <c r="B12" s="73" t="n">
        <f aca="false">SUMIFS(科目余额表!$O$7:$O$246,科目余额表!$A$7:$A$246,参数设置!$A$10,科目余额表!$F$7:$F$246,"管理费用")</f>
        <v>123000</v>
      </c>
      <c r="C12" s="73" t="n">
        <f aca="false">SUMIFS(科目余额表!$O$7:$O$246,科目余额表!$A$7:$A$246,参数设置!$A$11,科目余额表!$F$7:$F$246,"管理费用")</f>
        <v>113460</v>
      </c>
      <c r="D12" s="73" t="n">
        <f aca="false">SUMIFS(科目余额表!$O$7:$O$246,科目余额表!$A$7:$A$246,参数设置!$A$12,科目余额表!$F$7:$F$246,"管理费用")</f>
        <v>58000</v>
      </c>
      <c r="E12" s="12" t="n">
        <f aca="false">SUM(B12:D12)</f>
        <v>294460</v>
      </c>
      <c r="F12" s="78" t="n">
        <v>0</v>
      </c>
      <c r="G12" s="12" t="n">
        <f aca="false">E12+F12</f>
        <v>294460</v>
      </c>
    </row>
    <row r="13" customFormat="false" ht="15" hidden="false" customHeight="false" outlineLevel="0" collapsed="false">
      <c r="A13" s="10" t="s">
        <v>798</v>
      </c>
      <c r="B13" s="73" t="n">
        <f aca="false">SUMIFS(科目余额表!$O$7:$O$246,科目余额表!$A$7:$A$246,参数设置!$A$10,科目余额表!$F$7:$F$246,"研发费用")</f>
        <v>0</v>
      </c>
      <c r="C13" s="73" t="n">
        <f aca="false">SUMIFS(科目余额表!$O$7:$O$246,科目余额表!$A$7:$A$246,参数设置!$A$11,科目余额表!$F$7:$F$246,"研发费用")</f>
        <v>0</v>
      </c>
      <c r="D13" s="73" t="n">
        <f aca="false">SUMIFS(科目余额表!$O$7:$O$246,科目余额表!$A$7:$A$246,参数设置!$A$12,科目余额表!$F$7:$F$246,"研发费用")</f>
        <v>0</v>
      </c>
      <c r="E13" s="12" t="n">
        <f aca="false">SUM(B13:D13)</f>
        <v>0</v>
      </c>
      <c r="F13" s="78" t="n">
        <v>0</v>
      </c>
      <c r="G13" s="12" t="n">
        <f aca="false">E13+F13</f>
        <v>0</v>
      </c>
    </row>
    <row r="14" customFormat="false" ht="15" hidden="false" customHeight="false" outlineLevel="0" collapsed="false">
      <c r="A14" s="10" t="s">
        <v>799</v>
      </c>
      <c r="B14" s="73" t="n">
        <f aca="false">SUMIFS(科目余额表!$O$7:$O$246,科目余额表!$A$7:$A$246,参数设置!$A$10,科目余额表!$F$7:$F$246,"财务费用")</f>
        <v>6000</v>
      </c>
      <c r="C14" s="73" t="n">
        <f aca="false">SUMIFS(科目余额表!$O$7:$O$246,科目余额表!$A$7:$A$246,参数设置!$A$11,科目余额表!$F$7:$F$246,"财务费用")</f>
        <v>0</v>
      </c>
      <c r="D14" s="73" t="n">
        <f aca="false">SUMIFS(科目余额表!$O$7:$O$246,科目余额表!$A$7:$A$246,参数设置!$A$12,科目余额表!$F$7:$F$246,"财务费用")</f>
        <v>0</v>
      </c>
      <c r="E14" s="12" t="n">
        <f aca="false">SUM(B14:D14)</f>
        <v>6000</v>
      </c>
      <c r="F14" s="78" t="n">
        <v>0</v>
      </c>
      <c r="G14" s="12" t="n">
        <f aca="false">E14+F14</f>
        <v>6000</v>
      </c>
    </row>
    <row r="15" customFormat="false" ht="15" hidden="false" customHeight="false" outlineLevel="0" collapsed="false">
      <c r="A15" s="10" t="s">
        <v>800</v>
      </c>
      <c r="B15" s="73" t="n">
        <f aca="false">SUMIFS(科目余额表!$O$7:$O$246,科目余额表!$A$7:$A$246,参数设置!$A$10,科目余额表!$F$7:$F$246,"投资收益")</f>
        <v>0</v>
      </c>
      <c r="C15" s="73" t="n">
        <f aca="false">SUMIFS(科目余额表!$O$7:$O$246,科目余额表!$A$7:$A$246,参数设置!$A$11,科目余额表!$F$7:$F$246,"投资收益")</f>
        <v>0</v>
      </c>
      <c r="D15" s="73" t="n">
        <f aca="false">SUMIFS(科目余额表!$O$7:$O$246,科目余额表!$A$7:$A$246,参数设置!$A$12,科目余额表!$F$7:$F$246,"投资收益")</f>
        <v>0</v>
      </c>
      <c r="E15" s="12" t="n">
        <f aca="false">SUM(B15:D15)</f>
        <v>0</v>
      </c>
      <c r="F15" s="78" t="n">
        <v>0</v>
      </c>
      <c r="G15" s="12" t="n">
        <f aca="false">E15+F15</f>
        <v>0</v>
      </c>
    </row>
    <row r="16" customFormat="false" ht="15" hidden="false" customHeight="false" outlineLevel="0" collapsed="false">
      <c r="A16" s="14" t="s">
        <v>801</v>
      </c>
      <c r="B16" s="12" t="n">
        <f aca="false">B8-B9-B10-B11-B12-B13-B14+B15</f>
        <v>22072.38</v>
      </c>
      <c r="C16" s="12" t="n">
        <f aca="false">C8-C9-C10-C11-C12-C13-C14+C15</f>
        <v>71150.95</v>
      </c>
      <c r="D16" s="12" t="n">
        <f aca="false">D8-D9-D10-D11-D12-D13-D14+D15</f>
        <v>169693.57</v>
      </c>
      <c r="E16" s="12" t="n">
        <f aca="false">E8-E9-E10-E11-E12-E13-E14+E15</f>
        <v>262916.9</v>
      </c>
      <c r="F16" s="12" t="n">
        <f aca="false">F8-F9-F10-F11-F12-F13-F14+F15</f>
        <v>0</v>
      </c>
      <c r="G16" s="12" t="n">
        <f aca="false">G8-G9-G10-G11-G12-G13-G14+G15</f>
        <v>262916.9</v>
      </c>
    </row>
    <row r="17" customFormat="false" ht="15" hidden="false" customHeight="false" outlineLevel="0" collapsed="false">
      <c r="A17" s="10" t="s">
        <v>802</v>
      </c>
      <c r="B17" s="73" t="n">
        <f aca="false">SUMIFS(科目余额表!$O$7:$O$246,科目余额表!$A$7:$A$246,参数设置!$A$10,科目余额表!$F$7:$F$246,"营业外收入")</f>
        <v>0</v>
      </c>
      <c r="C17" s="73" t="n">
        <f aca="false">SUMIFS(科目余额表!$O$7:$O$246,科目余额表!$A$7:$A$246,参数设置!$A$11,科目余额表!$F$7:$F$246,"营业外收入")</f>
        <v>0</v>
      </c>
      <c r="D17" s="73" t="n">
        <f aca="false">SUMIFS(科目余额表!$O$7:$O$246,科目余额表!$A$7:$A$246,参数设置!$A$12,科目余额表!$F$7:$F$246,"营业外收入")</f>
        <v>0</v>
      </c>
      <c r="E17" s="12" t="n">
        <f aca="false">SUM(B17:D17)</f>
        <v>0</v>
      </c>
      <c r="F17" s="78" t="n">
        <v>0</v>
      </c>
      <c r="G17" s="12" t="n">
        <f aca="false">E17+F17</f>
        <v>0</v>
      </c>
    </row>
    <row r="18" customFormat="false" ht="15" hidden="false" customHeight="false" outlineLevel="0" collapsed="false">
      <c r="A18" s="10" t="s">
        <v>803</v>
      </c>
      <c r="B18" s="73" t="n">
        <f aca="false">SUMIFS(科目余额表!$O$7:$O$246,科目余额表!$A$7:$A$246,参数设置!$A$10,科目余额表!$F$7:$F$246,"营业外支出")</f>
        <v>0</v>
      </c>
      <c r="C18" s="73" t="n">
        <f aca="false">SUMIFS(科目余额表!$O$7:$O$246,科目余额表!$A$7:$A$246,参数设置!$A$11,科目余额表!$F$7:$F$246,"营业外支出")</f>
        <v>0</v>
      </c>
      <c r="D18" s="73" t="n">
        <f aca="false">SUMIFS(科目余额表!$O$7:$O$246,科目余额表!$A$7:$A$246,参数设置!$A$12,科目余额表!$F$7:$F$246,"营业外支出")</f>
        <v>0</v>
      </c>
      <c r="E18" s="12" t="n">
        <f aca="false">SUM(B18:D18)</f>
        <v>0</v>
      </c>
      <c r="F18" s="78" t="n">
        <v>0</v>
      </c>
      <c r="G18" s="12" t="n">
        <f aca="false">E18+F18</f>
        <v>0</v>
      </c>
    </row>
    <row r="19" customFormat="false" ht="15" hidden="false" customHeight="false" outlineLevel="0" collapsed="false">
      <c r="A19" s="14" t="s">
        <v>804</v>
      </c>
      <c r="B19" s="12" t="n">
        <f aca="false">B16+B17-B18</f>
        <v>22072.38</v>
      </c>
      <c r="C19" s="12" t="n">
        <f aca="false">C16+C17-C18</f>
        <v>71150.95</v>
      </c>
      <c r="D19" s="12" t="n">
        <f aca="false">D16+D17-D18</f>
        <v>169693.57</v>
      </c>
      <c r="E19" s="12" t="n">
        <f aca="false">E16+E17-E18</f>
        <v>262916.9</v>
      </c>
      <c r="F19" s="12" t="n">
        <f aca="false">F16+F17-F18</f>
        <v>0</v>
      </c>
      <c r="G19" s="12" t="n">
        <f aca="false">G16+G17-G18</f>
        <v>262916.9</v>
      </c>
    </row>
    <row r="20" customFormat="false" ht="15" hidden="false" customHeight="false" outlineLevel="0" collapsed="false">
      <c r="A20" s="10" t="s">
        <v>805</v>
      </c>
      <c r="B20" s="73" t="n">
        <f aca="false">SUMIFS(科目余额表!$O$7:$O$246,科目余额表!$A$7:$A$246,参数设置!$A$10,科目余额表!$F$7:$F$246,"所得税费用")</f>
        <v>0</v>
      </c>
      <c r="C20" s="73" t="n">
        <f aca="false">SUMIFS(科目余额表!$O$7:$O$246,科目余额表!$A$7:$A$246,参数设置!$A$11,科目余额表!$F$7:$F$246,"所得税费用")</f>
        <v>6000</v>
      </c>
      <c r="D20" s="73" t="n">
        <f aca="false">SUMIFS(科目余额表!$O$7:$O$246,科目余额表!$A$7:$A$246,参数设置!$A$12,科目余额表!$F$7:$F$246,"所得税费用")</f>
        <v>12000</v>
      </c>
      <c r="E20" s="12" t="n">
        <f aca="false">SUM(B20:D20)</f>
        <v>18000</v>
      </c>
      <c r="F20" s="78" t="n">
        <v>0</v>
      </c>
      <c r="G20" s="12" t="n">
        <f aca="false">E20+F20</f>
        <v>18000</v>
      </c>
    </row>
    <row r="21" customFormat="false" ht="15" hidden="false" customHeight="false" outlineLevel="0" collapsed="false">
      <c r="A21" s="14" t="s">
        <v>806</v>
      </c>
      <c r="B21" s="12" t="n">
        <f aca="false">B19-B20</f>
        <v>22072.38</v>
      </c>
      <c r="C21" s="12" t="n">
        <f aca="false">C19-C20</f>
        <v>65150.95</v>
      </c>
      <c r="D21" s="12" t="n">
        <f aca="false">D19-D20</f>
        <v>157693.57</v>
      </c>
      <c r="E21" s="12" t="n">
        <f aca="false">E19-E20</f>
        <v>244916.9</v>
      </c>
      <c r="F21" s="12" t="n">
        <f aca="false">F19-F20</f>
        <v>0</v>
      </c>
      <c r="G21" s="12" t="n">
        <f aca="false">G19-G20</f>
        <v>244916.9</v>
      </c>
    </row>
    <row r="23" customFormat="false" ht="30" hidden="false" customHeight="true" outlineLevel="0" collapsed="false">
      <c r="A23" s="8" t="s">
        <v>821</v>
      </c>
      <c r="B23" s="8" t="s">
        <v>6</v>
      </c>
      <c r="C23" s="8" t="s">
        <v>7</v>
      </c>
      <c r="D23" s="8" t="s">
        <v>8</v>
      </c>
      <c r="E23" s="8" t="s">
        <v>818</v>
      </c>
      <c r="F23" s="8" t="s">
        <v>819</v>
      </c>
      <c r="G23" s="8" t="s">
        <v>820</v>
      </c>
    </row>
    <row r="24" customFormat="false" ht="15" hidden="false" customHeight="false" outlineLevel="0" collapsed="false">
      <c r="A24" s="72" t="s">
        <v>181</v>
      </c>
      <c r="B24" s="12"/>
      <c r="C24" s="12"/>
      <c r="D24" s="12"/>
      <c r="E24" s="79"/>
      <c r="F24" s="80"/>
      <c r="G24" s="79"/>
    </row>
    <row r="25" customFormat="false" ht="15" hidden="false" customHeight="false" outlineLevel="0" collapsed="false">
      <c r="A25" s="10" t="s">
        <v>822</v>
      </c>
      <c r="B25" s="73" t="n">
        <f aca="false">SUMIFS(科目余额表!$L$7:$L$246,科目余额表!$A$7:$A$246,参数设置!$A$10,科目余额表!$F$7:$F$246,"货币资金")</f>
        <v>319200</v>
      </c>
      <c r="C25" s="73" t="n">
        <f aca="false">SUMIFS(科目余额表!$L$7:$L$246,科目余额表!$A$7:$A$246,参数设置!$A$11,科目余额表!$F$7:$F$246,"货币资金")</f>
        <v>420380</v>
      </c>
      <c r="D25" s="73" t="n">
        <f aca="false">SUMIFS(科目余额表!$L$7:$L$246,科目余额表!$A$7:$A$246,参数设置!$A$12,科目余额表!$F$7:$F$246,"货币资金")</f>
        <v>534660</v>
      </c>
      <c r="E25" s="12" t="n">
        <f aca="false">SUM(B25:D25)</f>
        <v>1274240</v>
      </c>
      <c r="F25" s="73" t="n">
        <v>0</v>
      </c>
      <c r="G25" s="12" t="n">
        <f aca="false">E25+F25</f>
        <v>1274240</v>
      </c>
    </row>
    <row r="26" customFormat="false" ht="15" hidden="false" customHeight="false" outlineLevel="0" collapsed="false">
      <c r="A26" s="10" t="s">
        <v>823</v>
      </c>
      <c r="B26" s="73" t="n">
        <f aca="false">SUMIFS(科目余额表!$L$7:$L$246,科目余额表!$A$7:$A$246,参数设置!$A$10,科目余额表!$F$7:$F$246,"应收账款")</f>
        <v>73000</v>
      </c>
      <c r="C26" s="73" t="n">
        <f aca="false">SUMIFS(科目余额表!$L$7:$L$246,科目余额表!$A$7:$A$246,参数设置!$A$11,科目余额表!$F$7:$F$246,"应收账款")</f>
        <v>368000</v>
      </c>
      <c r="D26" s="73" t="n">
        <f aca="false">SUMIFS(科目余额表!$L$7:$L$246,科目余额表!$A$7:$A$246,参数设置!$A$12,科目余额表!$F$7:$F$246,"应收账款")</f>
        <v>202750</v>
      </c>
      <c r="E26" s="12" t="n">
        <f aca="false">SUM(B26:D26)</f>
        <v>643750</v>
      </c>
      <c r="F26" s="73" t="n">
        <f aca="false">-((SUMIFS(期初余额!$R$6:$R$65,期初余额!$Q$6:$Q$65,参数设置!$B$10)+SUMIFS(记账分录!$I$6:$I$5505,记账分录!$H$6:$H$5505,"应收账款",记账分录!$K$6:$K$5505,参数设置!$B$10,记账分录!$E$6:$E$5505,"&lt;="&amp;$B$4)-SUMIFS(记账分录!$J$6:$J$5505,记账分录!$H$6:$H$5505,"应收账款",记账分录!$K$6:$K$5505,参数设置!$B$10,记账分录!$E$6:$E$5505,"&lt;="&amp;$B$4))+(SUMIFS(期初余额!$R$6:$R$65,期初余额!$Q$6:$Q$65,参数设置!$B$11)+SUMIFS(记账分录!$I$6:$I$5505,记账分录!$H$6:$H$5505,"应收账款",记账分录!$K$6:$K$5505,参数设置!$B$11,记账分录!$E$6:$E$5505,"&lt;="&amp;$B$4)-SUMIFS(记账分录!$J$6:$J$5505,记账分录!$H$6:$H$5505,"应收账款",记账分录!$K$6:$K$5505,参数设置!$B$11,记账分录!$E$6:$E$5505,"&lt;="&amp;$B$4))+(SUMIFS(期初余额!$R$6:$R$65,期初余额!$Q$6:$Q$65,参数设置!$B$12)+SUMIFS(记账分录!$I$6:$I$5505,记账分录!$H$6:$H$5505,"应收账款",记账分录!$K$6:$K$5505,参数设置!$B$12,记账分录!$E$6:$E$5505,"&lt;="&amp;$B$4)-SUMIFS(记账分录!$J$6:$J$5505,记账分录!$H$6:$H$5505,"应收账款",记账分录!$K$6:$K$5505,参数设置!$B$12,记账分录!$E$6:$E$5505,"&lt;="&amp;$B$4)))</f>
        <v>-55000</v>
      </c>
      <c r="G26" s="12" t="n">
        <f aca="false">E26+F26</f>
        <v>588750</v>
      </c>
    </row>
    <row r="27" customFormat="false" ht="15" hidden="false" customHeight="false" outlineLevel="0" collapsed="false">
      <c r="A27" s="10" t="s">
        <v>824</v>
      </c>
      <c r="B27" s="73" t="n">
        <f aca="false">SUMIFS(科目余额表!$L$7:$L$246,科目余额表!$A$7:$A$246,参数设置!$A$10,科目余额表!$F$7:$F$246,"预付款项")</f>
        <v>0</v>
      </c>
      <c r="C27" s="73" t="n">
        <f aca="false">SUMIFS(科目余额表!$L$7:$L$246,科目余额表!$A$7:$A$246,参数设置!$A$11,科目余额表!$F$7:$F$246,"预付款项")</f>
        <v>0</v>
      </c>
      <c r="D27" s="73" t="n">
        <f aca="false">SUMIFS(科目余额表!$L$7:$L$246,科目余额表!$A$7:$A$246,参数设置!$A$12,科目余额表!$F$7:$F$246,"预付款项")</f>
        <v>0</v>
      </c>
      <c r="E27" s="12" t="n">
        <f aca="false">SUM(B27:D27)</f>
        <v>0</v>
      </c>
      <c r="F27" s="73" t="n">
        <v>0</v>
      </c>
      <c r="G27" s="12" t="n">
        <f aca="false">E27+F27</f>
        <v>0</v>
      </c>
    </row>
    <row r="28" customFormat="false" ht="15" hidden="false" customHeight="false" outlineLevel="0" collapsed="false">
      <c r="A28" s="10" t="s">
        <v>825</v>
      </c>
      <c r="B28" s="73" t="n">
        <f aca="false">SUMIFS(科目余额表!$L$7:$L$246,科目余额表!$A$7:$A$246,参数设置!$A$10,科目余额表!$F$7:$F$246,"其他应收款")</f>
        <v>0</v>
      </c>
      <c r="C28" s="73" t="n">
        <f aca="false">SUMIFS(科目余额表!$L$7:$L$246,科目余额表!$A$7:$A$246,参数设置!$A$11,科目余额表!$F$7:$F$246,"其他应收款")</f>
        <v>0</v>
      </c>
      <c r="D28" s="73" t="n">
        <f aca="false">SUMIFS(科目余额表!$L$7:$L$246,科目余额表!$A$7:$A$246,参数设置!$A$12,科目余额表!$F$7:$F$246,"其他应收款")</f>
        <v>0</v>
      </c>
      <c r="E28" s="12" t="n">
        <f aca="false">SUM(B28:D28)</f>
        <v>0</v>
      </c>
      <c r="F28" s="73" t="n">
        <v>0</v>
      </c>
      <c r="G28" s="12" t="n">
        <f aca="false">E28+F28</f>
        <v>0</v>
      </c>
    </row>
    <row r="29" customFormat="false" ht="15" hidden="false" customHeight="false" outlineLevel="0" collapsed="false">
      <c r="A29" s="10" t="s">
        <v>826</v>
      </c>
      <c r="B29" s="73" t="n">
        <f aca="false">SUMIFS(科目余额表!$L$7:$L$246,科目余额表!$A$7:$A$246,参数设置!$A$10,科目余额表!$F$7:$F$246,"存货")</f>
        <v>68072.38</v>
      </c>
      <c r="C29" s="73" t="n">
        <f aca="false">SUMIFS(科目余额表!$L$7:$L$246,科目余额表!$A$7:$A$246,参数设置!$A$11,科目余额表!$F$7:$F$246,"存货")</f>
        <v>212020.95</v>
      </c>
      <c r="D29" s="73" t="n">
        <f aca="false">SUMIFS(科目余额表!$L$7:$L$246,科目余额表!$A$7:$A$246,参数设置!$A$12,科目余额表!$F$7:$F$246,"存货")</f>
        <v>124023.57</v>
      </c>
      <c r="E29" s="12" t="n">
        <f aca="false">SUM(B29:D29)</f>
        <v>404116.9</v>
      </c>
      <c r="F29" s="73" t="n">
        <f aca="false">-N($B$5)</f>
        <v>-0</v>
      </c>
      <c r="G29" s="12" t="n">
        <f aca="false">E29+F29</f>
        <v>404116.9</v>
      </c>
    </row>
    <row r="30" customFormat="false" ht="15" hidden="false" customHeight="false" outlineLevel="0" collapsed="false">
      <c r="A30" s="10" t="s">
        <v>827</v>
      </c>
      <c r="B30" s="73" t="n">
        <f aca="false">SUMIFS(科目余额表!$L$7:$L$246,科目余额表!$A$7:$A$246,参数设置!$A$10,科目余额表!$F$7:$F$246,"固定资产原价")-SUMIFS(科目余额表!$L$7:$L$246,科目余额表!$A$7:$A$246,参数设置!$A$10,科目余额表!$F$7:$F$246,"累计折旧")</f>
        <v>182000</v>
      </c>
      <c r="C30" s="73" t="n">
        <f aca="false">SUMIFS(科目余额表!$L$7:$L$246,科目余额表!$A$7:$A$246,参数设置!$A$11,科目余额表!$F$7:$F$246,"固定资产原价")-SUMIFS(科目余额表!$L$7:$L$246,科目余额表!$A$7:$A$246,参数设置!$A$11,科目余额表!$F$7:$F$246,"累计折旧")</f>
        <v>686000</v>
      </c>
      <c r="D30" s="73" t="n">
        <f aca="false">SUMIFS(科目余额表!$L$7:$L$246,科目余额表!$A$7:$A$246,参数设置!$A$12,科目余额表!$F$7:$F$246,"固定资产原价")-SUMIFS(科目余额表!$L$7:$L$246,科目余额表!$A$7:$A$246,参数设置!$A$12,科目余额表!$F$7:$F$246,"累计折旧")</f>
        <v>364000</v>
      </c>
      <c r="E30" s="12" t="n">
        <f aca="false">SUM(B30:D30)</f>
        <v>1232000</v>
      </c>
      <c r="F30" s="73" t="n">
        <v>0</v>
      </c>
      <c r="G30" s="12" t="n">
        <f aca="false">E30+F30</f>
        <v>1232000</v>
      </c>
    </row>
    <row r="31" customFormat="false" ht="15" hidden="false" customHeight="false" outlineLevel="0" collapsed="false">
      <c r="A31" s="10" t="s">
        <v>828</v>
      </c>
      <c r="B31" s="73" t="n">
        <f aca="false">SUMIFS(科目余额表!$L$7:$L$246,科目余额表!$A$7:$A$246,参数设置!$A$10,科目余额表!$F$7:$F$246,"生产性生物资产原价")-SUMIFS(科目余额表!$L$7:$L$246,科目余额表!$A$7:$A$246,参数设置!$A$10,科目余额表!$F$7:$F$246,"生物资产累计折旧")</f>
        <v>540000</v>
      </c>
      <c r="C31" s="73" t="n">
        <f aca="false">SUMIFS(科目余额表!$L$7:$L$246,科目余额表!$A$7:$A$246,参数设置!$A$11,科目余额表!$F$7:$F$246,"生产性生物资产原价")-SUMIFS(科目余额表!$L$7:$L$246,科目余额表!$A$7:$A$246,参数设置!$A$11,科目余额表!$F$7:$F$246,"生物资产累计折旧")</f>
        <v>0</v>
      </c>
      <c r="D31" s="73" t="n">
        <f aca="false">SUMIFS(科目余额表!$L$7:$L$246,科目余额表!$A$7:$A$246,参数设置!$A$12,科目余额表!$F$7:$F$246,"生产性生物资产原价")-SUMIFS(科目余额表!$L$7:$L$246,科目余额表!$A$7:$A$246,参数设置!$A$12,科目余额表!$F$7:$F$246,"生物资产累计折旧")</f>
        <v>0</v>
      </c>
      <c r="E31" s="12" t="n">
        <f aca="false">SUM(B31:D31)</f>
        <v>540000</v>
      </c>
      <c r="F31" s="73" t="n">
        <v>0</v>
      </c>
      <c r="G31" s="12" t="n">
        <f aca="false">E31+F31</f>
        <v>540000</v>
      </c>
    </row>
    <row r="32" customFormat="false" ht="15" hidden="false" customHeight="false" outlineLevel="0" collapsed="false">
      <c r="A32" s="10" t="s">
        <v>829</v>
      </c>
      <c r="B32" s="73" t="n">
        <f aca="false">SUMIFS(科目余额表!$L$7:$L$246,科目余额表!$A$7:$A$246,参数设置!$A$10,科目余额表!$F$7:$F$246,"无形资产原价")-SUMIFS(科目余额表!$L$7:$L$246,科目余额表!$A$7:$A$246,参数设置!$A$10,科目余额表!$F$7:$F$246,"累计摊销")</f>
        <v>1128000</v>
      </c>
      <c r="C32" s="73" t="n">
        <f aca="false">SUMIFS(科目余额表!$L$7:$L$246,科目余额表!$A$7:$A$246,参数设置!$A$11,科目余额表!$F$7:$F$246,"无形资产原价")-SUMIFS(科目余额表!$L$7:$L$246,科目余额表!$A$7:$A$246,参数设置!$A$11,科目余额表!$F$7:$F$246,"累计摊销")</f>
        <v>0</v>
      </c>
      <c r="D32" s="73" t="n">
        <f aca="false">SUMIFS(科目余额表!$L$7:$L$246,科目余额表!$A$7:$A$246,参数设置!$A$12,科目余额表!$F$7:$F$246,"无形资产原价")-SUMIFS(科目余额表!$L$7:$L$246,科目余额表!$A$7:$A$246,参数设置!$A$12,科目余额表!$F$7:$F$246,"累计摊销")</f>
        <v>42000</v>
      </c>
      <c r="E32" s="12" t="n">
        <f aca="false">SUM(B32:D32)</f>
        <v>1170000</v>
      </c>
      <c r="F32" s="73" t="n">
        <v>0</v>
      </c>
      <c r="G32" s="12" t="n">
        <f aca="false">E32+F32</f>
        <v>1170000</v>
      </c>
    </row>
    <row r="33" customFormat="false" ht="15" hidden="false" customHeight="false" outlineLevel="0" collapsed="false">
      <c r="A33" s="10" t="s">
        <v>830</v>
      </c>
      <c r="B33" s="73" t="n">
        <f aca="false">SUMIFS(科目余额表!$L$7:$L$246,科目余额表!$A$7:$A$246,参数设置!$A$10,科目余额表!$F$7:$F$246,"长期待摊费用")</f>
        <v>0</v>
      </c>
      <c r="C33" s="73" t="n">
        <f aca="false">SUMIFS(科目余额表!$L$7:$L$246,科目余额表!$A$7:$A$246,参数设置!$A$11,科目余额表!$F$7:$F$246,"长期待摊费用")</f>
        <v>0</v>
      </c>
      <c r="D33" s="73" t="n">
        <f aca="false">SUMIFS(科目余额表!$L$7:$L$246,科目余额表!$A$7:$A$246,参数设置!$A$12,科目余额表!$F$7:$F$246,"长期待摊费用")</f>
        <v>0</v>
      </c>
      <c r="E33" s="12" t="n">
        <f aca="false">SUM(B33:D33)</f>
        <v>0</v>
      </c>
      <c r="F33" s="73" t="n">
        <v>0</v>
      </c>
      <c r="G33" s="12" t="n">
        <f aca="false">E33+F33</f>
        <v>0</v>
      </c>
    </row>
    <row r="34" customFormat="false" ht="15" hidden="false" customHeight="false" outlineLevel="0" collapsed="false">
      <c r="A34" s="14" t="s">
        <v>21</v>
      </c>
      <c r="B34" s="12" t="n">
        <f aca="false">B25+B26+B27+B28+B29+B30+B31+B32+B33</f>
        <v>2310272.38</v>
      </c>
      <c r="C34" s="12" t="n">
        <f aca="false">C25+C26+C27+C28+C29+C30+C31+C32+C33</f>
        <v>1686400.95</v>
      </c>
      <c r="D34" s="12" t="n">
        <f aca="false">D25+D26+D27+D28+D29+D30+D31+D32+D33</f>
        <v>1267433.57</v>
      </c>
      <c r="E34" s="12" t="n">
        <f aca="false">E25+E26+E27+E28+E29+E30+E31+E32+E33</f>
        <v>5264106.9</v>
      </c>
      <c r="F34" s="12" t="n">
        <f aca="false">F25+F26+F27+F28+F29+F30+F31+F32+F33</f>
        <v>-55000</v>
      </c>
      <c r="G34" s="12" t="n">
        <f aca="false">G25+G26+G27+G28+G29+G30+G31+G32+G33</f>
        <v>5209106.9</v>
      </c>
    </row>
    <row r="35" customFormat="false" ht="15" hidden="false" customHeight="false" outlineLevel="0" collapsed="false">
      <c r="A35" s="72" t="s">
        <v>223</v>
      </c>
      <c r="B35" s="12"/>
      <c r="C35" s="12"/>
      <c r="D35" s="12"/>
      <c r="E35" s="79"/>
      <c r="F35" s="80"/>
      <c r="G35" s="79"/>
    </row>
    <row r="36" customFormat="false" ht="15" hidden="false" customHeight="false" outlineLevel="0" collapsed="false">
      <c r="A36" s="10" t="s">
        <v>831</v>
      </c>
      <c r="B36" s="73" t="n">
        <f aca="false">SUMIFS(科目余额表!$L$7:$L$246,科目余额表!$A$7:$A$246,参数设置!$A$10,科目余额表!$F$7:$F$246,"短期借款")</f>
        <v>200000</v>
      </c>
      <c r="C36" s="73" t="n">
        <f aca="false">SUMIFS(科目余额表!$L$7:$L$246,科目余额表!$A$7:$A$246,参数设置!$A$11,科目余额表!$F$7:$F$246,"短期借款")</f>
        <v>450000</v>
      </c>
      <c r="D36" s="73" t="n">
        <f aca="false">SUMIFS(科目余额表!$L$7:$L$246,科目余额表!$A$7:$A$246,参数设置!$A$12,科目余额表!$F$7:$F$246,"短期借款")</f>
        <v>0</v>
      </c>
      <c r="E36" s="12" t="n">
        <f aca="false">SUM(B36:D36)</f>
        <v>650000</v>
      </c>
      <c r="F36" s="73" t="n">
        <v>0</v>
      </c>
      <c r="G36" s="12" t="n">
        <f aca="false">E36+F36</f>
        <v>650000</v>
      </c>
    </row>
    <row r="37" customFormat="false" ht="15" hidden="false" customHeight="false" outlineLevel="0" collapsed="false">
      <c r="A37" s="10" t="s">
        <v>832</v>
      </c>
      <c r="B37" s="73" t="n">
        <f aca="false">SUMIFS(科目余额表!$L$7:$L$246,科目余额表!$A$7:$A$246,参数设置!$A$10,科目余额表!$F$7:$F$246,"应付账款")</f>
        <v>48200</v>
      </c>
      <c r="C37" s="73" t="n">
        <f aca="false">SUMIFS(科目余额表!$L$7:$L$246,科目余额表!$A$7:$A$246,参数设置!$A$11,科目余额表!$F$7:$F$246,"应付账款")</f>
        <v>127000</v>
      </c>
      <c r="D37" s="73" t="n">
        <f aca="false">SUMIFS(科目余额表!$L$7:$L$246,科目余额表!$A$7:$A$246,参数设置!$A$12,科目余额表!$F$7:$F$246,"应付账款")</f>
        <v>61000</v>
      </c>
      <c r="E37" s="12" t="n">
        <f aca="false">SUM(B37:D37)</f>
        <v>236200</v>
      </c>
      <c r="F37" s="73" t="n">
        <f aca="false">-((SUMIFS(期初余额!$S$6:$S$65,期初余额!$Q$6:$Q$65,参数设置!$B$10)+SUMIFS(记账分录!$J$6:$J$5505,记账分录!$H$6:$H$5505,"应付账款",记账分录!$K$6:$K$5505,参数设置!$B$10,记账分录!$E$6:$E$5505,"&lt;="&amp;$B$4)-SUMIFS(记账分录!$I$6:$I$5505,记账分录!$H$6:$H$5505,"应付账款",记账分录!$K$6:$K$5505,参数设置!$B$10,记账分录!$E$6:$E$5505,"&lt;="&amp;$B$4))+(SUMIFS(期初余额!$S$6:$S$65,期初余额!$Q$6:$Q$65,参数设置!$B$11)+SUMIFS(记账分录!$J$6:$J$5505,记账分录!$H$6:$H$5505,"应付账款",记账分录!$K$6:$K$5505,参数设置!$B$11,记账分录!$E$6:$E$5505,"&lt;="&amp;$B$4)-SUMIFS(记账分录!$I$6:$I$5505,记账分录!$H$6:$H$5505,"应付账款",记账分录!$K$6:$K$5505,参数设置!$B$11,记账分录!$E$6:$E$5505,"&lt;="&amp;$B$4))+(SUMIFS(期初余额!$S$6:$S$65,期初余额!$Q$6:$Q$65,参数设置!$B$12)+SUMIFS(记账分录!$J$6:$J$5505,记账分录!$H$6:$H$5505,"应付账款",记账分录!$K$6:$K$5505,参数设置!$B$12,记账分录!$E$6:$E$5505,"&lt;="&amp;$B$4)-SUMIFS(记账分录!$I$6:$I$5505,记账分录!$H$6:$H$5505,"应付账款",记账分录!$K$6:$K$5505,参数设置!$B$12,记账分录!$E$6:$E$5505,"&lt;="&amp;$B$4)))</f>
        <v>-55000</v>
      </c>
      <c r="G37" s="12" t="n">
        <f aca="false">E37+F37</f>
        <v>181200</v>
      </c>
    </row>
    <row r="38" customFormat="false" ht="15" hidden="false" customHeight="false" outlineLevel="0" collapsed="false">
      <c r="A38" s="10" t="s">
        <v>833</v>
      </c>
      <c r="B38" s="73" t="n">
        <f aca="false">SUMIFS(科目余额表!$L$7:$L$246,科目余额表!$A$7:$A$246,参数设置!$A$10,科目余额表!$F$7:$F$246,"预收款项")</f>
        <v>0</v>
      </c>
      <c r="C38" s="73" t="n">
        <f aca="false">SUMIFS(科目余额表!$L$7:$L$246,科目余额表!$A$7:$A$246,参数设置!$A$11,科目余额表!$F$7:$F$246,"预收款项")</f>
        <v>0</v>
      </c>
      <c r="D38" s="73" t="n">
        <f aca="false">SUMIFS(科目余额表!$L$7:$L$246,科目余额表!$A$7:$A$246,参数设置!$A$12,科目余额表!$F$7:$F$246,"预收款项")</f>
        <v>0</v>
      </c>
      <c r="E38" s="12" t="n">
        <f aca="false">SUM(B38:D38)</f>
        <v>0</v>
      </c>
      <c r="F38" s="73" t="n">
        <v>0</v>
      </c>
      <c r="G38" s="12" t="n">
        <f aca="false">E38+F38</f>
        <v>0</v>
      </c>
    </row>
    <row r="39" customFormat="false" ht="15" hidden="false" customHeight="false" outlineLevel="0" collapsed="false">
      <c r="A39" s="10" t="s">
        <v>834</v>
      </c>
      <c r="B39" s="73" t="n">
        <f aca="false">SUMIFS(科目余额表!$L$7:$L$246,科目余额表!$A$7:$A$246,参数设置!$A$10,科目余额表!$F$7:$F$246,"应付职工薪酬")</f>
        <v>68000</v>
      </c>
      <c r="C39" s="73" t="n">
        <f aca="false">SUMIFS(科目余额表!$L$7:$L$246,科目余额表!$A$7:$A$246,参数设置!$A$11,科目余额表!$F$7:$F$246,"应付职工薪酬")</f>
        <v>19000</v>
      </c>
      <c r="D39" s="73" t="n">
        <f aca="false">SUMIFS(科目余额表!$L$7:$L$246,科目余额表!$A$7:$A$246,参数设置!$A$12,科目余额表!$F$7:$F$246,"应付职工薪酬")</f>
        <v>20000</v>
      </c>
      <c r="E39" s="12" t="n">
        <f aca="false">SUM(B39:D39)</f>
        <v>107000</v>
      </c>
      <c r="F39" s="73" t="n">
        <v>0</v>
      </c>
      <c r="G39" s="12" t="n">
        <f aca="false">E39+F39</f>
        <v>107000</v>
      </c>
    </row>
    <row r="40" customFormat="false" ht="15" hidden="false" customHeight="false" outlineLevel="0" collapsed="false">
      <c r="A40" s="10" t="s">
        <v>835</v>
      </c>
      <c r="B40" s="73" t="n">
        <f aca="false">SUMIFS(科目余额表!$L$7:$L$246,科目余额表!$A$7:$A$246,参数设置!$A$10,科目余额表!$F$7:$F$246,"应交税费")</f>
        <v>0</v>
      </c>
      <c r="C40" s="73" t="n">
        <f aca="false">SUMIFS(科目余额表!$L$7:$L$246,科目余额表!$A$7:$A$246,参数设置!$A$11,科目余额表!$F$7:$F$246,"应交税费")</f>
        <v>0</v>
      </c>
      <c r="D40" s="73" t="n">
        <f aca="false">SUMIFS(科目余额表!$L$7:$L$246,科目余额表!$A$7:$A$246,参数设置!$A$12,科目余额表!$F$7:$F$246,"应交税费")</f>
        <v>0</v>
      </c>
      <c r="E40" s="12" t="n">
        <f aca="false">SUM(B40:D40)</f>
        <v>0</v>
      </c>
      <c r="F40" s="73" t="n">
        <v>0</v>
      </c>
      <c r="G40" s="12" t="n">
        <f aca="false">E40+F40</f>
        <v>0</v>
      </c>
    </row>
    <row r="41" customFormat="false" ht="15" hidden="false" customHeight="false" outlineLevel="0" collapsed="false">
      <c r="A41" s="10" t="s">
        <v>836</v>
      </c>
      <c r="B41" s="73" t="n">
        <f aca="false">SUMIFS(科目余额表!$L$7:$L$246,科目余额表!$A$7:$A$246,参数设置!$A$10,科目余额表!$F$7:$F$246,"其他应付款")</f>
        <v>12000</v>
      </c>
      <c r="C41" s="73" t="n">
        <f aca="false">SUMIFS(科目余额表!$L$7:$L$246,科目余额表!$A$7:$A$246,参数设置!$A$11,科目余额表!$F$7:$F$246,"其他应付款")</f>
        <v>24000</v>
      </c>
      <c r="D41" s="73" t="n">
        <f aca="false">SUMIFS(科目余额表!$L$7:$L$246,科目余额表!$A$7:$A$246,参数设置!$A$12,科目余额表!$F$7:$F$246,"其他应付款")</f>
        <v>9600</v>
      </c>
      <c r="E41" s="12" t="n">
        <f aca="false">SUM(B41:D41)</f>
        <v>45600</v>
      </c>
      <c r="F41" s="73" t="n">
        <v>0</v>
      </c>
      <c r="G41" s="12" t="n">
        <f aca="false">E41+F41</f>
        <v>45600</v>
      </c>
    </row>
    <row r="42" customFormat="false" ht="15" hidden="false" customHeight="false" outlineLevel="0" collapsed="false">
      <c r="A42" s="10" t="s">
        <v>837</v>
      </c>
      <c r="B42" s="73" t="n">
        <f aca="false">SUMIFS(科目余额表!$L$7:$L$246,科目余额表!$A$7:$A$246,参数设置!$A$10,科目余额表!$F$7:$F$246,"长期借款")</f>
        <v>0</v>
      </c>
      <c r="C42" s="73" t="n">
        <f aca="false">SUMIFS(科目余额表!$L$7:$L$246,科目余额表!$A$7:$A$246,参数设置!$A$11,科目余额表!$F$7:$F$246,"长期借款")</f>
        <v>0</v>
      </c>
      <c r="D42" s="73" t="n">
        <f aca="false">SUMIFS(科目余额表!$L$7:$L$246,科目余额表!$A$7:$A$246,参数设置!$A$12,科目余额表!$F$7:$F$246,"长期借款")</f>
        <v>0</v>
      </c>
      <c r="E42" s="12" t="n">
        <f aca="false">SUM(B42:D42)</f>
        <v>0</v>
      </c>
      <c r="F42" s="73" t="n">
        <v>0</v>
      </c>
      <c r="G42" s="12" t="n">
        <f aca="false">E42+F42</f>
        <v>0</v>
      </c>
    </row>
    <row r="43" customFormat="false" ht="15" hidden="false" customHeight="false" outlineLevel="0" collapsed="false">
      <c r="A43" s="14" t="s">
        <v>26</v>
      </c>
      <c r="B43" s="12" t="n">
        <f aca="false">B36+B37+B38+B39+B40+B41+B42</f>
        <v>328200</v>
      </c>
      <c r="C43" s="12" t="n">
        <f aca="false">C36+C37+C38+C39+C40+C41+C42</f>
        <v>620000</v>
      </c>
      <c r="D43" s="12" t="n">
        <f aca="false">D36+D37+D38+D39+D40+D41+D42</f>
        <v>90600</v>
      </c>
      <c r="E43" s="12" t="n">
        <f aca="false">E36+E37+E38+E39+E40+E41+E42</f>
        <v>1038800</v>
      </c>
      <c r="F43" s="12" t="n">
        <f aca="false">F36+F37+F38+F39+F40+F41+F42</f>
        <v>-55000</v>
      </c>
      <c r="G43" s="12" t="n">
        <f aca="false">G36+G37+G38+G39+G40+G41+G42</f>
        <v>983800</v>
      </c>
    </row>
    <row r="44" customFormat="false" ht="15" hidden="false" customHeight="false" outlineLevel="0" collapsed="false">
      <c r="A44" s="72" t="s">
        <v>27</v>
      </c>
      <c r="B44" s="12"/>
      <c r="C44" s="12"/>
      <c r="D44" s="12"/>
      <c r="E44" s="79"/>
      <c r="F44" s="80"/>
      <c r="G44" s="79"/>
    </row>
    <row r="45" customFormat="false" ht="15" hidden="false" customHeight="false" outlineLevel="0" collapsed="false">
      <c r="A45" s="10" t="s">
        <v>838</v>
      </c>
      <c r="B45" s="73" t="n">
        <f aca="false">SUMIFS(科目余额表!$L$7:$L$246,科目余额表!$A$7:$A$246,参数设置!$A$10,科目余额表!$F$7:$F$246,"实收资本")</f>
        <v>1800000</v>
      </c>
      <c r="C45" s="73" t="n">
        <f aca="false">SUMIFS(科目余额表!$L$7:$L$246,科目余额表!$A$7:$A$246,参数设置!$A$11,科目余额表!$F$7:$F$246,"实收资本")</f>
        <v>800000</v>
      </c>
      <c r="D45" s="73" t="n">
        <f aca="false">SUMIFS(科目余额表!$L$7:$L$246,科目余额表!$A$7:$A$246,参数设置!$A$12,科目余额表!$F$7:$F$246,"实收资本")</f>
        <v>800000</v>
      </c>
      <c r="E45" s="12" t="n">
        <f aca="false">SUM(B45:D45)</f>
        <v>3400000</v>
      </c>
      <c r="F45" s="73" t="n">
        <v>0</v>
      </c>
      <c r="G45" s="12" t="n">
        <f aca="false">E45+F45</f>
        <v>3400000</v>
      </c>
    </row>
    <row r="46" customFormat="false" ht="15" hidden="false" customHeight="false" outlineLevel="0" collapsed="false">
      <c r="A46" s="10" t="s">
        <v>839</v>
      </c>
      <c r="B46" s="73" t="n">
        <f aca="false">SUMIFS(科目余额表!$L$7:$L$246,科目余额表!$A$7:$A$246,参数设置!$A$10,科目余额表!$F$7:$F$246,"资本公积")</f>
        <v>0</v>
      </c>
      <c r="C46" s="73" t="n">
        <f aca="false">SUMIFS(科目余额表!$L$7:$L$246,科目余额表!$A$7:$A$246,参数设置!$A$11,科目余额表!$F$7:$F$246,"资本公积")</f>
        <v>0</v>
      </c>
      <c r="D46" s="73" t="n">
        <f aca="false">SUMIFS(科目余额表!$L$7:$L$246,科目余额表!$A$7:$A$246,参数设置!$A$12,科目余额表!$F$7:$F$246,"资本公积")</f>
        <v>0</v>
      </c>
      <c r="E46" s="12" t="n">
        <f aca="false">SUM(B46:D46)</f>
        <v>0</v>
      </c>
      <c r="F46" s="73" t="n">
        <v>0</v>
      </c>
      <c r="G46" s="12" t="n">
        <f aca="false">E46+F46</f>
        <v>0</v>
      </c>
    </row>
    <row r="47" customFormat="false" ht="15" hidden="false" customHeight="false" outlineLevel="0" collapsed="false">
      <c r="A47" s="10" t="s">
        <v>840</v>
      </c>
      <c r="B47" s="73" t="n">
        <f aca="false">SUMIFS(科目余额表!$L$7:$L$246,科目余额表!$A$7:$A$246,参数设置!$A$10,科目余额表!$F$7:$F$246,"盈余公积")</f>
        <v>0</v>
      </c>
      <c r="C47" s="73" t="n">
        <f aca="false">SUMIFS(科目余额表!$L$7:$L$246,科目余额表!$A$7:$A$246,参数设置!$A$11,科目余额表!$F$7:$F$246,"盈余公积")</f>
        <v>0</v>
      </c>
      <c r="D47" s="73" t="n">
        <f aca="false">SUMIFS(科目余额表!$L$7:$L$246,科目余额表!$A$7:$A$246,参数设置!$A$12,科目余额表!$F$7:$F$246,"盈余公积")</f>
        <v>0</v>
      </c>
      <c r="E47" s="12" t="n">
        <f aca="false">SUM(B47:D47)</f>
        <v>0</v>
      </c>
      <c r="F47" s="73" t="n">
        <v>0</v>
      </c>
      <c r="G47" s="12" t="n">
        <f aca="false">E47+F47</f>
        <v>0</v>
      </c>
    </row>
    <row r="48" customFormat="false" ht="15" hidden="false" customHeight="false" outlineLevel="0" collapsed="false">
      <c r="A48" s="10" t="s">
        <v>841</v>
      </c>
      <c r="B48" s="73" t="n">
        <f aca="false">SUMIFS(科目余额表!$L$7:$L$246,科目余额表!$A$7:$A$246,参数设置!$A$10,科目余额表!$F$7:$F$246,"未分配利润")+(SUMIFS(科目余额表!$O$7:$O$246,科目余额表!$A$7:$A$246,参数设置!$A$10,科目余额表!$D$7:$D$246,"损益-收入")-SUMIFS(科目余额表!$O$7:$O$246,科目余额表!$A$7:$A$246,参数设置!$A$10,科目余额表!$D$7:$D$246,"损益-费用"))</f>
        <v>182072.38</v>
      </c>
      <c r="C48" s="73" t="n">
        <f aca="false">SUMIFS(科目余额表!$L$7:$L$246,科目余额表!$A$7:$A$246,参数设置!$A$11,科目余额表!$F$7:$F$246,"未分配利润")+(SUMIFS(科目余额表!$O$7:$O$246,科目余额表!$A$7:$A$246,参数设置!$A$11,科目余额表!$D$7:$D$246,"损益-收入")-SUMIFS(科目余额表!$O$7:$O$246,科目余额表!$A$7:$A$246,参数设置!$A$11,科目余额表!$D$7:$D$246,"损益-费用"))</f>
        <v>266400.95</v>
      </c>
      <c r="D48" s="73" t="n">
        <f aca="false">SUMIFS(科目余额表!$L$7:$L$246,科目余额表!$A$7:$A$246,参数设置!$A$12,科目余额表!$F$7:$F$246,"未分配利润")+(SUMIFS(科目余额表!$O$7:$O$246,科目余额表!$A$7:$A$246,参数设置!$A$12,科目余额表!$D$7:$D$246,"损益-收入")-SUMIFS(科目余额表!$O$7:$O$246,科目余额表!$A$7:$A$246,参数设置!$A$12,科目余额表!$D$7:$D$246,"损益-费用"))</f>
        <v>376833.57</v>
      </c>
      <c r="E48" s="12" t="n">
        <f aca="false">SUM(B48:D48)</f>
        <v>825306.9</v>
      </c>
      <c r="F48" s="73" t="n">
        <f aca="false">-N($B$5)</f>
        <v>-0</v>
      </c>
      <c r="G48" s="12" t="n">
        <f aca="false">E48+F48</f>
        <v>825306.9</v>
      </c>
    </row>
    <row r="49" customFormat="false" ht="15" hidden="false" customHeight="false" outlineLevel="0" collapsed="false">
      <c r="A49" s="14" t="s">
        <v>782</v>
      </c>
      <c r="B49" s="12" t="n">
        <f aca="false">B45+B46+B47+B48</f>
        <v>1982072.38</v>
      </c>
      <c r="C49" s="12" t="n">
        <f aca="false">C45+C46+C47+C48</f>
        <v>1066400.95</v>
      </c>
      <c r="D49" s="12" t="n">
        <f aca="false">D45+D46+D47+D48</f>
        <v>1176833.57</v>
      </c>
      <c r="E49" s="12" t="n">
        <f aca="false">E45+E46+E47+E48</f>
        <v>4225306.9</v>
      </c>
      <c r="F49" s="12" t="n">
        <f aca="false">F45+F46+F47+F48</f>
        <v>0</v>
      </c>
      <c r="G49" s="12" t="n">
        <f aca="false">G45+G46+G47+G48</f>
        <v>4225306.9</v>
      </c>
    </row>
    <row r="50" customFormat="false" ht="15" hidden="false" customHeight="false" outlineLevel="0" collapsed="false">
      <c r="A50" s="14" t="s">
        <v>784</v>
      </c>
      <c r="B50" s="12" t="n">
        <f aca="false">B43+B49</f>
        <v>2310272.38</v>
      </c>
      <c r="C50" s="12" t="n">
        <f aca="false">C43+C49</f>
        <v>1686400.95</v>
      </c>
      <c r="D50" s="12" t="n">
        <f aca="false">D43+D49</f>
        <v>1267433.57</v>
      </c>
      <c r="E50" s="12" t="n">
        <f aca="false">E43+E49</f>
        <v>5264106.9</v>
      </c>
      <c r="F50" s="12" t="n">
        <f aca="false">F43+F49</f>
        <v>-55000</v>
      </c>
      <c r="G50" s="12" t="n">
        <f aca="false">G43+G49</f>
        <v>5209106.9</v>
      </c>
    </row>
    <row r="51" customFormat="false" ht="15" hidden="false" customHeight="false" outlineLevel="0" collapsed="false">
      <c r="A51" s="14" t="s">
        <v>787</v>
      </c>
      <c r="B51" s="74" t="str">
        <f aca="false">IF(ROUND(B34-B50,2)=0,"√ 平衡","✗ 差 "&amp;TEXT(B34-B50,"#,##0.00"))</f>
        <v>√ 平衡</v>
      </c>
      <c r="C51" s="74" t="str">
        <f aca="false">IF(ROUND(C34-C50,2)=0,"√ 平衡","✗ 差 "&amp;TEXT(C34-C50,"#,##0.00"))</f>
        <v>√ 平衡</v>
      </c>
      <c r="D51" s="74" t="str">
        <f aca="false">IF(ROUND(D34-D50,2)=0,"√ 平衡","✗ 差 "&amp;TEXT(D34-D50,"#,##0.00"))</f>
        <v>√ 平衡</v>
      </c>
      <c r="E51" s="74" t="str">
        <f aca="false">IF(ROUND(E34-E50,2)=0,"√ 平衡","✗ 差 "&amp;TEXT(E34-E50,"#,##0.00"))</f>
        <v>√ 平衡</v>
      </c>
      <c r="F51" s="74" t="str">
        <f aca="false">IF(ROUND(F34-F50,2)=0,"√ 平衡","✗ 差 "&amp;TEXT(F34-F50,"#,##0.00"))</f>
        <v>√ 平衡</v>
      </c>
      <c r="G51" s="74" t="str">
        <f aca="false">IF(ROUND(G34-G50,2)=0,"√ 平衡","✗ 差 "&amp;TEXT(G34-G50,"#,##0.00"))</f>
        <v>√ 平衡</v>
      </c>
    </row>
    <row r="53" customFormat="false" ht="15" hidden="false" customHeight="false" outlineLevel="0" collapsed="false">
      <c r="A53" s="3" t="s">
        <v>842</v>
      </c>
    </row>
    <row r="54" customFormat="false" ht="15" hidden="false" customHeight="true" outlineLevel="0" collapsed="false">
      <c r="A54" s="37" t="s">
        <v>843</v>
      </c>
      <c r="B54" s="37"/>
      <c r="C54" s="37"/>
      <c r="D54" s="37"/>
      <c r="E54" s="81" t="n">
        <f aca="false">(SUMIFS(购销流水!$Q$6:$Q$805,购销流水!$X$6:$X$805,"是",购销流水!$D$6:$D$805,"销售出库")-SUMIFS(购销流水!$Q$6:$Q$805,购销流水!$X$6:$X$805,"是",购销流水!$D$6:$D$805,"销售退回"))</f>
        <v>245000</v>
      </c>
      <c r="F54" s="81"/>
      <c r="G54" s="81"/>
    </row>
    <row r="55" customFormat="false" ht="15" hidden="false" customHeight="true" outlineLevel="0" collapsed="false">
      <c r="A55" s="37" t="s">
        <v>844</v>
      </c>
      <c r="B55" s="37"/>
      <c r="C55" s="37"/>
      <c r="D55" s="37"/>
      <c r="E55" s="81" t="n">
        <f aca="false">((SUMIFS(期初余额!$R$6:$R$65,期初余额!$Q$6:$Q$65,参数设置!$B$10)+SUMIFS(记账分录!$I$6:$I$5505,记账分录!$H$6:$H$5505,"应收账款",记账分录!$K$6:$K$5505,参数设置!$B$10,记账分录!$E$6:$E$5505,"&lt;="&amp;$B$4)-SUMIFS(记账分录!$J$6:$J$5505,记账分录!$H$6:$H$5505,"应收账款",记账分录!$K$6:$K$5505,参数设置!$B$10,记账分录!$E$6:$E$5505,"&lt;="&amp;$B$4))+(SUMIFS(期初余额!$R$6:$R$65,期初余额!$Q$6:$Q$65,参数设置!$B$11)+SUMIFS(记账分录!$I$6:$I$5505,记账分录!$H$6:$H$5505,"应收账款",记账分录!$K$6:$K$5505,参数设置!$B$11,记账分录!$E$6:$E$5505,"&lt;="&amp;$B$4)-SUMIFS(记账分录!$J$6:$J$5505,记账分录!$H$6:$H$5505,"应收账款",记账分录!$K$6:$K$5505,参数设置!$B$11,记账分录!$E$6:$E$5505,"&lt;="&amp;$B$4))+(SUMIFS(期初余额!$R$6:$R$65,期初余额!$Q$6:$Q$65,参数设置!$B$12)+SUMIFS(记账分录!$I$6:$I$5505,记账分录!$H$6:$H$5505,"应收账款",记账分录!$K$6:$K$5505,参数设置!$B$12,记账分录!$E$6:$E$5505,"&lt;="&amp;$B$4)-SUMIFS(记账分录!$J$6:$J$5505,记账分录!$H$6:$H$5505,"应收账款",记账分录!$K$6:$K$5505,参数设置!$B$12,记账分录!$E$6:$E$5505,"&lt;="&amp;$B$4)))</f>
        <v>55000</v>
      </c>
      <c r="F55" s="81"/>
      <c r="G55" s="81"/>
    </row>
    <row r="56" customFormat="false" ht="15" hidden="false" customHeight="true" outlineLevel="0" collapsed="false">
      <c r="A56" s="37" t="s">
        <v>845</v>
      </c>
      <c r="B56" s="37"/>
      <c r="C56" s="37"/>
      <c r="D56" s="37"/>
      <c r="E56" s="81" t="n">
        <f aca="false">((SUMIFS(期初余额!$S$6:$S$65,期初余额!$Q$6:$Q$65,参数设置!$B$10)+SUMIFS(记账分录!$J$6:$J$5505,记账分录!$H$6:$H$5505,"应付账款",记账分录!$K$6:$K$5505,参数设置!$B$10,记账分录!$E$6:$E$5505,"&lt;="&amp;$B$4)-SUMIFS(记账分录!$I$6:$I$5505,记账分录!$H$6:$H$5505,"应付账款",记账分录!$K$6:$K$5505,参数设置!$B$10,记账分录!$E$6:$E$5505,"&lt;="&amp;$B$4))+(SUMIFS(期初余额!$S$6:$S$65,期初余额!$Q$6:$Q$65,参数设置!$B$11)+SUMIFS(记账分录!$J$6:$J$5505,记账分录!$H$6:$H$5505,"应付账款",记账分录!$K$6:$K$5505,参数设置!$B$11,记账分录!$E$6:$E$5505,"&lt;="&amp;$B$4)-SUMIFS(记账分录!$I$6:$I$5505,记账分录!$H$6:$H$5505,"应付账款",记账分录!$K$6:$K$5505,参数设置!$B$11,记账分录!$E$6:$E$5505,"&lt;="&amp;$B$4))+(SUMIFS(期初余额!$S$6:$S$65,期初余额!$Q$6:$Q$65,参数设置!$B$12)+SUMIFS(记账分录!$J$6:$J$5505,记账分录!$H$6:$H$5505,"应付账款",记账分录!$K$6:$K$5505,参数设置!$B$12,记账分录!$E$6:$E$5505,"&lt;="&amp;$B$4)-SUMIFS(记账分录!$I$6:$I$5505,记账分录!$H$6:$H$5505,"应付账款",记账分录!$K$6:$K$5505,参数设置!$B$12,记账分录!$E$6:$E$5505,"&lt;="&amp;$B$4)))</f>
        <v>55000</v>
      </c>
      <c r="F56" s="81"/>
      <c r="G56" s="81"/>
    </row>
    <row r="57" customFormat="false" ht="15" hidden="false" customHeight="true" outlineLevel="0" collapsed="false">
      <c r="A57" s="37" t="s">
        <v>846</v>
      </c>
      <c r="B57" s="37"/>
      <c r="C57" s="37"/>
      <c r="D57" s="37"/>
      <c r="E57" s="81" t="n">
        <f aca="false">N($B$5)</f>
        <v>0</v>
      </c>
      <c r="F57" s="81"/>
      <c r="G57" s="81"/>
    </row>
  </sheetData>
  <mergeCells count="12">
    <mergeCell ref="A1:G1"/>
    <mergeCell ref="A2:G2"/>
    <mergeCell ref="H3:I3"/>
    <mergeCell ref="C5:G5"/>
    <mergeCell ref="A54:D54"/>
    <mergeCell ref="E54:G54"/>
    <mergeCell ref="A55:D55"/>
    <mergeCell ref="E55:G55"/>
    <mergeCell ref="A56:D56"/>
    <mergeCell ref="E56:G56"/>
    <mergeCell ref="A57:D57"/>
    <mergeCell ref="E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20" min="19" style="0" width="12"/>
    <col collapsed="false" customWidth="true" hidden="false" outlineLevel="0" max="22" min="21" style="0" width="13"/>
  </cols>
  <sheetData>
    <row r="1" customFormat="false" ht="25.5" hidden="false" customHeight="true" outlineLevel="0" collapsed="false">
      <c r="A1" s="1" t="s">
        <v>847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2" t="s">
        <v>848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5" customFormat="false" ht="30" hidden="false" customHeight="true" outlineLevel="0" collapsed="false">
      <c r="A5" s="8" t="s">
        <v>544</v>
      </c>
      <c r="B5" s="8" t="s">
        <v>350</v>
      </c>
      <c r="C5" s="8" t="s">
        <v>351</v>
      </c>
      <c r="D5" s="8" t="s">
        <v>352</v>
      </c>
      <c r="E5" s="8" t="s">
        <v>353</v>
      </c>
      <c r="F5" s="8" t="s">
        <v>736</v>
      </c>
      <c r="G5" s="8" t="s">
        <v>356</v>
      </c>
      <c r="H5" s="8" t="s">
        <v>547</v>
      </c>
      <c r="I5" s="8" t="s">
        <v>548</v>
      </c>
      <c r="J5" s="8" t="s">
        <v>849</v>
      </c>
      <c r="K5" s="8" t="s">
        <v>850</v>
      </c>
      <c r="L5" s="8" t="s">
        <v>851</v>
      </c>
      <c r="M5" s="8" t="s">
        <v>852</v>
      </c>
      <c r="N5" s="8" t="s">
        <v>853</v>
      </c>
      <c r="O5" s="8" t="s">
        <v>854</v>
      </c>
      <c r="P5" s="8" t="s">
        <v>855</v>
      </c>
      <c r="Q5" s="8" t="s">
        <v>856</v>
      </c>
      <c r="R5" s="8" t="s">
        <v>857</v>
      </c>
      <c r="S5" s="8" t="s">
        <v>858</v>
      </c>
      <c r="T5" s="8" t="s">
        <v>859</v>
      </c>
      <c r="U5" s="8" t="s">
        <v>860</v>
      </c>
      <c r="V5" s="8" t="s">
        <v>361</v>
      </c>
    </row>
    <row r="6" customFormat="false" ht="15" hidden="false" customHeight="false" outlineLevel="0" collapsed="false">
      <c r="A6" s="25" t="str">
        <f aca="false">IF(商品档案!$A6="","",商品档案!$E6)</f>
        <v>农业</v>
      </c>
      <c r="B6" s="25" t="str">
        <f aca="false">IF(商品档案!$A6="","",商品档案!$A6)</f>
        <v>NY01</v>
      </c>
      <c r="C6" s="10" t="str">
        <f aca="false">IF(商品档案!$A6="","",商品档案!$B6)</f>
        <v>原木</v>
      </c>
      <c r="D6" s="10" t="str">
        <f aca="false">IF(商品档案!$A6="","",商品档案!$C6)</f>
        <v>杉木/松木 4m</v>
      </c>
      <c r="E6" s="25" t="str">
        <f aca="false">IF(商品档案!$A6="","",商品档案!$D6)</f>
        <v>立方米</v>
      </c>
      <c r="F6" s="25" t="str">
        <f aca="false">IF(商品档案!$A6="","",商品档案!$F6)</f>
        <v>产成品</v>
      </c>
      <c r="G6" s="25" t="str">
        <f aca="false">IF(商品档案!$A6="","",商品档案!$G6)</f>
        <v>库存商品</v>
      </c>
      <c r="H6" s="82" t="n">
        <f aca="false">IF($B6="","",SUMIFS(期初余额!$K$6:$K$65,期初余额!$H$6:$H$65,$A6,期初余额!$I$6:$I$65,$B6))</f>
        <v>120</v>
      </c>
      <c r="I6" s="40" t="n">
        <f aca="false">IF($B6="","",SUMIFS(期初余额!$L$6:$L$65,期初余额!$H$6:$H$65,$A6,期初余额!$I$6:$I$65,$B6))</f>
        <v>60000</v>
      </c>
      <c r="J6" s="82" t="n">
        <f aca="false">IF($B6="","",SUMIFS(购销流水!$J$6:$J$805,购销流水!$C$6:$C$805,$A6,购销流水!$F$6:$F$805,$B6,购销流水!$D$6:$D$805,"采购入库")-SUMIFS(购销流水!$J$6:$J$805,购销流水!$C$6:$C$805,$A6,购销流水!$F$6:$F$805,$B6,购销流水!$D$6:$D$805,"采购退回"))</f>
        <v>0</v>
      </c>
      <c r="K6" s="40" t="n">
        <f aca="false">IF($B6="","",SUMIFS(购销流水!$Q$6:$Q$805,购销流水!$C$6:$C$805,$A6,购销流水!$F$6:$F$805,$B6,购销流水!$D$6:$D$805,"采购入库")-SUMIFS(购销流水!$Q$6:$Q$805,购销流水!$C$6:$C$805,$A6,购销流水!$F$6:$F$805,$B6,购销流水!$D$6:$D$805,"采购退回"))</f>
        <v>0</v>
      </c>
      <c r="L6" s="82" t="n">
        <f aca="false">IF($B6="","",SUMIFS(生产加工!$I$6:$I$305,生产加工!$C$6:$C$305,$A6,生产加工!$F$6:$F$305,$B6,生产加工!$E$6:$E$305,"产成品入库"))</f>
        <v>200</v>
      </c>
      <c r="M6" s="40" t="n">
        <f aca="false">IF($B6="","",SUMIFS(生产加工!$T$6:$T$305,生产加工!$C$6:$C$305,$A6,生产加工!$F$6:$F$305,$B6,生产加工!$E$6:$E$305,"产成品入库"))</f>
        <v>105288.89</v>
      </c>
      <c r="N6" s="83" t="n">
        <f aca="false">IF($B6="","",IF(($H6+$J6+$L6)=0,0,($I6+$K6+$M6)/($H6+$J6+$L6)))</f>
        <v>516.52778125</v>
      </c>
      <c r="O6" s="82" t="n">
        <f aca="false">IF($B6="","",SUMIFS(购销流水!$J$6:$J$805,购销流水!$C$6:$C$805,$A6,购销流水!$F$6:$F$805,$B6,购销流水!$D$6:$D$805,"销售出库")-SUMIFS(购销流水!$J$6:$J$805,购销流水!$C$6:$C$805,$A6,购销流水!$F$6:$F$805,$B6,购销流水!$D$6:$D$805,"销售退回"))</f>
        <v>240</v>
      </c>
      <c r="P6" s="40" t="n">
        <f aca="false">IF($B6="","",SUMIFS(购销流水!$W$6:$W$805,购销流水!$C$6:$C$805,$A6,购销流水!$F$6:$F$805,$B6,购销流水!$D$6:$D$805,"销售出库")-SUMIFS(购销流水!$W$6:$W$805,购销流水!$C$6:$C$805,$A6,购销流水!$F$6:$F$805,$B6,购销流水!$D$6:$D$805,"销售退回"))</f>
        <v>123966.67</v>
      </c>
      <c r="Q6" s="82" t="n">
        <f aca="false">IF($B6="","",SUMIFS(生产加工!$I$6:$I$305,生产加工!$C$6:$C$305,$A6,生产加工!$F$6:$F$305,$B6,生产加工!$E$6:$E$305,"领用投入"))</f>
        <v>0</v>
      </c>
      <c r="R6" s="40" t="n">
        <f aca="false">IF($B6="","",SUMIFS(生产加工!$S$6:$S$305,生产加工!$C$6:$C$305,$A6,生产加工!$F$6:$F$305,$B6,生产加工!$E$6:$E$305,"领用投入"))</f>
        <v>0</v>
      </c>
      <c r="S6" s="84" t="n">
        <f aca="false">IF($B6="","",$H6+$J6+$L6-$O6-$Q6)</f>
        <v>80</v>
      </c>
      <c r="T6" s="85" t="n">
        <f aca="false">IF($B6="","",IF($S6=0,0,ROUND($U6/$S6,4)))</f>
        <v>516.5278</v>
      </c>
      <c r="U6" s="42" t="n">
        <f aca="false">IF($B6="","",ROUND($I6+$K6+$M6-$P6-$R6,2))</f>
        <v>41322.22</v>
      </c>
      <c r="V6" s="25" t="str">
        <f aca="false">IF($B6="","",IF($S6&lt;-0.0001,"✗ 结存数量为负",IF(AND($S6=0,ROUND($U6,2)&lt;&gt;0),"✗ 数量 0 金额不为 0",IF(ROUND($U6,2)&lt;-0.005,"✗ 结存金额为负","OK"))))</f>
        <v>OK</v>
      </c>
    </row>
    <row r="7" customFormat="false" ht="15" hidden="false" customHeight="false" outlineLevel="0" collapsed="false">
      <c r="A7" s="25" t="str">
        <f aca="false">IF(商品档案!$A7="","",商品档案!$E7)</f>
        <v>农业</v>
      </c>
      <c r="B7" s="25" t="str">
        <f aca="false">IF(商品档案!$A7="","",商品档案!$A7)</f>
        <v>NY02</v>
      </c>
      <c r="C7" s="10" t="str">
        <f aca="false">IF(商品档案!$A7="","",商品档案!$B7)</f>
        <v>湿艾草</v>
      </c>
      <c r="D7" s="10" t="str">
        <f aca="false">IF(商品档案!$A7="","",商品档案!$C7)</f>
        <v>鲜艾草</v>
      </c>
      <c r="E7" s="25" t="str">
        <f aca="false">IF(商品档案!$A7="","",商品档案!$D7)</f>
        <v>公斤</v>
      </c>
      <c r="F7" s="25" t="str">
        <f aca="false">IF(商品档案!$A7="","",商品档案!$F7)</f>
        <v>半成品</v>
      </c>
      <c r="G7" s="25" t="str">
        <f aca="false">IF(商品档案!$A7="","",商品档案!$G7)</f>
        <v>库存商品</v>
      </c>
      <c r="H7" s="82" t="n">
        <f aca="false">IF($B7="","",SUMIFS(期初余额!$K$6:$K$65,期初余额!$H$6:$H$65,$A7,期初余额!$I$6:$I$65,$B7))</f>
        <v>0</v>
      </c>
      <c r="I7" s="40" t="n">
        <f aca="false">IF($B7="","",SUMIFS(期初余额!$L$6:$L$65,期初余额!$H$6:$H$65,$A7,期初余额!$I$6:$I$65,$B7))</f>
        <v>0</v>
      </c>
      <c r="J7" s="82" t="n">
        <f aca="false">IF($B7="","",SUMIFS(购销流水!$J$6:$J$805,购销流水!$C$6:$C$805,$A7,购销流水!$F$6:$F$805,$B7,购销流水!$D$6:$D$805,"采购入库")-SUMIFS(购销流水!$J$6:$J$805,购销流水!$C$6:$C$805,$A7,购销流水!$F$6:$F$805,$B7,购销流水!$D$6:$D$805,"采购退回"))</f>
        <v>0</v>
      </c>
      <c r="K7" s="40" t="n">
        <f aca="false">IF($B7="","",SUMIFS(购销流水!$Q$6:$Q$805,购销流水!$C$6:$C$805,$A7,购销流水!$F$6:$F$805,$B7,购销流水!$D$6:$D$805,"采购入库")-SUMIFS(购销流水!$Q$6:$Q$805,购销流水!$C$6:$C$805,$A7,购销流水!$F$6:$F$805,$B7,购销流水!$D$6:$D$805,"采购退回"))</f>
        <v>0</v>
      </c>
      <c r="L7" s="82" t="n">
        <f aca="false">IF($B7="","",SUMIFS(生产加工!$I$6:$I$305,生产加工!$C$6:$C$305,$A7,生产加工!$F$6:$F$305,$B7,生产加工!$E$6:$E$305,"产成品入库"))</f>
        <v>20000</v>
      </c>
      <c r="M7" s="40" t="n">
        <f aca="false">IF($B7="","",SUMIFS(生产加工!$T$6:$T$305,生产加工!$C$6:$C$305,$A7,生产加工!$F$6:$F$305,$B7,生产加工!$E$6:$E$305,"产成品入库"))</f>
        <v>36488.89</v>
      </c>
      <c r="N7" s="83" t="n">
        <f aca="false">IF($B7="","",IF(($H7+$J7+$L7)=0,0,($I7+$K7+$M7)/($H7+$J7+$L7)))</f>
        <v>1.8244445</v>
      </c>
      <c r="O7" s="82" t="n">
        <f aca="false">IF($B7="","",SUMIFS(购销流水!$J$6:$J$805,购销流水!$C$6:$C$805,$A7,购销流水!$F$6:$F$805,$B7,购销流水!$D$6:$D$805,"销售出库")-SUMIFS(购销流水!$J$6:$J$805,购销流水!$C$6:$C$805,$A7,购销流水!$F$6:$F$805,$B7,购销流水!$D$6:$D$805,"销售退回"))</f>
        <v>0</v>
      </c>
      <c r="P7" s="40" t="n">
        <f aca="false">IF($B7="","",SUMIFS(购销流水!$W$6:$W$805,购销流水!$C$6:$C$805,$A7,购销流水!$F$6:$F$805,$B7,购销流水!$D$6:$D$805,"销售出库")-SUMIFS(购销流水!$W$6:$W$805,购销流水!$C$6:$C$805,$A7,购销流水!$F$6:$F$805,$B7,购销流水!$D$6:$D$805,"销售退回"))</f>
        <v>0</v>
      </c>
      <c r="Q7" s="82" t="n">
        <f aca="false">IF($B7="","",SUMIFS(生产加工!$I$6:$I$305,生产加工!$C$6:$C$305,$A7,生产加工!$F$6:$F$305,$B7,生产加工!$E$6:$E$305,"领用投入"))</f>
        <v>20000</v>
      </c>
      <c r="R7" s="40" t="n">
        <f aca="false">IF($B7="","",SUMIFS(生产加工!$S$6:$S$305,生产加工!$C$6:$C$305,$A7,生产加工!$F$6:$F$305,$B7,生产加工!$E$6:$E$305,"领用投入"))</f>
        <v>36488.89</v>
      </c>
      <c r="S7" s="84" t="n">
        <f aca="false">IF($B7="","",$H7+$J7+$L7-$O7-$Q7)</f>
        <v>0</v>
      </c>
      <c r="T7" s="85" t="n">
        <f aca="false">IF($B7="","",IF($S7=0,0,ROUND($U7/$S7,4)))</f>
        <v>0</v>
      </c>
      <c r="U7" s="42" t="n">
        <f aca="false">IF($B7="","",ROUND($I7+$K7+$M7-$P7-$R7,2))</f>
        <v>0</v>
      </c>
      <c r="V7" s="25" t="str">
        <f aca="false">IF($B7="","",IF($S7&lt;-0.0001,"✗ 结存数量为负",IF(AND($S7=0,ROUND($U7,2)&lt;&gt;0),"✗ 数量 0 金额不为 0",IF(ROUND($U7,2)&lt;-0.005,"✗ 结存金额为负","OK"))))</f>
        <v>OK</v>
      </c>
    </row>
    <row r="8" customFormat="false" ht="15" hidden="false" customHeight="false" outlineLevel="0" collapsed="false">
      <c r="A8" s="25" t="str">
        <f aca="false">IF(商品档案!$A8="","",商品档案!$E8)</f>
        <v>农业</v>
      </c>
      <c r="B8" s="25" t="str">
        <f aca="false">IF(商品档案!$A8="","",商品档案!$A8)</f>
        <v>NY03</v>
      </c>
      <c r="C8" s="10" t="str">
        <f aca="false">IF(商品档案!$A8="","",商品档案!$B8)</f>
        <v>干艾草</v>
      </c>
      <c r="D8" s="10" t="str">
        <f aca="false">IF(商品档案!$A8="","",商品档案!$C8)</f>
        <v>含水率≤12%</v>
      </c>
      <c r="E8" s="25" t="str">
        <f aca="false">IF(商品档案!$A8="","",商品档案!$D8)</f>
        <v>公斤</v>
      </c>
      <c r="F8" s="25" t="str">
        <f aca="false">IF(商品档案!$A8="","",商品档案!$F8)</f>
        <v>产成品</v>
      </c>
      <c r="G8" s="25" t="str">
        <f aca="false">IF(商品档案!$A8="","",商品档案!$G8)</f>
        <v>库存商品</v>
      </c>
      <c r="H8" s="82" t="n">
        <f aca="false">IF($B8="","",SUMIFS(期初余额!$K$6:$K$65,期初余额!$H$6:$H$65,$A8,期初余额!$I$6:$I$65,$B8))</f>
        <v>2000</v>
      </c>
      <c r="I8" s="40" t="n">
        <f aca="false">IF($B8="","",SUMIFS(期初余额!$L$6:$L$65,期初余额!$H$6:$H$65,$A8,期初余额!$I$6:$I$65,$B8))</f>
        <v>18000</v>
      </c>
      <c r="J8" s="82" t="n">
        <f aca="false">IF($B8="","",SUMIFS(购销流水!$J$6:$J$805,购销流水!$C$6:$C$805,$A8,购销流水!$F$6:$F$805,$B8,购销流水!$D$6:$D$805,"采购入库")-SUMIFS(购销流水!$J$6:$J$805,购销流水!$C$6:$C$805,$A8,购销流水!$F$6:$F$805,$B8,购销流水!$D$6:$D$805,"采购退回"))</f>
        <v>0</v>
      </c>
      <c r="K8" s="40" t="n">
        <f aca="false">IF($B8="","",SUMIFS(购销流水!$Q$6:$Q$805,购销流水!$C$6:$C$805,$A8,购销流水!$F$6:$F$805,$B8,购销流水!$D$6:$D$805,"采购入库")-SUMIFS(购销流水!$Q$6:$Q$805,购销流水!$C$6:$C$805,$A8,购销流水!$F$6:$F$805,$B8,购销流水!$D$6:$D$805,"采购退回"))</f>
        <v>0</v>
      </c>
      <c r="L8" s="82" t="n">
        <f aca="false">IF($B8="","",SUMIFS(生产加工!$I$6:$I$305,生产加工!$C$6:$C$305,$A8,生产加工!$F$6:$F$305,$B8,生产加工!$E$6:$E$305,"产成品入库"))</f>
        <v>4600</v>
      </c>
      <c r="M8" s="40" t="n">
        <f aca="false">IF($B8="","",SUMIFS(生产加工!$T$6:$T$305,生产加工!$C$6:$C$305,$A8,生产加工!$F$6:$F$305,$B8,生产加工!$E$6:$E$305,"产成品入库"))</f>
        <v>50488.89</v>
      </c>
      <c r="N8" s="83" t="n">
        <f aca="false">IF($B8="","",IF(($H8+$J8+$L8)=0,0,($I8+$K8+$M8)/($H8+$J8+$L8)))</f>
        <v>10.3771045454545</v>
      </c>
      <c r="O8" s="82" t="n">
        <f aca="false">IF($B8="","",SUMIFS(购销流水!$J$6:$J$805,购销流水!$C$6:$C$805,$A8,购销流水!$F$6:$F$805,$B8,购销流水!$D$6:$D$805,"销售出库")-SUMIFS(购销流水!$J$6:$J$805,购销流水!$C$6:$C$805,$A8,购销流水!$F$6:$F$805,$B8,购销流水!$D$6:$D$805,"销售退回"))</f>
        <v>5200</v>
      </c>
      <c r="P8" s="40" t="n">
        <f aca="false">IF($B8="","",SUMIFS(购销流水!$W$6:$W$805,购销流水!$C$6:$C$805,$A8,购销流水!$F$6:$F$805,$B8,购销流水!$D$6:$D$805,"销售出库")-SUMIFS(购销流水!$W$6:$W$805,购销流水!$C$6:$C$805,$A8,购销流水!$F$6:$F$805,$B8,购销流水!$D$6:$D$805,"销售退回"))</f>
        <v>53960.95</v>
      </c>
      <c r="Q8" s="82" t="n">
        <f aca="false">IF($B8="","",SUMIFS(生产加工!$I$6:$I$305,生产加工!$C$6:$C$305,$A8,生产加工!$F$6:$F$305,$B8,生产加工!$E$6:$E$305,"领用投入"))</f>
        <v>0</v>
      </c>
      <c r="R8" s="40" t="n">
        <f aca="false">IF($B8="","",SUMIFS(生产加工!$S$6:$S$305,生产加工!$C$6:$C$305,$A8,生产加工!$F$6:$F$305,$B8,生产加工!$E$6:$E$305,"领用投入"))</f>
        <v>0</v>
      </c>
      <c r="S8" s="84" t="n">
        <f aca="false">IF($B8="","",$H8+$J8+$L8-$O8-$Q8)</f>
        <v>1400</v>
      </c>
      <c r="T8" s="85" t="n">
        <f aca="false">IF($B8="","",IF($S8=0,0,ROUND($U8/$S8,4)))</f>
        <v>10.3771</v>
      </c>
      <c r="U8" s="42" t="n">
        <f aca="false">IF($B8="","",ROUND($I8+$K8+$M8-$P8-$R8,2))</f>
        <v>14527.94</v>
      </c>
      <c r="V8" s="25" t="str">
        <f aca="false">IF($B8="","",IF($S8&lt;-0.0001,"✗ 结存数量为负",IF(AND($S8=0,ROUND($U8,2)&lt;&gt;0),"✗ 数量 0 金额不为 0",IF(ROUND($U8,2)&lt;-0.005,"✗ 结存金额为负","OK"))))</f>
        <v>OK</v>
      </c>
    </row>
    <row r="9" customFormat="false" ht="15" hidden="false" customHeight="false" outlineLevel="0" collapsed="false">
      <c r="A9" s="25" t="str">
        <f aca="false">IF(商品档案!$A9="","",商品档案!$E9)</f>
        <v>农业</v>
      </c>
      <c r="B9" s="25" t="str">
        <f aca="false">IF(商品档案!$A9="","",商品档案!$A9)</f>
        <v>NY04</v>
      </c>
      <c r="C9" s="10" t="str">
        <f aca="false">IF(商品档案!$A9="","",商品档案!$B9)</f>
        <v>树苗</v>
      </c>
      <c r="D9" s="10" t="str">
        <f aca="false">IF(商品档案!$A9="","",商品档案!$C9)</f>
        <v>杉木苗</v>
      </c>
      <c r="E9" s="25" t="str">
        <f aca="false">IF(商品档案!$A9="","",商品档案!$D9)</f>
        <v>株</v>
      </c>
      <c r="F9" s="25" t="str">
        <f aca="false">IF(商品档案!$A9="","",商品档案!$F9)</f>
        <v>原材料</v>
      </c>
      <c r="G9" s="25" t="str">
        <f aca="false">IF(商品档案!$A9="","",商品档案!$G9)</f>
        <v>原材料</v>
      </c>
      <c r="H9" s="82" t="n">
        <f aca="false">IF($B9="","",SUMIFS(期初余额!$K$6:$K$65,期初余额!$H$6:$H$65,$A9,期初余额!$I$6:$I$65,$B9))</f>
        <v>0</v>
      </c>
      <c r="I9" s="40" t="n">
        <f aca="false">IF($B9="","",SUMIFS(期初余额!$L$6:$L$65,期初余额!$H$6:$H$65,$A9,期初余额!$I$6:$I$65,$B9))</f>
        <v>0</v>
      </c>
      <c r="J9" s="82" t="n">
        <f aca="false">IF($B9="","",SUMIFS(购销流水!$J$6:$J$805,购销流水!$C$6:$C$805,$A9,购销流水!$F$6:$F$805,$B9,购销流水!$D$6:$D$805,"采购入库")-SUMIFS(购销流水!$J$6:$J$805,购销流水!$C$6:$C$805,$A9,购销流水!$F$6:$F$805,$B9,购销流水!$D$6:$D$805,"采购退回"))</f>
        <v>3000</v>
      </c>
      <c r="K9" s="40" t="n">
        <f aca="false">IF($B9="","",SUMIFS(购销流水!$Q$6:$Q$805,购销流水!$C$6:$C$805,$A9,购销流水!$F$6:$F$805,$B9,购销流水!$D$6:$D$805,"采购入库")-SUMIFS(购销流水!$Q$6:$Q$805,购销流水!$C$6:$C$805,$A9,购销流水!$F$6:$F$805,$B9,购销流水!$D$6:$D$805,"采购退回"))</f>
        <v>7800</v>
      </c>
      <c r="L9" s="82" t="n">
        <f aca="false">IF($B9="","",SUMIFS(生产加工!$I$6:$I$305,生产加工!$C$6:$C$305,$A9,生产加工!$F$6:$F$305,$B9,生产加工!$E$6:$E$305,"产成品入库"))</f>
        <v>0</v>
      </c>
      <c r="M9" s="40" t="n">
        <f aca="false">IF($B9="","",SUMIFS(生产加工!$T$6:$T$305,生产加工!$C$6:$C$305,$A9,生产加工!$F$6:$F$305,$B9,生产加工!$E$6:$E$305,"产成品入库"))</f>
        <v>0</v>
      </c>
      <c r="N9" s="83" t="n">
        <f aca="false">IF($B9="","",IF(($H9+$J9+$L9)=0,0,($I9+$K9+$M9)/($H9+$J9+$L9)))</f>
        <v>2.6</v>
      </c>
      <c r="O9" s="82" t="n">
        <f aca="false">IF($B9="","",SUMIFS(购销流水!$J$6:$J$805,购销流水!$C$6:$C$805,$A9,购销流水!$F$6:$F$805,$B9,购销流水!$D$6:$D$805,"销售出库")-SUMIFS(购销流水!$J$6:$J$805,购销流水!$C$6:$C$805,$A9,购销流水!$F$6:$F$805,$B9,购销流水!$D$6:$D$805,"销售退回"))</f>
        <v>0</v>
      </c>
      <c r="P9" s="40" t="n">
        <f aca="false">IF($B9="","",SUMIFS(购销流水!$W$6:$W$805,购销流水!$C$6:$C$805,$A9,购销流水!$F$6:$F$805,$B9,购销流水!$D$6:$D$805,"销售出库")-SUMIFS(购销流水!$W$6:$W$805,购销流水!$C$6:$C$805,$A9,购销流水!$F$6:$F$805,$B9,购销流水!$D$6:$D$805,"销售退回"))</f>
        <v>0</v>
      </c>
      <c r="Q9" s="82" t="n">
        <f aca="false">IF($B9="","",SUMIFS(生产加工!$I$6:$I$305,生产加工!$C$6:$C$305,$A9,生产加工!$F$6:$F$305,$B9,生产加工!$E$6:$E$305,"领用投入"))</f>
        <v>3000</v>
      </c>
      <c r="R9" s="40" t="n">
        <f aca="false">IF($B9="","",SUMIFS(生产加工!$S$6:$S$305,生产加工!$C$6:$C$305,$A9,生产加工!$F$6:$F$305,$B9,生产加工!$E$6:$E$305,"领用投入"))</f>
        <v>7800</v>
      </c>
      <c r="S9" s="84" t="n">
        <f aca="false">IF($B9="","",$H9+$J9+$L9-$O9-$Q9)</f>
        <v>0</v>
      </c>
      <c r="T9" s="85" t="n">
        <f aca="false">IF($B9="","",IF($S9=0,0,ROUND($U9/$S9,4)))</f>
        <v>0</v>
      </c>
      <c r="U9" s="42" t="n">
        <f aca="false">IF($B9="","",ROUND($I9+$K9+$M9-$P9-$R9,2))</f>
        <v>0</v>
      </c>
      <c r="V9" s="25" t="str">
        <f aca="false">IF($B9="","",IF($S9&lt;-0.0001,"✗ 结存数量为负",IF(AND($S9=0,ROUND($U9,2)&lt;&gt;0),"✗ 数量 0 金额不为 0",IF(ROUND($U9,2)&lt;-0.005,"✗ 结存金额为负","OK"))))</f>
        <v>OK</v>
      </c>
    </row>
    <row r="10" customFormat="false" ht="15" hidden="false" customHeight="false" outlineLevel="0" collapsed="false">
      <c r="A10" s="25" t="str">
        <f aca="false">IF(商品档案!$A10="","",商品档案!$E10)</f>
        <v>农业</v>
      </c>
      <c r="B10" s="25" t="str">
        <f aca="false">IF(商品档案!$A10="","",商品档案!$A10)</f>
        <v>NY05</v>
      </c>
      <c r="C10" s="10" t="str">
        <f aca="false">IF(商品档案!$A10="","",商品档案!$B10)</f>
        <v>肥料</v>
      </c>
      <c r="D10" s="10" t="str">
        <f aca="false">IF(商品档案!$A10="","",商品档案!$C10)</f>
        <v>复合肥</v>
      </c>
      <c r="E10" s="25" t="str">
        <f aca="false">IF(商品档案!$A10="","",商品档案!$D10)</f>
        <v>吨</v>
      </c>
      <c r="F10" s="25" t="str">
        <f aca="false">IF(商品档案!$A10="","",商品档案!$F10)</f>
        <v>原材料</v>
      </c>
      <c r="G10" s="25" t="str">
        <f aca="false">IF(商品档案!$A10="","",商品档案!$G10)</f>
        <v>原材料</v>
      </c>
      <c r="H10" s="82" t="n">
        <f aca="false">IF($B10="","",SUMIFS(期初余额!$K$6:$K$65,期初余额!$H$6:$H$65,$A10,期初余额!$I$6:$I$65,$B10))</f>
        <v>10</v>
      </c>
      <c r="I10" s="40" t="n">
        <f aca="false">IF($B10="","",SUMIFS(期初余额!$L$6:$L$65,期初余额!$H$6:$H$65,$A10,期初余额!$I$6:$I$65,$B10))</f>
        <v>11000</v>
      </c>
      <c r="J10" s="82" t="n">
        <f aca="false">IF($B10="","",SUMIFS(购销流水!$J$6:$J$805,购销流水!$C$6:$C$805,$A10,购销流水!$F$6:$F$805,$B10,购销流水!$D$6:$D$805,"采购入库")-SUMIFS(购销流水!$J$6:$J$805,购销流水!$C$6:$C$805,$A10,购销流水!$F$6:$F$805,$B10,购销流水!$D$6:$D$805,"采购退回"))</f>
        <v>8</v>
      </c>
      <c r="K10" s="40" t="n">
        <f aca="false">IF($B10="","",SUMIFS(购销流水!$Q$6:$Q$805,购销流水!$C$6:$C$805,$A10,购销流水!$F$6:$F$805,$B10,购销流水!$D$6:$D$805,"采购入库")-SUMIFS(购销流水!$Q$6:$Q$805,购销流水!$C$6:$C$805,$A10,购销流水!$F$6:$F$805,$B10,购销流水!$D$6:$D$805,"采购退回"))</f>
        <v>9200</v>
      </c>
      <c r="L10" s="82" t="n">
        <f aca="false">IF($B10="","",SUMIFS(生产加工!$I$6:$I$305,生产加工!$C$6:$C$305,$A10,生产加工!$F$6:$F$305,$B10,生产加工!$E$6:$E$305,"产成品入库"))</f>
        <v>0</v>
      </c>
      <c r="M10" s="40" t="n">
        <f aca="false">IF($B10="","",SUMIFS(生产加工!$T$6:$T$305,生产加工!$C$6:$C$305,$A10,生产加工!$F$6:$F$305,$B10,生产加工!$E$6:$E$305,"产成品入库"))</f>
        <v>0</v>
      </c>
      <c r="N10" s="83" t="n">
        <f aca="false">IF($B10="","",IF(($H10+$J10+$L10)=0,0,($I10+$K10+$M10)/($H10+$J10+$L10)))</f>
        <v>1122.22222222222</v>
      </c>
      <c r="O10" s="82" t="n">
        <f aca="false">IF($B10="","",SUMIFS(购销流水!$J$6:$J$805,购销流水!$C$6:$C$805,$A10,购销流水!$F$6:$F$805,$B10,购销流水!$D$6:$D$805,"销售出库")-SUMIFS(购销流水!$J$6:$J$805,购销流水!$C$6:$C$805,$A10,购销流水!$F$6:$F$805,$B10,购销流水!$D$6:$D$805,"销售退回"))</f>
        <v>0</v>
      </c>
      <c r="P10" s="40" t="n">
        <f aca="false">IF($B10="","",SUMIFS(购销流水!$W$6:$W$805,购销流水!$C$6:$C$805,$A10,购销流水!$F$6:$F$805,$B10,购销流水!$D$6:$D$805,"销售出库")-SUMIFS(购销流水!$W$6:$W$805,购销流水!$C$6:$C$805,$A10,购销流水!$F$6:$F$805,$B10,购销流水!$D$6:$D$805,"销售退回"))</f>
        <v>0</v>
      </c>
      <c r="Q10" s="82" t="n">
        <f aca="false">IF($B10="","",SUMIFS(生产加工!$I$6:$I$305,生产加工!$C$6:$C$305,$A10,生产加工!$F$6:$F$305,$B10,生产加工!$E$6:$E$305,"领用投入"))</f>
        <v>8</v>
      </c>
      <c r="R10" s="40" t="n">
        <f aca="false">IF($B10="","",SUMIFS(生产加工!$S$6:$S$305,生产加工!$C$6:$C$305,$A10,生产加工!$F$6:$F$305,$B10,生产加工!$E$6:$E$305,"领用投入"))</f>
        <v>8977.78</v>
      </c>
      <c r="S10" s="84" t="n">
        <f aca="false">IF($B10="","",$H10+$J10+$L10-$O10-$Q10)</f>
        <v>10</v>
      </c>
      <c r="T10" s="85" t="n">
        <f aca="false">IF($B10="","",IF($S10=0,0,ROUND($U10/$S10,4)))</f>
        <v>1122.222</v>
      </c>
      <c r="U10" s="42" t="n">
        <f aca="false">IF($B10="","",ROUND($I10+$K10+$M10-$P10-$R10,2))</f>
        <v>11222.22</v>
      </c>
      <c r="V10" s="25" t="str">
        <f aca="false">IF($B10="","",IF($S10&lt;-0.0001,"✗ 结存数量为负",IF(AND($S10=0,ROUND($U10,2)&lt;&gt;0),"✗ 数量 0 金额不为 0",IF(ROUND($U10,2)&lt;-0.005,"✗ 结存金额为负","OK"))))</f>
        <v>OK</v>
      </c>
    </row>
    <row r="11" customFormat="false" ht="15" hidden="false" customHeight="false" outlineLevel="0" collapsed="false">
      <c r="A11" s="25" t="str">
        <f aca="false">IF(商品档案!$A11="","",商品档案!$E11)</f>
        <v>农业</v>
      </c>
      <c r="B11" s="25" t="str">
        <f aca="false">IF(商品档案!$A11="","",商品档案!$A11)</f>
        <v>NY06</v>
      </c>
      <c r="C11" s="10" t="str">
        <f aca="false">IF(商品档案!$A11="","",商品档案!$B11)</f>
        <v>农药</v>
      </c>
      <c r="D11" s="10" t="n">
        <f aca="false">IF(商品档案!$A11="","",商品档案!$C11)</f>
        <v>0</v>
      </c>
      <c r="E11" s="25" t="str">
        <f aca="false">IF(商品档案!$A11="","",商品档案!$D11)</f>
        <v>公斤</v>
      </c>
      <c r="F11" s="25" t="str">
        <f aca="false">IF(商品档案!$A11="","",商品档案!$F11)</f>
        <v>原材料</v>
      </c>
      <c r="G11" s="25" t="str">
        <f aca="false">IF(商品档案!$A11="","",商品档案!$G11)</f>
        <v>原材料</v>
      </c>
      <c r="H11" s="82" t="n">
        <f aca="false">IF($B11="","",SUMIFS(期初余额!$K$6:$K$65,期初余额!$H$6:$H$65,$A11,期初余额!$I$6:$I$65,$B11))</f>
        <v>100</v>
      </c>
      <c r="I11" s="40" t="n">
        <f aca="false">IF($B11="","",SUMIFS(期初余额!$L$6:$L$65,期初余额!$H$6:$H$65,$A11,期初余额!$I$6:$I$65,$B11))</f>
        <v>1000</v>
      </c>
      <c r="J11" s="82" t="n">
        <f aca="false">IF($B11="","",SUMIFS(购销流水!$J$6:$J$805,购销流水!$C$6:$C$805,$A11,购销流水!$F$6:$F$805,$B11,购销流水!$D$6:$D$805,"采购入库")-SUMIFS(购销流水!$J$6:$J$805,购销流水!$C$6:$C$805,$A11,购销流水!$F$6:$F$805,$B11,购销流水!$D$6:$D$805,"采购退回"))</f>
        <v>0</v>
      </c>
      <c r="K11" s="40" t="n">
        <f aca="false">IF($B11="","",SUMIFS(购销流水!$Q$6:$Q$805,购销流水!$C$6:$C$805,$A11,购销流水!$F$6:$F$805,$B11,购销流水!$D$6:$D$805,"采购入库")-SUMIFS(购销流水!$Q$6:$Q$805,购销流水!$C$6:$C$805,$A11,购销流水!$F$6:$F$805,$B11,购销流水!$D$6:$D$805,"采购退回"))</f>
        <v>0</v>
      </c>
      <c r="L11" s="82" t="n">
        <f aca="false">IF($B11="","",SUMIFS(生产加工!$I$6:$I$305,生产加工!$C$6:$C$305,$A11,生产加工!$F$6:$F$305,$B11,生产加工!$E$6:$E$305,"产成品入库"))</f>
        <v>0</v>
      </c>
      <c r="M11" s="40" t="n">
        <f aca="false">IF($B11="","",SUMIFS(生产加工!$T$6:$T$305,生产加工!$C$6:$C$305,$A11,生产加工!$F$6:$F$305,$B11,生产加工!$E$6:$E$305,"产成品入库"))</f>
        <v>0</v>
      </c>
      <c r="N11" s="83" t="n">
        <f aca="false">IF($B11="","",IF(($H11+$J11+$L11)=0,0,($I11+$K11+$M11)/($H11+$J11+$L11)))</f>
        <v>10</v>
      </c>
      <c r="O11" s="82" t="n">
        <f aca="false">IF($B11="","",SUMIFS(购销流水!$J$6:$J$805,购销流水!$C$6:$C$805,$A11,购销流水!$F$6:$F$805,$B11,购销流水!$D$6:$D$805,"销售出库")-SUMIFS(购销流水!$J$6:$J$805,购销流水!$C$6:$C$805,$A11,购销流水!$F$6:$F$805,$B11,购销流水!$D$6:$D$805,"销售退回"))</f>
        <v>0</v>
      </c>
      <c r="P11" s="40" t="n">
        <f aca="false">IF($B11="","",SUMIFS(购销流水!$W$6:$W$805,购销流水!$C$6:$C$805,$A11,购销流水!$F$6:$F$805,$B11,购销流水!$D$6:$D$805,"销售出库")-SUMIFS(购销流水!$W$6:$W$805,购销流水!$C$6:$C$805,$A11,购销流水!$F$6:$F$805,$B11,购销流水!$D$6:$D$805,"销售退回"))</f>
        <v>0</v>
      </c>
      <c r="Q11" s="82" t="n">
        <f aca="false">IF($B11="","",SUMIFS(生产加工!$I$6:$I$305,生产加工!$C$6:$C$305,$A11,生产加工!$F$6:$F$305,$B11,生产加工!$E$6:$E$305,"领用投入"))</f>
        <v>0</v>
      </c>
      <c r="R11" s="40" t="n">
        <f aca="false">IF($B11="","",SUMIFS(生产加工!$S$6:$S$305,生产加工!$C$6:$C$305,$A11,生产加工!$F$6:$F$305,$B11,生产加工!$E$6:$E$305,"领用投入"))</f>
        <v>0</v>
      </c>
      <c r="S11" s="84" t="n">
        <f aca="false">IF($B11="","",$H11+$J11+$L11-$O11-$Q11)</f>
        <v>100</v>
      </c>
      <c r="T11" s="85" t="n">
        <f aca="false">IF($B11="","",IF($S11=0,0,ROUND($U11/$S11,4)))</f>
        <v>10</v>
      </c>
      <c r="U11" s="42" t="n">
        <f aca="false">IF($B11="","",ROUND($I11+$K11+$M11-$P11-$R11,2))</f>
        <v>1000</v>
      </c>
      <c r="V11" s="25" t="str">
        <f aca="false">IF($B11="","",IF($S11&lt;-0.0001,"✗ 结存数量为负",IF(AND($S11=0,ROUND($U11,2)&lt;&gt;0),"✗ 数量 0 金额不为 0",IF(ROUND($U11,2)&lt;-0.005,"✗ 结存金额为负","OK"))))</f>
        <v>OK</v>
      </c>
    </row>
    <row r="12" customFormat="false" ht="15" hidden="false" customHeight="false" outlineLevel="0" collapsed="false">
      <c r="A12" s="25" t="str">
        <f aca="false">IF(商品档案!$A12="","",商品档案!$E12)</f>
        <v>木业</v>
      </c>
      <c r="B12" s="25" t="str">
        <f aca="false">IF(商品档案!$A12="","",商品档案!$A12)</f>
        <v>MY01</v>
      </c>
      <c r="C12" s="10" t="str">
        <f aca="false">IF(商品档案!$A12="","",商品档案!$B12)</f>
        <v>*木制品*木板</v>
      </c>
      <c r="D12" s="10" t="str">
        <f aca="false">IF(商品档案!$A12="","",商品档案!$C12)</f>
        <v>1220×2440×18mm</v>
      </c>
      <c r="E12" s="25" t="str">
        <f aca="false">IF(商品档案!$A12="","",商品档案!$D12)</f>
        <v>张</v>
      </c>
      <c r="F12" s="25" t="str">
        <f aca="false">IF(商品档案!$A12="","",商品档案!$F12)</f>
        <v>产成品</v>
      </c>
      <c r="G12" s="25" t="str">
        <f aca="false">IF(商品档案!$A12="","",商品档案!$G12)</f>
        <v>库存商品</v>
      </c>
      <c r="H12" s="82" t="n">
        <f aca="false">IF($B12="","",SUMIFS(期初余额!$K$6:$K$65,期初余额!$H$6:$H$65,$A12,期初余额!$I$6:$I$65,$B12))</f>
        <v>800</v>
      </c>
      <c r="I12" s="40" t="n">
        <f aca="false">IF($B12="","",SUMIFS(期初余额!$L$6:$L$65,期初余额!$H$6:$H$65,$A12,期初余额!$I$6:$I$65,$B12))</f>
        <v>76800</v>
      </c>
      <c r="J12" s="82" t="n">
        <f aca="false">IF($B12="","",SUMIFS(购销流水!$J$6:$J$805,购销流水!$C$6:$C$805,$A12,购销流水!$F$6:$F$805,$B12,购销流水!$D$6:$D$805,"采购入库")-SUMIFS(购销流水!$J$6:$J$805,购销流水!$C$6:$C$805,$A12,购销流水!$F$6:$F$805,$B12,购销流水!$D$6:$D$805,"采购退回"))</f>
        <v>0</v>
      </c>
      <c r="K12" s="40" t="n">
        <f aca="false">IF($B12="","",SUMIFS(购销流水!$Q$6:$Q$805,购销流水!$C$6:$C$805,$A12,购销流水!$F$6:$F$805,$B12,购销流水!$D$6:$D$805,"采购入库")-SUMIFS(购销流水!$Q$6:$Q$805,购销流水!$C$6:$C$805,$A12,购销流水!$F$6:$F$805,$B12,购销流水!$D$6:$D$805,"采购退回"))</f>
        <v>0</v>
      </c>
      <c r="L12" s="82" t="n">
        <f aca="false">IF($B12="","",SUMIFS(生产加工!$I$6:$I$305,生产加工!$C$6:$C$305,$A12,生产加工!$F$6:$F$305,$B12,生产加工!$E$6:$E$305,"产成品入库"))</f>
        <v>1800</v>
      </c>
      <c r="M12" s="40" t="n">
        <f aca="false">IF($B12="","",SUMIFS(生产加工!$T$6:$T$305,生产加工!$C$6:$C$305,$A12,生产加工!$F$6:$F$305,$B12,生产加工!$E$6:$E$305,"产成品入库"))</f>
        <v>181249.32</v>
      </c>
      <c r="N12" s="83" t="n">
        <f aca="false">IF($B12="","",IF(($H12+$J12+$L12)=0,0,($I12+$K12+$M12)/($H12+$J12+$L12)))</f>
        <v>99.2497384615385</v>
      </c>
      <c r="O12" s="82" t="n">
        <f aca="false">IF($B12="","",SUMIFS(购销流水!$J$6:$J$805,购销流水!$C$6:$C$805,$A12,购销流水!$F$6:$F$805,$B12,购销流水!$D$6:$D$805,"销售出库")-SUMIFS(购销流水!$J$6:$J$805,购销流水!$C$6:$C$805,$A12,购销流水!$F$6:$F$805,$B12,购销流水!$D$6:$D$805,"销售退回"))</f>
        <v>2200</v>
      </c>
      <c r="P12" s="40" t="n">
        <f aca="false">IF($B12="","",SUMIFS(购销流水!$W$6:$W$805,购销流水!$C$6:$C$805,$A12,购销流水!$F$6:$F$805,$B12,购销流水!$D$6:$D$805,"销售出库")-SUMIFS(购销流水!$W$6:$W$805,购销流水!$C$6:$C$805,$A12,购销流水!$F$6:$F$805,$B12,购销流水!$D$6:$D$805,"销售退回"))</f>
        <v>218349.42</v>
      </c>
      <c r="Q12" s="82" t="n">
        <f aca="false">IF($B12="","",SUMIFS(生产加工!$I$6:$I$305,生产加工!$C$6:$C$305,$A12,生产加工!$F$6:$F$305,$B12,生产加工!$E$6:$E$305,"领用投入"))</f>
        <v>0</v>
      </c>
      <c r="R12" s="40" t="n">
        <f aca="false">IF($B12="","",SUMIFS(生产加工!$S$6:$S$305,生产加工!$C$6:$C$305,$A12,生产加工!$F$6:$F$305,$B12,生产加工!$E$6:$E$305,"领用投入"))</f>
        <v>0</v>
      </c>
      <c r="S12" s="84" t="n">
        <f aca="false">IF($B12="","",$H12+$J12+$L12-$O12-$Q12)</f>
        <v>400</v>
      </c>
      <c r="T12" s="85" t="n">
        <f aca="false">IF($B12="","",IF($S12=0,0,ROUND($U12/$S12,4)))</f>
        <v>99.2498</v>
      </c>
      <c r="U12" s="42" t="n">
        <f aca="false">IF($B12="","",ROUND($I12+$K12+$M12-$P12-$R12,2))</f>
        <v>39699.9</v>
      </c>
      <c r="V12" s="25" t="str">
        <f aca="false">IF($B12="","",IF($S12&lt;-0.0001,"✗ 结存数量为负",IF(AND($S12=0,ROUND($U12,2)&lt;&gt;0),"✗ 数量 0 金额不为 0",IF(ROUND($U12,2)&lt;-0.005,"✗ 结存金额为负","OK"))))</f>
        <v>OK</v>
      </c>
    </row>
    <row r="13" customFormat="false" ht="15" hidden="false" customHeight="false" outlineLevel="0" collapsed="false">
      <c r="A13" s="25" t="str">
        <f aca="false">IF(商品档案!$A13="","",商品档案!$E13)</f>
        <v>木业</v>
      </c>
      <c r="B13" s="25" t="str">
        <f aca="false">IF(商品档案!$A13="","",商品档案!$A13)</f>
        <v>MY02</v>
      </c>
      <c r="C13" s="10" t="str">
        <f aca="false">IF(商品档案!$A13="","",商品档案!$B13)</f>
        <v>*木制品*模板</v>
      </c>
      <c r="D13" s="10" t="str">
        <f aca="false">IF(商品档案!$A13="","",商品档案!$C13)</f>
        <v>1220×2440×15mm</v>
      </c>
      <c r="E13" s="25" t="str">
        <f aca="false">IF(商品档案!$A13="","",商品档案!$D13)</f>
        <v>张</v>
      </c>
      <c r="F13" s="25" t="str">
        <f aca="false">IF(商品档案!$A13="","",商品档案!$F13)</f>
        <v>产成品</v>
      </c>
      <c r="G13" s="25" t="str">
        <f aca="false">IF(商品档案!$A13="","",商品档案!$G13)</f>
        <v>库存商品</v>
      </c>
      <c r="H13" s="82" t="n">
        <f aca="false">IF($B13="","",SUMIFS(期初余额!$K$6:$K$65,期初余额!$H$6:$H$65,$A13,期初余额!$I$6:$I$65,$B13))</f>
        <v>300</v>
      </c>
      <c r="I13" s="40" t="n">
        <f aca="false">IF($B13="","",SUMIFS(期初余额!$L$6:$L$65,期初余额!$H$6:$H$65,$A13,期初余额!$I$6:$I$65,$B13))</f>
        <v>27600</v>
      </c>
      <c r="J13" s="82" t="n">
        <f aca="false">IF($B13="","",SUMIFS(购销流水!$J$6:$J$805,购销流水!$C$6:$C$805,$A13,购销流水!$F$6:$F$805,$B13,购销流水!$D$6:$D$805,"采购入库")-SUMIFS(购销流水!$J$6:$J$805,购销流水!$C$6:$C$805,$A13,购销流水!$F$6:$F$805,$B13,购销流水!$D$6:$D$805,"采购退回"))</f>
        <v>0</v>
      </c>
      <c r="K13" s="40" t="n">
        <f aca="false">IF($B13="","",SUMIFS(购销流水!$Q$6:$Q$805,购销流水!$C$6:$C$805,$A13,购销流水!$F$6:$F$805,$B13,购销流水!$D$6:$D$805,"采购入库")-SUMIFS(购销流水!$Q$6:$Q$805,购销流水!$C$6:$C$805,$A13,购销流水!$F$6:$F$805,$B13,购销流水!$D$6:$D$805,"采购退回"))</f>
        <v>0</v>
      </c>
      <c r="L13" s="82" t="n">
        <f aca="false">IF($B13="","",SUMIFS(生产加工!$I$6:$I$305,生产加工!$C$6:$C$305,$A13,生产加工!$F$6:$F$305,$B13,生产加工!$E$6:$E$305,"产成品入库"))</f>
        <v>600</v>
      </c>
      <c r="M13" s="40" t="n">
        <f aca="false">IF($B13="","",SUMIFS(生产加工!$T$6:$T$305,生产加工!$C$6:$C$305,$A13,生产加工!$F$6:$F$305,$B13,生产加工!$E$6:$E$305,"产成品入库"))</f>
        <v>57468.5</v>
      </c>
      <c r="N13" s="83" t="n">
        <f aca="false">IF($B13="","",IF(($H13+$J13+$L13)=0,0,($I13+$K13+$M13)/($H13+$J13+$L13)))</f>
        <v>94.5205555555556</v>
      </c>
      <c r="O13" s="82" t="n">
        <f aca="false">IF($B13="","",SUMIFS(购销流水!$J$6:$J$805,购销流水!$C$6:$C$805,$A13,购销流水!$F$6:$F$805,$B13,购销流水!$D$6:$D$805,"销售出库")-SUMIFS(购销流水!$J$6:$J$805,购销流水!$C$6:$C$805,$A13,购销流水!$F$6:$F$805,$B13,购销流水!$D$6:$D$805,"销售退回"))</f>
        <v>700</v>
      </c>
      <c r="P13" s="40" t="n">
        <f aca="false">IF($B13="","",SUMIFS(购销流水!$W$6:$W$805,购销流水!$C$6:$C$805,$A13,购销流水!$F$6:$F$805,$B13,购销流水!$D$6:$D$805,"销售出库")-SUMIFS(购销流水!$W$6:$W$805,购销流水!$C$6:$C$805,$A13,购销流水!$F$6:$F$805,$B13,购销流水!$D$6:$D$805,"销售退回"))</f>
        <v>66164.39</v>
      </c>
      <c r="Q13" s="82" t="n">
        <f aca="false">IF($B13="","",SUMIFS(生产加工!$I$6:$I$305,生产加工!$C$6:$C$305,$A13,生产加工!$F$6:$F$305,$B13,生产加工!$E$6:$E$305,"领用投入"))</f>
        <v>0</v>
      </c>
      <c r="R13" s="40" t="n">
        <f aca="false">IF($B13="","",SUMIFS(生产加工!$S$6:$S$305,生产加工!$C$6:$C$305,$A13,生产加工!$F$6:$F$305,$B13,生产加工!$E$6:$E$305,"领用投入"))</f>
        <v>0</v>
      </c>
      <c r="S13" s="84" t="n">
        <f aca="false">IF($B13="","",$H13+$J13+$L13-$O13-$Q13)</f>
        <v>200</v>
      </c>
      <c r="T13" s="85" t="n">
        <f aca="false">IF($B13="","",IF($S13=0,0,ROUND($U13/$S13,4)))</f>
        <v>94.5206</v>
      </c>
      <c r="U13" s="42" t="n">
        <f aca="false">IF($B13="","",ROUND($I13+$K13+$M13-$P13-$R13,2))</f>
        <v>18904.11</v>
      </c>
      <c r="V13" s="25" t="str">
        <f aca="false">IF($B13="","",IF($S13&lt;-0.0001,"✗ 结存数量为负",IF(AND($S13=0,ROUND($U13,2)&lt;&gt;0),"✗ 数量 0 金额不为 0",IF(ROUND($U13,2)&lt;-0.005,"✗ 结存金额为负","OK"))))</f>
        <v>OK</v>
      </c>
    </row>
    <row r="14" customFormat="false" ht="15" hidden="false" customHeight="false" outlineLevel="0" collapsed="false">
      <c r="A14" s="25" t="str">
        <f aca="false">IF(商品档案!$A14="","",商品档案!$E14)</f>
        <v>木业</v>
      </c>
      <c r="B14" s="25" t="str">
        <f aca="false">IF(商品档案!$A14="","",商品档案!$A14)</f>
        <v>MY03</v>
      </c>
      <c r="C14" s="10" t="str">
        <f aca="false">IF(商品档案!$A14="","",商品档案!$B14)</f>
        <v>*木制品*方料</v>
      </c>
      <c r="D14" s="10" t="n">
        <f aca="false">IF(商品档案!$A14="","",商品档案!$C14)</f>
        <v>0</v>
      </c>
      <c r="E14" s="25" t="str">
        <f aca="false">IF(商品档案!$A14="","",商品档案!$D14)</f>
        <v>立方米</v>
      </c>
      <c r="F14" s="25" t="str">
        <f aca="false">IF(商品档案!$A14="","",商品档案!$F14)</f>
        <v>产成品</v>
      </c>
      <c r="G14" s="25" t="str">
        <f aca="false">IF(商品档案!$A14="","",商品档案!$G14)</f>
        <v>库存商品</v>
      </c>
      <c r="H14" s="82" t="n">
        <f aca="false">IF($B14="","",SUMIFS(期初余额!$K$6:$K$65,期初余额!$H$6:$H$65,$A14,期初余额!$I$6:$I$65,$B14))</f>
        <v>0</v>
      </c>
      <c r="I14" s="40" t="n">
        <f aca="false">IF($B14="","",SUMIFS(期初余额!$L$6:$L$65,期初余额!$H$6:$H$65,$A14,期初余额!$I$6:$I$65,$B14))</f>
        <v>0</v>
      </c>
      <c r="J14" s="82" t="n">
        <f aca="false">IF($B14="","",SUMIFS(购销流水!$J$6:$J$805,购销流水!$C$6:$C$805,$A14,购销流水!$F$6:$F$805,$B14,购销流水!$D$6:$D$805,"采购入库")-SUMIFS(购销流水!$J$6:$J$805,购销流水!$C$6:$C$805,$A14,购销流水!$F$6:$F$805,$B14,购销流水!$D$6:$D$805,"采购退回"))</f>
        <v>0</v>
      </c>
      <c r="K14" s="40" t="n">
        <f aca="false">IF($B14="","",SUMIFS(购销流水!$Q$6:$Q$805,购销流水!$C$6:$C$805,$A14,购销流水!$F$6:$F$805,$B14,购销流水!$D$6:$D$805,"采购入库")-SUMIFS(购销流水!$Q$6:$Q$805,购销流水!$C$6:$C$805,$A14,购销流水!$F$6:$F$805,$B14,购销流水!$D$6:$D$805,"采购退回"))</f>
        <v>0</v>
      </c>
      <c r="L14" s="82" t="n">
        <f aca="false">IF($B14="","",SUMIFS(生产加工!$I$6:$I$305,生产加工!$C$6:$C$305,$A14,生产加工!$F$6:$F$305,$B14,生产加工!$E$6:$E$305,"产成品入库"))</f>
        <v>0</v>
      </c>
      <c r="M14" s="40" t="n">
        <f aca="false">IF($B14="","",SUMIFS(生产加工!$T$6:$T$305,生产加工!$C$6:$C$305,$A14,生产加工!$F$6:$F$305,$B14,生产加工!$E$6:$E$305,"产成品入库"))</f>
        <v>0</v>
      </c>
      <c r="N14" s="83" t="n">
        <f aca="false">IF($B14="","",IF(($H14+$J14+$L14)=0,0,($I14+$K14+$M14)/($H14+$J14+$L14)))</f>
        <v>0</v>
      </c>
      <c r="O14" s="82" t="n">
        <f aca="false">IF($B14="","",SUMIFS(购销流水!$J$6:$J$805,购销流水!$C$6:$C$805,$A14,购销流水!$F$6:$F$805,$B14,购销流水!$D$6:$D$805,"销售出库")-SUMIFS(购销流水!$J$6:$J$805,购销流水!$C$6:$C$805,$A14,购销流水!$F$6:$F$805,$B14,购销流水!$D$6:$D$805,"销售退回"))</f>
        <v>0</v>
      </c>
      <c r="P14" s="40" t="n">
        <f aca="false">IF($B14="","",SUMIFS(购销流水!$W$6:$W$805,购销流水!$C$6:$C$805,$A14,购销流水!$F$6:$F$805,$B14,购销流水!$D$6:$D$805,"销售出库")-SUMIFS(购销流水!$W$6:$W$805,购销流水!$C$6:$C$805,$A14,购销流水!$F$6:$F$805,$B14,购销流水!$D$6:$D$805,"销售退回"))</f>
        <v>0</v>
      </c>
      <c r="Q14" s="82" t="n">
        <f aca="false">IF($B14="","",SUMIFS(生产加工!$I$6:$I$305,生产加工!$C$6:$C$305,$A14,生产加工!$F$6:$F$305,$B14,生产加工!$E$6:$E$305,"领用投入"))</f>
        <v>0</v>
      </c>
      <c r="R14" s="40" t="n">
        <f aca="false">IF($B14="","",SUMIFS(生产加工!$S$6:$S$305,生产加工!$C$6:$C$305,$A14,生产加工!$F$6:$F$305,$B14,生产加工!$E$6:$E$305,"领用投入"))</f>
        <v>0</v>
      </c>
      <c r="S14" s="84" t="n">
        <f aca="false">IF($B14="","",$H14+$J14+$L14-$O14-$Q14)</f>
        <v>0</v>
      </c>
      <c r="T14" s="85" t="n">
        <f aca="false">IF($B14="","",IF($S14=0,0,ROUND($U14/$S14,4)))</f>
        <v>0</v>
      </c>
      <c r="U14" s="42" t="n">
        <f aca="false">IF($B14="","",ROUND($I14+$K14+$M14-$P14-$R14,2))</f>
        <v>0</v>
      </c>
      <c r="V14" s="25" t="str">
        <f aca="false">IF($B14="","",IF($S14&lt;-0.0001,"✗ 结存数量为负",IF(AND($S14=0,ROUND($U14,2)&lt;&gt;0),"✗ 数量 0 金额不为 0",IF(ROUND($U14,2)&lt;-0.005,"✗ 结存金额为负","OK"))))</f>
        <v>OK</v>
      </c>
    </row>
    <row r="15" customFormat="false" ht="15" hidden="false" customHeight="false" outlineLevel="0" collapsed="false">
      <c r="A15" s="25" t="str">
        <f aca="false">IF(商品档案!$A15="","",商品档案!$E15)</f>
        <v>木业</v>
      </c>
      <c r="B15" s="25" t="str">
        <f aca="false">IF(商品档案!$A15="","",商品档案!$A15)</f>
        <v>MY04</v>
      </c>
      <c r="C15" s="10" t="str">
        <f aca="false">IF(商品档案!$A15="","",商品档案!$B15)</f>
        <v>*木制品*建筑方料</v>
      </c>
      <c r="D15" s="10" t="n">
        <f aca="false">IF(商品档案!$A15="","",商品档案!$C15)</f>
        <v>0</v>
      </c>
      <c r="E15" s="25" t="str">
        <f aca="false">IF(商品档案!$A15="","",商品档案!$D15)</f>
        <v>立方米</v>
      </c>
      <c r="F15" s="25" t="str">
        <f aca="false">IF(商品档案!$A15="","",商品档案!$F15)</f>
        <v>产成品</v>
      </c>
      <c r="G15" s="25" t="str">
        <f aca="false">IF(商品档案!$A15="","",商品档案!$G15)</f>
        <v>库存商品</v>
      </c>
      <c r="H15" s="82" t="n">
        <f aca="false">IF($B15="","",SUMIFS(期初余额!$K$6:$K$65,期初余额!$H$6:$H$65,$A15,期初余额!$I$6:$I$65,$B15))</f>
        <v>0</v>
      </c>
      <c r="I15" s="40" t="n">
        <f aca="false">IF($B15="","",SUMIFS(期初余额!$L$6:$L$65,期初余额!$H$6:$H$65,$A15,期初余额!$I$6:$I$65,$B15))</f>
        <v>0</v>
      </c>
      <c r="J15" s="82" t="n">
        <f aca="false">IF($B15="","",SUMIFS(购销流水!$J$6:$J$805,购销流水!$C$6:$C$805,$A15,购销流水!$F$6:$F$805,$B15,购销流水!$D$6:$D$805,"采购入库")-SUMIFS(购销流水!$J$6:$J$805,购销流水!$C$6:$C$805,$A15,购销流水!$F$6:$F$805,$B15,购销流水!$D$6:$D$805,"采购退回"))</f>
        <v>0</v>
      </c>
      <c r="K15" s="40" t="n">
        <f aca="false">IF($B15="","",SUMIFS(购销流水!$Q$6:$Q$805,购销流水!$C$6:$C$805,$A15,购销流水!$F$6:$F$805,$B15,购销流水!$D$6:$D$805,"采购入库")-SUMIFS(购销流水!$Q$6:$Q$805,购销流水!$C$6:$C$805,$A15,购销流水!$F$6:$F$805,$B15,购销流水!$D$6:$D$805,"采购退回"))</f>
        <v>0</v>
      </c>
      <c r="L15" s="82" t="n">
        <f aca="false">IF($B15="","",SUMIFS(生产加工!$I$6:$I$305,生产加工!$C$6:$C$305,$A15,生产加工!$F$6:$F$305,$B15,生产加工!$E$6:$E$305,"产成品入库"))</f>
        <v>0</v>
      </c>
      <c r="M15" s="40" t="n">
        <f aca="false">IF($B15="","",SUMIFS(生产加工!$T$6:$T$305,生产加工!$C$6:$C$305,$A15,生产加工!$F$6:$F$305,$B15,生产加工!$E$6:$E$305,"产成品入库"))</f>
        <v>0</v>
      </c>
      <c r="N15" s="83" t="n">
        <f aca="false">IF($B15="","",IF(($H15+$J15+$L15)=0,0,($I15+$K15+$M15)/($H15+$J15+$L15)))</f>
        <v>0</v>
      </c>
      <c r="O15" s="82" t="n">
        <f aca="false">IF($B15="","",SUMIFS(购销流水!$J$6:$J$805,购销流水!$C$6:$C$805,$A15,购销流水!$F$6:$F$805,$B15,购销流水!$D$6:$D$805,"销售出库")-SUMIFS(购销流水!$J$6:$J$805,购销流水!$C$6:$C$805,$A15,购销流水!$F$6:$F$805,$B15,购销流水!$D$6:$D$805,"销售退回"))</f>
        <v>0</v>
      </c>
      <c r="P15" s="40" t="n">
        <f aca="false">IF($B15="","",SUMIFS(购销流水!$W$6:$W$805,购销流水!$C$6:$C$805,$A15,购销流水!$F$6:$F$805,$B15,购销流水!$D$6:$D$805,"销售出库")-SUMIFS(购销流水!$W$6:$W$805,购销流水!$C$6:$C$805,$A15,购销流水!$F$6:$F$805,$B15,购销流水!$D$6:$D$805,"销售退回"))</f>
        <v>0</v>
      </c>
      <c r="Q15" s="82" t="n">
        <f aca="false">IF($B15="","",SUMIFS(生产加工!$I$6:$I$305,生产加工!$C$6:$C$305,$A15,生产加工!$F$6:$F$305,$B15,生产加工!$E$6:$E$305,"领用投入"))</f>
        <v>0</v>
      </c>
      <c r="R15" s="40" t="n">
        <f aca="false">IF($B15="","",SUMIFS(生产加工!$S$6:$S$305,生产加工!$C$6:$C$305,$A15,生产加工!$F$6:$F$305,$B15,生产加工!$E$6:$E$305,"领用投入"))</f>
        <v>0</v>
      </c>
      <c r="S15" s="84" t="n">
        <f aca="false">IF($B15="","",$H15+$J15+$L15-$O15-$Q15)</f>
        <v>0</v>
      </c>
      <c r="T15" s="85" t="n">
        <f aca="false">IF($B15="","",IF($S15=0,0,ROUND($U15/$S15,4)))</f>
        <v>0</v>
      </c>
      <c r="U15" s="42" t="n">
        <f aca="false">IF($B15="","",ROUND($I15+$K15+$M15-$P15-$R15,2))</f>
        <v>0</v>
      </c>
      <c r="V15" s="25" t="str">
        <f aca="false">IF($B15="","",IF($S15&lt;-0.0001,"✗ 结存数量为负",IF(AND($S15=0,ROUND($U15,2)&lt;&gt;0),"✗ 数量 0 金额不为 0",IF(ROUND($U15,2)&lt;-0.005,"✗ 结存金额为负","OK"))))</f>
        <v>OK</v>
      </c>
    </row>
    <row r="16" customFormat="false" ht="15" hidden="false" customHeight="false" outlineLevel="0" collapsed="false">
      <c r="A16" s="25" t="str">
        <f aca="false">IF(商品档案!$A16="","",商品档案!$E16)</f>
        <v>木业</v>
      </c>
      <c r="B16" s="25" t="str">
        <f aca="false">IF(商品档案!$A16="","",商品档案!$A16)</f>
        <v>MY05</v>
      </c>
      <c r="C16" s="10" t="str">
        <f aca="false">IF(商品档案!$A16="","",商品档案!$B16)</f>
        <v>*木制品*包装箱板材</v>
      </c>
      <c r="D16" s="10" t="n">
        <f aca="false">IF(商品档案!$A16="","",商品档案!$C16)</f>
        <v>0</v>
      </c>
      <c r="E16" s="25" t="str">
        <f aca="false">IF(商品档案!$A16="","",商品档案!$D16)</f>
        <v>立方米</v>
      </c>
      <c r="F16" s="25" t="str">
        <f aca="false">IF(商品档案!$A16="","",商品档案!$F16)</f>
        <v>产成品</v>
      </c>
      <c r="G16" s="25" t="str">
        <f aca="false">IF(商品档案!$A16="","",商品档案!$G16)</f>
        <v>库存商品</v>
      </c>
      <c r="H16" s="82" t="n">
        <f aca="false">IF($B16="","",SUMIFS(期初余额!$K$6:$K$65,期初余额!$H$6:$H$65,$A16,期初余额!$I$6:$I$65,$B16))</f>
        <v>0</v>
      </c>
      <c r="I16" s="40" t="n">
        <f aca="false">IF($B16="","",SUMIFS(期初余额!$L$6:$L$65,期初余额!$H$6:$H$65,$A16,期初余额!$I$6:$I$65,$B16))</f>
        <v>0</v>
      </c>
      <c r="J16" s="82" t="n">
        <f aca="false">IF($B16="","",SUMIFS(购销流水!$J$6:$J$805,购销流水!$C$6:$C$805,$A16,购销流水!$F$6:$F$805,$B16,购销流水!$D$6:$D$805,"采购入库")-SUMIFS(购销流水!$J$6:$J$805,购销流水!$C$6:$C$805,$A16,购销流水!$F$6:$F$805,$B16,购销流水!$D$6:$D$805,"采购退回"))</f>
        <v>0</v>
      </c>
      <c r="K16" s="40" t="n">
        <f aca="false">IF($B16="","",SUMIFS(购销流水!$Q$6:$Q$805,购销流水!$C$6:$C$805,$A16,购销流水!$F$6:$F$805,$B16,购销流水!$D$6:$D$805,"采购入库")-SUMIFS(购销流水!$Q$6:$Q$805,购销流水!$C$6:$C$805,$A16,购销流水!$F$6:$F$805,$B16,购销流水!$D$6:$D$805,"采购退回"))</f>
        <v>0</v>
      </c>
      <c r="L16" s="82" t="n">
        <f aca="false">IF($B16="","",SUMIFS(生产加工!$I$6:$I$305,生产加工!$C$6:$C$305,$A16,生产加工!$F$6:$F$305,$B16,生产加工!$E$6:$E$305,"产成品入库"))</f>
        <v>48</v>
      </c>
      <c r="M16" s="40" t="n">
        <f aca="false">IF($B16="","",SUMIFS(生产加工!$T$6:$T$305,生产加工!$C$6:$C$305,$A16,生产加工!$F$6:$F$305,$B16,生产加工!$E$6:$E$305,"产成品入库"))</f>
        <v>71624.66</v>
      </c>
      <c r="N16" s="83" t="n">
        <f aca="false">IF($B16="","",IF(($H16+$J16+$L16)=0,0,($I16+$K16+$M16)/($H16+$J16+$L16)))</f>
        <v>1492.18041666667</v>
      </c>
      <c r="O16" s="82" t="n">
        <f aca="false">IF($B16="","",SUMIFS(购销流水!$J$6:$J$805,购销流水!$C$6:$C$805,$A16,购销流水!$F$6:$F$805,$B16,购销流水!$D$6:$D$805,"销售出库")-SUMIFS(购销流水!$J$6:$J$805,购销流水!$C$6:$C$805,$A16,购销流水!$F$6:$F$805,$B16,购销流水!$D$6:$D$805,"销售退回"))</f>
        <v>45</v>
      </c>
      <c r="P16" s="40" t="n">
        <f aca="false">IF($B16="","",SUMIFS(购销流水!$W$6:$W$805,购销流水!$C$6:$C$805,$A16,购销流水!$F$6:$F$805,$B16,购销流水!$D$6:$D$805,"销售出库")-SUMIFS(购销流水!$W$6:$W$805,购销流水!$C$6:$C$805,$A16,购销流水!$F$6:$F$805,$B16,购销流水!$D$6:$D$805,"销售退回"))</f>
        <v>67148.12</v>
      </c>
      <c r="Q16" s="82" t="n">
        <f aca="false">IF($B16="","",SUMIFS(生产加工!$I$6:$I$305,生产加工!$C$6:$C$305,$A16,生产加工!$F$6:$F$305,$B16,生产加工!$E$6:$E$305,"领用投入"))</f>
        <v>0</v>
      </c>
      <c r="R16" s="40" t="n">
        <f aca="false">IF($B16="","",SUMIFS(生产加工!$S$6:$S$305,生产加工!$C$6:$C$305,$A16,生产加工!$F$6:$F$305,$B16,生产加工!$E$6:$E$305,"领用投入"))</f>
        <v>0</v>
      </c>
      <c r="S16" s="84" t="n">
        <f aca="false">IF($B16="","",$H16+$J16+$L16-$O16-$Q16)</f>
        <v>3</v>
      </c>
      <c r="T16" s="85" t="n">
        <f aca="false">IF($B16="","",IF($S16=0,0,ROUND($U16/$S16,4)))</f>
        <v>1492.18</v>
      </c>
      <c r="U16" s="42" t="n">
        <f aca="false">IF($B16="","",ROUND($I16+$K16+$M16-$P16-$R16,2))</f>
        <v>4476.54</v>
      </c>
      <c r="V16" s="25" t="str">
        <f aca="false">IF($B16="","",IF($S16&lt;-0.0001,"✗ 结存数量为负",IF(AND($S16=0,ROUND($U16,2)&lt;&gt;0),"✗ 数量 0 金额不为 0",IF(ROUND($U16,2)&lt;-0.005,"✗ 结存金额为负","OK"))))</f>
        <v>OK</v>
      </c>
    </row>
    <row r="17" customFormat="false" ht="15" hidden="false" customHeight="false" outlineLevel="0" collapsed="false">
      <c r="A17" s="25" t="str">
        <f aca="false">IF(商品档案!$A17="","",商品档案!$E17)</f>
        <v>木业</v>
      </c>
      <c r="B17" s="25" t="str">
        <f aca="false">IF(商品档案!$A17="","",商品档案!$A17)</f>
        <v>MY06</v>
      </c>
      <c r="C17" s="10" t="str">
        <f aca="false">IF(商品档案!$A17="","",商品档案!$B17)</f>
        <v>*林业产品*建筑木方料</v>
      </c>
      <c r="D17" s="10" t="n">
        <f aca="false">IF(商品档案!$A17="","",商品档案!$C17)</f>
        <v>0</v>
      </c>
      <c r="E17" s="25" t="str">
        <f aca="false">IF(商品档案!$A17="","",商品档案!$D17)</f>
        <v>立方米</v>
      </c>
      <c r="F17" s="25" t="str">
        <f aca="false">IF(商品档案!$A17="","",商品档案!$F17)</f>
        <v>产成品</v>
      </c>
      <c r="G17" s="25" t="str">
        <f aca="false">IF(商品档案!$A17="","",商品档案!$G17)</f>
        <v>库存商品</v>
      </c>
      <c r="H17" s="82" t="n">
        <f aca="false">IF($B17="","",SUMIFS(期初余额!$K$6:$K$65,期初余额!$H$6:$H$65,$A17,期初余额!$I$6:$I$65,$B17))</f>
        <v>0</v>
      </c>
      <c r="I17" s="40" t="n">
        <f aca="false">IF($B17="","",SUMIFS(期初余额!$L$6:$L$65,期初余额!$H$6:$H$65,$A17,期初余额!$I$6:$I$65,$B17))</f>
        <v>0</v>
      </c>
      <c r="J17" s="82" t="n">
        <f aca="false">IF($B17="","",SUMIFS(购销流水!$J$6:$J$805,购销流水!$C$6:$C$805,$A17,购销流水!$F$6:$F$805,$B17,购销流水!$D$6:$D$805,"采购入库")-SUMIFS(购销流水!$J$6:$J$805,购销流水!$C$6:$C$805,$A17,购销流水!$F$6:$F$805,$B17,购销流水!$D$6:$D$805,"采购退回"))</f>
        <v>0</v>
      </c>
      <c r="K17" s="40" t="n">
        <f aca="false">IF($B17="","",SUMIFS(购销流水!$Q$6:$Q$805,购销流水!$C$6:$C$805,$A17,购销流水!$F$6:$F$805,$B17,购销流水!$D$6:$D$805,"采购入库")-SUMIFS(购销流水!$Q$6:$Q$805,购销流水!$C$6:$C$805,$A17,购销流水!$F$6:$F$805,$B17,购销流水!$D$6:$D$805,"采购退回"))</f>
        <v>0</v>
      </c>
      <c r="L17" s="82" t="n">
        <f aca="false">IF($B17="","",SUMIFS(生产加工!$I$6:$I$305,生产加工!$C$6:$C$305,$A17,生产加工!$F$6:$F$305,$B17,生产加工!$E$6:$E$305,"产成品入库"))</f>
        <v>20</v>
      </c>
      <c r="M17" s="40" t="n">
        <f aca="false">IF($B17="","",SUMIFS(生产加工!$T$6:$T$305,生产加工!$C$6:$C$305,$A17,生产加工!$F$6:$F$305,$B17,生产加工!$E$6:$E$305,"产成品入库"))</f>
        <v>19156.16</v>
      </c>
      <c r="N17" s="83" t="n">
        <f aca="false">IF($B17="","",IF(($H17+$J17+$L17)=0,0,($I17+$K17+$M17)/($H17+$J17+$L17)))</f>
        <v>957.808</v>
      </c>
      <c r="O17" s="82" t="n">
        <f aca="false">IF($B17="","",SUMIFS(购销流水!$J$6:$J$805,购销流水!$C$6:$C$805,$A17,购销流水!$F$6:$F$805,$B17,购销流水!$D$6:$D$805,"销售出库")-SUMIFS(购销流水!$J$6:$J$805,购销流水!$C$6:$C$805,$A17,购销流水!$F$6:$F$805,$B17,购销流水!$D$6:$D$805,"销售退回"))</f>
        <v>15</v>
      </c>
      <c r="P17" s="40" t="n">
        <f aca="false">IF($B17="","",SUMIFS(购销流水!$W$6:$W$805,购销流水!$C$6:$C$805,$A17,购销流水!$F$6:$F$805,$B17,购销流水!$D$6:$D$805,"销售出库")-SUMIFS(购销流水!$W$6:$W$805,购销流水!$C$6:$C$805,$A17,购销流水!$F$6:$F$805,$B17,购销流水!$D$6:$D$805,"销售退回"))</f>
        <v>14367.12</v>
      </c>
      <c r="Q17" s="82" t="n">
        <f aca="false">IF($B17="","",SUMIFS(生产加工!$I$6:$I$305,生产加工!$C$6:$C$305,$A17,生产加工!$F$6:$F$305,$B17,生产加工!$E$6:$E$305,"领用投入"))</f>
        <v>0</v>
      </c>
      <c r="R17" s="40" t="n">
        <f aca="false">IF($B17="","",SUMIFS(生产加工!$S$6:$S$305,生产加工!$C$6:$C$305,$A17,生产加工!$F$6:$F$305,$B17,生产加工!$E$6:$E$305,"领用投入"))</f>
        <v>0</v>
      </c>
      <c r="S17" s="84" t="n">
        <f aca="false">IF($B17="","",$H17+$J17+$L17-$O17-$Q17)</f>
        <v>5</v>
      </c>
      <c r="T17" s="85" t="n">
        <f aca="false">IF($B17="","",IF($S17=0,0,ROUND($U17/$S17,4)))</f>
        <v>957.808</v>
      </c>
      <c r="U17" s="42" t="n">
        <f aca="false">IF($B17="","",ROUND($I17+$K17+$M17-$P17-$R17,2))</f>
        <v>4789.04</v>
      </c>
      <c r="V17" s="25" t="str">
        <f aca="false">IF($B17="","",IF($S17&lt;-0.0001,"✗ 结存数量为负",IF(AND($S17=0,ROUND($U17,2)&lt;&gt;0),"✗ 数量 0 金额不为 0",IF(ROUND($U17,2)&lt;-0.005,"✗ 结存金额为负","OK"))))</f>
        <v>OK</v>
      </c>
    </row>
    <row r="18" customFormat="false" ht="15" hidden="false" customHeight="false" outlineLevel="0" collapsed="false">
      <c r="A18" s="25" t="str">
        <f aca="false">IF(商品档案!$A18="","",商品档案!$E18)</f>
        <v>木业</v>
      </c>
      <c r="B18" s="25" t="str">
        <f aca="false">IF(商品档案!$A18="","",商品档案!$A18)</f>
        <v>MY07</v>
      </c>
      <c r="C18" s="10" t="str">
        <f aca="false">IF(商品档案!$A18="","",商品档案!$B18)</f>
        <v>原木</v>
      </c>
      <c r="D18" s="10" t="str">
        <f aca="false">IF(商品档案!$A18="","",商品档案!$C18)</f>
        <v>外购/内购 4m</v>
      </c>
      <c r="E18" s="25" t="str">
        <f aca="false">IF(商品档案!$A18="","",商品档案!$D18)</f>
        <v>立方米</v>
      </c>
      <c r="F18" s="25" t="str">
        <f aca="false">IF(商品档案!$A18="","",商品档案!$F18)</f>
        <v>原材料</v>
      </c>
      <c r="G18" s="25" t="str">
        <f aca="false">IF(商品档案!$A18="","",商品档案!$G18)</f>
        <v>原材料</v>
      </c>
      <c r="H18" s="82" t="n">
        <f aca="false">IF($B18="","",SUMIFS(期初余额!$K$6:$K$65,期初余额!$H$6:$H$65,$A18,期初余额!$I$6:$I$65,$B18))</f>
        <v>80</v>
      </c>
      <c r="I18" s="40" t="n">
        <f aca="false">IF($B18="","",SUMIFS(期初余额!$L$6:$L$65,期初余额!$H$6:$H$65,$A18,期初余额!$I$6:$I$65,$B18))</f>
        <v>76000</v>
      </c>
      <c r="J18" s="82" t="n">
        <f aca="false">IF($B18="","",SUMIFS(购销流水!$J$6:$J$805,购销流水!$C$6:$C$805,$A18,购销流水!$F$6:$F$805,$B18,购销流水!$D$6:$D$805,"采购入库")-SUMIFS(购销流水!$J$6:$J$805,购销流水!$C$6:$C$805,$A18,购销流水!$F$6:$F$805,$B18,购销流水!$D$6:$D$805,"采购退回"))</f>
        <v>285</v>
      </c>
      <c r="K18" s="40" t="n">
        <f aca="false">IF($B18="","",SUMIFS(购销流水!$Q$6:$Q$805,购销流水!$C$6:$C$805,$A18,购销流水!$F$6:$F$805,$B18,购销流水!$D$6:$D$805,"采购入库")-SUMIFS(购销流水!$Q$6:$Q$805,购销流水!$C$6:$C$805,$A18,购销流水!$F$6:$F$805,$B18,购销流水!$D$6:$D$805,"采购退回"))</f>
        <v>292800</v>
      </c>
      <c r="L18" s="82" t="n">
        <f aca="false">IF($B18="","",SUMIFS(生产加工!$I$6:$I$305,生产加工!$C$6:$C$305,$A18,生产加工!$F$6:$F$305,$B18,生产加工!$E$6:$E$305,"产成品入库"))</f>
        <v>0</v>
      </c>
      <c r="M18" s="40" t="n">
        <f aca="false">IF($B18="","",SUMIFS(生产加工!$T$6:$T$305,生产加工!$C$6:$C$305,$A18,生产加工!$F$6:$F$305,$B18,生产加工!$E$6:$E$305,"产成品入库"))</f>
        <v>0</v>
      </c>
      <c r="N18" s="83" t="n">
        <f aca="false">IF($B18="","",IF(($H18+$J18+$L18)=0,0,($I18+$K18+$M18)/($H18+$J18+$L18)))</f>
        <v>1010.41095890411</v>
      </c>
      <c r="O18" s="82" t="n">
        <f aca="false">IF($B18="","",SUMIFS(购销流水!$J$6:$J$805,购销流水!$C$6:$C$805,$A18,购销流水!$F$6:$F$805,$B18,购销流水!$D$6:$D$805,"销售出库")-SUMIFS(购销流水!$J$6:$J$805,购销流水!$C$6:$C$805,$A18,购销流水!$F$6:$F$805,$B18,购销流水!$D$6:$D$805,"销售退回"))</f>
        <v>0</v>
      </c>
      <c r="P18" s="40" t="n">
        <f aca="false">IF($B18="","",SUMIFS(购销流水!$W$6:$W$805,购销流水!$C$6:$C$805,$A18,购销流水!$F$6:$F$805,$B18,购销流水!$D$6:$D$805,"销售出库")-SUMIFS(购销流水!$W$6:$W$805,购销流水!$C$6:$C$805,$A18,购销流水!$F$6:$F$805,$B18,购销流水!$D$6:$D$805,"销售退回"))</f>
        <v>0</v>
      </c>
      <c r="Q18" s="82" t="n">
        <f aca="false">IF($B18="","",SUMIFS(生产加工!$I$6:$I$305,生产加工!$C$6:$C$305,$A18,生产加工!$F$6:$F$305,$B18,生产加工!$E$6:$E$305,"领用投入"))</f>
        <v>240</v>
      </c>
      <c r="R18" s="40" t="n">
        <f aca="false">IF($B18="","",SUMIFS(生产加工!$S$6:$S$305,生产加工!$C$6:$C$305,$A18,生产加工!$F$6:$F$305,$B18,生产加工!$E$6:$E$305,"领用投入"))</f>
        <v>242498.64</v>
      </c>
      <c r="S18" s="84" t="n">
        <f aca="false">IF($B18="","",$H18+$J18+$L18-$O18-$Q18)</f>
        <v>125</v>
      </c>
      <c r="T18" s="85" t="n">
        <f aca="false">IF($B18="","",IF($S18=0,0,ROUND($U18/$S18,4)))</f>
        <v>1010.4109</v>
      </c>
      <c r="U18" s="42" t="n">
        <f aca="false">IF($B18="","",ROUND($I18+$K18+$M18-$P18-$R18,2))</f>
        <v>126301.36</v>
      </c>
      <c r="V18" s="25" t="str">
        <f aca="false">IF($B18="","",IF($S18&lt;-0.0001,"✗ 结存数量为负",IF(AND($S18=0,ROUND($U18,2)&lt;&gt;0),"✗ 数量 0 金额不为 0",IF(ROUND($U18,2)&lt;-0.005,"✗ 结存金额为负","OK"))))</f>
        <v>OK</v>
      </c>
    </row>
    <row r="19" customFormat="false" ht="15" hidden="false" customHeight="false" outlineLevel="0" collapsed="false">
      <c r="A19" s="25" t="str">
        <f aca="false">IF(商品档案!$A19="","",商品档案!$E19)</f>
        <v>木业</v>
      </c>
      <c r="B19" s="25" t="str">
        <f aca="false">IF(商品档案!$A19="","",商品档案!$A19)</f>
        <v>MY08</v>
      </c>
      <c r="C19" s="10" t="str">
        <f aca="false">IF(商品档案!$A19="","",商品档案!$B19)</f>
        <v>胶水</v>
      </c>
      <c r="D19" s="10" t="str">
        <f aca="false">IF(商品档案!$A19="","",商品档案!$C19)</f>
        <v>脲醛胶</v>
      </c>
      <c r="E19" s="25" t="str">
        <f aca="false">IF(商品档案!$A19="","",商品档案!$D19)</f>
        <v>公斤</v>
      </c>
      <c r="F19" s="25" t="str">
        <f aca="false">IF(商品档案!$A19="","",商品档案!$F19)</f>
        <v>原材料</v>
      </c>
      <c r="G19" s="25" t="str">
        <f aca="false">IF(商品档案!$A19="","",商品档案!$G19)</f>
        <v>原材料</v>
      </c>
      <c r="H19" s="82" t="n">
        <f aca="false">IF($B19="","",SUMIFS(期初余额!$K$6:$K$65,期初余额!$H$6:$H$65,$A19,期初余额!$I$6:$I$65,$B19))</f>
        <v>300</v>
      </c>
      <c r="I19" s="40" t="n">
        <f aca="false">IF($B19="","",SUMIFS(期初余额!$L$6:$L$65,期初余额!$H$6:$H$65,$A19,期初余额!$I$6:$I$65,$B19))</f>
        <v>5850</v>
      </c>
      <c r="J19" s="82" t="n">
        <f aca="false">IF($B19="","",SUMIFS(购销流水!$J$6:$J$805,购销流水!$C$6:$C$805,$A19,购销流水!$F$6:$F$805,$B19,购销流水!$D$6:$D$805,"采购入库")-SUMIFS(购销流水!$J$6:$J$805,购销流水!$C$6:$C$805,$A19,购销流水!$F$6:$F$805,$B19,购销流水!$D$6:$D$805,"采购退回"))</f>
        <v>600</v>
      </c>
      <c r="K19" s="40" t="n">
        <f aca="false">IF($B19="","",SUMIFS(购销流水!$Q$6:$Q$805,购销流水!$C$6:$C$805,$A19,购销流水!$F$6:$F$805,$B19,购销流水!$D$6:$D$805,"采购入库")-SUMIFS(购销流水!$Q$6:$Q$805,购销流水!$C$6:$C$805,$A19,购销流水!$F$6:$F$805,$B19,购销流水!$D$6:$D$805,"采购退回"))</f>
        <v>12000</v>
      </c>
      <c r="L19" s="82" t="n">
        <f aca="false">IF($B19="","",SUMIFS(生产加工!$I$6:$I$305,生产加工!$C$6:$C$305,$A19,生产加工!$F$6:$F$305,$B19,生产加工!$E$6:$E$305,"产成品入库"))</f>
        <v>0</v>
      </c>
      <c r="M19" s="40" t="n">
        <f aca="false">IF($B19="","",SUMIFS(生产加工!$T$6:$T$305,生产加工!$C$6:$C$305,$A19,生产加工!$F$6:$F$305,$B19,生产加工!$E$6:$E$305,"产成品入库"))</f>
        <v>0</v>
      </c>
      <c r="N19" s="83" t="n">
        <f aca="false">IF($B19="","",IF(($H19+$J19+$L19)=0,0,($I19+$K19+$M19)/($H19+$J19+$L19)))</f>
        <v>19.8333333333333</v>
      </c>
      <c r="O19" s="82" t="n">
        <f aca="false">IF($B19="","",SUMIFS(购销流水!$J$6:$J$805,购销流水!$C$6:$C$805,$A19,购销流水!$F$6:$F$805,$B19,购销流水!$D$6:$D$805,"销售出库")-SUMIFS(购销流水!$J$6:$J$805,购销流水!$C$6:$C$805,$A19,购销流水!$F$6:$F$805,$B19,购销流水!$D$6:$D$805,"销售退回"))</f>
        <v>0</v>
      </c>
      <c r="P19" s="40" t="n">
        <f aca="false">IF($B19="","",SUMIFS(购销流水!$W$6:$W$805,购销流水!$C$6:$C$805,$A19,购销流水!$F$6:$F$805,$B19,购销流水!$D$6:$D$805,"销售出库")-SUMIFS(购销流水!$W$6:$W$805,购销流水!$C$6:$C$805,$A19,购销流水!$F$6:$F$805,$B19,购销流水!$D$6:$D$805,"销售退回"))</f>
        <v>0</v>
      </c>
      <c r="Q19" s="82" t="n">
        <f aca="false">IF($B19="","",SUMIFS(生产加工!$I$6:$I$305,生产加工!$C$6:$C$305,$A19,生产加工!$F$6:$F$305,$B19,生产加工!$E$6:$E$305,"领用投入"))</f>
        <v>0</v>
      </c>
      <c r="R19" s="40" t="n">
        <f aca="false">IF($B19="","",SUMIFS(生产加工!$S$6:$S$305,生产加工!$C$6:$C$305,$A19,生产加工!$F$6:$F$305,$B19,生产加工!$E$6:$E$305,"领用投入"))</f>
        <v>0</v>
      </c>
      <c r="S19" s="84" t="n">
        <f aca="false">IF($B19="","",$H19+$J19+$L19-$O19-$Q19)</f>
        <v>900</v>
      </c>
      <c r="T19" s="85" t="n">
        <f aca="false">IF($B19="","",IF($S19=0,0,ROUND($U19/$S19,4)))</f>
        <v>19.8333</v>
      </c>
      <c r="U19" s="42" t="n">
        <f aca="false">IF($B19="","",ROUND($I19+$K19+$M19-$P19-$R19,2))</f>
        <v>17850</v>
      </c>
      <c r="V19" s="25" t="str">
        <f aca="false">IF($B19="","",IF($S19&lt;-0.0001,"✗ 结存数量为负",IF(AND($S19=0,ROUND($U19,2)&lt;&gt;0),"✗ 数量 0 金额不为 0",IF(ROUND($U19,2)&lt;-0.005,"✗ 结存金额为负","OK"))))</f>
        <v>OK</v>
      </c>
    </row>
    <row r="20" customFormat="false" ht="15" hidden="false" customHeight="false" outlineLevel="0" collapsed="false">
      <c r="A20" s="25" t="str">
        <f aca="false">IF(商品档案!$A20="","",商品档案!$E20)</f>
        <v>木业</v>
      </c>
      <c r="B20" s="25" t="str">
        <f aca="false">IF(商品档案!$A20="","",商品档案!$A20)</f>
        <v>MY09</v>
      </c>
      <c r="C20" s="10" t="str">
        <f aca="false">IF(商品档案!$A20="","",商品档案!$B20)</f>
        <v>木屑边角料</v>
      </c>
      <c r="D20" s="10" t="n">
        <f aca="false">IF(商品档案!$A20="","",商品档案!$C20)</f>
        <v>0</v>
      </c>
      <c r="E20" s="25" t="str">
        <f aca="false">IF(商品档案!$A20="","",商品档案!$D20)</f>
        <v>吨</v>
      </c>
      <c r="F20" s="25" t="str">
        <f aca="false">IF(商品档案!$A20="","",商品档案!$F20)</f>
        <v>产成品</v>
      </c>
      <c r="G20" s="25" t="str">
        <f aca="false">IF(商品档案!$A20="","",商品档案!$G20)</f>
        <v>库存商品</v>
      </c>
      <c r="H20" s="82" t="n">
        <f aca="false">IF($B20="","",SUMIFS(期初余额!$K$6:$K$65,期初余额!$H$6:$H$65,$A20,期初余额!$I$6:$I$65,$B20))</f>
        <v>0</v>
      </c>
      <c r="I20" s="40" t="n">
        <f aca="false">IF($B20="","",SUMIFS(期初余额!$L$6:$L$65,期初余额!$H$6:$H$65,$A20,期初余额!$I$6:$I$65,$B20))</f>
        <v>0</v>
      </c>
      <c r="J20" s="82" t="n">
        <f aca="false">IF($B20="","",SUMIFS(购销流水!$J$6:$J$805,购销流水!$C$6:$C$805,$A20,购销流水!$F$6:$F$805,$B20,购销流水!$D$6:$D$805,"采购入库")-SUMIFS(购销流水!$J$6:$J$805,购销流水!$C$6:$C$805,$A20,购销流水!$F$6:$F$805,$B20,购销流水!$D$6:$D$805,"采购退回"))</f>
        <v>0</v>
      </c>
      <c r="K20" s="40" t="n">
        <f aca="false">IF($B20="","",SUMIFS(购销流水!$Q$6:$Q$805,购销流水!$C$6:$C$805,$A20,购销流水!$F$6:$F$805,$B20,购销流水!$D$6:$D$805,"采购入库")-SUMIFS(购销流水!$Q$6:$Q$805,购销流水!$C$6:$C$805,$A20,购销流水!$F$6:$F$805,$B20,购销流水!$D$6:$D$805,"采购退回"))</f>
        <v>0</v>
      </c>
      <c r="L20" s="82" t="n">
        <f aca="false">IF($B20="","",SUMIFS(生产加工!$I$6:$I$305,生产加工!$C$6:$C$305,$A20,生产加工!$F$6:$F$305,$B20,生产加工!$E$6:$E$305,"产成品入库"))</f>
        <v>0</v>
      </c>
      <c r="M20" s="40" t="n">
        <f aca="false">IF($B20="","",SUMIFS(生产加工!$T$6:$T$305,生产加工!$C$6:$C$305,$A20,生产加工!$F$6:$F$305,$B20,生产加工!$E$6:$E$305,"产成品入库"))</f>
        <v>0</v>
      </c>
      <c r="N20" s="83" t="n">
        <f aca="false">IF($B20="","",IF(($H20+$J20+$L20)=0,0,($I20+$K20+$M20)/($H20+$J20+$L20)))</f>
        <v>0</v>
      </c>
      <c r="O20" s="82" t="n">
        <f aca="false">IF($B20="","",SUMIFS(购销流水!$J$6:$J$805,购销流水!$C$6:$C$805,$A20,购销流水!$F$6:$F$805,$B20,购销流水!$D$6:$D$805,"销售出库")-SUMIFS(购销流水!$J$6:$J$805,购销流水!$C$6:$C$805,$A20,购销流水!$F$6:$F$805,$B20,购销流水!$D$6:$D$805,"销售退回"))</f>
        <v>0</v>
      </c>
      <c r="P20" s="40" t="n">
        <f aca="false">IF($B20="","",SUMIFS(购销流水!$W$6:$W$805,购销流水!$C$6:$C$805,$A20,购销流水!$F$6:$F$805,$B20,购销流水!$D$6:$D$805,"销售出库")-SUMIFS(购销流水!$W$6:$W$805,购销流水!$C$6:$C$805,$A20,购销流水!$F$6:$F$805,$B20,购销流水!$D$6:$D$805,"销售退回"))</f>
        <v>0</v>
      </c>
      <c r="Q20" s="82" t="n">
        <f aca="false">IF($B20="","",SUMIFS(生产加工!$I$6:$I$305,生产加工!$C$6:$C$305,$A20,生产加工!$F$6:$F$305,$B20,生产加工!$E$6:$E$305,"领用投入"))</f>
        <v>0</v>
      </c>
      <c r="R20" s="40" t="n">
        <f aca="false">IF($B20="","",SUMIFS(生产加工!$S$6:$S$305,生产加工!$C$6:$C$305,$A20,生产加工!$F$6:$F$305,$B20,生产加工!$E$6:$E$305,"领用投入"))</f>
        <v>0</v>
      </c>
      <c r="S20" s="84" t="n">
        <f aca="false">IF($B20="","",$H20+$J20+$L20-$O20-$Q20)</f>
        <v>0</v>
      </c>
      <c r="T20" s="85" t="n">
        <f aca="false">IF($B20="","",IF($S20=0,0,ROUND($U20/$S20,4)))</f>
        <v>0</v>
      </c>
      <c r="U20" s="42" t="n">
        <f aca="false">IF($B20="","",ROUND($I20+$K20+$M20-$P20-$R20,2))</f>
        <v>0</v>
      </c>
      <c r="V20" s="25" t="str">
        <f aca="false">IF($B20="","",IF($S20&lt;-0.0001,"✗ 结存数量为负",IF(AND($S20=0,ROUND($U20,2)&lt;&gt;0),"✗ 数量 0 金额不为 0",IF(ROUND($U20,2)&lt;-0.005,"✗ 结存金额为负","OK"))))</f>
        <v>OK</v>
      </c>
    </row>
    <row r="21" customFormat="false" ht="15" hidden="false" customHeight="false" outlineLevel="0" collapsed="false">
      <c r="A21" s="25" t="str">
        <f aca="false">IF(商品档案!$A21="","",商品档案!$E21)</f>
        <v>科技</v>
      </c>
      <c r="B21" s="25" t="str">
        <f aca="false">IF(商品档案!$A21="","",商品档案!$A21)</f>
        <v>KJ01</v>
      </c>
      <c r="C21" s="10" t="str">
        <f aca="false">IF(商品档案!$A21="","",商品档案!$B21)</f>
        <v>艾草精油原液</v>
      </c>
      <c r="D21" s="10" t="str">
        <f aca="false">IF(商品档案!$A21="","",商品档案!$C21)</f>
        <v>10kg/桶</v>
      </c>
      <c r="E21" s="25" t="str">
        <f aca="false">IF(商品档案!$A21="","",商品档案!$D21)</f>
        <v>公斤</v>
      </c>
      <c r="F21" s="25" t="str">
        <f aca="false">IF(商品档案!$A21="","",商品档案!$F21)</f>
        <v>半成品</v>
      </c>
      <c r="G21" s="25" t="str">
        <f aca="false">IF(商品档案!$A21="","",商品档案!$G21)</f>
        <v>库存商品</v>
      </c>
      <c r="H21" s="82" t="n">
        <f aca="false">IF($B21="","",SUMIFS(期初余额!$K$6:$K$65,期初余额!$H$6:$H$65,$A21,期初余额!$I$6:$I$65,$B21))</f>
        <v>60</v>
      </c>
      <c r="I21" s="40" t="n">
        <f aca="false">IF($B21="","",SUMIFS(期初余额!$L$6:$L$65,期初余额!$H$6:$H$65,$A21,期初余额!$I$6:$I$65,$B21))</f>
        <v>66000</v>
      </c>
      <c r="J21" s="82" t="n">
        <f aca="false">IF($B21="","",SUMIFS(购销流水!$J$6:$J$805,购销流水!$C$6:$C$805,$A21,购销流水!$F$6:$F$805,$B21,购销流水!$D$6:$D$805,"采购入库")-SUMIFS(购销流水!$J$6:$J$805,购销流水!$C$6:$C$805,$A21,购销流水!$F$6:$F$805,$B21,购销流水!$D$6:$D$805,"采购退回"))</f>
        <v>0</v>
      </c>
      <c r="K21" s="40" t="n">
        <f aca="false">IF($B21="","",SUMIFS(购销流水!$Q$6:$Q$805,购销流水!$C$6:$C$805,$A21,购销流水!$F$6:$F$805,$B21,购销流水!$D$6:$D$805,"采购入库")-SUMIFS(购销流水!$Q$6:$Q$805,购销流水!$C$6:$C$805,$A21,购销流水!$F$6:$F$805,$B21,购销流水!$D$6:$D$805,"采购退回"))</f>
        <v>0</v>
      </c>
      <c r="L21" s="82" t="n">
        <f aca="false">IF($B21="","",SUMIFS(生产加工!$I$6:$I$305,生产加工!$C$6:$C$305,$A21,生产加工!$F$6:$F$305,$B21,生产加工!$E$6:$E$305,"产成品入库"))</f>
        <v>76</v>
      </c>
      <c r="M21" s="40" t="n">
        <f aca="false">IF($B21="","",SUMIFS(生产加工!$T$6:$T$305,生产加工!$C$6:$C$305,$A21,生产加工!$F$6:$F$305,$B21,生产加工!$E$6:$E$305,"产成品入库"))</f>
        <v>87127.27</v>
      </c>
      <c r="N21" s="83" t="n">
        <f aca="false">IF($B21="","",IF(($H21+$J21+$L21)=0,0,($I21+$K21+$M21)/($H21+$J21+$L21)))</f>
        <v>1125.93580882353</v>
      </c>
      <c r="O21" s="82" t="n">
        <f aca="false">IF($B21="","",SUMIFS(购销流水!$J$6:$J$805,购销流水!$C$6:$C$805,$A21,购销流水!$F$6:$F$805,$B21,购销流水!$D$6:$D$805,"销售出库")-SUMIFS(购销流水!$J$6:$J$805,购销流水!$C$6:$C$805,$A21,购销流水!$F$6:$F$805,$B21,购销流水!$D$6:$D$805,"销售退回"))</f>
        <v>0</v>
      </c>
      <c r="P21" s="40" t="n">
        <f aca="false">IF($B21="","",SUMIFS(购销流水!$W$6:$W$805,购销流水!$C$6:$C$805,$A21,购销流水!$F$6:$F$805,$B21,购销流水!$D$6:$D$805,"销售出库")-SUMIFS(购销流水!$W$6:$W$805,购销流水!$C$6:$C$805,$A21,购销流水!$F$6:$F$805,$B21,购销流水!$D$6:$D$805,"销售退回"))</f>
        <v>0</v>
      </c>
      <c r="Q21" s="82" t="n">
        <f aca="false">IF($B21="","",SUMIFS(生产加工!$I$6:$I$305,生产加工!$C$6:$C$305,$A21,生产加工!$F$6:$F$305,$B21,生产加工!$E$6:$E$305,"领用投入"))</f>
        <v>65</v>
      </c>
      <c r="R21" s="40" t="n">
        <f aca="false">IF($B21="","",SUMIFS(生产加工!$S$6:$S$305,生产加工!$C$6:$C$305,$A21,生产加工!$F$6:$F$305,$B21,生产加工!$E$6:$E$305,"领用投入"))</f>
        <v>73185.83</v>
      </c>
      <c r="S21" s="84" t="n">
        <f aca="false">IF($B21="","",$H21+$J21+$L21-$O21-$Q21)</f>
        <v>71</v>
      </c>
      <c r="T21" s="85" t="n">
        <f aca="false">IF($B21="","",IF($S21=0,0,ROUND($U21/$S21,4)))</f>
        <v>1125.9358</v>
      </c>
      <c r="U21" s="42" t="n">
        <f aca="false">IF($B21="","",ROUND($I21+$K21+$M21-$P21-$R21,2))</f>
        <v>79941.44</v>
      </c>
      <c r="V21" s="25" t="str">
        <f aca="false">IF($B21="","",IF($S21&lt;-0.0001,"✗ 结存数量为负",IF(AND($S21=0,ROUND($U21,2)&lt;&gt;0),"✗ 数量 0 金额不为 0",IF(ROUND($U21,2)&lt;-0.005,"✗ 结存金额为负","OK"))))</f>
        <v>OK</v>
      </c>
    </row>
    <row r="22" customFormat="false" ht="15" hidden="false" customHeight="false" outlineLevel="0" collapsed="false">
      <c r="A22" s="25" t="str">
        <f aca="false">IF(商品档案!$A22="","",商品档案!$E22)</f>
        <v>科技</v>
      </c>
      <c r="B22" s="25" t="str">
        <f aca="false">IF(商品档案!$A22="","",商品档案!$A22)</f>
        <v>KJ02</v>
      </c>
      <c r="C22" s="10" t="str">
        <f aca="false">IF(商品档案!$A22="","",商品档案!$B22)</f>
        <v>艾草精油10ml</v>
      </c>
      <c r="D22" s="10" t="str">
        <f aca="false">IF(商品档案!$A22="","",商品档案!$C22)</f>
        <v>10ml/瓶</v>
      </c>
      <c r="E22" s="25" t="str">
        <f aca="false">IF(商品档案!$A22="","",商品档案!$D22)</f>
        <v>瓶</v>
      </c>
      <c r="F22" s="25" t="str">
        <f aca="false">IF(商品档案!$A22="","",商品档案!$F22)</f>
        <v>产成品</v>
      </c>
      <c r="G22" s="25" t="str">
        <f aca="false">IF(商品档案!$A22="","",商品档案!$G22)</f>
        <v>库存商品</v>
      </c>
      <c r="H22" s="82" t="n">
        <f aca="false">IF($B22="","",SUMIFS(期初余额!$K$6:$K$65,期初余额!$H$6:$H$65,$A22,期初余额!$I$6:$I$65,$B22))</f>
        <v>1200</v>
      </c>
      <c r="I22" s="40" t="n">
        <f aca="false">IF($B22="","",SUMIFS(期初余额!$L$6:$L$65,期初余额!$H$6:$H$65,$A22,期初余额!$I$6:$I$65,$B22))</f>
        <v>13800</v>
      </c>
      <c r="J22" s="82" t="n">
        <f aca="false">IF($B22="","",SUMIFS(购销流水!$J$6:$J$805,购销流水!$C$6:$C$805,$A22,购销流水!$F$6:$F$805,$B22,购销流水!$D$6:$D$805,"采购入库")-SUMIFS(购销流水!$J$6:$J$805,购销流水!$C$6:$C$805,$A22,购销流水!$F$6:$F$805,$B22,购销流水!$D$6:$D$805,"采购退回"))</f>
        <v>0</v>
      </c>
      <c r="K22" s="40" t="n">
        <f aca="false">IF($B22="","",SUMIFS(购销流水!$Q$6:$Q$805,购销流水!$C$6:$C$805,$A22,购销流水!$F$6:$F$805,$B22,购销流水!$D$6:$D$805,"采购入库")-SUMIFS(购销流水!$Q$6:$Q$805,购销流水!$C$6:$C$805,$A22,购销流水!$F$6:$F$805,$B22,购销流水!$D$6:$D$805,"采购退回"))</f>
        <v>0</v>
      </c>
      <c r="L22" s="82" t="n">
        <f aca="false">IF($B22="","",SUMIFS(生产加工!$I$6:$I$305,生产加工!$C$6:$C$305,$A22,生产加工!$F$6:$F$305,$B22,生产加工!$E$6:$E$305,"产成品入库"))</f>
        <v>8000</v>
      </c>
      <c r="M22" s="40" t="n">
        <f aca="false">IF($B22="","",SUMIFS(生产加工!$T$6:$T$305,生产加工!$C$6:$C$305,$A22,生产加工!$F$6:$F$305,$B22,生产加工!$E$6:$E$305,"产成品入库"))</f>
        <v>86736.93</v>
      </c>
      <c r="N22" s="83" t="n">
        <f aca="false">IF($B22="","",IF(($H22+$J22+$L22)=0,0,($I22+$K22+$M22)/($H22+$J22+$L22)))</f>
        <v>10.927927173913</v>
      </c>
      <c r="O22" s="82" t="n">
        <f aca="false">IF($B22="","",SUMIFS(购销流水!$J$6:$J$805,购销流水!$C$6:$C$805,$A22,购销流水!$F$6:$F$805,$B22,购销流水!$D$6:$D$805,"销售出库")-SUMIFS(购销流水!$J$6:$J$805,购销流水!$C$6:$C$805,$A22,购销流水!$F$6:$F$805,$B22,购销流水!$D$6:$D$805,"销售退回"))</f>
        <v>8000</v>
      </c>
      <c r="P22" s="40" t="n">
        <f aca="false">IF($B22="","",SUMIFS(购销流水!$W$6:$W$805,购销流水!$C$6:$C$805,$A22,购销流水!$F$6:$F$805,$B22,购销流水!$D$6:$D$805,"销售出库")-SUMIFS(购销流水!$W$6:$W$805,购销流水!$C$6:$C$805,$A22,购销流水!$F$6:$F$805,$B22,购销流水!$D$6:$D$805,"销售退回"))</f>
        <v>87423.42</v>
      </c>
      <c r="Q22" s="82" t="n">
        <f aca="false">IF($B22="","",SUMIFS(生产加工!$I$6:$I$305,生产加工!$C$6:$C$305,$A22,生产加工!$F$6:$F$305,$B22,生产加工!$E$6:$E$305,"领用投入"))</f>
        <v>0</v>
      </c>
      <c r="R22" s="40" t="n">
        <f aca="false">IF($B22="","",SUMIFS(生产加工!$S$6:$S$305,生产加工!$C$6:$C$305,$A22,生产加工!$F$6:$F$305,$B22,生产加工!$E$6:$E$305,"领用投入"))</f>
        <v>0</v>
      </c>
      <c r="S22" s="84" t="n">
        <f aca="false">IF($B22="","",$H22+$J22+$L22-$O22-$Q22)</f>
        <v>1200</v>
      </c>
      <c r="T22" s="85" t="n">
        <f aca="false">IF($B22="","",IF($S22=0,0,ROUND($U22/$S22,4)))</f>
        <v>10.9279</v>
      </c>
      <c r="U22" s="42" t="n">
        <f aca="false">IF($B22="","",ROUND($I22+$K22+$M22-$P22-$R22,2))</f>
        <v>13113.51</v>
      </c>
      <c r="V22" s="25" t="str">
        <f aca="false">IF($B22="","",IF($S22&lt;-0.0001,"✗ 结存数量为负",IF(AND($S22=0,ROUND($U22,2)&lt;&gt;0),"✗ 数量 0 金额不为 0",IF(ROUND($U22,2)&lt;-0.005,"✗ 结存金额为负","OK"))))</f>
        <v>OK</v>
      </c>
    </row>
    <row r="23" customFormat="false" ht="15" hidden="false" customHeight="false" outlineLevel="0" collapsed="false">
      <c r="A23" s="25" t="str">
        <f aca="false">IF(商品档案!$A23="","",商品档案!$E23)</f>
        <v>科技</v>
      </c>
      <c r="B23" s="25" t="str">
        <f aca="false">IF(商品档案!$A23="","",商品档案!$A23)</f>
        <v>KJ03</v>
      </c>
      <c r="C23" s="10" t="str">
        <f aca="false">IF(商品档案!$A23="","",商品档案!$B23)</f>
        <v>艾草精油30ml</v>
      </c>
      <c r="D23" s="10" t="str">
        <f aca="false">IF(商品档案!$A23="","",商品档案!$C23)</f>
        <v>30ml/瓶</v>
      </c>
      <c r="E23" s="25" t="str">
        <f aca="false">IF(商品档案!$A23="","",商品档案!$D23)</f>
        <v>瓶</v>
      </c>
      <c r="F23" s="25" t="str">
        <f aca="false">IF(商品档案!$A23="","",商品档案!$F23)</f>
        <v>产成品</v>
      </c>
      <c r="G23" s="25" t="str">
        <f aca="false">IF(商品档案!$A23="","",商品档案!$G23)</f>
        <v>库存商品</v>
      </c>
      <c r="H23" s="82" t="n">
        <f aca="false">IF($B23="","",SUMIFS(期初余额!$K$6:$K$65,期初余额!$H$6:$H$65,$A23,期初余额!$I$6:$I$65,$B23))</f>
        <v>0</v>
      </c>
      <c r="I23" s="40" t="n">
        <f aca="false">IF($B23="","",SUMIFS(期初余额!$L$6:$L$65,期初余额!$H$6:$H$65,$A23,期初余额!$I$6:$I$65,$B23))</f>
        <v>0</v>
      </c>
      <c r="J23" s="82" t="n">
        <f aca="false">IF($B23="","",SUMIFS(购销流水!$J$6:$J$805,购销流水!$C$6:$C$805,$A23,购销流水!$F$6:$F$805,$B23,购销流水!$D$6:$D$805,"采购入库")-SUMIFS(购销流水!$J$6:$J$805,购销流水!$C$6:$C$805,$A23,购销流水!$F$6:$F$805,$B23,购销流水!$D$6:$D$805,"采购退回"))</f>
        <v>0</v>
      </c>
      <c r="K23" s="40" t="n">
        <f aca="false">IF($B23="","",SUMIFS(购销流水!$Q$6:$Q$805,购销流水!$C$6:$C$805,$A23,购销流水!$F$6:$F$805,$B23,购销流水!$D$6:$D$805,"采购入库")-SUMIFS(购销流水!$Q$6:$Q$805,购销流水!$C$6:$C$805,$A23,购销流水!$F$6:$F$805,$B23,购销流水!$D$6:$D$805,"采购退回"))</f>
        <v>0</v>
      </c>
      <c r="L23" s="82" t="n">
        <f aca="false">IF($B23="","",SUMIFS(生产加工!$I$6:$I$305,生产加工!$C$6:$C$305,$A23,生产加工!$F$6:$F$305,$B23,生产加工!$E$6:$E$305,"产成品入库"))</f>
        <v>0</v>
      </c>
      <c r="M23" s="40" t="n">
        <f aca="false">IF($B23="","",SUMIFS(生产加工!$T$6:$T$305,生产加工!$C$6:$C$305,$A23,生产加工!$F$6:$F$305,$B23,生产加工!$E$6:$E$305,"产成品入库"))</f>
        <v>0</v>
      </c>
      <c r="N23" s="83" t="n">
        <f aca="false">IF($B23="","",IF(($H23+$J23+$L23)=0,0,($I23+$K23+$M23)/($H23+$J23+$L23)))</f>
        <v>0</v>
      </c>
      <c r="O23" s="82" t="n">
        <f aca="false">IF($B23="","",SUMIFS(购销流水!$J$6:$J$805,购销流水!$C$6:$C$805,$A23,购销流水!$F$6:$F$805,$B23,购销流水!$D$6:$D$805,"销售出库")-SUMIFS(购销流水!$J$6:$J$805,购销流水!$C$6:$C$805,$A23,购销流水!$F$6:$F$805,$B23,购销流水!$D$6:$D$805,"销售退回"))</f>
        <v>0</v>
      </c>
      <c r="P23" s="40" t="n">
        <f aca="false">IF($B23="","",SUMIFS(购销流水!$W$6:$W$805,购销流水!$C$6:$C$805,$A23,购销流水!$F$6:$F$805,$B23,购销流水!$D$6:$D$805,"销售出库")-SUMIFS(购销流水!$W$6:$W$805,购销流水!$C$6:$C$805,$A23,购销流水!$F$6:$F$805,$B23,购销流水!$D$6:$D$805,"销售退回"))</f>
        <v>0</v>
      </c>
      <c r="Q23" s="82" t="n">
        <f aca="false">IF($B23="","",SUMIFS(生产加工!$I$6:$I$305,生产加工!$C$6:$C$305,$A23,生产加工!$F$6:$F$305,$B23,生产加工!$E$6:$E$305,"领用投入"))</f>
        <v>0</v>
      </c>
      <c r="R23" s="40" t="n">
        <f aca="false">IF($B23="","",SUMIFS(生产加工!$S$6:$S$305,生产加工!$C$6:$C$305,$A23,生产加工!$F$6:$F$305,$B23,生产加工!$E$6:$E$305,"领用投入"))</f>
        <v>0</v>
      </c>
      <c r="S23" s="84" t="n">
        <f aca="false">IF($B23="","",$H23+$J23+$L23-$O23-$Q23)</f>
        <v>0</v>
      </c>
      <c r="T23" s="85" t="n">
        <f aca="false">IF($B23="","",IF($S23=0,0,ROUND($U23/$S23,4)))</f>
        <v>0</v>
      </c>
      <c r="U23" s="42" t="n">
        <f aca="false">IF($B23="","",ROUND($I23+$K23+$M23-$P23-$R23,2))</f>
        <v>0</v>
      </c>
      <c r="V23" s="25" t="str">
        <f aca="false">IF($B23="","",IF($S23&lt;-0.0001,"✗ 结存数量为负",IF(AND($S23=0,ROUND($U23,2)&lt;&gt;0),"✗ 数量 0 金额不为 0",IF(ROUND($U23,2)&lt;-0.005,"✗ 结存金额为负","OK"))))</f>
        <v>OK</v>
      </c>
    </row>
    <row r="24" customFormat="false" ht="15" hidden="false" customHeight="false" outlineLevel="0" collapsed="false">
      <c r="A24" s="25" t="str">
        <f aca="false">IF(商品档案!$A24="","",商品档案!$E24)</f>
        <v>科技</v>
      </c>
      <c r="B24" s="25" t="str">
        <f aca="false">IF(商品档案!$A24="","",商品档案!$A24)</f>
        <v>KJ04</v>
      </c>
      <c r="C24" s="10" t="str">
        <f aca="false">IF(商品档案!$A24="","",商品档案!$B24)</f>
        <v>艾草纯露</v>
      </c>
      <c r="D24" s="10" t="str">
        <f aca="false">IF(商品档案!$A24="","",商品档案!$C24)</f>
        <v>100ml/瓶</v>
      </c>
      <c r="E24" s="25" t="str">
        <f aca="false">IF(商品档案!$A24="","",商品档案!$D24)</f>
        <v>瓶</v>
      </c>
      <c r="F24" s="25" t="str">
        <f aca="false">IF(商品档案!$A24="","",商品档案!$F24)</f>
        <v>产成品</v>
      </c>
      <c r="G24" s="25" t="str">
        <f aca="false">IF(商品档案!$A24="","",商品档案!$G24)</f>
        <v>库存商品</v>
      </c>
      <c r="H24" s="82" t="n">
        <f aca="false">IF($B24="","",SUMIFS(期初余额!$K$6:$K$65,期初余额!$H$6:$H$65,$A24,期初余额!$I$6:$I$65,$B24))</f>
        <v>0</v>
      </c>
      <c r="I24" s="40" t="n">
        <f aca="false">IF($B24="","",SUMIFS(期初余额!$L$6:$L$65,期初余额!$H$6:$H$65,$A24,期初余额!$I$6:$I$65,$B24))</f>
        <v>0</v>
      </c>
      <c r="J24" s="82" t="n">
        <f aca="false">IF($B24="","",SUMIFS(购销流水!$J$6:$J$805,购销流水!$C$6:$C$805,$A24,购销流水!$F$6:$F$805,$B24,购销流水!$D$6:$D$805,"采购入库")-SUMIFS(购销流水!$J$6:$J$805,购销流水!$C$6:$C$805,$A24,购销流水!$F$6:$F$805,$B24,购销流水!$D$6:$D$805,"采购退回"))</f>
        <v>0</v>
      </c>
      <c r="K24" s="40" t="n">
        <f aca="false">IF($B24="","",SUMIFS(购销流水!$Q$6:$Q$805,购销流水!$C$6:$C$805,$A24,购销流水!$F$6:$F$805,$B24,购销流水!$D$6:$D$805,"采购入库")-SUMIFS(购销流水!$Q$6:$Q$805,购销流水!$C$6:$C$805,$A24,购销流水!$F$6:$F$805,$B24,购销流水!$D$6:$D$805,"采购退回"))</f>
        <v>0</v>
      </c>
      <c r="L24" s="82" t="n">
        <f aca="false">IF($B24="","",SUMIFS(生产加工!$I$6:$I$305,生产加工!$C$6:$C$305,$A24,生产加工!$F$6:$F$305,$B24,生产加工!$E$6:$E$305,"产成品入库"))</f>
        <v>6500</v>
      </c>
      <c r="M24" s="40" t="n">
        <f aca="false">IF($B24="","",SUMIFS(生产加工!$T$6:$T$305,生产加工!$C$6:$C$305,$A24,生产加工!$F$6:$F$305,$B24,生产加工!$E$6:$E$305,"产成品入库"))</f>
        <v>32181.82</v>
      </c>
      <c r="N24" s="83" t="n">
        <f aca="false">IF($B24="","",IF(($H24+$J24+$L24)=0,0,($I24+$K24+$M24)/($H24+$J24+$L24)))</f>
        <v>4.95104923076923</v>
      </c>
      <c r="O24" s="82" t="n">
        <f aca="false">IF($B24="","",SUMIFS(购销流水!$J$6:$J$805,购销流水!$C$6:$C$805,$A24,购销流水!$F$6:$F$805,$B24,购销流水!$D$6:$D$805,"销售出库")-SUMIFS(购销流水!$J$6:$J$805,购销流水!$C$6:$C$805,$A24,购销流水!$F$6:$F$805,$B24,购销流水!$D$6:$D$805,"销售退回"))</f>
        <v>6000</v>
      </c>
      <c r="P24" s="40" t="n">
        <f aca="false">IF($B24="","",SUMIFS(购销流水!$W$6:$W$805,购销流水!$C$6:$C$805,$A24,购销流水!$F$6:$F$805,$B24,购销流水!$D$6:$D$805,"销售出库")-SUMIFS(购销流水!$W$6:$W$805,购销流水!$C$6:$C$805,$A24,购销流水!$F$6:$F$805,$B24,购销流水!$D$6:$D$805,"销售退回"))</f>
        <v>29706.3</v>
      </c>
      <c r="Q24" s="82" t="n">
        <f aca="false">IF($B24="","",SUMIFS(生产加工!$I$6:$I$305,生产加工!$C$6:$C$305,$A24,生产加工!$F$6:$F$305,$B24,生产加工!$E$6:$E$305,"领用投入"))</f>
        <v>0</v>
      </c>
      <c r="R24" s="40" t="n">
        <f aca="false">IF($B24="","",SUMIFS(生产加工!$S$6:$S$305,生产加工!$C$6:$C$305,$A24,生产加工!$F$6:$F$305,$B24,生产加工!$E$6:$E$305,"领用投入"))</f>
        <v>0</v>
      </c>
      <c r="S24" s="84" t="n">
        <f aca="false">IF($B24="","",$H24+$J24+$L24-$O24-$Q24)</f>
        <v>500</v>
      </c>
      <c r="T24" s="85" t="n">
        <f aca="false">IF($B24="","",IF($S24=0,0,ROUND($U24/$S24,4)))</f>
        <v>4.951</v>
      </c>
      <c r="U24" s="42" t="n">
        <f aca="false">IF($B24="","",ROUND($I24+$K24+$M24-$P24-$R24,2))</f>
        <v>2475.52</v>
      </c>
      <c r="V24" s="25" t="str">
        <f aca="false">IF($B24="","",IF($S24&lt;-0.0001,"✗ 结存数量为负",IF(AND($S24=0,ROUND($U24,2)&lt;&gt;0),"✗ 数量 0 金额不为 0",IF(ROUND($U24,2)&lt;-0.005,"✗ 结存金额为负","OK"))))</f>
        <v>OK</v>
      </c>
    </row>
    <row r="25" customFormat="false" ht="15" hidden="false" customHeight="false" outlineLevel="0" collapsed="false">
      <c r="A25" s="25" t="str">
        <f aca="false">IF(商品档案!$A25="","",商品档案!$E25)</f>
        <v>科技</v>
      </c>
      <c r="B25" s="25" t="str">
        <f aca="false">IF(商品档案!$A25="","",商品档案!$A25)</f>
        <v>KJ05</v>
      </c>
      <c r="C25" s="10" t="str">
        <f aca="false">IF(商品档案!$A25="","",商品档案!$B25)</f>
        <v>艾草精油皂</v>
      </c>
      <c r="D25" s="10" t="str">
        <f aca="false">IF(商品档案!$A25="","",商品档案!$C25)</f>
        <v>100g/块</v>
      </c>
      <c r="E25" s="25" t="str">
        <f aca="false">IF(商品档案!$A25="","",商品档案!$D25)</f>
        <v>块</v>
      </c>
      <c r="F25" s="25" t="str">
        <f aca="false">IF(商品档案!$A25="","",商品档案!$F25)</f>
        <v>产成品</v>
      </c>
      <c r="G25" s="25" t="str">
        <f aca="false">IF(商品档案!$A25="","",商品档案!$G25)</f>
        <v>库存商品</v>
      </c>
      <c r="H25" s="82" t="n">
        <f aca="false">IF($B25="","",SUMIFS(期初余额!$K$6:$K$65,期初余额!$H$6:$H$65,$A25,期初余额!$I$6:$I$65,$B25))</f>
        <v>0</v>
      </c>
      <c r="I25" s="40" t="n">
        <f aca="false">IF($B25="","",SUMIFS(期初余额!$L$6:$L$65,期初余额!$H$6:$H$65,$A25,期初余额!$I$6:$I$65,$B25))</f>
        <v>0</v>
      </c>
      <c r="J25" s="82" t="n">
        <f aca="false">IF($B25="","",SUMIFS(购销流水!$J$6:$J$805,购销流水!$C$6:$C$805,$A25,购销流水!$F$6:$F$805,$B25,购销流水!$D$6:$D$805,"采购入库")-SUMIFS(购销流水!$J$6:$J$805,购销流水!$C$6:$C$805,$A25,购销流水!$F$6:$F$805,$B25,购销流水!$D$6:$D$805,"采购退回"))</f>
        <v>0</v>
      </c>
      <c r="K25" s="40" t="n">
        <f aca="false">IF($B25="","",SUMIFS(购销流水!$Q$6:$Q$805,购销流水!$C$6:$C$805,$A25,购销流水!$F$6:$F$805,$B25,购销流水!$D$6:$D$805,"采购入库")-SUMIFS(购销流水!$Q$6:$Q$805,购销流水!$C$6:$C$805,$A25,购销流水!$F$6:$F$805,$B25,购销流水!$D$6:$D$805,"采购退回"))</f>
        <v>0</v>
      </c>
      <c r="L25" s="82" t="n">
        <f aca="false">IF($B25="","",SUMIFS(生产加工!$I$6:$I$305,生产加工!$C$6:$C$305,$A25,生产加工!$F$6:$F$305,$B25,生产加工!$E$6:$E$305,"产成品入库"))</f>
        <v>5000</v>
      </c>
      <c r="M25" s="40" t="n">
        <f aca="false">IF($B25="","",SUMIFS(生产加工!$T$6:$T$305,生产加工!$C$6:$C$305,$A25,生产加工!$F$6:$F$305,$B25,生产加工!$E$6:$E$305,"产成品入库"))</f>
        <v>23629.68</v>
      </c>
      <c r="N25" s="83" t="n">
        <f aca="false">IF($B25="","",IF(($H25+$J25+$L25)=0,0,($I25+$K25+$M25)/($H25+$J25+$L25)))</f>
        <v>4.725936</v>
      </c>
      <c r="O25" s="82" t="n">
        <f aca="false">IF($B25="","",SUMIFS(购销流水!$J$6:$J$805,购销流水!$C$6:$C$805,$A25,购销流水!$F$6:$F$805,$B25,购销流水!$D$6:$D$805,"销售出库")-SUMIFS(购销流水!$J$6:$J$805,购销流水!$C$6:$C$805,$A25,购销流水!$F$6:$F$805,$B25,购销流水!$D$6:$D$805,"销售退回"))</f>
        <v>4500</v>
      </c>
      <c r="P25" s="40" t="n">
        <f aca="false">IF($B25="","",SUMIFS(购销流水!$W$6:$W$805,购销流水!$C$6:$C$805,$A25,购销流水!$F$6:$F$805,$B25,购销流水!$D$6:$D$805,"销售出库")-SUMIFS(购销流水!$W$6:$W$805,购销流水!$C$6:$C$805,$A25,购销流水!$F$6:$F$805,$B25,购销流水!$D$6:$D$805,"销售退回"))</f>
        <v>21266.71</v>
      </c>
      <c r="Q25" s="82" t="n">
        <f aca="false">IF($B25="","",SUMIFS(生产加工!$I$6:$I$305,生产加工!$C$6:$C$305,$A25,生产加工!$F$6:$F$305,$B25,生产加工!$E$6:$E$305,"领用投入"))</f>
        <v>0</v>
      </c>
      <c r="R25" s="40" t="n">
        <f aca="false">IF($B25="","",SUMIFS(生产加工!$S$6:$S$305,生产加工!$C$6:$C$305,$A25,生产加工!$F$6:$F$305,$B25,生产加工!$E$6:$E$305,"领用投入"))</f>
        <v>0</v>
      </c>
      <c r="S25" s="84" t="n">
        <f aca="false">IF($B25="","",$H25+$J25+$L25-$O25-$Q25)</f>
        <v>500</v>
      </c>
      <c r="T25" s="85" t="n">
        <f aca="false">IF($B25="","",IF($S25=0,0,ROUND($U25/$S25,4)))</f>
        <v>4.7259</v>
      </c>
      <c r="U25" s="42" t="n">
        <f aca="false">IF($B25="","",ROUND($I25+$K25+$M25-$P25-$R25,2))</f>
        <v>2362.97</v>
      </c>
      <c r="V25" s="25" t="str">
        <f aca="false">IF($B25="","",IF($S25&lt;-0.0001,"✗ 结存数量为负",IF(AND($S25=0,ROUND($U25,2)&lt;&gt;0),"✗ 数量 0 金额不为 0",IF(ROUND($U25,2)&lt;-0.005,"✗ 结存金额为负","OK"))))</f>
        <v>OK</v>
      </c>
    </row>
    <row r="26" customFormat="false" ht="15" hidden="false" customHeight="false" outlineLevel="0" collapsed="false">
      <c r="A26" s="25" t="str">
        <f aca="false">IF(商品档案!$A26="","",商品档案!$E26)</f>
        <v>科技</v>
      </c>
      <c r="B26" s="25" t="str">
        <f aca="false">IF(商品档案!$A26="","",商品档案!$A26)</f>
        <v>KJ06</v>
      </c>
      <c r="C26" s="10" t="str">
        <f aca="false">IF(商品档案!$A26="","",商品档案!$B26)</f>
        <v>艾草精油膏</v>
      </c>
      <c r="D26" s="10" t="str">
        <f aca="false">IF(商品档案!$A26="","",商品档案!$C26)</f>
        <v>20g/盒</v>
      </c>
      <c r="E26" s="25" t="str">
        <f aca="false">IF(商品档案!$A26="","",商品档案!$D26)</f>
        <v>盒</v>
      </c>
      <c r="F26" s="25" t="str">
        <f aca="false">IF(商品档案!$A26="","",商品档案!$F26)</f>
        <v>产成品</v>
      </c>
      <c r="G26" s="25" t="str">
        <f aca="false">IF(商品档案!$A26="","",商品档案!$G26)</f>
        <v>库存商品</v>
      </c>
      <c r="H26" s="82" t="n">
        <f aca="false">IF($B26="","",SUMIFS(期初余额!$K$6:$K$65,期初余额!$H$6:$H$65,$A26,期初余额!$I$6:$I$65,$B26))</f>
        <v>0</v>
      </c>
      <c r="I26" s="40" t="n">
        <f aca="false">IF($B26="","",SUMIFS(期初余额!$L$6:$L$65,期初余额!$H$6:$H$65,$A26,期初余额!$I$6:$I$65,$B26))</f>
        <v>0</v>
      </c>
      <c r="J26" s="82" t="n">
        <f aca="false">IF($B26="","",SUMIFS(购销流水!$J$6:$J$805,购销流水!$C$6:$C$805,$A26,购销流水!$F$6:$F$805,$B26,购销流水!$D$6:$D$805,"采购入库")-SUMIFS(购销流水!$J$6:$J$805,购销流水!$C$6:$C$805,$A26,购销流水!$F$6:$F$805,$B26,购销流水!$D$6:$D$805,"采购退回"))</f>
        <v>0</v>
      </c>
      <c r="K26" s="40" t="n">
        <f aca="false">IF($B26="","",SUMIFS(购销流水!$Q$6:$Q$805,购销流水!$C$6:$C$805,$A26,购销流水!$F$6:$F$805,$B26,购销流水!$D$6:$D$805,"采购入库")-SUMIFS(购销流水!$Q$6:$Q$805,购销流水!$C$6:$C$805,$A26,购销流水!$F$6:$F$805,$B26,购销流水!$D$6:$D$805,"采购退回"))</f>
        <v>0</v>
      </c>
      <c r="L26" s="82" t="n">
        <f aca="false">IF($B26="","",SUMIFS(生产加工!$I$6:$I$305,生产加工!$C$6:$C$305,$A26,生产加工!$F$6:$F$305,$B26,生产加工!$E$6:$E$305,"产成品入库"))</f>
        <v>0</v>
      </c>
      <c r="M26" s="40" t="n">
        <f aca="false">IF($B26="","",SUMIFS(生产加工!$T$6:$T$305,生产加工!$C$6:$C$305,$A26,生产加工!$F$6:$F$305,$B26,生产加工!$E$6:$E$305,"产成品入库"))</f>
        <v>0</v>
      </c>
      <c r="N26" s="83" t="n">
        <f aca="false">IF($B26="","",IF(($H26+$J26+$L26)=0,0,($I26+$K26+$M26)/($H26+$J26+$L26)))</f>
        <v>0</v>
      </c>
      <c r="O26" s="82" t="n">
        <f aca="false">IF($B26="","",SUMIFS(购销流水!$J$6:$J$805,购销流水!$C$6:$C$805,$A26,购销流水!$F$6:$F$805,$B26,购销流水!$D$6:$D$805,"销售出库")-SUMIFS(购销流水!$J$6:$J$805,购销流水!$C$6:$C$805,$A26,购销流水!$F$6:$F$805,$B26,购销流水!$D$6:$D$805,"销售退回"))</f>
        <v>0</v>
      </c>
      <c r="P26" s="40" t="n">
        <f aca="false">IF($B26="","",SUMIFS(购销流水!$W$6:$W$805,购销流水!$C$6:$C$805,$A26,购销流水!$F$6:$F$805,$B26,购销流水!$D$6:$D$805,"销售出库")-SUMIFS(购销流水!$W$6:$W$805,购销流水!$C$6:$C$805,$A26,购销流水!$F$6:$F$805,$B26,购销流水!$D$6:$D$805,"销售退回"))</f>
        <v>0</v>
      </c>
      <c r="Q26" s="82" t="n">
        <f aca="false">IF($B26="","",SUMIFS(生产加工!$I$6:$I$305,生产加工!$C$6:$C$305,$A26,生产加工!$F$6:$F$305,$B26,生产加工!$E$6:$E$305,"领用投入"))</f>
        <v>0</v>
      </c>
      <c r="R26" s="40" t="n">
        <f aca="false">IF($B26="","",SUMIFS(生产加工!$S$6:$S$305,生产加工!$C$6:$C$305,$A26,生产加工!$F$6:$F$305,$B26,生产加工!$E$6:$E$305,"领用投入"))</f>
        <v>0</v>
      </c>
      <c r="S26" s="84" t="n">
        <f aca="false">IF($B26="","",$H26+$J26+$L26-$O26-$Q26)</f>
        <v>0</v>
      </c>
      <c r="T26" s="85" t="n">
        <f aca="false">IF($B26="","",IF($S26=0,0,ROUND($U26/$S26,4)))</f>
        <v>0</v>
      </c>
      <c r="U26" s="42" t="n">
        <f aca="false">IF($B26="","",ROUND($I26+$K26+$M26-$P26-$R26,2))</f>
        <v>0</v>
      </c>
      <c r="V26" s="25" t="str">
        <f aca="false">IF($B26="","",IF($S26&lt;-0.0001,"✗ 结存数量为负",IF(AND($S26=0,ROUND($U26,2)&lt;&gt;0),"✗ 数量 0 金额不为 0",IF(ROUND($U26,2)&lt;-0.005,"✗ 结存金额为负","OK"))))</f>
        <v>OK</v>
      </c>
    </row>
    <row r="27" customFormat="false" ht="15" hidden="false" customHeight="false" outlineLevel="0" collapsed="false">
      <c r="A27" s="25" t="str">
        <f aca="false">IF(商品档案!$A27="","",商品档案!$E27)</f>
        <v>科技</v>
      </c>
      <c r="B27" s="25" t="str">
        <f aca="false">IF(商品档案!$A27="","",商品档案!$A27)</f>
        <v>KJ07</v>
      </c>
      <c r="C27" s="10" t="str">
        <f aca="false">IF(商品档案!$A27="","",商品档案!$B27)</f>
        <v>艾草香薰</v>
      </c>
      <c r="D27" s="10" t="n">
        <f aca="false">IF(商品档案!$A27="","",商品档案!$C27)</f>
        <v>0</v>
      </c>
      <c r="E27" s="25" t="str">
        <f aca="false">IF(商品档案!$A27="","",商品档案!$D27)</f>
        <v>盒</v>
      </c>
      <c r="F27" s="25" t="str">
        <f aca="false">IF(商品档案!$A27="","",商品档案!$F27)</f>
        <v>产成品</v>
      </c>
      <c r="G27" s="25" t="str">
        <f aca="false">IF(商品档案!$A27="","",商品档案!$G27)</f>
        <v>库存商品</v>
      </c>
      <c r="H27" s="82" t="n">
        <f aca="false">IF($B27="","",SUMIFS(期初余额!$K$6:$K$65,期初余额!$H$6:$H$65,$A27,期初余额!$I$6:$I$65,$B27))</f>
        <v>0</v>
      </c>
      <c r="I27" s="40" t="n">
        <f aca="false">IF($B27="","",SUMIFS(期初余额!$L$6:$L$65,期初余额!$H$6:$H$65,$A27,期初余额!$I$6:$I$65,$B27))</f>
        <v>0</v>
      </c>
      <c r="J27" s="82" t="n">
        <f aca="false">IF($B27="","",SUMIFS(购销流水!$J$6:$J$805,购销流水!$C$6:$C$805,$A27,购销流水!$F$6:$F$805,$B27,购销流水!$D$6:$D$805,"采购入库")-SUMIFS(购销流水!$J$6:$J$805,购销流水!$C$6:$C$805,$A27,购销流水!$F$6:$F$805,$B27,购销流水!$D$6:$D$805,"采购退回"))</f>
        <v>0</v>
      </c>
      <c r="K27" s="40" t="n">
        <f aca="false">IF($B27="","",SUMIFS(购销流水!$Q$6:$Q$805,购销流水!$C$6:$C$805,$A27,购销流水!$F$6:$F$805,$B27,购销流水!$D$6:$D$805,"采购入库")-SUMIFS(购销流水!$Q$6:$Q$805,购销流水!$C$6:$C$805,$A27,购销流水!$F$6:$F$805,$B27,购销流水!$D$6:$D$805,"采购退回"))</f>
        <v>0</v>
      </c>
      <c r="L27" s="82" t="n">
        <f aca="false">IF($B27="","",SUMIFS(生产加工!$I$6:$I$305,生产加工!$C$6:$C$305,$A27,生产加工!$F$6:$F$305,$B27,生产加工!$E$6:$E$305,"产成品入库"))</f>
        <v>0</v>
      </c>
      <c r="M27" s="40" t="n">
        <f aca="false">IF($B27="","",SUMIFS(生产加工!$T$6:$T$305,生产加工!$C$6:$C$305,$A27,生产加工!$F$6:$F$305,$B27,生产加工!$E$6:$E$305,"产成品入库"))</f>
        <v>0</v>
      </c>
      <c r="N27" s="83" t="n">
        <f aca="false">IF($B27="","",IF(($H27+$J27+$L27)=0,0,($I27+$K27+$M27)/($H27+$J27+$L27)))</f>
        <v>0</v>
      </c>
      <c r="O27" s="82" t="n">
        <f aca="false">IF($B27="","",SUMIFS(购销流水!$J$6:$J$805,购销流水!$C$6:$C$805,$A27,购销流水!$F$6:$F$805,$B27,购销流水!$D$6:$D$805,"销售出库")-SUMIFS(购销流水!$J$6:$J$805,购销流水!$C$6:$C$805,$A27,购销流水!$F$6:$F$805,$B27,购销流水!$D$6:$D$805,"销售退回"))</f>
        <v>0</v>
      </c>
      <c r="P27" s="40" t="n">
        <f aca="false">IF($B27="","",SUMIFS(购销流水!$W$6:$W$805,购销流水!$C$6:$C$805,$A27,购销流水!$F$6:$F$805,$B27,购销流水!$D$6:$D$805,"销售出库")-SUMIFS(购销流水!$W$6:$W$805,购销流水!$C$6:$C$805,$A27,购销流水!$F$6:$F$805,$B27,购销流水!$D$6:$D$805,"销售退回"))</f>
        <v>0</v>
      </c>
      <c r="Q27" s="82" t="n">
        <f aca="false">IF($B27="","",SUMIFS(生产加工!$I$6:$I$305,生产加工!$C$6:$C$305,$A27,生产加工!$F$6:$F$305,$B27,生产加工!$E$6:$E$305,"领用投入"))</f>
        <v>0</v>
      </c>
      <c r="R27" s="40" t="n">
        <f aca="false">IF($B27="","",SUMIFS(生产加工!$S$6:$S$305,生产加工!$C$6:$C$305,$A27,生产加工!$F$6:$F$305,$B27,生产加工!$E$6:$E$305,"领用投入"))</f>
        <v>0</v>
      </c>
      <c r="S27" s="84" t="n">
        <f aca="false">IF($B27="","",$H27+$J27+$L27-$O27-$Q27)</f>
        <v>0</v>
      </c>
      <c r="T27" s="85" t="n">
        <f aca="false">IF($B27="","",IF($S27=0,0,ROUND($U27/$S27,4)))</f>
        <v>0</v>
      </c>
      <c r="U27" s="42" t="n">
        <f aca="false">IF($B27="","",ROUND($I27+$K27+$M27-$P27-$R27,2))</f>
        <v>0</v>
      </c>
      <c r="V27" s="25" t="str">
        <f aca="false">IF($B27="","",IF($S27&lt;-0.0001,"✗ 结存数量为负",IF(AND($S27=0,ROUND($U27,2)&lt;&gt;0),"✗ 数量 0 金额不为 0",IF(ROUND($U27,2)&lt;-0.005,"✗ 结存金额为负","OK"))))</f>
        <v>OK</v>
      </c>
    </row>
    <row r="28" customFormat="false" ht="15" hidden="false" customHeight="false" outlineLevel="0" collapsed="false">
      <c r="A28" s="25" t="str">
        <f aca="false">IF(商品档案!$A28="","",商品档案!$E28)</f>
        <v>科技</v>
      </c>
      <c r="B28" s="25" t="str">
        <f aca="false">IF(商品档案!$A28="","",商品档案!$A28)</f>
        <v>KJ08</v>
      </c>
      <c r="C28" s="10" t="str">
        <f aca="false">IF(商品档案!$A28="","",商品档案!$B28)</f>
        <v>干艾草</v>
      </c>
      <c r="D28" s="10" t="str">
        <f aca="false">IF(商品档案!$A28="","",商品档案!$C28)</f>
        <v>含水率≤12%</v>
      </c>
      <c r="E28" s="25" t="str">
        <f aca="false">IF(商品档案!$A28="","",商品档案!$D28)</f>
        <v>公斤</v>
      </c>
      <c r="F28" s="25" t="str">
        <f aca="false">IF(商品档案!$A28="","",商品档案!$F28)</f>
        <v>原材料</v>
      </c>
      <c r="G28" s="25" t="str">
        <f aca="false">IF(商品档案!$A28="","",商品档案!$G28)</f>
        <v>原材料</v>
      </c>
      <c r="H28" s="82" t="n">
        <f aca="false">IF($B28="","",SUMIFS(期初余额!$K$6:$K$65,期初余额!$H$6:$H$65,$A28,期初余额!$I$6:$I$65,$B28))</f>
        <v>1500</v>
      </c>
      <c r="I28" s="40" t="n">
        <f aca="false">IF($B28="","",SUMIFS(期初余额!$L$6:$L$65,期初余额!$H$6:$H$65,$A28,期初余额!$I$6:$I$65,$B28))</f>
        <v>18000</v>
      </c>
      <c r="J28" s="82" t="n">
        <f aca="false">IF($B28="","",SUMIFS(购销流水!$J$6:$J$805,购销流水!$C$6:$C$805,$A28,购销流水!$F$6:$F$805,$B28,购销流水!$D$6:$D$805,"采购入库")-SUMIFS(购销流水!$J$6:$J$805,购销流水!$C$6:$C$805,$A28,购销流水!$F$6:$F$805,$B28,购销流水!$D$6:$D$805,"采购退回"))</f>
        <v>4000</v>
      </c>
      <c r="K28" s="40" t="n">
        <f aca="false">IF($B28="","",SUMIFS(购销流水!$Q$6:$Q$805,购销流水!$C$6:$C$805,$A28,购销流水!$F$6:$F$805,$B28,购销流水!$D$6:$D$805,"采购入库")-SUMIFS(购销流水!$Q$6:$Q$805,购销流水!$C$6:$C$805,$A28,购销流水!$F$6:$F$805,$B28,购销流水!$D$6:$D$805,"采购退回"))</f>
        <v>56000</v>
      </c>
      <c r="L28" s="82" t="n">
        <f aca="false">IF($B28="","",SUMIFS(生产加工!$I$6:$I$305,生产加工!$C$6:$C$305,$A28,生产加工!$F$6:$F$305,$B28,生产加工!$E$6:$E$305,"产成品入库"))</f>
        <v>0</v>
      </c>
      <c r="M28" s="40" t="n">
        <f aca="false">IF($B28="","",SUMIFS(生产加工!$T$6:$T$305,生产加工!$C$6:$C$305,$A28,生产加工!$F$6:$F$305,$B28,生产加工!$E$6:$E$305,"产成品入库"))</f>
        <v>0</v>
      </c>
      <c r="N28" s="83" t="n">
        <f aca="false">IF($B28="","",IF(($H28+$J28+$L28)=0,0,($I28+$K28+$M28)/($H28+$J28+$L28)))</f>
        <v>13.4545454545455</v>
      </c>
      <c r="O28" s="82" t="n">
        <f aca="false">IF($B28="","",SUMIFS(购销流水!$J$6:$J$805,购销流水!$C$6:$C$805,$A28,购销流水!$F$6:$F$805,$B28,购销流水!$D$6:$D$805,"销售出库")-SUMIFS(购销流水!$J$6:$J$805,购销流水!$C$6:$C$805,$A28,购销流水!$F$6:$F$805,$B28,购销流水!$D$6:$D$805,"销售退回"))</f>
        <v>0</v>
      </c>
      <c r="P28" s="40" t="n">
        <f aca="false">IF($B28="","",SUMIFS(购销流水!$W$6:$W$805,购销流水!$C$6:$C$805,$A28,购销流水!$F$6:$F$805,$B28,购销流水!$D$6:$D$805,"销售出库")-SUMIFS(购销流水!$W$6:$W$805,购销流水!$C$6:$C$805,$A28,购销流水!$F$6:$F$805,$B28,购销流水!$D$6:$D$805,"销售退回"))</f>
        <v>0</v>
      </c>
      <c r="Q28" s="82" t="n">
        <f aca="false">IF($B28="","",SUMIFS(生产加工!$I$6:$I$305,生产加工!$C$6:$C$305,$A28,生产加工!$F$6:$F$305,$B28,生产加工!$E$6:$E$305,"领用投入"))</f>
        <v>5300</v>
      </c>
      <c r="R28" s="40" t="n">
        <f aca="false">IF($B28="","",SUMIFS(生产加工!$S$6:$S$305,生产加工!$C$6:$C$305,$A28,生产加工!$F$6:$F$305,$B28,生产加工!$E$6:$E$305,"领用投入"))</f>
        <v>71309.09</v>
      </c>
      <c r="S28" s="84" t="n">
        <f aca="false">IF($B28="","",$H28+$J28+$L28-$O28-$Q28)</f>
        <v>200</v>
      </c>
      <c r="T28" s="85" t="n">
        <f aca="false">IF($B28="","",IF($S28=0,0,ROUND($U28/$S28,4)))</f>
        <v>13.4546</v>
      </c>
      <c r="U28" s="42" t="n">
        <f aca="false">IF($B28="","",ROUND($I28+$K28+$M28-$P28-$R28,2))</f>
        <v>2690.91</v>
      </c>
      <c r="V28" s="25" t="str">
        <f aca="false">IF($B28="","",IF($S28&lt;-0.0001,"✗ 结存数量为负",IF(AND($S28=0,ROUND($U28,2)&lt;&gt;0),"✗ 数量 0 金额不为 0",IF(ROUND($U28,2)&lt;-0.005,"✗ 结存金额为负","OK"))))</f>
        <v>OK</v>
      </c>
    </row>
    <row r="29" customFormat="false" ht="15" hidden="false" customHeight="false" outlineLevel="0" collapsed="false">
      <c r="A29" s="25" t="str">
        <f aca="false">IF(商品档案!$A29="","",商品档案!$E29)</f>
        <v>科技</v>
      </c>
      <c r="B29" s="25" t="str">
        <f aca="false">IF(商品档案!$A29="","",商品档案!$A29)</f>
        <v>KJ09</v>
      </c>
      <c r="C29" s="10" t="str">
        <f aca="false">IF(商品档案!$A29="","",商品档案!$B29)</f>
        <v>包装瓶</v>
      </c>
      <c r="D29" s="10" t="str">
        <f aca="false">IF(商品档案!$A29="","",商品档案!$C29)</f>
        <v>10ml 玻璃瓶</v>
      </c>
      <c r="E29" s="25" t="str">
        <f aca="false">IF(商品档案!$A29="","",商品档案!$D29)</f>
        <v>个</v>
      </c>
      <c r="F29" s="25" t="str">
        <f aca="false">IF(商品档案!$A29="","",商品档案!$F29)</f>
        <v>原材料</v>
      </c>
      <c r="G29" s="25" t="str">
        <f aca="false">IF(商品档案!$A29="","",商品档案!$G29)</f>
        <v>原材料</v>
      </c>
      <c r="H29" s="82" t="n">
        <f aca="false">IF($B29="","",SUMIFS(期初余额!$K$6:$K$65,期初余额!$H$6:$H$65,$A29,期初余额!$I$6:$I$65,$B29))</f>
        <v>8000</v>
      </c>
      <c r="I29" s="40" t="n">
        <f aca="false">IF($B29="","",SUMIFS(期初余额!$L$6:$L$65,期初余额!$H$6:$H$65,$A29,期初余额!$I$6:$I$65,$B29))</f>
        <v>7040</v>
      </c>
      <c r="J29" s="82" t="n">
        <f aca="false">IF($B29="","",SUMIFS(购销流水!$J$6:$J$805,购销流水!$C$6:$C$805,$A29,购销流水!$F$6:$F$805,$B29,购销流水!$D$6:$D$805,"采购入库")-SUMIFS(购销流水!$J$6:$J$805,购销流水!$C$6:$C$805,$A29,购销流水!$F$6:$F$805,$B29,购销流水!$D$6:$D$805,"采购退回"))</f>
        <v>20000</v>
      </c>
      <c r="K29" s="40" t="n">
        <f aca="false">IF($B29="","",SUMIFS(购销流水!$Q$6:$Q$805,购销流水!$C$6:$C$805,$A29,购销流水!$F$6:$F$805,$B29,购销流水!$D$6:$D$805,"采购入库")-SUMIFS(购销流水!$Q$6:$Q$805,购销流水!$C$6:$C$805,$A29,购销流水!$F$6:$F$805,$B29,购销流水!$D$6:$D$805,"采购退回"))</f>
        <v>19200</v>
      </c>
      <c r="L29" s="82" t="n">
        <f aca="false">IF($B29="","",SUMIFS(生产加工!$I$6:$I$305,生产加工!$C$6:$C$305,$A29,生产加工!$F$6:$F$305,$B29,生产加工!$E$6:$E$305,"产成品入库"))</f>
        <v>0</v>
      </c>
      <c r="M29" s="40" t="n">
        <f aca="false">IF($B29="","",SUMIFS(生产加工!$T$6:$T$305,生产加工!$C$6:$C$305,$A29,生产加工!$F$6:$F$305,$B29,生产加工!$E$6:$E$305,"产成品入库"))</f>
        <v>0</v>
      </c>
      <c r="N29" s="83" t="n">
        <f aca="false">IF($B29="","",IF(($H29+$J29+$L29)=0,0,($I29+$K29+$M29)/($H29+$J29+$L29)))</f>
        <v>0.937142857142857</v>
      </c>
      <c r="O29" s="82" t="n">
        <f aca="false">IF($B29="","",SUMIFS(购销流水!$J$6:$J$805,购销流水!$C$6:$C$805,$A29,购销流水!$F$6:$F$805,$B29,购销流水!$D$6:$D$805,"销售出库")-SUMIFS(购销流水!$J$6:$J$805,购销流水!$C$6:$C$805,$A29,购销流水!$F$6:$F$805,$B29,购销流水!$D$6:$D$805,"销售退回"))</f>
        <v>0</v>
      </c>
      <c r="P29" s="40" t="n">
        <f aca="false">IF($B29="","",SUMIFS(购销流水!$W$6:$W$805,购销流水!$C$6:$C$805,$A29,购销流水!$F$6:$F$805,$B29,购销流水!$D$6:$D$805,"销售出库")-SUMIFS(购销流水!$W$6:$W$805,购销流水!$C$6:$C$805,$A29,购销流水!$F$6:$F$805,$B29,购销流水!$D$6:$D$805,"销售退回"))</f>
        <v>0</v>
      </c>
      <c r="Q29" s="82" t="n">
        <f aca="false">IF($B29="","",SUMIFS(生产加工!$I$6:$I$305,生产加工!$C$6:$C$305,$A29,生产加工!$F$6:$F$305,$B29,生产加工!$E$6:$E$305,"领用投入"))</f>
        <v>8000</v>
      </c>
      <c r="R29" s="40" t="n">
        <f aca="false">IF($B29="","",SUMIFS(生产加工!$S$6:$S$305,生产加工!$C$6:$C$305,$A29,生产加工!$F$6:$F$305,$B29,生产加工!$E$6:$E$305,"领用投入"))</f>
        <v>7497.14</v>
      </c>
      <c r="S29" s="84" t="n">
        <f aca="false">IF($B29="","",$H29+$J29+$L29-$O29-$Q29)</f>
        <v>20000</v>
      </c>
      <c r="T29" s="85" t="n">
        <f aca="false">IF($B29="","",IF($S29=0,0,ROUND($U29/$S29,4)))</f>
        <v>0.9371</v>
      </c>
      <c r="U29" s="42" t="n">
        <f aca="false">IF($B29="","",ROUND($I29+$K29+$M29-$P29-$R29,2))</f>
        <v>18742.86</v>
      </c>
      <c r="V29" s="25" t="str">
        <f aca="false">IF($B29="","",IF($S29&lt;-0.0001,"✗ 结存数量为负",IF(AND($S29=0,ROUND($U29,2)&lt;&gt;0),"✗ 数量 0 金额不为 0",IF(ROUND($U29,2)&lt;-0.005,"✗ 结存金额为负","OK"))))</f>
        <v>OK</v>
      </c>
    </row>
    <row r="30" customFormat="false" ht="15" hidden="false" customHeight="false" outlineLevel="0" collapsed="false">
      <c r="A30" s="25" t="str">
        <f aca="false">IF(商品档案!$A30="","",商品档案!$E30)</f>
        <v>科技</v>
      </c>
      <c r="B30" s="25" t="str">
        <f aca="false">IF(商品档案!$A30="","",商品档案!$A30)</f>
        <v>KJ10</v>
      </c>
      <c r="C30" s="10" t="str">
        <f aca="false">IF(商品档案!$A30="","",商品档案!$B30)</f>
        <v>纸盒</v>
      </c>
      <c r="D30" s="10" t="n">
        <f aca="false">IF(商品档案!$A30="","",商品档案!$C30)</f>
        <v>0</v>
      </c>
      <c r="E30" s="25" t="str">
        <f aca="false">IF(商品档案!$A30="","",商品档案!$D30)</f>
        <v>个</v>
      </c>
      <c r="F30" s="25" t="str">
        <f aca="false">IF(商品档案!$A30="","",商品档案!$F30)</f>
        <v>原材料</v>
      </c>
      <c r="G30" s="25" t="str">
        <f aca="false">IF(商品档案!$A30="","",商品档案!$G30)</f>
        <v>原材料</v>
      </c>
      <c r="H30" s="82" t="n">
        <f aca="false">IF($B30="","",SUMIFS(期初余额!$K$6:$K$65,期初余额!$H$6:$H$65,$A30,期初余额!$I$6:$I$65,$B30))</f>
        <v>10000</v>
      </c>
      <c r="I30" s="40" t="n">
        <f aca="false">IF($B30="","",SUMIFS(期初余额!$L$6:$L$65,期初余额!$H$6:$H$65,$A30,期初余额!$I$6:$I$65,$B30))</f>
        <v>3300</v>
      </c>
      <c r="J30" s="82" t="n">
        <f aca="false">IF($B30="","",SUMIFS(购销流水!$J$6:$J$805,购销流水!$C$6:$C$805,$A30,购销流水!$F$6:$F$805,$B30,购销流水!$D$6:$D$805,"采购入库")-SUMIFS(购销流水!$J$6:$J$805,购销流水!$C$6:$C$805,$A30,购销流水!$F$6:$F$805,$B30,购销流水!$D$6:$D$805,"采购退回"))</f>
        <v>12000</v>
      </c>
      <c r="K30" s="40" t="n">
        <f aca="false">IF($B30="","",SUMIFS(购销流水!$Q$6:$Q$805,购销流水!$C$6:$C$805,$A30,购销流水!$F$6:$F$805,$B30,购销流水!$D$6:$D$805,"采购入库")-SUMIFS(购销流水!$Q$6:$Q$805,购销流水!$C$6:$C$805,$A30,购销流水!$F$6:$F$805,$B30,购销流水!$D$6:$D$805,"采购退回"))</f>
        <v>4080</v>
      </c>
      <c r="L30" s="82" t="n">
        <f aca="false">IF($B30="","",SUMIFS(生产加工!$I$6:$I$305,生产加工!$C$6:$C$305,$A30,生产加工!$F$6:$F$305,$B30,生产加工!$E$6:$E$305,"产成品入库"))</f>
        <v>0</v>
      </c>
      <c r="M30" s="40" t="n">
        <f aca="false">IF($B30="","",SUMIFS(生产加工!$T$6:$T$305,生产加工!$C$6:$C$305,$A30,生产加工!$F$6:$F$305,$B30,生产加工!$E$6:$E$305,"产成品入库"))</f>
        <v>0</v>
      </c>
      <c r="N30" s="83" t="n">
        <f aca="false">IF($B30="","",IF(($H30+$J30+$L30)=0,0,($I30+$K30+$M30)/($H30+$J30+$L30)))</f>
        <v>0.335454545454545</v>
      </c>
      <c r="O30" s="82" t="n">
        <f aca="false">IF($B30="","",SUMIFS(购销流水!$J$6:$J$805,购销流水!$C$6:$C$805,$A30,购销流水!$F$6:$F$805,$B30,购销流水!$D$6:$D$805,"销售出库")-SUMIFS(购销流水!$J$6:$J$805,购销流水!$C$6:$C$805,$A30,购销流水!$F$6:$F$805,$B30,购销流水!$D$6:$D$805,"销售退回"))</f>
        <v>0</v>
      </c>
      <c r="P30" s="40" t="n">
        <f aca="false">IF($B30="","",SUMIFS(购销流水!$W$6:$W$805,购销流水!$C$6:$C$805,$A30,购销流水!$F$6:$F$805,$B30,购销流水!$D$6:$D$805,"销售出库")-SUMIFS(购销流水!$W$6:$W$805,购销流水!$C$6:$C$805,$A30,购销流水!$F$6:$F$805,$B30,购销流水!$D$6:$D$805,"销售退回"))</f>
        <v>0</v>
      </c>
      <c r="Q30" s="82" t="n">
        <f aca="false">IF($B30="","",SUMIFS(生产加工!$I$6:$I$305,生产加工!$C$6:$C$305,$A30,生产加工!$F$6:$F$305,$B30,生产加工!$E$6:$E$305,"领用投入"))</f>
        <v>8000</v>
      </c>
      <c r="R30" s="40" t="n">
        <f aca="false">IF($B30="","",SUMIFS(生产加工!$S$6:$S$305,生产加工!$C$6:$C$305,$A30,生产加工!$F$6:$F$305,$B30,生产加工!$E$6:$E$305,"领用投入"))</f>
        <v>2683.64</v>
      </c>
      <c r="S30" s="84" t="n">
        <f aca="false">IF($B30="","",$H30+$J30+$L30-$O30-$Q30)</f>
        <v>14000</v>
      </c>
      <c r="T30" s="85" t="n">
        <f aca="false">IF($B30="","",IF($S30=0,0,ROUND($U30/$S30,4)))</f>
        <v>0.3355</v>
      </c>
      <c r="U30" s="42" t="n">
        <f aca="false">IF($B30="","",ROUND($I30+$K30+$M30-$P30-$R30,2))</f>
        <v>4696.36</v>
      </c>
      <c r="V30" s="25" t="str">
        <f aca="false">IF($B30="","",IF($S30&lt;-0.0001,"✗ 结存数量为负",IF(AND($S30=0,ROUND($U30,2)&lt;&gt;0),"✗ 数量 0 金额不为 0",IF(ROUND($U30,2)&lt;-0.005,"✗ 结存金额为负","OK"))))</f>
        <v>OK</v>
      </c>
    </row>
    <row r="31" customFormat="false" ht="15" hidden="false" customHeight="false" outlineLevel="0" collapsed="false">
      <c r="A31" s="25" t="str">
        <f aca="false">IF(商品档案!$A31="","",商品档案!$E31)</f>
        <v/>
      </c>
      <c r="B31" s="25" t="str">
        <f aca="false">IF(商品档案!$A31="","",商品档案!$A31)</f>
        <v/>
      </c>
      <c r="C31" s="10" t="str">
        <f aca="false">IF(商品档案!$A31="","",商品档案!$B31)</f>
        <v/>
      </c>
      <c r="D31" s="10" t="str">
        <f aca="false">IF(商品档案!$A31="","",商品档案!$C31)</f>
        <v/>
      </c>
      <c r="E31" s="25" t="str">
        <f aca="false">IF(商品档案!$A31="","",商品档案!$D31)</f>
        <v/>
      </c>
      <c r="F31" s="25" t="str">
        <f aca="false">IF(商品档案!$A31="","",商品档案!$F31)</f>
        <v/>
      </c>
      <c r="G31" s="25" t="str">
        <f aca="false">IF(商品档案!$A31="","",商品档案!$G31)</f>
        <v/>
      </c>
      <c r="H31" s="82" t="str">
        <f aca="false">IF($B31="","",SUMIFS(期初余额!$K$6:$K$65,期初余额!$H$6:$H$65,$A31,期初余额!$I$6:$I$65,$B31))</f>
        <v/>
      </c>
      <c r="I31" s="40" t="str">
        <f aca="false">IF($B31="","",SUMIFS(期初余额!$L$6:$L$65,期初余额!$H$6:$H$65,$A31,期初余额!$I$6:$I$65,$B31))</f>
        <v/>
      </c>
      <c r="J31" s="82" t="str">
        <f aca="false">IF($B31="","",SUMIFS(购销流水!$J$6:$J$805,购销流水!$C$6:$C$805,$A31,购销流水!$F$6:$F$805,$B31,购销流水!$D$6:$D$805,"采购入库")-SUMIFS(购销流水!$J$6:$J$805,购销流水!$C$6:$C$805,$A31,购销流水!$F$6:$F$805,$B31,购销流水!$D$6:$D$805,"采购退回"))</f>
        <v/>
      </c>
      <c r="K31" s="40" t="str">
        <f aca="false">IF($B31="","",SUMIFS(购销流水!$Q$6:$Q$805,购销流水!$C$6:$C$805,$A31,购销流水!$F$6:$F$805,$B31,购销流水!$D$6:$D$805,"采购入库")-SUMIFS(购销流水!$Q$6:$Q$805,购销流水!$C$6:$C$805,$A31,购销流水!$F$6:$F$805,$B31,购销流水!$D$6:$D$805,"采购退回"))</f>
        <v/>
      </c>
      <c r="L31" s="82" t="str">
        <f aca="false">IF($B31="","",SUMIFS(生产加工!$I$6:$I$305,生产加工!$C$6:$C$305,$A31,生产加工!$F$6:$F$305,$B31,生产加工!$E$6:$E$305,"产成品入库"))</f>
        <v/>
      </c>
      <c r="M31" s="40" t="str">
        <f aca="false">IF($B31="","",SUMIFS(生产加工!$T$6:$T$305,生产加工!$C$6:$C$305,$A31,生产加工!$F$6:$F$305,$B31,生产加工!$E$6:$E$305,"产成品入库"))</f>
        <v/>
      </c>
      <c r="N31" s="83" t="str">
        <f aca="false">IF($B31="","",IF(($H31+$J31+$L31)=0,0,($I31+$K31+$M31)/($H31+$J31+$L31)))</f>
        <v/>
      </c>
      <c r="O31" s="82" t="str">
        <f aca="false">IF($B31="","",SUMIFS(购销流水!$J$6:$J$805,购销流水!$C$6:$C$805,$A31,购销流水!$F$6:$F$805,$B31,购销流水!$D$6:$D$805,"销售出库")-SUMIFS(购销流水!$J$6:$J$805,购销流水!$C$6:$C$805,$A31,购销流水!$F$6:$F$805,$B31,购销流水!$D$6:$D$805,"销售退回"))</f>
        <v/>
      </c>
      <c r="P31" s="40" t="str">
        <f aca="false">IF($B31="","",SUMIFS(购销流水!$W$6:$W$805,购销流水!$C$6:$C$805,$A31,购销流水!$F$6:$F$805,$B31,购销流水!$D$6:$D$805,"销售出库")-SUMIFS(购销流水!$W$6:$W$805,购销流水!$C$6:$C$805,$A31,购销流水!$F$6:$F$805,$B31,购销流水!$D$6:$D$805,"销售退回"))</f>
        <v/>
      </c>
      <c r="Q31" s="82" t="str">
        <f aca="false">IF($B31="","",SUMIFS(生产加工!$I$6:$I$305,生产加工!$C$6:$C$305,$A31,生产加工!$F$6:$F$305,$B31,生产加工!$E$6:$E$305,"领用投入"))</f>
        <v/>
      </c>
      <c r="R31" s="40" t="str">
        <f aca="false">IF($B31="","",SUMIFS(生产加工!$S$6:$S$305,生产加工!$C$6:$C$305,$A31,生产加工!$F$6:$F$305,$B31,生产加工!$E$6:$E$305,"领用投入"))</f>
        <v/>
      </c>
      <c r="S31" s="84" t="str">
        <f aca="false">IF($B31="","",$H31+$J31+$L31-$O31-$Q31)</f>
        <v/>
      </c>
      <c r="T31" s="85" t="str">
        <f aca="false">IF($B31="","",IF($S31=0,0,ROUND($U31/$S31,4)))</f>
        <v/>
      </c>
      <c r="U31" s="42" t="str">
        <f aca="false">IF($B31="","",ROUND($I31+$K31+$M31-$P31-$R31,2))</f>
        <v/>
      </c>
      <c r="V31" s="25" t="str">
        <f aca="false">IF($B31="","",IF($S31&lt;-0.0001,"✗ 结存数量为负",IF(AND($S31=0,ROUND($U31,2)&lt;&gt;0),"✗ 数量 0 金额不为 0",IF(ROUND($U31,2)&lt;-0.005,"✗ 结存金额为负","OK"))))</f>
        <v/>
      </c>
    </row>
    <row r="32" customFormat="false" ht="15" hidden="false" customHeight="false" outlineLevel="0" collapsed="false">
      <c r="A32" s="25" t="str">
        <f aca="false">IF(商品档案!$A32="","",商品档案!$E32)</f>
        <v/>
      </c>
      <c r="B32" s="25" t="str">
        <f aca="false">IF(商品档案!$A32="","",商品档案!$A32)</f>
        <v/>
      </c>
      <c r="C32" s="10" t="str">
        <f aca="false">IF(商品档案!$A32="","",商品档案!$B32)</f>
        <v/>
      </c>
      <c r="D32" s="10" t="str">
        <f aca="false">IF(商品档案!$A32="","",商品档案!$C32)</f>
        <v/>
      </c>
      <c r="E32" s="25" t="str">
        <f aca="false">IF(商品档案!$A32="","",商品档案!$D32)</f>
        <v/>
      </c>
      <c r="F32" s="25" t="str">
        <f aca="false">IF(商品档案!$A32="","",商品档案!$F32)</f>
        <v/>
      </c>
      <c r="G32" s="25" t="str">
        <f aca="false">IF(商品档案!$A32="","",商品档案!$G32)</f>
        <v/>
      </c>
      <c r="H32" s="82" t="str">
        <f aca="false">IF($B32="","",SUMIFS(期初余额!$K$6:$K$65,期初余额!$H$6:$H$65,$A32,期初余额!$I$6:$I$65,$B32))</f>
        <v/>
      </c>
      <c r="I32" s="40" t="str">
        <f aca="false">IF($B32="","",SUMIFS(期初余额!$L$6:$L$65,期初余额!$H$6:$H$65,$A32,期初余额!$I$6:$I$65,$B32))</f>
        <v/>
      </c>
      <c r="J32" s="82" t="str">
        <f aca="false">IF($B32="","",SUMIFS(购销流水!$J$6:$J$805,购销流水!$C$6:$C$805,$A32,购销流水!$F$6:$F$805,$B32,购销流水!$D$6:$D$805,"采购入库")-SUMIFS(购销流水!$J$6:$J$805,购销流水!$C$6:$C$805,$A32,购销流水!$F$6:$F$805,$B32,购销流水!$D$6:$D$805,"采购退回"))</f>
        <v/>
      </c>
      <c r="K32" s="40" t="str">
        <f aca="false">IF($B32="","",SUMIFS(购销流水!$Q$6:$Q$805,购销流水!$C$6:$C$805,$A32,购销流水!$F$6:$F$805,$B32,购销流水!$D$6:$D$805,"采购入库")-SUMIFS(购销流水!$Q$6:$Q$805,购销流水!$C$6:$C$805,$A32,购销流水!$F$6:$F$805,$B32,购销流水!$D$6:$D$805,"采购退回"))</f>
        <v/>
      </c>
      <c r="L32" s="82" t="str">
        <f aca="false">IF($B32="","",SUMIFS(生产加工!$I$6:$I$305,生产加工!$C$6:$C$305,$A32,生产加工!$F$6:$F$305,$B32,生产加工!$E$6:$E$305,"产成品入库"))</f>
        <v/>
      </c>
      <c r="M32" s="40" t="str">
        <f aca="false">IF($B32="","",SUMIFS(生产加工!$T$6:$T$305,生产加工!$C$6:$C$305,$A32,生产加工!$F$6:$F$305,$B32,生产加工!$E$6:$E$305,"产成品入库"))</f>
        <v/>
      </c>
      <c r="N32" s="83" t="str">
        <f aca="false">IF($B32="","",IF(($H32+$J32+$L32)=0,0,($I32+$K32+$M32)/($H32+$J32+$L32)))</f>
        <v/>
      </c>
      <c r="O32" s="82" t="str">
        <f aca="false">IF($B32="","",SUMIFS(购销流水!$J$6:$J$805,购销流水!$C$6:$C$805,$A32,购销流水!$F$6:$F$805,$B32,购销流水!$D$6:$D$805,"销售出库")-SUMIFS(购销流水!$J$6:$J$805,购销流水!$C$6:$C$805,$A32,购销流水!$F$6:$F$805,$B32,购销流水!$D$6:$D$805,"销售退回"))</f>
        <v/>
      </c>
      <c r="P32" s="40" t="str">
        <f aca="false">IF($B32="","",SUMIFS(购销流水!$W$6:$W$805,购销流水!$C$6:$C$805,$A32,购销流水!$F$6:$F$805,$B32,购销流水!$D$6:$D$805,"销售出库")-SUMIFS(购销流水!$W$6:$W$805,购销流水!$C$6:$C$805,$A32,购销流水!$F$6:$F$805,$B32,购销流水!$D$6:$D$805,"销售退回"))</f>
        <v/>
      </c>
      <c r="Q32" s="82" t="str">
        <f aca="false">IF($B32="","",SUMIFS(生产加工!$I$6:$I$305,生产加工!$C$6:$C$305,$A32,生产加工!$F$6:$F$305,$B32,生产加工!$E$6:$E$305,"领用投入"))</f>
        <v/>
      </c>
      <c r="R32" s="40" t="str">
        <f aca="false">IF($B32="","",SUMIFS(生产加工!$S$6:$S$305,生产加工!$C$6:$C$305,$A32,生产加工!$F$6:$F$305,$B32,生产加工!$E$6:$E$305,"领用投入"))</f>
        <v/>
      </c>
      <c r="S32" s="84" t="str">
        <f aca="false">IF($B32="","",$H32+$J32+$L32-$O32-$Q32)</f>
        <v/>
      </c>
      <c r="T32" s="85" t="str">
        <f aca="false">IF($B32="","",IF($S32=0,0,ROUND($U32/$S32,4)))</f>
        <v/>
      </c>
      <c r="U32" s="42" t="str">
        <f aca="false">IF($B32="","",ROUND($I32+$K32+$M32-$P32-$R32,2))</f>
        <v/>
      </c>
      <c r="V32" s="25" t="str">
        <f aca="false">IF($B32="","",IF($S32&lt;-0.0001,"✗ 结存数量为负",IF(AND($S32=0,ROUND($U32,2)&lt;&gt;0),"✗ 数量 0 金额不为 0",IF(ROUND($U32,2)&lt;-0.005,"✗ 结存金额为负","OK"))))</f>
        <v/>
      </c>
    </row>
    <row r="33" customFormat="false" ht="15" hidden="false" customHeight="false" outlineLevel="0" collapsed="false">
      <c r="A33" s="25" t="str">
        <f aca="false">IF(商品档案!$A33="","",商品档案!$E33)</f>
        <v/>
      </c>
      <c r="B33" s="25" t="str">
        <f aca="false">IF(商品档案!$A33="","",商品档案!$A33)</f>
        <v/>
      </c>
      <c r="C33" s="10" t="str">
        <f aca="false">IF(商品档案!$A33="","",商品档案!$B33)</f>
        <v/>
      </c>
      <c r="D33" s="10" t="str">
        <f aca="false">IF(商品档案!$A33="","",商品档案!$C33)</f>
        <v/>
      </c>
      <c r="E33" s="25" t="str">
        <f aca="false">IF(商品档案!$A33="","",商品档案!$D33)</f>
        <v/>
      </c>
      <c r="F33" s="25" t="str">
        <f aca="false">IF(商品档案!$A33="","",商品档案!$F33)</f>
        <v/>
      </c>
      <c r="G33" s="25" t="str">
        <f aca="false">IF(商品档案!$A33="","",商品档案!$G33)</f>
        <v/>
      </c>
      <c r="H33" s="82" t="str">
        <f aca="false">IF($B33="","",SUMIFS(期初余额!$K$6:$K$65,期初余额!$H$6:$H$65,$A33,期初余额!$I$6:$I$65,$B33))</f>
        <v/>
      </c>
      <c r="I33" s="40" t="str">
        <f aca="false">IF($B33="","",SUMIFS(期初余额!$L$6:$L$65,期初余额!$H$6:$H$65,$A33,期初余额!$I$6:$I$65,$B33))</f>
        <v/>
      </c>
      <c r="J33" s="82" t="str">
        <f aca="false">IF($B33="","",SUMIFS(购销流水!$J$6:$J$805,购销流水!$C$6:$C$805,$A33,购销流水!$F$6:$F$805,$B33,购销流水!$D$6:$D$805,"采购入库")-SUMIFS(购销流水!$J$6:$J$805,购销流水!$C$6:$C$805,$A33,购销流水!$F$6:$F$805,$B33,购销流水!$D$6:$D$805,"采购退回"))</f>
        <v/>
      </c>
      <c r="K33" s="40" t="str">
        <f aca="false">IF($B33="","",SUMIFS(购销流水!$Q$6:$Q$805,购销流水!$C$6:$C$805,$A33,购销流水!$F$6:$F$805,$B33,购销流水!$D$6:$D$805,"采购入库")-SUMIFS(购销流水!$Q$6:$Q$805,购销流水!$C$6:$C$805,$A33,购销流水!$F$6:$F$805,$B33,购销流水!$D$6:$D$805,"采购退回"))</f>
        <v/>
      </c>
      <c r="L33" s="82" t="str">
        <f aca="false">IF($B33="","",SUMIFS(生产加工!$I$6:$I$305,生产加工!$C$6:$C$305,$A33,生产加工!$F$6:$F$305,$B33,生产加工!$E$6:$E$305,"产成品入库"))</f>
        <v/>
      </c>
      <c r="M33" s="40" t="str">
        <f aca="false">IF($B33="","",SUMIFS(生产加工!$T$6:$T$305,生产加工!$C$6:$C$305,$A33,生产加工!$F$6:$F$305,$B33,生产加工!$E$6:$E$305,"产成品入库"))</f>
        <v/>
      </c>
      <c r="N33" s="83" t="str">
        <f aca="false">IF($B33="","",IF(($H33+$J33+$L33)=0,0,($I33+$K33+$M33)/($H33+$J33+$L33)))</f>
        <v/>
      </c>
      <c r="O33" s="82" t="str">
        <f aca="false">IF($B33="","",SUMIFS(购销流水!$J$6:$J$805,购销流水!$C$6:$C$805,$A33,购销流水!$F$6:$F$805,$B33,购销流水!$D$6:$D$805,"销售出库")-SUMIFS(购销流水!$J$6:$J$805,购销流水!$C$6:$C$805,$A33,购销流水!$F$6:$F$805,$B33,购销流水!$D$6:$D$805,"销售退回"))</f>
        <v/>
      </c>
      <c r="P33" s="40" t="str">
        <f aca="false">IF($B33="","",SUMIFS(购销流水!$W$6:$W$805,购销流水!$C$6:$C$805,$A33,购销流水!$F$6:$F$805,$B33,购销流水!$D$6:$D$805,"销售出库")-SUMIFS(购销流水!$W$6:$W$805,购销流水!$C$6:$C$805,$A33,购销流水!$F$6:$F$805,$B33,购销流水!$D$6:$D$805,"销售退回"))</f>
        <v/>
      </c>
      <c r="Q33" s="82" t="str">
        <f aca="false">IF($B33="","",SUMIFS(生产加工!$I$6:$I$305,生产加工!$C$6:$C$305,$A33,生产加工!$F$6:$F$305,$B33,生产加工!$E$6:$E$305,"领用投入"))</f>
        <v/>
      </c>
      <c r="R33" s="40" t="str">
        <f aca="false">IF($B33="","",SUMIFS(生产加工!$S$6:$S$305,生产加工!$C$6:$C$305,$A33,生产加工!$F$6:$F$305,$B33,生产加工!$E$6:$E$305,"领用投入"))</f>
        <v/>
      </c>
      <c r="S33" s="84" t="str">
        <f aca="false">IF($B33="","",$H33+$J33+$L33-$O33-$Q33)</f>
        <v/>
      </c>
      <c r="T33" s="85" t="str">
        <f aca="false">IF($B33="","",IF($S33=0,0,ROUND($U33/$S33,4)))</f>
        <v/>
      </c>
      <c r="U33" s="42" t="str">
        <f aca="false">IF($B33="","",ROUND($I33+$K33+$M33-$P33-$R33,2))</f>
        <v/>
      </c>
      <c r="V33" s="25" t="str">
        <f aca="false">IF($B33="","",IF($S33&lt;-0.0001,"✗ 结存数量为负",IF(AND($S33=0,ROUND($U33,2)&lt;&gt;0),"✗ 数量 0 金额不为 0",IF(ROUND($U33,2)&lt;-0.005,"✗ 结存金额为负","OK"))))</f>
        <v/>
      </c>
    </row>
    <row r="34" customFormat="false" ht="15" hidden="false" customHeight="false" outlineLevel="0" collapsed="false">
      <c r="A34" s="25" t="str">
        <f aca="false">IF(商品档案!$A34="","",商品档案!$E34)</f>
        <v/>
      </c>
      <c r="B34" s="25" t="str">
        <f aca="false">IF(商品档案!$A34="","",商品档案!$A34)</f>
        <v/>
      </c>
      <c r="C34" s="10" t="str">
        <f aca="false">IF(商品档案!$A34="","",商品档案!$B34)</f>
        <v/>
      </c>
      <c r="D34" s="10" t="str">
        <f aca="false">IF(商品档案!$A34="","",商品档案!$C34)</f>
        <v/>
      </c>
      <c r="E34" s="25" t="str">
        <f aca="false">IF(商品档案!$A34="","",商品档案!$D34)</f>
        <v/>
      </c>
      <c r="F34" s="25" t="str">
        <f aca="false">IF(商品档案!$A34="","",商品档案!$F34)</f>
        <v/>
      </c>
      <c r="G34" s="25" t="str">
        <f aca="false">IF(商品档案!$A34="","",商品档案!$G34)</f>
        <v/>
      </c>
      <c r="H34" s="82" t="str">
        <f aca="false">IF($B34="","",SUMIFS(期初余额!$K$6:$K$65,期初余额!$H$6:$H$65,$A34,期初余额!$I$6:$I$65,$B34))</f>
        <v/>
      </c>
      <c r="I34" s="40" t="str">
        <f aca="false">IF($B34="","",SUMIFS(期初余额!$L$6:$L$65,期初余额!$H$6:$H$65,$A34,期初余额!$I$6:$I$65,$B34))</f>
        <v/>
      </c>
      <c r="J34" s="82" t="str">
        <f aca="false">IF($B34="","",SUMIFS(购销流水!$J$6:$J$805,购销流水!$C$6:$C$805,$A34,购销流水!$F$6:$F$805,$B34,购销流水!$D$6:$D$805,"采购入库")-SUMIFS(购销流水!$J$6:$J$805,购销流水!$C$6:$C$805,$A34,购销流水!$F$6:$F$805,$B34,购销流水!$D$6:$D$805,"采购退回"))</f>
        <v/>
      </c>
      <c r="K34" s="40" t="str">
        <f aca="false">IF($B34="","",SUMIFS(购销流水!$Q$6:$Q$805,购销流水!$C$6:$C$805,$A34,购销流水!$F$6:$F$805,$B34,购销流水!$D$6:$D$805,"采购入库")-SUMIFS(购销流水!$Q$6:$Q$805,购销流水!$C$6:$C$805,$A34,购销流水!$F$6:$F$805,$B34,购销流水!$D$6:$D$805,"采购退回"))</f>
        <v/>
      </c>
      <c r="L34" s="82" t="str">
        <f aca="false">IF($B34="","",SUMIFS(生产加工!$I$6:$I$305,生产加工!$C$6:$C$305,$A34,生产加工!$F$6:$F$305,$B34,生产加工!$E$6:$E$305,"产成品入库"))</f>
        <v/>
      </c>
      <c r="M34" s="40" t="str">
        <f aca="false">IF($B34="","",SUMIFS(生产加工!$T$6:$T$305,生产加工!$C$6:$C$305,$A34,生产加工!$F$6:$F$305,$B34,生产加工!$E$6:$E$305,"产成品入库"))</f>
        <v/>
      </c>
      <c r="N34" s="83" t="str">
        <f aca="false">IF($B34="","",IF(($H34+$J34+$L34)=0,0,($I34+$K34+$M34)/($H34+$J34+$L34)))</f>
        <v/>
      </c>
      <c r="O34" s="82" t="str">
        <f aca="false">IF($B34="","",SUMIFS(购销流水!$J$6:$J$805,购销流水!$C$6:$C$805,$A34,购销流水!$F$6:$F$805,$B34,购销流水!$D$6:$D$805,"销售出库")-SUMIFS(购销流水!$J$6:$J$805,购销流水!$C$6:$C$805,$A34,购销流水!$F$6:$F$805,$B34,购销流水!$D$6:$D$805,"销售退回"))</f>
        <v/>
      </c>
      <c r="P34" s="40" t="str">
        <f aca="false">IF($B34="","",SUMIFS(购销流水!$W$6:$W$805,购销流水!$C$6:$C$805,$A34,购销流水!$F$6:$F$805,$B34,购销流水!$D$6:$D$805,"销售出库")-SUMIFS(购销流水!$W$6:$W$805,购销流水!$C$6:$C$805,$A34,购销流水!$F$6:$F$805,$B34,购销流水!$D$6:$D$805,"销售退回"))</f>
        <v/>
      </c>
      <c r="Q34" s="82" t="str">
        <f aca="false">IF($B34="","",SUMIFS(生产加工!$I$6:$I$305,生产加工!$C$6:$C$305,$A34,生产加工!$F$6:$F$305,$B34,生产加工!$E$6:$E$305,"领用投入"))</f>
        <v/>
      </c>
      <c r="R34" s="40" t="str">
        <f aca="false">IF($B34="","",SUMIFS(生产加工!$S$6:$S$305,生产加工!$C$6:$C$305,$A34,生产加工!$F$6:$F$305,$B34,生产加工!$E$6:$E$305,"领用投入"))</f>
        <v/>
      </c>
      <c r="S34" s="84" t="str">
        <f aca="false">IF($B34="","",$H34+$J34+$L34-$O34-$Q34)</f>
        <v/>
      </c>
      <c r="T34" s="85" t="str">
        <f aca="false">IF($B34="","",IF($S34=0,0,ROUND($U34/$S34,4)))</f>
        <v/>
      </c>
      <c r="U34" s="42" t="str">
        <f aca="false">IF($B34="","",ROUND($I34+$K34+$M34-$P34-$R34,2))</f>
        <v/>
      </c>
      <c r="V34" s="25" t="str">
        <f aca="false">IF($B34="","",IF($S34&lt;-0.0001,"✗ 结存数量为负",IF(AND($S34=0,ROUND($U34,2)&lt;&gt;0),"✗ 数量 0 金额不为 0",IF(ROUND($U34,2)&lt;-0.005,"✗ 结存金额为负","OK"))))</f>
        <v/>
      </c>
    </row>
    <row r="35" customFormat="false" ht="15" hidden="false" customHeight="false" outlineLevel="0" collapsed="false">
      <c r="A35" s="25" t="str">
        <f aca="false">IF(商品档案!$A35="","",商品档案!$E35)</f>
        <v/>
      </c>
      <c r="B35" s="25" t="str">
        <f aca="false">IF(商品档案!$A35="","",商品档案!$A35)</f>
        <v/>
      </c>
      <c r="C35" s="10" t="str">
        <f aca="false">IF(商品档案!$A35="","",商品档案!$B35)</f>
        <v/>
      </c>
      <c r="D35" s="10" t="str">
        <f aca="false">IF(商品档案!$A35="","",商品档案!$C35)</f>
        <v/>
      </c>
      <c r="E35" s="25" t="str">
        <f aca="false">IF(商品档案!$A35="","",商品档案!$D35)</f>
        <v/>
      </c>
      <c r="F35" s="25" t="str">
        <f aca="false">IF(商品档案!$A35="","",商品档案!$F35)</f>
        <v/>
      </c>
      <c r="G35" s="25" t="str">
        <f aca="false">IF(商品档案!$A35="","",商品档案!$G35)</f>
        <v/>
      </c>
      <c r="H35" s="82" t="str">
        <f aca="false">IF($B35="","",SUMIFS(期初余额!$K$6:$K$65,期初余额!$H$6:$H$65,$A35,期初余额!$I$6:$I$65,$B35))</f>
        <v/>
      </c>
      <c r="I35" s="40" t="str">
        <f aca="false">IF($B35="","",SUMIFS(期初余额!$L$6:$L$65,期初余额!$H$6:$H$65,$A35,期初余额!$I$6:$I$65,$B35))</f>
        <v/>
      </c>
      <c r="J35" s="82" t="str">
        <f aca="false">IF($B35="","",SUMIFS(购销流水!$J$6:$J$805,购销流水!$C$6:$C$805,$A35,购销流水!$F$6:$F$805,$B35,购销流水!$D$6:$D$805,"采购入库")-SUMIFS(购销流水!$J$6:$J$805,购销流水!$C$6:$C$805,$A35,购销流水!$F$6:$F$805,$B35,购销流水!$D$6:$D$805,"采购退回"))</f>
        <v/>
      </c>
      <c r="K35" s="40" t="str">
        <f aca="false">IF($B35="","",SUMIFS(购销流水!$Q$6:$Q$805,购销流水!$C$6:$C$805,$A35,购销流水!$F$6:$F$805,$B35,购销流水!$D$6:$D$805,"采购入库")-SUMIFS(购销流水!$Q$6:$Q$805,购销流水!$C$6:$C$805,$A35,购销流水!$F$6:$F$805,$B35,购销流水!$D$6:$D$805,"采购退回"))</f>
        <v/>
      </c>
      <c r="L35" s="82" t="str">
        <f aca="false">IF($B35="","",SUMIFS(生产加工!$I$6:$I$305,生产加工!$C$6:$C$305,$A35,生产加工!$F$6:$F$305,$B35,生产加工!$E$6:$E$305,"产成品入库"))</f>
        <v/>
      </c>
      <c r="M35" s="40" t="str">
        <f aca="false">IF($B35="","",SUMIFS(生产加工!$T$6:$T$305,生产加工!$C$6:$C$305,$A35,生产加工!$F$6:$F$305,$B35,生产加工!$E$6:$E$305,"产成品入库"))</f>
        <v/>
      </c>
      <c r="N35" s="83" t="str">
        <f aca="false">IF($B35="","",IF(($H35+$J35+$L35)=0,0,($I35+$K35+$M35)/($H35+$J35+$L35)))</f>
        <v/>
      </c>
      <c r="O35" s="82" t="str">
        <f aca="false">IF($B35="","",SUMIFS(购销流水!$J$6:$J$805,购销流水!$C$6:$C$805,$A35,购销流水!$F$6:$F$805,$B35,购销流水!$D$6:$D$805,"销售出库")-SUMIFS(购销流水!$J$6:$J$805,购销流水!$C$6:$C$805,$A35,购销流水!$F$6:$F$805,$B35,购销流水!$D$6:$D$805,"销售退回"))</f>
        <v/>
      </c>
      <c r="P35" s="40" t="str">
        <f aca="false">IF($B35="","",SUMIFS(购销流水!$W$6:$W$805,购销流水!$C$6:$C$805,$A35,购销流水!$F$6:$F$805,$B35,购销流水!$D$6:$D$805,"销售出库")-SUMIFS(购销流水!$W$6:$W$805,购销流水!$C$6:$C$805,$A35,购销流水!$F$6:$F$805,$B35,购销流水!$D$6:$D$805,"销售退回"))</f>
        <v/>
      </c>
      <c r="Q35" s="82" t="str">
        <f aca="false">IF($B35="","",SUMIFS(生产加工!$I$6:$I$305,生产加工!$C$6:$C$305,$A35,生产加工!$F$6:$F$305,$B35,生产加工!$E$6:$E$305,"领用投入"))</f>
        <v/>
      </c>
      <c r="R35" s="40" t="str">
        <f aca="false">IF($B35="","",SUMIFS(生产加工!$S$6:$S$305,生产加工!$C$6:$C$305,$A35,生产加工!$F$6:$F$305,$B35,生产加工!$E$6:$E$305,"领用投入"))</f>
        <v/>
      </c>
      <c r="S35" s="84" t="str">
        <f aca="false">IF($B35="","",$H35+$J35+$L35-$O35-$Q35)</f>
        <v/>
      </c>
      <c r="T35" s="85" t="str">
        <f aca="false">IF($B35="","",IF($S35=0,0,ROUND($U35/$S35,4)))</f>
        <v/>
      </c>
      <c r="U35" s="42" t="str">
        <f aca="false">IF($B35="","",ROUND($I35+$K35+$M35-$P35-$R35,2))</f>
        <v/>
      </c>
      <c r="V35" s="25" t="str">
        <f aca="false">IF($B35="","",IF($S35&lt;-0.0001,"✗ 结存数量为负",IF(AND($S35=0,ROUND($U35,2)&lt;&gt;0),"✗ 数量 0 金额不为 0",IF(ROUND($U35,2)&lt;-0.005,"✗ 结存金额为负","OK"))))</f>
        <v/>
      </c>
    </row>
    <row r="36" customFormat="false" ht="15" hidden="false" customHeight="false" outlineLevel="0" collapsed="false">
      <c r="A36" s="25" t="str">
        <f aca="false">IF(商品档案!$A36="","",商品档案!$E36)</f>
        <v/>
      </c>
      <c r="B36" s="25" t="str">
        <f aca="false">IF(商品档案!$A36="","",商品档案!$A36)</f>
        <v/>
      </c>
      <c r="C36" s="10" t="str">
        <f aca="false">IF(商品档案!$A36="","",商品档案!$B36)</f>
        <v/>
      </c>
      <c r="D36" s="10" t="str">
        <f aca="false">IF(商品档案!$A36="","",商品档案!$C36)</f>
        <v/>
      </c>
      <c r="E36" s="25" t="str">
        <f aca="false">IF(商品档案!$A36="","",商品档案!$D36)</f>
        <v/>
      </c>
      <c r="F36" s="25" t="str">
        <f aca="false">IF(商品档案!$A36="","",商品档案!$F36)</f>
        <v/>
      </c>
      <c r="G36" s="25" t="str">
        <f aca="false">IF(商品档案!$A36="","",商品档案!$G36)</f>
        <v/>
      </c>
      <c r="H36" s="82" t="str">
        <f aca="false">IF($B36="","",SUMIFS(期初余额!$K$6:$K$65,期初余额!$H$6:$H$65,$A36,期初余额!$I$6:$I$65,$B36))</f>
        <v/>
      </c>
      <c r="I36" s="40" t="str">
        <f aca="false">IF($B36="","",SUMIFS(期初余额!$L$6:$L$65,期初余额!$H$6:$H$65,$A36,期初余额!$I$6:$I$65,$B36))</f>
        <v/>
      </c>
      <c r="J36" s="82" t="str">
        <f aca="false">IF($B36="","",SUMIFS(购销流水!$J$6:$J$805,购销流水!$C$6:$C$805,$A36,购销流水!$F$6:$F$805,$B36,购销流水!$D$6:$D$805,"采购入库")-SUMIFS(购销流水!$J$6:$J$805,购销流水!$C$6:$C$805,$A36,购销流水!$F$6:$F$805,$B36,购销流水!$D$6:$D$805,"采购退回"))</f>
        <v/>
      </c>
      <c r="K36" s="40" t="str">
        <f aca="false">IF($B36="","",SUMIFS(购销流水!$Q$6:$Q$805,购销流水!$C$6:$C$805,$A36,购销流水!$F$6:$F$805,$B36,购销流水!$D$6:$D$805,"采购入库")-SUMIFS(购销流水!$Q$6:$Q$805,购销流水!$C$6:$C$805,$A36,购销流水!$F$6:$F$805,$B36,购销流水!$D$6:$D$805,"采购退回"))</f>
        <v/>
      </c>
      <c r="L36" s="82" t="str">
        <f aca="false">IF($B36="","",SUMIFS(生产加工!$I$6:$I$305,生产加工!$C$6:$C$305,$A36,生产加工!$F$6:$F$305,$B36,生产加工!$E$6:$E$305,"产成品入库"))</f>
        <v/>
      </c>
      <c r="M36" s="40" t="str">
        <f aca="false">IF($B36="","",SUMIFS(生产加工!$T$6:$T$305,生产加工!$C$6:$C$305,$A36,生产加工!$F$6:$F$305,$B36,生产加工!$E$6:$E$305,"产成品入库"))</f>
        <v/>
      </c>
      <c r="N36" s="83" t="str">
        <f aca="false">IF($B36="","",IF(($H36+$J36+$L36)=0,0,($I36+$K36+$M36)/($H36+$J36+$L36)))</f>
        <v/>
      </c>
      <c r="O36" s="82" t="str">
        <f aca="false">IF($B36="","",SUMIFS(购销流水!$J$6:$J$805,购销流水!$C$6:$C$805,$A36,购销流水!$F$6:$F$805,$B36,购销流水!$D$6:$D$805,"销售出库")-SUMIFS(购销流水!$J$6:$J$805,购销流水!$C$6:$C$805,$A36,购销流水!$F$6:$F$805,$B36,购销流水!$D$6:$D$805,"销售退回"))</f>
        <v/>
      </c>
      <c r="P36" s="40" t="str">
        <f aca="false">IF($B36="","",SUMIFS(购销流水!$W$6:$W$805,购销流水!$C$6:$C$805,$A36,购销流水!$F$6:$F$805,$B36,购销流水!$D$6:$D$805,"销售出库")-SUMIFS(购销流水!$W$6:$W$805,购销流水!$C$6:$C$805,$A36,购销流水!$F$6:$F$805,$B36,购销流水!$D$6:$D$805,"销售退回"))</f>
        <v/>
      </c>
      <c r="Q36" s="82" t="str">
        <f aca="false">IF($B36="","",SUMIFS(生产加工!$I$6:$I$305,生产加工!$C$6:$C$305,$A36,生产加工!$F$6:$F$305,$B36,生产加工!$E$6:$E$305,"领用投入"))</f>
        <v/>
      </c>
      <c r="R36" s="40" t="str">
        <f aca="false">IF($B36="","",SUMIFS(生产加工!$S$6:$S$305,生产加工!$C$6:$C$305,$A36,生产加工!$F$6:$F$305,$B36,生产加工!$E$6:$E$305,"领用投入"))</f>
        <v/>
      </c>
      <c r="S36" s="84" t="str">
        <f aca="false">IF($B36="","",$H36+$J36+$L36-$O36-$Q36)</f>
        <v/>
      </c>
      <c r="T36" s="85" t="str">
        <f aca="false">IF($B36="","",IF($S36=0,0,ROUND($U36/$S36,4)))</f>
        <v/>
      </c>
      <c r="U36" s="42" t="str">
        <f aca="false">IF($B36="","",ROUND($I36+$K36+$M36-$P36-$R36,2))</f>
        <v/>
      </c>
      <c r="V36" s="25" t="str">
        <f aca="false">IF($B36="","",IF($S36&lt;-0.0001,"✗ 结存数量为负",IF(AND($S36=0,ROUND($U36,2)&lt;&gt;0),"✗ 数量 0 金额不为 0",IF(ROUND($U36,2)&lt;-0.005,"✗ 结存金额为负","OK"))))</f>
        <v/>
      </c>
    </row>
    <row r="37" customFormat="false" ht="15" hidden="false" customHeight="false" outlineLevel="0" collapsed="false">
      <c r="A37" s="25" t="str">
        <f aca="false">IF(商品档案!$A37="","",商品档案!$E37)</f>
        <v/>
      </c>
      <c r="B37" s="25" t="str">
        <f aca="false">IF(商品档案!$A37="","",商品档案!$A37)</f>
        <v/>
      </c>
      <c r="C37" s="10" t="str">
        <f aca="false">IF(商品档案!$A37="","",商品档案!$B37)</f>
        <v/>
      </c>
      <c r="D37" s="10" t="str">
        <f aca="false">IF(商品档案!$A37="","",商品档案!$C37)</f>
        <v/>
      </c>
      <c r="E37" s="25" t="str">
        <f aca="false">IF(商品档案!$A37="","",商品档案!$D37)</f>
        <v/>
      </c>
      <c r="F37" s="25" t="str">
        <f aca="false">IF(商品档案!$A37="","",商品档案!$F37)</f>
        <v/>
      </c>
      <c r="G37" s="25" t="str">
        <f aca="false">IF(商品档案!$A37="","",商品档案!$G37)</f>
        <v/>
      </c>
      <c r="H37" s="82" t="str">
        <f aca="false">IF($B37="","",SUMIFS(期初余额!$K$6:$K$65,期初余额!$H$6:$H$65,$A37,期初余额!$I$6:$I$65,$B37))</f>
        <v/>
      </c>
      <c r="I37" s="40" t="str">
        <f aca="false">IF($B37="","",SUMIFS(期初余额!$L$6:$L$65,期初余额!$H$6:$H$65,$A37,期初余额!$I$6:$I$65,$B37))</f>
        <v/>
      </c>
      <c r="J37" s="82" t="str">
        <f aca="false">IF($B37="","",SUMIFS(购销流水!$J$6:$J$805,购销流水!$C$6:$C$805,$A37,购销流水!$F$6:$F$805,$B37,购销流水!$D$6:$D$805,"采购入库")-SUMIFS(购销流水!$J$6:$J$805,购销流水!$C$6:$C$805,$A37,购销流水!$F$6:$F$805,$B37,购销流水!$D$6:$D$805,"采购退回"))</f>
        <v/>
      </c>
      <c r="K37" s="40" t="str">
        <f aca="false">IF($B37="","",SUMIFS(购销流水!$Q$6:$Q$805,购销流水!$C$6:$C$805,$A37,购销流水!$F$6:$F$805,$B37,购销流水!$D$6:$D$805,"采购入库")-SUMIFS(购销流水!$Q$6:$Q$805,购销流水!$C$6:$C$805,$A37,购销流水!$F$6:$F$805,$B37,购销流水!$D$6:$D$805,"采购退回"))</f>
        <v/>
      </c>
      <c r="L37" s="82" t="str">
        <f aca="false">IF($B37="","",SUMIFS(生产加工!$I$6:$I$305,生产加工!$C$6:$C$305,$A37,生产加工!$F$6:$F$305,$B37,生产加工!$E$6:$E$305,"产成品入库"))</f>
        <v/>
      </c>
      <c r="M37" s="40" t="str">
        <f aca="false">IF($B37="","",SUMIFS(生产加工!$T$6:$T$305,生产加工!$C$6:$C$305,$A37,生产加工!$F$6:$F$305,$B37,生产加工!$E$6:$E$305,"产成品入库"))</f>
        <v/>
      </c>
      <c r="N37" s="83" t="str">
        <f aca="false">IF($B37="","",IF(($H37+$J37+$L37)=0,0,($I37+$K37+$M37)/($H37+$J37+$L37)))</f>
        <v/>
      </c>
      <c r="O37" s="82" t="str">
        <f aca="false">IF($B37="","",SUMIFS(购销流水!$J$6:$J$805,购销流水!$C$6:$C$805,$A37,购销流水!$F$6:$F$805,$B37,购销流水!$D$6:$D$805,"销售出库")-SUMIFS(购销流水!$J$6:$J$805,购销流水!$C$6:$C$805,$A37,购销流水!$F$6:$F$805,$B37,购销流水!$D$6:$D$805,"销售退回"))</f>
        <v/>
      </c>
      <c r="P37" s="40" t="str">
        <f aca="false">IF($B37="","",SUMIFS(购销流水!$W$6:$W$805,购销流水!$C$6:$C$805,$A37,购销流水!$F$6:$F$805,$B37,购销流水!$D$6:$D$805,"销售出库")-SUMIFS(购销流水!$W$6:$W$805,购销流水!$C$6:$C$805,$A37,购销流水!$F$6:$F$805,$B37,购销流水!$D$6:$D$805,"销售退回"))</f>
        <v/>
      </c>
      <c r="Q37" s="82" t="str">
        <f aca="false">IF($B37="","",SUMIFS(生产加工!$I$6:$I$305,生产加工!$C$6:$C$305,$A37,生产加工!$F$6:$F$305,$B37,生产加工!$E$6:$E$305,"领用投入"))</f>
        <v/>
      </c>
      <c r="R37" s="40" t="str">
        <f aca="false">IF($B37="","",SUMIFS(生产加工!$S$6:$S$305,生产加工!$C$6:$C$305,$A37,生产加工!$F$6:$F$305,$B37,生产加工!$E$6:$E$305,"领用投入"))</f>
        <v/>
      </c>
      <c r="S37" s="84" t="str">
        <f aca="false">IF($B37="","",$H37+$J37+$L37-$O37-$Q37)</f>
        <v/>
      </c>
      <c r="T37" s="85" t="str">
        <f aca="false">IF($B37="","",IF($S37=0,0,ROUND($U37/$S37,4)))</f>
        <v/>
      </c>
      <c r="U37" s="42" t="str">
        <f aca="false">IF($B37="","",ROUND($I37+$K37+$M37-$P37-$R37,2))</f>
        <v/>
      </c>
      <c r="V37" s="25" t="str">
        <f aca="false">IF($B37="","",IF($S37&lt;-0.0001,"✗ 结存数量为负",IF(AND($S37=0,ROUND($U37,2)&lt;&gt;0),"✗ 数量 0 金额不为 0",IF(ROUND($U37,2)&lt;-0.005,"✗ 结存金额为负","OK"))))</f>
        <v/>
      </c>
    </row>
    <row r="38" customFormat="false" ht="15" hidden="false" customHeight="false" outlineLevel="0" collapsed="false">
      <c r="A38" s="25" t="str">
        <f aca="false">IF(商品档案!$A38="","",商品档案!$E38)</f>
        <v/>
      </c>
      <c r="B38" s="25" t="str">
        <f aca="false">IF(商品档案!$A38="","",商品档案!$A38)</f>
        <v/>
      </c>
      <c r="C38" s="10" t="str">
        <f aca="false">IF(商品档案!$A38="","",商品档案!$B38)</f>
        <v/>
      </c>
      <c r="D38" s="10" t="str">
        <f aca="false">IF(商品档案!$A38="","",商品档案!$C38)</f>
        <v/>
      </c>
      <c r="E38" s="25" t="str">
        <f aca="false">IF(商品档案!$A38="","",商品档案!$D38)</f>
        <v/>
      </c>
      <c r="F38" s="25" t="str">
        <f aca="false">IF(商品档案!$A38="","",商品档案!$F38)</f>
        <v/>
      </c>
      <c r="G38" s="25" t="str">
        <f aca="false">IF(商品档案!$A38="","",商品档案!$G38)</f>
        <v/>
      </c>
      <c r="H38" s="82" t="str">
        <f aca="false">IF($B38="","",SUMIFS(期初余额!$K$6:$K$65,期初余额!$H$6:$H$65,$A38,期初余额!$I$6:$I$65,$B38))</f>
        <v/>
      </c>
      <c r="I38" s="40" t="str">
        <f aca="false">IF($B38="","",SUMIFS(期初余额!$L$6:$L$65,期初余额!$H$6:$H$65,$A38,期初余额!$I$6:$I$65,$B38))</f>
        <v/>
      </c>
      <c r="J38" s="82" t="str">
        <f aca="false">IF($B38="","",SUMIFS(购销流水!$J$6:$J$805,购销流水!$C$6:$C$805,$A38,购销流水!$F$6:$F$805,$B38,购销流水!$D$6:$D$805,"采购入库")-SUMIFS(购销流水!$J$6:$J$805,购销流水!$C$6:$C$805,$A38,购销流水!$F$6:$F$805,$B38,购销流水!$D$6:$D$805,"采购退回"))</f>
        <v/>
      </c>
      <c r="K38" s="40" t="str">
        <f aca="false">IF($B38="","",SUMIFS(购销流水!$Q$6:$Q$805,购销流水!$C$6:$C$805,$A38,购销流水!$F$6:$F$805,$B38,购销流水!$D$6:$D$805,"采购入库")-SUMIFS(购销流水!$Q$6:$Q$805,购销流水!$C$6:$C$805,$A38,购销流水!$F$6:$F$805,$B38,购销流水!$D$6:$D$805,"采购退回"))</f>
        <v/>
      </c>
      <c r="L38" s="82" t="str">
        <f aca="false">IF($B38="","",SUMIFS(生产加工!$I$6:$I$305,生产加工!$C$6:$C$305,$A38,生产加工!$F$6:$F$305,$B38,生产加工!$E$6:$E$305,"产成品入库"))</f>
        <v/>
      </c>
      <c r="M38" s="40" t="str">
        <f aca="false">IF($B38="","",SUMIFS(生产加工!$T$6:$T$305,生产加工!$C$6:$C$305,$A38,生产加工!$F$6:$F$305,$B38,生产加工!$E$6:$E$305,"产成品入库"))</f>
        <v/>
      </c>
      <c r="N38" s="83" t="str">
        <f aca="false">IF($B38="","",IF(($H38+$J38+$L38)=0,0,($I38+$K38+$M38)/($H38+$J38+$L38)))</f>
        <v/>
      </c>
      <c r="O38" s="82" t="str">
        <f aca="false">IF($B38="","",SUMIFS(购销流水!$J$6:$J$805,购销流水!$C$6:$C$805,$A38,购销流水!$F$6:$F$805,$B38,购销流水!$D$6:$D$805,"销售出库")-SUMIFS(购销流水!$J$6:$J$805,购销流水!$C$6:$C$805,$A38,购销流水!$F$6:$F$805,$B38,购销流水!$D$6:$D$805,"销售退回"))</f>
        <v/>
      </c>
      <c r="P38" s="40" t="str">
        <f aca="false">IF($B38="","",SUMIFS(购销流水!$W$6:$W$805,购销流水!$C$6:$C$805,$A38,购销流水!$F$6:$F$805,$B38,购销流水!$D$6:$D$805,"销售出库")-SUMIFS(购销流水!$W$6:$W$805,购销流水!$C$6:$C$805,$A38,购销流水!$F$6:$F$805,$B38,购销流水!$D$6:$D$805,"销售退回"))</f>
        <v/>
      </c>
      <c r="Q38" s="82" t="str">
        <f aca="false">IF($B38="","",SUMIFS(生产加工!$I$6:$I$305,生产加工!$C$6:$C$305,$A38,生产加工!$F$6:$F$305,$B38,生产加工!$E$6:$E$305,"领用投入"))</f>
        <v/>
      </c>
      <c r="R38" s="40" t="str">
        <f aca="false">IF($B38="","",SUMIFS(生产加工!$S$6:$S$305,生产加工!$C$6:$C$305,$A38,生产加工!$F$6:$F$305,$B38,生产加工!$E$6:$E$305,"领用投入"))</f>
        <v/>
      </c>
      <c r="S38" s="84" t="str">
        <f aca="false">IF($B38="","",$H38+$J38+$L38-$O38-$Q38)</f>
        <v/>
      </c>
      <c r="T38" s="85" t="str">
        <f aca="false">IF($B38="","",IF($S38=0,0,ROUND($U38/$S38,4)))</f>
        <v/>
      </c>
      <c r="U38" s="42" t="str">
        <f aca="false">IF($B38="","",ROUND($I38+$K38+$M38-$P38-$R38,2))</f>
        <v/>
      </c>
      <c r="V38" s="25" t="str">
        <f aca="false">IF($B38="","",IF($S38&lt;-0.0001,"✗ 结存数量为负",IF(AND($S38=0,ROUND($U38,2)&lt;&gt;0),"✗ 数量 0 金额不为 0",IF(ROUND($U38,2)&lt;-0.005,"✗ 结存金额为负","OK"))))</f>
        <v/>
      </c>
    </row>
    <row r="39" customFormat="false" ht="15" hidden="false" customHeight="false" outlineLevel="0" collapsed="false">
      <c r="A39" s="25" t="str">
        <f aca="false">IF(商品档案!$A39="","",商品档案!$E39)</f>
        <v/>
      </c>
      <c r="B39" s="25" t="str">
        <f aca="false">IF(商品档案!$A39="","",商品档案!$A39)</f>
        <v/>
      </c>
      <c r="C39" s="10" t="str">
        <f aca="false">IF(商品档案!$A39="","",商品档案!$B39)</f>
        <v/>
      </c>
      <c r="D39" s="10" t="str">
        <f aca="false">IF(商品档案!$A39="","",商品档案!$C39)</f>
        <v/>
      </c>
      <c r="E39" s="25" t="str">
        <f aca="false">IF(商品档案!$A39="","",商品档案!$D39)</f>
        <v/>
      </c>
      <c r="F39" s="25" t="str">
        <f aca="false">IF(商品档案!$A39="","",商品档案!$F39)</f>
        <v/>
      </c>
      <c r="G39" s="25" t="str">
        <f aca="false">IF(商品档案!$A39="","",商品档案!$G39)</f>
        <v/>
      </c>
      <c r="H39" s="82" t="str">
        <f aca="false">IF($B39="","",SUMIFS(期初余额!$K$6:$K$65,期初余额!$H$6:$H$65,$A39,期初余额!$I$6:$I$65,$B39))</f>
        <v/>
      </c>
      <c r="I39" s="40" t="str">
        <f aca="false">IF($B39="","",SUMIFS(期初余额!$L$6:$L$65,期初余额!$H$6:$H$65,$A39,期初余额!$I$6:$I$65,$B39))</f>
        <v/>
      </c>
      <c r="J39" s="82" t="str">
        <f aca="false">IF($B39="","",SUMIFS(购销流水!$J$6:$J$805,购销流水!$C$6:$C$805,$A39,购销流水!$F$6:$F$805,$B39,购销流水!$D$6:$D$805,"采购入库")-SUMIFS(购销流水!$J$6:$J$805,购销流水!$C$6:$C$805,$A39,购销流水!$F$6:$F$805,$B39,购销流水!$D$6:$D$805,"采购退回"))</f>
        <v/>
      </c>
      <c r="K39" s="40" t="str">
        <f aca="false">IF($B39="","",SUMIFS(购销流水!$Q$6:$Q$805,购销流水!$C$6:$C$805,$A39,购销流水!$F$6:$F$805,$B39,购销流水!$D$6:$D$805,"采购入库")-SUMIFS(购销流水!$Q$6:$Q$805,购销流水!$C$6:$C$805,$A39,购销流水!$F$6:$F$805,$B39,购销流水!$D$6:$D$805,"采购退回"))</f>
        <v/>
      </c>
      <c r="L39" s="82" t="str">
        <f aca="false">IF($B39="","",SUMIFS(生产加工!$I$6:$I$305,生产加工!$C$6:$C$305,$A39,生产加工!$F$6:$F$305,$B39,生产加工!$E$6:$E$305,"产成品入库"))</f>
        <v/>
      </c>
      <c r="M39" s="40" t="str">
        <f aca="false">IF($B39="","",SUMIFS(生产加工!$T$6:$T$305,生产加工!$C$6:$C$305,$A39,生产加工!$F$6:$F$305,$B39,生产加工!$E$6:$E$305,"产成品入库"))</f>
        <v/>
      </c>
      <c r="N39" s="83" t="str">
        <f aca="false">IF($B39="","",IF(($H39+$J39+$L39)=0,0,($I39+$K39+$M39)/($H39+$J39+$L39)))</f>
        <v/>
      </c>
      <c r="O39" s="82" t="str">
        <f aca="false">IF($B39="","",SUMIFS(购销流水!$J$6:$J$805,购销流水!$C$6:$C$805,$A39,购销流水!$F$6:$F$805,$B39,购销流水!$D$6:$D$805,"销售出库")-SUMIFS(购销流水!$J$6:$J$805,购销流水!$C$6:$C$805,$A39,购销流水!$F$6:$F$805,$B39,购销流水!$D$6:$D$805,"销售退回"))</f>
        <v/>
      </c>
      <c r="P39" s="40" t="str">
        <f aca="false">IF($B39="","",SUMIFS(购销流水!$W$6:$W$805,购销流水!$C$6:$C$805,$A39,购销流水!$F$6:$F$805,$B39,购销流水!$D$6:$D$805,"销售出库")-SUMIFS(购销流水!$W$6:$W$805,购销流水!$C$6:$C$805,$A39,购销流水!$F$6:$F$805,$B39,购销流水!$D$6:$D$805,"销售退回"))</f>
        <v/>
      </c>
      <c r="Q39" s="82" t="str">
        <f aca="false">IF($B39="","",SUMIFS(生产加工!$I$6:$I$305,生产加工!$C$6:$C$305,$A39,生产加工!$F$6:$F$305,$B39,生产加工!$E$6:$E$305,"领用投入"))</f>
        <v/>
      </c>
      <c r="R39" s="40" t="str">
        <f aca="false">IF($B39="","",SUMIFS(生产加工!$S$6:$S$305,生产加工!$C$6:$C$305,$A39,生产加工!$F$6:$F$305,$B39,生产加工!$E$6:$E$305,"领用投入"))</f>
        <v/>
      </c>
      <c r="S39" s="84" t="str">
        <f aca="false">IF($B39="","",$H39+$J39+$L39-$O39-$Q39)</f>
        <v/>
      </c>
      <c r="T39" s="85" t="str">
        <f aca="false">IF($B39="","",IF($S39=0,0,ROUND($U39/$S39,4)))</f>
        <v/>
      </c>
      <c r="U39" s="42" t="str">
        <f aca="false">IF($B39="","",ROUND($I39+$K39+$M39-$P39-$R39,2))</f>
        <v/>
      </c>
      <c r="V39" s="25" t="str">
        <f aca="false">IF($B39="","",IF($S39&lt;-0.0001,"✗ 结存数量为负",IF(AND($S39=0,ROUND($U39,2)&lt;&gt;0),"✗ 数量 0 金额不为 0",IF(ROUND($U39,2)&lt;-0.005,"✗ 结存金额为负","OK"))))</f>
        <v/>
      </c>
    </row>
    <row r="40" customFormat="false" ht="15" hidden="false" customHeight="false" outlineLevel="0" collapsed="false">
      <c r="A40" s="25" t="str">
        <f aca="false">IF(商品档案!$A40="","",商品档案!$E40)</f>
        <v/>
      </c>
      <c r="B40" s="25" t="str">
        <f aca="false">IF(商品档案!$A40="","",商品档案!$A40)</f>
        <v/>
      </c>
      <c r="C40" s="10" t="str">
        <f aca="false">IF(商品档案!$A40="","",商品档案!$B40)</f>
        <v/>
      </c>
      <c r="D40" s="10" t="str">
        <f aca="false">IF(商品档案!$A40="","",商品档案!$C40)</f>
        <v/>
      </c>
      <c r="E40" s="25" t="str">
        <f aca="false">IF(商品档案!$A40="","",商品档案!$D40)</f>
        <v/>
      </c>
      <c r="F40" s="25" t="str">
        <f aca="false">IF(商品档案!$A40="","",商品档案!$F40)</f>
        <v/>
      </c>
      <c r="G40" s="25" t="str">
        <f aca="false">IF(商品档案!$A40="","",商品档案!$G40)</f>
        <v/>
      </c>
      <c r="H40" s="82" t="str">
        <f aca="false">IF($B40="","",SUMIFS(期初余额!$K$6:$K$65,期初余额!$H$6:$H$65,$A40,期初余额!$I$6:$I$65,$B40))</f>
        <v/>
      </c>
      <c r="I40" s="40" t="str">
        <f aca="false">IF($B40="","",SUMIFS(期初余额!$L$6:$L$65,期初余额!$H$6:$H$65,$A40,期初余额!$I$6:$I$65,$B40))</f>
        <v/>
      </c>
      <c r="J40" s="82" t="str">
        <f aca="false">IF($B40="","",SUMIFS(购销流水!$J$6:$J$805,购销流水!$C$6:$C$805,$A40,购销流水!$F$6:$F$805,$B40,购销流水!$D$6:$D$805,"采购入库")-SUMIFS(购销流水!$J$6:$J$805,购销流水!$C$6:$C$805,$A40,购销流水!$F$6:$F$805,$B40,购销流水!$D$6:$D$805,"采购退回"))</f>
        <v/>
      </c>
      <c r="K40" s="40" t="str">
        <f aca="false">IF($B40="","",SUMIFS(购销流水!$Q$6:$Q$805,购销流水!$C$6:$C$805,$A40,购销流水!$F$6:$F$805,$B40,购销流水!$D$6:$D$805,"采购入库")-SUMIFS(购销流水!$Q$6:$Q$805,购销流水!$C$6:$C$805,$A40,购销流水!$F$6:$F$805,$B40,购销流水!$D$6:$D$805,"采购退回"))</f>
        <v/>
      </c>
      <c r="L40" s="82" t="str">
        <f aca="false">IF($B40="","",SUMIFS(生产加工!$I$6:$I$305,生产加工!$C$6:$C$305,$A40,生产加工!$F$6:$F$305,$B40,生产加工!$E$6:$E$305,"产成品入库"))</f>
        <v/>
      </c>
      <c r="M40" s="40" t="str">
        <f aca="false">IF($B40="","",SUMIFS(生产加工!$T$6:$T$305,生产加工!$C$6:$C$305,$A40,生产加工!$F$6:$F$305,$B40,生产加工!$E$6:$E$305,"产成品入库"))</f>
        <v/>
      </c>
      <c r="N40" s="83" t="str">
        <f aca="false">IF($B40="","",IF(($H40+$J40+$L40)=0,0,($I40+$K40+$M40)/($H40+$J40+$L40)))</f>
        <v/>
      </c>
      <c r="O40" s="82" t="str">
        <f aca="false">IF($B40="","",SUMIFS(购销流水!$J$6:$J$805,购销流水!$C$6:$C$805,$A40,购销流水!$F$6:$F$805,$B40,购销流水!$D$6:$D$805,"销售出库")-SUMIFS(购销流水!$J$6:$J$805,购销流水!$C$6:$C$805,$A40,购销流水!$F$6:$F$805,$B40,购销流水!$D$6:$D$805,"销售退回"))</f>
        <v/>
      </c>
      <c r="P40" s="40" t="str">
        <f aca="false">IF($B40="","",SUMIFS(购销流水!$W$6:$W$805,购销流水!$C$6:$C$805,$A40,购销流水!$F$6:$F$805,$B40,购销流水!$D$6:$D$805,"销售出库")-SUMIFS(购销流水!$W$6:$W$805,购销流水!$C$6:$C$805,$A40,购销流水!$F$6:$F$805,$B40,购销流水!$D$6:$D$805,"销售退回"))</f>
        <v/>
      </c>
      <c r="Q40" s="82" t="str">
        <f aca="false">IF($B40="","",SUMIFS(生产加工!$I$6:$I$305,生产加工!$C$6:$C$305,$A40,生产加工!$F$6:$F$305,$B40,生产加工!$E$6:$E$305,"领用投入"))</f>
        <v/>
      </c>
      <c r="R40" s="40" t="str">
        <f aca="false">IF($B40="","",SUMIFS(生产加工!$S$6:$S$305,生产加工!$C$6:$C$305,$A40,生产加工!$F$6:$F$305,$B40,生产加工!$E$6:$E$305,"领用投入"))</f>
        <v/>
      </c>
      <c r="S40" s="84" t="str">
        <f aca="false">IF($B40="","",$H40+$J40+$L40-$O40-$Q40)</f>
        <v/>
      </c>
      <c r="T40" s="85" t="str">
        <f aca="false">IF($B40="","",IF($S40=0,0,ROUND($U40/$S40,4)))</f>
        <v/>
      </c>
      <c r="U40" s="42" t="str">
        <f aca="false">IF($B40="","",ROUND($I40+$K40+$M40-$P40-$R40,2))</f>
        <v/>
      </c>
      <c r="V40" s="25" t="str">
        <f aca="false">IF($B40="","",IF($S40&lt;-0.0001,"✗ 结存数量为负",IF(AND($S40=0,ROUND($U40,2)&lt;&gt;0),"✗ 数量 0 金额不为 0",IF(ROUND($U40,2)&lt;-0.005,"✗ 结存金额为负","OK"))))</f>
        <v/>
      </c>
    </row>
    <row r="41" customFormat="false" ht="15" hidden="false" customHeight="false" outlineLevel="0" collapsed="false">
      <c r="A41" s="25" t="str">
        <f aca="false">IF(商品档案!$A41="","",商品档案!$E41)</f>
        <v/>
      </c>
      <c r="B41" s="25" t="str">
        <f aca="false">IF(商品档案!$A41="","",商品档案!$A41)</f>
        <v/>
      </c>
      <c r="C41" s="10" t="str">
        <f aca="false">IF(商品档案!$A41="","",商品档案!$B41)</f>
        <v/>
      </c>
      <c r="D41" s="10" t="str">
        <f aca="false">IF(商品档案!$A41="","",商品档案!$C41)</f>
        <v/>
      </c>
      <c r="E41" s="25" t="str">
        <f aca="false">IF(商品档案!$A41="","",商品档案!$D41)</f>
        <v/>
      </c>
      <c r="F41" s="25" t="str">
        <f aca="false">IF(商品档案!$A41="","",商品档案!$F41)</f>
        <v/>
      </c>
      <c r="G41" s="25" t="str">
        <f aca="false">IF(商品档案!$A41="","",商品档案!$G41)</f>
        <v/>
      </c>
      <c r="H41" s="82" t="str">
        <f aca="false">IF($B41="","",SUMIFS(期初余额!$K$6:$K$65,期初余额!$H$6:$H$65,$A41,期初余额!$I$6:$I$65,$B41))</f>
        <v/>
      </c>
      <c r="I41" s="40" t="str">
        <f aca="false">IF($B41="","",SUMIFS(期初余额!$L$6:$L$65,期初余额!$H$6:$H$65,$A41,期初余额!$I$6:$I$65,$B41))</f>
        <v/>
      </c>
      <c r="J41" s="82" t="str">
        <f aca="false">IF($B41="","",SUMIFS(购销流水!$J$6:$J$805,购销流水!$C$6:$C$805,$A41,购销流水!$F$6:$F$805,$B41,购销流水!$D$6:$D$805,"采购入库")-SUMIFS(购销流水!$J$6:$J$805,购销流水!$C$6:$C$805,$A41,购销流水!$F$6:$F$805,$B41,购销流水!$D$6:$D$805,"采购退回"))</f>
        <v/>
      </c>
      <c r="K41" s="40" t="str">
        <f aca="false">IF($B41="","",SUMIFS(购销流水!$Q$6:$Q$805,购销流水!$C$6:$C$805,$A41,购销流水!$F$6:$F$805,$B41,购销流水!$D$6:$D$805,"采购入库")-SUMIFS(购销流水!$Q$6:$Q$805,购销流水!$C$6:$C$805,$A41,购销流水!$F$6:$F$805,$B41,购销流水!$D$6:$D$805,"采购退回"))</f>
        <v/>
      </c>
      <c r="L41" s="82" t="str">
        <f aca="false">IF($B41="","",SUMIFS(生产加工!$I$6:$I$305,生产加工!$C$6:$C$305,$A41,生产加工!$F$6:$F$305,$B41,生产加工!$E$6:$E$305,"产成品入库"))</f>
        <v/>
      </c>
      <c r="M41" s="40" t="str">
        <f aca="false">IF($B41="","",SUMIFS(生产加工!$T$6:$T$305,生产加工!$C$6:$C$305,$A41,生产加工!$F$6:$F$305,$B41,生产加工!$E$6:$E$305,"产成品入库"))</f>
        <v/>
      </c>
      <c r="N41" s="83" t="str">
        <f aca="false">IF($B41="","",IF(($H41+$J41+$L41)=0,0,($I41+$K41+$M41)/($H41+$J41+$L41)))</f>
        <v/>
      </c>
      <c r="O41" s="82" t="str">
        <f aca="false">IF($B41="","",SUMIFS(购销流水!$J$6:$J$805,购销流水!$C$6:$C$805,$A41,购销流水!$F$6:$F$805,$B41,购销流水!$D$6:$D$805,"销售出库")-SUMIFS(购销流水!$J$6:$J$805,购销流水!$C$6:$C$805,$A41,购销流水!$F$6:$F$805,$B41,购销流水!$D$6:$D$805,"销售退回"))</f>
        <v/>
      </c>
      <c r="P41" s="40" t="str">
        <f aca="false">IF($B41="","",SUMIFS(购销流水!$W$6:$W$805,购销流水!$C$6:$C$805,$A41,购销流水!$F$6:$F$805,$B41,购销流水!$D$6:$D$805,"销售出库")-SUMIFS(购销流水!$W$6:$W$805,购销流水!$C$6:$C$805,$A41,购销流水!$F$6:$F$805,$B41,购销流水!$D$6:$D$805,"销售退回"))</f>
        <v/>
      </c>
      <c r="Q41" s="82" t="str">
        <f aca="false">IF($B41="","",SUMIFS(生产加工!$I$6:$I$305,生产加工!$C$6:$C$305,$A41,生产加工!$F$6:$F$305,$B41,生产加工!$E$6:$E$305,"领用投入"))</f>
        <v/>
      </c>
      <c r="R41" s="40" t="str">
        <f aca="false">IF($B41="","",SUMIFS(生产加工!$S$6:$S$305,生产加工!$C$6:$C$305,$A41,生产加工!$F$6:$F$305,$B41,生产加工!$E$6:$E$305,"领用投入"))</f>
        <v/>
      </c>
      <c r="S41" s="84" t="str">
        <f aca="false">IF($B41="","",$H41+$J41+$L41-$O41-$Q41)</f>
        <v/>
      </c>
      <c r="T41" s="85" t="str">
        <f aca="false">IF($B41="","",IF($S41=0,0,ROUND($U41/$S41,4)))</f>
        <v/>
      </c>
      <c r="U41" s="42" t="str">
        <f aca="false">IF($B41="","",ROUND($I41+$K41+$M41-$P41-$R41,2))</f>
        <v/>
      </c>
      <c r="V41" s="25" t="str">
        <f aca="false">IF($B41="","",IF($S41&lt;-0.0001,"✗ 结存数量为负",IF(AND($S41=0,ROUND($U41,2)&lt;&gt;0),"✗ 数量 0 金额不为 0",IF(ROUND($U41,2)&lt;-0.005,"✗ 结存金额为负","OK"))))</f>
        <v/>
      </c>
    </row>
    <row r="42" customFormat="false" ht="15" hidden="false" customHeight="false" outlineLevel="0" collapsed="false">
      <c r="A42" s="25" t="str">
        <f aca="false">IF(商品档案!$A42="","",商品档案!$E42)</f>
        <v/>
      </c>
      <c r="B42" s="25" t="str">
        <f aca="false">IF(商品档案!$A42="","",商品档案!$A42)</f>
        <v/>
      </c>
      <c r="C42" s="10" t="str">
        <f aca="false">IF(商品档案!$A42="","",商品档案!$B42)</f>
        <v/>
      </c>
      <c r="D42" s="10" t="str">
        <f aca="false">IF(商品档案!$A42="","",商品档案!$C42)</f>
        <v/>
      </c>
      <c r="E42" s="25" t="str">
        <f aca="false">IF(商品档案!$A42="","",商品档案!$D42)</f>
        <v/>
      </c>
      <c r="F42" s="25" t="str">
        <f aca="false">IF(商品档案!$A42="","",商品档案!$F42)</f>
        <v/>
      </c>
      <c r="G42" s="25" t="str">
        <f aca="false">IF(商品档案!$A42="","",商品档案!$G42)</f>
        <v/>
      </c>
      <c r="H42" s="82" t="str">
        <f aca="false">IF($B42="","",SUMIFS(期初余额!$K$6:$K$65,期初余额!$H$6:$H$65,$A42,期初余额!$I$6:$I$65,$B42))</f>
        <v/>
      </c>
      <c r="I42" s="40" t="str">
        <f aca="false">IF($B42="","",SUMIFS(期初余额!$L$6:$L$65,期初余额!$H$6:$H$65,$A42,期初余额!$I$6:$I$65,$B42))</f>
        <v/>
      </c>
      <c r="J42" s="82" t="str">
        <f aca="false">IF($B42="","",SUMIFS(购销流水!$J$6:$J$805,购销流水!$C$6:$C$805,$A42,购销流水!$F$6:$F$805,$B42,购销流水!$D$6:$D$805,"采购入库")-SUMIFS(购销流水!$J$6:$J$805,购销流水!$C$6:$C$805,$A42,购销流水!$F$6:$F$805,$B42,购销流水!$D$6:$D$805,"采购退回"))</f>
        <v/>
      </c>
      <c r="K42" s="40" t="str">
        <f aca="false">IF($B42="","",SUMIFS(购销流水!$Q$6:$Q$805,购销流水!$C$6:$C$805,$A42,购销流水!$F$6:$F$805,$B42,购销流水!$D$6:$D$805,"采购入库")-SUMIFS(购销流水!$Q$6:$Q$805,购销流水!$C$6:$C$805,$A42,购销流水!$F$6:$F$805,$B42,购销流水!$D$6:$D$805,"采购退回"))</f>
        <v/>
      </c>
      <c r="L42" s="82" t="str">
        <f aca="false">IF($B42="","",SUMIFS(生产加工!$I$6:$I$305,生产加工!$C$6:$C$305,$A42,生产加工!$F$6:$F$305,$B42,生产加工!$E$6:$E$305,"产成品入库"))</f>
        <v/>
      </c>
      <c r="M42" s="40" t="str">
        <f aca="false">IF($B42="","",SUMIFS(生产加工!$T$6:$T$305,生产加工!$C$6:$C$305,$A42,生产加工!$F$6:$F$305,$B42,生产加工!$E$6:$E$305,"产成品入库"))</f>
        <v/>
      </c>
      <c r="N42" s="83" t="str">
        <f aca="false">IF($B42="","",IF(($H42+$J42+$L42)=0,0,($I42+$K42+$M42)/($H42+$J42+$L42)))</f>
        <v/>
      </c>
      <c r="O42" s="82" t="str">
        <f aca="false">IF($B42="","",SUMIFS(购销流水!$J$6:$J$805,购销流水!$C$6:$C$805,$A42,购销流水!$F$6:$F$805,$B42,购销流水!$D$6:$D$805,"销售出库")-SUMIFS(购销流水!$J$6:$J$805,购销流水!$C$6:$C$805,$A42,购销流水!$F$6:$F$805,$B42,购销流水!$D$6:$D$805,"销售退回"))</f>
        <v/>
      </c>
      <c r="P42" s="40" t="str">
        <f aca="false">IF($B42="","",SUMIFS(购销流水!$W$6:$W$805,购销流水!$C$6:$C$805,$A42,购销流水!$F$6:$F$805,$B42,购销流水!$D$6:$D$805,"销售出库")-SUMIFS(购销流水!$W$6:$W$805,购销流水!$C$6:$C$805,$A42,购销流水!$F$6:$F$805,$B42,购销流水!$D$6:$D$805,"销售退回"))</f>
        <v/>
      </c>
      <c r="Q42" s="82" t="str">
        <f aca="false">IF($B42="","",SUMIFS(生产加工!$I$6:$I$305,生产加工!$C$6:$C$305,$A42,生产加工!$F$6:$F$305,$B42,生产加工!$E$6:$E$305,"领用投入"))</f>
        <v/>
      </c>
      <c r="R42" s="40" t="str">
        <f aca="false">IF($B42="","",SUMIFS(生产加工!$S$6:$S$305,生产加工!$C$6:$C$305,$A42,生产加工!$F$6:$F$305,$B42,生产加工!$E$6:$E$305,"领用投入"))</f>
        <v/>
      </c>
      <c r="S42" s="84" t="str">
        <f aca="false">IF($B42="","",$H42+$J42+$L42-$O42-$Q42)</f>
        <v/>
      </c>
      <c r="T42" s="85" t="str">
        <f aca="false">IF($B42="","",IF($S42=0,0,ROUND($U42/$S42,4)))</f>
        <v/>
      </c>
      <c r="U42" s="42" t="str">
        <f aca="false">IF($B42="","",ROUND($I42+$K42+$M42-$P42-$R42,2))</f>
        <v/>
      </c>
      <c r="V42" s="25" t="str">
        <f aca="false">IF($B42="","",IF($S42&lt;-0.0001,"✗ 结存数量为负",IF(AND($S42=0,ROUND($U42,2)&lt;&gt;0),"✗ 数量 0 金额不为 0",IF(ROUND($U42,2)&lt;-0.005,"✗ 结存金额为负","OK"))))</f>
        <v/>
      </c>
    </row>
    <row r="43" customFormat="false" ht="15" hidden="false" customHeight="false" outlineLevel="0" collapsed="false">
      <c r="A43" s="25" t="str">
        <f aca="false">IF(商品档案!$A43="","",商品档案!$E43)</f>
        <v/>
      </c>
      <c r="B43" s="25" t="str">
        <f aca="false">IF(商品档案!$A43="","",商品档案!$A43)</f>
        <v/>
      </c>
      <c r="C43" s="10" t="str">
        <f aca="false">IF(商品档案!$A43="","",商品档案!$B43)</f>
        <v/>
      </c>
      <c r="D43" s="10" t="str">
        <f aca="false">IF(商品档案!$A43="","",商品档案!$C43)</f>
        <v/>
      </c>
      <c r="E43" s="25" t="str">
        <f aca="false">IF(商品档案!$A43="","",商品档案!$D43)</f>
        <v/>
      </c>
      <c r="F43" s="25" t="str">
        <f aca="false">IF(商品档案!$A43="","",商品档案!$F43)</f>
        <v/>
      </c>
      <c r="G43" s="25" t="str">
        <f aca="false">IF(商品档案!$A43="","",商品档案!$G43)</f>
        <v/>
      </c>
      <c r="H43" s="82" t="str">
        <f aca="false">IF($B43="","",SUMIFS(期初余额!$K$6:$K$65,期初余额!$H$6:$H$65,$A43,期初余额!$I$6:$I$65,$B43))</f>
        <v/>
      </c>
      <c r="I43" s="40" t="str">
        <f aca="false">IF($B43="","",SUMIFS(期初余额!$L$6:$L$65,期初余额!$H$6:$H$65,$A43,期初余额!$I$6:$I$65,$B43))</f>
        <v/>
      </c>
      <c r="J43" s="82" t="str">
        <f aca="false">IF($B43="","",SUMIFS(购销流水!$J$6:$J$805,购销流水!$C$6:$C$805,$A43,购销流水!$F$6:$F$805,$B43,购销流水!$D$6:$D$805,"采购入库")-SUMIFS(购销流水!$J$6:$J$805,购销流水!$C$6:$C$805,$A43,购销流水!$F$6:$F$805,$B43,购销流水!$D$6:$D$805,"采购退回"))</f>
        <v/>
      </c>
      <c r="K43" s="40" t="str">
        <f aca="false">IF($B43="","",SUMIFS(购销流水!$Q$6:$Q$805,购销流水!$C$6:$C$805,$A43,购销流水!$F$6:$F$805,$B43,购销流水!$D$6:$D$805,"采购入库")-SUMIFS(购销流水!$Q$6:$Q$805,购销流水!$C$6:$C$805,$A43,购销流水!$F$6:$F$805,$B43,购销流水!$D$6:$D$805,"采购退回"))</f>
        <v/>
      </c>
      <c r="L43" s="82" t="str">
        <f aca="false">IF($B43="","",SUMIFS(生产加工!$I$6:$I$305,生产加工!$C$6:$C$305,$A43,生产加工!$F$6:$F$305,$B43,生产加工!$E$6:$E$305,"产成品入库"))</f>
        <v/>
      </c>
      <c r="M43" s="40" t="str">
        <f aca="false">IF($B43="","",SUMIFS(生产加工!$T$6:$T$305,生产加工!$C$6:$C$305,$A43,生产加工!$F$6:$F$305,$B43,生产加工!$E$6:$E$305,"产成品入库"))</f>
        <v/>
      </c>
      <c r="N43" s="83" t="str">
        <f aca="false">IF($B43="","",IF(($H43+$J43+$L43)=0,0,($I43+$K43+$M43)/($H43+$J43+$L43)))</f>
        <v/>
      </c>
      <c r="O43" s="82" t="str">
        <f aca="false">IF($B43="","",SUMIFS(购销流水!$J$6:$J$805,购销流水!$C$6:$C$805,$A43,购销流水!$F$6:$F$805,$B43,购销流水!$D$6:$D$805,"销售出库")-SUMIFS(购销流水!$J$6:$J$805,购销流水!$C$6:$C$805,$A43,购销流水!$F$6:$F$805,$B43,购销流水!$D$6:$D$805,"销售退回"))</f>
        <v/>
      </c>
      <c r="P43" s="40" t="str">
        <f aca="false">IF($B43="","",SUMIFS(购销流水!$W$6:$W$805,购销流水!$C$6:$C$805,$A43,购销流水!$F$6:$F$805,$B43,购销流水!$D$6:$D$805,"销售出库")-SUMIFS(购销流水!$W$6:$W$805,购销流水!$C$6:$C$805,$A43,购销流水!$F$6:$F$805,$B43,购销流水!$D$6:$D$805,"销售退回"))</f>
        <v/>
      </c>
      <c r="Q43" s="82" t="str">
        <f aca="false">IF($B43="","",SUMIFS(生产加工!$I$6:$I$305,生产加工!$C$6:$C$305,$A43,生产加工!$F$6:$F$305,$B43,生产加工!$E$6:$E$305,"领用投入"))</f>
        <v/>
      </c>
      <c r="R43" s="40" t="str">
        <f aca="false">IF($B43="","",SUMIFS(生产加工!$S$6:$S$305,生产加工!$C$6:$C$305,$A43,生产加工!$F$6:$F$305,$B43,生产加工!$E$6:$E$305,"领用投入"))</f>
        <v/>
      </c>
      <c r="S43" s="84" t="str">
        <f aca="false">IF($B43="","",$H43+$J43+$L43-$O43-$Q43)</f>
        <v/>
      </c>
      <c r="T43" s="85" t="str">
        <f aca="false">IF($B43="","",IF($S43=0,0,ROUND($U43/$S43,4)))</f>
        <v/>
      </c>
      <c r="U43" s="42" t="str">
        <f aca="false">IF($B43="","",ROUND($I43+$K43+$M43-$P43-$R43,2))</f>
        <v/>
      </c>
      <c r="V43" s="25" t="str">
        <f aca="false">IF($B43="","",IF($S43&lt;-0.0001,"✗ 结存数量为负",IF(AND($S43=0,ROUND($U43,2)&lt;&gt;0),"✗ 数量 0 金额不为 0",IF(ROUND($U43,2)&lt;-0.005,"✗ 结存金额为负","OK"))))</f>
        <v/>
      </c>
    </row>
    <row r="44" customFormat="false" ht="15" hidden="false" customHeight="false" outlineLevel="0" collapsed="false">
      <c r="A44" s="25" t="str">
        <f aca="false">IF(商品档案!$A44="","",商品档案!$E44)</f>
        <v/>
      </c>
      <c r="B44" s="25" t="str">
        <f aca="false">IF(商品档案!$A44="","",商品档案!$A44)</f>
        <v/>
      </c>
      <c r="C44" s="10" t="str">
        <f aca="false">IF(商品档案!$A44="","",商品档案!$B44)</f>
        <v/>
      </c>
      <c r="D44" s="10" t="str">
        <f aca="false">IF(商品档案!$A44="","",商品档案!$C44)</f>
        <v/>
      </c>
      <c r="E44" s="25" t="str">
        <f aca="false">IF(商品档案!$A44="","",商品档案!$D44)</f>
        <v/>
      </c>
      <c r="F44" s="25" t="str">
        <f aca="false">IF(商品档案!$A44="","",商品档案!$F44)</f>
        <v/>
      </c>
      <c r="G44" s="25" t="str">
        <f aca="false">IF(商品档案!$A44="","",商品档案!$G44)</f>
        <v/>
      </c>
      <c r="H44" s="82" t="str">
        <f aca="false">IF($B44="","",SUMIFS(期初余额!$K$6:$K$65,期初余额!$H$6:$H$65,$A44,期初余额!$I$6:$I$65,$B44))</f>
        <v/>
      </c>
      <c r="I44" s="40" t="str">
        <f aca="false">IF($B44="","",SUMIFS(期初余额!$L$6:$L$65,期初余额!$H$6:$H$65,$A44,期初余额!$I$6:$I$65,$B44))</f>
        <v/>
      </c>
      <c r="J44" s="82" t="str">
        <f aca="false">IF($B44="","",SUMIFS(购销流水!$J$6:$J$805,购销流水!$C$6:$C$805,$A44,购销流水!$F$6:$F$805,$B44,购销流水!$D$6:$D$805,"采购入库")-SUMIFS(购销流水!$J$6:$J$805,购销流水!$C$6:$C$805,$A44,购销流水!$F$6:$F$805,$B44,购销流水!$D$6:$D$805,"采购退回"))</f>
        <v/>
      </c>
      <c r="K44" s="40" t="str">
        <f aca="false">IF($B44="","",SUMIFS(购销流水!$Q$6:$Q$805,购销流水!$C$6:$C$805,$A44,购销流水!$F$6:$F$805,$B44,购销流水!$D$6:$D$805,"采购入库")-SUMIFS(购销流水!$Q$6:$Q$805,购销流水!$C$6:$C$805,$A44,购销流水!$F$6:$F$805,$B44,购销流水!$D$6:$D$805,"采购退回"))</f>
        <v/>
      </c>
      <c r="L44" s="82" t="str">
        <f aca="false">IF($B44="","",SUMIFS(生产加工!$I$6:$I$305,生产加工!$C$6:$C$305,$A44,生产加工!$F$6:$F$305,$B44,生产加工!$E$6:$E$305,"产成品入库"))</f>
        <v/>
      </c>
      <c r="M44" s="40" t="str">
        <f aca="false">IF($B44="","",SUMIFS(生产加工!$T$6:$T$305,生产加工!$C$6:$C$305,$A44,生产加工!$F$6:$F$305,$B44,生产加工!$E$6:$E$305,"产成品入库"))</f>
        <v/>
      </c>
      <c r="N44" s="83" t="str">
        <f aca="false">IF($B44="","",IF(($H44+$J44+$L44)=0,0,($I44+$K44+$M44)/($H44+$J44+$L44)))</f>
        <v/>
      </c>
      <c r="O44" s="82" t="str">
        <f aca="false">IF($B44="","",SUMIFS(购销流水!$J$6:$J$805,购销流水!$C$6:$C$805,$A44,购销流水!$F$6:$F$805,$B44,购销流水!$D$6:$D$805,"销售出库")-SUMIFS(购销流水!$J$6:$J$805,购销流水!$C$6:$C$805,$A44,购销流水!$F$6:$F$805,$B44,购销流水!$D$6:$D$805,"销售退回"))</f>
        <v/>
      </c>
      <c r="P44" s="40" t="str">
        <f aca="false">IF($B44="","",SUMIFS(购销流水!$W$6:$W$805,购销流水!$C$6:$C$805,$A44,购销流水!$F$6:$F$805,$B44,购销流水!$D$6:$D$805,"销售出库")-SUMIFS(购销流水!$W$6:$W$805,购销流水!$C$6:$C$805,$A44,购销流水!$F$6:$F$805,$B44,购销流水!$D$6:$D$805,"销售退回"))</f>
        <v/>
      </c>
      <c r="Q44" s="82" t="str">
        <f aca="false">IF($B44="","",SUMIFS(生产加工!$I$6:$I$305,生产加工!$C$6:$C$305,$A44,生产加工!$F$6:$F$305,$B44,生产加工!$E$6:$E$305,"领用投入"))</f>
        <v/>
      </c>
      <c r="R44" s="40" t="str">
        <f aca="false">IF($B44="","",SUMIFS(生产加工!$S$6:$S$305,生产加工!$C$6:$C$305,$A44,生产加工!$F$6:$F$305,$B44,生产加工!$E$6:$E$305,"领用投入"))</f>
        <v/>
      </c>
      <c r="S44" s="84" t="str">
        <f aca="false">IF($B44="","",$H44+$J44+$L44-$O44-$Q44)</f>
        <v/>
      </c>
      <c r="T44" s="85" t="str">
        <f aca="false">IF($B44="","",IF($S44=0,0,ROUND($U44/$S44,4)))</f>
        <v/>
      </c>
      <c r="U44" s="42" t="str">
        <f aca="false">IF($B44="","",ROUND($I44+$K44+$M44-$P44-$R44,2))</f>
        <v/>
      </c>
      <c r="V44" s="25" t="str">
        <f aca="false">IF($B44="","",IF($S44&lt;-0.0001,"✗ 结存数量为负",IF(AND($S44=0,ROUND($U44,2)&lt;&gt;0),"✗ 数量 0 金额不为 0",IF(ROUND($U44,2)&lt;-0.005,"✗ 结存金额为负","OK"))))</f>
        <v/>
      </c>
    </row>
    <row r="45" customFormat="false" ht="15" hidden="false" customHeight="false" outlineLevel="0" collapsed="false">
      <c r="A45" s="25" t="str">
        <f aca="false">IF(商品档案!$A45="","",商品档案!$E45)</f>
        <v/>
      </c>
      <c r="B45" s="25" t="str">
        <f aca="false">IF(商品档案!$A45="","",商品档案!$A45)</f>
        <v/>
      </c>
      <c r="C45" s="10" t="str">
        <f aca="false">IF(商品档案!$A45="","",商品档案!$B45)</f>
        <v/>
      </c>
      <c r="D45" s="10" t="str">
        <f aca="false">IF(商品档案!$A45="","",商品档案!$C45)</f>
        <v/>
      </c>
      <c r="E45" s="25" t="str">
        <f aca="false">IF(商品档案!$A45="","",商品档案!$D45)</f>
        <v/>
      </c>
      <c r="F45" s="25" t="str">
        <f aca="false">IF(商品档案!$A45="","",商品档案!$F45)</f>
        <v/>
      </c>
      <c r="G45" s="25" t="str">
        <f aca="false">IF(商品档案!$A45="","",商品档案!$G45)</f>
        <v/>
      </c>
      <c r="H45" s="82" t="str">
        <f aca="false">IF($B45="","",SUMIFS(期初余额!$K$6:$K$65,期初余额!$H$6:$H$65,$A45,期初余额!$I$6:$I$65,$B45))</f>
        <v/>
      </c>
      <c r="I45" s="40" t="str">
        <f aca="false">IF($B45="","",SUMIFS(期初余额!$L$6:$L$65,期初余额!$H$6:$H$65,$A45,期初余额!$I$6:$I$65,$B45))</f>
        <v/>
      </c>
      <c r="J45" s="82" t="str">
        <f aca="false">IF($B45="","",SUMIFS(购销流水!$J$6:$J$805,购销流水!$C$6:$C$805,$A45,购销流水!$F$6:$F$805,$B45,购销流水!$D$6:$D$805,"采购入库")-SUMIFS(购销流水!$J$6:$J$805,购销流水!$C$6:$C$805,$A45,购销流水!$F$6:$F$805,$B45,购销流水!$D$6:$D$805,"采购退回"))</f>
        <v/>
      </c>
      <c r="K45" s="40" t="str">
        <f aca="false">IF($B45="","",SUMIFS(购销流水!$Q$6:$Q$805,购销流水!$C$6:$C$805,$A45,购销流水!$F$6:$F$805,$B45,购销流水!$D$6:$D$805,"采购入库")-SUMIFS(购销流水!$Q$6:$Q$805,购销流水!$C$6:$C$805,$A45,购销流水!$F$6:$F$805,$B45,购销流水!$D$6:$D$805,"采购退回"))</f>
        <v/>
      </c>
      <c r="L45" s="82" t="str">
        <f aca="false">IF($B45="","",SUMIFS(生产加工!$I$6:$I$305,生产加工!$C$6:$C$305,$A45,生产加工!$F$6:$F$305,$B45,生产加工!$E$6:$E$305,"产成品入库"))</f>
        <v/>
      </c>
      <c r="M45" s="40" t="str">
        <f aca="false">IF($B45="","",SUMIFS(生产加工!$T$6:$T$305,生产加工!$C$6:$C$305,$A45,生产加工!$F$6:$F$305,$B45,生产加工!$E$6:$E$305,"产成品入库"))</f>
        <v/>
      </c>
      <c r="N45" s="83" t="str">
        <f aca="false">IF($B45="","",IF(($H45+$J45+$L45)=0,0,($I45+$K45+$M45)/($H45+$J45+$L45)))</f>
        <v/>
      </c>
      <c r="O45" s="82" t="str">
        <f aca="false">IF($B45="","",SUMIFS(购销流水!$J$6:$J$805,购销流水!$C$6:$C$805,$A45,购销流水!$F$6:$F$805,$B45,购销流水!$D$6:$D$805,"销售出库")-SUMIFS(购销流水!$J$6:$J$805,购销流水!$C$6:$C$805,$A45,购销流水!$F$6:$F$805,$B45,购销流水!$D$6:$D$805,"销售退回"))</f>
        <v/>
      </c>
      <c r="P45" s="40" t="str">
        <f aca="false">IF($B45="","",SUMIFS(购销流水!$W$6:$W$805,购销流水!$C$6:$C$805,$A45,购销流水!$F$6:$F$805,$B45,购销流水!$D$6:$D$805,"销售出库")-SUMIFS(购销流水!$W$6:$W$805,购销流水!$C$6:$C$805,$A45,购销流水!$F$6:$F$805,$B45,购销流水!$D$6:$D$805,"销售退回"))</f>
        <v/>
      </c>
      <c r="Q45" s="82" t="str">
        <f aca="false">IF($B45="","",SUMIFS(生产加工!$I$6:$I$305,生产加工!$C$6:$C$305,$A45,生产加工!$F$6:$F$305,$B45,生产加工!$E$6:$E$305,"领用投入"))</f>
        <v/>
      </c>
      <c r="R45" s="40" t="str">
        <f aca="false">IF($B45="","",SUMIFS(生产加工!$S$6:$S$305,生产加工!$C$6:$C$305,$A45,生产加工!$F$6:$F$305,$B45,生产加工!$E$6:$E$305,"领用投入"))</f>
        <v/>
      </c>
      <c r="S45" s="84" t="str">
        <f aca="false">IF($B45="","",$H45+$J45+$L45-$O45-$Q45)</f>
        <v/>
      </c>
      <c r="T45" s="85" t="str">
        <f aca="false">IF($B45="","",IF($S45=0,0,ROUND($U45/$S45,4)))</f>
        <v/>
      </c>
      <c r="U45" s="42" t="str">
        <f aca="false">IF($B45="","",ROUND($I45+$K45+$M45-$P45-$R45,2))</f>
        <v/>
      </c>
      <c r="V45" s="25" t="str">
        <f aca="false">IF($B45="","",IF($S45&lt;-0.0001,"✗ 结存数量为负",IF(AND($S45=0,ROUND($U45,2)&lt;&gt;0),"✗ 数量 0 金额不为 0",IF(ROUND($U45,2)&lt;-0.005,"✗ 结存金额为负","OK"))))</f>
        <v/>
      </c>
    </row>
    <row r="46" customFormat="false" ht="15" hidden="false" customHeight="false" outlineLevel="0" collapsed="false">
      <c r="A46" s="25" t="str">
        <f aca="false">IF(商品档案!$A46="","",商品档案!$E46)</f>
        <v/>
      </c>
      <c r="B46" s="25" t="str">
        <f aca="false">IF(商品档案!$A46="","",商品档案!$A46)</f>
        <v/>
      </c>
      <c r="C46" s="10" t="str">
        <f aca="false">IF(商品档案!$A46="","",商品档案!$B46)</f>
        <v/>
      </c>
      <c r="D46" s="10" t="str">
        <f aca="false">IF(商品档案!$A46="","",商品档案!$C46)</f>
        <v/>
      </c>
      <c r="E46" s="25" t="str">
        <f aca="false">IF(商品档案!$A46="","",商品档案!$D46)</f>
        <v/>
      </c>
      <c r="F46" s="25" t="str">
        <f aca="false">IF(商品档案!$A46="","",商品档案!$F46)</f>
        <v/>
      </c>
      <c r="G46" s="25" t="str">
        <f aca="false">IF(商品档案!$A46="","",商品档案!$G46)</f>
        <v/>
      </c>
      <c r="H46" s="82" t="str">
        <f aca="false">IF($B46="","",SUMIFS(期初余额!$K$6:$K$65,期初余额!$H$6:$H$65,$A46,期初余额!$I$6:$I$65,$B46))</f>
        <v/>
      </c>
      <c r="I46" s="40" t="str">
        <f aca="false">IF($B46="","",SUMIFS(期初余额!$L$6:$L$65,期初余额!$H$6:$H$65,$A46,期初余额!$I$6:$I$65,$B46))</f>
        <v/>
      </c>
      <c r="J46" s="82" t="str">
        <f aca="false">IF($B46="","",SUMIFS(购销流水!$J$6:$J$805,购销流水!$C$6:$C$805,$A46,购销流水!$F$6:$F$805,$B46,购销流水!$D$6:$D$805,"采购入库")-SUMIFS(购销流水!$J$6:$J$805,购销流水!$C$6:$C$805,$A46,购销流水!$F$6:$F$805,$B46,购销流水!$D$6:$D$805,"采购退回"))</f>
        <v/>
      </c>
      <c r="K46" s="40" t="str">
        <f aca="false">IF($B46="","",SUMIFS(购销流水!$Q$6:$Q$805,购销流水!$C$6:$C$805,$A46,购销流水!$F$6:$F$805,$B46,购销流水!$D$6:$D$805,"采购入库")-SUMIFS(购销流水!$Q$6:$Q$805,购销流水!$C$6:$C$805,$A46,购销流水!$F$6:$F$805,$B46,购销流水!$D$6:$D$805,"采购退回"))</f>
        <v/>
      </c>
      <c r="L46" s="82" t="str">
        <f aca="false">IF($B46="","",SUMIFS(生产加工!$I$6:$I$305,生产加工!$C$6:$C$305,$A46,生产加工!$F$6:$F$305,$B46,生产加工!$E$6:$E$305,"产成品入库"))</f>
        <v/>
      </c>
      <c r="M46" s="40" t="str">
        <f aca="false">IF($B46="","",SUMIFS(生产加工!$T$6:$T$305,生产加工!$C$6:$C$305,$A46,生产加工!$F$6:$F$305,$B46,生产加工!$E$6:$E$305,"产成品入库"))</f>
        <v/>
      </c>
      <c r="N46" s="83" t="str">
        <f aca="false">IF($B46="","",IF(($H46+$J46+$L46)=0,0,($I46+$K46+$M46)/($H46+$J46+$L46)))</f>
        <v/>
      </c>
      <c r="O46" s="82" t="str">
        <f aca="false">IF($B46="","",SUMIFS(购销流水!$J$6:$J$805,购销流水!$C$6:$C$805,$A46,购销流水!$F$6:$F$805,$B46,购销流水!$D$6:$D$805,"销售出库")-SUMIFS(购销流水!$J$6:$J$805,购销流水!$C$6:$C$805,$A46,购销流水!$F$6:$F$805,$B46,购销流水!$D$6:$D$805,"销售退回"))</f>
        <v/>
      </c>
      <c r="P46" s="40" t="str">
        <f aca="false">IF($B46="","",SUMIFS(购销流水!$W$6:$W$805,购销流水!$C$6:$C$805,$A46,购销流水!$F$6:$F$805,$B46,购销流水!$D$6:$D$805,"销售出库")-SUMIFS(购销流水!$W$6:$W$805,购销流水!$C$6:$C$805,$A46,购销流水!$F$6:$F$805,$B46,购销流水!$D$6:$D$805,"销售退回"))</f>
        <v/>
      </c>
      <c r="Q46" s="82" t="str">
        <f aca="false">IF($B46="","",SUMIFS(生产加工!$I$6:$I$305,生产加工!$C$6:$C$305,$A46,生产加工!$F$6:$F$305,$B46,生产加工!$E$6:$E$305,"领用投入"))</f>
        <v/>
      </c>
      <c r="R46" s="40" t="str">
        <f aca="false">IF($B46="","",SUMIFS(生产加工!$S$6:$S$305,生产加工!$C$6:$C$305,$A46,生产加工!$F$6:$F$305,$B46,生产加工!$E$6:$E$305,"领用投入"))</f>
        <v/>
      </c>
      <c r="S46" s="84" t="str">
        <f aca="false">IF($B46="","",$H46+$J46+$L46-$O46-$Q46)</f>
        <v/>
      </c>
      <c r="T46" s="85" t="str">
        <f aca="false">IF($B46="","",IF($S46=0,0,ROUND($U46/$S46,4)))</f>
        <v/>
      </c>
      <c r="U46" s="42" t="str">
        <f aca="false">IF($B46="","",ROUND($I46+$K46+$M46-$P46-$R46,2))</f>
        <v/>
      </c>
      <c r="V46" s="25" t="str">
        <f aca="false">IF($B46="","",IF($S46&lt;-0.0001,"✗ 结存数量为负",IF(AND($S46=0,ROUND($U46,2)&lt;&gt;0),"✗ 数量 0 金额不为 0",IF(ROUND($U46,2)&lt;-0.005,"✗ 结存金额为负","OK"))))</f>
        <v/>
      </c>
    </row>
    <row r="47" customFormat="false" ht="15" hidden="false" customHeight="false" outlineLevel="0" collapsed="false">
      <c r="A47" s="25" t="str">
        <f aca="false">IF(商品档案!$A47="","",商品档案!$E47)</f>
        <v/>
      </c>
      <c r="B47" s="25" t="str">
        <f aca="false">IF(商品档案!$A47="","",商品档案!$A47)</f>
        <v/>
      </c>
      <c r="C47" s="10" t="str">
        <f aca="false">IF(商品档案!$A47="","",商品档案!$B47)</f>
        <v/>
      </c>
      <c r="D47" s="10" t="str">
        <f aca="false">IF(商品档案!$A47="","",商品档案!$C47)</f>
        <v/>
      </c>
      <c r="E47" s="25" t="str">
        <f aca="false">IF(商品档案!$A47="","",商品档案!$D47)</f>
        <v/>
      </c>
      <c r="F47" s="25" t="str">
        <f aca="false">IF(商品档案!$A47="","",商品档案!$F47)</f>
        <v/>
      </c>
      <c r="G47" s="25" t="str">
        <f aca="false">IF(商品档案!$A47="","",商品档案!$G47)</f>
        <v/>
      </c>
      <c r="H47" s="82" t="str">
        <f aca="false">IF($B47="","",SUMIFS(期初余额!$K$6:$K$65,期初余额!$H$6:$H$65,$A47,期初余额!$I$6:$I$65,$B47))</f>
        <v/>
      </c>
      <c r="I47" s="40" t="str">
        <f aca="false">IF($B47="","",SUMIFS(期初余额!$L$6:$L$65,期初余额!$H$6:$H$65,$A47,期初余额!$I$6:$I$65,$B47))</f>
        <v/>
      </c>
      <c r="J47" s="82" t="str">
        <f aca="false">IF($B47="","",SUMIFS(购销流水!$J$6:$J$805,购销流水!$C$6:$C$805,$A47,购销流水!$F$6:$F$805,$B47,购销流水!$D$6:$D$805,"采购入库")-SUMIFS(购销流水!$J$6:$J$805,购销流水!$C$6:$C$805,$A47,购销流水!$F$6:$F$805,$B47,购销流水!$D$6:$D$805,"采购退回"))</f>
        <v/>
      </c>
      <c r="K47" s="40" t="str">
        <f aca="false">IF($B47="","",SUMIFS(购销流水!$Q$6:$Q$805,购销流水!$C$6:$C$805,$A47,购销流水!$F$6:$F$805,$B47,购销流水!$D$6:$D$805,"采购入库")-SUMIFS(购销流水!$Q$6:$Q$805,购销流水!$C$6:$C$805,$A47,购销流水!$F$6:$F$805,$B47,购销流水!$D$6:$D$805,"采购退回"))</f>
        <v/>
      </c>
      <c r="L47" s="82" t="str">
        <f aca="false">IF($B47="","",SUMIFS(生产加工!$I$6:$I$305,生产加工!$C$6:$C$305,$A47,生产加工!$F$6:$F$305,$B47,生产加工!$E$6:$E$305,"产成品入库"))</f>
        <v/>
      </c>
      <c r="M47" s="40" t="str">
        <f aca="false">IF($B47="","",SUMIFS(生产加工!$T$6:$T$305,生产加工!$C$6:$C$305,$A47,生产加工!$F$6:$F$305,$B47,生产加工!$E$6:$E$305,"产成品入库"))</f>
        <v/>
      </c>
      <c r="N47" s="83" t="str">
        <f aca="false">IF($B47="","",IF(($H47+$J47+$L47)=0,0,($I47+$K47+$M47)/($H47+$J47+$L47)))</f>
        <v/>
      </c>
      <c r="O47" s="82" t="str">
        <f aca="false">IF($B47="","",SUMIFS(购销流水!$J$6:$J$805,购销流水!$C$6:$C$805,$A47,购销流水!$F$6:$F$805,$B47,购销流水!$D$6:$D$805,"销售出库")-SUMIFS(购销流水!$J$6:$J$805,购销流水!$C$6:$C$805,$A47,购销流水!$F$6:$F$805,$B47,购销流水!$D$6:$D$805,"销售退回"))</f>
        <v/>
      </c>
      <c r="P47" s="40" t="str">
        <f aca="false">IF($B47="","",SUMIFS(购销流水!$W$6:$W$805,购销流水!$C$6:$C$805,$A47,购销流水!$F$6:$F$805,$B47,购销流水!$D$6:$D$805,"销售出库")-SUMIFS(购销流水!$W$6:$W$805,购销流水!$C$6:$C$805,$A47,购销流水!$F$6:$F$805,$B47,购销流水!$D$6:$D$805,"销售退回"))</f>
        <v/>
      </c>
      <c r="Q47" s="82" t="str">
        <f aca="false">IF($B47="","",SUMIFS(生产加工!$I$6:$I$305,生产加工!$C$6:$C$305,$A47,生产加工!$F$6:$F$305,$B47,生产加工!$E$6:$E$305,"领用投入"))</f>
        <v/>
      </c>
      <c r="R47" s="40" t="str">
        <f aca="false">IF($B47="","",SUMIFS(生产加工!$S$6:$S$305,生产加工!$C$6:$C$305,$A47,生产加工!$F$6:$F$305,$B47,生产加工!$E$6:$E$305,"领用投入"))</f>
        <v/>
      </c>
      <c r="S47" s="84" t="str">
        <f aca="false">IF($B47="","",$H47+$J47+$L47-$O47-$Q47)</f>
        <v/>
      </c>
      <c r="T47" s="85" t="str">
        <f aca="false">IF($B47="","",IF($S47=0,0,ROUND($U47/$S47,4)))</f>
        <v/>
      </c>
      <c r="U47" s="42" t="str">
        <f aca="false">IF($B47="","",ROUND($I47+$K47+$M47-$P47-$R47,2))</f>
        <v/>
      </c>
      <c r="V47" s="25" t="str">
        <f aca="false">IF($B47="","",IF($S47&lt;-0.0001,"✗ 结存数量为负",IF(AND($S47=0,ROUND($U47,2)&lt;&gt;0),"✗ 数量 0 金额不为 0",IF(ROUND($U47,2)&lt;-0.005,"✗ 结存金额为负","OK"))))</f>
        <v/>
      </c>
    </row>
    <row r="48" customFormat="false" ht="15" hidden="false" customHeight="false" outlineLevel="0" collapsed="false">
      <c r="A48" s="25" t="str">
        <f aca="false">IF(商品档案!$A48="","",商品档案!$E48)</f>
        <v/>
      </c>
      <c r="B48" s="25" t="str">
        <f aca="false">IF(商品档案!$A48="","",商品档案!$A48)</f>
        <v/>
      </c>
      <c r="C48" s="10" t="str">
        <f aca="false">IF(商品档案!$A48="","",商品档案!$B48)</f>
        <v/>
      </c>
      <c r="D48" s="10" t="str">
        <f aca="false">IF(商品档案!$A48="","",商品档案!$C48)</f>
        <v/>
      </c>
      <c r="E48" s="25" t="str">
        <f aca="false">IF(商品档案!$A48="","",商品档案!$D48)</f>
        <v/>
      </c>
      <c r="F48" s="25" t="str">
        <f aca="false">IF(商品档案!$A48="","",商品档案!$F48)</f>
        <v/>
      </c>
      <c r="G48" s="25" t="str">
        <f aca="false">IF(商品档案!$A48="","",商品档案!$G48)</f>
        <v/>
      </c>
      <c r="H48" s="82" t="str">
        <f aca="false">IF($B48="","",SUMIFS(期初余额!$K$6:$K$65,期初余额!$H$6:$H$65,$A48,期初余额!$I$6:$I$65,$B48))</f>
        <v/>
      </c>
      <c r="I48" s="40" t="str">
        <f aca="false">IF($B48="","",SUMIFS(期初余额!$L$6:$L$65,期初余额!$H$6:$H$65,$A48,期初余额!$I$6:$I$65,$B48))</f>
        <v/>
      </c>
      <c r="J48" s="82" t="str">
        <f aca="false">IF($B48="","",SUMIFS(购销流水!$J$6:$J$805,购销流水!$C$6:$C$805,$A48,购销流水!$F$6:$F$805,$B48,购销流水!$D$6:$D$805,"采购入库")-SUMIFS(购销流水!$J$6:$J$805,购销流水!$C$6:$C$805,$A48,购销流水!$F$6:$F$805,$B48,购销流水!$D$6:$D$805,"采购退回"))</f>
        <v/>
      </c>
      <c r="K48" s="40" t="str">
        <f aca="false">IF($B48="","",SUMIFS(购销流水!$Q$6:$Q$805,购销流水!$C$6:$C$805,$A48,购销流水!$F$6:$F$805,$B48,购销流水!$D$6:$D$805,"采购入库")-SUMIFS(购销流水!$Q$6:$Q$805,购销流水!$C$6:$C$805,$A48,购销流水!$F$6:$F$805,$B48,购销流水!$D$6:$D$805,"采购退回"))</f>
        <v/>
      </c>
      <c r="L48" s="82" t="str">
        <f aca="false">IF($B48="","",SUMIFS(生产加工!$I$6:$I$305,生产加工!$C$6:$C$305,$A48,生产加工!$F$6:$F$305,$B48,生产加工!$E$6:$E$305,"产成品入库"))</f>
        <v/>
      </c>
      <c r="M48" s="40" t="str">
        <f aca="false">IF($B48="","",SUMIFS(生产加工!$T$6:$T$305,生产加工!$C$6:$C$305,$A48,生产加工!$F$6:$F$305,$B48,生产加工!$E$6:$E$305,"产成品入库"))</f>
        <v/>
      </c>
      <c r="N48" s="83" t="str">
        <f aca="false">IF($B48="","",IF(($H48+$J48+$L48)=0,0,($I48+$K48+$M48)/($H48+$J48+$L48)))</f>
        <v/>
      </c>
      <c r="O48" s="82" t="str">
        <f aca="false">IF($B48="","",SUMIFS(购销流水!$J$6:$J$805,购销流水!$C$6:$C$805,$A48,购销流水!$F$6:$F$805,$B48,购销流水!$D$6:$D$805,"销售出库")-SUMIFS(购销流水!$J$6:$J$805,购销流水!$C$6:$C$805,$A48,购销流水!$F$6:$F$805,$B48,购销流水!$D$6:$D$805,"销售退回"))</f>
        <v/>
      </c>
      <c r="P48" s="40" t="str">
        <f aca="false">IF($B48="","",SUMIFS(购销流水!$W$6:$W$805,购销流水!$C$6:$C$805,$A48,购销流水!$F$6:$F$805,$B48,购销流水!$D$6:$D$805,"销售出库")-SUMIFS(购销流水!$W$6:$W$805,购销流水!$C$6:$C$805,$A48,购销流水!$F$6:$F$805,$B48,购销流水!$D$6:$D$805,"销售退回"))</f>
        <v/>
      </c>
      <c r="Q48" s="82" t="str">
        <f aca="false">IF($B48="","",SUMIFS(生产加工!$I$6:$I$305,生产加工!$C$6:$C$305,$A48,生产加工!$F$6:$F$305,$B48,生产加工!$E$6:$E$305,"领用投入"))</f>
        <v/>
      </c>
      <c r="R48" s="40" t="str">
        <f aca="false">IF($B48="","",SUMIFS(生产加工!$S$6:$S$305,生产加工!$C$6:$C$305,$A48,生产加工!$F$6:$F$305,$B48,生产加工!$E$6:$E$305,"领用投入"))</f>
        <v/>
      </c>
      <c r="S48" s="84" t="str">
        <f aca="false">IF($B48="","",$H48+$J48+$L48-$O48-$Q48)</f>
        <v/>
      </c>
      <c r="T48" s="85" t="str">
        <f aca="false">IF($B48="","",IF($S48=0,0,ROUND($U48/$S48,4)))</f>
        <v/>
      </c>
      <c r="U48" s="42" t="str">
        <f aca="false">IF($B48="","",ROUND($I48+$K48+$M48-$P48-$R48,2))</f>
        <v/>
      </c>
      <c r="V48" s="25" t="str">
        <f aca="false">IF($B48="","",IF($S48&lt;-0.0001,"✗ 结存数量为负",IF(AND($S48=0,ROUND($U48,2)&lt;&gt;0),"✗ 数量 0 金额不为 0",IF(ROUND($U48,2)&lt;-0.005,"✗ 结存金额为负","OK"))))</f>
        <v/>
      </c>
    </row>
    <row r="49" customFormat="false" ht="15" hidden="false" customHeight="false" outlineLevel="0" collapsed="false">
      <c r="A49" s="25" t="str">
        <f aca="false">IF(商品档案!$A49="","",商品档案!$E49)</f>
        <v/>
      </c>
      <c r="B49" s="25" t="str">
        <f aca="false">IF(商品档案!$A49="","",商品档案!$A49)</f>
        <v/>
      </c>
      <c r="C49" s="10" t="str">
        <f aca="false">IF(商品档案!$A49="","",商品档案!$B49)</f>
        <v/>
      </c>
      <c r="D49" s="10" t="str">
        <f aca="false">IF(商品档案!$A49="","",商品档案!$C49)</f>
        <v/>
      </c>
      <c r="E49" s="25" t="str">
        <f aca="false">IF(商品档案!$A49="","",商品档案!$D49)</f>
        <v/>
      </c>
      <c r="F49" s="25" t="str">
        <f aca="false">IF(商品档案!$A49="","",商品档案!$F49)</f>
        <v/>
      </c>
      <c r="G49" s="25" t="str">
        <f aca="false">IF(商品档案!$A49="","",商品档案!$G49)</f>
        <v/>
      </c>
      <c r="H49" s="82" t="str">
        <f aca="false">IF($B49="","",SUMIFS(期初余额!$K$6:$K$65,期初余额!$H$6:$H$65,$A49,期初余额!$I$6:$I$65,$B49))</f>
        <v/>
      </c>
      <c r="I49" s="40" t="str">
        <f aca="false">IF($B49="","",SUMIFS(期初余额!$L$6:$L$65,期初余额!$H$6:$H$65,$A49,期初余额!$I$6:$I$65,$B49))</f>
        <v/>
      </c>
      <c r="J49" s="82" t="str">
        <f aca="false">IF($B49="","",SUMIFS(购销流水!$J$6:$J$805,购销流水!$C$6:$C$805,$A49,购销流水!$F$6:$F$805,$B49,购销流水!$D$6:$D$805,"采购入库")-SUMIFS(购销流水!$J$6:$J$805,购销流水!$C$6:$C$805,$A49,购销流水!$F$6:$F$805,$B49,购销流水!$D$6:$D$805,"采购退回"))</f>
        <v/>
      </c>
      <c r="K49" s="40" t="str">
        <f aca="false">IF($B49="","",SUMIFS(购销流水!$Q$6:$Q$805,购销流水!$C$6:$C$805,$A49,购销流水!$F$6:$F$805,$B49,购销流水!$D$6:$D$805,"采购入库")-SUMIFS(购销流水!$Q$6:$Q$805,购销流水!$C$6:$C$805,$A49,购销流水!$F$6:$F$805,$B49,购销流水!$D$6:$D$805,"采购退回"))</f>
        <v/>
      </c>
      <c r="L49" s="82" t="str">
        <f aca="false">IF($B49="","",SUMIFS(生产加工!$I$6:$I$305,生产加工!$C$6:$C$305,$A49,生产加工!$F$6:$F$305,$B49,生产加工!$E$6:$E$305,"产成品入库"))</f>
        <v/>
      </c>
      <c r="M49" s="40" t="str">
        <f aca="false">IF($B49="","",SUMIFS(生产加工!$T$6:$T$305,生产加工!$C$6:$C$305,$A49,生产加工!$F$6:$F$305,$B49,生产加工!$E$6:$E$305,"产成品入库"))</f>
        <v/>
      </c>
      <c r="N49" s="83" t="str">
        <f aca="false">IF($B49="","",IF(($H49+$J49+$L49)=0,0,($I49+$K49+$M49)/($H49+$J49+$L49)))</f>
        <v/>
      </c>
      <c r="O49" s="82" t="str">
        <f aca="false">IF($B49="","",SUMIFS(购销流水!$J$6:$J$805,购销流水!$C$6:$C$805,$A49,购销流水!$F$6:$F$805,$B49,购销流水!$D$6:$D$805,"销售出库")-SUMIFS(购销流水!$J$6:$J$805,购销流水!$C$6:$C$805,$A49,购销流水!$F$6:$F$805,$B49,购销流水!$D$6:$D$805,"销售退回"))</f>
        <v/>
      </c>
      <c r="P49" s="40" t="str">
        <f aca="false">IF($B49="","",SUMIFS(购销流水!$W$6:$W$805,购销流水!$C$6:$C$805,$A49,购销流水!$F$6:$F$805,$B49,购销流水!$D$6:$D$805,"销售出库")-SUMIFS(购销流水!$W$6:$W$805,购销流水!$C$6:$C$805,$A49,购销流水!$F$6:$F$805,$B49,购销流水!$D$6:$D$805,"销售退回"))</f>
        <v/>
      </c>
      <c r="Q49" s="82" t="str">
        <f aca="false">IF($B49="","",SUMIFS(生产加工!$I$6:$I$305,生产加工!$C$6:$C$305,$A49,生产加工!$F$6:$F$305,$B49,生产加工!$E$6:$E$305,"领用投入"))</f>
        <v/>
      </c>
      <c r="R49" s="40" t="str">
        <f aca="false">IF($B49="","",SUMIFS(生产加工!$S$6:$S$305,生产加工!$C$6:$C$305,$A49,生产加工!$F$6:$F$305,$B49,生产加工!$E$6:$E$305,"领用投入"))</f>
        <v/>
      </c>
      <c r="S49" s="84" t="str">
        <f aca="false">IF($B49="","",$H49+$J49+$L49-$O49-$Q49)</f>
        <v/>
      </c>
      <c r="T49" s="85" t="str">
        <f aca="false">IF($B49="","",IF($S49=0,0,ROUND($U49/$S49,4)))</f>
        <v/>
      </c>
      <c r="U49" s="42" t="str">
        <f aca="false">IF($B49="","",ROUND($I49+$K49+$M49-$P49-$R49,2))</f>
        <v/>
      </c>
      <c r="V49" s="25" t="str">
        <f aca="false">IF($B49="","",IF($S49&lt;-0.0001,"✗ 结存数量为负",IF(AND($S49=0,ROUND($U49,2)&lt;&gt;0),"✗ 数量 0 金额不为 0",IF(ROUND($U49,2)&lt;-0.005,"✗ 结存金额为负","OK"))))</f>
        <v/>
      </c>
    </row>
    <row r="50" customFormat="false" ht="15" hidden="false" customHeight="false" outlineLevel="0" collapsed="false">
      <c r="A50" s="25" t="str">
        <f aca="false">IF(商品档案!$A50="","",商品档案!$E50)</f>
        <v/>
      </c>
      <c r="B50" s="25" t="str">
        <f aca="false">IF(商品档案!$A50="","",商品档案!$A50)</f>
        <v/>
      </c>
      <c r="C50" s="10" t="str">
        <f aca="false">IF(商品档案!$A50="","",商品档案!$B50)</f>
        <v/>
      </c>
      <c r="D50" s="10" t="str">
        <f aca="false">IF(商品档案!$A50="","",商品档案!$C50)</f>
        <v/>
      </c>
      <c r="E50" s="25" t="str">
        <f aca="false">IF(商品档案!$A50="","",商品档案!$D50)</f>
        <v/>
      </c>
      <c r="F50" s="25" t="str">
        <f aca="false">IF(商品档案!$A50="","",商品档案!$F50)</f>
        <v/>
      </c>
      <c r="G50" s="25" t="str">
        <f aca="false">IF(商品档案!$A50="","",商品档案!$G50)</f>
        <v/>
      </c>
      <c r="H50" s="82" t="str">
        <f aca="false">IF($B50="","",SUMIFS(期初余额!$K$6:$K$65,期初余额!$H$6:$H$65,$A50,期初余额!$I$6:$I$65,$B50))</f>
        <v/>
      </c>
      <c r="I50" s="40" t="str">
        <f aca="false">IF($B50="","",SUMIFS(期初余额!$L$6:$L$65,期初余额!$H$6:$H$65,$A50,期初余额!$I$6:$I$65,$B50))</f>
        <v/>
      </c>
      <c r="J50" s="82" t="str">
        <f aca="false">IF($B50="","",SUMIFS(购销流水!$J$6:$J$805,购销流水!$C$6:$C$805,$A50,购销流水!$F$6:$F$805,$B50,购销流水!$D$6:$D$805,"采购入库")-SUMIFS(购销流水!$J$6:$J$805,购销流水!$C$6:$C$805,$A50,购销流水!$F$6:$F$805,$B50,购销流水!$D$6:$D$805,"采购退回"))</f>
        <v/>
      </c>
      <c r="K50" s="40" t="str">
        <f aca="false">IF($B50="","",SUMIFS(购销流水!$Q$6:$Q$805,购销流水!$C$6:$C$805,$A50,购销流水!$F$6:$F$805,$B50,购销流水!$D$6:$D$805,"采购入库")-SUMIFS(购销流水!$Q$6:$Q$805,购销流水!$C$6:$C$805,$A50,购销流水!$F$6:$F$805,$B50,购销流水!$D$6:$D$805,"采购退回"))</f>
        <v/>
      </c>
      <c r="L50" s="82" t="str">
        <f aca="false">IF($B50="","",SUMIFS(生产加工!$I$6:$I$305,生产加工!$C$6:$C$305,$A50,生产加工!$F$6:$F$305,$B50,生产加工!$E$6:$E$305,"产成品入库"))</f>
        <v/>
      </c>
      <c r="M50" s="40" t="str">
        <f aca="false">IF($B50="","",SUMIFS(生产加工!$T$6:$T$305,生产加工!$C$6:$C$305,$A50,生产加工!$F$6:$F$305,$B50,生产加工!$E$6:$E$305,"产成品入库"))</f>
        <v/>
      </c>
      <c r="N50" s="83" t="str">
        <f aca="false">IF($B50="","",IF(($H50+$J50+$L50)=0,0,($I50+$K50+$M50)/($H50+$J50+$L50)))</f>
        <v/>
      </c>
      <c r="O50" s="82" t="str">
        <f aca="false">IF($B50="","",SUMIFS(购销流水!$J$6:$J$805,购销流水!$C$6:$C$805,$A50,购销流水!$F$6:$F$805,$B50,购销流水!$D$6:$D$805,"销售出库")-SUMIFS(购销流水!$J$6:$J$805,购销流水!$C$6:$C$805,$A50,购销流水!$F$6:$F$805,$B50,购销流水!$D$6:$D$805,"销售退回"))</f>
        <v/>
      </c>
      <c r="P50" s="40" t="str">
        <f aca="false">IF($B50="","",SUMIFS(购销流水!$W$6:$W$805,购销流水!$C$6:$C$805,$A50,购销流水!$F$6:$F$805,$B50,购销流水!$D$6:$D$805,"销售出库")-SUMIFS(购销流水!$W$6:$W$805,购销流水!$C$6:$C$805,$A50,购销流水!$F$6:$F$805,$B50,购销流水!$D$6:$D$805,"销售退回"))</f>
        <v/>
      </c>
      <c r="Q50" s="82" t="str">
        <f aca="false">IF($B50="","",SUMIFS(生产加工!$I$6:$I$305,生产加工!$C$6:$C$305,$A50,生产加工!$F$6:$F$305,$B50,生产加工!$E$6:$E$305,"领用投入"))</f>
        <v/>
      </c>
      <c r="R50" s="40" t="str">
        <f aca="false">IF($B50="","",SUMIFS(生产加工!$S$6:$S$305,生产加工!$C$6:$C$305,$A50,生产加工!$F$6:$F$305,$B50,生产加工!$E$6:$E$305,"领用投入"))</f>
        <v/>
      </c>
      <c r="S50" s="84" t="str">
        <f aca="false">IF($B50="","",$H50+$J50+$L50-$O50-$Q50)</f>
        <v/>
      </c>
      <c r="T50" s="85" t="str">
        <f aca="false">IF($B50="","",IF($S50=0,0,ROUND($U50/$S50,4)))</f>
        <v/>
      </c>
      <c r="U50" s="42" t="str">
        <f aca="false">IF($B50="","",ROUND($I50+$K50+$M50-$P50-$R50,2))</f>
        <v/>
      </c>
      <c r="V50" s="25" t="str">
        <f aca="false">IF($B50="","",IF($S50&lt;-0.0001,"✗ 结存数量为负",IF(AND($S50=0,ROUND($U50,2)&lt;&gt;0),"✗ 数量 0 金额不为 0",IF(ROUND($U50,2)&lt;-0.005,"✗ 结存金额为负","OK"))))</f>
        <v/>
      </c>
    </row>
    <row r="51" customFormat="false" ht="15" hidden="false" customHeight="false" outlineLevel="0" collapsed="false">
      <c r="A51" s="25" t="str">
        <f aca="false">IF(商品档案!$A51="","",商品档案!$E51)</f>
        <v/>
      </c>
      <c r="B51" s="25" t="str">
        <f aca="false">IF(商品档案!$A51="","",商品档案!$A51)</f>
        <v/>
      </c>
      <c r="C51" s="10" t="str">
        <f aca="false">IF(商品档案!$A51="","",商品档案!$B51)</f>
        <v/>
      </c>
      <c r="D51" s="10" t="str">
        <f aca="false">IF(商品档案!$A51="","",商品档案!$C51)</f>
        <v/>
      </c>
      <c r="E51" s="25" t="str">
        <f aca="false">IF(商品档案!$A51="","",商品档案!$D51)</f>
        <v/>
      </c>
      <c r="F51" s="25" t="str">
        <f aca="false">IF(商品档案!$A51="","",商品档案!$F51)</f>
        <v/>
      </c>
      <c r="G51" s="25" t="str">
        <f aca="false">IF(商品档案!$A51="","",商品档案!$G51)</f>
        <v/>
      </c>
      <c r="H51" s="82" t="str">
        <f aca="false">IF($B51="","",SUMIFS(期初余额!$K$6:$K$65,期初余额!$H$6:$H$65,$A51,期初余额!$I$6:$I$65,$B51))</f>
        <v/>
      </c>
      <c r="I51" s="40" t="str">
        <f aca="false">IF($B51="","",SUMIFS(期初余额!$L$6:$L$65,期初余额!$H$6:$H$65,$A51,期初余额!$I$6:$I$65,$B51))</f>
        <v/>
      </c>
      <c r="J51" s="82" t="str">
        <f aca="false">IF($B51="","",SUMIFS(购销流水!$J$6:$J$805,购销流水!$C$6:$C$805,$A51,购销流水!$F$6:$F$805,$B51,购销流水!$D$6:$D$805,"采购入库")-SUMIFS(购销流水!$J$6:$J$805,购销流水!$C$6:$C$805,$A51,购销流水!$F$6:$F$805,$B51,购销流水!$D$6:$D$805,"采购退回"))</f>
        <v/>
      </c>
      <c r="K51" s="40" t="str">
        <f aca="false">IF($B51="","",SUMIFS(购销流水!$Q$6:$Q$805,购销流水!$C$6:$C$805,$A51,购销流水!$F$6:$F$805,$B51,购销流水!$D$6:$D$805,"采购入库")-SUMIFS(购销流水!$Q$6:$Q$805,购销流水!$C$6:$C$805,$A51,购销流水!$F$6:$F$805,$B51,购销流水!$D$6:$D$805,"采购退回"))</f>
        <v/>
      </c>
      <c r="L51" s="82" t="str">
        <f aca="false">IF($B51="","",SUMIFS(生产加工!$I$6:$I$305,生产加工!$C$6:$C$305,$A51,生产加工!$F$6:$F$305,$B51,生产加工!$E$6:$E$305,"产成品入库"))</f>
        <v/>
      </c>
      <c r="M51" s="40" t="str">
        <f aca="false">IF($B51="","",SUMIFS(生产加工!$T$6:$T$305,生产加工!$C$6:$C$305,$A51,生产加工!$F$6:$F$305,$B51,生产加工!$E$6:$E$305,"产成品入库"))</f>
        <v/>
      </c>
      <c r="N51" s="83" t="str">
        <f aca="false">IF($B51="","",IF(($H51+$J51+$L51)=0,0,($I51+$K51+$M51)/($H51+$J51+$L51)))</f>
        <v/>
      </c>
      <c r="O51" s="82" t="str">
        <f aca="false">IF($B51="","",SUMIFS(购销流水!$J$6:$J$805,购销流水!$C$6:$C$805,$A51,购销流水!$F$6:$F$805,$B51,购销流水!$D$6:$D$805,"销售出库")-SUMIFS(购销流水!$J$6:$J$805,购销流水!$C$6:$C$805,$A51,购销流水!$F$6:$F$805,$B51,购销流水!$D$6:$D$805,"销售退回"))</f>
        <v/>
      </c>
      <c r="P51" s="40" t="str">
        <f aca="false">IF($B51="","",SUMIFS(购销流水!$W$6:$W$805,购销流水!$C$6:$C$805,$A51,购销流水!$F$6:$F$805,$B51,购销流水!$D$6:$D$805,"销售出库")-SUMIFS(购销流水!$W$6:$W$805,购销流水!$C$6:$C$805,$A51,购销流水!$F$6:$F$805,$B51,购销流水!$D$6:$D$805,"销售退回"))</f>
        <v/>
      </c>
      <c r="Q51" s="82" t="str">
        <f aca="false">IF($B51="","",SUMIFS(生产加工!$I$6:$I$305,生产加工!$C$6:$C$305,$A51,生产加工!$F$6:$F$305,$B51,生产加工!$E$6:$E$305,"领用投入"))</f>
        <v/>
      </c>
      <c r="R51" s="40" t="str">
        <f aca="false">IF($B51="","",SUMIFS(生产加工!$S$6:$S$305,生产加工!$C$6:$C$305,$A51,生产加工!$F$6:$F$305,$B51,生产加工!$E$6:$E$305,"领用投入"))</f>
        <v/>
      </c>
      <c r="S51" s="84" t="str">
        <f aca="false">IF($B51="","",$H51+$J51+$L51-$O51-$Q51)</f>
        <v/>
      </c>
      <c r="T51" s="85" t="str">
        <f aca="false">IF($B51="","",IF($S51=0,0,ROUND($U51/$S51,4)))</f>
        <v/>
      </c>
      <c r="U51" s="42" t="str">
        <f aca="false">IF($B51="","",ROUND($I51+$K51+$M51-$P51-$R51,2))</f>
        <v/>
      </c>
      <c r="V51" s="25" t="str">
        <f aca="false">IF($B51="","",IF($S51&lt;-0.0001,"✗ 结存数量为负",IF(AND($S51=0,ROUND($U51,2)&lt;&gt;0),"✗ 数量 0 金额不为 0",IF(ROUND($U51,2)&lt;-0.005,"✗ 结存金额为负","OK"))))</f>
        <v/>
      </c>
    </row>
    <row r="52" customFormat="false" ht="15" hidden="false" customHeight="false" outlineLevel="0" collapsed="false">
      <c r="A52" s="25" t="str">
        <f aca="false">IF(商品档案!$A52="","",商品档案!$E52)</f>
        <v/>
      </c>
      <c r="B52" s="25" t="str">
        <f aca="false">IF(商品档案!$A52="","",商品档案!$A52)</f>
        <v/>
      </c>
      <c r="C52" s="10" t="str">
        <f aca="false">IF(商品档案!$A52="","",商品档案!$B52)</f>
        <v/>
      </c>
      <c r="D52" s="10" t="str">
        <f aca="false">IF(商品档案!$A52="","",商品档案!$C52)</f>
        <v/>
      </c>
      <c r="E52" s="25" t="str">
        <f aca="false">IF(商品档案!$A52="","",商品档案!$D52)</f>
        <v/>
      </c>
      <c r="F52" s="25" t="str">
        <f aca="false">IF(商品档案!$A52="","",商品档案!$F52)</f>
        <v/>
      </c>
      <c r="G52" s="25" t="str">
        <f aca="false">IF(商品档案!$A52="","",商品档案!$G52)</f>
        <v/>
      </c>
      <c r="H52" s="82" t="str">
        <f aca="false">IF($B52="","",SUMIFS(期初余额!$K$6:$K$65,期初余额!$H$6:$H$65,$A52,期初余额!$I$6:$I$65,$B52))</f>
        <v/>
      </c>
      <c r="I52" s="40" t="str">
        <f aca="false">IF($B52="","",SUMIFS(期初余额!$L$6:$L$65,期初余额!$H$6:$H$65,$A52,期初余额!$I$6:$I$65,$B52))</f>
        <v/>
      </c>
      <c r="J52" s="82" t="str">
        <f aca="false">IF($B52="","",SUMIFS(购销流水!$J$6:$J$805,购销流水!$C$6:$C$805,$A52,购销流水!$F$6:$F$805,$B52,购销流水!$D$6:$D$805,"采购入库")-SUMIFS(购销流水!$J$6:$J$805,购销流水!$C$6:$C$805,$A52,购销流水!$F$6:$F$805,$B52,购销流水!$D$6:$D$805,"采购退回"))</f>
        <v/>
      </c>
      <c r="K52" s="40" t="str">
        <f aca="false">IF($B52="","",SUMIFS(购销流水!$Q$6:$Q$805,购销流水!$C$6:$C$805,$A52,购销流水!$F$6:$F$805,$B52,购销流水!$D$6:$D$805,"采购入库")-SUMIFS(购销流水!$Q$6:$Q$805,购销流水!$C$6:$C$805,$A52,购销流水!$F$6:$F$805,$B52,购销流水!$D$6:$D$805,"采购退回"))</f>
        <v/>
      </c>
      <c r="L52" s="82" t="str">
        <f aca="false">IF($B52="","",SUMIFS(生产加工!$I$6:$I$305,生产加工!$C$6:$C$305,$A52,生产加工!$F$6:$F$305,$B52,生产加工!$E$6:$E$305,"产成品入库"))</f>
        <v/>
      </c>
      <c r="M52" s="40" t="str">
        <f aca="false">IF($B52="","",SUMIFS(生产加工!$T$6:$T$305,生产加工!$C$6:$C$305,$A52,生产加工!$F$6:$F$305,$B52,生产加工!$E$6:$E$305,"产成品入库"))</f>
        <v/>
      </c>
      <c r="N52" s="83" t="str">
        <f aca="false">IF($B52="","",IF(($H52+$J52+$L52)=0,0,($I52+$K52+$M52)/($H52+$J52+$L52)))</f>
        <v/>
      </c>
      <c r="O52" s="82" t="str">
        <f aca="false">IF($B52="","",SUMIFS(购销流水!$J$6:$J$805,购销流水!$C$6:$C$805,$A52,购销流水!$F$6:$F$805,$B52,购销流水!$D$6:$D$805,"销售出库")-SUMIFS(购销流水!$J$6:$J$805,购销流水!$C$6:$C$805,$A52,购销流水!$F$6:$F$805,$B52,购销流水!$D$6:$D$805,"销售退回"))</f>
        <v/>
      </c>
      <c r="P52" s="40" t="str">
        <f aca="false">IF($B52="","",SUMIFS(购销流水!$W$6:$W$805,购销流水!$C$6:$C$805,$A52,购销流水!$F$6:$F$805,$B52,购销流水!$D$6:$D$805,"销售出库")-SUMIFS(购销流水!$W$6:$W$805,购销流水!$C$6:$C$805,$A52,购销流水!$F$6:$F$805,$B52,购销流水!$D$6:$D$805,"销售退回"))</f>
        <v/>
      </c>
      <c r="Q52" s="82" t="str">
        <f aca="false">IF($B52="","",SUMIFS(生产加工!$I$6:$I$305,生产加工!$C$6:$C$305,$A52,生产加工!$F$6:$F$305,$B52,生产加工!$E$6:$E$305,"领用投入"))</f>
        <v/>
      </c>
      <c r="R52" s="40" t="str">
        <f aca="false">IF($B52="","",SUMIFS(生产加工!$S$6:$S$305,生产加工!$C$6:$C$305,$A52,生产加工!$F$6:$F$305,$B52,生产加工!$E$6:$E$305,"领用投入"))</f>
        <v/>
      </c>
      <c r="S52" s="84" t="str">
        <f aca="false">IF($B52="","",$H52+$J52+$L52-$O52-$Q52)</f>
        <v/>
      </c>
      <c r="T52" s="85" t="str">
        <f aca="false">IF($B52="","",IF($S52=0,0,ROUND($U52/$S52,4)))</f>
        <v/>
      </c>
      <c r="U52" s="42" t="str">
        <f aca="false">IF($B52="","",ROUND($I52+$K52+$M52-$P52-$R52,2))</f>
        <v/>
      </c>
      <c r="V52" s="25" t="str">
        <f aca="false">IF($B52="","",IF($S52&lt;-0.0001,"✗ 结存数量为负",IF(AND($S52=0,ROUND($U52,2)&lt;&gt;0),"✗ 数量 0 金额不为 0",IF(ROUND($U52,2)&lt;-0.005,"✗ 结存金额为负","OK"))))</f>
        <v/>
      </c>
    </row>
    <row r="53" customFormat="false" ht="15" hidden="false" customHeight="false" outlineLevel="0" collapsed="false">
      <c r="A53" s="25" t="str">
        <f aca="false">IF(商品档案!$A53="","",商品档案!$E53)</f>
        <v/>
      </c>
      <c r="B53" s="25" t="str">
        <f aca="false">IF(商品档案!$A53="","",商品档案!$A53)</f>
        <v/>
      </c>
      <c r="C53" s="10" t="str">
        <f aca="false">IF(商品档案!$A53="","",商品档案!$B53)</f>
        <v/>
      </c>
      <c r="D53" s="10" t="str">
        <f aca="false">IF(商品档案!$A53="","",商品档案!$C53)</f>
        <v/>
      </c>
      <c r="E53" s="25" t="str">
        <f aca="false">IF(商品档案!$A53="","",商品档案!$D53)</f>
        <v/>
      </c>
      <c r="F53" s="25" t="str">
        <f aca="false">IF(商品档案!$A53="","",商品档案!$F53)</f>
        <v/>
      </c>
      <c r="G53" s="25" t="str">
        <f aca="false">IF(商品档案!$A53="","",商品档案!$G53)</f>
        <v/>
      </c>
      <c r="H53" s="82" t="str">
        <f aca="false">IF($B53="","",SUMIFS(期初余额!$K$6:$K$65,期初余额!$H$6:$H$65,$A53,期初余额!$I$6:$I$65,$B53))</f>
        <v/>
      </c>
      <c r="I53" s="40" t="str">
        <f aca="false">IF($B53="","",SUMIFS(期初余额!$L$6:$L$65,期初余额!$H$6:$H$65,$A53,期初余额!$I$6:$I$65,$B53))</f>
        <v/>
      </c>
      <c r="J53" s="82" t="str">
        <f aca="false">IF($B53="","",SUMIFS(购销流水!$J$6:$J$805,购销流水!$C$6:$C$805,$A53,购销流水!$F$6:$F$805,$B53,购销流水!$D$6:$D$805,"采购入库")-SUMIFS(购销流水!$J$6:$J$805,购销流水!$C$6:$C$805,$A53,购销流水!$F$6:$F$805,$B53,购销流水!$D$6:$D$805,"采购退回"))</f>
        <v/>
      </c>
      <c r="K53" s="40" t="str">
        <f aca="false">IF($B53="","",SUMIFS(购销流水!$Q$6:$Q$805,购销流水!$C$6:$C$805,$A53,购销流水!$F$6:$F$805,$B53,购销流水!$D$6:$D$805,"采购入库")-SUMIFS(购销流水!$Q$6:$Q$805,购销流水!$C$6:$C$805,$A53,购销流水!$F$6:$F$805,$B53,购销流水!$D$6:$D$805,"采购退回"))</f>
        <v/>
      </c>
      <c r="L53" s="82" t="str">
        <f aca="false">IF($B53="","",SUMIFS(生产加工!$I$6:$I$305,生产加工!$C$6:$C$305,$A53,生产加工!$F$6:$F$305,$B53,生产加工!$E$6:$E$305,"产成品入库"))</f>
        <v/>
      </c>
      <c r="M53" s="40" t="str">
        <f aca="false">IF($B53="","",SUMIFS(生产加工!$T$6:$T$305,生产加工!$C$6:$C$305,$A53,生产加工!$F$6:$F$305,$B53,生产加工!$E$6:$E$305,"产成品入库"))</f>
        <v/>
      </c>
      <c r="N53" s="83" t="str">
        <f aca="false">IF($B53="","",IF(($H53+$J53+$L53)=0,0,($I53+$K53+$M53)/($H53+$J53+$L53)))</f>
        <v/>
      </c>
      <c r="O53" s="82" t="str">
        <f aca="false">IF($B53="","",SUMIFS(购销流水!$J$6:$J$805,购销流水!$C$6:$C$805,$A53,购销流水!$F$6:$F$805,$B53,购销流水!$D$6:$D$805,"销售出库")-SUMIFS(购销流水!$J$6:$J$805,购销流水!$C$6:$C$805,$A53,购销流水!$F$6:$F$805,$B53,购销流水!$D$6:$D$805,"销售退回"))</f>
        <v/>
      </c>
      <c r="P53" s="40" t="str">
        <f aca="false">IF($B53="","",SUMIFS(购销流水!$W$6:$W$805,购销流水!$C$6:$C$805,$A53,购销流水!$F$6:$F$805,$B53,购销流水!$D$6:$D$805,"销售出库")-SUMIFS(购销流水!$W$6:$W$805,购销流水!$C$6:$C$805,$A53,购销流水!$F$6:$F$805,$B53,购销流水!$D$6:$D$805,"销售退回"))</f>
        <v/>
      </c>
      <c r="Q53" s="82" t="str">
        <f aca="false">IF($B53="","",SUMIFS(生产加工!$I$6:$I$305,生产加工!$C$6:$C$305,$A53,生产加工!$F$6:$F$305,$B53,生产加工!$E$6:$E$305,"领用投入"))</f>
        <v/>
      </c>
      <c r="R53" s="40" t="str">
        <f aca="false">IF($B53="","",SUMIFS(生产加工!$S$6:$S$305,生产加工!$C$6:$C$305,$A53,生产加工!$F$6:$F$305,$B53,生产加工!$E$6:$E$305,"领用投入"))</f>
        <v/>
      </c>
      <c r="S53" s="84" t="str">
        <f aca="false">IF($B53="","",$H53+$J53+$L53-$O53-$Q53)</f>
        <v/>
      </c>
      <c r="T53" s="85" t="str">
        <f aca="false">IF($B53="","",IF($S53=0,0,ROUND($U53/$S53,4)))</f>
        <v/>
      </c>
      <c r="U53" s="42" t="str">
        <f aca="false">IF($B53="","",ROUND($I53+$K53+$M53-$P53-$R53,2))</f>
        <v/>
      </c>
      <c r="V53" s="25" t="str">
        <f aca="false">IF($B53="","",IF($S53&lt;-0.0001,"✗ 结存数量为负",IF(AND($S53=0,ROUND($U53,2)&lt;&gt;0),"✗ 数量 0 金额不为 0",IF(ROUND($U53,2)&lt;-0.005,"✗ 结存金额为负","OK"))))</f>
        <v/>
      </c>
    </row>
    <row r="54" customFormat="false" ht="15" hidden="false" customHeight="false" outlineLevel="0" collapsed="false">
      <c r="A54" s="25" t="str">
        <f aca="false">IF(商品档案!$A54="","",商品档案!$E54)</f>
        <v/>
      </c>
      <c r="B54" s="25" t="str">
        <f aca="false">IF(商品档案!$A54="","",商品档案!$A54)</f>
        <v/>
      </c>
      <c r="C54" s="10" t="str">
        <f aca="false">IF(商品档案!$A54="","",商品档案!$B54)</f>
        <v/>
      </c>
      <c r="D54" s="10" t="str">
        <f aca="false">IF(商品档案!$A54="","",商品档案!$C54)</f>
        <v/>
      </c>
      <c r="E54" s="25" t="str">
        <f aca="false">IF(商品档案!$A54="","",商品档案!$D54)</f>
        <v/>
      </c>
      <c r="F54" s="25" t="str">
        <f aca="false">IF(商品档案!$A54="","",商品档案!$F54)</f>
        <v/>
      </c>
      <c r="G54" s="25" t="str">
        <f aca="false">IF(商品档案!$A54="","",商品档案!$G54)</f>
        <v/>
      </c>
      <c r="H54" s="82" t="str">
        <f aca="false">IF($B54="","",SUMIFS(期初余额!$K$6:$K$65,期初余额!$H$6:$H$65,$A54,期初余额!$I$6:$I$65,$B54))</f>
        <v/>
      </c>
      <c r="I54" s="40" t="str">
        <f aca="false">IF($B54="","",SUMIFS(期初余额!$L$6:$L$65,期初余额!$H$6:$H$65,$A54,期初余额!$I$6:$I$65,$B54))</f>
        <v/>
      </c>
      <c r="J54" s="82" t="str">
        <f aca="false">IF($B54="","",SUMIFS(购销流水!$J$6:$J$805,购销流水!$C$6:$C$805,$A54,购销流水!$F$6:$F$805,$B54,购销流水!$D$6:$D$805,"采购入库")-SUMIFS(购销流水!$J$6:$J$805,购销流水!$C$6:$C$805,$A54,购销流水!$F$6:$F$805,$B54,购销流水!$D$6:$D$805,"采购退回"))</f>
        <v/>
      </c>
      <c r="K54" s="40" t="str">
        <f aca="false">IF($B54="","",SUMIFS(购销流水!$Q$6:$Q$805,购销流水!$C$6:$C$805,$A54,购销流水!$F$6:$F$805,$B54,购销流水!$D$6:$D$805,"采购入库")-SUMIFS(购销流水!$Q$6:$Q$805,购销流水!$C$6:$C$805,$A54,购销流水!$F$6:$F$805,$B54,购销流水!$D$6:$D$805,"采购退回"))</f>
        <v/>
      </c>
      <c r="L54" s="82" t="str">
        <f aca="false">IF($B54="","",SUMIFS(生产加工!$I$6:$I$305,生产加工!$C$6:$C$305,$A54,生产加工!$F$6:$F$305,$B54,生产加工!$E$6:$E$305,"产成品入库"))</f>
        <v/>
      </c>
      <c r="M54" s="40" t="str">
        <f aca="false">IF($B54="","",SUMIFS(生产加工!$T$6:$T$305,生产加工!$C$6:$C$305,$A54,生产加工!$F$6:$F$305,$B54,生产加工!$E$6:$E$305,"产成品入库"))</f>
        <v/>
      </c>
      <c r="N54" s="83" t="str">
        <f aca="false">IF($B54="","",IF(($H54+$J54+$L54)=0,0,($I54+$K54+$M54)/($H54+$J54+$L54)))</f>
        <v/>
      </c>
      <c r="O54" s="82" t="str">
        <f aca="false">IF($B54="","",SUMIFS(购销流水!$J$6:$J$805,购销流水!$C$6:$C$805,$A54,购销流水!$F$6:$F$805,$B54,购销流水!$D$6:$D$805,"销售出库")-SUMIFS(购销流水!$J$6:$J$805,购销流水!$C$6:$C$805,$A54,购销流水!$F$6:$F$805,$B54,购销流水!$D$6:$D$805,"销售退回"))</f>
        <v/>
      </c>
      <c r="P54" s="40" t="str">
        <f aca="false">IF($B54="","",SUMIFS(购销流水!$W$6:$W$805,购销流水!$C$6:$C$805,$A54,购销流水!$F$6:$F$805,$B54,购销流水!$D$6:$D$805,"销售出库")-SUMIFS(购销流水!$W$6:$W$805,购销流水!$C$6:$C$805,$A54,购销流水!$F$6:$F$805,$B54,购销流水!$D$6:$D$805,"销售退回"))</f>
        <v/>
      </c>
      <c r="Q54" s="82" t="str">
        <f aca="false">IF($B54="","",SUMIFS(生产加工!$I$6:$I$305,生产加工!$C$6:$C$305,$A54,生产加工!$F$6:$F$305,$B54,生产加工!$E$6:$E$305,"领用投入"))</f>
        <v/>
      </c>
      <c r="R54" s="40" t="str">
        <f aca="false">IF($B54="","",SUMIFS(生产加工!$S$6:$S$305,生产加工!$C$6:$C$305,$A54,生产加工!$F$6:$F$305,$B54,生产加工!$E$6:$E$305,"领用投入"))</f>
        <v/>
      </c>
      <c r="S54" s="84" t="str">
        <f aca="false">IF($B54="","",$H54+$J54+$L54-$O54-$Q54)</f>
        <v/>
      </c>
      <c r="T54" s="85" t="str">
        <f aca="false">IF($B54="","",IF($S54=0,0,ROUND($U54/$S54,4)))</f>
        <v/>
      </c>
      <c r="U54" s="42" t="str">
        <f aca="false">IF($B54="","",ROUND($I54+$K54+$M54-$P54-$R54,2))</f>
        <v/>
      </c>
      <c r="V54" s="25" t="str">
        <f aca="false">IF($B54="","",IF($S54&lt;-0.0001,"✗ 结存数量为负",IF(AND($S54=0,ROUND($U54,2)&lt;&gt;0),"✗ 数量 0 金额不为 0",IF(ROUND($U54,2)&lt;-0.005,"✗ 结存金额为负","OK"))))</f>
        <v/>
      </c>
    </row>
    <row r="55" customFormat="false" ht="15" hidden="false" customHeight="false" outlineLevel="0" collapsed="false">
      <c r="A55" s="25" t="str">
        <f aca="false">IF(商品档案!$A55="","",商品档案!$E55)</f>
        <v/>
      </c>
      <c r="B55" s="25" t="str">
        <f aca="false">IF(商品档案!$A55="","",商品档案!$A55)</f>
        <v/>
      </c>
      <c r="C55" s="10" t="str">
        <f aca="false">IF(商品档案!$A55="","",商品档案!$B55)</f>
        <v/>
      </c>
      <c r="D55" s="10" t="str">
        <f aca="false">IF(商品档案!$A55="","",商品档案!$C55)</f>
        <v/>
      </c>
      <c r="E55" s="25" t="str">
        <f aca="false">IF(商品档案!$A55="","",商品档案!$D55)</f>
        <v/>
      </c>
      <c r="F55" s="25" t="str">
        <f aca="false">IF(商品档案!$A55="","",商品档案!$F55)</f>
        <v/>
      </c>
      <c r="G55" s="25" t="str">
        <f aca="false">IF(商品档案!$A55="","",商品档案!$G55)</f>
        <v/>
      </c>
      <c r="H55" s="82" t="str">
        <f aca="false">IF($B55="","",SUMIFS(期初余额!$K$6:$K$65,期初余额!$H$6:$H$65,$A55,期初余额!$I$6:$I$65,$B55))</f>
        <v/>
      </c>
      <c r="I55" s="40" t="str">
        <f aca="false">IF($B55="","",SUMIFS(期初余额!$L$6:$L$65,期初余额!$H$6:$H$65,$A55,期初余额!$I$6:$I$65,$B55))</f>
        <v/>
      </c>
      <c r="J55" s="82" t="str">
        <f aca="false">IF($B55="","",SUMIFS(购销流水!$J$6:$J$805,购销流水!$C$6:$C$805,$A55,购销流水!$F$6:$F$805,$B55,购销流水!$D$6:$D$805,"采购入库")-SUMIFS(购销流水!$J$6:$J$805,购销流水!$C$6:$C$805,$A55,购销流水!$F$6:$F$805,$B55,购销流水!$D$6:$D$805,"采购退回"))</f>
        <v/>
      </c>
      <c r="K55" s="40" t="str">
        <f aca="false">IF($B55="","",SUMIFS(购销流水!$Q$6:$Q$805,购销流水!$C$6:$C$805,$A55,购销流水!$F$6:$F$805,$B55,购销流水!$D$6:$D$805,"采购入库")-SUMIFS(购销流水!$Q$6:$Q$805,购销流水!$C$6:$C$805,$A55,购销流水!$F$6:$F$805,$B55,购销流水!$D$6:$D$805,"采购退回"))</f>
        <v/>
      </c>
      <c r="L55" s="82" t="str">
        <f aca="false">IF($B55="","",SUMIFS(生产加工!$I$6:$I$305,生产加工!$C$6:$C$305,$A55,生产加工!$F$6:$F$305,$B55,生产加工!$E$6:$E$305,"产成品入库"))</f>
        <v/>
      </c>
      <c r="M55" s="40" t="str">
        <f aca="false">IF($B55="","",SUMIFS(生产加工!$T$6:$T$305,生产加工!$C$6:$C$305,$A55,生产加工!$F$6:$F$305,$B55,生产加工!$E$6:$E$305,"产成品入库"))</f>
        <v/>
      </c>
      <c r="N55" s="83" t="str">
        <f aca="false">IF($B55="","",IF(($H55+$J55+$L55)=0,0,($I55+$K55+$M55)/($H55+$J55+$L55)))</f>
        <v/>
      </c>
      <c r="O55" s="82" t="str">
        <f aca="false">IF($B55="","",SUMIFS(购销流水!$J$6:$J$805,购销流水!$C$6:$C$805,$A55,购销流水!$F$6:$F$805,$B55,购销流水!$D$6:$D$805,"销售出库")-SUMIFS(购销流水!$J$6:$J$805,购销流水!$C$6:$C$805,$A55,购销流水!$F$6:$F$805,$B55,购销流水!$D$6:$D$805,"销售退回"))</f>
        <v/>
      </c>
      <c r="P55" s="40" t="str">
        <f aca="false">IF($B55="","",SUMIFS(购销流水!$W$6:$W$805,购销流水!$C$6:$C$805,$A55,购销流水!$F$6:$F$805,$B55,购销流水!$D$6:$D$805,"销售出库")-SUMIFS(购销流水!$W$6:$W$805,购销流水!$C$6:$C$805,$A55,购销流水!$F$6:$F$805,$B55,购销流水!$D$6:$D$805,"销售退回"))</f>
        <v/>
      </c>
      <c r="Q55" s="82" t="str">
        <f aca="false">IF($B55="","",SUMIFS(生产加工!$I$6:$I$305,生产加工!$C$6:$C$305,$A55,生产加工!$F$6:$F$305,$B55,生产加工!$E$6:$E$305,"领用投入"))</f>
        <v/>
      </c>
      <c r="R55" s="40" t="str">
        <f aca="false">IF($B55="","",SUMIFS(生产加工!$S$6:$S$305,生产加工!$C$6:$C$305,$A55,生产加工!$F$6:$F$305,$B55,生产加工!$E$6:$E$305,"领用投入"))</f>
        <v/>
      </c>
      <c r="S55" s="84" t="str">
        <f aca="false">IF($B55="","",$H55+$J55+$L55-$O55-$Q55)</f>
        <v/>
      </c>
      <c r="T55" s="85" t="str">
        <f aca="false">IF($B55="","",IF($S55=0,0,ROUND($U55/$S55,4)))</f>
        <v/>
      </c>
      <c r="U55" s="42" t="str">
        <f aca="false">IF($B55="","",ROUND($I55+$K55+$M55-$P55-$R55,2))</f>
        <v/>
      </c>
      <c r="V55" s="25" t="str">
        <f aca="false">IF($B55="","",IF($S55&lt;-0.0001,"✗ 结存数量为负",IF(AND($S55=0,ROUND($U55,2)&lt;&gt;0),"✗ 数量 0 金额不为 0",IF(ROUND($U55,2)&lt;-0.005,"✗ 结存金额为负","OK"))))</f>
        <v/>
      </c>
    </row>
    <row r="56" customFormat="false" ht="15" hidden="false" customHeight="false" outlineLevel="0" collapsed="false">
      <c r="A56" s="25" t="str">
        <f aca="false">IF(商品档案!$A56="","",商品档案!$E56)</f>
        <v/>
      </c>
      <c r="B56" s="25" t="str">
        <f aca="false">IF(商品档案!$A56="","",商品档案!$A56)</f>
        <v/>
      </c>
      <c r="C56" s="10" t="str">
        <f aca="false">IF(商品档案!$A56="","",商品档案!$B56)</f>
        <v/>
      </c>
      <c r="D56" s="10" t="str">
        <f aca="false">IF(商品档案!$A56="","",商品档案!$C56)</f>
        <v/>
      </c>
      <c r="E56" s="25" t="str">
        <f aca="false">IF(商品档案!$A56="","",商品档案!$D56)</f>
        <v/>
      </c>
      <c r="F56" s="25" t="str">
        <f aca="false">IF(商品档案!$A56="","",商品档案!$F56)</f>
        <v/>
      </c>
      <c r="G56" s="25" t="str">
        <f aca="false">IF(商品档案!$A56="","",商品档案!$G56)</f>
        <v/>
      </c>
      <c r="H56" s="82" t="str">
        <f aca="false">IF($B56="","",SUMIFS(期初余额!$K$6:$K$65,期初余额!$H$6:$H$65,$A56,期初余额!$I$6:$I$65,$B56))</f>
        <v/>
      </c>
      <c r="I56" s="40" t="str">
        <f aca="false">IF($B56="","",SUMIFS(期初余额!$L$6:$L$65,期初余额!$H$6:$H$65,$A56,期初余额!$I$6:$I$65,$B56))</f>
        <v/>
      </c>
      <c r="J56" s="82" t="str">
        <f aca="false">IF($B56="","",SUMIFS(购销流水!$J$6:$J$805,购销流水!$C$6:$C$805,$A56,购销流水!$F$6:$F$805,$B56,购销流水!$D$6:$D$805,"采购入库")-SUMIFS(购销流水!$J$6:$J$805,购销流水!$C$6:$C$805,$A56,购销流水!$F$6:$F$805,$B56,购销流水!$D$6:$D$805,"采购退回"))</f>
        <v/>
      </c>
      <c r="K56" s="40" t="str">
        <f aca="false">IF($B56="","",SUMIFS(购销流水!$Q$6:$Q$805,购销流水!$C$6:$C$805,$A56,购销流水!$F$6:$F$805,$B56,购销流水!$D$6:$D$805,"采购入库")-SUMIFS(购销流水!$Q$6:$Q$805,购销流水!$C$6:$C$805,$A56,购销流水!$F$6:$F$805,$B56,购销流水!$D$6:$D$805,"采购退回"))</f>
        <v/>
      </c>
      <c r="L56" s="82" t="str">
        <f aca="false">IF($B56="","",SUMIFS(生产加工!$I$6:$I$305,生产加工!$C$6:$C$305,$A56,生产加工!$F$6:$F$305,$B56,生产加工!$E$6:$E$305,"产成品入库"))</f>
        <v/>
      </c>
      <c r="M56" s="40" t="str">
        <f aca="false">IF($B56="","",SUMIFS(生产加工!$T$6:$T$305,生产加工!$C$6:$C$305,$A56,生产加工!$F$6:$F$305,$B56,生产加工!$E$6:$E$305,"产成品入库"))</f>
        <v/>
      </c>
      <c r="N56" s="83" t="str">
        <f aca="false">IF($B56="","",IF(($H56+$J56+$L56)=0,0,($I56+$K56+$M56)/($H56+$J56+$L56)))</f>
        <v/>
      </c>
      <c r="O56" s="82" t="str">
        <f aca="false">IF($B56="","",SUMIFS(购销流水!$J$6:$J$805,购销流水!$C$6:$C$805,$A56,购销流水!$F$6:$F$805,$B56,购销流水!$D$6:$D$805,"销售出库")-SUMIFS(购销流水!$J$6:$J$805,购销流水!$C$6:$C$805,$A56,购销流水!$F$6:$F$805,$B56,购销流水!$D$6:$D$805,"销售退回"))</f>
        <v/>
      </c>
      <c r="P56" s="40" t="str">
        <f aca="false">IF($B56="","",SUMIFS(购销流水!$W$6:$W$805,购销流水!$C$6:$C$805,$A56,购销流水!$F$6:$F$805,$B56,购销流水!$D$6:$D$805,"销售出库")-SUMIFS(购销流水!$W$6:$W$805,购销流水!$C$6:$C$805,$A56,购销流水!$F$6:$F$805,$B56,购销流水!$D$6:$D$805,"销售退回"))</f>
        <v/>
      </c>
      <c r="Q56" s="82" t="str">
        <f aca="false">IF($B56="","",SUMIFS(生产加工!$I$6:$I$305,生产加工!$C$6:$C$305,$A56,生产加工!$F$6:$F$305,$B56,生产加工!$E$6:$E$305,"领用投入"))</f>
        <v/>
      </c>
      <c r="R56" s="40" t="str">
        <f aca="false">IF($B56="","",SUMIFS(生产加工!$S$6:$S$305,生产加工!$C$6:$C$305,$A56,生产加工!$F$6:$F$305,$B56,生产加工!$E$6:$E$305,"领用投入"))</f>
        <v/>
      </c>
      <c r="S56" s="84" t="str">
        <f aca="false">IF($B56="","",$H56+$J56+$L56-$O56-$Q56)</f>
        <v/>
      </c>
      <c r="T56" s="85" t="str">
        <f aca="false">IF($B56="","",IF($S56=0,0,ROUND($U56/$S56,4)))</f>
        <v/>
      </c>
      <c r="U56" s="42" t="str">
        <f aca="false">IF($B56="","",ROUND($I56+$K56+$M56-$P56-$R56,2))</f>
        <v/>
      </c>
      <c r="V56" s="25" t="str">
        <f aca="false">IF($B56="","",IF($S56&lt;-0.0001,"✗ 结存数量为负",IF(AND($S56=0,ROUND($U56,2)&lt;&gt;0),"✗ 数量 0 金额不为 0",IF(ROUND($U56,2)&lt;-0.005,"✗ 结存金额为负","OK"))))</f>
        <v/>
      </c>
    </row>
    <row r="57" customFormat="false" ht="15" hidden="false" customHeight="false" outlineLevel="0" collapsed="false">
      <c r="A57" s="25" t="str">
        <f aca="false">IF(商品档案!$A57="","",商品档案!$E57)</f>
        <v/>
      </c>
      <c r="B57" s="25" t="str">
        <f aca="false">IF(商品档案!$A57="","",商品档案!$A57)</f>
        <v/>
      </c>
      <c r="C57" s="10" t="str">
        <f aca="false">IF(商品档案!$A57="","",商品档案!$B57)</f>
        <v/>
      </c>
      <c r="D57" s="10" t="str">
        <f aca="false">IF(商品档案!$A57="","",商品档案!$C57)</f>
        <v/>
      </c>
      <c r="E57" s="25" t="str">
        <f aca="false">IF(商品档案!$A57="","",商品档案!$D57)</f>
        <v/>
      </c>
      <c r="F57" s="25" t="str">
        <f aca="false">IF(商品档案!$A57="","",商品档案!$F57)</f>
        <v/>
      </c>
      <c r="G57" s="25" t="str">
        <f aca="false">IF(商品档案!$A57="","",商品档案!$G57)</f>
        <v/>
      </c>
      <c r="H57" s="82" t="str">
        <f aca="false">IF($B57="","",SUMIFS(期初余额!$K$6:$K$65,期初余额!$H$6:$H$65,$A57,期初余额!$I$6:$I$65,$B57))</f>
        <v/>
      </c>
      <c r="I57" s="40" t="str">
        <f aca="false">IF($B57="","",SUMIFS(期初余额!$L$6:$L$65,期初余额!$H$6:$H$65,$A57,期初余额!$I$6:$I$65,$B57))</f>
        <v/>
      </c>
      <c r="J57" s="82" t="str">
        <f aca="false">IF($B57="","",SUMIFS(购销流水!$J$6:$J$805,购销流水!$C$6:$C$805,$A57,购销流水!$F$6:$F$805,$B57,购销流水!$D$6:$D$805,"采购入库")-SUMIFS(购销流水!$J$6:$J$805,购销流水!$C$6:$C$805,$A57,购销流水!$F$6:$F$805,$B57,购销流水!$D$6:$D$805,"采购退回"))</f>
        <v/>
      </c>
      <c r="K57" s="40" t="str">
        <f aca="false">IF($B57="","",SUMIFS(购销流水!$Q$6:$Q$805,购销流水!$C$6:$C$805,$A57,购销流水!$F$6:$F$805,$B57,购销流水!$D$6:$D$805,"采购入库")-SUMIFS(购销流水!$Q$6:$Q$805,购销流水!$C$6:$C$805,$A57,购销流水!$F$6:$F$805,$B57,购销流水!$D$6:$D$805,"采购退回"))</f>
        <v/>
      </c>
      <c r="L57" s="82" t="str">
        <f aca="false">IF($B57="","",SUMIFS(生产加工!$I$6:$I$305,生产加工!$C$6:$C$305,$A57,生产加工!$F$6:$F$305,$B57,生产加工!$E$6:$E$305,"产成品入库"))</f>
        <v/>
      </c>
      <c r="M57" s="40" t="str">
        <f aca="false">IF($B57="","",SUMIFS(生产加工!$T$6:$T$305,生产加工!$C$6:$C$305,$A57,生产加工!$F$6:$F$305,$B57,生产加工!$E$6:$E$305,"产成品入库"))</f>
        <v/>
      </c>
      <c r="N57" s="83" t="str">
        <f aca="false">IF($B57="","",IF(($H57+$J57+$L57)=0,0,($I57+$K57+$M57)/($H57+$J57+$L57)))</f>
        <v/>
      </c>
      <c r="O57" s="82" t="str">
        <f aca="false">IF($B57="","",SUMIFS(购销流水!$J$6:$J$805,购销流水!$C$6:$C$805,$A57,购销流水!$F$6:$F$805,$B57,购销流水!$D$6:$D$805,"销售出库")-SUMIFS(购销流水!$J$6:$J$805,购销流水!$C$6:$C$805,$A57,购销流水!$F$6:$F$805,$B57,购销流水!$D$6:$D$805,"销售退回"))</f>
        <v/>
      </c>
      <c r="P57" s="40" t="str">
        <f aca="false">IF($B57="","",SUMIFS(购销流水!$W$6:$W$805,购销流水!$C$6:$C$805,$A57,购销流水!$F$6:$F$805,$B57,购销流水!$D$6:$D$805,"销售出库")-SUMIFS(购销流水!$W$6:$W$805,购销流水!$C$6:$C$805,$A57,购销流水!$F$6:$F$805,$B57,购销流水!$D$6:$D$805,"销售退回"))</f>
        <v/>
      </c>
      <c r="Q57" s="82" t="str">
        <f aca="false">IF($B57="","",SUMIFS(生产加工!$I$6:$I$305,生产加工!$C$6:$C$305,$A57,生产加工!$F$6:$F$305,$B57,生产加工!$E$6:$E$305,"领用投入"))</f>
        <v/>
      </c>
      <c r="R57" s="40" t="str">
        <f aca="false">IF($B57="","",SUMIFS(生产加工!$S$6:$S$305,生产加工!$C$6:$C$305,$A57,生产加工!$F$6:$F$305,$B57,生产加工!$E$6:$E$305,"领用投入"))</f>
        <v/>
      </c>
      <c r="S57" s="84" t="str">
        <f aca="false">IF($B57="","",$H57+$J57+$L57-$O57-$Q57)</f>
        <v/>
      </c>
      <c r="T57" s="85" t="str">
        <f aca="false">IF($B57="","",IF($S57=0,0,ROUND($U57/$S57,4)))</f>
        <v/>
      </c>
      <c r="U57" s="42" t="str">
        <f aca="false">IF($B57="","",ROUND($I57+$K57+$M57-$P57-$R57,2))</f>
        <v/>
      </c>
      <c r="V57" s="25" t="str">
        <f aca="false">IF($B57="","",IF($S57&lt;-0.0001,"✗ 结存数量为负",IF(AND($S57=0,ROUND($U57,2)&lt;&gt;0),"✗ 数量 0 金额不为 0",IF(ROUND($U57,2)&lt;-0.005,"✗ 结存金额为负","OK"))))</f>
        <v/>
      </c>
    </row>
    <row r="58" customFormat="false" ht="15" hidden="false" customHeight="false" outlineLevel="0" collapsed="false">
      <c r="A58" s="25" t="str">
        <f aca="false">IF(商品档案!$A58="","",商品档案!$E58)</f>
        <v/>
      </c>
      <c r="B58" s="25" t="str">
        <f aca="false">IF(商品档案!$A58="","",商品档案!$A58)</f>
        <v/>
      </c>
      <c r="C58" s="10" t="str">
        <f aca="false">IF(商品档案!$A58="","",商品档案!$B58)</f>
        <v/>
      </c>
      <c r="D58" s="10" t="str">
        <f aca="false">IF(商品档案!$A58="","",商品档案!$C58)</f>
        <v/>
      </c>
      <c r="E58" s="25" t="str">
        <f aca="false">IF(商品档案!$A58="","",商品档案!$D58)</f>
        <v/>
      </c>
      <c r="F58" s="25" t="str">
        <f aca="false">IF(商品档案!$A58="","",商品档案!$F58)</f>
        <v/>
      </c>
      <c r="G58" s="25" t="str">
        <f aca="false">IF(商品档案!$A58="","",商品档案!$G58)</f>
        <v/>
      </c>
      <c r="H58" s="82" t="str">
        <f aca="false">IF($B58="","",SUMIFS(期初余额!$K$6:$K$65,期初余额!$H$6:$H$65,$A58,期初余额!$I$6:$I$65,$B58))</f>
        <v/>
      </c>
      <c r="I58" s="40" t="str">
        <f aca="false">IF($B58="","",SUMIFS(期初余额!$L$6:$L$65,期初余额!$H$6:$H$65,$A58,期初余额!$I$6:$I$65,$B58))</f>
        <v/>
      </c>
      <c r="J58" s="82" t="str">
        <f aca="false">IF($B58="","",SUMIFS(购销流水!$J$6:$J$805,购销流水!$C$6:$C$805,$A58,购销流水!$F$6:$F$805,$B58,购销流水!$D$6:$D$805,"采购入库")-SUMIFS(购销流水!$J$6:$J$805,购销流水!$C$6:$C$805,$A58,购销流水!$F$6:$F$805,$B58,购销流水!$D$6:$D$805,"采购退回"))</f>
        <v/>
      </c>
      <c r="K58" s="40" t="str">
        <f aca="false">IF($B58="","",SUMIFS(购销流水!$Q$6:$Q$805,购销流水!$C$6:$C$805,$A58,购销流水!$F$6:$F$805,$B58,购销流水!$D$6:$D$805,"采购入库")-SUMIFS(购销流水!$Q$6:$Q$805,购销流水!$C$6:$C$805,$A58,购销流水!$F$6:$F$805,$B58,购销流水!$D$6:$D$805,"采购退回"))</f>
        <v/>
      </c>
      <c r="L58" s="82" t="str">
        <f aca="false">IF($B58="","",SUMIFS(生产加工!$I$6:$I$305,生产加工!$C$6:$C$305,$A58,生产加工!$F$6:$F$305,$B58,生产加工!$E$6:$E$305,"产成品入库"))</f>
        <v/>
      </c>
      <c r="M58" s="40" t="str">
        <f aca="false">IF($B58="","",SUMIFS(生产加工!$T$6:$T$305,生产加工!$C$6:$C$305,$A58,生产加工!$F$6:$F$305,$B58,生产加工!$E$6:$E$305,"产成品入库"))</f>
        <v/>
      </c>
      <c r="N58" s="83" t="str">
        <f aca="false">IF($B58="","",IF(($H58+$J58+$L58)=0,0,($I58+$K58+$M58)/($H58+$J58+$L58)))</f>
        <v/>
      </c>
      <c r="O58" s="82" t="str">
        <f aca="false">IF($B58="","",SUMIFS(购销流水!$J$6:$J$805,购销流水!$C$6:$C$805,$A58,购销流水!$F$6:$F$805,$B58,购销流水!$D$6:$D$805,"销售出库")-SUMIFS(购销流水!$J$6:$J$805,购销流水!$C$6:$C$805,$A58,购销流水!$F$6:$F$805,$B58,购销流水!$D$6:$D$805,"销售退回"))</f>
        <v/>
      </c>
      <c r="P58" s="40" t="str">
        <f aca="false">IF($B58="","",SUMIFS(购销流水!$W$6:$W$805,购销流水!$C$6:$C$805,$A58,购销流水!$F$6:$F$805,$B58,购销流水!$D$6:$D$805,"销售出库")-SUMIFS(购销流水!$W$6:$W$805,购销流水!$C$6:$C$805,$A58,购销流水!$F$6:$F$805,$B58,购销流水!$D$6:$D$805,"销售退回"))</f>
        <v/>
      </c>
      <c r="Q58" s="82" t="str">
        <f aca="false">IF($B58="","",SUMIFS(生产加工!$I$6:$I$305,生产加工!$C$6:$C$305,$A58,生产加工!$F$6:$F$305,$B58,生产加工!$E$6:$E$305,"领用投入"))</f>
        <v/>
      </c>
      <c r="R58" s="40" t="str">
        <f aca="false">IF($B58="","",SUMIFS(生产加工!$S$6:$S$305,生产加工!$C$6:$C$305,$A58,生产加工!$F$6:$F$305,$B58,生产加工!$E$6:$E$305,"领用投入"))</f>
        <v/>
      </c>
      <c r="S58" s="84" t="str">
        <f aca="false">IF($B58="","",$H58+$J58+$L58-$O58-$Q58)</f>
        <v/>
      </c>
      <c r="T58" s="85" t="str">
        <f aca="false">IF($B58="","",IF($S58=0,0,ROUND($U58/$S58,4)))</f>
        <v/>
      </c>
      <c r="U58" s="42" t="str">
        <f aca="false">IF($B58="","",ROUND($I58+$K58+$M58-$P58-$R58,2))</f>
        <v/>
      </c>
      <c r="V58" s="25" t="str">
        <f aca="false">IF($B58="","",IF($S58&lt;-0.0001,"✗ 结存数量为负",IF(AND($S58=0,ROUND($U58,2)&lt;&gt;0),"✗ 数量 0 金额不为 0",IF(ROUND($U58,2)&lt;-0.005,"✗ 结存金额为负","OK"))))</f>
        <v/>
      </c>
    </row>
    <row r="59" customFormat="false" ht="15" hidden="false" customHeight="false" outlineLevel="0" collapsed="false">
      <c r="A59" s="25" t="str">
        <f aca="false">IF(商品档案!$A59="","",商品档案!$E59)</f>
        <v/>
      </c>
      <c r="B59" s="25" t="str">
        <f aca="false">IF(商品档案!$A59="","",商品档案!$A59)</f>
        <v/>
      </c>
      <c r="C59" s="10" t="str">
        <f aca="false">IF(商品档案!$A59="","",商品档案!$B59)</f>
        <v/>
      </c>
      <c r="D59" s="10" t="str">
        <f aca="false">IF(商品档案!$A59="","",商品档案!$C59)</f>
        <v/>
      </c>
      <c r="E59" s="25" t="str">
        <f aca="false">IF(商品档案!$A59="","",商品档案!$D59)</f>
        <v/>
      </c>
      <c r="F59" s="25" t="str">
        <f aca="false">IF(商品档案!$A59="","",商品档案!$F59)</f>
        <v/>
      </c>
      <c r="G59" s="25" t="str">
        <f aca="false">IF(商品档案!$A59="","",商品档案!$G59)</f>
        <v/>
      </c>
      <c r="H59" s="82" t="str">
        <f aca="false">IF($B59="","",SUMIFS(期初余额!$K$6:$K$65,期初余额!$H$6:$H$65,$A59,期初余额!$I$6:$I$65,$B59))</f>
        <v/>
      </c>
      <c r="I59" s="40" t="str">
        <f aca="false">IF($B59="","",SUMIFS(期初余额!$L$6:$L$65,期初余额!$H$6:$H$65,$A59,期初余额!$I$6:$I$65,$B59))</f>
        <v/>
      </c>
      <c r="J59" s="82" t="str">
        <f aca="false">IF($B59="","",SUMIFS(购销流水!$J$6:$J$805,购销流水!$C$6:$C$805,$A59,购销流水!$F$6:$F$805,$B59,购销流水!$D$6:$D$805,"采购入库")-SUMIFS(购销流水!$J$6:$J$805,购销流水!$C$6:$C$805,$A59,购销流水!$F$6:$F$805,$B59,购销流水!$D$6:$D$805,"采购退回"))</f>
        <v/>
      </c>
      <c r="K59" s="40" t="str">
        <f aca="false">IF($B59="","",SUMIFS(购销流水!$Q$6:$Q$805,购销流水!$C$6:$C$805,$A59,购销流水!$F$6:$F$805,$B59,购销流水!$D$6:$D$805,"采购入库")-SUMIFS(购销流水!$Q$6:$Q$805,购销流水!$C$6:$C$805,$A59,购销流水!$F$6:$F$805,$B59,购销流水!$D$6:$D$805,"采购退回"))</f>
        <v/>
      </c>
      <c r="L59" s="82" t="str">
        <f aca="false">IF($B59="","",SUMIFS(生产加工!$I$6:$I$305,生产加工!$C$6:$C$305,$A59,生产加工!$F$6:$F$305,$B59,生产加工!$E$6:$E$305,"产成品入库"))</f>
        <v/>
      </c>
      <c r="M59" s="40" t="str">
        <f aca="false">IF($B59="","",SUMIFS(生产加工!$T$6:$T$305,生产加工!$C$6:$C$305,$A59,生产加工!$F$6:$F$305,$B59,生产加工!$E$6:$E$305,"产成品入库"))</f>
        <v/>
      </c>
      <c r="N59" s="83" t="str">
        <f aca="false">IF($B59="","",IF(($H59+$J59+$L59)=0,0,($I59+$K59+$M59)/($H59+$J59+$L59)))</f>
        <v/>
      </c>
      <c r="O59" s="82" t="str">
        <f aca="false">IF($B59="","",SUMIFS(购销流水!$J$6:$J$805,购销流水!$C$6:$C$805,$A59,购销流水!$F$6:$F$805,$B59,购销流水!$D$6:$D$805,"销售出库")-SUMIFS(购销流水!$J$6:$J$805,购销流水!$C$6:$C$805,$A59,购销流水!$F$6:$F$805,$B59,购销流水!$D$6:$D$805,"销售退回"))</f>
        <v/>
      </c>
      <c r="P59" s="40" t="str">
        <f aca="false">IF($B59="","",SUMIFS(购销流水!$W$6:$W$805,购销流水!$C$6:$C$805,$A59,购销流水!$F$6:$F$805,$B59,购销流水!$D$6:$D$805,"销售出库")-SUMIFS(购销流水!$W$6:$W$805,购销流水!$C$6:$C$805,$A59,购销流水!$F$6:$F$805,$B59,购销流水!$D$6:$D$805,"销售退回"))</f>
        <v/>
      </c>
      <c r="Q59" s="82" t="str">
        <f aca="false">IF($B59="","",SUMIFS(生产加工!$I$6:$I$305,生产加工!$C$6:$C$305,$A59,生产加工!$F$6:$F$305,$B59,生产加工!$E$6:$E$305,"领用投入"))</f>
        <v/>
      </c>
      <c r="R59" s="40" t="str">
        <f aca="false">IF($B59="","",SUMIFS(生产加工!$S$6:$S$305,生产加工!$C$6:$C$305,$A59,生产加工!$F$6:$F$305,$B59,生产加工!$E$6:$E$305,"领用投入"))</f>
        <v/>
      </c>
      <c r="S59" s="84" t="str">
        <f aca="false">IF($B59="","",$H59+$J59+$L59-$O59-$Q59)</f>
        <v/>
      </c>
      <c r="T59" s="85" t="str">
        <f aca="false">IF($B59="","",IF($S59=0,0,ROUND($U59/$S59,4)))</f>
        <v/>
      </c>
      <c r="U59" s="42" t="str">
        <f aca="false">IF($B59="","",ROUND($I59+$K59+$M59-$P59-$R59,2))</f>
        <v/>
      </c>
      <c r="V59" s="25" t="str">
        <f aca="false">IF($B59="","",IF($S59&lt;-0.0001,"✗ 结存数量为负",IF(AND($S59=0,ROUND($U59,2)&lt;&gt;0),"✗ 数量 0 金额不为 0",IF(ROUND($U59,2)&lt;-0.005,"✗ 结存金额为负","OK"))))</f>
        <v/>
      </c>
    </row>
    <row r="60" customFormat="false" ht="15" hidden="false" customHeight="false" outlineLevel="0" collapsed="false">
      <c r="A60" s="25" t="str">
        <f aca="false">IF(商品档案!$A60="","",商品档案!$E60)</f>
        <v/>
      </c>
      <c r="B60" s="25" t="str">
        <f aca="false">IF(商品档案!$A60="","",商品档案!$A60)</f>
        <v/>
      </c>
      <c r="C60" s="10" t="str">
        <f aca="false">IF(商品档案!$A60="","",商品档案!$B60)</f>
        <v/>
      </c>
      <c r="D60" s="10" t="str">
        <f aca="false">IF(商品档案!$A60="","",商品档案!$C60)</f>
        <v/>
      </c>
      <c r="E60" s="25" t="str">
        <f aca="false">IF(商品档案!$A60="","",商品档案!$D60)</f>
        <v/>
      </c>
      <c r="F60" s="25" t="str">
        <f aca="false">IF(商品档案!$A60="","",商品档案!$F60)</f>
        <v/>
      </c>
      <c r="G60" s="25" t="str">
        <f aca="false">IF(商品档案!$A60="","",商品档案!$G60)</f>
        <v/>
      </c>
      <c r="H60" s="82" t="str">
        <f aca="false">IF($B60="","",SUMIFS(期初余额!$K$6:$K$65,期初余额!$H$6:$H$65,$A60,期初余额!$I$6:$I$65,$B60))</f>
        <v/>
      </c>
      <c r="I60" s="40" t="str">
        <f aca="false">IF($B60="","",SUMIFS(期初余额!$L$6:$L$65,期初余额!$H$6:$H$65,$A60,期初余额!$I$6:$I$65,$B60))</f>
        <v/>
      </c>
      <c r="J60" s="82" t="str">
        <f aca="false">IF($B60="","",SUMIFS(购销流水!$J$6:$J$805,购销流水!$C$6:$C$805,$A60,购销流水!$F$6:$F$805,$B60,购销流水!$D$6:$D$805,"采购入库")-SUMIFS(购销流水!$J$6:$J$805,购销流水!$C$6:$C$805,$A60,购销流水!$F$6:$F$805,$B60,购销流水!$D$6:$D$805,"采购退回"))</f>
        <v/>
      </c>
      <c r="K60" s="40" t="str">
        <f aca="false">IF($B60="","",SUMIFS(购销流水!$Q$6:$Q$805,购销流水!$C$6:$C$805,$A60,购销流水!$F$6:$F$805,$B60,购销流水!$D$6:$D$805,"采购入库")-SUMIFS(购销流水!$Q$6:$Q$805,购销流水!$C$6:$C$805,$A60,购销流水!$F$6:$F$805,$B60,购销流水!$D$6:$D$805,"采购退回"))</f>
        <v/>
      </c>
      <c r="L60" s="82" t="str">
        <f aca="false">IF($B60="","",SUMIFS(生产加工!$I$6:$I$305,生产加工!$C$6:$C$305,$A60,生产加工!$F$6:$F$305,$B60,生产加工!$E$6:$E$305,"产成品入库"))</f>
        <v/>
      </c>
      <c r="M60" s="40" t="str">
        <f aca="false">IF($B60="","",SUMIFS(生产加工!$T$6:$T$305,生产加工!$C$6:$C$305,$A60,生产加工!$F$6:$F$305,$B60,生产加工!$E$6:$E$305,"产成品入库"))</f>
        <v/>
      </c>
      <c r="N60" s="83" t="str">
        <f aca="false">IF($B60="","",IF(($H60+$J60+$L60)=0,0,($I60+$K60+$M60)/($H60+$J60+$L60)))</f>
        <v/>
      </c>
      <c r="O60" s="82" t="str">
        <f aca="false">IF($B60="","",SUMIFS(购销流水!$J$6:$J$805,购销流水!$C$6:$C$805,$A60,购销流水!$F$6:$F$805,$B60,购销流水!$D$6:$D$805,"销售出库")-SUMIFS(购销流水!$J$6:$J$805,购销流水!$C$6:$C$805,$A60,购销流水!$F$6:$F$805,$B60,购销流水!$D$6:$D$805,"销售退回"))</f>
        <v/>
      </c>
      <c r="P60" s="40" t="str">
        <f aca="false">IF($B60="","",SUMIFS(购销流水!$W$6:$W$805,购销流水!$C$6:$C$805,$A60,购销流水!$F$6:$F$805,$B60,购销流水!$D$6:$D$805,"销售出库")-SUMIFS(购销流水!$W$6:$W$805,购销流水!$C$6:$C$805,$A60,购销流水!$F$6:$F$805,$B60,购销流水!$D$6:$D$805,"销售退回"))</f>
        <v/>
      </c>
      <c r="Q60" s="82" t="str">
        <f aca="false">IF($B60="","",SUMIFS(生产加工!$I$6:$I$305,生产加工!$C$6:$C$305,$A60,生产加工!$F$6:$F$305,$B60,生产加工!$E$6:$E$305,"领用投入"))</f>
        <v/>
      </c>
      <c r="R60" s="40" t="str">
        <f aca="false">IF($B60="","",SUMIFS(生产加工!$S$6:$S$305,生产加工!$C$6:$C$305,$A60,生产加工!$F$6:$F$305,$B60,生产加工!$E$6:$E$305,"领用投入"))</f>
        <v/>
      </c>
      <c r="S60" s="84" t="str">
        <f aca="false">IF($B60="","",$H60+$J60+$L60-$O60-$Q60)</f>
        <v/>
      </c>
      <c r="T60" s="85" t="str">
        <f aca="false">IF($B60="","",IF($S60=0,0,ROUND($U60/$S60,4)))</f>
        <v/>
      </c>
      <c r="U60" s="42" t="str">
        <f aca="false">IF($B60="","",ROUND($I60+$K60+$M60-$P60-$R60,2))</f>
        <v/>
      </c>
      <c r="V60" s="25" t="str">
        <f aca="false">IF($B60="","",IF($S60&lt;-0.0001,"✗ 结存数量为负",IF(AND($S60=0,ROUND($U60,2)&lt;&gt;0),"✗ 数量 0 金额不为 0",IF(ROUND($U60,2)&lt;-0.005,"✗ 结存金额为负","OK"))))</f>
        <v/>
      </c>
    </row>
    <row r="61" customFormat="false" ht="15" hidden="false" customHeight="false" outlineLevel="0" collapsed="false">
      <c r="A61" s="25" t="str">
        <f aca="false">IF(商品档案!$A61="","",商品档案!$E61)</f>
        <v/>
      </c>
      <c r="B61" s="25" t="str">
        <f aca="false">IF(商品档案!$A61="","",商品档案!$A61)</f>
        <v/>
      </c>
      <c r="C61" s="10" t="str">
        <f aca="false">IF(商品档案!$A61="","",商品档案!$B61)</f>
        <v/>
      </c>
      <c r="D61" s="10" t="str">
        <f aca="false">IF(商品档案!$A61="","",商品档案!$C61)</f>
        <v/>
      </c>
      <c r="E61" s="25" t="str">
        <f aca="false">IF(商品档案!$A61="","",商品档案!$D61)</f>
        <v/>
      </c>
      <c r="F61" s="25" t="str">
        <f aca="false">IF(商品档案!$A61="","",商品档案!$F61)</f>
        <v/>
      </c>
      <c r="G61" s="25" t="str">
        <f aca="false">IF(商品档案!$A61="","",商品档案!$G61)</f>
        <v/>
      </c>
      <c r="H61" s="82" t="str">
        <f aca="false">IF($B61="","",SUMIFS(期初余额!$K$6:$K$65,期初余额!$H$6:$H$65,$A61,期初余额!$I$6:$I$65,$B61))</f>
        <v/>
      </c>
      <c r="I61" s="40" t="str">
        <f aca="false">IF($B61="","",SUMIFS(期初余额!$L$6:$L$65,期初余额!$H$6:$H$65,$A61,期初余额!$I$6:$I$65,$B61))</f>
        <v/>
      </c>
      <c r="J61" s="82" t="str">
        <f aca="false">IF($B61="","",SUMIFS(购销流水!$J$6:$J$805,购销流水!$C$6:$C$805,$A61,购销流水!$F$6:$F$805,$B61,购销流水!$D$6:$D$805,"采购入库")-SUMIFS(购销流水!$J$6:$J$805,购销流水!$C$6:$C$805,$A61,购销流水!$F$6:$F$805,$B61,购销流水!$D$6:$D$805,"采购退回"))</f>
        <v/>
      </c>
      <c r="K61" s="40" t="str">
        <f aca="false">IF($B61="","",SUMIFS(购销流水!$Q$6:$Q$805,购销流水!$C$6:$C$805,$A61,购销流水!$F$6:$F$805,$B61,购销流水!$D$6:$D$805,"采购入库")-SUMIFS(购销流水!$Q$6:$Q$805,购销流水!$C$6:$C$805,$A61,购销流水!$F$6:$F$805,$B61,购销流水!$D$6:$D$805,"采购退回"))</f>
        <v/>
      </c>
      <c r="L61" s="82" t="str">
        <f aca="false">IF($B61="","",SUMIFS(生产加工!$I$6:$I$305,生产加工!$C$6:$C$305,$A61,生产加工!$F$6:$F$305,$B61,生产加工!$E$6:$E$305,"产成品入库"))</f>
        <v/>
      </c>
      <c r="M61" s="40" t="str">
        <f aca="false">IF($B61="","",SUMIFS(生产加工!$T$6:$T$305,生产加工!$C$6:$C$305,$A61,生产加工!$F$6:$F$305,$B61,生产加工!$E$6:$E$305,"产成品入库"))</f>
        <v/>
      </c>
      <c r="N61" s="83" t="str">
        <f aca="false">IF($B61="","",IF(($H61+$J61+$L61)=0,0,($I61+$K61+$M61)/($H61+$J61+$L61)))</f>
        <v/>
      </c>
      <c r="O61" s="82" t="str">
        <f aca="false">IF($B61="","",SUMIFS(购销流水!$J$6:$J$805,购销流水!$C$6:$C$805,$A61,购销流水!$F$6:$F$805,$B61,购销流水!$D$6:$D$805,"销售出库")-SUMIFS(购销流水!$J$6:$J$805,购销流水!$C$6:$C$805,$A61,购销流水!$F$6:$F$805,$B61,购销流水!$D$6:$D$805,"销售退回"))</f>
        <v/>
      </c>
      <c r="P61" s="40" t="str">
        <f aca="false">IF($B61="","",SUMIFS(购销流水!$W$6:$W$805,购销流水!$C$6:$C$805,$A61,购销流水!$F$6:$F$805,$B61,购销流水!$D$6:$D$805,"销售出库")-SUMIFS(购销流水!$W$6:$W$805,购销流水!$C$6:$C$805,$A61,购销流水!$F$6:$F$805,$B61,购销流水!$D$6:$D$805,"销售退回"))</f>
        <v/>
      </c>
      <c r="Q61" s="82" t="str">
        <f aca="false">IF($B61="","",SUMIFS(生产加工!$I$6:$I$305,生产加工!$C$6:$C$305,$A61,生产加工!$F$6:$F$305,$B61,生产加工!$E$6:$E$305,"领用投入"))</f>
        <v/>
      </c>
      <c r="R61" s="40" t="str">
        <f aca="false">IF($B61="","",SUMIFS(生产加工!$S$6:$S$305,生产加工!$C$6:$C$305,$A61,生产加工!$F$6:$F$305,$B61,生产加工!$E$6:$E$305,"领用投入"))</f>
        <v/>
      </c>
      <c r="S61" s="84" t="str">
        <f aca="false">IF($B61="","",$H61+$J61+$L61-$O61-$Q61)</f>
        <v/>
      </c>
      <c r="T61" s="85" t="str">
        <f aca="false">IF($B61="","",IF($S61=0,0,ROUND($U61/$S61,4)))</f>
        <v/>
      </c>
      <c r="U61" s="42" t="str">
        <f aca="false">IF($B61="","",ROUND($I61+$K61+$M61-$P61-$R61,2))</f>
        <v/>
      </c>
      <c r="V61" s="25" t="str">
        <f aca="false">IF($B61="","",IF($S61&lt;-0.0001,"✗ 结存数量为负",IF(AND($S61=0,ROUND($U61,2)&lt;&gt;0),"✗ 数量 0 金额不为 0",IF(ROUND($U61,2)&lt;-0.005,"✗ 结存金额为负","OK"))))</f>
        <v/>
      </c>
    </row>
    <row r="62" customFormat="false" ht="15" hidden="false" customHeight="false" outlineLevel="0" collapsed="false">
      <c r="A62" s="25" t="str">
        <f aca="false">IF(商品档案!$A62="","",商品档案!$E62)</f>
        <v/>
      </c>
      <c r="B62" s="25" t="str">
        <f aca="false">IF(商品档案!$A62="","",商品档案!$A62)</f>
        <v/>
      </c>
      <c r="C62" s="10" t="str">
        <f aca="false">IF(商品档案!$A62="","",商品档案!$B62)</f>
        <v/>
      </c>
      <c r="D62" s="10" t="str">
        <f aca="false">IF(商品档案!$A62="","",商品档案!$C62)</f>
        <v/>
      </c>
      <c r="E62" s="25" t="str">
        <f aca="false">IF(商品档案!$A62="","",商品档案!$D62)</f>
        <v/>
      </c>
      <c r="F62" s="25" t="str">
        <f aca="false">IF(商品档案!$A62="","",商品档案!$F62)</f>
        <v/>
      </c>
      <c r="G62" s="25" t="str">
        <f aca="false">IF(商品档案!$A62="","",商品档案!$G62)</f>
        <v/>
      </c>
      <c r="H62" s="82" t="str">
        <f aca="false">IF($B62="","",SUMIFS(期初余额!$K$6:$K$65,期初余额!$H$6:$H$65,$A62,期初余额!$I$6:$I$65,$B62))</f>
        <v/>
      </c>
      <c r="I62" s="40" t="str">
        <f aca="false">IF($B62="","",SUMIFS(期初余额!$L$6:$L$65,期初余额!$H$6:$H$65,$A62,期初余额!$I$6:$I$65,$B62))</f>
        <v/>
      </c>
      <c r="J62" s="82" t="str">
        <f aca="false">IF($B62="","",SUMIFS(购销流水!$J$6:$J$805,购销流水!$C$6:$C$805,$A62,购销流水!$F$6:$F$805,$B62,购销流水!$D$6:$D$805,"采购入库")-SUMIFS(购销流水!$J$6:$J$805,购销流水!$C$6:$C$805,$A62,购销流水!$F$6:$F$805,$B62,购销流水!$D$6:$D$805,"采购退回"))</f>
        <v/>
      </c>
      <c r="K62" s="40" t="str">
        <f aca="false">IF($B62="","",SUMIFS(购销流水!$Q$6:$Q$805,购销流水!$C$6:$C$805,$A62,购销流水!$F$6:$F$805,$B62,购销流水!$D$6:$D$805,"采购入库")-SUMIFS(购销流水!$Q$6:$Q$805,购销流水!$C$6:$C$805,$A62,购销流水!$F$6:$F$805,$B62,购销流水!$D$6:$D$805,"采购退回"))</f>
        <v/>
      </c>
      <c r="L62" s="82" t="str">
        <f aca="false">IF($B62="","",SUMIFS(生产加工!$I$6:$I$305,生产加工!$C$6:$C$305,$A62,生产加工!$F$6:$F$305,$B62,生产加工!$E$6:$E$305,"产成品入库"))</f>
        <v/>
      </c>
      <c r="M62" s="40" t="str">
        <f aca="false">IF($B62="","",SUMIFS(生产加工!$T$6:$T$305,生产加工!$C$6:$C$305,$A62,生产加工!$F$6:$F$305,$B62,生产加工!$E$6:$E$305,"产成品入库"))</f>
        <v/>
      </c>
      <c r="N62" s="83" t="str">
        <f aca="false">IF($B62="","",IF(($H62+$J62+$L62)=0,0,($I62+$K62+$M62)/($H62+$J62+$L62)))</f>
        <v/>
      </c>
      <c r="O62" s="82" t="str">
        <f aca="false">IF($B62="","",SUMIFS(购销流水!$J$6:$J$805,购销流水!$C$6:$C$805,$A62,购销流水!$F$6:$F$805,$B62,购销流水!$D$6:$D$805,"销售出库")-SUMIFS(购销流水!$J$6:$J$805,购销流水!$C$6:$C$805,$A62,购销流水!$F$6:$F$805,$B62,购销流水!$D$6:$D$805,"销售退回"))</f>
        <v/>
      </c>
      <c r="P62" s="40" t="str">
        <f aca="false">IF($B62="","",SUMIFS(购销流水!$W$6:$W$805,购销流水!$C$6:$C$805,$A62,购销流水!$F$6:$F$805,$B62,购销流水!$D$6:$D$805,"销售出库")-SUMIFS(购销流水!$W$6:$W$805,购销流水!$C$6:$C$805,$A62,购销流水!$F$6:$F$805,$B62,购销流水!$D$6:$D$805,"销售退回"))</f>
        <v/>
      </c>
      <c r="Q62" s="82" t="str">
        <f aca="false">IF($B62="","",SUMIFS(生产加工!$I$6:$I$305,生产加工!$C$6:$C$305,$A62,生产加工!$F$6:$F$305,$B62,生产加工!$E$6:$E$305,"领用投入"))</f>
        <v/>
      </c>
      <c r="R62" s="40" t="str">
        <f aca="false">IF($B62="","",SUMIFS(生产加工!$S$6:$S$305,生产加工!$C$6:$C$305,$A62,生产加工!$F$6:$F$305,$B62,生产加工!$E$6:$E$305,"领用投入"))</f>
        <v/>
      </c>
      <c r="S62" s="84" t="str">
        <f aca="false">IF($B62="","",$H62+$J62+$L62-$O62-$Q62)</f>
        <v/>
      </c>
      <c r="T62" s="85" t="str">
        <f aca="false">IF($B62="","",IF($S62=0,0,ROUND($U62/$S62,4)))</f>
        <v/>
      </c>
      <c r="U62" s="42" t="str">
        <f aca="false">IF($B62="","",ROUND($I62+$K62+$M62-$P62-$R62,2))</f>
        <v/>
      </c>
      <c r="V62" s="25" t="str">
        <f aca="false">IF($B62="","",IF($S62&lt;-0.0001,"✗ 结存数量为负",IF(AND($S62=0,ROUND($U62,2)&lt;&gt;0),"✗ 数量 0 金额不为 0",IF(ROUND($U62,2)&lt;-0.005,"✗ 结存金额为负","OK"))))</f>
        <v/>
      </c>
    </row>
    <row r="63" customFormat="false" ht="15" hidden="false" customHeight="false" outlineLevel="0" collapsed="false">
      <c r="A63" s="25" t="str">
        <f aca="false">IF(商品档案!$A63="","",商品档案!$E63)</f>
        <v/>
      </c>
      <c r="B63" s="25" t="str">
        <f aca="false">IF(商品档案!$A63="","",商品档案!$A63)</f>
        <v/>
      </c>
      <c r="C63" s="10" t="str">
        <f aca="false">IF(商品档案!$A63="","",商品档案!$B63)</f>
        <v/>
      </c>
      <c r="D63" s="10" t="str">
        <f aca="false">IF(商品档案!$A63="","",商品档案!$C63)</f>
        <v/>
      </c>
      <c r="E63" s="25" t="str">
        <f aca="false">IF(商品档案!$A63="","",商品档案!$D63)</f>
        <v/>
      </c>
      <c r="F63" s="25" t="str">
        <f aca="false">IF(商品档案!$A63="","",商品档案!$F63)</f>
        <v/>
      </c>
      <c r="G63" s="25" t="str">
        <f aca="false">IF(商品档案!$A63="","",商品档案!$G63)</f>
        <v/>
      </c>
      <c r="H63" s="82" t="str">
        <f aca="false">IF($B63="","",SUMIFS(期初余额!$K$6:$K$65,期初余额!$H$6:$H$65,$A63,期初余额!$I$6:$I$65,$B63))</f>
        <v/>
      </c>
      <c r="I63" s="40" t="str">
        <f aca="false">IF($B63="","",SUMIFS(期初余额!$L$6:$L$65,期初余额!$H$6:$H$65,$A63,期初余额!$I$6:$I$65,$B63))</f>
        <v/>
      </c>
      <c r="J63" s="82" t="str">
        <f aca="false">IF($B63="","",SUMIFS(购销流水!$J$6:$J$805,购销流水!$C$6:$C$805,$A63,购销流水!$F$6:$F$805,$B63,购销流水!$D$6:$D$805,"采购入库")-SUMIFS(购销流水!$J$6:$J$805,购销流水!$C$6:$C$805,$A63,购销流水!$F$6:$F$805,$B63,购销流水!$D$6:$D$805,"采购退回"))</f>
        <v/>
      </c>
      <c r="K63" s="40" t="str">
        <f aca="false">IF($B63="","",SUMIFS(购销流水!$Q$6:$Q$805,购销流水!$C$6:$C$805,$A63,购销流水!$F$6:$F$805,$B63,购销流水!$D$6:$D$805,"采购入库")-SUMIFS(购销流水!$Q$6:$Q$805,购销流水!$C$6:$C$805,$A63,购销流水!$F$6:$F$805,$B63,购销流水!$D$6:$D$805,"采购退回"))</f>
        <v/>
      </c>
      <c r="L63" s="82" t="str">
        <f aca="false">IF($B63="","",SUMIFS(生产加工!$I$6:$I$305,生产加工!$C$6:$C$305,$A63,生产加工!$F$6:$F$305,$B63,生产加工!$E$6:$E$305,"产成品入库"))</f>
        <v/>
      </c>
      <c r="M63" s="40" t="str">
        <f aca="false">IF($B63="","",SUMIFS(生产加工!$T$6:$T$305,生产加工!$C$6:$C$305,$A63,生产加工!$F$6:$F$305,$B63,生产加工!$E$6:$E$305,"产成品入库"))</f>
        <v/>
      </c>
      <c r="N63" s="83" t="str">
        <f aca="false">IF($B63="","",IF(($H63+$J63+$L63)=0,0,($I63+$K63+$M63)/($H63+$J63+$L63)))</f>
        <v/>
      </c>
      <c r="O63" s="82" t="str">
        <f aca="false">IF($B63="","",SUMIFS(购销流水!$J$6:$J$805,购销流水!$C$6:$C$805,$A63,购销流水!$F$6:$F$805,$B63,购销流水!$D$6:$D$805,"销售出库")-SUMIFS(购销流水!$J$6:$J$805,购销流水!$C$6:$C$805,$A63,购销流水!$F$6:$F$805,$B63,购销流水!$D$6:$D$805,"销售退回"))</f>
        <v/>
      </c>
      <c r="P63" s="40" t="str">
        <f aca="false">IF($B63="","",SUMIFS(购销流水!$W$6:$W$805,购销流水!$C$6:$C$805,$A63,购销流水!$F$6:$F$805,$B63,购销流水!$D$6:$D$805,"销售出库")-SUMIFS(购销流水!$W$6:$W$805,购销流水!$C$6:$C$805,$A63,购销流水!$F$6:$F$805,$B63,购销流水!$D$6:$D$805,"销售退回"))</f>
        <v/>
      </c>
      <c r="Q63" s="82" t="str">
        <f aca="false">IF($B63="","",SUMIFS(生产加工!$I$6:$I$305,生产加工!$C$6:$C$305,$A63,生产加工!$F$6:$F$305,$B63,生产加工!$E$6:$E$305,"领用投入"))</f>
        <v/>
      </c>
      <c r="R63" s="40" t="str">
        <f aca="false">IF($B63="","",SUMIFS(生产加工!$S$6:$S$305,生产加工!$C$6:$C$305,$A63,生产加工!$F$6:$F$305,$B63,生产加工!$E$6:$E$305,"领用投入"))</f>
        <v/>
      </c>
      <c r="S63" s="84" t="str">
        <f aca="false">IF($B63="","",$H63+$J63+$L63-$O63-$Q63)</f>
        <v/>
      </c>
      <c r="T63" s="85" t="str">
        <f aca="false">IF($B63="","",IF($S63=0,0,ROUND($U63/$S63,4)))</f>
        <v/>
      </c>
      <c r="U63" s="42" t="str">
        <f aca="false">IF($B63="","",ROUND($I63+$K63+$M63-$P63-$R63,2))</f>
        <v/>
      </c>
      <c r="V63" s="25" t="str">
        <f aca="false">IF($B63="","",IF($S63&lt;-0.0001,"✗ 结存数量为负",IF(AND($S63=0,ROUND($U63,2)&lt;&gt;0),"✗ 数量 0 金额不为 0",IF(ROUND($U63,2)&lt;-0.005,"✗ 结存金额为负","OK"))))</f>
        <v/>
      </c>
    </row>
    <row r="64" customFormat="false" ht="15" hidden="false" customHeight="false" outlineLevel="0" collapsed="false">
      <c r="A64" s="25" t="str">
        <f aca="false">IF(商品档案!$A64="","",商品档案!$E64)</f>
        <v/>
      </c>
      <c r="B64" s="25" t="str">
        <f aca="false">IF(商品档案!$A64="","",商品档案!$A64)</f>
        <v/>
      </c>
      <c r="C64" s="10" t="str">
        <f aca="false">IF(商品档案!$A64="","",商品档案!$B64)</f>
        <v/>
      </c>
      <c r="D64" s="10" t="str">
        <f aca="false">IF(商品档案!$A64="","",商品档案!$C64)</f>
        <v/>
      </c>
      <c r="E64" s="25" t="str">
        <f aca="false">IF(商品档案!$A64="","",商品档案!$D64)</f>
        <v/>
      </c>
      <c r="F64" s="25" t="str">
        <f aca="false">IF(商品档案!$A64="","",商品档案!$F64)</f>
        <v/>
      </c>
      <c r="G64" s="25" t="str">
        <f aca="false">IF(商品档案!$A64="","",商品档案!$G64)</f>
        <v/>
      </c>
      <c r="H64" s="82" t="str">
        <f aca="false">IF($B64="","",SUMIFS(期初余额!$K$6:$K$65,期初余额!$H$6:$H$65,$A64,期初余额!$I$6:$I$65,$B64))</f>
        <v/>
      </c>
      <c r="I64" s="40" t="str">
        <f aca="false">IF($B64="","",SUMIFS(期初余额!$L$6:$L$65,期初余额!$H$6:$H$65,$A64,期初余额!$I$6:$I$65,$B64))</f>
        <v/>
      </c>
      <c r="J64" s="82" t="str">
        <f aca="false">IF($B64="","",SUMIFS(购销流水!$J$6:$J$805,购销流水!$C$6:$C$805,$A64,购销流水!$F$6:$F$805,$B64,购销流水!$D$6:$D$805,"采购入库")-SUMIFS(购销流水!$J$6:$J$805,购销流水!$C$6:$C$805,$A64,购销流水!$F$6:$F$805,$B64,购销流水!$D$6:$D$805,"采购退回"))</f>
        <v/>
      </c>
      <c r="K64" s="40" t="str">
        <f aca="false">IF($B64="","",SUMIFS(购销流水!$Q$6:$Q$805,购销流水!$C$6:$C$805,$A64,购销流水!$F$6:$F$805,$B64,购销流水!$D$6:$D$805,"采购入库")-SUMIFS(购销流水!$Q$6:$Q$805,购销流水!$C$6:$C$805,$A64,购销流水!$F$6:$F$805,$B64,购销流水!$D$6:$D$805,"采购退回"))</f>
        <v/>
      </c>
      <c r="L64" s="82" t="str">
        <f aca="false">IF($B64="","",SUMIFS(生产加工!$I$6:$I$305,生产加工!$C$6:$C$305,$A64,生产加工!$F$6:$F$305,$B64,生产加工!$E$6:$E$305,"产成品入库"))</f>
        <v/>
      </c>
      <c r="M64" s="40" t="str">
        <f aca="false">IF($B64="","",SUMIFS(生产加工!$T$6:$T$305,生产加工!$C$6:$C$305,$A64,生产加工!$F$6:$F$305,$B64,生产加工!$E$6:$E$305,"产成品入库"))</f>
        <v/>
      </c>
      <c r="N64" s="83" t="str">
        <f aca="false">IF($B64="","",IF(($H64+$J64+$L64)=0,0,($I64+$K64+$M64)/($H64+$J64+$L64)))</f>
        <v/>
      </c>
      <c r="O64" s="82" t="str">
        <f aca="false">IF($B64="","",SUMIFS(购销流水!$J$6:$J$805,购销流水!$C$6:$C$805,$A64,购销流水!$F$6:$F$805,$B64,购销流水!$D$6:$D$805,"销售出库")-SUMIFS(购销流水!$J$6:$J$805,购销流水!$C$6:$C$805,$A64,购销流水!$F$6:$F$805,$B64,购销流水!$D$6:$D$805,"销售退回"))</f>
        <v/>
      </c>
      <c r="P64" s="40" t="str">
        <f aca="false">IF($B64="","",SUMIFS(购销流水!$W$6:$W$805,购销流水!$C$6:$C$805,$A64,购销流水!$F$6:$F$805,$B64,购销流水!$D$6:$D$805,"销售出库")-SUMIFS(购销流水!$W$6:$W$805,购销流水!$C$6:$C$805,$A64,购销流水!$F$6:$F$805,$B64,购销流水!$D$6:$D$805,"销售退回"))</f>
        <v/>
      </c>
      <c r="Q64" s="82" t="str">
        <f aca="false">IF($B64="","",SUMIFS(生产加工!$I$6:$I$305,生产加工!$C$6:$C$305,$A64,生产加工!$F$6:$F$305,$B64,生产加工!$E$6:$E$305,"领用投入"))</f>
        <v/>
      </c>
      <c r="R64" s="40" t="str">
        <f aca="false">IF($B64="","",SUMIFS(生产加工!$S$6:$S$305,生产加工!$C$6:$C$305,$A64,生产加工!$F$6:$F$305,$B64,生产加工!$E$6:$E$305,"领用投入"))</f>
        <v/>
      </c>
      <c r="S64" s="84" t="str">
        <f aca="false">IF($B64="","",$H64+$J64+$L64-$O64-$Q64)</f>
        <v/>
      </c>
      <c r="T64" s="85" t="str">
        <f aca="false">IF($B64="","",IF($S64=0,0,ROUND($U64/$S64,4)))</f>
        <v/>
      </c>
      <c r="U64" s="42" t="str">
        <f aca="false">IF($B64="","",ROUND($I64+$K64+$M64-$P64-$R64,2))</f>
        <v/>
      </c>
      <c r="V64" s="25" t="str">
        <f aca="false">IF($B64="","",IF($S64&lt;-0.0001,"✗ 结存数量为负",IF(AND($S64=0,ROUND($U64,2)&lt;&gt;0),"✗ 数量 0 金额不为 0",IF(ROUND($U64,2)&lt;-0.005,"✗ 结存金额为负","OK"))))</f>
        <v/>
      </c>
    </row>
    <row r="65" customFormat="false" ht="15" hidden="false" customHeight="false" outlineLevel="0" collapsed="false">
      <c r="A65" s="25" t="str">
        <f aca="false">IF(商品档案!$A65="","",商品档案!$E65)</f>
        <v/>
      </c>
      <c r="B65" s="25" t="str">
        <f aca="false">IF(商品档案!$A65="","",商品档案!$A65)</f>
        <v/>
      </c>
      <c r="C65" s="10" t="str">
        <f aca="false">IF(商品档案!$A65="","",商品档案!$B65)</f>
        <v/>
      </c>
      <c r="D65" s="10" t="str">
        <f aca="false">IF(商品档案!$A65="","",商品档案!$C65)</f>
        <v/>
      </c>
      <c r="E65" s="25" t="str">
        <f aca="false">IF(商品档案!$A65="","",商品档案!$D65)</f>
        <v/>
      </c>
      <c r="F65" s="25" t="str">
        <f aca="false">IF(商品档案!$A65="","",商品档案!$F65)</f>
        <v/>
      </c>
      <c r="G65" s="25" t="str">
        <f aca="false">IF(商品档案!$A65="","",商品档案!$G65)</f>
        <v/>
      </c>
      <c r="H65" s="82" t="str">
        <f aca="false">IF($B65="","",SUMIFS(期初余额!$K$6:$K$65,期初余额!$H$6:$H$65,$A65,期初余额!$I$6:$I$65,$B65))</f>
        <v/>
      </c>
      <c r="I65" s="40" t="str">
        <f aca="false">IF($B65="","",SUMIFS(期初余额!$L$6:$L$65,期初余额!$H$6:$H$65,$A65,期初余额!$I$6:$I$65,$B65))</f>
        <v/>
      </c>
      <c r="J65" s="82" t="str">
        <f aca="false">IF($B65="","",SUMIFS(购销流水!$J$6:$J$805,购销流水!$C$6:$C$805,$A65,购销流水!$F$6:$F$805,$B65,购销流水!$D$6:$D$805,"采购入库")-SUMIFS(购销流水!$J$6:$J$805,购销流水!$C$6:$C$805,$A65,购销流水!$F$6:$F$805,$B65,购销流水!$D$6:$D$805,"采购退回"))</f>
        <v/>
      </c>
      <c r="K65" s="40" t="str">
        <f aca="false">IF($B65="","",SUMIFS(购销流水!$Q$6:$Q$805,购销流水!$C$6:$C$805,$A65,购销流水!$F$6:$F$805,$B65,购销流水!$D$6:$D$805,"采购入库")-SUMIFS(购销流水!$Q$6:$Q$805,购销流水!$C$6:$C$805,$A65,购销流水!$F$6:$F$805,$B65,购销流水!$D$6:$D$805,"采购退回"))</f>
        <v/>
      </c>
      <c r="L65" s="82" t="str">
        <f aca="false">IF($B65="","",SUMIFS(生产加工!$I$6:$I$305,生产加工!$C$6:$C$305,$A65,生产加工!$F$6:$F$305,$B65,生产加工!$E$6:$E$305,"产成品入库"))</f>
        <v/>
      </c>
      <c r="M65" s="40" t="str">
        <f aca="false">IF($B65="","",SUMIFS(生产加工!$T$6:$T$305,生产加工!$C$6:$C$305,$A65,生产加工!$F$6:$F$305,$B65,生产加工!$E$6:$E$305,"产成品入库"))</f>
        <v/>
      </c>
      <c r="N65" s="83" t="str">
        <f aca="false">IF($B65="","",IF(($H65+$J65+$L65)=0,0,($I65+$K65+$M65)/($H65+$J65+$L65)))</f>
        <v/>
      </c>
      <c r="O65" s="82" t="str">
        <f aca="false">IF($B65="","",SUMIFS(购销流水!$J$6:$J$805,购销流水!$C$6:$C$805,$A65,购销流水!$F$6:$F$805,$B65,购销流水!$D$6:$D$805,"销售出库")-SUMIFS(购销流水!$J$6:$J$805,购销流水!$C$6:$C$805,$A65,购销流水!$F$6:$F$805,$B65,购销流水!$D$6:$D$805,"销售退回"))</f>
        <v/>
      </c>
      <c r="P65" s="40" t="str">
        <f aca="false">IF($B65="","",SUMIFS(购销流水!$W$6:$W$805,购销流水!$C$6:$C$805,$A65,购销流水!$F$6:$F$805,$B65,购销流水!$D$6:$D$805,"销售出库")-SUMIFS(购销流水!$W$6:$W$805,购销流水!$C$6:$C$805,$A65,购销流水!$F$6:$F$805,$B65,购销流水!$D$6:$D$805,"销售退回"))</f>
        <v/>
      </c>
      <c r="Q65" s="82" t="str">
        <f aca="false">IF($B65="","",SUMIFS(生产加工!$I$6:$I$305,生产加工!$C$6:$C$305,$A65,生产加工!$F$6:$F$305,$B65,生产加工!$E$6:$E$305,"领用投入"))</f>
        <v/>
      </c>
      <c r="R65" s="40" t="str">
        <f aca="false">IF($B65="","",SUMIFS(生产加工!$S$6:$S$305,生产加工!$C$6:$C$305,$A65,生产加工!$F$6:$F$305,$B65,生产加工!$E$6:$E$305,"领用投入"))</f>
        <v/>
      </c>
      <c r="S65" s="84" t="str">
        <f aca="false">IF($B65="","",$H65+$J65+$L65-$O65-$Q65)</f>
        <v/>
      </c>
      <c r="T65" s="85" t="str">
        <f aca="false">IF($B65="","",IF($S65=0,0,ROUND($U65/$S65,4)))</f>
        <v/>
      </c>
      <c r="U65" s="42" t="str">
        <f aca="false">IF($B65="","",ROUND($I65+$K65+$M65-$P65-$R65,2))</f>
        <v/>
      </c>
      <c r="V65" s="25" t="str">
        <f aca="false">IF($B65="","",IF($S65&lt;-0.0001,"✗ 结存数量为负",IF(AND($S65=0,ROUND($U65,2)&lt;&gt;0),"✗ 数量 0 金额不为 0",IF(ROUND($U65,2)&lt;-0.005,"✗ 结存金额为负","OK"))))</f>
        <v/>
      </c>
    </row>
  </sheetData>
  <mergeCells count="2">
    <mergeCell ref="A1:V1"/>
    <mergeCell ref="A2:V2"/>
  </mergeCells>
  <conditionalFormatting sqref="V6">
    <cfRule type="expression" priority="2" aboveAverage="0" equalAverage="0" bottom="0" percent="0" rank="0" text="" dxfId="0">
      <formula>LEFT($V6,1)="✗"</formula>
    </cfRule>
  </conditionalFormatting>
  <conditionalFormatting sqref="V7">
    <cfRule type="expression" priority="3" aboveAverage="0" equalAverage="0" bottom="0" percent="0" rank="0" text="" dxfId="0">
      <formula>LEFT($V7,1)="✗"</formula>
    </cfRule>
  </conditionalFormatting>
  <conditionalFormatting sqref="V8">
    <cfRule type="expression" priority="4" aboveAverage="0" equalAverage="0" bottom="0" percent="0" rank="0" text="" dxfId="0">
      <formula>LEFT($V8,1)="✗"</formula>
    </cfRule>
  </conditionalFormatting>
  <conditionalFormatting sqref="V9">
    <cfRule type="expression" priority="5" aboveAverage="0" equalAverage="0" bottom="0" percent="0" rank="0" text="" dxfId="0">
      <formula>LEFT($V9,1)="✗"</formula>
    </cfRule>
  </conditionalFormatting>
  <conditionalFormatting sqref="V10">
    <cfRule type="expression" priority="6" aboveAverage="0" equalAverage="0" bottom="0" percent="0" rank="0" text="" dxfId="0">
      <formula>LEFT($V10,1)="✗"</formula>
    </cfRule>
  </conditionalFormatting>
  <conditionalFormatting sqref="V11">
    <cfRule type="expression" priority="7" aboveAverage="0" equalAverage="0" bottom="0" percent="0" rank="0" text="" dxfId="0">
      <formula>LEFT($V11,1)="✗"</formula>
    </cfRule>
  </conditionalFormatting>
  <conditionalFormatting sqref="V12">
    <cfRule type="expression" priority="8" aboveAverage="0" equalAverage="0" bottom="0" percent="0" rank="0" text="" dxfId="0">
      <formula>LEFT($V12,1)="✗"</formula>
    </cfRule>
  </conditionalFormatting>
  <conditionalFormatting sqref="V13">
    <cfRule type="expression" priority="9" aboveAverage="0" equalAverage="0" bottom="0" percent="0" rank="0" text="" dxfId="0">
      <formula>LEFT($V13,1)="✗"</formula>
    </cfRule>
  </conditionalFormatting>
  <conditionalFormatting sqref="V14">
    <cfRule type="expression" priority="10" aboveAverage="0" equalAverage="0" bottom="0" percent="0" rank="0" text="" dxfId="0">
      <formula>LEFT($V14,1)="✗"</formula>
    </cfRule>
  </conditionalFormatting>
  <conditionalFormatting sqref="V15">
    <cfRule type="expression" priority="11" aboveAverage="0" equalAverage="0" bottom="0" percent="0" rank="0" text="" dxfId="0">
      <formula>LEFT($V15,1)="✗"</formula>
    </cfRule>
  </conditionalFormatting>
  <conditionalFormatting sqref="V16">
    <cfRule type="expression" priority="12" aboveAverage="0" equalAverage="0" bottom="0" percent="0" rank="0" text="" dxfId="0">
      <formula>LEFT($V16,1)="✗"</formula>
    </cfRule>
  </conditionalFormatting>
  <conditionalFormatting sqref="V17">
    <cfRule type="expression" priority="13" aboveAverage="0" equalAverage="0" bottom="0" percent="0" rank="0" text="" dxfId="0">
      <formula>LEFT($V17,1)="✗"</formula>
    </cfRule>
  </conditionalFormatting>
  <conditionalFormatting sqref="V18">
    <cfRule type="expression" priority="14" aboveAverage="0" equalAverage="0" bottom="0" percent="0" rank="0" text="" dxfId="0">
      <formula>LEFT($V18,1)="✗"</formula>
    </cfRule>
  </conditionalFormatting>
  <conditionalFormatting sqref="V19">
    <cfRule type="expression" priority="15" aboveAverage="0" equalAverage="0" bottom="0" percent="0" rank="0" text="" dxfId="0">
      <formula>LEFT($V19,1)="✗"</formula>
    </cfRule>
  </conditionalFormatting>
  <conditionalFormatting sqref="V20">
    <cfRule type="expression" priority="16" aboveAverage="0" equalAverage="0" bottom="0" percent="0" rank="0" text="" dxfId="0">
      <formula>LEFT($V20,1)="✗"</formula>
    </cfRule>
  </conditionalFormatting>
  <conditionalFormatting sqref="V21">
    <cfRule type="expression" priority="17" aboveAverage="0" equalAverage="0" bottom="0" percent="0" rank="0" text="" dxfId="0">
      <formula>LEFT($V21,1)="✗"</formula>
    </cfRule>
  </conditionalFormatting>
  <conditionalFormatting sqref="V22">
    <cfRule type="expression" priority="18" aboveAverage="0" equalAverage="0" bottom="0" percent="0" rank="0" text="" dxfId="0">
      <formula>LEFT($V22,1)="✗"</formula>
    </cfRule>
  </conditionalFormatting>
  <conditionalFormatting sqref="V23">
    <cfRule type="expression" priority="19" aboveAverage="0" equalAverage="0" bottom="0" percent="0" rank="0" text="" dxfId="0">
      <formula>LEFT($V23,1)="✗"</formula>
    </cfRule>
  </conditionalFormatting>
  <conditionalFormatting sqref="V24">
    <cfRule type="expression" priority="20" aboveAverage="0" equalAverage="0" bottom="0" percent="0" rank="0" text="" dxfId="0">
      <formula>LEFT($V24,1)="✗"</formula>
    </cfRule>
  </conditionalFormatting>
  <conditionalFormatting sqref="V25">
    <cfRule type="expression" priority="21" aboveAverage="0" equalAverage="0" bottom="0" percent="0" rank="0" text="" dxfId="0">
      <formula>LEFT($V25,1)="✗"</formula>
    </cfRule>
  </conditionalFormatting>
  <conditionalFormatting sqref="V26">
    <cfRule type="expression" priority="22" aboveAverage="0" equalAverage="0" bottom="0" percent="0" rank="0" text="" dxfId="0">
      <formula>LEFT($V26,1)="✗"</formula>
    </cfRule>
  </conditionalFormatting>
  <conditionalFormatting sqref="V27">
    <cfRule type="expression" priority="23" aboveAverage="0" equalAverage="0" bottom="0" percent="0" rank="0" text="" dxfId="0">
      <formula>LEFT($V27,1)="✗"</formula>
    </cfRule>
  </conditionalFormatting>
  <conditionalFormatting sqref="V28">
    <cfRule type="expression" priority="24" aboveAverage="0" equalAverage="0" bottom="0" percent="0" rank="0" text="" dxfId="0">
      <formula>LEFT($V28,1)="✗"</formula>
    </cfRule>
  </conditionalFormatting>
  <conditionalFormatting sqref="V29">
    <cfRule type="expression" priority="25" aboveAverage="0" equalAverage="0" bottom="0" percent="0" rank="0" text="" dxfId="0">
      <formula>LEFT($V29,1)="✗"</formula>
    </cfRule>
  </conditionalFormatting>
  <conditionalFormatting sqref="V30">
    <cfRule type="expression" priority="26" aboveAverage="0" equalAverage="0" bottom="0" percent="0" rank="0" text="" dxfId="0">
      <formula>LEFT($V30,1)="✗"</formula>
    </cfRule>
  </conditionalFormatting>
  <conditionalFormatting sqref="V31">
    <cfRule type="expression" priority="27" aboveAverage="0" equalAverage="0" bottom="0" percent="0" rank="0" text="" dxfId="0">
      <formula>LEFT($V31,1)="✗"</formula>
    </cfRule>
  </conditionalFormatting>
  <conditionalFormatting sqref="V32">
    <cfRule type="expression" priority="28" aboveAverage="0" equalAverage="0" bottom="0" percent="0" rank="0" text="" dxfId="0">
      <formula>LEFT($V32,1)="✗"</formula>
    </cfRule>
  </conditionalFormatting>
  <conditionalFormatting sqref="V33">
    <cfRule type="expression" priority="29" aboveAverage="0" equalAverage="0" bottom="0" percent="0" rank="0" text="" dxfId="0">
      <formula>LEFT($V33,1)="✗"</formula>
    </cfRule>
  </conditionalFormatting>
  <conditionalFormatting sqref="V34">
    <cfRule type="expression" priority="30" aboveAverage="0" equalAverage="0" bottom="0" percent="0" rank="0" text="" dxfId="0">
      <formula>LEFT($V34,1)="✗"</formula>
    </cfRule>
  </conditionalFormatting>
  <conditionalFormatting sqref="V35">
    <cfRule type="expression" priority="31" aboveAverage="0" equalAverage="0" bottom="0" percent="0" rank="0" text="" dxfId="0">
      <formula>LEFT($V35,1)="✗"</formula>
    </cfRule>
  </conditionalFormatting>
  <conditionalFormatting sqref="V36">
    <cfRule type="expression" priority="32" aboveAverage="0" equalAverage="0" bottom="0" percent="0" rank="0" text="" dxfId="0">
      <formula>LEFT($V36,1)="✗"</formula>
    </cfRule>
  </conditionalFormatting>
  <conditionalFormatting sqref="V37">
    <cfRule type="expression" priority="33" aboveAverage="0" equalAverage="0" bottom="0" percent="0" rank="0" text="" dxfId="0">
      <formula>LEFT($V37,1)="✗"</formula>
    </cfRule>
  </conditionalFormatting>
  <conditionalFormatting sqref="V38">
    <cfRule type="expression" priority="34" aboveAverage="0" equalAverage="0" bottom="0" percent="0" rank="0" text="" dxfId="0">
      <formula>LEFT($V38,1)="✗"</formula>
    </cfRule>
  </conditionalFormatting>
  <conditionalFormatting sqref="V39">
    <cfRule type="expression" priority="35" aboveAverage="0" equalAverage="0" bottom="0" percent="0" rank="0" text="" dxfId="0">
      <formula>LEFT($V39,1)="✗"</formula>
    </cfRule>
  </conditionalFormatting>
  <conditionalFormatting sqref="V40">
    <cfRule type="expression" priority="36" aboveAverage="0" equalAverage="0" bottom="0" percent="0" rank="0" text="" dxfId="0">
      <formula>LEFT($V40,1)="✗"</formula>
    </cfRule>
  </conditionalFormatting>
  <conditionalFormatting sqref="V41">
    <cfRule type="expression" priority="37" aboveAverage="0" equalAverage="0" bottom="0" percent="0" rank="0" text="" dxfId="0">
      <formula>LEFT($V41,1)="✗"</formula>
    </cfRule>
  </conditionalFormatting>
  <conditionalFormatting sqref="V42">
    <cfRule type="expression" priority="38" aboveAverage="0" equalAverage="0" bottom="0" percent="0" rank="0" text="" dxfId="0">
      <formula>LEFT($V42,1)="✗"</formula>
    </cfRule>
  </conditionalFormatting>
  <conditionalFormatting sqref="V43">
    <cfRule type="expression" priority="39" aboveAverage="0" equalAverage="0" bottom="0" percent="0" rank="0" text="" dxfId="0">
      <formula>LEFT($V43,1)="✗"</formula>
    </cfRule>
  </conditionalFormatting>
  <conditionalFormatting sqref="V44">
    <cfRule type="expression" priority="40" aboveAverage="0" equalAverage="0" bottom="0" percent="0" rank="0" text="" dxfId="0">
      <formula>LEFT($V44,1)="✗"</formula>
    </cfRule>
  </conditionalFormatting>
  <conditionalFormatting sqref="V45">
    <cfRule type="expression" priority="41" aboveAverage="0" equalAverage="0" bottom="0" percent="0" rank="0" text="" dxfId="0">
      <formula>LEFT($V45,1)="✗"</formula>
    </cfRule>
  </conditionalFormatting>
  <conditionalFormatting sqref="V46">
    <cfRule type="expression" priority="42" aboveAverage="0" equalAverage="0" bottom="0" percent="0" rank="0" text="" dxfId="0">
      <formula>LEFT($V46,1)="✗"</formula>
    </cfRule>
  </conditionalFormatting>
  <conditionalFormatting sqref="V47">
    <cfRule type="expression" priority="43" aboveAverage="0" equalAverage="0" bottom="0" percent="0" rank="0" text="" dxfId="0">
      <formula>LEFT($V47,1)="✗"</formula>
    </cfRule>
  </conditionalFormatting>
  <conditionalFormatting sqref="V48">
    <cfRule type="expression" priority="44" aboveAverage="0" equalAverage="0" bottom="0" percent="0" rank="0" text="" dxfId="0">
      <formula>LEFT($V48,1)="✗"</formula>
    </cfRule>
  </conditionalFormatting>
  <conditionalFormatting sqref="V49">
    <cfRule type="expression" priority="45" aboveAverage="0" equalAverage="0" bottom="0" percent="0" rank="0" text="" dxfId="0">
      <formula>LEFT($V49,1)="✗"</formula>
    </cfRule>
  </conditionalFormatting>
  <conditionalFormatting sqref="V50">
    <cfRule type="expression" priority="46" aboveAverage="0" equalAverage="0" bottom="0" percent="0" rank="0" text="" dxfId="0">
      <formula>LEFT($V50,1)="✗"</formula>
    </cfRule>
  </conditionalFormatting>
  <conditionalFormatting sqref="V51">
    <cfRule type="expression" priority="47" aboveAverage="0" equalAverage="0" bottom="0" percent="0" rank="0" text="" dxfId="0">
      <formula>LEFT($V51,1)="✗"</formula>
    </cfRule>
  </conditionalFormatting>
  <conditionalFormatting sqref="V52">
    <cfRule type="expression" priority="48" aboveAverage="0" equalAverage="0" bottom="0" percent="0" rank="0" text="" dxfId="0">
      <formula>LEFT($V52,1)="✗"</formula>
    </cfRule>
  </conditionalFormatting>
  <conditionalFormatting sqref="V53">
    <cfRule type="expression" priority="49" aboveAverage="0" equalAverage="0" bottom="0" percent="0" rank="0" text="" dxfId="0">
      <formula>LEFT($V53,1)="✗"</formula>
    </cfRule>
  </conditionalFormatting>
  <conditionalFormatting sqref="V54">
    <cfRule type="expression" priority="50" aboveAverage="0" equalAverage="0" bottom="0" percent="0" rank="0" text="" dxfId="0">
      <formula>LEFT($V54,1)="✗"</formula>
    </cfRule>
  </conditionalFormatting>
  <conditionalFormatting sqref="V55">
    <cfRule type="expression" priority="51" aboveAverage="0" equalAverage="0" bottom="0" percent="0" rank="0" text="" dxfId="0">
      <formula>LEFT($V55,1)="✗"</formula>
    </cfRule>
  </conditionalFormatting>
  <conditionalFormatting sqref="V56">
    <cfRule type="expression" priority="52" aboveAverage="0" equalAverage="0" bottom="0" percent="0" rank="0" text="" dxfId="0">
      <formula>LEFT($V56,1)="✗"</formula>
    </cfRule>
  </conditionalFormatting>
  <conditionalFormatting sqref="V57">
    <cfRule type="expression" priority="53" aboveAverage="0" equalAverage="0" bottom="0" percent="0" rank="0" text="" dxfId="0">
      <formula>LEFT($V57,1)="✗"</formula>
    </cfRule>
  </conditionalFormatting>
  <conditionalFormatting sqref="V58">
    <cfRule type="expression" priority="54" aboveAverage="0" equalAverage="0" bottom="0" percent="0" rank="0" text="" dxfId="0">
      <formula>LEFT($V58,1)="✗"</formula>
    </cfRule>
  </conditionalFormatting>
  <conditionalFormatting sqref="V59">
    <cfRule type="expression" priority="55" aboveAverage="0" equalAverage="0" bottom="0" percent="0" rank="0" text="" dxfId="0">
      <formula>LEFT($V59,1)="✗"</formula>
    </cfRule>
  </conditionalFormatting>
  <conditionalFormatting sqref="V60">
    <cfRule type="expression" priority="56" aboveAverage="0" equalAverage="0" bottom="0" percent="0" rank="0" text="" dxfId="0">
      <formula>LEFT($V60,1)="✗"</formula>
    </cfRule>
  </conditionalFormatting>
  <conditionalFormatting sqref="V61">
    <cfRule type="expression" priority="57" aboveAverage="0" equalAverage="0" bottom="0" percent="0" rank="0" text="" dxfId="0">
      <formula>LEFT($V61,1)="✗"</formula>
    </cfRule>
  </conditionalFormatting>
  <conditionalFormatting sqref="V62">
    <cfRule type="expression" priority="58" aboveAverage="0" equalAverage="0" bottom="0" percent="0" rank="0" text="" dxfId="0">
      <formula>LEFT($V62,1)="✗"</formula>
    </cfRule>
  </conditionalFormatting>
  <conditionalFormatting sqref="V63">
    <cfRule type="expression" priority="59" aboveAverage="0" equalAverage="0" bottom="0" percent="0" rank="0" text="" dxfId="0">
      <formula>LEFT($V63,1)="✗"</formula>
    </cfRule>
  </conditionalFormatting>
  <conditionalFormatting sqref="V64">
    <cfRule type="expression" priority="60" aboveAverage="0" equalAverage="0" bottom="0" percent="0" rank="0" text="" dxfId="0">
      <formula>LEFT($V64,1)="✗"</formula>
    </cfRule>
  </conditionalFormatting>
  <conditionalFormatting sqref="V65">
    <cfRule type="expression" priority="61" aboveAverage="0" equalAverage="0" bottom="0" percent="0" rank="0" text="" dxfId="0">
      <formula>LEFT($V65,1)="✗"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tru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6"/>
  </cols>
  <sheetData>
    <row r="1" customFormat="false" ht="25.5" hidden="false" customHeight="true" outlineLevel="0" collapsed="false">
      <c r="A1" s="1" t="s">
        <v>861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  <c r="J3" s="70"/>
      <c r="K3" s="70"/>
      <c r="L3" s="70"/>
      <c r="M3" s="70"/>
      <c r="N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544</v>
      </c>
      <c r="B5" s="8" t="s">
        <v>350</v>
      </c>
      <c r="C5" s="8" t="s">
        <v>351</v>
      </c>
      <c r="D5" s="8" t="s">
        <v>353</v>
      </c>
      <c r="E5" s="8" t="s">
        <v>547</v>
      </c>
      <c r="F5" s="8" t="s">
        <v>548</v>
      </c>
      <c r="G5" s="8" t="s">
        <v>862</v>
      </c>
      <c r="H5" s="8" t="s">
        <v>863</v>
      </c>
      <c r="I5" s="8" t="s">
        <v>864</v>
      </c>
      <c r="J5" s="8" t="s">
        <v>865</v>
      </c>
      <c r="K5" s="8" t="s">
        <v>866</v>
      </c>
      <c r="L5" s="8" t="s">
        <v>867</v>
      </c>
      <c r="M5" s="8" t="s">
        <v>853</v>
      </c>
      <c r="N5" s="8" t="s">
        <v>731</v>
      </c>
    </row>
    <row r="6" customFormat="false" ht="15" hidden="false" customHeight="false" outlineLevel="0" collapsed="false">
      <c r="A6" s="31" t="s">
        <v>536</v>
      </c>
      <c r="B6" s="31"/>
      <c r="C6" s="31"/>
      <c r="D6" s="31"/>
      <c r="E6" s="86" t="n">
        <f aca="false">SUM(E$7:E$66)</f>
        <v>24470</v>
      </c>
      <c r="F6" s="12" t="n">
        <f aca="false">SUM(F$7:F$66)</f>
        <v>401201.77</v>
      </c>
      <c r="G6" s="86" t="n">
        <f aca="false">SUM(G$7:G$66)</f>
        <v>86737</v>
      </c>
      <c r="H6" s="12" t="n">
        <f aca="false">SUM(H$7:H$66)</f>
        <v>1135709.24</v>
      </c>
      <c r="I6" s="86" t="n">
        <f aca="false">SUM(I$7:I$66)</f>
        <v>71513</v>
      </c>
      <c r="J6" s="12" t="n">
        <f aca="false">SUM(J$7:J$66)</f>
        <v>1132794.09</v>
      </c>
      <c r="K6" s="86" t="n">
        <f aca="false">SUM(K$7:K$66)</f>
        <v>39694</v>
      </c>
      <c r="L6" s="12" t="n">
        <f aca="false">SUM(L$7:L$66)</f>
        <v>404116.92</v>
      </c>
      <c r="M6" s="86" t="n">
        <f aca="false">SUM(M$7:M$66)</f>
        <v>6498.82241952424</v>
      </c>
      <c r="N6" s="31"/>
    </row>
    <row r="7" customFormat="false" ht="15" hidden="false" customHeight="false" outlineLevel="0" collapsed="false">
      <c r="A7" s="25" t="str">
        <f aca="false">IF(进销存台账!$B6="","",进销存台账!$A6)</f>
        <v>农业</v>
      </c>
      <c r="B7" s="25" t="str">
        <f aca="false">IF(进销存台账!$B6="","",进销存台账!$B6)</f>
        <v>NY01</v>
      </c>
      <c r="C7" s="10" t="str">
        <f aca="false">IF($B7="","",进销存台账!$C6)</f>
        <v>原木</v>
      </c>
      <c r="D7" s="25" t="str">
        <f aca="false">IF($B7="","",进销存台账!$E6)</f>
        <v>立方米</v>
      </c>
      <c r="E7" s="82" t="n">
        <f aca="false">IF($B7="","",进销存台账!$H6+SUMIFS(购销流水!$J$6:$J$805,购销流水!$C$6:$C$805,$A7,购销流水!$F$6:$F$805,$B7,购销流水!$D$6:$D$805,"采购入库",购销流水!$B$6:$B$805,"&lt;"&amp;$A$4)-SUMIFS(购销流水!$J$6:$J$805,购销流水!$C$6:$C$805,$A7,购销流水!$F$6:$F$805,$B7,购销流水!$D$6:$D$805,"采购退回",购销流水!$B$6:$B$805,"&lt;"&amp;$A$4)+SUMIFS(生产加工!$I$6:$I$305,生产加工!$C$6:$C$305,$A7,生产加工!$F$6:$F$305,$B7,生产加工!$E$6:$E$305,"产成品入库",生产加工!$B$6:$B$305,"&lt;"&amp;$A$4)-(SUMIFS(购销流水!$J$6:$J$805,购销流水!$C$6:$C$805,$A7,购销流水!$F$6:$F$805,$B7,购销流水!$D$6:$D$805,"销售出库",购销流水!$B$6:$B$805,"&lt;"&amp;$A$4)-SUMIFS(购销流水!$J$6:$J$805,购销流水!$C$6:$C$805,$A7,购销流水!$F$6:$F$805,$B7,购销流水!$D$6:$D$805,"销售退回",购销流水!$B$6:$B$805,"&lt;"&amp;$A$4)+SUMIFS(生产加工!$I$6:$I$305,生产加工!$C$6:$C$305,$A7,生产加工!$F$6:$F$305,$B7,生产加工!$E$6:$E$305,"领用投入",生产加工!$B$6:$B$305,"&lt;"&amp;$A$4)))</f>
        <v>120</v>
      </c>
      <c r="F7" s="40" t="n">
        <f aca="false">IF($B7="","",ROUND($E7*$M7,2))</f>
        <v>61983.33</v>
      </c>
      <c r="G7" s="82" t="n">
        <f aca="false">IF($B7="","",SUMIFS(购销流水!$J$6:$J$805,购销流水!$C$6:$C$805,$A7,购销流水!$F$6:$F$805,$B7,购销流水!$D$6:$D$805,"采购入库",购销流水!$B$6:$B$805,"&gt;="&amp;$A$4,购销流水!$B$6:$B$805,"&lt;="&amp;$B$4)-SUMIFS(购销流水!$J$6:$J$805,购销流水!$C$6:$C$805,$A7,购销流水!$F$6:$F$805,$B7,购销流水!$D$6:$D$805,"采购退回",购销流水!$B$6:$B$805,"&gt;="&amp;$A$4,购销流水!$B$6:$B$805,"&lt;="&amp;$B$4)+SUMIFS(生产加工!$I$6:$I$305,生产加工!$C$6:$C$305,$A7,生产加工!$F$6:$F$305,$B7,生产加工!$E$6:$E$305,"产成品入库",生产加工!$B$6:$B$305,"&gt;="&amp;$A$4,生产加工!$B$6:$B$305,"&lt;="&amp;$B$4))</f>
        <v>200</v>
      </c>
      <c r="H7" s="40" t="n">
        <f aca="false">IF($B7="","",ROUND($G7*$M7,2))</f>
        <v>103305.56</v>
      </c>
      <c r="I7" s="82" t="n">
        <f aca="false">IF($B7="","",SUMIFS(购销流水!$J$6:$J$805,购销流水!$C$6:$C$805,$A7,购销流水!$F$6:$F$805,$B7,购销流水!$D$6:$D$805,"销售出库",购销流水!$B$6:$B$805,"&gt;="&amp;$A$4,购销流水!$B$6:$B$805,"&lt;="&amp;$B$4)-SUMIFS(购销流水!$J$6:$J$805,购销流水!$C$6:$C$805,$A7,购销流水!$F$6:$F$805,$B7,购销流水!$D$6:$D$805,"销售退回",购销流水!$B$6:$B$805,"&gt;="&amp;$A$4,购销流水!$B$6:$B$805,"&lt;="&amp;$B$4)+SUMIFS(生产加工!$I$6:$I$305,生产加工!$C$6:$C$305,$A7,生产加工!$F$6:$F$305,$B7,生产加工!$E$6:$E$305,"领用投入",生产加工!$B$6:$B$305,"&gt;="&amp;$A$4,生产加工!$B$6:$B$305,"&lt;="&amp;$B$4))</f>
        <v>240</v>
      </c>
      <c r="J7" s="40" t="n">
        <f aca="false">IF($B7="","",ROUND($I7*$M7,2))</f>
        <v>123966.67</v>
      </c>
      <c r="K7" s="84" t="n">
        <f aca="false">IF($B7="","",$E7+$G7-$I7)</f>
        <v>80</v>
      </c>
      <c r="L7" s="42" t="n">
        <f aca="false">IF($B7="","",ROUND($K7*$M7,2))</f>
        <v>41322.22</v>
      </c>
      <c r="M7" s="85" t="n">
        <f aca="false">IF($B7="","",进销存台账!$N6)</f>
        <v>516.52778125</v>
      </c>
      <c r="N7" s="64" t="str">
        <f aca="false">IF($B7="","",IF(OR($E7&lt;&gt;0,$G7&lt;&gt;0,$I7&lt;&gt;0),"有",""))</f>
        <v>有</v>
      </c>
    </row>
    <row r="8" customFormat="false" ht="15" hidden="false" customHeight="false" outlineLevel="0" collapsed="false">
      <c r="A8" s="25" t="str">
        <f aca="false">IF(进销存台账!$B7="","",进销存台账!$A7)</f>
        <v>农业</v>
      </c>
      <c r="B8" s="25" t="str">
        <f aca="false">IF(进销存台账!$B7="","",进销存台账!$B7)</f>
        <v>NY02</v>
      </c>
      <c r="C8" s="10" t="str">
        <f aca="false">IF($B8="","",进销存台账!$C7)</f>
        <v>湿艾草</v>
      </c>
      <c r="D8" s="25" t="str">
        <f aca="false">IF($B8="","",进销存台账!$E7)</f>
        <v>公斤</v>
      </c>
      <c r="E8" s="82" t="n">
        <f aca="false">IF($B8="","",进销存台账!$H7+SUMIFS(购销流水!$J$6:$J$805,购销流水!$C$6:$C$805,$A8,购销流水!$F$6:$F$805,$B8,购销流水!$D$6:$D$805,"采购入库",购销流水!$B$6:$B$805,"&lt;"&amp;$A$4)-SUMIFS(购销流水!$J$6:$J$805,购销流水!$C$6:$C$805,$A8,购销流水!$F$6:$F$805,$B8,购销流水!$D$6:$D$805,"采购退回",购销流水!$B$6:$B$805,"&lt;"&amp;$A$4)+SUMIFS(生产加工!$I$6:$I$305,生产加工!$C$6:$C$305,$A8,生产加工!$F$6:$F$305,$B8,生产加工!$E$6:$E$305,"产成品入库",生产加工!$B$6:$B$305,"&lt;"&amp;$A$4)-(SUMIFS(购销流水!$J$6:$J$805,购销流水!$C$6:$C$805,$A8,购销流水!$F$6:$F$805,$B8,购销流水!$D$6:$D$805,"销售出库",购销流水!$B$6:$B$805,"&lt;"&amp;$A$4)-SUMIFS(购销流水!$J$6:$J$805,购销流水!$C$6:$C$805,$A8,购销流水!$F$6:$F$805,$B8,购销流水!$D$6:$D$805,"销售退回",购销流水!$B$6:$B$805,"&lt;"&amp;$A$4)+SUMIFS(生产加工!$I$6:$I$305,生产加工!$C$6:$C$305,$A8,生产加工!$F$6:$F$305,$B8,生产加工!$E$6:$E$305,"领用投入",生产加工!$B$6:$B$305,"&lt;"&amp;$A$4)))</f>
        <v>0</v>
      </c>
      <c r="F8" s="40" t="n">
        <f aca="false">IF($B8="","",ROUND($E8*$M8,2))</f>
        <v>0</v>
      </c>
      <c r="G8" s="82" t="n">
        <f aca="false">IF($B8="","",SUMIFS(购销流水!$J$6:$J$805,购销流水!$C$6:$C$805,$A8,购销流水!$F$6:$F$805,$B8,购销流水!$D$6:$D$805,"采购入库",购销流水!$B$6:$B$805,"&gt;="&amp;$A$4,购销流水!$B$6:$B$805,"&lt;="&amp;$B$4)-SUMIFS(购销流水!$J$6:$J$805,购销流水!$C$6:$C$805,$A8,购销流水!$F$6:$F$805,$B8,购销流水!$D$6:$D$805,"采购退回",购销流水!$B$6:$B$805,"&gt;="&amp;$A$4,购销流水!$B$6:$B$805,"&lt;="&amp;$B$4)+SUMIFS(生产加工!$I$6:$I$305,生产加工!$C$6:$C$305,$A8,生产加工!$F$6:$F$305,$B8,生产加工!$E$6:$E$305,"产成品入库",生产加工!$B$6:$B$305,"&gt;="&amp;$A$4,生产加工!$B$6:$B$305,"&lt;="&amp;$B$4))</f>
        <v>20000</v>
      </c>
      <c r="H8" s="40" t="n">
        <f aca="false">IF($B8="","",ROUND($G8*$M8,2))</f>
        <v>36488.89</v>
      </c>
      <c r="I8" s="82" t="n">
        <f aca="false">IF($B8="","",SUMIFS(购销流水!$J$6:$J$805,购销流水!$C$6:$C$805,$A8,购销流水!$F$6:$F$805,$B8,购销流水!$D$6:$D$805,"销售出库",购销流水!$B$6:$B$805,"&gt;="&amp;$A$4,购销流水!$B$6:$B$805,"&lt;="&amp;$B$4)-SUMIFS(购销流水!$J$6:$J$805,购销流水!$C$6:$C$805,$A8,购销流水!$F$6:$F$805,$B8,购销流水!$D$6:$D$805,"销售退回",购销流水!$B$6:$B$805,"&gt;="&amp;$A$4,购销流水!$B$6:$B$805,"&lt;="&amp;$B$4)+SUMIFS(生产加工!$I$6:$I$305,生产加工!$C$6:$C$305,$A8,生产加工!$F$6:$F$305,$B8,生产加工!$E$6:$E$305,"领用投入",生产加工!$B$6:$B$305,"&gt;="&amp;$A$4,生产加工!$B$6:$B$305,"&lt;="&amp;$B$4))</f>
        <v>20000</v>
      </c>
      <c r="J8" s="40" t="n">
        <f aca="false">IF($B8="","",ROUND($I8*$M8,2))</f>
        <v>36488.89</v>
      </c>
      <c r="K8" s="84" t="n">
        <f aca="false">IF($B8="","",$E8+$G8-$I8)</f>
        <v>0</v>
      </c>
      <c r="L8" s="42" t="n">
        <f aca="false">IF($B8="","",ROUND($K8*$M8,2))</f>
        <v>0</v>
      </c>
      <c r="M8" s="85" t="n">
        <f aca="false">IF($B8="","",进销存台账!$N7)</f>
        <v>1.8244445</v>
      </c>
      <c r="N8" s="64" t="str">
        <f aca="false">IF($B8="","",IF(OR($E8&lt;&gt;0,$G8&lt;&gt;0,$I8&lt;&gt;0),"有",""))</f>
        <v>有</v>
      </c>
    </row>
    <row r="9" customFormat="false" ht="15" hidden="false" customHeight="false" outlineLevel="0" collapsed="false">
      <c r="A9" s="25" t="str">
        <f aca="false">IF(进销存台账!$B8="","",进销存台账!$A8)</f>
        <v>农业</v>
      </c>
      <c r="B9" s="25" t="str">
        <f aca="false">IF(进销存台账!$B8="","",进销存台账!$B8)</f>
        <v>NY03</v>
      </c>
      <c r="C9" s="10" t="str">
        <f aca="false">IF($B9="","",进销存台账!$C8)</f>
        <v>干艾草</v>
      </c>
      <c r="D9" s="25" t="str">
        <f aca="false">IF($B9="","",进销存台账!$E8)</f>
        <v>公斤</v>
      </c>
      <c r="E9" s="82" t="n">
        <f aca="false">IF($B9="","",进销存台账!$H8+SUMIFS(购销流水!$J$6:$J$805,购销流水!$C$6:$C$805,$A9,购销流水!$F$6:$F$805,$B9,购销流水!$D$6:$D$805,"采购入库",购销流水!$B$6:$B$805,"&lt;"&amp;$A$4)-SUMIFS(购销流水!$J$6:$J$805,购销流水!$C$6:$C$805,$A9,购销流水!$F$6:$F$805,$B9,购销流水!$D$6:$D$805,"采购退回",购销流水!$B$6:$B$805,"&lt;"&amp;$A$4)+SUMIFS(生产加工!$I$6:$I$305,生产加工!$C$6:$C$305,$A9,生产加工!$F$6:$F$305,$B9,生产加工!$E$6:$E$305,"产成品入库",生产加工!$B$6:$B$305,"&lt;"&amp;$A$4)-(SUMIFS(购销流水!$J$6:$J$805,购销流水!$C$6:$C$805,$A9,购销流水!$F$6:$F$805,$B9,购销流水!$D$6:$D$805,"销售出库",购销流水!$B$6:$B$805,"&lt;"&amp;$A$4)-SUMIFS(购销流水!$J$6:$J$805,购销流水!$C$6:$C$805,$A9,购销流水!$F$6:$F$805,$B9,购销流水!$D$6:$D$805,"销售退回",购销流水!$B$6:$B$805,"&lt;"&amp;$A$4)+SUMIFS(生产加工!$I$6:$I$305,生产加工!$C$6:$C$305,$A9,生产加工!$F$6:$F$305,$B9,生产加工!$E$6:$E$305,"领用投入",生产加工!$B$6:$B$305,"&lt;"&amp;$A$4)))</f>
        <v>2000</v>
      </c>
      <c r="F9" s="40" t="n">
        <f aca="false">IF($B9="","",ROUND($E9*$M9,2))</f>
        <v>20754.21</v>
      </c>
      <c r="G9" s="82" t="n">
        <f aca="false">IF($B9="","",SUMIFS(购销流水!$J$6:$J$805,购销流水!$C$6:$C$805,$A9,购销流水!$F$6:$F$805,$B9,购销流水!$D$6:$D$805,"采购入库",购销流水!$B$6:$B$805,"&gt;="&amp;$A$4,购销流水!$B$6:$B$805,"&lt;="&amp;$B$4)-SUMIFS(购销流水!$J$6:$J$805,购销流水!$C$6:$C$805,$A9,购销流水!$F$6:$F$805,$B9,购销流水!$D$6:$D$805,"采购退回",购销流水!$B$6:$B$805,"&gt;="&amp;$A$4,购销流水!$B$6:$B$805,"&lt;="&amp;$B$4)+SUMIFS(生产加工!$I$6:$I$305,生产加工!$C$6:$C$305,$A9,生产加工!$F$6:$F$305,$B9,生产加工!$E$6:$E$305,"产成品入库",生产加工!$B$6:$B$305,"&gt;="&amp;$A$4,生产加工!$B$6:$B$305,"&lt;="&amp;$B$4))</f>
        <v>4600</v>
      </c>
      <c r="H9" s="40" t="n">
        <f aca="false">IF($B9="","",ROUND($G9*$M9,2))</f>
        <v>47734.68</v>
      </c>
      <c r="I9" s="82" t="n">
        <f aca="false">IF($B9="","",SUMIFS(购销流水!$J$6:$J$805,购销流水!$C$6:$C$805,$A9,购销流水!$F$6:$F$805,$B9,购销流水!$D$6:$D$805,"销售出库",购销流水!$B$6:$B$805,"&gt;="&amp;$A$4,购销流水!$B$6:$B$805,"&lt;="&amp;$B$4)-SUMIFS(购销流水!$J$6:$J$805,购销流水!$C$6:$C$805,$A9,购销流水!$F$6:$F$805,$B9,购销流水!$D$6:$D$805,"销售退回",购销流水!$B$6:$B$805,"&gt;="&amp;$A$4,购销流水!$B$6:$B$805,"&lt;="&amp;$B$4)+SUMIFS(生产加工!$I$6:$I$305,生产加工!$C$6:$C$305,$A9,生产加工!$F$6:$F$305,$B9,生产加工!$E$6:$E$305,"领用投入",生产加工!$B$6:$B$305,"&gt;="&amp;$A$4,生产加工!$B$6:$B$305,"&lt;="&amp;$B$4))</f>
        <v>5200</v>
      </c>
      <c r="J9" s="40" t="n">
        <f aca="false">IF($B9="","",ROUND($I9*$M9,2))</f>
        <v>53960.94</v>
      </c>
      <c r="K9" s="84" t="n">
        <f aca="false">IF($B9="","",$E9+$G9-$I9)</f>
        <v>1400</v>
      </c>
      <c r="L9" s="42" t="n">
        <f aca="false">IF($B9="","",ROUND($K9*$M9,2))</f>
        <v>14527.95</v>
      </c>
      <c r="M9" s="85" t="n">
        <f aca="false">IF($B9="","",进销存台账!$N8)</f>
        <v>10.3771045454545</v>
      </c>
      <c r="N9" s="64" t="str">
        <f aca="false">IF($B9="","",IF(OR($E9&lt;&gt;0,$G9&lt;&gt;0,$I9&lt;&gt;0),"有",""))</f>
        <v>有</v>
      </c>
    </row>
    <row r="10" customFormat="false" ht="15" hidden="false" customHeight="false" outlineLevel="0" collapsed="false">
      <c r="A10" s="25" t="str">
        <f aca="false">IF(进销存台账!$B9="","",进销存台账!$A9)</f>
        <v>农业</v>
      </c>
      <c r="B10" s="25" t="str">
        <f aca="false">IF(进销存台账!$B9="","",进销存台账!$B9)</f>
        <v>NY04</v>
      </c>
      <c r="C10" s="10" t="str">
        <f aca="false">IF($B10="","",进销存台账!$C9)</f>
        <v>树苗</v>
      </c>
      <c r="D10" s="25" t="str">
        <f aca="false">IF($B10="","",进销存台账!$E9)</f>
        <v>株</v>
      </c>
      <c r="E10" s="82" t="n">
        <f aca="false">IF($B10="","",进销存台账!$H9+SUMIFS(购销流水!$J$6:$J$805,购销流水!$C$6:$C$805,$A10,购销流水!$F$6:$F$805,$B10,购销流水!$D$6:$D$805,"采购入库",购销流水!$B$6:$B$805,"&lt;"&amp;$A$4)-SUMIFS(购销流水!$J$6:$J$805,购销流水!$C$6:$C$805,$A10,购销流水!$F$6:$F$805,$B10,购销流水!$D$6:$D$805,"采购退回",购销流水!$B$6:$B$805,"&lt;"&amp;$A$4)+SUMIFS(生产加工!$I$6:$I$305,生产加工!$C$6:$C$305,$A10,生产加工!$F$6:$F$305,$B10,生产加工!$E$6:$E$305,"产成品入库",生产加工!$B$6:$B$305,"&lt;"&amp;$A$4)-(SUMIFS(购销流水!$J$6:$J$805,购销流水!$C$6:$C$805,$A10,购销流水!$F$6:$F$805,$B10,购销流水!$D$6:$D$805,"销售出库",购销流水!$B$6:$B$805,"&lt;"&amp;$A$4)-SUMIFS(购销流水!$J$6:$J$805,购销流水!$C$6:$C$805,$A10,购销流水!$F$6:$F$805,$B10,购销流水!$D$6:$D$805,"销售退回",购销流水!$B$6:$B$805,"&lt;"&amp;$A$4)+SUMIFS(生产加工!$I$6:$I$305,生产加工!$C$6:$C$305,$A10,生产加工!$F$6:$F$305,$B10,生产加工!$E$6:$E$305,"领用投入",生产加工!$B$6:$B$305,"&lt;"&amp;$A$4)))</f>
        <v>0</v>
      </c>
      <c r="F10" s="40" t="n">
        <f aca="false">IF($B10="","",ROUND($E10*$M10,2))</f>
        <v>0</v>
      </c>
      <c r="G10" s="82" t="n">
        <f aca="false">IF($B10="","",SUMIFS(购销流水!$J$6:$J$805,购销流水!$C$6:$C$805,$A10,购销流水!$F$6:$F$805,$B10,购销流水!$D$6:$D$805,"采购入库",购销流水!$B$6:$B$805,"&gt;="&amp;$A$4,购销流水!$B$6:$B$805,"&lt;="&amp;$B$4)-SUMIFS(购销流水!$J$6:$J$805,购销流水!$C$6:$C$805,$A10,购销流水!$F$6:$F$805,$B10,购销流水!$D$6:$D$805,"采购退回",购销流水!$B$6:$B$805,"&gt;="&amp;$A$4,购销流水!$B$6:$B$805,"&lt;="&amp;$B$4)+SUMIFS(生产加工!$I$6:$I$305,生产加工!$C$6:$C$305,$A10,生产加工!$F$6:$F$305,$B10,生产加工!$E$6:$E$305,"产成品入库",生产加工!$B$6:$B$305,"&gt;="&amp;$A$4,生产加工!$B$6:$B$305,"&lt;="&amp;$B$4))</f>
        <v>3000</v>
      </c>
      <c r="H10" s="40" t="n">
        <f aca="false">IF($B10="","",ROUND($G10*$M10,2))</f>
        <v>7800</v>
      </c>
      <c r="I10" s="82" t="n">
        <f aca="false">IF($B10="","",SUMIFS(购销流水!$J$6:$J$805,购销流水!$C$6:$C$805,$A10,购销流水!$F$6:$F$805,$B10,购销流水!$D$6:$D$805,"销售出库",购销流水!$B$6:$B$805,"&gt;="&amp;$A$4,购销流水!$B$6:$B$805,"&lt;="&amp;$B$4)-SUMIFS(购销流水!$J$6:$J$805,购销流水!$C$6:$C$805,$A10,购销流水!$F$6:$F$805,$B10,购销流水!$D$6:$D$805,"销售退回",购销流水!$B$6:$B$805,"&gt;="&amp;$A$4,购销流水!$B$6:$B$805,"&lt;="&amp;$B$4)+SUMIFS(生产加工!$I$6:$I$305,生产加工!$C$6:$C$305,$A10,生产加工!$F$6:$F$305,$B10,生产加工!$E$6:$E$305,"领用投入",生产加工!$B$6:$B$305,"&gt;="&amp;$A$4,生产加工!$B$6:$B$305,"&lt;="&amp;$B$4))</f>
        <v>3000</v>
      </c>
      <c r="J10" s="40" t="n">
        <f aca="false">IF($B10="","",ROUND($I10*$M10,2))</f>
        <v>7800</v>
      </c>
      <c r="K10" s="84" t="n">
        <f aca="false">IF($B10="","",$E10+$G10-$I10)</f>
        <v>0</v>
      </c>
      <c r="L10" s="42" t="n">
        <f aca="false">IF($B10="","",ROUND($K10*$M10,2))</f>
        <v>0</v>
      </c>
      <c r="M10" s="85" t="n">
        <f aca="false">IF($B10="","",进销存台账!$N9)</f>
        <v>2.6</v>
      </c>
      <c r="N10" s="64" t="str">
        <f aca="false">IF($B10="","",IF(OR($E10&lt;&gt;0,$G10&lt;&gt;0,$I10&lt;&gt;0),"有",""))</f>
        <v>有</v>
      </c>
    </row>
    <row r="11" customFormat="false" ht="15" hidden="false" customHeight="false" outlineLevel="0" collapsed="false">
      <c r="A11" s="25" t="str">
        <f aca="false">IF(进销存台账!$B10="","",进销存台账!$A10)</f>
        <v>农业</v>
      </c>
      <c r="B11" s="25" t="str">
        <f aca="false">IF(进销存台账!$B10="","",进销存台账!$B10)</f>
        <v>NY05</v>
      </c>
      <c r="C11" s="10" t="str">
        <f aca="false">IF($B11="","",进销存台账!$C10)</f>
        <v>肥料</v>
      </c>
      <c r="D11" s="25" t="str">
        <f aca="false">IF($B11="","",进销存台账!$E10)</f>
        <v>吨</v>
      </c>
      <c r="E11" s="82" t="n">
        <f aca="false">IF($B11="","",进销存台账!$H10+SUMIFS(购销流水!$J$6:$J$805,购销流水!$C$6:$C$805,$A11,购销流水!$F$6:$F$805,$B11,购销流水!$D$6:$D$805,"采购入库",购销流水!$B$6:$B$805,"&lt;"&amp;$A$4)-SUMIFS(购销流水!$J$6:$J$805,购销流水!$C$6:$C$805,$A11,购销流水!$F$6:$F$805,$B11,购销流水!$D$6:$D$805,"采购退回",购销流水!$B$6:$B$805,"&lt;"&amp;$A$4)+SUMIFS(生产加工!$I$6:$I$305,生产加工!$C$6:$C$305,$A11,生产加工!$F$6:$F$305,$B11,生产加工!$E$6:$E$305,"产成品入库",生产加工!$B$6:$B$305,"&lt;"&amp;$A$4)-(SUMIFS(购销流水!$J$6:$J$805,购销流水!$C$6:$C$805,$A11,购销流水!$F$6:$F$805,$B11,购销流水!$D$6:$D$805,"销售出库",购销流水!$B$6:$B$805,"&lt;"&amp;$A$4)-SUMIFS(购销流水!$J$6:$J$805,购销流水!$C$6:$C$805,$A11,购销流水!$F$6:$F$805,$B11,购销流水!$D$6:$D$805,"销售退回",购销流水!$B$6:$B$805,"&lt;"&amp;$A$4)+SUMIFS(生产加工!$I$6:$I$305,生产加工!$C$6:$C$305,$A11,生产加工!$F$6:$F$305,$B11,生产加工!$E$6:$E$305,"领用投入",生产加工!$B$6:$B$305,"&lt;"&amp;$A$4)))</f>
        <v>10</v>
      </c>
      <c r="F11" s="40" t="n">
        <f aca="false">IF($B11="","",ROUND($E11*$M11,2))</f>
        <v>11222.22</v>
      </c>
      <c r="G11" s="82" t="n">
        <f aca="false">IF($B11="","",SUMIFS(购销流水!$J$6:$J$805,购销流水!$C$6:$C$805,$A11,购销流水!$F$6:$F$805,$B11,购销流水!$D$6:$D$805,"采购入库",购销流水!$B$6:$B$805,"&gt;="&amp;$A$4,购销流水!$B$6:$B$805,"&lt;="&amp;$B$4)-SUMIFS(购销流水!$J$6:$J$805,购销流水!$C$6:$C$805,$A11,购销流水!$F$6:$F$805,$B11,购销流水!$D$6:$D$805,"采购退回",购销流水!$B$6:$B$805,"&gt;="&amp;$A$4,购销流水!$B$6:$B$805,"&lt;="&amp;$B$4)+SUMIFS(生产加工!$I$6:$I$305,生产加工!$C$6:$C$305,$A11,生产加工!$F$6:$F$305,$B11,生产加工!$E$6:$E$305,"产成品入库",生产加工!$B$6:$B$305,"&gt;="&amp;$A$4,生产加工!$B$6:$B$305,"&lt;="&amp;$B$4))</f>
        <v>8</v>
      </c>
      <c r="H11" s="40" t="n">
        <f aca="false">IF($B11="","",ROUND($G11*$M11,2))</f>
        <v>8977.78</v>
      </c>
      <c r="I11" s="82" t="n">
        <f aca="false">IF($B11="","",SUMIFS(购销流水!$J$6:$J$805,购销流水!$C$6:$C$805,$A11,购销流水!$F$6:$F$805,$B11,购销流水!$D$6:$D$805,"销售出库",购销流水!$B$6:$B$805,"&gt;="&amp;$A$4,购销流水!$B$6:$B$805,"&lt;="&amp;$B$4)-SUMIFS(购销流水!$J$6:$J$805,购销流水!$C$6:$C$805,$A11,购销流水!$F$6:$F$805,$B11,购销流水!$D$6:$D$805,"销售退回",购销流水!$B$6:$B$805,"&gt;="&amp;$A$4,购销流水!$B$6:$B$805,"&lt;="&amp;$B$4)+SUMIFS(生产加工!$I$6:$I$305,生产加工!$C$6:$C$305,$A11,生产加工!$F$6:$F$305,$B11,生产加工!$E$6:$E$305,"领用投入",生产加工!$B$6:$B$305,"&gt;="&amp;$A$4,生产加工!$B$6:$B$305,"&lt;="&amp;$B$4))</f>
        <v>8</v>
      </c>
      <c r="J11" s="40" t="n">
        <f aca="false">IF($B11="","",ROUND($I11*$M11,2))</f>
        <v>8977.78</v>
      </c>
      <c r="K11" s="84" t="n">
        <f aca="false">IF($B11="","",$E11+$G11-$I11)</f>
        <v>10</v>
      </c>
      <c r="L11" s="42" t="n">
        <f aca="false">IF($B11="","",ROUND($K11*$M11,2))</f>
        <v>11222.22</v>
      </c>
      <c r="M11" s="85" t="n">
        <f aca="false">IF($B11="","",进销存台账!$N10)</f>
        <v>1122.22222222222</v>
      </c>
      <c r="N11" s="64" t="str">
        <f aca="false">IF($B11="","",IF(OR($E11&lt;&gt;0,$G11&lt;&gt;0,$I11&lt;&gt;0),"有",""))</f>
        <v>有</v>
      </c>
    </row>
    <row r="12" customFormat="false" ht="15" hidden="false" customHeight="false" outlineLevel="0" collapsed="false">
      <c r="A12" s="25" t="str">
        <f aca="false">IF(进销存台账!$B11="","",进销存台账!$A11)</f>
        <v>农业</v>
      </c>
      <c r="B12" s="25" t="str">
        <f aca="false">IF(进销存台账!$B11="","",进销存台账!$B11)</f>
        <v>NY06</v>
      </c>
      <c r="C12" s="10" t="str">
        <f aca="false">IF($B12="","",进销存台账!$C11)</f>
        <v>农药</v>
      </c>
      <c r="D12" s="25" t="str">
        <f aca="false">IF($B12="","",进销存台账!$E11)</f>
        <v>公斤</v>
      </c>
      <c r="E12" s="82" t="n">
        <f aca="false">IF($B12="","",进销存台账!$H11+SUMIFS(购销流水!$J$6:$J$805,购销流水!$C$6:$C$805,$A12,购销流水!$F$6:$F$805,$B12,购销流水!$D$6:$D$805,"采购入库",购销流水!$B$6:$B$805,"&lt;"&amp;$A$4)-SUMIFS(购销流水!$J$6:$J$805,购销流水!$C$6:$C$805,$A12,购销流水!$F$6:$F$805,$B12,购销流水!$D$6:$D$805,"采购退回",购销流水!$B$6:$B$805,"&lt;"&amp;$A$4)+SUMIFS(生产加工!$I$6:$I$305,生产加工!$C$6:$C$305,$A12,生产加工!$F$6:$F$305,$B12,生产加工!$E$6:$E$305,"产成品入库",生产加工!$B$6:$B$305,"&lt;"&amp;$A$4)-(SUMIFS(购销流水!$J$6:$J$805,购销流水!$C$6:$C$805,$A12,购销流水!$F$6:$F$805,$B12,购销流水!$D$6:$D$805,"销售出库",购销流水!$B$6:$B$805,"&lt;"&amp;$A$4)-SUMIFS(购销流水!$J$6:$J$805,购销流水!$C$6:$C$805,$A12,购销流水!$F$6:$F$805,$B12,购销流水!$D$6:$D$805,"销售退回",购销流水!$B$6:$B$805,"&lt;"&amp;$A$4)+SUMIFS(生产加工!$I$6:$I$305,生产加工!$C$6:$C$305,$A12,生产加工!$F$6:$F$305,$B12,生产加工!$E$6:$E$305,"领用投入",生产加工!$B$6:$B$305,"&lt;"&amp;$A$4)))</f>
        <v>100</v>
      </c>
      <c r="F12" s="40" t="n">
        <f aca="false">IF($B12="","",ROUND($E12*$M12,2))</f>
        <v>1000</v>
      </c>
      <c r="G12" s="82" t="n">
        <f aca="false">IF($B12="","",SUMIFS(购销流水!$J$6:$J$805,购销流水!$C$6:$C$805,$A12,购销流水!$F$6:$F$805,$B12,购销流水!$D$6:$D$805,"采购入库",购销流水!$B$6:$B$805,"&gt;="&amp;$A$4,购销流水!$B$6:$B$805,"&lt;="&amp;$B$4)-SUMIFS(购销流水!$J$6:$J$805,购销流水!$C$6:$C$805,$A12,购销流水!$F$6:$F$805,$B12,购销流水!$D$6:$D$805,"采购退回",购销流水!$B$6:$B$805,"&gt;="&amp;$A$4,购销流水!$B$6:$B$805,"&lt;="&amp;$B$4)+SUMIFS(生产加工!$I$6:$I$305,生产加工!$C$6:$C$305,$A12,生产加工!$F$6:$F$305,$B12,生产加工!$E$6:$E$305,"产成品入库",生产加工!$B$6:$B$305,"&gt;="&amp;$A$4,生产加工!$B$6:$B$305,"&lt;="&amp;$B$4))</f>
        <v>0</v>
      </c>
      <c r="H12" s="40" t="n">
        <f aca="false">IF($B12="","",ROUND($G12*$M12,2))</f>
        <v>0</v>
      </c>
      <c r="I12" s="82" t="n">
        <f aca="false">IF($B12="","",SUMIFS(购销流水!$J$6:$J$805,购销流水!$C$6:$C$805,$A12,购销流水!$F$6:$F$805,$B12,购销流水!$D$6:$D$805,"销售出库",购销流水!$B$6:$B$805,"&gt;="&amp;$A$4,购销流水!$B$6:$B$805,"&lt;="&amp;$B$4)-SUMIFS(购销流水!$J$6:$J$805,购销流水!$C$6:$C$805,$A12,购销流水!$F$6:$F$805,$B12,购销流水!$D$6:$D$805,"销售退回",购销流水!$B$6:$B$805,"&gt;="&amp;$A$4,购销流水!$B$6:$B$805,"&lt;="&amp;$B$4)+SUMIFS(生产加工!$I$6:$I$305,生产加工!$C$6:$C$305,$A12,生产加工!$F$6:$F$305,$B12,生产加工!$E$6:$E$305,"领用投入",生产加工!$B$6:$B$305,"&gt;="&amp;$A$4,生产加工!$B$6:$B$305,"&lt;="&amp;$B$4))</f>
        <v>0</v>
      </c>
      <c r="J12" s="40" t="n">
        <f aca="false">IF($B12="","",ROUND($I12*$M12,2))</f>
        <v>0</v>
      </c>
      <c r="K12" s="84" t="n">
        <f aca="false">IF($B12="","",$E12+$G12-$I12)</f>
        <v>100</v>
      </c>
      <c r="L12" s="42" t="n">
        <f aca="false">IF($B12="","",ROUND($K12*$M12,2))</f>
        <v>1000</v>
      </c>
      <c r="M12" s="85" t="n">
        <f aca="false">IF($B12="","",进销存台账!$N11)</f>
        <v>10</v>
      </c>
      <c r="N12" s="64" t="str">
        <f aca="false">IF($B12="","",IF(OR($E12&lt;&gt;0,$G12&lt;&gt;0,$I12&lt;&gt;0),"有",""))</f>
        <v>有</v>
      </c>
    </row>
    <row r="13" customFormat="false" ht="15" hidden="false" customHeight="false" outlineLevel="0" collapsed="false">
      <c r="A13" s="25" t="str">
        <f aca="false">IF(进销存台账!$B12="","",进销存台账!$A12)</f>
        <v>木业</v>
      </c>
      <c r="B13" s="25" t="str">
        <f aca="false">IF(进销存台账!$B12="","",进销存台账!$B12)</f>
        <v>MY01</v>
      </c>
      <c r="C13" s="10" t="str">
        <f aca="false">IF($B13="","",进销存台账!$C12)</f>
        <v>*木制品*木板</v>
      </c>
      <c r="D13" s="25" t="str">
        <f aca="false">IF($B13="","",进销存台账!$E12)</f>
        <v>张</v>
      </c>
      <c r="E13" s="82" t="n">
        <f aca="false">IF($B13="","",进销存台账!$H12+SUMIFS(购销流水!$J$6:$J$805,购销流水!$C$6:$C$805,$A13,购销流水!$F$6:$F$805,$B13,购销流水!$D$6:$D$805,"采购入库",购销流水!$B$6:$B$805,"&lt;"&amp;$A$4)-SUMIFS(购销流水!$J$6:$J$805,购销流水!$C$6:$C$805,$A13,购销流水!$F$6:$F$805,$B13,购销流水!$D$6:$D$805,"采购退回",购销流水!$B$6:$B$805,"&lt;"&amp;$A$4)+SUMIFS(生产加工!$I$6:$I$305,生产加工!$C$6:$C$305,$A13,生产加工!$F$6:$F$305,$B13,生产加工!$E$6:$E$305,"产成品入库",生产加工!$B$6:$B$305,"&lt;"&amp;$A$4)-(SUMIFS(购销流水!$J$6:$J$805,购销流水!$C$6:$C$805,$A13,购销流水!$F$6:$F$805,$B13,购销流水!$D$6:$D$805,"销售出库",购销流水!$B$6:$B$805,"&lt;"&amp;$A$4)-SUMIFS(购销流水!$J$6:$J$805,购销流水!$C$6:$C$805,$A13,购销流水!$F$6:$F$805,$B13,购销流水!$D$6:$D$805,"销售退回",购销流水!$B$6:$B$805,"&lt;"&amp;$A$4)+SUMIFS(生产加工!$I$6:$I$305,生产加工!$C$6:$C$305,$A13,生产加工!$F$6:$F$305,$B13,生产加工!$E$6:$E$305,"领用投入",生产加工!$B$6:$B$305,"&lt;"&amp;$A$4)))</f>
        <v>800</v>
      </c>
      <c r="F13" s="40" t="n">
        <f aca="false">IF($B13="","",ROUND($E13*$M13,2))</f>
        <v>79399.79</v>
      </c>
      <c r="G13" s="82" t="n">
        <f aca="false">IF($B13="","",SUMIFS(购销流水!$J$6:$J$805,购销流水!$C$6:$C$805,$A13,购销流水!$F$6:$F$805,$B13,购销流水!$D$6:$D$805,"采购入库",购销流水!$B$6:$B$805,"&gt;="&amp;$A$4,购销流水!$B$6:$B$805,"&lt;="&amp;$B$4)-SUMIFS(购销流水!$J$6:$J$805,购销流水!$C$6:$C$805,$A13,购销流水!$F$6:$F$805,$B13,购销流水!$D$6:$D$805,"采购退回",购销流水!$B$6:$B$805,"&gt;="&amp;$A$4,购销流水!$B$6:$B$805,"&lt;="&amp;$B$4)+SUMIFS(生产加工!$I$6:$I$305,生产加工!$C$6:$C$305,$A13,生产加工!$F$6:$F$305,$B13,生产加工!$E$6:$E$305,"产成品入库",生产加工!$B$6:$B$305,"&gt;="&amp;$A$4,生产加工!$B$6:$B$305,"&lt;="&amp;$B$4))</f>
        <v>1800</v>
      </c>
      <c r="H13" s="40" t="n">
        <f aca="false">IF($B13="","",ROUND($G13*$M13,2))</f>
        <v>178649.53</v>
      </c>
      <c r="I13" s="82" t="n">
        <f aca="false">IF($B13="","",SUMIFS(购销流水!$J$6:$J$805,购销流水!$C$6:$C$805,$A13,购销流水!$F$6:$F$805,$B13,购销流水!$D$6:$D$805,"销售出库",购销流水!$B$6:$B$805,"&gt;="&amp;$A$4,购销流水!$B$6:$B$805,"&lt;="&amp;$B$4)-SUMIFS(购销流水!$J$6:$J$805,购销流水!$C$6:$C$805,$A13,购销流水!$F$6:$F$805,$B13,购销流水!$D$6:$D$805,"销售退回",购销流水!$B$6:$B$805,"&gt;="&amp;$A$4,购销流水!$B$6:$B$805,"&lt;="&amp;$B$4)+SUMIFS(生产加工!$I$6:$I$305,生产加工!$C$6:$C$305,$A13,生产加工!$F$6:$F$305,$B13,生产加工!$E$6:$E$305,"领用投入",生产加工!$B$6:$B$305,"&gt;="&amp;$A$4,生产加工!$B$6:$B$305,"&lt;="&amp;$B$4))</f>
        <v>2200</v>
      </c>
      <c r="J13" s="40" t="n">
        <f aca="false">IF($B13="","",ROUND($I13*$M13,2))</f>
        <v>218349.42</v>
      </c>
      <c r="K13" s="84" t="n">
        <f aca="false">IF($B13="","",$E13+$G13-$I13)</f>
        <v>400</v>
      </c>
      <c r="L13" s="42" t="n">
        <f aca="false">IF($B13="","",ROUND($K13*$M13,2))</f>
        <v>39699.9</v>
      </c>
      <c r="M13" s="85" t="n">
        <f aca="false">IF($B13="","",进销存台账!$N12)</f>
        <v>99.2497384615385</v>
      </c>
      <c r="N13" s="64" t="str">
        <f aca="false">IF($B13="","",IF(OR($E13&lt;&gt;0,$G13&lt;&gt;0,$I13&lt;&gt;0),"有",""))</f>
        <v>有</v>
      </c>
    </row>
    <row r="14" customFormat="false" ht="15" hidden="false" customHeight="false" outlineLevel="0" collapsed="false">
      <c r="A14" s="25" t="str">
        <f aca="false">IF(进销存台账!$B13="","",进销存台账!$A13)</f>
        <v>木业</v>
      </c>
      <c r="B14" s="25" t="str">
        <f aca="false">IF(进销存台账!$B13="","",进销存台账!$B13)</f>
        <v>MY02</v>
      </c>
      <c r="C14" s="10" t="str">
        <f aca="false">IF($B14="","",进销存台账!$C13)</f>
        <v>*木制品*模板</v>
      </c>
      <c r="D14" s="25" t="str">
        <f aca="false">IF($B14="","",进销存台账!$E13)</f>
        <v>张</v>
      </c>
      <c r="E14" s="82" t="n">
        <f aca="false">IF($B14="","",进销存台账!$H13+SUMIFS(购销流水!$J$6:$J$805,购销流水!$C$6:$C$805,$A14,购销流水!$F$6:$F$805,$B14,购销流水!$D$6:$D$805,"采购入库",购销流水!$B$6:$B$805,"&lt;"&amp;$A$4)-SUMIFS(购销流水!$J$6:$J$805,购销流水!$C$6:$C$805,$A14,购销流水!$F$6:$F$805,$B14,购销流水!$D$6:$D$805,"采购退回",购销流水!$B$6:$B$805,"&lt;"&amp;$A$4)+SUMIFS(生产加工!$I$6:$I$305,生产加工!$C$6:$C$305,$A14,生产加工!$F$6:$F$305,$B14,生产加工!$E$6:$E$305,"产成品入库",生产加工!$B$6:$B$305,"&lt;"&amp;$A$4)-(SUMIFS(购销流水!$J$6:$J$805,购销流水!$C$6:$C$805,$A14,购销流水!$F$6:$F$805,$B14,购销流水!$D$6:$D$805,"销售出库",购销流水!$B$6:$B$805,"&lt;"&amp;$A$4)-SUMIFS(购销流水!$J$6:$J$805,购销流水!$C$6:$C$805,$A14,购销流水!$F$6:$F$805,$B14,购销流水!$D$6:$D$805,"销售退回",购销流水!$B$6:$B$805,"&lt;"&amp;$A$4)+SUMIFS(生产加工!$I$6:$I$305,生产加工!$C$6:$C$305,$A14,生产加工!$F$6:$F$305,$B14,生产加工!$E$6:$E$305,"领用投入",生产加工!$B$6:$B$305,"&lt;"&amp;$A$4)))</f>
        <v>300</v>
      </c>
      <c r="F14" s="40" t="n">
        <f aca="false">IF($B14="","",ROUND($E14*$M14,2))</f>
        <v>28356.17</v>
      </c>
      <c r="G14" s="82" t="n">
        <f aca="false">IF($B14="","",SUMIFS(购销流水!$J$6:$J$805,购销流水!$C$6:$C$805,$A14,购销流水!$F$6:$F$805,$B14,购销流水!$D$6:$D$805,"采购入库",购销流水!$B$6:$B$805,"&gt;="&amp;$A$4,购销流水!$B$6:$B$805,"&lt;="&amp;$B$4)-SUMIFS(购销流水!$J$6:$J$805,购销流水!$C$6:$C$805,$A14,购销流水!$F$6:$F$805,$B14,购销流水!$D$6:$D$805,"采购退回",购销流水!$B$6:$B$805,"&gt;="&amp;$A$4,购销流水!$B$6:$B$805,"&lt;="&amp;$B$4)+SUMIFS(生产加工!$I$6:$I$305,生产加工!$C$6:$C$305,$A14,生产加工!$F$6:$F$305,$B14,生产加工!$E$6:$E$305,"产成品入库",生产加工!$B$6:$B$305,"&gt;="&amp;$A$4,生产加工!$B$6:$B$305,"&lt;="&amp;$B$4))</f>
        <v>600</v>
      </c>
      <c r="H14" s="40" t="n">
        <f aca="false">IF($B14="","",ROUND($G14*$M14,2))</f>
        <v>56712.33</v>
      </c>
      <c r="I14" s="82" t="n">
        <f aca="false">IF($B14="","",SUMIFS(购销流水!$J$6:$J$805,购销流水!$C$6:$C$805,$A14,购销流水!$F$6:$F$805,$B14,购销流水!$D$6:$D$805,"销售出库",购销流水!$B$6:$B$805,"&gt;="&amp;$A$4,购销流水!$B$6:$B$805,"&lt;="&amp;$B$4)-SUMIFS(购销流水!$J$6:$J$805,购销流水!$C$6:$C$805,$A14,购销流水!$F$6:$F$805,$B14,购销流水!$D$6:$D$805,"销售退回",购销流水!$B$6:$B$805,"&gt;="&amp;$A$4,购销流水!$B$6:$B$805,"&lt;="&amp;$B$4)+SUMIFS(生产加工!$I$6:$I$305,生产加工!$C$6:$C$305,$A14,生产加工!$F$6:$F$305,$B14,生产加工!$E$6:$E$305,"领用投入",生产加工!$B$6:$B$305,"&gt;="&amp;$A$4,生产加工!$B$6:$B$305,"&lt;="&amp;$B$4))</f>
        <v>700</v>
      </c>
      <c r="J14" s="40" t="n">
        <f aca="false">IF($B14="","",ROUND($I14*$M14,2))</f>
        <v>66164.39</v>
      </c>
      <c r="K14" s="84" t="n">
        <f aca="false">IF($B14="","",$E14+$G14-$I14)</f>
        <v>200</v>
      </c>
      <c r="L14" s="42" t="n">
        <f aca="false">IF($B14="","",ROUND($K14*$M14,2))</f>
        <v>18904.11</v>
      </c>
      <c r="M14" s="85" t="n">
        <f aca="false">IF($B14="","",进销存台账!$N13)</f>
        <v>94.5205555555556</v>
      </c>
      <c r="N14" s="64" t="str">
        <f aca="false">IF($B14="","",IF(OR($E14&lt;&gt;0,$G14&lt;&gt;0,$I14&lt;&gt;0),"有",""))</f>
        <v>有</v>
      </c>
    </row>
    <row r="15" customFormat="false" ht="15" hidden="false" customHeight="false" outlineLevel="0" collapsed="false">
      <c r="A15" s="25" t="str">
        <f aca="false">IF(进销存台账!$B14="","",进销存台账!$A14)</f>
        <v>木业</v>
      </c>
      <c r="B15" s="25" t="str">
        <f aca="false">IF(进销存台账!$B14="","",进销存台账!$B14)</f>
        <v>MY03</v>
      </c>
      <c r="C15" s="10" t="str">
        <f aca="false">IF($B15="","",进销存台账!$C14)</f>
        <v>*木制品*方料</v>
      </c>
      <c r="D15" s="25" t="str">
        <f aca="false">IF($B15="","",进销存台账!$E14)</f>
        <v>立方米</v>
      </c>
      <c r="E15" s="82" t="n">
        <f aca="false">IF($B15="","",进销存台账!$H14+SUMIFS(购销流水!$J$6:$J$805,购销流水!$C$6:$C$805,$A15,购销流水!$F$6:$F$805,$B15,购销流水!$D$6:$D$805,"采购入库",购销流水!$B$6:$B$805,"&lt;"&amp;$A$4)-SUMIFS(购销流水!$J$6:$J$805,购销流水!$C$6:$C$805,$A15,购销流水!$F$6:$F$805,$B15,购销流水!$D$6:$D$805,"采购退回",购销流水!$B$6:$B$805,"&lt;"&amp;$A$4)+SUMIFS(生产加工!$I$6:$I$305,生产加工!$C$6:$C$305,$A15,生产加工!$F$6:$F$305,$B15,生产加工!$E$6:$E$305,"产成品入库",生产加工!$B$6:$B$305,"&lt;"&amp;$A$4)-(SUMIFS(购销流水!$J$6:$J$805,购销流水!$C$6:$C$805,$A15,购销流水!$F$6:$F$805,$B15,购销流水!$D$6:$D$805,"销售出库",购销流水!$B$6:$B$805,"&lt;"&amp;$A$4)-SUMIFS(购销流水!$J$6:$J$805,购销流水!$C$6:$C$805,$A15,购销流水!$F$6:$F$805,$B15,购销流水!$D$6:$D$805,"销售退回",购销流水!$B$6:$B$805,"&lt;"&amp;$A$4)+SUMIFS(生产加工!$I$6:$I$305,生产加工!$C$6:$C$305,$A15,生产加工!$F$6:$F$305,$B15,生产加工!$E$6:$E$305,"领用投入",生产加工!$B$6:$B$305,"&lt;"&amp;$A$4)))</f>
        <v>0</v>
      </c>
      <c r="F15" s="40" t="n">
        <f aca="false">IF($B15="","",ROUND($E15*$M15,2))</f>
        <v>0</v>
      </c>
      <c r="G15" s="82" t="n">
        <f aca="false">IF($B15="","",SUMIFS(购销流水!$J$6:$J$805,购销流水!$C$6:$C$805,$A15,购销流水!$F$6:$F$805,$B15,购销流水!$D$6:$D$805,"采购入库",购销流水!$B$6:$B$805,"&gt;="&amp;$A$4,购销流水!$B$6:$B$805,"&lt;="&amp;$B$4)-SUMIFS(购销流水!$J$6:$J$805,购销流水!$C$6:$C$805,$A15,购销流水!$F$6:$F$805,$B15,购销流水!$D$6:$D$805,"采购退回",购销流水!$B$6:$B$805,"&gt;="&amp;$A$4,购销流水!$B$6:$B$805,"&lt;="&amp;$B$4)+SUMIFS(生产加工!$I$6:$I$305,生产加工!$C$6:$C$305,$A15,生产加工!$F$6:$F$305,$B15,生产加工!$E$6:$E$305,"产成品入库",生产加工!$B$6:$B$305,"&gt;="&amp;$A$4,生产加工!$B$6:$B$305,"&lt;="&amp;$B$4))</f>
        <v>0</v>
      </c>
      <c r="H15" s="40" t="n">
        <f aca="false">IF($B15="","",ROUND($G15*$M15,2))</f>
        <v>0</v>
      </c>
      <c r="I15" s="82" t="n">
        <f aca="false">IF($B15="","",SUMIFS(购销流水!$J$6:$J$805,购销流水!$C$6:$C$805,$A15,购销流水!$F$6:$F$805,$B15,购销流水!$D$6:$D$805,"销售出库",购销流水!$B$6:$B$805,"&gt;="&amp;$A$4,购销流水!$B$6:$B$805,"&lt;="&amp;$B$4)-SUMIFS(购销流水!$J$6:$J$805,购销流水!$C$6:$C$805,$A15,购销流水!$F$6:$F$805,$B15,购销流水!$D$6:$D$805,"销售退回",购销流水!$B$6:$B$805,"&gt;="&amp;$A$4,购销流水!$B$6:$B$805,"&lt;="&amp;$B$4)+SUMIFS(生产加工!$I$6:$I$305,生产加工!$C$6:$C$305,$A15,生产加工!$F$6:$F$305,$B15,生产加工!$E$6:$E$305,"领用投入",生产加工!$B$6:$B$305,"&gt;="&amp;$A$4,生产加工!$B$6:$B$305,"&lt;="&amp;$B$4))</f>
        <v>0</v>
      </c>
      <c r="J15" s="40" t="n">
        <f aca="false">IF($B15="","",ROUND($I15*$M15,2))</f>
        <v>0</v>
      </c>
      <c r="K15" s="84" t="n">
        <f aca="false">IF($B15="","",$E15+$G15-$I15)</f>
        <v>0</v>
      </c>
      <c r="L15" s="42" t="n">
        <f aca="false">IF($B15="","",ROUND($K15*$M15,2))</f>
        <v>0</v>
      </c>
      <c r="M15" s="85" t="n">
        <f aca="false">IF($B15="","",进销存台账!$N14)</f>
        <v>0</v>
      </c>
      <c r="N15" s="64" t="str">
        <f aca="false">IF($B15="","",IF(OR($E15&lt;&gt;0,$G15&lt;&gt;0,$I15&lt;&gt;0),"有",""))</f>
        <v/>
      </c>
    </row>
    <row r="16" customFormat="false" ht="15" hidden="false" customHeight="false" outlineLevel="0" collapsed="false">
      <c r="A16" s="25" t="str">
        <f aca="false">IF(进销存台账!$B15="","",进销存台账!$A15)</f>
        <v>木业</v>
      </c>
      <c r="B16" s="25" t="str">
        <f aca="false">IF(进销存台账!$B15="","",进销存台账!$B15)</f>
        <v>MY04</v>
      </c>
      <c r="C16" s="10" t="str">
        <f aca="false">IF($B16="","",进销存台账!$C15)</f>
        <v>*木制品*建筑方料</v>
      </c>
      <c r="D16" s="25" t="str">
        <f aca="false">IF($B16="","",进销存台账!$E15)</f>
        <v>立方米</v>
      </c>
      <c r="E16" s="82" t="n">
        <f aca="false">IF($B16="","",进销存台账!$H15+SUMIFS(购销流水!$J$6:$J$805,购销流水!$C$6:$C$805,$A16,购销流水!$F$6:$F$805,$B16,购销流水!$D$6:$D$805,"采购入库",购销流水!$B$6:$B$805,"&lt;"&amp;$A$4)-SUMIFS(购销流水!$J$6:$J$805,购销流水!$C$6:$C$805,$A16,购销流水!$F$6:$F$805,$B16,购销流水!$D$6:$D$805,"采购退回",购销流水!$B$6:$B$805,"&lt;"&amp;$A$4)+SUMIFS(生产加工!$I$6:$I$305,生产加工!$C$6:$C$305,$A16,生产加工!$F$6:$F$305,$B16,生产加工!$E$6:$E$305,"产成品入库",生产加工!$B$6:$B$305,"&lt;"&amp;$A$4)-(SUMIFS(购销流水!$J$6:$J$805,购销流水!$C$6:$C$805,$A16,购销流水!$F$6:$F$805,$B16,购销流水!$D$6:$D$805,"销售出库",购销流水!$B$6:$B$805,"&lt;"&amp;$A$4)-SUMIFS(购销流水!$J$6:$J$805,购销流水!$C$6:$C$805,$A16,购销流水!$F$6:$F$805,$B16,购销流水!$D$6:$D$805,"销售退回",购销流水!$B$6:$B$805,"&lt;"&amp;$A$4)+SUMIFS(生产加工!$I$6:$I$305,生产加工!$C$6:$C$305,$A16,生产加工!$F$6:$F$305,$B16,生产加工!$E$6:$E$305,"领用投入",生产加工!$B$6:$B$305,"&lt;"&amp;$A$4)))</f>
        <v>0</v>
      </c>
      <c r="F16" s="40" t="n">
        <f aca="false">IF($B16="","",ROUND($E16*$M16,2))</f>
        <v>0</v>
      </c>
      <c r="G16" s="82" t="n">
        <f aca="false">IF($B16="","",SUMIFS(购销流水!$J$6:$J$805,购销流水!$C$6:$C$805,$A16,购销流水!$F$6:$F$805,$B16,购销流水!$D$6:$D$805,"采购入库",购销流水!$B$6:$B$805,"&gt;="&amp;$A$4,购销流水!$B$6:$B$805,"&lt;="&amp;$B$4)-SUMIFS(购销流水!$J$6:$J$805,购销流水!$C$6:$C$805,$A16,购销流水!$F$6:$F$805,$B16,购销流水!$D$6:$D$805,"采购退回",购销流水!$B$6:$B$805,"&gt;="&amp;$A$4,购销流水!$B$6:$B$805,"&lt;="&amp;$B$4)+SUMIFS(生产加工!$I$6:$I$305,生产加工!$C$6:$C$305,$A16,生产加工!$F$6:$F$305,$B16,生产加工!$E$6:$E$305,"产成品入库",生产加工!$B$6:$B$305,"&gt;="&amp;$A$4,生产加工!$B$6:$B$305,"&lt;="&amp;$B$4))</f>
        <v>0</v>
      </c>
      <c r="H16" s="40" t="n">
        <f aca="false">IF($B16="","",ROUND($G16*$M16,2))</f>
        <v>0</v>
      </c>
      <c r="I16" s="82" t="n">
        <f aca="false">IF($B16="","",SUMIFS(购销流水!$J$6:$J$805,购销流水!$C$6:$C$805,$A16,购销流水!$F$6:$F$805,$B16,购销流水!$D$6:$D$805,"销售出库",购销流水!$B$6:$B$805,"&gt;="&amp;$A$4,购销流水!$B$6:$B$805,"&lt;="&amp;$B$4)-SUMIFS(购销流水!$J$6:$J$805,购销流水!$C$6:$C$805,$A16,购销流水!$F$6:$F$805,$B16,购销流水!$D$6:$D$805,"销售退回",购销流水!$B$6:$B$805,"&gt;="&amp;$A$4,购销流水!$B$6:$B$805,"&lt;="&amp;$B$4)+SUMIFS(生产加工!$I$6:$I$305,生产加工!$C$6:$C$305,$A16,生产加工!$F$6:$F$305,$B16,生产加工!$E$6:$E$305,"领用投入",生产加工!$B$6:$B$305,"&gt;="&amp;$A$4,生产加工!$B$6:$B$305,"&lt;="&amp;$B$4))</f>
        <v>0</v>
      </c>
      <c r="J16" s="40" t="n">
        <f aca="false">IF($B16="","",ROUND($I16*$M16,2))</f>
        <v>0</v>
      </c>
      <c r="K16" s="84" t="n">
        <f aca="false">IF($B16="","",$E16+$G16-$I16)</f>
        <v>0</v>
      </c>
      <c r="L16" s="42" t="n">
        <f aca="false">IF($B16="","",ROUND($K16*$M16,2))</f>
        <v>0</v>
      </c>
      <c r="M16" s="85" t="n">
        <f aca="false">IF($B16="","",进销存台账!$N15)</f>
        <v>0</v>
      </c>
      <c r="N16" s="64" t="str">
        <f aca="false">IF($B16="","",IF(OR($E16&lt;&gt;0,$G16&lt;&gt;0,$I16&lt;&gt;0),"有",""))</f>
        <v/>
      </c>
    </row>
    <row r="17" customFormat="false" ht="15" hidden="false" customHeight="false" outlineLevel="0" collapsed="false">
      <c r="A17" s="25" t="str">
        <f aca="false">IF(进销存台账!$B16="","",进销存台账!$A16)</f>
        <v>木业</v>
      </c>
      <c r="B17" s="25" t="str">
        <f aca="false">IF(进销存台账!$B16="","",进销存台账!$B16)</f>
        <v>MY05</v>
      </c>
      <c r="C17" s="10" t="str">
        <f aca="false">IF($B17="","",进销存台账!$C16)</f>
        <v>*木制品*包装箱板材</v>
      </c>
      <c r="D17" s="25" t="str">
        <f aca="false">IF($B17="","",进销存台账!$E16)</f>
        <v>立方米</v>
      </c>
      <c r="E17" s="82" t="n">
        <f aca="false">IF($B17="","",进销存台账!$H16+SUMIFS(购销流水!$J$6:$J$805,购销流水!$C$6:$C$805,$A17,购销流水!$F$6:$F$805,$B17,购销流水!$D$6:$D$805,"采购入库",购销流水!$B$6:$B$805,"&lt;"&amp;$A$4)-SUMIFS(购销流水!$J$6:$J$805,购销流水!$C$6:$C$805,$A17,购销流水!$F$6:$F$805,$B17,购销流水!$D$6:$D$805,"采购退回",购销流水!$B$6:$B$805,"&lt;"&amp;$A$4)+SUMIFS(生产加工!$I$6:$I$305,生产加工!$C$6:$C$305,$A17,生产加工!$F$6:$F$305,$B17,生产加工!$E$6:$E$305,"产成品入库",生产加工!$B$6:$B$305,"&lt;"&amp;$A$4)-(SUMIFS(购销流水!$J$6:$J$805,购销流水!$C$6:$C$805,$A17,购销流水!$F$6:$F$805,$B17,购销流水!$D$6:$D$805,"销售出库",购销流水!$B$6:$B$805,"&lt;"&amp;$A$4)-SUMIFS(购销流水!$J$6:$J$805,购销流水!$C$6:$C$805,$A17,购销流水!$F$6:$F$805,$B17,购销流水!$D$6:$D$805,"销售退回",购销流水!$B$6:$B$805,"&lt;"&amp;$A$4)+SUMIFS(生产加工!$I$6:$I$305,生产加工!$C$6:$C$305,$A17,生产加工!$F$6:$F$305,$B17,生产加工!$E$6:$E$305,"领用投入",生产加工!$B$6:$B$305,"&lt;"&amp;$A$4)))</f>
        <v>0</v>
      </c>
      <c r="F17" s="40" t="n">
        <f aca="false">IF($B17="","",ROUND($E17*$M17,2))</f>
        <v>0</v>
      </c>
      <c r="G17" s="82" t="n">
        <f aca="false">IF($B17="","",SUMIFS(购销流水!$J$6:$J$805,购销流水!$C$6:$C$805,$A17,购销流水!$F$6:$F$805,$B17,购销流水!$D$6:$D$805,"采购入库",购销流水!$B$6:$B$805,"&gt;="&amp;$A$4,购销流水!$B$6:$B$805,"&lt;="&amp;$B$4)-SUMIFS(购销流水!$J$6:$J$805,购销流水!$C$6:$C$805,$A17,购销流水!$F$6:$F$805,$B17,购销流水!$D$6:$D$805,"采购退回",购销流水!$B$6:$B$805,"&gt;="&amp;$A$4,购销流水!$B$6:$B$805,"&lt;="&amp;$B$4)+SUMIFS(生产加工!$I$6:$I$305,生产加工!$C$6:$C$305,$A17,生产加工!$F$6:$F$305,$B17,生产加工!$E$6:$E$305,"产成品入库",生产加工!$B$6:$B$305,"&gt;="&amp;$A$4,生产加工!$B$6:$B$305,"&lt;="&amp;$B$4))</f>
        <v>48</v>
      </c>
      <c r="H17" s="40" t="n">
        <f aca="false">IF($B17="","",ROUND($G17*$M17,2))</f>
        <v>71624.66</v>
      </c>
      <c r="I17" s="82" t="n">
        <f aca="false">IF($B17="","",SUMIFS(购销流水!$J$6:$J$805,购销流水!$C$6:$C$805,$A17,购销流水!$F$6:$F$805,$B17,购销流水!$D$6:$D$805,"销售出库",购销流水!$B$6:$B$805,"&gt;="&amp;$A$4,购销流水!$B$6:$B$805,"&lt;="&amp;$B$4)-SUMIFS(购销流水!$J$6:$J$805,购销流水!$C$6:$C$805,$A17,购销流水!$F$6:$F$805,$B17,购销流水!$D$6:$D$805,"销售退回",购销流水!$B$6:$B$805,"&gt;="&amp;$A$4,购销流水!$B$6:$B$805,"&lt;="&amp;$B$4)+SUMIFS(生产加工!$I$6:$I$305,生产加工!$C$6:$C$305,$A17,生产加工!$F$6:$F$305,$B17,生产加工!$E$6:$E$305,"领用投入",生产加工!$B$6:$B$305,"&gt;="&amp;$A$4,生产加工!$B$6:$B$305,"&lt;="&amp;$B$4))</f>
        <v>45</v>
      </c>
      <c r="J17" s="40" t="n">
        <f aca="false">IF($B17="","",ROUND($I17*$M17,2))</f>
        <v>67148.12</v>
      </c>
      <c r="K17" s="84" t="n">
        <f aca="false">IF($B17="","",$E17+$G17-$I17)</f>
        <v>3</v>
      </c>
      <c r="L17" s="42" t="n">
        <f aca="false">IF($B17="","",ROUND($K17*$M17,2))</f>
        <v>4476.54</v>
      </c>
      <c r="M17" s="85" t="n">
        <f aca="false">IF($B17="","",进销存台账!$N16)</f>
        <v>1492.18041666667</v>
      </c>
      <c r="N17" s="64" t="str">
        <f aca="false">IF($B17="","",IF(OR($E17&lt;&gt;0,$G17&lt;&gt;0,$I17&lt;&gt;0),"有",""))</f>
        <v>有</v>
      </c>
    </row>
    <row r="18" customFormat="false" ht="15" hidden="false" customHeight="false" outlineLevel="0" collapsed="false">
      <c r="A18" s="25" t="str">
        <f aca="false">IF(进销存台账!$B17="","",进销存台账!$A17)</f>
        <v>木业</v>
      </c>
      <c r="B18" s="25" t="str">
        <f aca="false">IF(进销存台账!$B17="","",进销存台账!$B17)</f>
        <v>MY06</v>
      </c>
      <c r="C18" s="10" t="str">
        <f aca="false">IF($B18="","",进销存台账!$C17)</f>
        <v>*林业产品*建筑木方料</v>
      </c>
      <c r="D18" s="25" t="str">
        <f aca="false">IF($B18="","",进销存台账!$E17)</f>
        <v>立方米</v>
      </c>
      <c r="E18" s="82" t="n">
        <f aca="false">IF($B18="","",进销存台账!$H17+SUMIFS(购销流水!$J$6:$J$805,购销流水!$C$6:$C$805,$A18,购销流水!$F$6:$F$805,$B18,购销流水!$D$6:$D$805,"采购入库",购销流水!$B$6:$B$805,"&lt;"&amp;$A$4)-SUMIFS(购销流水!$J$6:$J$805,购销流水!$C$6:$C$805,$A18,购销流水!$F$6:$F$805,$B18,购销流水!$D$6:$D$805,"采购退回",购销流水!$B$6:$B$805,"&lt;"&amp;$A$4)+SUMIFS(生产加工!$I$6:$I$305,生产加工!$C$6:$C$305,$A18,生产加工!$F$6:$F$305,$B18,生产加工!$E$6:$E$305,"产成品入库",生产加工!$B$6:$B$305,"&lt;"&amp;$A$4)-(SUMIFS(购销流水!$J$6:$J$805,购销流水!$C$6:$C$805,$A18,购销流水!$F$6:$F$805,$B18,购销流水!$D$6:$D$805,"销售出库",购销流水!$B$6:$B$805,"&lt;"&amp;$A$4)-SUMIFS(购销流水!$J$6:$J$805,购销流水!$C$6:$C$805,$A18,购销流水!$F$6:$F$805,$B18,购销流水!$D$6:$D$805,"销售退回",购销流水!$B$6:$B$805,"&lt;"&amp;$A$4)+SUMIFS(生产加工!$I$6:$I$305,生产加工!$C$6:$C$305,$A18,生产加工!$F$6:$F$305,$B18,生产加工!$E$6:$E$305,"领用投入",生产加工!$B$6:$B$305,"&lt;"&amp;$A$4)))</f>
        <v>0</v>
      </c>
      <c r="F18" s="40" t="n">
        <f aca="false">IF($B18="","",ROUND($E18*$M18,2))</f>
        <v>0</v>
      </c>
      <c r="G18" s="82" t="n">
        <f aca="false">IF($B18="","",SUMIFS(购销流水!$J$6:$J$805,购销流水!$C$6:$C$805,$A18,购销流水!$F$6:$F$805,$B18,购销流水!$D$6:$D$805,"采购入库",购销流水!$B$6:$B$805,"&gt;="&amp;$A$4,购销流水!$B$6:$B$805,"&lt;="&amp;$B$4)-SUMIFS(购销流水!$J$6:$J$805,购销流水!$C$6:$C$805,$A18,购销流水!$F$6:$F$805,$B18,购销流水!$D$6:$D$805,"采购退回",购销流水!$B$6:$B$805,"&gt;="&amp;$A$4,购销流水!$B$6:$B$805,"&lt;="&amp;$B$4)+SUMIFS(生产加工!$I$6:$I$305,生产加工!$C$6:$C$305,$A18,生产加工!$F$6:$F$305,$B18,生产加工!$E$6:$E$305,"产成品入库",生产加工!$B$6:$B$305,"&gt;="&amp;$A$4,生产加工!$B$6:$B$305,"&lt;="&amp;$B$4))</f>
        <v>20</v>
      </c>
      <c r="H18" s="40" t="n">
        <f aca="false">IF($B18="","",ROUND($G18*$M18,2))</f>
        <v>19156.16</v>
      </c>
      <c r="I18" s="82" t="n">
        <f aca="false">IF($B18="","",SUMIFS(购销流水!$J$6:$J$805,购销流水!$C$6:$C$805,$A18,购销流水!$F$6:$F$805,$B18,购销流水!$D$6:$D$805,"销售出库",购销流水!$B$6:$B$805,"&gt;="&amp;$A$4,购销流水!$B$6:$B$805,"&lt;="&amp;$B$4)-SUMIFS(购销流水!$J$6:$J$805,购销流水!$C$6:$C$805,$A18,购销流水!$F$6:$F$805,$B18,购销流水!$D$6:$D$805,"销售退回",购销流水!$B$6:$B$805,"&gt;="&amp;$A$4,购销流水!$B$6:$B$805,"&lt;="&amp;$B$4)+SUMIFS(生产加工!$I$6:$I$305,生产加工!$C$6:$C$305,$A18,生产加工!$F$6:$F$305,$B18,生产加工!$E$6:$E$305,"领用投入",生产加工!$B$6:$B$305,"&gt;="&amp;$A$4,生产加工!$B$6:$B$305,"&lt;="&amp;$B$4))</f>
        <v>15</v>
      </c>
      <c r="J18" s="40" t="n">
        <f aca="false">IF($B18="","",ROUND($I18*$M18,2))</f>
        <v>14367.12</v>
      </c>
      <c r="K18" s="84" t="n">
        <f aca="false">IF($B18="","",$E18+$G18-$I18)</f>
        <v>5</v>
      </c>
      <c r="L18" s="42" t="n">
        <f aca="false">IF($B18="","",ROUND($K18*$M18,2))</f>
        <v>4789.04</v>
      </c>
      <c r="M18" s="85" t="n">
        <f aca="false">IF($B18="","",进销存台账!$N17)</f>
        <v>957.808</v>
      </c>
      <c r="N18" s="64" t="str">
        <f aca="false">IF($B18="","",IF(OR($E18&lt;&gt;0,$G18&lt;&gt;0,$I18&lt;&gt;0),"有",""))</f>
        <v>有</v>
      </c>
    </row>
    <row r="19" customFormat="false" ht="15" hidden="false" customHeight="false" outlineLevel="0" collapsed="false">
      <c r="A19" s="25" t="str">
        <f aca="false">IF(进销存台账!$B18="","",进销存台账!$A18)</f>
        <v>木业</v>
      </c>
      <c r="B19" s="25" t="str">
        <f aca="false">IF(进销存台账!$B18="","",进销存台账!$B18)</f>
        <v>MY07</v>
      </c>
      <c r="C19" s="10" t="str">
        <f aca="false">IF($B19="","",进销存台账!$C18)</f>
        <v>原木</v>
      </c>
      <c r="D19" s="25" t="str">
        <f aca="false">IF($B19="","",进销存台账!$E18)</f>
        <v>立方米</v>
      </c>
      <c r="E19" s="82" t="n">
        <f aca="false">IF($B19="","",进销存台账!$H18+SUMIFS(购销流水!$J$6:$J$805,购销流水!$C$6:$C$805,$A19,购销流水!$F$6:$F$805,$B19,购销流水!$D$6:$D$805,"采购入库",购销流水!$B$6:$B$805,"&lt;"&amp;$A$4)-SUMIFS(购销流水!$J$6:$J$805,购销流水!$C$6:$C$805,$A19,购销流水!$F$6:$F$805,$B19,购销流水!$D$6:$D$805,"采购退回",购销流水!$B$6:$B$805,"&lt;"&amp;$A$4)+SUMIFS(生产加工!$I$6:$I$305,生产加工!$C$6:$C$305,$A19,生产加工!$F$6:$F$305,$B19,生产加工!$E$6:$E$305,"产成品入库",生产加工!$B$6:$B$305,"&lt;"&amp;$A$4)-(SUMIFS(购销流水!$J$6:$J$805,购销流水!$C$6:$C$805,$A19,购销流水!$F$6:$F$805,$B19,购销流水!$D$6:$D$805,"销售出库",购销流水!$B$6:$B$805,"&lt;"&amp;$A$4)-SUMIFS(购销流水!$J$6:$J$805,购销流水!$C$6:$C$805,$A19,购销流水!$F$6:$F$805,$B19,购销流水!$D$6:$D$805,"销售退回",购销流水!$B$6:$B$805,"&lt;"&amp;$A$4)+SUMIFS(生产加工!$I$6:$I$305,生产加工!$C$6:$C$305,$A19,生产加工!$F$6:$F$305,$B19,生产加工!$E$6:$E$305,"领用投入",生产加工!$B$6:$B$305,"&lt;"&amp;$A$4)))</f>
        <v>80</v>
      </c>
      <c r="F19" s="40" t="n">
        <f aca="false">IF($B19="","",ROUND($E19*$M19,2))</f>
        <v>80832.88</v>
      </c>
      <c r="G19" s="82" t="n">
        <f aca="false">IF($B19="","",SUMIFS(购销流水!$J$6:$J$805,购销流水!$C$6:$C$805,$A19,购销流水!$F$6:$F$805,$B19,购销流水!$D$6:$D$805,"采购入库",购销流水!$B$6:$B$805,"&gt;="&amp;$A$4,购销流水!$B$6:$B$805,"&lt;="&amp;$B$4)-SUMIFS(购销流水!$J$6:$J$805,购销流水!$C$6:$C$805,$A19,购销流水!$F$6:$F$805,$B19,购销流水!$D$6:$D$805,"采购退回",购销流水!$B$6:$B$805,"&gt;="&amp;$A$4,购销流水!$B$6:$B$805,"&lt;="&amp;$B$4)+SUMIFS(生产加工!$I$6:$I$305,生产加工!$C$6:$C$305,$A19,生产加工!$F$6:$F$305,$B19,生产加工!$E$6:$E$305,"产成品入库",生产加工!$B$6:$B$305,"&gt;="&amp;$A$4,生产加工!$B$6:$B$305,"&lt;="&amp;$B$4))</f>
        <v>285</v>
      </c>
      <c r="H19" s="40" t="n">
        <f aca="false">IF($B19="","",ROUND($G19*$M19,2))</f>
        <v>287967.12</v>
      </c>
      <c r="I19" s="82" t="n">
        <f aca="false">IF($B19="","",SUMIFS(购销流水!$J$6:$J$805,购销流水!$C$6:$C$805,$A19,购销流水!$F$6:$F$805,$B19,购销流水!$D$6:$D$805,"销售出库",购销流水!$B$6:$B$805,"&gt;="&amp;$A$4,购销流水!$B$6:$B$805,"&lt;="&amp;$B$4)-SUMIFS(购销流水!$J$6:$J$805,购销流水!$C$6:$C$805,$A19,购销流水!$F$6:$F$805,$B19,购销流水!$D$6:$D$805,"销售退回",购销流水!$B$6:$B$805,"&gt;="&amp;$A$4,购销流水!$B$6:$B$805,"&lt;="&amp;$B$4)+SUMIFS(生产加工!$I$6:$I$305,生产加工!$C$6:$C$305,$A19,生产加工!$F$6:$F$305,$B19,生产加工!$E$6:$E$305,"领用投入",生产加工!$B$6:$B$305,"&gt;="&amp;$A$4,生产加工!$B$6:$B$305,"&lt;="&amp;$B$4))</f>
        <v>240</v>
      </c>
      <c r="J19" s="40" t="n">
        <f aca="false">IF($B19="","",ROUND($I19*$M19,2))</f>
        <v>242498.63</v>
      </c>
      <c r="K19" s="84" t="n">
        <f aca="false">IF($B19="","",$E19+$G19-$I19)</f>
        <v>125</v>
      </c>
      <c r="L19" s="42" t="n">
        <f aca="false">IF($B19="","",ROUND($K19*$M19,2))</f>
        <v>126301.37</v>
      </c>
      <c r="M19" s="85" t="n">
        <f aca="false">IF($B19="","",进销存台账!$N18)</f>
        <v>1010.41095890411</v>
      </c>
      <c r="N19" s="64" t="str">
        <f aca="false">IF($B19="","",IF(OR($E19&lt;&gt;0,$G19&lt;&gt;0,$I19&lt;&gt;0),"有",""))</f>
        <v>有</v>
      </c>
    </row>
    <row r="20" customFormat="false" ht="15" hidden="false" customHeight="false" outlineLevel="0" collapsed="false">
      <c r="A20" s="25" t="str">
        <f aca="false">IF(进销存台账!$B19="","",进销存台账!$A19)</f>
        <v>木业</v>
      </c>
      <c r="B20" s="25" t="str">
        <f aca="false">IF(进销存台账!$B19="","",进销存台账!$B19)</f>
        <v>MY08</v>
      </c>
      <c r="C20" s="10" t="str">
        <f aca="false">IF($B20="","",进销存台账!$C19)</f>
        <v>胶水</v>
      </c>
      <c r="D20" s="25" t="str">
        <f aca="false">IF($B20="","",进销存台账!$E19)</f>
        <v>公斤</v>
      </c>
      <c r="E20" s="82" t="n">
        <f aca="false">IF($B20="","",进销存台账!$H19+SUMIFS(购销流水!$J$6:$J$805,购销流水!$C$6:$C$805,$A20,购销流水!$F$6:$F$805,$B20,购销流水!$D$6:$D$805,"采购入库",购销流水!$B$6:$B$805,"&lt;"&amp;$A$4)-SUMIFS(购销流水!$J$6:$J$805,购销流水!$C$6:$C$805,$A20,购销流水!$F$6:$F$805,$B20,购销流水!$D$6:$D$805,"采购退回",购销流水!$B$6:$B$805,"&lt;"&amp;$A$4)+SUMIFS(生产加工!$I$6:$I$305,生产加工!$C$6:$C$305,$A20,生产加工!$F$6:$F$305,$B20,生产加工!$E$6:$E$305,"产成品入库",生产加工!$B$6:$B$305,"&lt;"&amp;$A$4)-(SUMIFS(购销流水!$J$6:$J$805,购销流水!$C$6:$C$805,$A20,购销流水!$F$6:$F$805,$B20,购销流水!$D$6:$D$805,"销售出库",购销流水!$B$6:$B$805,"&lt;"&amp;$A$4)-SUMIFS(购销流水!$J$6:$J$805,购销流水!$C$6:$C$805,$A20,购销流水!$F$6:$F$805,$B20,购销流水!$D$6:$D$805,"销售退回",购销流水!$B$6:$B$805,"&lt;"&amp;$A$4)+SUMIFS(生产加工!$I$6:$I$305,生产加工!$C$6:$C$305,$A20,生产加工!$F$6:$F$305,$B20,生产加工!$E$6:$E$305,"领用投入",生产加工!$B$6:$B$305,"&lt;"&amp;$A$4)))</f>
        <v>300</v>
      </c>
      <c r="F20" s="40" t="n">
        <f aca="false">IF($B20="","",ROUND($E20*$M20,2))</f>
        <v>5950</v>
      </c>
      <c r="G20" s="82" t="n">
        <f aca="false">IF($B20="","",SUMIFS(购销流水!$J$6:$J$805,购销流水!$C$6:$C$805,$A20,购销流水!$F$6:$F$805,$B20,购销流水!$D$6:$D$805,"采购入库",购销流水!$B$6:$B$805,"&gt;="&amp;$A$4,购销流水!$B$6:$B$805,"&lt;="&amp;$B$4)-SUMIFS(购销流水!$J$6:$J$805,购销流水!$C$6:$C$805,$A20,购销流水!$F$6:$F$805,$B20,购销流水!$D$6:$D$805,"采购退回",购销流水!$B$6:$B$805,"&gt;="&amp;$A$4,购销流水!$B$6:$B$805,"&lt;="&amp;$B$4)+SUMIFS(生产加工!$I$6:$I$305,生产加工!$C$6:$C$305,$A20,生产加工!$F$6:$F$305,$B20,生产加工!$E$6:$E$305,"产成品入库",生产加工!$B$6:$B$305,"&gt;="&amp;$A$4,生产加工!$B$6:$B$305,"&lt;="&amp;$B$4))</f>
        <v>600</v>
      </c>
      <c r="H20" s="40" t="n">
        <f aca="false">IF($B20="","",ROUND($G20*$M20,2))</f>
        <v>11900</v>
      </c>
      <c r="I20" s="82" t="n">
        <f aca="false">IF($B20="","",SUMIFS(购销流水!$J$6:$J$805,购销流水!$C$6:$C$805,$A20,购销流水!$F$6:$F$805,$B20,购销流水!$D$6:$D$805,"销售出库",购销流水!$B$6:$B$805,"&gt;="&amp;$A$4,购销流水!$B$6:$B$805,"&lt;="&amp;$B$4)-SUMIFS(购销流水!$J$6:$J$805,购销流水!$C$6:$C$805,$A20,购销流水!$F$6:$F$805,$B20,购销流水!$D$6:$D$805,"销售退回",购销流水!$B$6:$B$805,"&gt;="&amp;$A$4,购销流水!$B$6:$B$805,"&lt;="&amp;$B$4)+SUMIFS(生产加工!$I$6:$I$305,生产加工!$C$6:$C$305,$A20,生产加工!$F$6:$F$305,$B20,生产加工!$E$6:$E$305,"领用投入",生产加工!$B$6:$B$305,"&gt;="&amp;$A$4,生产加工!$B$6:$B$305,"&lt;="&amp;$B$4))</f>
        <v>0</v>
      </c>
      <c r="J20" s="40" t="n">
        <f aca="false">IF($B20="","",ROUND($I20*$M20,2))</f>
        <v>0</v>
      </c>
      <c r="K20" s="84" t="n">
        <f aca="false">IF($B20="","",$E20+$G20-$I20)</f>
        <v>900</v>
      </c>
      <c r="L20" s="42" t="n">
        <f aca="false">IF($B20="","",ROUND($K20*$M20,2))</f>
        <v>17850</v>
      </c>
      <c r="M20" s="85" t="n">
        <f aca="false">IF($B20="","",进销存台账!$N19)</f>
        <v>19.8333333333333</v>
      </c>
      <c r="N20" s="64" t="str">
        <f aca="false">IF($B20="","",IF(OR($E20&lt;&gt;0,$G20&lt;&gt;0,$I20&lt;&gt;0),"有",""))</f>
        <v>有</v>
      </c>
    </row>
    <row r="21" customFormat="false" ht="15" hidden="false" customHeight="false" outlineLevel="0" collapsed="false">
      <c r="A21" s="25" t="str">
        <f aca="false">IF(进销存台账!$B20="","",进销存台账!$A20)</f>
        <v>木业</v>
      </c>
      <c r="B21" s="25" t="str">
        <f aca="false">IF(进销存台账!$B20="","",进销存台账!$B20)</f>
        <v>MY09</v>
      </c>
      <c r="C21" s="10" t="str">
        <f aca="false">IF($B21="","",进销存台账!$C20)</f>
        <v>木屑边角料</v>
      </c>
      <c r="D21" s="25" t="str">
        <f aca="false">IF($B21="","",进销存台账!$E20)</f>
        <v>吨</v>
      </c>
      <c r="E21" s="82" t="n">
        <f aca="false">IF($B21="","",进销存台账!$H20+SUMIFS(购销流水!$J$6:$J$805,购销流水!$C$6:$C$805,$A21,购销流水!$F$6:$F$805,$B21,购销流水!$D$6:$D$805,"采购入库",购销流水!$B$6:$B$805,"&lt;"&amp;$A$4)-SUMIFS(购销流水!$J$6:$J$805,购销流水!$C$6:$C$805,$A21,购销流水!$F$6:$F$805,$B21,购销流水!$D$6:$D$805,"采购退回",购销流水!$B$6:$B$805,"&lt;"&amp;$A$4)+SUMIFS(生产加工!$I$6:$I$305,生产加工!$C$6:$C$305,$A21,生产加工!$F$6:$F$305,$B21,生产加工!$E$6:$E$305,"产成品入库",生产加工!$B$6:$B$305,"&lt;"&amp;$A$4)-(SUMIFS(购销流水!$J$6:$J$805,购销流水!$C$6:$C$805,$A21,购销流水!$F$6:$F$805,$B21,购销流水!$D$6:$D$805,"销售出库",购销流水!$B$6:$B$805,"&lt;"&amp;$A$4)-SUMIFS(购销流水!$J$6:$J$805,购销流水!$C$6:$C$805,$A21,购销流水!$F$6:$F$805,$B21,购销流水!$D$6:$D$805,"销售退回",购销流水!$B$6:$B$805,"&lt;"&amp;$A$4)+SUMIFS(生产加工!$I$6:$I$305,生产加工!$C$6:$C$305,$A21,生产加工!$F$6:$F$305,$B21,生产加工!$E$6:$E$305,"领用投入",生产加工!$B$6:$B$305,"&lt;"&amp;$A$4)))</f>
        <v>0</v>
      </c>
      <c r="F21" s="40" t="n">
        <f aca="false">IF($B21="","",ROUND($E21*$M21,2))</f>
        <v>0</v>
      </c>
      <c r="G21" s="82" t="n">
        <f aca="false">IF($B21="","",SUMIFS(购销流水!$J$6:$J$805,购销流水!$C$6:$C$805,$A21,购销流水!$F$6:$F$805,$B21,购销流水!$D$6:$D$805,"采购入库",购销流水!$B$6:$B$805,"&gt;="&amp;$A$4,购销流水!$B$6:$B$805,"&lt;="&amp;$B$4)-SUMIFS(购销流水!$J$6:$J$805,购销流水!$C$6:$C$805,$A21,购销流水!$F$6:$F$805,$B21,购销流水!$D$6:$D$805,"采购退回",购销流水!$B$6:$B$805,"&gt;="&amp;$A$4,购销流水!$B$6:$B$805,"&lt;="&amp;$B$4)+SUMIFS(生产加工!$I$6:$I$305,生产加工!$C$6:$C$305,$A21,生产加工!$F$6:$F$305,$B21,生产加工!$E$6:$E$305,"产成品入库",生产加工!$B$6:$B$305,"&gt;="&amp;$A$4,生产加工!$B$6:$B$305,"&lt;="&amp;$B$4))</f>
        <v>0</v>
      </c>
      <c r="H21" s="40" t="n">
        <f aca="false">IF($B21="","",ROUND($G21*$M21,2))</f>
        <v>0</v>
      </c>
      <c r="I21" s="82" t="n">
        <f aca="false">IF($B21="","",SUMIFS(购销流水!$J$6:$J$805,购销流水!$C$6:$C$805,$A21,购销流水!$F$6:$F$805,$B21,购销流水!$D$6:$D$805,"销售出库",购销流水!$B$6:$B$805,"&gt;="&amp;$A$4,购销流水!$B$6:$B$805,"&lt;="&amp;$B$4)-SUMIFS(购销流水!$J$6:$J$805,购销流水!$C$6:$C$805,$A21,购销流水!$F$6:$F$805,$B21,购销流水!$D$6:$D$805,"销售退回",购销流水!$B$6:$B$805,"&gt;="&amp;$A$4,购销流水!$B$6:$B$805,"&lt;="&amp;$B$4)+SUMIFS(生产加工!$I$6:$I$305,生产加工!$C$6:$C$305,$A21,生产加工!$F$6:$F$305,$B21,生产加工!$E$6:$E$305,"领用投入",生产加工!$B$6:$B$305,"&gt;="&amp;$A$4,生产加工!$B$6:$B$305,"&lt;="&amp;$B$4))</f>
        <v>0</v>
      </c>
      <c r="J21" s="40" t="n">
        <f aca="false">IF($B21="","",ROUND($I21*$M21,2))</f>
        <v>0</v>
      </c>
      <c r="K21" s="84" t="n">
        <f aca="false">IF($B21="","",$E21+$G21-$I21)</f>
        <v>0</v>
      </c>
      <c r="L21" s="42" t="n">
        <f aca="false">IF($B21="","",ROUND($K21*$M21,2))</f>
        <v>0</v>
      </c>
      <c r="M21" s="85" t="n">
        <f aca="false">IF($B21="","",进销存台账!$N20)</f>
        <v>0</v>
      </c>
      <c r="N21" s="64" t="str">
        <f aca="false">IF($B21="","",IF(OR($E21&lt;&gt;0,$G21&lt;&gt;0,$I21&lt;&gt;0),"有",""))</f>
        <v/>
      </c>
    </row>
    <row r="22" customFormat="false" ht="15" hidden="false" customHeight="false" outlineLevel="0" collapsed="false">
      <c r="A22" s="25" t="str">
        <f aca="false">IF(进销存台账!$B21="","",进销存台账!$A21)</f>
        <v>科技</v>
      </c>
      <c r="B22" s="25" t="str">
        <f aca="false">IF(进销存台账!$B21="","",进销存台账!$B21)</f>
        <v>KJ01</v>
      </c>
      <c r="C22" s="10" t="str">
        <f aca="false">IF($B22="","",进销存台账!$C21)</f>
        <v>艾草精油原液</v>
      </c>
      <c r="D22" s="25" t="str">
        <f aca="false">IF($B22="","",进销存台账!$E21)</f>
        <v>公斤</v>
      </c>
      <c r="E22" s="82" t="n">
        <f aca="false">IF($B22="","",进销存台账!$H21+SUMIFS(购销流水!$J$6:$J$805,购销流水!$C$6:$C$805,$A22,购销流水!$F$6:$F$805,$B22,购销流水!$D$6:$D$805,"采购入库",购销流水!$B$6:$B$805,"&lt;"&amp;$A$4)-SUMIFS(购销流水!$J$6:$J$805,购销流水!$C$6:$C$805,$A22,购销流水!$F$6:$F$805,$B22,购销流水!$D$6:$D$805,"采购退回",购销流水!$B$6:$B$805,"&lt;"&amp;$A$4)+SUMIFS(生产加工!$I$6:$I$305,生产加工!$C$6:$C$305,$A22,生产加工!$F$6:$F$305,$B22,生产加工!$E$6:$E$305,"产成品入库",生产加工!$B$6:$B$305,"&lt;"&amp;$A$4)-(SUMIFS(购销流水!$J$6:$J$805,购销流水!$C$6:$C$805,$A22,购销流水!$F$6:$F$805,$B22,购销流水!$D$6:$D$805,"销售出库",购销流水!$B$6:$B$805,"&lt;"&amp;$A$4)-SUMIFS(购销流水!$J$6:$J$805,购销流水!$C$6:$C$805,$A22,购销流水!$F$6:$F$805,$B22,购销流水!$D$6:$D$805,"销售退回",购销流水!$B$6:$B$805,"&lt;"&amp;$A$4)+SUMIFS(生产加工!$I$6:$I$305,生产加工!$C$6:$C$305,$A22,生产加工!$F$6:$F$305,$B22,生产加工!$E$6:$E$305,"领用投入",生产加工!$B$6:$B$305,"&lt;"&amp;$A$4)))</f>
        <v>60</v>
      </c>
      <c r="F22" s="40" t="n">
        <f aca="false">IF($B22="","",ROUND($E22*$M22,2))</f>
        <v>67556.15</v>
      </c>
      <c r="G22" s="82" t="n">
        <f aca="false">IF($B22="","",SUMIFS(购销流水!$J$6:$J$805,购销流水!$C$6:$C$805,$A22,购销流水!$F$6:$F$805,$B22,购销流水!$D$6:$D$805,"采购入库",购销流水!$B$6:$B$805,"&gt;="&amp;$A$4,购销流水!$B$6:$B$805,"&lt;="&amp;$B$4)-SUMIFS(购销流水!$J$6:$J$805,购销流水!$C$6:$C$805,$A22,购销流水!$F$6:$F$805,$B22,购销流水!$D$6:$D$805,"采购退回",购销流水!$B$6:$B$805,"&gt;="&amp;$A$4,购销流水!$B$6:$B$805,"&lt;="&amp;$B$4)+SUMIFS(生产加工!$I$6:$I$305,生产加工!$C$6:$C$305,$A22,生产加工!$F$6:$F$305,$B22,生产加工!$E$6:$E$305,"产成品入库",生产加工!$B$6:$B$305,"&gt;="&amp;$A$4,生产加工!$B$6:$B$305,"&lt;="&amp;$B$4))</f>
        <v>76</v>
      </c>
      <c r="H22" s="40" t="n">
        <f aca="false">IF($B22="","",ROUND($G22*$M22,2))</f>
        <v>85571.12</v>
      </c>
      <c r="I22" s="82" t="n">
        <f aca="false">IF($B22="","",SUMIFS(购销流水!$J$6:$J$805,购销流水!$C$6:$C$805,$A22,购销流水!$F$6:$F$805,$B22,购销流水!$D$6:$D$805,"销售出库",购销流水!$B$6:$B$805,"&gt;="&amp;$A$4,购销流水!$B$6:$B$805,"&lt;="&amp;$B$4)-SUMIFS(购销流水!$J$6:$J$805,购销流水!$C$6:$C$805,$A22,购销流水!$F$6:$F$805,$B22,购销流水!$D$6:$D$805,"销售退回",购销流水!$B$6:$B$805,"&gt;="&amp;$A$4,购销流水!$B$6:$B$805,"&lt;="&amp;$B$4)+SUMIFS(生产加工!$I$6:$I$305,生产加工!$C$6:$C$305,$A22,生产加工!$F$6:$F$305,$B22,生产加工!$E$6:$E$305,"领用投入",生产加工!$B$6:$B$305,"&gt;="&amp;$A$4,生产加工!$B$6:$B$305,"&lt;="&amp;$B$4))</f>
        <v>65</v>
      </c>
      <c r="J22" s="40" t="n">
        <f aca="false">IF($B22="","",ROUND($I22*$M22,2))</f>
        <v>73185.83</v>
      </c>
      <c r="K22" s="84" t="n">
        <f aca="false">IF($B22="","",$E22+$G22-$I22)</f>
        <v>71</v>
      </c>
      <c r="L22" s="42" t="n">
        <f aca="false">IF($B22="","",ROUND($K22*$M22,2))</f>
        <v>79941.44</v>
      </c>
      <c r="M22" s="85" t="n">
        <f aca="false">IF($B22="","",进销存台账!$N21)</f>
        <v>1125.93580882353</v>
      </c>
      <c r="N22" s="64" t="str">
        <f aca="false">IF($B22="","",IF(OR($E22&lt;&gt;0,$G22&lt;&gt;0,$I22&lt;&gt;0),"有",""))</f>
        <v>有</v>
      </c>
    </row>
    <row r="23" customFormat="false" ht="15" hidden="false" customHeight="false" outlineLevel="0" collapsed="false">
      <c r="A23" s="25" t="str">
        <f aca="false">IF(进销存台账!$B22="","",进销存台账!$A22)</f>
        <v>科技</v>
      </c>
      <c r="B23" s="25" t="str">
        <f aca="false">IF(进销存台账!$B22="","",进销存台账!$B22)</f>
        <v>KJ02</v>
      </c>
      <c r="C23" s="10" t="str">
        <f aca="false">IF($B23="","",进销存台账!$C22)</f>
        <v>艾草精油10ml</v>
      </c>
      <c r="D23" s="25" t="str">
        <f aca="false">IF($B23="","",进销存台账!$E22)</f>
        <v>瓶</v>
      </c>
      <c r="E23" s="82" t="n">
        <f aca="false">IF($B23="","",进销存台账!$H22+SUMIFS(购销流水!$J$6:$J$805,购销流水!$C$6:$C$805,$A23,购销流水!$F$6:$F$805,$B23,购销流水!$D$6:$D$805,"采购入库",购销流水!$B$6:$B$805,"&lt;"&amp;$A$4)-SUMIFS(购销流水!$J$6:$J$805,购销流水!$C$6:$C$805,$A23,购销流水!$F$6:$F$805,$B23,购销流水!$D$6:$D$805,"采购退回",购销流水!$B$6:$B$805,"&lt;"&amp;$A$4)+SUMIFS(生产加工!$I$6:$I$305,生产加工!$C$6:$C$305,$A23,生产加工!$F$6:$F$305,$B23,生产加工!$E$6:$E$305,"产成品入库",生产加工!$B$6:$B$305,"&lt;"&amp;$A$4)-(SUMIFS(购销流水!$J$6:$J$805,购销流水!$C$6:$C$805,$A23,购销流水!$F$6:$F$805,$B23,购销流水!$D$6:$D$805,"销售出库",购销流水!$B$6:$B$805,"&lt;"&amp;$A$4)-SUMIFS(购销流水!$J$6:$J$805,购销流水!$C$6:$C$805,$A23,购销流水!$F$6:$F$805,$B23,购销流水!$D$6:$D$805,"销售退回",购销流水!$B$6:$B$805,"&lt;"&amp;$A$4)+SUMIFS(生产加工!$I$6:$I$305,生产加工!$C$6:$C$305,$A23,生产加工!$F$6:$F$305,$B23,生产加工!$E$6:$E$305,"领用投入",生产加工!$B$6:$B$305,"&lt;"&amp;$A$4)))</f>
        <v>1200</v>
      </c>
      <c r="F23" s="40" t="n">
        <f aca="false">IF($B23="","",ROUND($E23*$M23,2))</f>
        <v>13113.51</v>
      </c>
      <c r="G23" s="82" t="n">
        <f aca="false">IF($B23="","",SUMIFS(购销流水!$J$6:$J$805,购销流水!$C$6:$C$805,$A23,购销流水!$F$6:$F$805,$B23,购销流水!$D$6:$D$805,"采购入库",购销流水!$B$6:$B$805,"&gt;="&amp;$A$4,购销流水!$B$6:$B$805,"&lt;="&amp;$B$4)-SUMIFS(购销流水!$J$6:$J$805,购销流水!$C$6:$C$805,$A23,购销流水!$F$6:$F$805,$B23,购销流水!$D$6:$D$805,"采购退回",购销流水!$B$6:$B$805,"&gt;="&amp;$A$4,购销流水!$B$6:$B$805,"&lt;="&amp;$B$4)+SUMIFS(生产加工!$I$6:$I$305,生产加工!$C$6:$C$305,$A23,生产加工!$F$6:$F$305,$B23,生产加工!$E$6:$E$305,"产成品入库",生产加工!$B$6:$B$305,"&gt;="&amp;$A$4,生产加工!$B$6:$B$305,"&lt;="&amp;$B$4))</f>
        <v>8000</v>
      </c>
      <c r="H23" s="40" t="n">
        <f aca="false">IF($B23="","",ROUND($G23*$M23,2))</f>
        <v>87423.42</v>
      </c>
      <c r="I23" s="82" t="n">
        <f aca="false">IF($B23="","",SUMIFS(购销流水!$J$6:$J$805,购销流水!$C$6:$C$805,$A23,购销流水!$F$6:$F$805,$B23,购销流水!$D$6:$D$805,"销售出库",购销流水!$B$6:$B$805,"&gt;="&amp;$A$4,购销流水!$B$6:$B$805,"&lt;="&amp;$B$4)-SUMIFS(购销流水!$J$6:$J$805,购销流水!$C$6:$C$805,$A23,购销流水!$F$6:$F$805,$B23,购销流水!$D$6:$D$805,"销售退回",购销流水!$B$6:$B$805,"&gt;="&amp;$A$4,购销流水!$B$6:$B$805,"&lt;="&amp;$B$4)+SUMIFS(生产加工!$I$6:$I$305,生产加工!$C$6:$C$305,$A23,生产加工!$F$6:$F$305,$B23,生产加工!$E$6:$E$305,"领用投入",生产加工!$B$6:$B$305,"&gt;="&amp;$A$4,生产加工!$B$6:$B$305,"&lt;="&amp;$B$4))</f>
        <v>8000</v>
      </c>
      <c r="J23" s="40" t="n">
        <f aca="false">IF($B23="","",ROUND($I23*$M23,2))</f>
        <v>87423.42</v>
      </c>
      <c r="K23" s="84" t="n">
        <f aca="false">IF($B23="","",$E23+$G23-$I23)</f>
        <v>1200</v>
      </c>
      <c r="L23" s="42" t="n">
        <f aca="false">IF($B23="","",ROUND($K23*$M23,2))</f>
        <v>13113.51</v>
      </c>
      <c r="M23" s="85" t="n">
        <f aca="false">IF($B23="","",进销存台账!$N22)</f>
        <v>10.927927173913</v>
      </c>
      <c r="N23" s="64" t="str">
        <f aca="false">IF($B23="","",IF(OR($E23&lt;&gt;0,$G23&lt;&gt;0,$I23&lt;&gt;0),"有",""))</f>
        <v>有</v>
      </c>
    </row>
    <row r="24" customFormat="false" ht="15" hidden="false" customHeight="false" outlineLevel="0" collapsed="false">
      <c r="A24" s="25" t="str">
        <f aca="false">IF(进销存台账!$B23="","",进销存台账!$A23)</f>
        <v>科技</v>
      </c>
      <c r="B24" s="25" t="str">
        <f aca="false">IF(进销存台账!$B23="","",进销存台账!$B23)</f>
        <v>KJ03</v>
      </c>
      <c r="C24" s="10" t="str">
        <f aca="false">IF($B24="","",进销存台账!$C23)</f>
        <v>艾草精油30ml</v>
      </c>
      <c r="D24" s="25" t="str">
        <f aca="false">IF($B24="","",进销存台账!$E23)</f>
        <v>瓶</v>
      </c>
      <c r="E24" s="82" t="n">
        <f aca="false">IF($B24="","",进销存台账!$H23+SUMIFS(购销流水!$J$6:$J$805,购销流水!$C$6:$C$805,$A24,购销流水!$F$6:$F$805,$B24,购销流水!$D$6:$D$805,"采购入库",购销流水!$B$6:$B$805,"&lt;"&amp;$A$4)-SUMIFS(购销流水!$J$6:$J$805,购销流水!$C$6:$C$805,$A24,购销流水!$F$6:$F$805,$B24,购销流水!$D$6:$D$805,"采购退回",购销流水!$B$6:$B$805,"&lt;"&amp;$A$4)+SUMIFS(生产加工!$I$6:$I$305,生产加工!$C$6:$C$305,$A24,生产加工!$F$6:$F$305,$B24,生产加工!$E$6:$E$305,"产成品入库",生产加工!$B$6:$B$305,"&lt;"&amp;$A$4)-(SUMIFS(购销流水!$J$6:$J$805,购销流水!$C$6:$C$805,$A24,购销流水!$F$6:$F$805,$B24,购销流水!$D$6:$D$805,"销售出库",购销流水!$B$6:$B$805,"&lt;"&amp;$A$4)-SUMIFS(购销流水!$J$6:$J$805,购销流水!$C$6:$C$805,$A24,购销流水!$F$6:$F$805,$B24,购销流水!$D$6:$D$805,"销售退回",购销流水!$B$6:$B$805,"&lt;"&amp;$A$4)+SUMIFS(生产加工!$I$6:$I$305,生产加工!$C$6:$C$305,$A24,生产加工!$F$6:$F$305,$B24,生产加工!$E$6:$E$305,"领用投入",生产加工!$B$6:$B$305,"&lt;"&amp;$A$4)))</f>
        <v>0</v>
      </c>
      <c r="F24" s="40" t="n">
        <f aca="false">IF($B24="","",ROUND($E24*$M24,2))</f>
        <v>0</v>
      </c>
      <c r="G24" s="82" t="n">
        <f aca="false">IF($B24="","",SUMIFS(购销流水!$J$6:$J$805,购销流水!$C$6:$C$805,$A24,购销流水!$F$6:$F$805,$B24,购销流水!$D$6:$D$805,"采购入库",购销流水!$B$6:$B$805,"&gt;="&amp;$A$4,购销流水!$B$6:$B$805,"&lt;="&amp;$B$4)-SUMIFS(购销流水!$J$6:$J$805,购销流水!$C$6:$C$805,$A24,购销流水!$F$6:$F$805,$B24,购销流水!$D$6:$D$805,"采购退回",购销流水!$B$6:$B$805,"&gt;="&amp;$A$4,购销流水!$B$6:$B$805,"&lt;="&amp;$B$4)+SUMIFS(生产加工!$I$6:$I$305,生产加工!$C$6:$C$305,$A24,生产加工!$F$6:$F$305,$B24,生产加工!$E$6:$E$305,"产成品入库",生产加工!$B$6:$B$305,"&gt;="&amp;$A$4,生产加工!$B$6:$B$305,"&lt;="&amp;$B$4))</f>
        <v>0</v>
      </c>
      <c r="H24" s="40" t="n">
        <f aca="false">IF($B24="","",ROUND($G24*$M24,2))</f>
        <v>0</v>
      </c>
      <c r="I24" s="82" t="n">
        <f aca="false">IF($B24="","",SUMIFS(购销流水!$J$6:$J$805,购销流水!$C$6:$C$805,$A24,购销流水!$F$6:$F$805,$B24,购销流水!$D$6:$D$805,"销售出库",购销流水!$B$6:$B$805,"&gt;="&amp;$A$4,购销流水!$B$6:$B$805,"&lt;="&amp;$B$4)-SUMIFS(购销流水!$J$6:$J$805,购销流水!$C$6:$C$805,$A24,购销流水!$F$6:$F$805,$B24,购销流水!$D$6:$D$805,"销售退回",购销流水!$B$6:$B$805,"&gt;="&amp;$A$4,购销流水!$B$6:$B$805,"&lt;="&amp;$B$4)+SUMIFS(生产加工!$I$6:$I$305,生产加工!$C$6:$C$305,$A24,生产加工!$F$6:$F$305,$B24,生产加工!$E$6:$E$305,"领用投入",生产加工!$B$6:$B$305,"&gt;="&amp;$A$4,生产加工!$B$6:$B$305,"&lt;="&amp;$B$4))</f>
        <v>0</v>
      </c>
      <c r="J24" s="40" t="n">
        <f aca="false">IF($B24="","",ROUND($I24*$M24,2))</f>
        <v>0</v>
      </c>
      <c r="K24" s="84" t="n">
        <f aca="false">IF($B24="","",$E24+$G24-$I24)</f>
        <v>0</v>
      </c>
      <c r="L24" s="42" t="n">
        <f aca="false">IF($B24="","",ROUND($K24*$M24,2))</f>
        <v>0</v>
      </c>
      <c r="M24" s="85" t="n">
        <f aca="false">IF($B24="","",进销存台账!$N23)</f>
        <v>0</v>
      </c>
      <c r="N24" s="64" t="str">
        <f aca="false">IF($B24="","",IF(OR($E24&lt;&gt;0,$G24&lt;&gt;0,$I24&lt;&gt;0),"有",""))</f>
        <v/>
      </c>
    </row>
    <row r="25" customFormat="false" ht="15" hidden="false" customHeight="false" outlineLevel="0" collapsed="false">
      <c r="A25" s="25" t="str">
        <f aca="false">IF(进销存台账!$B24="","",进销存台账!$A24)</f>
        <v>科技</v>
      </c>
      <c r="B25" s="25" t="str">
        <f aca="false">IF(进销存台账!$B24="","",进销存台账!$B24)</f>
        <v>KJ04</v>
      </c>
      <c r="C25" s="10" t="str">
        <f aca="false">IF($B25="","",进销存台账!$C24)</f>
        <v>艾草纯露</v>
      </c>
      <c r="D25" s="25" t="str">
        <f aca="false">IF($B25="","",进销存台账!$E24)</f>
        <v>瓶</v>
      </c>
      <c r="E25" s="82" t="n">
        <f aca="false">IF($B25="","",进销存台账!$H24+SUMIFS(购销流水!$J$6:$J$805,购销流水!$C$6:$C$805,$A25,购销流水!$F$6:$F$805,$B25,购销流水!$D$6:$D$805,"采购入库",购销流水!$B$6:$B$805,"&lt;"&amp;$A$4)-SUMIFS(购销流水!$J$6:$J$805,购销流水!$C$6:$C$805,$A25,购销流水!$F$6:$F$805,$B25,购销流水!$D$6:$D$805,"采购退回",购销流水!$B$6:$B$805,"&lt;"&amp;$A$4)+SUMIFS(生产加工!$I$6:$I$305,生产加工!$C$6:$C$305,$A25,生产加工!$F$6:$F$305,$B25,生产加工!$E$6:$E$305,"产成品入库",生产加工!$B$6:$B$305,"&lt;"&amp;$A$4)-(SUMIFS(购销流水!$J$6:$J$805,购销流水!$C$6:$C$805,$A25,购销流水!$F$6:$F$805,$B25,购销流水!$D$6:$D$805,"销售出库",购销流水!$B$6:$B$805,"&lt;"&amp;$A$4)-SUMIFS(购销流水!$J$6:$J$805,购销流水!$C$6:$C$805,$A25,购销流水!$F$6:$F$805,$B25,购销流水!$D$6:$D$805,"销售退回",购销流水!$B$6:$B$805,"&lt;"&amp;$A$4)+SUMIFS(生产加工!$I$6:$I$305,生产加工!$C$6:$C$305,$A25,生产加工!$F$6:$F$305,$B25,生产加工!$E$6:$E$305,"领用投入",生产加工!$B$6:$B$305,"&lt;"&amp;$A$4)))</f>
        <v>0</v>
      </c>
      <c r="F25" s="40" t="n">
        <f aca="false">IF($B25="","",ROUND($E25*$M25,2))</f>
        <v>0</v>
      </c>
      <c r="G25" s="82" t="n">
        <f aca="false">IF($B25="","",SUMIFS(购销流水!$J$6:$J$805,购销流水!$C$6:$C$805,$A25,购销流水!$F$6:$F$805,$B25,购销流水!$D$6:$D$805,"采购入库",购销流水!$B$6:$B$805,"&gt;="&amp;$A$4,购销流水!$B$6:$B$805,"&lt;="&amp;$B$4)-SUMIFS(购销流水!$J$6:$J$805,购销流水!$C$6:$C$805,$A25,购销流水!$F$6:$F$805,$B25,购销流水!$D$6:$D$805,"采购退回",购销流水!$B$6:$B$805,"&gt;="&amp;$A$4,购销流水!$B$6:$B$805,"&lt;="&amp;$B$4)+SUMIFS(生产加工!$I$6:$I$305,生产加工!$C$6:$C$305,$A25,生产加工!$F$6:$F$305,$B25,生产加工!$E$6:$E$305,"产成品入库",生产加工!$B$6:$B$305,"&gt;="&amp;$A$4,生产加工!$B$6:$B$305,"&lt;="&amp;$B$4))</f>
        <v>6500</v>
      </c>
      <c r="H25" s="40" t="n">
        <f aca="false">IF($B25="","",ROUND($G25*$M25,2))</f>
        <v>32181.82</v>
      </c>
      <c r="I25" s="82" t="n">
        <f aca="false">IF($B25="","",SUMIFS(购销流水!$J$6:$J$805,购销流水!$C$6:$C$805,$A25,购销流水!$F$6:$F$805,$B25,购销流水!$D$6:$D$805,"销售出库",购销流水!$B$6:$B$805,"&gt;="&amp;$A$4,购销流水!$B$6:$B$805,"&lt;="&amp;$B$4)-SUMIFS(购销流水!$J$6:$J$805,购销流水!$C$6:$C$805,$A25,购销流水!$F$6:$F$805,$B25,购销流水!$D$6:$D$805,"销售退回",购销流水!$B$6:$B$805,"&gt;="&amp;$A$4,购销流水!$B$6:$B$805,"&lt;="&amp;$B$4)+SUMIFS(生产加工!$I$6:$I$305,生产加工!$C$6:$C$305,$A25,生产加工!$F$6:$F$305,$B25,生产加工!$E$6:$E$305,"领用投入",生产加工!$B$6:$B$305,"&gt;="&amp;$A$4,生产加工!$B$6:$B$305,"&lt;="&amp;$B$4))</f>
        <v>6000</v>
      </c>
      <c r="J25" s="40" t="n">
        <f aca="false">IF($B25="","",ROUND($I25*$M25,2))</f>
        <v>29706.3</v>
      </c>
      <c r="K25" s="84" t="n">
        <f aca="false">IF($B25="","",$E25+$G25-$I25)</f>
        <v>500</v>
      </c>
      <c r="L25" s="42" t="n">
        <f aca="false">IF($B25="","",ROUND($K25*$M25,2))</f>
        <v>2475.52</v>
      </c>
      <c r="M25" s="85" t="n">
        <f aca="false">IF($B25="","",进销存台账!$N24)</f>
        <v>4.95104923076923</v>
      </c>
      <c r="N25" s="64" t="str">
        <f aca="false">IF($B25="","",IF(OR($E25&lt;&gt;0,$G25&lt;&gt;0,$I25&lt;&gt;0),"有",""))</f>
        <v>有</v>
      </c>
    </row>
    <row r="26" customFormat="false" ht="15" hidden="false" customHeight="false" outlineLevel="0" collapsed="false">
      <c r="A26" s="25" t="str">
        <f aca="false">IF(进销存台账!$B25="","",进销存台账!$A25)</f>
        <v>科技</v>
      </c>
      <c r="B26" s="25" t="str">
        <f aca="false">IF(进销存台账!$B25="","",进销存台账!$B25)</f>
        <v>KJ05</v>
      </c>
      <c r="C26" s="10" t="str">
        <f aca="false">IF($B26="","",进销存台账!$C25)</f>
        <v>艾草精油皂</v>
      </c>
      <c r="D26" s="25" t="str">
        <f aca="false">IF($B26="","",进销存台账!$E25)</f>
        <v>块</v>
      </c>
      <c r="E26" s="82" t="n">
        <f aca="false">IF($B26="","",进销存台账!$H25+SUMIFS(购销流水!$J$6:$J$805,购销流水!$C$6:$C$805,$A26,购销流水!$F$6:$F$805,$B26,购销流水!$D$6:$D$805,"采购入库",购销流水!$B$6:$B$805,"&lt;"&amp;$A$4)-SUMIFS(购销流水!$J$6:$J$805,购销流水!$C$6:$C$805,$A26,购销流水!$F$6:$F$805,$B26,购销流水!$D$6:$D$805,"采购退回",购销流水!$B$6:$B$805,"&lt;"&amp;$A$4)+SUMIFS(生产加工!$I$6:$I$305,生产加工!$C$6:$C$305,$A26,生产加工!$F$6:$F$305,$B26,生产加工!$E$6:$E$305,"产成品入库",生产加工!$B$6:$B$305,"&lt;"&amp;$A$4)-(SUMIFS(购销流水!$J$6:$J$805,购销流水!$C$6:$C$805,$A26,购销流水!$F$6:$F$805,$B26,购销流水!$D$6:$D$805,"销售出库",购销流水!$B$6:$B$805,"&lt;"&amp;$A$4)-SUMIFS(购销流水!$J$6:$J$805,购销流水!$C$6:$C$805,$A26,购销流水!$F$6:$F$805,$B26,购销流水!$D$6:$D$805,"销售退回",购销流水!$B$6:$B$805,"&lt;"&amp;$A$4)+SUMIFS(生产加工!$I$6:$I$305,生产加工!$C$6:$C$305,$A26,生产加工!$F$6:$F$305,$B26,生产加工!$E$6:$E$305,"领用投入",生产加工!$B$6:$B$305,"&lt;"&amp;$A$4)))</f>
        <v>0</v>
      </c>
      <c r="F26" s="40" t="n">
        <f aca="false">IF($B26="","",ROUND($E26*$M26,2))</f>
        <v>0</v>
      </c>
      <c r="G26" s="82" t="n">
        <f aca="false">IF($B26="","",SUMIFS(购销流水!$J$6:$J$805,购销流水!$C$6:$C$805,$A26,购销流水!$F$6:$F$805,$B26,购销流水!$D$6:$D$805,"采购入库",购销流水!$B$6:$B$805,"&gt;="&amp;$A$4,购销流水!$B$6:$B$805,"&lt;="&amp;$B$4)-SUMIFS(购销流水!$J$6:$J$805,购销流水!$C$6:$C$805,$A26,购销流水!$F$6:$F$805,$B26,购销流水!$D$6:$D$805,"采购退回",购销流水!$B$6:$B$805,"&gt;="&amp;$A$4,购销流水!$B$6:$B$805,"&lt;="&amp;$B$4)+SUMIFS(生产加工!$I$6:$I$305,生产加工!$C$6:$C$305,$A26,生产加工!$F$6:$F$305,$B26,生产加工!$E$6:$E$305,"产成品入库",生产加工!$B$6:$B$305,"&gt;="&amp;$A$4,生产加工!$B$6:$B$305,"&lt;="&amp;$B$4))</f>
        <v>5000</v>
      </c>
      <c r="H26" s="40" t="n">
        <f aca="false">IF($B26="","",ROUND($G26*$M26,2))</f>
        <v>23629.68</v>
      </c>
      <c r="I26" s="82" t="n">
        <f aca="false">IF($B26="","",SUMIFS(购销流水!$J$6:$J$805,购销流水!$C$6:$C$805,$A26,购销流水!$F$6:$F$805,$B26,购销流水!$D$6:$D$805,"销售出库",购销流水!$B$6:$B$805,"&gt;="&amp;$A$4,购销流水!$B$6:$B$805,"&lt;="&amp;$B$4)-SUMIFS(购销流水!$J$6:$J$805,购销流水!$C$6:$C$805,$A26,购销流水!$F$6:$F$805,$B26,购销流水!$D$6:$D$805,"销售退回",购销流水!$B$6:$B$805,"&gt;="&amp;$A$4,购销流水!$B$6:$B$805,"&lt;="&amp;$B$4)+SUMIFS(生产加工!$I$6:$I$305,生产加工!$C$6:$C$305,$A26,生产加工!$F$6:$F$305,$B26,生产加工!$E$6:$E$305,"领用投入",生产加工!$B$6:$B$305,"&gt;="&amp;$A$4,生产加工!$B$6:$B$305,"&lt;="&amp;$B$4))</f>
        <v>4500</v>
      </c>
      <c r="J26" s="40" t="n">
        <f aca="false">IF($B26="","",ROUND($I26*$M26,2))</f>
        <v>21266.71</v>
      </c>
      <c r="K26" s="84" t="n">
        <f aca="false">IF($B26="","",$E26+$G26-$I26)</f>
        <v>500</v>
      </c>
      <c r="L26" s="42" t="n">
        <f aca="false">IF($B26="","",ROUND($K26*$M26,2))</f>
        <v>2362.97</v>
      </c>
      <c r="M26" s="85" t="n">
        <f aca="false">IF($B26="","",进销存台账!$N25)</f>
        <v>4.725936</v>
      </c>
      <c r="N26" s="64" t="str">
        <f aca="false">IF($B26="","",IF(OR($E26&lt;&gt;0,$G26&lt;&gt;0,$I26&lt;&gt;0),"有",""))</f>
        <v>有</v>
      </c>
    </row>
    <row r="27" customFormat="false" ht="15" hidden="false" customHeight="false" outlineLevel="0" collapsed="false">
      <c r="A27" s="25" t="str">
        <f aca="false">IF(进销存台账!$B26="","",进销存台账!$A26)</f>
        <v>科技</v>
      </c>
      <c r="B27" s="25" t="str">
        <f aca="false">IF(进销存台账!$B26="","",进销存台账!$B26)</f>
        <v>KJ06</v>
      </c>
      <c r="C27" s="10" t="str">
        <f aca="false">IF($B27="","",进销存台账!$C26)</f>
        <v>艾草精油膏</v>
      </c>
      <c r="D27" s="25" t="str">
        <f aca="false">IF($B27="","",进销存台账!$E26)</f>
        <v>盒</v>
      </c>
      <c r="E27" s="82" t="n">
        <f aca="false">IF($B27="","",进销存台账!$H26+SUMIFS(购销流水!$J$6:$J$805,购销流水!$C$6:$C$805,$A27,购销流水!$F$6:$F$805,$B27,购销流水!$D$6:$D$805,"采购入库",购销流水!$B$6:$B$805,"&lt;"&amp;$A$4)-SUMIFS(购销流水!$J$6:$J$805,购销流水!$C$6:$C$805,$A27,购销流水!$F$6:$F$805,$B27,购销流水!$D$6:$D$805,"采购退回",购销流水!$B$6:$B$805,"&lt;"&amp;$A$4)+SUMIFS(生产加工!$I$6:$I$305,生产加工!$C$6:$C$305,$A27,生产加工!$F$6:$F$305,$B27,生产加工!$E$6:$E$305,"产成品入库",生产加工!$B$6:$B$305,"&lt;"&amp;$A$4)-(SUMIFS(购销流水!$J$6:$J$805,购销流水!$C$6:$C$805,$A27,购销流水!$F$6:$F$805,$B27,购销流水!$D$6:$D$805,"销售出库",购销流水!$B$6:$B$805,"&lt;"&amp;$A$4)-SUMIFS(购销流水!$J$6:$J$805,购销流水!$C$6:$C$805,$A27,购销流水!$F$6:$F$805,$B27,购销流水!$D$6:$D$805,"销售退回",购销流水!$B$6:$B$805,"&lt;"&amp;$A$4)+SUMIFS(生产加工!$I$6:$I$305,生产加工!$C$6:$C$305,$A27,生产加工!$F$6:$F$305,$B27,生产加工!$E$6:$E$305,"领用投入",生产加工!$B$6:$B$305,"&lt;"&amp;$A$4)))</f>
        <v>0</v>
      </c>
      <c r="F27" s="40" t="n">
        <f aca="false">IF($B27="","",ROUND($E27*$M27,2))</f>
        <v>0</v>
      </c>
      <c r="G27" s="82" t="n">
        <f aca="false">IF($B27="","",SUMIFS(购销流水!$J$6:$J$805,购销流水!$C$6:$C$805,$A27,购销流水!$F$6:$F$805,$B27,购销流水!$D$6:$D$805,"采购入库",购销流水!$B$6:$B$805,"&gt;="&amp;$A$4,购销流水!$B$6:$B$805,"&lt;="&amp;$B$4)-SUMIFS(购销流水!$J$6:$J$805,购销流水!$C$6:$C$805,$A27,购销流水!$F$6:$F$805,$B27,购销流水!$D$6:$D$805,"采购退回",购销流水!$B$6:$B$805,"&gt;="&amp;$A$4,购销流水!$B$6:$B$805,"&lt;="&amp;$B$4)+SUMIFS(生产加工!$I$6:$I$305,生产加工!$C$6:$C$305,$A27,生产加工!$F$6:$F$305,$B27,生产加工!$E$6:$E$305,"产成品入库",生产加工!$B$6:$B$305,"&gt;="&amp;$A$4,生产加工!$B$6:$B$305,"&lt;="&amp;$B$4))</f>
        <v>0</v>
      </c>
      <c r="H27" s="40" t="n">
        <f aca="false">IF($B27="","",ROUND($G27*$M27,2))</f>
        <v>0</v>
      </c>
      <c r="I27" s="82" t="n">
        <f aca="false">IF($B27="","",SUMIFS(购销流水!$J$6:$J$805,购销流水!$C$6:$C$805,$A27,购销流水!$F$6:$F$805,$B27,购销流水!$D$6:$D$805,"销售出库",购销流水!$B$6:$B$805,"&gt;="&amp;$A$4,购销流水!$B$6:$B$805,"&lt;="&amp;$B$4)-SUMIFS(购销流水!$J$6:$J$805,购销流水!$C$6:$C$805,$A27,购销流水!$F$6:$F$805,$B27,购销流水!$D$6:$D$805,"销售退回",购销流水!$B$6:$B$805,"&gt;="&amp;$A$4,购销流水!$B$6:$B$805,"&lt;="&amp;$B$4)+SUMIFS(生产加工!$I$6:$I$305,生产加工!$C$6:$C$305,$A27,生产加工!$F$6:$F$305,$B27,生产加工!$E$6:$E$305,"领用投入",生产加工!$B$6:$B$305,"&gt;="&amp;$A$4,生产加工!$B$6:$B$305,"&lt;="&amp;$B$4))</f>
        <v>0</v>
      </c>
      <c r="J27" s="40" t="n">
        <f aca="false">IF($B27="","",ROUND($I27*$M27,2))</f>
        <v>0</v>
      </c>
      <c r="K27" s="84" t="n">
        <f aca="false">IF($B27="","",$E27+$G27-$I27)</f>
        <v>0</v>
      </c>
      <c r="L27" s="42" t="n">
        <f aca="false">IF($B27="","",ROUND($K27*$M27,2))</f>
        <v>0</v>
      </c>
      <c r="M27" s="85" t="n">
        <f aca="false">IF($B27="","",进销存台账!$N26)</f>
        <v>0</v>
      </c>
      <c r="N27" s="64" t="str">
        <f aca="false">IF($B27="","",IF(OR($E27&lt;&gt;0,$G27&lt;&gt;0,$I27&lt;&gt;0),"有",""))</f>
        <v/>
      </c>
    </row>
    <row r="28" customFormat="false" ht="15" hidden="false" customHeight="false" outlineLevel="0" collapsed="false">
      <c r="A28" s="25" t="str">
        <f aca="false">IF(进销存台账!$B27="","",进销存台账!$A27)</f>
        <v>科技</v>
      </c>
      <c r="B28" s="25" t="str">
        <f aca="false">IF(进销存台账!$B27="","",进销存台账!$B27)</f>
        <v>KJ07</v>
      </c>
      <c r="C28" s="10" t="str">
        <f aca="false">IF($B28="","",进销存台账!$C27)</f>
        <v>艾草香薰</v>
      </c>
      <c r="D28" s="25" t="str">
        <f aca="false">IF($B28="","",进销存台账!$E27)</f>
        <v>盒</v>
      </c>
      <c r="E28" s="82" t="n">
        <f aca="false">IF($B28="","",进销存台账!$H27+SUMIFS(购销流水!$J$6:$J$805,购销流水!$C$6:$C$805,$A28,购销流水!$F$6:$F$805,$B28,购销流水!$D$6:$D$805,"采购入库",购销流水!$B$6:$B$805,"&lt;"&amp;$A$4)-SUMIFS(购销流水!$J$6:$J$805,购销流水!$C$6:$C$805,$A28,购销流水!$F$6:$F$805,$B28,购销流水!$D$6:$D$805,"采购退回",购销流水!$B$6:$B$805,"&lt;"&amp;$A$4)+SUMIFS(生产加工!$I$6:$I$305,生产加工!$C$6:$C$305,$A28,生产加工!$F$6:$F$305,$B28,生产加工!$E$6:$E$305,"产成品入库",生产加工!$B$6:$B$305,"&lt;"&amp;$A$4)-(SUMIFS(购销流水!$J$6:$J$805,购销流水!$C$6:$C$805,$A28,购销流水!$F$6:$F$805,$B28,购销流水!$D$6:$D$805,"销售出库",购销流水!$B$6:$B$805,"&lt;"&amp;$A$4)-SUMIFS(购销流水!$J$6:$J$805,购销流水!$C$6:$C$805,$A28,购销流水!$F$6:$F$805,$B28,购销流水!$D$6:$D$805,"销售退回",购销流水!$B$6:$B$805,"&lt;"&amp;$A$4)+SUMIFS(生产加工!$I$6:$I$305,生产加工!$C$6:$C$305,$A28,生产加工!$F$6:$F$305,$B28,生产加工!$E$6:$E$305,"领用投入",生产加工!$B$6:$B$305,"&lt;"&amp;$A$4)))</f>
        <v>0</v>
      </c>
      <c r="F28" s="40" t="n">
        <f aca="false">IF($B28="","",ROUND($E28*$M28,2))</f>
        <v>0</v>
      </c>
      <c r="G28" s="82" t="n">
        <f aca="false">IF($B28="","",SUMIFS(购销流水!$J$6:$J$805,购销流水!$C$6:$C$805,$A28,购销流水!$F$6:$F$805,$B28,购销流水!$D$6:$D$805,"采购入库",购销流水!$B$6:$B$805,"&gt;="&amp;$A$4,购销流水!$B$6:$B$805,"&lt;="&amp;$B$4)-SUMIFS(购销流水!$J$6:$J$805,购销流水!$C$6:$C$805,$A28,购销流水!$F$6:$F$805,$B28,购销流水!$D$6:$D$805,"采购退回",购销流水!$B$6:$B$805,"&gt;="&amp;$A$4,购销流水!$B$6:$B$805,"&lt;="&amp;$B$4)+SUMIFS(生产加工!$I$6:$I$305,生产加工!$C$6:$C$305,$A28,生产加工!$F$6:$F$305,$B28,生产加工!$E$6:$E$305,"产成品入库",生产加工!$B$6:$B$305,"&gt;="&amp;$A$4,生产加工!$B$6:$B$305,"&lt;="&amp;$B$4))</f>
        <v>0</v>
      </c>
      <c r="H28" s="40" t="n">
        <f aca="false">IF($B28="","",ROUND($G28*$M28,2))</f>
        <v>0</v>
      </c>
      <c r="I28" s="82" t="n">
        <f aca="false">IF($B28="","",SUMIFS(购销流水!$J$6:$J$805,购销流水!$C$6:$C$805,$A28,购销流水!$F$6:$F$805,$B28,购销流水!$D$6:$D$805,"销售出库",购销流水!$B$6:$B$805,"&gt;="&amp;$A$4,购销流水!$B$6:$B$805,"&lt;="&amp;$B$4)-SUMIFS(购销流水!$J$6:$J$805,购销流水!$C$6:$C$805,$A28,购销流水!$F$6:$F$805,$B28,购销流水!$D$6:$D$805,"销售退回",购销流水!$B$6:$B$805,"&gt;="&amp;$A$4,购销流水!$B$6:$B$805,"&lt;="&amp;$B$4)+SUMIFS(生产加工!$I$6:$I$305,生产加工!$C$6:$C$305,$A28,生产加工!$F$6:$F$305,$B28,生产加工!$E$6:$E$305,"领用投入",生产加工!$B$6:$B$305,"&gt;="&amp;$A$4,生产加工!$B$6:$B$305,"&lt;="&amp;$B$4))</f>
        <v>0</v>
      </c>
      <c r="J28" s="40" t="n">
        <f aca="false">IF($B28="","",ROUND($I28*$M28,2))</f>
        <v>0</v>
      </c>
      <c r="K28" s="84" t="n">
        <f aca="false">IF($B28="","",$E28+$G28-$I28)</f>
        <v>0</v>
      </c>
      <c r="L28" s="42" t="n">
        <f aca="false">IF($B28="","",ROUND($K28*$M28,2))</f>
        <v>0</v>
      </c>
      <c r="M28" s="85" t="n">
        <f aca="false">IF($B28="","",进销存台账!$N27)</f>
        <v>0</v>
      </c>
      <c r="N28" s="64" t="str">
        <f aca="false">IF($B28="","",IF(OR($E28&lt;&gt;0,$G28&lt;&gt;0,$I28&lt;&gt;0),"有",""))</f>
        <v/>
      </c>
    </row>
    <row r="29" customFormat="false" ht="15" hidden="false" customHeight="false" outlineLevel="0" collapsed="false">
      <c r="A29" s="25" t="str">
        <f aca="false">IF(进销存台账!$B28="","",进销存台账!$A28)</f>
        <v>科技</v>
      </c>
      <c r="B29" s="25" t="str">
        <f aca="false">IF(进销存台账!$B28="","",进销存台账!$B28)</f>
        <v>KJ08</v>
      </c>
      <c r="C29" s="10" t="str">
        <f aca="false">IF($B29="","",进销存台账!$C28)</f>
        <v>干艾草</v>
      </c>
      <c r="D29" s="25" t="str">
        <f aca="false">IF($B29="","",进销存台账!$E28)</f>
        <v>公斤</v>
      </c>
      <c r="E29" s="82" t="n">
        <f aca="false">IF($B29="","",进销存台账!$H28+SUMIFS(购销流水!$J$6:$J$805,购销流水!$C$6:$C$805,$A29,购销流水!$F$6:$F$805,$B29,购销流水!$D$6:$D$805,"采购入库",购销流水!$B$6:$B$805,"&lt;"&amp;$A$4)-SUMIFS(购销流水!$J$6:$J$805,购销流水!$C$6:$C$805,$A29,购销流水!$F$6:$F$805,$B29,购销流水!$D$6:$D$805,"采购退回",购销流水!$B$6:$B$805,"&lt;"&amp;$A$4)+SUMIFS(生产加工!$I$6:$I$305,生产加工!$C$6:$C$305,$A29,生产加工!$F$6:$F$305,$B29,生产加工!$E$6:$E$305,"产成品入库",生产加工!$B$6:$B$305,"&lt;"&amp;$A$4)-(SUMIFS(购销流水!$J$6:$J$805,购销流水!$C$6:$C$805,$A29,购销流水!$F$6:$F$805,$B29,购销流水!$D$6:$D$805,"销售出库",购销流水!$B$6:$B$805,"&lt;"&amp;$A$4)-SUMIFS(购销流水!$J$6:$J$805,购销流水!$C$6:$C$805,$A29,购销流水!$F$6:$F$805,$B29,购销流水!$D$6:$D$805,"销售退回",购销流水!$B$6:$B$805,"&lt;"&amp;$A$4)+SUMIFS(生产加工!$I$6:$I$305,生产加工!$C$6:$C$305,$A29,生产加工!$F$6:$F$305,$B29,生产加工!$E$6:$E$305,"领用投入",生产加工!$B$6:$B$305,"&lt;"&amp;$A$4)))</f>
        <v>1500</v>
      </c>
      <c r="F29" s="40" t="n">
        <f aca="false">IF($B29="","",ROUND($E29*$M29,2))</f>
        <v>20181.82</v>
      </c>
      <c r="G29" s="82" t="n">
        <f aca="false">IF($B29="","",SUMIFS(购销流水!$J$6:$J$805,购销流水!$C$6:$C$805,$A29,购销流水!$F$6:$F$805,$B29,购销流水!$D$6:$D$805,"采购入库",购销流水!$B$6:$B$805,"&gt;="&amp;$A$4,购销流水!$B$6:$B$805,"&lt;="&amp;$B$4)-SUMIFS(购销流水!$J$6:$J$805,购销流水!$C$6:$C$805,$A29,购销流水!$F$6:$F$805,$B29,购销流水!$D$6:$D$805,"采购退回",购销流水!$B$6:$B$805,"&gt;="&amp;$A$4,购销流水!$B$6:$B$805,"&lt;="&amp;$B$4)+SUMIFS(生产加工!$I$6:$I$305,生产加工!$C$6:$C$305,$A29,生产加工!$F$6:$F$305,$B29,生产加工!$E$6:$E$305,"产成品入库",生产加工!$B$6:$B$305,"&gt;="&amp;$A$4,生产加工!$B$6:$B$305,"&lt;="&amp;$B$4))</f>
        <v>4000</v>
      </c>
      <c r="H29" s="40" t="n">
        <f aca="false">IF($B29="","",ROUND($G29*$M29,2))</f>
        <v>53818.18</v>
      </c>
      <c r="I29" s="82" t="n">
        <f aca="false">IF($B29="","",SUMIFS(购销流水!$J$6:$J$805,购销流水!$C$6:$C$805,$A29,购销流水!$F$6:$F$805,$B29,购销流水!$D$6:$D$805,"销售出库",购销流水!$B$6:$B$805,"&gt;="&amp;$A$4,购销流水!$B$6:$B$805,"&lt;="&amp;$B$4)-SUMIFS(购销流水!$J$6:$J$805,购销流水!$C$6:$C$805,$A29,购销流水!$F$6:$F$805,$B29,购销流水!$D$6:$D$805,"销售退回",购销流水!$B$6:$B$805,"&gt;="&amp;$A$4,购销流水!$B$6:$B$805,"&lt;="&amp;$B$4)+SUMIFS(生产加工!$I$6:$I$305,生产加工!$C$6:$C$305,$A29,生产加工!$F$6:$F$305,$B29,生产加工!$E$6:$E$305,"领用投入",生产加工!$B$6:$B$305,"&gt;="&amp;$A$4,生产加工!$B$6:$B$305,"&lt;="&amp;$B$4))</f>
        <v>5300</v>
      </c>
      <c r="J29" s="40" t="n">
        <f aca="false">IF($B29="","",ROUND($I29*$M29,2))</f>
        <v>71309.09</v>
      </c>
      <c r="K29" s="84" t="n">
        <f aca="false">IF($B29="","",$E29+$G29-$I29)</f>
        <v>200</v>
      </c>
      <c r="L29" s="42" t="n">
        <f aca="false">IF($B29="","",ROUND($K29*$M29,2))</f>
        <v>2690.91</v>
      </c>
      <c r="M29" s="85" t="n">
        <f aca="false">IF($B29="","",进销存台账!$N28)</f>
        <v>13.4545454545455</v>
      </c>
      <c r="N29" s="64" t="str">
        <f aca="false">IF($B29="","",IF(OR($E29&lt;&gt;0,$G29&lt;&gt;0,$I29&lt;&gt;0),"有",""))</f>
        <v>有</v>
      </c>
    </row>
    <row r="30" customFormat="false" ht="15" hidden="false" customHeight="false" outlineLevel="0" collapsed="false">
      <c r="A30" s="25" t="str">
        <f aca="false">IF(进销存台账!$B29="","",进销存台账!$A29)</f>
        <v>科技</v>
      </c>
      <c r="B30" s="25" t="str">
        <f aca="false">IF(进销存台账!$B29="","",进销存台账!$B29)</f>
        <v>KJ09</v>
      </c>
      <c r="C30" s="10" t="str">
        <f aca="false">IF($B30="","",进销存台账!$C29)</f>
        <v>包装瓶</v>
      </c>
      <c r="D30" s="25" t="str">
        <f aca="false">IF($B30="","",进销存台账!$E29)</f>
        <v>个</v>
      </c>
      <c r="E30" s="82" t="n">
        <f aca="false">IF($B30="","",进销存台账!$H29+SUMIFS(购销流水!$J$6:$J$805,购销流水!$C$6:$C$805,$A30,购销流水!$F$6:$F$805,$B30,购销流水!$D$6:$D$805,"采购入库",购销流水!$B$6:$B$805,"&lt;"&amp;$A$4)-SUMIFS(购销流水!$J$6:$J$805,购销流水!$C$6:$C$805,$A30,购销流水!$F$6:$F$805,$B30,购销流水!$D$6:$D$805,"采购退回",购销流水!$B$6:$B$805,"&lt;"&amp;$A$4)+SUMIFS(生产加工!$I$6:$I$305,生产加工!$C$6:$C$305,$A30,生产加工!$F$6:$F$305,$B30,生产加工!$E$6:$E$305,"产成品入库",生产加工!$B$6:$B$305,"&lt;"&amp;$A$4)-(SUMIFS(购销流水!$J$6:$J$805,购销流水!$C$6:$C$805,$A30,购销流水!$F$6:$F$805,$B30,购销流水!$D$6:$D$805,"销售出库",购销流水!$B$6:$B$805,"&lt;"&amp;$A$4)-SUMIFS(购销流水!$J$6:$J$805,购销流水!$C$6:$C$805,$A30,购销流水!$F$6:$F$805,$B30,购销流水!$D$6:$D$805,"销售退回",购销流水!$B$6:$B$805,"&lt;"&amp;$A$4)+SUMIFS(生产加工!$I$6:$I$305,生产加工!$C$6:$C$305,$A30,生产加工!$F$6:$F$305,$B30,生产加工!$E$6:$E$305,"领用投入",生产加工!$B$6:$B$305,"&lt;"&amp;$A$4)))</f>
        <v>8000</v>
      </c>
      <c r="F30" s="40" t="n">
        <f aca="false">IF($B30="","",ROUND($E30*$M30,2))</f>
        <v>7497.14</v>
      </c>
      <c r="G30" s="82" t="n">
        <f aca="false">IF($B30="","",SUMIFS(购销流水!$J$6:$J$805,购销流水!$C$6:$C$805,$A30,购销流水!$F$6:$F$805,$B30,购销流水!$D$6:$D$805,"采购入库",购销流水!$B$6:$B$805,"&gt;="&amp;$A$4,购销流水!$B$6:$B$805,"&lt;="&amp;$B$4)-SUMIFS(购销流水!$J$6:$J$805,购销流水!$C$6:$C$805,$A30,购销流水!$F$6:$F$805,$B30,购销流水!$D$6:$D$805,"采购退回",购销流水!$B$6:$B$805,"&gt;="&amp;$A$4,购销流水!$B$6:$B$805,"&lt;="&amp;$B$4)+SUMIFS(生产加工!$I$6:$I$305,生产加工!$C$6:$C$305,$A30,生产加工!$F$6:$F$305,$B30,生产加工!$E$6:$E$305,"产成品入库",生产加工!$B$6:$B$305,"&gt;="&amp;$A$4,生产加工!$B$6:$B$305,"&lt;="&amp;$B$4))</f>
        <v>20000</v>
      </c>
      <c r="H30" s="40" t="n">
        <f aca="false">IF($B30="","",ROUND($G30*$M30,2))</f>
        <v>18742.86</v>
      </c>
      <c r="I30" s="82" t="n">
        <f aca="false">IF($B30="","",SUMIFS(购销流水!$J$6:$J$805,购销流水!$C$6:$C$805,$A30,购销流水!$F$6:$F$805,$B30,购销流水!$D$6:$D$805,"销售出库",购销流水!$B$6:$B$805,"&gt;="&amp;$A$4,购销流水!$B$6:$B$805,"&lt;="&amp;$B$4)-SUMIFS(购销流水!$J$6:$J$805,购销流水!$C$6:$C$805,$A30,购销流水!$F$6:$F$805,$B30,购销流水!$D$6:$D$805,"销售退回",购销流水!$B$6:$B$805,"&gt;="&amp;$A$4,购销流水!$B$6:$B$805,"&lt;="&amp;$B$4)+SUMIFS(生产加工!$I$6:$I$305,生产加工!$C$6:$C$305,$A30,生产加工!$F$6:$F$305,$B30,生产加工!$E$6:$E$305,"领用投入",生产加工!$B$6:$B$305,"&gt;="&amp;$A$4,生产加工!$B$6:$B$305,"&lt;="&amp;$B$4))</f>
        <v>8000</v>
      </c>
      <c r="J30" s="40" t="n">
        <f aca="false">IF($B30="","",ROUND($I30*$M30,2))</f>
        <v>7497.14</v>
      </c>
      <c r="K30" s="84" t="n">
        <f aca="false">IF($B30="","",$E30+$G30-$I30)</f>
        <v>20000</v>
      </c>
      <c r="L30" s="42" t="n">
        <f aca="false">IF($B30="","",ROUND($K30*$M30,2))</f>
        <v>18742.86</v>
      </c>
      <c r="M30" s="85" t="n">
        <f aca="false">IF($B30="","",进销存台账!$N29)</f>
        <v>0.937142857142857</v>
      </c>
      <c r="N30" s="64" t="str">
        <f aca="false">IF($B30="","",IF(OR($E30&lt;&gt;0,$G30&lt;&gt;0,$I30&lt;&gt;0),"有",""))</f>
        <v>有</v>
      </c>
    </row>
    <row r="31" customFormat="false" ht="15" hidden="false" customHeight="false" outlineLevel="0" collapsed="false">
      <c r="A31" s="25" t="str">
        <f aca="false">IF(进销存台账!$B30="","",进销存台账!$A30)</f>
        <v>科技</v>
      </c>
      <c r="B31" s="25" t="str">
        <f aca="false">IF(进销存台账!$B30="","",进销存台账!$B30)</f>
        <v>KJ10</v>
      </c>
      <c r="C31" s="10" t="str">
        <f aca="false">IF($B31="","",进销存台账!$C30)</f>
        <v>纸盒</v>
      </c>
      <c r="D31" s="25" t="str">
        <f aca="false">IF($B31="","",进销存台账!$E30)</f>
        <v>个</v>
      </c>
      <c r="E31" s="82" t="n">
        <f aca="false">IF($B31="","",进销存台账!$H30+SUMIFS(购销流水!$J$6:$J$805,购销流水!$C$6:$C$805,$A31,购销流水!$F$6:$F$805,$B31,购销流水!$D$6:$D$805,"采购入库",购销流水!$B$6:$B$805,"&lt;"&amp;$A$4)-SUMIFS(购销流水!$J$6:$J$805,购销流水!$C$6:$C$805,$A31,购销流水!$F$6:$F$805,$B31,购销流水!$D$6:$D$805,"采购退回",购销流水!$B$6:$B$805,"&lt;"&amp;$A$4)+SUMIFS(生产加工!$I$6:$I$305,生产加工!$C$6:$C$305,$A31,生产加工!$F$6:$F$305,$B31,生产加工!$E$6:$E$305,"产成品入库",生产加工!$B$6:$B$305,"&lt;"&amp;$A$4)-(SUMIFS(购销流水!$J$6:$J$805,购销流水!$C$6:$C$805,$A31,购销流水!$F$6:$F$805,$B31,购销流水!$D$6:$D$805,"销售出库",购销流水!$B$6:$B$805,"&lt;"&amp;$A$4)-SUMIFS(购销流水!$J$6:$J$805,购销流水!$C$6:$C$805,$A31,购销流水!$F$6:$F$805,$B31,购销流水!$D$6:$D$805,"销售退回",购销流水!$B$6:$B$805,"&lt;"&amp;$A$4)+SUMIFS(生产加工!$I$6:$I$305,生产加工!$C$6:$C$305,$A31,生产加工!$F$6:$F$305,$B31,生产加工!$E$6:$E$305,"领用投入",生产加工!$B$6:$B$305,"&lt;"&amp;$A$4)))</f>
        <v>10000</v>
      </c>
      <c r="F31" s="40" t="n">
        <f aca="false">IF($B31="","",ROUND($E31*$M31,2))</f>
        <v>3354.55</v>
      </c>
      <c r="G31" s="82" t="n">
        <f aca="false">IF($B31="","",SUMIFS(购销流水!$J$6:$J$805,购销流水!$C$6:$C$805,$A31,购销流水!$F$6:$F$805,$B31,购销流水!$D$6:$D$805,"采购入库",购销流水!$B$6:$B$805,"&gt;="&amp;$A$4,购销流水!$B$6:$B$805,"&lt;="&amp;$B$4)-SUMIFS(购销流水!$J$6:$J$805,购销流水!$C$6:$C$805,$A31,购销流水!$F$6:$F$805,$B31,购销流水!$D$6:$D$805,"采购退回",购销流水!$B$6:$B$805,"&gt;="&amp;$A$4,购销流水!$B$6:$B$805,"&lt;="&amp;$B$4)+SUMIFS(生产加工!$I$6:$I$305,生产加工!$C$6:$C$305,$A31,生产加工!$F$6:$F$305,$B31,生产加工!$E$6:$E$305,"产成品入库",生产加工!$B$6:$B$305,"&gt;="&amp;$A$4,生产加工!$B$6:$B$305,"&lt;="&amp;$B$4))</f>
        <v>12000</v>
      </c>
      <c r="H31" s="40" t="n">
        <f aca="false">IF($B31="","",ROUND($G31*$M31,2))</f>
        <v>4025.45</v>
      </c>
      <c r="I31" s="82" t="n">
        <f aca="false">IF($B31="","",SUMIFS(购销流水!$J$6:$J$805,购销流水!$C$6:$C$805,$A31,购销流水!$F$6:$F$805,$B31,购销流水!$D$6:$D$805,"销售出库",购销流水!$B$6:$B$805,"&gt;="&amp;$A$4,购销流水!$B$6:$B$805,"&lt;="&amp;$B$4)-SUMIFS(购销流水!$J$6:$J$805,购销流水!$C$6:$C$805,$A31,购销流水!$F$6:$F$805,$B31,购销流水!$D$6:$D$805,"销售退回",购销流水!$B$6:$B$805,"&gt;="&amp;$A$4,购销流水!$B$6:$B$805,"&lt;="&amp;$B$4)+SUMIFS(生产加工!$I$6:$I$305,生产加工!$C$6:$C$305,$A31,生产加工!$F$6:$F$305,$B31,生产加工!$E$6:$E$305,"领用投入",生产加工!$B$6:$B$305,"&gt;="&amp;$A$4,生产加工!$B$6:$B$305,"&lt;="&amp;$B$4))</f>
        <v>8000</v>
      </c>
      <c r="J31" s="40" t="n">
        <f aca="false">IF($B31="","",ROUND($I31*$M31,2))</f>
        <v>2683.64</v>
      </c>
      <c r="K31" s="84" t="n">
        <f aca="false">IF($B31="","",$E31+$G31-$I31)</f>
        <v>14000</v>
      </c>
      <c r="L31" s="42" t="n">
        <f aca="false">IF($B31="","",ROUND($K31*$M31,2))</f>
        <v>4696.36</v>
      </c>
      <c r="M31" s="85" t="n">
        <f aca="false">IF($B31="","",进销存台账!$N30)</f>
        <v>0.335454545454545</v>
      </c>
      <c r="N31" s="64" t="str">
        <f aca="false">IF($B31="","",IF(OR($E31&lt;&gt;0,$G31&lt;&gt;0,$I31&lt;&gt;0),"有",""))</f>
        <v>有</v>
      </c>
    </row>
    <row r="32" customFormat="false" ht="15" hidden="false" customHeight="false" outlineLevel="0" collapsed="false">
      <c r="A32" s="25" t="str">
        <f aca="false">IF(进销存台账!$B31="","",进销存台账!$A31)</f>
        <v/>
      </c>
      <c r="B32" s="25" t="str">
        <f aca="false">IF(进销存台账!$B31="","",进销存台账!$B31)</f>
        <v/>
      </c>
      <c r="C32" s="10" t="str">
        <f aca="false">IF($B32="","",进销存台账!$C31)</f>
        <v/>
      </c>
      <c r="D32" s="25" t="str">
        <f aca="false">IF($B32="","",进销存台账!$E31)</f>
        <v/>
      </c>
      <c r="E32" s="82" t="str">
        <f aca="false">IF($B32="","",进销存台账!$H31+SUMIFS(购销流水!$J$6:$J$805,购销流水!$C$6:$C$805,$A32,购销流水!$F$6:$F$805,$B32,购销流水!$D$6:$D$805,"采购入库",购销流水!$B$6:$B$805,"&lt;"&amp;$A$4)-SUMIFS(购销流水!$J$6:$J$805,购销流水!$C$6:$C$805,$A32,购销流水!$F$6:$F$805,$B32,购销流水!$D$6:$D$805,"采购退回",购销流水!$B$6:$B$805,"&lt;"&amp;$A$4)+SUMIFS(生产加工!$I$6:$I$305,生产加工!$C$6:$C$305,$A32,生产加工!$F$6:$F$305,$B32,生产加工!$E$6:$E$305,"产成品入库",生产加工!$B$6:$B$305,"&lt;"&amp;$A$4)-(SUMIFS(购销流水!$J$6:$J$805,购销流水!$C$6:$C$805,$A32,购销流水!$F$6:$F$805,$B32,购销流水!$D$6:$D$805,"销售出库",购销流水!$B$6:$B$805,"&lt;"&amp;$A$4)-SUMIFS(购销流水!$J$6:$J$805,购销流水!$C$6:$C$805,$A32,购销流水!$F$6:$F$805,$B32,购销流水!$D$6:$D$805,"销售退回",购销流水!$B$6:$B$805,"&lt;"&amp;$A$4)+SUMIFS(生产加工!$I$6:$I$305,生产加工!$C$6:$C$305,$A32,生产加工!$F$6:$F$305,$B32,生产加工!$E$6:$E$305,"领用投入",生产加工!$B$6:$B$305,"&lt;"&amp;$A$4)))</f>
        <v/>
      </c>
      <c r="F32" s="40" t="str">
        <f aca="false">IF($B32="","",ROUND($E32*$M32,2))</f>
        <v/>
      </c>
      <c r="G32" s="82" t="str">
        <f aca="false">IF($B32="","",SUMIFS(购销流水!$J$6:$J$805,购销流水!$C$6:$C$805,$A32,购销流水!$F$6:$F$805,$B32,购销流水!$D$6:$D$805,"采购入库",购销流水!$B$6:$B$805,"&gt;="&amp;$A$4,购销流水!$B$6:$B$805,"&lt;="&amp;$B$4)-SUMIFS(购销流水!$J$6:$J$805,购销流水!$C$6:$C$805,$A32,购销流水!$F$6:$F$805,$B32,购销流水!$D$6:$D$805,"采购退回",购销流水!$B$6:$B$805,"&gt;="&amp;$A$4,购销流水!$B$6:$B$805,"&lt;="&amp;$B$4)+SUMIFS(生产加工!$I$6:$I$305,生产加工!$C$6:$C$305,$A32,生产加工!$F$6:$F$305,$B32,生产加工!$E$6:$E$305,"产成品入库",生产加工!$B$6:$B$305,"&gt;="&amp;$A$4,生产加工!$B$6:$B$305,"&lt;="&amp;$B$4))</f>
        <v/>
      </c>
      <c r="H32" s="40" t="str">
        <f aca="false">IF($B32="","",ROUND($G32*$M32,2))</f>
        <v/>
      </c>
      <c r="I32" s="82" t="str">
        <f aca="false">IF($B32="","",SUMIFS(购销流水!$J$6:$J$805,购销流水!$C$6:$C$805,$A32,购销流水!$F$6:$F$805,$B32,购销流水!$D$6:$D$805,"销售出库",购销流水!$B$6:$B$805,"&gt;="&amp;$A$4,购销流水!$B$6:$B$805,"&lt;="&amp;$B$4)-SUMIFS(购销流水!$J$6:$J$805,购销流水!$C$6:$C$805,$A32,购销流水!$F$6:$F$805,$B32,购销流水!$D$6:$D$805,"销售退回",购销流水!$B$6:$B$805,"&gt;="&amp;$A$4,购销流水!$B$6:$B$805,"&lt;="&amp;$B$4)+SUMIFS(生产加工!$I$6:$I$305,生产加工!$C$6:$C$305,$A32,生产加工!$F$6:$F$305,$B32,生产加工!$E$6:$E$305,"领用投入",生产加工!$B$6:$B$305,"&gt;="&amp;$A$4,生产加工!$B$6:$B$305,"&lt;="&amp;$B$4))</f>
        <v/>
      </c>
      <c r="J32" s="40" t="str">
        <f aca="false">IF($B32="","",ROUND($I32*$M32,2))</f>
        <v/>
      </c>
      <c r="K32" s="84" t="str">
        <f aca="false">IF($B32="","",$E32+$G32-$I32)</f>
        <v/>
      </c>
      <c r="L32" s="42" t="str">
        <f aca="false">IF($B32="","",ROUND($K32*$M32,2))</f>
        <v/>
      </c>
      <c r="M32" s="85" t="str">
        <f aca="false">IF($B32="","",进销存台账!$N31)</f>
        <v/>
      </c>
      <c r="N32" s="64" t="str">
        <f aca="false">IF($B32="","",IF(OR($E32&lt;&gt;0,$G32&lt;&gt;0,$I32&lt;&gt;0),"有",""))</f>
        <v/>
      </c>
    </row>
    <row r="33" customFormat="false" ht="15" hidden="false" customHeight="false" outlineLevel="0" collapsed="false">
      <c r="A33" s="25" t="str">
        <f aca="false">IF(进销存台账!$B32="","",进销存台账!$A32)</f>
        <v/>
      </c>
      <c r="B33" s="25" t="str">
        <f aca="false">IF(进销存台账!$B32="","",进销存台账!$B32)</f>
        <v/>
      </c>
      <c r="C33" s="10" t="str">
        <f aca="false">IF($B33="","",进销存台账!$C32)</f>
        <v/>
      </c>
      <c r="D33" s="25" t="str">
        <f aca="false">IF($B33="","",进销存台账!$E32)</f>
        <v/>
      </c>
      <c r="E33" s="82" t="str">
        <f aca="false">IF($B33="","",进销存台账!$H32+SUMIFS(购销流水!$J$6:$J$805,购销流水!$C$6:$C$805,$A33,购销流水!$F$6:$F$805,$B33,购销流水!$D$6:$D$805,"采购入库",购销流水!$B$6:$B$805,"&lt;"&amp;$A$4)-SUMIFS(购销流水!$J$6:$J$805,购销流水!$C$6:$C$805,$A33,购销流水!$F$6:$F$805,$B33,购销流水!$D$6:$D$805,"采购退回",购销流水!$B$6:$B$805,"&lt;"&amp;$A$4)+SUMIFS(生产加工!$I$6:$I$305,生产加工!$C$6:$C$305,$A33,生产加工!$F$6:$F$305,$B33,生产加工!$E$6:$E$305,"产成品入库",生产加工!$B$6:$B$305,"&lt;"&amp;$A$4)-(SUMIFS(购销流水!$J$6:$J$805,购销流水!$C$6:$C$805,$A33,购销流水!$F$6:$F$805,$B33,购销流水!$D$6:$D$805,"销售出库",购销流水!$B$6:$B$805,"&lt;"&amp;$A$4)-SUMIFS(购销流水!$J$6:$J$805,购销流水!$C$6:$C$805,$A33,购销流水!$F$6:$F$805,$B33,购销流水!$D$6:$D$805,"销售退回",购销流水!$B$6:$B$805,"&lt;"&amp;$A$4)+SUMIFS(生产加工!$I$6:$I$305,生产加工!$C$6:$C$305,$A33,生产加工!$F$6:$F$305,$B33,生产加工!$E$6:$E$305,"领用投入",生产加工!$B$6:$B$305,"&lt;"&amp;$A$4)))</f>
        <v/>
      </c>
      <c r="F33" s="40" t="str">
        <f aca="false">IF($B33="","",ROUND($E33*$M33,2))</f>
        <v/>
      </c>
      <c r="G33" s="82" t="str">
        <f aca="false">IF($B33="","",SUMIFS(购销流水!$J$6:$J$805,购销流水!$C$6:$C$805,$A33,购销流水!$F$6:$F$805,$B33,购销流水!$D$6:$D$805,"采购入库",购销流水!$B$6:$B$805,"&gt;="&amp;$A$4,购销流水!$B$6:$B$805,"&lt;="&amp;$B$4)-SUMIFS(购销流水!$J$6:$J$805,购销流水!$C$6:$C$805,$A33,购销流水!$F$6:$F$805,$B33,购销流水!$D$6:$D$805,"采购退回",购销流水!$B$6:$B$805,"&gt;="&amp;$A$4,购销流水!$B$6:$B$805,"&lt;="&amp;$B$4)+SUMIFS(生产加工!$I$6:$I$305,生产加工!$C$6:$C$305,$A33,生产加工!$F$6:$F$305,$B33,生产加工!$E$6:$E$305,"产成品入库",生产加工!$B$6:$B$305,"&gt;="&amp;$A$4,生产加工!$B$6:$B$305,"&lt;="&amp;$B$4))</f>
        <v/>
      </c>
      <c r="H33" s="40" t="str">
        <f aca="false">IF($B33="","",ROUND($G33*$M33,2))</f>
        <v/>
      </c>
      <c r="I33" s="82" t="str">
        <f aca="false">IF($B33="","",SUMIFS(购销流水!$J$6:$J$805,购销流水!$C$6:$C$805,$A33,购销流水!$F$6:$F$805,$B33,购销流水!$D$6:$D$805,"销售出库",购销流水!$B$6:$B$805,"&gt;="&amp;$A$4,购销流水!$B$6:$B$805,"&lt;="&amp;$B$4)-SUMIFS(购销流水!$J$6:$J$805,购销流水!$C$6:$C$805,$A33,购销流水!$F$6:$F$805,$B33,购销流水!$D$6:$D$805,"销售退回",购销流水!$B$6:$B$805,"&gt;="&amp;$A$4,购销流水!$B$6:$B$805,"&lt;="&amp;$B$4)+SUMIFS(生产加工!$I$6:$I$305,生产加工!$C$6:$C$305,$A33,生产加工!$F$6:$F$305,$B33,生产加工!$E$6:$E$305,"领用投入",生产加工!$B$6:$B$305,"&gt;="&amp;$A$4,生产加工!$B$6:$B$305,"&lt;="&amp;$B$4))</f>
        <v/>
      </c>
      <c r="J33" s="40" t="str">
        <f aca="false">IF($B33="","",ROUND($I33*$M33,2))</f>
        <v/>
      </c>
      <c r="K33" s="84" t="str">
        <f aca="false">IF($B33="","",$E33+$G33-$I33)</f>
        <v/>
      </c>
      <c r="L33" s="42" t="str">
        <f aca="false">IF($B33="","",ROUND($K33*$M33,2))</f>
        <v/>
      </c>
      <c r="M33" s="85" t="str">
        <f aca="false">IF($B33="","",进销存台账!$N32)</f>
        <v/>
      </c>
      <c r="N33" s="64" t="str">
        <f aca="false">IF($B33="","",IF(OR($E33&lt;&gt;0,$G33&lt;&gt;0,$I33&lt;&gt;0),"有",""))</f>
        <v/>
      </c>
    </row>
    <row r="34" customFormat="false" ht="15" hidden="false" customHeight="false" outlineLevel="0" collapsed="false">
      <c r="A34" s="25" t="str">
        <f aca="false">IF(进销存台账!$B33="","",进销存台账!$A33)</f>
        <v/>
      </c>
      <c r="B34" s="25" t="str">
        <f aca="false">IF(进销存台账!$B33="","",进销存台账!$B33)</f>
        <v/>
      </c>
      <c r="C34" s="10" t="str">
        <f aca="false">IF($B34="","",进销存台账!$C33)</f>
        <v/>
      </c>
      <c r="D34" s="25" t="str">
        <f aca="false">IF($B34="","",进销存台账!$E33)</f>
        <v/>
      </c>
      <c r="E34" s="82" t="str">
        <f aca="false">IF($B34="","",进销存台账!$H33+SUMIFS(购销流水!$J$6:$J$805,购销流水!$C$6:$C$805,$A34,购销流水!$F$6:$F$805,$B34,购销流水!$D$6:$D$805,"采购入库",购销流水!$B$6:$B$805,"&lt;"&amp;$A$4)-SUMIFS(购销流水!$J$6:$J$805,购销流水!$C$6:$C$805,$A34,购销流水!$F$6:$F$805,$B34,购销流水!$D$6:$D$805,"采购退回",购销流水!$B$6:$B$805,"&lt;"&amp;$A$4)+SUMIFS(生产加工!$I$6:$I$305,生产加工!$C$6:$C$305,$A34,生产加工!$F$6:$F$305,$B34,生产加工!$E$6:$E$305,"产成品入库",生产加工!$B$6:$B$305,"&lt;"&amp;$A$4)-(SUMIFS(购销流水!$J$6:$J$805,购销流水!$C$6:$C$805,$A34,购销流水!$F$6:$F$805,$B34,购销流水!$D$6:$D$805,"销售出库",购销流水!$B$6:$B$805,"&lt;"&amp;$A$4)-SUMIFS(购销流水!$J$6:$J$805,购销流水!$C$6:$C$805,$A34,购销流水!$F$6:$F$805,$B34,购销流水!$D$6:$D$805,"销售退回",购销流水!$B$6:$B$805,"&lt;"&amp;$A$4)+SUMIFS(生产加工!$I$6:$I$305,生产加工!$C$6:$C$305,$A34,生产加工!$F$6:$F$305,$B34,生产加工!$E$6:$E$305,"领用投入",生产加工!$B$6:$B$305,"&lt;"&amp;$A$4)))</f>
        <v/>
      </c>
      <c r="F34" s="40" t="str">
        <f aca="false">IF($B34="","",ROUND($E34*$M34,2))</f>
        <v/>
      </c>
      <c r="G34" s="82" t="str">
        <f aca="false">IF($B34="","",SUMIFS(购销流水!$J$6:$J$805,购销流水!$C$6:$C$805,$A34,购销流水!$F$6:$F$805,$B34,购销流水!$D$6:$D$805,"采购入库",购销流水!$B$6:$B$805,"&gt;="&amp;$A$4,购销流水!$B$6:$B$805,"&lt;="&amp;$B$4)-SUMIFS(购销流水!$J$6:$J$805,购销流水!$C$6:$C$805,$A34,购销流水!$F$6:$F$805,$B34,购销流水!$D$6:$D$805,"采购退回",购销流水!$B$6:$B$805,"&gt;="&amp;$A$4,购销流水!$B$6:$B$805,"&lt;="&amp;$B$4)+SUMIFS(生产加工!$I$6:$I$305,生产加工!$C$6:$C$305,$A34,生产加工!$F$6:$F$305,$B34,生产加工!$E$6:$E$305,"产成品入库",生产加工!$B$6:$B$305,"&gt;="&amp;$A$4,生产加工!$B$6:$B$305,"&lt;="&amp;$B$4))</f>
        <v/>
      </c>
      <c r="H34" s="40" t="str">
        <f aca="false">IF($B34="","",ROUND($G34*$M34,2))</f>
        <v/>
      </c>
      <c r="I34" s="82" t="str">
        <f aca="false">IF($B34="","",SUMIFS(购销流水!$J$6:$J$805,购销流水!$C$6:$C$805,$A34,购销流水!$F$6:$F$805,$B34,购销流水!$D$6:$D$805,"销售出库",购销流水!$B$6:$B$805,"&gt;="&amp;$A$4,购销流水!$B$6:$B$805,"&lt;="&amp;$B$4)-SUMIFS(购销流水!$J$6:$J$805,购销流水!$C$6:$C$805,$A34,购销流水!$F$6:$F$805,$B34,购销流水!$D$6:$D$805,"销售退回",购销流水!$B$6:$B$805,"&gt;="&amp;$A$4,购销流水!$B$6:$B$805,"&lt;="&amp;$B$4)+SUMIFS(生产加工!$I$6:$I$305,生产加工!$C$6:$C$305,$A34,生产加工!$F$6:$F$305,$B34,生产加工!$E$6:$E$305,"领用投入",生产加工!$B$6:$B$305,"&gt;="&amp;$A$4,生产加工!$B$6:$B$305,"&lt;="&amp;$B$4))</f>
        <v/>
      </c>
      <c r="J34" s="40" t="str">
        <f aca="false">IF($B34="","",ROUND($I34*$M34,2))</f>
        <v/>
      </c>
      <c r="K34" s="84" t="str">
        <f aca="false">IF($B34="","",$E34+$G34-$I34)</f>
        <v/>
      </c>
      <c r="L34" s="42" t="str">
        <f aca="false">IF($B34="","",ROUND($K34*$M34,2))</f>
        <v/>
      </c>
      <c r="M34" s="85" t="str">
        <f aca="false">IF($B34="","",进销存台账!$N33)</f>
        <v/>
      </c>
      <c r="N34" s="64" t="str">
        <f aca="false">IF($B34="","",IF(OR($E34&lt;&gt;0,$G34&lt;&gt;0,$I34&lt;&gt;0),"有",""))</f>
        <v/>
      </c>
    </row>
    <row r="35" customFormat="false" ht="15" hidden="false" customHeight="false" outlineLevel="0" collapsed="false">
      <c r="A35" s="25" t="str">
        <f aca="false">IF(进销存台账!$B34="","",进销存台账!$A34)</f>
        <v/>
      </c>
      <c r="B35" s="25" t="str">
        <f aca="false">IF(进销存台账!$B34="","",进销存台账!$B34)</f>
        <v/>
      </c>
      <c r="C35" s="10" t="str">
        <f aca="false">IF($B35="","",进销存台账!$C34)</f>
        <v/>
      </c>
      <c r="D35" s="25" t="str">
        <f aca="false">IF($B35="","",进销存台账!$E34)</f>
        <v/>
      </c>
      <c r="E35" s="82" t="str">
        <f aca="false">IF($B35="","",进销存台账!$H34+SUMIFS(购销流水!$J$6:$J$805,购销流水!$C$6:$C$805,$A35,购销流水!$F$6:$F$805,$B35,购销流水!$D$6:$D$805,"采购入库",购销流水!$B$6:$B$805,"&lt;"&amp;$A$4)-SUMIFS(购销流水!$J$6:$J$805,购销流水!$C$6:$C$805,$A35,购销流水!$F$6:$F$805,$B35,购销流水!$D$6:$D$805,"采购退回",购销流水!$B$6:$B$805,"&lt;"&amp;$A$4)+SUMIFS(生产加工!$I$6:$I$305,生产加工!$C$6:$C$305,$A35,生产加工!$F$6:$F$305,$B35,生产加工!$E$6:$E$305,"产成品入库",生产加工!$B$6:$B$305,"&lt;"&amp;$A$4)-(SUMIFS(购销流水!$J$6:$J$805,购销流水!$C$6:$C$805,$A35,购销流水!$F$6:$F$805,$B35,购销流水!$D$6:$D$805,"销售出库",购销流水!$B$6:$B$805,"&lt;"&amp;$A$4)-SUMIFS(购销流水!$J$6:$J$805,购销流水!$C$6:$C$805,$A35,购销流水!$F$6:$F$805,$B35,购销流水!$D$6:$D$805,"销售退回",购销流水!$B$6:$B$805,"&lt;"&amp;$A$4)+SUMIFS(生产加工!$I$6:$I$305,生产加工!$C$6:$C$305,$A35,生产加工!$F$6:$F$305,$B35,生产加工!$E$6:$E$305,"领用投入",生产加工!$B$6:$B$305,"&lt;"&amp;$A$4)))</f>
        <v/>
      </c>
      <c r="F35" s="40" t="str">
        <f aca="false">IF($B35="","",ROUND($E35*$M35,2))</f>
        <v/>
      </c>
      <c r="G35" s="82" t="str">
        <f aca="false">IF($B35="","",SUMIFS(购销流水!$J$6:$J$805,购销流水!$C$6:$C$805,$A35,购销流水!$F$6:$F$805,$B35,购销流水!$D$6:$D$805,"采购入库",购销流水!$B$6:$B$805,"&gt;="&amp;$A$4,购销流水!$B$6:$B$805,"&lt;="&amp;$B$4)-SUMIFS(购销流水!$J$6:$J$805,购销流水!$C$6:$C$805,$A35,购销流水!$F$6:$F$805,$B35,购销流水!$D$6:$D$805,"采购退回",购销流水!$B$6:$B$805,"&gt;="&amp;$A$4,购销流水!$B$6:$B$805,"&lt;="&amp;$B$4)+SUMIFS(生产加工!$I$6:$I$305,生产加工!$C$6:$C$305,$A35,生产加工!$F$6:$F$305,$B35,生产加工!$E$6:$E$305,"产成品入库",生产加工!$B$6:$B$305,"&gt;="&amp;$A$4,生产加工!$B$6:$B$305,"&lt;="&amp;$B$4))</f>
        <v/>
      </c>
      <c r="H35" s="40" t="str">
        <f aca="false">IF($B35="","",ROUND($G35*$M35,2))</f>
        <v/>
      </c>
      <c r="I35" s="82" t="str">
        <f aca="false">IF($B35="","",SUMIFS(购销流水!$J$6:$J$805,购销流水!$C$6:$C$805,$A35,购销流水!$F$6:$F$805,$B35,购销流水!$D$6:$D$805,"销售出库",购销流水!$B$6:$B$805,"&gt;="&amp;$A$4,购销流水!$B$6:$B$805,"&lt;="&amp;$B$4)-SUMIFS(购销流水!$J$6:$J$805,购销流水!$C$6:$C$805,$A35,购销流水!$F$6:$F$805,$B35,购销流水!$D$6:$D$805,"销售退回",购销流水!$B$6:$B$805,"&gt;="&amp;$A$4,购销流水!$B$6:$B$805,"&lt;="&amp;$B$4)+SUMIFS(生产加工!$I$6:$I$305,生产加工!$C$6:$C$305,$A35,生产加工!$F$6:$F$305,$B35,生产加工!$E$6:$E$305,"领用投入",生产加工!$B$6:$B$305,"&gt;="&amp;$A$4,生产加工!$B$6:$B$305,"&lt;="&amp;$B$4))</f>
        <v/>
      </c>
      <c r="J35" s="40" t="str">
        <f aca="false">IF($B35="","",ROUND($I35*$M35,2))</f>
        <v/>
      </c>
      <c r="K35" s="84" t="str">
        <f aca="false">IF($B35="","",$E35+$G35-$I35)</f>
        <v/>
      </c>
      <c r="L35" s="42" t="str">
        <f aca="false">IF($B35="","",ROUND($K35*$M35,2))</f>
        <v/>
      </c>
      <c r="M35" s="85" t="str">
        <f aca="false">IF($B35="","",进销存台账!$N34)</f>
        <v/>
      </c>
      <c r="N35" s="64" t="str">
        <f aca="false">IF($B35="","",IF(OR($E35&lt;&gt;0,$G35&lt;&gt;0,$I35&lt;&gt;0),"有",""))</f>
        <v/>
      </c>
    </row>
    <row r="36" customFormat="false" ht="15" hidden="false" customHeight="false" outlineLevel="0" collapsed="false">
      <c r="A36" s="25" t="str">
        <f aca="false">IF(进销存台账!$B35="","",进销存台账!$A35)</f>
        <v/>
      </c>
      <c r="B36" s="25" t="str">
        <f aca="false">IF(进销存台账!$B35="","",进销存台账!$B35)</f>
        <v/>
      </c>
      <c r="C36" s="10" t="str">
        <f aca="false">IF($B36="","",进销存台账!$C35)</f>
        <v/>
      </c>
      <c r="D36" s="25" t="str">
        <f aca="false">IF($B36="","",进销存台账!$E35)</f>
        <v/>
      </c>
      <c r="E36" s="82" t="str">
        <f aca="false">IF($B36="","",进销存台账!$H35+SUMIFS(购销流水!$J$6:$J$805,购销流水!$C$6:$C$805,$A36,购销流水!$F$6:$F$805,$B36,购销流水!$D$6:$D$805,"采购入库",购销流水!$B$6:$B$805,"&lt;"&amp;$A$4)-SUMIFS(购销流水!$J$6:$J$805,购销流水!$C$6:$C$805,$A36,购销流水!$F$6:$F$805,$B36,购销流水!$D$6:$D$805,"采购退回",购销流水!$B$6:$B$805,"&lt;"&amp;$A$4)+SUMIFS(生产加工!$I$6:$I$305,生产加工!$C$6:$C$305,$A36,生产加工!$F$6:$F$305,$B36,生产加工!$E$6:$E$305,"产成品入库",生产加工!$B$6:$B$305,"&lt;"&amp;$A$4)-(SUMIFS(购销流水!$J$6:$J$805,购销流水!$C$6:$C$805,$A36,购销流水!$F$6:$F$805,$B36,购销流水!$D$6:$D$805,"销售出库",购销流水!$B$6:$B$805,"&lt;"&amp;$A$4)-SUMIFS(购销流水!$J$6:$J$805,购销流水!$C$6:$C$805,$A36,购销流水!$F$6:$F$805,$B36,购销流水!$D$6:$D$805,"销售退回",购销流水!$B$6:$B$805,"&lt;"&amp;$A$4)+SUMIFS(生产加工!$I$6:$I$305,生产加工!$C$6:$C$305,$A36,生产加工!$F$6:$F$305,$B36,生产加工!$E$6:$E$305,"领用投入",生产加工!$B$6:$B$305,"&lt;"&amp;$A$4)))</f>
        <v/>
      </c>
      <c r="F36" s="40" t="str">
        <f aca="false">IF($B36="","",ROUND($E36*$M36,2))</f>
        <v/>
      </c>
      <c r="G36" s="82" t="str">
        <f aca="false">IF($B36="","",SUMIFS(购销流水!$J$6:$J$805,购销流水!$C$6:$C$805,$A36,购销流水!$F$6:$F$805,$B36,购销流水!$D$6:$D$805,"采购入库",购销流水!$B$6:$B$805,"&gt;="&amp;$A$4,购销流水!$B$6:$B$805,"&lt;="&amp;$B$4)-SUMIFS(购销流水!$J$6:$J$805,购销流水!$C$6:$C$805,$A36,购销流水!$F$6:$F$805,$B36,购销流水!$D$6:$D$805,"采购退回",购销流水!$B$6:$B$805,"&gt;="&amp;$A$4,购销流水!$B$6:$B$805,"&lt;="&amp;$B$4)+SUMIFS(生产加工!$I$6:$I$305,生产加工!$C$6:$C$305,$A36,生产加工!$F$6:$F$305,$B36,生产加工!$E$6:$E$305,"产成品入库",生产加工!$B$6:$B$305,"&gt;="&amp;$A$4,生产加工!$B$6:$B$305,"&lt;="&amp;$B$4))</f>
        <v/>
      </c>
      <c r="H36" s="40" t="str">
        <f aca="false">IF($B36="","",ROUND($G36*$M36,2))</f>
        <v/>
      </c>
      <c r="I36" s="82" t="str">
        <f aca="false">IF($B36="","",SUMIFS(购销流水!$J$6:$J$805,购销流水!$C$6:$C$805,$A36,购销流水!$F$6:$F$805,$B36,购销流水!$D$6:$D$805,"销售出库",购销流水!$B$6:$B$805,"&gt;="&amp;$A$4,购销流水!$B$6:$B$805,"&lt;="&amp;$B$4)-SUMIFS(购销流水!$J$6:$J$805,购销流水!$C$6:$C$805,$A36,购销流水!$F$6:$F$805,$B36,购销流水!$D$6:$D$805,"销售退回",购销流水!$B$6:$B$805,"&gt;="&amp;$A$4,购销流水!$B$6:$B$805,"&lt;="&amp;$B$4)+SUMIFS(生产加工!$I$6:$I$305,生产加工!$C$6:$C$305,$A36,生产加工!$F$6:$F$305,$B36,生产加工!$E$6:$E$305,"领用投入",生产加工!$B$6:$B$305,"&gt;="&amp;$A$4,生产加工!$B$6:$B$305,"&lt;="&amp;$B$4))</f>
        <v/>
      </c>
      <c r="J36" s="40" t="str">
        <f aca="false">IF($B36="","",ROUND($I36*$M36,2))</f>
        <v/>
      </c>
      <c r="K36" s="84" t="str">
        <f aca="false">IF($B36="","",$E36+$G36-$I36)</f>
        <v/>
      </c>
      <c r="L36" s="42" t="str">
        <f aca="false">IF($B36="","",ROUND($K36*$M36,2))</f>
        <v/>
      </c>
      <c r="M36" s="85" t="str">
        <f aca="false">IF($B36="","",进销存台账!$N35)</f>
        <v/>
      </c>
      <c r="N36" s="64" t="str">
        <f aca="false">IF($B36="","",IF(OR($E36&lt;&gt;0,$G36&lt;&gt;0,$I36&lt;&gt;0),"有",""))</f>
        <v/>
      </c>
    </row>
    <row r="37" customFormat="false" ht="15" hidden="false" customHeight="false" outlineLevel="0" collapsed="false">
      <c r="A37" s="25" t="str">
        <f aca="false">IF(进销存台账!$B36="","",进销存台账!$A36)</f>
        <v/>
      </c>
      <c r="B37" s="25" t="str">
        <f aca="false">IF(进销存台账!$B36="","",进销存台账!$B36)</f>
        <v/>
      </c>
      <c r="C37" s="10" t="str">
        <f aca="false">IF($B37="","",进销存台账!$C36)</f>
        <v/>
      </c>
      <c r="D37" s="25" t="str">
        <f aca="false">IF($B37="","",进销存台账!$E36)</f>
        <v/>
      </c>
      <c r="E37" s="82" t="str">
        <f aca="false">IF($B37="","",进销存台账!$H36+SUMIFS(购销流水!$J$6:$J$805,购销流水!$C$6:$C$805,$A37,购销流水!$F$6:$F$805,$B37,购销流水!$D$6:$D$805,"采购入库",购销流水!$B$6:$B$805,"&lt;"&amp;$A$4)-SUMIFS(购销流水!$J$6:$J$805,购销流水!$C$6:$C$805,$A37,购销流水!$F$6:$F$805,$B37,购销流水!$D$6:$D$805,"采购退回",购销流水!$B$6:$B$805,"&lt;"&amp;$A$4)+SUMIFS(生产加工!$I$6:$I$305,生产加工!$C$6:$C$305,$A37,生产加工!$F$6:$F$305,$B37,生产加工!$E$6:$E$305,"产成品入库",生产加工!$B$6:$B$305,"&lt;"&amp;$A$4)-(SUMIFS(购销流水!$J$6:$J$805,购销流水!$C$6:$C$805,$A37,购销流水!$F$6:$F$805,$B37,购销流水!$D$6:$D$805,"销售出库",购销流水!$B$6:$B$805,"&lt;"&amp;$A$4)-SUMIFS(购销流水!$J$6:$J$805,购销流水!$C$6:$C$805,$A37,购销流水!$F$6:$F$805,$B37,购销流水!$D$6:$D$805,"销售退回",购销流水!$B$6:$B$805,"&lt;"&amp;$A$4)+SUMIFS(生产加工!$I$6:$I$305,生产加工!$C$6:$C$305,$A37,生产加工!$F$6:$F$305,$B37,生产加工!$E$6:$E$305,"领用投入",生产加工!$B$6:$B$305,"&lt;"&amp;$A$4)))</f>
        <v/>
      </c>
      <c r="F37" s="40" t="str">
        <f aca="false">IF($B37="","",ROUND($E37*$M37,2))</f>
        <v/>
      </c>
      <c r="G37" s="82" t="str">
        <f aca="false">IF($B37="","",SUMIFS(购销流水!$J$6:$J$805,购销流水!$C$6:$C$805,$A37,购销流水!$F$6:$F$805,$B37,购销流水!$D$6:$D$805,"采购入库",购销流水!$B$6:$B$805,"&gt;="&amp;$A$4,购销流水!$B$6:$B$805,"&lt;="&amp;$B$4)-SUMIFS(购销流水!$J$6:$J$805,购销流水!$C$6:$C$805,$A37,购销流水!$F$6:$F$805,$B37,购销流水!$D$6:$D$805,"采购退回",购销流水!$B$6:$B$805,"&gt;="&amp;$A$4,购销流水!$B$6:$B$805,"&lt;="&amp;$B$4)+SUMIFS(生产加工!$I$6:$I$305,生产加工!$C$6:$C$305,$A37,生产加工!$F$6:$F$305,$B37,生产加工!$E$6:$E$305,"产成品入库",生产加工!$B$6:$B$305,"&gt;="&amp;$A$4,生产加工!$B$6:$B$305,"&lt;="&amp;$B$4))</f>
        <v/>
      </c>
      <c r="H37" s="40" t="str">
        <f aca="false">IF($B37="","",ROUND($G37*$M37,2))</f>
        <v/>
      </c>
      <c r="I37" s="82" t="str">
        <f aca="false">IF($B37="","",SUMIFS(购销流水!$J$6:$J$805,购销流水!$C$6:$C$805,$A37,购销流水!$F$6:$F$805,$B37,购销流水!$D$6:$D$805,"销售出库",购销流水!$B$6:$B$805,"&gt;="&amp;$A$4,购销流水!$B$6:$B$805,"&lt;="&amp;$B$4)-SUMIFS(购销流水!$J$6:$J$805,购销流水!$C$6:$C$805,$A37,购销流水!$F$6:$F$805,$B37,购销流水!$D$6:$D$805,"销售退回",购销流水!$B$6:$B$805,"&gt;="&amp;$A$4,购销流水!$B$6:$B$805,"&lt;="&amp;$B$4)+SUMIFS(生产加工!$I$6:$I$305,生产加工!$C$6:$C$305,$A37,生产加工!$F$6:$F$305,$B37,生产加工!$E$6:$E$305,"领用投入",生产加工!$B$6:$B$305,"&gt;="&amp;$A$4,生产加工!$B$6:$B$305,"&lt;="&amp;$B$4))</f>
        <v/>
      </c>
      <c r="J37" s="40" t="str">
        <f aca="false">IF($B37="","",ROUND($I37*$M37,2))</f>
        <v/>
      </c>
      <c r="K37" s="84" t="str">
        <f aca="false">IF($B37="","",$E37+$G37-$I37)</f>
        <v/>
      </c>
      <c r="L37" s="42" t="str">
        <f aca="false">IF($B37="","",ROUND($K37*$M37,2))</f>
        <v/>
      </c>
      <c r="M37" s="85" t="str">
        <f aca="false">IF($B37="","",进销存台账!$N36)</f>
        <v/>
      </c>
      <c r="N37" s="64" t="str">
        <f aca="false">IF($B37="","",IF(OR($E37&lt;&gt;0,$G37&lt;&gt;0,$I37&lt;&gt;0),"有",""))</f>
        <v/>
      </c>
    </row>
    <row r="38" customFormat="false" ht="15" hidden="false" customHeight="false" outlineLevel="0" collapsed="false">
      <c r="A38" s="25" t="str">
        <f aca="false">IF(进销存台账!$B37="","",进销存台账!$A37)</f>
        <v/>
      </c>
      <c r="B38" s="25" t="str">
        <f aca="false">IF(进销存台账!$B37="","",进销存台账!$B37)</f>
        <v/>
      </c>
      <c r="C38" s="10" t="str">
        <f aca="false">IF($B38="","",进销存台账!$C37)</f>
        <v/>
      </c>
      <c r="D38" s="25" t="str">
        <f aca="false">IF($B38="","",进销存台账!$E37)</f>
        <v/>
      </c>
      <c r="E38" s="82" t="str">
        <f aca="false">IF($B38="","",进销存台账!$H37+SUMIFS(购销流水!$J$6:$J$805,购销流水!$C$6:$C$805,$A38,购销流水!$F$6:$F$805,$B38,购销流水!$D$6:$D$805,"采购入库",购销流水!$B$6:$B$805,"&lt;"&amp;$A$4)-SUMIFS(购销流水!$J$6:$J$805,购销流水!$C$6:$C$805,$A38,购销流水!$F$6:$F$805,$B38,购销流水!$D$6:$D$805,"采购退回",购销流水!$B$6:$B$805,"&lt;"&amp;$A$4)+SUMIFS(生产加工!$I$6:$I$305,生产加工!$C$6:$C$305,$A38,生产加工!$F$6:$F$305,$B38,生产加工!$E$6:$E$305,"产成品入库",生产加工!$B$6:$B$305,"&lt;"&amp;$A$4)-(SUMIFS(购销流水!$J$6:$J$805,购销流水!$C$6:$C$805,$A38,购销流水!$F$6:$F$805,$B38,购销流水!$D$6:$D$805,"销售出库",购销流水!$B$6:$B$805,"&lt;"&amp;$A$4)-SUMIFS(购销流水!$J$6:$J$805,购销流水!$C$6:$C$805,$A38,购销流水!$F$6:$F$805,$B38,购销流水!$D$6:$D$805,"销售退回",购销流水!$B$6:$B$805,"&lt;"&amp;$A$4)+SUMIFS(生产加工!$I$6:$I$305,生产加工!$C$6:$C$305,$A38,生产加工!$F$6:$F$305,$B38,生产加工!$E$6:$E$305,"领用投入",生产加工!$B$6:$B$305,"&lt;"&amp;$A$4)))</f>
        <v/>
      </c>
      <c r="F38" s="40" t="str">
        <f aca="false">IF($B38="","",ROUND($E38*$M38,2))</f>
        <v/>
      </c>
      <c r="G38" s="82" t="str">
        <f aca="false">IF($B38="","",SUMIFS(购销流水!$J$6:$J$805,购销流水!$C$6:$C$805,$A38,购销流水!$F$6:$F$805,$B38,购销流水!$D$6:$D$805,"采购入库",购销流水!$B$6:$B$805,"&gt;="&amp;$A$4,购销流水!$B$6:$B$805,"&lt;="&amp;$B$4)-SUMIFS(购销流水!$J$6:$J$805,购销流水!$C$6:$C$805,$A38,购销流水!$F$6:$F$805,$B38,购销流水!$D$6:$D$805,"采购退回",购销流水!$B$6:$B$805,"&gt;="&amp;$A$4,购销流水!$B$6:$B$805,"&lt;="&amp;$B$4)+SUMIFS(生产加工!$I$6:$I$305,生产加工!$C$6:$C$305,$A38,生产加工!$F$6:$F$305,$B38,生产加工!$E$6:$E$305,"产成品入库",生产加工!$B$6:$B$305,"&gt;="&amp;$A$4,生产加工!$B$6:$B$305,"&lt;="&amp;$B$4))</f>
        <v/>
      </c>
      <c r="H38" s="40" t="str">
        <f aca="false">IF($B38="","",ROUND($G38*$M38,2))</f>
        <v/>
      </c>
      <c r="I38" s="82" t="str">
        <f aca="false">IF($B38="","",SUMIFS(购销流水!$J$6:$J$805,购销流水!$C$6:$C$805,$A38,购销流水!$F$6:$F$805,$B38,购销流水!$D$6:$D$805,"销售出库",购销流水!$B$6:$B$805,"&gt;="&amp;$A$4,购销流水!$B$6:$B$805,"&lt;="&amp;$B$4)-SUMIFS(购销流水!$J$6:$J$805,购销流水!$C$6:$C$805,$A38,购销流水!$F$6:$F$805,$B38,购销流水!$D$6:$D$805,"销售退回",购销流水!$B$6:$B$805,"&gt;="&amp;$A$4,购销流水!$B$6:$B$805,"&lt;="&amp;$B$4)+SUMIFS(生产加工!$I$6:$I$305,生产加工!$C$6:$C$305,$A38,生产加工!$F$6:$F$305,$B38,生产加工!$E$6:$E$305,"领用投入",生产加工!$B$6:$B$305,"&gt;="&amp;$A$4,生产加工!$B$6:$B$305,"&lt;="&amp;$B$4))</f>
        <v/>
      </c>
      <c r="J38" s="40" t="str">
        <f aca="false">IF($B38="","",ROUND($I38*$M38,2))</f>
        <v/>
      </c>
      <c r="K38" s="84" t="str">
        <f aca="false">IF($B38="","",$E38+$G38-$I38)</f>
        <v/>
      </c>
      <c r="L38" s="42" t="str">
        <f aca="false">IF($B38="","",ROUND($K38*$M38,2))</f>
        <v/>
      </c>
      <c r="M38" s="85" t="str">
        <f aca="false">IF($B38="","",进销存台账!$N37)</f>
        <v/>
      </c>
      <c r="N38" s="64" t="str">
        <f aca="false">IF($B38="","",IF(OR($E38&lt;&gt;0,$G38&lt;&gt;0,$I38&lt;&gt;0),"有",""))</f>
        <v/>
      </c>
    </row>
    <row r="39" customFormat="false" ht="15" hidden="false" customHeight="false" outlineLevel="0" collapsed="false">
      <c r="A39" s="25" t="str">
        <f aca="false">IF(进销存台账!$B38="","",进销存台账!$A38)</f>
        <v/>
      </c>
      <c r="B39" s="25" t="str">
        <f aca="false">IF(进销存台账!$B38="","",进销存台账!$B38)</f>
        <v/>
      </c>
      <c r="C39" s="10" t="str">
        <f aca="false">IF($B39="","",进销存台账!$C38)</f>
        <v/>
      </c>
      <c r="D39" s="25" t="str">
        <f aca="false">IF($B39="","",进销存台账!$E38)</f>
        <v/>
      </c>
      <c r="E39" s="82" t="str">
        <f aca="false">IF($B39="","",进销存台账!$H38+SUMIFS(购销流水!$J$6:$J$805,购销流水!$C$6:$C$805,$A39,购销流水!$F$6:$F$805,$B39,购销流水!$D$6:$D$805,"采购入库",购销流水!$B$6:$B$805,"&lt;"&amp;$A$4)-SUMIFS(购销流水!$J$6:$J$805,购销流水!$C$6:$C$805,$A39,购销流水!$F$6:$F$805,$B39,购销流水!$D$6:$D$805,"采购退回",购销流水!$B$6:$B$805,"&lt;"&amp;$A$4)+SUMIFS(生产加工!$I$6:$I$305,生产加工!$C$6:$C$305,$A39,生产加工!$F$6:$F$305,$B39,生产加工!$E$6:$E$305,"产成品入库",生产加工!$B$6:$B$305,"&lt;"&amp;$A$4)-(SUMIFS(购销流水!$J$6:$J$805,购销流水!$C$6:$C$805,$A39,购销流水!$F$6:$F$805,$B39,购销流水!$D$6:$D$805,"销售出库",购销流水!$B$6:$B$805,"&lt;"&amp;$A$4)-SUMIFS(购销流水!$J$6:$J$805,购销流水!$C$6:$C$805,$A39,购销流水!$F$6:$F$805,$B39,购销流水!$D$6:$D$805,"销售退回",购销流水!$B$6:$B$805,"&lt;"&amp;$A$4)+SUMIFS(生产加工!$I$6:$I$305,生产加工!$C$6:$C$305,$A39,生产加工!$F$6:$F$305,$B39,生产加工!$E$6:$E$305,"领用投入",生产加工!$B$6:$B$305,"&lt;"&amp;$A$4)))</f>
        <v/>
      </c>
      <c r="F39" s="40" t="str">
        <f aca="false">IF($B39="","",ROUND($E39*$M39,2))</f>
        <v/>
      </c>
      <c r="G39" s="82" t="str">
        <f aca="false">IF($B39="","",SUMIFS(购销流水!$J$6:$J$805,购销流水!$C$6:$C$805,$A39,购销流水!$F$6:$F$805,$B39,购销流水!$D$6:$D$805,"采购入库",购销流水!$B$6:$B$805,"&gt;="&amp;$A$4,购销流水!$B$6:$B$805,"&lt;="&amp;$B$4)-SUMIFS(购销流水!$J$6:$J$805,购销流水!$C$6:$C$805,$A39,购销流水!$F$6:$F$805,$B39,购销流水!$D$6:$D$805,"采购退回",购销流水!$B$6:$B$805,"&gt;="&amp;$A$4,购销流水!$B$6:$B$805,"&lt;="&amp;$B$4)+SUMIFS(生产加工!$I$6:$I$305,生产加工!$C$6:$C$305,$A39,生产加工!$F$6:$F$305,$B39,生产加工!$E$6:$E$305,"产成品入库",生产加工!$B$6:$B$305,"&gt;="&amp;$A$4,生产加工!$B$6:$B$305,"&lt;="&amp;$B$4))</f>
        <v/>
      </c>
      <c r="H39" s="40" t="str">
        <f aca="false">IF($B39="","",ROUND($G39*$M39,2))</f>
        <v/>
      </c>
      <c r="I39" s="82" t="str">
        <f aca="false">IF($B39="","",SUMIFS(购销流水!$J$6:$J$805,购销流水!$C$6:$C$805,$A39,购销流水!$F$6:$F$805,$B39,购销流水!$D$6:$D$805,"销售出库",购销流水!$B$6:$B$805,"&gt;="&amp;$A$4,购销流水!$B$6:$B$805,"&lt;="&amp;$B$4)-SUMIFS(购销流水!$J$6:$J$805,购销流水!$C$6:$C$805,$A39,购销流水!$F$6:$F$805,$B39,购销流水!$D$6:$D$805,"销售退回",购销流水!$B$6:$B$805,"&gt;="&amp;$A$4,购销流水!$B$6:$B$805,"&lt;="&amp;$B$4)+SUMIFS(生产加工!$I$6:$I$305,生产加工!$C$6:$C$305,$A39,生产加工!$F$6:$F$305,$B39,生产加工!$E$6:$E$305,"领用投入",生产加工!$B$6:$B$305,"&gt;="&amp;$A$4,生产加工!$B$6:$B$305,"&lt;="&amp;$B$4))</f>
        <v/>
      </c>
      <c r="J39" s="40" t="str">
        <f aca="false">IF($B39="","",ROUND($I39*$M39,2))</f>
        <v/>
      </c>
      <c r="K39" s="84" t="str">
        <f aca="false">IF($B39="","",$E39+$G39-$I39)</f>
        <v/>
      </c>
      <c r="L39" s="42" t="str">
        <f aca="false">IF($B39="","",ROUND($K39*$M39,2))</f>
        <v/>
      </c>
      <c r="M39" s="85" t="str">
        <f aca="false">IF($B39="","",进销存台账!$N38)</f>
        <v/>
      </c>
      <c r="N39" s="64" t="str">
        <f aca="false">IF($B39="","",IF(OR($E39&lt;&gt;0,$G39&lt;&gt;0,$I39&lt;&gt;0),"有",""))</f>
        <v/>
      </c>
    </row>
    <row r="40" customFormat="false" ht="15" hidden="false" customHeight="false" outlineLevel="0" collapsed="false">
      <c r="A40" s="25" t="str">
        <f aca="false">IF(进销存台账!$B39="","",进销存台账!$A39)</f>
        <v/>
      </c>
      <c r="B40" s="25" t="str">
        <f aca="false">IF(进销存台账!$B39="","",进销存台账!$B39)</f>
        <v/>
      </c>
      <c r="C40" s="10" t="str">
        <f aca="false">IF($B40="","",进销存台账!$C39)</f>
        <v/>
      </c>
      <c r="D40" s="25" t="str">
        <f aca="false">IF($B40="","",进销存台账!$E39)</f>
        <v/>
      </c>
      <c r="E40" s="82" t="str">
        <f aca="false">IF($B40="","",进销存台账!$H39+SUMIFS(购销流水!$J$6:$J$805,购销流水!$C$6:$C$805,$A40,购销流水!$F$6:$F$805,$B40,购销流水!$D$6:$D$805,"采购入库",购销流水!$B$6:$B$805,"&lt;"&amp;$A$4)-SUMIFS(购销流水!$J$6:$J$805,购销流水!$C$6:$C$805,$A40,购销流水!$F$6:$F$805,$B40,购销流水!$D$6:$D$805,"采购退回",购销流水!$B$6:$B$805,"&lt;"&amp;$A$4)+SUMIFS(生产加工!$I$6:$I$305,生产加工!$C$6:$C$305,$A40,生产加工!$F$6:$F$305,$B40,生产加工!$E$6:$E$305,"产成品入库",生产加工!$B$6:$B$305,"&lt;"&amp;$A$4)-(SUMIFS(购销流水!$J$6:$J$805,购销流水!$C$6:$C$805,$A40,购销流水!$F$6:$F$805,$B40,购销流水!$D$6:$D$805,"销售出库",购销流水!$B$6:$B$805,"&lt;"&amp;$A$4)-SUMIFS(购销流水!$J$6:$J$805,购销流水!$C$6:$C$805,$A40,购销流水!$F$6:$F$805,$B40,购销流水!$D$6:$D$805,"销售退回",购销流水!$B$6:$B$805,"&lt;"&amp;$A$4)+SUMIFS(生产加工!$I$6:$I$305,生产加工!$C$6:$C$305,$A40,生产加工!$F$6:$F$305,$B40,生产加工!$E$6:$E$305,"领用投入",生产加工!$B$6:$B$305,"&lt;"&amp;$A$4)))</f>
        <v/>
      </c>
      <c r="F40" s="40" t="str">
        <f aca="false">IF($B40="","",ROUND($E40*$M40,2))</f>
        <v/>
      </c>
      <c r="G40" s="82" t="str">
        <f aca="false">IF($B40="","",SUMIFS(购销流水!$J$6:$J$805,购销流水!$C$6:$C$805,$A40,购销流水!$F$6:$F$805,$B40,购销流水!$D$6:$D$805,"采购入库",购销流水!$B$6:$B$805,"&gt;="&amp;$A$4,购销流水!$B$6:$B$805,"&lt;="&amp;$B$4)-SUMIFS(购销流水!$J$6:$J$805,购销流水!$C$6:$C$805,$A40,购销流水!$F$6:$F$805,$B40,购销流水!$D$6:$D$805,"采购退回",购销流水!$B$6:$B$805,"&gt;="&amp;$A$4,购销流水!$B$6:$B$805,"&lt;="&amp;$B$4)+SUMIFS(生产加工!$I$6:$I$305,生产加工!$C$6:$C$305,$A40,生产加工!$F$6:$F$305,$B40,生产加工!$E$6:$E$305,"产成品入库",生产加工!$B$6:$B$305,"&gt;="&amp;$A$4,生产加工!$B$6:$B$305,"&lt;="&amp;$B$4))</f>
        <v/>
      </c>
      <c r="H40" s="40" t="str">
        <f aca="false">IF($B40="","",ROUND($G40*$M40,2))</f>
        <v/>
      </c>
      <c r="I40" s="82" t="str">
        <f aca="false">IF($B40="","",SUMIFS(购销流水!$J$6:$J$805,购销流水!$C$6:$C$805,$A40,购销流水!$F$6:$F$805,$B40,购销流水!$D$6:$D$805,"销售出库",购销流水!$B$6:$B$805,"&gt;="&amp;$A$4,购销流水!$B$6:$B$805,"&lt;="&amp;$B$4)-SUMIFS(购销流水!$J$6:$J$805,购销流水!$C$6:$C$805,$A40,购销流水!$F$6:$F$805,$B40,购销流水!$D$6:$D$805,"销售退回",购销流水!$B$6:$B$805,"&gt;="&amp;$A$4,购销流水!$B$6:$B$805,"&lt;="&amp;$B$4)+SUMIFS(生产加工!$I$6:$I$305,生产加工!$C$6:$C$305,$A40,生产加工!$F$6:$F$305,$B40,生产加工!$E$6:$E$305,"领用投入",生产加工!$B$6:$B$305,"&gt;="&amp;$A$4,生产加工!$B$6:$B$305,"&lt;="&amp;$B$4))</f>
        <v/>
      </c>
      <c r="J40" s="40" t="str">
        <f aca="false">IF($B40="","",ROUND($I40*$M40,2))</f>
        <v/>
      </c>
      <c r="K40" s="84" t="str">
        <f aca="false">IF($B40="","",$E40+$G40-$I40)</f>
        <v/>
      </c>
      <c r="L40" s="42" t="str">
        <f aca="false">IF($B40="","",ROUND($K40*$M40,2))</f>
        <v/>
      </c>
      <c r="M40" s="85" t="str">
        <f aca="false">IF($B40="","",进销存台账!$N39)</f>
        <v/>
      </c>
      <c r="N40" s="64" t="str">
        <f aca="false">IF($B40="","",IF(OR($E40&lt;&gt;0,$G40&lt;&gt;0,$I40&lt;&gt;0),"有",""))</f>
        <v/>
      </c>
    </row>
    <row r="41" customFormat="false" ht="15" hidden="false" customHeight="false" outlineLevel="0" collapsed="false">
      <c r="A41" s="25" t="str">
        <f aca="false">IF(进销存台账!$B40="","",进销存台账!$A40)</f>
        <v/>
      </c>
      <c r="B41" s="25" t="str">
        <f aca="false">IF(进销存台账!$B40="","",进销存台账!$B40)</f>
        <v/>
      </c>
      <c r="C41" s="10" t="str">
        <f aca="false">IF($B41="","",进销存台账!$C40)</f>
        <v/>
      </c>
      <c r="D41" s="25" t="str">
        <f aca="false">IF($B41="","",进销存台账!$E40)</f>
        <v/>
      </c>
      <c r="E41" s="82" t="str">
        <f aca="false">IF($B41="","",进销存台账!$H40+SUMIFS(购销流水!$J$6:$J$805,购销流水!$C$6:$C$805,$A41,购销流水!$F$6:$F$805,$B41,购销流水!$D$6:$D$805,"采购入库",购销流水!$B$6:$B$805,"&lt;"&amp;$A$4)-SUMIFS(购销流水!$J$6:$J$805,购销流水!$C$6:$C$805,$A41,购销流水!$F$6:$F$805,$B41,购销流水!$D$6:$D$805,"采购退回",购销流水!$B$6:$B$805,"&lt;"&amp;$A$4)+SUMIFS(生产加工!$I$6:$I$305,生产加工!$C$6:$C$305,$A41,生产加工!$F$6:$F$305,$B41,生产加工!$E$6:$E$305,"产成品入库",生产加工!$B$6:$B$305,"&lt;"&amp;$A$4)-(SUMIFS(购销流水!$J$6:$J$805,购销流水!$C$6:$C$805,$A41,购销流水!$F$6:$F$805,$B41,购销流水!$D$6:$D$805,"销售出库",购销流水!$B$6:$B$805,"&lt;"&amp;$A$4)-SUMIFS(购销流水!$J$6:$J$805,购销流水!$C$6:$C$805,$A41,购销流水!$F$6:$F$805,$B41,购销流水!$D$6:$D$805,"销售退回",购销流水!$B$6:$B$805,"&lt;"&amp;$A$4)+SUMIFS(生产加工!$I$6:$I$305,生产加工!$C$6:$C$305,$A41,生产加工!$F$6:$F$305,$B41,生产加工!$E$6:$E$305,"领用投入",生产加工!$B$6:$B$305,"&lt;"&amp;$A$4)))</f>
        <v/>
      </c>
      <c r="F41" s="40" t="str">
        <f aca="false">IF($B41="","",ROUND($E41*$M41,2))</f>
        <v/>
      </c>
      <c r="G41" s="82" t="str">
        <f aca="false">IF($B41="","",SUMIFS(购销流水!$J$6:$J$805,购销流水!$C$6:$C$805,$A41,购销流水!$F$6:$F$805,$B41,购销流水!$D$6:$D$805,"采购入库",购销流水!$B$6:$B$805,"&gt;="&amp;$A$4,购销流水!$B$6:$B$805,"&lt;="&amp;$B$4)-SUMIFS(购销流水!$J$6:$J$805,购销流水!$C$6:$C$805,$A41,购销流水!$F$6:$F$805,$B41,购销流水!$D$6:$D$805,"采购退回",购销流水!$B$6:$B$805,"&gt;="&amp;$A$4,购销流水!$B$6:$B$805,"&lt;="&amp;$B$4)+SUMIFS(生产加工!$I$6:$I$305,生产加工!$C$6:$C$305,$A41,生产加工!$F$6:$F$305,$B41,生产加工!$E$6:$E$305,"产成品入库",生产加工!$B$6:$B$305,"&gt;="&amp;$A$4,生产加工!$B$6:$B$305,"&lt;="&amp;$B$4))</f>
        <v/>
      </c>
      <c r="H41" s="40" t="str">
        <f aca="false">IF($B41="","",ROUND($G41*$M41,2))</f>
        <v/>
      </c>
      <c r="I41" s="82" t="str">
        <f aca="false">IF($B41="","",SUMIFS(购销流水!$J$6:$J$805,购销流水!$C$6:$C$805,$A41,购销流水!$F$6:$F$805,$B41,购销流水!$D$6:$D$805,"销售出库",购销流水!$B$6:$B$805,"&gt;="&amp;$A$4,购销流水!$B$6:$B$805,"&lt;="&amp;$B$4)-SUMIFS(购销流水!$J$6:$J$805,购销流水!$C$6:$C$805,$A41,购销流水!$F$6:$F$805,$B41,购销流水!$D$6:$D$805,"销售退回",购销流水!$B$6:$B$805,"&gt;="&amp;$A$4,购销流水!$B$6:$B$805,"&lt;="&amp;$B$4)+SUMIFS(生产加工!$I$6:$I$305,生产加工!$C$6:$C$305,$A41,生产加工!$F$6:$F$305,$B41,生产加工!$E$6:$E$305,"领用投入",生产加工!$B$6:$B$305,"&gt;="&amp;$A$4,生产加工!$B$6:$B$305,"&lt;="&amp;$B$4))</f>
        <v/>
      </c>
      <c r="J41" s="40" t="str">
        <f aca="false">IF($B41="","",ROUND($I41*$M41,2))</f>
        <v/>
      </c>
      <c r="K41" s="84" t="str">
        <f aca="false">IF($B41="","",$E41+$G41-$I41)</f>
        <v/>
      </c>
      <c r="L41" s="42" t="str">
        <f aca="false">IF($B41="","",ROUND($K41*$M41,2))</f>
        <v/>
      </c>
      <c r="M41" s="85" t="str">
        <f aca="false">IF($B41="","",进销存台账!$N40)</f>
        <v/>
      </c>
      <c r="N41" s="64" t="str">
        <f aca="false">IF($B41="","",IF(OR($E41&lt;&gt;0,$G41&lt;&gt;0,$I41&lt;&gt;0),"有",""))</f>
        <v/>
      </c>
    </row>
    <row r="42" customFormat="false" ht="15" hidden="false" customHeight="false" outlineLevel="0" collapsed="false">
      <c r="A42" s="25" t="str">
        <f aca="false">IF(进销存台账!$B41="","",进销存台账!$A41)</f>
        <v/>
      </c>
      <c r="B42" s="25" t="str">
        <f aca="false">IF(进销存台账!$B41="","",进销存台账!$B41)</f>
        <v/>
      </c>
      <c r="C42" s="10" t="str">
        <f aca="false">IF($B42="","",进销存台账!$C41)</f>
        <v/>
      </c>
      <c r="D42" s="25" t="str">
        <f aca="false">IF($B42="","",进销存台账!$E41)</f>
        <v/>
      </c>
      <c r="E42" s="82" t="str">
        <f aca="false">IF($B42="","",进销存台账!$H41+SUMIFS(购销流水!$J$6:$J$805,购销流水!$C$6:$C$805,$A42,购销流水!$F$6:$F$805,$B42,购销流水!$D$6:$D$805,"采购入库",购销流水!$B$6:$B$805,"&lt;"&amp;$A$4)-SUMIFS(购销流水!$J$6:$J$805,购销流水!$C$6:$C$805,$A42,购销流水!$F$6:$F$805,$B42,购销流水!$D$6:$D$805,"采购退回",购销流水!$B$6:$B$805,"&lt;"&amp;$A$4)+SUMIFS(生产加工!$I$6:$I$305,生产加工!$C$6:$C$305,$A42,生产加工!$F$6:$F$305,$B42,生产加工!$E$6:$E$305,"产成品入库",生产加工!$B$6:$B$305,"&lt;"&amp;$A$4)-(SUMIFS(购销流水!$J$6:$J$805,购销流水!$C$6:$C$805,$A42,购销流水!$F$6:$F$805,$B42,购销流水!$D$6:$D$805,"销售出库",购销流水!$B$6:$B$805,"&lt;"&amp;$A$4)-SUMIFS(购销流水!$J$6:$J$805,购销流水!$C$6:$C$805,$A42,购销流水!$F$6:$F$805,$B42,购销流水!$D$6:$D$805,"销售退回",购销流水!$B$6:$B$805,"&lt;"&amp;$A$4)+SUMIFS(生产加工!$I$6:$I$305,生产加工!$C$6:$C$305,$A42,生产加工!$F$6:$F$305,$B42,生产加工!$E$6:$E$305,"领用投入",生产加工!$B$6:$B$305,"&lt;"&amp;$A$4)))</f>
        <v/>
      </c>
      <c r="F42" s="40" t="str">
        <f aca="false">IF($B42="","",ROUND($E42*$M42,2))</f>
        <v/>
      </c>
      <c r="G42" s="82" t="str">
        <f aca="false">IF($B42="","",SUMIFS(购销流水!$J$6:$J$805,购销流水!$C$6:$C$805,$A42,购销流水!$F$6:$F$805,$B42,购销流水!$D$6:$D$805,"采购入库",购销流水!$B$6:$B$805,"&gt;="&amp;$A$4,购销流水!$B$6:$B$805,"&lt;="&amp;$B$4)-SUMIFS(购销流水!$J$6:$J$805,购销流水!$C$6:$C$805,$A42,购销流水!$F$6:$F$805,$B42,购销流水!$D$6:$D$805,"采购退回",购销流水!$B$6:$B$805,"&gt;="&amp;$A$4,购销流水!$B$6:$B$805,"&lt;="&amp;$B$4)+SUMIFS(生产加工!$I$6:$I$305,生产加工!$C$6:$C$305,$A42,生产加工!$F$6:$F$305,$B42,生产加工!$E$6:$E$305,"产成品入库",生产加工!$B$6:$B$305,"&gt;="&amp;$A$4,生产加工!$B$6:$B$305,"&lt;="&amp;$B$4))</f>
        <v/>
      </c>
      <c r="H42" s="40" t="str">
        <f aca="false">IF($B42="","",ROUND($G42*$M42,2))</f>
        <v/>
      </c>
      <c r="I42" s="82" t="str">
        <f aca="false">IF($B42="","",SUMIFS(购销流水!$J$6:$J$805,购销流水!$C$6:$C$805,$A42,购销流水!$F$6:$F$805,$B42,购销流水!$D$6:$D$805,"销售出库",购销流水!$B$6:$B$805,"&gt;="&amp;$A$4,购销流水!$B$6:$B$805,"&lt;="&amp;$B$4)-SUMIFS(购销流水!$J$6:$J$805,购销流水!$C$6:$C$805,$A42,购销流水!$F$6:$F$805,$B42,购销流水!$D$6:$D$805,"销售退回",购销流水!$B$6:$B$805,"&gt;="&amp;$A$4,购销流水!$B$6:$B$805,"&lt;="&amp;$B$4)+SUMIFS(生产加工!$I$6:$I$305,生产加工!$C$6:$C$305,$A42,生产加工!$F$6:$F$305,$B42,生产加工!$E$6:$E$305,"领用投入",生产加工!$B$6:$B$305,"&gt;="&amp;$A$4,生产加工!$B$6:$B$305,"&lt;="&amp;$B$4))</f>
        <v/>
      </c>
      <c r="J42" s="40" t="str">
        <f aca="false">IF($B42="","",ROUND($I42*$M42,2))</f>
        <v/>
      </c>
      <c r="K42" s="84" t="str">
        <f aca="false">IF($B42="","",$E42+$G42-$I42)</f>
        <v/>
      </c>
      <c r="L42" s="42" t="str">
        <f aca="false">IF($B42="","",ROUND($K42*$M42,2))</f>
        <v/>
      </c>
      <c r="M42" s="85" t="str">
        <f aca="false">IF($B42="","",进销存台账!$N41)</f>
        <v/>
      </c>
      <c r="N42" s="64" t="str">
        <f aca="false">IF($B42="","",IF(OR($E42&lt;&gt;0,$G42&lt;&gt;0,$I42&lt;&gt;0),"有",""))</f>
        <v/>
      </c>
    </row>
    <row r="43" customFormat="false" ht="15" hidden="false" customHeight="false" outlineLevel="0" collapsed="false">
      <c r="A43" s="25" t="str">
        <f aca="false">IF(进销存台账!$B42="","",进销存台账!$A42)</f>
        <v/>
      </c>
      <c r="B43" s="25" t="str">
        <f aca="false">IF(进销存台账!$B42="","",进销存台账!$B42)</f>
        <v/>
      </c>
      <c r="C43" s="10" t="str">
        <f aca="false">IF($B43="","",进销存台账!$C42)</f>
        <v/>
      </c>
      <c r="D43" s="25" t="str">
        <f aca="false">IF($B43="","",进销存台账!$E42)</f>
        <v/>
      </c>
      <c r="E43" s="82" t="str">
        <f aca="false">IF($B43="","",进销存台账!$H42+SUMIFS(购销流水!$J$6:$J$805,购销流水!$C$6:$C$805,$A43,购销流水!$F$6:$F$805,$B43,购销流水!$D$6:$D$805,"采购入库",购销流水!$B$6:$B$805,"&lt;"&amp;$A$4)-SUMIFS(购销流水!$J$6:$J$805,购销流水!$C$6:$C$805,$A43,购销流水!$F$6:$F$805,$B43,购销流水!$D$6:$D$805,"采购退回",购销流水!$B$6:$B$805,"&lt;"&amp;$A$4)+SUMIFS(生产加工!$I$6:$I$305,生产加工!$C$6:$C$305,$A43,生产加工!$F$6:$F$305,$B43,生产加工!$E$6:$E$305,"产成品入库",生产加工!$B$6:$B$305,"&lt;"&amp;$A$4)-(SUMIFS(购销流水!$J$6:$J$805,购销流水!$C$6:$C$805,$A43,购销流水!$F$6:$F$805,$B43,购销流水!$D$6:$D$805,"销售出库",购销流水!$B$6:$B$805,"&lt;"&amp;$A$4)-SUMIFS(购销流水!$J$6:$J$805,购销流水!$C$6:$C$805,$A43,购销流水!$F$6:$F$805,$B43,购销流水!$D$6:$D$805,"销售退回",购销流水!$B$6:$B$805,"&lt;"&amp;$A$4)+SUMIFS(生产加工!$I$6:$I$305,生产加工!$C$6:$C$305,$A43,生产加工!$F$6:$F$305,$B43,生产加工!$E$6:$E$305,"领用投入",生产加工!$B$6:$B$305,"&lt;"&amp;$A$4)))</f>
        <v/>
      </c>
      <c r="F43" s="40" t="str">
        <f aca="false">IF($B43="","",ROUND($E43*$M43,2))</f>
        <v/>
      </c>
      <c r="G43" s="82" t="str">
        <f aca="false">IF($B43="","",SUMIFS(购销流水!$J$6:$J$805,购销流水!$C$6:$C$805,$A43,购销流水!$F$6:$F$805,$B43,购销流水!$D$6:$D$805,"采购入库",购销流水!$B$6:$B$805,"&gt;="&amp;$A$4,购销流水!$B$6:$B$805,"&lt;="&amp;$B$4)-SUMIFS(购销流水!$J$6:$J$805,购销流水!$C$6:$C$805,$A43,购销流水!$F$6:$F$805,$B43,购销流水!$D$6:$D$805,"采购退回",购销流水!$B$6:$B$805,"&gt;="&amp;$A$4,购销流水!$B$6:$B$805,"&lt;="&amp;$B$4)+SUMIFS(生产加工!$I$6:$I$305,生产加工!$C$6:$C$305,$A43,生产加工!$F$6:$F$305,$B43,生产加工!$E$6:$E$305,"产成品入库",生产加工!$B$6:$B$305,"&gt;="&amp;$A$4,生产加工!$B$6:$B$305,"&lt;="&amp;$B$4))</f>
        <v/>
      </c>
      <c r="H43" s="40" t="str">
        <f aca="false">IF($B43="","",ROUND($G43*$M43,2))</f>
        <v/>
      </c>
      <c r="I43" s="82" t="str">
        <f aca="false">IF($B43="","",SUMIFS(购销流水!$J$6:$J$805,购销流水!$C$6:$C$805,$A43,购销流水!$F$6:$F$805,$B43,购销流水!$D$6:$D$805,"销售出库",购销流水!$B$6:$B$805,"&gt;="&amp;$A$4,购销流水!$B$6:$B$805,"&lt;="&amp;$B$4)-SUMIFS(购销流水!$J$6:$J$805,购销流水!$C$6:$C$805,$A43,购销流水!$F$6:$F$805,$B43,购销流水!$D$6:$D$805,"销售退回",购销流水!$B$6:$B$805,"&gt;="&amp;$A$4,购销流水!$B$6:$B$805,"&lt;="&amp;$B$4)+SUMIFS(生产加工!$I$6:$I$305,生产加工!$C$6:$C$305,$A43,生产加工!$F$6:$F$305,$B43,生产加工!$E$6:$E$305,"领用投入",生产加工!$B$6:$B$305,"&gt;="&amp;$A$4,生产加工!$B$6:$B$305,"&lt;="&amp;$B$4))</f>
        <v/>
      </c>
      <c r="J43" s="40" t="str">
        <f aca="false">IF($B43="","",ROUND($I43*$M43,2))</f>
        <v/>
      </c>
      <c r="K43" s="84" t="str">
        <f aca="false">IF($B43="","",$E43+$G43-$I43)</f>
        <v/>
      </c>
      <c r="L43" s="42" t="str">
        <f aca="false">IF($B43="","",ROUND($K43*$M43,2))</f>
        <v/>
      </c>
      <c r="M43" s="85" t="str">
        <f aca="false">IF($B43="","",进销存台账!$N42)</f>
        <v/>
      </c>
      <c r="N43" s="64" t="str">
        <f aca="false">IF($B43="","",IF(OR($E43&lt;&gt;0,$G43&lt;&gt;0,$I43&lt;&gt;0),"有",""))</f>
        <v/>
      </c>
    </row>
    <row r="44" customFormat="false" ht="15" hidden="true" customHeight="false" outlineLevel="0" collapsed="false">
      <c r="A44" s="25" t="str">
        <f aca="false">IF(进销存台账!$B43="","",进销存台账!$A43)</f>
        <v/>
      </c>
      <c r="B44" s="25" t="str">
        <f aca="false">IF(进销存台账!$B43="","",进销存台账!$B43)</f>
        <v/>
      </c>
      <c r="C44" s="10" t="str">
        <f aca="false">IF($B44="","",进销存台账!$C43)</f>
        <v/>
      </c>
      <c r="D44" s="25" t="str">
        <f aca="false">IF($B44="","",进销存台账!$E43)</f>
        <v/>
      </c>
      <c r="E44" s="82" t="str">
        <f aca="false">IF($B44="","",进销存台账!$H43+SUMIFS(购销流水!$J$6:$J$805,购销流水!$C$6:$C$805,$A44,购销流水!$F$6:$F$805,$B44,购销流水!$D$6:$D$805,"采购入库",购销流水!$B$6:$B$805,"&lt;"&amp;$A$4)-SUMIFS(购销流水!$J$6:$J$805,购销流水!$C$6:$C$805,$A44,购销流水!$F$6:$F$805,$B44,购销流水!$D$6:$D$805,"采购退回",购销流水!$B$6:$B$805,"&lt;"&amp;$A$4)+SUMIFS(生产加工!$I$6:$I$305,生产加工!$C$6:$C$305,$A44,生产加工!$F$6:$F$305,$B44,生产加工!$E$6:$E$305,"产成品入库",生产加工!$B$6:$B$305,"&lt;"&amp;$A$4)-(SUMIFS(购销流水!$J$6:$J$805,购销流水!$C$6:$C$805,$A44,购销流水!$F$6:$F$805,$B44,购销流水!$D$6:$D$805,"销售出库",购销流水!$B$6:$B$805,"&lt;"&amp;$A$4)-SUMIFS(购销流水!$J$6:$J$805,购销流水!$C$6:$C$805,$A44,购销流水!$F$6:$F$805,$B44,购销流水!$D$6:$D$805,"销售退回",购销流水!$B$6:$B$805,"&lt;"&amp;$A$4)+SUMIFS(生产加工!$I$6:$I$305,生产加工!$C$6:$C$305,$A44,生产加工!$F$6:$F$305,$B44,生产加工!$E$6:$E$305,"领用投入",生产加工!$B$6:$B$305,"&lt;"&amp;$A$4)))</f>
        <v/>
      </c>
      <c r="F44" s="40" t="str">
        <f aca="false">IF($B44="","",ROUND($E44*$M44,2))</f>
        <v/>
      </c>
      <c r="G44" s="82" t="str">
        <f aca="false">IF($B44="","",SUMIFS(购销流水!$J$6:$J$805,购销流水!$C$6:$C$805,$A44,购销流水!$F$6:$F$805,$B44,购销流水!$D$6:$D$805,"采购入库",购销流水!$B$6:$B$805,"&gt;="&amp;$A$4,购销流水!$B$6:$B$805,"&lt;="&amp;$B$4)-SUMIFS(购销流水!$J$6:$J$805,购销流水!$C$6:$C$805,$A44,购销流水!$F$6:$F$805,$B44,购销流水!$D$6:$D$805,"采购退回",购销流水!$B$6:$B$805,"&gt;="&amp;$A$4,购销流水!$B$6:$B$805,"&lt;="&amp;$B$4)+SUMIFS(生产加工!$I$6:$I$305,生产加工!$C$6:$C$305,$A44,生产加工!$F$6:$F$305,$B44,生产加工!$E$6:$E$305,"产成品入库",生产加工!$B$6:$B$305,"&gt;="&amp;$A$4,生产加工!$B$6:$B$305,"&lt;="&amp;$B$4))</f>
        <v/>
      </c>
      <c r="H44" s="40" t="str">
        <f aca="false">IF($B44="","",ROUND($G44*$M44,2))</f>
        <v/>
      </c>
      <c r="I44" s="82" t="str">
        <f aca="false">IF($B44="","",SUMIFS(购销流水!$J$6:$J$805,购销流水!$C$6:$C$805,$A44,购销流水!$F$6:$F$805,$B44,购销流水!$D$6:$D$805,"销售出库",购销流水!$B$6:$B$805,"&gt;="&amp;$A$4,购销流水!$B$6:$B$805,"&lt;="&amp;$B$4)-SUMIFS(购销流水!$J$6:$J$805,购销流水!$C$6:$C$805,$A44,购销流水!$F$6:$F$805,$B44,购销流水!$D$6:$D$805,"销售退回",购销流水!$B$6:$B$805,"&gt;="&amp;$A$4,购销流水!$B$6:$B$805,"&lt;="&amp;$B$4)+SUMIFS(生产加工!$I$6:$I$305,生产加工!$C$6:$C$305,$A44,生产加工!$F$6:$F$305,$B44,生产加工!$E$6:$E$305,"领用投入",生产加工!$B$6:$B$305,"&gt;="&amp;$A$4,生产加工!$B$6:$B$305,"&lt;="&amp;$B$4))</f>
        <v/>
      </c>
      <c r="J44" s="40" t="str">
        <f aca="false">IF($B44="","",ROUND($I44*$M44,2))</f>
        <v/>
      </c>
      <c r="K44" s="84" t="str">
        <f aca="false">IF($B44="","",$E44+$G44-$I44)</f>
        <v/>
      </c>
      <c r="L44" s="42" t="str">
        <f aca="false">IF($B44="","",ROUND($K44*$M44,2))</f>
        <v/>
      </c>
      <c r="M44" s="85" t="str">
        <f aca="false">IF($B44="","",进销存台账!$N43)</f>
        <v/>
      </c>
      <c r="N44" s="64" t="str">
        <f aca="false">IF($B44="","",IF(OR($E44&lt;&gt;0,$G44&lt;&gt;0,$I44&lt;&gt;0),"有",""))</f>
        <v/>
      </c>
    </row>
    <row r="45" customFormat="false" ht="15" hidden="true" customHeight="false" outlineLevel="0" collapsed="false">
      <c r="A45" s="25" t="str">
        <f aca="false">IF(进销存台账!$B44="","",进销存台账!$A44)</f>
        <v/>
      </c>
      <c r="B45" s="25" t="str">
        <f aca="false">IF(进销存台账!$B44="","",进销存台账!$B44)</f>
        <v/>
      </c>
      <c r="C45" s="10" t="str">
        <f aca="false">IF($B45="","",进销存台账!$C44)</f>
        <v/>
      </c>
      <c r="D45" s="25" t="str">
        <f aca="false">IF($B45="","",进销存台账!$E44)</f>
        <v/>
      </c>
      <c r="E45" s="82" t="str">
        <f aca="false">IF($B45="","",进销存台账!$H44+SUMIFS(购销流水!$J$6:$J$805,购销流水!$C$6:$C$805,$A45,购销流水!$F$6:$F$805,$B45,购销流水!$D$6:$D$805,"采购入库",购销流水!$B$6:$B$805,"&lt;"&amp;$A$4)-SUMIFS(购销流水!$J$6:$J$805,购销流水!$C$6:$C$805,$A45,购销流水!$F$6:$F$805,$B45,购销流水!$D$6:$D$805,"采购退回",购销流水!$B$6:$B$805,"&lt;"&amp;$A$4)+SUMIFS(生产加工!$I$6:$I$305,生产加工!$C$6:$C$305,$A45,生产加工!$F$6:$F$305,$B45,生产加工!$E$6:$E$305,"产成品入库",生产加工!$B$6:$B$305,"&lt;"&amp;$A$4)-(SUMIFS(购销流水!$J$6:$J$805,购销流水!$C$6:$C$805,$A45,购销流水!$F$6:$F$805,$B45,购销流水!$D$6:$D$805,"销售出库",购销流水!$B$6:$B$805,"&lt;"&amp;$A$4)-SUMIFS(购销流水!$J$6:$J$805,购销流水!$C$6:$C$805,$A45,购销流水!$F$6:$F$805,$B45,购销流水!$D$6:$D$805,"销售退回",购销流水!$B$6:$B$805,"&lt;"&amp;$A$4)+SUMIFS(生产加工!$I$6:$I$305,生产加工!$C$6:$C$305,$A45,生产加工!$F$6:$F$305,$B45,生产加工!$E$6:$E$305,"领用投入",生产加工!$B$6:$B$305,"&lt;"&amp;$A$4)))</f>
        <v/>
      </c>
      <c r="F45" s="40" t="str">
        <f aca="false">IF($B45="","",ROUND($E45*$M45,2))</f>
        <v/>
      </c>
      <c r="G45" s="82" t="str">
        <f aca="false">IF($B45="","",SUMIFS(购销流水!$J$6:$J$805,购销流水!$C$6:$C$805,$A45,购销流水!$F$6:$F$805,$B45,购销流水!$D$6:$D$805,"采购入库",购销流水!$B$6:$B$805,"&gt;="&amp;$A$4,购销流水!$B$6:$B$805,"&lt;="&amp;$B$4)-SUMIFS(购销流水!$J$6:$J$805,购销流水!$C$6:$C$805,$A45,购销流水!$F$6:$F$805,$B45,购销流水!$D$6:$D$805,"采购退回",购销流水!$B$6:$B$805,"&gt;="&amp;$A$4,购销流水!$B$6:$B$805,"&lt;="&amp;$B$4)+SUMIFS(生产加工!$I$6:$I$305,生产加工!$C$6:$C$305,$A45,生产加工!$F$6:$F$305,$B45,生产加工!$E$6:$E$305,"产成品入库",生产加工!$B$6:$B$305,"&gt;="&amp;$A$4,生产加工!$B$6:$B$305,"&lt;="&amp;$B$4))</f>
        <v/>
      </c>
      <c r="H45" s="40" t="str">
        <f aca="false">IF($B45="","",ROUND($G45*$M45,2))</f>
        <v/>
      </c>
      <c r="I45" s="82" t="str">
        <f aca="false">IF($B45="","",SUMIFS(购销流水!$J$6:$J$805,购销流水!$C$6:$C$805,$A45,购销流水!$F$6:$F$805,$B45,购销流水!$D$6:$D$805,"销售出库",购销流水!$B$6:$B$805,"&gt;="&amp;$A$4,购销流水!$B$6:$B$805,"&lt;="&amp;$B$4)-SUMIFS(购销流水!$J$6:$J$805,购销流水!$C$6:$C$805,$A45,购销流水!$F$6:$F$805,$B45,购销流水!$D$6:$D$805,"销售退回",购销流水!$B$6:$B$805,"&gt;="&amp;$A$4,购销流水!$B$6:$B$805,"&lt;="&amp;$B$4)+SUMIFS(生产加工!$I$6:$I$305,生产加工!$C$6:$C$305,$A45,生产加工!$F$6:$F$305,$B45,生产加工!$E$6:$E$305,"领用投入",生产加工!$B$6:$B$305,"&gt;="&amp;$A$4,生产加工!$B$6:$B$305,"&lt;="&amp;$B$4))</f>
        <v/>
      </c>
      <c r="J45" s="40" t="str">
        <f aca="false">IF($B45="","",ROUND($I45*$M45,2))</f>
        <v/>
      </c>
      <c r="K45" s="84" t="str">
        <f aca="false">IF($B45="","",$E45+$G45-$I45)</f>
        <v/>
      </c>
      <c r="L45" s="42" t="str">
        <f aca="false">IF($B45="","",ROUND($K45*$M45,2))</f>
        <v/>
      </c>
      <c r="M45" s="85" t="str">
        <f aca="false">IF($B45="","",进销存台账!$N44)</f>
        <v/>
      </c>
      <c r="N45" s="64" t="str">
        <f aca="false">IF($B45="","",IF(OR($E45&lt;&gt;0,$G45&lt;&gt;0,$I45&lt;&gt;0),"有",""))</f>
        <v/>
      </c>
    </row>
    <row r="46" customFormat="false" ht="15" hidden="true" customHeight="false" outlineLevel="0" collapsed="false">
      <c r="A46" s="25" t="str">
        <f aca="false">IF(进销存台账!$B45="","",进销存台账!$A45)</f>
        <v/>
      </c>
      <c r="B46" s="25" t="str">
        <f aca="false">IF(进销存台账!$B45="","",进销存台账!$B45)</f>
        <v/>
      </c>
      <c r="C46" s="10" t="str">
        <f aca="false">IF($B46="","",进销存台账!$C45)</f>
        <v/>
      </c>
      <c r="D46" s="25" t="str">
        <f aca="false">IF($B46="","",进销存台账!$E45)</f>
        <v/>
      </c>
      <c r="E46" s="82" t="str">
        <f aca="false">IF($B46="","",进销存台账!$H45+SUMIFS(购销流水!$J$6:$J$805,购销流水!$C$6:$C$805,$A46,购销流水!$F$6:$F$805,$B46,购销流水!$D$6:$D$805,"采购入库",购销流水!$B$6:$B$805,"&lt;"&amp;$A$4)-SUMIFS(购销流水!$J$6:$J$805,购销流水!$C$6:$C$805,$A46,购销流水!$F$6:$F$805,$B46,购销流水!$D$6:$D$805,"采购退回",购销流水!$B$6:$B$805,"&lt;"&amp;$A$4)+SUMIFS(生产加工!$I$6:$I$305,生产加工!$C$6:$C$305,$A46,生产加工!$F$6:$F$305,$B46,生产加工!$E$6:$E$305,"产成品入库",生产加工!$B$6:$B$305,"&lt;"&amp;$A$4)-(SUMIFS(购销流水!$J$6:$J$805,购销流水!$C$6:$C$805,$A46,购销流水!$F$6:$F$805,$B46,购销流水!$D$6:$D$805,"销售出库",购销流水!$B$6:$B$805,"&lt;"&amp;$A$4)-SUMIFS(购销流水!$J$6:$J$805,购销流水!$C$6:$C$805,$A46,购销流水!$F$6:$F$805,$B46,购销流水!$D$6:$D$805,"销售退回",购销流水!$B$6:$B$805,"&lt;"&amp;$A$4)+SUMIFS(生产加工!$I$6:$I$305,生产加工!$C$6:$C$305,$A46,生产加工!$F$6:$F$305,$B46,生产加工!$E$6:$E$305,"领用投入",生产加工!$B$6:$B$305,"&lt;"&amp;$A$4)))</f>
        <v/>
      </c>
      <c r="F46" s="40" t="str">
        <f aca="false">IF($B46="","",ROUND($E46*$M46,2))</f>
        <v/>
      </c>
      <c r="G46" s="82" t="str">
        <f aca="false">IF($B46="","",SUMIFS(购销流水!$J$6:$J$805,购销流水!$C$6:$C$805,$A46,购销流水!$F$6:$F$805,$B46,购销流水!$D$6:$D$805,"采购入库",购销流水!$B$6:$B$805,"&gt;="&amp;$A$4,购销流水!$B$6:$B$805,"&lt;="&amp;$B$4)-SUMIFS(购销流水!$J$6:$J$805,购销流水!$C$6:$C$805,$A46,购销流水!$F$6:$F$805,$B46,购销流水!$D$6:$D$805,"采购退回",购销流水!$B$6:$B$805,"&gt;="&amp;$A$4,购销流水!$B$6:$B$805,"&lt;="&amp;$B$4)+SUMIFS(生产加工!$I$6:$I$305,生产加工!$C$6:$C$305,$A46,生产加工!$F$6:$F$305,$B46,生产加工!$E$6:$E$305,"产成品入库",生产加工!$B$6:$B$305,"&gt;="&amp;$A$4,生产加工!$B$6:$B$305,"&lt;="&amp;$B$4))</f>
        <v/>
      </c>
      <c r="H46" s="40" t="str">
        <f aca="false">IF($B46="","",ROUND($G46*$M46,2))</f>
        <v/>
      </c>
      <c r="I46" s="82" t="str">
        <f aca="false">IF($B46="","",SUMIFS(购销流水!$J$6:$J$805,购销流水!$C$6:$C$805,$A46,购销流水!$F$6:$F$805,$B46,购销流水!$D$6:$D$805,"销售出库",购销流水!$B$6:$B$805,"&gt;="&amp;$A$4,购销流水!$B$6:$B$805,"&lt;="&amp;$B$4)-SUMIFS(购销流水!$J$6:$J$805,购销流水!$C$6:$C$805,$A46,购销流水!$F$6:$F$805,$B46,购销流水!$D$6:$D$805,"销售退回",购销流水!$B$6:$B$805,"&gt;="&amp;$A$4,购销流水!$B$6:$B$805,"&lt;="&amp;$B$4)+SUMIFS(生产加工!$I$6:$I$305,生产加工!$C$6:$C$305,$A46,生产加工!$F$6:$F$305,$B46,生产加工!$E$6:$E$305,"领用投入",生产加工!$B$6:$B$305,"&gt;="&amp;$A$4,生产加工!$B$6:$B$305,"&lt;="&amp;$B$4))</f>
        <v/>
      </c>
      <c r="J46" s="40" t="str">
        <f aca="false">IF($B46="","",ROUND($I46*$M46,2))</f>
        <v/>
      </c>
      <c r="K46" s="84" t="str">
        <f aca="false">IF($B46="","",$E46+$G46-$I46)</f>
        <v/>
      </c>
      <c r="L46" s="42" t="str">
        <f aca="false">IF($B46="","",ROUND($K46*$M46,2))</f>
        <v/>
      </c>
      <c r="M46" s="85" t="str">
        <f aca="false">IF($B46="","",进销存台账!$N45)</f>
        <v/>
      </c>
      <c r="N46" s="64" t="str">
        <f aca="false">IF($B46="","",IF(OR($E46&lt;&gt;0,$G46&lt;&gt;0,$I46&lt;&gt;0),"有",""))</f>
        <v/>
      </c>
    </row>
    <row r="47" customFormat="false" ht="15" hidden="true" customHeight="false" outlineLevel="0" collapsed="false">
      <c r="A47" s="25" t="str">
        <f aca="false">IF(进销存台账!$B46="","",进销存台账!$A46)</f>
        <v/>
      </c>
      <c r="B47" s="25" t="str">
        <f aca="false">IF(进销存台账!$B46="","",进销存台账!$B46)</f>
        <v/>
      </c>
      <c r="C47" s="10" t="str">
        <f aca="false">IF($B47="","",进销存台账!$C46)</f>
        <v/>
      </c>
      <c r="D47" s="25" t="str">
        <f aca="false">IF($B47="","",进销存台账!$E46)</f>
        <v/>
      </c>
      <c r="E47" s="82" t="str">
        <f aca="false">IF($B47="","",进销存台账!$H46+SUMIFS(购销流水!$J$6:$J$805,购销流水!$C$6:$C$805,$A47,购销流水!$F$6:$F$805,$B47,购销流水!$D$6:$D$805,"采购入库",购销流水!$B$6:$B$805,"&lt;"&amp;$A$4)-SUMIFS(购销流水!$J$6:$J$805,购销流水!$C$6:$C$805,$A47,购销流水!$F$6:$F$805,$B47,购销流水!$D$6:$D$805,"采购退回",购销流水!$B$6:$B$805,"&lt;"&amp;$A$4)+SUMIFS(生产加工!$I$6:$I$305,生产加工!$C$6:$C$305,$A47,生产加工!$F$6:$F$305,$B47,生产加工!$E$6:$E$305,"产成品入库",生产加工!$B$6:$B$305,"&lt;"&amp;$A$4)-(SUMIFS(购销流水!$J$6:$J$805,购销流水!$C$6:$C$805,$A47,购销流水!$F$6:$F$805,$B47,购销流水!$D$6:$D$805,"销售出库",购销流水!$B$6:$B$805,"&lt;"&amp;$A$4)-SUMIFS(购销流水!$J$6:$J$805,购销流水!$C$6:$C$805,$A47,购销流水!$F$6:$F$805,$B47,购销流水!$D$6:$D$805,"销售退回",购销流水!$B$6:$B$805,"&lt;"&amp;$A$4)+SUMIFS(生产加工!$I$6:$I$305,生产加工!$C$6:$C$305,$A47,生产加工!$F$6:$F$305,$B47,生产加工!$E$6:$E$305,"领用投入",生产加工!$B$6:$B$305,"&lt;"&amp;$A$4)))</f>
        <v/>
      </c>
      <c r="F47" s="40" t="str">
        <f aca="false">IF($B47="","",ROUND($E47*$M47,2))</f>
        <v/>
      </c>
      <c r="G47" s="82" t="str">
        <f aca="false">IF($B47="","",SUMIFS(购销流水!$J$6:$J$805,购销流水!$C$6:$C$805,$A47,购销流水!$F$6:$F$805,$B47,购销流水!$D$6:$D$805,"采购入库",购销流水!$B$6:$B$805,"&gt;="&amp;$A$4,购销流水!$B$6:$B$805,"&lt;="&amp;$B$4)-SUMIFS(购销流水!$J$6:$J$805,购销流水!$C$6:$C$805,$A47,购销流水!$F$6:$F$805,$B47,购销流水!$D$6:$D$805,"采购退回",购销流水!$B$6:$B$805,"&gt;="&amp;$A$4,购销流水!$B$6:$B$805,"&lt;="&amp;$B$4)+SUMIFS(生产加工!$I$6:$I$305,生产加工!$C$6:$C$305,$A47,生产加工!$F$6:$F$305,$B47,生产加工!$E$6:$E$305,"产成品入库",生产加工!$B$6:$B$305,"&gt;="&amp;$A$4,生产加工!$B$6:$B$305,"&lt;="&amp;$B$4))</f>
        <v/>
      </c>
      <c r="H47" s="40" t="str">
        <f aca="false">IF($B47="","",ROUND($G47*$M47,2))</f>
        <v/>
      </c>
      <c r="I47" s="82" t="str">
        <f aca="false">IF($B47="","",SUMIFS(购销流水!$J$6:$J$805,购销流水!$C$6:$C$805,$A47,购销流水!$F$6:$F$805,$B47,购销流水!$D$6:$D$805,"销售出库",购销流水!$B$6:$B$805,"&gt;="&amp;$A$4,购销流水!$B$6:$B$805,"&lt;="&amp;$B$4)-SUMIFS(购销流水!$J$6:$J$805,购销流水!$C$6:$C$805,$A47,购销流水!$F$6:$F$805,$B47,购销流水!$D$6:$D$805,"销售退回",购销流水!$B$6:$B$805,"&gt;="&amp;$A$4,购销流水!$B$6:$B$805,"&lt;="&amp;$B$4)+SUMIFS(生产加工!$I$6:$I$305,生产加工!$C$6:$C$305,$A47,生产加工!$F$6:$F$305,$B47,生产加工!$E$6:$E$305,"领用投入",生产加工!$B$6:$B$305,"&gt;="&amp;$A$4,生产加工!$B$6:$B$305,"&lt;="&amp;$B$4))</f>
        <v/>
      </c>
      <c r="J47" s="40" t="str">
        <f aca="false">IF($B47="","",ROUND($I47*$M47,2))</f>
        <v/>
      </c>
      <c r="K47" s="84" t="str">
        <f aca="false">IF($B47="","",$E47+$G47-$I47)</f>
        <v/>
      </c>
      <c r="L47" s="42" t="str">
        <f aca="false">IF($B47="","",ROUND($K47*$M47,2))</f>
        <v/>
      </c>
      <c r="M47" s="85" t="str">
        <f aca="false">IF($B47="","",进销存台账!$N46)</f>
        <v/>
      </c>
      <c r="N47" s="64" t="str">
        <f aca="false">IF($B47="","",IF(OR($E47&lt;&gt;0,$G47&lt;&gt;0,$I47&lt;&gt;0),"有",""))</f>
        <v/>
      </c>
    </row>
    <row r="48" customFormat="false" ht="15" hidden="true" customHeight="false" outlineLevel="0" collapsed="false">
      <c r="A48" s="25" t="str">
        <f aca="false">IF(进销存台账!$B47="","",进销存台账!$A47)</f>
        <v/>
      </c>
      <c r="B48" s="25" t="str">
        <f aca="false">IF(进销存台账!$B47="","",进销存台账!$B47)</f>
        <v/>
      </c>
      <c r="C48" s="10" t="str">
        <f aca="false">IF($B48="","",进销存台账!$C47)</f>
        <v/>
      </c>
      <c r="D48" s="25" t="str">
        <f aca="false">IF($B48="","",进销存台账!$E47)</f>
        <v/>
      </c>
      <c r="E48" s="82" t="str">
        <f aca="false">IF($B48="","",进销存台账!$H47+SUMIFS(购销流水!$J$6:$J$805,购销流水!$C$6:$C$805,$A48,购销流水!$F$6:$F$805,$B48,购销流水!$D$6:$D$805,"采购入库",购销流水!$B$6:$B$805,"&lt;"&amp;$A$4)-SUMIFS(购销流水!$J$6:$J$805,购销流水!$C$6:$C$805,$A48,购销流水!$F$6:$F$805,$B48,购销流水!$D$6:$D$805,"采购退回",购销流水!$B$6:$B$805,"&lt;"&amp;$A$4)+SUMIFS(生产加工!$I$6:$I$305,生产加工!$C$6:$C$305,$A48,生产加工!$F$6:$F$305,$B48,生产加工!$E$6:$E$305,"产成品入库",生产加工!$B$6:$B$305,"&lt;"&amp;$A$4)-(SUMIFS(购销流水!$J$6:$J$805,购销流水!$C$6:$C$805,$A48,购销流水!$F$6:$F$805,$B48,购销流水!$D$6:$D$805,"销售出库",购销流水!$B$6:$B$805,"&lt;"&amp;$A$4)-SUMIFS(购销流水!$J$6:$J$805,购销流水!$C$6:$C$805,$A48,购销流水!$F$6:$F$805,$B48,购销流水!$D$6:$D$805,"销售退回",购销流水!$B$6:$B$805,"&lt;"&amp;$A$4)+SUMIFS(生产加工!$I$6:$I$305,生产加工!$C$6:$C$305,$A48,生产加工!$F$6:$F$305,$B48,生产加工!$E$6:$E$305,"领用投入",生产加工!$B$6:$B$305,"&lt;"&amp;$A$4)))</f>
        <v/>
      </c>
      <c r="F48" s="40" t="str">
        <f aca="false">IF($B48="","",ROUND($E48*$M48,2))</f>
        <v/>
      </c>
      <c r="G48" s="82" t="str">
        <f aca="false">IF($B48="","",SUMIFS(购销流水!$J$6:$J$805,购销流水!$C$6:$C$805,$A48,购销流水!$F$6:$F$805,$B48,购销流水!$D$6:$D$805,"采购入库",购销流水!$B$6:$B$805,"&gt;="&amp;$A$4,购销流水!$B$6:$B$805,"&lt;="&amp;$B$4)-SUMIFS(购销流水!$J$6:$J$805,购销流水!$C$6:$C$805,$A48,购销流水!$F$6:$F$805,$B48,购销流水!$D$6:$D$805,"采购退回",购销流水!$B$6:$B$805,"&gt;="&amp;$A$4,购销流水!$B$6:$B$805,"&lt;="&amp;$B$4)+SUMIFS(生产加工!$I$6:$I$305,生产加工!$C$6:$C$305,$A48,生产加工!$F$6:$F$305,$B48,生产加工!$E$6:$E$305,"产成品入库",生产加工!$B$6:$B$305,"&gt;="&amp;$A$4,生产加工!$B$6:$B$305,"&lt;="&amp;$B$4))</f>
        <v/>
      </c>
      <c r="H48" s="40" t="str">
        <f aca="false">IF($B48="","",ROUND($G48*$M48,2))</f>
        <v/>
      </c>
      <c r="I48" s="82" t="str">
        <f aca="false">IF($B48="","",SUMIFS(购销流水!$J$6:$J$805,购销流水!$C$6:$C$805,$A48,购销流水!$F$6:$F$805,$B48,购销流水!$D$6:$D$805,"销售出库",购销流水!$B$6:$B$805,"&gt;="&amp;$A$4,购销流水!$B$6:$B$805,"&lt;="&amp;$B$4)-SUMIFS(购销流水!$J$6:$J$805,购销流水!$C$6:$C$805,$A48,购销流水!$F$6:$F$805,$B48,购销流水!$D$6:$D$805,"销售退回",购销流水!$B$6:$B$805,"&gt;="&amp;$A$4,购销流水!$B$6:$B$805,"&lt;="&amp;$B$4)+SUMIFS(生产加工!$I$6:$I$305,生产加工!$C$6:$C$305,$A48,生产加工!$F$6:$F$305,$B48,生产加工!$E$6:$E$305,"领用投入",生产加工!$B$6:$B$305,"&gt;="&amp;$A$4,生产加工!$B$6:$B$305,"&lt;="&amp;$B$4))</f>
        <v/>
      </c>
      <c r="J48" s="40" t="str">
        <f aca="false">IF($B48="","",ROUND($I48*$M48,2))</f>
        <v/>
      </c>
      <c r="K48" s="84" t="str">
        <f aca="false">IF($B48="","",$E48+$G48-$I48)</f>
        <v/>
      </c>
      <c r="L48" s="42" t="str">
        <f aca="false">IF($B48="","",ROUND($K48*$M48,2))</f>
        <v/>
      </c>
      <c r="M48" s="85" t="str">
        <f aca="false">IF($B48="","",进销存台账!$N47)</f>
        <v/>
      </c>
      <c r="N48" s="64" t="str">
        <f aca="false">IF($B48="","",IF(OR($E48&lt;&gt;0,$G48&lt;&gt;0,$I48&lt;&gt;0),"有",""))</f>
        <v/>
      </c>
    </row>
    <row r="49" customFormat="false" ht="15" hidden="true" customHeight="false" outlineLevel="0" collapsed="false">
      <c r="A49" s="25" t="str">
        <f aca="false">IF(进销存台账!$B48="","",进销存台账!$A48)</f>
        <v/>
      </c>
      <c r="B49" s="25" t="str">
        <f aca="false">IF(进销存台账!$B48="","",进销存台账!$B48)</f>
        <v/>
      </c>
      <c r="C49" s="10" t="str">
        <f aca="false">IF($B49="","",进销存台账!$C48)</f>
        <v/>
      </c>
      <c r="D49" s="25" t="str">
        <f aca="false">IF($B49="","",进销存台账!$E48)</f>
        <v/>
      </c>
      <c r="E49" s="82" t="str">
        <f aca="false">IF($B49="","",进销存台账!$H48+SUMIFS(购销流水!$J$6:$J$805,购销流水!$C$6:$C$805,$A49,购销流水!$F$6:$F$805,$B49,购销流水!$D$6:$D$805,"采购入库",购销流水!$B$6:$B$805,"&lt;"&amp;$A$4)-SUMIFS(购销流水!$J$6:$J$805,购销流水!$C$6:$C$805,$A49,购销流水!$F$6:$F$805,$B49,购销流水!$D$6:$D$805,"采购退回",购销流水!$B$6:$B$805,"&lt;"&amp;$A$4)+SUMIFS(生产加工!$I$6:$I$305,生产加工!$C$6:$C$305,$A49,生产加工!$F$6:$F$305,$B49,生产加工!$E$6:$E$305,"产成品入库",生产加工!$B$6:$B$305,"&lt;"&amp;$A$4)-(SUMIFS(购销流水!$J$6:$J$805,购销流水!$C$6:$C$805,$A49,购销流水!$F$6:$F$805,$B49,购销流水!$D$6:$D$805,"销售出库",购销流水!$B$6:$B$805,"&lt;"&amp;$A$4)-SUMIFS(购销流水!$J$6:$J$805,购销流水!$C$6:$C$805,$A49,购销流水!$F$6:$F$805,$B49,购销流水!$D$6:$D$805,"销售退回",购销流水!$B$6:$B$805,"&lt;"&amp;$A$4)+SUMIFS(生产加工!$I$6:$I$305,生产加工!$C$6:$C$305,$A49,生产加工!$F$6:$F$305,$B49,生产加工!$E$6:$E$305,"领用投入",生产加工!$B$6:$B$305,"&lt;"&amp;$A$4)))</f>
        <v/>
      </c>
      <c r="F49" s="40" t="str">
        <f aca="false">IF($B49="","",ROUND($E49*$M49,2))</f>
        <v/>
      </c>
      <c r="G49" s="82" t="str">
        <f aca="false">IF($B49="","",SUMIFS(购销流水!$J$6:$J$805,购销流水!$C$6:$C$805,$A49,购销流水!$F$6:$F$805,$B49,购销流水!$D$6:$D$805,"采购入库",购销流水!$B$6:$B$805,"&gt;="&amp;$A$4,购销流水!$B$6:$B$805,"&lt;="&amp;$B$4)-SUMIFS(购销流水!$J$6:$J$805,购销流水!$C$6:$C$805,$A49,购销流水!$F$6:$F$805,$B49,购销流水!$D$6:$D$805,"采购退回",购销流水!$B$6:$B$805,"&gt;="&amp;$A$4,购销流水!$B$6:$B$805,"&lt;="&amp;$B$4)+SUMIFS(生产加工!$I$6:$I$305,生产加工!$C$6:$C$305,$A49,生产加工!$F$6:$F$305,$B49,生产加工!$E$6:$E$305,"产成品入库",生产加工!$B$6:$B$305,"&gt;="&amp;$A$4,生产加工!$B$6:$B$305,"&lt;="&amp;$B$4))</f>
        <v/>
      </c>
      <c r="H49" s="40" t="str">
        <f aca="false">IF($B49="","",ROUND($G49*$M49,2))</f>
        <v/>
      </c>
      <c r="I49" s="82" t="str">
        <f aca="false">IF($B49="","",SUMIFS(购销流水!$J$6:$J$805,购销流水!$C$6:$C$805,$A49,购销流水!$F$6:$F$805,$B49,购销流水!$D$6:$D$805,"销售出库",购销流水!$B$6:$B$805,"&gt;="&amp;$A$4,购销流水!$B$6:$B$805,"&lt;="&amp;$B$4)-SUMIFS(购销流水!$J$6:$J$805,购销流水!$C$6:$C$805,$A49,购销流水!$F$6:$F$805,$B49,购销流水!$D$6:$D$805,"销售退回",购销流水!$B$6:$B$805,"&gt;="&amp;$A$4,购销流水!$B$6:$B$805,"&lt;="&amp;$B$4)+SUMIFS(生产加工!$I$6:$I$305,生产加工!$C$6:$C$305,$A49,生产加工!$F$6:$F$305,$B49,生产加工!$E$6:$E$305,"领用投入",生产加工!$B$6:$B$305,"&gt;="&amp;$A$4,生产加工!$B$6:$B$305,"&lt;="&amp;$B$4))</f>
        <v/>
      </c>
      <c r="J49" s="40" t="str">
        <f aca="false">IF($B49="","",ROUND($I49*$M49,2))</f>
        <v/>
      </c>
      <c r="K49" s="84" t="str">
        <f aca="false">IF($B49="","",$E49+$G49-$I49)</f>
        <v/>
      </c>
      <c r="L49" s="42" t="str">
        <f aca="false">IF($B49="","",ROUND($K49*$M49,2))</f>
        <v/>
      </c>
      <c r="M49" s="85" t="str">
        <f aca="false">IF($B49="","",进销存台账!$N48)</f>
        <v/>
      </c>
      <c r="N49" s="64" t="str">
        <f aca="false">IF($B49="","",IF(OR($E49&lt;&gt;0,$G49&lt;&gt;0,$I49&lt;&gt;0),"有",""))</f>
        <v/>
      </c>
    </row>
    <row r="50" customFormat="false" ht="15" hidden="true" customHeight="false" outlineLevel="0" collapsed="false">
      <c r="A50" s="25" t="str">
        <f aca="false">IF(进销存台账!$B49="","",进销存台账!$A49)</f>
        <v/>
      </c>
      <c r="B50" s="25" t="str">
        <f aca="false">IF(进销存台账!$B49="","",进销存台账!$B49)</f>
        <v/>
      </c>
      <c r="C50" s="10" t="str">
        <f aca="false">IF($B50="","",进销存台账!$C49)</f>
        <v/>
      </c>
      <c r="D50" s="25" t="str">
        <f aca="false">IF($B50="","",进销存台账!$E49)</f>
        <v/>
      </c>
      <c r="E50" s="82" t="str">
        <f aca="false">IF($B50="","",进销存台账!$H49+SUMIFS(购销流水!$J$6:$J$805,购销流水!$C$6:$C$805,$A50,购销流水!$F$6:$F$805,$B50,购销流水!$D$6:$D$805,"采购入库",购销流水!$B$6:$B$805,"&lt;"&amp;$A$4)-SUMIFS(购销流水!$J$6:$J$805,购销流水!$C$6:$C$805,$A50,购销流水!$F$6:$F$805,$B50,购销流水!$D$6:$D$805,"采购退回",购销流水!$B$6:$B$805,"&lt;"&amp;$A$4)+SUMIFS(生产加工!$I$6:$I$305,生产加工!$C$6:$C$305,$A50,生产加工!$F$6:$F$305,$B50,生产加工!$E$6:$E$305,"产成品入库",生产加工!$B$6:$B$305,"&lt;"&amp;$A$4)-(SUMIFS(购销流水!$J$6:$J$805,购销流水!$C$6:$C$805,$A50,购销流水!$F$6:$F$805,$B50,购销流水!$D$6:$D$805,"销售出库",购销流水!$B$6:$B$805,"&lt;"&amp;$A$4)-SUMIFS(购销流水!$J$6:$J$805,购销流水!$C$6:$C$805,$A50,购销流水!$F$6:$F$805,$B50,购销流水!$D$6:$D$805,"销售退回",购销流水!$B$6:$B$805,"&lt;"&amp;$A$4)+SUMIFS(生产加工!$I$6:$I$305,生产加工!$C$6:$C$305,$A50,生产加工!$F$6:$F$305,$B50,生产加工!$E$6:$E$305,"领用投入",生产加工!$B$6:$B$305,"&lt;"&amp;$A$4)))</f>
        <v/>
      </c>
      <c r="F50" s="40" t="str">
        <f aca="false">IF($B50="","",ROUND($E50*$M50,2))</f>
        <v/>
      </c>
      <c r="G50" s="82" t="str">
        <f aca="false">IF($B50="","",SUMIFS(购销流水!$J$6:$J$805,购销流水!$C$6:$C$805,$A50,购销流水!$F$6:$F$805,$B50,购销流水!$D$6:$D$805,"采购入库",购销流水!$B$6:$B$805,"&gt;="&amp;$A$4,购销流水!$B$6:$B$805,"&lt;="&amp;$B$4)-SUMIFS(购销流水!$J$6:$J$805,购销流水!$C$6:$C$805,$A50,购销流水!$F$6:$F$805,$B50,购销流水!$D$6:$D$805,"采购退回",购销流水!$B$6:$B$805,"&gt;="&amp;$A$4,购销流水!$B$6:$B$805,"&lt;="&amp;$B$4)+SUMIFS(生产加工!$I$6:$I$305,生产加工!$C$6:$C$305,$A50,生产加工!$F$6:$F$305,$B50,生产加工!$E$6:$E$305,"产成品入库",生产加工!$B$6:$B$305,"&gt;="&amp;$A$4,生产加工!$B$6:$B$305,"&lt;="&amp;$B$4))</f>
        <v/>
      </c>
      <c r="H50" s="40" t="str">
        <f aca="false">IF($B50="","",ROUND($G50*$M50,2))</f>
        <v/>
      </c>
      <c r="I50" s="82" t="str">
        <f aca="false">IF($B50="","",SUMIFS(购销流水!$J$6:$J$805,购销流水!$C$6:$C$805,$A50,购销流水!$F$6:$F$805,$B50,购销流水!$D$6:$D$805,"销售出库",购销流水!$B$6:$B$805,"&gt;="&amp;$A$4,购销流水!$B$6:$B$805,"&lt;="&amp;$B$4)-SUMIFS(购销流水!$J$6:$J$805,购销流水!$C$6:$C$805,$A50,购销流水!$F$6:$F$805,$B50,购销流水!$D$6:$D$805,"销售退回",购销流水!$B$6:$B$805,"&gt;="&amp;$A$4,购销流水!$B$6:$B$805,"&lt;="&amp;$B$4)+SUMIFS(生产加工!$I$6:$I$305,生产加工!$C$6:$C$305,$A50,生产加工!$F$6:$F$305,$B50,生产加工!$E$6:$E$305,"领用投入",生产加工!$B$6:$B$305,"&gt;="&amp;$A$4,生产加工!$B$6:$B$305,"&lt;="&amp;$B$4))</f>
        <v/>
      </c>
      <c r="J50" s="40" t="str">
        <f aca="false">IF($B50="","",ROUND($I50*$M50,2))</f>
        <v/>
      </c>
      <c r="K50" s="84" t="str">
        <f aca="false">IF($B50="","",$E50+$G50-$I50)</f>
        <v/>
      </c>
      <c r="L50" s="42" t="str">
        <f aca="false">IF($B50="","",ROUND($K50*$M50,2))</f>
        <v/>
      </c>
      <c r="M50" s="85" t="str">
        <f aca="false">IF($B50="","",进销存台账!$N49)</f>
        <v/>
      </c>
      <c r="N50" s="64" t="str">
        <f aca="false">IF($B50="","",IF(OR($E50&lt;&gt;0,$G50&lt;&gt;0,$I50&lt;&gt;0),"有",""))</f>
        <v/>
      </c>
    </row>
    <row r="51" customFormat="false" ht="15" hidden="true" customHeight="false" outlineLevel="0" collapsed="false">
      <c r="A51" s="25" t="str">
        <f aca="false">IF(进销存台账!$B50="","",进销存台账!$A50)</f>
        <v/>
      </c>
      <c r="B51" s="25" t="str">
        <f aca="false">IF(进销存台账!$B50="","",进销存台账!$B50)</f>
        <v/>
      </c>
      <c r="C51" s="10" t="str">
        <f aca="false">IF($B51="","",进销存台账!$C50)</f>
        <v/>
      </c>
      <c r="D51" s="25" t="str">
        <f aca="false">IF($B51="","",进销存台账!$E50)</f>
        <v/>
      </c>
      <c r="E51" s="82" t="str">
        <f aca="false">IF($B51="","",进销存台账!$H50+SUMIFS(购销流水!$J$6:$J$805,购销流水!$C$6:$C$805,$A51,购销流水!$F$6:$F$805,$B51,购销流水!$D$6:$D$805,"采购入库",购销流水!$B$6:$B$805,"&lt;"&amp;$A$4)-SUMIFS(购销流水!$J$6:$J$805,购销流水!$C$6:$C$805,$A51,购销流水!$F$6:$F$805,$B51,购销流水!$D$6:$D$805,"采购退回",购销流水!$B$6:$B$805,"&lt;"&amp;$A$4)+SUMIFS(生产加工!$I$6:$I$305,生产加工!$C$6:$C$305,$A51,生产加工!$F$6:$F$305,$B51,生产加工!$E$6:$E$305,"产成品入库",生产加工!$B$6:$B$305,"&lt;"&amp;$A$4)-(SUMIFS(购销流水!$J$6:$J$805,购销流水!$C$6:$C$805,$A51,购销流水!$F$6:$F$805,$B51,购销流水!$D$6:$D$805,"销售出库",购销流水!$B$6:$B$805,"&lt;"&amp;$A$4)-SUMIFS(购销流水!$J$6:$J$805,购销流水!$C$6:$C$805,$A51,购销流水!$F$6:$F$805,$B51,购销流水!$D$6:$D$805,"销售退回",购销流水!$B$6:$B$805,"&lt;"&amp;$A$4)+SUMIFS(生产加工!$I$6:$I$305,生产加工!$C$6:$C$305,$A51,生产加工!$F$6:$F$305,$B51,生产加工!$E$6:$E$305,"领用投入",生产加工!$B$6:$B$305,"&lt;"&amp;$A$4)))</f>
        <v/>
      </c>
      <c r="F51" s="40" t="str">
        <f aca="false">IF($B51="","",ROUND($E51*$M51,2))</f>
        <v/>
      </c>
      <c r="G51" s="82" t="str">
        <f aca="false">IF($B51="","",SUMIFS(购销流水!$J$6:$J$805,购销流水!$C$6:$C$805,$A51,购销流水!$F$6:$F$805,$B51,购销流水!$D$6:$D$805,"采购入库",购销流水!$B$6:$B$805,"&gt;="&amp;$A$4,购销流水!$B$6:$B$805,"&lt;="&amp;$B$4)-SUMIFS(购销流水!$J$6:$J$805,购销流水!$C$6:$C$805,$A51,购销流水!$F$6:$F$805,$B51,购销流水!$D$6:$D$805,"采购退回",购销流水!$B$6:$B$805,"&gt;="&amp;$A$4,购销流水!$B$6:$B$805,"&lt;="&amp;$B$4)+SUMIFS(生产加工!$I$6:$I$305,生产加工!$C$6:$C$305,$A51,生产加工!$F$6:$F$305,$B51,生产加工!$E$6:$E$305,"产成品入库",生产加工!$B$6:$B$305,"&gt;="&amp;$A$4,生产加工!$B$6:$B$305,"&lt;="&amp;$B$4))</f>
        <v/>
      </c>
      <c r="H51" s="40" t="str">
        <f aca="false">IF($B51="","",ROUND($G51*$M51,2))</f>
        <v/>
      </c>
      <c r="I51" s="82" t="str">
        <f aca="false">IF($B51="","",SUMIFS(购销流水!$J$6:$J$805,购销流水!$C$6:$C$805,$A51,购销流水!$F$6:$F$805,$B51,购销流水!$D$6:$D$805,"销售出库",购销流水!$B$6:$B$805,"&gt;="&amp;$A$4,购销流水!$B$6:$B$805,"&lt;="&amp;$B$4)-SUMIFS(购销流水!$J$6:$J$805,购销流水!$C$6:$C$805,$A51,购销流水!$F$6:$F$805,$B51,购销流水!$D$6:$D$805,"销售退回",购销流水!$B$6:$B$805,"&gt;="&amp;$A$4,购销流水!$B$6:$B$805,"&lt;="&amp;$B$4)+SUMIFS(生产加工!$I$6:$I$305,生产加工!$C$6:$C$305,$A51,生产加工!$F$6:$F$305,$B51,生产加工!$E$6:$E$305,"领用投入",生产加工!$B$6:$B$305,"&gt;="&amp;$A$4,生产加工!$B$6:$B$305,"&lt;="&amp;$B$4))</f>
        <v/>
      </c>
      <c r="J51" s="40" t="str">
        <f aca="false">IF($B51="","",ROUND($I51*$M51,2))</f>
        <v/>
      </c>
      <c r="K51" s="84" t="str">
        <f aca="false">IF($B51="","",$E51+$G51-$I51)</f>
        <v/>
      </c>
      <c r="L51" s="42" t="str">
        <f aca="false">IF($B51="","",ROUND($K51*$M51,2))</f>
        <v/>
      </c>
      <c r="M51" s="85" t="str">
        <f aca="false">IF($B51="","",进销存台账!$N50)</f>
        <v/>
      </c>
      <c r="N51" s="64" t="str">
        <f aca="false">IF($B51="","",IF(OR($E51&lt;&gt;0,$G51&lt;&gt;0,$I51&lt;&gt;0),"有",""))</f>
        <v/>
      </c>
    </row>
    <row r="52" customFormat="false" ht="15" hidden="true" customHeight="false" outlineLevel="0" collapsed="false">
      <c r="A52" s="25" t="str">
        <f aca="false">IF(进销存台账!$B51="","",进销存台账!$A51)</f>
        <v/>
      </c>
      <c r="B52" s="25" t="str">
        <f aca="false">IF(进销存台账!$B51="","",进销存台账!$B51)</f>
        <v/>
      </c>
      <c r="C52" s="10" t="str">
        <f aca="false">IF($B52="","",进销存台账!$C51)</f>
        <v/>
      </c>
      <c r="D52" s="25" t="str">
        <f aca="false">IF($B52="","",进销存台账!$E51)</f>
        <v/>
      </c>
      <c r="E52" s="82" t="str">
        <f aca="false">IF($B52="","",进销存台账!$H51+SUMIFS(购销流水!$J$6:$J$805,购销流水!$C$6:$C$805,$A52,购销流水!$F$6:$F$805,$B52,购销流水!$D$6:$D$805,"采购入库",购销流水!$B$6:$B$805,"&lt;"&amp;$A$4)-SUMIFS(购销流水!$J$6:$J$805,购销流水!$C$6:$C$805,$A52,购销流水!$F$6:$F$805,$B52,购销流水!$D$6:$D$805,"采购退回",购销流水!$B$6:$B$805,"&lt;"&amp;$A$4)+SUMIFS(生产加工!$I$6:$I$305,生产加工!$C$6:$C$305,$A52,生产加工!$F$6:$F$305,$B52,生产加工!$E$6:$E$305,"产成品入库",生产加工!$B$6:$B$305,"&lt;"&amp;$A$4)-(SUMIFS(购销流水!$J$6:$J$805,购销流水!$C$6:$C$805,$A52,购销流水!$F$6:$F$805,$B52,购销流水!$D$6:$D$805,"销售出库",购销流水!$B$6:$B$805,"&lt;"&amp;$A$4)-SUMIFS(购销流水!$J$6:$J$805,购销流水!$C$6:$C$805,$A52,购销流水!$F$6:$F$805,$B52,购销流水!$D$6:$D$805,"销售退回",购销流水!$B$6:$B$805,"&lt;"&amp;$A$4)+SUMIFS(生产加工!$I$6:$I$305,生产加工!$C$6:$C$305,$A52,生产加工!$F$6:$F$305,$B52,生产加工!$E$6:$E$305,"领用投入",生产加工!$B$6:$B$305,"&lt;"&amp;$A$4)))</f>
        <v/>
      </c>
      <c r="F52" s="40" t="str">
        <f aca="false">IF($B52="","",ROUND($E52*$M52,2))</f>
        <v/>
      </c>
      <c r="G52" s="82" t="str">
        <f aca="false">IF($B52="","",SUMIFS(购销流水!$J$6:$J$805,购销流水!$C$6:$C$805,$A52,购销流水!$F$6:$F$805,$B52,购销流水!$D$6:$D$805,"采购入库",购销流水!$B$6:$B$805,"&gt;="&amp;$A$4,购销流水!$B$6:$B$805,"&lt;="&amp;$B$4)-SUMIFS(购销流水!$J$6:$J$805,购销流水!$C$6:$C$805,$A52,购销流水!$F$6:$F$805,$B52,购销流水!$D$6:$D$805,"采购退回",购销流水!$B$6:$B$805,"&gt;="&amp;$A$4,购销流水!$B$6:$B$805,"&lt;="&amp;$B$4)+SUMIFS(生产加工!$I$6:$I$305,生产加工!$C$6:$C$305,$A52,生产加工!$F$6:$F$305,$B52,生产加工!$E$6:$E$305,"产成品入库",生产加工!$B$6:$B$305,"&gt;="&amp;$A$4,生产加工!$B$6:$B$305,"&lt;="&amp;$B$4))</f>
        <v/>
      </c>
      <c r="H52" s="40" t="str">
        <f aca="false">IF($B52="","",ROUND($G52*$M52,2))</f>
        <v/>
      </c>
      <c r="I52" s="82" t="str">
        <f aca="false">IF($B52="","",SUMIFS(购销流水!$J$6:$J$805,购销流水!$C$6:$C$805,$A52,购销流水!$F$6:$F$805,$B52,购销流水!$D$6:$D$805,"销售出库",购销流水!$B$6:$B$805,"&gt;="&amp;$A$4,购销流水!$B$6:$B$805,"&lt;="&amp;$B$4)-SUMIFS(购销流水!$J$6:$J$805,购销流水!$C$6:$C$805,$A52,购销流水!$F$6:$F$805,$B52,购销流水!$D$6:$D$805,"销售退回",购销流水!$B$6:$B$805,"&gt;="&amp;$A$4,购销流水!$B$6:$B$805,"&lt;="&amp;$B$4)+SUMIFS(生产加工!$I$6:$I$305,生产加工!$C$6:$C$305,$A52,生产加工!$F$6:$F$305,$B52,生产加工!$E$6:$E$305,"领用投入",生产加工!$B$6:$B$305,"&gt;="&amp;$A$4,生产加工!$B$6:$B$305,"&lt;="&amp;$B$4))</f>
        <v/>
      </c>
      <c r="J52" s="40" t="str">
        <f aca="false">IF($B52="","",ROUND($I52*$M52,2))</f>
        <v/>
      </c>
      <c r="K52" s="84" t="str">
        <f aca="false">IF($B52="","",$E52+$G52-$I52)</f>
        <v/>
      </c>
      <c r="L52" s="42" t="str">
        <f aca="false">IF($B52="","",ROUND($K52*$M52,2))</f>
        <v/>
      </c>
      <c r="M52" s="85" t="str">
        <f aca="false">IF($B52="","",进销存台账!$N51)</f>
        <v/>
      </c>
      <c r="N52" s="64" t="str">
        <f aca="false">IF($B52="","",IF(OR($E52&lt;&gt;0,$G52&lt;&gt;0,$I52&lt;&gt;0),"有",""))</f>
        <v/>
      </c>
    </row>
    <row r="53" customFormat="false" ht="15" hidden="true" customHeight="false" outlineLevel="0" collapsed="false">
      <c r="A53" s="25" t="str">
        <f aca="false">IF(进销存台账!$B52="","",进销存台账!$A52)</f>
        <v/>
      </c>
      <c r="B53" s="25" t="str">
        <f aca="false">IF(进销存台账!$B52="","",进销存台账!$B52)</f>
        <v/>
      </c>
      <c r="C53" s="10" t="str">
        <f aca="false">IF($B53="","",进销存台账!$C52)</f>
        <v/>
      </c>
      <c r="D53" s="25" t="str">
        <f aca="false">IF($B53="","",进销存台账!$E52)</f>
        <v/>
      </c>
      <c r="E53" s="82" t="str">
        <f aca="false">IF($B53="","",进销存台账!$H52+SUMIFS(购销流水!$J$6:$J$805,购销流水!$C$6:$C$805,$A53,购销流水!$F$6:$F$805,$B53,购销流水!$D$6:$D$805,"采购入库",购销流水!$B$6:$B$805,"&lt;"&amp;$A$4)-SUMIFS(购销流水!$J$6:$J$805,购销流水!$C$6:$C$805,$A53,购销流水!$F$6:$F$805,$B53,购销流水!$D$6:$D$805,"采购退回",购销流水!$B$6:$B$805,"&lt;"&amp;$A$4)+SUMIFS(生产加工!$I$6:$I$305,生产加工!$C$6:$C$305,$A53,生产加工!$F$6:$F$305,$B53,生产加工!$E$6:$E$305,"产成品入库",生产加工!$B$6:$B$305,"&lt;"&amp;$A$4)-(SUMIFS(购销流水!$J$6:$J$805,购销流水!$C$6:$C$805,$A53,购销流水!$F$6:$F$805,$B53,购销流水!$D$6:$D$805,"销售出库",购销流水!$B$6:$B$805,"&lt;"&amp;$A$4)-SUMIFS(购销流水!$J$6:$J$805,购销流水!$C$6:$C$805,$A53,购销流水!$F$6:$F$805,$B53,购销流水!$D$6:$D$805,"销售退回",购销流水!$B$6:$B$805,"&lt;"&amp;$A$4)+SUMIFS(生产加工!$I$6:$I$305,生产加工!$C$6:$C$305,$A53,生产加工!$F$6:$F$305,$B53,生产加工!$E$6:$E$305,"领用投入",生产加工!$B$6:$B$305,"&lt;"&amp;$A$4)))</f>
        <v/>
      </c>
      <c r="F53" s="40" t="str">
        <f aca="false">IF($B53="","",ROUND($E53*$M53,2))</f>
        <v/>
      </c>
      <c r="G53" s="82" t="str">
        <f aca="false">IF($B53="","",SUMIFS(购销流水!$J$6:$J$805,购销流水!$C$6:$C$805,$A53,购销流水!$F$6:$F$805,$B53,购销流水!$D$6:$D$805,"采购入库",购销流水!$B$6:$B$805,"&gt;="&amp;$A$4,购销流水!$B$6:$B$805,"&lt;="&amp;$B$4)-SUMIFS(购销流水!$J$6:$J$805,购销流水!$C$6:$C$805,$A53,购销流水!$F$6:$F$805,$B53,购销流水!$D$6:$D$805,"采购退回",购销流水!$B$6:$B$805,"&gt;="&amp;$A$4,购销流水!$B$6:$B$805,"&lt;="&amp;$B$4)+SUMIFS(生产加工!$I$6:$I$305,生产加工!$C$6:$C$305,$A53,生产加工!$F$6:$F$305,$B53,生产加工!$E$6:$E$305,"产成品入库",生产加工!$B$6:$B$305,"&gt;="&amp;$A$4,生产加工!$B$6:$B$305,"&lt;="&amp;$B$4))</f>
        <v/>
      </c>
      <c r="H53" s="40" t="str">
        <f aca="false">IF($B53="","",ROUND($G53*$M53,2))</f>
        <v/>
      </c>
      <c r="I53" s="82" t="str">
        <f aca="false">IF($B53="","",SUMIFS(购销流水!$J$6:$J$805,购销流水!$C$6:$C$805,$A53,购销流水!$F$6:$F$805,$B53,购销流水!$D$6:$D$805,"销售出库",购销流水!$B$6:$B$805,"&gt;="&amp;$A$4,购销流水!$B$6:$B$805,"&lt;="&amp;$B$4)-SUMIFS(购销流水!$J$6:$J$805,购销流水!$C$6:$C$805,$A53,购销流水!$F$6:$F$805,$B53,购销流水!$D$6:$D$805,"销售退回",购销流水!$B$6:$B$805,"&gt;="&amp;$A$4,购销流水!$B$6:$B$805,"&lt;="&amp;$B$4)+SUMIFS(生产加工!$I$6:$I$305,生产加工!$C$6:$C$305,$A53,生产加工!$F$6:$F$305,$B53,生产加工!$E$6:$E$305,"领用投入",生产加工!$B$6:$B$305,"&gt;="&amp;$A$4,生产加工!$B$6:$B$305,"&lt;="&amp;$B$4))</f>
        <v/>
      </c>
      <c r="J53" s="40" t="str">
        <f aca="false">IF($B53="","",ROUND($I53*$M53,2))</f>
        <v/>
      </c>
      <c r="K53" s="84" t="str">
        <f aca="false">IF($B53="","",$E53+$G53-$I53)</f>
        <v/>
      </c>
      <c r="L53" s="42" t="str">
        <f aca="false">IF($B53="","",ROUND($K53*$M53,2))</f>
        <v/>
      </c>
      <c r="M53" s="85" t="str">
        <f aca="false">IF($B53="","",进销存台账!$N52)</f>
        <v/>
      </c>
      <c r="N53" s="64" t="str">
        <f aca="false">IF($B53="","",IF(OR($E53&lt;&gt;0,$G53&lt;&gt;0,$I53&lt;&gt;0),"有",""))</f>
        <v/>
      </c>
    </row>
    <row r="54" customFormat="false" ht="15" hidden="true" customHeight="false" outlineLevel="0" collapsed="false">
      <c r="A54" s="25" t="str">
        <f aca="false">IF(进销存台账!$B53="","",进销存台账!$A53)</f>
        <v/>
      </c>
      <c r="B54" s="25" t="str">
        <f aca="false">IF(进销存台账!$B53="","",进销存台账!$B53)</f>
        <v/>
      </c>
      <c r="C54" s="10" t="str">
        <f aca="false">IF($B54="","",进销存台账!$C53)</f>
        <v/>
      </c>
      <c r="D54" s="25" t="str">
        <f aca="false">IF($B54="","",进销存台账!$E53)</f>
        <v/>
      </c>
      <c r="E54" s="82" t="str">
        <f aca="false">IF($B54="","",进销存台账!$H53+SUMIFS(购销流水!$J$6:$J$805,购销流水!$C$6:$C$805,$A54,购销流水!$F$6:$F$805,$B54,购销流水!$D$6:$D$805,"采购入库",购销流水!$B$6:$B$805,"&lt;"&amp;$A$4)-SUMIFS(购销流水!$J$6:$J$805,购销流水!$C$6:$C$805,$A54,购销流水!$F$6:$F$805,$B54,购销流水!$D$6:$D$805,"采购退回",购销流水!$B$6:$B$805,"&lt;"&amp;$A$4)+SUMIFS(生产加工!$I$6:$I$305,生产加工!$C$6:$C$305,$A54,生产加工!$F$6:$F$305,$B54,生产加工!$E$6:$E$305,"产成品入库",生产加工!$B$6:$B$305,"&lt;"&amp;$A$4)-(SUMIFS(购销流水!$J$6:$J$805,购销流水!$C$6:$C$805,$A54,购销流水!$F$6:$F$805,$B54,购销流水!$D$6:$D$805,"销售出库",购销流水!$B$6:$B$805,"&lt;"&amp;$A$4)-SUMIFS(购销流水!$J$6:$J$805,购销流水!$C$6:$C$805,$A54,购销流水!$F$6:$F$805,$B54,购销流水!$D$6:$D$805,"销售退回",购销流水!$B$6:$B$805,"&lt;"&amp;$A$4)+SUMIFS(生产加工!$I$6:$I$305,生产加工!$C$6:$C$305,$A54,生产加工!$F$6:$F$305,$B54,生产加工!$E$6:$E$305,"领用投入",生产加工!$B$6:$B$305,"&lt;"&amp;$A$4)))</f>
        <v/>
      </c>
      <c r="F54" s="40" t="str">
        <f aca="false">IF($B54="","",ROUND($E54*$M54,2))</f>
        <v/>
      </c>
      <c r="G54" s="82" t="str">
        <f aca="false">IF($B54="","",SUMIFS(购销流水!$J$6:$J$805,购销流水!$C$6:$C$805,$A54,购销流水!$F$6:$F$805,$B54,购销流水!$D$6:$D$805,"采购入库",购销流水!$B$6:$B$805,"&gt;="&amp;$A$4,购销流水!$B$6:$B$805,"&lt;="&amp;$B$4)-SUMIFS(购销流水!$J$6:$J$805,购销流水!$C$6:$C$805,$A54,购销流水!$F$6:$F$805,$B54,购销流水!$D$6:$D$805,"采购退回",购销流水!$B$6:$B$805,"&gt;="&amp;$A$4,购销流水!$B$6:$B$805,"&lt;="&amp;$B$4)+SUMIFS(生产加工!$I$6:$I$305,生产加工!$C$6:$C$305,$A54,生产加工!$F$6:$F$305,$B54,生产加工!$E$6:$E$305,"产成品入库",生产加工!$B$6:$B$305,"&gt;="&amp;$A$4,生产加工!$B$6:$B$305,"&lt;="&amp;$B$4))</f>
        <v/>
      </c>
      <c r="H54" s="40" t="str">
        <f aca="false">IF($B54="","",ROUND($G54*$M54,2))</f>
        <v/>
      </c>
      <c r="I54" s="82" t="str">
        <f aca="false">IF($B54="","",SUMIFS(购销流水!$J$6:$J$805,购销流水!$C$6:$C$805,$A54,购销流水!$F$6:$F$805,$B54,购销流水!$D$6:$D$805,"销售出库",购销流水!$B$6:$B$805,"&gt;="&amp;$A$4,购销流水!$B$6:$B$805,"&lt;="&amp;$B$4)-SUMIFS(购销流水!$J$6:$J$805,购销流水!$C$6:$C$805,$A54,购销流水!$F$6:$F$805,$B54,购销流水!$D$6:$D$805,"销售退回",购销流水!$B$6:$B$805,"&gt;="&amp;$A$4,购销流水!$B$6:$B$805,"&lt;="&amp;$B$4)+SUMIFS(生产加工!$I$6:$I$305,生产加工!$C$6:$C$305,$A54,生产加工!$F$6:$F$305,$B54,生产加工!$E$6:$E$305,"领用投入",生产加工!$B$6:$B$305,"&gt;="&amp;$A$4,生产加工!$B$6:$B$305,"&lt;="&amp;$B$4))</f>
        <v/>
      </c>
      <c r="J54" s="40" t="str">
        <f aca="false">IF($B54="","",ROUND($I54*$M54,2))</f>
        <v/>
      </c>
      <c r="K54" s="84" t="str">
        <f aca="false">IF($B54="","",$E54+$G54-$I54)</f>
        <v/>
      </c>
      <c r="L54" s="42" t="str">
        <f aca="false">IF($B54="","",ROUND($K54*$M54,2))</f>
        <v/>
      </c>
      <c r="M54" s="85" t="str">
        <f aca="false">IF($B54="","",进销存台账!$N53)</f>
        <v/>
      </c>
      <c r="N54" s="64" t="str">
        <f aca="false">IF($B54="","",IF(OR($E54&lt;&gt;0,$G54&lt;&gt;0,$I54&lt;&gt;0),"有",""))</f>
        <v/>
      </c>
    </row>
    <row r="55" customFormat="false" ht="15" hidden="true" customHeight="false" outlineLevel="0" collapsed="false">
      <c r="A55" s="25" t="str">
        <f aca="false">IF(进销存台账!$B54="","",进销存台账!$A54)</f>
        <v/>
      </c>
      <c r="B55" s="25" t="str">
        <f aca="false">IF(进销存台账!$B54="","",进销存台账!$B54)</f>
        <v/>
      </c>
      <c r="C55" s="10" t="str">
        <f aca="false">IF($B55="","",进销存台账!$C54)</f>
        <v/>
      </c>
      <c r="D55" s="25" t="str">
        <f aca="false">IF($B55="","",进销存台账!$E54)</f>
        <v/>
      </c>
      <c r="E55" s="82" t="str">
        <f aca="false">IF($B55="","",进销存台账!$H54+SUMIFS(购销流水!$J$6:$J$805,购销流水!$C$6:$C$805,$A55,购销流水!$F$6:$F$805,$B55,购销流水!$D$6:$D$805,"采购入库",购销流水!$B$6:$B$805,"&lt;"&amp;$A$4)-SUMIFS(购销流水!$J$6:$J$805,购销流水!$C$6:$C$805,$A55,购销流水!$F$6:$F$805,$B55,购销流水!$D$6:$D$805,"采购退回",购销流水!$B$6:$B$805,"&lt;"&amp;$A$4)+SUMIFS(生产加工!$I$6:$I$305,生产加工!$C$6:$C$305,$A55,生产加工!$F$6:$F$305,$B55,生产加工!$E$6:$E$305,"产成品入库",生产加工!$B$6:$B$305,"&lt;"&amp;$A$4)-(SUMIFS(购销流水!$J$6:$J$805,购销流水!$C$6:$C$805,$A55,购销流水!$F$6:$F$805,$B55,购销流水!$D$6:$D$805,"销售出库",购销流水!$B$6:$B$805,"&lt;"&amp;$A$4)-SUMIFS(购销流水!$J$6:$J$805,购销流水!$C$6:$C$805,$A55,购销流水!$F$6:$F$805,$B55,购销流水!$D$6:$D$805,"销售退回",购销流水!$B$6:$B$805,"&lt;"&amp;$A$4)+SUMIFS(生产加工!$I$6:$I$305,生产加工!$C$6:$C$305,$A55,生产加工!$F$6:$F$305,$B55,生产加工!$E$6:$E$305,"领用投入",生产加工!$B$6:$B$305,"&lt;"&amp;$A$4)))</f>
        <v/>
      </c>
      <c r="F55" s="40" t="str">
        <f aca="false">IF($B55="","",ROUND($E55*$M55,2))</f>
        <v/>
      </c>
      <c r="G55" s="82" t="str">
        <f aca="false">IF($B55="","",SUMIFS(购销流水!$J$6:$J$805,购销流水!$C$6:$C$805,$A55,购销流水!$F$6:$F$805,$B55,购销流水!$D$6:$D$805,"采购入库",购销流水!$B$6:$B$805,"&gt;="&amp;$A$4,购销流水!$B$6:$B$805,"&lt;="&amp;$B$4)-SUMIFS(购销流水!$J$6:$J$805,购销流水!$C$6:$C$805,$A55,购销流水!$F$6:$F$805,$B55,购销流水!$D$6:$D$805,"采购退回",购销流水!$B$6:$B$805,"&gt;="&amp;$A$4,购销流水!$B$6:$B$805,"&lt;="&amp;$B$4)+SUMIFS(生产加工!$I$6:$I$305,生产加工!$C$6:$C$305,$A55,生产加工!$F$6:$F$305,$B55,生产加工!$E$6:$E$305,"产成品入库",生产加工!$B$6:$B$305,"&gt;="&amp;$A$4,生产加工!$B$6:$B$305,"&lt;="&amp;$B$4))</f>
        <v/>
      </c>
      <c r="H55" s="40" t="str">
        <f aca="false">IF($B55="","",ROUND($G55*$M55,2))</f>
        <v/>
      </c>
      <c r="I55" s="82" t="str">
        <f aca="false">IF($B55="","",SUMIFS(购销流水!$J$6:$J$805,购销流水!$C$6:$C$805,$A55,购销流水!$F$6:$F$805,$B55,购销流水!$D$6:$D$805,"销售出库",购销流水!$B$6:$B$805,"&gt;="&amp;$A$4,购销流水!$B$6:$B$805,"&lt;="&amp;$B$4)-SUMIFS(购销流水!$J$6:$J$805,购销流水!$C$6:$C$805,$A55,购销流水!$F$6:$F$805,$B55,购销流水!$D$6:$D$805,"销售退回",购销流水!$B$6:$B$805,"&gt;="&amp;$A$4,购销流水!$B$6:$B$805,"&lt;="&amp;$B$4)+SUMIFS(生产加工!$I$6:$I$305,生产加工!$C$6:$C$305,$A55,生产加工!$F$6:$F$305,$B55,生产加工!$E$6:$E$305,"领用投入",生产加工!$B$6:$B$305,"&gt;="&amp;$A$4,生产加工!$B$6:$B$305,"&lt;="&amp;$B$4))</f>
        <v/>
      </c>
      <c r="J55" s="40" t="str">
        <f aca="false">IF($B55="","",ROUND($I55*$M55,2))</f>
        <v/>
      </c>
      <c r="K55" s="84" t="str">
        <f aca="false">IF($B55="","",$E55+$G55-$I55)</f>
        <v/>
      </c>
      <c r="L55" s="42" t="str">
        <f aca="false">IF($B55="","",ROUND($K55*$M55,2))</f>
        <v/>
      </c>
      <c r="M55" s="85" t="str">
        <f aca="false">IF($B55="","",进销存台账!$N54)</f>
        <v/>
      </c>
      <c r="N55" s="64" t="str">
        <f aca="false">IF($B55="","",IF(OR($E55&lt;&gt;0,$G55&lt;&gt;0,$I55&lt;&gt;0),"有",""))</f>
        <v/>
      </c>
    </row>
    <row r="56" customFormat="false" ht="15" hidden="true" customHeight="false" outlineLevel="0" collapsed="false">
      <c r="A56" s="25" t="str">
        <f aca="false">IF(进销存台账!$B55="","",进销存台账!$A55)</f>
        <v/>
      </c>
      <c r="B56" s="25" t="str">
        <f aca="false">IF(进销存台账!$B55="","",进销存台账!$B55)</f>
        <v/>
      </c>
      <c r="C56" s="10" t="str">
        <f aca="false">IF($B56="","",进销存台账!$C55)</f>
        <v/>
      </c>
      <c r="D56" s="25" t="str">
        <f aca="false">IF($B56="","",进销存台账!$E55)</f>
        <v/>
      </c>
      <c r="E56" s="82" t="str">
        <f aca="false">IF($B56="","",进销存台账!$H55+SUMIFS(购销流水!$J$6:$J$805,购销流水!$C$6:$C$805,$A56,购销流水!$F$6:$F$805,$B56,购销流水!$D$6:$D$805,"采购入库",购销流水!$B$6:$B$805,"&lt;"&amp;$A$4)-SUMIFS(购销流水!$J$6:$J$805,购销流水!$C$6:$C$805,$A56,购销流水!$F$6:$F$805,$B56,购销流水!$D$6:$D$805,"采购退回",购销流水!$B$6:$B$805,"&lt;"&amp;$A$4)+SUMIFS(生产加工!$I$6:$I$305,生产加工!$C$6:$C$305,$A56,生产加工!$F$6:$F$305,$B56,生产加工!$E$6:$E$305,"产成品入库",生产加工!$B$6:$B$305,"&lt;"&amp;$A$4)-(SUMIFS(购销流水!$J$6:$J$805,购销流水!$C$6:$C$805,$A56,购销流水!$F$6:$F$805,$B56,购销流水!$D$6:$D$805,"销售出库",购销流水!$B$6:$B$805,"&lt;"&amp;$A$4)-SUMIFS(购销流水!$J$6:$J$805,购销流水!$C$6:$C$805,$A56,购销流水!$F$6:$F$805,$B56,购销流水!$D$6:$D$805,"销售退回",购销流水!$B$6:$B$805,"&lt;"&amp;$A$4)+SUMIFS(生产加工!$I$6:$I$305,生产加工!$C$6:$C$305,$A56,生产加工!$F$6:$F$305,$B56,生产加工!$E$6:$E$305,"领用投入",生产加工!$B$6:$B$305,"&lt;"&amp;$A$4)))</f>
        <v/>
      </c>
      <c r="F56" s="40" t="str">
        <f aca="false">IF($B56="","",ROUND($E56*$M56,2))</f>
        <v/>
      </c>
      <c r="G56" s="82" t="str">
        <f aca="false">IF($B56="","",SUMIFS(购销流水!$J$6:$J$805,购销流水!$C$6:$C$805,$A56,购销流水!$F$6:$F$805,$B56,购销流水!$D$6:$D$805,"采购入库",购销流水!$B$6:$B$805,"&gt;="&amp;$A$4,购销流水!$B$6:$B$805,"&lt;="&amp;$B$4)-SUMIFS(购销流水!$J$6:$J$805,购销流水!$C$6:$C$805,$A56,购销流水!$F$6:$F$805,$B56,购销流水!$D$6:$D$805,"采购退回",购销流水!$B$6:$B$805,"&gt;="&amp;$A$4,购销流水!$B$6:$B$805,"&lt;="&amp;$B$4)+SUMIFS(生产加工!$I$6:$I$305,生产加工!$C$6:$C$305,$A56,生产加工!$F$6:$F$305,$B56,生产加工!$E$6:$E$305,"产成品入库",生产加工!$B$6:$B$305,"&gt;="&amp;$A$4,生产加工!$B$6:$B$305,"&lt;="&amp;$B$4))</f>
        <v/>
      </c>
      <c r="H56" s="40" t="str">
        <f aca="false">IF($B56="","",ROUND($G56*$M56,2))</f>
        <v/>
      </c>
      <c r="I56" s="82" t="str">
        <f aca="false">IF($B56="","",SUMIFS(购销流水!$J$6:$J$805,购销流水!$C$6:$C$805,$A56,购销流水!$F$6:$F$805,$B56,购销流水!$D$6:$D$805,"销售出库",购销流水!$B$6:$B$805,"&gt;="&amp;$A$4,购销流水!$B$6:$B$805,"&lt;="&amp;$B$4)-SUMIFS(购销流水!$J$6:$J$805,购销流水!$C$6:$C$805,$A56,购销流水!$F$6:$F$805,$B56,购销流水!$D$6:$D$805,"销售退回",购销流水!$B$6:$B$805,"&gt;="&amp;$A$4,购销流水!$B$6:$B$805,"&lt;="&amp;$B$4)+SUMIFS(生产加工!$I$6:$I$305,生产加工!$C$6:$C$305,$A56,生产加工!$F$6:$F$305,$B56,生产加工!$E$6:$E$305,"领用投入",生产加工!$B$6:$B$305,"&gt;="&amp;$A$4,生产加工!$B$6:$B$305,"&lt;="&amp;$B$4))</f>
        <v/>
      </c>
      <c r="J56" s="40" t="str">
        <f aca="false">IF($B56="","",ROUND($I56*$M56,2))</f>
        <v/>
      </c>
      <c r="K56" s="84" t="str">
        <f aca="false">IF($B56="","",$E56+$G56-$I56)</f>
        <v/>
      </c>
      <c r="L56" s="42" t="str">
        <f aca="false">IF($B56="","",ROUND($K56*$M56,2))</f>
        <v/>
      </c>
      <c r="M56" s="85" t="str">
        <f aca="false">IF($B56="","",进销存台账!$N55)</f>
        <v/>
      </c>
      <c r="N56" s="64" t="str">
        <f aca="false">IF($B56="","",IF(OR($E56&lt;&gt;0,$G56&lt;&gt;0,$I56&lt;&gt;0),"有",""))</f>
        <v/>
      </c>
    </row>
    <row r="57" customFormat="false" ht="15" hidden="true" customHeight="false" outlineLevel="0" collapsed="false">
      <c r="A57" s="25" t="str">
        <f aca="false">IF(进销存台账!$B56="","",进销存台账!$A56)</f>
        <v/>
      </c>
      <c r="B57" s="25" t="str">
        <f aca="false">IF(进销存台账!$B56="","",进销存台账!$B56)</f>
        <v/>
      </c>
      <c r="C57" s="10" t="str">
        <f aca="false">IF($B57="","",进销存台账!$C56)</f>
        <v/>
      </c>
      <c r="D57" s="25" t="str">
        <f aca="false">IF($B57="","",进销存台账!$E56)</f>
        <v/>
      </c>
      <c r="E57" s="82" t="str">
        <f aca="false">IF($B57="","",进销存台账!$H56+SUMIFS(购销流水!$J$6:$J$805,购销流水!$C$6:$C$805,$A57,购销流水!$F$6:$F$805,$B57,购销流水!$D$6:$D$805,"采购入库",购销流水!$B$6:$B$805,"&lt;"&amp;$A$4)-SUMIFS(购销流水!$J$6:$J$805,购销流水!$C$6:$C$805,$A57,购销流水!$F$6:$F$805,$B57,购销流水!$D$6:$D$805,"采购退回",购销流水!$B$6:$B$805,"&lt;"&amp;$A$4)+SUMIFS(生产加工!$I$6:$I$305,生产加工!$C$6:$C$305,$A57,生产加工!$F$6:$F$305,$B57,生产加工!$E$6:$E$305,"产成品入库",生产加工!$B$6:$B$305,"&lt;"&amp;$A$4)-(SUMIFS(购销流水!$J$6:$J$805,购销流水!$C$6:$C$805,$A57,购销流水!$F$6:$F$805,$B57,购销流水!$D$6:$D$805,"销售出库",购销流水!$B$6:$B$805,"&lt;"&amp;$A$4)-SUMIFS(购销流水!$J$6:$J$805,购销流水!$C$6:$C$805,$A57,购销流水!$F$6:$F$805,$B57,购销流水!$D$6:$D$805,"销售退回",购销流水!$B$6:$B$805,"&lt;"&amp;$A$4)+SUMIFS(生产加工!$I$6:$I$305,生产加工!$C$6:$C$305,$A57,生产加工!$F$6:$F$305,$B57,生产加工!$E$6:$E$305,"领用投入",生产加工!$B$6:$B$305,"&lt;"&amp;$A$4)))</f>
        <v/>
      </c>
      <c r="F57" s="40" t="str">
        <f aca="false">IF($B57="","",ROUND($E57*$M57,2))</f>
        <v/>
      </c>
      <c r="G57" s="82" t="str">
        <f aca="false">IF($B57="","",SUMIFS(购销流水!$J$6:$J$805,购销流水!$C$6:$C$805,$A57,购销流水!$F$6:$F$805,$B57,购销流水!$D$6:$D$805,"采购入库",购销流水!$B$6:$B$805,"&gt;="&amp;$A$4,购销流水!$B$6:$B$805,"&lt;="&amp;$B$4)-SUMIFS(购销流水!$J$6:$J$805,购销流水!$C$6:$C$805,$A57,购销流水!$F$6:$F$805,$B57,购销流水!$D$6:$D$805,"采购退回",购销流水!$B$6:$B$805,"&gt;="&amp;$A$4,购销流水!$B$6:$B$805,"&lt;="&amp;$B$4)+SUMIFS(生产加工!$I$6:$I$305,生产加工!$C$6:$C$305,$A57,生产加工!$F$6:$F$305,$B57,生产加工!$E$6:$E$305,"产成品入库",生产加工!$B$6:$B$305,"&gt;="&amp;$A$4,生产加工!$B$6:$B$305,"&lt;="&amp;$B$4))</f>
        <v/>
      </c>
      <c r="H57" s="40" t="str">
        <f aca="false">IF($B57="","",ROUND($G57*$M57,2))</f>
        <v/>
      </c>
      <c r="I57" s="82" t="str">
        <f aca="false">IF($B57="","",SUMIFS(购销流水!$J$6:$J$805,购销流水!$C$6:$C$805,$A57,购销流水!$F$6:$F$805,$B57,购销流水!$D$6:$D$805,"销售出库",购销流水!$B$6:$B$805,"&gt;="&amp;$A$4,购销流水!$B$6:$B$805,"&lt;="&amp;$B$4)-SUMIFS(购销流水!$J$6:$J$805,购销流水!$C$6:$C$805,$A57,购销流水!$F$6:$F$805,$B57,购销流水!$D$6:$D$805,"销售退回",购销流水!$B$6:$B$805,"&gt;="&amp;$A$4,购销流水!$B$6:$B$805,"&lt;="&amp;$B$4)+SUMIFS(生产加工!$I$6:$I$305,生产加工!$C$6:$C$305,$A57,生产加工!$F$6:$F$305,$B57,生产加工!$E$6:$E$305,"领用投入",生产加工!$B$6:$B$305,"&gt;="&amp;$A$4,生产加工!$B$6:$B$305,"&lt;="&amp;$B$4))</f>
        <v/>
      </c>
      <c r="J57" s="40" t="str">
        <f aca="false">IF($B57="","",ROUND($I57*$M57,2))</f>
        <v/>
      </c>
      <c r="K57" s="84" t="str">
        <f aca="false">IF($B57="","",$E57+$G57-$I57)</f>
        <v/>
      </c>
      <c r="L57" s="42" t="str">
        <f aca="false">IF($B57="","",ROUND($K57*$M57,2))</f>
        <v/>
      </c>
      <c r="M57" s="85" t="str">
        <f aca="false">IF($B57="","",进销存台账!$N56)</f>
        <v/>
      </c>
      <c r="N57" s="64" t="str">
        <f aca="false">IF($B57="","",IF(OR($E57&lt;&gt;0,$G57&lt;&gt;0,$I57&lt;&gt;0),"有",""))</f>
        <v/>
      </c>
    </row>
    <row r="58" customFormat="false" ht="15" hidden="true" customHeight="false" outlineLevel="0" collapsed="false">
      <c r="A58" s="25" t="str">
        <f aca="false">IF(进销存台账!$B57="","",进销存台账!$A57)</f>
        <v/>
      </c>
      <c r="B58" s="25" t="str">
        <f aca="false">IF(进销存台账!$B57="","",进销存台账!$B57)</f>
        <v/>
      </c>
      <c r="C58" s="10" t="str">
        <f aca="false">IF($B58="","",进销存台账!$C57)</f>
        <v/>
      </c>
      <c r="D58" s="25" t="str">
        <f aca="false">IF($B58="","",进销存台账!$E57)</f>
        <v/>
      </c>
      <c r="E58" s="82" t="str">
        <f aca="false">IF($B58="","",进销存台账!$H57+SUMIFS(购销流水!$J$6:$J$805,购销流水!$C$6:$C$805,$A58,购销流水!$F$6:$F$805,$B58,购销流水!$D$6:$D$805,"采购入库",购销流水!$B$6:$B$805,"&lt;"&amp;$A$4)-SUMIFS(购销流水!$J$6:$J$805,购销流水!$C$6:$C$805,$A58,购销流水!$F$6:$F$805,$B58,购销流水!$D$6:$D$805,"采购退回",购销流水!$B$6:$B$805,"&lt;"&amp;$A$4)+SUMIFS(生产加工!$I$6:$I$305,生产加工!$C$6:$C$305,$A58,生产加工!$F$6:$F$305,$B58,生产加工!$E$6:$E$305,"产成品入库",生产加工!$B$6:$B$305,"&lt;"&amp;$A$4)-(SUMIFS(购销流水!$J$6:$J$805,购销流水!$C$6:$C$805,$A58,购销流水!$F$6:$F$805,$B58,购销流水!$D$6:$D$805,"销售出库",购销流水!$B$6:$B$805,"&lt;"&amp;$A$4)-SUMIFS(购销流水!$J$6:$J$805,购销流水!$C$6:$C$805,$A58,购销流水!$F$6:$F$805,$B58,购销流水!$D$6:$D$805,"销售退回",购销流水!$B$6:$B$805,"&lt;"&amp;$A$4)+SUMIFS(生产加工!$I$6:$I$305,生产加工!$C$6:$C$305,$A58,生产加工!$F$6:$F$305,$B58,生产加工!$E$6:$E$305,"领用投入",生产加工!$B$6:$B$305,"&lt;"&amp;$A$4)))</f>
        <v/>
      </c>
      <c r="F58" s="40" t="str">
        <f aca="false">IF($B58="","",ROUND($E58*$M58,2))</f>
        <v/>
      </c>
      <c r="G58" s="82" t="str">
        <f aca="false">IF($B58="","",SUMIFS(购销流水!$J$6:$J$805,购销流水!$C$6:$C$805,$A58,购销流水!$F$6:$F$805,$B58,购销流水!$D$6:$D$805,"采购入库",购销流水!$B$6:$B$805,"&gt;="&amp;$A$4,购销流水!$B$6:$B$805,"&lt;="&amp;$B$4)-SUMIFS(购销流水!$J$6:$J$805,购销流水!$C$6:$C$805,$A58,购销流水!$F$6:$F$805,$B58,购销流水!$D$6:$D$805,"采购退回",购销流水!$B$6:$B$805,"&gt;="&amp;$A$4,购销流水!$B$6:$B$805,"&lt;="&amp;$B$4)+SUMIFS(生产加工!$I$6:$I$305,生产加工!$C$6:$C$305,$A58,生产加工!$F$6:$F$305,$B58,生产加工!$E$6:$E$305,"产成品入库",生产加工!$B$6:$B$305,"&gt;="&amp;$A$4,生产加工!$B$6:$B$305,"&lt;="&amp;$B$4))</f>
        <v/>
      </c>
      <c r="H58" s="40" t="str">
        <f aca="false">IF($B58="","",ROUND($G58*$M58,2))</f>
        <v/>
      </c>
      <c r="I58" s="82" t="str">
        <f aca="false">IF($B58="","",SUMIFS(购销流水!$J$6:$J$805,购销流水!$C$6:$C$805,$A58,购销流水!$F$6:$F$805,$B58,购销流水!$D$6:$D$805,"销售出库",购销流水!$B$6:$B$805,"&gt;="&amp;$A$4,购销流水!$B$6:$B$805,"&lt;="&amp;$B$4)-SUMIFS(购销流水!$J$6:$J$805,购销流水!$C$6:$C$805,$A58,购销流水!$F$6:$F$805,$B58,购销流水!$D$6:$D$805,"销售退回",购销流水!$B$6:$B$805,"&gt;="&amp;$A$4,购销流水!$B$6:$B$805,"&lt;="&amp;$B$4)+SUMIFS(生产加工!$I$6:$I$305,生产加工!$C$6:$C$305,$A58,生产加工!$F$6:$F$305,$B58,生产加工!$E$6:$E$305,"领用投入",生产加工!$B$6:$B$305,"&gt;="&amp;$A$4,生产加工!$B$6:$B$305,"&lt;="&amp;$B$4))</f>
        <v/>
      </c>
      <c r="J58" s="40" t="str">
        <f aca="false">IF($B58="","",ROUND($I58*$M58,2))</f>
        <v/>
      </c>
      <c r="K58" s="84" t="str">
        <f aca="false">IF($B58="","",$E58+$G58-$I58)</f>
        <v/>
      </c>
      <c r="L58" s="42" t="str">
        <f aca="false">IF($B58="","",ROUND($K58*$M58,2))</f>
        <v/>
      </c>
      <c r="M58" s="85" t="str">
        <f aca="false">IF($B58="","",进销存台账!$N57)</f>
        <v/>
      </c>
      <c r="N58" s="64" t="str">
        <f aca="false">IF($B58="","",IF(OR($E58&lt;&gt;0,$G58&lt;&gt;0,$I58&lt;&gt;0),"有",""))</f>
        <v/>
      </c>
    </row>
    <row r="59" customFormat="false" ht="15" hidden="true" customHeight="false" outlineLevel="0" collapsed="false">
      <c r="A59" s="25" t="str">
        <f aca="false">IF(进销存台账!$B58="","",进销存台账!$A58)</f>
        <v/>
      </c>
      <c r="B59" s="25" t="str">
        <f aca="false">IF(进销存台账!$B58="","",进销存台账!$B58)</f>
        <v/>
      </c>
      <c r="C59" s="10" t="str">
        <f aca="false">IF($B59="","",进销存台账!$C58)</f>
        <v/>
      </c>
      <c r="D59" s="25" t="str">
        <f aca="false">IF($B59="","",进销存台账!$E58)</f>
        <v/>
      </c>
      <c r="E59" s="82" t="str">
        <f aca="false">IF($B59="","",进销存台账!$H58+SUMIFS(购销流水!$J$6:$J$805,购销流水!$C$6:$C$805,$A59,购销流水!$F$6:$F$805,$B59,购销流水!$D$6:$D$805,"采购入库",购销流水!$B$6:$B$805,"&lt;"&amp;$A$4)-SUMIFS(购销流水!$J$6:$J$805,购销流水!$C$6:$C$805,$A59,购销流水!$F$6:$F$805,$B59,购销流水!$D$6:$D$805,"采购退回",购销流水!$B$6:$B$805,"&lt;"&amp;$A$4)+SUMIFS(生产加工!$I$6:$I$305,生产加工!$C$6:$C$305,$A59,生产加工!$F$6:$F$305,$B59,生产加工!$E$6:$E$305,"产成品入库",生产加工!$B$6:$B$305,"&lt;"&amp;$A$4)-(SUMIFS(购销流水!$J$6:$J$805,购销流水!$C$6:$C$805,$A59,购销流水!$F$6:$F$805,$B59,购销流水!$D$6:$D$805,"销售出库",购销流水!$B$6:$B$805,"&lt;"&amp;$A$4)-SUMIFS(购销流水!$J$6:$J$805,购销流水!$C$6:$C$805,$A59,购销流水!$F$6:$F$805,$B59,购销流水!$D$6:$D$805,"销售退回",购销流水!$B$6:$B$805,"&lt;"&amp;$A$4)+SUMIFS(生产加工!$I$6:$I$305,生产加工!$C$6:$C$305,$A59,生产加工!$F$6:$F$305,$B59,生产加工!$E$6:$E$305,"领用投入",生产加工!$B$6:$B$305,"&lt;"&amp;$A$4)))</f>
        <v/>
      </c>
      <c r="F59" s="40" t="str">
        <f aca="false">IF($B59="","",ROUND($E59*$M59,2))</f>
        <v/>
      </c>
      <c r="G59" s="82" t="str">
        <f aca="false">IF($B59="","",SUMIFS(购销流水!$J$6:$J$805,购销流水!$C$6:$C$805,$A59,购销流水!$F$6:$F$805,$B59,购销流水!$D$6:$D$805,"采购入库",购销流水!$B$6:$B$805,"&gt;="&amp;$A$4,购销流水!$B$6:$B$805,"&lt;="&amp;$B$4)-SUMIFS(购销流水!$J$6:$J$805,购销流水!$C$6:$C$805,$A59,购销流水!$F$6:$F$805,$B59,购销流水!$D$6:$D$805,"采购退回",购销流水!$B$6:$B$805,"&gt;="&amp;$A$4,购销流水!$B$6:$B$805,"&lt;="&amp;$B$4)+SUMIFS(生产加工!$I$6:$I$305,生产加工!$C$6:$C$305,$A59,生产加工!$F$6:$F$305,$B59,生产加工!$E$6:$E$305,"产成品入库",生产加工!$B$6:$B$305,"&gt;="&amp;$A$4,生产加工!$B$6:$B$305,"&lt;="&amp;$B$4))</f>
        <v/>
      </c>
      <c r="H59" s="40" t="str">
        <f aca="false">IF($B59="","",ROUND($G59*$M59,2))</f>
        <v/>
      </c>
      <c r="I59" s="82" t="str">
        <f aca="false">IF($B59="","",SUMIFS(购销流水!$J$6:$J$805,购销流水!$C$6:$C$805,$A59,购销流水!$F$6:$F$805,$B59,购销流水!$D$6:$D$805,"销售出库",购销流水!$B$6:$B$805,"&gt;="&amp;$A$4,购销流水!$B$6:$B$805,"&lt;="&amp;$B$4)-SUMIFS(购销流水!$J$6:$J$805,购销流水!$C$6:$C$805,$A59,购销流水!$F$6:$F$805,$B59,购销流水!$D$6:$D$805,"销售退回",购销流水!$B$6:$B$805,"&gt;="&amp;$A$4,购销流水!$B$6:$B$805,"&lt;="&amp;$B$4)+SUMIFS(生产加工!$I$6:$I$305,生产加工!$C$6:$C$305,$A59,生产加工!$F$6:$F$305,$B59,生产加工!$E$6:$E$305,"领用投入",生产加工!$B$6:$B$305,"&gt;="&amp;$A$4,生产加工!$B$6:$B$305,"&lt;="&amp;$B$4))</f>
        <v/>
      </c>
      <c r="J59" s="40" t="str">
        <f aca="false">IF($B59="","",ROUND($I59*$M59,2))</f>
        <v/>
      </c>
      <c r="K59" s="84" t="str">
        <f aca="false">IF($B59="","",$E59+$G59-$I59)</f>
        <v/>
      </c>
      <c r="L59" s="42" t="str">
        <f aca="false">IF($B59="","",ROUND($K59*$M59,2))</f>
        <v/>
      </c>
      <c r="M59" s="85" t="str">
        <f aca="false">IF($B59="","",进销存台账!$N58)</f>
        <v/>
      </c>
      <c r="N59" s="64" t="str">
        <f aca="false">IF($B59="","",IF(OR($E59&lt;&gt;0,$G59&lt;&gt;0,$I59&lt;&gt;0),"有",""))</f>
        <v/>
      </c>
    </row>
    <row r="60" customFormat="false" ht="15" hidden="true" customHeight="false" outlineLevel="0" collapsed="false">
      <c r="A60" s="25" t="str">
        <f aca="false">IF(进销存台账!$B59="","",进销存台账!$A59)</f>
        <v/>
      </c>
      <c r="B60" s="25" t="str">
        <f aca="false">IF(进销存台账!$B59="","",进销存台账!$B59)</f>
        <v/>
      </c>
      <c r="C60" s="10" t="str">
        <f aca="false">IF($B60="","",进销存台账!$C59)</f>
        <v/>
      </c>
      <c r="D60" s="25" t="str">
        <f aca="false">IF($B60="","",进销存台账!$E59)</f>
        <v/>
      </c>
      <c r="E60" s="82" t="str">
        <f aca="false">IF($B60="","",进销存台账!$H59+SUMIFS(购销流水!$J$6:$J$805,购销流水!$C$6:$C$805,$A60,购销流水!$F$6:$F$805,$B60,购销流水!$D$6:$D$805,"采购入库",购销流水!$B$6:$B$805,"&lt;"&amp;$A$4)-SUMIFS(购销流水!$J$6:$J$805,购销流水!$C$6:$C$805,$A60,购销流水!$F$6:$F$805,$B60,购销流水!$D$6:$D$805,"采购退回",购销流水!$B$6:$B$805,"&lt;"&amp;$A$4)+SUMIFS(生产加工!$I$6:$I$305,生产加工!$C$6:$C$305,$A60,生产加工!$F$6:$F$305,$B60,生产加工!$E$6:$E$305,"产成品入库",生产加工!$B$6:$B$305,"&lt;"&amp;$A$4)-(SUMIFS(购销流水!$J$6:$J$805,购销流水!$C$6:$C$805,$A60,购销流水!$F$6:$F$805,$B60,购销流水!$D$6:$D$805,"销售出库",购销流水!$B$6:$B$805,"&lt;"&amp;$A$4)-SUMIFS(购销流水!$J$6:$J$805,购销流水!$C$6:$C$805,$A60,购销流水!$F$6:$F$805,$B60,购销流水!$D$6:$D$805,"销售退回",购销流水!$B$6:$B$805,"&lt;"&amp;$A$4)+SUMIFS(生产加工!$I$6:$I$305,生产加工!$C$6:$C$305,$A60,生产加工!$F$6:$F$305,$B60,生产加工!$E$6:$E$305,"领用投入",生产加工!$B$6:$B$305,"&lt;"&amp;$A$4)))</f>
        <v/>
      </c>
      <c r="F60" s="40" t="str">
        <f aca="false">IF($B60="","",ROUND($E60*$M60,2))</f>
        <v/>
      </c>
      <c r="G60" s="82" t="str">
        <f aca="false">IF($B60="","",SUMIFS(购销流水!$J$6:$J$805,购销流水!$C$6:$C$805,$A60,购销流水!$F$6:$F$805,$B60,购销流水!$D$6:$D$805,"采购入库",购销流水!$B$6:$B$805,"&gt;="&amp;$A$4,购销流水!$B$6:$B$805,"&lt;="&amp;$B$4)-SUMIFS(购销流水!$J$6:$J$805,购销流水!$C$6:$C$805,$A60,购销流水!$F$6:$F$805,$B60,购销流水!$D$6:$D$805,"采购退回",购销流水!$B$6:$B$805,"&gt;="&amp;$A$4,购销流水!$B$6:$B$805,"&lt;="&amp;$B$4)+SUMIFS(生产加工!$I$6:$I$305,生产加工!$C$6:$C$305,$A60,生产加工!$F$6:$F$305,$B60,生产加工!$E$6:$E$305,"产成品入库",生产加工!$B$6:$B$305,"&gt;="&amp;$A$4,生产加工!$B$6:$B$305,"&lt;="&amp;$B$4))</f>
        <v/>
      </c>
      <c r="H60" s="40" t="str">
        <f aca="false">IF($B60="","",ROUND($G60*$M60,2))</f>
        <v/>
      </c>
      <c r="I60" s="82" t="str">
        <f aca="false">IF($B60="","",SUMIFS(购销流水!$J$6:$J$805,购销流水!$C$6:$C$805,$A60,购销流水!$F$6:$F$805,$B60,购销流水!$D$6:$D$805,"销售出库",购销流水!$B$6:$B$805,"&gt;="&amp;$A$4,购销流水!$B$6:$B$805,"&lt;="&amp;$B$4)-SUMIFS(购销流水!$J$6:$J$805,购销流水!$C$6:$C$805,$A60,购销流水!$F$6:$F$805,$B60,购销流水!$D$6:$D$805,"销售退回",购销流水!$B$6:$B$805,"&gt;="&amp;$A$4,购销流水!$B$6:$B$805,"&lt;="&amp;$B$4)+SUMIFS(生产加工!$I$6:$I$305,生产加工!$C$6:$C$305,$A60,生产加工!$F$6:$F$305,$B60,生产加工!$E$6:$E$305,"领用投入",生产加工!$B$6:$B$305,"&gt;="&amp;$A$4,生产加工!$B$6:$B$305,"&lt;="&amp;$B$4))</f>
        <v/>
      </c>
      <c r="J60" s="40" t="str">
        <f aca="false">IF($B60="","",ROUND($I60*$M60,2))</f>
        <v/>
      </c>
      <c r="K60" s="84" t="str">
        <f aca="false">IF($B60="","",$E60+$G60-$I60)</f>
        <v/>
      </c>
      <c r="L60" s="42" t="str">
        <f aca="false">IF($B60="","",ROUND($K60*$M60,2))</f>
        <v/>
      </c>
      <c r="M60" s="85" t="str">
        <f aca="false">IF($B60="","",进销存台账!$N59)</f>
        <v/>
      </c>
      <c r="N60" s="64" t="str">
        <f aca="false">IF($B60="","",IF(OR($E60&lt;&gt;0,$G60&lt;&gt;0,$I60&lt;&gt;0),"有",""))</f>
        <v/>
      </c>
    </row>
    <row r="61" customFormat="false" ht="15" hidden="true" customHeight="false" outlineLevel="0" collapsed="false">
      <c r="A61" s="25" t="str">
        <f aca="false">IF(进销存台账!$B60="","",进销存台账!$A60)</f>
        <v/>
      </c>
      <c r="B61" s="25" t="str">
        <f aca="false">IF(进销存台账!$B60="","",进销存台账!$B60)</f>
        <v/>
      </c>
      <c r="C61" s="10" t="str">
        <f aca="false">IF($B61="","",进销存台账!$C60)</f>
        <v/>
      </c>
      <c r="D61" s="25" t="str">
        <f aca="false">IF($B61="","",进销存台账!$E60)</f>
        <v/>
      </c>
      <c r="E61" s="82" t="str">
        <f aca="false">IF($B61="","",进销存台账!$H60+SUMIFS(购销流水!$J$6:$J$805,购销流水!$C$6:$C$805,$A61,购销流水!$F$6:$F$805,$B61,购销流水!$D$6:$D$805,"采购入库",购销流水!$B$6:$B$805,"&lt;"&amp;$A$4)-SUMIFS(购销流水!$J$6:$J$805,购销流水!$C$6:$C$805,$A61,购销流水!$F$6:$F$805,$B61,购销流水!$D$6:$D$805,"采购退回",购销流水!$B$6:$B$805,"&lt;"&amp;$A$4)+SUMIFS(生产加工!$I$6:$I$305,生产加工!$C$6:$C$305,$A61,生产加工!$F$6:$F$305,$B61,生产加工!$E$6:$E$305,"产成品入库",生产加工!$B$6:$B$305,"&lt;"&amp;$A$4)-(SUMIFS(购销流水!$J$6:$J$805,购销流水!$C$6:$C$805,$A61,购销流水!$F$6:$F$805,$B61,购销流水!$D$6:$D$805,"销售出库",购销流水!$B$6:$B$805,"&lt;"&amp;$A$4)-SUMIFS(购销流水!$J$6:$J$805,购销流水!$C$6:$C$805,$A61,购销流水!$F$6:$F$805,$B61,购销流水!$D$6:$D$805,"销售退回",购销流水!$B$6:$B$805,"&lt;"&amp;$A$4)+SUMIFS(生产加工!$I$6:$I$305,生产加工!$C$6:$C$305,$A61,生产加工!$F$6:$F$305,$B61,生产加工!$E$6:$E$305,"领用投入",生产加工!$B$6:$B$305,"&lt;"&amp;$A$4)))</f>
        <v/>
      </c>
      <c r="F61" s="40" t="str">
        <f aca="false">IF($B61="","",ROUND($E61*$M61,2))</f>
        <v/>
      </c>
      <c r="G61" s="82" t="str">
        <f aca="false">IF($B61="","",SUMIFS(购销流水!$J$6:$J$805,购销流水!$C$6:$C$805,$A61,购销流水!$F$6:$F$805,$B61,购销流水!$D$6:$D$805,"采购入库",购销流水!$B$6:$B$805,"&gt;="&amp;$A$4,购销流水!$B$6:$B$805,"&lt;="&amp;$B$4)-SUMIFS(购销流水!$J$6:$J$805,购销流水!$C$6:$C$805,$A61,购销流水!$F$6:$F$805,$B61,购销流水!$D$6:$D$805,"采购退回",购销流水!$B$6:$B$805,"&gt;="&amp;$A$4,购销流水!$B$6:$B$805,"&lt;="&amp;$B$4)+SUMIFS(生产加工!$I$6:$I$305,生产加工!$C$6:$C$305,$A61,生产加工!$F$6:$F$305,$B61,生产加工!$E$6:$E$305,"产成品入库",生产加工!$B$6:$B$305,"&gt;="&amp;$A$4,生产加工!$B$6:$B$305,"&lt;="&amp;$B$4))</f>
        <v/>
      </c>
      <c r="H61" s="40" t="str">
        <f aca="false">IF($B61="","",ROUND($G61*$M61,2))</f>
        <v/>
      </c>
      <c r="I61" s="82" t="str">
        <f aca="false">IF($B61="","",SUMIFS(购销流水!$J$6:$J$805,购销流水!$C$6:$C$805,$A61,购销流水!$F$6:$F$805,$B61,购销流水!$D$6:$D$805,"销售出库",购销流水!$B$6:$B$805,"&gt;="&amp;$A$4,购销流水!$B$6:$B$805,"&lt;="&amp;$B$4)-SUMIFS(购销流水!$J$6:$J$805,购销流水!$C$6:$C$805,$A61,购销流水!$F$6:$F$805,$B61,购销流水!$D$6:$D$805,"销售退回",购销流水!$B$6:$B$805,"&gt;="&amp;$A$4,购销流水!$B$6:$B$805,"&lt;="&amp;$B$4)+SUMIFS(生产加工!$I$6:$I$305,生产加工!$C$6:$C$305,$A61,生产加工!$F$6:$F$305,$B61,生产加工!$E$6:$E$305,"领用投入",生产加工!$B$6:$B$305,"&gt;="&amp;$A$4,生产加工!$B$6:$B$305,"&lt;="&amp;$B$4))</f>
        <v/>
      </c>
      <c r="J61" s="40" t="str">
        <f aca="false">IF($B61="","",ROUND($I61*$M61,2))</f>
        <v/>
      </c>
      <c r="K61" s="84" t="str">
        <f aca="false">IF($B61="","",$E61+$G61-$I61)</f>
        <v/>
      </c>
      <c r="L61" s="42" t="str">
        <f aca="false">IF($B61="","",ROUND($K61*$M61,2))</f>
        <v/>
      </c>
      <c r="M61" s="85" t="str">
        <f aca="false">IF($B61="","",进销存台账!$N60)</f>
        <v/>
      </c>
      <c r="N61" s="64" t="str">
        <f aca="false">IF($B61="","",IF(OR($E61&lt;&gt;0,$G61&lt;&gt;0,$I61&lt;&gt;0),"有",""))</f>
        <v/>
      </c>
    </row>
    <row r="62" customFormat="false" ht="15" hidden="true" customHeight="false" outlineLevel="0" collapsed="false">
      <c r="A62" s="25" t="str">
        <f aca="false">IF(进销存台账!$B61="","",进销存台账!$A61)</f>
        <v/>
      </c>
      <c r="B62" s="25" t="str">
        <f aca="false">IF(进销存台账!$B61="","",进销存台账!$B61)</f>
        <v/>
      </c>
      <c r="C62" s="10" t="str">
        <f aca="false">IF($B62="","",进销存台账!$C61)</f>
        <v/>
      </c>
      <c r="D62" s="25" t="str">
        <f aca="false">IF($B62="","",进销存台账!$E61)</f>
        <v/>
      </c>
      <c r="E62" s="82" t="str">
        <f aca="false">IF($B62="","",进销存台账!$H61+SUMIFS(购销流水!$J$6:$J$805,购销流水!$C$6:$C$805,$A62,购销流水!$F$6:$F$805,$B62,购销流水!$D$6:$D$805,"采购入库",购销流水!$B$6:$B$805,"&lt;"&amp;$A$4)-SUMIFS(购销流水!$J$6:$J$805,购销流水!$C$6:$C$805,$A62,购销流水!$F$6:$F$805,$B62,购销流水!$D$6:$D$805,"采购退回",购销流水!$B$6:$B$805,"&lt;"&amp;$A$4)+SUMIFS(生产加工!$I$6:$I$305,生产加工!$C$6:$C$305,$A62,生产加工!$F$6:$F$305,$B62,生产加工!$E$6:$E$305,"产成品入库",生产加工!$B$6:$B$305,"&lt;"&amp;$A$4)-(SUMIFS(购销流水!$J$6:$J$805,购销流水!$C$6:$C$805,$A62,购销流水!$F$6:$F$805,$B62,购销流水!$D$6:$D$805,"销售出库",购销流水!$B$6:$B$805,"&lt;"&amp;$A$4)-SUMIFS(购销流水!$J$6:$J$805,购销流水!$C$6:$C$805,$A62,购销流水!$F$6:$F$805,$B62,购销流水!$D$6:$D$805,"销售退回",购销流水!$B$6:$B$805,"&lt;"&amp;$A$4)+SUMIFS(生产加工!$I$6:$I$305,生产加工!$C$6:$C$305,$A62,生产加工!$F$6:$F$305,$B62,生产加工!$E$6:$E$305,"领用投入",生产加工!$B$6:$B$305,"&lt;"&amp;$A$4)))</f>
        <v/>
      </c>
      <c r="F62" s="40" t="str">
        <f aca="false">IF($B62="","",ROUND($E62*$M62,2))</f>
        <v/>
      </c>
      <c r="G62" s="82" t="str">
        <f aca="false">IF($B62="","",SUMIFS(购销流水!$J$6:$J$805,购销流水!$C$6:$C$805,$A62,购销流水!$F$6:$F$805,$B62,购销流水!$D$6:$D$805,"采购入库",购销流水!$B$6:$B$805,"&gt;="&amp;$A$4,购销流水!$B$6:$B$805,"&lt;="&amp;$B$4)-SUMIFS(购销流水!$J$6:$J$805,购销流水!$C$6:$C$805,$A62,购销流水!$F$6:$F$805,$B62,购销流水!$D$6:$D$805,"采购退回",购销流水!$B$6:$B$805,"&gt;="&amp;$A$4,购销流水!$B$6:$B$805,"&lt;="&amp;$B$4)+SUMIFS(生产加工!$I$6:$I$305,生产加工!$C$6:$C$305,$A62,生产加工!$F$6:$F$305,$B62,生产加工!$E$6:$E$305,"产成品入库",生产加工!$B$6:$B$305,"&gt;="&amp;$A$4,生产加工!$B$6:$B$305,"&lt;="&amp;$B$4))</f>
        <v/>
      </c>
      <c r="H62" s="40" t="str">
        <f aca="false">IF($B62="","",ROUND($G62*$M62,2))</f>
        <v/>
      </c>
      <c r="I62" s="82" t="str">
        <f aca="false">IF($B62="","",SUMIFS(购销流水!$J$6:$J$805,购销流水!$C$6:$C$805,$A62,购销流水!$F$6:$F$805,$B62,购销流水!$D$6:$D$805,"销售出库",购销流水!$B$6:$B$805,"&gt;="&amp;$A$4,购销流水!$B$6:$B$805,"&lt;="&amp;$B$4)-SUMIFS(购销流水!$J$6:$J$805,购销流水!$C$6:$C$805,$A62,购销流水!$F$6:$F$805,$B62,购销流水!$D$6:$D$805,"销售退回",购销流水!$B$6:$B$805,"&gt;="&amp;$A$4,购销流水!$B$6:$B$805,"&lt;="&amp;$B$4)+SUMIFS(生产加工!$I$6:$I$305,生产加工!$C$6:$C$305,$A62,生产加工!$F$6:$F$305,$B62,生产加工!$E$6:$E$305,"领用投入",生产加工!$B$6:$B$305,"&gt;="&amp;$A$4,生产加工!$B$6:$B$305,"&lt;="&amp;$B$4))</f>
        <v/>
      </c>
      <c r="J62" s="40" t="str">
        <f aca="false">IF($B62="","",ROUND($I62*$M62,2))</f>
        <v/>
      </c>
      <c r="K62" s="84" t="str">
        <f aca="false">IF($B62="","",$E62+$G62-$I62)</f>
        <v/>
      </c>
      <c r="L62" s="42" t="str">
        <f aca="false">IF($B62="","",ROUND($K62*$M62,2))</f>
        <v/>
      </c>
      <c r="M62" s="85" t="str">
        <f aca="false">IF($B62="","",进销存台账!$N61)</f>
        <v/>
      </c>
      <c r="N62" s="64" t="str">
        <f aca="false">IF($B62="","",IF(OR($E62&lt;&gt;0,$G62&lt;&gt;0,$I62&lt;&gt;0),"有",""))</f>
        <v/>
      </c>
    </row>
    <row r="63" customFormat="false" ht="15" hidden="true" customHeight="false" outlineLevel="0" collapsed="false">
      <c r="A63" s="25" t="str">
        <f aca="false">IF(进销存台账!$B62="","",进销存台账!$A62)</f>
        <v/>
      </c>
      <c r="B63" s="25" t="str">
        <f aca="false">IF(进销存台账!$B62="","",进销存台账!$B62)</f>
        <v/>
      </c>
      <c r="C63" s="10" t="str">
        <f aca="false">IF($B63="","",进销存台账!$C62)</f>
        <v/>
      </c>
      <c r="D63" s="25" t="str">
        <f aca="false">IF($B63="","",进销存台账!$E62)</f>
        <v/>
      </c>
      <c r="E63" s="82" t="str">
        <f aca="false">IF($B63="","",进销存台账!$H62+SUMIFS(购销流水!$J$6:$J$805,购销流水!$C$6:$C$805,$A63,购销流水!$F$6:$F$805,$B63,购销流水!$D$6:$D$805,"采购入库",购销流水!$B$6:$B$805,"&lt;"&amp;$A$4)-SUMIFS(购销流水!$J$6:$J$805,购销流水!$C$6:$C$805,$A63,购销流水!$F$6:$F$805,$B63,购销流水!$D$6:$D$805,"采购退回",购销流水!$B$6:$B$805,"&lt;"&amp;$A$4)+SUMIFS(生产加工!$I$6:$I$305,生产加工!$C$6:$C$305,$A63,生产加工!$F$6:$F$305,$B63,生产加工!$E$6:$E$305,"产成品入库",生产加工!$B$6:$B$305,"&lt;"&amp;$A$4)-(SUMIFS(购销流水!$J$6:$J$805,购销流水!$C$6:$C$805,$A63,购销流水!$F$6:$F$805,$B63,购销流水!$D$6:$D$805,"销售出库",购销流水!$B$6:$B$805,"&lt;"&amp;$A$4)-SUMIFS(购销流水!$J$6:$J$805,购销流水!$C$6:$C$805,$A63,购销流水!$F$6:$F$805,$B63,购销流水!$D$6:$D$805,"销售退回",购销流水!$B$6:$B$805,"&lt;"&amp;$A$4)+SUMIFS(生产加工!$I$6:$I$305,生产加工!$C$6:$C$305,$A63,生产加工!$F$6:$F$305,$B63,生产加工!$E$6:$E$305,"领用投入",生产加工!$B$6:$B$305,"&lt;"&amp;$A$4)))</f>
        <v/>
      </c>
      <c r="F63" s="40" t="str">
        <f aca="false">IF($B63="","",ROUND($E63*$M63,2))</f>
        <v/>
      </c>
      <c r="G63" s="82" t="str">
        <f aca="false">IF($B63="","",SUMIFS(购销流水!$J$6:$J$805,购销流水!$C$6:$C$805,$A63,购销流水!$F$6:$F$805,$B63,购销流水!$D$6:$D$805,"采购入库",购销流水!$B$6:$B$805,"&gt;="&amp;$A$4,购销流水!$B$6:$B$805,"&lt;="&amp;$B$4)-SUMIFS(购销流水!$J$6:$J$805,购销流水!$C$6:$C$805,$A63,购销流水!$F$6:$F$805,$B63,购销流水!$D$6:$D$805,"采购退回",购销流水!$B$6:$B$805,"&gt;="&amp;$A$4,购销流水!$B$6:$B$805,"&lt;="&amp;$B$4)+SUMIFS(生产加工!$I$6:$I$305,生产加工!$C$6:$C$305,$A63,生产加工!$F$6:$F$305,$B63,生产加工!$E$6:$E$305,"产成品入库",生产加工!$B$6:$B$305,"&gt;="&amp;$A$4,生产加工!$B$6:$B$305,"&lt;="&amp;$B$4))</f>
        <v/>
      </c>
      <c r="H63" s="40" t="str">
        <f aca="false">IF($B63="","",ROUND($G63*$M63,2))</f>
        <v/>
      </c>
      <c r="I63" s="82" t="str">
        <f aca="false">IF($B63="","",SUMIFS(购销流水!$J$6:$J$805,购销流水!$C$6:$C$805,$A63,购销流水!$F$6:$F$805,$B63,购销流水!$D$6:$D$805,"销售出库",购销流水!$B$6:$B$805,"&gt;="&amp;$A$4,购销流水!$B$6:$B$805,"&lt;="&amp;$B$4)-SUMIFS(购销流水!$J$6:$J$805,购销流水!$C$6:$C$805,$A63,购销流水!$F$6:$F$805,$B63,购销流水!$D$6:$D$805,"销售退回",购销流水!$B$6:$B$805,"&gt;="&amp;$A$4,购销流水!$B$6:$B$805,"&lt;="&amp;$B$4)+SUMIFS(生产加工!$I$6:$I$305,生产加工!$C$6:$C$305,$A63,生产加工!$F$6:$F$305,$B63,生产加工!$E$6:$E$305,"领用投入",生产加工!$B$6:$B$305,"&gt;="&amp;$A$4,生产加工!$B$6:$B$305,"&lt;="&amp;$B$4))</f>
        <v/>
      </c>
      <c r="J63" s="40" t="str">
        <f aca="false">IF($B63="","",ROUND($I63*$M63,2))</f>
        <v/>
      </c>
      <c r="K63" s="84" t="str">
        <f aca="false">IF($B63="","",$E63+$G63-$I63)</f>
        <v/>
      </c>
      <c r="L63" s="42" t="str">
        <f aca="false">IF($B63="","",ROUND($K63*$M63,2))</f>
        <v/>
      </c>
      <c r="M63" s="85" t="str">
        <f aca="false">IF($B63="","",进销存台账!$N62)</f>
        <v/>
      </c>
      <c r="N63" s="64" t="str">
        <f aca="false">IF($B63="","",IF(OR($E63&lt;&gt;0,$G63&lt;&gt;0,$I63&lt;&gt;0),"有",""))</f>
        <v/>
      </c>
    </row>
    <row r="64" customFormat="false" ht="15" hidden="true" customHeight="false" outlineLevel="0" collapsed="false">
      <c r="A64" s="25" t="str">
        <f aca="false">IF(进销存台账!$B63="","",进销存台账!$A63)</f>
        <v/>
      </c>
      <c r="B64" s="25" t="str">
        <f aca="false">IF(进销存台账!$B63="","",进销存台账!$B63)</f>
        <v/>
      </c>
      <c r="C64" s="10" t="str">
        <f aca="false">IF($B64="","",进销存台账!$C63)</f>
        <v/>
      </c>
      <c r="D64" s="25" t="str">
        <f aca="false">IF($B64="","",进销存台账!$E63)</f>
        <v/>
      </c>
      <c r="E64" s="82" t="str">
        <f aca="false">IF($B64="","",进销存台账!$H63+SUMIFS(购销流水!$J$6:$J$805,购销流水!$C$6:$C$805,$A64,购销流水!$F$6:$F$805,$B64,购销流水!$D$6:$D$805,"采购入库",购销流水!$B$6:$B$805,"&lt;"&amp;$A$4)-SUMIFS(购销流水!$J$6:$J$805,购销流水!$C$6:$C$805,$A64,购销流水!$F$6:$F$805,$B64,购销流水!$D$6:$D$805,"采购退回",购销流水!$B$6:$B$805,"&lt;"&amp;$A$4)+SUMIFS(生产加工!$I$6:$I$305,生产加工!$C$6:$C$305,$A64,生产加工!$F$6:$F$305,$B64,生产加工!$E$6:$E$305,"产成品入库",生产加工!$B$6:$B$305,"&lt;"&amp;$A$4)-(SUMIFS(购销流水!$J$6:$J$805,购销流水!$C$6:$C$805,$A64,购销流水!$F$6:$F$805,$B64,购销流水!$D$6:$D$805,"销售出库",购销流水!$B$6:$B$805,"&lt;"&amp;$A$4)-SUMIFS(购销流水!$J$6:$J$805,购销流水!$C$6:$C$805,$A64,购销流水!$F$6:$F$805,$B64,购销流水!$D$6:$D$805,"销售退回",购销流水!$B$6:$B$805,"&lt;"&amp;$A$4)+SUMIFS(生产加工!$I$6:$I$305,生产加工!$C$6:$C$305,$A64,生产加工!$F$6:$F$305,$B64,生产加工!$E$6:$E$305,"领用投入",生产加工!$B$6:$B$305,"&lt;"&amp;$A$4)))</f>
        <v/>
      </c>
      <c r="F64" s="40" t="str">
        <f aca="false">IF($B64="","",ROUND($E64*$M64,2))</f>
        <v/>
      </c>
      <c r="G64" s="82" t="str">
        <f aca="false">IF($B64="","",SUMIFS(购销流水!$J$6:$J$805,购销流水!$C$6:$C$805,$A64,购销流水!$F$6:$F$805,$B64,购销流水!$D$6:$D$805,"采购入库",购销流水!$B$6:$B$805,"&gt;="&amp;$A$4,购销流水!$B$6:$B$805,"&lt;="&amp;$B$4)-SUMIFS(购销流水!$J$6:$J$805,购销流水!$C$6:$C$805,$A64,购销流水!$F$6:$F$805,$B64,购销流水!$D$6:$D$805,"采购退回",购销流水!$B$6:$B$805,"&gt;="&amp;$A$4,购销流水!$B$6:$B$805,"&lt;="&amp;$B$4)+SUMIFS(生产加工!$I$6:$I$305,生产加工!$C$6:$C$305,$A64,生产加工!$F$6:$F$305,$B64,生产加工!$E$6:$E$305,"产成品入库",生产加工!$B$6:$B$305,"&gt;="&amp;$A$4,生产加工!$B$6:$B$305,"&lt;="&amp;$B$4))</f>
        <v/>
      </c>
      <c r="H64" s="40" t="str">
        <f aca="false">IF($B64="","",ROUND($G64*$M64,2))</f>
        <v/>
      </c>
      <c r="I64" s="82" t="str">
        <f aca="false">IF($B64="","",SUMIFS(购销流水!$J$6:$J$805,购销流水!$C$6:$C$805,$A64,购销流水!$F$6:$F$805,$B64,购销流水!$D$6:$D$805,"销售出库",购销流水!$B$6:$B$805,"&gt;="&amp;$A$4,购销流水!$B$6:$B$805,"&lt;="&amp;$B$4)-SUMIFS(购销流水!$J$6:$J$805,购销流水!$C$6:$C$805,$A64,购销流水!$F$6:$F$805,$B64,购销流水!$D$6:$D$805,"销售退回",购销流水!$B$6:$B$805,"&gt;="&amp;$A$4,购销流水!$B$6:$B$805,"&lt;="&amp;$B$4)+SUMIFS(生产加工!$I$6:$I$305,生产加工!$C$6:$C$305,$A64,生产加工!$F$6:$F$305,$B64,生产加工!$E$6:$E$305,"领用投入",生产加工!$B$6:$B$305,"&gt;="&amp;$A$4,生产加工!$B$6:$B$305,"&lt;="&amp;$B$4))</f>
        <v/>
      </c>
      <c r="J64" s="40" t="str">
        <f aca="false">IF($B64="","",ROUND($I64*$M64,2))</f>
        <v/>
      </c>
      <c r="K64" s="84" t="str">
        <f aca="false">IF($B64="","",$E64+$G64-$I64)</f>
        <v/>
      </c>
      <c r="L64" s="42" t="str">
        <f aca="false">IF($B64="","",ROUND($K64*$M64,2))</f>
        <v/>
      </c>
      <c r="M64" s="85" t="str">
        <f aca="false">IF($B64="","",进销存台账!$N63)</f>
        <v/>
      </c>
      <c r="N64" s="64" t="str">
        <f aca="false">IF($B64="","",IF(OR($E64&lt;&gt;0,$G64&lt;&gt;0,$I64&lt;&gt;0),"有",""))</f>
        <v/>
      </c>
    </row>
    <row r="65" customFormat="false" ht="15" hidden="true" customHeight="false" outlineLevel="0" collapsed="false">
      <c r="A65" s="25" t="str">
        <f aca="false">IF(进销存台账!$B64="","",进销存台账!$A64)</f>
        <v/>
      </c>
      <c r="B65" s="25" t="str">
        <f aca="false">IF(进销存台账!$B64="","",进销存台账!$B64)</f>
        <v/>
      </c>
      <c r="C65" s="10" t="str">
        <f aca="false">IF($B65="","",进销存台账!$C64)</f>
        <v/>
      </c>
      <c r="D65" s="25" t="str">
        <f aca="false">IF($B65="","",进销存台账!$E64)</f>
        <v/>
      </c>
      <c r="E65" s="82" t="str">
        <f aca="false">IF($B65="","",进销存台账!$H64+SUMIFS(购销流水!$J$6:$J$805,购销流水!$C$6:$C$805,$A65,购销流水!$F$6:$F$805,$B65,购销流水!$D$6:$D$805,"采购入库",购销流水!$B$6:$B$805,"&lt;"&amp;$A$4)-SUMIFS(购销流水!$J$6:$J$805,购销流水!$C$6:$C$805,$A65,购销流水!$F$6:$F$805,$B65,购销流水!$D$6:$D$805,"采购退回",购销流水!$B$6:$B$805,"&lt;"&amp;$A$4)+SUMIFS(生产加工!$I$6:$I$305,生产加工!$C$6:$C$305,$A65,生产加工!$F$6:$F$305,$B65,生产加工!$E$6:$E$305,"产成品入库",生产加工!$B$6:$B$305,"&lt;"&amp;$A$4)-(SUMIFS(购销流水!$J$6:$J$805,购销流水!$C$6:$C$805,$A65,购销流水!$F$6:$F$805,$B65,购销流水!$D$6:$D$805,"销售出库",购销流水!$B$6:$B$805,"&lt;"&amp;$A$4)-SUMIFS(购销流水!$J$6:$J$805,购销流水!$C$6:$C$805,$A65,购销流水!$F$6:$F$805,$B65,购销流水!$D$6:$D$805,"销售退回",购销流水!$B$6:$B$805,"&lt;"&amp;$A$4)+SUMIFS(生产加工!$I$6:$I$305,生产加工!$C$6:$C$305,$A65,生产加工!$F$6:$F$305,$B65,生产加工!$E$6:$E$305,"领用投入",生产加工!$B$6:$B$305,"&lt;"&amp;$A$4)))</f>
        <v/>
      </c>
      <c r="F65" s="40" t="str">
        <f aca="false">IF($B65="","",ROUND($E65*$M65,2))</f>
        <v/>
      </c>
      <c r="G65" s="82" t="str">
        <f aca="false">IF($B65="","",SUMIFS(购销流水!$J$6:$J$805,购销流水!$C$6:$C$805,$A65,购销流水!$F$6:$F$805,$B65,购销流水!$D$6:$D$805,"采购入库",购销流水!$B$6:$B$805,"&gt;="&amp;$A$4,购销流水!$B$6:$B$805,"&lt;="&amp;$B$4)-SUMIFS(购销流水!$J$6:$J$805,购销流水!$C$6:$C$805,$A65,购销流水!$F$6:$F$805,$B65,购销流水!$D$6:$D$805,"采购退回",购销流水!$B$6:$B$805,"&gt;="&amp;$A$4,购销流水!$B$6:$B$805,"&lt;="&amp;$B$4)+SUMIFS(生产加工!$I$6:$I$305,生产加工!$C$6:$C$305,$A65,生产加工!$F$6:$F$305,$B65,生产加工!$E$6:$E$305,"产成品入库",生产加工!$B$6:$B$305,"&gt;="&amp;$A$4,生产加工!$B$6:$B$305,"&lt;="&amp;$B$4))</f>
        <v/>
      </c>
      <c r="H65" s="40" t="str">
        <f aca="false">IF($B65="","",ROUND($G65*$M65,2))</f>
        <v/>
      </c>
      <c r="I65" s="82" t="str">
        <f aca="false">IF($B65="","",SUMIFS(购销流水!$J$6:$J$805,购销流水!$C$6:$C$805,$A65,购销流水!$F$6:$F$805,$B65,购销流水!$D$6:$D$805,"销售出库",购销流水!$B$6:$B$805,"&gt;="&amp;$A$4,购销流水!$B$6:$B$805,"&lt;="&amp;$B$4)-SUMIFS(购销流水!$J$6:$J$805,购销流水!$C$6:$C$805,$A65,购销流水!$F$6:$F$805,$B65,购销流水!$D$6:$D$805,"销售退回",购销流水!$B$6:$B$805,"&gt;="&amp;$A$4,购销流水!$B$6:$B$805,"&lt;="&amp;$B$4)+SUMIFS(生产加工!$I$6:$I$305,生产加工!$C$6:$C$305,$A65,生产加工!$F$6:$F$305,$B65,生产加工!$E$6:$E$305,"领用投入",生产加工!$B$6:$B$305,"&gt;="&amp;$A$4,生产加工!$B$6:$B$305,"&lt;="&amp;$B$4))</f>
        <v/>
      </c>
      <c r="J65" s="40" t="str">
        <f aca="false">IF($B65="","",ROUND($I65*$M65,2))</f>
        <v/>
      </c>
      <c r="K65" s="84" t="str">
        <f aca="false">IF($B65="","",$E65+$G65-$I65)</f>
        <v/>
      </c>
      <c r="L65" s="42" t="str">
        <f aca="false">IF($B65="","",ROUND($K65*$M65,2))</f>
        <v/>
      </c>
      <c r="M65" s="85" t="str">
        <f aca="false">IF($B65="","",进销存台账!$N64)</f>
        <v/>
      </c>
      <c r="N65" s="64" t="str">
        <f aca="false">IF($B65="","",IF(OR($E65&lt;&gt;0,$G65&lt;&gt;0,$I65&lt;&gt;0),"有",""))</f>
        <v/>
      </c>
    </row>
    <row r="66" customFormat="false" ht="15" hidden="true" customHeight="false" outlineLevel="0" collapsed="false">
      <c r="A66" s="25" t="str">
        <f aca="false">IF(进销存台账!$B65="","",进销存台账!$A65)</f>
        <v/>
      </c>
      <c r="B66" s="25" t="str">
        <f aca="false">IF(进销存台账!$B65="","",进销存台账!$B65)</f>
        <v/>
      </c>
      <c r="C66" s="10" t="str">
        <f aca="false">IF($B66="","",进销存台账!$C65)</f>
        <v/>
      </c>
      <c r="D66" s="25" t="str">
        <f aca="false">IF($B66="","",进销存台账!$E65)</f>
        <v/>
      </c>
      <c r="E66" s="82" t="str">
        <f aca="false">IF($B66="","",进销存台账!$H65+SUMIFS(购销流水!$J$6:$J$805,购销流水!$C$6:$C$805,$A66,购销流水!$F$6:$F$805,$B66,购销流水!$D$6:$D$805,"采购入库",购销流水!$B$6:$B$805,"&lt;"&amp;$A$4)-SUMIFS(购销流水!$J$6:$J$805,购销流水!$C$6:$C$805,$A66,购销流水!$F$6:$F$805,$B66,购销流水!$D$6:$D$805,"采购退回",购销流水!$B$6:$B$805,"&lt;"&amp;$A$4)+SUMIFS(生产加工!$I$6:$I$305,生产加工!$C$6:$C$305,$A66,生产加工!$F$6:$F$305,$B66,生产加工!$E$6:$E$305,"产成品入库",生产加工!$B$6:$B$305,"&lt;"&amp;$A$4)-(SUMIFS(购销流水!$J$6:$J$805,购销流水!$C$6:$C$805,$A66,购销流水!$F$6:$F$805,$B66,购销流水!$D$6:$D$805,"销售出库",购销流水!$B$6:$B$805,"&lt;"&amp;$A$4)-SUMIFS(购销流水!$J$6:$J$805,购销流水!$C$6:$C$805,$A66,购销流水!$F$6:$F$805,$B66,购销流水!$D$6:$D$805,"销售退回",购销流水!$B$6:$B$805,"&lt;"&amp;$A$4)+SUMIFS(生产加工!$I$6:$I$305,生产加工!$C$6:$C$305,$A66,生产加工!$F$6:$F$305,$B66,生产加工!$E$6:$E$305,"领用投入",生产加工!$B$6:$B$305,"&lt;"&amp;$A$4)))</f>
        <v/>
      </c>
      <c r="F66" s="40" t="str">
        <f aca="false">IF($B66="","",ROUND($E66*$M66,2))</f>
        <v/>
      </c>
      <c r="G66" s="82" t="str">
        <f aca="false">IF($B66="","",SUMIFS(购销流水!$J$6:$J$805,购销流水!$C$6:$C$805,$A66,购销流水!$F$6:$F$805,$B66,购销流水!$D$6:$D$805,"采购入库",购销流水!$B$6:$B$805,"&gt;="&amp;$A$4,购销流水!$B$6:$B$805,"&lt;="&amp;$B$4)-SUMIFS(购销流水!$J$6:$J$805,购销流水!$C$6:$C$805,$A66,购销流水!$F$6:$F$805,$B66,购销流水!$D$6:$D$805,"采购退回",购销流水!$B$6:$B$805,"&gt;="&amp;$A$4,购销流水!$B$6:$B$805,"&lt;="&amp;$B$4)+SUMIFS(生产加工!$I$6:$I$305,生产加工!$C$6:$C$305,$A66,生产加工!$F$6:$F$305,$B66,生产加工!$E$6:$E$305,"产成品入库",生产加工!$B$6:$B$305,"&gt;="&amp;$A$4,生产加工!$B$6:$B$305,"&lt;="&amp;$B$4))</f>
        <v/>
      </c>
      <c r="H66" s="40" t="str">
        <f aca="false">IF($B66="","",ROUND($G66*$M66,2))</f>
        <v/>
      </c>
      <c r="I66" s="82" t="str">
        <f aca="false">IF($B66="","",SUMIFS(购销流水!$J$6:$J$805,购销流水!$C$6:$C$805,$A66,购销流水!$F$6:$F$805,$B66,购销流水!$D$6:$D$805,"销售出库",购销流水!$B$6:$B$805,"&gt;="&amp;$A$4,购销流水!$B$6:$B$805,"&lt;="&amp;$B$4)-SUMIFS(购销流水!$J$6:$J$805,购销流水!$C$6:$C$805,$A66,购销流水!$F$6:$F$805,$B66,购销流水!$D$6:$D$805,"销售退回",购销流水!$B$6:$B$805,"&gt;="&amp;$A$4,购销流水!$B$6:$B$805,"&lt;="&amp;$B$4)+SUMIFS(生产加工!$I$6:$I$305,生产加工!$C$6:$C$305,$A66,生产加工!$F$6:$F$305,$B66,生产加工!$E$6:$E$305,"领用投入",生产加工!$B$6:$B$305,"&gt;="&amp;$A$4,生产加工!$B$6:$B$305,"&lt;="&amp;$B$4))</f>
        <v/>
      </c>
      <c r="J66" s="40" t="str">
        <f aca="false">IF($B66="","",ROUND($I66*$M66,2))</f>
        <v/>
      </c>
      <c r="K66" s="84" t="str">
        <f aca="false">IF($B66="","",$E66+$G66-$I66)</f>
        <v/>
      </c>
      <c r="L66" s="42" t="str">
        <f aca="false">IF($B66="","",ROUND($K66*$M66,2))</f>
        <v/>
      </c>
      <c r="M66" s="85" t="str">
        <f aca="false">IF($B66="","",进销存台账!$N65)</f>
        <v/>
      </c>
      <c r="N66" s="64" t="str">
        <f aca="false">IF($B66="","",IF(OR($E66&lt;&gt;0,$G66&lt;&gt;0,$I66&lt;&gt;0),"有",""))</f>
        <v/>
      </c>
    </row>
  </sheetData>
  <autoFilter ref="A5:N66">
    <filterColumn colId="13">
      <filters>
        <filter val="有"/>
      </filters>
    </filterColumn>
  </autoFilter>
  <mergeCells count="3">
    <mergeCell ref="A1:N1"/>
    <mergeCell ref="A2:N2"/>
    <mergeCell ref="H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tru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11" min="3" style="0" width="15"/>
    <col collapsed="false" customWidth="true" hidden="false" outlineLevel="0" max="12" min="12" style="0" width="6"/>
  </cols>
  <sheetData>
    <row r="1" customFormat="false" ht="25.5" hidden="false" customHeight="true" outlineLevel="0" collapsed="false">
      <c r="A1" s="1" t="s">
        <v>868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869</v>
      </c>
      <c r="B3" s="87" t="s">
        <v>110</v>
      </c>
      <c r="C3" s="3" t="s">
        <v>571</v>
      </c>
      <c r="D3" s="68" t="n">
        <v>2026</v>
      </c>
      <c r="E3" s="3" t="s">
        <v>733</v>
      </c>
      <c r="F3" s="69"/>
      <c r="G3" s="3" t="s">
        <v>734</v>
      </c>
      <c r="H3" s="69"/>
      <c r="I3" s="3" t="s">
        <v>735</v>
      </c>
      <c r="J3" s="70" t="str">
        <f aca="false">IF(AND($D$3="",$F$3="",$H$3=""),"全部期间",TEXT($A$4,"yyyy-mm-dd")&amp;"  至  "&amp;TEXT($B$4,"yyyy-mm-dd"))&amp;"　｜　公司："&amp;IF($B$3="","（未选）",$B$3)&amp;"　｜　"&amp;"年度/起止都留空＝全部期间；只填年度＝按整年；填了起止就以起止为准"</f>
        <v>2026-01-01  至  2026-12-31　｜　公司：木业　｜　年度/起止都留空＝全部期间；只填年度＝按整年；填了起止就以起止为准</v>
      </c>
      <c r="K3" s="70"/>
      <c r="L3" s="70"/>
    </row>
    <row r="4" customFormat="false" ht="15" hidden="true" customHeight="false" outlineLevel="0" collapsed="false">
      <c r="A4" s="71" t="n">
        <f aca="false">IF($F$3&lt;&gt;"",$F$3,IF($D$3&lt;&gt;"",DATE($D$3,1,1),DATE(1900,1,1)))</f>
        <v>46023</v>
      </c>
      <c r="B4" s="71" t="n">
        <f aca="false">IF($H$3&lt;&gt;"",$H$3,IF($D$3&lt;&gt;"",DATE($D$3,12,31),DATE(2199,12,31)))</f>
        <v>46387</v>
      </c>
    </row>
    <row r="5" customFormat="false" ht="30" hidden="false" customHeight="true" outlineLevel="0" collapsed="false">
      <c r="A5" s="8" t="s">
        <v>41</v>
      </c>
      <c r="B5" s="8" t="s">
        <v>452</v>
      </c>
      <c r="C5" s="8" t="s">
        <v>550</v>
      </c>
      <c r="D5" s="8" t="s">
        <v>870</v>
      </c>
      <c r="E5" s="8" t="s">
        <v>871</v>
      </c>
      <c r="F5" s="8" t="s">
        <v>872</v>
      </c>
      <c r="G5" s="8" t="s">
        <v>551</v>
      </c>
      <c r="H5" s="8" t="s">
        <v>873</v>
      </c>
      <c r="I5" s="8" t="s">
        <v>874</v>
      </c>
      <c r="J5" s="8" t="s">
        <v>875</v>
      </c>
      <c r="K5" s="8" t="s">
        <v>876</v>
      </c>
      <c r="L5" s="8" t="s">
        <v>731</v>
      </c>
    </row>
    <row r="6" customFormat="false" ht="15" hidden="false" customHeight="false" outlineLevel="0" collapsed="false">
      <c r="A6" s="31" t="s">
        <v>536</v>
      </c>
      <c r="B6" s="31"/>
      <c r="C6" s="12" t="n">
        <f aca="false">SUM(C$7:C$86)</f>
        <v>156000</v>
      </c>
      <c r="D6" s="12" t="n">
        <f aca="false">SUM(D$7:D$86)</f>
        <v>582000</v>
      </c>
      <c r="E6" s="12" t="n">
        <f aca="false">SUM(E$7:E$86)</f>
        <v>370000</v>
      </c>
      <c r="F6" s="12" t="n">
        <f aca="false">SUM(F$7:F$86)</f>
        <v>368000</v>
      </c>
      <c r="G6" s="12" t="n">
        <f aca="false">SUM(G$7:G$86)</f>
        <v>88000</v>
      </c>
      <c r="H6" s="12" t="n">
        <f aca="false">SUM(H$7:H$86)</f>
        <v>304800</v>
      </c>
      <c r="I6" s="12" t="n">
        <f aca="false">SUM(I$7:I$86)</f>
        <v>265800</v>
      </c>
      <c r="J6" s="12" t="n">
        <f aca="false">SUM(J$7:J$86)</f>
        <v>127000</v>
      </c>
      <c r="K6" s="12" t="n">
        <f aca="false">SUM(K$7:K$86)</f>
        <v>241000</v>
      </c>
      <c r="L6" s="31"/>
    </row>
    <row r="7" customFormat="false" ht="15" hidden="false" customHeight="false" outlineLevel="0" collapsed="false">
      <c r="A7" s="10" t="str">
        <f aca="false">IF(往来单位!$A6="","",往来单位!$A6)</f>
        <v>农业基地公司</v>
      </c>
      <c r="B7" s="25" t="str">
        <f aca="false">IF($A7="","",往来单位!$B6)</f>
        <v>内部关联</v>
      </c>
      <c r="C7" s="40" t="n">
        <f aca="false">IF($A7="","",SUMIFS(期初余额!$R$6:$R$65,期初余额!$P$6:$P$65,$B$3,期初余额!$Q$6:$Q$65,$A7)+SUMIFS(记账分录!$I$6:$I$5505,记账分录!$F$6:$F$5505,$B$3,记账分录!$H$6:$H$5505,"应收账款",记账分录!$K$6:$K$5505,$A7,记账分录!$E$6:$E$5505,"&lt;"&amp;$A$4)-SUMIFS(记账分录!$J$6:$J$5505,记账分录!$F$6:$F$5505,$B$3,记账分录!$H$6:$H$5505,"应收账款",记账分录!$K$6:$K$5505,$A7,记账分录!$E$6:$E$5505,"&lt;"&amp;$A$4))</f>
        <v>0</v>
      </c>
      <c r="D7" s="40" t="n">
        <f aca="false">IF($A7="","",SUMIFS(记账分录!$I$6:$I$5505,记账分录!$F$6:$F$5505,$B$3,记账分录!$H$6:$H$5505,"应收账款",记账分录!$K$6:$K$5505,$A7,记账分录!$E$6:$E$5505,"&gt;="&amp;$A$4,记账分录!$E$6:$E$5505,"&lt;="&amp;$B$4))</f>
        <v>0</v>
      </c>
      <c r="E7" s="40" t="n">
        <f aca="false">IF($A7="","",SUMIFS(记账分录!$J$6:$J$5505,记账分录!$F$6:$F$5505,$B$3,记账分录!$H$6:$H$5505,"应收账款",记账分录!$K$6:$K$5505,$A7,记账分录!$E$6:$E$5505,"&gt;="&amp;$A$4,记账分录!$E$6:$E$5505,"&lt;="&amp;$B$4))</f>
        <v>0</v>
      </c>
      <c r="F7" s="42" t="n">
        <f aca="false">IF($A7="","",ROUND($C7+$D7-$E7,2))</f>
        <v>0</v>
      </c>
      <c r="G7" s="40" t="n">
        <f aca="false">IF($A7="","",SUMIFS(期初余额!$S$6:$S$65,期初余额!$P$6:$P$65,$B$3,期初余额!$Q$6:$Q$65,$A7)+SUMIFS(记账分录!$J$6:$J$5505,记账分录!$F$6:$F$5505,$B$3,记账分录!$H$6:$H$5505,"应付账款",记账分录!$K$6:$K$5505,$A7,记账分录!$E$6:$E$5505,"&lt;"&amp;$A$4)-SUMIFS(记账分录!$I$6:$I$5505,记账分录!$F$6:$F$5505,$B$3,记账分录!$H$6:$H$5505,"应付账款",记账分录!$K$6:$K$5505,$A7,记账分录!$E$6:$E$5505,"&lt;"&amp;$A$4))</f>
        <v>0</v>
      </c>
      <c r="H7" s="40" t="n">
        <f aca="false">IF($A7="","",SUMIFS(记账分录!$J$6:$J$5505,记账分录!$F$6:$F$5505,$B$3,记账分录!$H$6:$H$5505,"应付账款",记账分录!$K$6:$K$5505,$A7,记账分录!$E$6:$E$5505,"&gt;="&amp;$A$4,记账分录!$E$6:$E$5505,"&lt;="&amp;$B$4))</f>
        <v>189000</v>
      </c>
      <c r="I7" s="40" t="n">
        <f aca="false">IF($A7="","",SUMIFS(记账分录!$I$6:$I$5505,记账分录!$F$6:$F$5505,$B$3,记账分录!$H$6:$H$5505,"应付账款",记账分录!$K$6:$K$5505,$A7,记账分录!$E$6:$E$5505,"&gt;="&amp;$A$4,记账分录!$E$6:$E$5505,"&lt;="&amp;$B$4))</f>
        <v>150000</v>
      </c>
      <c r="J7" s="42" t="n">
        <f aca="false">IF($A7="","",ROUND($G7+$H7-$I7,2))</f>
        <v>39000</v>
      </c>
      <c r="K7" s="42" t="n">
        <f aca="false">IF($A7="","",$F7-$J7)</f>
        <v>-39000</v>
      </c>
      <c r="L7" s="64" t="str">
        <f aca="false">IF($A7="","",IF(OR(ROUND($C7,2)&lt;&gt;0,ROUND($D7,2)&lt;&gt;0,ROUND($E7,2)&lt;&gt;0,ROUND($G7,2)&lt;&gt;0,ROUND($H7,2)&lt;&gt;0,ROUND($I7,2)&lt;&gt;0),"有",""))</f>
        <v>有</v>
      </c>
    </row>
    <row r="8" customFormat="false" ht="15" hidden="false" customHeight="false" outlineLevel="0" collapsed="false">
      <c r="A8" s="10" t="str">
        <f aca="false">IF(往来单位!$A7="","",往来单位!$A7)</f>
        <v>木业公司</v>
      </c>
      <c r="B8" s="25" t="str">
        <f aca="false">IF($A8="","",往来单位!$B7)</f>
        <v>内部关联</v>
      </c>
      <c r="C8" s="40" t="n">
        <f aca="false">IF($A8="","",SUMIFS(期初余额!$R$6:$R$65,期初余额!$P$6:$P$65,$B$3,期初余额!$Q$6:$Q$65,$A8)+SUMIFS(记账分录!$I$6:$I$5505,记账分录!$F$6:$F$5505,$B$3,记账分录!$H$6:$H$5505,"应收账款",记账分录!$K$6:$K$5505,$A8,记账分录!$E$6:$E$5505,"&lt;"&amp;$A$4)-SUMIFS(记账分录!$J$6:$J$5505,记账分录!$F$6:$F$5505,$B$3,记账分录!$H$6:$H$5505,"应收账款",记账分录!$K$6:$K$5505,$A8,记账分录!$E$6:$E$5505,"&lt;"&amp;$A$4))</f>
        <v>0</v>
      </c>
      <c r="D8" s="40" t="n">
        <f aca="false">IF($A8="","",SUMIFS(记账分录!$I$6:$I$5505,记账分录!$F$6:$F$5505,$B$3,记账分录!$H$6:$H$5505,"应收账款",记账分录!$K$6:$K$5505,$A8,记账分录!$E$6:$E$5505,"&gt;="&amp;$A$4,记账分录!$E$6:$E$5505,"&lt;="&amp;$B$4))</f>
        <v>0</v>
      </c>
      <c r="E8" s="40" t="n">
        <f aca="false">IF($A8="","",SUMIFS(记账分录!$J$6:$J$5505,记账分录!$F$6:$F$5505,$B$3,记账分录!$H$6:$H$5505,"应收账款",记账分录!$K$6:$K$5505,$A8,记账分录!$E$6:$E$5505,"&gt;="&amp;$A$4,记账分录!$E$6:$E$5505,"&lt;="&amp;$B$4))</f>
        <v>0</v>
      </c>
      <c r="F8" s="42" t="n">
        <f aca="false">IF($A8="","",ROUND($C8+$D8-$E8,2))</f>
        <v>0</v>
      </c>
      <c r="G8" s="40" t="n">
        <f aca="false">IF($A8="","",SUMIFS(期初余额!$S$6:$S$65,期初余额!$P$6:$P$65,$B$3,期初余额!$Q$6:$Q$65,$A8)+SUMIFS(记账分录!$J$6:$J$5505,记账分录!$F$6:$F$5505,$B$3,记账分录!$H$6:$H$5505,"应付账款",记账分录!$K$6:$K$5505,$A8,记账分录!$E$6:$E$5505,"&lt;"&amp;$A$4)-SUMIFS(记账分录!$I$6:$I$5505,记账分录!$F$6:$F$5505,$B$3,记账分录!$H$6:$H$5505,"应付账款",记账分录!$K$6:$K$5505,$A8,记账分录!$E$6:$E$5505,"&lt;"&amp;$A$4))</f>
        <v>0</v>
      </c>
      <c r="H8" s="40" t="n">
        <f aca="false">IF($A8="","",SUMIFS(记账分录!$J$6:$J$5505,记账分录!$F$6:$F$5505,$B$3,记账分录!$H$6:$H$5505,"应付账款",记账分录!$K$6:$K$5505,$A8,记账分录!$E$6:$E$5505,"&gt;="&amp;$A$4,记账分录!$E$6:$E$5505,"&lt;="&amp;$B$4))</f>
        <v>0</v>
      </c>
      <c r="I8" s="40" t="n">
        <f aca="false">IF($A8="","",SUMIFS(记账分录!$I$6:$I$5505,记账分录!$F$6:$F$5505,$B$3,记账分录!$H$6:$H$5505,"应付账款",记账分录!$K$6:$K$5505,$A8,记账分录!$E$6:$E$5505,"&gt;="&amp;$A$4,记账分录!$E$6:$E$5505,"&lt;="&amp;$B$4))</f>
        <v>0</v>
      </c>
      <c r="J8" s="42" t="n">
        <f aca="false">IF($A8="","",ROUND($G8+$H8-$I8,2))</f>
        <v>0</v>
      </c>
      <c r="K8" s="42" t="n">
        <f aca="false">IF($A8="","",$F8-$J8)</f>
        <v>0</v>
      </c>
      <c r="L8" s="64" t="str">
        <f aca="false">IF($A8="","",IF(OR(ROUND($C8,2)&lt;&gt;0,ROUND($D8,2)&lt;&gt;0,ROUND($E8,2)&lt;&gt;0,ROUND($G8,2)&lt;&gt;0,ROUND($H8,2)&lt;&gt;0,ROUND($I8,2)&lt;&gt;0),"有",""))</f>
        <v/>
      </c>
    </row>
    <row r="9" customFormat="false" ht="15" hidden="false" customHeight="false" outlineLevel="0" collapsed="false">
      <c r="A9" s="10" t="str">
        <f aca="false">IF(往来单位!$A8="","",往来单位!$A8)</f>
        <v>科技公司</v>
      </c>
      <c r="B9" s="25" t="str">
        <f aca="false">IF($A9="","",往来单位!$B8)</f>
        <v>内部关联</v>
      </c>
      <c r="C9" s="40" t="n">
        <f aca="false">IF($A9="","",SUMIFS(期初余额!$R$6:$R$65,期初余额!$P$6:$P$65,$B$3,期初余额!$Q$6:$Q$65,$A9)+SUMIFS(记账分录!$I$6:$I$5505,记账分录!$F$6:$F$5505,$B$3,记账分录!$H$6:$H$5505,"应收账款",记账分录!$K$6:$K$5505,$A9,记账分录!$E$6:$E$5505,"&lt;"&amp;$A$4)-SUMIFS(记账分录!$J$6:$J$5505,记账分录!$F$6:$F$5505,$B$3,记账分录!$H$6:$H$5505,"应收账款",记账分录!$K$6:$K$5505,$A9,记账分录!$E$6:$E$5505,"&lt;"&amp;$A$4))</f>
        <v>0</v>
      </c>
      <c r="D9" s="40" t="n">
        <f aca="false">IF($A9="","",SUMIFS(记账分录!$I$6:$I$5505,记账分录!$F$6:$F$5505,$B$3,记账分录!$H$6:$H$5505,"应收账款",记账分录!$K$6:$K$5505,$A9,记账分录!$E$6:$E$5505,"&gt;="&amp;$A$4,记账分录!$E$6:$E$5505,"&lt;="&amp;$B$4))</f>
        <v>0</v>
      </c>
      <c r="E9" s="40" t="n">
        <f aca="false">IF($A9="","",SUMIFS(记账分录!$J$6:$J$5505,记账分录!$F$6:$F$5505,$B$3,记账分录!$H$6:$H$5505,"应收账款",记账分录!$K$6:$K$5505,$A9,记账分录!$E$6:$E$5505,"&gt;="&amp;$A$4,记账分录!$E$6:$E$5505,"&lt;="&amp;$B$4))</f>
        <v>0</v>
      </c>
      <c r="F9" s="42" t="n">
        <f aca="false">IF($A9="","",ROUND($C9+$D9-$E9,2))</f>
        <v>0</v>
      </c>
      <c r="G9" s="40" t="n">
        <f aca="false">IF($A9="","",SUMIFS(期初余额!$S$6:$S$65,期初余额!$P$6:$P$65,$B$3,期初余额!$Q$6:$Q$65,$A9)+SUMIFS(记账分录!$J$6:$J$5505,记账分录!$F$6:$F$5505,$B$3,记账分录!$H$6:$H$5505,"应付账款",记账分录!$K$6:$K$5505,$A9,记账分录!$E$6:$E$5505,"&lt;"&amp;$A$4)-SUMIFS(记账分录!$I$6:$I$5505,记账分录!$F$6:$F$5505,$B$3,记账分录!$H$6:$H$5505,"应付账款",记账分录!$K$6:$K$5505,$A9,记账分录!$E$6:$E$5505,"&lt;"&amp;$A$4))</f>
        <v>0</v>
      </c>
      <c r="H9" s="40" t="n">
        <f aca="false">IF($A9="","",SUMIFS(记账分录!$J$6:$J$5505,记账分录!$F$6:$F$5505,$B$3,记账分录!$H$6:$H$5505,"应付账款",记账分录!$K$6:$K$5505,$A9,记账分录!$E$6:$E$5505,"&gt;="&amp;$A$4,记账分录!$E$6:$E$5505,"&lt;="&amp;$B$4))</f>
        <v>0</v>
      </c>
      <c r="I9" s="40" t="n">
        <f aca="false">IF($A9="","",SUMIFS(记账分录!$I$6:$I$5505,记账分录!$F$6:$F$5505,$B$3,记账分录!$H$6:$H$5505,"应付账款",记账分录!$K$6:$K$5505,$A9,记账分录!$E$6:$E$5505,"&gt;="&amp;$A$4,记账分录!$E$6:$E$5505,"&lt;="&amp;$B$4))</f>
        <v>0</v>
      </c>
      <c r="J9" s="42" t="n">
        <f aca="false">IF($A9="","",ROUND($G9+$H9-$I9,2))</f>
        <v>0</v>
      </c>
      <c r="K9" s="42" t="n">
        <f aca="false">IF($A9="","",$F9-$J9)</f>
        <v>0</v>
      </c>
      <c r="L9" s="64" t="str">
        <f aca="false">IF($A9="","",IF(OR(ROUND($C9,2)&lt;&gt;0,ROUND($D9,2)&lt;&gt;0,ROUND($E9,2)&lt;&gt;0,ROUND($G9,2)&lt;&gt;0,ROUND($H9,2)&lt;&gt;0,ROUND($I9,2)&lt;&gt;0),"有",""))</f>
        <v/>
      </c>
    </row>
    <row r="10" customFormat="false" ht="15" hidden="false" customHeight="false" outlineLevel="0" collapsed="false">
      <c r="A10" s="10" t="str">
        <f aca="false">IF(往来单位!$A9="","",往来单位!$A9)</f>
        <v>鑫隆建材</v>
      </c>
      <c r="B10" s="25" t="str">
        <f aca="false">IF($A10="","",往来单位!$B9)</f>
        <v>客户</v>
      </c>
      <c r="C10" s="40" t="n">
        <f aca="false">IF($A10="","",SUMIFS(期初余额!$R$6:$R$65,期初余额!$P$6:$P$65,$B$3,期初余额!$Q$6:$Q$65,$A10)+SUMIFS(记账分录!$I$6:$I$5505,记账分录!$F$6:$F$5505,$B$3,记账分录!$H$6:$H$5505,"应收账款",记账分录!$K$6:$K$5505,$A10,记账分录!$E$6:$E$5505,"&lt;"&amp;$A$4)-SUMIFS(记账分录!$J$6:$J$5505,记账分录!$F$6:$F$5505,$B$3,记账分录!$H$6:$H$5505,"应收账款",记账分录!$K$6:$K$5505,$A10,记账分录!$E$6:$E$5505,"&lt;"&amp;$A$4))</f>
        <v>156000</v>
      </c>
      <c r="D10" s="40" t="n">
        <f aca="false">IF($A10="","",SUMIFS(记账分录!$I$6:$I$5505,记账分录!$F$6:$F$5505,$B$3,记账分录!$H$6:$H$5505,"应收账款",记账分录!$K$6:$K$5505,$A10,记账分录!$E$6:$E$5505,"&gt;="&amp;$A$4,记账分录!$E$6:$E$5505,"&lt;="&amp;$B$4))</f>
        <v>363000</v>
      </c>
      <c r="E10" s="40" t="n">
        <f aca="false">IF($A10="","",SUMIFS(记账分录!$J$6:$J$5505,记账分录!$F$6:$F$5505,$B$3,记账分录!$H$6:$H$5505,"应收账款",记账分录!$K$6:$K$5505,$A10,记账分录!$E$6:$E$5505,"&gt;="&amp;$A$4,记账分录!$E$6:$E$5505,"&lt;="&amp;$B$4))</f>
        <v>300000</v>
      </c>
      <c r="F10" s="42" t="n">
        <f aca="false">IF($A10="","",ROUND($C10+$D10-$E10,2))</f>
        <v>219000</v>
      </c>
      <c r="G10" s="40" t="n">
        <f aca="false">IF($A10="","",SUMIFS(期初余额!$S$6:$S$65,期初余额!$P$6:$P$65,$B$3,期初余额!$Q$6:$Q$65,$A10)+SUMIFS(记账分录!$J$6:$J$5505,记账分录!$F$6:$F$5505,$B$3,记账分录!$H$6:$H$5505,"应付账款",记账分录!$K$6:$K$5505,$A10,记账分录!$E$6:$E$5505,"&lt;"&amp;$A$4)-SUMIFS(记账分录!$I$6:$I$5505,记账分录!$F$6:$F$5505,$B$3,记账分录!$H$6:$H$5505,"应付账款",记账分录!$K$6:$K$5505,$A10,记账分录!$E$6:$E$5505,"&lt;"&amp;$A$4))</f>
        <v>0</v>
      </c>
      <c r="H10" s="40" t="n">
        <f aca="false">IF($A10="","",SUMIFS(记账分录!$J$6:$J$5505,记账分录!$F$6:$F$5505,$B$3,记账分录!$H$6:$H$5505,"应付账款",记账分录!$K$6:$K$5505,$A10,记账分录!$E$6:$E$5505,"&gt;="&amp;$A$4,记账分录!$E$6:$E$5505,"&lt;="&amp;$B$4))</f>
        <v>0</v>
      </c>
      <c r="I10" s="40" t="n">
        <f aca="false">IF($A10="","",SUMIFS(记账分录!$I$6:$I$5505,记账分录!$F$6:$F$5505,$B$3,记账分录!$H$6:$H$5505,"应付账款",记账分录!$K$6:$K$5505,$A10,记账分录!$E$6:$E$5505,"&gt;="&amp;$A$4,记账分录!$E$6:$E$5505,"&lt;="&amp;$B$4))</f>
        <v>0</v>
      </c>
      <c r="J10" s="42" t="n">
        <f aca="false">IF($A10="","",ROUND($G10+$H10-$I10,2))</f>
        <v>0</v>
      </c>
      <c r="K10" s="42" t="n">
        <f aca="false">IF($A10="","",$F10-$J10)</f>
        <v>219000</v>
      </c>
      <c r="L10" s="64" t="str">
        <f aca="false">IF($A10="","",IF(OR(ROUND($C10,2)&lt;&gt;0,ROUND($D10,2)&lt;&gt;0,ROUND($E10,2)&lt;&gt;0,ROUND($G10,2)&lt;&gt;0,ROUND($H10,2)&lt;&gt;0,ROUND($I10,2)&lt;&gt;0),"有",""))</f>
        <v>有</v>
      </c>
    </row>
    <row r="11" customFormat="false" ht="15" hidden="false" customHeight="false" outlineLevel="0" collapsed="false">
      <c r="A11" s="10" t="str">
        <f aca="false">IF(往来单位!$A10="","",往来单位!$A10)</f>
        <v>中建八局项目部</v>
      </c>
      <c r="B11" s="25" t="str">
        <f aca="false">IF($A11="","",往来单位!$B10)</f>
        <v>客户</v>
      </c>
      <c r="C11" s="40" t="n">
        <f aca="false">IF($A11="","",SUMIFS(期初余额!$R$6:$R$65,期初余额!$P$6:$P$65,$B$3,期初余额!$Q$6:$Q$65,$A11)+SUMIFS(记账分录!$I$6:$I$5505,记账分录!$F$6:$F$5505,$B$3,记账分录!$H$6:$H$5505,"应收账款",记账分录!$K$6:$K$5505,$A11,记账分录!$E$6:$E$5505,"&lt;"&amp;$A$4)-SUMIFS(记账分录!$J$6:$J$5505,记账分录!$F$6:$F$5505,$B$3,记账分录!$H$6:$H$5505,"应收账款",记账分录!$K$6:$K$5505,$A11,记账分录!$E$6:$E$5505,"&lt;"&amp;$A$4))</f>
        <v>0</v>
      </c>
      <c r="D11" s="40" t="n">
        <f aca="false">IF($A11="","",SUMIFS(记账分录!$I$6:$I$5505,记账分录!$F$6:$F$5505,$B$3,记账分录!$H$6:$H$5505,"应收账款",记账分录!$K$6:$K$5505,$A11,记账分录!$E$6:$E$5505,"&gt;="&amp;$A$4,记账分录!$E$6:$E$5505,"&lt;="&amp;$B$4))</f>
        <v>105000</v>
      </c>
      <c r="E11" s="40" t="n">
        <f aca="false">IF($A11="","",SUMIFS(记账分录!$J$6:$J$5505,记账分录!$F$6:$F$5505,$B$3,记账分录!$H$6:$H$5505,"应收账款",记账分录!$K$6:$K$5505,$A11,记账分录!$E$6:$E$5505,"&gt;="&amp;$A$4,记账分录!$E$6:$E$5505,"&lt;="&amp;$B$4))</f>
        <v>0</v>
      </c>
      <c r="F11" s="42" t="n">
        <f aca="false">IF($A11="","",ROUND($C11+$D11-$E11,2))</f>
        <v>105000</v>
      </c>
      <c r="G11" s="40" t="n">
        <f aca="false">IF($A11="","",SUMIFS(期初余额!$S$6:$S$65,期初余额!$P$6:$P$65,$B$3,期初余额!$Q$6:$Q$65,$A11)+SUMIFS(记账分录!$J$6:$J$5505,记账分录!$F$6:$F$5505,$B$3,记账分录!$H$6:$H$5505,"应付账款",记账分录!$K$6:$K$5505,$A11,记账分录!$E$6:$E$5505,"&lt;"&amp;$A$4)-SUMIFS(记账分录!$I$6:$I$5505,记账分录!$F$6:$F$5505,$B$3,记账分录!$H$6:$H$5505,"应付账款",记账分录!$K$6:$K$5505,$A11,记账分录!$E$6:$E$5505,"&lt;"&amp;$A$4))</f>
        <v>0</v>
      </c>
      <c r="H11" s="40" t="n">
        <f aca="false">IF($A11="","",SUMIFS(记账分录!$J$6:$J$5505,记账分录!$F$6:$F$5505,$B$3,记账分录!$H$6:$H$5505,"应付账款",记账分录!$K$6:$K$5505,$A11,记账分录!$E$6:$E$5505,"&gt;="&amp;$A$4,记账分录!$E$6:$E$5505,"&lt;="&amp;$B$4))</f>
        <v>0</v>
      </c>
      <c r="I11" s="40" t="n">
        <f aca="false">IF($A11="","",SUMIFS(记账分录!$I$6:$I$5505,记账分录!$F$6:$F$5505,$B$3,记账分录!$H$6:$H$5505,"应付账款",记账分录!$K$6:$K$5505,$A11,记账分录!$E$6:$E$5505,"&gt;="&amp;$A$4,记账分录!$E$6:$E$5505,"&lt;="&amp;$B$4))</f>
        <v>0</v>
      </c>
      <c r="J11" s="42" t="n">
        <f aca="false">IF($A11="","",ROUND($G11+$H11-$I11,2))</f>
        <v>0</v>
      </c>
      <c r="K11" s="42" t="n">
        <f aca="false">IF($A11="","",$F11-$J11)</f>
        <v>105000</v>
      </c>
      <c r="L11" s="64" t="str">
        <f aca="false">IF($A11="","",IF(OR(ROUND($C11,2)&lt;&gt;0,ROUND($D11,2)&lt;&gt;0,ROUND($E11,2)&lt;&gt;0,ROUND($G11,2)&lt;&gt;0,ROUND($H11,2)&lt;&gt;0,ROUND($I11,2)&lt;&gt;0),"有",""))</f>
        <v>有</v>
      </c>
    </row>
    <row r="12" customFormat="false" ht="15" hidden="false" customHeight="false" outlineLevel="0" collapsed="false">
      <c r="A12" s="10" t="str">
        <f aca="false">IF(往来单位!$A11="","",往来单位!$A11)</f>
        <v>顺达包装</v>
      </c>
      <c r="B12" s="25" t="str">
        <f aca="false">IF($A12="","",往来单位!$B11)</f>
        <v>客户</v>
      </c>
      <c r="C12" s="40" t="n">
        <f aca="false">IF($A12="","",SUMIFS(期初余额!$R$6:$R$65,期初余额!$P$6:$P$65,$B$3,期初余额!$Q$6:$Q$65,$A12)+SUMIFS(记账分录!$I$6:$I$5505,记账分录!$F$6:$F$5505,$B$3,记账分录!$H$6:$H$5505,"应收账款",记账分录!$K$6:$K$5505,$A12,记账分录!$E$6:$E$5505,"&lt;"&amp;$A$4)-SUMIFS(记账分录!$J$6:$J$5505,记账分录!$F$6:$F$5505,$B$3,记账分录!$H$6:$H$5505,"应收账款",记账分录!$K$6:$K$5505,$A12,记账分录!$E$6:$E$5505,"&lt;"&amp;$A$4))</f>
        <v>0</v>
      </c>
      <c r="D12" s="40" t="n">
        <f aca="false">IF($A12="","",SUMIFS(记账分录!$I$6:$I$5505,记账分录!$F$6:$F$5505,$B$3,记账分录!$H$6:$H$5505,"应收账款",记账分录!$K$6:$K$5505,$A12,记账分录!$E$6:$E$5505,"&gt;="&amp;$A$4,记账分录!$E$6:$E$5505,"&lt;="&amp;$B$4))</f>
        <v>92250</v>
      </c>
      <c r="E12" s="40" t="n">
        <f aca="false">IF($A12="","",SUMIFS(记账分录!$J$6:$J$5505,记账分录!$F$6:$F$5505,$B$3,记账分录!$H$6:$H$5505,"应收账款",记账分录!$K$6:$K$5505,$A12,记账分录!$E$6:$E$5505,"&gt;="&amp;$A$4,记账分录!$E$6:$E$5505,"&lt;="&amp;$B$4))</f>
        <v>70000</v>
      </c>
      <c r="F12" s="42" t="n">
        <f aca="false">IF($A12="","",ROUND($C12+$D12-$E12,2))</f>
        <v>22250</v>
      </c>
      <c r="G12" s="40" t="n">
        <f aca="false">IF($A12="","",SUMIFS(期初余额!$S$6:$S$65,期初余额!$P$6:$P$65,$B$3,期初余额!$Q$6:$Q$65,$A12)+SUMIFS(记账分录!$J$6:$J$5505,记账分录!$F$6:$F$5505,$B$3,记账分录!$H$6:$H$5505,"应付账款",记账分录!$K$6:$K$5505,$A12,记账分录!$E$6:$E$5505,"&lt;"&amp;$A$4)-SUMIFS(记账分录!$I$6:$I$5505,记账分录!$F$6:$F$5505,$B$3,记账分录!$H$6:$H$5505,"应付账款",记账分录!$K$6:$K$5505,$A12,记账分录!$E$6:$E$5505,"&lt;"&amp;$A$4))</f>
        <v>0</v>
      </c>
      <c r="H12" s="40" t="n">
        <f aca="false">IF($A12="","",SUMIFS(记账分录!$J$6:$J$5505,记账分录!$F$6:$F$5505,$B$3,记账分录!$H$6:$H$5505,"应付账款",记账分录!$K$6:$K$5505,$A12,记账分录!$E$6:$E$5505,"&gt;="&amp;$A$4,记账分录!$E$6:$E$5505,"&lt;="&amp;$B$4))</f>
        <v>0</v>
      </c>
      <c r="I12" s="40" t="n">
        <f aca="false">IF($A12="","",SUMIFS(记账分录!$I$6:$I$5505,记账分录!$F$6:$F$5505,$B$3,记账分录!$H$6:$H$5505,"应付账款",记账分录!$K$6:$K$5505,$A12,记账分录!$E$6:$E$5505,"&gt;="&amp;$A$4,记账分录!$E$6:$E$5505,"&lt;="&amp;$B$4))</f>
        <v>0</v>
      </c>
      <c r="J12" s="42" t="n">
        <f aca="false">IF($A12="","",ROUND($G12+$H12-$I12,2))</f>
        <v>0</v>
      </c>
      <c r="K12" s="42" t="n">
        <f aca="false">IF($A12="","",$F12-$J12)</f>
        <v>22250</v>
      </c>
      <c r="L12" s="64" t="str">
        <f aca="false">IF($A12="","",IF(OR(ROUND($C12,2)&lt;&gt;0,ROUND($D12,2)&lt;&gt;0,ROUND($E12,2)&lt;&gt;0,ROUND($G12,2)&lt;&gt;0,ROUND($H12,2)&lt;&gt;0,ROUND($I12,2)&lt;&gt;0),"有",""))</f>
        <v>有</v>
      </c>
    </row>
    <row r="13" customFormat="false" ht="15" hidden="false" customHeight="false" outlineLevel="0" collapsed="false">
      <c r="A13" s="10" t="str">
        <f aca="false">IF(往来单位!$A12="","",往来单位!$A12)</f>
        <v>恒诚建筑</v>
      </c>
      <c r="B13" s="25" t="str">
        <f aca="false">IF($A13="","",往来单位!$B12)</f>
        <v>客户</v>
      </c>
      <c r="C13" s="40" t="n">
        <f aca="false">IF($A13="","",SUMIFS(期初余额!$R$6:$R$65,期初余额!$P$6:$P$65,$B$3,期初余额!$Q$6:$Q$65,$A13)+SUMIFS(记账分录!$I$6:$I$5505,记账分录!$F$6:$F$5505,$B$3,记账分录!$H$6:$H$5505,"应收账款",记账分录!$K$6:$K$5505,$A13,记账分录!$E$6:$E$5505,"&lt;"&amp;$A$4)-SUMIFS(记账分录!$J$6:$J$5505,记账分录!$F$6:$F$5505,$B$3,记账分录!$H$6:$H$5505,"应收账款",记账分录!$K$6:$K$5505,$A13,记账分录!$E$6:$E$5505,"&lt;"&amp;$A$4))</f>
        <v>0</v>
      </c>
      <c r="D13" s="40" t="n">
        <f aca="false">IF($A13="","",SUMIFS(记账分录!$I$6:$I$5505,记账分录!$F$6:$F$5505,$B$3,记账分录!$H$6:$H$5505,"应收账款",记账分录!$K$6:$K$5505,$A13,记账分录!$E$6:$E$5505,"&gt;="&amp;$A$4,记账分录!$E$6:$E$5505,"&lt;="&amp;$B$4))</f>
        <v>21750</v>
      </c>
      <c r="E13" s="40" t="n">
        <f aca="false">IF($A13="","",SUMIFS(记账分录!$J$6:$J$5505,记账分录!$F$6:$F$5505,$B$3,记账分录!$H$6:$H$5505,"应收账款",记账分录!$K$6:$K$5505,$A13,记账分录!$E$6:$E$5505,"&gt;="&amp;$A$4,记账分录!$E$6:$E$5505,"&lt;="&amp;$B$4))</f>
        <v>0</v>
      </c>
      <c r="F13" s="42" t="n">
        <f aca="false">IF($A13="","",ROUND($C13+$D13-$E13,2))</f>
        <v>21750</v>
      </c>
      <c r="G13" s="40" t="n">
        <f aca="false">IF($A13="","",SUMIFS(期初余额!$S$6:$S$65,期初余额!$P$6:$P$65,$B$3,期初余额!$Q$6:$Q$65,$A13)+SUMIFS(记账分录!$J$6:$J$5505,记账分录!$F$6:$F$5505,$B$3,记账分录!$H$6:$H$5505,"应付账款",记账分录!$K$6:$K$5505,$A13,记账分录!$E$6:$E$5505,"&lt;"&amp;$A$4)-SUMIFS(记账分录!$I$6:$I$5505,记账分录!$F$6:$F$5505,$B$3,记账分录!$H$6:$H$5505,"应付账款",记账分录!$K$6:$K$5505,$A13,记账分录!$E$6:$E$5505,"&lt;"&amp;$A$4))</f>
        <v>0</v>
      </c>
      <c r="H13" s="40" t="n">
        <f aca="false">IF($A13="","",SUMIFS(记账分录!$J$6:$J$5505,记账分录!$F$6:$F$5505,$B$3,记账分录!$H$6:$H$5505,"应付账款",记账分录!$K$6:$K$5505,$A13,记账分录!$E$6:$E$5505,"&gt;="&amp;$A$4,记账分录!$E$6:$E$5505,"&lt;="&amp;$B$4))</f>
        <v>0</v>
      </c>
      <c r="I13" s="40" t="n">
        <f aca="false">IF($A13="","",SUMIFS(记账分录!$I$6:$I$5505,记账分录!$F$6:$F$5505,$B$3,记账分录!$H$6:$H$5505,"应付账款",记账分录!$K$6:$K$5505,$A13,记账分录!$E$6:$E$5505,"&gt;="&amp;$A$4,记账分录!$E$6:$E$5505,"&lt;="&amp;$B$4))</f>
        <v>0</v>
      </c>
      <c r="J13" s="42" t="n">
        <f aca="false">IF($A13="","",ROUND($G13+$H13-$I13,2))</f>
        <v>0</v>
      </c>
      <c r="K13" s="42" t="n">
        <f aca="false">IF($A13="","",$F13-$J13)</f>
        <v>21750</v>
      </c>
      <c r="L13" s="64" t="str">
        <f aca="false">IF($A13="","",IF(OR(ROUND($C13,2)&lt;&gt;0,ROUND($D13,2)&lt;&gt;0,ROUND($E13,2)&lt;&gt;0,ROUND($G13,2)&lt;&gt;0,ROUND($H13,2)&lt;&gt;0,ROUND($I13,2)&lt;&gt;0),"有",""))</f>
        <v>有</v>
      </c>
    </row>
    <row r="14" customFormat="false" ht="15" hidden="false" customHeight="false" outlineLevel="0" collapsed="false">
      <c r="A14" s="10" t="str">
        <f aca="false">IF(往来单位!$A13="","",往来单位!$A13)</f>
        <v>恒信木材行</v>
      </c>
      <c r="B14" s="25" t="str">
        <f aca="false">IF($A14="","",往来单位!$B13)</f>
        <v>客户</v>
      </c>
      <c r="C14" s="40" t="n">
        <f aca="false">IF($A14="","",SUMIFS(期初余额!$R$6:$R$65,期初余额!$P$6:$P$65,$B$3,期初余额!$Q$6:$Q$65,$A14)+SUMIFS(记账分录!$I$6:$I$5505,记账分录!$F$6:$F$5505,$B$3,记账分录!$H$6:$H$5505,"应收账款",记账分录!$K$6:$K$5505,$A14,记账分录!$E$6:$E$5505,"&lt;"&amp;$A$4)-SUMIFS(记账分录!$J$6:$J$5505,记账分录!$F$6:$F$5505,$B$3,记账分录!$H$6:$H$5505,"应收账款",记账分录!$K$6:$K$5505,$A14,记账分录!$E$6:$E$5505,"&lt;"&amp;$A$4))</f>
        <v>0</v>
      </c>
      <c r="D14" s="40" t="n">
        <f aca="false">IF($A14="","",SUMIFS(记账分录!$I$6:$I$5505,记账分录!$F$6:$F$5505,$B$3,记账分录!$H$6:$H$5505,"应收账款",记账分录!$K$6:$K$5505,$A14,记账分录!$E$6:$E$5505,"&gt;="&amp;$A$4,记账分录!$E$6:$E$5505,"&lt;="&amp;$B$4))</f>
        <v>0</v>
      </c>
      <c r="E14" s="40" t="n">
        <f aca="false">IF($A14="","",SUMIFS(记账分录!$J$6:$J$5505,记账分录!$F$6:$F$5505,$B$3,记账分录!$H$6:$H$5505,"应收账款",记账分录!$K$6:$K$5505,$A14,记账分录!$E$6:$E$5505,"&gt;="&amp;$A$4,记账分录!$E$6:$E$5505,"&lt;="&amp;$B$4))</f>
        <v>0</v>
      </c>
      <c r="F14" s="42" t="n">
        <f aca="false">IF($A14="","",ROUND($C14+$D14-$E14,2))</f>
        <v>0</v>
      </c>
      <c r="G14" s="40" t="n">
        <f aca="false">IF($A14="","",SUMIFS(期初余额!$S$6:$S$65,期初余额!$P$6:$P$65,$B$3,期初余额!$Q$6:$Q$65,$A14)+SUMIFS(记账分录!$J$6:$J$5505,记账分录!$F$6:$F$5505,$B$3,记账分录!$H$6:$H$5505,"应付账款",记账分录!$K$6:$K$5505,$A14,记账分录!$E$6:$E$5505,"&lt;"&amp;$A$4)-SUMIFS(记账分录!$I$6:$I$5505,记账分录!$F$6:$F$5505,$B$3,记账分录!$H$6:$H$5505,"应付账款",记账分录!$K$6:$K$5505,$A14,记账分录!$E$6:$E$5505,"&lt;"&amp;$A$4))</f>
        <v>0</v>
      </c>
      <c r="H14" s="40" t="n">
        <f aca="false">IF($A14="","",SUMIFS(记账分录!$J$6:$J$5505,记账分录!$F$6:$F$5505,$B$3,记账分录!$H$6:$H$5505,"应付账款",记账分录!$K$6:$K$5505,$A14,记账分录!$E$6:$E$5505,"&gt;="&amp;$A$4,记账分录!$E$6:$E$5505,"&lt;="&amp;$B$4))</f>
        <v>0</v>
      </c>
      <c r="I14" s="40" t="n">
        <f aca="false">IF($A14="","",SUMIFS(记账分录!$I$6:$I$5505,记账分录!$F$6:$F$5505,$B$3,记账分录!$H$6:$H$5505,"应付账款",记账分录!$K$6:$K$5505,$A14,记账分录!$E$6:$E$5505,"&gt;="&amp;$A$4,记账分录!$E$6:$E$5505,"&lt;="&amp;$B$4))</f>
        <v>0</v>
      </c>
      <c r="J14" s="42" t="n">
        <f aca="false">IF($A14="","",ROUND($G14+$H14-$I14,2))</f>
        <v>0</v>
      </c>
      <c r="K14" s="42" t="n">
        <f aca="false">IF($A14="","",$F14-$J14)</f>
        <v>0</v>
      </c>
      <c r="L14" s="64" t="str">
        <f aca="false">IF($A14="","",IF(OR(ROUND($C14,2)&lt;&gt;0,ROUND($D14,2)&lt;&gt;0,ROUND($E14,2)&lt;&gt;0,ROUND($G14,2)&lt;&gt;0,ROUND($H14,2)&lt;&gt;0,ROUND($I14,2)&lt;&gt;0),"有",""))</f>
        <v/>
      </c>
    </row>
    <row r="15" customFormat="false" ht="15" hidden="false" customHeight="false" outlineLevel="0" collapsed="false">
      <c r="A15" s="10" t="str">
        <f aca="false">IF(往来单位!$A14="","",往来单位!$A14)</f>
        <v>安康艾制品厂</v>
      </c>
      <c r="B15" s="25" t="str">
        <f aca="false">IF($A15="","",往来单位!$B14)</f>
        <v>客户</v>
      </c>
      <c r="C15" s="40" t="n">
        <f aca="false">IF($A15="","",SUMIFS(期初余额!$R$6:$R$65,期初余额!$P$6:$P$65,$B$3,期初余额!$Q$6:$Q$65,$A15)+SUMIFS(记账分录!$I$6:$I$5505,记账分录!$F$6:$F$5505,$B$3,记账分录!$H$6:$H$5505,"应收账款",记账分录!$K$6:$K$5505,$A15,记账分录!$E$6:$E$5505,"&lt;"&amp;$A$4)-SUMIFS(记账分录!$J$6:$J$5505,记账分录!$F$6:$F$5505,$B$3,记账分录!$H$6:$H$5505,"应收账款",记账分录!$K$6:$K$5505,$A15,记账分录!$E$6:$E$5505,"&lt;"&amp;$A$4))</f>
        <v>0</v>
      </c>
      <c r="D15" s="40" t="n">
        <f aca="false">IF($A15="","",SUMIFS(记账分录!$I$6:$I$5505,记账分录!$F$6:$F$5505,$B$3,记账分录!$H$6:$H$5505,"应收账款",记账分录!$K$6:$K$5505,$A15,记账分录!$E$6:$E$5505,"&gt;="&amp;$A$4,记账分录!$E$6:$E$5505,"&lt;="&amp;$B$4))</f>
        <v>0</v>
      </c>
      <c r="E15" s="40" t="n">
        <f aca="false">IF($A15="","",SUMIFS(记账分录!$J$6:$J$5505,记账分录!$F$6:$F$5505,$B$3,记账分录!$H$6:$H$5505,"应收账款",记账分录!$K$6:$K$5505,$A15,记账分录!$E$6:$E$5505,"&gt;="&amp;$A$4,记账分录!$E$6:$E$5505,"&lt;="&amp;$B$4))</f>
        <v>0</v>
      </c>
      <c r="F15" s="42" t="n">
        <f aca="false">IF($A15="","",ROUND($C15+$D15-$E15,2))</f>
        <v>0</v>
      </c>
      <c r="G15" s="40" t="n">
        <f aca="false">IF($A15="","",SUMIFS(期初余额!$S$6:$S$65,期初余额!$P$6:$P$65,$B$3,期初余额!$Q$6:$Q$65,$A15)+SUMIFS(记账分录!$J$6:$J$5505,记账分录!$F$6:$F$5505,$B$3,记账分录!$H$6:$H$5505,"应付账款",记账分录!$K$6:$K$5505,$A15,记账分录!$E$6:$E$5505,"&lt;"&amp;$A$4)-SUMIFS(记账分录!$I$6:$I$5505,记账分录!$F$6:$F$5505,$B$3,记账分录!$H$6:$H$5505,"应付账款",记账分录!$K$6:$K$5505,$A15,记账分录!$E$6:$E$5505,"&lt;"&amp;$A$4))</f>
        <v>0</v>
      </c>
      <c r="H15" s="40" t="n">
        <f aca="false">IF($A15="","",SUMIFS(记账分录!$J$6:$J$5505,记账分录!$F$6:$F$5505,$B$3,记账分录!$H$6:$H$5505,"应付账款",记账分录!$K$6:$K$5505,$A15,记账分录!$E$6:$E$5505,"&gt;="&amp;$A$4,记账分录!$E$6:$E$5505,"&lt;="&amp;$B$4))</f>
        <v>0</v>
      </c>
      <c r="I15" s="40" t="n">
        <f aca="false">IF($A15="","",SUMIFS(记账分录!$I$6:$I$5505,记账分录!$F$6:$F$5505,$B$3,记账分录!$H$6:$H$5505,"应付账款",记账分录!$K$6:$K$5505,$A15,记账分录!$E$6:$E$5505,"&gt;="&amp;$A$4,记账分录!$E$6:$E$5505,"&lt;="&amp;$B$4))</f>
        <v>0</v>
      </c>
      <c r="J15" s="42" t="n">
        <f aca="false">IF($A15="","",ROUND($G15+$H15-$I15,2))</f>
        <v>0</v>
      </c>
      <c r="K15" s="42" t="n">
        <f aca="false">IF($A15="","",$F15-$J15)</f>
        <v>0</v>
      </c>
      <c r="L15" s="64" t="str">
        <f aca="false">IF($A15="","",IF(OR(ROUND($C15,2)&lt;&gt;0,ROUND($D15,2)&lt;&gt;0,ROUND($E15,2)&lt;&gt;0,ROUND($G15,2)&lt;&gt;0,ROUND($H15,2)&lt;&gt;0,ROUND($I15,2)&lt;&gt;0),"有",""))</f>
        <v/>
      </c>
    </row>
    <row r="16" customFormat="false" ht="15" hidden="false" customHeight="false" outlineLevel="0" collapsed="false">
      <c r="A16" s="10" t="str">
        <f aca="false">IF(往来单位!$A15="","",往来单位!$A15)</f>
        <v>康养电商</v>
      </c>
      <c r="B16" s="25" t="str">
        <f aca="false">IF($A16="","",往来单位!$B15)</f>
        <v>客户</v>
      </c>
      <c r="C16" s="40" t="n">
        <f aca="false">IF($A16="","",SUMIFS(期初余额!$R$6:$R$65,期初余额!$P$6:$P$65,$B$3,期初余额!$Q$6:$Q$65,$A16)+SUMIFS(记账分录!$I$6:$I$5505,记账分录!$F$6:$F$5505,$B$3,记账分录!$H$6:$H$5505,"应收账款",记账分录!$K$6:$K$5505,$A16,记账分录!$E$6:$E$5505,"&lt;"&amp;$A$4)-SUMIFS(记账分录!$J$6:$J$5505,记账分录!$F$6:$F$5505,$B$3,记账分录!$H$6:$H$5505,"应收账款",记账分录!$K$6:$K$5505,$A16,记账分录!$E$6:$E$5505,"&lt;"&amp;$A$4))</f>
        <v>0</v>
      </c>
      <c r="D16" s="40" t="n">
        <f aca="false">IF($A16="","",SUMIFS(记账分录!$I$6:$I$5505,记账分录!$F$6:$F$5505,$B$3,记账分录!$H$6:$H$5505,"应收账款",记账分录!$K$6:$K$5505,$A16,记账分录!$E$6:$E$5505,"&gt;="&amp;$A$4,记账分录!$E$6:$E$5505,"&lt;="&amp;$B$4))</f>
        <v>0</v>
      </c>
      <c r="E16" s="40" t="n">
        <f aca="false">IF($A16="","",SUMIFS(记账分录!$J$6:$J$5505,记账分录!$F$6:$F$5505,$B$3,记账分录!$H$6:$H$5505,"应收账款",记账分录!$K$6:$K$5505,$A16,记账分录!$E$6:$E$5505,"&gt;="&amp;$A$4,记账分录!$E$6:$E$5505,"&lt;="&amp;$B$4))</f>
        <v>0</v>
      </c>
      <c r="F16" s="42" t="n">
        <f aca="false">IF($A16="","",ROUND($C16+$D16-$E16,2))</f>
        <v>0</v>
      </c>
      <c r="G16" s="40" t="n">
        <f aca="false">IF($A16="","",SUMIFS(期初余额!$S$6:$S$65,期初余额!$P$6:$P$65,$B$3,期初余额!$Q$6:$Q$65,$A16)+SUMIFS(记账分录!$J$6:$J$5505,记账分录!$F$6:$F$5505,$B$3,记账分录!$H$6:$H$5505,"应付账款",记账分录!$K$6:$K$5505,$A16,记账分录!$E$6:$E$5505,"&lt;"&amp;$A$4)-SUMIFS(记账分录!$I$6:$I$5505,记账分录!$F$6:$F$5505,$B$3,记账分录!$H$6:$H$5505,"应付账款",记账分录!$K$6:$K$5505,$A16,记账分录!$E$6:$E$5505,"&lt;"&amp;$A$4))</f>
        <v>0</v>
      </c>
      <c r="H16" s="40" t="n">
        <f aca="false">IF($A16="","",SUMIFS(记账分录!$J$6:$J$5505,记账分录!$F$6:$F$5505,$B$3,记账分录!$H$6:$H$5505,"应付账款",记账分录!$K$6:$K$5505,$A16,记账分录!$E$6:$E$5505,"&gt;="&amp;$A$4,记账分录!$E$6:$E$5505,"&lt;="&amp;$B$4))</f>
        <v>0</v>
      </c>
      <c r="I16" s="40" t="n">
        <f aca="false">IF($A16="","",SUMIFS(记账分录!$I$6:$I$5505,记账分录!$F$6:$F$5505,$B$3,记账分录!$H$6:$H$5505,"应付账款",记账分录!$K$6:$K$5505,$A16,记账分录!$E$6:$E$5505,"&gt;="&amp;$A$4,记账分录!$E$6:$E$5505,"&lt;="&amp;$B$4))</f>
        <v>0</v>
      </c>
      <c r="J16" s="42" t="n">
        <f aca="false">IF($A16="","",ROUND($G16+$H16-$I16,2))</f>
        <v>0</v>
      </c>
      <c r="K16" s="42" t="n">
        <f aca="false">IF($A16="","",$F16-$J16)</f>
        <v>0</v>
      </c>
      <c r="L16" s="64" t="str">
        <f aca="false">IF($A16="","",IF(OR(ROUND($C16,2)&lt;&gt;0,ROUND($D16,2)&lt;&gt;0,ROUND($E16,2)&lt;&gt;0,ROUND($G16,2)&lt;&gt;0,ROUND($H16,2)&lt;&gt;0,ROUND($I16,2)&lt;&gt;0),"有",""))</f>
        <v/>
      </c>
    </row>
    <row r="17" customFormat="false" ht="15" hidden="false" customHeight="false" outlineLevel="0" collapsed="false">
      <c r="A17" s="10" t="str">
        <f aca="false">IF(往来单位!$A16="","",往来单位!$A16)</f>
        <v>美悦日化</v>
      </c>
      <c r="B17" s="25" t="str">
        <f aca="false">IF($A17="","",往来单位!$B16)</f>
        <v>客户</v>
      </c>
      <c r="C17" s="40" t="n">
        <f aca="false">IF($A17="","",SUMIFS(期初余额!$R$6:$R$65,期初余额!$P$6:$P$65,$B$3,期初余额!$Q$6:$Q$65,$A17)+SUMIFS(记账分录!$I$6:$I$5505,记账分录!$F$6:$F$5505,$B$3,记账分录!$H$6:$H$5505,"应收账款",记账分录!$K$6:$K$5505,$A17,记账分录!$E$6:$E$5505,"&lt;"&amp;$A$4)-SUMIFS(记账分录!$J$6:$J$5505,记账分录!$F$6:$F$5505,$B$3,记账分录!$H$6:$H$5505,"应收账款",记账分录!$K$6:$K$5505,$A17,记账分录!$E$6:$E$5505,"&lt;"&amp;$A$4))</f>
        <v>0</v>
      </c>
      <c r="D17" s="40" t="n">
        <f aca="false">IF($A17="","",SUMIFS(记账分录!$I$6:$I$5505,记账分录!$F$6:$F$5505,$B$3,记账分录!$H$6:$H$5505,"应收账款",记账分录!$K$6:$K$5505,$A17,记账分录!$E$6:$E$5505,"&gt;="&amp;$A$4,记账分录!$E$6:$E$5505,"&lt;="&amp;$B$4))</f>
        <v>0</v>
      </c>
      <c r="E17" s="40" t="n">
        <f aca="false">IF($A17="","",SUMIFS(记账分录!$J$6:$J$5505,记账分录!$F$6:$F$5505,$B$3,记账分录!$H$6:$H$5505,"应收账款",记账分录!$K$6:$K$5505,$A17,记账分录!$E$6:$E$5505,"&gt;="&amp;$A$4,记账分录!$E$6:$E$5505,"&lt;="&amp;$B$4))</f>
        <v>0</v>
      </c>
      <c r="F17" s="42" t="n">
        <f aca="false">IF($A17="","",ROUND($C17+$D17-$E17,2))</f>
        <v>0</v>
      </c>
      <c r="G17" s="40" t="n">
        <f aca="false">IF($A17="","",SUMIFS(期初余额!$S$6:$S$65,期初余额!$P$6:$P$65,$B$3,期初余额!$Q$6:$Q$65,$A17)+SUMIFS(记账分录!$J$6:$J$5505,记账分录!$F$6:$F$5505,$B$3,记账分录!$H$6:$H$5505,"应付账款",记账分录!$K$6:$K$5505,$A17,记账分录!$E$6:$E$5505,"&lt;"&amp;$A$4)-SUMIFS(记账分录!$I$6:$I$5505,记账分录!$F$6:$F$5505,$B$3,记账分录!$H$6:$H$5505,"应付账款",记账分录!$K$6:$K$5505,$A17,记账分录!$E$6:$E$5505,"&lt;"&amp;$A$4))</f>
        <v>0</v>
      </c>
      <c r="H17" s="40" t="n">
        <f aca="false">IF($A17="","",SUMIFS(记账分录!$J$6:$J$5505,记账分录!$F$6:$F$5505,$B$3,记账分录!$H$6:$H$5505,"应付账款",记账分录!$K$6:$K$5505,$A17,记账分录!$E$6:$E$5505,"&gt;="&amp;$A$4,记账分录!$E$6:$E$5505,"&lt;="&amp;$B$4))</f>
        <v>0</v>
      </c>
      <c r="I17" s="40" t="n">
        <f aca="false">IF($A17="","",SUMIFS(记账分录!$I$6:$I$5505,记账分录!$F$6:$F$5505,$B$3,记账分录!$H$6:$H$5505,"应付账款",记账分录!$K$6:$K$5505,$A17,记账分录!$E$6:$E$5505,"&gt;="&amp;$A$4,记账分录!$E$6:$E$5505,"&lt;="&amp;$B$4))</f>
        <v>0</v>
      </c>
      <c r="J17" s="42" t="n">
        <f aca="false">IF($A17="","",ROUND($G17+$H17-$I17,2))</f>
        <v>0</v>
      </c>
      <c r="K17" s="42" t="n">
        <f aca="false">IF($A17="","",$F17-$J17)</f>
        <v>0</v>
      </c>
      <c r="L17" s="64" t="str">
        <f aca="false">IF($A17="","",IF(OR(ROUND($C17,2)&lt;&gt;0,ROUND($D17,2)&lt;&gt;0,ROUND($E17,2)&lt;&gt;0,ROUND($G17,2)&lt;&gt;0,ROUND($H17,2)&lt;&gt;0,ROUND($I17,2)&lt;&gt;0),"有",""))</f>
        <v/>
      </c>
    </row>
    <row r="18" customFormat="false" ht="15" hidden="false" customHeight="false" outlineLevel="0" collapsed="false">
      <c r="A18" s="10" t="str">
        <f aca="false">IF(往来单位!$A17="","",往来单位!$A17)</f>
        <v>张德富（农户）</v>
      </c>
      <c r="B18" s="25" t="str">
        <f aca="false">IF($A18="","",往来单位!$B17)</f>
        <v>供应商</v>
      </c>
      <c r="C18" s="40" t="n">
        <f aca="false">IF($A18="","",SUMIFS(期初余额!$R$6:$R$65,期初余额!$P$6:$P$65,$B$3,期初余额!$Q$6:$Q$65,$A18)+SUMIFS(记账分录!$I$6:$I$5505,记账分录!$F$6:$F$5505,$B$3,记账分录!$H$6:$H$5505,"应收账款",记账分录!$K$6:$K$5505,$A18,记账分录!$E$6:$E$5505,"&lt;"&amp;$A$4)-SUMIFS(记账分录!$J$6:$J$5505,记账分录!$F$6:$F$5505,$B$3,记账分录!$H$6:$H$5505,"应收账款",记账分录!$K$6:$K$5505,$A18,记账分录!$E$6:$E$5505,"&lt;"&amp;$A$4))</f>
        <v>0</v>
      </c>
      <c r="D18" s="40" t="n">
        <f aca="false">IF($A18="","",SUMIFS(记账分录!$I$6:$I$5505,记账分录!$F$6:$F$5505,$B$3,记账分录!$H$6:$H$5505,"应收账款",记账分录!$K$6:$K$5505,$A18,记账分录!$E$6:$E$5505,"&gt;="&amp;$A$4,记账分录!$E$6:$E$5505,"&lt;="&amp;$B$4))</f>
        <v>0</v>
      </c>
      <c r="E18" s="40" t="n">
        <f aca="false">IF($A18="","",SUMIFS(记账分录!$J$6:$J$5505,记账分录!$F$6:$F$5505,$B$3,记账分录!$H$6:$H$5505,"应收账款",记账分录!$K$6:$K$5505,$A18,记账分录!$E$6:$E$5505,"&gt;="&amp;$A$4,记账分录!$E$6:$E$5505,"&lt;="&amp;$B$4))</f>
        <v>0</v>
      </c>
      <c r="F18" s="42" t="n">
        <f aca="false">IF($A18="","",ROUND($C18+$D18-$E18,2))</f>
        <v>0</v>
      </c>
      <c r="G18" s="40" t="n">
        <f aca="false">IF($A18="","",SUMIFS(期初余额!$S$6:$S$65,期初余额!$P$6:$P$65,$B$3,期初余额!$Q$6:$Q$65,$A18)+SUMIFS(记账分录!$J$6:$J$5505,记账分录!$F$6:$F$5505,$B$3,记账分录!$H$6:$H$5505,"应付账款",记账分录!$K$6:$K$5505,$A18,记账分录!$E$6:$E$5505,"&lt;"&amp;$A$4)-SUMIFS(记账分录!$I$6:$I$5505,记账分录!$F$6:$F$5505,$B$3,记账分录!$H$6:$H$5505,"应付账款",记账分录!$K$6:$K$5505,$A18,记账分录!$E$6:$E$5505,"&lt;"&amp;$A$4))</f>
        <v>0</v>
      </c>
      <c r="H18" s="40" t="n">
        <f aca="false">IF($A18="","",SUMIFS(记账分录!$J$6:$J$5505,记账分录!$F$6:$F$5505,$B$3,记账分录!$H$6:$H$5505,"应付账款",记账分录!$K$6:$K$5505,$A18,记账分录!$E$6:$E$5505,"&gt;="&amp;$A$4,记账分录!$E$6:$E$5505,"&lt;="&amp;$B$4))</f>
        <v>58800</v>
      </c>
      <c r="I18" s="40" t="n">
        <f aca="false">IF($A18="","",SUMIFS(记账分录!$I$6:$I$5505,记账分录!$F$6:$F$5505,$B$3,记账分录!$H$6:$H$5505,"应付账款",记账分录!$K$6:$K$5505,$A18,记账分录!$E$6:$E$5505,"&gt;="&amp;$A$4,记账分录!$E$6:$E$5505,"&lt;="&amp;$B$4))</f>
        <v>58800</v>
      </c>
      <c r="J18" s="42" t="n">
        <f aca="false">IF($A18="","",ROUND($G18+$H18-$I18,2))</f>
        <v>0</v>
      </c>
      <c r="K18" s="42" t="n">
        <f aca="false">IF($A18="","",$F18-$J18)</f>
        <v>0</v>
      </c>
      <c r="L18" s="64" t="str">
        <f aca="false">IF($A18="","",IF(OR(ROUND($C18,2)&lt;&gt;0,ROUND($D18,2)&lt;&gt;0,ROUND($E18,2)&lt;&gt;0,ROUND($G18,2)&lt;&gt;0,ROUND($H18,2)&lt;&gt;0,ROUND($I18,2)&lt;&gt;0),"有",""))</f>
        <v>有</v>
      </c>
    </row>
    <row r="19" customFormat="false" ht="15" hidden="false" customHeight="false" outlineLevel="0" collapsed="false">
      <c r="A19" s="10" t="str">
        <f aca="false">IF(往来单位!$A18="","",往来单位!$A18)</f>
        <v>李长生（农户）</v>
      </c>
      <c r="B19" s="25" t="str">
        <f aca="false">IF($A19="","",往来单位!$B18)</f>
        <v>供应商</v>
      </c>
      <c r="C19" s="40" t="n">
        <f aca="false">IF($A19="","",SUMIFS(期初余额!$R$6:$R$65,期初余额!$P$6:$P$65,$B$3,期初余额!$Q$6:$Q$65,$A19)+SUMIFS(记账分录!$I$6:$I$5505,记账分录!$F$6:$F$5505,$B$3,记账分录!$H$6:$H$5505,"应收账款",记账分录!$K$6:$K$5505,$A19,记账分录!$E$6:$E$5505,"&lt;"&amp;$A$4)-SUMIFS(记账分录!$J$6:$J$5505,记账分录!$F$6:$F$5505,$B$3,记账分录!$H$6:$H$5505,"应收账款",记账分录!$K$6:$K$5505,$A19,记账分录!$E$6:$E$5505,"&lt;"&amp;$A$4))</f>
        <v>0</v>
      </c>
      <c r="D19" s="40" t="n">
        <f aca="false">IF($A19="","",SUMIFS(记账分录!$I$6:$I$5505,记账分录!$F$6:$F$5505,$B$3,记账分录!$H$6:$H$5505,"应收账款",记账分录!$K$6:$K$5505,$A19,记账分录!$E$6:$E$5505,"&gt;="&amp;$A$4,记账分录!$E$6:$E$5505,"&lt;="&amp;$B$4))</f>
        <v>0</v>
      </c>
      <c r="E19" s="40" t="n">
        <f aca="false">IF($A19="","",SUMIFS(记账分录!$J$6:$J$5505,记账分录!$F$6:$F$5505,$B$3,记账分录!$H$6:$H$5505,"应收账款",记账分录!$K$6:$K$5505,$A19,记账分录!$E$6:$E$5505,"&gt;="&amp;$A$4,记账分录!$E$6:$E$5505,"&lt;="&amp;$B$4))</f>
        <v>0</v>
      </c>
      <c r="F19" s="42" t="n">
        <f aca="false">IF($A19="","",ROUND($C19+$D19-$E19,2))</f>
        <v>0</v>
      </c>
      <c r="G19" s="40" t="n">
        <f aca="false">IF($A19="","",SUMIFS(期初余额!$S$6:$S$65,期初余额!$P$6:$P$65,$B$3,期初余额!$Q$6:$Q$65,$A19)+SUMIFS(记账分录!$J$6:$J$5505,记账分录!$F$6:$F$5505,$B$3,记账分录!$H$6:$H$5505,"应付账款",记账分录!$K$6:$K$5505,$A19,记账分录!$E$6:$E$5505,"&lt;"&amp;$A$4)-SUMIFS(记账分录!$I$6:$I$5505,记账分录!$F$6:$F$5505,$B$3,记账分录!$H$6:$H$5505,"应付账款",记账分录!$K$6:$K$5505,$A19,记账分录!$E$6:$E$5505,"&lt;"&amp;$A$4))</f>
        <v>0</v>
      </c>
      <c r="H19" s="40" t="n">
        <f aca="false">IF($A19="","",SUMIFS(记账分录!$J$6:$J$5505,记账分录!$F$6:$F$5505,$B$3,记账分录!$H$6:$H$5505,"应付账款",记账分录!$K$6:$K$5505,$A19,记账分录!$E$6:$E$5505,"&gt;="&amp;$A$4,记账分录!$E$6:$E$5505,"&lt;="&amp;$B$4))</f>
        <v>45000</v>
      </c>
      <c r="I19" s="40" t="n">
        <f aca="false">IF($A19="","",SUMIFS(记账分录!$I$6:$I$5505,记账分录!$F$6:$F$5505,$B$3,记账分录!$H$6:$H$5505,"应付账款",记账分录!$K$6:$K$5505,$A19,记账分录!$E$6:$E$5505,"&gt;="&amp;$A$4,记账分录!$E$6:$E$5505,"&lt;="&amp;$B$4))</f>
        <v>45000</v>
      </c>
      <c r="J19" s="42" t="n">
        <f aca="false">IF($A19="","",ROUND($G19+$H19-$I19,2))</f>
        <v>0</v>
      </c>
      <c r="K19" s="42" t="n">
        <f aca="false">IF($A19="","",$F19-$J19)</f>
        <v>0</v>
      </c>
      <c r="L19" s="64" t="str">
        <f aca="false">IF($A19="","",IF(OR(ROUND($C19,2)&lt;&gt;0,ROUND($D19,2)&lt;&gt;0,ROUND($E19,2)&lt;&gt;0,ROUND($G19,2)&lt;&gt;0,ROUND($H19,2)&lt;&gt;0,ROUND($I19,2)&lt;&gt;0),"有",""))</f>
        <v>有</v>
      </c>
    </row>
    <row r="20" customFormat="false" ht="15" hidden="false" customHeight="false" outlineLevel="0" collapsed="false">
      <c r="A20" s="10" t="str">
        <f aca="false">IF(往来单位!$A19="","",往来单位!$A19)</f>
        <v>农户散户（合并登记）</v>
      </c>
      <c r="B20" s="25" t="str">
        <f aca="false">IF($A20="","",往来单位!$B19)</f>
        <v>供应商</v>
      </c>
      <c r="C20" s="40" t="n">
        <f aca="false">IF($A20="","",SUMIFS(期初余额!$R$6:$R$65,期初余额!$P$6:$P$65,$B$3,期初余额!$Q$6:$Q$65,$A20)+SUMIFS(记账分录!$I$6:$I$5505,记账分录!$F$6:$F$5505,$B$3,记账分录!$H$6:$H$5505,"应收账款",记账分录!$K$6:$K$5505,$A20,记账分录!$E$6:$E$5505,"&lt;"&amp;$A$4)-SUMIFS(记账分录!$J$6:$J$5505,记账分录!$F$6:$F$5505,$B$3,记账分录!$H$6:$H$5505,"应收账款",记账分录!$K$6:$K$5505,$A20,记账分录!$E$6:$E$5505,"&lt;"&amp;$A$4))</f>
        <v>0</v>
      </c>
      <c r="D20" s="40" t="n">
        <f aca="false">IF($A20="","",SUMIFS(记账分录!$I$6:$I$5505,记账分录!$F$6:$F$5505,$B$3,记账分录!$H$6:$H$5505,"应收账款",记账分录!$K$6:$K$5505,$A20,记账分录!$E$6:$E$5505,"&gt;="&amp;$A$4,记账分录!$E$6:$E$5505,"&lt;="&amp;$B$4))</f>
        <v>0</v>
      </c>
      <c r="E20" s="40" t="n">
        <f aca="false">IF($A20="","",SUMIFS(记账分录!$J$6:$J$5505,记账分录!$F$6:$F$5505,$B$3,记账分录!$H$6:$H$5505,"应收账款",记账分录!$K$6:$K$5505,$A20,记账分录!$E$6:$E$5505,"&gt;="&amp;$A$4,记账分录!$E$6:$E$5505,"&lt;="&amp;$B$4))</f>
        <v>0</v>
      </c>
      <c r="F20" s="42" t="n">
        <f aca="false">IF($A20="","",ROUND($C20+$D20-$E20,2))</f>
        <v>0</v>
      </c>
      <c r="G20" s="40" t="n">
        <f aca="false">IF($A20="","",SUMIFS(期初余额!$S$6:$S$65,期初余额!$P$6:$P$65,$B$3,期初余额!$Q$6:$Q$65,$A20)+SUMIFS(记账分录!$J$6:$J$5505,记账分录!$F$6:$F$5505,$B$3,记账分录!$H$6:$H$5505,"应付账款",记账分录!$K$6:$K$5505,$A20,记账分录!$E$6:$E$5505,"&lt;"&amp;$A$4)-SUMIFS(记账分录!$I$6:$I$5505,记账分录!$F$6:$F$5505,$B$3,记账分录!$H$6:$H$5505,"应付账款",记账分录!$K$6:$K$5505,$A20,记账分录!$E$6:$E$5505,"&lt;"&amp;$A$4))</f>
        <v>0</v>
      </c>
      <c r="H20" s="40" t="n">
        <f aca="false">IF($A20="","",SUMIFS(记账分录!$J$6:$J$5505,记账分录!$F$6:$F$5505,$B$3,记账分录!$H$6:$H$5505,"应付账款",记账分录!$K$6:$K$5505,$A20,记账分录!$E$6:$E$5505,"&gt;="&amp;$A$4,记账分录!$E$6:$E$5505,"&lt;="&amp;$B$4))</f>
        <v>0</v>
      </c>
      <c r="I20" s="40" t="n">
        <f aca="false">IF($A20="","",SUMIFS(记账分录!$I$6:$I$5505,记账分录!$F$6:$F$5505,$B$3,记账分录!$H$6:$H$5505,"应付账款",记账分录!$K$6:$K$5505,$A20,记账分录!$E$6:$E$5505,"&gt;="&amp;$A$4,记账分录!$E$6:$E$5505,"&lt;="&amp;$B$4))</f>
        <v>0</v>
      </c>
      <c r="J20" s="42" t="n">
        <f aca="false">IF($A20="","",ROUND($G20+$H20-$I20,2))</f>
        <v>0</v>
      </c>
      <c r="K20" s="42" t="n">
        <f aca="false">IF($A20="","",$F20-$J20)</f>
        <v>0</v>
      </c>
      <c r="L20" s="64" t="str">
        <f aca="false">IF($A20="","",IF(OR(ROUND($C20,2)&lt;&gt;0,ROUND($D20,2)&lt;&gt;0,ROUND($E20,2)&lt;&gt;0,ROUND($G20,2)&lt;&gt;0,ROUND($H20,2)&lt;&gt;0,ROUND($I20,2)&lt;&gt;0),"有",""))</f>
        <v/>
      </c>
    </row>
    <row r="21" customFormat="false" ht="15" hidden="false" customHeight="false" outlineLevel="0" collapsed="false">
      <c r="A21" s="10" t="str">
        <f aca="false">IF(往来单位!$A20="","",往来单位!$A20)</f>
        <v>县农资公司</v>
      </c>
      <c r="B21" s="25" t="str">
        <f aca="false">IF($A21="","",往来单位!$B20)</f>
        <v>供应商</v>
      </c>
      <c r="C21" s="40" t="n">
        <f aca="false">IF($A21="","",SUMIFS(期初余额!$R$6:$R$65,期初余额!$P$6:$P$65,$B$3,期初余额!$Q$6:$Q$65,$A21)+SUMIFS(记账分录!$I$6:$I$5505,记账分录!$F$6:$F$5505,$B$3,记账分录!$H$6:$H$5505,"应收账款",记账分录!$K$6:$K$5505,$A21,记账分录!$E$6:$E$5505,"&lt;"&amp;$A$4)-SUMIFS(记账分录!$J$6:$J$5505,记账分录!$F$6:$F$5505,$B$3,记账分录!$H$6:$H$5505,"应收账款",记账分录!$K$6:$K$5505,$A21,记账分录!$E$6:$E$5505,"&lt;"&amp;$A$4))</f>
        <v>0</v>
      </c>
      <c r="D21" s="40" t="n">
        <f aca="false">IF($A21="","",SUMIFS(记账分录!$I$6:$I$5505,记账分录!$F$6:$F$5505,$B$3,记账分录!$H$6:$H$5505,"应收账款",记账分录!$K$6:$K$5505,$A21,记账分录!$E$6:$E$5505,"&gt;="&amp;$A$4,记账分录!$E$6:$E$5505,"&lt;="&amp;$B$4))</f>
        <v>0</v>
      </c>
      <c r="E21" s="40" t="n">
        <f aca="false">IF($A21="","",SUMIFS(记账分录!$J$6:$J$5505,记账分录!$F$6:$F$5505,$B$3,记账分录!$H$6:$H$5505,"应收账款",记账分录!$K$6:$K$5505,$A21,记账分录!$E$6:$E$5505,"&gt;="&amp;$A$4,记账分录!$E$6:$E$5505,"&lt;="&amp;$B$4))</f>
        <v>0</v>
      </c>
      <c r="F21" s="42" t="n">
        <f aca="false">IF($A21="","",ROUND($C21+$D21-$E21,2))</f>
        <v>0</v>
      </c>
      <c r="G21" s="40" t="n">
        <f aca="false">IF($A21="","",SUMIFS(期初余额!$S$6:$S$65,期初余额!$P$6:$P$65,$B$3,期初余额!$Q$6:$Q$65,$A21)+SUMIFS(记账分录!$J$6:$J$5505,记账分录!$F$6:$F$5505,$B$3,记账分录!$H$6:$H$5505,"应付账款",记账分录!$K$6:$K$5505,$A21,记账分录!$E$6:$E$5505,"&lt;"&amp;$A$4)-SUMIFS(记账分录!$I$6:$I$5505,记账分录!$F$6:$F$5505,$B$3,记账分录!$H$6:$H$5505,"应付账款",记账分录!$K$6:$K$5505,$A21,记账分录!$E$6:$E$5505,"&lt;"&amp;$A$4))</f>
        <v>0</v>
      </c>
      <c r="H21" s="40" t="n">
        <f aca="false">IF($A21="","",SUMIFS(记账分录!$J$6:$J$5505,记账分录!$F$6:$F$5505,$B$3,记账分录!$H$6:$H$5505,"应付账款",记账分录!$K$6:$K$5505,$A21,记账分录!$E$6:$E$5505,"&gt;="&amp;$A$4,记账分录!$E$6:$E$5505,"&lt;="&amp;$B$4))</f>
        <v>0</v>
      </c>
      <c r="I21" s="40" t="n">
        <f aca="false">IF($A21="","",SUMIFS(记账分录!$I$6:$I$5505,记账分录!$F$6:$F$5505,$B$3,记账分录!$H$6:$H$5505,"应付账款",记账分录!$K$6:$K$5505,$A21,记账分录!$E$6:$E$5505,"&gt;="&amp;$A$4,记账分录!$E$6:$E$5505,"&lt;="&amp;$B$4))</f>
        <v>0</v>
      </c>
      <c r="J21" s="42" t="n">
        <f aca="false">IF($A21="","",ROUND($G21+$H21-$I21,2))</f>
        <v>0</v>
      </c>
      <c r="K21" s="42" t="n">
        <f aca="false">IF($A21="","",$F21-$J21)</f>
        <v>0</v>
      </c>
      <c r="L21" s="64" t="str">
        <f aca="false">IF($A21="","",IF(OR(ROUND($C21,2)&lt;&gt;0,ROUND($D21,2)&lt;&gt;0,ROUND($E21,2)&lt;&gt;0,ROUND($G21,2)&lt;&gt;0,ROUND($H21,2)&lt;&gt;0,ROUND($I21,2)&lt;&gt;0),"有",""))</f>
        <v/>
      </c>
    </row>
    <row r="22" customFormat="false" ht="15" hidden="false" customHeight="false" outlineLevel="0" collapsed="false">
      <c r="A22" s="10" t="str">
        <f aca="false">IF(往来单位!$A21="","",往来单位!$A21)</f>
        <v>林业苗圃</v>
      </c>
      <c r="B22" s="25" t="str">
        <f aca="false">IF($A22="","",往来单位!$B21)</f>
        <v>供应商</v>
      </c>
      <c r="C22" s="40" t="n">
        <f aca="false">IF($A22="","",SUMIFS(期初余额!$R$6:$R$65,期初余额!$P$6:$P$65,$B$3,期初余额!$Q$6:$Q$65,$A22)+SUMIFS(记账分录!$I$6:$I$5505,记账分录!$F$6:$F$5505,$B$3,记账分录!$H$6:$H$5505,"应收账款",记账分录!$K$6:$K$5505,$A22,记账分录!$E$6:$E$5505,"&lt;"&amp;$A$4)-SUMIFS(记账分录!$J$6:$J$5505,记账分录!$F$6:$F$5505,$B$3,记账分录!$H$6:$H$5505,"应收账款",记账分录!$K$6:$K$5505,$A22,记账分录!$E$6:$E$5505,"&lt;"&amp;$A$4))</f>
        <v>0</v>
      </c>
      <c r="D22" s="40" t="n">
        <f aca="false">IF($A22="","",SUMIFS(记账分录!$I$6:$I$5505,记账分录!$F$6:$F$5505,$B$3,记账分录!$H$6:$H$5505,"应收账款",记账分录!$K$6:$K$5505,$A22,记账分录!$E$6:$E$5505,"&gt;="&amp;$A$4,记账分录!$E$6:$E$5505,"&lt;="&amp;$B$4))</f>
        <v>0</v>
      </c>
      <c r="E22" s="40" t="n">
        <f aca="false">IF($A22="","",SUMIFS(记账分录!$J$6:$J$5505,记账分录!$F$6:$F$5505,$B$3,记账分录!$H$6:$H$5505,"应收账款",记账分录!$K$6:$K$5505,$A22,记账分录!$E$6:$E$5505,"&gt;="&amp;$A$4,记账分录!$E$6:$E$5505,"&lt;="&amp;$B$4))</f>
        <v>0</v>
      </c>
      <c r="F22" s="42" t="n">
        <f aca="false">IF($A22="","",ROUND($C22+$D22-$E22,2))</f>
        <v>0</v>
      </c>
      <c r="G22" s="40" t="n">
        <f aca="false">IF($A22="","",SUMIFS(期初余额!$S$6:$S$65,期初余额!$P$6:$P$65,$B$3,期初余额!$Q$6:$Q$65,$A22)+SUMIFS(记账分录!$J$6:$J$5505,记账分录!$F$6:$F$5505,$B$3,记账分录!$H$6:$H$5505,"应付账款",记账分录!$K$6:$K$5505,$A22,记账分录!$E$6:$E$5505,"&lt;"&amp;$A$4)-SUMIFS(记账分录!$I$6:$I$5505,记账分录!$F$6:$F$5505,$B$3,记账分录!$H$6:$H$5505,"应付账款",记账分录!$K$6:$K$5505,$A22,记账分录!$E$6:$E$5505,"&lt;"&amp;$A$4))</f>
        <v>0</v>
      </c>
      <c r="H22" s="40" t="n">
        <f aca="false">IF($A22="","",SUMIFS(记账分录!$J$6:$J$5505,记账分录!$F$6:$F$5505,$B$3,记账分录!$H$6:$H$5505,"应付账款",记账分录!$K$6:$K$5505,$A22,记账分录!$E$6:$E$5505,"&gt;="&amp;$A$4,记账分录!$E$6:$E$5505,"&lt;="&amp;$B$4))</f>
        <v>0</v>
      </c>
      <c r="I22" s="40" t="n">
        <f aca="false">IF($A22="","",SUMIFS(记账分录!$I$6:$I$5505,记账分录!$F$6:$F$5505,$B$3,记账分录!$H$6:$H$5505,"应付账款",记账分录!$K$6:$K$5505,$A22,记账分录!$E$6:$E$5505,"&gt;="&amp;$A$4,记账分录!$E$6:$E$5505,"&lt;="&amp;$B$4))</f>
        <v>0</v>
      </c>
      <c r="J22" s="42" t="n">
        <f aca="false">IF($A22="","",ROUND($G22+$H22-$I22,2))</f>
        <v>0</v>
      </c>
      <c r="K22" s="42" t="n">
        <f aca="false">IF($A22="","",$F22-$J22)</f>
        <v>0</v>
      </c>
      <c r="L22" s="64" t="str">
        <f aca="false">IF($A22="","",IF(OR(ROUND($C22,2)&lt;&gt;0,ROUND($D22,2)&lt;&gt;0,ROUND($E22,2)&lt;&gt;0,ROUND($G22,2)&lt;&gt;0,ROUND($H22,2)&lt;&gt;0,ROUND($I22,2)&lt;&gt;0),"有",""))</f>
        <v/>
      </c>
    </row>
    <row r="23" customFormat="false" ht="15" hidden="false" customHeight="false" outlineLevel="0" collapsed="false">
      <c r="A23" s="10" t="str">
        <f aca="false">IF(往来单位!$A22="","",往来单位!$A22)</f>
        <v>华鑫化工</v>
      </c>
      <c r="B23" s="25" t="str">
        <f aca="false">IF($A23="","",往来单位!$B22)</f>
        <v>供应商</v>
      </c>
      <c r="C23" s="40" t="n">
        <f aca="false">IF($A23="","",SUMIFS(期初余额!$R$6:$R$65,期初余额!$P$6:$P$65,$B$3,期初余额!$Q$6:$Q$65,$A23)+SUMIFS(记账分录!$I$6:$I$5505,记账分录!$F$6:$F$5505,$B$3,记账分录!$H$6:$H$5505,"应收账款",记账分录!$K$6:$K$5505,$A23,记账分录!$E$6:$E$5505,"&lt;"&amp;$A$4)-SUMIFS(记账分录!$J$6:$J$5505,记账分录!$F$6:$F$5505,$B$3,记账分录!$H$6:$H$5505,"应收账款",记账分录!$K$6:$K$5505,$A23,记账分录!$E$6:$E$5505,"&lt;"&amp;$A$4))</f>
        <v>0</v>
      </c>
      <c r="D23" s="40" t="n">
        <f aca="false">IF($A23="","",SUMIFS(记账分录!$I$6:$I$5505,记账分录!$F$6:$F$5505,$B$3,记账分录!$H$6:$H$5505,"应收账款",记账分录!$K$6:$K$5505,$A23,记账分录!$E$6:$E$5505,"&gt;="&amp;$A$4,记账分录!$E$6:$E$5505,"&lt;="&amp;$B$4))</f>
        <v>0</v>
      </c>
      <c r="E23" s="40" t="n">
        <f aca="false">IF($A23="","",SUMIFS(记账分录!$J$6:$J$5505,记账分录!$F$6:$F$5505,$B$3,记账分录!$H$6:$H$5505,"应收账款",记账分录!$K$6:$K$5505,$A23,记账分录!$E$6:$E$5505,"&gt;="&amp;$A$4,记账分录!$E$6:$E$5505,"&lt;="&amp;$B$4))</f>
        <v>0</v>
      </c>
      <c r="F23" s="42" t="n">
        <f aca="false">IF($A23="","",ROUND($C23+$D23-$E23,2))</f>
        <v>0</v>
      </c>
      <c r="G23" s="40" t="n">
        <f aca="false">IF($A23="","",SUMIFS(期初余额!$S$6:$S$65,期初余额!$P$6:$P$65,$B$3,期初余额!$Q$6:$Q$65,$A23)+SUMIFS(记账分录!$J$6:$J$5505,记账分录!$F$6:$F$5505,$B$3,记账分录!$H$6:$H$5505,"应付账款",记账分录!$K$6:$K$5505,$A23,记账分录!$E$6:$E$5505,"&lt;"&amp;$A$4)-SUMIFS(记账分录!$I$6:$I$5505,记账分录!$F$6:$F$5505,$B$3,记账分录!$H$6:$H$5505,"应付账款",记账分录!$K$6:$K$5505,$A23,记账分录!$E$6:$E$5505,"&lt;"&amp;$A$4))</f>
        <v>88000</v>
      </c>
      <c r="H23" s="40" t="n">
        <f aca="false">IF($A23="","",SUMIFS(记账分录!$J$6:$J$5505,记账分录!$F$6:$F$5505,$B$3,记账分录!$H$6:$H$5505,"应付账款",记账分录!$K$6:$K$5505,$A23,记账分录!$E$6:$E$5505,"&gt;="&amp;$A$4,记账分录!$E$6:$E$5505,"&lt;="&amp;$B$4))</f>
        <v>12000</v>
      </c>
      <c r="I23" s="40" t="n">
        <f aca="false">IF($A23="","",SUMIFS(记账分录!$I$6:$I$5505,记账分录!$F$6:$F$5505,$B$3,记账分录!$H$6:$H$5505,"应付账款",记账分录!$K$6:$K$5505,$A23,记账分录!$E$6:$E$5505,"&gt;="&amp;$A$4,记账分录!$E$6:$E$5505,"&lt;="&amp;$B$4))</f>
        <v>12000</v>
      </c>
      <c r="J23" s="42" t="n">
        <f aca="false">IF($A23="","",ROUND($G23+$H23-$I23,2))</f>
        <v>88000</v>
      </c>
      <c r="K23" s="42" t="n">
        <f aca="false">IF($A23="","",$F23-$J23)</f>
        <v>-88000</v>
      </c>
      <c r="L23" s="64" t="str">
        <f aca="false">IF($A23="","",IF(OR(ROUND($C23,2)&lt;&gt;0,ROUND($D23,2)&lt;&gt;0,ROUND($E23,2)&lt;&gt;0,ROUND($G23,2)&lt;&gt;0,ROUND($H23,2)&lt;&gt;0,ROUND($I23,2)&lt;&gt;0),"有",""))</f>
        <v>有</v>
      </c>
    </row>
    <row r="24" customFormat="false" ht="15" hidden="false" customHeight="false" outlineLevel="0" collapsed="false">
      <c r="A24" s="10" t="str">
        <f aca="false">IF(往来单位!$A23="","",往来单位!$A23)</f>
        <v>晶诚玻璃</v>
      </c>
      <c r="B24" s="25" t="str">
        <f aca="false">IF($A24="","",往来单位!$B23)</f>
        <v>供应商</v>
      </c>
      <c r="C24" s="40" t="n">
        <f aca="false">IF($A24="","",SUMIFS(期初余额!$R$6:$R$65,期初余额!$P$6:$P$65,$B$3,期初余额!$Q$6:$Q$65,$A24)+SUMIFS(记账分录!$I$6:$I$5505,记账分录!$F$6:$F$5505,$B$3,记账分录!$H$6:$H$5505,"应收账款",记账分录!$K$6:$K$5505,$A24,记账分录!$E$6:$E$5505,"&lt;"&amp;$A$4)-SUMIFS(记账分录!$J$6:$J$5505,记账分录!$F$6:$F$5505,$B$3,记账分录!$H$6:$H$5505,"应收账款",记账分录!$K$6:$K$5505,$A24,记账分录!$E$6:$E$5505,"&lt;"&amp;$A$4))</f>
        <v>0</v>
      </c>
      <c r="D24" s="40" t="n">
        <f aca="false">IF($A24="","",SUMIFS(记账分录!$I$6:$I$5505,记账分录!$F$6:$F$5505,$B$3,记账分录!$H$6:$H$5505,"应收账款",记账分录!$K$6:$K$5505,$A24,记账分录!$E$6:$E$5505,"&gt;="&amp;$A$4,记账分录!$E$6:$E$5505,"&lt;="&amp;$B$4))</f>
        <v>0</v>
      </c>
      <c r="E24" s="40" t="n">
        <f aca="false">IF($A24="","",SUMIFS(记账分录!$J$6:$J$5505,记账分录!$F$6:$F$5505,$B$3,记账分录!$H$6:$H$5505,"应收账款",记账分录!$K$6:$K$5505,$A24,记账分录!$E$6:$E$5505,"&gt;="&amp;$A$4,记账分录!$E$6:$E$5505,"&lt;="&amp;$B$4))</f>
        <v>0</v>
      </c>
      <c r="F24" s="42" t="n">
        <f aca="false">IF($A24="","",ROUND($C24+$D24-$E24,2))</f>
        <v>0</v>
      </c>
      <c r="G24" s="40" t="n">
        <f aca="false">IF($A24="","",SUMIFS(期初余额!$S$6:$S$65,期初余额!$P$6:$P$65,$B$3,期初余额!$Q$6:$Q$65,$A24)+SUMIFS(记账分录!$J$6:$J$5505,记账分录!$F$6:$F$5505,$B$3,记账分录!$H$6:$H$5505,"应付账款",记账分录!$K$6:$K$5505,$A24,记账分录!$E$6:$E$5505,"&lt;"&amp;$A$4)-SUMIFS(记账分录!$I$6:$I$5505,记账分录!$F$6:$F$5505,$B$3,记账分录!$H$6:$H$5505,"应付账款",记账分录!$K$6:$K$5505,$A24,记账分录!$E$6:$E$5505,"&lt;"&amp;$A$4))</f>
        <v>0</v>
      </c>
      <c r="H24" s="40" t="n">
        <f aca="false">IF($A24="","",SUMIFS(记账分录!$J$6:$J$5505,记账分录!$F$6:$F$5505,$B$3,记账分录!$H$6:$H$5505,"应付账款",记账分录!$K$6:$K$5505,$A24,记账分录!$E$6:$E$5505,"&gt;="&amp;$A$4,记账分录!$E$6:$E$5505,"&lt;="&amp;$B$4))</f>
        <v>0</v>
      </c>
      <c r="I24" s="40" t="n">
        <f aca="false">IF($A24="","",SUMIFS(记账分录!$I$6:$I$5505,记账分录!$F$6:$F$5505,$B$3,记账分录!$H$6:$H$5505,"应付账款",记账分录!$K$6:$K$5505,$A24,记账分录!$E$6:$E$5505,"&gt;="&amp;$A$4,记账分录!$E$6:$E$5505,"&lt;="&amp;$B$4))</f>
        <v>0</v>
      </c>
      <c r="J24" s="42" t="n">
        <f aca="false">IF($A24="","",ROUND($G24+$H24-$I24,2))</f>
        <v>0</v>
      </c>
      <c r="K24" s="42" t="n">
        <f aca="false">IF($A24="","",$F24-$J24)</f>
        <v>0</v>
      </c>
      <c r="L24" s="64" t="str">
        <f aca="false">IF($A24="","",IF(OR(ROUND($C24,2)&lt;&gt;0,ROUND($D24,2)&lt;&gt;0,ROUND($E24,2)&lt;&gt;0,ROUND($G24,2)&lt;&gt;0,ROUND($H24,2)&lt;&gt;0,ROUND($I24,2)&lt;&gt;0),"有",""))</f>
        <v/>
      </c>
    </row>
    <row r="25" customFormat="false" ht="15" hidden="false" customHeight="false" outlineLevel="0" collapsed="false">
      <c r="A25" s="10" t="str">
        <f aca="false">IF(往来单位!$A24="","",往来单位!$A24)</f>
        <v>瑞丰纸品</v>
      </c>
      <c r="B25" s="25" t="str">
        <f aca="false">IF($A25="","",往来单位!$B24)</f>
        <v>供应商</v>
      </c>
      <c r="C25" s="40" t="n">
        <f aca="false">IF($A25="","",SUMIFS(期初余额!$R$6:$R$65,期初余额!$P$6:$P$65,$B$3,期初余额!$Q$6:$Q$65,$A25)+SUMIFS(记账分录!$I$6:$I$5505,记账分录!$F$6:$F$5505,$B$3,记账分录!$H$6:$H$5505,"应收账款",记账分录!$K$6:$K$5505,$A25,记账分录!$E$6:$E$5505,"&lt;"&amp;$A$4)-SUMIFS(记账分录!$J$6:$J$5505,记账分录!$F$6:$F$5505,$B$3,记账分录!$H$6:$H$5505,"应收账款",记账分录!$K$6:$K$5505,$A25,记账分录!$E$6:$E$5505,"&lt;"&amp;$A$4))</f>
        <v>0</v>
      </c>
      <c r="D25" s="40" t="n">
        <f aca="false">IF($A25="","",SUMIFS(记账分录!$I$6:$I$5505,记账分录!$F$6:$F$5505,$B$3,记账分录!$H$6:$H$5505,"应收账款",记账分录!$K$6:$K$5505,$A25,记账分录!$E$6:$E$5505,"&gt;="&amp;$A$4,记账分录!$E$6:$E$5505,"&lt;="&amp;$B$4))</f>
        <v>0</v>
      </c>
      <c r="E25" s="40" t="n">
        <f aca="false">IF($A25="","",SUMIFS(记账分录!$J$6:$J$5505,记账分录!$F$6:$F$5505,$B$3,记账分录!$H$6:$H$5505,"应收账款",记账分录!$K$6:$K$5505,$A25,记账分录!$E$6:$E$5505,"&gt;="&amp;$A$4,记账分录!$E$6:$E$5505,"&lt;="&amp;$B$4))</f>
        <v>0</v>
      </c>
      <c r="F25" s="42" t="n">
        <f aca="false">IF($A25="","",ROUND($C25+$D25-$E25,2))</f>
        <v>0</v>
      </c>
      <c r="G25" s="40" t="n">
        <f aca="false">IF($A25="","",SUMIFS(期初余额!$S$6:$S$65,期初余额!$P$6:$P$65,$B$3,期初余额!$Q$6:$Q$65,$A25)+SUMIFS(记账分录!$J$6:$J$5505,记账分录!$F$6:$F$5505,$B$3,记账分录!$H$6:$H$5505,"应付账款",记账分录!$K$6:$K$5505,$A25,记账分录!$E$6:$E$5505,"&lt;"&amp;$A$4)-SUMIFS(记账分录!$I$6:$I$5505,记账分录!$F$6:$F$5505,$B$3,记账分录!$H$6:$H$5505,"应付账款",记账分录!$K$6:$K$5505,$A25,记账分录!$E$6:$E$5505,"&lt;"&amp;$A$4))</f>
        <v>0</v>
      </c>
      <c r="H25" s="40" t="n">
        <f aca="false">IF($A25="","",SUMIFS(记账分录!$J$6:$J$5505,记账分录!$F$6:$F$5505,$B$3,记账分录!$H$6:$H$5505,"应付账款",记账分录!$K$6:$K$5505,$A25,记账分录!$E$6:$E$5505,"&gt;="&amp;$A$4,记账分录!$E$6:$E$5505,"&lt;="&amp;$B$4))</f>
        <v>0</v>
      </c>
      <c r="I25" s="40" t="n">
        <f aca="false">IF($A25="","",SUMIFS(记账分录!$I$6:$I$5505,记账分录!$F$6:$F$5505,$B$3,记账分录!$H$6:$H$5505,"应付账款",记账分录!$K$6:$K$5505,$A25,记账分录!$E$6:$E$5505,"&gt;="&amp;$A$4,记账分录!$E$6:$E$5505,"&lt;="&amp;$B$4))</f>
        <v>0</v>
      </c>
      <c r="J25" s="42" t="n">
        <f aca="false">IF($A25="","",ROUND($G25+$H25-$I25,2))</f>
        <v>0</v>
      </c>
      <c r="K25" s="42" t="n">
        <f aca="false">IF($A25="","",$F25-$J25)</f>
        <v>0</v>
      </c>
      <c r="L25" s="64" t="str">
        <f aca="false">IF($A25="","",IF(OR(ROUND($C25,2)&lt;&gt;0,ROUND($D25,2)&lt;&gt;0,ROUND($E25,2)&lt;&gt;0,ROUND($G25,2)&lt;&gt;0,ROUND($H25,2)&lt;&gt;0,ROUND($I25,2)&lt;&gt;0),"有",""))</f>
        <v/>
      </c>
    </row>
    <row r="26" customFormat="false" ht="15" hidden="false" customHeight="false" outlineLevel="0" collapsed="false">
      <c r="A26" s="10" t="str">
        <f aca="false">IF(往来单位!$A25="","",往来单位!$A25)</f>
        <v>国网供电所</v>
      </c>
      <c r="B26" s="25" t="str">
        <f aca="false">IF($A26="","",往来单位!$B25)</f>
        <v>供应商</v>
      </c>
      <c r="C26" s="40" t="n">
        <f aca="false">IF($A26="","",SUMIFS(期初余额!$R$6:$R$65,期初余额!$P$6:$P$65,$B$3,期初余额!$Q$6:$Q$65,$A26)+SUMIFS(记账分录!$I$6:$I$5505,记账分录!$F$6:$F$5505,$B$3,记账分录!$H$6:$H$5505,"应收账款",记账分录!$K$6:$K$5505,$A26,记账分录!$E$6:$E$5505,"&lt;"&amp;$A$4)-SUMIFS(记账分录!$J$6:$J$5505,记账分录!$F$6:$F$5505,$B$3,记账分录!$H$6:$H$5505,"应收账款",记账分录!$K$6:$K$5505,$A26,记账分录!$E$6:$E$5505,"&lt;"&amp;$A$4))</f>
        <v>0</v>
      </c>
      <c r="D26" s="40" t="n">
        <f aca="false">IF($A26="","",SUMIFS(记账分录!$I$6:$I$5505,记账分录!$F$6:$F$5505,$B$3,记账分录!$H$6:$H$5505,"应收账款",记账分录!$K$6:$K$5505,$A26,记账分录!$E$6:$E$5505,"&gt;="&amp;$A$4,记账分录!$E$6:$E$5505,"&lt;="&amp;$B$4))</f>
        <v>0</v>
      </c>
      <c r="E26" s="40" t="n">
        <f aca="false">IF($A26="","",SUMIFS(记账分录!$J$6:$J$5505,记账分录!$F$6:$F$5505,$B$3,记账分录!$H$6:$H$5505,"应收账款",记账分录!$K$6:$K$5505,$A26,记账分录!$E$6:$E$5505,"&gt;="&amp;$A$4,记账分录!$E$6:$E$5505,"&lt;="&amp;$B$4))</f>
        <v>0</v>
      </c>
      <c r="F26" s="42" t="n">
        <f aca="false">IF($A26="","",ROUND($C26+$D26-$E26,2))</f>
        <v>0</v>
      </c>
      <c r="G26" s="40" t="n">
        <f aca="false">IF($A26="","",SUMIFS(期初余额!$S$6:$S$65,期初余额!$P$6:$P$65,$B$3,期初余额!$Q$6:$Q$65,$A26)+SUMIFS(记账分录!$J$6:$J$5505,记账分录!$F$6:$F$5505,$B$3,记账分录!$H$6:$H$5505,"应付账款",记账分录!$K$6:$K$5505,$A26,记账分录!$E$6:$E$5505,"&lt;"&amp;$A$4)-SUMIFS(记账分录!$I$6:$I$5505,记账分录!$F$6:$F$5505,$B$3,记账分录!$H$6:$H$5505,"应付账款",记账分录!$K$6:$K$5505,$A26,记账分录!$E$6:$E$5505,"&lt;"&amp;$A$4))</f>
        <v>0</v>
      </c>
      <c r="H26" s="40" t="n">
        <f aca="false">IF($A26="","",SUMIFS(记账分录!$J$6:$J$5505,记账分录!$F$6:$F$5505,$B$3,记账分录!$H$6:$H$5505,"应付账款",记账分录!$K$6:$K$5505,$A26,记账分录!$E$6:$E$5505,"&gt;="&amp;$A$4,记账分录!$E$6:$E$5505,"&lt;="&amp;$B$4))</f>
        <v>0</v>
      </c>
      <c r="I26" s="40" t="n">
        <f aca="false">IF($A26="","",SUMIFS(记账分录!$I$6:$I$5505,记账分录!$F$6:$F$5505,$B$3,记账分录!$H$6:$H$5505,"应付账款",记账分录!$K$6:$K$5505,$A26,记账分录!$E$6:$E$5505,"&gt;="&amp;$A$4,记账分录!$E$6:$E$5505,"&lt;="&amp;$B$4))</f>
        <v>0</v>
      </c>
      <c r="J26" s="42" t="n">
        <f aca="false">IF($A26="","",ROUND($G26+$H26-$I26,2))</f>
        <v>0</v>
      </c>
      <c r="K26" s="42" t="n">
        <f aca="false">IF($A26="","",$F26-$J26)</f>
        <v>0</v>
      </c>
      <c r="L26" s="64" t="str">
        <f aca="false">IF($A26="","",IF(OR(ROUND($C26,2)&lt;&gt;0,ROUND($D26,2)&lt;&gt;0,ROUND($E26,2)&lt;&gt;0,ROUND($G26,2)&lt;&gt;0,ROUND($H26,2)&lt;&gt;0,ROUND($I26,2)&lt;&gt;0),"有",""))</f>
        <v/>
      </c>
    </row>
    <row r="27" customFormat="false" ht="15" hidden="false" customHeight="false" outlineLevel="0" collapsed="false">
      <c r="A27" s="10" t="str">
        <f aca="false">IF(往来单位!$A26="","",往来单位!$A26)</f>
        <v>天成广告</v>
      </c>
      <c r="B27" s="25" t="str">
        <f aca="false">IF($A27="","",往来单位!$B26)</f>
        <v>供应商</v>
      </c>
      <c r="C27" s="40" t="n">
        <f aca="false">IF($A27="","",SUMIFS(期初余额!$R$6:$R$65,期初余额!$P$6:$P$65,$B$3,期初余额!$Q$6:$Q$65,$A27)+SUMIFS(记账分录!$I$6:$I$5505,记账分录!$F$6:$F$5505,$B$3,记账分录!$H$6:$H$5505,"应收账款",记账分录!$K$6:$K$5505,$A27,记账分录!$E$6:$E$5505,"&lt;"&amp;$A$4)-SUMIFS(记账分录!$J$6:$J$5505,记账分录!$F$6:$F$5505,$B$3,记账分录!$H$6:$H$5505,"应收账款",记账分录!$K$6:$K$5505,$A27,记账分录!$E$6:$E$5505,"&lt;"&amp;$A$4))</f>
        <v>0</v>
      </c>
      <c r="D27" s="40" t="n">
        <f aca="false">IF($A27="","",SUMIFS(记账分录!$I$6:$I$5505,记账分录!$F$6:$F$5505,$B$3,记账分录!$H$6:$H$5505,"应收账款",记账分录!$K$6:$K$5505,$A27,记账分录!$E$6:$E$5505,"&gt;="&amp;$A$4,记账分录!$E$6:$E$5505,"&lt;="&amp;$B$4))</f>
        <v>0</v>
      </c>
      <c r="E27" s="40" t="n">
        <f aca="false">IF($A27="","",SUMIFS(记账分录!$J$6:$J$5505,记账分录!$F$6:$F$5505,$B$3,记账分录!$H$6:$H$5505,"应收账款",记账分录!$K$6:$K$5505,$A27,记账分录!$E$6:$E$5505,"&gt;="&amp;$A$4,记账分录!$E$6:$E$5505,"&lt;="&amp;$B$4))</f>
        <v>0</v>
      </c>
      <c r="F27" s="42" t="n">
        <f aca="false">IF($A27="","",ROUND($C27+$D27-$E27,2))</f>
        <v>0</v>
      </c>
      <c r="G27" s="40" t="n">
        <f aca="false">IF($A27="","",SUMIFS(期初余额!$S$6:$S$65,期初余额!$P$6:$P$65,$B$3,期初余额!$Q$6:$Q$65,$A27)+SUMIFS(记账分录!$J$6:$J$5505,记账分录!$F$6:$F$5505,$B$3,记账分录!$H$6:$H$5505,"应付账款",记账分录!$K$6:$K$5505,$A27,记账分录!$E$6:$E$5505,"&lt;"&amp;$A$4)-SUMIFS(记账分录!$I$6:$I$5505,记账分录!$F$6:$F$5505,$B$3,记账分录!$H$6:$H$5505,"应付账款",记账分录!$K$6:$K$5505,$A27,记账分录!$E$6:$E$5505,"&lt;"&amp;$A$4))</f>
        <v>0</v>
      </c>
      <c r="H27" s="40" t="n">
        <f aca="false">IF($A27="","",SUMIFS(记账分录!$J$6:$J$5505,记账分录!$F$6:$F$5505,$B$3,记账分录!$H$6:$H$5505,"应付账款",记账分录!$K$6:$K$5505,$A27,记账分录!$E$6:$E$5505,"&gt;="&amp;$A$4,记账分录!$E$6:$E$5505,"&lt;="&amp;$B$4))</f>
        <v>0</v>
      </c>
      <c r="I27" s="40" t="n">
        <f aca="false">IF($A27="","",SUMIFS(记账分录!$I$6:$I$5505,记账分录!$F$6:$F$5505,$B$3,记账分录!$H$6:$H$5505,"应付账款",记账分录!$K$6:$K$5505,$A27,记账分录!$E$6:$E$5505,"&gt;="&amp;$A$4,记账分录!$E$6:$E$5505,"&lt;="&amp;$B$4))</f>
        <v>0</v>
      </c>
      <c r="J27" s="42" t="n">
        <f aca="false">IF($A27="","",ROUND($G27+$H27-$I27,2))</f>
        <v>0</v>
      </c>
      <c r="K27" s="42" t="n">
        <f aca="false">IF($A27="","",$F27-$J27)</f>
        <v>0</v>
      </c>
      <c r="L27" s="64" t="str">
        <f aca="false">IF($A27="","",IF(OR(ROUND($C27,2)&lt;&gt;0,ROUND($D27,2)&lt;&gt;0,ROUND($E27,2)&lt;&gt;0,ROUND($G27,2)&lt;&gt;0,ROUND($H27,2)&lt;&gt;0,ROUND($I27,2)&lt;&gt;0),"有",""))</f>
        <v/>
      </c>
    </row>
    <row r="28" customFormat="false" ht="15" hidden="false" customHeight="false" outlineLevel="0" collapsed="false">
      <c r="A28" s="10" t="str">
        <f aca="false">IF(往来单位!$A27="","",往来单位!$A27)</f>
        <v>税务局</v>
      </c>
      <c r="B28" s="25" t="str">
        <f aca="false">IF($A28="","",往来单位!$B27)</f>
        <v>其他</v>
      </c>
      <c r="C28" s="40" t="n">
        <f aca="false">IF($A28="","",SUMIFS(期初余额!$R$6:$R$65,期初余额!$P$6:$P$65,$B$3,期初余额!$Q$6:$Q$65,$A28)+SUMIFS(记账分录!$I$6:$I$5505,记账分录!$F$6:$F$5505,$B$3,记账分录!$H$6:$H$5505,"应收账款",记账分录!$K$6:$K$5505,$A28,记账分录!$E$6:$E$5505,"&lt;"&amp;$A$4)-SUMIFS(记账分录!$J$6:$J$5505,记账分录!$F$6:$F$5505,$B$3,记账分录!$H$6:$H$5505,"应收账款",记账分录!$K$6:$K$5505,$A28,记账分录!$E$6:$E$5505,"&lt;"&amp;$A$4))</f>
        <v>0</v>
      </c>
      <c r="D28" s="40" t="n">
        <f aca="false">IF($A28="","",SUMIFS(记账分录!$I$6:$I$5505,记账分录!$F$6:$F$5505,$B$3,记账分录!$H$6:$H$5505,"应收账款",记账分录!$K$6:$K$5505,$A28,记账分录!$E$6:$E$5505,"&gt;="&amp;$A$4,记账分录!$E$6:$E$5505,"&lt;="&amp;$B$4))</f>
        <v>0</v>
      </c>
      <c r="E28" s="40" t="n">
        <f aca="false">IF($A28="","",SUMIFS(记账分录!$J$6:$J$5505,记账分录!$F$6:$F$5505,$B$3,记账分录!$H$6:$H$5505,"应收账款",记账分录!$K$6:$K$5505,$A28,记账分录!$E$6:$E$5505,"&gt;="&amp;$A$4,记账分录!$E$6:$E$5505,"&lt;="&amp;$B$4))</f>
        <v>0</v>
      </c>
      <c r="F28" s="42" t="n">
        <f aca="false">IF($A28="","",ROUND($C28+$D28-$E28,2))</f>
        <v>0</v>
      </c>
      <c r="G28" s="40" t="n">
        <f aca="false">IF($A28="","",SUMIFS(期初余额!$S$6:$S$65,期初余额!$P$6:$P$65,$B$3,期初余额!$Q$6:$Q$65,$A28)+SUMIFS(记账分录!$J$6:$J$5505,记账分录!$F$6:$F$5505,$B$3,记账分录!$H$6:$H$5505,"应付账款",记账分录!$K$6:$K$5505,$A28,记账分录!$E$6:$E$5505,"&lt;"&amp;$A$4)-SUMIFS(记账分录!$I$6:$I$5505,记账分录!$F$6:$F$5505,$B$3,记账分录!$H$6:$H$5505,"应付账款",记账分录!$K$6:$K$5505,$A28,记账分录!$E$6:$E$5505,"&lt;"&amp;$A$4))</f>
        <v>0</v>
      </c>
      <c r="H28" s="40" t="n">
        <f aca="false">IF($A28="","",SUMIFS(记账分录!$J$6:$J$5505,记账分录!$F$6:$F$5505,$B$3,记账分录!$H$6:$H$5505,"应付账款",记账分录!$K$6:$K$5505,$A28,记账分录!$E$6:$E$5505,"&gt;="&amp;$A$4,记账分录!$E$6:$E$5505,"&lt;="&amp;$B$4))</f>
        <v>0</v>
      </c>
      <c r="I28" s="40" t="n">
        <f aca="false">IF($A28="","",SUMIFS(记账分录!$I$6:$I$5505,记账分录!$F$6:$F$5505,$B$3,记账分录!$H$6:$H$5505,"应付账款",记账分录!$K$6:$K$5505,$A28,记账分录!$E$6:$E$5505,"&gt;="&amp;$A$4,记账分录!$E$6:$E$5505,"&lt;="&amp;$B$4))</f>
        <v>0</v>
      </c>
      <c r="J28" s="42" t="n">
        <f aca="false">IF($A28="","",ROUND($G28+$H28-$I28,2))</f>
        <v>0</v>
      </c>
      <c r="K28" s="42" t="n">
        <f aca="false">IF($A28="","",$F28-$J28)</f>
        <v>0</v>
      </c>
      <c r="L28" s="64" t="str">
        <f aca="false">IF($A28="","",IF(OR(ROUND($C28,2)&lt;&gt;0,ROUND($D28,2)&lt;&gt;0,ROUND($E28,2)&lt;&gt;0,ROUND($G28,2)&lt;&gt;0,ROUND($H28,2)&lt;&gt;0,ROUND($I28,2)&lt;&gt;0),"有",""))</f>
        <v/>
      </c>
    </row>
    <row r="29" customFormat="false" ht="15" hidden="false" customHeight="false" outlineLevel="0" collapsed="false">
      <c r="A29" s="10" t="str">
        <f aca="false">IF(往来单位!$A28="","",往来单位!$A28)</f>
        <v>农商银行</v>
      </c>
      <c r="B29" s="25" t="str">
        <f aca="false">IF($A29="","",往来单位!$B28)</f>
        <v>其他</v>
      </c>
      <c r="C29" s="40" t="n">
        <f aca="false">IF($A29="","",SUMIFS(期初余额!$R$6:$R$65,期初余额!$P$6:$P$65,$B$3,期初余额!$Q$6:$Q$65,$A29)+SUMIFS(记账分录!$I$6:$I$5505,记账分录!$F$6:$F$5505,$B$3,记账分录!$H$6:$H$5505,"应收账款",记账分录!$K$6:$K$5505,$A29,记账分录!$E$6:$E$5505,"&lt;"&amp;$A$4)-SUMIFS(记账分录!$J$6:$J$5505,记账分录!$F$6:$F$5505,$B$3,记账分录!$H$6:$H$5505,"应收账款",记账分录!$K$6:$K$5505,$A29,记账分录!$E$6:$E$5505,"&lt;"&amp;$A$4))</f>
        <v>0</v>
      </c>
      <c r="D29" s="40" t="n">
        <f aca="false">IF($A29="","",SUMIFS(记账分录!$I$6:$I$5505,记账分录!$F$6:$F$5505,$B$3,记账分录!$H$6:$H$5505,"应收账款",记账分录!$K$6:$K$5505,$A29,记账分录!$E$6:$E$5505,"&gt;="&amp;$A$4,记账分录!$E$6:$E$5505,"&lt;="&amp;$B$4))</f>
        <v>0</v>
      </c>
      <c r="E29" s="40" t="n">
        <f aca="false">IF($A29="","",SUMIFS(记账分录!$J$6:$J$5505,记账分录!$F$6:$F$5505,$B$3,记账分录!$H$6:$H$5505,"应收账款",记账分录!$K$6:$K$5505,$A29,记账分录!$E$6:$E$5505,"&gt;="&amp;$A$4,记账分录!$E$6:$E$5505,"&lt;="&amp;$B$4))</f>
        <v>0</v>
      </c>
      <c r="F29" s="42" t="n">
        <f aca="false">IF($A29="","",ROUND($C29+$D29-$E29,2))</f>
        <v>0</v>
      </c>
      <c r="G29" s="40" t="n">
        <f aca="false">IF($A29="","",SUMIFS(期初余额!$S$6:$S$65,期初余额!$P$6:$P$65,$B$3,期初余额!$Q$6:$Q$65,$A29)+SUMIFS(记账分录!$J$6:$J$5505,记账分录!$F$6:$F$5505,$B$3,记账分录!$H$6:$H$5505,"应付账款",记账分录!$K$6:$K$5505,$A29,记账分录!$E$6:$E$5505,"&lt;"&amp;$A$4)-SUMIFS(记账分录!$I$6:$I$5505,记账分录!$F$6:$F$5505,$B$3,记账分录!$H$6:$H$5505,"应付账款",记账分录!$K$6:$K$5505,$A29,记账分录!$E$6:$E$5505,"&lt;"&amp;$A$4))</f>
        <v>0</v>
      </c>
      <c r="H29" s="40" t="n">
        <f aca="false">IF($A29="","",SUMIFS(记账分录!$J$6:$J$5505,记账分录!$F$6:$F$5505,$B$3,记账分录!$H$6:$H$5505,"应付账款",记账分录!$K$6:$K$5505,$A29,记账分录!$E$6:$E$5505,"&gt;="&amp;$A$4,记账分录!$E$6:$E$5505,"&lt;="&amp;$B$4))</f>
        <v>0</v>
      </c>
      <c r="I29" s="40" t="n">
        <f aca="false">IF($A29="","",SUMIFS(记账分录!$I$6:$I$5505,记账分录!$F$6:$F$5505,$B$3,记账分录!$H$6:$H$5505,"应付账款",记账分录!$K$6:$K$5505,$A29,记账分录!$E$6:$E$5505,"&gt;="&amp;$A$4,记账分录!$E$6:$E$5505,"&lt;="&amp;$B$4))</f>
        <v>0</v>
      </c>
      <c r="J29" s="42" t="n">
        <f aca="false">IF($A29="","",ROUND($G29+$H29-$I29,2))</f>
        <v>0</v>
      </c>
      <c r="K29" s="42" t="n">
        <f aca="false">IF($A29="","",$F29-$J29)</f>
        <v>0</v>
      </c>
      <c r="L29" s="64" t="str">
        <f aca="false">IF($A29="","",IF(OR(ROUND($C29,2)&lt;&gt;0,ROUND($D29,2)&lt;&gt;0,ROUND($E29,2)&lt;&gt;0,ROUND($G29,2)&lt;&gt;0,ROUND($H29,2)&lt;&gt;0,ROUND($I29,2)&lt;&gt;0),"有",""))</f>
        <v/>
      </c>
    </row>
    <row r="30" customFormat="false" ht="15" hidden="false" customHeight="false" outlineLevel="0" collapsed="false">
      <c r="A30" s="10" t="str">
        <f aca="false">IF(往来单位!$A29="","",往来单位!$A29)</f>
        <v/>
      </c>
      <c r="B30" s="25" t="str">
        <f aca="false">IF($A30="","",往来单位!$B29)</f>
        <v/>
      </c>
      <c r="C30" s="40" t="str">
        <f aca="false">IF($A30="","",SUMIFS(期初余额!$R$6:$R$65,期初余额!$P$6:$P$65,$B$3,期初余额!$Q$6:$Q$65,$A30)+SUMIFS(记账分录!$I$6:$I$5505,记账分录!$F$6:$F$5505,$B$3,记账分录!$H$6:$H$5505,"应收账款",记账分录!$K$6:$K$5505,$A30,记账分录!$E$6:$E$5505,"&lt;"&amp;$A$4)-SUMIFS(记账分录!$J$6:$J$5505,记账分录!$F$6:$F$5505,$B$3,记账分录!$H$6:$H$5505,"应收账款",记账分录!$K$6:$K$5505,$A30,记账分录!$E$6:$E$5505,"&lt;"&amp;$A$4))</f>
        <v/>
      </c>
      <c r="D30" s="40" t="str">
        <f aca="false">IF($A30="","",SUMIFS(记账分录!$I$6:$I$5505,记账分录!$F$6:$F$5505,$B$3,记账分录!$H$6:$H$5505,"应收账款",记账分录!$K$6:$K$5505,$A30,记账分录!$E$6:$E$5505,"&gt;="&amp;$A$4,记账分录!$E$6:$E$5505,"&lt;="&amp;$B$4))</f>
        <v/>
      </c>
      <c r="E30" s="40" t="str">
        <f aca="false">IF($A30="","",SUMIFS(记账分录!$J$6:$J$5505,记账分录!$F$6:$F$5505,$B$3,记账分录!$H$6:$H$5505,"应收账款",记账分录!$K$6:$K$5505,$A30,记账分录!$E$6:$E$5505,"&gt;="&amp;$A$4,记账分录!$E$6:$E$5505,"&lt;="&amp;$B$4))</f>
        <v/>
      </c>
      <c r="F30" s="42" t="str">
        <f aca="false">IF($A30="","",ROUND($C30+$D30-$E30,2))</f>
        <v/>
      </c>
      <c r="G30" s="40" t="str">
        <f aca="false">IF($A30="","",SUMIFS(期初余额!$S$6:$S$65,期初余额!$P$6:$P$65,$B$3,期初余额!$Q$6:$Q$65,$A30)+SUMIFS(记账分录!$J$6:$J$5505,记账分录!$F$6:$F$5505,$B$3,记账分录!$H$6:$H$5505,"应付账款",记账分录!$K$6:$K$5505,$A30,记账分录!$E$6:$E$5505,"&lt;"&amp;$A$4)-SUMIFS(记账分录!$I$6:$I$5505,记账分录!$F$6:$F$5505,$B$3,记账分录!$H$6:$H$5505,"应付账款",记账分录!$K$6:$K$5505,$A30,记账分录!$E$6:$E$5505,"&lt;"&amp;$A$4))</f>
        <v/>
      </c>
      <c r="H30" s="40" t="str">
        <f aca="false">IF($A30="","",SUMIFS(记账分录!$J$6:$J$5505,记账分录!$F$6:$F$5505,$B$3,记账分录!$H$6:$H$5505,"应付账款",记账分录!$K$6:$K$5505,$A30,记账分录!$E$6:$E$5505,"&gt;="&amp;$A$4,记账分录!$E$6:$E$5505,"&lt;="&amp;$B$4))</f>
        <v/>
      </c>
      <c r="I30" s="40" t="str">
        <f aca="false">IF($A30="","",SUMIFS(记账分录!$I$6:$I$5505,记账分录!$F$6:$F$5505,$B$3,记账分录!$H$6:$H$5505,"应付账款",记账分录!$K$6:$K$5505,$A30,记账分录!$E$6:$E$5505,"&gt;="&amp;$A$4,记账分录!$E$6:$E$5505,"&lt;="&amp;$B$4))</f>
        <v/>
      </c>
      <c r="J30" s="42" t="str">
        <f aca="false">IF($A30="","",ROUND($G30+$H30-$I30,2))</f>
        <v/>
      </c>
      <c r="K30" s="42" t="str">
        <f aca="false">IF($A30="","",$F30-$J30)</f>
        <v/>
      </c>
      <c r="L30" s="64" t="str">
        <f aca="false">IF($A30="","",IF(OR(ROUND($C30,2)&lt;&gt;0,ROUND($D30,2)&lt;&gt;0,ROUND($E30,2)&lt;&gt;0,ROUND($G30,2)&lt;&gt;0,ROUND($H30,2)&lt;&gt;0,ROUND($I30,2)&lt;&gt;0),"有",""))</f>
        <v/>
      </c>
    </row>
    <row r="31" customFormat="false" ht="15" hidden="false" customHeight="false" outlineLevel="0" collapsed="false">
      <c r="A31" s="10" t="str">
        <f aca="false">IF(往来单位!$A30="","",往来单位!$A30)</f>
        <v/>
      </c>
      <c r="B31" s="25" t="str">
        <f aca="false">IF($A31="","",往来单位!$B30)</f>
        <v/>
      </c>
      <c r="C31" s="40" t="str">
        <f aca="false">IF($A31="","",SUMIFS(期初余额!$R$6:$R$65,期初余额!$P$6:$P$65,$B$3,期初余额!$Q$6:$Q$65,$A31)+SUMIFS(记账分录!$I$6:$I$5505,记账分录!$F$6:$F$5505,$B$3,记账分录!$H$6:$H$5505,"应收账款",记账分录!$K$6:$K$5505,$A31,记账分录!$E$6:$E$5505,"&lt;"&amp;$A$4)-SUMIFS(记账分录!$J$6:$J$5505,记账分录!$F$6:$F$5505,$B$3,记账分录!$H$6:$H$5505,"应收账款",记账分录!$K$6:$K$5505,$A31,记账分录!$E$6:$E$5505,"&lt;"&amp;$A$4))</f>
        <v/>
      </c>
      <c r="D31" s="40" t="str">
        <f aca="false">IF($A31="","",SUMIFS(记账分录!$I$6:$I$5505,记账分录!$F$6:$F$5505,$B$3,记账分录!$H$6:$H$5505,"应收账款",记账分录!$K$6:$K$5505,$A31,记账分录!$E$6:$E$5505,"&gt;="&amp;$A$4,记账分录!$E$6:$E$5505,"&lt;="&amp;$B$4))</f>
        <v/>
      </c>
      <c r="E31" s="40" t="str">
        <f aca="false">IF($A31="","",SUMIFS(记账分录!$J$6:$J$5505,记账分录!$F$6:$F$5505,$B$3,记账分录!$H$6:$H$5505,"应收账款",记账分录!$K$6:$K$5505,$A31,记账分录!$E$6:$E$5505,"&gt;="&amp;$A$4,记账分录!$E$6:$E$5505,"&lt;="&amp;$B$4))</f>
        <v/>
      </c>
      <c r="F31" s="42" t="str">
        <f aca="false">IF($A31="","",ROUND($C31+$D31-$E31,2))</f>
        <v/>
      </c>
      <c r="G31" s="40" t="str">
        <f aca="false">IF($A31="","",SUMIFS(期初余额!$S$6:$S$65,期初余额!$P$6:$P$65,$B$3,期初余额!$Q$6:$Q$65,$A31)+SUMIFS(记账分录!$J$6:$J$5505,记账分录!$F$6:$F$5505,$B$3,记账分录!$H$6:$H$5505,"应付账款",记账分录!$K$6:$K$5505,$A31,记账分录!$E$6:$E$5505,"&lt;"&amp;$A$4)-SUMIFS(记账分录!$I$6:$I$5505,记账分录!$F$6:$F$5505,$B$3,记账分录!$H$6:$H$5505,"应付账款",记账分录!$K$6:$K$5505,$A31,记账分录!$E$6:$E$5505,"&lt;"&amp;$A$4))</f>
        <v/>
      </c>
      <c r="H31" s="40" t="str">
        <f aca="false">IF($A31="","",SUMIFS(记账分录!$J$6:$J$5505,记账分录!$F$6:$F$5505,$B$3,记账分录!$H$6:$H$5505,"应付账款",记账分录!$K$6:$K$5505,$A31,记账分录!$E$6:$E$5505,"&gt;="&amp;$A$4,记账分录!$E$6:$E$5505,"&lt;="&amp;$B$4))</f>
        <v/>
      </c>
      <c r="I31" s="40" t="str">
        <f aca="false">IF($A31="","",SUMIFS(记账分录!$I$6:$I$5505,记账分录!$F$6:$F$5505,$B$3,记账分录!$H$6:$H$5505,"应付账款",记账分录!$K$6:$K$5505,$A31,记账分录!$E$6:$E$5505,"&gt;="&amp;$A$4,记账分录!$E$6:$E$5505,"&lt;="&amp;$B$4))</f>
        <v/>
      </c>
      <c r="J31" s="42" t="str">
        <f aca="false">IF($A31="","",ROUND($G31+$H31-$I31,2))</f>
        <v/>
      </c>
      <c r="K31" s="42" t="str">
        <f aca="false">IF($A31="","",$F31-$J31)</f>
        <v/>
      </c>
      <c r="L31" s="64" t="str">
        <f aca="false">IF($A31="","",IF(OR(ROUND($C31,2)&lt;&gt;0,ROUND($D31,2)&lt;&gt;0,ROUND($E31,2)&lt;&gt;0,ROUND($G31,2)&lt;&gt;0,ROUND($H31,2)&lt;&gt;0,ROUND($I31,2)&lt;&gt;0),"有",""))</f>
        <v/>
      </c>
    </row>
    <row r="32" customFormat="false" ht="15" hidden="false" customHeight="false" outlineLevel="0" collapsed="false">
      <c r="A32" s="10" t="str">
        <f aca="false">IF(往来单位!$A31="","",往来单位!$A31)</f>
        <v/>
      </c>
      <c r="B32" s="25" t="str">
        <f aca="false">IF($A32="","",往来单位!$B31)</f>
        <v/>
      </c>
      <c r="C32" s="40" t="str">
        <f aca="false">IF($A32="","",SUMIFS(期初余额!$R$6:$R$65,期初余额!$P$6:$P$65,$B$3,期初余额!$Q$6:$Q$65,$A32)+SUMIFS(记账分录!$I$6:$I$5505,记账分录!$F$6:$F$5505,$B$3,记账分录!$H$6:$H$5505,"应收账款",记账分录!$K$6:$K$5505,$A32,记账分录!$E$6:$E$5505,"&lt;"&amp;$A$4)-SUMIFS(记账分录!$J$6:$J$5505,记账分录!$F$6:$F$5505,$B$3,记账分录!$H$6:$H$5505,"应收账款",记账分录!$K$6:$K$5505,$A32,记账分录!$E$6:$E$5505,"&lt;"&amp;$A$4))</f>
        <v/>
      </c>
      <c r="D32" s="40" t="str">
        <f aca="false">IF($A32="","",SUMIFS(记账分录!$I$6:$I$5505,记账分录!$F$6:$F$5505,$B$3,记账分录!$H$6:$H$5505,"应收账款",记账分录!$K$6:$K$5505,$A32,记账分录!$E$6:$E$5505,"&gt;="&amp;$A$4,记账分录!$E$6:$E$5505,"&lt;="&amp;$B$4))</f>
        <v/>
      </c>
      <c r="E32" s="40" t="str">
        <f aca="false">IF($A32="","",SUMIFS(记账分录!$J$6:$J$5505,记账分录!$F$6:$F$5505,$B$3,记账分录!$H$6:$H$5505,"应收账款",记账分录!$K$6:$K$5505,$A32,记账分录!$E$6:$E$5505,"&gt;="&amp;$A$4,记账分录!$E$6:$E$5505,"&lt;="&amp;$B$4))</f>
        <v/>
      </c>
      <c r="F32" s="42" t="str">
        <f aca="false">IF($A32="","",ROUND($C32+$D32-$E32,2))</f>
        <v/>
      </c>
      <c r="G32" s="40" t="str">
        <f aca="false">IF($A32="","",SUMIFS(期初余额!$S$6:$S$65,期初余额!$P$6:$P$65,$B$3,期初余额!$Q$6:$Q$65,$A32)+SUMIFS(记账分录!$J$6:$J$5505,记账分录!$F$6:$F$5505,$B$3,记账分录!$H$6:$H$5505,"应付账款",记账分录!$K$6:$K$5505,$A32,记账分录!$E$6:$E$5505,"&lt;"&amp;$A$4)-SUMIFS(记账分录!$I$6:$I$5505,记账分录!$F$6:$F$5505,$B$3,记账分录!$H$6:$H$5505,"应付账款",记账分录!$K$6:$K$5505,$A32,记账分录!$E$6:$E$5505,"&lt;"&amp;$A$4))</f>
        <v/>
      </c>
      <c r="H32" s="40" t="str">
        <f aca="false">IF($A32="","",SUMIFS(记账分录!$J$6:$J$5505,记账分录!$F$6:$F$5505,$B$3,记账分录!$H$6:$H$5505,"应付账款",记账分录!$K$6:$K$5505,$A32,记账分录!$E$6:$E$5505,"&gt;="&amp;$A$4,记账分录!$E$6:$E$5505,"&lt;="&amp;$B$4))</f>
        <v/>
      </c>
      <c r="I32" s="40" t="str">
        <f aca="false">IF($A32="","",SUMIFS(记账分录!$I$6:$I$5505,记账分录!$F$6:$F$5505,$B$3,记账分录!$H$6:$H$5505,"应付账款",记账分录!$K$6:$K$5505,$A32,记账分录!$E$6:$E$5505,"&gt;="&amp;$A$4,记账分录!$E$6:$E$5505,"&lt;="&amp;$B$4))</f>
        <v/>
      </c>
      <c r="J32" s="42" t="str">
        <f aca="false">IF($A32="","",ROUND($G32+$H32-$I32,2))</f>
        <v/>
      </c>
      <c r="K32" s="42" t="str">
        <f aca="false">IF($A32="","",$F32-$J32)</f>
        <v/>
      </c>
      <c r="L32" s="64" t="str">
        <f aca="false">IF($A32="","",IF(OR(ROUND($C32,2)&lt;&gt;0,ROUND($D32,2)&lt;&gt;0,ROUND($E32,2)&lt;&gt;0,ROUND($G32,2)&lt;&gt;0,ROUND($H32,2)&lt;&gt;0,ROUND($I32,2)&lt;&gt;0),"有",""))</f>
        <v/>
      </c>
    </row>
    <row r="33" customFormat="false" ht="15" hidden="false" customHeight="false" outlineLevel="0" collapsed="false">
      <c r="A33" s="10" t="str">
        <f aca="false">IF(往来单位!$A32="","",往来单位!$A32)</f>
        <v/>
      </c>
      <c r="B33" s="25" t="str">
        <f aca="false">IF($A33="","",往来单位!$B32)</f>
        <v/>
      </c>
      <c r="C33" s="40" t="str">
        <f aca="false">IF($A33="","",SUMIFS(期初余额!$R$6:$R$65,期初余额!$P$6:$P$65,$B$3,期初余额!$Q$6:$Q$65,$A33)+SUMIFS(记账分录!$I$6:$I$5505,记账分录!$F$6:$F$5505,$B$3,记账分录!$H$6:$H$5505,"应收账款",记账分录!$K$6:$K$5505,$A33,记账分录!$E$6:$E$5505,"&lt;"&amp;$A$4)-SUMIFS(记账分录!$J$6:$J$5505,记账分录!$F$6:$F$5505,$B$3,记账分录!$H$6:$H$5505,"应收账款",记账分录!$K$6:$K$5505,$A33,记账分录!$E$6:$E$5505,"&lt;"&amp;$A$4))</f>
        <v/>
      </c>
      <c r="D33" s="40" t="str">
        <f aca="false">IF($A33="","",SUMIFS(记账分录!$I$6:$I$5505,记账分录!$F$6:$F$5505,$B$3,记账分录!$H$6:$H$5505,"应收账款",记账分录!$K$6:$K$5505,$A33,记账分录!$E$6:$E$5505,"&gt;="&amp;$A$4,记账分录!$E$6:$E$5505,"&lt;="&amp;$B$4))</f>
        <v/>
      </c>
      <c r="E33" s="40" t="str">
        <f aca="false">IF($A33="","",SUMIFS(记账分录!$J$6:$J$5505,记账分录!$F$6:$F$5505,$B$3,记账分录!$H$6:$H$5505,"应收账款",记账分录!$K$6:$K$5505,$A33,记账分录!$E$6:$E$5505,"&gt;="&amp;$A$4,记账分录!$E$6:$E$5505,"&lt;="&amp;$B$4))</f>
        <v/>
      </c>
      <c r="F33" s="42" t="str">
        <f aca="false">IF($A33="","",ROUND($C33+$D33-$E33,2))</f>
        <v/>
      </c>
      <c r="G33" s="40" t="str">
        <f aca="false">IF($A33="","",SUMIFS(期初余额!$S$6:$S$65,期初余额!$P$6:$P$65,$B$3,期初余额!$Q$6:$Q$65,$A33)+SUMIFS(记账分录!$J$6:$J$5505,记账分录!$F$6:$F$5505,$B$3,记账分录!$H$6:$H$5505,"应付账款",记账分录!$K$6:$K$5505,$A33,记账分录!$E$6:$E$5505,"&lt;"&amp;$A$4)-SUMIFS(记账分录!$I$6:$I$5505,记账分录!$F$6:$F$5505,$B$3,记账分录!$H$6:$H$5505,"应付账款",记账分录!$K$6:$K$5505,$A33,记账分录!$E$6:$E$5505,"&lt;"&amp;$A$4))</f>
        <v/>
      </c>
      <c r="H33" s="40" t="str">
        <f aca="false">IF($A33="","",SUMIFS(记账分录!$J$6:$J$5505,记账分录!$F$6:$F$5505,$B$3,记账分录!$H$6:$H$5505,"应付账款",记账分录!$K$6:$K$5505,$A33,记账分录!$E$6:$E$5505,"&gt;="&amp;$A$4,记账分录!$E$6:$E$5505,"&lt;="&amp;$B$4))</f>
        <v/>
      </c>
      <c r="I33" s="40" t="str">
        <f aca="false">IF($A33="","",SUMIFS(记账分录!$I$6:$I$5505,记账分录!$F$6:$F$5505,$B$3,记账分录!$H$6:$H$5505,"应付账款",记账分录!$K$6:$K$5505,$A33,记账分录!$E$6:$E$5505,"&gt;="&amp;$A$4,记账分录!$E$6:$E$5505,"&lt;="&amp;$B$4))</f>
        <v/>
      </c>
      <c r="J33" s="42" t="str">
        <f aca="false">IF($A33="","",ROUND($G33+$H33-$I33,2))</f>
        <v/>
      </c>
      <c r="K33" s="42" t="str">
        <f aca="false">IF($A33="","",$F33-$J33)</f>
        <v/>
      </c>
      <c r="L33" s="64" t="str">
        <f aca="false">IF($A33="","",IF(OR(ROUND($C33,2)&lt;&gt;0,ROUND($D33,2)&lt;&gt;0,ROUND($E33,2)&lt;&gt;0,ROUND($G33,2)&lt;&gt;0,ROUND($H33,2)&lt;&gt;0,ROUND($I33,2)&lt;&gt;0),"有",""))</f>
        <v/>
      </c>
    </row>
    <row r="34" customFormat="false" ht="15" hidden="false" customHeight="false" outlineLevel="0" collapsed="false">
      <c r="A34" s="10" t="str">
        <f aca="false">IF(往来单位!$A33="","",往来单位!$A33)</f>
        <v/>
      </c>
      <c r="B34" s="25" t="str">
        <f aca="false">IF($A34="","",往来单位!$B33)</f>
        <v/>
      </c>
      <c r="C34" s="40" t="str">
        <f aca="false">IF($A34="","",SUMIFS(期初余额!$R$6:$R$65,期初余额!$P$6:$P$65,$B$3,期初余额!$Q$6:$Q$65,$A34)+SUMIFS(记账分录!$I$6:$I$5505,记账分录!$F$6:$F$5505,$B$3,记账分录!$H$6:$H$5505,"应收账款",记账分录!$K$6:$K$5505,$A34,记账分录!$E$6:$E$5505,"&lt;"&amp;$A$4)-SUMIFS(记账分录!$J$6:$J$5505,记账分录!$F$6:$F$5505,$B$3,记账分录!$H$6:$H$5505,"应收账款",记账分录!$K$6:$K$5505,$A34,记账分录!$E$6:$E$5505,"&lt;"&amp;$A$4))</f>
        <v/>
      </c>
      <c r="D34" s="40" t="str">
        <f aca="false">IF($A34="","",SUMIFS(记账分录!$I$6:$I$5505,记账分录!$F$6:$F$5505,$B$3,记账分录!$H$6:$H$5505,"应收账款",记账分录!$K$6:$K$5505,$A34,记账分录!$E$6:$E$5505,"&gt;="&amp;$A$4,记账分录!$E$6:$E$5505,"&lt;="&amp;$B$4))</f>
        <v/>
      </c>
      <c r="E34" s="40" t="str">
        <f aca="false">IF($A34="","",SUMIFS(记账分录!$J$6:$J$5505,记账分录!$F$6:$F$5505,$B$3,记账分录!$H$6:$H$5505,"应收账款",记账分录!$K$6:$K$5505,$A34,记账分录!$E$6:$E$5505,"&gt;="&amp;$A$4,记账分录!$E$6:$E$5505,"&lt;="&amp;$B$4))</f>
        <v/>
      </c>
      <c r="F34" s="42" t="str">
        <f aca="false">IF($A34="","",ROUND($C34+$D34-$E34,2))</f>
        <v/>
      </c>
      <c r="G34" s="40" t="str">
        <f aca="false">IF($A34="","",SUMIFS(期初余额!$S$6:$S$65,期初余额!$P$6:$P$65,$B$3,期初余额!$Q$6:$Q$65,$A34)+SUMIFS(记账分录!$J$6:$J$5505,记账分录!$F$6:$F$5505,$B$3,记账分录!$H$6:$H$5505,"应付账款",记账分录!$K$6:$K$5505,$A34,记账分录!$E$6:$E$5505,"&lt;"&amp;$A$4)-SUMIFS(记账分录!$I$6:$I$5505,记账分录!$F$6:$F$5505,$B$3,记账分录!$H$6:$H$5505,"应付账款",记账分录!$K$6:$K$5505,$A34,记账分录!$E$6:$E$5505,"&lt;"&amp;$A$4))</f>
        <v/>
      </c>
      <c r="H34" s="40" t="str">
        <f aca="false">IF($A34="","",SUMIFS(记账分录!$J$6:$J$5505,记账分录!$F$6:$F$5505,$B$3,记账分录!$H$6:$H$5505,"应付账款",记账分录!$K$6:$K$5505,$A34,记账分录!$E$6:$E$5505,"&gt;="&amp;$A$4,记账分录!$E$6:$E$5505,"&lt;="&amp;$B$4))</f>
        <v/>
      </c>
      <c r="I34" s="40" t="str">
        <f aca="false">IF($A34="","",SUMIFS(记账分录!$I$6:$I$5505,记账分录!$F$6:$F$5505,$B$3,记账分录!$H$6:$H$5505,"应付账款",记账分录!$K$6:$K$5505,$A34,记账分录!$E$6:$E$5505,"&gt;="&amp;$A$4,记账分录!$E$6:$E$5505,"&lt;="&amp;$B$4))</f>
        <v/>
      </c>
      <c r="J34" s="42" t="str">
        <f aca="false">IF($A34="","",ROUND($G34+$H34-$I34,2))</f>
        <v/>
      </c>
      <c r="K34" s="42" t="str">
        <f aca="false">IF($A34="","",$F34-$J34)</f>
        <v/>
      </c>
      <c r="L34" s="64" t="str">
        <f aca="false">IF($A34="","",IF(OR(ROUND($C34,2)&lt;&gt;0,ROUND($D34,2)&lt;&gt;0,ROUND($E34,2)&lt;&gt;0,ROUND($G34,2)&lt;&gt;0,ROUND($H34,2)&lt;&gt;0,ROUND($I34,2)&lt;&gt;0),"有",""))</f>
        <v/>
      </c>
    </row>
    <row r="35" customFormat="false" ht="15" hidden="false" customHeight="false" outlineLevel="0" collapsed="false">
      <c r="A35" s="10" t="str">
        <f aca="false">IF(往来单位!$A34="","",往来单位!$A34)</f>
        <v/>
      </c>
      <c r="B35" s="25" t="str">
        <f aca="false">IF($A35="","",往来单位!$B34)</f>
        <v/>
      </c>
      <c r="C35" s="40" t="str">
        <f aca="false">IF($A35="","",SUMIFS(期初余额!$R$6:$R$65,期初余额!$P$6:$P$65,$B$3,期初余额!$Q$6:$Q$65,$A35)+SUMIFS(记账分录!$I$6:$I$5505,记账分录!$F$6:$F$5505,$B$3,记账分录!$H$6:$H$5505,"应收账款",记账分录!$K$6:$K$5505,$A35,记账分录!$E$6:$E$5505,"&lt;"&amp;$A$4)-SUMIFS(记账分录!$J$6:$J$5505,记账分录!$F$6:$F$5505,$B$3,记账分录!$H$6:$H$5505,"应收账款",记账分录!$K$6:$K$5505,$A35,记账分录!$E$6:$E$5505,"&lt;"&amp;$A$4))</f>
        <v/>
      </c>
      <c r="D35" s="40" t="str">
        <f aca="false">IF($A35="","",SUMIFS(记账分录!$I$6:$I$5505,记账分录!$F$6:$F$5505,$B$3,记账分录!$H$6:$H$5505,"应收账款",记账分录!$K$6:$K$5505,$A35,记账分录!$E$6:$E$5505,"&gt;="&amp;$A$4,记账分录!$E$6:$E$5505,"&lt;="&amp;$B$4))</f>
        <v/>
      </c>
      <c r="E35" s="40" t="str">
        <f aca="false">IF($A35="","",SUMIFS(记账分录!$J$6:$J$5505,记账分录!$F$6:$F$5505,$B$3,记账分录!$H$6:$H$5505,"应收账款",记账分录!$K$6:$K$5505,$A35,记账分录!$E$6:$E$5505,"&gt;="&amp;$A$4,记账分录!$E$6:$E$5505,"&lt;="&amp;$B$4))</f>
        <v/>
      </c>
      <c r="F35" s="42" t="str">
        <f aca="false">IF($A35="","",ROUND($C35+$D35-$E35,2))</f>
        <v/>
      </c>
      <c r="G35" s="40" t="str">
        <f aca="false">IF($A35="","",SUMIFS(期初余额!$S$6:$S$65,期初余额!$P$6:$P$65,$B$3,期初余额!$Q$6:$Q$65,$A35)+SUMIFS(记账分录!$J$6:$J$5505,记账分录!$F$6:$F$5505,$B$3,记账分录!$H$6:$H$5505,"应付账款",记账分录!$K$6:$K$5505,$A35,记账分录!$E$6:$E$5505,"&lt;"&amp;$A$4)-SUMIFS(记账分录!$I$6:$I$5505,记账分录!$F$6:$F$5505,$B$3,记账分录!$H$6:$H$5505,"应付账款",记账分录!$K$6:$K$5505,$A35,记账分录!$E$6:$E$5505,"&lt;"&amp;$A$4))</f>
        <v/>
      </c>
      <c r="H35" s="40" t="str">
        <f aca="false">IF($A35="","",SUMIFS(记账分录!$J$6:$J$5505,记账分录!$F$6:$F$5505,$B$3,记账分录!$H$6:$H$5505,"应付账款",记账分录!$K$6:$K$5505,$A35,记账分录!$E$6:$E$5505,"&gt;="&amp;$A$4,记账分录!$E$6:$E$5505,"&lt;="&amp;$B$4))</f>
        <v/>
      </c>
      <c r="I35" s="40" t="str">
        <f aca="false">IF($A35="","",SUMIFS(记账分录!$I$6:$I$5505,记账分录!$F$6:$F$5505,$B$3,记账分录!$H$6:$H$5505,"应付账款",记账分录!$K$6:$K$5505,$A35,记账分录!$E$6:$E$5505,"&gt;="&amp;$A$4,记账分录!$E$6:$E$5505,"&lt;="&amp;$B$4))</f>
        <v/>
      </c>
      <c r="J35" s="42" t="str">
        <f aca="false">IF($A35="","",ROUND($G35+$H35-$I35,2))</f>
        <v/>
      </c>
      <c r="K35" s="42" t="str">
        <f aca="false">IF($A35="","",$F35-$J35)</f>
        <v/>
      </c>
      <c r="L35" s="64" t="str">
        <f aca="false">IF($A35="","",IF(OR(ROUND($C35,2)&lt;&gt;0,ROUND($D35,2)&lt;&gt;0,ROUND($E35,2)&lt;&gt;0,ROUND($G35,2)&lt;&gt;0,ROUND($H35,2)&lt;&gt;0,ROUND($I35,2)&lt;&gt;0),"有",""))</f>
        <v/>
      </c>
    </row>
    <row r="36" customFormat="false" ht="15" hidden="false" customHeight="false" outlineLevel="0" collapsed="false">
      <c r="A36" s="10" t="str">
        <f aca="false">IF(往来单位!$A35="","",往来单位!$A35)</f>
        <v/>
      </c>
      <c r="B36" s="25" t="str">
        <f aca="false">IF($A36="","",往来单位!$B35)</f>
        <v/>
      </c>
      <c r="C36" s="40" t="str">
        <f aca="false">IF($A36="","",SUMIFS(期初余额!$R$6:$R$65,期初余额!$P$6:$P$65,$B$3,期初余额!$Q$6:$Q$65,$A36)+SUMIFS(记账分录!$I$6:$I$5505,记账分录!$F$6:$F$5505,$B$3,记账分录!$H$6:$H$5505,"应收账款",记账分录!$K$6:$K$5505,$A36,记账分录!$E$6:$E$5505,"&lt;"&amp;$A$4)-SUMIFS(记账分录!$J$6:$J$5505,记账分录!$F$6:$F$5505,$B$3,记账分录!$H$6:$H$5505,"应收账款",记账分录!$K$6:$K$5505,$A36,记账分录!$E$6:$E$5505,"&lt;"&amp;$A$4))</f>
        <v/>
      </c>
      <c r="D36" s="40" t="str">
        <f aca="false">IF($A36="","",SUMIFS(记账分录!$I$6:$I$5505,记账分录!$F$6:$F$5505,$B$3,记账分录!$H$6:$H$5505,"应收账款",记账分录!$K$6:$K$5505,$A36,记账分录!$E$6:$E$5505,"&gt;="&amp;$A$4,记账分录!$E$6:$E$5505,"&lt;="&amp;$B$4))</f>
        <v/>
      </c>
      <c r="E36" s="40" t="str">
        <f aca="false">IF($A36="","",SUMIFS(记账分录!$J$6:$J$5505,记账分录!$F$6:$F$5505,$B$3,记账分录!$H$6:$H$5505,"应收账款",记账分录!$K$6:$K$5505,$A36,记账分录!$E$6:$E$5505,"&gt;="&amp;$A$4,记账分录!$E$6:$E$5505,"&lt;="&amp;$B$4))</f>
        <v/>
      </c>
      <c r="F36" s="42" t="str">
        <f aca="false">IF($A36="","",ROUND($C36+$D36-$E36,2))</f>
        <v/>
      </c>
      <c r="G36" s="40" t="str">
        <f aca="false">IF($A36="","",SUMIFS(期初余额!$S$6:$S$65,期初余额!$P$6:$P$65,$B$3,期初余额!$Q$6:$Q$65,$A36)+SUMIFS(记账分录!$J$6:$J$5505,记账分录!$F$6:$F$5505,$B$3,记账分录!$H$6:$H$5505,"应付账款",记账分录!$K$6:$K$5505,$A36,记账分录!$E$6:$E$5505,"&lt;"&amp;$A$4)-SUMIFS(记账分录!$I$6:$I$5505,记账分录!$F$6:$F$5505,$B$3,记账分录!$H$6:$H$5505,"应付账款",记账分录!$K$6:$K$5505,$A36,记账分录!$E$6:$E$5505,"&lt;"&amp;$A$4))</f>
        <v/>
      </c>
      <c r="H36" s="40" t="str">
        <f aca="false">IF($A36="","",SUMIFS(记账分录!$J$6:$J$5505,记账分录!$F$6:$F$5505,$B$3,记账分录!$H$6:$H$5505,"应付账款",记账分录!$K$6:$K$5505,$A36,记账分录!$E$6:$E$5505,"&gt;="&amp;$A$4,记账分录!$E$6:$E$5505,"&lt;="&amp;$B$4))</f>
        <v/>
      </c>
      <c r="I36" s="40" t="str">
        <f aca="false">IF($A36="","",SUMIFS(记账分录!$I$6:$I$5505,记账分录!$F$6:$F$5505,$B$3,记账分录!$H$6:$H$5505,"应付账款",记账分录!$K$6:$K$5505,$A36,记账分录!$E$6:$E$5505,"&gt;="&amp;$A$4,记账分录!$E$6:$E$5505,"&lt;="&amp;$B$4))</f>
        <v/>
      </c>
      <c r="J36" s="42" t="str">
        <f aca="false">IF($A36="","",ROUND($G36+$H36-$I36,2))</f>
        <v/>
      </c>
      <c r="K36" s="42" t="str">
        <f aca="false">IF($A36="","",$F36-$J36)</f>
        <v/>
      </c>
      <c r="L36" s="64" t="str">
        <f aca="false">IF($A36="","",IF(OR(ROUND($C36,2)&lt;&gt;0,ROUND($D36,2)&lt;&gt;0,ROUND($E36,2)&lt;&gt;0,ROUND($G36,2)&lt;&gt;0,ROUND($H36,2)&lt;&gt;0,ROUND($I36,2)&lt;&gt;0),"有",""))</f>
        <v/>
      </c>
    </row>
    <row r="37" customFormat="false" ht="15" hidden="false" customHeight="false" outlineLevel="0" collapsed="false">
      <c r="A37" s="10" t="str">
        <f aca="false">IF(往来单位!$A36="","",往来单位!$A36)</f>
        <v/>
      </c>
      <c r="B37" s="25" t="str">
        <f aca="false">IF($A37="","",往来单位!$B36)</f>
        <v/>
      </c>
      <c r="C37" s="40" t="str">
        <f aca="false">IF($A37="","",SUMIFS(期初余额!$R$6:$R$65,期初余额!$P$6:$P$65,$B$3,期初余额!$Q$6:$Q$65,$A37)+SUMIFS(记账分录!$I$6:$I$5505,记账分录!$F$6:$F$5505,$B$3,记账分录!$H$6:$H$5505,"应收账款",记账分录!$K$6:$K$5505,$A37,记账分录!$E$6:$E$5505,"&lt;"&amp;$A$4)-SUMIFS(记账分录!$J$6:$J$5505,记账分录!$F$6:$F$5505,$B$3,记账分录!$H$6:$H$5505,"应收账款",记账分录!$K$6:$K$5505,$A37,记账分录!$E$6:$E$5505,"&lt;"&amp;$A$4))</f>
        <v/>
      </c>
      <c r="D37" s="40" t="str">
        <f aca="false">IF($A37="","",SUMIFS(记账分录!$I$6:$I$5505,记账分录!$F$6:$F$5505,$B$3,记账分录!$H$6:$H$5505,"应收账款",记账分录!$K$6:$K$5505,$A37,记账分录!$E$6:$E$5505,"&gt;="&amp;$A$4,记账分录!$E$6:$E$5505,"&lt;="&amp;$B$4))</f>
        <v/>
      </c>
      <c r="E37" s="40" t="str">
        <f aca="false">IF($A37="","",SUMIFS(记账分录!$J$6:$J$5505,记账分录!$F$6:$F$5505,$B$3,记账分录!$H$6:$H$5505,"应收账款",记账分录!$K$6:$K$5505,$A37,记账分录!$E$6:$E$5505,"&gt;="&amp;$A$4,记账分录!$E$6:$E$5505,"&lt;="&amp;$B$4))</f>
        <v/>
      </c>
      <c r="F37" s="42" t="str">
        <f aca="false">IF($A37="","",ROUND($C37+$D37-$E37,2))</f>
        <v/>
      </c>
      <c r="G37" s="40" t="str">
        <f aca="false">IF($A37="","",SUMIFS(期初余额!$S$6:$S$65,期初余额!$P$6:$P$65,$B$3,期初余额!$Q$6:$Q$65,$A37)+SUMIFS(记账分录!$J$6:$J$5505,记账分录!$F$6:$F$5505,$B$3,记账分录!$H$6:$H$5505,"应付账款",记账分录!$K$6:$K$5505,$A37,记账分录!$E$6:$E$5505,"&lt;"&amp;$A$4)-SUMIFS(记账分录!$I$6:$I$5505,记账分录!$F$6:$F$5505,$B$3,记账分录!$H$6:$H$5505,"应付账款",记账分录!$K$6:$K$5505,$A37,记账分录!$E$6:$E$5505,"&lt;"&amp;$A$4))</f>
        <v/>
      </c>
      <c r="H37" s="40" t="str">
        <f aca="false">IF($A37="","",SUMIFS(记账分录!$J$6:$J$5505,记账分录!$F$6:$F$5505,$B$3,记账分录!$H$6:$H$5505,"应付账款",记账分录!$K$6:$K$5505,$A37,记账分录!$E$6:$E$5505,"&gt;="&amp;$A$4,记账分录!$E$6:$E$5505,"&lt;="&amp;$B$4))</f>
        <v/>
      </c>
      <c r="I37" s="40" t="str">
        <f aca="false">IF($A37="","",SUMIFS(记账分录!$I$6:$I$5505,记账分录!$F$6:$F$5505,$B$3,记账分录!$H$6:$H$5505,"应付账款",记账分录!$K$6:$K$5505,$A37,记账分录!$E$6:$E$5505,"&gt;="&amp;$A$4,记账分录!$E$6:$E$5505,"&lt;="&amp;$B$4))</f>
        <v/>
      </c>
      <c r="J37" s="42" t="str">
        <f aca="false">IF($A37="","",ROUND($G37+$H37-$I37,2))</f>
        <v/>
      </c>
      <c r="K37" s="42" t="str">
        <f aca="false">IF($A37="","",$F37-$J37)</f>
        <v/>
      </c>
      <c r="L37" s="64" t="str">
        <f aca="false">IF($A37="","",IF(OR(ROUND($C37,2)&lt;&gt;0,ROUND($D37,2)&lt;&gt;0,ROUND($E37,2)&lt;&gt;0,ROUND($G37,2)&lt;&gt;0,ROUND($H37,2)&lt;&gt;0,ROUND($I37,2)&lt;&gt;0),"有",""))</f>
        <v/>
      </c>
    </row>
    <row r="38" customFormat="false" ht="15" hidden="false" customHeight="false" outlineLevel="0" collapsed="false">
      <c r="A38" s="10" t="str">
        <f aca="false">IF(往来单位!$A37="","",往来单位!$A37)</f>
        <v/>
      </c>
      <c r="B38" s="25" t="str">
        <f aca="false">IF($A38="","",往来单位!$B37)</f>
        <v/>
      </c>
      <c r="C38" s="40" t="str">
        <f aca="false">IF($A38="","",SUMIFS(期初余额!$R$6:$R$65,期初余额!$P$6:$P$65,$B$3,期初余额!$Q$6:$Q$65,$A38)+SUMIFS(记账分录!$I$6:$I$5505,记账分录!$F$6:$F$5505,$B$3,记账分录!$H$6:$H$5505,"应收账款",记账分录!$K$6:$K$5505,$A38,记账分录!$E$6:$E$5505,"&lt;"&amp;$A$4)-SUMIFS(记账分录!$J$6:$J$5505,记账分录!$F$6:$F$5505,$B$3,记账分录!$H$6:$H$5505,"应收账款",记账分录!$K$6:$K$5505,$A38,记账分录!$E$6:$E$5505,"&lt;"&amp;$A$4))</f>
        <v/>
      </c>
      <c r="D38" s="40" t="str">
        <f aca="false">IF($A38="","",SUMIFS(记账分录!$I$6:$I$5505,记账分录!$F$6:$F$5505,$B$3,记账分录!$H$6:$H$5505,"应收账款",记账分录!$K$6:$K$5505,$A38,记账分录!$E$6:$E$5505,"&gt;="&amp;$A$4,记账分录!$E$6:$E$5505,"&lt;="&amp;$B$4))</f>
        <v/>
      </c>
      <c r="E38" s="40" t="str">
        <f aca="false">IF($A38="","",SUMIFS(记账分录!$J$6:$J$5505,记账分录!$F$6:$F$5505,$B$3,记账分录!$H$6:$H$5505,"应收账款",记账分录!$K$6:$K$5505,$A38,记账分录!$E$6:$E$5505,"&gt;="&amp;$A$4,记账分录!$E$6:$E$5505,"&lt;="&amp;$B$4))</f>
        <v/>
      </c>
      <c r="F38" s="42" t="str">
        <f aca="false">IF($A38="","",ROUND($C38+$D38-$E38,2))</f>
        <v/>
      </c>
      <c r="G38" s="40" t="str">
        <f aca="false">IF($A38="","",SUMIFS(期初余额!$S$6:$S$65,期初余额!$P$6:$P$65,$B$3,期初余额!$Q$6:$Q$65,$A38)+SUMIFS(记账分录!$J$6:$J$5505,记账分录!$F$6:$F$5505,$B$3,记账分录!$H$6:$H$5505,"应付账款",记账分录!$K$6:$K$5505,$A38,记账分录!$E$6:$E$5505,"&lt;"&amp;$A$4)-SUMIFS(记账分录!$I$6:$I$5505,记账分录!$F$6:$F$5505,$B$3,记账分录!$H$6:$H$5505,"应付账款",记账分录!$K$6:$K$5505,$A38,记账分录!$E$6:$E$5505,"&lt;"&amp;$A$4))</f>
        <v/>
      </c>
      <c r="H38" s="40" t="str">
        <f aca="false">IF($A38="","",SUMIFS(记账分录!$J$6:$J$5505,记账分录!$F$6:$F$5505,$B$3,记账分录!$H$6:$H$5505,"应付账款",记账分录!$K$6:$K$5505,$A38,记账分录!$E$6:$E$5505,"&gt;="&amp;$A$4,记账分录!$E$6:$E$5505,"&lt;="&amp;$B$4))</f>
        <v/>
      </c>
      <c r="I38" s="40" t="str">
        <f aca="false">IF($A38="","",SUMIFS(记账分录!$I$6:$I$5505,记账分录!$F$6:$F$5505,$B$3,记账分录!$H$6:$H$5505,"应付账款",记账分录!$K$6:$K$5505,$A38,记账分录!$E$6:$E$5505,"&gt;="&amp;$A$4,记账分录!$E$6:$E$5505,"&lt;="&amp;$B$4))</f>
        <v/>
      </c>
      <c r="J38" s="42" t="str">
        <f aca="false">IF($A38="","",ROUND($G38+$H38-$I38,2))</f>
        <v/>
      </c>
      <c r="K38" s="42" t="str">
        <f aca="false">IF($A38="","",$F38-$J38)</f>
        <v/>
      </c>
      <c r="L38" s="64" t="str">
        <f aca="false">IF($A38="","",IF(OR(ROUND($C38,2)&lt;&gt;0,ROUND($D38,2)&lt;&gt;0,ROUND($E38,2)&lt;&gt;0,ROUND($G38,2)&lt;&gt;0,ROUND($H38,2)&lt;&gt;0,ROUND($I38,2)&lt;&gt;0),"有",""))</f>
        <v/>
      </c>
    </row>
    <row r="39" customFormat="false" ht="15" hidden="false" customHeight="false" outlineLevel="0" collapsed="false">
      <c r="A39" s="10" t="str">
        <f aca="false">IF(往来单位!$A38="","",往来单位!$A38)</f>
        <v/>
      </c>
      <c r="B39" s="25" t="str">
        <f aca="false">IF($A39="","",往来单位!$B38)</f>
        <v/>
      </c>
      <c r="C39" s="40" t="str">
        <f aca="false">IF($A39="","",SUMIFS(期初余额!$R$6:$R$65,期初余额!$P$6:$P$65,$B$3,期初余额!$Q$6:$Q$65,$A39)+SUMIFS(记账分录!$I$6:$I$5505,记账分录!$F$6:$F$5505,$B$3,记账分录!$H$6:$H$5505,"应收账款",记账分录!$K$6:$K$5505,$A39,记账分录!$E$6:$E$5505,"&lt;"&amp;$A$4)-SUMIFS(记账分录!$J$6:$J$5505,记账分录!$F$6:$F$5505,$B$3,记账分录!$H$6:$H$5505,"应收账款",记账分录!$K$6:$K$5505,$A39,记账分录!$E$6:$E$5505,"&lt;"&amp;$A$4))</f>
        <v/>
      </c>
      <c r="D39" s="40" t="str">
        <f aca="false">IF($A39="","",SUMIFS(记账分录!$I$6:$I$5505,记账分录!$F$6:$F$5505,$B$3,记账分录!$H$6:$H$5505,"应收账款",记账分录!$K$6:$K$5505,$A39,记账分录!$E$6:$E$5505,"&gt;="&amp;$A$4,记账分录!$E$6:$E$5505,"&lt;="&amp;$B$4))</f>
        <v/>
      </c>
      <c r="E39" s="40" t="str">
        <f aca="false">IF($A39="","",SUMIFS(记账分录!$J$6:$J$5505,记账分录!$F$6:$F$5505,$B$3,记账分录!$H$6:$H$5505,"应收账款",记账分录!$K$6:$K$5505,$A39,记账分录!$E$6:$E$5505,"&gt;="&amp;$A$4,记账分录!$E$6:$E$5505,"&lt;="&amp;$B$4))</f>
        <v/>
      </c>
      <c r="F39" s="42" t="str">
        <f aca="false">IF($A39="","",ROUND($C39+$D39-$E39,2))</f>
        <v/>
      </c>
      <c r="G39" s="40" t="str">
        <f aca="false">IF($A39="","",SUMIFS(期初余额!$S$6:$S$65,期初余额!$P$6:$P$65,$B$3,期初余额!$Q$6:$Q$65,$A39)+SUMIFS(记账分录!$J$6:$J$5505,记账分录!$F$6:$F$5505,$B$3,记账分录!$H$6:$H$5505,"应付账款",记账分录!$K$6:$K$5505,$A39,记账分录!$E$6:$E$5505,"&lt;"&amp;$A$4)-SUMIFS(记账分录!$I$6:$I$5505,记账分录!$F$6:$F$5505,$B$3,记账分录!$H$6:$H$5505,"应付账款",记账分录!$K$6:$K$5505,$A39,记账分录!$E$6:$E$5505,"&lt;"&amp;$A$4))</f>
        <v/>
      </c>
      <c r="H39" s="40" t="str">
        <f aca="false">IF($A39="","",SUMIFS(记账分录!$J$6:$J$5505,记账分录!$F$6:$F$5505,$B$3,记账分录!$H$6:$H$5505,"应付账款",记账分录!$K$6:$K$5505,$A39,记账分录!$E$6:$E$5505,"&gt;="&amp;$A$4,记账分录!$E$6:$E$5505,"&lt;="&amp;$B$4))</f>
        <v/>
      </c>
      <c r="I39" s="40" t="str">
        <f aca="false">IF($A39="","",SUMIFS(记账分录!$I$6:$I$5505,记账分录!$F$6:$F$5505,$B$3,记账分录!$H$6:$H$5505,"应付账款",记账分录!$K$6:$K$5505,$A39,记账分录!$E$6:$E$5505,"&gt;="&amp;$A$4,记账分录!$E$6:$E$5505,"&lt;="&amp;$B$4))</f>
        <v/>
      </c>
      <c r="J39" s="42" t="str">
        <f aca="false">IF($A39="","",ROUND($G39+$H39-$I39,2))</f>
        <v/>
      </c>
      <c r="K39" s="42" t="str">
        <f aca="false">IF($A39="","",$F39-$J39)</f>
        <v/>
      </c>
      <c r="L39" s="64" t="str">
        <f aca="false">IF($A39="","",IF(OR(ROUND($C39,2)&lt;&gt;0,ROUND($D39,2)&lt;&gt;0,ROUND($E39,2)&lt;&gt;0,ROUND($G39,2)&lt;&gt;0,ROUND($H39,2)&lt;&gt;0,ROUND($I39,2)&lt;&gt;0),"有",""))</f>
        <v/>
      </c>
    </row>
    <row r="40" customFormat="false" ht="15" hidden="false" customHeight="false" outlineLevel="0" collapsed="false">
      <c r="A40" s="10" t="str">
        <f aca="false">IF(往来单位!$A39="","",往来单位!$A39)</f>
        <v/>
      </c>
      <c r="B40" s="25" t="str">
        <f aca="false">IF($A40="","",往来单位!$B39)</f>
        <v/>
      </c>
      <c r="C40" s="40" t="str">
        <f aca="false">IF($A40="","",SUMIFS(期初余额!$R$6:$R$65,期初余额!$P$6:$P$65,$B$3,期初余额!$Q$6:$Q$65,$A40)+SUMIFS(记账分录!$I$6:$I$5505,记账分录!$F$6:$F$5505,$B$3,记账分录!$H$6:$H$5505,"应收账款",记账分录!$K$6:$K$5505,$A40,记账分录!$E$6:$E$5505,"&lt;"&amp;$A$4)-SUMIFS(记账分录!$J$6:$J$5505,记账分录!$F$6:$F$5505,$B$3,记账分录!$H$6:$H$5505,"应收账款",记账分录!$K$6:$K$5505,$A40,记账分录!$E$6:$E$5505,"&lt;"&amp;$A$4))</f>
        <v/>
      </c>
      <c r="D40" s="40" t="str">
        <f aca="false">IF($A40="","",SUMIFS(记账分录!$I$6:$I$5505,记账分录!$F$6:$F$5505,$B$3,记账分录!$H$6:$H$5505,"应收账款",记账分录!$K$6:$K$5505,$A40,记账分录!$E$6:$E$5505,"&gt;="&amp;$A$4,记账分录!$E$6:$E$5505,"&lt;="&amp;$B$4))</f>
        <v/>
      </c>
      <c r="E40" s="40" t="str">
        <f aca="false">IF($A40="","",SUMIFS(记账分录!$J$6:$J$5505,记账分录!$F$6:$F$5505,$B$3,记账分录!$H$6:$H$5505,"应收账款",记账分录!$K$6:$K$5505,$A40,记账分录!$E$6:$E$5505,"&gt;="&amp;$A$4,记账分录!$E$6:$E$5505,"&lt;="&amp;$B$4))</f>
        <v/>
      </c>
      <c r="F40" s="42" t="str">
        <f aca="false">IF($A40="","",ROUND($C40+$D40-$E40,2))</f>
        <v/>
      </c>
      <c r="G40" s="40" t="str">
        <f aca="false">IF($A40="","",SUMIFS(期初余额!$S$6:$S$65,期初余额!$P$6:$P$65,$B$3,期初余额!$Q$6:$Q$65,$A40)+SUMIFS(记账分录!$J$6:$J$5505,记账分录!$F$6:$F$5505,$B$3,记账分录!$H$6:$H$5505,"应付账款",记账分录!$K$6:$K$5505,$A40,记账分录!$E$6:$E$5505,"&lt;"&amp;$A$4)-SUMIFS(记账分录!$I$6:$I$5505,记账分录!$F$6:$F$5505,$B$3,记账分录!$H$6:$H$5505,"应付账款",记账分录!$K$6:$K$5505,$A40,记账分录!$E$6:$E$5505,"&lt;"&amp;$A$4))</f>
        <v/>
      </c>
      <c r="H40" s="40" t="str">
        <f aca="false">IF($A40="","",SUMIFS(记账分录!$J$6:$J$5505,记账分录!$F$6:$F$5505,$B$3,记账分录!$H$6:$H$5505,"应付账款",记账分录!$K$6:$K$5505,$A40,记账分录!$E$6:$E$5505,"&gt;="&amp;$A$4,记账分录!$E$6:$E$5505,"&lt;="&amp;$B$4))</f>
        <v/>
      </c>
      <c r="I40" s="40" t="str">
        <f aca="false">IF($A40="","",SUMIFS(记账分录!$I$6:$I$5505,记账分录!$F$6:$F$5505,$B$3,记账分录!$H$6:$H$5505,"应付账款",记账分录!$K$6:$K$5505,$A40,记账分录!$E$6:$E$5505,"&gt;="&amp;$A$4,记账分录!$E$6:$E$5505,"&lt;="&amp;$B$4))</f>
        <v/>
      </c>
      <c r="J40" s="42" t="str">
        <f aca="false">IF($A40="","",ROUND($G40+$H40-$I40,2))</f>
        <v/>
      </c>
      <c r="K40" s="42" t="str">
        <f aca="false">IF($A40="","",$F40-$J40)</f>
        <v/>
      </c>
      <c r="L40" s="64" t="str">
        <f aca="false">IF($A40="","",IF(OR(ROUND($C40,2)&lt;&gt;0,ROUND($D40,2)&lt;&gt;0,ROUND($E40,2)&lt;&gt;0,ROUND($G40,2)&lt;&gt;0,ROUND($H40,2)&lt;&gt;0,ROUND($I40,2)&lt;&gt;0),"有",""))</f>
        <v/>
      </c>
    </row>
    <row r="41" customFormat="false" ht="15" hidden="false" customHeight="false" outlineLevel="0" collapsed="false">
      <c r="A41" s="10" t="str">
        <f aca="false">IF(往来单位!$A40="","",往来单位!$A40)</f>
        <v/>
      </c>
      <c r="B41" s="25" t="str">
        <f aca="false">IF($A41="","",往来单位!$B40)</f>
        <v/>
      </c>
      <c r="C41" s="40" t="str">
        <f aca="false">IF($A41="","",SUMIFS(期初余额!$R$6:$R$65,期初余额!$P$6:$P$65,$B$3,期初余额!$Q$6:$Q$65,$A41)+SUMIFS(记账分录!$I$6:$I$5505,记账分录!$F$6:$F$5505,$B$3,记账分录!$H$6:$H$5505,"应收账款",记账分录!$K$6:$K$5505,$A41,记账分录!$E$6:$E$5505,"&lt;"&amp;$A$4)-SUMIFS(记账分录!$J$6:$J$5505,记账分录!$F$6:$F$5505,$B$3,记账分录!$H$6:$H$5505,"应收账款",记账分录!$K$6:$K$5505,$A41,记账分录!$E$6:$E$5505,"&lt;"&amp;$A$4))</f>
        <v/>
      </c>
      <c r="D41" s="40" t="str">
        <f aca="false">IF($A41="","",SUMIFS(记账分录!$I$6:$I$5505,记账分录!$F$6:$F$5505,$B$3,记账分录!$H$6:$H$5505,"应收账款",记账分录!$K$6:$K$5505,$A41,记账分录!$E$6:$E$5505,"&gt;="&amp;$A$4,记账分录!$E$6:$E$5505,"&lt;="&amp;$B$4))</f>
        <v/>
      </c>
      <c r="E41" s="40" t="str">
        <f aca="false">IF($A41="","",SUMIFS(记账分录!$J$6:$J$5505,记账分录!$F$6:$F$5505,$B$3,记账分录!$H$6:$H$5505,"应收账款",记账分录!$K$6:$K$5505,$A41,记账分录!$E$6:$E$5505,"&gt;="&amp;$A$4,记账分录!$E$6:$E$5505,"&lt;="&amp;$B$4))</f>
        <v/>
      </c>
      <c r="F41" s="42" t="str">
        <f aca="false">IF($A41="","",ROUND($C41+$D41-$E41,2))</f>
        <v/>
      </c>
      <c r="G41" s="40" t="str">
        <f aca="false">IF($A41="","",SUMIFS(期初余额!$S$6:$S$65,期初余额!$P$6:$P$65,$B$3,期初余额!$Q$6:$Q$65,$A41)+SUMIFS(记账分录!$J$6:$J$5505,记账分录!$F$6:$F$5505,$B$3,记账分录!$H$6:$H$5505,"应付账款",记账分录!$K$6:$K$5505,$A41,记账分录!$E$6:$E$5505,"&lt;"&amp;$A$4)-SUMIFS(记账分录!$I$6:$I$5505,记账分录!$F$6:$F$5505,$B$3,记账分录!$H$6:$H$5505,"应付账款",记账分录!$K$6:$K$5505,$A41,记账分录!$E$6:$E$5505,"&lt;"&amp;$A$4))</f>
        <v/>
      </c>
      <c r="H41" s="40" t="str">
        <f aca="false">IF($A41="","",SUMIFS(记账分录!$J$6:$J$5505,记账分录!$F$6:$F$5505,$B$3,记账分录!$H$6:$H$5505,"应付账款",记账分录!$K$6:$K$5505,$A41,记账分录!$E$6:$E$5505,"&gt;="&amp;$A$4,记账分录!$E$6:$E$5505,"&lt;="&amp;$B$4))</f>
        <v/>
      </c>
      <c r="I41" s="40" t="str">
        <f aca="false">IF($A41="","",SUMIFS(记账分录!$I$6:$I$5505,记账分录!$F$6:$F$5505,$B$3,记账分录!$H$6:$H$5505,"应付账款",记账分录!$K$6:$K$5505,$A41,记账分录!$E$6:$E$5505,"&gt;="&amp;$A$4,记账分录!$E$6:$E$5505,"&lt;="&amp;$B$4))</f>
        <v/>
      </c>
      <c r="J41" s="42" t="str">
        <f aca="false">IF($A41="","",ROUND($G41+$H41-$I41,2))</f>
        <v/>
      </c>
      <c r="K41" s="42" t="str">
        <f aca="false">IF($A41="","",$F41-$J41)</f>
        <v/>
      </c>
      <c r="L41" s="64" t="str">
        <f aca="false">IF($A41="","",IF(OR(ROUND($C41,2)&lt;&gt;0,ROUND($D41,2)&lt;&gt;0,ROUND($E41,2)&lt;&gt;0,ROUND($G41,2)&lt;&gt;0,ROUND($H41,2)&lt;&gt;0,ROUND($I41,2)&lt;&gt;0),"有",""))</f>
        <v/>
      </c>
    </row>
    <row r="42" customFormat="false" ht="15" hidden="true" customHeight="false" outlineLevel="0" collapsed="false">
      <c r="A42" s="10" t="str">
        <f aca="false">IF(往来单位!$A41="","",往来单位!$A41)</f>
        <v/>
      </c>
      <c r="B42" s="25" t="str">
        <f aca="false">IF($A42="","",往来单位!$B41)</f>
        <v/>
      </c>
      <c r="C42" s="40" t="str">
        <f aca="false">IF($A42="","",SUMIFS(期初余额!$R$6:$R$65,期初余额!$P$6:$P$65,$B$3,期初余额!$Q$6:$Q$65,$A42)+SUMIFS(记账分录!$I$6:$I$5505,记账分录!$F$6:$F$5505,$B$3,记账分录!$H$6:$H$5505,"应收账款",记账分录!$K$6:$K$5505,$A42,记账分录!$E$6:$E$5505,"&lt;"&amp;$A$4)-SUMIFS(记账分录!$J$6:$J$5505,记账分录!$F$6:$F$5505,$B$3,记账分录!$H$6:$H$5505,"应收账款",记账分录!$K$6:$K$5505,$A42,记账分录!$E$6:$E$5505,"&lt;"&amp;$A$4))</f>
        <v/>
      </c>
      <c r="D42" s="40" t="str">
        <f aca="false">IF($A42="","",SUMIFS(记账分录!$I$6:$I$5505,记账分录!$F$6:$F$5505,$B$3,记账分录!$H$6:$H$5505,"应收账款",记账分录!$K$6:$K$5505,$A42,记账分录!$E$6:$E$5505,"&gt;="&amp;$A$4,记账分录!$E$6:$E$5505,"&lt;="&amp;$B$4))</f>
        <v/>
      </c>
      <c r="E42" s="40" t="str">
        <f aca="false">IF($A42="","",SUMIFS(记账分录!$J$6:$J$5505,记账分录!$F$6:$F$5505,$B$3,记账分录!$H$6:$H$5505,"应收账款",记账分录!$K$6:$K$5505,$A42,记账分录!$E$6:$E$5505,"&gt;="&amp;$A$4,记账分录!$E$6:$E$5505,"&lt;="&amp;$B$4))</f>
        <v/>
      </c>
      <c r="F42" s="42" t="str">
        <f aca="false">IF($A42="","",ROUND($C42+$D42-$E42,2))</f>
        <v/>
      </c>
      <c r="G42" s="40" t="str">
        <f aca="false">IF($A42="","",SUMIFS(期初余额!$S$6:$S$65,期初余额!$P$6:$P$65,$B$3,期初余额!$Q$6:$Q$65,$A42)+SUMIFS(记账分录!$J$6:$J$5505,记账分录!$F$6:$F$5505,$B$3,记账分录!$H$6:$H$5505,"应付账款",记账分录!$K$6:$K$5505,$A42,记账分录!$E$6:$E$5505,"&lt;"&amp;$A$4)-SUMIFS(记账分录!$I$6:$I$5505,记账分录!$F$6:$F$5505,$B$3,记账分录!$H$6:$H$5505,"应付账款",记账分录!$K$6:$K$5505,$A42,记账分录!$E$6:$E$5505,"&lt;"&amp;$A$4))</f>
        <v/>
      </c>
      <c r="H42" s="40" t="str">
        <f aca="false">IF($A42="","",SUMIFS(记账分录!$J$6:$J$5505,记账分录!$F$6:$F$5505,$B$3,记账分录!$H$6:$H$5505,"应付账款",记账分录!$K$6:$K$5505,$A42,记账分录!$E$6:$E$5505,"&gt;="&amp;$A$4,记账分录!$E$6:$E$5505,"&lt;="&amp;$B$4))</f>
        <v/>
      </c>
      <c r="I42" s="40" t="str">
        <f aca="false">IF($A42="","",SUMIFS(记账分录!$I$6:$I$5505,记账分录!$F$6:$F$5505,$B$3,记账分录!$H$6:$H$5505,"应付账款",记账分录!$K$6:$K$5505,$A42,记账分录!$E$6:$E$5505,"&gt;="&amp;$A$4,记账分录!$E$6:$E$5505,"&lt;="&amp;$B$4))</f>
        <v/>
      </c>
      <c r="J42" s="42" t="str">
        <f aca="false">IF($A42="","",ROUND($G42+$H42-$I42,2))</f>
        <v/>
      </c>
      <c r="K42" s="42" t="str">
        <f aca="false">IF($A42="","",$F42-$J42)</f>
        <v/>
      </c>
      <c r="L42" s="64" t="str">
        <f aca="false">IF($A42="","",IF(OR(ROUND($C42,2)&lt;&gt;0,ROUND($D42,2)&lt;&gt;0,ROUND($E42,2)&lt;&gt;0,ROUND($G42,2)&lt;&gt;0,ROUND($H42,2)&lt;&gt;0,ROUND($I42,2)&lt;&gt;0),"有",""))</f>
        <v/>
      </c>
    </row>
    <row r="43" customFormat="false" ht="15" hidden="true" customHeight="false" outlineLevel="0" collapsed="false">
      <c r="A43" s="10" t="str">
        <f aca="false">IF(往来单位!$A42="","",往来单位!$A42)</f>
        <v/>
      </c>
      <c r="B43" s="25" t="str">
        <f aca="false">IF($A43="","",往来单位!$B42)</f>
        <v/>
      </c>
      <c r="C43" s="40" t="str">
        <f aca="false">IF($A43="","",SUMIFS(期初余额!$R$6:$R$65,期初余额!$P$6:$P$65,$B$3,期初余额!$Q$6:$Q$65,$A43)+SUMIFS(记账分录!$I$6:$I$5505,记账分录!$F$6:$F$5505,$B$3,记账分录!$H$6:$H$5505,"应收账款",记账分录!$K$6:$K$5505,$A43,记账分录!$E$6:$E$5505,"&lt;"&amp;$A$4)-SUMIFS(记账分录!$J$6:$J$5505,记账分录!$F$6:$F$5505,$B$3,记账分录!$H$6:$H$5505,"应收账款",记账分录!$K$6:$K$5505,$A43,记账分录!$E$6:$E$5505,"&lt;"&amp;$A$4))</f>
        <v/>
      </c>
      <c r="D43" s="40" t="str">
        <f aca="false">IF($A43="","",SUMIFS(记账分录!$I$6:$I$5505,记账分录!$F$6:$F$5505,$B$3,记账分录!$H$6:$H$5505,"应收账款",记账分录!$K$6:$K$5505,$A43,记账分录!$E$6:$E$5505,"&gt;="&amp;$A$4,记账分录!$E$6:$E$5505,"&lt;="&amp;$B$4))</f>
        <v/>
      </c>
      <c r="E43" s="40" t="str">
        <f aca="false">IF($A43="","",SUMIFS(记账分录!$J$6:$J$5505,记账分录!$F$6:$F$5505,$B$3,记账分录!$H$6:$H$5505,"应收账款",记账分录!$K$6:$K$5505,$A43,记账分录!$E$6:$E$5505,"&gt;="&amp;$A$4,记账分录!$E$6:$E$5505,"&lt;="&amp;$B$4))</f>
        <v/>
      </c>
      <c r="F43" s="42" t="str">
        <f aca="false">IF($A43="","",ROUND($C43+$D43-$E43,2))</f>
        <v/>
      </c>
      <c r="G43" s="40" t="str">
        <f aca="false">IF($A43="","",SUMIFS(期初余额!$S$6:$S$65,期初余额!$P$6:$P$65,$B$3,期初余额!$Q$6:$Q$65,$A43)+SUMIFS(记账分录!$J$6:$J$5505,记账分录!$F$6:$F$5505,$B$3,记账分录!$H$6:$H$5505,"应付账款",记账分录!$K$6:$K$5505,$A43,记账分录!$E$6:$E$5505,"&lt;"&amp;$A$4)-SUMIFS(记账分录!$I$6:$I$5505,记账分录!$F$6:$F$5505,$B$3,记账分录!$H$6:$H$5505,"应付账款",记账分录!$K$6:$K$5505,$A43,记账分录!$E$6:$E$5505,"&lt;"&amp;$A$4))</f>
        <v/>
      </c>
      <c r="H43" s="40" t="str">
        <f aca="false">IF($A43="","",SUMIFS(记账分录!$J$6:$J$5505,记账分录!$F$6:$F$5505,$B$3,记账分录!$H$6:$H$5505,"应付账款",记账分录!$K$6:$K$5505,$A43,记账分录!$E$6:$E$5505,"&gt;="&amp;$A$4,记账分录!$E$6:$E$5505,"&lt;="&amp;$B$4))</f>
        <v/>
      </c>
      <c r="I43" s="40" t="str">
        <f aca="false">IF($A43="","",SUMIFS(记账分录!$I$6:$I$5505,记账分录!$F$6:$F$5505,$B$3,记账分录!$H$6:$H$5505,"应付账款",记账分录!$K$6:$K$5505,$A43,记账分录!$E$6:$E$5505,"&gt;="&amp;$A$4,记账分录!$E$6:$E$5505,"&lt;="&amp;$B$4))</f>
        <v/>
      </c>
      <c r="J43" s="42" t="str">
        <f aca="false">IF($A43="","",ROUND($G43+$H43-$I43,2))</f>
        <v/>
      </c>
      <c r="K43" s="42" t="str">
        <f aca="false">IF($A43="","",$F43-$J43)</f>
        <v/>
      </c>
      <c r="L43" s="64" t="str">
        <f aca="false">IF($A43="","",IF(OR(ROUND($C43,2)&lt;&gt;0,ROUND($D43,2)&lt;&gt;0,ROUND($E43,2)&lt;&gt;0,ROUND($G43,2)&lt;&gt;0,ROUND($H43,2)&lt;&gt;0,ROUND($I43,2)&lt;&gt;0),"有",""))</f>
        <v/>
      </c>
    </row>
    <row r="44" customFormat="false" ht="15" hidden="true" customHeight="false" outlineLevel="0" collapsed="false">
      <c r="A44" s="10" t="str">
        <f aca="false">IF(往来单位!$A43="","",往来单位!$A43)</f>
        <v/>
      </c>
      <c r="B44" s="25" t="str">
        <f aca="false">IF($A44="","",往来单位!$B43)</f>
        <v/>
      </c>
      <c r="C44" s="40" t="str">
        <f aca="false">IF($A44="","",SUMIFS(期初余额!$R$6:$R$65,期初余额!$P$6:$P$65,$B$3,期初余额!$Q$6:$Q$65,$A44)+SUMIFS(记账分录!$I$6:$I$5505,记账分录!$F$6:$F$5505,$B$3,记账分录!$H$6:$H$5505,"应收账款",记账分录!$K$6:$K$5505,$A44,记账分录!$E$6:$E$5505,"&lt;"&amp;$A$4)-SUMIFS(记账分录!$J$6:$J$5505,记账分录!$F$6:$F$5505,$B$3,记账分录!$H$6:$H$5505,"应收账款",记账分录!$K$6:$K$5505,$A44,记账分录!$E$6:$E$5505,"&lt;"&amp;$A$4))</f>
        <v/>
      </c>
      <c r="D44" s="40" t="str">
        <f aca="false">IF($A44="","",SUMIFS(记账分录!$I$6:$I$5505,记账分录!$F$6:$F$5505,$B$3,记账分录!$H$6:$H$5505,"应收账款",记账分录!$K$6:$K$5505,$A44,记账分录!$E$6:$E$5505,"&gt;="&amp;$A$4,记账分录!$E$6:$E$5505,"&lt;="&amp;$B$4))</f>
        <v/>
      </c>
      <c r="E44" s="40" t="str">
        <f aca="false">IF($A44="","",SUMIFS(记账分录!$J$6:$J$5505,记账分录!$F$6:$F$5505,$B$3,记账分录!$H$6:$H$5505,"应收账款",记账分录!$K$6:$K$5505,$A44,记账分录!$E$6:$E$5505,"&gt;="&amp;$A$4,记账分录!$E$6:$E$5505,"&lt;="&amp;$B$4))</f>
        <v/>
      </c>
      <c r="F44" s="42" t="str">
        <f aca="false">IF($A44="","",ROUND($C44+$D44-$E44,2))</f>
        <v/>
      </c>
      <c r="G44" s="40" t="str">
        <f aca="false">IF($A44="","",SUMIFS(期初余额!$S$6:$S$65,期初余额!$P$6:$P$65,$B$3,期初余额!$Q$6:$Q$65,$A44)+SUMIFS(记账分录!$J$6:$J$5505,记账分录!$F$6:$F$5505,$B$3,记账分录!$H$6:$H$5505,"应付账款",记账分录!$K$6:$K$5505,$A44,记账分录!$E$6:$E$5505,"&lt;"&amp;$A$4)-SUMIFS(记账分录!$I$6:$I$5505,记账分录!$F$6:$F$5505,$B$3,记账分录!$H$6:$H$5505,"应付账款",记账分录!$K$6:$K$5505,$A44,记账分录!$E$6:$E$5505,"&lt;"&amp;$A$4))</f>
        <v/>
      </c>
      <c r="H44" s="40" t="str">
        <f aca="false">IF($A44="","",SUMIFS(记账分录!$J$6:$J$5505,记账分录!$F$6:$F$5505,$B$3,记账分录!$H$6:$H$5505,"应付账款",记账分录!$K$6:$K$5505,$A44,记账分录!$E$6:$E$5505,"&gt;="&amp;$A$4,记账分录!$E$6:$E$5505,"&lt;="&amp;$B$4))</f>
        <v/>
      </c>
      <c r="I44" s="40" t="str">
        <f aca="false">IF($A44="","",SUMIFS(记账分录!$I$6:$I$5505,记账分录!$F$6:$F$5505,$B$3,记账分录!$H$6:$H$5505,"应付账款",记账分录!$K$6:$K$5505,$A44,记账分录!$E$6:$E$5505,"&gt;="&amp;$A$4,记账分录!$E$6:$E$5505,"&lt;="&amp;$B$4))</f>
        <v/>
      </c>
      <c r="J44" s="42" t="str">
        <f aca="false">IF($A44="","",ROUND($G44+$H44-$I44,2))</f>
        <v/>
      </c>
      <c r="K44" s="42" t="str">
        <f aca="false">IF($A44="","",$F44-$J44)</f>
        <v/>
      </c>
      <c r="L44" s="64" t="str">
        <f aca="false">IF($A44="","",IF(OR(ROUND($C44,2)&lt;&gt;0,ROUND($D44,2)&lt;&gt;0,ROUND($E44,2)&lt;&gt;0,ROUND($G44,2)&lt;&gt;0,ROUND($H44,2)&lt;&gt;0,ROUND($I44,2)&lt;&gt;0),"有",""))</f>
        <v/>
      </c>
    </row>
    <row r="45" customFormat="false" ht="15" hidden="true" customHeight="false" outlineLevel="0" collapsed="false">
      <c r="A45" s="10" t="str">
        <f aca="false">IF(往来单位!$A44="","",往来单位!$A44)</f>
        <v/>
      </c>
      <c r="B45" s="25" t="str">
        <f aca="false">IF($A45="","",往来单位!$B44)</f>
        <v/>
      </c>
      <c r="C45" s="40" t="str">
        <f aca="false">IF($A45="","",SUMIFS(期初余额!$R$6:$R$65,期初余额!$P$6:$P$65,$B$3,期初余额!$Q$6:$Q$65,$A45)+SUMIFS(记账分录!$I$6:$I$5505,记账分录!$F$6:$F$5505,$B$3,记账分录!$H$6:$H$5505,"应收账款",记账分录!$K$6:$K$5505,$A45,记账分录!$E$6:$E$5505,"&lt;"&amp;$A$4)-SUMIFS(记账分录!$J$6:$J$5505,记账分录!$F$6:$F$5505,$B$3,记账分录!$H$6:$H$5505,"应收账款",记账分录!$K$6:$K$5505,$A45,记账分录!$E$6:$E$5505,"&lt;"&amp;$A$4))</f>
        <v/>
      </c>
      <c r="D45" s="40" t="str">
        <f aca="false">IF($A45="","",SUMIFS(记账分录!$I$6:$I$5505,记账分录!$F$6:$F$5505,$B$3,记账分录!$H$6:$H$5505,"应收账款",记账分录!$K$6:$K$5505,$A45,记账分录!$E$6:$E$5505,"&gt;="&amp;$A$4,记账分录!$E$6:$E$5505,"&lt;="&amp;$B$4))</f>
        <v/>
      </c>
      <c r="E45" s="40" t="str">
        <f aca="false">IF($A45="","",SUMIFS(记账分录!$J$6:$J$5505,记账分录!$F$6:$F$5505,$B$3,记账分录!$H$6:$H$5505,"应收账款",记账分录!$K$6:$K$5505,$A45,记账分录!$E$6:$E$5505,"&gt;="&amp;$A$4,记账分录!$E$6:$E$5505,"&lt;="&amp;$B$4))</f>
        <v/>
      </c>
      <c r="F45" s="42" t="str">
        <f aca="false">IF($A45="","",ROUND($C45+$D45-$E45,2))</f>
        <v/>
      </c>
      <c r="G45" s="40" t="str">
        <f aca="false">IF($A45="","",SUMIFS(期初余额!$S$6:$S$65,期初余额!$P$6:$P$65,$B$3,期初余额!$Q$6:$Q$65,$A45)+SUMIFS(记账分录!$J$6:$J$5505,记账分录!$F$6:$F$5505,$B$3,记账分录!$H$6:$H$5505,"应付账款",记账分录!$K$6:$K$5505,$A45,记账分录!$E$6:$E$5505,"&lt;"&amp;$A$4)-SUMIFS(记账分录!$I$6:$I$5505,记账分录!$F$6:$F$5505,$B$3,记账分录!$H$6:$H$5505,"应付账款",记账分录!$K$6:$K$5505,$A45,记账分录!$E$6:$E$5505,"&lt;"&amp;$A$4))</f>
        <v/>
      </c>
      <c r="H45" s="40" t="str">
        <f aca="false">IF($A45="","",SUMIFS(记账分录!$J$6:$J$5505,记账分录!$F$6:$F$5505,$B$3,记账分录!$H$6:$H$5505,"应付账款",记账分录!$K$6:$K$5505,$A45,记账分录!$E$6:$E$5505,"&gt;="&amp;$A$4,记账分录!$E$6:$E$5505,"&lt;="&amp;$B$4))</f>
        <v/>
      </c>
      <c r="I45" s="40" t="str">
        <f aca="false">IF($A45="","",SUMIFS(记账分录!$I$6:$I$5505,记账分录!$F$6:$F$5505,$B$3,记账分录!$H$6:$H$5505,"应付账款",记账分录!$K$6:$K$5505,$A45,记账分录!$E$6:$E$5505,"&gt;="&amp;$A$4,记账分录!$E$6:$E$5505,"&lt;="&amp;$B$4))</f>
        <v/>
      </c>
      <c r="J45" s="42" t="str">
        <f aca="false">IF($A45="","",ROUND($G45+$H45-$I45,2))</f>
        <v/>
      </c>
      <c r="K45" s="42" t="str">
        <f aca="false">IF($A45="","",$F45-$J45)</f>
        <v/>
      </c>
      <c r="L45" s="64" t="str">
        <f aca="false">IF($A45="","",IF(OR(ROUND($C45,2)&lt;&gt;0,ROUND($D45,2)&lt;&gt;0,ROUND($E45,2)&lt;&gt;0,ROUND($G45,2)&lt;&gt;0,ROUND($H45,2)&lt;&gt;0,ROUND($I45,2)&lt;&gt;0),"有",""))</f>
        <v/>
      </c>
    </row>
    <row r="46" customFormat="false" ht="15" hidden="true" customHeight="false" outlineLevel="0" collapsed="false">
      <c r="A46" s="10" t="str">
        <f aca="false">IF(往来单位!$A45="","",往来单位!$A45)</f>
        <v/>
      </c>
      <c r="B46" s="25" t="str">
        <f aca="false">IF($A46="","",往来单位!$B45)</f>
        <v/>
      </c>
      <c r="C46" s="40" t="str">
        <f aca="false">IF($A46="","",SUMIFS(期初余额!$R$6:$R$65,期初余额!$P$6:$P$65,$B$3,期初余额!$Q$6:$Q$65,$A46)+SUMIFS(记账分录!$I$6:$I$5505,记账分录!$F$6:$F$5505,$B$3,记账分录!$H$6:$H$5505,"应收账款",记账分录!$K$6:$K$5505,$A46,记账分录!$E$6:$E$5505,"&lt;"&amp;$A$4)-SUMIFS(记账分录!$J$6:$J$5505,记账分录!$F$6:$F$5505,$B$3,记账分录!$H$6:$H$5505,"应收账款",记账分录!$K$6:$K$5505,$A46,记账分录!$E$6:$E$5505,"&lt;"&amp;$A$4))</f>
        <v/>
      </c>
      <c r="D46" s="40" t="str">
        <f aca="false">IF($A46="","",SUMIFS(记账分录!$I$6:$I$5505,记账分录!$F$6:$F$5505,$B$3,记账分录!$H$6:$H$5505,"应收账款",记账分录!$K$6:$K$5505,$A46,记账分录!$E$6:$E$5505,"&gt;="&amp;$A$4,记账分录!$E$6:$E$5505,"&lt;="&amp;$B$4))</f>
        <v/>
      </c>
      <c r="E46" s="40" t="str">
        <f aca="false">IF($A46="","",SUMIFS(记账分录!$J$6:$J$5505,记账分录!$F$6:$F$5505,$B$3,记账分录!$H$6:$H$5505,"应收账款",记账分录!$K$6:$K$5505,$A46,记账分录!$E$6:$E$5505,"&gt;="&amp;$A$4,记账分录!$E$6:$E$5505,"&lt;="&amp;$B$4))</f>
        <v/>
      </c>
      <c r="F46" s="42" t="str">
        <f aca="false">IF($A46="","",ROUND($C46+$D46-$E46,2))</f>
        <v/>
      </c>
      <c r="G46" s="40" t="str">
        <f aca="false">IF($A46="","",SUMIFS(期初余额!$S$6:$S$65,期初余额!$P$6:$P$65,$B$3,期初余额!$Q$6:$Q$65,$A46)+SUMIFS(记账分录!$J$6:$J$5505,记账分录!$F$6:$F$5505,$B$3,记账分录!$H$6:$H$5505,"应付账款",记账分录!$K$6:$K$5505,$A46,记账分录!$E$6:$E$5505,"&lt;"&amp;$A$4)-SUMIFS(记账分录!$I$6:$I$5505,记账分录!$F$6:$F$5505,$B$3,记账分录!$H$6:$H$5505,"应付账款",记账分录!$K$6:$K$5505,$A46,记账分录!$E$6:$E$5505,"&lt;"&amp;$A$4))</f>
        <v/>
      </c>
      <c r="H46" s="40" t="str">
        <f aca="false">IF($A46="","",SUMIFS(记账分录!$J$6:$J$5505,记账分录!$F$6:$F$5505,$B$3,记账分录!$H$6:$H$5505,"应付账款",记账分录!$K$6:$K$5505,$A46,记账分录!$E$6:$E$5505,"&gt;="&amp;$A$4,记账分录!$E$6:$E$5505,"&lt;="&amp;$B$4))</f>
        <v/>
      </c>
      <c r="I46" s="40" t="str">
        <f aca="false">IF($A46="","",SUMIFS(记账分录!$I$6:$I$5505,记账分录!$F$6:$F$5505,$B$3,记账分录!$H$6:$H$5505,"应付账款",记账分录!$K$6:$K$5505,$A46,记账分录!$E$6:$E$5505,"&gt;="&amp;$A$4,记账分录!$E$6:$E$5505,"&lt;="&amp;$B$4))</f>
        <v/>
      </c>
      <c r="J46" s="42" t="str">
        <f aca="false">IF($A46="","",ROUND($G46+$H46-$I46,2))</f>
        <v/>
      </c>
      <c r="K46" s="42" t="str">
        <f aca="false">IF($A46="","",$F46-$J46)</f>
        <v/>
      </c>
      <c r="L46" s="64" t="str">
        <f aca="false">IF($A46="","",IF(OR(ROUND($C46,2)&lt;&gt;0,ROUND($D46,2)&lt;&gt;0,ROUND($E46,2)&lt;&gt;0,ROUND($G46,2)&lt;&gt;0,ROUND($H46,2)&lt;&gt;0,ROUND($I46,2)&lt;&gt;0),"有",""))</f>
        <v/>
      </c>
    </row>
    <row r="47" customFormat="false" ht="15" hidden="true" customHeight="false" outlineLevel="0" collapsed="false">
      <c r="A47" s="10" t="str">
        <f aca="false">IF(往来单位!$A46="","",往来单位!$A46)</f>
        <v/>
      </c>
      <c r="B47" s="25" t="str">
        <f aca="false">IF($A47="","",往来单位!$B46)</f>
        <v/>
      </c>
      <c r="C47" s="40" t="str">
        <f aca="false">IF($A47="","",SUMIFS(期初余额!$R$6:$R$65,期初余额!$P$6:$P$65,$B$3,期初余额!$Q$6:$Q$65,$A47)+SUMIFS(记账分录!$I$6:$I$5505,记账分录!$F$6:$F$5505,$B$3,记账分录!$H$6:$H$5505,"应收账款",记账分录!$K$6:$K$5505,$A47,记账分录!$E$6:$E$5505,"&lt;"&amp;$A$4)-SUMIFS(记账分录!$J$6:$J$5505,记账分录!$F$6:$F$5505,$B$3,记账分录!$H$6:$H$5505,"应收账款",记账分录!$K$6:$K$5505,$A47,记账分录!$E$6:$E$5505,"&lt;"&amp;$A$4))</f>
        <v/>
      </c>
      <c r="D47" s="40" t="str">
        <f aca="false">IF($A47="","",SUMIFS(记账分录!$I$6:$I$5505,记账分录!$F$6:$F$5505,$B$3,记账分录!$H$6:$H$5505,"应收账款",记账分录!$K$6:$K$5505,$A47,记账分录!$E$6:$E$5505,"&gt;="&amp;$A$4,记账分录!$E$6:$E$5505,"&lt;="&amp;$B$4))</f>
        <v/>
      </c>
      <c r="E47" s="40" t="str">
        <f aca="false">IF($A47="","",SUMIFS(记账分录!$J$6:$J$5505,记账分录!$F$6:$F$5505,$B$3,记账分录!$H$6:$H$5505,"应收账款",记账分录!$K$6:$K$5505,$A47,记账分录!$E$6:$E$5505,"&gt;="&amp;$A$4,记账分录!$E$6:$E$5505,"&lt;="&amp;$B$4))</f>
        <v/>
      </c>
      <c r="F47" s="42" t="str">
        <f aca="false">IF($A47="","",ROUND($C47+$D47-$E47,2))</f>
        <v/>
      </c>
      <c r="G47" s="40" t="str">
        <f aca="false">IF($A47="","",SUMIFS(期初余额!$S$6:$S$65,期初余额!$P$6:$P$65,$B$3,期初余额!$Q$6:$Q$65,$A47)+SUMIFS(记账分录!$J$6:$J$5505,记账分录!$F$6:$F$5505,$B$3,记账分录!$H$6:$H$5505,"应付账款",记账分录!$K$6:$K$5505,$A47,记账分录!$E$6:$E$5505,"&lt;"&amp;$A$4)-SUMIFS(记账分录!$I$6:$I$5505,记账分录!$F$6:$F$5505,$B$3,记账分录!$H$6:$H$5505,"应付账款",记账分录!$K$6:$K$5505,$A47,记账分录!$E$6:$E$5505,"&lt;"&amp;$A$4))</f>
        <v/>
      </c>
      <c r="H47" s="40" t="str">
        <f aca="false">IF($A47="","",SUMIFS(记账分录!$J$6:$J$5505,记账分录!$F$6:$F$5505,$B$3,记账分录!$H$6:$H$5505,"应付账款",记账分录!$K$6:$K$5505,$A47,记账分录!$E$6:$E$5505,"&gt;="&amp;$A$4,记账分录!$E$6:$E$5505,"&lt;="&amp;$B$4))</f>
        <v/>
      </c>
      <c r="I47" s="40" t="str">
        <f aca="false">IF($A47="","",SUMIFS(记账分录!$I$6:$I$5505,记账分录!$F$6:$F$5505,$B$3,记账分录!$H$6:$H$5505,"应付账款",记账分录!$K$6:$K$5505,$A47,记账分录!$E$6:$E$5505,"&gt;="&amp;$A$4,记账分录!$E$6:$E$5505,"&lt;="&amp;$B$4))</f>
        <v/>
      </c>
      <c r="J47" s="42" t="str">
        <f aca="false">IF($A47="","",ROUND($G47+$H47-$I47,2))</f>
        <v/>
      </c>
      <c r="K47" s="42" t="str">
        <f aca="false">IF($A47="","",$F47-$J47)</f>
        <v/>
      </c>
      <c r="L47" s="64" t="str">
        <f aca="false">IF($A47="","",IF(OR(ROUND($C47,2)&lt;&gt;0,ROUND($D47,2)&lt;&gt;0,ROUND($E47,2)&lt;&gt;0,ROUND($G47,2)&lt;&gt;0,ROUND($H47,2)&lt;&gt;0,ROUND($I47,2)&lt;&gt;0),"有",""))</f>
        <v/>
      </c>
    </row>
    <row r="48" customFormat="false" ht="15" hidden="true" customHeight="false" outlineLevel="0" collapsed="false">
      <c r="A48" s="10" t="str">
        <f aca="false">IF(往来单位!$A47="","",往来单位!$A47)</f>
        <v/>
      </c>
      <c r="B48" s="25" t="str">
        <f aca="false">IF($A48="","",往来单位!$B47)</f>
        <v/>
      </c>
      <c r="C48" s="40" t="str">
        <f aca="false">IF($A48="","",SUMIFS(期初余额!$R$6:$R$65,期初余额!$P$6:$P$65,$B$3,期初余额!$Q$6:$Q$65,$A48)+SUMIFS(记账分录!$I$6:$I$5505,记账分录!$F$6:$F$5505,$B$3,记账分录!$H$6:$H$5505,"应收账款",记账分录!$K$6:$K$5505,$A48,记账分录!$E$6:$E$5505,"&lt;"&amp;$A$4)-SUMIFS(记账分录!$J$6:$J$5505,记账分录!$F$6:$F$5505,$B$3,记账分录!$H$6:$H$5505,"应收账款",记账分录!$K$6:$K$5505,$A48,记账分录!$E$6:$E$5505,"&lt;"&amp;$A$4))</f>
        <v/>
      </c>
      <c r="D48" s="40" t="str">
        <f aca="false">IF($A48="","",SUMIFS(记账分录!$I$6:$I$5505,记账分录!$F$6:$F$5505,$B$3,记账分录!$H$6:$H$5505,"应收账款",记账分录!$K$6:$K$5505,$A48,记账分录!$E$6:$E$5505,"&gt;="&amp;$A$4,记账分录!$E$6:$E$5505,"&lt;="&amp;$B$4))</f>
        <v/>
      </c>
      <c r="E48" s="40" t="str">
        <f aca="false">IF($A48="","",SUMIFS(记账分录!$J$6:$J$5505,记账分录!$F$6:$F$5505,$B$3,记账分录!$H$6:$H$5505,"应收账款",记账分录!$K$6:$K$5505,$A48,记账分录!$E$6:$E$5505,"&gt;="&amp;$A$4,记账分录!$E$6:$E$5505,"&lt;="&amp;$B$4))</f>
        <v/>
      </c>
      <c r="F48" s="42" t="str">
        <f aca="false">IF($A48="","",ROUND($C48+$D48-$E48,2))</f>
        <v/>
      </c>
      <c r="G48" s="40" t="str">
        <f aca="false">IF($A48="","",SUMIFS(期初余额!$S$6:$S$65,期初余额!$P$6:$P$65,$B$3,期初余额!$Q$6:$Q$65,$A48)+SUMIFS(记账分录!$J$6:$J$5505,记账分录!$F$6:$F$5505,$B$3,记账分录!$H$6:$H$5505,"应付账款",记账分录!$K$6:$K$5505,$A48,记账分录!$E$6:$E$5505,"&lt;"&amp;$A$4)-SUMIFS(记账分录!$I$6:$I$5505,记账分录!$F$6:$F$5505,$B$3,记账分录!$H$6:$H$5505,"应付账款",记账分录!$K$6:$K$5505,$A48,记账分录!$E$6:$E$5505,"&lt;"&amp;$A$4))</f>
        <v/>
      </c>
      <c r="H48" s="40" t="str">
        <f aca="false">IF($A48="","",SUMIFS(记账分录!$J$6:$J$5505,记账分录!$F$6:$F$5505,$B$3,记账分录!$H$6:$H$5505,"应付账款",记账分录!$K$6:$K$5505,$A48,记账分录!$E$6:$E$5505,"&gt;="&amp;$A$4,记账分录!$E$6:$E$5505,"&lt;="&amp;$B$4))</f>
        <v/>
      </c>
      <c r="I48" s="40" t="str">
        <f aca="false">IF($A48="","",SUMIFS(记账分录!$I$6:$I$5505,记账分录!$F$6:$F$5505,$B$3,记账分录!$H$6:$H$5505,"应付账款",记账分录!$K$6:$K$5505,$A48,记账分录!$E$6:$E$5505,"&gt;="&amp;$A$4,记账分录!$E$6:$E$5505,"&lt;="&amp;$B$4))</f>
        <v/>
      </c>
      <c r="J48" s="42" t="str">
        <f aca="false">IF($A48="","",ROUND($G48+$H48-$I48,2))</f>
        <v/>
      </c>
      <c r="K48" s="42" t="str">
        <f aca="false">IF($A48="","",$F48-$J48)</f>
        <v/>
      </c>
      <c r="L48" s="64" t="str">
        <f aca="false">IF($A48="","",IF(OR(ROUND($C48,2)&lt;&gt;0,ROUND($D48,2)&lt;&gt;0,ROUND($E48,2)&lt;&gt;0,ROUND($G48,2)&lt;&gt;0,ROUND($H48,2)&lt;&gt;0,ROUND($I48,2)&lt;&gt;0),"有",""))</f>
        <v/>
      </c>
    </row>
    <row r="49" customFormat="false" ht="15" hidden="true" customHeight="false" outlineLevel="0" collapsed="false">
      <c r="A49" s="10" t="str">
        <f aca="false">IF(往来单位!$A48="","",往来单位!$A48)</f>
        <v/>
      </c>
      <c r="B49" s="25" t="str">
        <f aca="false">IF($A49="","",往来单位!$B48)</f>
        <v/>
      </c>
      <c r="C49" s="40" t="str">
        <f aca="false">IF($A49="","",SUMIFS(期初余额!$R$6:$R$65,期初余额!$P$6:$P$65,$B$3,期初余额!$Q$6:$Q$65,$A49)+SUMIFS(记账分录!$I$6:$I$5505,记账分录!$F$6:$F$5505,$B$3,记账分录!$H$6:$H$5505,"应收账款",记账分录!$K$6:$K$5505,$A49,记账分录!$E$6:$E$5505,"&lt;"&amp;$A$4)-SUMIFS(记账分录!$J$6:$J$5505,记账分录!$F$6:$F$5505,$B$3,记账分录!$H$6:$H$5505,"应收账款",记账分录!$K$6:$K$5505,$A49,记账分录!$E$6:$E$5505,"&lt;"&amp;$A$4))</f>
        <v/>
      </c>
      <c r="D49" s="40" t="str">
        <f aca="false">IF($A49="","",SUMIFS(记账分录!$I$6:$I$5505,记账分录!$F$6:$F$5505,$B$3,记账分录!$H$6:$H$5505,"应收账款",记账分录!$K$6:$K$5505,$A49,记账分录!$E$6:$E$5505,"&gt;="&amp;$A$4,记账分录!$E$6:$E$5505,"&lt;="&amp;$B$4))</f>
        <v/>
      </c>
      <c r="E49" s="40" t="str">
        <f aca="false">IF($A49="","",SUMIFS(记账分录!$J$6:$J$5505,记账分录!$F$6:$F$5505,$B$3,记账分录!$H$6:$H$5505,"应收账款",记账分录!$K$6:$K$5505,$A49,记账分录!$E$6:$E$5505,"&gt;="&amp;$A$4,记账分录!$E$6:$E$5505,"&lt;="&amp;$B$4))</f>
        <v/>
      </c>
      <c r="F49" s="42" t="str">
        <f aca="false">IF($A49="","",ROUND($C49+$D49-$E49,2))</f>
        <v/>
      </c>
      <c r="G49" s="40" t="str">
        <f aca="false">IF($A49="","",SUMIFS(期初余额!$S$6:$S$65,期初余额!$P$6:$P$65,$B$3,期初余额!$Q$6:$Q$65,$A49)+SUMIFS(记账分录!$J$6:$J$5505,记账分录!$F$6:$F$5505,$B$3,记账分录!$H$6:$H$5505,"应付账款",记账分录!$K$6:$K$5505,$A49,记账分录!$E$6:$E$5505,"&lt;"&amp;$A$4)-SUMIFS(记账分录!$I$6:$I$5505,记账分录!$F$6:$F$5505,$B$3,记账分录!$H$6:$H$5505,"应付账款",记账分录!$K$6:$K$5505,$A49,记账分录!$E$6:$E$5505,"&lt;"&amp;$A$4))</f>
        <v/>
      </c>
      <c r="H49" s="40" t="str">
        <f aca="false">IF($A49="","",SUMIFS(记账分录!$J$6:$J$5505,记账分录!$F$6:$F$5505,$B$3,记账分录!$H$6:$H$5505,"应付账款",记账分录!$K$6:$K$5505,$A49,记账分录!$E$6:$E$5505,"&gt;="&amp;$A$4,记账分录!$E$6:$E$5505,"&lt;="&amp;$B$4))</f>
        <v/>
      </c>
      <c r="I49" s="40" t="str">
        <f aca="false">IF($A49="","",SUMIFS(记账分录!$I$6:$I$5505,记账分录!$F$6:$F$5505,$B$3,记账分录!$H$6:$H$5505,"应付账款",记账分录!$K$6:$K$5505,$A49,记账分录!$E$6:$E$5505,"&gt;="&amp;$A$4,记账分录!$E$6:$E$5505,"&lt;="&amp;$B$4))</f>
        <v/>
      </c>
      <c r="J49" s="42" t="str">
        <f aca="false">IF($A49="","",ROUND($G49+$H49-$I49,2))</f>
        <v/>
      </c>
      <c r="K49" s="42" t="str">
        <f aca="false">IF($A49="","",$F49-$J49)</f>
        <v/>
      </c>
      <c r="L49" s="64" t="str">
        <f aca="false">IF($A49="","",IF(OR(ROUND($C49,2)&lt;&gt;0,ROUND($D49,2)&lt;&gt;0,ROUND($E49,2)&lt;&gt;0,ROUND($G49,2)&lt;&gt;0,ROUND($H49,2)&lt;&gt;0,ROUND($I49,2)&lt;&gt;0),"有",""))</f>
        <v/>
      </c>
    </row>
    <row r="50" customFormat="false" ht="15" hidden="true" customHeight="false" outlineLevel="0" collapsed="false">
      <c r="A50" s="10" t="str">
        <f aca="false">IF(往来单位!$A49="","",往来单位!$A49)</f>
        <v/>
      </c>
      <c r="B50" s="25" t="str">
        <f aca="false">IF($A50="","",往来单位!$B49)</f>
        <v/>
      </c>
      <c r="C50" s="40" t="str">
        <f aca="false">IF($A50="","",SUMIFS(期初余额!$R$6:$R$65,期初余额!$P$6:$P$65,$B$3,期初余额!$Q$6:$Q$65,$A50)+SUMIFS(记账分录!$I$6:$I$5505,记账分录!$F$6:$F$5505,$B$3,记账分录!$H$6:$H$5505,"应收账款",记账分录!$K$6:$K$5505,$A50,记账分录!$E$6:$E$5505,"&lt;"&amp;$A$4)-SUMIFS(记账分录!$J$6:$J$5505,记账分录!$F$6:$F$5505,$B$3,记账分录!$H$6:$H$5505,"应收账款",记账分录!$K$6:$K$5505,$A50,记账分录!$E$6:$E$5505,"&lt;"&amp;$A$4))</f>
        <v/>
      </c>
      <c r="D50" s="40" t="str">
        <f aca="false">IF($A50="","",SUMIFS(记账分录!$I$6:$I$5505,记账分录!$F$6:$F$5505,$B$3,记账分录!$H$6:$H$5505,"应收账款",记账分录!$K$6:$K$5505,$A50,记账分录!$E$6:$E$5505,"&gt;="&amp;$A$4,记账分录!$E$6:$E$5505,"&lt;="&amp;$B$4))</f>
        <v/>
      </c>
      <c r="E50" s="40" t="str">
        <f aca="false">IF($A50="","",SUMIFS(记账分录!$J$6:$J$5505,记账分录!$F$6:$F$5505,$B$3,记账分录!$H$6:$H$5505,"应收账款",记账分录!$K$6:$K$5505,$A50,记账分录!$E$6:$E$5505,"&gt;="&amp;$A$4,记账分录!$E$6:$E$5505,"&lt;="&amp;$B$4))</f>
        <v/>
      </c>
      <c r="F50" s="42" t="str">
        <f aca="false">IF($A50="","",ROUND($C50+$D50-$E50,2))</f>
        <v/>
      </c>
      <c r="G50" s="40" t="str">
        <f aca="false">IF($A50="","",SUMIFS(期初余额!$S$6:$S$65,期初余额!$P$6:$P$65,$B$3,期初余额!$Q$6:$Q$65,$A50)+SUMIFS(记账分录!$J$6:$J$5505,记账分录!$F$6:$F$5505,$B$3,记账分录!$H$6:$H$5505,"应付账款",记账分录!$K$6:$K$5505,$A50,记账分录!$E$6:$E$5505,"&lt;"&amp;$A$4)-SUMIFS(记账分录!$I$6:$I$5505,记账分录!$F$6:$F$5505,$B$3,记账分录!$H$6:$H$5505,"应付账款",记账分录!$K$6:$K$5505,$A50,记账分录!$E$6:$E$5505,"&lt;"&amp;$A$4))</f>
        <v/>
      </c>
      <c r="H50" s="40" t="str">
        <f aca="false">IF($A50="","",SUMIFS(记账分录!$J$6:$J$5505,记账分录!$F$6:$F$5505,$B$3,记账分录!$H$6:$H$5505,"应付账款",记账分录!$K$6:$K$5505,$A50,记账分录!$E$6:$E$5505,"&gt;="&amp;$A$4,记账分录!$E$6:$E$5505,"&lt;="&amp;$B$4))</f>
        <v/>
      </c>
      <c r="I50" s="40" t="str">
        <f aca="false">IF($A50="","",SUMIFS(记账分录!$I$6:$I$5505,记账分录!$F$6:$F$5505,$B$3,记账分录!$H$6:$H$5505,"应付账款",记账分录!$K$6:$K$5505,$A50,记账分录!$E$6:$E$5505,"&gt;="&amp;$A$4,记账分录!$E$6:$E$5505,"&lt;="&amp;$B$4))</f>
        <v/>
      </c>
      <c r="J50" s="42" t="str">
        <f aca="false">IF($A50="","",ROUND($G50+$H50-$I50,2))</f>
        <v/>
      </c>
      <c r="K50" s="42" t="str">
        <f aca="false">IF($A50="","",$F50-$J50)</f>
        <v/>
      </c>
      <c r="L50" s="64" t="str">
        <f aca="false">IF($A50="","",IF(OR(ROUND($C50,2)&lt;&gt;0,ROUND($D50,2)&lt;&gt;0,ROUND($E50,2)&lt;&gt;0,ROUND($G50,2)&lt;&gt;0,ROUND($H50,2)&lt;&gt;0,ROUND($I50,2)&lt;&gt;0),"有",""))</f>
        <v/>
      </c>
    </row>
    <row r="51" customFormat="false" ht="15" hidden="true" customHeight="false" outlineLevel="0" collapsed="false">
      <c r="A51" s="10" t="str">
        <f aca="false">IF(往来单位!$A50="","",往来单位!$A50)</f>
        <v/>
      </c>
      <c r="B51" s="25" t="str">
        <f aca="false">IF($A51="","",往来单位!$B50)</f>
        <v/>
      </c>
      <c r="C51" s="40" t="str">
        <f aca="false">IF($A51="","",SUMIFS(期初余额!$R$6:$R$65,期初余额!$P$6:$P$65,$B$3,期初余额!$Q$6:$Q$65,$A51)+SUMIFS(记账分录!$I$6:$I$5505,记账分录!$F$6:$F$5505,$B$3,记账分录!$H$6:$H$5505,"应收账款",记账分录!$K$6:$K$5505,$A51,记账分录!$E$6:$E$5505,"&lt;"&amp;$A$4)-SUMIFS(记账分录!$J$6:$J$5505,记账分录!$F$6:$F$5505,$B$3,记账分录!$H$6:$H$5505,"应收账款",记账分录!$K$6:$K$5505,$A51,记账分录!$E$6:$E$5505,"&lt;"&amp;$A$4))</f>
        <v/>
      </c>
      <c r="D51" s="40" t="str">
        <f aca="false">IF($A51="","",SUMIFS(记账分录!$I$6:$I$5505,记账分录!$F$6:$F$5505,$B$3,记账分录!$H$6:$H$5505,"应收账款",记账分录!$K$6:$K$5505,$A51,记账分录!$E$6:$E$5505,"&gt;="&amp;$A$4,记账分录!$E$6:$E$5505,"&lt;="&amp;$B$4))</f>
        <v/>
      </c>
      <c r="E51" s="40" t="str">
        <f aca="false">IF($A51="","",SUMIFS(记账分录!$J$6:$J$5505,记账分录!$F$6:$F$5505,$B$3,记账分录!$H$6:$H$5505,"应收账款",记账分录!$K$6:$K$5505,$A51,记账分录!$E$6:$E$5505,"&gt;="&amp;$A$4,记账分录!$E$6:$E$5505,"&lt;="&amp;$B$4))</f>
        <v/>
      </c>
      <c r="F51" s="42" t="str">
        <f aca="false">IF($A51="","",ROUND($C51+$D51-$E51,2))</f>
        <v/>
      </c>
      <c r="G51" s="40" t="str">
        <f aca="false">IF($A51="","",SUMIFS(期初余额!$S$6:$S$65,期初余额!$P$6:$P$65,$B$3,期初余额!$Q$6:$Q$65,$A51)+SUMIFS(记账分录!$J$6:$J$5505,记账分录!$F$6:$F$5505,$B$3,记账分录!$H$6:$H$5505,"应付账款",记账分录!$K$6:$K$5505,$A51,记账分录!$E$6:$E$5505,"&lt;"&amp;$A$4)-SUMIFS(记账分录!$I$6:$I$5505,记账分录!$F$6:$F$5505,$B$3,记账分录!$H$6:$H$5505,"应付账款",记账分录!$K$6:$K$5505,$A51,记账分录!$E$6:$E$5505,"&lt;"&amp;$A$4))</f>
        <v/>
      </c>
      <c r="H51" s="40" t="str">
        <f aca="false">IF($A51="","",SUMIFS(记账分录!$J$6:$J$5505,记账分录!$F$6:$F$5505,$B$3,记账分录!$H$6:$H$5505,"应付账款",记账分录!$K$6:$K$5505,$A51,记账分录!$E$6:$E$5505,"&gt;="&amp;$A$4,记账分录!$E$6:$E$5505,"&lt;="&amp;$B$4))</f>
        <v/>
      </c>
      <c r="I51" s="40" t="str">
        <f aca="false">IF($A51="","",SUMIFS(记账分录!$I$6:$I$5505,记账分录!$F$6:$F$5505,$B$3,记账分录!$H$6:$H$5505,"应付账款",记账分录!$K$6:$K$5505,$A51,记账分录!$E$6:$E$5505,"&gt;="&amp;$A$4,记账分录!$E$6:$E$5505,"&lt;="&amp;$B$4))</f>
        <v/>
      </c>
      <c r="J51" s="42" t="str">
        <f aca="false">IF($A51="","",ROUND($G51+$H51-$I51,2))</f>
        <v/>
      </c>
      <c r="K51" s="42" t="str">
        <f aca="false">IF($A51="","",$F51-$J51)</f>
        <v/>
      </c>
      <c r="L51" s="64" t="str">
        <f aca="false">IF($A51="","",IF(OR(ROUND($C51,2)&lt;&gt;0,ROUND($D51,2)&lt;&gt;0,ROUND($E51,2)&lt;&gt;0,ROUND($G51,2)&lt;&gt;0,ROUND($H51,2)&lt;&gt;0,ROUND($I51,2)&lt;&gt;0),"有",""))</f>
        <v/>
      </c>
    </row>
    <row r="52" customFormat="false" ht="15" hidden="true" customHeight="false" outlineLevel="0" collapsed="false">
      <c r="A52" s="10" t="str">
        <f aca="false">IF(往来单位!$A51="","",往来单位!$A51)</f>
        <v/>
      </c>
      <c r="B52" s="25" t="str">
        <f aca="false">IF($A52="","",往来单位!$B51)</f>
        <v/>
      </c>
      <c r="C52" s="40" t="str">
        <f aca="false">IF($A52="","",SUMIFS(期初余额!$R$6:$R$65,期初余额!$P$6:$P$65,$B$3,期初余额!$Q$6:$Q$65,$A52)+SUMIFS(记账分录!$I$6:$I$5505,记账分录!$F$6:$F$5505,$B$3,记账分录!$H$6:$H$5505,"应收账款",记账分录!$K$6:$K$5505,$A52,记账分录!$E$6:$E$5505,"&lt;"&amp;$A$4)-SUMIFS(记账分录!$J$6:$J$5505,记账分录!$F$6:$F$5505,$B$3,记账分录!$H$6:$H$5505,"应收账款",记账分录!$K$6:$K$5505,$A52,记账分录!$E$6:$E$5505,"&lt;"&amp;$A$4))</f>
        <v/>
      </c>
      <c r="D52" s="40" t="str">
        <f aca="false">IF($A52="","",SUMIFS(记账分录!$I$6:$I$5505,记账分录!$F$6:$F$5505,$B$3,记账分录!$H$6:$H$5505,"应收账款",记账分录!$K$6:$K$5505,$A52,记账分录!$E$6:$E$5505,"&gt;="&amp;$A$4,记账分录!$E$6:$E$5505,"&lt;="&amp;$B$4))</f>
        <v/>
      </c>
      <c r="E52" s="40" t="str">
        <f aca="false">IF($A52="","",SUMIFS(记账分录!$J$6:$J$5505,记账分录!$F$6:$F$5505,$B$3,记账分录!$H$6:$H$5505,"应收账款",记账分录!$K$6:$K$5505,$A52,记账分录!$E$6:$E$5505,"&gt;="&amp;$A$4,记账分录!$E$6:$E$5505,"&lt;="&amp;$B$4))</f>
        <v/>
      </c>
      <c r="F52" s="42" t="str">
        <f aca="false">IF($A52="","",ROUND($C52+$D52-$E52,2))</f>
        <v/>
      </c>
      <c r="G52" s="40" t="str">
        <f aca="false">IF($A52="","",SUMIFS(期初余额!$S$6:$S$65,期初余额!$P$6:$P$65,$B$3,期初余额!$Q$6:$Q$65,$A52)+SUMIFS(记账分录!$J$6:$J$5505,记账分录!$F$6:$F$5505,$B$3,记账分录!$H$6:$H$5505,"应付账款",记账分录!$K$6:$K$5505,$A52,记账分录!$E$6:$E$5505,"&lt;"&amp;$A$4)-SUMIFS(记账分录!$I$6:$I$5505,记账分录!$F$6:$F$5505,$B$3,记账分录!$H$6:$H$5505,"应付账款",记账分录!$K$6:$K$5505,$A52,记账分录!$E$6:$E$5505,"&lt;"&amp;$A$4))</f>
        <v/>
      </c>
      <c r="H52" s="40" t="str">
        <f aca="false">IF($A52="","",SUMIFS(记账分录!$J$6:$J$5505,记账分录!$F$6:$F$5505,$B$3,记账分录!$H$6:$H$5505,"应付账款",记账分录!$K$6:$K$5505,$A52,记账分录!$E$6:$E$5505,"&gt;="&amp;$A$4,记账分录!$E$6:$E$5505,"&lt;="&amp;$B$4))</f>
        <v/>
      </c>
      <c r="I52" s="40" t="str">
        <f aca="false">IF($A52="","",SUMIFS(记账分录!$I$6:$I$5505,记账分录!$F$6:$F$5505,$B$3,记账分录!$H$6:$H$5505,"应付账款",记账分录!$K$6:$K$5505,$A52,记账分录!$E$6:$E$5505,"&gt;="&amp;$A$4,记账分录!$E$6:$E$5505,"&lt;="&amp;$B$4))</f>
        <v/>
      </c>
      <c r="J52" s="42" t="str">
        <f aca="false">IF($A52="","",ROUND($G52+$H52-$I52,2))</f>
        <v/>
      </c>
      <c r="K52" s="42" t="str">
        <f aca="false">IF($A52="","",$F52-$J52)</f>
        <v/>
      </c>
      <c r="L52" s="64" t="str">
        <f aca="false">IF($A52="","",IF(OR(ROUND($C52,2)&lt;&gt;0,ROUND($D52,2)&lt;&gt;0,ROUND($E52,2)&lt;&gt;0,ROUND($G52,2)&lt;&gt;0,ROUND($H52,2)&lt;&gt;0,ROUND($I52,2)&lt;&gt;0),"有",""))</f>
        <v/>
      </c>
    </row>
    <row r="53" customFormat="false" ht="15" hidden="true" customHeight="false" outlineLevel="0" collapsed="false">
      <c r="A53" s="10" t="str">
        <f aca="false">IF(往来单位!$A52="","",往来单位!$A52)</f>
        <v/>
      </c>
      <c r="B53" s="25" t="str">
        <f aca="false">IF($A53="","",往来单位!$B52)</f>
        <v/>
      </c>
      <c r="C53" s="40" t="str">
        <f aca="false">IF($A53="","",SUMIFS(期初余额!$R$6:$R$65,期初余额!$P$6:$P$65,$B$3,期初余额!$Q$6:$Q$65,$A53)+SUMIFS(记账分录!$I$6:$I$5505,记账分录!$F$6:$F$5505,$B$3,记账分录!$H$6:$H$5505,"应收账款",记账分录!$K$6:$K$5505,$A53,记账分录!$E$6:$E$5505,"&lt;"&amp;$A$4)-SUMIFS(记账分录!$J$6:$J$5505,记账分录!$F$6:$F$5505,$B$3,记账分录!$H$6:$H$5505,"应收账款",记账分录!$K$6:$K$5505,$A53,记账分录!$E$6:$E$5505,"&lt;"&amp;$A$4))</f>
        <v/>
      </c>
      <c r="D53" s="40" t="str">
        <f aca="false">IF($A53="","",SUMIFS(记账分录!$I$6:$I$5505,记账分录!$F$6:$F$5505,$B$3,记账分录!$H$6:$H$5505,"应收账款",记账分录!$K$6:$K$5505,$A53,记账分录!$E$6:$E$5505,"&gt;="&amp;$A$4,记账分录!$E$6:$E$5505,"&lt;="&amp;$B$4))</f>
        <v/>
      </c>
      <c r="E53" s="40" t="str">
        <f aca="false">IF($A53="","",SUMIFS(记账分录!$J$6:$J$5505,记账分录!$F$6:$F$5505,$B$3,记账分录!$H$6:$H$5505,"应收账款",记账分录!$K$6:$K$5505,$A53,记账分录!$E$6:$E$5505,"&gt;="&amp;$A$4,记账分录!$E$6:$E$5505,"&lt;="&amp;$B$4))</f>
        <v/>
      </c>
      <c r="F53" s="42" t="str">
        <f aca="false">IF($A53="","",ROUND($C53+$D53-$E53,2))</f>
        <v/>
      </c>
      <c r="G53" s="40" t="str">
        <f aca="false">IF($A53="","",SUMIFS(期初余额!$S$6:$S$65,期初余额!$P$6:$P$65,$B$3,期初余额!$Q$6:$Q$65,$A53)+SUMIFS(记账分录!$J$6:$J$5505,记账分录!$F$6:$F$5505,$B$3,记账分录!$H$6:$H$5505,"应付账款",记账分录!$K$6:$K$5505,$A53,记账分录!$E$6:$E$5505,"&lt;"&amp;$A$4)-SUMIFS(记账分录!$I$6:$I$5505,记账分录!$F$6:$F$5505,$B$3,记账分录!$H$6:$H$5505,"应付账款",记账分录!$K$6:$K$5505,$A53,记账分录!$E$6:$E$5505,"&lt;"&amp;$A$4))</f>
        <v/>
      </c>
      <c r="H53" s="40" t="str">
        <f aca="false">IF($A53="","",SUMIFS(记账分录!$J$6:$J$5505,记账分录!$F$6:$F$5505,$B$3,记账分录!$H$6:$H$5505,"应付账款",记账分录!$K$6:$K$5505,$A53,记账分录!$E$6:$E$5505,"&gt;="&amp;$A$4,记账分录!$E$6:$E$5505,"&lt;="&amp;$B$4))</f>
        <v/>
      </c>
      <c r="I53" s="40" t="str">
        <f aca="false">IF($A53="","",SUMIFS(记账分录!$I$6:$I$5505,记账分录!$F$6:$F$5505,$B$3,记账分录!$H$6:$H$5505,"应付账款",记账分录!$K$6:$K$5505,$A53,记账分录!$E$6:$E$5505,"&gt;="&amp;$A$4,记账分录!$E$6:$E$5505,"&lt;="&amp;$B$4))</f>
        <v/>
      </c>
      <c r="J53" s="42" t="str">
        <f aca="false">IF($A53="","",ROUND($G53+$H53-$I53,2))</f>
        <v/>
      </c>
      <c r="K53" s="42" t="str">
        <f aca="false">IF($A53="","",$F53-$J53)</f>
        <v/>
      </c>
      <c r="L53" s="64" t="str">
        <f aca="false">IF($A53="","",IF(OR(ROUND($C53,2)&lt;&gt;0,ROUND($D53,2)&lt;&gt;0,ROUND($E53,2)&lt;&gt;0,ROUND($G53,2)&lt;&gt;0,ROUND($H53,2)&lt;&gt;0,ROUND($I53,2)&lt;&gt;0),"有",""))</f>
        <v/>
      </c>
    </row>
    <row r="54" customFormat="false" ht="15" hidden="true" customHeight="false" outlineLevel="0" collapsed="false">
      <c r="A54" s="10" t="str">
        <f aca="false">IF(往来单位!$A53="","",往来单位!$A53)</f>
        <v/>
      </c>
      <c r="B54" s="25" t="str">
        <f aca="false">IF($A54="","",往来单位!$B53)</f>
        <v/>
      </c>
      <c r="C54" s="40" t="str">
        <f aca="false">IF($A54="","",SUMIFS(期初余额!$R$6:$R$65,期初余额!$P$6:$P$65,$B$3,期初余额!$Q$6:$Q$65,$A54)+SUMIFS(记账分录!$I$6:$I$5505,记账分录!$F$6:$F$5505,$B$3,记账分录!$H$6:$H$5505,"应收账款",记账分录!$K$6:$K$5505,$A54,记账分录!$E$6:$E$5505,"&lt;"&amp;$A$4)-SUMIFS(记账分录!$J$6:$J$5505,记账分录!$F$6:$F$5505,$B$3,记账分录!$H$6:$H$5505,"应收账款",记账分录!$K$6:$K$5505,$A54,记账分录!$E$6:$E$5505,"&lt;"&amp;$A$4))</f>
        <v/>
      </c>
      <c r="D54" s="40" t="str">
        <f aca="false">IF($A54="","",SUMIFS(记账分录!$I$6:$I$5505,记账分录!$F$6:$F$5505,$B$3,记账分录!$H$6:$H$5505,"应收账款",记账分录!$K$6:$K$5505,$A54,记账分录!$E$6:$E$5505,"&gt;="&amp;$A$4,记账分录!$E$6:$E$5505,"&lt;="&amp;$B$4))</f>
        <v/>
      </c>
      <c r="E54" s="40" t="str">
        <f aca="false">IF($A54="","",SUMIFS(记账分录!$J$6:$J$5505,记账分录!$F$6:$F$5505,$B$3,记账分录!$H$6:$H$5505,"应收账款",记账分录!$K$6:$K$5505,$A54,记账分录!$E$6:$E$5505,"&gt;="&amp;$A$4,记账分录!$E$6:$E$5505,"&lt;="&amp;$B$4))</f>
        <v/>
      </c>
      <c r="F54" s="42" t="str">
        <f aca="false">IF($A54="","",ROUND($C54+$D54-$E54,2))</f>
        <v/>
      </c>
      <c r="G54" s="40" t="str">
        <f aca="false">IF($A54="","",SUMIFS(期初余额!$S$6:$S$65,期初余额!$P$6:$P$65,$B$3,期初余额!$Q$6:$Q$65,$A54)+SUMIFS(记账分录!$J$6:$J$5505,记账分录!$F$6:$F$5505,$B$3,记账分录!$H$6:$H$5505,"应付账款",记账分录!$K$6:$K$5505,$A54,记账分录!$E$6:$E$5505,"&lt;"&amp;$A$4)-SUMIFS(记账分录!$I$6:$I$5505,记账分录!$F$6:$F$5505,$B$3,记账分录!$H$6:$H$5505,"应付账款",记账分录!$K$6:$K$5505,$A54,记账分录!$E$6:$E$5505,"&lt;"&amp;$A$4))</f>
        <v/>
      </c>
      <c r="H54" s="40" t="str">
        <f aca="false">IF($A54="","",SUMIFS(记账分录!$J$6:$J$5505,记账分录!$F$6:$F$5505,$B$3,记账分录!$H$6:$H$5505,"应付账款",记账分录!$K$6:$K$5505,$A54,记账分录!$E$6:$E$5505,"&gt;="&amp;$A$4,记账分录!$E$6:$E$5505,"&lt;="&amp;$B$4))</f>
        <v/>
      </c>
      <c r="I54" s="40" t="str">
        <f aca="false">IF($A54="","",SUMIFS(记账分录!$I$6:$I$5505,记账分录!$F$6:$F$5505,$B$3,记账分录!$H$6:$H$5505,"应付账款",记账分录!$K$6:$K$5505,$A54,记账分录!$E$6:$E$5505,"&gt;="&amp;$A$4,记账分录!$E$6:$E$5505,"&lt;="&amp;$B$4))</f>
        <v/>
      </c>
      <c r="J54" s="42" t="str">
        <f aca="false">IF($A54="","",ROUND($G54+$H54-$I54,2))</f>
        <v/>
      </c>
      <c r="K54" s="42" t="str">
        <f aca="false">IF($A54="","",$F54-$J54)</f>
        <v/>
      </c>
      <c r="L54" s="64" t="str">
        <f aca="false">IF($A54="","",IF(OR(ROUND($C54,2)&lt;&gt;0,ROUND($D54,2)&lt;&gt;0,ROUND($E54,2)&lt;&gt;0,ROUND($G54,2)&lt;&gt;0,ROUND($H54,2)&lt;&gt;0,ROUND($I54,2)&lt;&gt;0),"有",""))</f>
        <v/>
      </c>
    </row>
    <row r="55" customFormat="false" ht="15" hidden="true" customHeight="false" outlineLevel="0" collapsed="false">
      <c r="A55" s="10" t="str">
        <f aca="false">IF(往来单位!$A54="","",往来单位!$A54)</f>
        <v/>
      </c>
      <c r="B55" s="25" t="str">
        <f aca="false">IF($A55="","",往来单位!$B54)</f>
        <v/>
      </c>
      <c r="C55" s="40" t="str">
        <f aca="false">IF($A55="","",SUMIFS(期初余额!$R$6:$R$65,期初余额!$P$6:$P$65,$B$3,期初余额!$Q$6:$Q$65,$A55)+SUMIFS(记账分录!$I$6:$I$5505,记账分录!$F$6:$F$5505,$B$3,记账分录!$H$6:$H$5505,"应收账款",记账分录!$K$6:$K$5505,$A55,记账分录!$E$6:$E$5505,"&lt;"&amp;$A$4)-SUMIFS(记账分录!$J$6:$J$5505,记账分录!$F$6:$F$5505,$B$3,记账分录!$H$6:$H$5505,"应收账款",记账分录!$K$6:$K$5505,$A55,记账分录!$E$6:$E$5505,"&lt;"&amp;$A$4))</f>
        <v/>
      </c>
      <c r="D55" s="40" t="str">
        <f aca="false">IF($A55="","",SUMIFS(记账分录!$I$6:$I$5505,记账分录!$F$6:$F$5505,$B$3,记账分录!$H$6:$H$5505,"应收账款",记账分录!$K$6:$K$5505,$A55,记账分录!$E$6:$E$5505,"&gt;="&amp;$A$4,记账分录!$E$6:$E$5505,"&lt;="&amp;$B$4))</f>
        <v/>
      </c>
      <c r="E55" s="40" t="str">
        <f aca="false">IF($A55="","",SUMIFS(记账分录!$J$6:$J$5505,记账分录!$F$6:$F$5505,$B$3,记账分录!$H$6:$H$5505,"应收账款",记账分录!$K$6:$K$5505,$A55,记账分录!$E$6:$E$5505,"&gt;="&amp;$A$4,记账分录!$E$6:$E$5505,"&lt;="&amp;$B$4))</f>
        <v/>
      </c>
      <c r="F55" s="42" t="str">
        <f aca="false">IF($A55="","",ROUND($C55+$D55-$E55,2))</f>
        <v/>
      </c>
      <c r="G55" s="40" t="str">
        <f aca="false">IF($A55="","",SUMIFS(期初余额!$S$6:$S$65,期初余额!$P$6:$P$65,$B$3,期初余额!$Q$6:$Q$65,$A55)+SUMIFS(记账分录!$J$6:$J$5505,记账分录!$F$6:$F$5505,$B$3,记账分录!$H$6:$H$5505,"应付账款",记账分录!$K$6:$K$5505,$A55,记账分录!$E$6:$E$5505,"&lt;"&amp;$A$4)-SUMIFS(记账分录!$I$6:$I$5505,记账分录!$F$6:$F$5505,$B$3,记账分录!$H$6:$H$5505,"应付账款",记账分录!$K$6:$K$5505,$A55,记账分录!$E$6:$E$5505,"&lt;"&amp;$A$4))</f>
        <v/>
      </c>
      <c r="H55" s="40" t="str">
        <f aca="false">IF($A55="","",SUMIFS(记账分录!$J$6:$J$5505,记账分录!$F$6:$F$5505,$B$3,记账分录!$H$6:$H$5505,"应付账款",记账分录!$K$6:$K$5505,$A55,记账分录!$E$6:$E$5505,"&gt;="&amp;$A$4,记账分录!$E$6:$E$5505,"&lt;="&amp;$B$4))</f>
        <v/>
      </c>
      <c r="I55" s="40" t="str">
        <f aca="false">IF($A55="","",SUMIFS(记账分录!$I$6:$I$5505,记账分录!$F$6:$F$5505,$B$3,记账分录!$H$6:$H$5505,"应付账款",记账分录!$K$6:$K$5505,$A55,记账分录!$E$6:$E$5505,"&gt;="&amp;$A$4,记账分录!$E$6:$E$5505,"&lt;="&amp;$B$4))</f>
        <v/>
      </c>
      <c r="J55" s="42" t="str">
        <f aca="false">IF($A55="","",ROUND($G55+$H55-$I55,2))</f>
        <v/>
      </c>
      <c r="K55" s="42" t="str">
        <f aca="false">IF($A55="","",$F55-$J55)</f>
        <v/>
      </c>
      <c r="L55" s="64" t="str">
        <f aca="false">IF($A55="","",IF(OR(ROUND($C55,2)&lt;&gt;0,ROUND($D55,2)&lt;&gt;0,ROUND($E55,2)&lt;&gt;0,ROUND($G55,2)&lt;&gt;0,ROUND($H55,2)&lt;&gt;0,ROUND($I55,2)&lt;&gt;0),"有",""))</f>
        <v/>
      </c>
    </row>
    <row r="56" customFormat="false" ht="15" hidden="true" customHeight="false" outlineLevel="0" collapsed="false">
      <c r="A56" s="10" t="str">
        <f aca="false">IF(往来单位!$A55="","",往来单位!$A55)</f>
        <v/>
      </c>
      <c r="B56" s="25" t="str">
        <f aca="false">IF($A56="","",往来单位!$B55)</f>
        <v/>
      </c>
      <c r="C56" s="40" t="str">
        <f aca="false">IF($A56="","",SUMIFS(期初余额!$R$6:$R$65,期初余额!$P$6:$P$65,$B$3,期初余额!$Q$6:$Q$65,$A56)+SUMIFS(记账分录!$I$6:$I$5505,记账分录!$F$6:$F$5505,$B$3,记账分录!$H$6:$H$5505,"应收账款",记账分录!$K$6:$K$5505,$A56,记账分录!$E$6:$E$5505,"&lt;"&amp;$A$4)-SUMIFS(记账分录!$J$6:$J$5505,记账分录!$F$6:$F$5505,$B$3,记账分录!$H$6:$H$5505,"应收账款",记账分录!$K$6:$K$5505,$A56,记账分录!$E$6:$E$5505,"&lt;"&amp;$A$4))</f>
        <v/>
      </c>
      <c r="D56" s="40" t="str">
        <f aca="false">IF($A56="","",SUMIFS(记账分录!$I$6:$I$5505,记账分录!$F$6:$F$5505,$B$3,记账分录!$H$6:$H$5505,"应收账款",记账分录!$K$6:$K$5505,$A56,记账分录!$E$6:$E$5505,"&gt;="&amp;$A$4,记账分录!$E$6:$E$5505,"&lt;="&amp;$B$4))</f>
        <v/>
      </c>
      <c r="E56" s="40" t="str">
        <f aca="false">IF($A56="","",SUMIFS(记账分录!$J$6:$J$5505,记账分录!$F$6:$F$5505,$B$3,记账分录!$H$6:$H$5505,"应收账款",记账分录!$K$6:$K$5505,$A56,记账分录!$E$6:$E$5505,"&gt;="&amp;$A$4,记账分录!$E$6:$E$5505,"&lt;="&amp;$B$4))</f>
        <v/>
      </c>
      <c r="F56" s="42" t="str">
        <f aca="false">IF($A56="","",ROUND($C56+$D56-$E56,2))</f>
        <v/>
      </c>
      <c r="G56" s="40" t="str">
        <f aca="false">IF($A56="","",SUMIFS(期初余额!$S$6:$S$65,期初余额!$P$6:$P$65,$B$3,期初余额!$Q$6:$Q$65,$A56)+SUMIFS(记账分录!$J$6:$J$5505,记账分录!$F$6:$F$5505,$B$3,记账分录!$H$6:$H$5505,"应付账款",记账分录!$K$6:$K$5505,$A56,记账分录!$E$6:$E$5505,"&lt;"&amp;$A$4)-SUMIFS(记账分录!$I$6:$I$5505,记账分录!$F$6:$F$5505,$B$3,记账分录!$H$6:$H$5505,"应付账款",记账分录!$K$6:$K$5505,$A56,记账分录!$E$6:$E$5505,"&lt;"&amp;$A$4))</f>
        <v/>
      </c>
      <c r="H56" s="40" t="str">
        <f aca="false">IF($A56="","",SUMIFS(记账分录!$J$6:$J$5505,记账分录!$F$6:$F$5505,$B$3,记账分录!$H$6:$H$5505,"应付账款",记账分录!$K$6:$K$5505,$A56,记账分录!$E$6:$E$5505,"&gt;="&amp;$A$4,记账分录!$E$6:$E$5505,"&lt;="&amp;$B$4))</f>
        <v/>
      </c>
      <c r="I56" s="40" t="str">
        <f aca="false">IF($A56="","",SUMIFS(记账分录!$I$6:$I$5505,记账分录!$F$6:$F$5505,$B$3,记账分录!$H$6:$H$5505,"应付账款",记账分录!$K$6:$K$5505,$A56,记账分录!$E$6:$E$5505,"&gt;="&amp;$A$4,记账分录!$E$6:$E$5505,"&lt;="&amp;$B$4))</f>
        <v/>
      </c>
      <c r="J56" s="42" t="str">
        <f aca="false">IF($A56="","",ROUND($G56+$H56-$I56,2))</f>
        <v/>
      </c>
      <c r="K56" s="42" t="str">
        <f aca="false">IF($A56="","",$F56-$J56)</f>
        <v/>
      </c>
      <c r="L56" s="64" t="str">
        <f aca="false">IF($A56="","",IF(OR(ROUND($C56,2)&lt;&gt;0,ROUND($D56,2)&lt;&gt;0,ROUND($E56,2)&lt;&gt;0,ROUND($G56,2)&lt;&gt;0,ROUND($H56,2)&lt;&gt;0,ROUND($I56,2)&lt;&gt;0),"有",""))</f>
        <v/>
      </c>
    </row>
    <row r="57" customFormat="false" ht="15" hidden="true" customHeight="false" outlineLevel="0" collapsed="false">
      <c r="A57" s="10" t="str">
        <f aca="false">IF(往来单位!$A56="","",往来单位!$A56)</f>
        <v/>
      </c>
      <c r="B57" s="25" t="str">
        <f aca="false">IF($A57="","",往来单位!$B56)</f>
        <v/>
      </c>
      <c r="C57" s="40" t="str">
        <f aca="false">IF($A57="","",SUMIFS(期初余额!$R$6:$R$65,期初余额!$P$6:$P$65,$B$3,期初余额!$Q$6:$Q$65,$A57)+SUMIFS(记账分录!$I$6:$I$5505,记账分录!$F$6:$F$5505,$B$3,记账分录!$H$6:$H$5505,"应收账款",记账分录!$K$6:$K$5505,$A57,记账分录!$E$6:$E$5505,"&lt;"&amp;$A$4)-SUMIFS(记账分录!$J$6:$J$5505,记账分录!$F$6:$F$5505,$B$3,记账分录!$H$6:$H$5505,"应收账款",记账分录!$K$6:$K$5505,$A57,记账分录!$E$6:$E$5505,"&lt;"&amp;$A$4))</f>
        <v/>
      </c>
      <c r="D57" s="40" t="str">
        <f aca="false">IF($A57="","",SUMIFS(记账分录!$I$6:$I$5505,记账分录!$F$6:$F$5505,$B$3,记账分录!$H$6:$H$5505,"应收账款",记账分录!$K$6:$K$5505,$A57,记账分录!$E$6:$E$5505,"&gt;="&amp;$A$4,记账分录!$E$6:$E$5505,"&lt;="&amp;$B$4))</f>
        <v/>
      </c>
      <c r="E57" s="40" t="str">
        <f aca="false">IF($A57="","",SUMIFS(记账分录!$J$6:$J$5505,记账分录!$F$6:$F$5505,$B$3,记账分录!$H$6:$H$5505,"应收账款",记账分录!$K$6:$K$5505,$A57,记账分录!$E$6:$E$5505,"&gt;="&amp;$A$4,记账分录!$E$6:$E$5505,"&lt;="&amp;$B$4))</f>
        <v/>
      </c>
      <c r="F57" s="42" t="str">
        <f aca="false">IF($A57="","",ROUND($C57+$D57-$E57,2))</f>
        <v/>
      </c>
      <c r="G57" s="40" t="str">
        <f aca="false">IF($A57="","",SUMIFS(期初余额!$S$6:$S$65,期初余额!$P$6:$P$65,$B$3,期初余额!$Q$6:$Q$65,$A57)+SUMIFS(记账分录!$J$6:$J$5505,记账分录!$F$6:$F$5505,$B$3,记账分录!$H$6:$H$5505,"应付账款",记账分录!$K$6:$K$5505,$A57,记账分录!$E$6:$E$5505,"&lt;"&amp;$A$4)-SUMIFS(记账分录!$I$6:$I$5505,记账分录!$F$6:$F$5505,$B$3,记账分录!$H$6:$H$5505,"应付账款",记账分录!$K$6:$K$5505,$A57,记账分录!$E$6:$E$5505,"&lt;"&amp;$A$4))</f>
        <v/>
      </c>
      <c r="H57" s="40" t="str">
        <f aca="false">IF($A57="","",SUMIFS(记账分录!$J$6:$J$5505,记账分录!$F$6:$F$5505,$B$3,记账分录!$H$6:$H$5505,"应付账款",记账分录!$K$6:$K$5505,$A57,记账分录!$E$6:$E$5505,"&gt;="&amp;$A$4,记账分录!$E$6:$E$5505,"&lt;="&amp;$B$4))</f>
        <v/>
      </c>
      <c r="I57" s="40" t="str">
        <f aca="false">IF($A57="","",SUMIFS(记账分录!$I$6:$I$5505,记账分录!$F$6:$F$5505,$B$3,记账分录!$H$6:$H$5505,"应付账款",记账分录!$K$6:$K$5505,$A57,记账分录!$E$6:$E$5505,"&gt;="&amp;$A$4,记账分录!$E$6:$E$5505,"&lt;="&amp;$B$4))</f>
        <v/>
      </c>
      <c r="J57" s="42" t="str">
        <f aca="false">IF($A57="","",ROUND($G57+$H57-$I57,2))</f>
        <v/>
      </c>
      <c r="K57" s="42" t="str">
        <f aca="false">IF($A57="","",$F57-$J57)</f>
        <v/>
      </c>
      <c r="L57" s="64" t="str">
        <f aca="false">IF($A57="","",IF(OR(ROUND($C57,2)&lt;&gt;0,ROUND($D57,2)&lt;&gt;0,ROUND($E57,2)&lt;&gt;0,ROUND($G57,2)&lt;&gt;0,ROUND($H57,2)&lt;&gt;0,ROUND($I57,2)&lt;&gt;0),"有",""))</f>
        <v/>
      </c>
    </row>
    <row r="58" customFormat="false" ht="15" hidden="true" customHeight="false" outlineLevel="0" collapsed="false">
      <c r="A58" s="10" t="str">
        <f aca="false">IF(往来单位!$A57="","",往来单位!$A57)</f>
        <v/>
      </c>
      <c r="B58" s="25" t="str">
        <f aca="false">IF($A58="","",往来单位!$B57)</f>
        <v/>
      </c>
      <c r="C58" s="40" t="str">
        <f aca="false">IF($A58="","",SUMIFS(期初余额!$R$6:$R$65,期初余额!$P$6:$P$65,$B$3,期初余额!$Q$6:$Q$65,$A58)+SUMIFS(记账分录!$I$6:$I$5505,记账分录!$F$6:$F$5505,$B$3,记账分录!$H$6:$H$5505,"应收账款",记账分录!$K$6:$K$5505,$A58,记账分录!$E$6:$E$5505,"&lt;"&amp;$A$4)-SUMIFS(记账分录!$J$6:$J$5505,记账分录!$F$6:$F$5505,$B$3,记账分录!$H$6:$H$5505,"应收账款",记账分录!$K$6:$K$5505,$A58,记账分录!$E$6:$E$5505,"&lt;"&amp;$A$4))</f>
        <v/>
      </c>
      <c r="D58" s="40" t="str">
        <f aca="false">IF($A58="","",SUMIFS(记账分录!$I$6:$I$5505,记账分录!$F$6:$F$5505,$B$3,记账分录!$H$6:$H$5505,"应收账款",记账分录!$K$6:$K$5505,$A58,记账分录!$E$6:$E$5505,"&gt;="&amp;$A$4,记账分录!$E$6:$E$5505,"&lt;="&amp;$B$4))</f>
        <v/>
      </c>
      <c r="E58" s="40" t="str">
        <f aca="false">IF($A58="","",SUMIFS(记账分录!$J$6:$J$5505,记账分录!$F$6:$F$5505,$B$3,记账分录!$H$6:$H$5505,"应收账款",记账分录!$K$6:$K$5505,$A58,记账分录!$E$6:$E$5505,"&gt;="&amp;$A$4,记账分录!$E$6:$E$5505,"&lt;="&amp;$B$4))</f>
        <v/>
      </c>
      <c r="F58" s="42" t="str">
        <f aca="false">IF($A58="","",ROUND($C58+$D58-$E58,2))</f>
        <v/>
      </c>
      <c r="G58" s="40" t="str">
        <f aca="false">IF($A58="","",SUMIFS(期初余额!$S$6:$S$65,期初余额!$P$6:$P$65,$B$3,期初余额!$Q$6:$Q$65,$A58)+SUMIFS(记账分录!$J$6:$J$5505,记账分录!$F$6:$F$5505,$B$3,记账分录!$H$6:$H$5505,"应付账款",记账分录!$K$6:$K$5505,$A58,记账分录!$E$6:$E$5505,"&lt;"&amp;$A$4)-SUMIFS(记账分录!$I$6:$I$5505,记账分录!$F$6:$F$5505,$B$3,记账分录!$H$6:$H$5505,"应付账款",记账分录!$K$6:$K$5505,$A58,记账分录!$E$6:$E$5505,"&lt;"&amp;$A$4))</f>
        <v/>
      </c>
      <c r="H58" s="40" t="str">
        <f aca="false">IF($A58="","",SUMIFS(记账分录!$J$6:$J$5505,记账分录!$F$6:$F$5505,$B$3,记账分录!$H$6:$H$5505,"应付账款",记账分录!$K$6:$K$5505,$A58,记账分录!$E$6:$E$5505,"&gt;="&amp;$A$4,记账分录!$E$6:$E$5505,"&lt;="&amp;$B$4))</f>
        <v/>
      </c>
      <c r="I58" s="40" t="str">
        <f aca="false">IF($A58="","",SUMIFS(记账分录!$I$6:$I$5505,记账分录!$F$6:$F$5505,$B$3,记账分录!$H$6:$H$5505,"应付账款",记账分录!$K$6:$K$5505,$A58,记账分录!$E$6:$E$5505,"&gt;="&amp;$A$4,记账分录!$E$6:$E$5505,"&lt;="&amp;$B$4))</f>
        <v/>
      </c>
      <c r="J58" s="42" t="str">
        <f aca="false">IF($A58="","",ROUND($G58+$H58-$I58,2))</f>
        <v/>
      </c>
      <c r="K58" s="42" t="str">
        <f aca="false">IF($A58="","",$F58-$J58)</f>
        <v/>
      </c>
      <c r="L58" s="64" t="str">
        <f aca="false">IF($A58="","",IF(OR(ROUND($C58,2)&lt;&gt;0,ROUND($D58,2)&lt;&gt;0,ROUND($E58,2)&lt;&gt;0,ROUND($G58,2)&lt;&gt;0,ROUND($H58,2)&lt;&gt;0,ROUND($I58,2)&lt;&gt;0),"有",""))</f>
        <v/>
      </c>
    </row>
    <row r="59" customFormat="false" ht="15" hidden="true" customHeight="false" outlineLevel="0" collapsed="false">
      <c r="A59" s="10" t="str">
        <f aca="false">IF(往来单位!$A58="","",往来单位!$A58)</f>
        <v/>
      </c>
      <c r="B59" s="25" t="str">
        <f aca="false">IF($A59="","",往来单位!$B58)</f>
        <v/>
      </c>
      <c r="C59" s="40" t="str">
        <f aca="false">IF($A59="","",SUMIFS(期初余额!$R$6:$R$65,期初余额!$P$6:$P$65,$B$3,期初余额!$Q$6:$Q$65,$A59)+SUMIFS(记账分录!$I$6:$I$5505,记账分录!$F$6:$F$5505,$B$3,记账分录!$H$6:$H$5505,"应收账款",记账分录!$K$6:$K$5505,$A59,记账分录!$E$6:$E$5505,"&lt;"&amp;$A$4)-SUMIFS(记账分录!$J$6:$J$5505,记账分录!$F$6:$F$5505,$B$3,记账分录!$H$6:$H$5505,"应收账款",记账分录!$K$6:$K$5505,$A59,记账分录!$E$6:$E$5505,"&lt;"&amp;$A$4))</f>
        <v/>
      </c>
      <c r="D59" s="40" t="str">
        <f aca="false">IF($A59="","",SUMIFS(记账分录!$I$6:$I$5505,记账分录!$F$6:$F$5505,$B$3,记账分录!$H$6:$H$5505,"应收账款",记账分录!$K$6:$K$5505,$A59,记账分录!$E$6:$E$5505,"&gt;="&amp;$A$4,记账分录!$E$6:$E$5505,"&lt;="&amp;$B$4))</f>
        <v/>
      </c>
      <c r="E59" s="40" t="str">
        <f aca="false">IF($A59="","",SUMIFS(记账分录!$J$6:$J$5505,记账分录!$F$6:$F$5505,$B$3,记账分录!$H$6:$H$5505,"应收账款",记账分录!$K$6:$K$5505,$A59,记账分录!$E$6:$E$5505,"&gt;="&amp;$A$4,记账分录!$E$6:$E$5505,"&lt;="&amp;$B$4))</f>
        <v/>
      </c>
      <c r="F59" s="42" t="str">
        <f aca="false">IF($A59="","",ROUND($C59+$D59-$E59,2))</f>
        <v/>
      </c>
      <c r="G59" s="40" t="str">
        <f aca="false">IF($A59="","",SUMIFS(期初余额!$S$6:$S$65,期初余额!$P$6:$P$65,$B$3,期初余额!$Q$6:$Q$65,$A59)+SUMIFS(记账分录!$J$6:$J$5505,记账分录!$F$6:$F$5505,$B$3,记账分录!$H$6:$H$5505,"应付账款",记账分录!$K$6:$K$5505,$A59,记账分录!$E$6:$E$5505,"&lt;"&amp;$A$4)-SUMIFS(记账分录!$I$6:$I$5505,记账分录!$F$6:$F$5505,$B$3,记账分录!$H$6:$H$5505,"应付账款",记账分录!$K$6:$K$5505,$A59,记账分录!$E$6:$E$5505,"&lt;"&amp;$A$4))</f>
        <v/>
      </c>
      <c r="H59" s="40" t="str">
        <f aca="false">IF($A59="","",SUMIFS(记账分录!$J$6:$J$5505,记账分录!$F$6:$F$5505,$B$3,记账分录!$H$6:$H$5505,"应付账款",记账分录!$K$6:$K$5505,$A59,记账分录!$E$6:$E$5505,"&gt;="&amp;$A$4,记账分录!$E$6:$E$5505,"&lt;="&amp;$B$4))</f>
        <v/>
      </c>
      <c r="I59" s="40" t="str">
        <f aca="false">IF($A59="","",SUMIFS(记账分录!$I$6:$I$5505,记账分录!$F$6:$F$5505,$B$3,记账分录!$H$6:$H$5505,"应付账款",记账分录!$K$6:$K$5505,$A59,记账分录!$E$6:$E$5505,"&gt;="&amp;$A$4,记账分录!$E$6:$E$5505,"&lt;="&amp;$B$4))</f>
        <v/>
      </c>
      <c r="J59" s="42" t="str">
        <f aca="false">IF($A59="","",ROUND($G59+$H59-$I59,2))</f>
        <v/>
      </c>
      <c r="K59" s="42" t="str">
        <f aca="false">IF($A59="","",$F59-$J59)</f>
        <v/>
      </c>
      <c r="L59" s="64" t="str">
        <f aca="false">IF($A59="","",IF(OR(ROUND($C59,2)&lt;&gt;0,ROUND($D59,2)&lt;&gt;0,ROUND($E59,2)&lt;&gt;0,ROUND($G59,2)&lt;&gt;0,ROUND($H59,2)&lt;&gt;0,ROUND($I59,2)&lt;&gt;0),"有",""))</f>
        <v/>
      </c>
    </row>
    <row r="60" customFormat="false" ht="15" hidden="true" customHeight="false" outlineLevel="0" collapsed="false">
      <c r="A60" s="10" t="str">
        <f aca="false">IF(往来单位!$A59="","",往来单位!$A59)</f>
        <v/>
      </c>
      <c r="B60" s="25" t="str">
        <f aca="false">IF($A60="","",往来单位!$B59)</f>
        <v/>
      </c>
      <c r="C60" s="40" t="str">
        <f aca="false">IF($A60="","",SUMIFS(期初余额!$R$6:$R$65,期初余额!$P$6:$P$65,$B$3,期初余额!$Q$6:$Q$65,$A60)+SUMIFS(记账分录!$I$6:$I$5505,记账分录!$F$6:$F$5505,$B$3,记账分录!$H$6:$H$5505,"应收账款",记账分录!$K$6:$K$5505,$A60,记账分录!$E$6:$E$5505,"&lt;"&amp;$A$4)-SUMIFS(记账分录!$J$6:$J$5505,记账分录!$F$6:$F$5505,$B$3,记账分录!$H$6:$H$5505,"应收账款",记账分录!$K$6:$K$5505,$A60,记账分录!$E$6:$E$5505,"&lt;"&amp;$A$4))</f>
        <v/>
      </c>
      <c r="D60" s="40" t="str">
        <f aca="false">IF($A60="","",SUMIFS(记账分录!$I$6:$I$5505,记账分录!$F$6:$F$5505,$B$3,记账分录!$H$6:$H$5505,"应收账款",记账分录!$K$6:$K$5505,$A60,记账分录!$E$6:$E$5505,"&gt;="&amp;$A$4,记账分录!$E$6:$E$5505,"&lt;="&amp;$B$4))</f>
        <v/>
      </c>
      <c r="E60" s="40" t="str">
        <f aca="false">IF($A60="","",SUMIFS(记账分录!$J$6:$J$5505,记账分录!$F$6:$F$5505,$B$3,记账分录!$H$6:$H$5505,"应收账款",记账分录!$K$6:$K$5505,$A60,记账分录!$E$6:$E$5505,"&gt;="&amp;$A$4,记账分录!$E$6:$E$5505,"&lt;="&amp;$B$4))</f>
        <v/>
      </c>
      <c r="F60" s="42" t="str">
        <f aca="false">IF($A60="","",ROUND($C60+$D60-$E60,2))</f>
        <v/>
      </c>
      <c r="G60" s="40" t="str">
        <f aca="false">IF($A60="","",SUMIFS(期初余额!$S$6:$S$65,期初余额!$P$6:$P$65,$B$3,期初余额!$Q$6:$Q$65,$A60)+SUMIFS(记账分录!$J$6:$J$5505,记账分录!$F$6:$F$5505,$B$3,记账分录!$H$6:$H$5505,"应付账款",记账分录!$K$6:$K$5505,$A60,记账分录!$E$6:$E$5505,"&lt;"&amp;$A$4)-SUMIFS(记账分录!$I$6:$I$5505,记账分录!$F$6:$F$5505,$B$3,记账分录!$H$6:$H$5505,"应付账款",记账分录!$K$6:$K$5505,$A60,记账分录!$E$6:$E$5505,"&lt;"&amp;$A$4))</f>
        <v/>
      </c>
      <c r="H60" s="40" t="str">
        <f aca="false">IF($A60="","",SUMIFS(记账分录!$J$6:$J$5505,记账分录!$F$6:$F$5505,$B$3,记账分录!$H$6:$H$5505,"应付账款",记账分录!$K$6:$K$5505,$A60,记账分录!$E$6:$E$5505,"&gt;="&amp;$A$4,记账分录!$E$6:$E$5505,"&lt;="&amp;$B$4))</f>
        <v/>
      </c>
      <c r="I60" s="40" t="str">
        <f aca="false">IF($A60="","",SUMIFS(记账分录!$I$6:$I$5505,记账分录!$F$6:$F$5505,$B$3,记账分录!$H$6:$H$5505,"应付账款",记账分录!$K$6:$K$5505,$A60,记账分录!$E$6:$E$5505,"&gt;="&amp;$A$4,记账分录!$E$6:$E$5505,"&lt;="&amp;$B$4))</f>
        <v/>
      </c>
      <c r="J60" s="42" t="str">
        <f aca="false">IF($A60="","",ROUND($G60+$H60-$I60,2))</f>
        <v/>
      </c>
      <c r="K60" s="42" t="str">
        <f aca="false">IF($A60="","",$F60-$J60)</f>
        <v/>
      </c>
      <c r="L60" s="64" t="str">
        <f aca="false">IF($A60="","",IF(OR(ROUND($C60,2)&lt;&gt;0,ROUND($D60,2)&lt;&gt;0,ROUND($E60,2)&lt;&gt;0,ROUND($G60,2)&lt;&gt;0,ROUND($H60,2)&lt;&gt;0,ROUND($I60,2)&lt;&gt;0),"有",""))</f>
        <v/>
      </c>
    </row>
    <row r="61" customFormat="false" ht="15" hidden="true" customHeight="false" outlineLevel="0" collapsed="false">
      <c r="A61" s="10" t="str">
        <f aca="false">IF(往来单位!$A60="","",往来单位!$A60)</f>
        <v/>
      </c>
      <c r="B61" s="25" t="str">
        <f aca="false">IF($A61="","",往来单位!$B60)</f>
        <v/>
      </c>
      <c r="C61" s="40" t="str">
        <f aca="false">IF($A61="","",SUMIFS(期初余额!$R$6:$R$65,期初余额!$P$6:$P$65,$B$3,期初余额!$Q$6:$Q$65,$A61)+SUMIFS(记账分录!$I$6:$I$5505,记账分录!$F$6:$F$5505,$B$3,记账分录!$H$6:$H$5505,"应收账款",记账分录!$K$6:$K$5505,$A61,记账分录!$E$6:$E$5505,"&lt;"&amp;$A$4)-SUMIFS(记账分录!$J$6:$J$5505,记账分录!$F$6:$F$5505,$B$3,记账分录!$H$6:$H$5505,"应收账款",记账分录!$K$6:$K$5505,$A61,记账分录!$E$6:$E$5505,"&lt;"&amp;$A$4))</f>
        <v/>
      </c>
      <c r="D61" s="40" t="str">
        <f aca="false">IF($A61="","",SUMIFS(记账分录!$I$6:$I$5505,记账分录!$F$6:$F$5505,$B$3,记账分录!$H$6:$H$5505,"应收账款",记账分录!$K$6:$K$5505,$A61,记账分录!$E$6:$E$5505,"&gt;="&amp;$A$4,记账分录!$E$6:$E$5505,"&lt;="&amp;$B$4))</f>
        <v/>
      </c>
      <c r="E61" s="40" t="str">
        <f aca="false">IF($A61="","",SUMIFS(记账分录!$J$6:$J$5505,记账分录!$F$6:$F$5505,$B$3,记账分录!$H$6:$H$5505,"应收账款",记账分录!$K$6:$K$5505,$A61,记账分录!$E$6:$E$5505,"&gt;="&amp;$A$4,记账分录!$E$6:$E$5505,"&lt;="&amp;$B$4))</f>
        <v/>
      </c>
      <c r="F61" s="42" t="str">
        <f aca="false">IF($A61="","",ROUND($C61+$D61-$E61,2))</f>
        <v/>
      </c>
      <c r="G61" s="40" t="str">
        <f aca="false">IF($A61="","",SUMIFS(期初余额!$S$6:$S$65,期初余额!$P$6:$P$65,$B$3,期初余额!$Q$6:$Q$65,$A61)+SUMIFS(记账分录!$J$6:$J$5505,记账分录!$F$6:$F$5505,$B$3,记账分录!$H$6:$H$5505,"应付账款",记账分录!$K$6:$K$5505,$A61,记账分录!$E$6:$E$5505,"&lt;"&amp;$A$4)-SUMIFS(记账分录!$I$6:$I$5505,记账分录!$F$6:$F$5505,$B$3,记账分录!$H$6:$H$5505,"应付账款",记账分录!$K$6:$K$5505,$A61,记账分录!$E$6:$E$5505,"&lt;"&amp;$A$4))</f>
        <v/>
      </c>
      <c r="H61" s="40" t="str">
        <f aca="false">IF($A61="","",SUMIFS(记账分录!$J$6:$J$5505,记账分录!$F$6:$F$5505,$B$3,记账分录!$H$6:$H$5505,"应付账款",记账分录!$K$6:$K$5505,$A61,记账分录!$E$6:$E$5505,"&gt;="&amp;$A$4,记账分录!$E$6:$E$5505,"&lt;="&amp;$B$4))</f>
        <v/>
      </c>
      <c r="I61" s="40" t="str">
        <f aca="false">IF($A61="","",SUMIFS(记账分录!$I$6:$I$5505,记账分录!$F$6:$F$5505,$B$3,记账分录!$H$6:$H$5505,"应付账款",记账分录!$K$6:$K$5505,$A61,记账分录!$E$6:$E$5505,"&gt;="&amp;$A$4,记账分录!$E$6:$E$5505,"&lt;="&amp;$B$4))</f>
        <v/>
      </c>
      <c r="J61" s="42" t="str">
        <f aca="false">IF($A61="","",ROUND($G61+$H61-$I61,2))</f>
        <v/>
      </c>
      <c r="K61" s="42" t="str">
        <f aca="false">IF($A61="","",$F61-$J61)</f>
        <v/>
      </c>
      <c r="L61" s="64" t="str">
        <f aca="false">IF($A61="","",IF(OR(ROUND($C61,2)&lt;&gt;0,ROUND($D61,2)&lt;&gt;0,ROUND($E61,2)&lt;&gt;0,ROUND($G61,2)&lt;&gt;0,ROUND($H61,2)&lt;&gt;0,ROUND($I61,2)&lt;&gt;0),"有",""))</f>
        <v/>
      </c>
    </row>
    <row r="62" customFormat="false" ht="15" hidden="true" customHeight="false" outlineLevel="0" collapsed="false">
      <c r="A62" s="10" t="str">
        <f aca="false">IF(往来单位!$A61="","",往来单位!$A61)</f>
        <v/>
      </c>
      <c r="B62" s="25" t="str">
        <f aca="false">IF($A62="","",往来单位!$B61)</f>
        <v/>
      </c>
      <c r="C62" s="40" t="str">
        <f aca="false">IF($A62="","",SUMIFS(期初余额!$R$6:$R$65,期初余额!$P$6:$P$65,$B$3,期初余额!$Q$6:$Q$65,$A62)+SUMIFS(记账分录!$I$6:$I$5505,记账分录!$F$6:$F$5505,$B$3,记账分录!$H$6:$H$5505,"应收账款",记账分录!$K$6:$K$5505,$A62,记账分录!$E$6:$E$5505,"&lt;"&amp;$A$4)-SUMIFS(记账分录!$J$6:$J$5505,记账分录!$F$6:$F$5505,$B$3,记账分录!$H$6:$H$5505,"应收账款",记账分录!$K$6:$K$5505,$A62,记账分录!$E$6:$E$5505,"&lt;"&amp;$A$4))</f>
        <v/>
      </c>
      <c r="D62" s="40" t="str">
        <f aca="false">IF($A62="","",SUMIFS(记账分录!$I$6:$I$5505,记账分录!$F$6:$F$5505,$B$3,记账分录!$H$6:$H$5505,"应收账款",记账分录!$K$6:$K$5505,$A62,记账分录!$E$6:$E$5505,"&gt;="&amp;$A$4,记账分录!$E$6:$E$5505,"&lt;="&amp;$B$4))</f>
        <v/>
      </c>
      <c r="E62" s="40" t="str">
        <f aca="false">IF($A62="","",SUMIFS(记账分录!$J$6:$J$5505,记账分录!$F$6:$F$5505,$B$3,记账分录!$H$6:$H$5505,"应收账款",记账分录!$K$6:$K$5505,$A62,记账分录!$E$6:$E$5505,"&gt;="&amp;$A$4,记账分录!$E$6:$E$5505,"&lt;="&amp;$B$4))</f>
        <v/>
      </c>
      <c r="F62" s="42" t="str">
        <f aca="false">IF($A62="","",ROUND($C62+$D62-$E62,2))</f>
        <v/>
      </c>
      <c r="G62" s="40" t="str">
        <f aca="false">IF($A62="","",SUMIFS(期初余额!$S$6:$S$65,期初余额!$P$6:$P$65,$B$3,期初余额!$Q$6:$Q$65,$A62)+SUMIFS(记账分录!$J$6:$J$5505,记账分录!$F$6:$F$5505,$B$3,记账分录!$H$6:$H$5505,"应付账款",记账分录!$K$6:$K$5505,$A62,记账分录!$E$6:$E$5505,"&lt;"&amp;$A$4)-SUMIFS(记账分录!$I$6:$I$5505,记账分录!$F$6:$F$5505,$B$3,记账分录!$H$6:$H$5505,"应付账款",记账分录!$K$6:$K$5505,$A62,记账分录!$E$6:$E$5505,"&lt;"&amp;$A$4))</f>
        <v/>
      </c>
      <c r="H62" s="40" t="str">
        <f aca="false">IF($A62="","",SUMIFS(记账分录!$J$6:$J$5505,记账分录!$F$6:$F$5505,$B$3,记账分录!$H$6:$H$5505,"应付账款",记账分录!$K$6:$K$5505,$A62,记账分录!$E$6:$E$5505,"&gt;="&amp;$A$4,记账分录!$E$6:$E$5505,"&lt;="&amp;$B$4))</f>
        <v/>
      </c>
      <c r="I62" s="40" t="str">
        <f aca="false">IF($A62="","",SUMIFS(记账分录!$I$6:$I$5505,记账分录!$F$6:$F$5505,$B$3,记账分录!$H$6:$H$5505,"应付账款",记账分录!$K$6:$K$5505,$A62,记账分录!$E$6:$E$5505,"&gt;="&amp;$A$4,记账分录!$E$6:$E$5505,"&lt;="&amp;$B$4))</f>
        <v/>
      </c>
      <c r="J62" s="42" t="str">
        <f aca="false">IF($A62="","",ROUND($G62+$H62-$I62,2))</f>
        <v/>
      </c>
      <c r="K62" s="42" t="str">
        <f aca="false">IF($A62="","",$F62-$J62)</f>
        <v/>
      </c>
      <c r="L62" s="64" t="str">
        <f aca="false">IF($A62="","",IF(OR(ROUND($C62,2)&lt;&gt;0,ROUND($D62,2)&lt;&gt;0,ROUND($E62,2)&lt;&gt;0,ROUND($G62,2)&lt;&gt;0,ROUND($H62,2)&lt;&gt;0,ROUND($I62,2)&lt;&gt;0),"有",""))</f>
        <v/>
      </c>
    </row>
    <row r="63" customFormat="false" ht="15" hidden="true" customHeight="false" outlineLevel="0" collapsed="false">
      <c r="A63" s="10" t="str">
        <f aca="false">IF(往来单位!$A62="","",往来单位!$A62)</f>
        <v/>
      </c>
      <c r="B63" s="25" t="str">
        <f aca="false">IF($A63="","",往来单位!$B62)</f>
        <v/>
      </c>
      <c r="C63" s="40" t="str">
        <f aca="false">IF($A63="","",SUMIFS(期初余额!$R$6:$R$65,期初余额!$P$6:$P$65,$B$3,期初余额!$Q$6:$Q$65,$A63)+SUMIFS(记账分录!$I$6:$I$5505,记账分录!$F$6:$F$5505,$B$3,记账分录!$H$6:$H$5505,"应收账款",记账分录!$K$6:$K$5505,$A63,记账分录!$E$6:$E$5505,"&lt;"&amp;$A$4)-SUMIFS(记账分录!$J$6:$J$5505,记账分录!$F$6:$F$5505,$B$3,记账分录!$H$6:$H$5505,"应收账款",记账分录!$K$6:$K$5505,$A63,记账分录!$E$6:$E$5505,"&lt;"&amp;$A$4))</f>
        <v/>
      </c>
      <c r="D63" s="40" t="str">
        <f aca="false">IF($A63="","",SUMIFS(记账分录!$I$6:$I$5505,记账分录!$F$6:$F$5505,$B$3,记账分录!$H$6:$H$5505,"应收账款",记账分录!$K$6:$K$5505,$A63,记账分录!$E$6:$E$5505,"&gt;="&amp;$A$4,记账分录!$E$6:$E$5505,"&lt;="&amp;$B$4))</f>
        <v/>
      </c>
      <c r="E63" s="40" t="str">
        <f aca="false">IF($A63="","",SUMIFS(记账分录!$J$6:$J$5505,记账分录!$F$6:$F$5505,$B$3,记账分录!$H$6:$H$5505,"应收账款",记账分录!$K$6:$K$5505,$A63,记账分录!$E$6:$E$5505,"&gt;="&amp;$A$4,记账分录!$E$6:$E$5505,"&lt;="&amp;$B$4))</f>
        <v/>
      </c>
      <c r="F63" s="42" t="str">
        <f aca="false">IF($A63="","",ROUND($C63+$D63-$E63,2))</f>
        <v/>
      </c>
      <c r="G63" s="40" t="str">
        <f aca="false">IF($A63="","",SUMIFS(期初余额!$S$6:$S$65,期初余额!$P$6:$P$65,$B$3,期初余额!$Q$6:$Q$65,$A63)+SUMIFS(记账分录!$J$6:$J$5505,记账分录!$F$6:$F$5505,$B$3,记账分录!$H$6:$H$5505,"应付账款",记账分录!$K$6:$K$5505,$A63,记账分录!$E$6:$E$5505,"&lt;"&amp;$A$4)-SUMIFS(记账分录!$I$6:$I$5505,记账分录!$F$6:$F$5505,$B$3,记账分录!$H$6:$H$5505,"应付账款",记账分录!$K$6:$K$5505,$A63,记账分录!$E$6:$E$5505,"&lt;"&amp;$A$4))</f>
        <v/>
      </c>
      <c r="H63" s="40" t="str">
        <f aca="false">IF($A63="","",SUMIFS(记账分录!$J$6:$J$5505,记账分录!$F$6:$F$5505,$B$3,记账分录!$H$6:$H$5505,"应付账款",记账分录!$K$6:$K$5505,$A63,记账分录!$E$6:$E$5505,"&gt;="&amp;$A$4,记账分录!$E$6:$E$5505,"&lt;="&amp;$B$4))</f>
        <v/>
      </c>
      <c r="I63" s="40" t="str">
        <f aca="false">IF($A63="","",SUMIFS(记账分录!$I$6:$I$5505,记账分录!$F$6:$F$5505,$B$3,记账分录!$H$6:$H$5505,"应付账款",记账分录!$K$6:$K$5505,$A63,记账分录!$E$6:$E$5505,"&gt;="&amp;$A$4,记账分录!$E$6:$E$5505,"&lt;="&amp;$B$4))</f>
        <v/>
      </c>
      <c r="J63" s="42" t="str">
        <f aca="false">IF($A63="","",ROUND($G63+$H63-$I63,2))</f>
        <v/>
      </c>
      <c r="K63" s="42" t="str">
        <f aca="false">IF($A63="","",$F63-$J63)</f>
        <v/>
      </c>
      <c r="L63" s="64" t="str">
        <f aca="false">IF($A63="","",IF(OR(ROUND($C63,2)&lt;&gt;0,ROUND($D63,2)&lt;&gt;0,ROUND($E63,2)&lt;&gt;0,ROUND($G63,2)&lt;&gt;0,ROUND($H63,2)&lt;&gt;0,ROUND($I63,2)&lt;&gt;0),"有",""))</f>
        <v/>
      </c>
    </row>
    <row r="64" customFormat="false" ht="15" hidden="true" customHeight="false" outlineLevel="0" collapsed="false">
      <c r="A64" s="10" t="str">
        <f aca="false">IF(往来单位!$A63="","",往来单位!$A63)</f>
        <v/>
      </c>
      <c r="B64" s="25" t="str">
        <f aca="false">IF($A64="","",往来单位!$B63)</f>
        <v/>
      </c>
      <c r="C64" s="40" t="str">
        <f aca="false">IF($A64="","",SUMIFS(期初余额!$R$6:$R$65,期初余额!$P$6:$P$65,$B$3,期初余额!$Q$6:$Q$65,$A64)+SUMIFS(记账分录!$I$6:$I$5505,记账分录!$F$6:$F$5505,$B$3,记账分录!$H$6:$H$5505,"应收账款",记账分录!$K$6:$K$5505,$A64,记账分录!$E$6:$E$5505,"&lt;"&amp;$A$4)-SUMIFS(记账分录!$J$6:$J$5505,记账分录!$F$6:$F$5505,$B$3,记账分录!$H$6:$H$5505,"应收账款",记账分录!$K$6:$K$5505,$A64,记账分录!$E$6:$E$5505,"&lt;"&amp;$A$4))</f>
        <v/>
      </c>
      <c r="D64" s="40" t="str">
        <f aca="false">IF($A64="","",SUMIFS(记账分录!$I$6:$I$5505,记账分录!$F$6:$F$5505,$B$3,记账分录!$H$6:$H$5505,"应收账款",记账分录!$K$6:$K$5505,$A64,记账分录!$E$6:$E$5505,"&gt;="&amp;$A$4,记账分录!$E$6:$E$5505,"&lt;="&amp;$B$4))</f>
        <v/>
      </c>
      <c r="E64" s="40" t="str">
        <f aca="false">IF($A64="","",SUMIFS(记账分录!$J$6:$J$5505,记账分录!$F$6:$F$5505,$B$3,记账分录!$H$6:$H$5505,"应收账款",记账分录!$K$6:$K$5505,$A64,记账分录!$E$6:$E$5505,"&gt;="&amp;$A$4,记账分录!$E$6:$E$5505,"&lt;="&amp;$B$4))</f>
        <v/>
      </c>
      <c r="F64" s="42" t="str">
        <f aca="false">IF($A64="","",ROUND($C64+$D64-$E64,2))</f>
        <v/>
      </c>
      <c r="G64" s="40" t="str">
        <f aca="false">IF($A64="","",SUMIFS(期初余额!$S$6:$S$65,期初余额!$P$6:$P$65,$B$3,期初余额!$Q$6:$Q$65,$A64)+SUMIFS(记账分录!$J$6:$J$5505,记账分录!$F$6:$F$5505,$B$3,记账分录!$H$6:$H$5505,"应付账款",记账分录!$K$6:$K$5505,$A64,记账分录!$E$6:$E$5505,"&lt;"&amp;$A$4)-SUMIFS(记账分录!$I$6:$I$5505,记账分录!$F$6:$F$5505,$B$3,记账分录!$H$6:$H$5505,"应付账款",记账分录!$K$6:$K$5505,$A64,记账分录!$E$6:$E$5505,"&lt;"&amp;$A$4))</f>
        <v/>
      </c>
      <c r="H64" s="40" t="str">
        <f aca="false">IF($A64="","",SUMIFS(记账分录!$J$6:$J$5505,记账分录!$F$6:$F$5505,$B$3,记账分录!$H$6:$H$5505,"应付账款",记账分录!$K$6:$K$5505,$A64,记账分录!$E$6:$E$5505,"&gt;="&amp;$A$4,记账分录!$E$6:$E$5505,"&lt;="&amp;$B$4))</f>
        <v/>
      </c>
      <c r="I64" s="40" t="str">
        <f aca="false">IF($A64="","",SUMIFS(记账分录!$I$6:$I$5505,记账分录!$F$6:$F$5505,$B$3,记账分录!$H$6:$H$5505,"应付账款",记账分录!$K$6:$K$5505,$A64,记账分录!$E$6:$E$5505,"&gt;="&amp;$A$4,记账分录!$E$6:$E$5505,"&lt;="&amp;$B$4))</f>
        <v/>
      </c>
      <c r="J64" s="42" t="str">
        <f aca="false">IF($A64="","",ROUND($G64+$H64-$I64,2))</f>
        <v/>
      </c>
      <c r="K64" s="42" t="str">
        <f aca="false">IF($A64="","",$F64-$J64)</f>
        <v/>
      </c>
      <c r="L64" s="64" t="str">
        <f aca="false">IF($A64="","",IF(OR(ROUND($C64,2)&lt;&gt;0,ROUND($D64,2)&lt;&gt;0,ROUND($E64,2)&lt;&gt;0,ROUND($G64,2)&lt;&gt;0,ROUND($H64,2)&lt;&gt;0,ROUND($I64,2)&lt;&gt;0),"有",""))</f>
        <v/>
      </c>
    </row>
    <row r="65" customFormat="false" ht="15" hidden="true" customHeight="false" outlineLevel="0" collapsed="false">
      <c r="A65" s="10" t="str">
        <f aca="false">IF(往来单位!$A64="","",往来单位!$A64)</f>
        <v/>
      </c>
      <c r="B65" s="25" t="str">
        <f aca="false">IF($A65="","",往来单位!$B64)</f>
        <v/>
      </c>
      <c r="C65" s="40" t="str">
        <f aca="false">IF($A65="","",SUMIFS(期初余额!$R$6:$R$65,期初余额!$P$6:$P$65,$B$3,期初余额!$Q$6:$Q$65,$A65)+SUMIFS(记账分录!$I$6:$I$5505,记账分录!$F$6:$F$5505,$B$3,记账分录!$H$6:$H$5505,"应收账款",记账分录!$K$6:$K$5505,$A65,记账分录!$E$6:$E$5505,"&lt;"&amp;$A$4)-SUMIFS(记账分录!$J$6:$J$5505,记账分录!$F$6:$F$5505,$B$3,记账分录!$H$6:$H$5505,"应收账款",记账分录!$K$6:$K$5505,$A65,记账分录!$E$6:$E$5505,"&lt;"&amp;$A$4))</f>
        <v/>
      </c>
      <c r="D65" s="40" t="str">
        <f aca="false">IF($A65="","",SUMIFS(记账分录!$I$6:$I$5505,记账分录!$F$6:$F$5505,$B$3,记账分录!$H$6:$H$5505,"应收账款",记账分录!$K$6:$K$5505,$A65,记账分录!$E$6:$E$5505,"&gt;="&amp;$A$4,记账分录!$E$6:$E$5505,"&lt;="&amp;$B$4))</f>
        <v/>
      </c>
      <c r="E65" s="40" t="str">
        <f aca="false">IF($A65="","",SUMIFS(记账分录!$J$6:$J$5505,记账分录!$F$6:$F$5505,$B$3,记账分录!$H$6:$H$5505,"应收账款",记账分录!$K$6:$K$5505,$A65,记账分录!$E$6:$E$5505,"&gt;="&amp;$A$4,记账分录!$E$6:$E$5505,"&lt;="&amp;$B$4))</f>
        <v/>
      </c>
      <c r="F65" s="42" t="str">
        <f aca="false">IF($A65="","",ROUND($C65+$D65-$E65,2))</f>
        <v/>
      </c>
      <c r="G65" s="40" t="str">
        <f aca="false">IF($A65="","",SUMIFS(期初余额!$S$6:$S$65,期初余额!$P$6:$P$65,$B$3,期初余额!$Q$6:$Q$65,$A65)+SUMIFS(记账分录!$J$6:$J$5505,记账分录!$F$6:$F$5505,$B$3,记账分录!$H$6:$H$5505,"应付账款",记账分录!$K$6:$K$5505,$A65,记账分录!$E$6:$E$5505,"&lt;"&amp;$A$4)-SUMIFS(记账分录!$I$6:$I$5505,记账分录!$F$6:$F$5505,$B$3,记账分录!$H$6:$H$5505,"应付账款",记账分录!$K$6:$K$5505,$A65,记账分录!$E$6:$E$5505,"&lt;"&amp;$A$4))</f>
        <v/>
      </c>
      <c r="H65" s="40" t="str">
        <f aca="false">IF($A65="","",SUMIFS(记账分录!$J$6:$J$5505,记账分录!$F$6:$F$5505,$B$3,记账分录!$H$6:$H$5505,"应付账款",记账分录!$K$6:$K$5505,$A65,记账分录!$E$6:$E$5505,"&gt;="&amp;$A$4,记账分录!$E$6:$E$5505,"&lt;="&amp;$B$4))</f>
        <v/>
      </c>
      <c r="I65" s="40" t="str">
        <f aca="false">IF($A65="","",SUMIFS(记账分录!$I$6:$I$5505,记账分录!$F$6:$F$5505,$B$3,记账分录!$H$6:$H$5505,"应付账款",记账分录!$K$6:$K$5505,$A65,记账分录!$E$6:$E$5505,"&gt;="&amp;$A$4,记账分录!$E$6:$E$5505,"&lt;="&amp;$B$4))</f>
        <v/>
      </c>
      <c r="J65" s="42" t="str">
        <f aca="false">IF($A65="","",ROUND($G65+$H65-$I65,2))</f>
        <v/>
      </c>
      <c r="K65" s="42" t="str">
        <f aca="false">IF($A65="","",$F65-$J65)</f>
        <v/>
      </c>
      <c r="L65" s="64" t="str">
        <f aca="false">IF($A65="","",IF(OR(ROUND($C65,2)&lt;&gt;0,ROUND($D65,2)&lt;&gt;0,ROUND($E65,2)&lt;&gt;0,ROUND($G65,2)&lt;&gt;0,ROUND($H65,2)&lt;&gt;0,ROUND($I65,2)&lt;&gt;0),"有",""))</f>
        <v/>
      </c>
    </row>
    <row r="66" customFormat="false" ht="15" hidden="true" customHeight="false" outlineLevel="0" collapsed="false">
      <c r="A66" s="10" t="str">
        <f aca="false">IF(往来单位!$A65="","",往来单位!$A65)</f>
        <v/>
      </c>
      <c r="B66" s="25" t="str">
        <f aca="false">IF($A66="","",往来单位!$B65)</f>
        <v/>
      </c>
      <c r="C66" s="40" t="str">
        <f aca="false">IF($A66="","",SUMIFS(期初余额!$R$6:$R$65,期初余额!$P$6:$P$65,$B$3,期初余额!$Q$6:$Q$65,$A66)+SUMIFS(记账分录!$I$6:$I$5505,记账分录!$F$6:$F$5505,$B$3,记账分录!$H$6:$H$5505,"应收账款",记账分录!$K$6:$K$5505,$A66,记账分录!$E$6:$E$5505,"&lt;"&amp;$A$4)-SUMIFS(记账分录!$J$6:$J$5505,记账分录!$F$6:$F$5505,$B$3,记账分录!$H$6:$H$5505,"应收账款",记账分录!$K$6:$K$5505,$A66,记账分录!$E$6:$E$5505,"&lt;"&amp;$A$4))</f>
        <v/>
      </c>
      <c r="D66" s="40" t="str">
        <f aca="false">IF($A66="","",SUMIFS(记账分录!$I$6:$I$5505,记账分录!$F$6:$F$5505,$B$3,记账分录!$H$6:$H$5505,"应收账款",记账分录!$K$6:$K$5505,$A66,记账分录!$E$6:$E$5505,"&gt;="&amp;$A$4,记账分录!$E$6:$E$5505,"&lt;="&amp;$B$4))</f>
        <v/>
      </c>
      <c r="E66" s="40" t="str">
        <f aca="false">IF($A66="","",SUMIFS(记账分录!$J$6:$J$5505,记账分录!$F$6:$F$5505,$B$3,记账分录!$H$6:$H$5505,"应收账款",记账分录!$K$6:$K$5505,$A66,记账分录!$E$6:$E$5505,"&gt;="&amp;$A$4,记账分录!$E$6:$E$5505,"&lt;="&amp;$B$4))</f>
        <v/>
      </c>
      <c r="F66" s="42" t="str">
        <f aca="false">IF($A66="","",ROUND($C66+$D66-$E66,2))</f>
        <v/>
      </c>
      <c r="G66" s="40" t="str">
        <f aca="false">IF($A66="","",SUMIFS(期初余额!$S$6:$S$65,期初余额!$P$6:$P$65,$B$3,期初余额!$Q$6:$Q$65,$A66)+SUMIFS(记账分录!$J$6:$J$5505,记账分录!$F$6:$F$5505,$B$3,记账分录!$H$6:$H$5505,"应付账款",记账分录!$K$6:$K$5505,$A66,记账分录!$E$6:$E$5505,"&lt;"&amp;$A$4)-SUMIFS(记账分录!$I$6:$I$5505,记账分录!$F$6:$F$5505,$B$3,记账分录!$H$6:$H$5505,"应付账款",记账分录!$K$6:$K$5505,$A66,记账分录!$E$6:$E$5505,"&lt;"&amp;$A$4))</f>
        <v/>
      </c>
      <c r="H66" s="40" t="str">
        <f aca="false">IF($A66="","",SUMIFS(记账分录!$J$6:$J$5505,记账分录!$F$6:$F$5505,$B$3,记账分录!$H$6:$H$5505,"应付账款",记账分录!$K$6:$K$5505,$A66,记账分录!$E$6:$E$5505,"&gt;="&amp;$A$4,记账分录!$E$6:$E$5505,"&lt;="&amp;$B$4))</f>
        <v/>
      </c>
      <c r="I66" s="40" t="str">
        <f aca="false">IF($A66="","",SUMIFS(记账分录!$I$6:$I$5505,记账分录!$F$6:$F$5505,$B$3,记账分录!$H$6:$H$5505,"应付账款",记账分录!$K$6:$K$5505,$A66,记账分录!$E$6:$E$5505,"&gt;="&amp;$A$4,记账分录!$E$6:$E$5505,"&lt;="&amp;$B$4))</f>
        <v/>
      </c>
      <c r="J66" s="42" t="str">
        <f aca="false">IF($A66="","",ROUND($G66+$H66-$I66,2))</f>
        <v/>
      </c>
      <c r="K66" s="42" t="str">
        <f aca="false">IF($A66="","",$F66-$J66)</f>
        <v/>
      </c>
      <c r="L66" s="64" t="str">
        <f aca="false">IF($A66="","",IF(OR(ROUND($C66,2)&lt;&gt;0,ROUND($D66,2)&lt;&gt;0,ROUND($E66,2)&lt;&gt;0,ROUND($G66,2)&lt;&gt;0,ROUND($H66,2)&lt;&gt;0,ROUND($I66,2)&lt;&gt;0),"有",""))</f>
        <v/>
      </c>
    </row>
    <row r="67" customFormat="false" ht="15" hidden="true" customHeight="false" outlineLevel="0" collapsed="false">
      <c r="A67" s="10" t="str">
        <f aca="false">IF(往来单位!$A66="","",往来单位!$A66)</f>
        <v/>
      </c>
      <c r="B67" s="25" t="str">
        <f aca="false">IF($A67="","",往来单位!$B66)</f>
        <v/>
      </c>
      <c r="C67" s="40" t="str">
        <f aca="false">IF($A67="","",SUMIFS(期初余额!$R$6:$R$65,期初余额!$P$6:$P$65,$B$3,期初余额!$Q$6:$Q$65,$A67)+SUMIFS(记账分录!$I$6:$I$5505,记账分录!$F$6:$F$5505,$B$3,记账分录!$H$6:$H$5505,"应收账款",记账分录!$K$6:$K$5505,$A67,记账分录!$E$6:$E$5505,"&lt;"&amp;$A$4)-SUMIFS(记账分录!$J$6:$J$5505,记账分录!$F$6:$F$5505,$B$3,记账分录!$H$6:$H$5505,"应收账款",记账分录!$K$6:$K$5505,$A67,记账分录!$E$6:$E$5505,"&lt;"&amp;$A$4))</f>
        <v/>
      </c>
      <c r="D67" s="40" t="str">
        <f aca="false">IF($A67="","",SUMIFS(记账分录!$I$6:$I$5505,记账分录!$F$6:$F$5505,$B$3,记账分录!$H$6:$H$5505,"应收账款",记账分录!$K$6:$K$5505,$A67,记账分录!$E$6:$E$5505,"&gt;="&amp;$A$4,记账分录!$E$6:$E$5505,"&lt;="&amp;$B$4))</f>
        <v/>
      </c>
      <c r="E67" s="40" t="str">
        <f aca="false">IF($A67="","",SUMIFS(记账分录!$J$6:$J$5505,记账分录!$F$6:$F$5505,$B$3,记账分录!$H$6:$H$5505,"应收账款",记账分录!$K$6:$K$5505,$A67,记账分录!$E$6:$E$5505,"&gt;="&amp;$A$4,记账分录!$E$6:$E$5505,"&lt;="&amp;$B$4))</f>
        <v/>
      </c>
      <c r="F67" s="42" t="str">
        <f aca="false">IF($A67="","",ROUND($C67+$D67-$E67,2))</f>
        <v/>
      </c>
      <c r="G67" s="40" t="str">
        <f aca="false">IF($A67="","",SUMIFS(期初余额!$S$6:$S$65,期初余额!$P$6:$P$65,$B$3,期初余额!$Q$6:$Q$65,$A67)+SUMIFS(记账分录!$J$6:$J$5505,记账分录!$F$6:$F$5505,$B$3,记账分录!$H$6:$H$5505,"应付账款",记账分录!$K$6:$K$5505,$A67,记账分录!$E$6:$E$5505,"&lt;"&amp;$A$4)-SUMIFS(记账分录!$I$6:$I$5505,记账分录!$F$6:$F$5505,$B$3,记账分录!$H$6:$H$5505,"应付账款",记账分录!$K$6:$K$5505,$A67,记账分录!$E$6:$E$5505,"&lt;"&amp;$A$4))</f>
        <v/>
      </c>
      <c r="H67" s="40" t="str">
        <f aca="false">IF($A67="","",SUMIFS(记账分录!$J$6:$J$5505,记账分录!$F$6:$F$5505,$B$3,记账分录!$H$6:$H$5505,"应付账款",记账分录!$K$6:$K$5505,$A67,记账分录!$E$6:$E$5505,"&gt;="&amp;$A$4,记账分录!$E$6:$E$5505,"&lt;="&amp;$B$4))</f>
        <v/>
      </c>
      <c r="I67" s="40" t="str">
        <f aca="false">IF($A67="","",SUMIFS(记账分录!$I$6:$I$5505,记账分录!$F$6:$F$5505,$B$3,记账分录!$H$6:$H$5505,"应付账款",记账分录!$K$6:$K$5505,$A67,记账分录!$E$6:$E$5505,"&gt;="&amp;$A$4,记账分录!$E$6:$E$5505,"&lt;="&amp;$B$4))</f>
        <v/>
      </c>
      <c r="J67" s="42" t="str">
        <f aca="false">IF($A67="","",ROUND($G67+$H67-$I67,2))</f>
        <v/>
      </c>
      <c r="K67" s="42" t="str">
        <f aca="false">IF($A67="","",$F67-$J67)</f>
        <v/>
      </c>
      <c r="L67" s="64" t="str">
        <f aca="false">IF($A67="","",IF(OR(ROUND($C67,2)&lt;&gt;0,ROUND($D67,2)&lt;&gt;0,ROUND($E67,2)&lt;&gt;0,ROUND($G67,2)&lt;&gt;0,ROUND($H67,2)&lt;&gt;0,ROUND($I67,2)&lt;&gt;0),"有",""))</f>
        <v/>
      </c>
    </row>
    <row r="68" customFormat="false" ht="15" hidden="true" customHeight="false" outlineLevel="0" collapsed="false">
      <c r="A68" s="10" t="str">
        <f aca="false">IF(往来单位!$A67="","",往来单位!$A67)</f>
        <v/>
      </c>
      <c r="B68" s="25" t="str">
        <f aca="false">IF($A68="","",往来单位!$B67)</f>
        <v/>
      </c>
      <c r="C68" s="40" t="str">
        <f aca="false">IF($A68="","",SUMIFS(期初余额!$R$6:$R$65,期初余额!$P$6:$P$65,$B$3,期初余额!$Q$6:$Q$65,$A68)+SUMIFS(记账分录!$I$6:$I$5505,记账分录!$F$6:$F$5505,$B$3,记账分录!$H$6:$H$5505,"应收账款",记账分录!$K$6:$K$5505,$A68,记账分录!$E$6:$E$5505,"&lt;"&amp;$A$4)-SUMIFS(记账分录!$J$6:$J$5505,记账分录!$F$6:$F$5505,$B$3,记账分录!$H$6:$H$5505,"应收账款",记账分录!$K$6:$K$5505,$A68,记账分录!$E$6:$E$5505,"&lt;"&amp;$A$4))</f>
        <v/>
      </c>
      <c r="D68" s="40" t="str">
        <f aca="false">IF($A68="","",SUMIFS(记账分录!$I$6:$I$5505,记账分录!$F$6:$F$5505,$B$3,记账分录!$H$6:$H$5505,"应收账款",记账分录!$K$6:$K$5505,$A68,记账分录!$E$6:$E$5505,"&gt;="&amp;$A$4,记账分录!$E$6:$E$5505,"&lt;="&amp;$B$4))</f>
        <v/>
      </c>
      <c r="E68" s="40" t="str">
        <f aca="false">IF($A68="","",SUMIFS(记账分录!$J$6:$J$5505,记账分录!$F$6:$F$5505,$B$3,记账分录!$H$6:$H$5505,"应收账款",记账分录!$K$6:$K$5505,$A68,记账分录!$E$6:$E$5505,"&gt;="&amp;$A$4,记账分录!$E$6:$E$5505,"&lt;="&amp;$B$4))</f>
        <v/>
      </c>
      <c r="F68" s="42" t="str">
        <f aca="false">IF($A68="","",ROUND($C68+$D68-$E68,2))</f>
        <v/>
      </c>
      <c r="G68" s="40" t="str">
        <f aca="false">IF($A68="","",SUMIFS(期初余额!$S$6:$S$65,期初余额!$P$6:$P$65,$B$3,期初余额!$Q$6:$Q$65,$A68)+SUMIFS(记账分录!$J$6:$J$5505,记账分录!$F$6:$F$5505,$B$3,记账分录!$H$6:$H$5505,"应付账款",记账分录!$K$6:$K$5505,$A68,记账分录!$E$6:$E$5505,"&lt;"&amp;$A$4)-SUMIFS(记账分录!$I$6:$I$5505,记账分录!$F$6:$F$5505,$B$3,记账分录!$H$6:$H$5505,"应付账款",记账分录!$K$6:$K$5505,$A68,记账分录!$E$6:$E$5505,"&lt;"&amp;$A$4))</f>
        <v/>
      </c>
      <c r="H68" s="40" t="str">
        <f aca="false">IF($A68="","",SUMIFS(记账分录!$J$6:$J$5505,记账分录!$F$6:$F$5505,$B$3,记账分录!$H$6:$H$5505,"应付账款",记账分录!$K$6:$K$5505,$A68,记账分录!$E$6:$E$5505,"&gt;="&amp;$A$4,记账分录!$E$6:$E$5505,"&lt;="&amp;$B$4))</f>
        <v/>
      </c>
      <c r="I68" s="40" t="str">
        <f aca="false">IF($A68="","",SUMIFS(记账分录!$I$6:$I$5505,记账分录!$F$6:$F$5505,$B$3,记账分录!$H$6:$H$5505,"应付账款",记账分录!$K$6:$K$5505,$A68,记账分录!$E$6:$E$5505,"&gt;="&amp;$A$4,记账分录!$E$6:$E$5505,"&lt;="&amp;$B$4))</f>
        <v/>
      </c>
      <c r="J68" s="42" t="str">
        <f aca="false">IF($A68="","",ROUND($G68+$H68-$I68,2))</f>
        <v/>
      </c>
      <c r="K68" s="42" t="str">
        <f aca="false">IF($A68="","",$F68-$J68)</f>
        <v/>
      </c>
      <c r="L68" s="64" t="str">
        <f aca="false">IF($A68="","",IF(OR(ROUND($C68,2)&lt;&gt;0,ROUND($D68,2)&lt;&gt;0,ROUND($E68,2)&lt;&gt;0,ROUND($G68,2)&lt;&gt;0,ROUND($H68,2)&lt;&gt;0,ROUND($I68,2)&lt;&gt;0),"有",""))</f>
        <v/>
      </c>
    </row>
    <row r="69" customFormat="false" ht="15" hidden="true" customHeight="false" outlineLevel="0" collapsed="false">
      <c r="A69" s="10" t="str">
        <f aca="false">IF(往来单位!$A68="","",往来单位!$A68)</f>
        <v/>
      </c>
      <c r="B69" s="25" t="str">
        <f aca="false">IF($A69="","",往来单位!$B68)</f>
        <v/>
      </c>
      <c r="C69" s="40" t="str">
        <f aca="false">IF($A69="","",SUMIFS(期初余额!$R$6:$R$65,期初余额!$P$6:$P$65,$B$3,期初余额!$Q$6:$Q$65,$A69)+SUMIFS(记账分录!$I$6:$I$5505,记账分录!$F$6:$F$5505,$B$3,记账分录!$H$6:$H$5505,"应收账款",记账分录!$K$6:$K$5505,$A69,记账分录!$E$6:$E$5505,"&lt;"&amp;$A$4)-SUMIFS(记账分录!$J$6:$J$5505,记账分录!$F$6:$F$5505,$B$3,记账分录!$H$6:$H$5505,"应收账款",记账分录!$K$6:$K$5505,$A69,记账分录!$E$6:$E$5505,"&lt;"&amp;$A$4))</f>
        <v/>
      </c>
      <c r="D69" s="40" t="str">
        <f aca="false">IF($A69="","",SUMIFS(记账分录!$I$6:$I$5505,记账分录!$F$6:$F$5505,$B$3,记账分录!$H$6:$H$5505,"应收账款",记账分录!$K$6:$K$5505,$A69,记账分录!$E$6:$E$5505,"&gt;="&amp;$A$4,记账分录!$E$6:$E$5505,"&lt;="&amp;$B$4))</f>
        <v/>
      </c>
      <c r="E69" s="40" t="str">
        <f aca="false">IF($A69="","",SUMIFS(记账分录!$J$6:$J$5505,记账分录!$F$6:$F$5505,$B$3,记账分录!$H$6:$H$5505,"应收账款",记账分录!$K$6:$K$5505,$A69,记账分录!$E$6:$E$5505,"&gt;="&amp;$A$4,记账分录!$E$6:$E$5505,"&lt;="&amp;$B$4))</f>
        <v/>
      </c>
      <c r="F69" s="42" t="str">
        <f aca="false">IF($A69="","",ROUND($C69+$D69-$E69,2))</f>
        <v/>
      </c>
      <c r="G69" s="40" t="str">
        <f aca="false">IF($A69="","",SUMIFS(期初余额!$S$6:$S$65,期初余额!$P$6:$P$65,$B$3,期初余额!$Q$6:$Q$65,$A69)+SUMIFS(记账分录!$J$6:$J$5505,记账分录!$F$6:$F$5505,$B$3,记账分录!$H$6:$H$5505,"应付账款",记账分录!$K$6:$K$5505,$A69,记账分录!$E$6:$E$5505,"&lt;"&amp;$A$4)-SUMIFS(记账分录!$I$6:$I$5505,记账分录!$F$6:$F$5505,$B$3,记账分录!$H$6:$H$5505,"应付账款",记账分录!$K$6:$K$5505,$A69,记账分录!$E$6:$E$5505,"&lt;"&amp;$A$4))</f>
        <v/>
      </c>
      <c r="H69" s="40" t="str">
        <f aca="false">IF($A69="","",SUMIFS(记账分录!$J$6:$J$5505,记账分录!$F$6:$F$5505,$B$3,记账分录!$H$6:$H$5505,"应付账款",记账分录!$K$6:$K$5505,$A69,记账分录!$E$6:$E$5505,"&gt;="&amp;$A$4,记账分录!$E$6:$E$5505,"&lt;="&amp;$B$4))</f>
        <v/>
      </c>
      <c r="I69" s="40" t="str">
        <f aca="false">IF($A69="","",SUMIFS(记账分录!$I$6:$I$5505,记账分录!$F$6:$F$5505,$B$3,记账分录!$H$6:$H$5505,"应付账款",记账分录!$K$6:$K$5505,$A69,记账分录!$E$6:$E$5505,"&gt;="&amp;$A$4,记账分录!$E$6:$E$5505,"&lt;="&amp;$B$4))</f>
        <v/>
      </c>
      <c r="J69" s="42" t="str">
        <f aca="false">IF($A69="","",ROUND($G69+$H69-$I69,2))</f>
        <v/>
      </c>
      <c r="K69" s="42" t="str">
        <f aca="false">IF($A69="","",$F69-$J69)</f>
        <v/>
      </c>
      <c r="L69" s="64" t="str">
        <f aca="false">IF($A69="","",IF(OR(ROUND($C69,2)&lt;&gt;0,ROUND($D69,2)&lt;&gt;0,ROUND($E69,2)&lt;&gt;0,ROUND($G69,2)&lt;&gt;0,ROUND($H69,2)&lt;&gt;0,ROUND($I69,2)&lt;&gt;0),"有",""))</f>
        <v/>
      </c>
    </row>
    <row r="70" customFormat="false" ht="15" hidden="true" customHeight="false" outlineLevel="0" collapsed="false">
      <c r="A70" s="10" t="str">
        <f aca="false">IF(往来单位!$A69="","",往来单位!$A69)</f>
        <v/>
      </c>
      <c r="B70" s="25" t="str">
        <f aca="false">IF($A70="","",往来单位!$B69)</f>
        <v/>
      </c>
      <c r="C70" s="40" t="str">
        <f aca="false">IF($A70="","",SUMIFS(期初余额!$R$6:$R$65,期初余额!$P$6:$P$65,$B$3,期初余额!$Q$6:$Q$65,$A70)+SUMIFS(记账分录!$I$6:$I$5505,记账分录!$F$6:$F$5505,$B$3,记账分录!$H$6:$H$5505,"应收账款",记账分录!$K$6:$K$5505,$A70,记账分录!$E$6:$E$5505,"&lt;"&amp;$A$4)-SUMIFS(记账分录!$J$6:$J$5505,记账分录!$F$6:$F$5505,$B$3,记账分录!$H$6:$H$5505,"应收账款",记账分录!$K$6:$K$5505,$A70,记账分录!$E$6:$E$5505,"&lt;"&amp;$A$4))</f>
        <v/>
      </c>
      <c r="D70" s="40" t="str">
        <f aca="false">IF($A70="","",SUMIFS(记账分录!$I$6:$I$5505,记账分录!$F$6:$F$5505,$B$3,记账分录!$H$6:$H$5505,"应收账款",记账分录!$K$6:$K$5505,$A70,记账分录!$E$6:$E$5505,"&gt;="&amp;$A$4,记账分录!$E$6:$E$5505,"&lt;="&amp;$B$4))</f>
        <v/>
      </c>
      <c r="E70" s="40" t="str">
        <f aca="false">IF($A70="","",SUMIFS(记账分录!$J$6:$J$5505,记账分录!$F$6:$F$5505,$B$3,记账分录!$H$6:$H$5505,"应收账款",记账分录!$K$6:$K$5505,$A70,记账分录!$E$6:$E$5505,"&gt;="&amp;$A$4,记账分录!$E$6:$E$5505,"&lt;="&amp;$B$4))</f>
        <v/>
      </c>
      <c r="F70" s="42" t="str">
        <f aca="false">IF($A70="","",ROUND($C70+$D70-$E70,2))</f>
        <v/>
      </c>
      <c r="G70" s="40" t="str">
        <f aca="false">IF($A70="","",SUMIFS(期初余额!$S$6:$S$65,期初余额!$P$6:$P$65,$B$3,期初余额!$Q$6:$Q$65,$A70)+SUMIFS(记账分录!$J$6:$J$5505,记账分录!$F$6:$F$5505,$B$3,记账分录!$H$6:$H$5505,"应付账款",记账分录!$K$6:$K$5505,$A70,记账分录!$E$6:$E$5505,"&lt;"&amp;$A$4)-SUMIFS(记账分录!$I$6:$I$5505,记账分录!$F$6:$F$5505,$B$3,记账分录!$H$6:$H$5505,"应付账款",记账分录!$K$6:$K$5505,$A70,记账分录!$E$6:$E$5505,"&lt;"&amp;$A$4))</f>
        <v/>
      </c>
      <c r="H70" s="40" t="str">
        <f aca="false">IF($A70="","",SUMIFS(记账分录!$J$6:$J$5505,记账分录!$F$6:$F$5505,$B$3,记账分录!$H$6:$H$5505,"应付账款",记账分录!$K$6:$K$5505,$A70,记账分录!$E$6:$E$5505,"&gt;="&amp;$A$4,记账分录!$E$6:$E$5505,"&lt;="&amp;$B$4))</f>
        <v/>
      </c>
      <c r="I70" s="40" t="str">
        <f aca="false">IF($A70="","",SUMIFS(记账分录!$I$6:$I$5505,记账分录!$F$6:$F$5505,$B$3,记账分录!$H$6:$H$5505,"应付账款",记账分录!$K$6:$K$5505,$A70,记账分录!$E$6:$E$5505,"&gt;="&amp;$A$4,记账分录!$E$6:$E$5505,"&lt;="&amp;$B$4))</f>
        <v/>
      </c>
      <c r="J70" s="42" t="str">
        <f aca="false">IF($A70="","",ROUND($G70+$H70-$I70,2))</f>
        <v/>
      </c>
      <c r="K70" s="42" t="str">
        <f aca="false">IF($A70="","",$F70-$J70)</f>
        <v/>
      </c>
      <c r="L70" s="64" t="str">
        <f aca="false">IF($A70="","",IF(OR(ROUND($C70,2)&lt;&gt;0,ROUND($D70,2)&lt;&gt;0,ROUND($E70,2)&lt;&gt;0,ROUND($G70,2)&lt;&gt;0,ROUND($H70,2)&lt;&gt;0,ROUND($I70,2)&lt;&gt;0),"有",""))</f>
        <v/>
      </c>
    </row>
    <row r="71" customFormat="false" ht="15" hidden="true" customHeight="false" outlineLevel="0" collapsed="false">
      <c r="A71" s="10" t="str">
        <f aca="false">IF(往来单位!$A70="","",往来单位!$A70)</f>
        <v/>
      </c>
      <c r="B71" s="25" t="str">
        <f aca="false">IF($A71="","",往来单位!$B70)</f>
        <v/>
      </c>
      <c r="C71" s="40" t="str">
        <f aca="false">IF($A71="","",SUMIFS(期初余额!$R$6:$R$65,期初余额!$P$6:$P$65,$B$3,期初余额!$Q$6:$Q$65,$A71)+SUMIFS(记账分录!$I$6:$I$5505,记账分录!$F$6:$F$5505,$B$3,记账分录!$H$6:$H$5505,"应收账款",记账分录!$K$6:$K$5505,$A71,记账分录!$E$6:$E$5505,"&lt;"&amp;$A$4)-SUMIFS(记账分录!$J$6:$J$5505,记账分录!$F$6:$F$5505,$B$3,记账分录!$H$6:$H$5505,"应收账款",记账分录!$K$6:$K$5505,$A71,记账分录!$E$6:$E$5505,"&lt;"&amp;$A$4))</f>
        <v/>
      </c>
      <c r="D71" s="40" t="str">
        <f aca="false">IF($A71="","",SUMIFS(记账分录!$I$6:$I$5505,记账分录!$F$6:$F$5505,$B$3,记账分录!$H$6:$H$5505,"应收账款",记账分录!$K$6:$K$5505,$A71,记账分录!$E$6:$E$5505,"&gt;="&amp;$A$4,记账分录!$E$6:$E$5505,"&lt;="&amp;$B$4))</f>
        <v/>
      </c>
      <c r="E71" s="40" t="str">
        <f aca="false">IF($A71="","",SUMIFS(记账分录!$J$6:$J$5505,记账分录!$F$6:$F$5505,$B$3,记账分录!$H$6:$H$5505,"应收账款",记账分录!$K$6:$K$5505,$A71,记账分录!$E$6:$E$5505,"&gt;="&amp;$A$4,记账分录!$E$6:$E$5505,"&lt;="&amp;$B$4))</f>
        <v/>
      </c>
      <c r="F71" s="42" t="str">
        <f aca="false">IF($A71="","",ROUND($C71+$D71-$E71,2))</f>
        <v/>
      </c>
      <c r="G71" s="40" t="str">
        <f aca="false">IF($A71="","",SUMIFS(期初余额!$S$6:$S$65,期初余额!$P$6:$P$65,$B$3,期初余额!$Q$6:$Q$65,$A71)+SUMIFS(记账分录!$J$6:$J$5505,记账分录!$F$6:$F$5505,$B$3,记账分录!$H$6:$H$5505,"应付账款",记账分录!$K$6:$K$5505,$A71,记账分录!$E$6:$E$5505,"&lt;"&amp;$A$4)-SUMIFS(记账分录!$I$6:$I$5505,记账分录!$F$6:$F$5505,$B$3,记账分录!$H$6:$H$5505,"应付账款",记账分录!$K$6:$K$5505,$A71,记账分录!$E$6:$E$5505,"&lt;"&amp;$A$4))</f>
        <v/>
      </c>
      <c r="H71" s="40" t="str">
        <f aca="false">IF($A71="","",SUMIFS(记账分录!$J$6:$J$5505,记账分录!$F$6:$F$5505,$B$3,记账分录!$H$6:$H$5505,"应付账款",记账分录!$K$6:$K$5505,$A71,记账分录!$E$6:$E$5505,"&gt;="&amp;$A$4,记账分录!$E$6:$E$5505,"&lt;="&amp;$B$4))</f>
        <v/>
      </c>
      <c r="I71" s="40" t="str">
        <f aca="false">IF($A71="","",SUMIFS(记账分录!$I$6:$I$5505,记账分录!$F$6:$F$5505,$B$3,记账分录!$H$6:$H$5505,"应付账款",记账分录!$K$6:$K$5505,$A71,记账分录!$E$6:$E$5505,"&gt;="&amp;$A$4,记账分录!$E$6:$E$5505,"&lt;="&amp;$B$4))</f>
        <v/>
      </c>
      <c r="J71" s="42" t="str">
        <f aca="false">IF($A71="","",ROUND($G71+$H71-$I71,2))</f>
        <v/>
      </c>
      <c r="K71" s="42" t="str">
        <f aca="false">IF($A71="","",$F71-$J71)</f>
        <v/>
      </c>
      <c r="L71" s="64" t="str">
        <f aca="false">IF($A71="","",IF(OR(ROUND($C71,2)&lt;&gt;0,ROUND($D71,2)&lt;&gt;0,ROUND($E71,2)&lt;&gt;0,ROUND($G71,2)&lt;&gt;0,ROUND($H71,2)&lt;&gt;0,ROUND($I71,2)&lt;&gt;0),"有",""))</f>
        <v/>
      </c>
    </row>
    <row r="72" customFormat="false" ht="15" hidden="true" customHeight="false" outlineLevel="0" collapsed="false">
      <c r="A72" s="10" t="str">
        <f aca="false">IF(往来单位!$A71="","",往来单位!$A71)</f>
        <v/>
      </c>
      <c r="B72" s="25" t="str">
        <f aca="false">IF($A72="","",往来单位!$B71)</f>
        <v/>
      </c>
      <c r="C72" s="40" t="str">
        <f aca="false">IF($A72="","",SUMIFS(期初余额!$R$6:$R$65,期初余额!$P$6:$P$65,$B$3,期初余额!$Q$6:$Q$65,$A72)+SUMIFS(记账分录!$I$6:$I$5505,记账分录!$F$6:$F$5505,$B$3,记账分录!$H$6:$H$5505,"应收账款",记账分录!$K$6:$K$5505,$A72,记账分录!$E$6:$E$5505,"&lt;"&amp;$A$4)-SUMIFS(记账分录!$J$6:$J$5505,记账分录!$F$6:$F$5505,$B$3,记账分录!$H$6:$H$5505,"应收账款",记账分录!$K$6:$K$5505,$A72,记账分录!$E$6:$E$5505,"&lt;"&amp;$A$4))</f>
        <v/>
      </c>
      <c r="D72" s="40" t="str">
        <f aca="false">IF($A72="","",SUMIFS(记账分录!$I$6:$I$5505,记账分录!$F$6:$F$5505,$B$3,记账分录!$H$6:$H$5505,"应收账款",记账分录!$K$6:$K$5505,$A72,记账分录!$E$6:$E$5505,"&gt;="&amp;$A$4,记账分录!$E$6:$E$5505,"&lt;="&amp;$B$4))</f>
        <v/>
      </c>
      <c r="E72" s="40" t="str">
        <f aca="false">IF($A72="","",SUMIFS(记账分录!$J$6:$J$5505,记账分录!$F$6:$F$5505,$B$3,记账分录!$H$6:$H$5505,"应收账款",记账分录!$K$6:$K$5505,$A72,记账分录!$E$6:$E$5505,"&gt;="&amp;$A$4,记账分录!$E$6:$E$5505,"&lt;="&amp;$B$4))</f>
        <v/>
      </c>
      <c r="F72" s="42" t="str">
        <f aca="false">IF($A72="","",ROUND($C72+$D72-$E72,2))</f>
        <v/>
      </c>
      <c r="G72" s="40" t="str">
        <f aca="false">IF($A72="","",SUMIFS(期初余额!$S$6:$S$65,期初余额!$P$6:$P$65,$B$3,期初余额!$Q$6:$Q$65,$A72)+SUMIFS(记账分录!$J$6:$J$5505,记账分录!$F$6:$F$5505,$B$3,记账分录!$H$6:$H$5505,"应付账款",记账分录!$K$6:$K$5505,$A72,记账分录!$E$6:$E$5505,"&lt;"&amp;$A$4)-SUMIFS(记账分录!$I$6:$I$5505,记账分录!$F$6:$F$5505,$B$3,记账分录!$H$6:$H$5505,"应付账款",记账分录!$K$6:$K$5505,$A72,记账分录!$E$6:$E$5505,"&lt;"&amp;$A$4))</f>
        <v/>
      </c>
      <c r="H72" s="40" t="str">
        <f aca="false">IF($A72="","",SUMIFS(记账分录!$J$6:$J$5505,记账分录!$F$6:$F$5505,$B$3,记账分录!$H$6:$H$5505,"应付账款",记账分录!$K$6:$K$5505,$A72,记账分录!$E$6:$E$5505,"&gt;="&amp;$A$4,记账分录!$E$6:$E$5505,"&lt;="&amp;$B$4))</f>
        <v/>
      </c>
      <c r="I72" s="40" t="str">
        <f aca="false">IF($A72="","",SUMIFS(记账分录!$I$6:$I$5505,记账分录!$F$6:$F$5505,$B$3,记账分录!$H$6:$H$5505,"应付账款",记账分录!$K$6:$K$5505,$A72,记账分录!$E$6:$E$5505,"&gt;="&amp;$A$4,记账分录!$E$6:$E$5505,"&lt;="&amp;$B$4))</f>
        <v/>
      </c>
      <c r="J72" s="42" t="str">
        <f aca="false">IF($A72="","",ROUND($G72+$H72-$I72,2))</f>
        <v/>
      </c>
      <c r="K72" s="42" t="str">
        <f aca="false">IF($A72="","",$F72-$J72)</f>
        <v/>
      </c>
      <c r="L72" s="64" t="str">
        <f aca="false">IF($A72="","",IF(OR(ROUND($C72,2)&lt;&gt;0,ROUND($D72,2)&lt;&gt;0,ROUND($E72,2)&lt;&gt;0,ROUND($G72,2)&lt;&gt;0,ROUND($H72,2)&lt;&gt;0,ROUND($I72,2)&lt;&gt;0),"有",""))</f>
        <v/>
      </c>
    </row>
    <row r="73" customFormat="false" ht="15" hidden="true" customHeight="false" outlineLevel="0" collapsed="false">
      <c r="A73" s="10" t="str">
        <f aca="false">IF(往来单位!$A72="","",往来单位!$A72)</f>
        <v/>
      </c>
      <c r="B73" s="25" t="str">
        <f aca="false">IF($A73="","",往来单位!$B72)</f>
        <v/>
      </c>
      <c r="C73" s="40" t="str">
        <f aca="false">IF($A73="","",SUMIFS(期初余额!$R$6:$R$65,期初余额!$P$6:$P$65,$B$3,期初余额!$Q$6:$Q$65,$A73)+SUMIFS(记账分录!$I$6:$I$5505,记账分录!$F$6:$F$5505,$B$3,记账分录!$H$6:$H$5505,"应收账款",记账分录!$K$6:$K$5505,$A73,记账分录!$E$6:$E$5505,"&lt;"&amp;$A$4)-SUMIFS(记账分录!$J$6:$J$5505,记账分录!$F$6:$F$5505,$B$3,记账分录!$H$6:$H$5505,"应收账款",记账分录!$K$6:$K$5505,$A73,记账分录!$E$6:$E$5505,"&lt;"&amp;$A$4))</f>
        <v/>
      </c>
      <c r="D73" s="40" t="str">
        <f aca="false">IF($A73="","",SUMIFS(记账分录!$I$6:$I$5505,记账分录!$F$6:$F$5505,$B$3,记账分录!$H$6:$H$5505,"应收账款",记账分录!$K$6:$K$5505,$A73,记账分录!$E$6:$E$5505,"&gt;="&amp;$A$4,记账分录!$E$6:$E$5505,"&lt;="&amp;$B$4))</f>
        <v/>
      </c>
      <c r="E73" s="40" t="str">
        <f aca="false">IF($A73="","",SUMIFS(记账分录!$J$6:$J$5505,记账分录!$F$6:$F$5505,$B$3,记账分录!$H$6:$H$5505,"应收账款",记账分录!$K$6:$K$5505,$A73,记账分录!$E$6:$E$5505,"&gt;="&amp;$A$4,记账分录!$E$6:$E$5505,"&lt;="&amp;$B$4))</f>
        <v/>
      </c>
      <c r="F73" s="42" t="str">
        <f aca="false">IF($A73="","",ROUND($C73+$D73-$E73,2))</f>
        <v/>
      </c>
      <c r="G73" s="40" t="str">
        <f aca="false">IF($A73="","",SUMIFS(期初余额!$S$6:$S$65,期初余额!$P$6:$P$65,$B$3,期初余额!$Q$6:$Q$65,$A73)+SUMIFS(记账分录!$J$6:$J$5505,记账分录!$F$6:$F$5505,$B$3,记账分录!$H$6:$H$5505,"应付账款",记账分录!$K$6:$K$5505,$A73,记账分录!$E$6:$E$5505,"&lt;"&amp;$A$4)-SUMIFS(记账分录!$I$6:$I$5505,记账分录!$F$6:$F$5505,$B$3,记账分录!$H$6:$H$5505,"应付账款",记账分录!$K$6:$K$5505,$A73,记账分录!$E$6:$E$5505,"&lt;"&amp;$A$4))</f>
        <v/>
      </c>
      <c r="H73" s="40" t="str">
        <f aca="false">IF($A73="","",SUMIFS(记账分录!$J$6:$J$5505,记账分录!$F$6:$F$5505,$B$3,记账分录!$H$6:$H$5505,"应付账款",记账分录!$K$6:$K$5505,$A73,记账分录!$E$6:$E$5505,"&gt;="&amp;$A$4,记账分录!$E$6:$E$5505,"&lt;="&amp;$B$4))</f>
        <v/>
      </c>
      <c r="I73" s="40" t="str">
        <f aca="false">IF($A73="","",SUMIFS(记账分录!$I$6:$I$5505,记账分录!$F$6:$F$5505,$B$3,记账分录!$H$6:$H$5505,"应付账款",记账分录!$K$6:$K$5505,$A73,记账分录!$E$6:$E$5505,"&gt;="&amp;$A$4,记账分录!$E$6:$E$5505,"&lt;="&amp;$B$4))</f>
        <v/>
      </c>
      <c r="J73" s="42" t="str">
        <f aca="false">IF($A73="","",ROUND($G73+$H73-$I73,2))</f>
        <v/>
      </c>
      <c r="K73" s="42" t="str">
        <f aca="false">IF($A73="","",$F73-$J73)</f>
        <v/>
      </c>
      <c r="L73" s="64" t="str">
        <f aca="false">IF($A73="","",IF(OR(ROUND($C73,2)&lt;&gt;0,ROUND($D73,2)&lt;&gt;0,ROUND($E73,2)&lt;&gt;0,ROUND($G73,2)&lt;&gt;0,ROUND($H73,2)&lt;&gt;0,ROUND($I73,2)&lt;&gt;0),"有",""))</f>
        <v/>
      </c>
    </row>
    <row r="74" customFormat="false" ht="15" hidden="true" customHeight="false" outlineLevel="0" collapsed="false">
      <c r="A74" s="10" t="str">
        <f aca="false">IF(往来单位!$A73="","",往来单位!$A73)</f>
        <v/>
      </c>
      <c r="B74" s="25" t="str">
        <f aca="false">IF($A74="","",往来单位!$B73)</f>
        <v/>
      </c>
      <c r="C74" s="40" t="str">
        <f aca="false">IF($A74="","",SUMIFS(期初余额!$R$6:$R$65,期初余额!$P$6:$P$65,$B$3,期初余额!$Q$6:$Q$65,$A74)+SUMIFS(记账分录!$I$6:$I$5505,记账分录!$F$6:$F$5505,$B$3,记账分录!$H$6:$H$5505,"应收账款",记账分录!$K$6:$K$5505,$A74,记账分录!$E$6:$E$5505,"&lt;"&amp;$A$4)-SUMIFS(记账分录!$J$6:$J$5505,记账分录!$F$6:$F$5505,$B$3,记账分录!$H$6:$H$5505,"应收账款",记账分录!$K$6:$K$5505,$A74,记账分录!$E$6:$E$5505,"&lt;"&amp;$A$4))</f>
        <v/>
      </c>
      <c r="D74" s="40" t="str">
        <f aca="false">IF($A74="","",SUMIFS(记账分录!$I$6:$I$5505,记账分录!$F$6:$F$5505,$B$3,记账分录!$H$6:$H$5505,"应收账款",记账分录!$K$6:$K$5505,$A74,记账分录!$E$6:$E$5505,"&gt;="&amp;$A$4,记账分录!$E$6:$E$5505,"&lt;="&amp;$B$4))</f>
        <v/>
      </c>
      <c r="E74" s="40" t="str">
        <f aca="false">IF($A74="","",SUMIFS(记账分录!$J$6:$J$5505,记账分录!$F$6:$F$5505,$B$3,记账分录!$H$6:$H$5505,"应收账款",记账分录!$K$6:$K$5505,$A74,记账分录!$E$6:$E$5505,"&gt;="&amp;$A$4,记账分录!$E$6:$E$5505,"&lt;="&amp;$B$4))</f>
        <v/>
      </c>
      <c r="F74" s="42" t="str">
        <f aca="false">IF($A74="","",ROUND($C74+$D74-$E74,2))</f>
        <v/>
      </c>
      <c r="G74" s="40" t="str">
        <f aca="false">IF($A74="","",SUMIFS(期初余额!$S$6:$S$65,期初余额!$P$6:$P$65,$B$3,期初余额!$Q$6:$Q$65,$A74)+SUMIFS(记账分录!$J$6:$J$5505,记账分录!$F$6:$F$5505,$B$3,记账分录!$H$6:$H$5505,"应付账款",记账分录!$K$6:$K$5505,$A74,记账分录!$E$6:$E$5505,"&lt;"&amp;$A$4)-SUMIFS(记账分录!$I$6:$I$5505,记账分录!$F$6:$F$5505,$B$3,记账分录!$H$6:$H$5505,"应付账款",记账分录!$K$6:$K$5505,$A74,记账分录!$E$6:$E$5505,"&lt;"&amp;$A$4))</f>
        <v/>
      </c>
      <c r="H74" s="40" t="str">
        <f aca="false">IF($A74="","",SUMIFS(记账分录!$J$6:$J$5505,记账分录!$F$6:$F$5505,$B$3,记账分录!$H$6:$H$5505,"应付账款",记账分录!$K$6:$K$5505,$A74,记账分录!$E$6:$E$5505,"&gt;="&amp;$A$4,记账分录!$E$6:$E$5505,"&lt;="&amp;$B$4))</f>
        <v/>
      </c>
      <c r="I74" s="40" t="str">
        <f aca="false">IF($A74="","",SUMIFS(记账分录!$I$6:$I$5505,记账分录!$F$6:$F$5505,$B$3,记账分录!$H$6:$H$5505,"应付账款",记账分录!$K$6:$K$5505,$A74,记账分录!$E$6:$E$5505,"&gt;="&amp;$A$4,记账分录!$E$6:$E$5505,"&lt;="&amp;$B$4))</f>
        <v/>
      </c>
      <c r="J74" s="42" t="str">
        <f aca="false">IF($A74="","",ROUND($G74+$H74-$I74,2))</f>
        <v/>
      </c>
      <c r="K74" s="42" t="str">
        <f aca="false">IF($A74="","",$F74-$J74)</f>
        <v/>
      </c>
      <c r="L74" s="64" t="str">
        <f aca="false">IF($A74="","",IF(OR(ROUND($C74,2)&lt;&gt;0,ROUND($D74,2)&lt;&gt;0,ROUND($E74,2)&lt;&gt;0,ROUND($G74,2)&lt;&gt;0,ROUND($H74,2)&lt;&gt;0,ROUND($I74,2)&lt;&gt;0),"有",""))</f>
        <v/>
      </c>
    </row>
    <row r="75" customFormat="false" ht="15" hidden="true" customHeight="false" outlineLevel="0" collapsed="false">
      <c r="A75" s="10" t="str">
        <f aca="false">IF(往来单位!$A74="","",往来单位!$A74)</f>
        <v/>
      </c>
      <c r="B75" s="25" t="str">
        <f aca="false">IF($A75="","",往来单位!$B74)</f>
        <v/>
      </c>
      <c r="C75" s="40" t="str">
        <f aca="false">IF($A75="","",SUMIFS(期初余额!$R$6:$R$65,期初余额!$P$6:$P$65,$B$3,期初余额!$Q$6:$Q$65,$A75)+SUMIFS(记账分录!$I$6:$I$5505,记账分录!$F$6:$F$5505,$B$3,记账分录!$H$6:$H$5505,"应收账款",记账分录!$K$6:$K$5505,$A75,记账分录!$E$6:$E$5505,"&lt;"&amp;$A$4)-SUMIFS(记账分录!$J$6:$J$5505,记账分录!$F$6:$F$5505,$B$3,记账分录!$H$6:$H$5505,"应收账款",记账分录!$K$6:$K$5505,$A75,记账分录!$E$6:$E$5505,"&lt;"&amp;$A$4))</f>
        <v/>
      </c>
      <c r="D75" s="40" t="str">
        <f aca="false">IF($A75="","",SUMIFS(记账分录!$I$6:$I$5505,记账分录!$F$6:$F$5505,$B$3,记账分录!$H$6:$H$5505,"应收账款",记账分录!$K$6:$K$5505,$A75,记账分录!$E$6:$E$5505,"&gt;="&amp;$A$4,记账分录!$E$6:$E$5505,"&lt;="&amp;$B$4))</f>
        <v/>
      </c>
      <c r="E75" s="40" t="str">
        <f aca="false">IF($A75="","",SUMIFS(记账分录!$J$6:$J$5505,记账分录!$F$6:$F$5505,$B$3,记账分录!$H$6:$H$5505,"应收账款",记账分录!$K$6:$K$5505,$A75,记账分录!$E$6:$E$5505,"&gt;="&amp;$A$4,记账分录!$E$6:$E$5505,"&lt;="&amp;$B$4))</f>
        <v/>
      </c>
      <c r="F75" s="42" t="str">
        <f aca="false">IF($A75="","",ROUND($C75+$D75-$E75,2))</f>
        <v/>
      </c>
      <c r="G75" s="40" t="str">
        <f aca="false">IF($A75="","",SUMIFS(期初余额!$S$6:$S$65,期初余额!$P$6:$P$65,$B$3,期初余额!$Q$6:$Q$65,$A75)+SUMIFS(记账分录!$J$6:$J$5505,记账分录!$F$6:$F$5505,$B$3,记账分录!$H$6:$H$5505,"应付账款",记账分录!$K$6:$K$5505,$A75,记账分录!$E$6:$E$5505,"&lt;"&amp;$A$4)-SUMIFS(记账分录!$I$6:$I$5505,记账分录!$F$6:$F$5505,$B$3,记账分录!$H$6:$H$5505,"应付账款",记账分录!$K$6:$K$5505,$A75,记账分录!$E$6:$E$5505,"&lt;"&amp;$A$4))</f>
        <v/>
      </c>
      <c r="H75" s="40" t="str">
        <f aca="false">IF($A75="","",SUMIFS(记账分录!$J$6:$J$5505,记账分录!$F$6:$F$5505,$B$3,记账分录!$H$6:$H$5505,"应付账款",记账分录!$K$6:$K$5505,$A75,记账分录!$E$6:$E$5505,"&gt;="&amp;$A$4,记账分录!$E$6:$E$5505,"&lt;="&amp;$B$4))</f>
        <v/>
      </c>
      <c r="I75" s="40" t="str">
        <f aca="false">IF($A75="","",SUMIFS(记账分录!$I$6:$I$5505,记账分录!$F$6:$F$5505,$B$3,记账分录!$H$6:$H$5505,"应付账款",记账分录!$K$6:$K$5505,$A75,记账分录!$E$6:$E$5505,"&gt;="&amp;$A$4,记账分录!$E$6:$E$5505,"&lt;="&amp;$B$4))</f>
        <v/>
      </c>
      <c r="J75" s="42" t="str">
        <f aca="false">IF($A75="","",ROUND($G75+$H75-$I75,2))</f>
        <v/>
      </c>
      <c r="K75" s="42" t="str">
        <f aca="false">IF($A75="","",$F75-$J75)</f>
        <v/>
      </c>
      <c r="L75" s="64" t="str">
        <f aca="false">IF($A75="","",IF(OR(ROUND($C75,2)&lt;&gt;0,ROUND($D75,2)&lt;&gt;0,ROUND($E75,2)&lt;&gt;0,ROUND($G75,2)&lt;&gt;0,ROUND($H75,2)&lt;&gt;0,ROUND($I75,2)&lt;&gt;0),"有",""))</f>
        <v/>
      </c>
    </row>
    <row r="76" customFormat="false" ht="15" hidden="true" customHeight="false" outlineLevel="0" collapsed="false">
      <c r="A76" s="10" t="str">
        <f aca="false">IF(往来单位!$A75="","",往来单位!$A75)</f>
        <v/>
      </c>
      <c r="B76" s="25" t="str">
        <f aca="false">IF($A76="","",往来单位!$B75)</f>
        <v/>
      </c>
      <c r="C76" s="40" t="str">
        <f aca="false">IF($A76="","",SUMIFS(期初余额!$R$6:$R$65,期初余额!$P$6:$P$65,$B$3,期初余额!$Q$6:$Q$65,$A76)+SUMIFS(记账分录!$I$6:$I$5505,记账分录!$F$6:$F$5505,$B$3,记账分录!$H$6:$H$5505,"应收账款",记账分录!$K$6:$K$5505,$A76,记账分录!$E$6:$E$5505,"&lt;"&amp;$A$4)-SUMIFS(记账分录!$J$6:$J$5505,记账分录!$F$6:$F$5505,$B$3,记账分录!$H$6:$H$5505,"应收账款",记账分录!$K$6:$K$5505,$A76,记账分录!$E$6:$E$5505,"&lt;"&amp;$A$4))</f>
        <v/>
      </c>
      <c r="D76" s="40" t="str">
        <f aca="false">IF($A76="","",SUMIFS(记账分录!$I$6:$I$5505,记账分录!$F$6:$F$5505,$B$3,记账分录!$H$6:$H$5505,"应收账款",记账分录!$K$6:$K$5505,$A76,记账分录!$E$6:$E$5505,"&gt;="&amp;$A$4,记账分录!$E$6:$E$5505,"&lt;="&amp;$B$4))</f>
        <v/>
      </c>
      <c r="E76" s="40" t="str">
        <f aca="false">IF($A76="","",SUMIFS(记账分录!$J$6:$J$5505,记账分录!$F$6:$F$5505,$B$3,记账分录!$H$6:$H$5505,"应收账款",记账分录!$K$6:$K$5505,$A76,记账分录!$E$6:$E$5505,"&gt;="&amp;$A$4,记账分录!$E$6:$E$5505,"&lt;="&amp;$B$4))</f>
        <v/>
      </c>
      <c r="F76" s="42" t="str">
        <f aca="false">IF($A76="","",ROUND($C76+$D76-$E76,2))</f>
        <v/>
      </c>
      <c r="G76" s="40" t="str">
        <f aca="false">IF($A76="","",SUMIFS(期初余额!$S$6:$S$65,期初余额!$P$6:$P$65,$B$3,期初余额!$Q$6:$Q$65,$A76)+SUMIFS(记账分录!$J$6:$J$5505,记账分录!$F$6:$F$5505,$B$3,记账分录!$H$6:$H$5505,"应付账款",记账分录!$K$6:$K$5505,$A76,记账分录!$E$6:$E$5505,"&lt;"&amp;$A$4)-SUMIFS(记账分录!$I$6:$I$5505,记账分录!$F$6:$F$5505,$B$3,记账分录!$H$6:$H$5505,"应付账款",记账分录!$K$6:$K$5505,$A76,记账分录!$E$6:$E$5505,"&lt;"&amp;$A$4))</f>
        <v/>
      </c>
      <c r="H76" s="40" t="str">
        <f aca="false">IF($A76="","",SUMIFS(记账分录!$J$6:$J$5505,记账分录!$F$6:$F$5505,$B$3,记账分录!$H$6:$H$5505,"应付账款",记账分录!$K$6:$K$5505,$A76,记账分录!$E$6:$E$5505,"&gt;="&amp;$A$4,记账分录!$E$6:$E$5505,"&lt;="&amp;$B$4))</f>
        <v/>
      </c>
      <c r="I76" s="40" t="str">
        <f aca="false">IF($A76="","",SUMIFS(记账分录!$I$6:$I$5505,记账分录!$F$6:$F$5505,$B$3,记账分录!$H$6:$H$5505,"应付账款",记账分录!$K$6:$K$5505,$A76,记账分录!$E$6:$E$5505,"&gt;="&amp;$A$4,记账分录!$E$6:$E$5505,"&lt;="&amp;$B$4))</f>
        <v/>
      </c>
      <c r="J76" s="42" t="str">
        <f aca="false">IF($A76="","",ROUND($G76+$H76-$I76,2))</f>
        <v/>
      </c>
      <c r="K76" s="42" t="str">
        <f aca="false">IF($A76="","",$F76-$J76)</f>
        <v/>
      </c>
      <c r="L76" s="64" t="str">
        <f aca="false">IF($A76="","",IF(OR(ROUND($C76,2)&lt;&gt;0,ROUND($D76,2)&lt;&gt;0,ROUND($E76,2)&lt;&gt;0,ROUND($G76,2)&lt;&gt;0,ROUND($H76,2)&lt;&gt;0,ROUND($I76,2)&lt;&gt;0),"有",""))</f>
        <v/>
      </c>
    </row>
    <row r="77" customFormat="false" ht="15" hidden="true" customHeight="false" outlineLevel="0" collapsed="false">
      <c r="A77" s="10" t="str">
        <f aca="false">IF(往来单位!$A76="","",往来单位!$A76)</f>
        <v/>
      </c>
      <c r="B77" s="25" t="str">
        <f aca="false">IF($A77="","",往来单位!$B76)</f>
        <v/>
      </c>
      <c r="C77" s="40" t="str">
        <f aca="false">IF($A77="","",SUMIFS(期初余额!$R$6:$R$65,期初余额!$P$6:$P$65,$B$3,期初余额!$Q$6:$Q$65,$A77)+SUMIFS(记账分录!$I$6:$I$5505,记账分录!$F$6:$F$5505,$B$3,记账分录!$H$6:$H$5505,"应收账款",记账分录!$K$6:$K$5505,$A77,记账分录!$E$6:$E$5505,"&lt;"&amp;$A$4)-SUMIFS(记账分录!$J$6:$J$5505,记账分录!$F$6:$F$5505,$B$3,记账分录!$H$6:$H$5505,"应收账款",记账分录!$K$6:$K$5505,$A77,记账分录!$E$6:$E$5505,"&lt;"&amp;$A$4))</f>
        <v/>
      </c>
      <c r="D77" s="40" t="str">
        <f aca="false">IF($A77="","",SUMIFS(记账分录!$I$6:$I$5505,记账分录!$F$6:$F$5505,$B$3,记账分录!$H$6:$H$5505,"应收账款",记账分录!$K$6:$K$5505,$A77,记账分录!$E$6:$E$5505,"&gt;="&amp;$A$4,记账分录!$E$6:$E$5505,"&lt;="&amp;$B$4))</f>
        <v/>
      </c>
      <c r="E77" s="40" t="str">
        <f aca="false">IF($A77="","",SUMIFS(记账分录!$J$6:$J$5505,记账分录!$F$6:$F$5505,$B$3,记账分录!$H$6:$H$5505,"应收账款",记账分录!$K$6:$K$5505,$A77,记账分录!$E$6:$E$5505,"&gt;="&amp;$A$4,记账分录!$E$6:$E$5505,"&lt;="&amp;$B$4))</f>
        <v/>
      </c>
      <c r="F77" s="42" t="str">
        <f aca="false">IF($A77="","",ROUND($C77+$D77-$E77,2))</f>
        <v/>
      </c>
      <c r="G77" s="40" t="str">
        <f aca="false">IF($A77="","",SUMIFS(期初余额!$S$6:$S$65,期初余额!$P$6:$P$65,$B$3,期初余额!$Q$6:$Q$65,$A77)+SUMIFS(记账分录!$J$6:$J$5505,记账分录!$F$6:$F$5505,$B$3,记账分录!$H$6:$H$5505,"应付账款",记账分录!$K$6:$K$5505,$A77,记账分录!$E$6:$E$5505,"&lt;"&amp;$A$4)-SUMIFS(记账分录!$I$6:$I$5505,记账分录!$F$6:$F$5505,$B$3,记账分录!$H$6:$H$5505,"应付账款",记账分录!$K$6:$K$5505,$A77,记账分录!$E$6:$E$5505,"&lt;"&amp;$A$4))</f>
        <v/>
      </c>
      <c r="H77" s="40" t="str">
        <f aca="false">IF($A77="","",SUMIFS(记账分录!$J$6:$J$5505,记账分录!$F$6:$F$5505,$B$3,记账分录!$H$6:$H$5505,"应付账款",记账分录!$K$6:$K$5505,$A77,记账分录!$E$6:$E$5505,"&gt;="&amp;$A$4,记账分录!$E$6:$E$5505,"&lt;="&amp;$B$4))</f>
        <v/>
      </c>
      <c r="I77" s="40" t="str">
        <f aca="false">IF($A77="","",SUMIFS(记账分录!$I$6:$I$5505,记账分录!$F$6:$F$5505,$B$3,记账分录!$H$6:$H$5505,"应付账款",记账分录!$K$6:$K$5505,$A77,记账分录!$E$6:$E$5505,"&gt;="&amp;$A$4,记账分录!$E$6:$E$5505,"&lt;="&amp;$B$4))</f>
        <v/>
      </c>
      <c r="J77" s="42" t="str">
        <f aca="false">IF($A77="","",ROUND($G77+$H77-$I77,2))</f>
        <v/>
      </c>
      <c r="K77" s="42" t="str">
        <f aca="false">IF($A77="","",$F77-$J77)</f>
        <v/>
      </c>
      <c r="L77" s="64" t="str">
        <f aca="false">IF($A77="","",IF(OR(ROUND($C77,2)&lt;&gt;0,ROUND($D77,2)&lt;&gt;0,ROUND($E77,2)&lt;&gt;0,ROUND($G77,2)&lt;&gt;0,ROUND($H77,2)&lt;&gt;0,ROUND($I77,2)&lt;&gt;0),"有",""))</f>
        <v/>
      </c>
    </row>
    <row r="78" customFormat="false" ht="15" hidden="true" customHeight="false" outlineLevel="0" collapsed="false">
      <c r="A78" s="10" t="str">
        <f aca="false">IF(往来单位!$A77="","",往来单位!$A77)</f>
        <v/>
      </c>
      <c r="B78" s="25" t="str">
        <f aca="false">IF($A78="","",往来单位!$B77)</f>
        <v/>
      </c>
      <c r="C78" s="40" t="str">
        <f aca="false">IF($A78="","",SUMIFS(期初余额!$R$6:$R$65,期初余额!$P$6:$P$65,$B$3,期初余额!$Q$6:$Q$65,$A78)+SUMIFS(记账分录!$I$6:$I$5505,记账分录!$F$6:$F$5505,$B$3,记账分录!$H$6:$H$5505,"应收账款",记账分录!$K$6:$K$5505,$A78,记账分录!$E$6:$E$5505,"&lt;"&amp;$A$4)-SUMIFS(记账分录!$J$6:$J$5505,记账分录!$F$6:$F$5505,$B$3,记账分录!$H$6:$H$5505,"应收账款",记账分录!$K$6:$K$5505,$A78,记账分录!$E$6:$E$5505,"&lt;"&amp;$A$4))</f>
        <v/>
      </c>
      <c r="D78" s="40" t="str">
        <f aca="false">IF($A78="","",SUMIFS(记账分录!$I$6:$I$5505,记账分录!$F$6:$F$5505,$B$3,记账分录!$H$6:$H$5505,"应收账款",记账分录!$K$6:$K$5505,$A78,记账分录!$E$6:$E$5505,"&gt;="&amp;$A$4,记账分录!$E$6:$E$5505,"&lt;="&amp;$B$4))</f>
        <v/>
      </c>
      <c r="E78" s="40" t="str">
        <f aca="false">IF($A78="","",SUMIFS(记账分录!$J$6:$J$5505,记账分录!$F$6:$F$5505,$B$3,记账分录!$H$6:$H$5505,"应收账款",记账分录!$K$6:$K$5505,$A78,记账分录!$E$6:$E$5505,"&gt;="&amp;$A$4,记账分录!$E$6:$E$5505,"&lt;="&amp;$B$4))</f>
        <v/>
      </c>
      <c r="F78" s="42" t="str">
        <f aca="false">IF($A78="","",ROUND($C78+$D78-$E78,2))</f>
        <v/>
      </c>
      <c r="G78" s="40" t="str">
        <f aca="false">IF($A78="","",SUMIFS(期初余额!$S$6:$S$65,期初余额!$P$6:$P$65,$B$3,期初余额!$Q$6:$Q$65,$A78)+SUMIFS(记账分录!$J$6:$J$5505,记账分录!$F$6:$F$5505,$B$3,记账分录!$H$6:$H$5505,"应付账款",记账分录!$K$6:$K$5505,$A78,记账分录!$E$6:$E$5505,"&lt;"&amp;$A$4)-SUMIFS(记账分录!$I$6:$I$5505,记账分录!$F$6:$F$5505,$B$3,记账分录!$H$6:$H$5505,"应付账款",记账分录!$K$6:$K$5505,$A78,记账分录!$E$6:$E$5505,"&lt;"&amp;$A$4))</f>
        <v/>
      </c>
      <c r="H78" s="40" t="str">
        <f aca="false">IF($A78="","",SUMIFS(记账分录!$J$6:$J$5505,记账分录!$F$6:$F$5505,$B$3,记账分录!$H$6:$H$5505,"应付账款",记账分录!$K$6:$K$5505,$A78,记账分录!$E$6:$E$5505,"&gt;="&amp;$A$4,记账分录!$E$6:$E$5505,"&lt;="&amp;$B$4))</f>
        <v/>
      </c>
      <c r="I78" s="40" t="str">
        <f aca="false">IF($A78="","",SUMIFS(记账分录!$I$6:$I$5505,记账分录!$F$6:$F$5505,$B$3,记账分录!$H$6:$H$5505,"应付账款",记账分录!$K$6:$K$5505,$A78,记账分录!$E$6:$E$5505,"&gt;="&amp;$A$4,记账分录!$E$6:$E$5505,"&lt;="&amp;$B$4))</f>
        <v/>
      </c>
      <c r="J78" s="42" t="str">
        <f aca="false">IF($A78="","",ROUND($G78+$H78-$I78,2))</f>
        <v/>
      </c>
      <c r="K78" s="42" t="str">
        <f aca="false">IF($A78="","",$F78-$J78)</f>
        <v/>
      </c>
      <c r="L78" s="64" t="str">
        <f aca="false">IF($A78="","",IF(OR(ROUND($C78,2)&lt;&gt;0,ROUND($D78,2)&lt;&gt;0,ROUND($E78,2)&lt;&gt;0,ROUND($G78,2)&lt;&gt;0,ROUND($H78,2)&lt;&gt;0,ROUND($I78,2)&lt;&gt;0),"有",""))</f>
        <v/>
      </c>
    </row>
    <row r="79" customFormat="false" ht="15" hidden="true" customHeight="false" outlineLevel="0" collapsed="false">
      <c r="A79" s="10" t="str">
        <f aca="false">IF(往来单位!$A78="","",往来单位!$A78)</f>
        <v/>
      </c>
      <c r="B79" s="25" t="str">
        <f aca="false">IF($A79="","",往来单位!$B78)</f>
        <v/>
      </c>
      <c r="C79" s="40" t="str">
        <f aca="false">IF($A79="","",SUMIFS(期初余额!$R$6:$R$65,期初余额!$P$6:$P$65,$B$3,期初余额!$Q$6:$Q$65,$A79)+SUMIFS(记账分录!$I$6:$I$5505,记账分录!$F$6:$F$5505,$B$3,记账分录!$H$6:$H$5505,"应收账款",记账分录!$K$6:$K$5505,$A79,记账分录!$E$6:$E$5505,"&lt;"&amp;$A$4)-SUMIFS(记账分录!$J$6:$J$5505,记账分录!$F$6:$F$5505,$B$3,记账分录!$H$6:$H$5505,"应收账款",记账分录!$K$6:$K$5505,$A79,记账分录!$E$6:$E$5505,"&lt;"&amp;$A$4))</f>
        <v/>
      </c>
      <c r="D79" s="40" t="str">
        <f aca="false">IF($A79="","",SUMIFS(记账分录!$I$6:$I$5505,记账分录!$F$6:$F$5505,$B$3,记账分录!$H$6:$H$5505,"应收账款",记账分录!$K$6:$K$5505,$A79,记账分录!$E$6:$E$5505,"&gt;="&amp;$A$4,记账分录!$E$6:$E$5505,"&lt;="&amp;$B$4))</f>
        <v/>
      </c>
      <c r="E79" s="40" t="str">
        <f aca="false">IF($A79="","",SUMIFS(记账分录!$J$6:$J$5505,记账分录!$F$6:$F$5505,$B$3,记账分录!$H$6:$H$5505,"应收账款",记账分录!$K$6:$K$5505,$A79,记账分录!$E$6:$E$5505,"&gt;="&amp;$A$4,记账分录!$E$6:$E$5505,"&lt;="&amp;$B$4))</f>
        <v/>
      </c>
      <c r="F79" s="42" t="str">
        <f aca="false">IF($A79="","",ROUND($C79+$D79-$E79,2))</f>
        <v/>
      </c>
      <c r="G79" s="40" t="str">
        <f aca="false">IF($A79="","",SUMIFS(期初余额!$S$6:$S$65,期初余额!$P$6:$P$65,$B$3,期初余额!$Q$6:$Q$65,$A79)+SUMIFS(记账分录!$J$6:$J$5505,记账分录!$F$6:$F$5505,$B$3,记账分录!$H$6:$H$5505,"应付账款",记账分录!$K$6:$K$5505,$A79,记账分录!$E$6:$E$5505,"&lt;"&amp;$A$4)-SUMIFS(记账分录!$I$6:$I$5505,记账分录!$F$6:$F$5505,$B$3,记账分录!$H$6:$H$5505,"应付账款",记账分录!$K$6:$K$5505,$A79,记账分录!$E$6:$E$5505,"&lt;"&amp;$A$4))</f>
        <v/>
      </c>
      <c r="H79" s="40" t="str">
        <f aca="false">IF($A79="","",SUMIFS(记账分录!$J$6:$J$5505,记账分录!$F$6:$F$5505,$B$3,记账分录!$H$6:$H$5505,"应付账款",记账分录!$K$6:$K$5505,$A79,记账分录!$E$6:$E$5505,"&gt;="&amp;$A$4,记账分录!$E$6:$E$5505,"&lt;="&amp;$B$4))</f>
        <v/>
      </c>
      <c r="I79" s="40" t="str">
        <f aca="false">IF($A79="","",SUMIFS(记账分录!$I$6:$I$5505,记账分录!$F$6:$F$5505,$B$3,记账分录!$H$6:$H$5505,"应付账款",记账分录!$K$6:$K$5505,$A79,记账分录!$E$6:$E$5505,"&gt;="&amp;$A$4,记账分录!$E$6:$E$5505,"&lt;="&amp;$B$4))</f>
        <v/>
      </c>
      <c r="J79" s="42" t="str">
        <f aca="false">IF($A79="","",ROUND($G79+$H79-$I79,2))</f>
        <v/>
      </c>
      <c r="K79" s="42" t="str">
        <f aca="false">IF($A79="","",$F79-$J79)</f>
        <v/>
      </c>
      <c r="L79" s="64" t="str">
        <f aca="false">IF($A79="","",IF(OR(ROUND($C79,2)&lt;&gt;0,ROUND($D79,2)&lt;&gt;0,ROUND($E79,2)&lt;&gt;0,ROUND($G79,2)&lt;&gt;0,ROUND($H79,2)&lt;&gt;0,ROUND($I79,2)&lt;&gt;0),"有",""))</f>
        <v/>
      </c>
    </row>
    <row r="80" customFormat="false" ht="15" hidden="true" customHeight="false" outlineLevel="0" collapsed="false">
      <c r="A80" s="10" t="str">
        <f aca="false">IF(往来单位!$A79="","",往来单位!$A79)</f>
        <v/>
      </c>
      <c r="B80" s="25" t="str">
        <f aca="false">IF($A80="","",往来单位!$B79)</f>
        <v/>
      </c>
      <c r="C80" s="40" t="str">
        <f aca="false">IF($A80="","",SUMIFS(期初余额!$R$6:$R$65,期初余额!$P$6:$P$65,$B$3,期初余额!$Q$6:$Q$65,$A80)+SUMIFS(记账分录!$I$6:$I$5505,记账分录!$F$6:$F$5505,$B$3,记账分录!$H$6:$H$5505,"应收账款",记账分录!$K$6:$K$5505,$A80,记账分录!$E$6:$E$5505,"&lt;"&amp;$A$4)-SUMIFS(记账分录!$J$6:$J$5505,记账分录!$F$6:$F$5505,$B$3,记账分录!$H$6:$H$5505,"应收账款",记账分录!$K$6:$K$5505,$A80,记账分录!$E$6:$E$5505,"&lt;"&amp;$A$4))</f>
        <v/>
      </c>
      <c r="D80" s="40" t="str">
        <f aca="false">IF($A80="","",SUMIFS(记账分录!$I$6:$I$5505,记账分录!$F$6:$F$5505,$B$3,记账分录!$H$6:$H$5505,"应收账款",记账分录!$K$6:$K$5505,$A80,记账分录!$E$6:$E$5505,"&gt;="&amp;$A$4,记账分录!$E$6:$E$5505,"&lt;="&amp;$B$4))</f>
        <v/>
      </c>
      <c r="E80" s="40" t="str">
        <f aca="false">IF($A80="","",SUMIFS(记账分录!$J$6:$J$5505,记账分录!$F$6:$F$5505,$B$3,记账分录!$H$6:$H$5505,"应收账款",记账分录!$K$6:$K$5505,$A80,记账分录!$E$6:$E$5505,"&gt;="&amp;$A$4,记账分录!$E$6:$E$5505,"&lt;="&amp;$B$4))</f>
        <v/>
      </c>
      <c r="F80" s="42" t="str">
        <f aca="false">IF($A80="","",ROUND($C80+$D80-$E80,2))</f>
        <v/>
      </c>
      <c r="G80" s="40" t="str">
        <f aca="false">IF($A80="","",SUMIFS(期初余额!$S$6:$S$65,期初余额!$P$6:$P$65,$B$3,期初余额!$Q$6:$Q$65,$A80)+SUMIFS(记账分录!$J$6:$J$5505,记账分录!$F$6:$F$5505,$B$3,记账分录!$H$6:$H$5505,"应付账款",记账分录!$K$6:$K$5505,$A80,记账分录!$E$6:$E$5505,"&lt;"&amp;$A$4)-SUMIFS(记账分录!$I$6:$I$5505,记账分录!$F$6:$F$5505,$B$3,记账分录!$H$6:$H$5505,"应付账款",记账分录!$K$6:$K$5505,$A80,记账分录!$E$6:$E$5505,"&lt;"&amp;$A$4))</f>
        <v/>
      </c>
      <c r="H80" s="40" t="str">
        <f aca="false">IF($A80="","",SUMIFS(记账分录!$J$6:$J$5505,记账分录!$F$6:$F$5505,$B$3,记账分录!$H$6:$H$5505,"应付账款",记账分录!$K$6:$K$5505,$A80,记账分录!$E$6:$E$5505,"&gt;="&amp;$A$4,记账分录!$E$6:$E$5505,"&lt;="&amp;$B$4))</f>
        <v/>
      </c>
      <c r="I80" s="40" t="str">
        <f aca="false">IF($A80="","",SUMIFS(记账分录!$I$6:$I$5505,记账分录!$F$6:$F$5505,$B$3,记账分录!$H$6:$H$5505,"应付账款",记账分录!$K$6:$K$5505,$A80,记账分录!$E$6:$E$5505,"&gt;="&amp;$A$4,记账分录!$E$6:$E$5505,"&lt;="&amp;$B$4))</f>
        <v/>
      </c>
      <c r="J80" s="42" t="str">
        <f aca="false">IF($A80="","",ROUND($G80+$H80-$I80,2))</f>
        <v/>
      </c>
      <c r="K80" s="42" t="str">
        <f aca="false">IF($A80="","",$F80-$J80)</f>
        <v/>
      </c>
      <c r="L80" s="64" t="str">
        <f aca="false">IF($A80="","",IF(OR(ROUND($C80,2)&lt;&gt;0,ROUND($D80,2)&lt;&gt;0,ROUND($E80,2)&lt;&gt;0,ROUND($G80,2)&lt;&gt;0,ROUND($H80,2)&lt;&gt;0,ROUND($I80,2)&lt;&gt;0),"有",""))</f>
        <v/>
      </c>
    </row>
    <row r="81" customFormat="false" ht="15" hidden="true" customHeight="false" outlineLevel="0" collapsed="false">
      <c r="A81" s="10" t="str">
        <f aca="false">IF(往来单位!$A80="","",往来单位!$A80)</f>
        <v/>
      </c>
      <c r="B81" s="25" t="str">
        <f aca="false">IF($A81="","",往来单位!$B80)</f>
        <v/>
      </c>
      <c r="C81" s="40" t="str">
        <f aca="false">IF($A81="","",SUMIFS(期初余额!$R$6:$R$65,期初余额!$P$6:$P$65,$B$3,期初余额!$Q$6:$Q$65,$A81)+SUMIFS(记账分录!$I$6:$I$5505,记账分录!$F$6:$F$5505,$B$3,记账分录!$H$6:$H$5505,"应收账款",记账分录!$K$6:$K$5505,$A81,记账分录!$E$6:$E$5505,"&lt;"&amp;$A$4)-SUMIFS(记账分录!$J$6:$J$5505,记账分录!$F$6:$F$5505,$B$3,记账分录!$H$6:$H$5505,"应收账款",记账分录!$K$6:$K$5505,$A81,记账分录!$E$6:$E$5505,"&lt;"&amp;$A$4))</f>
        <v/>
      </c>
      <c r="D81" s="40" t="str">
        <f aca="false">IF($A81="","",SUMIFS(记账分录!$I$6:$I$5505,记账分录!$F$6:$F$5505,$B$3,记账分录!$H$6:$H$5505,"应收账款",记账分录!$K$6:$K$5505,$A81,记账分录!$E$6:$E$5505,"&gt;="&amp;$A$4,记账分录!$E$6:$E$5505,"&lt;="&amp;$B$4))</f>
        <v/>
      </c>
      <c r="E81" s="40" t="str">
        <f aca="false">IF($A81="","",SUMIFS(记账分录!$J$6:$J$5505,记账分录!$F$6:$F$5505,$B$3,记账分录!$H$6:$H$5505,"应收账款",记账分录!$K$6:$K$5505,$A81,记账分录!$E$6:$E$5505,"&gt;="&amp;$A$4,记账分录!$E$6:$E$5505,"&lt;="&amp;$B$4))</f>
        <v/>
      </c>
      <c r="F81" s="42" t="str">
        <f aca="false">IF($A81="","",ROUND($C81+$D81-$E81,2))</f>
        <v/>
      </c>
      <c r="G81" s="40" t="str">
        <f aca="false">IF($A81="","",SUMIFS(期初余额!$S$6:$S$65,期初余额!$P$6:$P$65,$B$3,期初余额!$Q$6:$Q$65,$A81)+SUMIFS(记账分录!$J$6:$J$5505,记账分录!$F$6:$F$5505,$B$3,记账分录!$H$6:$H$5505,"应付账款",记账分录!$K$6:$K$5505,$A81,记账分录!$E$6:$E$5505,"&lt;"&amp;$A$4)-SUMIFS(记账分录!$I$6:$I$5505,记账分录!$F$6:$F$5505,$B$3,记账分录!$H$6:$H$5505,"应付账款",记账分录!$K$6:$K$5505,$A81,记账分录!$E$6:$E$5505,"&lt;"&amp;$A$4))</f>
        <v/>
      </c>
      <c r="H81" s="40" t="str">
        <f aca="false">IF($A81="","",SUMIFS(记账分录!$J$6:$J$5505,记账分录!$F$6:$F$5505,$B$3,记账分录!$H$6:$H$5505,"应付账款",记账分录!$K$6:$K$5505,$A81,记账分录!$E$6:$E$5505,"&gt;="&amp;$A$4,记账分录!$E$6:$E$5505,"&lt;="&amp;$B$4))</f>
        <v/>
      </c>
      <c r="I81" s="40" t="str">
        <f aca="false">IF($A81="","",SUMIFS(记账分录!$I$6:$I$5505,记账分录!$F$6:$F$5505,$B$3,记账分录!$H$6:$H$5505,"应付账款",记账分录!$K$6:$K$5505,$A81,记账分录!$E$6:$E$5505,"&gt;="&amp;$A$4,记账分录!$E$6:$E$5505,"&lt;="&amp;$B$4))</f>
        <v/>
      </c>
      <c r="J81" s="42" t="str">
        <f aca="false">IF($A81="","",ROUND($G81+$H81-$I81,2))</f>
        <v/>
      </c>
      <c r="K81" s="42" t="str">
        <f aca="false">IF($A81="","",$F81-$J81)</f>
        <v/>
      </c>
      <c r="L81" s="64" t="str">
        <f aca="false">IF($A81="","",IF(OR(ROUND($C81,2)&lt;&gt;0,ROUND($D81,2)&lt;&gt;0,ROUND($E81,2)&lt;&gt;0,ROUND($G81,2)&lt;&gt;0,ROUND($H81,2)&lt;&gt;0,ROUND($I81,2)&lt;&gt;0),"有",""))</f>
        <v/>
      </c>
    </row>
    <row r="82" customFormat="false" ht="15" hidden="true" customHeight="false" outlineLevel="0" collapsed="false">
      <c r="A82" s="10" t="str">
        <f aca="false">IF(往来单位!$A81="","",往来单位!$A81)</f>
        <v/>
      </c>
      <c r="B82" s="25" t="str">
        <f aca="false">IF($A82="","",往来单位!$B81)</f>
        <v/>
      </c>
      <c r="C82" s="40" t="str">
        <f aca="false">IF($A82="","",SUMIFS(期初余额!$R$6:$R$65,期初余额!$P$6:$P$65,$B$3,期初余额!$Q$6:$Q$65,$A82)+SUMIFS(记账分录!$I$6:$I$5505,记账分录!$F$6:$F$5505,$B$3,记账分录!$H$6:$H$5505,"应收账款",记账分录!$K$6:$K$5505,$A82,记账分录!$E$6:$E$5505,"&lt;"&amp;$A$4)-SUMIFS(记账分录!$J$6:$J$5505,记账分录!$F$6:$F$5505,$B$3,记账分录!$H$6:$H$5505,"应收账款",记账分录!$K$6:$K$5505,$A82,记账分录!$E$6:$E$5505,"&lt;"&amp;$A$4))</f>
        <v/>
      </c>
      <c r="D82" s="40" t="str">
        <f aca="false">IF($A82="","",SUMIFS(记账分录!$I$6:$I$5505,记账分录!$F$6:$F$5505,$B$3,记账分录!$H$6:$H$5505,"应收账款",记账分录!$K$6:$K$5505,$A82,记账分录!$E$6:$E$5505,"&gt;="&amp;$A$4,记账分录!$E$6:$E$5505,"&lt;="&amp;$B$4))</f>
        <v/>
      </c>
      <c r="E82" s="40" t="str">
        <f aca="false">IF($A82="","",SUMIFS(记账分录!$J$6:$J$5505,记账分录!$F$6:$F$5505,$B$3,记账分录!$H$6:$H$5505,"应收账款",记账分录!$K$6:$K$5505,$A82,记账分录!$E$6:$E$5505,"&gt;="&amp;$A$4,记账分录!$E$6:$E$5505,"&lt;="&amp;$B$4))</f>
        <v/>
      </c>
      <c r="F82" s="42" t="str">
        <f aca="false">IF($A82="","",ROUND($C82+$D82-$E82,2))</f>
        <v/>
      </c>
      <c r="G82" s="40" t="str">
        <f aca="false">IF($A82="","",SUMIFS(期初余额!$S$6:$S$65,期初余额!$P$6:$P$65,$B$3,期初余额!$Q$6:$Q$65,$A82)+SUMIFS(记账分录!$J$6:$J$5505,记账分录!$F$6:$F$5505,$B$3,记账分录!$H$6:$H$5505,"应付账款",记账分录!$K$6:$K$5505,$A82,记账分录!$E$6:$E$5505,"&lt;"&amp;$A$4)-SUMIFS(记账分录!$I$6:$I$5505,记账分录!$F$6:$F$5505,$B$3,记账分录!$H$6:$H$5505,"应付账款",记账分录!$K$6:$K$5505,$A82,记账分录!$E$6:$E$5505,"&lt;"&amp;$A$4))</f>
        <v/>
      </c>
      <c r="H82" s="40" t="str">
        <f aca="false">IF($A82="","",SUMIFS(记账分录!$J$6:$J$5505,记账分录!$F$6:$F$5505,$B$3,记账分录!$H$6:$H$5505,"应付账款",记账分录!$K$6:$K$5505,$A82,记账分录!$E$6:$E$5505,"&gt;="&amp;$A$4,记账分录!$E$6:$E$5505,"&lt;="&amp;$B$4))</f>
        <v/>
      </c>
      <c r="I82" s="40" t="str">
        <f aca="false">IF($A82="","",SUMIFS(记账分录!$I$6:$I$5505,记账分录!$F$6:$F$5505,$B$3,记账分录!$H$6:$H$5505,"应付账款",记账分录!$K$6:$K$5505,$A82,记账分录!$E$6:$E$5505,"&gt;="&amp;$A$4,记账分录!$E$6:$E$5505,"&lt;="&amp;$B$4))</f>
        <v/>
      </c>
      <c r="J82" s="42" t="str">
        <f aca="false">IF($A82="","",ROUND($G82+$H82-$I82,2))</f>
        <v/>
      </c>
      <c r="K82" s="42" t="str">
        <f aca="false">IF($A82="","",$F82-$J82)</f>
        <v/>
      </c>
      <c r="L82" s="64" t="str">
        <f aca="false">IF($A82="","",IF(OR(ROUND($C82,2)&lt;&gt;0,ROUND($D82,2)&lt;&gt;0,ROUND($E82,2)&lt;&gt;0,ROUND($G82,2)&lt;&gt;0,ROUND($H82,2)&lt;&gt;0,ROUND($I82,2)&lt;&gt;0),"有",""))</f>
        <v/>
      </c>
    </row>
    <row r="83" customFormat="false" ht="15" hidden="true" customHeight="false" outlineLevel="0" collapsed="false">
      <c r="A83" s="10" t="str">
        <f aca="false">IF(往来单位!$A82="","",往来单位!$A82)</f>
        <v/>
      </c>
      <c r="B83" s="25" t="str">
        <f aca="false">IF($A83="","",往来单位!$B82)</f>
        <v/>
      </c>
      <c r="C83" s="40" t="str">
        <f aca="false">IF($A83="","",SUMIFS(期初余额!$R$6:$R$65,期初余额!$P$6:$P$65,$B$3,期初余额!$Q$6:$Q$65,$A83)+SUMIFS(记账分录!$I$6:$I$5505,记账分录!$F$6:$F$5505,$B$3,记账分录!$H$6:$H$5505,"应收账款",记账分录!$K$6:$K$5505,$A83,记账分录!$E$6:$E$5505,"&lt;"&amp;$A$4)-SUMIFS(记账分录!$J$6:$J$5505,记账分录!$F$6:$F$5505,$B$3,记账分录!$H$6:$H$5505,"应收账款",记账分录!$K$6:$K$5505,$A83,记账分录!$E$6:$E$5505,"&lt;"&amp;$A$4))</f>
        <v/>
      </c>
      <c r="D83" s="40" t="str">
        <f aca="false">IF($A83="","",SUMIFS(记账分录!$I$6:$I$5505,记账分录!$F$6:$F$5505,$B$3,记账分录!$H$6:$H$5505,"应收账款",记账分录!$K$6:$K$5505,$A83,记账分录!$E$6:$E$5505,"&gt;="&amp;$A$4,记账分录!$E$6:$E$5505,"&lt;="&amp;$B$4))</f>
        <v/>
      </c>
      <c r="E83" s="40" t="str">
        <f aca="false">IF($A83="","",SUMIFS(记账分录!$J$6:$J$5505,记账分录!$F$6:$F$5505,$B$3,记账分录!$H$6:$H$5505,"应收账款",记账分录!$K$6:$K$5505,$A83,记账分录!$E$6:$E$5505,"&gt;="&amp;$A$4,记账分录!$E$6:$E$5505,"&lt;="&amp;$B$4))</f>
        <v/>
      </c>
      <c r="F83" s="42" t="str">
        <f aca="false">IF($A83="","",ROUND($C83+$D83-$E83,2))</f>
        <v/>
      </c>
      <c r="G83" s="40" t="str">
        <f aca="false">IF($A83="","",SUMIFS(期初余额!$S$6:$S$65,期初余额!$P$6:$P$65,$B$3,期初余额!$Q$6:$Q$65,$A83)+SUMIFS(记账分录!$J$6:$J$5505,记账分录!$F$6:$F$5505,$B$3,记账分录!$H$6:$H$5505,"应付账款",记账分录!$K$6:$K$5505,$A83,记账分录!$E$6:$E$5505,"&lt;"&amp;$A$4)-SUMIFS(记账分录!$I$6:$I$5505,记账分录!$F$6:$F$5505,$B$3,记账分录!$H$6:$H$5505,"应付账款",记账分录!$K$6:$K$5505,$A83,记账分录!$E$6:$E$5505,"&lt;"&amp;$A$4))</f>
        <v/>
      </c>
      <c r="H83" s="40" t="str">
        <f aca="false">IF($A83="","",SUMIFS(记账分录!$J$6:$J$5505,记账分录!$F$6:$F$5505,$B$3,记账分录!$H$6:$H$5505,"应付账款",记账分录!$K$6:$K$5505,$A83,记账分录!$E$6:$E$5505,"&gt;="&amp;$A$4,记账分录!$E$6:$E$5505,"&lt;="&amp;$B$4))</f>
        <v/>
      </c>
      <c r="I83" s="40" t="str">
        <f aca="false">IF($A83="","",SUMIFS(记账分录!$I$6:$I$5505,记账分录!$F$6:$F$5505,$B$3,记账分录!$H$6:$H$5505,"应付账款",记账分录!$K$6:$K$5505,$A83,记账分录!$E$6:$E$5505,"&gt;="&amp;$A$4,记账分录!$E$6:$E$5505,"&lt;="&amp;$B$4))</f>
        <v/>
      </c>
      <c r="J83" s="42" t="str">
        <f aca="false">IF($A83="","",ROUND($G83+$H83-$I83,2))</f>
        <v/>
      </c>
      <c r="K83" s="42" t="str">
        <f aca="false">IF($A83="","",$F83-$J83)</f>
        <v/>
      </c>
      <c r="L83" s="64" t="str">
        <f aca="false">IF($A83="","",IF(OR(ROUND($C83,2)&lt;&gt;0,ROUND($D83,2)&lt;&gt;0,ROUND($E83,2)&lt;&gt;0,ROUND($G83,2)&lt;&gt;0,ROUND($H83,2)&lt;&gt;0,ROUND($I83,2)&lt;&gt;0),"有",""))</f>
        <v/>
      </c>
    </row>
    <row r="84" customFormat="false" ht="15" hidden="true" customHeight="false" outlineLevel="0" collapsed="false">
      <c r="A84" s="10" t="str">
        <f aca="false">IF(往来单位!$A83="","",往来单位!$A83)</f>
        <v/>
      </c>
      <c r="B84" s="25" t="str">
        <f aca="false">IF($A84="","",往来单位!$B83)</f>
        <v/>
      </c>
      <c r="C84" s="40" t="str">
        <f aca="false">IF($A84="","",SUMIFS(期初余额!$R$6:$R$65,期初余额!$P$6:$P$65,$B$3,期初余额!$Q$6:$Q$65,$A84)+SUMIFS(记账分录!$I$6:$I$5505,记账分录!$F$6:$F$5505,$B$3,记账分录!$H$6:$H$5505,"应收账款",记账分录!$K$6:$K$5505,$A84,记账分录!$E$6:$E$5505,"&lt;"&amp;$A$4)-SUMIFS(记账分录!$J$6:$J$5505,记账分录!$F$6:$F$5505,$B$3,记账分录!$H$6:$H$5505,"应收账款",记账分录!$K$6:$K$5505,$A84,记账分录!$E$6:$E$5505,"&lt;"&amp;$A$4))</f>
        <v/>
      </c>
      <c r="D84" s="40" t="str">
        <f aca="false">IF($A84="","",SUMIFS(记账分录!$I$6:$I$5505,记账分录!$F$6:$F$5505,$B$3,记账分录!$H$6:$H$5505,"应收账款",记账分录!$K$6:$K$5505,$A84,记账分录!$E$6:$E$5505,"&gt;="&amp;$A$4,记账分录!$E$6:$E$5505,"&lt;="&amp;$B$4))</f>
        <v/>
      </c>
      <c r="E84" s="40" t="str">
        <f aca="false">IF($A84="","",SUMIFS(记账分录!$J$6:$J$5505,记账分录!$F$6:$F$5505,$B$3,记账分录!$H$6:$H$5505,"应收账款",记账分录!$K$6:$K$5505,$A84,记账分录!$E$6:$E$5505,"&gt;="&amp;$A$4,记账分录!$E$6:$E$5505,"&lt;="&amp;$B$4))</f>
        <v/>
      </c>
      <c r="F84" s="42" t="str">
        <f aca="false">IF($A84="","",ROUND($C84+$D84-$E84,2))</f>
        <v/>
      </c>
      <c r="G84" s="40" t="str">
        <f aca="false">IF($A84="","",SUMIFS(期初余额!$S$6:$S$65,期初余额!$P$6:$P$65,$B$3,期初余额!$Q$6:$Q$65,$A84)+SUMIFS(记账分录!$J$6:$J$5505,记账分录!$F$6:$F$5505,$B$3,记账分录!$H$6:$H$5505,"应付账款",记账分录!$K$6:$K$5505,$A84,记账分录!$E$6:$E$5505,"&lt;"&amp;$A$4)-SUMIFS(记账分录!$I$6:$I$5505,记账分录!$F$6:$F$5505,$B$3,记账分录!$H$6:$H$5505,"应付账款",记账分录!$K$6:$K$5505,$A84,记账分录!$E$6:$E$5505,"&lt;"&amp;$A$4))</f>
        <v/>
      </c>
      <c r="H84" s="40" t="str">
        <f aca="false">IF($A84="","",SUMIFS(记账分录!$J$6:$J$5505,记账分录!$F$6:$F$5505,$B$3,记账分录!$H$6:$H$5505,"应付账款",记账分录!$K$6:$K$5505,$A84,记账分录!$E$6:$E$5505,"&gt;="&amp;$A$4,记账分录!$E$6:$E$5505,"&lt;="&amp;$B$4))</f>
        <v/>
      </c>
      <c r="I84" s="40" t="str">
        <f aca="false">IF($A84="","",SUMIFS(记账分录!$I$6:$I$5505,记账分录!$F$6:$F$5505,$B$3,记账分录!$H$6:$H$5505,"应付账款",记账分录!$K$6:$K$5505,$A84,记账分录!$E$6:$E$5505,"&gt;="&amp;$A$4,记账分录!$E$6:$E$5505,"&lt;="&amp;$B$4))</f>
        <v/>
      </c>
      <c r="J84" s="42" t="str">
        <f aca="false">IF($A84="","",ROUND($G84+$H84-$I84,2))</f>
        <v/>
      </c>
      <c r="K84" s="42" t="str">
        <f aca="false">IF($A84="","",$F84-$J84)</f>
        <v/>
      </c>
      <c r="L84" s="64" t="str">
        <f aca="false">IF($A84="","",IF(OR(ROUND($C84,2)&lt;&gt;0,ROUND($D84,2)&lt;&gt;0,ROUND($E84,2)&lt;&gt;0,ROUND($G84,2)&lt;&gt;0,ROUND($H84,2)&lt;&gt;0,ROUND($I84,2)&lt;&gt;0),"有",""))</f>
        <v/>
      </c>
    </row>
    <row r="85" customFormat="false" ht="15" hidden="true" customHeight="false" outlineLevel="0" collapsed="false">
      <c r="A85" s="10" t="str">
        <f aca="false">IF(往来单位!$A84="","",往来单位!$A84)</f>
        <v/>
      </c>
      <c r="B85" s="25" t="str">
        <f aca="false">IF($A85="","",往来单位!$B84)</f>
        <v/>
      </c>
      <c r="C85" s="40" t="str">
        <f aca="false">IF($A85="","",SUMIFS(期初余额!$R$6:$R$65,期初余额!$P$6:$P$65,$B$3,期初余额!$Q$6:$Q$65,$A85)+SUMIFS(记账分录!$I$6:$I$5505,记账分录!$F$6:$F$5505,$B$3,记账分录!$H$6:$H$5505,"应收账款",记账分录!$K$6:$K$5505,$A85,记账分录!$E$6:$E$5505,"&lt;"&amp;$A$4)-SUMIFS(记账分录!$J$6:$J$5505,记账分录!$F$6:$F$5505,$B$3,记账分录!$H$6:$H$5505,"应收账款",记账分录!$K$6:$K$5505,$A85,记账分录!$E$6:$E$5505,"&lt;"&amp;$A$4))</f>
        <v/>
      </c>
      <c r="D85" s="40" t="str">
        <f aca="false">IF($A85="","",SUMIFS(记账分录!$I$6:$I$5505,记账分录!$F$6:$F$5505,$B$3,记账分录!$H$6:$H$5505,"应收账款",记账分录!$K$6:$K$5505,$A85,记账分录!$E$6:$E$5505,"&gt;="&amp;$A$4,记账分录!$E$6:$E$5505,"&lt;="&amp;$B$4))</f>
        <v/>
      </c>
      <c r="E85" s="40" t="str">
        <f aca="false">IF($A85="","",SUMIFS(记账分录!$J$6:$J$5505,记账分录!$F$6:$F$5505,$B$3,记账分录!$H$6:$H$5505,"应收账款",记账分录!$K$6:$K$5505,$A85,记账分录!$E$6:$E$5505,"&gt;="&amp;$A$4,记账分录!$E$6:$E$5505,"&lt;="&amp;$B$4))</f>
        <v/>
      </c>
      <c r="F85" s="42" t="str">
        <f aca="false">IF($A85="","",ROUND($C85+$D85-$E85,2))</f>
        <v/>
      </c>
      <c r="G85" s="40" t="str">
        <f aca="false">IF($A85="","",SUMIFS(期初余额!$S$6:$S$65,期初余额!$P$6:$P$65,$B$3,期初余额!$Q$6:$Q$65,$A85)+SUMIFS(记账分录!$J$6:$J$5505,记账分录!$F$6:$F$5505,$B$3,记账分录!$H$6:$H$5505,"应付账款",记账分录!$K$6:$K$5505,$A85,记账分录!$E$6:$E$5505,"&lt;"&amp;$A$4)-SUMIFS(记账分录!$I$6:$I$5505,记账分录!$F$6:$F$5505,$B$3,记账分录!$H$6:$H$5505,"应付账款",记账分录!$K$6:$K$5505,$A85,记账分录!$E$6:$E$5505,"&lt;"&amp;$A$4))</f>
        <v/>
      </c>
      <c r="H85" s="40" t="str">
        <f aca="false">IF($A85="","",SUMIFS(记账分录!$J$6:$J$5505,记账分录!$F$6:$F$5505,$B$3,记账分录!$H$6:$H$5505,"应付账款",记账分录!$K$6:$K$5505,$A85,记账分录!$E$6:$E$5505,"&gt;="&amp;$A$4,记账分录!$E$6:$E$5505,"&lt;="&amp;$B$4))</f>
        <v/>
      </c>
      <c r="I85" s="40" t="str">
        <f aca="false">IF($A85="","",SUMIFS(记账分录!$I$6:$I$5505,记账分录!$F$6:$F$5505,$B$3,记账分录!$H$6:$H$5505,"应付账款",记账分录!$K$6:$K$5505,$A85,记账分录!$E$6:$E$5505,"&gt;="&amp;$A$4,记账分录!$E$6:$E$5505,"&lt;="&amp;$B$4))</f>
        <v/>
      </c>
      <c r="J85" s="42" t="str">
        <f aca="false">IF($A85="","",ROUND($G85+$H85-$I85,2))</f>
        <v/>
      </c>
      <c r="K85" s="42" t="str">
        <f aca="false">IF($A85="","",$F85-$J85)</f>
        <v/>
      </c>
      <c r="L85" s="64" t="str">
        <f aca="false">IF($A85="","",IF(OR(ROUND($C85,2)&lt;&gt;0,ROUND($D85,2)&lt;&gt;0,ROUND($E85,2)&lt;&gt;0,ROUND($G85,2)&lt;&gt;0,ROUND($H85,2)&lt;&gt;0,ROUND($I85,2)&lt;&gt;0),"有",""))</f>
        <v/>
      </c>
    </row>
    <row r="86" customFormat="false" ht="15" hidden="true" customHeight="false" outlineLevel="0" collapsed="false">
      <c r="A86" s="10" t="str">
        <f aca="false">IF(往来单位!$A85="","",往来单位!$A85)</f>
        <v/>
      </c>
      <c r="B86" s="25" t="str">
        <f aca="false">IF($A86="","",往来单位!$B85)</f>
        <v/>
      </c>
      <c r="C86" s="40" t="str">
        <f aca="false">IF($A86="","",SUMIFS(期初余额!$R$6:$R$65,期初余额!$P$6:$P$65,$B$3,期初余额!$Q$6:$Q$65,$A86)+SUMIFS(记账分录!$I$6:$I$5505,记账分录!$F$6:$F$5505,$B$3,记账分录!$H$6:$H$5505,"应收账款",记账分录!$K$6:$K$5505,$A86,记账分录!$E$6:$E$5505,"&lt;"&amp;$A$4)-SUMIFS(记账分录!$J$6:$J$5505,记账分录!$F$6:$F$5505,$B$3,记账分录!$H$6:$H$5505,"应收账款",记账分录!$K$6:$K$5505,$A86,记账分录!$E$6:$E$5505,"&lt;"&amp;$A$4))</f>
        <v/>
      </c>
      <c r="D86" s="40" t="str">
        <f aca="false">IF($A86="","",SUMIFS(记账分录!$I$6:$I$5505,记账分录!$F$6:$F$5505,$B$3,记账分录!$H$6:$H$5505,"应收账款",记账分录!$K$6:$K$5505,$A86,记账分录!$E$6:$E$5505,"&gt;="&amp;$A$4,记账分录!$E$6:$E$5505,"&lt;="&amp;$B$4))</f>
        <v/>
      </c>
      <c r="E86" s="40" t="str">
        <f aca="false">IF($A86="","",SUMIFS(记账分录!$J$6:$J$5505,记账分录!$F$6:$F$5505,$B$3,记账分录!$H$6:$H$5505,"应收账款",记账分录!$K$6:$K$5505,$A86,记账分录!$E$6:$E$5505,"&gt;="&amp;$A$4,记账分录!$E$6:$E$5505,"&lt;="&amp;$B$4))</f>
        <v/>
      </c>
      <c r="F86" s="42" t="str">
        <f aca="false">IF($A86="","",ROUND($C86+$D86-$E86,2))</f>
        <v/>
      </c>
      <c r="G86" s="40" t="str">
        <f aca="false">IF($A86="","",SUMIFS(期初余额!$S$6:$S$65,期初余额!$P$6:$P$65,$B$3,期初余额!$Q$6:$Q$65,$A86)+SUMIFS(记账分录!$J$6:$J$5505,记账分录!$F$6:$F$5505,$B$3,记账分录!$H$6:$H$5505,"应付账款",记账分录!$K$6:$K$5505,$A86,记账分录!$E$6:$E$5505,"&lt;"&amp;$A$4)-SUMIFS(记账分录!$I$6:$I$5505,记账分录!$F$6:$F$5505,$B$3,记账分录!$H$6:$H$5505,"应付账款",记账分录!$K$6:$K$5505,$A86,记账分录!$E$6:$E$5505,"&lt;"&amp;$A$4))</f>
        <v/>
      </c>
      <c r="H86" s="40" t="str">
        <f aca="false">IF($A86="","",SUMIFS(记账分录!$J$6:$J$5505,记账分录!$F$6:$F$5505,$B$3,记账分录!$H$6:$H$5505,"应付账款",记账分录!$K$6:$K$5505,$A86,记账分录!$E$6:$E$5505,"&gt;="&amp;$A$4,记账分录!$E$6:$E$5505,"&lt;="&amp;$B$4))</f>
        <v/>
      </c>
      <c r="I86" s="40" t="str">
        <f aca="false">IF($A86="","",SUMIFS(记账分录!$I$6:$I$5505,记账分录!$F$6:$F$5505,$B$3,记账分录!$H$6:$H$5505,"应付账款",记账分录!$K$6:$K$5505,$A86,记账分录!$E$6:$E$5505,"&gt;="&amp;$A$4,记账分录!$E$6:$E$5505,"&lt;="&amp;$B$4))</f>
        <v/>
      </c>
      <c r="J86" s="42" t="str">
        <f aca="false">IF($A86="","",ROUND($G86+$H86-$I86,2))</f>
        <v/>
      </c>
      <c r="K86" s="42" t="str">
        <f aca="false">IF($A86="","",$F86-$J86)</f>
        <v/>
      </c>
      <c r="L86" s="64" t="str">
        <f aca="false">IF($A86="","",IF(OR(ROUND($C86,2)&lt;&gt;0,ROUND($D86,2)&lt;&gt;0,ROUND($E86,2)&lt;&gt;0,ROUND($G86,2)&lt;&gt;0,ROUND($H86,2)&lt;&gt;0,ROUND($I86,2)&lt;&gt;0),"有",""))</f>
        <v/>
      </c>
    </row>
  </sheetData>
  <autoFilter ref="A5:L86">
    <filterColumn colId="11">
      <filters>
        <filter val="有"/>
      </filters>
    </filterColumn>
  </autoFilter>
  <mergeCells count="3">
    <mergeCell ref="A1:L1"/>
    <mergeCell ref="A2:L2"/>
    <mergeCell ref="J3:L3"/>
  </mergeCells>
  <dataValidations count="1">
    <dataValidation allowBlank="true" error="必须选择下拉中已维护的值，手工输入会导致取数错位" errorStyle="stop" errorTitle="请从下拉中选择" operator="between" showDropDown="false" showErrorMessage="true" showInputMessage="false" sqref="B3" type="list">
      <formula1>"农业,木业,科技"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1" t="s">
        <v>877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878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0" hidden="false" customHeight="true" outlineLevel="0" collapsed="false">
      <c r="A5" s="8" t="s">
        <v>544</v>
      </c>
      <c r="B5" s="8" t="s">
        <v>879</v>
      </c>
      <c r="C5" s="8" t="s">
        <v>159</v>
      </c>
      <c r="D5" s="8" t="s">
        <v>161</v>
      </c>
      <c r="E5" s="8" t="s">
        <v>162</v>
      </c>
      <c r="F5" s="8" t="s">
        <v>163</v>
      </c>
      <c r="G5" s="8" t="s">
        <v>165</v>
      </c>
      <c r="H5" s="8" t="s">
        <v>880</v>
      </c>
      <c r="I5" s="8" t="s">
        <v>881</v>
      </c>
      <c r="J5" s="8" t="s">
        <v>882</v>
      </c>
      <c r="K5" s="8" t="s">
        <v>100</v>
      </c>
    </row>
    <row r="6" customFormat="false" ht="15" hidden="false" customHeight="false" outlineLevel="0" collapsed="false">
      <c r="A6" s="25" t="str">
        <f aca="false">参数设置!$A$10</f>
        <v>农业</v>
      </c>
      <c r="B6" s="25" t="str">
        <f aca="false">TEXT(DATE(参数设置!$B$5,1,1),"yyyy-mm")</f>
        <v>2026-01</v>
      </c>
      <c r="C6" s="40" t="n">
        <f aca="false">SUMIFS(资金流水!$P$6:$P$605,资金流水!$C$6:$C$605,参数设置!$A$10,资金流水!$E$6:$E$605,"缴纳税费",资金流水!$H$6:$H$605,"增值税",资金流水!$B$6:$B$605,"&gt;="&amp;DATE(参数设置!$B$5,1,1),资金流水!$B$6:$B$605,"&lt;="&amp;DATE(参数设置!$B$5,2,0))</f>
        <v>0</v>
      </c>
      <c r="D6" s="40" t="n">
        <f aca="false">SUMIFS(资金流水!$P$6:$P$605,资金流水!$C$6:$C$605,参数设置!$A$10,资金流水!$E$6:$E$605,"缴纳税费",资金流水!$H$6:$H$605,"城建税及附加",资金流水!$B$6:$B$605,"&gt;="&amp;DATE(参数设置!$B$5,1,1),资金流水!$B$6:$B$605,"&lt;="&amp;DATE(参数设置!$B$5,2,0))</f>
        <v>0</v>
      </c>
      <c r="E6" s="40" t="n">
        <f aca="false">SUMIFS(资金流水!$P$6:$P$605,资金流水!$C$6:$C$605,参数设置!$A$10,资金流水!$E$6:$E$605,"缴纳税费",资金流水!$H$6:$H$605,"印花税",资金流水!$B$6:$B$605,"&gt;="&amp;DATE(参数设置!$B$5,1,1),资金流水!$B$6:$B$605,"&lt;="&amp;DATE(参数设置!$B$5,2,0))</f>
        <v>0</v>
      </c>
      <c r="F6" s="40" t="n">
        <f aca="false">SUMIFS(资金流水!$P$6:$P$605,资金流水!$C$6:$C$605,参数设置!$A$10,资金流水!$E$6:$E$605,"缴纳税费",资金流水!$H$6:$H$605,"企业所得税",资金流水!$B$6:$B$605,"&gt;="&amp;DATE(参数设置!$B$5,1,1),资金流水!$B$6:$B$605,"&lt;="&amp;DATE(参数设置!$B$5,2,0))</f>
        <v>0</v>
      </c>
      <c r="G6" s="40" t="n">
        <f aca="false">SUMIFS(资金流水!$P$6:$P$605,资金流水!$C$6:$C$605,参数设置!$A$10,资金流水!$E$6:$E$605,"缴纳税费",资金流水!$H$6:$H$605,"个人所得税",资金流水!$B$6:$B$605,"&gt;="&amp;DATE(参数设置!$B$5,1,1),资金流水!$B$6:$B$605,"&lt;="&amp;DATE(参数设置!$B$5,2,0))</f>
        <v>0</v>
      </c>
      <c r="H6" s="40" t="n">
        <f aca="false">ROUND(SUMIFS(资金流水!$P$6:$P$605,资金流水!$C$6:$C$605,参数设置!$A$10,资金流水!$E$6:$E$605,"缴纳税费",资金流水!$B$6:$B$605,"&gt;="&amp;DATE(参数设置!$B$5,1,1),资金流水!$B$6:$B$605,"&lt;="&amp;DATE(参数设置!$B$5,2,0))-C6-D6-E6-F6-G6,2)</f>
        <v>0</v>
      </c>
      <c r="I6" s="42" t="n">
        <f aca="false">ROUND(SUM(C6:H6),2)</f>
        <v>0</v>
      </c>
      <c r="J6" s="40" t="n">
        <f aca="false">SUMIFS(购销流水!$Q$6:$Q$805,购销流水!$C$6:$C$805,参数设置!$A$10,购销流水!$D$6:$D$805,"销售出库",购销流水!$B$6:$B$805,"&gt;="&amp;DATE(参数设置!$B$5,1,1),购销流水!$B$6:$B$805,"&lt;="&amp;DATE(参数设置!$B$5,2,0))-SUMIFS(购销流水!$Q$6:$Q$805,购销流水!$C$6:$C$805,参数设置!$A$10,购销流水!$D$6:$D$805,"销售退回",购销流水!$B$6:$B$805,"&gt;="&amp;DATE(参数设置!$B$5,1,1),购销流水!$B$6:$B$805,"&lt;="&amp;DATE(参数设置!$B$5,2,0))+SUMIFS(资金流水!$P$6:$P$605,资金流水!$C$6:$C$605,参数设置!$A$10,资金流水!$E$6:$E$605,"现销收款",资金流水!$B$6:$B$605,"&gt;="&amp;DATE(参数设置!$B$5,1,1),资金流水!$B$6:$B$605,"&lt;="&amp;DATE(参数设置!$B$5,2,0))+SUMIFS(资金流水!$P$6:$P$605,资金流水!$C$6:$C$605,参数设置!$A$10,资金流水!$E$6:$E$605,"其他收入",资金流水!$B$6:$B$605,"&gt;="&amp;DATE(参数设置!$B$5,1,1),资金流水!$B$6:$B$605,"&lt;="&amp;DATE(参数设置!$B$5,2,0))</f>
        <v>0</v>
      </c>
      <c r="K6" s="51"/>
    </row>
    <row r="7" customFormat="false" ht="15" hidden="false" customHeight="false" outlineLevel="0" collapsed="false">
      <c r="A7" s="25" t="str">
        <f aca="false">参数设置!$A$10</f>
        <v>农业</v>
      </c>
      <c r="B7" s="25" t="str">
        <f aca="false">TEXT(DATE(参数设置!$B$5,2,1),"yyyy-mm")</f>
        <v>2026-02</v>
      </c>
      <c r="C7" s="40" t="n">
        <f aca="false">SUMIFS(资金流水!$P$6:$P$605,资金流水!$C$6:$C$605,参数设置!$A$10,资金流水!$E$6:$E$605,"缴纳税费",资金流水!$H$6:$H$605,"增值税",资金流水!$B$6:$B$605,"&gt;="&amp;DATE(参数设置!$B$5,2,1),资金流水!$B$6:$B$605,"&lt;="&amp;DATE(参数设置!$B$5,3,0))</f>
        <v>0</v>
      </c>
      <c r="D7" s="40" t="n">
        <f aca="false">SUMIFS(资金流水!$P$6:$P$605,资金流水!$C$6:$C$605,参数设置!$A$10,资金流水!$E$6:$E$605,"缴纳税费",资金流水!$H$6:$H$605,"城建税及附加",资金流水!$B$6:$B$605,"&gt;="&amp;DATE(参数设置!$B$5,2,1),资金流水!$B$6:$B$605,"&lt;="&amp;DATE(参数设置!$B$5,3,0))</f>
        <v>0</v>
      </c>
      <c r="E7" s="40" t="n">
        <f aca="false">SUMIFS(资金流水!$P$6:$P$605,资金流水!$C$6:$C$605,参数设置!$A$10,资金流水!$E$6:$E$605,"缴纳税费",资金流水!$H$6:$H$605,"印花税",资金流水!$B$6:$B$605,"&gt;="&amp;DATE(参数设置!$B$5,2,1),资金流水!$B$6:$B$605,"&lt;="&amp;DATE(参数设置!$B$5,3,0))</f>
        <v>0</v>
      </c>
      <c r="F7" s="40" t="n">
        <f aca="false">SUMIFS(资金流水!$P$6:$P$605,资金流水!$C$6:$C$605,参数设置!$A$10,资金流水!$E$6:$E$605,"缴纳税费",资金流水!$H$6:$H$605,"企业所得税",资金流水!$B$6:$B$605,"&gt;="&amp;DATE(参数设置!$B$5,2,1),资金流水!$B$6:$B$605,"&lt;="&amp;DATE(参数设置!$B$5,3,0))</f>
        <v>0</v>
      </c>
      <c r="G7" s="40" t="n">
        <f aca="false">SUMIFS(资金流水!$P$6:$P$605,资金流水!$C$6:$C$605,参数设置!$A$10,资金流水!$E$6:$E$605,"缴纳税费",资金流水!$H$6:$H$605,"个人所得税",资金流水!$B$6:$B$605,"&gt;="&amp;DATE(参数设置!$B$5,2,1),资金流水!$B$6:$B$605,"&lt;="&amp;DATE(参数设置!$B$5,3,0))</f>
        <v>0</v>
      </c>
      <c r="H7" s="40" t="n">
        <f aca="false">ROUND(SUMIFS(资金流水!$P$6:$P$605,资金流水!$C$6:$C$605,参数设置!$A$10,资金流水!$E$6:$E$605,"缴纳税费",资金流水!$B$6:$B$605,"&gt;="&amp;DATE(参数设置!$B$5,2,1),资金流水!$B$6:$B$605,"&lt;="&amp;DATE(参数设置!$B$5,3,0))-C7-D7-E7-F7-G7,2)</f>
        <v>0</v>
      </c>
      <c r="I7" s="42" t="n">
        <f aca="false">ROUND(SUM(C7:H7),2)</f>
        <v>0</v>
      </c>
      <c r="J7" s="40" t="n">
        <f aca="false">SUMIFS(购销流水!$Q$6:$Q$805,购销流水!$C$6:$C$805,参数设置!$A$10,购销流水!$D$6:$D$805,"销售出库",购销流水!$B$6:$B$805,"&gt;="&amp;DATE(参数设置!$B$5,2,1),购销流水!$B$6:$B$805,"&lt;="&amp;DATE(参数设置!$B$5,3,0))-SUMIFS(购销流水!$Q$6:$Q$805,购销流水!$C$6:$C$805,参数设置!$A$10,购销流水!$D$6:$D$805,"销售退回",购销流水!$B$6:$B$805,"&gt;="&amp;DATE(参数设置!$B$5,2,1),购销流水!$B$6:$B$805,"&lt;="&amp;DATE(参数设置!$B$5,3,0))+SUMIFS(资金流水!$P$6:$P$605,资金流水!$C$6:$C$605,参数设置!$A$10,资金流水!$E$6:$E$605,"现销收款",资金流水!$B$6:$B$605,"&gt;="&amp;DATE(参数设置!$B$5,2,1),资金流水!$B$6:$B$605,"&lt;="&amp;DATE(参数设置!$B$5,3,0))+SUMIFS(资金流水!$P$6:$P$605,资金流水!$C$6:$C$605,参数设置!$A$10,资金流水!$E$6:$E$605,"其他收入",资金流水!$B$6:$B$605,"&gt;="&amp;DATE(参数设置!$B$5,2,1),资金流水!$B$6:$B$605,"&lt;="&amp;DATE(参数设置!$B$5,3,0))</f>
        <v>0</v>
      </c>
      <c r="K7" s="51"/>
    </row>
    <row r="8" customFormat="false" ht="15" hidden="false" customHeight="false" outlineLevel="0" collapsed="false">
      <c r="A8" s="25" t="str">
        <f aca="false">参数设置!$A$10</f>
        <v>农业</v>
      </c>
      <c r="B8" s="25" t="str">
        <f aca="false">TEXT(DATE(参数设置!$B$5,3,1),"yyyy-mm")</f>
        <v>2026-03</v>
      </c>
      <c r="C8" s="40" t="n">
        <f aca="false">SUMIFS(资金流水!$P$6:$P$605,资金流水!$C$6:$C$605,参数设置!$A$10,资金流水!$E$6:$E$605,"缴纳税费",资金流水!$H$6:$H$605,"增值税",资金流水!$B$6:$B$605,"&gt;="&amp;DATE(参数设置!$B$5,3,1),资金流水!$B$6:$B$605,"&lt;="&amp;DATE(参数设置!$B$5,4,0))</f>
        <v>0</v>
      </c>
      <c r="D8" s="40" t="n">
        <f aca="false">SUMIFS(资金流水!$P$6:$P$605,资金流水!$C$6:$C$605,参数设置!$A$10,资金流水!$E$6:$E$605,"缴纳税费",资金流水!$H$6:$H$605,"城建税及附加",资金流水!$B$6:$B$605,"&gt;="&amp;DATE(参数设置!$B$5,3,1),资金流水!$B$6:$B$605,"&lt;="&amp;DATE(参数设置!$B$5,4,0))</f>
        <v>0</v>
      </c>
      <c r="E8" s="40" t="n">
        <f aca="false">SUMIFS(资金流水!$P$6:$P$605,资金流水!$C$6:$C$605,参数设置!$A$10,资金流水!$E$6:$E$605,"缴纳税费",资金流水!$H$6:$H$605,"印花税",资金流水!$B$6:$B$605,"&gt;="&amp;DATE(参数设置!$B$5,3,1),资金流水!$B$6:$B$605,"&lt;="&amp;DATE(参数设置!$B$5,4,0))</f>
        <v>0</v>
      </c>
      <c r="F8" s="40" t="n">
        <f aca="false">SUMIFS(资金流水!$P$6:$P$605,资金流水!$C$6:$C$605,参数设置!$A$10,资金流水!$E$6:$E$605,"缴纳税费",资金流水!$H$6:$H$605,"企业所得税",资金流水!$B$6:$B$605,"&gt;="&amp;DATE(参数设置!$B$5,3,1),资金流水!$B$6:$B$605,"&lt;="&amp;DATE(参数设置!$B$5,4,0))</f>
        <v>0</v>
      </c>
      <c r="G8" s="40" t="n">
        <f aca="false">SUMIFS(资金流水!$P$6:$P$605,资金流水!$C$6:$C$605,参数设置!$A$10,资金流水!$E$6:$E$605,"缴纳税费",资金流水!$H$6:$H$605,"个人所得税",资金流水!$B$6:$B$605,"&gt;="&amp;DATE(参数设置!$B$5,3,1),资金流水!$B$6:$B$605,"&lt;="&amp;DATE(参数设置!$B$5,4,0))</f>
        <v>0</v>
      </c>
      <c r="H8" s="40" t="n">
        <f aca="false">ROUND(SUMIFS(资金流水!$P$6:$P$605,资金流水!$C$6:$C$605,参数设置!$A$10,资金流水!$E$6:$E$605,"缴纳税费",资金流水!$B$6:$B$605,"&gt;="&amp;DATE(参数设置!$B$5,3,1),资金流水!$B$6:$B$605,"&lt;="&amp;DATE(参数设置!$B$5,4,0))-C8-D8-E8-F8-G8,2)</f>
        <v>0</v>
      </c>
      <c r="I8" s="42" t="n">
        <f aca="false">ROUND(SUM(C8:H8),2)</f>
        <v>0</v>
      </c>
      <c r="J8" s="40" t="n">
        <f aca="false">SUMIFS(购销流水!$Q$6:$Q$805,购销流水!$C$6:$C$805,参数设置!$A$10,购销流水!$D$6:$D$805,"销售出库",购销流水!$B$6:$B$805,"&gt;="&amp;DATE(参数设置!$B$5,3,1),购销流水!$B$6:$B$805,"&lt;="&amp;DATE(参数设置!$B$5,4,0))-SUMIFS(购销流水!$Q$6:$Q$805,购销流水!$C$6:$C$805,参数设置!$A$10,购销流水!$D$6:$D$805,"销售退回",购销流水!$B$6:$B$805,"&gt;="&amp;DATE(参数设置!$B$5,3,1),购销流水!$B$6:$B$805,"&lt;="&amp;DATE(参数设置!$B$5,4,0))+SUMIFS(资金流水!$P$6:$P$605,资金流水!$C$6:$C$605,参数设置!$A$10,资金流水!$E$6:$E$605,"现销收款",资金流水!$B$6:$B$605,"&gt;="&amp;DATE(参数设置!$B$5,3,1),资金流水!$B$6:$B$605,"&lt;="&amp;DATE(参数设置!$B$5,4,0))+SUMIFS(资金流水!$P$6:$P$605,资金流水!$C$6:$C$605,参数设置!$A$10,资金流水!$E$6:$E$605,"其他收入",资金流水!$B$6:$B$605,"&gt;="&amp;DATE(参数设置!$B$5,3,1),资金流水!$B$6:$B$605,"&lt;="&amp;DATE(参数设置!$B$5,4,0))</f>
        <v>0</v>
      </c>
      <c r="K8" s="51"/>
    </row>
    <row r="9" customFormat="false" ht="15" hidden="false" customHeight="false" outlineLevel="0" collapsed="false">
      <c r="A9" s="25" t="str">
        <f aca="false">参数设置!$A$10</f>
        <v>农业</v>
      </c>
      <c r="B9" s="25" t="str">
        <f aca="false">TEXT(DATE(参数设置!$B$5,4,1),"yyyy-mm")</f>
        <v>2026-04</v>
      </c>
      <c r="C9" s="40" t="n">
        <f aca="false">SUMIFS(资金流水!$P$6:$P$605,资金流水!$C$6:$C$605,参数设置!$A$10,资金流水!$E$6:$E$605,"缴纳税费",资金流水!$H$6:$H$605,"增值税",资金流水!$B$6:$B$605,"&gt;="&amp;DATE(参数设置!$B$5,4,1),资金流水!$B$6:$B$605,"&lt;="&amp;DATE(参数设置!$B$5,5,0))</f>
        <v>0</v>
      </c>
      <c r="D9" s="40" t="n">
        <f aca="false">SUMIFS(资金流水!$P$6:$P$605,资金流水!$C$6:$C$605,参数设置!$A$10,资金流水!$E$6:$E$605,"缴纳税费",资金流水!$H$6:$H$605,"城建税及附加",资金流水!$B$6:$B$605,"&gt;="&amp;DATE(参数设置!$B$5,4,1),资金流水!$B$6:$B$605,"&lt;="&amp;DATE(参数设置!$B$5,5,0))</f>
        <v>0</v>
      </c>
      <c r="E9" s="40" t="n">
        <f aca="false">SUMIFS(资金流水!$P$6:$P$605,资金流水!$C$6:$C$605,参数设置!$A$10,资金流水!$E$6:$E$605,"缴纳税费",资金流水!$H$6:$H$605,"印花税",资金流水!$B$6:$B$605,"&gt;="&amp;DATE(参数设置!$B$5,4,1),资金流水!$B$6:$B$605,"&lt;="&amp;DATE(参数设置!$B$5,5,0))</f>
        <v>0</v>
      </c>
      <c r="F9" s="40" t="n">
        <f aca="false">SUMIFS(资金流水!$P$6:$P$605,资金流水!$C$6:$C$605,参数设置!$A$10,资金流水!$E$6:$E$605,"缴纳税费",资金流水!$H$6:$H$605,"企业所得税",资金流水!$B$6:$B$605,"&gt;="&amp;DATE(参数设置!$B$5,4,1),资金流水!$B$6:$B$605,"&lt;="&amp;DATE(参数设置!$B$5,5,0))</f>
        <v>0</v>
      </c>
      <c r="G9" s="40" t="n">
        <f aca="false">SUMIFS(资金流水!$P$6:$P$605,资金流水!$C$6:$C$605,参数设置!$A$10,资金流水!$E$6:$E$605,"缴纳税费",资金流水!$H$6:$H$605,"个人所得税",资金流水!$B$6:$B$605,"&gt;="&amp;DATE(参数设置!$B$5,4,1),资金流水!$B$6:$B$605,"&lt;="&amp;DATE(参数设置!$B$5,5,0))</f>
        <v>0</v>
      </c>
      <c r="H9" s="40" t="n">
        <f aca="false">ROUND(SUMIFS(资金流水!$P$6:$P$605,资金流水!$C$6:$C$605,参数设置!$A$10,资金流水!$E$6:$E$605,"缴纳税费",资金流水!$B$6:$B$605,"&gt;="&amp;DATE(参数设置!$B$5,4,1),资金流水!$B$6:$B$605,"&lt;="&amp;DATE(参数设置!$B$5,5,0))-C9-D9-E9-F9-G9,2)</f>
        <v>0</v>
      </c>
      <c r="I9" s="42" t="n">
        <f aca="false">ROUND(SUM(C9:H9),2)</f>
        <v>0</v>
      </c>
      <c r="J9" s="40" t="n">
        <f aca="false">SUMIFS(购销流水!$Q$6:$Q$805,购销流水!$C$6:$C$805,参数设置!$A$10,购销流水!$D$6:$D$805,"销售出库",购销流水!$B$6:$B$805,"&gt;="&amp;DATE(参数设置!$B$5,4,1),购销流水!$B$6:$B$805,"&lt;="&amp;DATE(参数设置!$B$5,5,0))-SUMIFS(购销流水!$Q$6:$Q$805,购销流水!$C$6:$C$805,参数设置!$A$10,购销流水!$D$6:$D$805,"销售退回",购销流水!$B$6:$B$805,"&gt;="&amp;DATE(参数设置!$B$5,4,1),购销流水!$B$6:$B$805,"&lt;="&amp;DATE(参数设置!$B$5,5,0))+SUMIFS(资金流水!$P$6:$P$605,资金流水!$C$6:$C$605,参数设置!$A$10,资金流水!$E$6:$E$605,"现销收款",资金流水!$B$6:$B$605,"&gt;="&amp;DATE(参数设置!$B$5,4,1),资金流水!$B$6:$B$605,"&lt;="&amp;DATE(参数设置!$B$5,5,0))+SUMIFS(资金流水!$P$6:$P$605,资金流水!$C$6:$C$605,参数设置!$A$10,资金流水!$E$6:$E$605,"其他收入",资金流水!$B$6:$B$605,"&gt;="&amp;DATE(参数设置!$B$5,4,1),资金流水!$B$6:$B$605,"&lt;="&amp;DATE(参数设置!$B$5,5,0))</f>
        <v>0</v>
      </c>
      <c r="K9" s="51"/>
    </row>
    <row r="10" customFormat="false" ht="15" hidden="false" customHeight="false" outlineLevel="0" collapsed="false">
      <c r="A10" s="25" t="str">
        <f aca="false">参数设置!$A$10</f>
        <v>农业</v>
      </c>
      <c r="B10" s="25" t="str">
        <f aca="false">TEXT(DATE(参数设置!$B$5,5,1),"yyyy-mm")</f>
        <v>2026-05</v>
      </c>
      <c r="C10" s="40" t="n">
        <f aca="false">SUMIFS(资金流水!$P$6:$P$605,资金流水!$C$6:$C$605,参数设置!$A$10,资金流水!$E$6:$E$605,"缴纳税费",资金流水!$H$6:$H$605,"增值税",资金流水!$B$6:$B$605,"&gt;="&amp;DATE(参数设置!$B$5,5,1),资金流水!$B$6:$B$605,"&lt;="&amp;DATE(参数设置!$B$5,6,0))</f>
        <v>0</v>
      </c>
      <c r="D10" s="40" t="n">
        <f aca="false">SUMIFS(资金流水!$P$6:$P$605,资金流水!$C$6:$C$605,参数设置!$A$10,资金流水!$E$6:$E$605,"缴纳税费",资金流水!$H$6:$H$605,"城建税及附加",资金流水!$B$6:$B$605,"&gt;="&amp;DATE(参数设置!$B$5,5,1),资金流水!$B$6:$B$605,"&lt;="&amp;DATE(参数设置!$B$5,6,0))</f>
        <v>0</v>
      </c>
      <c r="E10" s="40" t="n">
        <f aca="false">SUMIFS(资金流水!$P$6:$P$605,资金流水!$C$6:$C$605,参数设置!$A$10,资金流水!$E$6:$E$605,"缴纳税费",资金流水!$H$6:$H$605,"印花税",资金流水!$B$6:$B$605,"&gt;="&amp;DATE(参数设置!$B$5,5,1),资金流水!$B$6:$B$605,"&lt;="&amp;DATE(参数设置!$B$5,6,0))</f>
        <v>0</v>
      </c>
      <c r="F10" s="40" t="n">
        <f aca="false">SUMIFS(资金流水!$P$6:$P$605,资金流水!$C$6:$C$605,参数设置!$A$10,资金流水!$E$6:$E$605,"缴纳税费",资金流水!$H$6:$H$605,"企业所得税",资金流水!$B$6:$B$605,"&gt;="&amp;DATE(参数设置!$B$5,5,1),资金流水!$B$6:$B$605,"&lt;="&amp;DATE(参数设置!$B$5,6,0))</f>
        <v>0</v>
      </c>
      <c r="G10" s="40" t="n">
        <f aca="false">SUMIFS(资金流水!$P$6:$P$605,资金流水!$C$6:$C$605,参数设置!$A$10,资金流水!$E$6:$E$605,"缴纳税费",资金流水!$H$6:$H$605,"个人所得税",资金流水!$B$6:$B$605,"&gt;="&amp;DATE(参数设置!$B$5,5,1),资金流水!$B$6:$B$605,"&lt;="&amp;DATE(参数设置!$B$5,6,0))</f>
        <v>0</v>
      </c>
      <c r="H10" s="40" t="n">
        <f aca="false">ROUND(SUMIFS(资金流水!$P$6:$P$605,资金流水!$C$6:$C$605,参数设置!$A$10,资金流水!$E$6:$E$605,"缴纳税费",资金流水!$B$6:$B$605,"&gt;="&amp;DATE(参数设置!$B$5,5,1),资金流水!$B$6:$B$605,"&lt;="&amp;DATE(参数设置!$B$5,6,0))-C10-D10-E10-F10-G10,2)</f>
        <v>0</v>
      </c>
      <c r="I10" s="42" t="n">
        <f aca="false">ROUND(SUM(C10:H10),2)</f>
        <v>0</v>
      </c>
      <c r="J10" s="40" t="n">
        <f aca="false">SUMIFS(购销流水!$Q$6:$Q$805,购销流水!$C$6:$C$805,参数设置!$A$10,购销流水!$D$6:$D$805,"销售出库",购销流水!$B$6:$B$805,"&gt;="&amp;DATE(参数设置!$B$5,5,1),购销流水!$B$6:$B$805,"&lt;="&amp;DATE(参数设置!$B$5,6,0))-SUMIFS(购销流水!$Q$6:$Q$805,购销流水!$C$6:$C$805,参数设置!$A$10,购销流水!$D$6:$D$805,"销售退回",购销流水!$B$6:$B$805,"&gt;="&amp;DATE(参数设置!$B$5,5,1),购销流水!$B$6:$B$805,"&lt;="&amp;DATE(参数设置!$B$5,6,0))+SUMIFS(资金流水!$P$6:$P$605,资金流水!$C$6:$C$605,参数设置!$A$10,资金流水!$E$6:$E$605,"现销收款",资金流水!$B$6:$B$605,"&gt;="&amp;DATE(参数设置!$B$5,5,1),资金流水!$B$6:$B$605,"&lt;="&amp;DATE(参数设置!$B$5,6,0))+SUMIFS(资金流水!$P$6:$P$605,资金流水!$C$6:$C$605,参数设置!$A$10,资金流水!$E$6:$E$605,"其他收入",资金流水!$B$6:$B$605,"&gt;="&amp;DATE(参数设置!$B$5,5,1),资金流水!$B$6:$B$605,"&lt;="&amp;DATE(参数设置!$B$5,6,0))</f>
        <v>0</v>
      </c>
      <c r="K10" s="51"/>
    </row>
    <row r="11" customFormat="false" ht="15" hidden="false" customHeight="false" outlineLevel="0" collapsed="false">
      <c r="A11" s="25" t="str">
        <f aca="false">参数设置!$A$10</f>
        <v>农业</v>
      </c>
      <c r="B11" s="25" t="str">
        <f aca="false">TEXT(DATE(参数设置!$B$5,6,1),"yyyy-mm")</f>
        <v>2026-06</v>
      </c>
      <c r="C11" s="40" t="n">
        <f aca="false">SUMIFS(资金流水!$P$6:$P$605,资金流水!$C$6:$C$605,参数设置!$A$10,资金流水!$E$6:$E$605,"缴纳税费",资金流水!$H$6:$H$605,"增值税",资金流水!$B$6:$B$605,"&gt;="&amp;DATE(参数设置!$B$5,6,1),资金流水!$B$6:$B$605,"&lt;="&amp;DATE(参数设置!$B$5,7,0))</f>
        <v>0</v>
      </c>
      <c r="D11" s="40" t="n">
        <f aca="false">SUMIFS(资金流水!$P$6:$P$605,资金流水!$C$6:$C$605,参数设置!$A$10,资金流水!$E$6:$E$605,"缴纳税费",资金流水!$H$6:$H$605,"城建税及附加",资金流水!$B$6:$B$605,"&gt;="&amp;DATE(参数设置!$B$5,6,1),资金流水!$B$6:$B$605,"&lt;="&amp;DATE(参数设置!$B$5,7,0))</f>
        <v>0</v>
      </c>
      <c r="E11" s="40" t="n">
        <f aca="false">SUMIFS(资金流水!$P$6:$P$605,资金流水!$C$6:$C$605,参数设置!$A$10,资金流水!$E$6:$E$605,"缴纳税费",资金流水!$H$6:$H$605,"印花税",资金流水!$B$6:$B$605,"&gt;="&amp;DATE(参数设置!$B$5,6,1),资金流水!$B$6:$B$605,"&lt;="&amp;DATE(参数设置!$B$5,7,0))</f>
        <v>0</v>
      </c>
      <c r="F11" s="40" t="n">
        <f aca="false">SUMIFS(资金流水!$P$6:$P$605,资金流水!$C$6:$C$605,参数设置!$A$10,资金流水!$E$6:$E$605,"缴纳税费",资金流水!$H$6:$H$605,"企业所得税",资金流水!$B$6:$B$605,"&gt;="&amp;DATE(参数设置!$B$5,6,1),资金流水!$B$6:$B$605,"&lt;="&amp;DATE(参数设置!$B$5,7,0))</f>
        <v>0</v>
      </c>
      <c r="G11" s="40" t="n">
        <f aca="false">SUMIFS(资金流水!$P$6:$P$605,资金流水!$C$6:$C$605,参数设置!$A$10,资金流水!$E$6:$E$605,"缴纳税费",资金流水!$H$6:$H$605,"个人所得税",资金流水!$B$6:$B$605,"&gt;="&amp;DATE(参数设置!$B$5,6,1),资金流水!$B$6:$B$605,"&lt;="&amp;DATE(参数设置!$B$5,7,0))</f>
        <v>0</v>
      </c>
      <c r="H11" s="40" t="n">
        <f aca="false">ROUND(SUMIFS(资金流水!$P$6:$P$605,资金流水!$C$6:$C$605,参数设置!$A$10,资金流水!$E$6:$E$605,"缴纳税费",资金流水!$B$6:$B$605,"&gt;="&amp;DATE(参数设置!$B$5,6,1),资金流水!$B$6:$B$605,"&lt;="&amp;DATE(参数设置!$B$5,7,0))-C11-D11-E11-F11-G11,2)</f>
        <v>0</v>
      </c>
      <c r="I11" s="42" t="n">
        <f aca="false">ROUND(SUM(C11:H11),2)</f>
        <v>0</v>
      </c>
      <c r="J11" s="40" t="n">
        <f aca="false">SUMIFS(购销流水!$Q$6:$Q$805,购销流水!$C$6:$C$805,参数设置!$A$10,购销流水!$D$6:$D$805,"销售出库",购销流水!$B$6:$B$805,"&gt;="&amp;DATE(参数设置!$B$5,6,1),购销流水!$B$6:$B$805,"&lt;="&amp;DATE(参数设置!$B$5,7,0))-SUMIFS(购销流水!$Q$6:$Q$805,购销流水!$C$6:$C$805,参数设置!$A$10,购销流水!$D$6:$D$805,"销售退回",购销流水!$B$6:$B$805,"&gt;="&amp;DATE(参数设置!$B$5,6,1),购销流水!$B$6:$B$805,"&lt;="&amp;DATE(参数设置!$B$5,7,0))+SUMIFS(资金流水!$P$6:$P$605,资金流水!$C$6:$C$605,参数设置!$A$10,资金流水!$E$6:$E$605,"现销收款",资金流水!$B$6:$B$605,"&gt;="&amp;DATE(参数设置!$B$5,6,1),资金流水!$B$6:$B$605,"&lt;="&amp;DATE(参数设置!$B$5,7,0))+SUMIFS(资金流水!$P$6:$P$605,资金流水!$C$6:$C$605,参数设置!$A$10,资金流水!$E$6:$E$605,"其他收入",资金流水!$B$6:$B$605,"&gt;="&amp;DATE(参数设置!$B$5,6,1),资金流水!$B$6:$B$605,"&lt;="&amp;DATE(参数设置!$B$5,7,0))</f>
        <v>189000</v>
      </c>
      <c r="K11" s="51"/>
    </row>
    <row r="12" customFormat="false" ht="15" hidden="false" customHeight="false" outlineLevel="0" collapsed="false">
      <c r="A12" s="25" t="str">
        <f aca="false">参数设置!$A$10</f>
        <v>农业</v>
      </c>
      <c r="B12" s="25" t="str">
        <f aca="false">TEXT(DATE(参数设置!$B$5,7,1),"yyyy-mm")</f>
        <v>2026-07</v>
      </c>
      <c r="C12" s="40" t="n">
        <f aca="false">SUMIFS(资金流水!$P$6:$P$605,资金流水!$C$6:$C$605,参数设置!$A$10,资金流水!$E$6:$E$605,"缴纳税费",资金流水!$H$6:$H$605,"增值税",资金流水!$B$6:$B$605,"&gt;="&amp;DATE(参数设置!$B$5,7,1),资金流水!$B$6:$B$605,"&lt;="&amp;DATE(参数设置!$B$5,8,0))</f>
        <v>0</v>
      </c>
      <c r="D12" s="40" t="n">
        <f aca="false">SUMIFS(资金流水!$P$6:$P$605,资金流水!$C$6:$C$605,参数设置!$A$10,资金流水!$E$6:$E$605,"缴纳税费",资金流水!$H$6:$H$605,"城建税及附加",资金流水!$B$6:$B$605,"&gt;="&amp;DATE(参数设置!$B$5,7,1),资金流水!$B$6:$B$605,"&lt;="&amp;DATE(参数设置!$B$5,8,0))</f>
        <v>0</v>
      </c>
      <c r="E12" s="40" t="n">
        <f aca="false">SUMIFS(资金流水!$P$6:$P$605,资金流水!$C$6:$C$605,参数设置!$A$10,资金流水!$E$6:$E$605,"缴纳税费",资金流水!$H$6:$H$605,"印花税",资金流水!$B$6:$B$605,"&gt;="&amp;DATE(参数设置!$B$5,7,1),资金流水!$B$6:$B$605,"&lt;="&amp;DATE(参数设置!$B$5,8,0))</f>
        <v>0</v>
      </c>
      <c r="F12" s="40" t="n">
        <f aca="false">SUMIFS(资金流水!$P$6:$P$605,资金流水!$C$6:$C$605,参数设置!$A$10,资金流水!$E$6:$E$605,"缴纳税费",资金流水!$H$6:$H$605,"企业所得税",资金流水!$B$6:$B$605,"&gt;="&amp;DATE(参数设置!$B$5,7,1),资金流水!$B$6:$B$605,"&lt;="&amp;DATE(参数设置!$B$5,8,0))</f>
        <v>0</v>
      </c>
      <c r="G12" s="40" t="n">
        <f aca="false">SUMIFS(资金流水!$P$6:$P$605,资金流水!$C$6:$C$605,参数设置!$A$10,资金流水!$E$6:$E$605,"缴纳税费",资金流水!$H$6:$H$605,"个人所得税",资金流水!$B$6:$B$605,"&gt;="&amp;DATE(参数设置!$B$5,7,1),资金流水!$B$6:$B$605,"&lt;="&amp;DATE(参数设置!$B$5,8,0))</f>
        <v>0</v>
      </c>
      <c r="H12" s="40" t="n">
        <f aca="false">ROUND(SUMIFS(资金流水!$P$6:$P$605,资金流水!$C$6:$C$605,参数设置!$A$10,资金流水!$E$6:$E$605,"缴纳税费",资金流水!$B$6:$B$605,"&gt;="&amp;DATE(参数设置!$B$5,7,1),资金流水!$B$6:$B$605,"&lt;="&amp;DATE(参数设置!$B$5,8,0))-C12-D12-E12-F12-G12,2)</f>
        <v>0</v>
      </c>
      <c r="I12" s="42" t="n">
        <f aca="false">ROUND(SUM(C12:H12),2)</f>
        <v>0</v>
      </c>
      <c r="J12" s="40" t="n">
        <f aca="false">SUMIFS(购销流水!$Q$6:$Q$805,购销流水!$C$6:$C$805,参数设置!$A$10,购销流水!$D$6:$D$805,"销售出库",购销流水!$B$6:$B$805,"&gt;="&amp;DATE(参数设置!$B$5,7,1),购销流水!$B$6:$B$805,"&lt;="&amp;DATE(参数设置!$B$5,8,0))-SUMIFS(购销流水!$Q$6:$Q$805,购销流水!$C$6:$C$805,参数设置!$A$10,购销流水!$D$6:$D$805,"销售退回",购销流水!$B$6:$B$805,"&gt;="&amp;DATE(参数设置!$B$5,7,1),购销流水!$B$6:$B$805,"&lt;="&amp;DATE(参数设置!$B$5,8,0))+SUMIFS(资金流水!$P$6:$P$605,资金流水!$C$6:$C$605,参数设置!$A$10,资金流水!$E$6:$E$605,"现销收款",资金流水!$B$6:$B$605,"&gt;="&amp;DATE(参数设置!$B$5,7,1),资金流水!$B$6:$B$605,"&lt;="&amp;DATE(参数设置!$B$5,8,0))+SUMIFS(资金流水!$P$6:$P$605,资金流水!$C$6:$C$605,参数设置!$A$10,资金流水!$E$6:$E$605,"其他收入",资金流水!$B$6:$B$605,"&gt;="&amp;DATE(参数设置!$B$5,7,1),资金流水!$B$6:$B$605,"&lt;="&amp;DATE(参数设置!$B$5,8,0))</f>
        <v>56000</v>
      </c>
      <c r="K12" s="51"/>
    </row>
    <row r="13" customFormat="false" ht="15" hidden="false" customHeight="false" outlineLevel="0" collapsed="false">
      <c r="A13" s="25" t="str">
        <f aca="false">参数设置!$A$10</f>
        <v>农业</v>
      </c>
      <c r="B13" s="25" t="str">
        <f aca="false">TEXT(DATE(参数设置!$B$5,8,1),"yyyy-mm")</f>
        <v>2026-08</v>
      </c>
      <c r="C13" s="40" t="n">
        <f aca="false">SUMIFS(资金流水!$P$6:$P$605,资金流水!$C$6:$C$605,参数设置!$A$10,资金流水!$E$6:$E$605,"缴纳税费",资金流水!$H$6:$H$605,"增值税",资金流水!$B$6:$B$605,"&gt;="&amp;DATE(参数设置!$B$5,8,1),资金流水!$B$6:$B$605,"&lt;="&amp;DATE(参数设置!$B$5,9,0))</f>
        <v>0</v>
      </c>
      <c r="D13" s="40" t="n">
        <f aca="false">SUMIFS(资金流水!$P$6:$P$605,资金流水!$C$6:$C$605,参数设置!$A$10,资金流水!$E$6:$E$605,"缴纳税费",资金流水!$H$6:$H$605,"城建税及附加",资金流水!$B$6:$B$605,"&gt;="&amp;DATE(参数设置!$B$5,8,1),资金流水!$B$6:$B$605,"&lt;="&amp;DATE(参数设置!$B$5,9,0))</f>
        <v>0</v>
      </c>
      <c r="E13" s="40" t="n">
        <f aca="false">SUMIFS(资金流水!$P$6:$P$605,资金流水!$C$6:$C$605,参数设置!$A$10,资金流水!$E$6:$E$605,"缴纳税费",资金流水!$H$6:$H$605,"印花税",资金流水!$B$6:$B$605,"&gt;="&amp;DATE(参数设置!$B$5,8,1),资金流水!$B$6:$B$605,"&lt;="&amp;DATE(参数设置!$B$5,9,0))</f>
        <v>0</v>
      </c>
      <c r="F13" s="40" t="n">
        <f aca="false">SUMIFS(资金流水!$P$6:$P$605,资金流水!$C$6:$C$605,参数设置!$A$10,资金流水!$E$6:$E$605,"缴纳税费",资金流水!$H$6:$H$605,"企业所得税",资金流水!$B$6:$B$605,"&gt;="&amp;DATE(参数设置!$B$5,8,1),资金流水!$B$6:$B$605,"&lt;="&amp;DATE(参数设置!$B$5,9,0))</f>
        <v>0</v>
      </c>
      <c r="G13" s="40" t="n">
        <f aca="false">SUMIFS(资金流水!$P$6:$P$605,资金流水!$C$6:$C$605,参数设置!$A$10,资金流水!$E$6:$E$605,"缴纳税费",资金流水!$H$6:$H$605,"个人所得税",资金流水!$B$6:$B$605,"&gt;="&amp;DATE(参数设置!$B$5,8,1),资金流水!$B$6:$B$605,"&lt;="&amp;DATE(参数设置!$B$5,9,0))</f>
        <v>0</v>
      </c>
      <c r="H13" s="40" t="n">
        <f aca="false">ROUND(SUMIFS(资金流水!$P$6:$P$605,资金流水!$C$6:$C$605,参数设置!$A$10,资金流水!$E$6:$E$605,"缴纳税费",资金流水!$B$6:$B$605,"&gt;="&amp;DATE(参数设置!$B$5,8,1),资金流水!$B$6:$B$605,"&lt;="&amp;DATE(参数设置!$B$5,9,0))-C13-D13-E13-F13-G13,2)</f>
        <v>0</v>
      </c>
      <c r="I13" s="42" t="n">
        <f aca="false">ROUND(SUM(C13:H13),2)</f>
        <v>0</v>
      </c>
      <c r="J13" s="40" t="n">
        <f aca="false">SUMIFS(购销流水!$Q$6:$Q$805,购销流水!$C$6:$C$805,参数设置!$A$10,购销流水!$D$6:$D$805,"销售出库",购销流水!$B$6:$B$805,"&gt;="&amp;DATE(参数设置!$B$5,8,1),购销流水!$B$6:$B$805,"&lt;="&amp;DATE(参数设置!$B$5,9,0))-SUMIFS(购销流水!$Q$6:$Q$805,购销流水!$C$6:$C$805,参数设置!$A$10,购销流水!$D$6:$D$805,"销售退回",购销流水!$B$6:$B$805,"&gt;="&amp;DATE(参数设置!$B$5,8,1),购销流水!$B$6:$B$805,"&lt;="&amp;DATE(参数设置!$B$5,9,0))+SUMIFS(资金流水!$P$6:$P$605,资金流水!$C$6:$C$605,参数设置!$A$10,资金流水!$E$6:$E$605,"现销收款",资金流水!$B$6:$B$605,"&gt;="&amp;DATE(参数设置!$B$5,8,1),资金流水!$B$6:$B$605,"&lt;="&amp;DATE(参数设置!$B$5,9,0))+SUMIFS(资金流水!$P$6:$P$605,资金流水!$C$6:$C$605,参数设置!$A$10,资金流水!$E$6:$E$605,"其他收入",资金流水!$B$6:$B$605,"&gt;="&amp;DATE(参数设置!$B$5,8,1),资金流水!$B$6:$B$605,"&lt;="&amp;DATE(参数设置!$B$5,9,0))</f>
        <v>66000</v>
      </c>
      <c r="K13" s="51"/>
    </row>
    <row r="14" customFormat="false" ht="15" hidden="false" customHeight="false" outlineLevel="0" collapsed="false">
      <c r="A14" s="25" t="str">
        <f aca="false">参数设置!$A$10</f>
        <v>农业</v>
      </c>
      <c r="B14" s="25" t="str">
        <f aca="false">TEXT(DATE(参数设置!$B$5,9,1),"yyyy-mm")</f>
        <v>2026-09</v>
      </c>
      <c r="C14" s="40" t="n">
        <f aca="false">SUMIFS(资金流水!$P$6:$P$605,资金流水!$C$6:$C$605,参数设置!$A$10,资金流水!$E$6:$E$605,"缴纳税费",资金流水!$H$6:$H$605,"增值税",资金流水!$B$6:$B$605,"&gt;="&amp;DATE(参数设置!$B$5,9,1),资金流水!$B$6:$B$605,"&lt;="&amp;DATE(参数设置!$B$5,10,0))</f>
        <v>0</v>
      </c>
      <c r="D14" s="40" t="n">
        <f aca="false">SUMIFS(资金流水!$P$6:$P$605,资金流水!$C$6:$C$605,参数设置!$A$10,资金流水!$E$6:$E$605,"缴纳税费",资金流水!$H$6:$H$605,"城建税及附加",资金流水!$B$6:$B$605,"&gt;="&amp;DATE(参数设置!$B$5,9,1),资金流水!$B$6:$B$605,"&lt;="&amp;DATE(参数设置!$B$5,10,0))</f>
        <v>0</v>
      </c>
      <c r="E14" s="40" t="n">
        <f aca="false">SUMIFS(资金流水!$P$6:$P$605,资金流水!$C$6:$C$605,参数设置!$A$10,资金流水!$E$6:$E$605,"缴纳税费",资金流水!$H$6:$H$605,"印花税",资金流水!$B$6:$B$605,"&gt;="&amp;DATE(参数设置!$B$5,9,1),资金流水!$B$6:$B$605,"&lt;="&amp;DATE(参数设置!$B$5,10,0))</f>
        <v>0</v>
      </c>
      <c r="F14" s="40" t="n">
        <f aca="false">SUMIFS(资金流水!$P$6:$P$605,资金流水!$C$6:$C$605,参数设置!$A$10,资金流水!$E$6:$E$605,"缴纳税费",资金流水!$H$6:$H$605,"企业所得税",资金流水!$B$6:$B$605,"&gt;="&amp;DATE(参数设置!$B$5,9,1),资金流水!$B$6:$B$605,"&lt;="&amp;DATE(参数设置!$B$5,10,0))</f>
        <v>0</v>
      </c>
      <c r="G14" s="40" t="n">
        <f aca="false">SUMIFS(资金流水!$P$6:$P$605,资金流水!$C$6:$C$605,参数设置!$A$10,资金流水!$E$6:$E$605,"缴纳税费",资金流水!$H$6:$H$605,"个人所得税",资金流水!$B$6:$B$605,"&gt;="&amp;DATE(参数设置!$B$5,9,1),资金流水!$B$6:$B$605,"&lt;="&amp;DATE(参数设置!$B$5,10,0))</f>
        <v>0</v>
      </c>
      <c r="H14" s="40" t="n">
        <f aca="false">ROUND(SUMIFS(资金流水!$P$6:$P$605,资金流水!$C$6:$C$605,参数设置!$A$10,资金流水!$E$6:$E$605,"缴纳税费",资金流水!$B$6:$B$605,"&gt;="&amp;DATE(参数设置!$B$5,9,1),资金流水!$B$6:$B$605,"&lt;="&amp;DATE(参数设置!$B$5,10,0))-C14-D14-E14-F14-G14,2)</f>
        <v>0</v>
      </c>
      <c r="I14" s="42" t="n">
        <f aca="false">ROUND(SUM(C14:H14),2)</f>
        <v>0</v>
      </c>
      <c r="J14" s="40" t="n">
        <f aca="false">SUMIFS(购销流水!$Q$6:$Q$805,购销流水!$C$6:$C$805,参数设置!$A$10,购销流水!$D$6:$D$805,"销售出库",购销流水!$B$6:$B$805,"&gt;="&amp;DATE(参数设置!$B$5,9,1),购销流水!$B$6:$B$805,"&lt;="&amp;DATE(参数设置!$B$5,10,0))-SUMIFS(购销流水!$Q$6:$Q$805,购销流水!$C$6:$C$805,参数设置!$A$10,购销流水!$D$6:$D$805,"销售退回",购销流水!$B$6:$B$805,"&gt;="&amp;DATE(参数设置!$B$5,9,1),购销流水!$B$6:$B$805,"&lt;="&amp;DATE(参数设置!$B$5,10,0))+SUMIFS(资金流水!$P$6:$P$605,资金流水!$C$6:$C$605,参数设置!$A$10,资金流水!$E$6:$E$605,"现销收款",资金流水!$B$6:$B$605,"&gt;="&amp;DATE(参数设置!$B$5,9,1),资金流水!$B$6:$B$605,"&lt;="&amp;DATE(参数设置!$B$5,10,0))+SUMIFS(资金流水!$P$6:$P$605,资金流水!$C$6:$C$605,参数设置!$A$10,资金流水!$E$6:$E$605,"其他收入",资金流水!$B$6:$B$605,"&gt;="&amp;DATE(参数设置!$B$5,9,1),资金流水!$B$6:$B$605,"&lt;="&amp;DATE(参数设置!$B$5,10,0))</f>
        <v>18000</v>
      </c>
      <c r="K14" s="51"/>
    </row>
    <row r="15" customFormat="false" ht="15" hidden="false" customHeight="false" outlineLevel="0" collapsed="false">
      <c r="A15" s="25" t="str">
        <f aca="false">参数设置!$A$10</f>
        <v>农业</v>
      </c>
      <c r="B15" s="25" t="str">
        <f aca="false">TEXT(DATE(参数设置!$B$5,10,1),"yyyy-mm")</f>
        <v>2026-10</v>
      </c>
      <c r="C15" s="40" t="n">
        <f aca="false">SUMIFS(资金流水!$P$6:$P$605,资金流水!$C$6:$C$605,参数设置!$A$10,资金流水!$E$6:$E$605,"缴纳税费",资金流水!$H$6:$H$605,"增值税",资金流水!$B$6:$B$605,"&gt;="&amp;DATE(参数设置!$B$5,10,1),资金流水!$B$6:$B$605,"&lt;="&amp;DATE(参数设置!$B$5,11,0))</f>
        <v>0</v>
      </c>
      <c r="D15" s="40" t="n">
        <f aca="false">SUMIFS(资金流水!$P$6:$P$605,资金流水!$C$6:$C$605,参数设置!$A$10,资金流水!$E$6:$E$605,"缴纳税费",资金流水!$H$6:$H$605,"城建税及附加",资金流水!$B$6:$B$605,"&gt;="&amp;DATE(参数设置!$B$5,10,1),资金流水!$B$6:$B$605,"&lt;="&amp;DATE(参数设置!$B$5,11,0))</f>
        <v>0</v>
      </c>
      <c r="E15" s="40" t="n">
        <f aca="false">SUMIFS(资金流水!$P$6:$P$605,资金流水!$C$6:$C$605,参数设置!$A$10,资金流水!$E$6:$E$605,"缴纳税费",资金流水!$H$6:$H$605,"印花税",资金流水!$B$6:$B$605,"&gt;="&amp;DATE(参数设置!$B$5,10,1),资金流水!$B$6:$B$605,"&lt;="&amp;DATE(参数设置!$B$5,11,0))</f>
        <v>0</v>
      </c>
      <c r="F15" s="40" t="n">
        <f aca="false">SUMIFS(资金流水!$P$6:$P$605,资金流水!$C$6:$C$605,参数设置!$A$10,资金流水!$E$6:$E$605,"缴纳税费",资金流水!$H$6:$H$605,"企业所得税",资金流水!$B$6:$B$605,"&gt;="&amp;DATE(参数设置!$B$5,10,1),资金流水!$B$6:$B$605,"&lt;="&amp;DATE(参数设置!$B$5,11,0))</f>
        <v>0</v>
      </c>
      <c r="G15" s="40" t="n">
        <f aca="false">SUMIFS(资金流水!$P$6:$P$605,资金流水!$C$6:$C$605,参数设置!$A$10,资金流水!$E$6:$E$605,"缴纳税费",资金流水!$H$6:$H$605,"个人所得税",资金流水!$B$6:$B$605,"&gt;="&amp;DATE(参数设置!$B$5,10,1),资金流水!$B$6:$B$605,"&lt;="&amp;DATE(参数设置!$B$5,11,0))</f>
        <v>0</v>
      </c>
      <c r="H15" s="40" t="n">
        <f aca="false">ROUND(SUMIFS(资金流水!$P$6:$P$605,资金流水!$C$6:$C$605,参数设置!$A$10,资金流水!$E$6:$E$605,"缴纳税费",资金流水!$B$6:$B$605,"&gt;="&amp;DATE(参数设置!$B$5,10,1),资金流水!$B$6:$B$605,"&lt;="&amp;DATE(参数设置!$B$5,11,0))-C15-D15-E15-F15-G15,2)</f>
        <v>0</v>
      </c>
      <c r="I15" s="42" t="n">
        <f aca="false">ROUND(SUM(C15:H15),2)</f>
        <v>0</v>
      </c>
      <c r="J15" s="40" t="n">
        <f aca="false">SUMIFS(购销流水!$Q$6:$Q$805,购销流水!$C$6:$C$805,参数设置!$A$10,购销流水!$D$6:$D$805,"销售出库",购销流水!$B$6:$B$805,"&gt;="&amp;DATE(参数设置!$B$5,10,1),购销流水!$B$6:$B$805,"&lt;="&amp;DATE(参数设置!$B$5,11,0))-SUMIFS(购销流水!$Q$6:$Q$805,购销流水!$C$6:$C$805,参数设置!$A$10,购销流水!$D$6:$D$805,"销售退回",购销流水!$B$6:$B$805,"&gt;="&amp;DATE(参数设置!$B$5,10,1),购销流水!$B$6:$B$805,"&lt;="&amp;DATE(参数设置!$B$5,11,0))+SUMIFS(资金流水!$P$6:$P$605,资金流水!$C$6:$C$605,参数设置!$A$10,资金流水!$E$6:$E$605,"现销收款",资金流水!$B$6:$B$605,"&gt;="&amp;DATE(参数设置!$B$5,10,1),资金流水!$B$6:$B$605,"&lt;="&amp;DATE(参数设置!$B$5,11,0))+SUMIFS(资金流水!$P$6:$P$605,资金流水!$C$6:$C$605,参数设置!$A$10,资金流水!$E$6:$E$605,"其他收入",资金流水!$B$6:$B$605,"&gt;="&amp;DATE(参数设置!$B$5,10,1),资金流水!$B$6:$B$605,"&lt;="&amp;DATE(参数设置!$B$5,11,0))</f>
        <v>0</v>
      </c>
      <c r="K15" s="51"/>
    </row>
    <row r="16" customFormat="false" ht="15" hidden="false" customHeight="false" outlineLevel="0" collapsed="false">
      <c r="A16" s="25" t="str">
        <f aca="false">参数设置!$A$10</f>
        <v>农业</v>
      </c>
      <c r="B16" s="25" t="str">
        <f aca="false">TEXT(DATE(参数设置!$B$5,11,1),"yyyy-mm")</f>
        <v>2026-11</v>
      </c>
      <c r="C16" s="40" t="n">
        <f aca="false">SUMIFS(资金流水!$P$6:$P$605,资金流水!$C$6:$C$605,参数设置!$A$10,资金流水!$E$6:$E$605,"缴纳税费",资金流水!$H$6:$H$605,"增值税",资金流水!$B$6:$B$605,"&gt;="&amp;DATE(参数设置!$B$5,11,1),资金流水!$B$6:$B$605,"&lt;="&amp;DATE(参数设置!$B$5,12,0))</f>
        <v>0</v>
      </c>
      <c r="D16" s="40" t="n">
        <f aca="false">SUMIFS(资金流水!$P$6:$P$605,资金流水!$C$6:$C$605,参数设置!$A$10,资金流水!$E$6:$E$605,"缴纳税费",资金流水!$H$6:$H$605,"城建税及附加",资金流水!$B$6:$B$605,"&gt;="&amp;DATE(参数设置!$B$5,11,1),资金流水!$B$6:$B$605,"&lt;="&amp;DATE(参数设置!$B$5,12,0))</f>
        <v>0</v>
      </c>
      <c r="E16" s="40" t="n">
        <f aca="false">SUMIFS(资金流水!$P$6:$P$605,资金流水!$C$6:$C$605,参数设置!$A$10,资金流水!$E$6:$E$605,"缴纳税费",资金流水!$H$6:$H$605,"印花税",资金流水!$B$6:$B$605,"&gt;="&amp;DATE(参数设置!$B$5,11,1),资金流水!$B$6:$B$605,"&lt;="&amp;DATE(参数设置!$B$5,12,0))</f>
        <v>0</v>
      </c>
      <c r="F16" s="40" t="n">
        <f aca="false">SUMIFS(资金流水!$P$6:$P$605,资金流水!$C$6:$C$605,参数设置!$A$10,资金流水!$E$6:$E$605,"缴纳税费",资金流水!$H$6:$H$605,"企业所得税",资金流水!$B$6:$B$605,"&gt;="&amp;DATE(参数设置!$B$5,11,1),资金流水!$B$6:$B$605,"&lt;="&amp;DATE(参数设置!$B$5,12,0))</f>
        <v>0</v>
      </c>
      <c r="G16" s="40" t="n">
        <f aca="false">SUMIFS(资金流水!$P$6:$P$605,资金流水!$C$6:$C$605,参数设置!$A$10,资金流水!$E$6:$E$605,"缴纳税费",资金流水!$H$6:$H$605,"个人所得税",资金流水!$B$6:$B$605,"&gt;="&amp;DATE(参数设置!$B$5,11,1),资金流水!$B$6:$B$605,"&lt;="&amp;DATE(参数设置!$B$5,12,0))</f>
        <v>0</v>
      </c>
      <c r="H16" s="40" t="n">
        <f aca="false">ROUND(SUMIFS(资金流水!$P$6:$P$605,资金流水!$C$6:$C$605,参数设置!$A$10,资金流水!$E$6:$E$605,"缴纳税费",资金流水!$B$6:$B$605,"&gt;="&amp;DATE(参数设置!$B$5,11,1),资金流水!$B$6:$B$605,"&lt;="&amp;DATE(参数设置!$B$5,12,0))-C16-D16-E16-F16-G16,2)</f>
        <v>0</v>
      </c>
      <c r="I16" s="42" t="n">
        <f aca="false">ROUND(SUM(C16:H16),2)</f>
        <v>0</v>
      </c>
      <c r="J16" s="40" t="n">
        <f aca="false">SUMIFS(购销流水!$Q$6:$Q$805,购销流水!$C$6:$C$805,参数设置!$A$10,购销流水!$D$6:$D$805,"销售出库",购销流水!$B$6:$B$805,"&gt;="&amp;DATE(参数设置!$B$5,11,1),购销流水!$B$6:$B$805,"&lt;="&amp;DATE(参数设置!$B$5,12,0))-SUMIFS(购销流水!$Q$6:$Q$805,购销流水!$C$6:$C$805,参数设置!$A$10,购销流水!$D$6:$D$805,"销售退回",购销流水!$B$6:$B$805,"&gt;="&amp;DATE(参数设置!$B$5,11,1),购销流水!$B$6:$B$805,"&lt;="&amp;DATE(参数设置!$B$5,12,0))+SUMIFS(资金流水!$P$6:$P$605,资金流水!$C$6:$C$605,参数设置!$A$10,资金流水!$E$6:$E$605,"现销收款",资金流水!$B$6:$B$605,"&gt;="&amp;DATE(参数设置!$B$5,11,1),资金流水!$B$6:$B$605,"&lt;="&amp;DATE(参数设置!$B$5,12,0))+SUMIFS(资金流水!$P$6:$P$605,资金流水!$C$6:$C$605,参数设置!$A$10,资金流水!$E$6:$E$605,"其他收入",资金流水!$B$6:$B$605,"&gt;="&amp;DATE(参数设置!$B$5,11,1),资金流水!$B$6:$B$605,"&lt;="&amp;DATE(参数设置!$B$5,12,0))</f>
        <v>0</v>
      </c>
      <c r="K16" s="51"/>
    </row>
    <row r="17" customFormat="false" ht="15" hidden="false" customHeight="false" outlineLevel="0" collapsed="false">
      <c r="A17" s="25" t="str">
        <f aca="false">参数设置!$A$10</f>
        <v>农业</v>
      </c>
      <c r="B17" s="25" t="str">
        <f aca="false">TEXT(DATE(参数设置!$B$5,12,1),"yyyy-mm")</f>
        <v>2026-12</v>
      </c>
      <c r="C17" s="40" t="n">
        <f aca="false">SUMIFS(资金流水!$P$6:$P$605,资金流水!$C$6:$C$605,参数设置!$A$10,资金流水!$E$6:$E$605,"缴纳税费",资金流水!$H$6:$H$605,"增值税",资金流水!$B$6:$B$605,"&gt;="&amp;DATE(参数设置!$B$5,12,1),资金流水!$B$6:$B$605,"&lt;="&amp;DATE(参数设置!$B$5,13,0))</f>
        <v>0</v>
      </c>
      <c r="D17" s="40" t="n">
        <f aca="false">SUMIFS(资金流水!$P$6:$P$605,资金流水!$C$6:$C$605,参数设置!$A$10,资金流水!$E$6:$E$605,"缴纳税费",资金流水!$H$6:$H$605,"城建税及附加",资金流水!$B$6:$B$605,"&gt;="&amp;DATE(参数设置!$B$5,12,1),资金流水!$B$6:$B$605,"&lt;="&amp;DATE(参数设置!$B$5,13,0))</f>
        <v>0</v>
      </c>
      <c r="E17" s="40" t="n">
        <f aca="false">SUMIFS(资金流水!$P$6:$P$605,资金流水!$C$6:$C$605,参数设置!$A$10,资金流水!$E$6:$E$605,"缴纳税费",资金流水!$H$6:$H$605,"印花税",资金流水!$B$6:$B$605,"&gt;="&amp;DATE(参数设置!$B$5,12,1),资金流水!$B$6:$B$605,"&lt;="&amp;DATE(参数设置!$B$5,13,0))</f>
        <v>0</v>
      </c>
      <c r="F17" s="40" t="n">
        <f aca="false">SUMIFS(资金流水!$P$6:$P$605,资金流水!$C$6:$C$605,参数设置!$A$10,资金流水!$E$6:$E$605,"缴纳税费",资金流水!$H$6:$H$605,"企业所得税",资金流水!$B$6:$B$605,"&gt;="&amp;DATE(参数设置!$B$5,12,1),资金流水!$B$6:$B$605,"&lt;="&amp;DATE(参数设置!$B$5,13,0))</f>
        <v>0</v>
      </c>
      <c r="G17" s="40" t="n">
        <f aca="false">SUMIFS(资金流水!$P$6:$P$605,资金流水!$C$6:$C$605,参数设置!$A$10,资金流水!$E$6:$E$605,"缴纳税费",资金流水!$H$6:$H$605,"个人所得税",资金流水!$B$6:$B$605,"&gt;="&amp;DATE(参数设置!$B$5,12,1),资金流水!$B$6:$B$605,"&lt;="&amp;DATE(参数设置!$B$5,13,0))</f>
        <v>0</v>
      </c>
      <c r="H17" s="40" t="n">
        <f aca="false">ROUND(SUMIFS(资金流水!$P$6:$P$605,资金流水!$C$6:$C$605,参数设置!$A$10,资金流水!$E$6:$E$605,"缴纳税费",资金流水!$B$6:$B$605,"&gt;="&amp;DATE(参数设置!$B$5,12,1),资金流水!$B$6:$B$605,"&lt;="&amp;DATE(参数设置!$B$5,13,0))-C17-D17-E17-F17-G17,2)</f>
        <v>0</v>
      </c>
      <c r="I17" s="42" t="n">
        <f aca="false">ROUND(SUM(C17:H17),2)</f>
        <v>0</v>
      </c>
      <c r="J17" s="40" t="n">
        <f aca="false">SUMIFS(购销流水!$Q$6:$Q$805,购销流水!$C$6:$C$805,参数设置!$A$10,购销流水!$D$6:$D$805,"销售出库",购销流水!$B$6:$B$805,"&gt;="&amp;DATE(参数设置!$B$5,12,1),购销流水!$B$6:$B$805,"&lt;="&amp;DATE(参数设置!$B$5,13,0))-SUMIFS(购销流水!$Q$6:$Q$805,购销流水!$C$6:$C$805,参数设置!$A$10,购销流水!$D$6:$D$805,"销售退回",购销流水!$B$6:$B$805,"&gt;="&amp;DATE(参数设置!$B$5,12,1),购销流水!$B$6:$B$805,"&lt;="&amp;DATE(参数设置!$B$5,13,0))+SUMIFS(资金流水!$P$6:$P$605,资金流水!$C$6:$C$605,参数设置!$A$10,资金流水!$E$6:$E$605,"现销收款",资金流水!$B$6:$B$605,"&gt;="&amp;DATE(参数设置!$B$5,12,1),资金流水!$B$6:$B$605,"&lt;="&amp;DATE(参数设置!$B$5,13,0))+SUMIFS(资金流水!$P$6:$P$605,资金流水!$C$6:$C$605,参数设置!$A$10,资金流水!$E$6:$E$605,"其他收入",资金流水!$B$6:$B$605,"&gt;="&amp;DATE(参数设置!$B$5,12,1),资金流水!$B$6:$B$605,"&lt;="&amp;DATE(参数设置!$B$5,13,0))</f>
        <v>0</v>
      </c>
      <c r="K17" s="51"/>
    </row>
    <row r="18" customFormat="false" ht="25.35" hidden="false" customHeight="false" outlineLevel="0" collapsed="false">
      <c r="A18" s="31" t="str">
        <f aca="false">参数设置!$A$10</f>
        <v>农业</v>
      </c>
      <c r="B18" s="31" t="s">
        <v>883</v>
      </c>
      <c r="C18" s="12" t="n">
        <f aca="false">SUM(C6:C17)</f>
        <v>0</v>
      </c>
      <c r="D18" s="12" t="n">
        <f aca="false">SUM(D6:D17)</f>
        <v>0</v>
      </c>
      <c r="E18" s="12" t="n">
        <f aca="false">SUM(E6:E17)</f>
        <v>0</v>
      </c>
      <c r="F18" s="12" t="n">
        <f aca="false">SUM(F6:F17)</f>
        <v>0</v>
      </c>
      <c r="G18" s="12" t="n">
        <f aca="false">SUM(G6:G17)</f>
        <v>0</v>
      </c>
      <c r="H18" s="12" t="n">
        <f aca="false">SUM(H6:H17)</f>
        <v>0</v>
      </c>
      <c r="I18" s="12" t="n">
        <f aca="false">SUM(I6:I17)</f>
        <v>0</v>
      </c>
      <c r="J18" s="12" t="n">
        <f aca="false">SUM(J6:J17)</f>
        <v>329000</v>
      </c>
      <c r="K18" s="13" t="str">
        <f aca="false">IF(ROUND($J18,2)=0,"本年无含税收入","全年税负率 "&amp;TEXT($I18/$J18,"0.00%")&amp;"（实缴税费 ÷ 含税收入）")</f>
        <v>全年税负率 0.00%（实缴税费 ÷ 含税收入）</v>
      </c>
    </row>
    <row r="20" customFormat="false" ht="15" hidden="false" customHeight="false" outlineLevel="0" collapsed="false">
      <c r="A20" s="25" t="str">
        <f aca="false">参数设置!$A$11</f>
        <v>木业</v>
      </c>
      <c r="B20" s="25" t="str">
        <f aca="false">TEXT(DATE(参数设置!$B$5,1,1),"yyyy-mm")</f>
        <v>2026-01</v>
      </c>
      <c r="C20" s="40" t="n">
        <f aca="false">SUMIFS(资金流水!$P$6:$P$605,资金流水!$C$6:$C$605,参数设置!$A$11,资金流水!$E$6:$E$605,"缴纳税费",资金流水!$H$6:$H$605,"增值税",资金流水!$B$6:$B$605,"&gt;="&amp;DATE(参数设置!$B$5,1,1),资金流水!$B$6:$B$605,"&lt;="&amp;DATE(参数设置!$B$5,2,0))</f>
        <v>0</v>
      </c>
      <c r="D20" s="40" t="n">
        <f aca="false">SUMIFS(资金流水!$P$6:$P$605,资金流水!$C$6:$C$605,参数设置!$A$11,资金流水!$E$6:$E$605,"缴纳税费",资金流水!$H$6:$H$605,"城建税及附加",资金流水!$B$6:$B$605,"&gt;="&amp;DATE(参数设置!$B$5,1,1),资金流水!$B$6:$B$605,"&lt;="&amp;DATE(参数设置!$B$5,2,0))</f>
        <v>0</v>
      </c>
      <c r="E20" s="40" t="n">
        <f aca="false">SUMIFS(资金流水!$P$6:$P$605,资金流水!$C$6:$C$605,参数设置!$A$11,资金流水!$E$6:$E$605,"缴纳税费",资金流水!$H$6:$H$605,"印花税",资金流水!$B$6:$B$605,"&gt;="&amp;DATE(参数设置!$B$5,1,1),资金流水!$B$6:$B$605,"&lt;="&amp;DATE(参数设置!$B$5,2,0))</f>
        <v>0</v>
      </c>
      <c r="F20" s="40" t="n">
        <f aca="false">SUMIFS(资金流水!$P$6:$P$605,资金流水!$C$6:$C$605,参数设置!$A$11,资金流水!$E$6:$E$605,"缴纳税费",资金流水!$H$6:$H$605,"企业所得税",资金流水!$B$6:$B$605,"&gt;="&amp;DATE(参数设置!$B$5,1,1),资金流水!$B$6:$B$605,"&lt;="&amp;DATE(参数设置!$B$5,2,0))</f>
        <v>0</v>
      </c>
      <c r="G20" s="40" t="n">
        <f aca="false">SUMIFS(资金流水!$P$6:$P$605,资金流水!$C$6:$C$605,参数设置!$A$11,资金流水!$E$6:$E$605,"缴纳税费",资金流水!$H$6:$H$605,"个人所得税",资金流水!$B$6:$B$605,"&gt;="&amp;DATE(参数设置!$B$5,1,1),资金流水!$B$6:$B$605,"&lt;="&amp;DATE(参数设置!$B$5,2,0))</f>
        <v>0</v>
      </c>
      <c r="H20" s="40" t="n">
        <f aca="false">ROUND(SUMIFS(资金流水!$P$6:$P$605,资金流水!$C$6:$C$605,参数设置!$A$11,资金流水!$E$6:$E$605,"缴纳税费",资金流水!$B$6:$B$605,"&gt;="&amp;DATE(参数设置!$B$5,1,1),资金流水!$B$6:$B$605,"&lt;="&amp;DATE(参数设置!$B$5,2,0))-C20-D20-E20-F20-G20,2)</f>
        <v>0</v>
      </c>
      <c r="I20" s="42" t="n">
        <f aca="false">ROUND(SUM(C20:H20),2)</f>
        <v>0</v>
      </c>
      <c r="J20" s="40" t="n">
        <f aca="false">SUMIFS(购销流水!$Q$6:$Q$805,购销流水!$C$6:$C$805,参数设置!$A$11,购销流水!$D$6:$D$805,"销售出库",购销流水!$B$6:$B$805,"&gt;="&amp;DATE(参数设置!$B$5,1,1),购销流水!$B$6:$B$805,"&lt;="&amp;DATE(参数设置!$B$5,2,0))-SUMIFS(购销流水!$Q$6:$Q$805,购销流水!$C$6:$C$805,参数设置!$A$11,购销流水!$D$6:$D$805,"销售退回",购销流水!$B$6:$B$805,"&gt;="&amp;DATE(参数设置!$B$5,1,1),购销流水!$B$6:$B$805,"&lt;="&amp;DATE(参数设置!$B$5,2,0))+SUMIFS(资金流水!$P$6:$P$605,资金流水!$C$6:$C$605,参数设置!$A$11,资金流水!$E$6:$E$605,"现销收款",资金流水!$B$6:$B$605,"&gt;="&amp;DATE(参数设置!$B$5,1,1),资金流水!$B$6:$B$605,"&lt;="&amp;DATE(参数设置!$B$5,2,0))+SUMIFS(资金流水!$P$6:$P$605,资金流水!$C$6:$C$605,参数设置!$A$11,资金流水!$E$6:$E$605,"其他收入",资金流水!$B$6:$B$605,"&gt;="&amp;DATE(参数设置!$B$5,1,1),资金流水!$B$6:$B$605,"&lt;="&amp;DATE(参数设置!$B$5,2,0))</f>
        <v>0</v>
      </c>
      <c r="K20" s="51"/>
    </row>
    <row r="21" customFormat="false" ht="15" hidden="false" customHeight="false" outlineLevel="0" collapsed="false">
      <c r="A21" s="25" t="str">
        <f aca="false">参数设置!$A$11</f>
        <v>木业</v>
      </c>
      <c r="B21" s="25" t="str">
        <f aca="false">TEXT(DATE(参数设置!$B$5,2,1),"yyyy-mm")</f>
        <v>2026-02</v>
      </c>
      <c r="C21" s="40" t="n">
        <f aca="false">SUMIFS(资金流水!$P$6:$P$605,资金流水!$C$6:$C$605,参数设置!$A$11,资金流水!$E$6:$E$605,"缴纳税费",资金流水!$H$6:$H$605,"增值税",资金流水!$B$6:$B$605,"&gt;="&amp;DATE(参数设置!$B$5,2,1),资金流水!$B$6:$B$605,"&lt;="&amp;DATE(参数设置!$B$5,3,0))</f>
        <v>0</v>
      </c>
      <c r="D21" s="40" t="n">
        <f aca="false">SUMIFS(资金流水!$P$6:$P$605,资金流水!$C$6:$C$605,参数设置!$A$11,资金流水!$E$6:$E$605,"缴纳税费",资金流水!$H$6:$H$605,"城建税及附加",资金流水!$B$6:$B$605,"&gt;="&amp;DATE(参数设置!$B$5,2,1),资金流水!$B$6:$B$605,"&lt;="&amp;DATE(参数设置!$B$5,3,0))</f>
        <v>0</v>
      </c>
      <c r="E21" s="40" t="n">
        <f aca="false">SUMIFS(资金流水!$P$6:$P$605,资金流水!$C$6:$C$605,参数设置!$A$11,资金流水!$E$6:$E$605,"缴纳税费",资金流水!$H$6:$H$605,"印花税",资金流水!$B$6:$B$605,"&gt;="&amp;DATE(参数设置!$B$5,2,1),资金流水!$B$6:$B$605,"&lt;="&amp;DATE(参数设置!$B$5,3,0))</f>
        <v>0</v>
      </c>
      <c r="F21" s="40" t="n">
        <f aca="false">SUMIFS(资金流水!$P$6:$P$605,资金流水!$C$6:$C$605,参数设置!$A$11,资金流水!$E$6:$E$605,"缴纳税费",资金流水!$H$6:$H$605,"企业所得税",资金流水!$B$6:$B$605,"&gt;="&amp;DATE(参数设置!$B$5,2,1),资金流水!$B$6:$B$605,"&lt;="&amp;DATE(参数设置!$B$5,3,0))</f>
        <v>0</v>
      </c>
      <c r="G21" s="40" t="n">
        <f aca="false">SUMIFS(资金流水!$P$6:$P$605,资金流水!$C$6:$C$605,参数设置!$A$11,资金流水!$E$6:$E$605,"缴纳税费",资金流水!$H$6:$H$605,"个人所得税",资金流水!$B$6:$B$605,"&gt;="&amp;DATE(参数设置!$B$5,2,1),资金流水!$B$6:$B$605,"&lt;="&amp;DATE(参数设置!$B$5,3,0))</f>
        <v>0</v>
      </c>
      <c r="H21" s="40" t="n">
        <f aca="false">ROUND(SUMIFS(资金流水!$P$6:$P$605,资金流水!$C$6:$C$605,参数设置!$A$11,资金流水!$E$6:$E$605,"缴纳税费",资金流水!$B$6:$B$605,"&gt;="&amp;DATE(参数设置!$B$5,2,1),资金流水!$B$6:$B$605,"&lt;="&amp;DATE(参数设置!$B$5,3,0))-C21-D21-E21-F21-G21,2)</f>
        <v>0</v>
      </c>
      <c r="I21" s="42" t="n">
        <f aca="false">ROUND(SUM(C21:H21),2)</f>
        <v>0</v>
      </c>
      <c r="J21" s="40" t="n">
        <f aca="false">SUMIFS(购销流水!$Q$6:$Q$805,购销流水!$C$6:$C$805,参数设置!$A$11,购销流水!$D$6:$D$805,"销售出库",购销流水!$B$6:$B$805,"&gt;="&amp;DATE(参数设置!$B$5,2,1),购销流水!$B$6:$B$805,"&lt;="&amp;DATE(参数设置!$B$5,3,0))-SUMIFS(购销流水!$Q$6:$Q$805,购销流水!$C$6:$C$805,参数设置!$A$11,购销流水!$D$6:$D$805,"销售退回",购销流水!$B$6:$B$805,"&gt;="&amp;DATE(参数设置!$B$5,2,1),购销流水!$B$6:$B$805,"&lt;="&amp;DATE(参数设置!$B$5,3,0))+SUMIFS(资金流水!$P$6:$P$605,资金流水!$C$6:$C$605,参数设置!$A$11,资金流水!$E$6:$E$605,"现销收款",资金流水!$B$6:$B$605,"&gt;="&amp;DATE(参数设置!$B$5,2,1),资金流水!$B$6:$B$605,"&lt;="&amp;DATE(参数设置!$B$5,3,0))+SUMIFS(资金流水!$P$6:$P$605,资金流水!$C$6:$C$605,参数设置!$A$11,资金流水!$E$6:$E$605,"其他收入",资金流水!$B$6:$B$605,"&gt;="&amp;DATE(参数设置!$B$5,2,1),资金流水!$B$6:$B$605,"&lt;="&amp;DATE(参数设置!$B$5,3,0))</f>
        <v>0</v>
      </c>
      <c r="K21" s="51"/>
    </row>
    <row r="22" customFormat="false" ht="15" hidden="false" customHeight="false" outlineLevel="0" collapsed="false">
      <c r="A22" s="25" t="str">
        <f aca="false">参数设置!$A$11</f>
        <v>木业</v>
      </c>
      <c r="B22" s="25" t="str">
        <f aca="false">TEXT(DATE(参数设置!$B$5,3,1),"yyyy-mm")</f>
        <v>2026-03</v>
      </c>
      <c r="C22" s="40" t="n">
        <f aca="false">SUMIFS(资金流水!$P$6:$P$605,资金流水!$C$6:$C$605,参数设置!$A$11,资金流水!$E$6:$E$605,"缴纳税费",资金流水!$H$6:$H$605,"增值税",资金流水!$B$6:$B$605,"&gt;="&amp;DATE(参数设置!$B$5,3,1),资金流水!$B$6:$B$605,"&lt;="&amp;DATE(参数设置!$B$5,4,0))</f>
        <v>0</v>
      </c>
      <c r="D22" s="40" t="n">
        <f aca="false">SUMIFS(资金流水!$P$6:$P$605,资金流水!$C$6:$C$605,参数设置!$A$11,资金流水!$E$6:$E$605,"缴纳税费",资金流水!$H$6:$H$605,"城建税及附加",资金流水!$B$6:$B$605,"&gt;="&amp;DATE(参数设置!$B$5,3,1),资金流水!$B$6:$B$605,"&lt;="&amp;DATE(参数设置!$B$5,4,0))</f>
        <v>0</v>
      </c>
      <c r="E22" s="40" t="n">
        <f aca="false">SUMIFS(资金流水!$P$6:$P$605,资金流水!$C$6:$C$605,参数设置!$A$11,资金流水!$E$6:$E$605,"缴纳税费",资金流水!$H$6:$H$605,"印花税",资金流水!$B$6:$B$605,"&gt;="&amp;DATE(参数设置!$B$5,3,1),资金流水!$B$6:$B$605,"&lt;="&amp;DATE(参数设置!$B$5,4,0))</f>
        <v>0</v>
      </c>
      <c r="F22" s="40" t="n">
        <f aca="false">SUMIFS(资金流水!$P$6:$P$605,资金流水!$C$6:$C$605,参数设置!$A$11,资金流水!$E$6:$E$605,"缴纳税费",资金流水!$H$6:$H$605,"企业所得税",资金流水!$B$6:$B$605,"&gt;="&amp;DATE(参数设置!$B$5,3,1),资金流水!$B$6:$B$605,"&lt;="&amp;DATE(参数设置!$B$5,4,0))</f>
        <v>0</v>
      </c>
      <c r="G22" s="40" t="n">
        <f aca="false">SUMIFS(资金流水!$P$6:$P$605,资金流水!$C$6:$C$605,参数设置!$A$11,资金流水!$E$6:$E$605,"缴纳税费",资金流水!$H$6:$H$605,"个人所得税",资金流水!$B$6:$B$605,"&gt;="&amp;DATE(参数设置!$B$5,3,1),资金流水!$B$6:$B$605,"&lt;="&amp;DATE(参数设置!$B$5,4,0))</f>
        <v>0</v>
      </c>
      <c r="H22" s="40" t="n">
        <f aca="false">ROUND(SUMIFS(资金流水!$P$6:$P$605,资金流水!$C$6:$C$605,参数设置!$A$11,资金流水!$E$6:$E$605,"缴纳税费",资金流水!$B$6:$B$605,"&gt;="&amp;DATE(参数设置!$B$5,3,1),资金流水!$B$6:$B$605,"&lt;="&amp;DATE(参数设置!$B$5,4,0))-C22-D22-E22-F22-G22,2)</f>
        <v>0</v>
      </c>
      <c r="I22" s="42" t="n">
        <f aca="false">ROUND(SUM(C22:H22),2)</f>
        <v>0</v>
      </c>
      <c r="J22" s="40" t="n">
        <f aca="false">SUMIFS(购销流水!$Q$6:$Q$805,购销流水!$C$6:$C$805,参数设置!$A$11,购销流水!$D$6:$D$805,"销售出库",购销流水!$B$6:$B$805,"&gt;="&amp;DATE(参数设置!$B$5,3,1),购销流水!$B$6:$B$805,"&lt;="&amp;DATE(参数设置!$B$5,4,0))-SUMIFS(购销流水!$Q$6:$Q$805,购销流水!$C$6:$C$805,参数设置!$A$11,购销流水!$D$6:$D$805,"销售退回",购销流水!$B$6:$B$805,"&gt;="&amp;DATE(参数设置!$B$5,3,1),购销流水!$B$6:$B$805,"&lt;="&amp;DATE(参数设置!$B$5,4,0))+SUMIFS(资金流水!$P$6:$P$605,资金流水!$C$6:$C$605,参数设置!$A$11,资金流水!$E$6:$E$605,"现销收款",资金流水!$B$6:$B$605,"&gt;="&amp;DATE(参数设置!$B$5,3,1),资金流水!$B$6:$B$605,"&lt;="&amp;DATE(参数设置!$B$5,4,0))+SUMIFS(资金流水!$P$6:$P$605,资金流水!$C$6:$C$605,参数设置!$A$11,资金流水!$E$6:$E$605,"其他收入",资金流水!$B$6:$B$605,"&gt;="&amp;DATE(参数设置!$B$5,3,1),资金流水!$B$6:$B$605,"&lt;="&amp;DATE(参数设置!$B$5,4,0))</f>
        <v>0</v>
      </c>
      <c r="K22" s="51"/>
    </row>
    <row r="23" customFormat="false" ht="15" hidden="false" customHeight="false" outlineLevel="0" collapsed="false">
      <c r="A23" s="25" t="str">
        <f aca="false">参数设置!$A$11</f>
        <v>木业</v>
      </c>
      <c r="B23" s="25" t="str">
        <f aca="false">TEXT(DATE(参数设置!$B$5,4,1),"yyyy-mm")</f>
        <v>2026-04</v>
      </c>
      <c r="C23" s="40" t="n">
        <f aca="false">SUMIFS(资金流水!$P$6:$P$605,资金流水!$C$6:$C$605,参数设置!$A$11,资金流水!$E$6:$E$605,"缴纳税费",资金流水!$H$6:$H$605,"增值税",资金流水!$B$6:$B$605,"&gt;="&amp;DATE(参数设置!$B$5,4,1),资金流水!$B$6:$B$605,"&lt;="&amp;DATE(参数设置!$B$5,5,0))</f>
        <v>0</v>
      </c>
      <c r="D23" s="40" t="n">
        <f aca="false">SUMIFS(资金流水!$P$6:$P$605,资金流水!$C$6:$C$605,参数设置!$A$11,资金流水!$E$6:$E$605,"缴纳税费",资金流水!$H$6:$H$605,"城建税及附加",资金流水!$B$6:$B$605,"&gt;="&amp;DATE(参数设置!$B$5,4,1),资金流水!$B$6:$B$605,"&lt;="&amp;DATE(参数设置!$B$5,5,0))</f>
        <v>0</v>
      </c>
      <c r="E23" s="40" t="n">
        <f aca="false">SUMIFS(资金流水!$P$6:$P$605,资金流水!$C$6:$C$605,参数设置!$A$11,资金流水!$E$6:$E$605,"缴纳税费",资金流水!$H$6:$H$605,"印花税",资金流水!$B$6:$B$605,"&gt;="&amp;DATE(参数设置!$B$5,4,1),资金流水!$B$6:$B$605,"&lt;="&amp;DATE(参数设置!$B$5,5,0))</f>
        <v>0</v>
      </c>
      <c r="F23" s="40" t="n">
        <f aca="false">SUMIFS(资金流水!$P$6:$P$605,资金流水!$C$6:$C$605,参数设置!$A$11,资金流水!$E$6:$E$605,"缴纳税费",资金流水!$H$6:$H$605,"企业所得税",资金流水!$B$6:$B$605,"&gt;="&amp;DATE(参数设置!$B$5,4,1),资金流水!$B$6:$B$605,"&lt;="&amp;DATE(参数设置!$B$5,5,0))</f>
        <v>0</v>
      </c>
      <c r="G23" s="40" t="n">
        <f aca="false">SUMIFS(资金流水!$P$6:$P$605,资金流水!$C$6:$C$605,参数设置!$A$11,资金流水!$E$6:$E$605,"缴纳税费",资金流水!$H$6:$H$605,"个人所得税",资金流水!$B$6:$B$605,"&gt;="&amp;DATE(参数设置!$B$5,4,1),资金流水!$B$6:$B$605,"&lt;="&amp;DATE(参数设置!$B$5,5,0))</f>
        <v>0</v>
      </c>
      <c r="H23" s="40" t="n">
        <f aca="false">ROUND(SUMIFS(资金流水!$P$6:$P$605,资金流水!$C$6:$C$605,参数设置!$A$11,资金流水!$E$6:$E$605,"缴纳税费",资金流水!$B$6:$B$605,"&gt;="&amp;DATE(参数设置!$B$5,4,1),资金流水!$B$6:$B$605,"&lt;="&amp;DATE(参数设置!$B$5,5,0))-C23-D23-E23-F23-G23,2)</f>
        <v>0</v>
      </c>
      <c r="I23" s="42" t="n">
        <f aca="false">ROUND(SUM(C23:H23),2)</f>
        <v>0</v>
      </c>
      <c r="J23" s="40" t="n">
        <f aca="false">SUMIFS(购销流水!$Q$6:$Q$805,购销流水!$C$6:$C$805,参数设置!$A$11,购销流水!$D$6:$D$805,"销售出库",购销流水!$B$6:$B$805,"&gt;="&amp;DATE(参数设置!$B$5,4,1),购销流水!$B$6:$B$805,"&lt;="&amp;DATE(参数设置!$B$5,5,0))-SUMIFS(购销流水!$Q$6:$Q$805,购销流水!$C$6:$C$805,参数设置!$A$11,购销流水!$D$6:$D$805,"销售退回",购销流水!$B$6:$B$805,"&gt;="&amp;DATE(参数设置!$B$5,4,1),购销流水!$B$6:$B$805,"&lt;="&amp;DATE(参数设置!$B$5,5,0))+SUMIFS(资金流水!$P$6:$P$605,资金流水!$C$6:$C$605,参数设置!$A$11,资金流水!$E$6:$E$605,"现销收款",资金流水!$B$6:$B$605,"&gt;="&amp;DATE(参数设置!$B$5,4,1),资金流水!$B$6:$B$605,"&lt;="&amp;DATE(参数设置!$B$5,5,0))+SUMIFS(资金流水!$P$6:$P$605,资金流水!$C$6:$C$605,参数设置!$A$11,资金流水!$E$6:$E$605,"其他收入",资金流水!$B$6:$B$605,"&gt;="&amp;DATE(参数设置!$B$5,4,1),资金流水!$B$6:$B$605,"&lt;="&amp;DATE(参数设置!$B$5,5,0))</f>
        <v>0</v>
      </c>
      <c r="K23" s="51"/>
    </row>
    <row r="24" customFormat="false" ht="15" hidden="false" customHeight="false" outlineLevel="0" collapsed="false">
      <c r="A24" s="25" t="str">
        <f aca="false">参数设置!$A$11</f>
        <v>木业</v>
      </c>
      <c r="B24" s="25" t="str">
        <f aca="false">TEXT(DATE(参数设置!$B$5,5,1),"yyyy-mm")</f>
        <v>2026-05</v>
      </c>
      <c r="C24" s="40" t="n">
        <f aca="false">SUMIFS(资金流水!$P$6:$P$605,资金流水!$C$6:$C$605,参数设置!$A$11,资金流水!$E$6:$E$605,"缴纳税费",资金流水!$H$6:$H$605,"增值税",资金流水!$B$6:$B$605,"&gt;="&amp;DATE(参数设置!$B$5,5,1),资金流水!$B$6:$B$605,"&lt;="&amp;DATE(参数设置!$B$5,6,0))</f>
        <v>0</v>
      </c>
      <c r="D24" s="40" t="n">
        <f aca="false">SUMIFS(资金流水!$P$6:$P$605,资金流水!$C$6:$C$605,参数设置!$A$11,资金流水!$E$6:$E$605,"缴纳税费",资金流水!$H$6:$H$605,"城建税及附加",资金流水!$B$6:$B$605,"&gt;="&amp;DATE(参数设置!$B$5,5,1),资金流水!$B$6:$B$605,"&lt;="&amp;DATE(参数设置!$B$5,6,0))</f>
        <v>0</v>
      </c>
      <c r="E24" s="40" t="n">
        <f aca="false">SUMIFS(资金流水!$P$6:$P$605,资金流水!$C$6:$C$605,参数设置!$A$11,资金流水!$E$6:$E$605,"缴纳税费",资金流水!$H$6:$H$605,"印花税",资金流水!$B$6:$B$605,"&gt;="&amp;DATE(参数设置!$B$5,5,1),资金流水!$B$6:$B$605,"&lt;="&amp;DATE(参数设置!$B$5,6,0))</f>
        <v>0</v>
      </c>
      <c r="F24" s="40" t="n">
        <f aca="false">SUMIFS(资金流水!$P$6:$P$605,资金流水!$C$6:$C$605,参数设置!$A$11,资金流水!$E$6:$E$605,"缴纳税费",资金流水!$H$6:$H$605,"企业所得税",资金流水!$B$6:$B$605,"&gt;="&amp;DATE(参数设置!$B$5,5,1),资金流水!$B$6:$B$605,"&lt;="&amp;DATE(参数设置!$B$5,6,0))</f>
        <v>0</v>
      </c>
      <c r="G24" s="40" t="n">
        <f aca="false">SUMIFS(资金流水!$P$6:$P$605,资金流水!$C$6:$C$605,参数设置!$A$11,资金流水!$E$6:$E$605,"缴纳税费",资金流水!$H$6:$H$605,"个人所得税",资金流水!$B$6:$B$605,"&gt;="&amp;DATE(参数设置!$B$5,5,1),资金流水!$B$6:$B$605,"&lt;="&amp;DATE(参数设置!$B$5,6,0))</f>
        <v>0</v>
      </c>
      <c r="H24" s="40" t="n">
        <f aca="false">ROUND(SUMIFS(资金流水!$P$6:$P$605,资金流水!$C$6:$C$605,参数设置!$A$11,资金流水!$E$6:$E$605,"缴纳税费",资金流水!$B$6:$B$605,"&gt;="&amp;DATE(参数设置!$B$5,5,1),资金流水!$B$6:$B$605,"&lt;="&amp;DATE(参数设置!$B$5,6,0))-C24-D24-E24-F24-G24,2)</f>
        <v>0</v>
      </c>
      <c r="I24" s="42" t="n">
        <f aca="false">ROUND(SUM(C24:H24),2)</f>
        <v>0</v>
      </c>
      <c r="J24" s="40" t="n">
        <f aca="false">SUMIFS(购销流水!$Q$6:$Q$805,购销流水!$C$6:$C$805,参数设置!$A$11,购销流水!$D$6:$D$805,"销售出库",购销流水!$B$6:$B$805,"&gt;="&amp;DATE(参数设置!$B$5,5,1),购销流水!$B$6:$B$805,"&lt;="&amp;DATE(参数设置!$B$5,6,0))-SUMIFS(购销流水!$Q$6:$Q$805,购销流水!$C$6:$C$805,参数设置!$A$11,购销流水!$D$6:$D$805,"销售退回",购销流水!$B$6:$B$805,"&gt;="&amp;DATE(参数设置!$B$5,5,1),购销流水!$B$6:$B$805,"&lt;="&amp;DATE(参数设置!$B$5,6,0))+SUMIFS(资金流水!$P$6:$P$605,资金流水!$C$6:$C$605,参数设置!$A$11,资金流水!$E$6:$E$605,"现销收款",资金流水!$B$6:$B$605,"&gt;="&amp;DATE(参数设置!$B$5,5,1),资金流水!$B$6:$B$605,"&lt;="&amp;DATE(参数设置!$B$5,6,0))+SUMIFS(资金流水!$P$6:$P$605,资金流水!$C$6:$C$605,参数设置!$A$11,资金流水!$E$6:$E$605,"其他收入",资金流水!$B$6:$B$605,"&gt;="&amp;DATE(参数设置!$B$5,5,1),资金流水!$B$6:$B$605,"&lt;="&amp;DATE(参数设置!$B$5,6,0))</f>
        <v>0</v>
      </c>
      <c r="K24" s="51"/>
    </row>
    <row r="25" customFormat="false" ht="15" hidden="false" customHeight="false" outlineLevel="0" collapsed="false">
      <c r="A25" s="25" t="str">
        <f aca="false">参数设置!$A$11</f>
        <v>木业</v>
      </c>
      <c r="B25" s="25" t="str">
        <f aca="false">TEXT(DATE(参数设置!$B$5,6,1),"yyyy-mm")</f>
        <v>2026-06</v>
      </c>
      <c r="C25" s="40" t="n">
        <f aca="false">SUMIFS(资金流水!$P$6:$P$605,资金流水!$C$6:$C$605,参数设置!$A$11,资金流水!$E$6:$E$605,"缴纳税费",资金流水!$H$6:$H$605,"增值税",资金流水!$B$6:$B$605,"&gt;="&amp;DATE(参数设置!$B$5,6,1),资金流水!$B$6:$B$605,"&lt;="&amp;DATE(参数设置!$B$5,7,0))</f>
        <v>0</v>
      </c>
      <c r="D25" s="40" t="n">
        <f aca="false">SUMIFS(资金流水!$P$6:$P$605,资金流水!$C$6:$C$605,参数设置!$A$11,资金流水!$E$6:$E$605,"缴纳税费",资金流水!$H$6:$H$605,"城建税及附加",资金流水!$B$6:$B$605,"&gt;="&amp;DATE(参数设置!$B$5,6,1),资金流水!$B$6:$B$605,"&lt;="&amp;DATE(参数设置!$B$5,7,0))</f>
        <v>0</v>
      </c>
      <c r="E25" s="40" t="n">
        <f aca="false">SUMIFS(资金流水!$P$6:$P$605,资金流水!$C$6:$C$605,参数设置!$A$11,资金流水!$E$6:$E$605,"缴纳税费",资金流水!$H$6:$H$605,"印花税",资金流水!$B$6:$B$605,"&gt;="&amp;DATE(参数设置!$B$5,6,1),资金流水!$B$6:$B$605,"&lt;="&amp;DATE(参数设置!$B$5,7,0))</f>
        <v>0</v>
      </c>
      <c r="F25" s="40" t="n">
        <f aca="false">SUMIFS(资金流水!$P$6:$P$605,资金流水!$C$6:$C$605,参数设置!$A$11,资金流水!$E$6:$E$605,"缴纳税费",资金流水!$H$6:$H$605,"企业所得税",资金流水!$B$6:$B$605,"&gt;="&amp;DATE(参数设置!$B$5,6,1),资金流水!$B$6:$B$605,"&lt;="&amp;DATE(参数设置!$B$5,7,0))</f>
        <v>0</v>
      </c>
      <c r="G25" s="40" t="n">
        <f aca="false">SUMIFS(资金流水!$P$6:$P$605,资金流水!$C$6:$C$605,参数设置!$A$11,资金流水!$E$6:$E$605,"缴纳税费",资金流水!$H$6:$H$605,"个人所得税",资金流水!$B$6:$B$605,"&gt;="&amp;DATE(参数设置!$B$5,6,1),资金流水!$B$6:$B$605,"&lt;="&amp;DATE(参数设置!$B$5,7,0))</f>
        <v>0</v>
      </c>
      <c r="H25" s="40" t="n">
        <f aca="false">ROUND(SUMIFS(资金流水!$P$6:$P$605,资金流水!$C$6:$C$605,参数设置!$A$11,资金流水!$E$6:$E$605,"缴纳税费",资金流水!$B$6:$B$605,"&gt;="&amp;DATE(参数设置!$B$5,6,1),资金流水!$B$6:$B$605,"&lt;="&amp;DATE(参数设置!$B$5,7,0))-C25-D25-E25-F25-G25,2)</f>
        <v>0</v>
      </c>
      <c r="I25" s="42" t="n">
        <f aca="false">ROUND(SUM(C25:H25),2)</f>
        <v>0</v>
      </c>
      <c r="J25" s="40" t="n">
        <f aca="false">SUMIFS(购销流水!$Q$6:$Q$805,购销流水!$C$6:$C$805,参数设置!$A$11,购销流水!$D$6:$D$805,"销售出库",购销流水!$B$6:$B$805,"&gt;="&amp;DATE(参数设置!$B$5,6,1),购销流水!$B$6:$B$805,"&lt;="&amp;DATE(参数设置!$B$5,7,0))-SUMIFS(购销流水!$Q$6:$Q$805,购销流水!$C$6:$C$805,参数设置!$A$11,购销流水!$D$6:$D$805,"销售退回",购销流水!$B$6:$B$805,"&gt;="&amp;DATE(参数设置!$B$5,6,1),购销流水!$B$6:$B$805,"&lt;="&amp;DATE(参数设置!$B$5,7,0))+SUMIFS(资金流水!$P$6:$P$605,资金流水!$C$6:$C$605,参数设置!$A$11,资金流水!$E$6:$E$605,"现销收款",资金流水!$B$6:$B$605,"&gt;="&amp;DATE(参数设置!$B$5,6,1),资金流水!$B$6:$B$605,"&lt;="&amp;DATE(参数设置!$B$5,7,0))+SUMIFS(资金流水!$P$6:$P$605,资金流水!$C$6:$C$605,参数设置!$A$11,资金流水!$E$6:$E$605,"其他收入",资金流水!$B$6:$B$605,"&gt;="&amp;DATE(参数设置!$B$5,6,1),资金流水!$B$6:$B$605,"&lt;="&amp;DATE(参数设置!$B$5,7,0))</f>
        <v>0</v>
      </c>
      <c r="K25" s="51"/>
    </row>
    <row r="26" customFormat="false" ht="15" hidden="false" customHeight="false" outlineLevel="0" collapsed="false">
      <c r="A26" s="25" t="str">
        <f aca="false">参数设置!$A$11</f>
        <v>木业</v>
      </c>
      <c r="B26" s="25" t="str">
        <f aca="false">TEXT(DATE(参数设置!$B$5,7,1),"yyyy-mm")</f>
        <v>2026-07</v>
      </c>
      <c r="C26" s="40" t="n">
        <f aca="false">SUMIFS(资金流水!$P$6:$P$605,资金流水!$C$6:$C$605,参数设置!$A$11,资金流水!$E$6:$E$605,"缴纳税费",资金流水!$H$6:$H$605,"增值税",资金流水!$B$6:$B$605,"&gt;="&amp;DATE(参数设置!$B$5,7,1),资金流水!$B$6:$B$605,"&lt;="&amp;DATE(参数设置!$B$5,8,0))</f>
        <v>0</v>
      </c>
      <c r="D26" s="40" t="n">
        <f aca="false">SUMIFS(资金流水!$P$6:$P$605,资金流水!$C$6:$C$605,参数设置!$A$11,资金流水!$E$6:$E$605,"缴纳税费",资金流水!$H$6:$H$605,"城建税及附加",资金流水!$B$6:$B$605,"&gt;="&amp;DATE(参数设置!$B$5,7,1),资金流水!$B$6:$B$605,"&lt;="&amp;DATE(参数设置!$B$5,8,0))</f>
        <v>0</v>
      </c>
      <c r="E26" s="40" t="n">
        <f aca="false">SUMIFS(资金流水!$P$6:$P$605,资金流水!$C$6:$C$605,参数设置!$A$11,资金流水!$E$6:$E$605,"缴纳税费",资金流水!$H$6:$H$605,"印花税",资金流水!$B$6:$B$605,"&gt;="&amp;DATE(参数设置!$B$5,7,1),资金流水!$B$6:$B$605,"&lt;="&amp;DATE(参数设置!$B$5,8,0))</f>
        <v>0</v>
      </c>
      <c r="F26" s="40" t="n">
        <f aca="false">SUMIFS(资金流水!$P$6:$P$605,资金流水!$C$6:$C$605,参数设置!$A$11,资金流水!$E$6:$E$605,"缴纳税费",资金流水!$H$6:$H$605,"企业所得税",资金流水!$B$6:$B$605,"&gt;="&amp;DATE(参数设置!$B$5,7,1),资金流水!$B$6:$B$605,"&lt;="&amp;DATE(参数设置!$B$5,8,0))</f>
        <v>0</v>
      </c>
      <c r="G26" s="40" t="n">
        <f aca="false">SUMIFS(资金流水!$P$6:$P$605,资金流水!$C$6:$C$605,参数设置!$A$11,资金流水!$E$6:$E$605,"缴纳税费",资金流水!$H$6:$H$605,"个人所得税",资金流水!$B$6:$B$605,"&gt;="&amp;DATE(参数设置!$B$5,7,1),资金流水!$B$6:$B$605,"&lt;="&amp;DATE(参数设置!$B$5,8,0))</f>
        <v>0</v>
      </c>
      <c r="H26" s="40" t="n">
        <f aca="false">ROUND(SUMIFS(资金流水!$P$6:$P$605,资金流水!$C$6:$C$605,参数设置!$A$11,资金流水!$E$6:$E$605,"缴纳税费",资金流水!$B$6:$B$605,"&gt;="&amp;DATE(参数设置!$B$5,7,1),资金流水!$B$6:$B$605,"&lt;="&amp;DATE(参数设置!$B$5,8,0))-C26-D26-E26-F26-G26,2)</f>
        <v>0</v>
      </c>
      <c r="I26" s="42" t="n">
        <f aca="false">ROUND(SUM(C26:H26),2)</f>
        <v>0</v>
      </c>
      <c r="J26" s="40" t="n">
        <f aca="false">SUMIFS(购销流水!$Q$6:$Q$805,购销流水!$C$6:$C$805,参数设置!$A$11,购销流水!$D$6:$D$805,"销售出库",购销流水!$B$6:$B$805,"&gt;="&amp;DATE(参数设置!$B$5,7,1),购销流水!$B$6:$B$805,"&lt;="&amp;DATE(参数设置!$B$5,8,0))-SUMIFS(购销流水!$Q$6:$Q$805,购销流水!$C$6:$C$805,参数设置!$A$11,购销流水!$D$6:$D$805,"销售退回",购销流水!$B$6:$B$805,"&gt;="&amp;DATE(参数设置!$B$5,7,1),购销流水!$B$6:$B$805,"&lt;="&amp;DATE(参数设置!$B$5,8,0))+SUMIFS(资金流水!$P$6:$P$605,资金流水!$C$6:$C$605,参数设置!$A$11,资金流水!$E$6:$E$605,"现销收款",资金流水!$B$6:$B$605,"&gt;="&amp;DATE(参数设置!$B$5,7,1),资金流水!$B$6:$B$605,"&lt;="&amp;DATE(参数设置!$B$5,8,0))+SUMIFS(资金流水!$P$6:$P$605,资金流水!$C$6:$C$605,参数设置!$A$11,资金流水!$E$6:$E$605,"其他收入",资金流水!$B$6:$B$605,"&gt;="&amp;DATE(参数设置!$B$5,7,1),资金流水!$B$6:$B$605,"&lt;="&amp;DATE(参数设置!$B$5,8,0))</f>
        <v>363000</v>
      </c>
      <c r="K26" s="51"/>
    </row>
    <row r="27" customFormat="false" ht="15" hidden="false" customHeight="false" outlineLevel="0" collapsed="false">
      <c r="A27" s="25" t="str">
        <f aca="false">参数设置!$A$11</f>
        <v>木业</v>
      </c>
      <c r="B27" s="25" t="str">
        <f aca="false">TEXT(DATE(参数设置!$B$5,8,1),"yyyy-mm")</f>
        <v>2026-08</v>
      </c>
      <c r="C27" s="40" t="n">
        <f aca="false">SUMIFS(资金流水!$P$6:$P$605,资金流水!$C$6:$C$605,参数设置!$A$11,资金流水!$E$6:$E$605,"缴纳税费",资金流水!$H$6:$H$605,"增值税",资金流水!$B$6:$B$605,"&gt;="&amp;DATE(参数设置!$B$5,8,1),资金流水!$B$6:$B$605,"&lt;="&amp;DATE(参数设置!$B$5,9,0))</f>
        <v>0</v>
      </c>
      <c r="D27" s="40" t="n">
        <f aca="false">SUMIFS(资金流水!$P$6:$P$605,资金流水!$C$6:$C$605,参数设置!$A$11,资金流水!$E$6:$E$605,"缴纳税费",资金流水!$H$6:$H$605,"城建税及附加",资金流水!$B$6:$B$605,"&gt;="&amp;DATE(参数设置!$B$5,8,1),资金流水!$B$6:$B$605,"&lt;="&amp;DATE(参数设置!$B$5,9,0))</f>
        <v>0</v>
      </c>
      <c r="E27" s="40" t="n">
        <f aca="false">SUMIFS(资金流水!$P$6:$P$605,资金流水!$C$6:$C$605,参数设置!$A$11,资金流水!$E$6:$E$605,"缴纳税费",资金流水!$H$6:$H$605,"印花税",资金流水!$B$6:$B$605,"&gt;="&amp;DATE(参数设置!$B$5,8,1),资金流水!$B$6:$B$605,"&lt;="&amp;DATE(参数设置!$B$5,9,0))</f>
        <v>0</v>
      </c>
      <c r="F27" s="40" t="n">
        <f aca="false">SUMIFS(资金流水!$P$6:$P$605,资金流水!$C$6:$C$605,参数设置!$A$11,资金流水!$E$6:$E$605,"缴纳税费",资金流水!$H$6:$H$605,"企业所得税",资金流水!$B$6:$B$605,"&gt;="&amp;DATE(参数设置!$B$5,8,1),资金流水!$B$6:$B$605,"&lt;="&amp;DATE(参数设置!$B$5,9,0))</f>
        <v>0</v>
      </c>
      <c r="G27" s="40" t="n">
        <f aca="false">SUMIFS(资金流水!$P$6:$P$605,资金流水!$C$6:$C$605,参数设置!$A$11,资金流水!$E$6:$E$605,"缴纳税费",资金流水!$H$6:$H$605,"个人所得税",资金流水!$B$6:$B$605,"&gt;="&amp;DATE(参数设置!$B$5,8,1),资金流水!$B$6:$B$605,"&lt;="&amp;DATE(参数设置!$B$5,9,0))</f>
        <v>0</v>
      </c>
      <c r="H27" s="40" t="n">
        <f aca="false">ROUND(SUMIFS(资金流水!$P$6:$P$605,资金流水!$C$6:$C$605,参数设置!$A$11,资金流水!$E$6:$E$605,"缴纳税费",资金流水!$B$6:$B$605,"&gt;="&amp;DATE(参数设置!$B$5,8,1),资金流水!$B$6:$B$605,"&lt;="&amp;DATE(参数设置!$B$5,9,0))-C27-D27-E27-F27-G27,2)</f>
        <v>0</v>
      </c>
      <c r="I27" s="42" t="n">
        <f aca="false">ROUND(SUM(C27:H27),2)</f>
        <v>0</v>
      </c>
      <c r="J27" s="40" t="n">
        <f aca="false">SUMIFS(购销流水!$Q$6:$Q$805,购销流水!$C$6:$C$805,参数设置!$A$11,购销流水!$D$6:$D$805,"销售出库",购销流水!$B$6:$B$805,"&gt;="&amp;DATE(参数设置!$B$5,8,1),购销流水!$B$6:$B$805,"&lt;="&amp;DATE(参数设置!$B$5,9,0))-SUMIFS(购销流水!$Q$6:$Q$805,购销流水!$C$6:$C$805,参数设置!$A$11,购销流水!$D$6:$D$805,"销售退回",购销流水!$B$6:$B$805,"&gt;="&amp;DATE(参数设置!$B$5,8,1),购销流水!$B$6:$B$805,"&lt;="&amp;DATE(参数设置!$B$5,9,0))+SUMIFS(资金流水!$P$6:$P$605,资金流水!$C$6:$C$605,参数设置!$A$11,资金流水!$E$6:$E$605,"现销收款",资金流水!$B$6:$B$605,"&gt;="&amp;DATE(参数设置!$B$5,8,1),资金流水!$B$6:$B$605,"&lt;="&amp;DATE(参数设置!$B$5,9,0))+SUMIFS(资金流水!$P$6:$P$605,资金流水!$C$6:$C$605,参数设置!$A$11,资金流水!$E$6:$E$605,"其他收入",资金流水!$B$6:$B$605,"&gt;="&amp;DATE(参数设置!$B$5,8,1),资金流水!$B$6:$B$605,"&lt;="&amp;DATE(参数设置!$B$5,9,0))</f>
        <v>197250</v>
      </c>
      <c r="K27" s="51"/>
    </row>
    <row r="28" customFormat="false" ht="15" hidden="false" customHeight="false" outlineLevel="0" collapsed="false">
      <c r="A28" s="25" t="str">
        <f aca="false">参数设置!$A$11</f>
        <v>木业</v>
      </c>
      <c r="B28" s="25" t="str">
        <f aca="false">TEXT(DATE(参数设置!$B$5,9,1),"yyyy-mm")</f>
        <v>2026-09</v>
      </c>
      <c r="C28" s="40" t="n">
        <f aca="false">SUMIFS(资金流水!$P$6:$P$605,资金流水!$C$6:$C$605,参数设置!$A$11,资金流水!$E$6:$E$605,"缴纳税费",资金流水!$H$6:$H$605,"增值税",资金流水!$B$6:$B$605,"&gt;="&amp;DATE(参数设置!$B$5,9,1),资金流水!$B$6:$B$605,"&lt;="&amp;DATE(参数设置!$B$5,10,0))</f>
        <v>28000</v>
      </c>
      <c r="D28" s="40" t="n">
        <f aca="false">SUMIFS(资金流水!$P$6:$P$605,资金流水!$C$6:$C$605,参数设置!$A$11,资金流水!$E$6:$E$605,"缴纳税费",资金流水!$H$6:$H$605,"城建税及附加",资金流水!$B$6:$B$605,"&gt;="&amp;DATE(参数设置!$B$5,9,1),资金流水!$B$6:$B$605,"&lt;="&amp;DATE(参数设置!$B$5,10,0))</f>
        <v>0</v>
      </c>
      <c r="E28" s="40" t="n">
        <f aca="false">SUMIFS(资金流水!$P$6:$P$605,资金流水!$C$6:$C$605,参数设置!$A$11,资金流水!$E$6:$E$605,"缴纳税费",资金流水!$H$6:$H$605,"印花税",资金流水!$B$6:$B$605,"&gt;="&amp;DATE(参数设置!$B$5,9,1),资金流水!$B$6:$B$605,"&lt;="&amp;DATE(参数设置!$B$5,10,0))</f>
        <v>0</v>
      </c>
      <c r="F28" s="40" t="n">
        <f aca="false">SUMIFS(资金流水!$P$6:$P$605,资金流水!$C$6:$C$605,参数设置!$A$11,资金流水!$E$6:$E$605,"缴纳税费",资金流水!$H$6:$H$605,"企业所得税",资金流水!$B$6:$B$605,"&gt;="&amp;DATE(参数设置!$B$5,9,1),资金流水!$B$6:$B$605,"&lt;="&amp;DATE(参数设置!$B$5,10,0))</f>
        <v>0</v>
      </c>
      <c r="G28" s="40" t="n">
        <f aca="false">SUMIFS(资金流水!$P$6:$P$605,资金流水!$C$6:$C$605,参数设置!$A$11,资金流水!$E$6:$E$605,"缴纳税费",资金流水!$H$6:$H$605,"个人所得税",资金流水!$B$6:$B$605,"&gt;="&amp;DATE(参数设置!$B$5,9,1),资金流水!$B$6:$B$605,"&lt;="&amp;DATE(参数设置!$B$5,10,0))</f>
        <v>0</v>
      </c>
      <c r="H28" s="40" t="n">
        <f aca="false">ROUND(SUMIFS(资金流水!$P$6:$P$605,资金流水!$C$6:$C$605,参数设置!$A$11,资金流水!$E$6:$E$605,"缴纳税费",资金流水!$B$6:$B$605,"&gt;="&amp;DATE(参数设置!$B$5,9,1),资金流水!$B$6:$B$605,"&lt;="&amp;DATE(参数设置!$B$5,10,0))-C28-D28-E28-F28-G28,2)</f>
        <v>0</v>
      </c>
      <c r="I28" s="42" t="n">
        <f aca="false">ROUND(SUM(C28:H28),2)</f>
        <v>28000</v>
      </c>
      <c r="J28" s="40" t="n">
        <f aca="false">SUMIFS(购销流水!$Q$6:$Q$805,购销流水!$C$6:$C$805,参数设置!$A$11,购销流水!$D$6:$D$805,"销售出库",购销流水!$B$6:$B$805,"&gt;="&amp;DATE(参数设置!$B$5,9,1),购销流水!$B$6:$B$805,"&lt;="&amp;DATE(参数设置!$B$5,10,0))-SUMIFS(购销流水!$Q$6:$Q$805,购销流水!$C$6:$C$805,参数设置!$A$11,购销流水!$D$6:$D$805,"销售退回",购销流水!$B$6:$B$805,"&gt;="&amp;DATE(参数设置!$B$5,9,1),购销流水!$B$6:$B$805,"&lt;="&amp;DATE(参数设置!$B$5,10,0))+SUMIFS(资金流水!$P$6:$P$605,资金流水!$C$6:$C$605,参数设置!$A$11,资金流水!$E$6:$E$605,"现销收款",资金流水!$B$6:$B$605,"&gt;="&amp;DATE(参数设置!$B$5,9,1),资金流水!$B$6:$B$605,"&lt;="&amp;DATE(参数设置!$B$5,10,0))+SUMIFS(资金流水!$P$6:$P$605,资金流水!$C$6:$C$605,参数设置!$A$11,资金流水!$E$6:$E$605,"其他收入",资金流水!$B$6:$B$605,"&gt;="&amp;DATE(参数设置!$B$5,9,1),资金流水!$B$6:$B$605,"&lt;="&amp;DATE(参数设置!$B$5,10,0))</f>
        <v>21750</v>
      </c>
      <c r="K28" s="51"/>
    </row>
    <row r="29" customFormat="false" ht="15" hidden="false" customHeight="false" outlineLevel="0" collapsed="false">
      <c r="A29" s="25" t="str">
        <f aca="false">参数设置!$A$11</f>
        <v>木业</v>
      </c>
      <c r="B29" s="25" t="str">
        <f aca="false">TEXT(DATE(参数设置!$B$5,10,1),"yyyy-mm")</f>
        <v>2026-10</v>
      </c>
      <c r="C29" s="40" t="n">
        <f aca="false">SUMIFS(资金流水!$P$6:$P$605,资金流水!$C$6:$C$605,参数设置!$A$11,资金流水!$E$6:$E$605,"缴纳税费",资金流水!$H$6:$H$605,"增值税",资金流水!$B$6:$B$605,"&gt;="&amp;DATE(参数设置!$B$5,10,1),资金流水!$B$6:$B$605,"&lt;="&amp;DATE(参数设置!$B$5,11,0))</f>
        <v>0</v>
      </c>
      <c r="D29" s="40" t="n">
        <f aca="false">SUMIFS(资金流水!$P$6:$P$605,资金流水!$C$6:$C$605,参数设置!$A$11,资金流水!$E$6:$E$605,"缴纳税费",资金流水!$H$6:$H$605,"城建税及附加",资金流水!$B$6:$B$605,"&gt;="&amp;DATE(参数设置!$B$5,10,1),资金流水!$B$6:$B$605,"&lt;="&amp;DATE(参数设置!$B$5,11,0))</f>
        <v>3360</v>
      </c>
      <c r="E29" s="40" t="n">
        <f aca="false">SUMIFS(资金流水!$P$6:$P$605,资金流水!$C$6:$C$605,参数设置!$A$11,资金流水!$E$6:$E$605,"缴纳税费",资金流水!$H$6:$H$605,"印花税",资金流水!$B$6:$B$605,"&gt;="&amp;DATE(参数设置!$B$5,10,1),资金流水!$B$6:$B$605,"&lt;="&amp;DATE(参数设置!$B$5,11,0))</f>
        <v>0</v>
      </c>
      <c r="F29" s="40" t="n">
        <f aca="false">SUMIFS(资金流水!$P$6:$P$605,资金流水!$C$6:$C$605,参数设置!$A$11,资金流水!$E$6:$E$605,"缴纳税费",资金流水!$H$6:$H$605,"企业所得税",资金流水!$B$6:$B$605,"&gt;="&amp;DATE(参数设置!$B$5,10,1),资金流水!$B$6:$B$605,"&lt;="&amp;DATE(参数设置!$B$5,11,0))</f>
        <v>0</v>
      </c>
      <c r="G29" s="40" t="n">
        <f aca="false">SUMIFS(资金流水!$P$6:$P$605,资金流水!$C$6:$C$605,参数设置!$A$11,资金流水!$E$6:$E$605,"缴纳税费",资金流水!$H$6:$H$605,"个人所得税",资金流水!$B$6:$B$605,"&gt;="&amp;DATE(参数设置!$B$5,10,1),资金流水!$B$6:$B$605,"&lt;="&amp;DATE(参数设置!$B$5,11,0))</f>
        <v>0</v>
      </c>
      <c r="H29" s="40" t="n">
        <f aca="false">ROUND(SUMIFS(资金流水!$P$6:$P$605,资金流水!$C$6:$C$605,参数设置!$A$11,资金流水!$E$6:$E$605,"缴纳税费",资金流水!$B$6:$B$605,"&gt;="&amp;DATE(参数设置!$B$5,10,1),资金流水!$B$6:$B$605,"&lt;="&amp;DATE(参数设置!$B$5,11,0))-C29-D29-E29-F29-G29,2)</f>
        <v>0</v>
      </c>
      <c r="I29" s="42" t="n">
        <f aca="false">ROUND(SUM(C29:H29),2)</f>
        <v>3360</v>
      </c>
      <c r="J29" s="40" t="n">
        <f aca="false">SUMIFS(购销流水!$Q$6:$Q$805,购销流水!$C$6:$C$805,参数设置!$A$11,购销流水!$D$6:$D$805,"销售出库",购销流水!$B$6:$B$805,"&gt;="&amp;DATE(参数设置!$B$5,10,1),购销流水!$B$6:$B$805,"&lt;="&amp;DATE(参数设置!$B$5,11,0))-SUMIFS(购销流水!$Q$6:$Q$805,购销流水!$C$6:$C$805,参数设置!$A$11,购销流水!$D$6:$D$805,"销售退回",购销流水!$B$6:$B$805,"&gt;="&amp;DATE(参数设置!$B$5,10,1),购销流水!$B$6:$B$805,"&lt;="&amp;DATE(参数设置!$B$5,11,0))+SUMIFS(资金流水!$P$6:$P$605,资金流水!$C$6:$C$605,参数设置!$A$11,资金流水!$E$6:$E$605,"现销收款",资金流水!$B$6:$B$605,"&gt;="&amp;DATE(参数设置!$B$5,10,1),资金流水!$B$6:$B$605,"&lt;="&amp;DATE(参数设置!$B$5,11,0))+SUMIFS(资金流水!$P$6:$P$605,资金流水!$C$6:$C$605,参数设置!$A$11,资金流水!$E$6:$E$605,"其他收入",资金流水!$B$6:$B$605,"&gt;="&amp;DATE(参数设置!$B$5,10,1),资金流水!$B$6:$B$605,"&lt;="&amp;DATE(参数设置!$B$5,11,0))</f>
        <v>0</v>
      </c>
      <c r="K29" s="51"/>
    </row>
    <row r="30" customFormat="false" ht="15" hidden="false" customHeight="false" outlineLevel="0" collapsed="false">
      <c r="A30" s="25" t="str">
        <f aca="false">参数设置!$A$11</f>
        <v>木业</v>
      </c>
      <c r="B30" s="25" t="str">
        <f aca="false">TEXT(DATE(参数设置!$B$5,11,1),"yyyy-mm")</f>
        <v>2026-11</v>
      </c>
      <c r="C30" s="40" t="n">
        <f aca="false">SUMIFS(资金流水!$P$6:$P$605,资金流水!$C$6:$C$605,参数设置!$A$11,资金流水!$E$6:$E$605,"缴纳税费",资金流水!$H$6:$H$605,"增值税",资金流水!$B$6:$B$605,"&gt;="&amp;DATE(参数设置!$B$5,11,1),资金流水!$B$6:$B$605,"&lt;="&amp;DATE(参数设置!$B$5,12,0))</f>
        <v>0</v>
      </c>
      <c r="D30" s="40" t="n">
        <f aca="false">SUMIFS(资金流水!$P$6:$P$605,资金流水!$C$6:$C$605,参数设置!$A$11,资金流水!$E$6:$E$605,"缴纳税费",资金流水!$H$6:$H$605,"城建税及附加",资金流水!$B$6:$B$605,"&gt;="&amp;DATE(参数设置!$B$5,11,1),资金流水!$B$6:$B$605,"&lt;="&amp;DATE(参数设置!$B$5,12,0))</f>
        <v>0</v>
      </c>
      <c r="E30" s="40" t="n">
        <f aca="false">SUMIFS(资金流水!$P$6:$P$605,资金流水!$C$6:$C$605,参数设置!$A$11,资金流水!$E$6:$E$605,"缴纳税费",资金流水!$H$6:$H$605,"印花税",资金流水!$B$6:$B$605,"&gt;="&amp;DATE(参数设置!$B$5,11,1),资金流水!$B$6:$B$605,"&lt;="&amp;DATE(参数设置!$B$5,12,0))</f>
        <v>0</v>
      </c>
      <c r="F30" s="40" t="n">
        <f aca="false">SUMIFS(资金流水!$P$6:$P$605,资金流水!$C$6:$C$605,参数设置!$A$11,资金流水!$E$6:$E$605,"缴纳税费",资金流水!$H$6:$H$605,"企业所得税",资金流水!$B$6:$B$605,"&gt;="&amp;DATE(参数设置!$B$5,11,1),资金流水!$B$6:$B$605,"&lt;="&amp;DATE(参数设置!$B$5,12,0))</f>
        <v>0</v>
      </c>
      <c r="G30" s="40" t="n">
        <f aca="false">SUMIFS(资金流水!$P$6:$P$605,资金流水!$C$6:$C$605,参数设置!$A$11,资金流水!$E$6:$E$605,"缴纳税费",资金流水!$H$6:$H$605,"个人所得税",资金流水!$B$6:$B$605,"&gt;="&amp;DATE(参数设置!$B$5,11,1),资金流水!$B$6:$B$605,"&lt;="&amp;DATE(参数设置!$B$5,12,0))</f>
        <v>0</v>
      </c>
      <c r="H30" s="40" t="n">
        <f aca="false">ROUND(SUMIFS(资金流水!$P$6:$P$605,资金流水!$C$6:$C$605,参数设置!$A$11,资金流水!$E$6:$E$605,"缴纳税费",资金流水!$B$6:$B$605,"&gt;="&amp;DATE(参数设置!$B$5,11,1),资金流水!$B$6:$B$605,"&lt;="&amp;DATE(参数设置!$B$5,12,0))-C30-D30-E30-F30-G30,2)</f>
        <v>0</v>
      </c>
      <c r="I30" s="42" t="n">
        <f aca="false">ROUND(SUM(C30:H30),2)</f>
        <v>0</v>
      </c>
      <c r="J30" s="40" t="n">
        <f aca="false">SUMIFS(购销流水!$Q$6:$Q$805,购销流水!$C$6:$C$805,参数设置!$A$11,购销流水!$D$6:$D$805,"销售出库",购销流水!$B$6:$B$805,"&gt;="&amp;DATE(参数设置!$B$5,11,1),购销流水!$B$6:$B$805,"&lt;="&amp;DATE(参数设置!$B$5,12,0))-SUMIFS(购销流水!$Q$6:$Q$805,购销流水!$C$6:$C$805,参数设置!$A$11,购销流水!$D$6:$D$805,"销售退回",购销流水!$B$6:$B$805,"&gt;="&amp;DATE(参数设置!$B$5,11,1),购销流水!$B$6:$B$805,"&lt;="&amp;DATE(参数设置!$B$5,12,0))+SUMIFS(资金流水!$P$6:$P$605,资金流水!$C$6:$C$605,参数设置!$A$11,资金流水!$E$6:$E$605,"现销收款",资金流水!$B$6:$B$605,"&gt;="&amp;DATE(参数设置!$B$5,11,1),资金流水!$B$6:$B$605,"&lt;="&amp;DATE(参数设置!$B$5,12,0))+SUMIFS(资金流水!$P$6:$P$605,资金流水!$C$6:$C$605,参数设置!$A$11,资金流水!$E$6:$E$605,"其他收入",资金流水!$B$6:$B$605,"&gt;="&amp;DATE(参数设置!$B$5,11,1),资金流水!$B$6:$B$605,"&lt;="&amp;DATE(参数设置!$B$5,12,0))</f>
        <v>0</v>
      </c>
      <c r="K30" s="51"/>
    </row>
    <row r="31" customFormat="false" ht="15" hidden="false" customHeight="false" outlineLevel="0" collapsed="false">
      <c r="A31" s="25" t="str">
        <f aca="false">参数设置!$A$11</f>
        <v>木业</v>
      </c>
      <c r="B31" s="25" t="str">
        <f aca="false">TEXT(DATE(参数设置!$B$5,12,1),"yyyy-mm")</f>
        <v>2026-12</v>
      </c>
      <c r="C31" s="40" t="n">
        <f aca="false">SUMIFS(资金流水!$P$6:$P$605,资金流水!$C$6:$C$605,参数设置!$A$11,资金流水!$E$6:$E$605,"缴纳税费",资金流水!$H$6:$H$605,"增值税",资金流水!$B$6:$B$605,"&gt;="&amp;DATE(参数设置!$B$5,12,1),资金流水!$B$6:$B$605,"&lt;="&amp;DATE(参数设置!$B$5,13,0))</f>
        <v>0</v>
      </c>
      <c r="D31" s="40" t="n">
        <f aca="false">SUMIFS(资金流水!$P$6:$P$605,资金流水!$C$6:$C$605,参数设置!$A$11,资金流水!$E$6:$E$605,"缴纳税费",资金流水!$H$6:$H$605,"城建税及附加",资金流水!$B$6:$B$605,"&gt;="&amp;DATE(参数设置!$B$5,12,1),资金流水!$B$6:$B$605,"&lt;="&amp;DATE(参数设置!$B$5,13,0))</f>
        <v>0</v>
      </c>
      <c r="E31" s="40" t="n">
        <f aca="false">SUMIFS(资金流水!$P$6:$P$605,资金流水!$C$6:$C$605,参数设置!$A$11,资金流水!$E$6:$E$605,"缴纳税费",资金流水!$H$6:$H$605,"印花税",资金流水!$B$6:$B$605,"&gt;="&amp;DATE(参数设置!$B$5,12,1),资金流水!$B$6:$B$605,"&lt;="&amp;DATE(参数设置!$B$5,13,0))</f>
        <v>0</v>
      </c>
      <c r="F31" s="40" t="n">
        <f aca="false">SUMIFS(资金流水!$P$6:$P$605,资金流水!$C$6:$C$605,参数设置!$A$11,资金流水!$E$6:$E$605,"缴纳税费",资金流水!$H$6:$H$605,"企业所得税",资金流水!$B$6:$B$605,"&gt;="&amp;DATE(参数设置!$B$5,12,1),资金流水!$B$6:$B$605,"&lt;="&amp;DATE(参数设置!$B$5,13,0))</f>
        <v>6000</v>
      </c>
      <c r="G31" s="40" t="n">
        <f aca="false">SUMIFS(资金流水!$P$6:$P$605,资金流水!$C$6:$C$605,参数设置!$A$11,资金流水!$E$6:$E$605,"缴纳税费",资金流水!$H$6:$H$605,"个人所得税",资金流水!$B$6:$B$605,"&gt;="&amp;DATE(参数设置!$B$5,12,1),资金流水!$B$6:$B$605,"&lt;="&amp;DATE(参数设置!$B$5,13,0))</f>
        <v>0</v>
      </c>
      <c r="H31" s="40" t="n">
        <f aca="false">ROUND(SUMIFS(资金流水!$P$6:$P$605,资金流水!$C$6:$C$605,参数设置!$A$11,资金流水!$E$6:$E$605,"缴纳税费",资金流水!$B$6:$B$605,"&gt;="&amp;DATE(参数设置!$B$5,12,1),资金流水!$B$6:$B$605,"&lt;="&amp;DATE(参数设置!$B$5,13,0))-C31-D31-E31-F31-G31,2)</f>
        <v>0</v>
      </c>
      <c r="I31" s="42" t="n">
        <f aca="false">ROUND(SUM(C31:H31),2)</f>
        <v>6000</v>
      </c>
      <c r="J31" s="40" t="n">
        <f aca="false">SUMIFS(购销流水!$Q$6:$Q$805,购销流水!$C$6:$C$805,参数设置!$A$11,购销流水!$D$6:$D$805,"销售出库",购销流水!$B$6:$B$805,"&gt;="&amp;DATE(参数设置!$B$5,12,1),购销流水!$B$6:$B$805,"&lt;="&amp;DATE(参数设置!$B$5,13,0))-SUMIFS(购销流水!$Q$6:$Q$805,购销流水!$C$6:$C$805,参数设置!$A$11,购销流水!$D$6:$D$805,"销售退回",购销流水!$B$6:$B$805,"&gt;="&amp;DATE(参数设置!$B$5,12,1),购销流水!$B$6:$B$805,"&lt;="&amp;DATE(参数设置!$B$5,13,0))+SUMIFS(资金流水!$P$6:$P$605,资金流水!$C$6:$C$605,参数设置!$A$11,资金流水!$E$6:$E$605,"现销收款",资金流水!$B$6:$B$605,"&gt;="&amp;DATE(参数设置!$B$5,12,1),资金流水!$B$6:$B$605,"&lt;="&amp;DATE(参数设置!$B$5,13,0))+SUMIFS(资金流水!$P$6:$P$605,资金流水!$C$6:$C$605,参数设置!$A$11,资金流水!$E$6:$E$605,"其他收入",资金流水!$B$6:$B$605,"&gt;="&amp;DATE(参数设置!$B$5,12,1),资金流水!$B$6:$B$605,"&lt;="&amp;DATE(参数设置!$B$5,13,0))</f>
        <v>0</v>
      </c>
      <c r="K31" s="51"/>
    </row>
    <row r="32" customFormat="false" ht="25.35" hidden="false" customHeight="false" outlineLevel="0" collapsed="false">
      <c r="A32" s="31" t="str">
        <f aca="false">参数设置!$A$11</f>
        <v>木业</v>
      </c>
      <c r="B32" s="31" t="s">
        <v>883</v>
      </c>
      <c r="C32" s="12" t="n">
        <f aca="false">SUM(C20:C31)</f>
        <v>28000</v>
      </c>
      <c r="D32" s="12" t="n">
        <f aca="false">SUM(D20:D31)</f>
        <v>3360</v>
      </c>
      <c r="E32" s="12" t="n">
        <f aca="false">SUM(E20:E31)</f>
        <v>0</v>
      </c>
      <c r="F32" s="12" t="n">
        <f aca="false">SUM(F20:F31)</f>
        <v>6000</v>
      </c>
      <c r="G32" s="12" t="n">
        <f aca="false">SUM(G20:G31)</f>
        <v>0</v>
      </c>
      <c r="H32" s="12" t="n">
        <f aca="false">SUM(H20:H31)</f>
        <v>0</v>
      </c>
      <c r="I32" s="12" t="n">
        <f aca="false">SUM(I20:I31)</f>
        <v>37360</v>
      </c>
      <c r="J32" s="12" t="n">
        <f aca="false">SUM(J20:J31)</f>
        <v>582000</v>
      </c>
      <c r="K32" s="13" t="str">
        <f aca="false">IF(ROUND($J32,2)=0,"本年无含税收入","全年税负率 "&amp;TEXT($I32/$J32,"0.00%")&amp;"（实缴税费 ÷ 含税收入）")</f>
        <v>全年税负率 6.42%（实缴税费 ÷ 含税收入）</v>
      </c>
    </row>
    <row r="34" customFormat="false" ht="15" hidden="false" customHeight="false" outlineLevel="0" collapsed="false">
      <c r="A34" s="25" t="str">
        <f aca="false">参数设置!$A$12</f>
        <v>科技</v>
      </c>
      <c r="B34" s="25" t="str">
        <f aca="false">TEXT(DATE(参数设置!$B$5,1,1),"yyyy-mm")</f>
        <v>2026-01</v>
      </c>
      <c r="C34" s="40" t="n">
        <f aca="false">SUMIFS(资金流水!$P$6:$P$605,资金流水!$C$6:$C$605,参数设置!$A$12,资金流水!$E$6:$E$605,"缴纳税费",资金流水!$H$6:$H$605,"增值税",资金流水!$B$6:$B$605,"&gt;="&amp;DATE(参数设置!$B$5,1,1),资金流水!$B$6:$B$605,"&lt;="&amp;DATE(参数设置!$B$5,2,0))</f>
        <v>0</v>
      </c>
      <c r="D34" s="40" t="n">
        <f aca="false">SUMIFS(资金流水!$P$6:$P$605,资金流水!$C$6:$C$605,参数设置!$A$12,资金流水!$E$6:$E$605,"缴纳税费",资金流水!$H$6:$H$605,"城建税及附加",资金流水!$B$6:$B$605,"&gt;="&amp;DATE(参数设置!$B$5,1,1),资金流水!$B$6:$B$605,"&lt;="&amp;DATE(参数设置!$B$5,2,0))</f>
        <v>0</v>
      </c>
      <c r="E34" s="40" t="n">
        <f aca="false">SUMIFS(资金流水!$P$6:$P$605,资金流水!$C$6:$C$605,参数设置!$A$12,资金流水!$E$6:$E$605,"缴纳税费",资金流水!$H$6:$H$605,"印花税",资金流水!$B$6:$B$605,"&gt;="&amp;DATE(参数设置!$B$5,1,1),资金流水!$B$6:$B$605,"&lt;="&amp;DATE(参数设置!$B$5,2,0))</f>
        <v>0</v>
      </c>
      <c r="F34" s="40" t="n">
        <f aca="false">SUMIFS(资金流水!$P$6:$P$605,资金流水!$C$6:$C$605,参数设置!$A$12,资金流水!$E$6:$E$605,"缴纳税费",资金流水!$H$6:$H$605,"企业所得税",资金流水!$B$6:$B$605,"&gt;="&amp;DATE(参数设置!$B$5,1,1),资金流水!$B$6:$B$605,"&lt;="&amp;DATE(参数设置!$B$5,2,0))</f>
        <v>0</v>
      </c>
      <c r="G34" s="40" t="n">
        <f aca="false">SUMIFS(资金流水!$P$6:$P$605,资金流水!$C$6:$C$605,参数设置!$A$12,资金流水!$E$6:$E$605,"缴纳税费",资金流水!$H$6:$H$605,"个人所得税",资金流水!$B$6:$B$605,"&gt;="&amp;DATE(参数设置!$B$5,1,1),资金流水!$B$6:$B$605,"&lt;="&amp;DATE(参数设置!$B$5,2,0))</f>
        <v>0</v>
      </c>
      <c r="H34" s="40" t="n">
        <f aca="false">ROUND(SUMIFS(资金流水!$P$6:$P$605,资金流水!$C$6:$C$605,参数设置!$A$12,资金流水!$E$6:$E$605,"缴纳税费",资金流水!$B$6:$B$605,"&gt;="&amp;DATE(参数设置!$B$5,1,1),资金流水!$B$6:$B$605,"&lt;="&amp;DATE(参数设置!$B$5,2,0))-C34-D34-E34-F34-G34,2)</f>
        <v>0</v>
      </c>
      <c r="I34" s="42" t="n">
        <f aca="false">ROUND(SUM(C34:H34),2)</f>
        <v>0</v>
      </c>
      <c r="J34" s="40" t="n">
        <f aca="false">SUMIFS(购销流水!$Q$6:$Q$805,购销流水!$C$6:$C$805,参数设置!$A$12,购销流水!$D$6:$D$805,"销售出库",购销流水!$B$6:$B$805,"&gt;="&amp;DATE(参数设置!$B$5,1,1),购销流水!$B$6:$B$805,"&lt;="&amp;DATE(参数设置!$B$5,2,0))-SUMIFS(购销流水!$Q$6:$Q$805,购销流水!$C$6:$C$805,参数设置!$A$12,购销流水!$D$6:$D$805,"销售退回",购销流水!$B$6:$B$805,"&gt;="&amp;DATE(参数设置!$B$5,1,1),购销流水!$B$6:$B$805,"&lt;="&amp;DATE(参数设置!$B$5,2,0))+SUMIFS(资金流水!$P$6:$P$605,资金流水!$C$6:$C$605,参数设置!$A$12,资金流水!$E$6:$E$605,"现销收款",资金流水!$B$6:$B$605,"&gt;="&amp;DATE(参数设置!$B$5,1,1),资金流水!$B$6:$B$605,"&lt;="&amp;DATE(参数设置!$B$5,2,0))+SUMIFS(资金流水!$P$6:$P$605,资金流水!$C$6:$C$605,参数设置!$A$12,资金流水!$E$6:$E$605,"其他收入",资金流水!$B$6:$B$605,"&gt;="&amp;DATE(参数设置!$B$5,1,1),资金流水!$B$6:$B$605,"&lt;="&amp;DATE(参数设置!$B$5,2,0))</f>
        <v>0</v>
      </c>
      <c r="K34" s="51"/>
    </row>
    <row r="35" customFormat="false" ht="15" hidden="false" customHeight="false" outlineLevel="0" collapsed="false">
      <c r="A35" s="25" t="str">
        <f aca="false">参数设置!$A$12</f>
        <v>科技</v>
      </c>
      <c r="B35" s="25" t="str">
        <f aca="false">TEXT(DATE(参数设置!$B$5,2,1),"yyyy-mm")</f>
        <v>2026-02</v>
      </c>
      <c r="C35" s="40" t="n">
        <f aca="false">SUMIFS(资金流水!$P$6:$P$605,资金流水!$C$6:$C$605,参数设置!$A$12,资金流水!$E$6:$E$605,"缴纳税费",资金流水!$H$6:$H$605,"增值税",资金流水!$B$6:$B$605,"&gt;="&amp;DATE(参数设置!$B$5,2,1),资金流水!$B$6:$B$605,"&lt;="&amp;DATE(参数设置!$B$5,3,0))</f>
        <v>0</v>
      </c>
      <c r="D35" s="40" t="n">
        <f aca="false">SUMIFS(资金流水!$P$6:$P$605,资金流水!$C$6:$C$605,参数设置!$A$12,资金流水!$E$6:$E$605,"缴纳税费",资金流水!$H$6:$H$605,"城建税及附加",资金流水!$B$6:$B$605,"&gt;="&amp;DATE(参数设置!$B$5,2,1),资金流水!$B$6:$B$605,"&lt;="&amp;DATE(参数设置!$B$5,3,0))</f>
        <v>0</v>
      </c>
      <c r="E35" s="40" t="n">
        <f aca="false">SUMIFS(资金流水!$P$6:$P$605,资金流水!$C$6:$C$605,参数设置!$A$12,资金流水!$E$6:$E$605,"缴纳税费",资金流水!$H$6:$H$605,"印花税",资金流水!$B$6:$B$605,"&gt;="&amp;DATE(参数设置!$B$5,2,1),资金流水!$B$6:$B$605,"&lt;="&amp;DATE(参数设置!$B$5,3,0))</f>
        <v>0</v>
      </c>
      <c r="F35" s="40" t="n">
        <f aca="false">SUMIFS(资金流水!$P$6:$P$605,资金流水!$C$6:$C$605,参数设置!$A$12,资金流水!$E$6:$E$605,"缴纳税费",资金流水!$H$6:$H$605,"企业所得税",资金流水!$B$6:$B$605,"&gt;="&amp;DATE(参数设置!$B$5,2,1),资金流水!$B$6:$B$605,"&lt;="&amp;DATE(参数设置!$B$5,3,0))</f>
        <v>0</v>
      </c>
      <c r="G35" s="40" t="n">
        <f aca="false">SUMIFS(资金流水!$P$6:$P$605,资金流水!$C$6:$C$605,参数设置!$A$12,资金流水!$E$6:$E$605,"缴纳税费",资金流水!$H$6:$H$605,"个人所得税",资金流水!$B$6:$B$605,"&gt;="&amp;DATE(参数设置!$B$5,2,1),资金流水!$B$6:$B$605,"&lt;="&amp;DATE(参数设置!$B$5,3,0))</f>
        <v>0</v>
      </c>
      <c r="H35" s="40" t="n">
        <f aca="false">ROUND(SUMIFS(资金流水!$P$6:$P$605,资金流水!$C$6:$C$605,参数设置!$A$12,资金流水!$E$6:$E$605,"缴纳税费",资金流水!$B$6:$B$605,"&gt;="&amp;DATE(参数设置!$B$5,2,1),资金流水!$B$6:$B$605,"&lt;="&amp;DATE(参数设置!$B$5,3,0))-C35-D35-E35-F35-G35,2)</f>
        <v>0</v>
      </c>
      <c r="I35" s="42" t="n">
        <f aca="false">ROUND(SUM(C35:H35),2)</f>
        <v>0</v>
      </c>
      <c r="J35" s="40" t="n">
        <f aca="false">SUMIFS(购销流水!$Q$6:$Q$805,购销流水!$C$6:$C$805,参数设置!$A$12,购销流水!$D$6:$D$805,"销售出库",购销流水!$B$6:$B$805,"&gt;="&amp;DATE(参数设置!$B$5,2,1),购销流水!$B$6:$B$805,"&lt;="&amp;DATE(参数设置!$B$5,3,0))-SUMIFS(购销流水!$Q$6:$Q$805,购销流水!$C$6:$C$805,参数设置!$A$12,购销流水!$D$6:$D$805,"销售退回",购销流水!$B$6:$B$805,"&gt;="&amp;DATE(参数设置!$B$5,2,1),购销流水!$B$6:$B$805,"&lt;="&amp;DATE(参数设置!$B$5,3,0))+SUMIFS(资金流水!$P$6:$P$605,资金流水!$C$6:$C$605,参数设置!$A$12,资金流水!$E$6:$E$605,"现销收款",资金流水!$B$6:$B$605,"&gt;="&amp;DATE(参数设置!$B$5,2,1),资金流水!$B$6:$B$605,"&lt;="&amp;DATE(参数设置!$B$5,3,0))+SUMIFS(资金流水!$P$6:$P$605,资金流水!$C$6:$C$605,参数设置!$A$12,资金流水!$E$6:$E$605,"其他收入",资金流水!$B$6:$B$605,"&gt;="&amp;DATE(参数设置!$B$5,2,1),资金流水!$B$6:$B$605,"&lt;="&amp;DATE(参数设置!$B$5,3,0))</f>
        <v>0</v>
      </c>
      <c r="K35" s="51"/>
    </row>
    <row r="36" customFormat="false" ht="15" hidden="false" customHeight="false" outlineLevel="0" collapsed="false">
      <c r="A36" s="25" t="str">
        <f aca="false">参数设置!$A$12</f>
        <v>科技</v>
      </c>
      <c r="B36" s="25" t="str">
        <f aca="false">TEXT(DATE(参数设置!$B$5,3,1),"yyyy-mm")</f>
        <v>2026-03</v>
      </c>
      <c r="C36" s="40" t="n">
        <f aca="false">SUMIFS(资金流水!$P$6:$P$605,资金流水!$C$6:$C$605,参数设置!$A$12,资金流水!$E$6:$E$605,"缴纳税费",资金流水!$H$6:$H$605,"增值税",资金流水!$B$6:$B$605,"&gt;="&amp;DATE(参数设置!$B$5,3,1),资金流水!$B$6:$B$605,"&lt;="&amp;DATE(参数设置!$B$5,4,0))</f>
        <v>0</v>
      </c>
      <c r="D36" s="40" t="n">
        <f aca="false">SUMIFS(资金流水!$P$6:$P$605,资金流水!$C$6:$C$605,参数设置!$A$12,资金流水!$E$6:$E$605,"缴纳税费",资金流水!$H$6:$H$605,"城建税及附加",资金流水!$B$6:$B$605,"&gt;="&amp;DATE(参数设置!$B$5,3,1),资金流水!$B$6:$B$605,"&lt;="&amp;DATE(参数设置!$B$5,4,0))</f>
        <v>0</v>
      </c>
      <c r="E36" s="40" t="n">
        <f aca="false">SUMIFS(资金流水!$P$6:$P$605,资金流水!$C$6:$C$605,参数设置!$A$12,资金流水!$E$6:$E$605,"缴纳税费",资金流水!$H$6:$H$605,"印花税",资金流水!$B$6:$B$605,"&gt;="&amp;DATE(参数设置!$B$5,3,1),资金流水!$B$6:$B$605,"&lt;="&amp;DATE(参数设置!$B$5,4,0))</f>
        <v>0</v>
      </c>
      <c r="F36" s="40" t="n">
        <f aca="false">SUMIFS(资金流水!$P$6:$P$605,资金流水!$C$6:$C$605,参数设置!$A$12,资金流水!$E$6:$E$605,"缴纳税费",资金流水!$H$6:$H$605,"企业所得税",资金流水!$B$6:$B$605,"&gt;="&amp;DATE(参数设置!$B$5,3,1),资金流水!$B$6:$B$605,"&lt;="&amp;DATE(参数设置!$B$5,4,0))</f>
        <v>0</v>
      </c>
      <c r="G36" s="40" t="n">
        <f aca="false">SUMIFS(资金流水!$P$6:$P$605,资金流水!$C$6:$C$605,参数设置!$A$12,资金流水!$E$6:$E$605,"缴纳税费",资金流水!$H$6:$H$605,"个人所得税",资金流水!$B$6:$B$605,"&gt;="&amp;DATE(参数设置!$B$5,3,1),资金流水!$B$6:$B$605,"&lt;="&amp;DATE(参数设置!$B$5,4,0))</f>
        <v>0</v>
      </c>
      <c r="H36" s="40" t="n">
        <f aca="false">ROUND(SUMIFS(资金流水!$P$6:$P$605,资金流水!$C$6:$C$605,参数设置!$A$12,资金流水!$E$6:$E$605,"缴纳税费",资金流水!$B$6:$B$605,"&gt;="&amp;DATE(参数设置!$B$5,3,1),资金流水!$B$6:$B$605,"&lt;="&amp;DATE(参数设置!$B$5,4,0))-C36-D36-E36-F36-G36,2)</f>
        <v>0</v>
      </c>
      <c r="I36" s="42" t="n">
        <f aca="false">ROUND(SUM(C36:H36),2)</f>
        <v>0</v>
      </c>
      <c r="J36" s="40" t="n">
        <f aca="false">SUMIFS(购销流水!$Q$6:$Q$805,购销流水!$C$6:$C$805,参数设置!$A$12,购销流水!$D$6:$D$805,"销售出库",购销流水!$B$6:$B$805,"&gt;="&amp;DATE(参数设置!$B$5,3,1),购销流水!$B$6:$B$805,"&lt;="&amp;DATE(参数设置!$B$5,4,0))-SUMIFS(购销流水!$Q$6:$Q$805,购销流水!$C$6:$C$805,参数设置!$A$12,购销流水!$D$6:$D$805,"销售退回",购销流水!$B$6:$B$805,"&gt;="&amp;DATE(参数设置!$B$5,3,1),购销流水!$B$6:$B$805,"&lt;="&amp;DATE(参数设置!$B$5,4,0))+SUMIFS(资金流水!$P$6:$P$605,资金流水!$C$6:$C$605,参数设置!$A$12,资金流水!$E$6:$E$605,"现销收款",资金流水!$B$6:$B$605,"&gt;="&amp;DATE(参数设置!$B$5,3,1),资金流水!$B$6:$B$605,"&lt;="&amp;DATE(参数设置!$B$5,4,0))+SUMIFS(资金流水!$P$6:$P$605,资金流水!$C$6:$C$605,参数设置!$A$12,资金流水!$E$6:$E$605,"其他收入",资金流水!$B$6:$B$605,"&gt;="&amp;DATE(参数设置!$B$5,3,1),资金流水!$B$6:$B$605,"&lt;="&amp;DATE(参数设置!$B$5,4,0))</f>
        <v>0</v>
      </c>
      <c r="K36" s="51"/>
    </row>
    <row r="37" customFormat="false" ht="15" hidden="false" customHeight="false" outlineLevel="0" collapsed="false">
      <c r="A37" s="25" t="str">
        <f aca="false">参数设置!$A$12</f>
        <v>科技</v>
      </c>
      <c r="B37" s="25" t="str">
        <f aca="false">TEXT(DATE(参数设置!$B$5,4,1),"yyyy-mm")</f>
        <v>2026-04</v>
      </c>
      <c r="C37" s="40" t="n">
        <f aca="false">SUMIFS(资金流水!$P$6:$P$605,资金流水!$C$6:$C$605,参数设置!$A$12,资金流水!$E$6:$E$605,"缴纳税费",资金流水!$H$6:$H$605,"增值税",资金流水!$B$6:$B$605,"&gt;="&amp;DATE(参数设置!$B$5,4,1),资金流水!$B$6:$B$605,"&lt;="&amp;DATE(参数设置!$B$5,5,0))</f>
        <v>0</v>
      </c>
      <c r="D37" s="40" t="n">
        <f aca="false">SUMIFS(资金流水!$P$6:$P$605,资金流水!$C$6:$C$605,参数设置!$A$12,资金流水!$E$6:$E$605,"缴纳税费",资金流水!$H$6:$H$605,"城建税及附加",资金流水!$B$6:$B$605,"&gt;="&amp;DATE(参数设置!$B$5,4,1),资金流水!$B$6:$B$605,"&lt;="&amp;DATE(参数设置!$B$5,5,0))</f>
        <v>0</v>
      </c>
      <c r="E37" s="40" t="n">
        <f aca="false">SUMIFS(资金流水!$P$6:$P$605,资金流水!$C$6:$C$605,参数设置!$A$12,资金流水!$E$6:$E$605,"缴纳税费",资金流水!$H$6:$H$605,"印花税",资金流水!$B$6:$B$605,"&gt;="&amp;DATE(参数设置!$B$5,4,1),资金流水!$B$6:$B$605,"&lt;="&amp;DATE(参数设置!$B$5,5,0))</f>
        <v>0</v>
      </c>
      <c r="F37" s="40" t="n">
        <f aca="false">SUMIFS(资金流水!$P$6:$P$605,资金流水!$C$6:$C$605,参数设置!$A$12,资金流水!$E$6:$E$605,"缴纳税费",资金流水!$H$6:$H$605,"企业所得税",资金流水!$B$6:$B$605,"&gt;="&amp;DATE(参数设置!$B$5,4,1),资金流水!$B$6:$B$605,"&lt;="&amp;DATE(参数设置!$B$5,5,0))</f>
        <v>0</v>
      </c>
      <c r="G37" s="40" t="n">
        <f aca="false">SUMIFS(资金流水!$P$6:$P$605,资金流水!$C$6:$C$605,参数设置!$A$12,资金流水!$E$6:$E$605,"缴纳税费",资金流水!$H$6:$H$605,"个人所得税",资金流水!$B$6:$B$605,"&gt;="&amp;DATE(参数设置!$B$5,4,1),资金流水!$B$6:$B$605,"&lt;="&amp;DATE(参数设置!$B$5,5,0))</f>
        <v>0</v>
      </c>
      <c r="H37" s="40" t="n">
        <f aca="false">ROUND(SUMIFS(资金流水!$P$6:$P$605,资金流水!$C$6:$C$605,参数设置!$A$12,资金流水!$E$6:$E$605,"缴纳税费",资金流水!$B$6:$B$605,"&gt;="&amp;DATE(参数设置!$B$5,4,1),资金流水!$B$6:$B$605,"&lt;="&amp;DATE(参数设置!$B$5,5,0))-C37-D37-E37-F37-G37,2)</f>
        <v>0</v>
      </c>
      <c r="I37" s="42" t="n">
        <f aca="false">ROUND(SUM(C37:H37),2)</f>
        <v>0</v>
      </c>
      <c r="J37" s="40" t="n">
        <f aca="false">SUMIFS(购销流水!$Q$6:$Q$805,购销流水!$C$6:$C$805,参数设置!$A$12,购销流水!$D$6:$D$805,"销售出库",购销流水!$B$6:$B$805,"&gt;="&amp;DATE(参数设置!$B$5,4,1),购销流水!$B$6:$B$805,"&lt;="&amp;DATE(参数设置!$B$5,5,0))-SUMIFS(购销流水!$Q$6:$Q$805,购销流水!$C$6:$C$805,参数设置!$A$12,购销流水!$D$6:$D$805,"销售退回",购销流水!$B$6:$B$805,"&gt;="&amp;DATE(参数设置!$B$5,4,1),购销流水!$B$6:$B$805,"&lt;="&amp;DATE(参数设置!$B$5,5,0))+SUMIFS(资金流水!$P$6:$P$605,资金流水!$C$6:$C$605,参数设置!$A$12,资金流水!$E$6:$E$605,"现销收款",资金流水!$B$6:$B$605,"&gt;="&amp;DATE(参数设置!$B$5,4,1),资金流水!$B$6:$B$605,"&lt;="&amp;DATE(参数设置!$B$5,5,0))+SUMIFS(资金流水!$P$6:$P$605,资金流水!$C$6:$C$605,参数设置!$A$12,资金流水!$E$6:$E$605,"其他收入",资金流水!$B$6:$B$605,"&gt;="&amp;DATE(参数设置!$B$5,4,1),资金流水!$B$6:$B$605,"&lt;="&amp;DATE(参数设置!$B$5,5,0))</f>
        <v>0</v>
      </c>
      <c r="K37" s="51"/>
    </row>
    <row r="38" customFormat="false" ht="15" hidden="false" customHeight="false" outlineLevel="0" collapsed="false">
      <c r="A38" s="25" t="str">
        <f aca="false">参数设置!$A$12</f>
        <v>科技</v>
      </c>
      <c r="B38" s="25" t="str">
        <f aca="false">TEXT(DATE(参数设置!$B$5,5,1),"yyyy-mm")</f>
        <v>2026-05</v>
      </c>
      <c r="C38" s="40" t="n">
        <f aca="false">SUMIFS(资金流水!$P$6:$P$605,资金流水!$C$6:$C$605,参数设置!$A$12,资金流水!$E$6:$E$605,"缴纳税费",资金流水!$H$6:$H$605,"增值税",资金流水!$B$6:$B$605,"&gt;="&amp;DATE(参数设置!$B$5,5,1),资金流水!$B$6:$B$605,"&lt;="&amp;DATE(参数设置!$B$5,6,0))</f>
        <v>0</v>
      </c>
      <c r="D38" s="40" t="n">
        <f aca="false">SUMIFS(资金流水!$P$6:$P$605,资金流水!$C$6:$C$605,参数设置!$A$12,资金流水!$E$6:$E$605,"缴纳税费",资金流水!$H$6:$H$605,"城建税及附加",资金流水!$B$6:$B$605,"&gt;="&amp;DATE(参数设置!$B$5,5,1),资金流水!$B$6:$B$605,"&lt;="&amp;DATE(参数设置!$B$5,6,0))</f>
        <v>0</v>
      </c>
      <c r="E38" s="40" t="n">
        <f aca="false">SUMIFS(资金流水!$P$6:$P$605,资金流水!$C$6:$C$605,参数设置!$A$12,资金流水!$E$6:$E$605,"缴纳税费",资金流水!$H$6:$H$605,"印花税",资金流水!$B$6:$B$605,"&gt;="&amp;DATE(参数设置!$B$5,5,1),资金流水!$B$6:$B$605,"&lt;="&amp;DATE(参数设置!$B$5,6,0))</f>
        <v>0</v>
      </c>
      <c r="F38" s="40" t="n">
        <f aca="false">SUMIFS(资金流水!$P$6:$P$605,资金流水!$C$6:$C$605,参数设置!$A$12,资金流水!$E$6:$E$605,"缴纳税费",资金流水!$H$6:$H$605,"企业所得税",资金流水!$B$6:$B$605,"&gt;="&amp;DATE(参数设置!$B$5,5,1),资金流水!$B$6:$B$605,"&lt;="&amp;DATE(参数设置!$B$5,6,0))</f>
        <v>0</v>
      </c>
      <c r="G38" s="40" t="n">
        <f aca="false">SUMIFS(资金流水!$P$6:$P$605,资金流水!$C$6:$C$605,参数设置!$A$12,资金流水!$E$6:$E$605,"缴纳税费",资金流水!$H$6:$H$605,"个人所得税",资金流水!$B$6:$B$605,"&gt;="&amp;DATE(参数设置!$B$5,5,1),资金流水!$B$6:$B$605,"&lt;="&amp;DATE(参数设置!$B$5,6,0))</f>
        <v>0</v>
      </c>
      <c r="H38" s="40" t="n">
        <f aca="false">ROUND(SUMIFS(资金流水!$P$6:$P$605,资金流水!$C$6:$C$605,参数设置!$A$12,资金流水!$E$6:$E$605,"缴纳税费",资金流水!$B$6:$B$605,"&gt;="&amp;DATE(参数设置!$B$5,5,1),资金流水!$B$6:$B$605,"&lt;="&amp;DATE(参数设置!$B$5,6,0))-C38-D38-E38-F38-G38,2)</f>
        <v>0</v>
      </c>
      <c r="I38" s="42" t="n">
        <f aca="false">ROUND(SUM(C38:H38),2)</f>
        <v>0</v>
      </c>
      <c r="J38" s="40" t="n">
        <f aca="false">SUMIFS(购销流水!$Q$6:$Q$805,购销流水!$C$6:$C$805,参数设置!$A$12,购销流水!$D$6:$D$805,"销售出库",购销流水!$B$6:$B$805,"&gt;="&amp;DATE(参数设置!$B$5,5,1),购销流水!$B$6:$B$805,"&lt;="&amp;DATE(参数设置!$B$5,6,0))-SUMIFS(购销流水!$Q$6:$Q$805,购销流水!$C$6:$C$805,参数设置!$A$12,购销流水!$D$6:$D$805,"销售退回",购销流水!$B$6:$B$805,"&gt;="&amp;DATE(参数设置!$B$5,5,1),购销流水!$B$6:$B$805,"&lt;="&amp;DATE(参数设置!$B$5,6,0))+SUMIFS(资金流水!$P$6:$P$605,资金流水!$C$6:$C$605,参数设置!$A$12,资金流水!$E$6:$E$605,"现销收款",资金流水!$B$6:$B$605,"&gt;="&amp;DATE(参数设置!$B$5,5,1),资金流水!$B$6:$B$605,"&lt;="&amp;DATE(参数设置!$B$5,6,0))+SUMIFS(资金流水!$P$6:$P$605,资金流水!$C$6:$C$605,参数设置!$A$12,资金流水!$E$6:$E$605,"其他收入",资金流水!$B$6:$B$605,"&gt;="&amp;DATE(参数设置!$B$5,5,1),资金流水!$B$6:$B$605,"&lt;="&amp;DATE(参数设置!$B$5,6,0))</f>
        <v>0</v>
      </c>
      <c r="K38" s="51"/>
    </row>
    <row r="39" customFormat="false" ht="15" hidden="false" customHeight="false" outlineLevel="0" collapsed="false">
      <c r="A39" s="25" t="str">
        <f aca="false">参数设置!$A$12</f>
        <v>科技</v>
      </c>
      <c r="B39" s="25" t="str">
        <f aca="false">TEXT(DATE(参数设置!$B$5,6,1),"yyyy-mm")</f>
        <v>2026-06</v>
      </c>
      <c r="C39" s="40" t="n">
        <f aca="false">SUMIFS(资金流水!$P$6:$P$605,资金流水!$C$6:$C$605,参数设置!$A$12,资金流水!$E$6:$E$605,"缴纳税费",资金流水!$H$6:$H$605,"增值税",资金流水!$B$6:$B$605,"&gt;="&amp;DATE(参数设置!$B$5,6,1),资金流水!$B$6:$B$605,"&lt;="&amp;DATE(参数设置!$B$5,7,0))</f>
        <v>0</v>
      </c>
      <c r="D39" s="40" t="n">
        <f aca="false">SUMIFS(资金流水!$P$6:$P$605,资金流水!$C$6:$C$605,参数设置!$A$12,资金流水!$E$6:$E$605,"缴纳税费",资金流水!$H$6:$H$605,"城建税及附加",资金流水!$B$6:$B$605,"&gt;="&amp;DATE(参数设置!$B$5,6,1),资金流水!$B$6:$B$605,"&lt;="&amp;DATE(参数设置!$B$5,7,0))</f>
        <v>0</v>
      </c>
      <c r="E39" s="40" t="n">
        <f aca="false">SUMIFS(资金流水!$P$6:$P$605,资金流水!$C$6:$C$605,参数设置!$A$12,资金流水!$E$6:$E$605,"缴纳税费",资金流水!$H$6:$H$605,"印花税",资金流水!$B$6:$B$605,"&gt;="&amp;DATE(参数设置!$B$5,6,1),资金流水!$B$6:$B$605,"&lt;="&amp;DATE(参数设置!$B$5,7,0))</f>
        <v>0</v>
      </c>
      <c r="F39" s="40" t="n">
        <f aca="false">SUMIFS(资金流水!$P$6:$P$605,资金流水!$C$6:$C$605,参数设置!$A$12,资金流水!$E$6:$E$605,"缴纳税费",资金流水!$H$6:$H$605,"企业所得税",资金流水!$B$6:$B$605,"&gt;="&amp;DATE(参数设置!$B$5,6,1),资金流水!$B$6:$B$605,"&lt;="&amp;DATE(参数设置!$B$5,7,0))</f>
        <v>0</v>
      </c>
      <c r="G39" s="40" t="n">
        <f aca="false">SUMIFS(资金流水!$P$6:$P$605,资金流水!$C$6:$C$605,参数设置!$A$12,资金流水!$E$6:$E$605,"缴纳税费",资金流水!$H$6:$H$605,"个人所得税",资金流水!$B$6:$B$605,"&gt;="&amp;DATE(参数设置!$B$5,6,1),资金流水!$B$6:$B$605,"&lt;="&amp;DATE(参数设置!$B$5,7,0))</f>
        <v>0</v>
      </c>
      <c r="H39" s="40" t="n">
        <f aca="false">ROUND(SUMIFS(资金流水!$P$6:$P$605,资金流水!$C$6:$C$605,参数设置!$A$12,资金流水!$E$6:$E$605,"缴纳税费",资金流水!$B$6:$B$605,"&gt;="&amp;DATE(参数设置!$B$5,6,1),资金流水!$B$6:$B$605,"&lt;="&amp;DATE(参数设置!$B$5,7,0))-C39-D39-E39-F39-G39,2)</f>
        <v>0</v>
      </c>
      <c r="I39" s="42" t="n">
        <f aca="false">ROUND(SUM(C39:H39),2)</f>
        <v>0</v>
      </c>
      <c r="J39" s="40" t="n">
        <f aca="false">SUMIFS(购销流水!$Q$6:$Q$805,购销流水!$C$6:$C$805,参数设置!$A$12,购销流水!$D$6:$D$805,"销售出库",购销流水!$B$6:$B$805,"&gt;="&amp;DATE(参数设置!$B$5,6,1),购销流水!$B$6:$B$805,"&lt;="&amp;DATE(参数设置!$B$5,7,0))-SUMIFS(购销流水!$Q$6:$Q$805,购销流水!$C$6:$C$805,参数设置!$A$12,购销流水!$D$6:$D$805,"销售退回",购销流水!$B$6:$B$805,"&gt;="&amp;DATE(参数设置!$B$5,6,1),购销流水!$B$6:$B$805,"&lt;="&amp;DATE(参数设置!$B$5,7,0))+SUMIFS(资金流水!$P$6:$P$605,资金流水!$C$6:$C$605,参数设置!$A$12,资金流水!$E$6:$E$605,"现销收款",资金流水!$B$6:$B$605,"&gt;="&amp;DATE(参数设置!$B$5,6,1),资金流水!$B$6:$B$605,"&lt;="&amp;DATE(参数设置!$B$5,7,0))+SUMIFS(资金流水!$P$6:$P$605,资金流水!$C$6:$C$605,参数设置!$A$12,资金流水!$E$6:$E$605,"其他收入",资金流水!$B$6:$B$605,"&gt;="&amp;DATE(参数设置!$B$5,6,1),资金流水!$B$6:$B$605,"&lt;="&amp;DATE(参数设置!$B$5,7,0))</f>
        <v>0</v>
      </c>
      <c r="K39" s="51"/>
    </row>
    <row r="40" customFormat="false" ht="15" hidden="false" customHeight="false" outlineLevel="0" collapsed="false">
      <c r="A40" s="25" t="str">
        <f aca="false">参数设置!$A$12</f>
        <v>科技</v>
      </c>
      <c r="B40" s="25" t="str">
        <f aca="false">TEXT(DATE(参数设置!$B$5,7,1),"yyyy-mm")</f>
        <v>2026-07</v>
      </c>
      <c r="C40" s="40" t="n">
        <f aca="false">SUMIFS(资金流水!$P$6:$P$605,资金流水!$C$6:$C$605,参数设置!$A$12,资金流水!$E$6:$E$605,"缴纳税费",资金流水!$H$6:$H$605,"增值税",资金流水!$B$6:$B$605,"&gt;="&amp;DATE(参数设置!$B$5,7,1),资金流水!$B$6:$B$605,"&lt;="&amp;DATE(参数设置!$B$5,8,0))</f>
        <v>0</v>
      </c>
      <c r="D40" s="40" t="n">
        <f aca="false">SUMIFS(资金流水!$P$6:$P$605,资金流水!$C$6:$C$605,参数设置!$A$12,资金流水!$E$6:$E$605,"缴纳税费",资金流水!$H$6:$H$605,"城建税及附加",资金流水!$B$6:$B$605,"&gt;="&amp;DATE(参数设置!$B$5,7,1),资金流水!$B$6:$B$605,"&lt;="&amp;DATE(参数设置!$B$5,8,0))</f>
        <v>0</v>
      </c>
      <c r="E40" s="40" t="n">
        <f aca="false">SUMIFS(资金流水!$P$6:$P$605,资金流水!$C$6:$C$605,参数设置!$A$12,资金流水!$E$6:$E$605,"缴纳税费",资金流水!$H$6:$H$605,"印花税",资金流水!$B$6:$B$605,"&gt;="&amp;DATE(参数设置!$B$5,7,1),资金流水!$B$6:$B$605,"&lt;="&amp;DATE(参数设置!$B$5,8,0))</f>
        <v>0</v>
      </c>
      <c r="F40" s="40" t="n">
        <f aca="false">SUMIFS(资金流水!$P$6:$P$605,资金流水!$C$6:$C$605,参数设置!$A$12,资金流水!$E$6:$E$605,"缴纳税费",资金流水!$H$6:$H$605,"企业所得税",资金流水!$B$6:$B$605,"&gt;="&amp;DATE(参数设置!$B$5,7,1),资金流水!$B$6:$B$605,"&lt;="&amp;DATE(参数设置!$B$5,8,0))</f>
        <v>0</v>
      </c>
      <c r="G40" s="40" t="n">
        <f aca="false">SUMIFS(资金流水!$P$6:$P$605,资金流水!$C$6:$C$605,参数设置!$A$12,资金流水!$E$6:$E$605,"缴纳税费",资金流水!$H$6:$H$605,"个人所得税",资金流水!$B$6:$B$605,"&gt;="&amp;DATE(参数设置!$B$5,7,1),资金流水!$B$6:$B$605,"&lt;="&amp;DATE(参数设置!$B$5,8,0))</f>
        <v>0</v>
      </c>
      <c r="H40" s="40" t="n">
        <f aca="false">ROUND(SUMIFS(资金流水!$P$6:$P$605,资金流水!$C$6:$C$605,参数设置!$A$12,资金流水!$E$6:$E$605,"缴纳税费",资金流水!$B$6:$B$605,"&gt;="&amp;DATE(参数设置!$B$5,7,1),资金流水!$B$6:$B$605,"&lt;="&amp;DATE(参数设置!$B$5,8,0))-C40-D40-E40-F40-G40,2)</f>
        <v>0</v>
      </c>
      <c r="I40" s="42" t="n">
        <f aca="false">ROUND(SUM(C40:H40),2)</f>
        <v>0</v>
      </c>
      <c r="J40" s="40" t="n">
        <f aca="false">SUMIFS(购销流水!$Q$6:$Q$805,购销流水!$C$6:$C$805,参数设置!$A$12,购销流水!$D$6:$D$805,"销售出库",购销流水!$B$6:$B$805,"&gt;="&amp;DATE(参数设置!$B$5,7,1),购销流水!$B$6:$B$805,"&lt;="&amp;DATE(参数设置!$B$5,8,0))-SUMIFS(购销流水!$Q$6:$Q$805,购销流水!$C$6:$C$805,参数设置!$A$12,购销流水!$D$6:$D$805,"销售退回",购销流水!$B$6:$B$805,"&gt;="&amp;DATE(参数设置!$B$5,7,1),购销流水!$B$6:$B$805,"&lt;="&amp;DATE(参数设置!$B$5,8,0))+SUMIFS(资金流水!$P$6:$P$605,资金流水!$C$6:$C$605,参数设置!$A$12,资金流水!$E$6:$E$605,"现销收款",资金流水!$B$6:$B$605,"&gt;="&amp;DATE(参数设置!$B$5,7,1),资金流水!$B$6:$B$605,"&lt;="&amp;DATE(参数设置!$B$5,8,0))+SUMIFS(资金流水!$P$6:$P$605,资金流水!$C$6:$C$605,参数设置!$A$12,资金流水!$E$6:$E$605,"其他收入",资金流水!$B$6:$B$605,"&gt;="&amp;DATE(参数设置!$B$5,7,1),资金流水!$B$6:$B$605,"&lt;="&amp;DATE(参数设置!$B$5,8,0))</f>
        <v>0</v>
      </c>
      <c r="K40" s="51"/>
    </row>
    <row r="41" customFormat="false" ht="15" hidden="false" customHeight="false" outlineLevel="0" collapsed="false">
      <c r="A41" s="25" t="str">
        <f aca="false">参数设置!$A$12</f>
        <v>科技</v>
      </c>
      <c r="B41" s="25" t="str">
        <f aca="false">TEXT(DATE(参数设置!$B$5,8,1),"yyyy-mm")</f>
        <v>2026-08</v>
      </c>
      <c r="C41" s="40" t="n">
        <f aca="false">SUMIFS(资金流水!$P$6:$P$605,资金流水!$C$6:$C$605,参数设置!$A$12,资金流水!$E$6:$E$605,"缴纳税费",资金流水!$H$6:$H$605,"增值税",资金流水!$B$6:$B$605,"&gt;="&amp;DATE(参数设置!$B$5,8,1),资金流水!$B$6:$B$605,"&lt;="&amp;DATE(参数设置!$B$5,9,0))</f>
        <v>0</v>
      </c>
      <c r="D41" s="40" t="n">
        <f aca="false">SUMIFS(资金流水!$P$6:$P$605,资金流水!$C$6:$C$605,参数设置!$A$12,资金流水!$E$6:$E$605,"缴纳税费",资金流水!$H$6:$H$605,"城建税及附加",资金流水!$B$6:$B$605,"&gt;="&amp;DATE(参数设置!$B$5,8,1),资金流水!$B$6:$B$605,"&lt;="&amp;DATE(参数设置!$B$5,9,0))</f>
        <v>0</v>
      </c>
      <c r="E41" s="40" t="n">
        <f aca="false">SUMIFS(资金流水!$P$6:$P$605,资金流水!$C$6:$C$605,参数设置!$A$12,资金流水!$E$6:$E$605,"缴纳税费",资金流水!$H$6:$H$605,"印花税",资金流水!$B$6:$B$605,"&gt;="&amp;DATE(参数设置!$B$5,8,1),资金流水!$B$6:$B$605,"&lt;="&amp;DATE(参数设置!$B$5,9,0))</f>
        <v>0</v>
      </c>
      <c r="F41" s="40" t="n">
        <f aca="false">SUMIFS(资金流水!$P$6:$P$605,资金流水!$C$6:$C$605,参数设置!$A$12,资金流水!$E$6:$E$605,"缴纳税费",资金流水!$H$6:$H$605,"企业所得税",资金流水!$B$6:$B$605,"&gt;="&amp;DATE(参数设置!$B$5,8,1),资金流水!$B$6:$B$605,"&lt;="&amp;DATE(参数设置!$B$5,9,0))</f>
        <v>0</v>
      </c>
      <c r="G41" s="40" t="n">
        <f aca="false">SUMIFS(资金流水!$P$6:$P$605,资金流水!$C$6:$C$605,参数设置!$A$12,资金流水!$E$6:$E$605,"缴纳税费",资金流水!$H$6:$H$605,"个人所得税",资金流水!$B$6:$B$605,"&gt;="&amp;DATE(参数设置!$B$5,8,1),资金流水!$B$6:$B$605,"&lt;="&amp;DATE(参数设置!$B$5,9,0))</f>
        <v>0</v>
      </c>
      <c r="H41" s="40" t="n">
        <f aca="false">ROUND(SUMIFS(资金流水!$P$6:$P$605,资金流水!$C$6:$C$605,参数设置!$A$12,资金流水!$E$6:$E$605,"缴纳税费",资金流水!$B$6:$B$605,"&gt;="&amp;DATE(参数设置!$B$5,8,1),资金流水!$B$6:$B$605,"&lt;="&amp;DATE(参数设置!$B$5,9,0))-C41-D41-E41-F41-G41,2)</f>
        <v>0</v>
      </c>
      <c r="I41" s="42" t="n">
        <f aca="false">ROUND(SUM(C41:H41),2)</f>
        <v>0</v>
      </c>
      <c r="J41" s="40" t="n">
        <f aca="false">SUMIFS(购销流水!$Q$6:$Q$805,购销流水!$C$6:$C$805,参数设置!$A$12,购销流水!$D$6:$D$805,"销售出库",购销流水!$B$6:$B$805,"&gt;="&amp;DATE(参数设置!$B$5,8,1),购销流水!$B$6:$B$805,"&lt;="&amp;DATE(参数设置!$B$5,9,0))-SUMIFS(购销流水!$Q$6:$Q$805,购销流水!$C$6:$C$805,参数设置!$A$12,购销流水!$D$6:$D$805,"销售退回",购销流水!$B$6:$B$805,"&gt;="&amp;DATE(参数设置!$B$5,8,1),购销流水!$B$6:$B$805,"&lt;="&amp;DATE(参数设置!$B$5,9,0))+SUMIFS(资金流水!$P$6:$P$605,资金流水!$C$6:$C$605,参数设置!$A$12,资金流水!$E$6:$E$605,"现销收款",资金流水!$B$6:$B$605,"&gt;="&amp;DATE(参数设置!$B$5,8,1),资金流水!$B$6:$B$605,"&lt;="&amp;DATE(参数设置!$B$5,9,0))+SUMIFS(资金流水!$P$6:$P$605,资金流水!$C$6:$C$605,参数设置!$A$12,资金流水!$E$6:$E$605,"其他收入",资金流水!$B$6:$B$605,"&gt;="&amp;DATE(参数设置!$B$5,8,1),资金流水!$B$6:$B$605,"&lt;="&amp;DATE(参数设置!$B$5,9,0))</f>
        <v>384000</v>
      </c>
      <c r="K41" s="51"/>
    </row>
    <row r="42" customFormat="false" ht="15" hidden="false" customHeight="false" outlineLevel="0" collapsed="false">
      <c r="A42" s="25" t="str">
        <f aca="false">参数设置!$A$12</f>
        <v>科技</v>
      </c>
      <c r="B42" s="25" t="str">
        <f aca="false">TEXT(DATE(参数设置!$B$5,9,1),"yyyy-mm")</f>
        <v>2026-09</v>
      </c>
      <c r="C42" s="40" t="n">
        <f aca="false">SUMIFS(资金流水!$P$6:$P$605,资金流水!$C$6:$C$605,参数设置!$A$12,资金流水!$E$6:$E$605,"缴纳税费",资金流水!$H$6:$H$605,"增值税",资金流水!$B$6:$B$605,"&gt;="&amp;DATE(参数设置!$B$5,9,1),资金流水!$B$6:$B$605,"&lt;="&amp;DATE(参数设置!$B$5,10,0))</f>
        <v>0</v>
      </c>
      <c r="D42" s="40" t="n">
        <f aca="false">SUMIFS(资金流水!$P$6:$P$605,资金流水!$C$6:$C$605,参数设置!$A$12,资金流水!$E$6:$E$605,"缴纳税费",资金流水!$H$6:$H$605,"城建税及附加",资金流水!$B$6:$B$605,"&gt;="&amp;DATE(参数设置!$B$5,9,1),资金流水!$B$6:$B$605,"&lt;="&amp;DATE(参数设置!$B$5,10,0))</f>
        <v>0</v>
      </c>
      <c r="E42" s="40" t="n">
        <f aca="false">SUMIFS(资金流水!$P$6:$P$605,资金流水!$C$6:$C$605,参数设置!$A$12,资金流水!$E$6:$E$605,"缴纳税费",资金流水!$H$6:$H$605,"印花税",资金流水!$B$6:$B$605,"&gt;="&amp;DATE(参数设置!$B$5,9,1),资金流水!$B$6:$B$605,"&lt;="&amp;DATE(参数设置!$B$5,10,0))</f>
        <v>0</v>
      </c>
      <c r="F42" s="40" t="n">
        <f aca="false">SUMIFS(资金流水!$P$6:$P$605,资金流水!$C$6:$C$605,参数设置!$A$12,资金流水!$E$6:$E$605,"缴纳税费",资金流水!$H$6:$H$605,"企业所得税",资金流水!$B$6:$B$605,"&gt;="&amp;DATE(参数设置!$B$5,9,1),资金流水!$B$6:$B$605,"&lt;="&amp;DATE(参数设置!$B$5,10,0))</f>
        <v>0</v>
      </c>
      <c r="G42" s="40" t="n">
        <f aca="false">SUMIFS(资金流水!$P$6:$P$605,资金流水!$C$6:$C$605,参数设置!$A$12,资金流水!$E$6:$E$605,"缴纳税费",资金流水!$H$6:$H$605,"个人所得税",资金流水!$B$6:$B$605,"&gt;="&amp;DATE(参数设置!$B$5,9,1),资金流水!$B$6:$B$605,"&lt;="&amp;DATE(参数设置!$B$5,10,0))</f>
        <v>0</v>
      </c>
      <c r="H42" s="40" t="n">
        <f aca="false">ROUND(SUMIFS(资金流水!$P$6:$P$605,资金流水!$C$6:$C$605,参数设置!$A$12,资金流水!$E$6:$E$605,"缴纳税费",资金流水!$B$6:$B$605,"&gt;="&amp;DATE(参数设置!$B$5,9,1),资金流水!$B$6:$B$605,"&lt;="&amp;DATE(参数设置!$B$5,10,0))-C42-D42-E42-F42-G42,2)</f>
        <v>0</v>
      </c>
      <c r="I42" s="42" t="n">
        <f aca="false">ROUND(SUM(C42:H42),2)</f>
        <v>0</v>
      </c>
      <c r="J42" s="40" t="n">
        <f aca="false">SUMIFS(购销流水!$Q$6:$Q$805,购销流水!$C$6:$C$805,参数设置!$A$12,购销流水!$D$6:$D$805,"销售出库",购销流水!$B$6:$B$805,"&gt;="&amp;DATE(参数设置!$B$5,9,1),购销流水!$B$6:$B$805,"&lt;="&amp;DATE(参数设置!$B$5,10,0))-SUMIFS(购销流水!$Q$6:$Q$805,购销流水!$C$6:$C$805,参数设置!$A$12,购销流水!$D$6:$D$805,"销售退回",购销流水!$B$6:$B$805,"&gt;="&amp;DATE(参数设置!$B$5,9,1),购销流水!$B$6:$B$805,"&lt;="&amp;DATE(参数设置!$B$5,10,0))+SUMIFS(资金流水!$P$6:$P$605,资金流水!$C$6:$C$605,参数设置!$A$12,资金流水!$E$6:$E$605,"现销收款",资金流水!$B$6:$B$605,"&gt;="&amp;DATE(参数设置!$B$5,9,1),资金流水!$B$6:$B$605,"&lt;="&amp;DATE(参数设置!$B$5,10,0))+SUMIFS(资金流水!$P$6:$P$605,资金流水!$C$6:$C$605,参数设置!$A$12,资金流水!$E$6:$E$605,"其他收入",资金流水!$B$6:$B$605,"&gt;="&amp;DATE(参数设置!$B$5,9,1),资金流水!$B$6:$B$605,"&lt;="&amp;DATE(参数设置!$B$5,10,0))</f>
        <v>60750</v>
      </c>
      <c r="K42" s="51"/>
    </row>
    <row r="43" customFormat="false" ht="15" hidden="false" customHeight="false" outlineLevel="0" collapsed="false">
      <c r="A43" s="25" t="str">
        <f aca="false">参数设置!$A$12</f>
        <v>科技</v>
      </c>
      <c r="B43" s="25" t="str">
        <f aca="false">TEXT(DATE(参数设置!$B$5,10,1),"yyyy-mm")</f>
        <v>2026-10</v>
      </c>
      <c r="C43" s="40" t="n">
        <f aca="false">SUMIFS(资金流水!$P$6:$P$605,资金流水!$C$6:$C$605,参数设置!$A$12,资金流水!$E$6:$E$605,"缴纳税费",资金流水!$H$6:$H$605,"增值税",资金流水!$B$6:$B$605,"&gt;="&amp;DATE(参数设置!$B$5,10,1),资金流水!$B$6:$B$605,"&lt;="&amp;DATE(参数设置!$B$5,11,0))</f>
        <v>38000</v>
      </c>
      <c r="D43" s="40" t="n">
        <f aca="false">SUMIFS(资金流水!$P$6:$P$605,资金流水!$C$6:$C$605,参数设置!$A$12,资金流水!$E$6:$E$605,"缴纳税费",资金流水!$H$6:$H$605,"城建税及附加",资金流水!$B$6:$B$605,"&gt;="&amp;DATE(参数设置!$B$5,10,1),资金流水!$B$6:$B$605,"&lt;="&amp;DATE(参数设置!$B$5,11,0))</f>
        <v>0</v>
      </c>
      <c r="E43" s="40" t="n">
        <f aca="false">SUMIFS(资金流水!$P$6:$P$605,资金流水!$C$6:$C$605,参数设置!$A$12,资金流水!$E$6:$E$605,"缴纳税费",资金流水!$H$6:$H$605,"印花税",资金流水!$B$6:$B$605,"&gt;="&amp;DATE(参数设置!$B$5,10,1),资金流水!$B$6:$B$605,"&lt;="&amp;DATE(参数设置!$B$5,11,0))</f>
        <v>0</v>
      </c>
      <c r="F43" s="40" t="n">
        <f aca="false">SUMIFS(资金流水!$P$6:$P$605,资金流水!$C$6:$C$605,参数设置!$A$12,资金流水!$E$6:$E$605,"缴纳税费",资金流水!$H$6:$H$605,"企业所得税",资金流水!$B$6:$B$605,"&gt;="&amp;DATE(参数设置!$B$5,10,1),资金流水!$B$6:$B$605,"&lt;="&amp;DATE(参数设置!$B$5,11,0))</f>
        <v>0</v>
      </c>
      <c r="G43" s="40" t="n">
        <f aca="false">SUMIFS(资金流水!$P$6:$P$605,资金流水!$C$6:$C$605,参数设置!$A$12,资金流水!$E$6:$E$605,"缴纳税费",资金流水!$H$6:$H$605,"个人所得税",资金流水!$B$6:$B$605,"&gt;="&amp;DATE(参数设置!$B$5,10,1),资金流水!$B$6:$B$605,"&lt;="&amp;DATE(参数设置!$B$5,11,0))</f>
        <v>0</v>
      </c>
      <c r="H43" s="40" t="n">
        <f aca="false">ROUND(SUMIFS(资金流水!$P$6:$P$605,资金流水!$C$6:$C$605,参数设置!$A$12,资金流水!$E$6:$E$605,"缴纳税费",资金流水!$B$6:$B$605,"&gt;="&amp;DATE(参数设置!$B$5,10,1),资金流水!$B$6:$B$605,"&lt;="&amp;DATE(参数设置!$B$5,11,0))-C43-D43-E43-F43-G43,2)</f>
        <v>0</v>
      </c>
      <c r="I43" s="42" t="n">
        <f aca="false">ROUND(SUM(C43:H43),2)</f>
        <v>38000</v>
      </c>
      <c r="J43" s="40" t="n">
        <f aca="false">SUMIFS(购销流水!$Q$6:$Q$805,购销流水!$C$6:$C$805,参数设置!$A$12,购销流水!$D$6:$D$805,"销售出库",购销流水!$B$6:$B$805,"&gt;="&amp;DATE(参数设置!$B$5,10,1),购销流水!$B$6:$B$805,"&lt;="&amp;DATE(参数设置!$B$5,11,0))-SUMIFS(购销流水!$Q$6:$Q$805,购销流水!$C$6:$C$805,参数设置!$A$12,购销流水!$D$6:$D$805,"销售退回",购销流水!$B$6:$B$805,"&gt;="&amp;DATE(参数设置!$B$5,10,1),购销流水!$B$6:$B$805,"&lt;="&amp;DATE(参数设置!$B$5,11,0))+SUMIFS(资金流水!$P$6:$P$605,资金流水!$C$6:$C$605,参数设置!$A$12,资金流水!$E$6:$E$605,"现销收款",资金流水!$B$6:$B$605,"&gt;="&amp;DATE(参数设置!$B$5,10,1),资金流水!$B$6:$B$605,"&lt;="&amp;DATE(参数设置!$B$5,11,0))+SUMIFS(资金流水!$P$6:$P$605,资金流水!$C$6:$C$605,参数设置!$A$12,资金流水!$E$6:$E$605,"其他收入",资金流水!$B$6:$B$605,"&gt;="&amp;DATE(参数设置!$B$5,10,1),资金流水!$B$6:$B$605,"&lt;="&amp;DATE(参数设置!$B$5,11,0))</f>
        <v>0</v>
      </c>
      <c r="K43" s="51"/>
    </row>
    <row r="44" customFormat="false" ht="15" hidden="false" customHeight="false" outlineLevel="0" collapsed="false">
      <c r="A44" s="25" t="str">
        <f aca="false">参数设置!$A$12</f>
        <v>科技</v>
      </c>
      <c r="B44" s="25" t="str">
        <f aca="false">TEXT(DATE(参数设置!$B$5,11,1),"yyyy-mm")</f>
        <v>2026-11</v>
      </c>
      <c r="C44" s="40" t="n">
        <f aca="false">SUMIFS(资金流水!$P$6:$P$605,资金流水!$C$6:$C$605,参数设置!$A$12,资金流水!$E$6:$E$605,"缴纳税费",资金流水!$H$6:$H$605,"增值税",资金流水!$B$6:$B$605,"&gt;="&amp;DATE(参数设置!$B$5,11,1),资金流水!$B$6:$B$605,"&lt;="&amp;DATE(参数设置!$B$5,12,0))</f>
        <v>0</v>
      </c>
      <c r="D44" s="40" t="n">
        <f aca="false">SUMIFS(资金流水!$P$6:$P$605,资金流水!$C$6:$C$605,参数设置!$A$12,资金流水!$E$6:$E$605,"缴纳税费",资金流水!$H$6:$H$605,"城建税及附加",资金流水!$B$6:$B$605,"&gt;="&amp;DATE(参数设置!$B$5,11,1),资金流水!$B$6:$B$605,"&lt;="&amp;DATE(参数设置!$B$5,12,0))</f>
        <v>4560</v>
      </c>
      <c r="E44" s="40" t="n">
        <f aca="false">SUMIFS(资金流水!$P$6:$P$605,资金流水!$C$6:$C$605,参数设置!$A$12,资金流水!$E$6:$E$605,"缴纳税费",资金流水!$H$6:$H$605,"印花税",资金流水!$B$6:$B$605,"&gt;="&amp;DATE(参数设置!$B$5,11,1),资金流水!$B$6:$B$605,"&lt;="&amp;DATE(参数设置!$B$5,12,0))</f>
        <v>0</v>
      </c>
      <c r="F44" s="40" t="n">
        <f aca="false">SUMIFS(资金流水!$P$6:$P$605,资金流水!$C$6:$C$605,参数设置!$A$12,资金流水!$E$6:$E$605,"缴纳税费",资金流水!$H$6:$H$605,"企业所得税",资金流水!$B$6:$B$605,"&gt;="&amp;DATE(参数设置!$B$5,11,1),资金流水!$B$6:$B$605,"&lt;="&amp;DATE(参数设置!$B$5,12,0))</f>
        <v>0</v>
      </c>
      <c r="G44" s="40" t="n">
        <f aca="false">SUMIFS(资金流水!$P$6:$P$605,资金流水!$C$6:$C$605,参数设置!$A$12,资金流水!$E$6:$E$605,"缴纳税费",资金流水!$H$6:$H$605,"个人所得税",资金流水!$B$6:$B$605,"&gt;="&amp;DATE(参数设置!$B$5,11,1),资金流水!$B$6:$B$605,"&lt;="&amp;DATE(参数设置!$B$5,12,0))</f>
        <v>0</v>
      </c>
      <c r="H44" s="40" t="n">
        <f aca="false">ROUND(SUMIFS(资金流水!$P$6:$P$605,资金流水!$C$6:$C$605,参数设置!$A$12,资金流水!$E$6:$E$605,"缴纳税费",资金流水!$B$6:$B$605,"&gt;="&amp;DATE(参数设置!$B$5,11,1),资金流水!$B$6:$B$605,"&lt;="&amp;DATE(参数设置!$B$5,12,0))-C44-D44-E44-F44-G44,2)</f>
        <v>0</v>
      </c>
      <c r="I44" s="42" t="n">
        <f aca="false">ROUND(SUM(C44:H44),2)</f>
        <v>4560</v>
      </c>
      <c r="J44" s="40" t="n">
        <f aca="false">SUMIFS(购销流水!$Q$6:$Q$805,购销流水!$C$6:$C$805,参数设置!$A$12,购销流水!$D$6:$D$805,"销售出库",购销流水!$B$6:$B$805,"&gt;="&amp;DATE(参数设置!$B$5,11,1),购销流水!$B$6:$B$805,"&lt;="&amp;DATE(参数设置!$B$5,12,0))-SUMIFS(购销流水!$Q$6:$Q$805,购销流水!$C$6:$C$805,参数设置!$A$12,购销流水!$D$6:$D$805,"销售退回",购销流水!$B$6:$B$805,"&gt;="&amp;DATE(参数设置!$B$5,11,1),购销流水!$B$6:$B$805,"&lt;="&amp;DATE(参数设置!$B$5,12,0))+SUMIFS(资金流水!$P$6:$P$605,资金流水!$C$6:$C$605,参数设置!$A$12,资金流水!$E$6:$E$605,"现销收款",资金流水!$B$6:$B$605,"&gt;="&amp;DATE(参数设置!$B$5,11,1),资金流水!$B$6:$B$605,"&lt;="&amp;DATE(参数设置!$B$5,12,0))+SUMIFS(资金流水!$P$6:$P$605,资金流水!$C$6:$C$605,参数设置!$A$12,资金流水!$E$6:$E$605,"其他收入",资金流水!$B$6:$B$605,"&gt;="&amp;DATE(参数设置!$B$5,11,1),资金流水!$B$6:$B$605,"&lt;="&amp;DATE(参数设置!$B$5,12,0))</f>
        <v>0</v>
      </c>
      <c r="K44" s="51"/>
    </row>
    <row r="45" customFormat="false" ht="15" hidden="false" customHeight="false" outlineLevel="0" collapsed="false">
      <c r="A45" s="25" t="str">
        <f aca="false">参数设置!$A$12</f>
        <v>科技</v>
      </c>
      <c r="B45" s="25" t="str">
        <f aca="false">TEXT(DATE(参数设置!$B$5,12,1),"yyyy-mm")</f>
        <v>2026-12</v>
      </c>
      <c r="C45" s="40" t="n">
        <f aca="false">SUMIFS(资金流水!$P$6:$P$605,资金流水!$C$6:$C$605,参数设置!$A$12,资金流水!$E$6:$E$605,"缴纳税费",资金流水!$H$6:$H$605,"增值税",资金流水!$B$6:$B$605,"&gt;="&amp;DATE(参数设置!$B$5,12,1),资金流水!$B$6:$B$605,"&lt;="&amp;DATE(参数设置!$B$5,13,0))</f>
        <v>0</v>
      </c>
      <c r="D45" s="40" t="n">
        <f aca="false">SUMIFS(资金流水!$P$6:$P$605,资金流水!$C$6:$C$605,参数设置!$A$12,资金流水!$E$6:$E$605,"缴纳税费",资金流水!$H$6:$H$605,"城建税及附加",资金流水!$B$6:$B$605,"&gt;="&amp;DATE(参数设置!$B$5,12,1),资金流水!$B$6:$B$605,"&lt;="&amp;DATE(参数设置!$B$5,13,0))</f>
        <v>0</v>
      </c>
      <c r="E45" s="40" t="n">
        <f aca="false">SUMIFS(资金流水!$P$6:$P$605,资金流水!$C$6:$C$605,参数设置!$A$12,资金流水!$E$6:$E$605,"缴纳税费",资金流水!$H$6:$H$605,"印花税",资金流水!$B$6:$B$605,"&gt;="&amp;DATE(参数设置!$B$5,12,1),资金流水!$B$6:$B$605,"&lt;="&amp;DATE(参数设置!$B$5,13,0))</f>
        <v>0</v>
      </c>
      <c r="F45" s="40" t="n">
        <f aca="false">SUMIFS(资金流水!$P$6:$P$605,资金流水!$C$6:$C$605,参数设置!$A$12,资金流水!$E$6:$E$605,"缴纳税费",资金流水!$H$6:$H$605,"企业所得税",资金流水!$B$6:$B$605,"&gt;="&amp;DATE(参数设置!$B$5,12,1),资金流水!$B$6:$B$605,"&lt;="&amp;DATE(参数设置!$B$5,13,0))</f>
        <v>12000</v>
      </c>
      <c r="G45" s="40" t="n">
        <f aca="false">SUMIFS(资金流水!$P$6:$P$605,资金流水!$C$6:$C$605,参数设置!$A$12,资金流水!$E$6:$E$605,"缴纳税费",资金流水!$H$6:$H$605,"个人所得税",资金流水!$B$6:$B$605,"&gt;="&amp;DATE(参数设置!$B$5,12,1),资金流水!$B$6:$B$605,"&lt;="&amp;DATE(参数设置!$B$5,13,0))</f>
        <v>0</v>
      </c>
      <c r="H45" s="40" t="n">
        <f aca="false">ROUND(SUMIFS(资金流水!$P$6:$P$605,资金流水!$C$6:$C$605,参数设置!$A$12,资金流水!$E$6:$E$605,"缴纳税费",资金流水!$B$6:$B$605,"&gt;="&amp;DATE(参数设置!$B$5,12,1),资金流水!$B$6:$B$605,"&lt;="&amp;DATE(参数设置!$B$5,13,0))-C45-D45-E45-F45-G45,2)</f>
        <v>0</v>
      </c>
      <c r="I45" s="42" t="n">
        <f aca="false">ROUND(SUM(C45:H45),2)</f>
        <v>12000</v>
      </c>
      <c r="J45" s="40" t="n">
        <f aca="false">SUMIFS(购销流水!$Q$6:$Q$805,购销流水!$C$6:$C$805,参数设置!$A$12,购销流水!$D$6:$D$805,"销售出库",购销流水!$B$6:$B$805,"&gt;="&amp;DATE(参数设置!$B$5,12,1),购销流水!$B$6:$B$805,"&lt;="&amp;DATE(参数设置!$B$5,13,0))-SUMIFS(购销流水!$Q$6:$Q$805,购销流水!$C$6:$C$805,参数设置!$A$12,购销流水!$D$6:$D$805,"销售退回",购销流水!$B$6:$B$805,"&gt;="&amp;DATE(参数设置!$B$5,12,1),购销流水!$B$6:$B$805,"&lt;="&amp;DATE(参数设置!$B$5,13,0))+SUMIFS(资金流水!$P$6:$P$605,资金流水!$C$6:$C$605,参数设置!$A$12,资金流水!$E$6:$E$605,"现销收款",资金流水!$B$6:$B$605,"&gt;="&amp;DATE(参数设置!$B$5,12,1),资金流水!$B$6:$B$605,"&lt;="&amp;DATE(参数设置!$B$5,13,0))+SUMIFS(资金流水!$P$6:$P$605,资金流水!$C$6:$C$605,参数设置!$A$12,资金流水!$E$6:$E$605,"其他收入",资金流水!$B$6:$B$605,"&gt;="&amp;DATE(参数设置!$B$5,12,1),资金流水!$B$6:$B$605,"&lt;="&amp;DATE(参数设置!$B$5,13,0))</f>
        <v>0</v>
      </c>
      <c r="K45" s="51"/>
    </row>
    <row r="46" customFormat="false" ht="25.35" hidden="false" customHeight="false" outlineLevel="0" collapsed="false">
      <c r="A46" s="31" t="str">
        <f aca="false">参数设置!$A$12</f>
        <v>科技</v>
      </c>
      <c r="B46" s="31" t="s">
        <v>883</v>
      </c>
      <c r="C46" s="12" t="n">
        <f aca="false">SUM(C34:C45)</f>
        <v>38000</v>
      </c>
      <c r="D46" s="12" t="n">
        <f aca="false">SUM(D34:D45)</f>
        <v>4560</v>
      </c>
      <c r="E46" s="12" t="n">
        <f aca="false">SUM(E34:E45)</f>
        <v>0</v>
      </c>
      <c r="F46" s="12" t="n">
        <f aca="false">SUM(F34:F45)</f>
        <v>12000</v>
      </c>
      <c r="G46" s="12" t="n">
        <f aca="false">SUM(G34:G45)</f>
        <v>0</v>
      </c>
      <c r="H46" s="12" t="n">
        <f aca="false">SUM(H34:H45)</f>
        <v>0</v>
      </c>
      <c r="I46" s="12" t="n">
        <f aca="false">SUM(I34:I45)</f>
        <v>54560</v>
      </c>
      <c r="J46" s="12" t="n">
        <f aca="false">SUM(J34:J45)</f>
        <v>444750</v>
      </c>
      <c r="K46" s="13" t="str">
        <f aca="false">IF(ROUND($J46,2)=0,"本年无含税收入","全年税负率 "&amp;TEXT($I46/$J46,"0.00%")&amp;"（实缴税费 ÷ 含税收入）")</f>
        <v>全年税负率 12.27%（实缴税费 ÷ 含税收入）</v>
      </c>
    </row>
    <row r="48" customFormat="false" ht="15" hidden="false" customHeight="true" outlineLevel="0" collapsed="false">
      <c r="A48" s="3" t="s">
        <v>884</v>
      </c>
      <c r="B48" s="45" t="s">
        <v>885</v>
      </c>
      <c r="C48" s="45"/>
      <c r="D48" s="45"/>
      <c r="E48" s="45"/>
      <c r="F48" s="45"/>
      <c r="G48" s="45"/>
      <c r="H48" s="45"/>
      <c r="I48" s="45"/>
      <c r="J48" s="45"/>
      <c r="K48" s="45"/>
    </row>
  </sheetData>
  <mergeCells count="3">
    <mergeCell ref="A1:K1"/>
    <mergeCell ref="A2:K2"/>
    <mergeCell ref="B48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7"/>
    <col collapsed="false" customWidth="true" hidden="false" outlineLevel="0" max="5" min="5" style="0" width="18"/>
    <col collapsed="false" customWidth="true" hidden="false" outlineLevel="0" max="6" min="6" style="0" width="11"/>
  </cols>
  <sheetData>
    <row r="1" customFormat="false" ht="25.5" hidden="false" customHeight="true" outlineLevel="0" collapsed="false">
      <c r="A1" s="1" t="s">
        <v>886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722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115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731</v>
      </c>
    </row>
    <row r="6" customFormat="false" ht="15" hidden="false" customHeight="false" outlineLevel="0" collapsed="false">
      <c r="A6" s="31" t="s">
        <v>536</v>
      </c>
      <c r="B6" s="12" t="n">
        <f aca="false">SUM(B$7:B$66)</f>
        <v>268000</v>
      </c>
      <c r="C6" s="12" t="n">
        <f aca="false">SUM(C$7:C$66)</f>
        <v>200460</v>
      </c>
      <c r="D6" s="12" t="n">
        <f aca="false">SUM(D$7:D$66)</f>
        <v>169100</v>
      </c>
      <c r="E6" s="12" t="n">
        <f aca="false">SUM(E$7:E$66)</f>
        <v>637560</v>
      </c>
      <c r="F6" s="31"/>
    </row>
    <row r="7" customFormat="false" ht="15" hidden="false" customHeight="false" outlineLevel="0" collapsed="false">
      <c r="A7" s="10" t="str">
        <f aca="false">IF(参数设置!$A16="","",参数设置!$A16)</f>
        <v>办公费</v>
      </c>
      <c r="B7" s="40" t="n">
        <f aca="false">IF($A7="","",SUMIFS(资金流水!$P$6:$P$605,资金流水!$C$6:$C$605,参数设置!$A$10,资金流水!$H$6:$H$605,$A7,资金流水!$E$6:$E$605,"费用支出",资金流水!$B$6:$B$605,"&gt;="&amp;$A$4,资金流水!$B$6:$B$605,"&lt;="&amp;$B$4)+SUMIFS(资金流水!$P$6:$P$605,资金流水!$C$6:$C$605,参数设置!$A$10,资金流水!$H$6:$H$605,$A7,资金流水!$E$6:$E$605,"其他支出",资金流水!$B$6:$B$605,"&gt;="&amp;$A$4,资金流水!$B$6:$B$605,"&lt;="&amp;$B$4)+SUMIFS(资金流水!$P$6:$P$605,资金流水!$C$6:$C$605,参数设置!$A$10,资金流水!$H$6:$H$605,$A7,资金流水!$E$6:$E$605,"支付利息",资金流水!$B$6:$B$605,"&gt;="&amp;$A$4,资金流水!$B$6:$B$605,"&lt;="&amp;$B$4)+SUMIFS(生产加工!$J$6:$J$305,生产加工!$C$6:$C$305,参数设置!$A$10,生产加工!$L$6:$L$305,$A7,生产加工!$B$6:$B$305,"&gt;="&amp;$A$4,生产加工!$B$6:$B$305,"&lt;="&amp;$B$4)+SUMIFS(其他分录!$G$6:$G$255,其他分录!$C$6:$C$255,参数设置!$A$10,其他分录!$I$6:$I$255,$A7,其他分录!$B$6:$B$255,"&gt;="&amp;$A$4,其他分录!$B$6:$B$255,"&lt;="&amp;$B$4))</f>
        <v>3200</v>
      </c>
      <c r="C7" s="40" t="n">
        <f aca="false">IF($A7="","",SUMIFS(资金流水!$P$6:$P$605,资金流水!$C$6:$C$605,参数设置!$A$11,资金流水!$H$6:$H$605,$A7,资金流水!$E$6:$E$605,"费用支出",资金流水!$B$6:$B$605,"&gt;="&amp;$A$4,资金流水!$B$6:$B$605,"&lt;="&amp;$B$4)+SUMIFS(资金流水!$P$6:$P$605,资金流水!$C$6:$C$605,参数设置!$A$11,资金流水!$H$6:$H$605,$A7,资金流水!$E$6:$E$605,"其他支出",资金流水!$B$6:$B$605,"&gt;="&amp;$A$4,资金流水!$B$6:$B$605,"&lt;="&amp;$B$4)+SUMIFS(资金流水!$P$6:$P$605,资金流水!$C$6:$C$605,参数设置!$A$11,资金流水!$H$6:$H$605,$A7,资金流水!$E$6:$E$605,"支付利息",资金流水!$B$6:$B$605,"&gt;="&amp;$A$4,资金流水!$B$6:$B$605,"&lt;="&amp;$B$4)+SUMIFS(生产加工!$J$6:$J$305,生产加工!$C$6:$C$305,参数设置!$A$11,生产加工!$L$6:$L$305,$A7,生产加工!$B$6:$B$305,"&gt;="&amp;$A$4,生产加工!$B$6:$B$305,"&lt;="&amp;$B$4)+SUMIFS(其他分录!$G$6:$G$255,其他分录!$C$6:$C$255,参数设置!$A$11,其他分录!$I$6:$I$255,$A7,其他分录!$B$6:$B$255,"&gt;="&amp;$A$4,其他分录!$B$6:$B$255,"&lt;="&amp;$B$4))</f>
        <v>0</v>
      </c>
      <c r="D7" s="40" t="n">
        <f aca="false">IF($A7="","",SUMIFS(资金流水!$P$6:$P$605,资金流水!$C$6:$C$605,参数设置!$A$12,资金流水!$H$6:$H$605,$A7,资金流水!$E$6:$E$605,"费用支出",资金流水!$B$6:$B$605,"&gt;="&amp;$A$4,资金流水!$B$6:$B$605,"&lt;="&amp;$B$4)+SUMIFS(资金流水!$P$6:$P$605,资金流水!$C$6:$C$605,参数设置!$A$12,资金流水!$H$6:$H$605,$A7,资金流水!$E$6:$E$605,"其他支出",资金流水!$B$6:$B$605,"&gt;="&amp;$A$4,资金流水!$B$6:$B$605,"&lt;="&amp;$B$4)+SUMIFS(资金流水!$P$6:$P$605,资金流水!$C$6:$C$605,参数设置!$A$12,资金流水!$H$6:$H$605,$A7,资金流水!$E$6:$E$605,"支付利息",资金流水!$B$6:$B$605,"&gt;="&amp;$A$4,资金流水!$B$6:$B$605,"&lt;="&amp;$B$4)+SUMIFS(生产加工!$J$6:$J$305,生产加工!$C$6:$C$305,参数设置!$A$12,生产加工!$L$6:$L$305,$A7,生产加工!$B$6:$B$305,"&gt;="&amp;$A$4,生产加工!$B$6:$B$305,"&lt;="&amp;$B$4)+SUMIFS(其他分录!$G$6:$G$255,其他分录!$C$6:$C$255,参数设置!$A$12,其他分录!$I$6:$I$255,$A7,其他分录!$B$6:$B$255,"&gt;="&amp;$A$4,其他分录!$B$6:$B$255,"&lt;="&amp;$B$4))</f>
        <v>0</v>
      </c>
      <c r="E7" s="42" t="n">
        <f aca="false">IF($A7="","",SUM(B7:D7))</f>
        <v>3200</v>
      </c>
      <c r="F7" s="64" t="str">
        <f aca="false">IF($A7="","",IF(ROUND($E7,2)&lt;&gt;0,"有",""))</f>
        <v>有</v>
      </c>
    </row>
    <row r="8" customFormat="false" ht="15" hidden="false" customHeight="false" outlineLevel="0" collapsed="false">
      <c r="A8" s="10" t="str">
        <f aca="false">IF(参数设置!$A17="","",参数设置!$A17)</f>
        <v>差旅费</v>
      </c>
      <c r="B8" s="40" t="n">
        <f aca="false">IF($A8="","",SUMIFS(资金流水!$P$6:$P$605,资金流水!$C$6:$C$605,参数设置!$A$10,资金流水!$H$6:$H$605,$A8,资金流水!$E$6:$E$605,"费用支出",资金流水!$B$6:$B$605,"&gt;="&amp;$A$4,资金流水!$B$6:$B$605,"&lt;="&amp;$B$4)+SUMIFS(资金流水!$P$6:$P$605,资金流水!$C$6:$C$605,参数设置!$A$10,资金流水!$H$6:$H$605,$A8,资金流水!$E$6:$E$605,"其他支出",资金流水!$B$6:$B$605,"&gt;="&amp;$A$4,资金流水!$B$6:$B$605,"&lt;="&amp;$B$4)+SUMIFS(资金流水!$P$6:$P$605,资金流水!$C$6:$C$605,参数设置!$A$10,资金流水!$H$6:$H$605,$A8,资金流水!$E$6:$E$605,"支付利息",资金流水!$B$6:$B$605,"&gt;="&amp;$A$4,资金流水!$B$6:$B$605,"&lt;="&amp;$B$4)+SUMIFS(生产加工!$J$6:$J$305,生产加工!$C$6:$C$305,参数设置!$A$10,生产加工!$L$6:$L$305,$A8,生产加工!$B$6:$B$305,"&gt;="&amp;$A$4,生产加工!$B$6:$B$305,"&lt;="&amp;$B$4)+SUMIFS(其他分录!$G$6:$G$255,其他分录!$C$6:$C$255,参数设置!$A$10,其他分录!$I$6:$I$255,$A8,其他分录!$B$6:$B$255,"&gt;="&amp;$A$4,其他分录!$B$6:$B$255,"&lt;="&amp;$B$4))</f>
        <v>1800</v>
      </c>
      <c r="C8" s="40" t="n">
        <f aca="false">IF($A8="","",SUMIFS(资金流水!$P$6:$P$605,资金流水!$C$6:$C$605,参数设置!$A$11,资金流水!$H$6:$H$605,$A8,资金流水!$E$6:$E$605,"费用支出",资金流水!$B$6:$B$605,"&gt;="&amp;$A$4,资金流水!$B$6:$B$605,"&lt;="&amp;$B$4)+SUMIFS(资金流水!$P$6:$P$605,资金流水!$C$6:$C$605,参数设置!$A$11,资金流水!$H$6:$H$605,$A8,资金流水!$E$6:$E$605,"其他支出",资金流水!$B$6:$B$605,"&gt;="&amp;$A$4,资金流水!$B$6:$B$605,"&lt;="&amp;$B$4)+SUMIFS(资金流水!$P$6:$P$605,资金流水!$C$6:$C$605,参数设置!$A$11,资金流水!$H$6:$H$605,$A8,资金流水!$E$6:$E$605,"支付利息",资金流水!$B$6:$B$605,"&gt;="&amp;$A$4,资金流水!$B$6:$B$605,"&lt;="&amp;$B$4)+SUMIFS(生产加工!$J$6:$J$305,生产加工!$C$6:$C$305,参数设置!$A$11,生产加工!$L$6:$L$305,$A8,生产加工!$B$6:$B$305,"&gt;="&amp;$A$4,生产加工!$B$6:$B$305,"&lt;="&amp;$B$4)+SUMIFS(其他分录!$G$6:$G$255,其他分录!$C$6:$C$255,参数设置!$A$11,其他分录!$I$6:$I$255,$A8,其他分录!$B$6:$B$255,"&gt;="&amp;$A$4,其他分录!$B$6:$B$255,"&lt;="&amp;$B$4))</f>
        <v>0</v>
      </c>
      <c r="D8" s="40" t="n">
        <f aca="false">IF($A8="","",SUMIFS(资金流水!$P$6:$P$605,资金流水!$C$6:$C$605,参数设置!$A$12,资金流水!$H$6:$H$605,$A8,资金流水!$E$6:$E$605,"费用支出",资金流水!$B$6:$B$605,"&gt;="&amp;$A$4,资金流水!$B$6:$B$605,"&lt;="&amp;$B$4)+SUMIFS(资金流水!$P$6:$P$605,资金流水!$C$6:$C$605,参数设置!$A$12,资金流水!$H$6:$H$605,$A8,资金流水!$E$6:$E$605,"其他支出",资金流水!$B$6:$B$605,"&gt;="&amp;$A$4,资金流水!$B$6:$B$605,"&lt;="&amp;$B$4)+SUMIFS(资金流水!$P$6:$P$605,资金流水!$C$6:$C$605,参数设置!$A$12,资金流水!$H$6:$H$605,$A8,资金流水!$E$6:$E$605,"支付利息",资金流水!$B$6:$B$605,"&gt;="&amp;$A$4,资金流水!$B$6:$B$605,"&lt;="&amp;$B$4)+SUMIFS(生产加工!$J$6:$J$305,生产加工!$C$6:$C$305,参数设置!$A$12,生产加工!$L$6:$L$305,$A8,生产加工!$B$6:$B$305,"&gt;="&amp;$A$4,生产加工!$B$6:$B$305,"&lt;="&amp;$B$4)+SUMIFS(其他分录!$G$6:$G$255,其他分录!$C$6:$C$255,参数设置!$A$12,其他分录!$I$6:$I$255,$A8,其他分录!$B$6:$B$255,"&gt;="&amp;$A$4,其他分录!$B$6:$B$255,"&lt;="&amp;$B$4))</f>
        <v>0</v>
      </c>
      <c r="E8" s="42" t="n">
        <f aca="false">IF($A8="","",SUM(B8:D8))</f>
        <v>1800</v>
      </c>
      <c r="F8" s="64" t="str">
        <f aca="false">IF($A8="","",IF(ROUND($E8,2)&lt;&gt;0,"有",""))</f>
        <v>有</v>
      </c>
    </row>
    <row r="9" customFormat="false" ht="15" hidden="false" customHeight="false" outlineLevel="0" collapsed="false">
      <c r="A9" s="10" t="str">
        <f aca="false">IF(参数设置!$A18="","",参数设置!$A18)</f>
        <v>业务招待费</v>
      </c>
      <c r="B9" s="40" t="n">
        <f aca="false">IF($A9="","",SUMIFS(资金流水!$P$6:$P$605,资金流水!$C$6:$C$605,参数设置!$A$10,资金流水!$H$6:$H$605,$A9,资金流水!$E$6:$E$605,"费用支出",资金流水!$B$6:$B$605,"&gt;="&amp;$A$4,资金流水!$B$6:$B$605,"&lt;="&amp;$B$4)+SUMIFS(资金流水!$P$6:$P$605,资金流水!$C$6:$C$605,参数设置!$A$10,资金流水!$H$6:$H$605,$A9,资金流水!$E$6:$E$605,"其他支出",资金流水!$B$6:$B$605,"&gt;="&amp;$A$4,资金流水!$B$6:$B$605,"&lt;="&amp;$B$4)+SUMIFS(资金流水!$P$6:$P$605,资金流水!$C$6:$C$605,参数设置!$A$10,资金流水!$H$6:$H$605,$A9,资金流水!$E$6:$E$605,"支付利息",资金流水!$B$6:$B$605,"&gt;="&amp;$A$4,资金流水!$B$6:$B$605,"&lt;="&amp;$B$4)+SUMIFS(生产加工!$J$6:$J$305,生产加工!$C$6:$C$305,参数设置!$A$10,生产加工!$L$6:$L$305,$A9,生产加工!$B$6:$B$305,"&gt;="&amp;$A$4,生产加工!$B$6:$B$305,"&lt;="&amp;$B$4)+SUMIFS(其他分录!$G$6:$G$255,其他分录!$C$6:$C$255,参数设置!$A$10,其他分录!$I$6:$I$255,$A9,其他分录!$B$6:$B$255,"&gt;="&amp;$A$4,其他分录!$B$6:$B$255,"&lt;="&amp;$B$4))</f>
        <v>0</v>
      </c>
      <c r="C9" s="40" t="n">
        <f aca="false">IF($A9="","",SUMIFS(资金流水!$P$6:$P$605,资金流水!$C$6:$C$605,参数设置!$A$11,资金流水!$H$6:$H$605,$A9,资金流水!$E$6:$E$605,"费用支出",资金流水!$B$6:$B$605,"&gt;="&amp;$A$4,资金流水!$B$6:$B$605,"&lt;="&amp;$B$4)+SUMIFS(资金流水!$P$6:$P$605,资金流水!$C$6:$C$605,参数设置!$A$11,资金流水!$H$6:$H$605,$A9,资金流水!$E$6:$E$605,"其他支出",资金流水!$B$6:$B$605,"&gt;="&amp;$A$4,资金流水!$B$6:$B$605,"&lt;="&amp;$B$4)+SUMIFS(资金流水!$P$6:$P$605,资金流水!$C$6:$C$605,参数设置!$A$11,资金流水!$H$6:$H$605,$A9,资金流水!$E$6:$E$605,"支付利息",资金流水!$B$6:$B$605,"&gt;="&amp;$A$4,资金流水!$B$6:$B$605,"&lt;="&amp;$B$4)+SUMIFS(生产加工!$J$6:$J$305,生产加工!$C$6:$C$305,参数设置!$A$11,生产加工!$L$6:$L$305,$A9,生产加工!$B$6:$B$305,"&gt;="&amp;$A$4,生产加工!$B$6:$B$305,"&lt;="&amp;$B$4)+SUMIFS(其他分录!$G$6:$G$255,其他分录!$C$6:$C$255,参数设置!$A$11,其他分录!$I$6:$I$255,$A9,其他分录!$B$6:$B$255,"&gt;="&amp;$A$4,其他分录!$B$6:$B$255,"&lt;="&amp;$B$4))</f>
        <v>0</v>
      </c>
      <c r="D9" s="40" t="n">
        <f aca="false">IF($A9="","",SUMIFS(资金流水!$P$6:$P$605,资金流水!$C$6:$C$605,参数设置!$A$12,资金流水!$H$6:$H$605,$A9,资金流水!$E$6:$E$605,"费用支出",资金流水!$B$6:$B$605,"&gt;="&amp;$A$4,资金流水!$B$6:$B$605,"&lt;="&amp;$B$4)+SUMIFS(资金流水!$P$6:$P$605,资金流水!$C$6:$C$605,参数设置!$A$12,资金流水!$H$6:$H$605,$A9,资金流水!$E$6:$E$605,"其他支出",资金流水!$B$6:$B$605,"&gt;="&amp;$A$4,资金流水!$B$6:$B$605,"&lt;="&amp;$B$4)+SUMIFS(资金流水!$P$6:$P$605,资金流水!$C$6:$C$605,参数设置!$A$12,资金流水!$H$6:$H$605,$A9,资金流水!$E$6:$E$605,"支付利息",资金流水!$B$6:$B$605,"&gt;="&amp;$A$4,资金流水!$B$6:$B$605,"&lt;="&amp;$B$4)+SUMIFS(生产加工!$J$6:$J$305,生产加工!$C$6:$C$305,参数设置!$A$12,生产加工!$L$6:$L$305,$A9,生产加工!$B$6:$B$305,"&gt;="&amp;$A$4,生产加工!$B$6:$B$305,"&lt;="&amp;$B$4)+SUMIFS(其他分录!$G$6:$G$255,其他分录!$C$6:$C$255,参数设置!$A$12,其他分录!$I$6:$I$255,$A9,其他分录!$B$6:$B$255,"&gt;="&amp;$A$4,其他分录!$B$6:$B$255,"&lt;="&amp;$B$4))</f>
        <v>0</v>
      </c>
      <c r="E9" s="42" t="n">
        <f aca="false">IF($A9="","",SUM(B9:D9))</f>
        <v>0</v>
      </c>
      <c r="F9" s="64" t="str">
        <f aca="false">IF($A9="","",IF(ROUND($E9,2)&lt;&gt;0,"有",""))</f>
        <v/>
      </c>
    </row>
    <row r="10" customFormat="false" ht="15" hidden="false" customHeight="false" outlineLevel="0" collapsed="false">
      <c r="A10" s="10" t="str">
        <f aca="false">IF(参数设置!$A19="","",参数设置!$A19)</f>
        <v>水电费</v>
      </c>
      <c r="B10" s="40" t="n">
        <f aca="false">IF($A10="","",SUMIFS(资金流水!$P$6:$P$605,资金流水!$C$6:$C$605,参数设置!$A$10,资金流水!$H$6:$H$605,$A10,资金流水!$E$6:$E$605,"费用支出",资金流水!$B$6:$B$605,"&gt;="&amp;$A$4,资金流水!$B$6:$B$605,"&lt;="&amp;$B$4)+SUMIFS(资金流水!$P$6:$P$605,资金流水!$C$6:$C$605,参数设置!$A$10,资金流水!$H$6:$H$605,$A10,资金流水!$E$6:$E$605,"其他支出",资金流水!$B$6:$B$605,"&gt;="&amp;$A$4,资金流水!$B$6:$B$605,"&lt;="&amp;$B$4)+SUMIFS(资金流水!$P$6:$P$605,资金流水!$C$6:$C$605,参数设置!$A$10,资金流水!$H$6:$H$605,$A10,资金流水!$E$6:$E$605,"支付利息",资金流水!$B$6:$B$605,"&gt;="&amp;$A$4,资金流水!$B$6:$B$605,"&lt;="&amp;$B$4)+SUMIFS(生产加工!$J$6:$J$305,生产加工!$C$6:$C$305,参数设置!$A$10,生产加工!$L$6:$L$305,$A10,生产加工!$B$6:$B$305,"&gt;="&amp;$A$4,生产加工!$B$6:$B$305,"&lt;="&amp;$B$4)+SUMIFS(其他分录!$G$6:$G$255,其他分录!$C$6:$C$255,参数设置!$A$10,其他分录!$I$6:$I$255,$A10,其他分录!$B$6:$B$255,"&gt;="&amp;$A$4,其他分录!$B$6:$B$255,"&lt;="&amp;$B$4))</f>
        <v>0</v>
      </c>
      <c r="C10" s="40" t="n">
        <f aca="false">IF($A10="","",SUMIFS(资金流水!$P$6:$P$605,资金流水!$C$6:$C$605,参数设置!$A$11,资金流水!$H$6:$H$605,$A10,资金流水!$E$6:$E$605,"费用支出",资金流水!$B$6:$B$605,"&gt;="&amp;$A$4,资金流水!$B$6:$B$605,"&lt;="&amp;$B$4)+SUMIFS(资金流水!$P$6:$P$605,资金流水!$C$6:$C$605,参数设置!$A$11,资金流水!$H$6:$H$605,$A10,资金流水!$E$6:$E$605,"其他支出",资金流水!$B$6:$B$605,"&gt;="&amp;$A$4,资金流水!$B$6:$B$605,"&lt;="&amp;$B$4)+SUMIFS(资金流水!$P$6:$P$605,资金流水!$C$6:$C$605,参数设置!$A$11,资金流水!$H$6:$H$605,$A10,资金流水!$E$6:$E$605,"支付利息",资金流水!$B$6:$B$605,"&gt;="&amp;$A$4,资金流水!$B$6:$B$605,"&lt;="&amp;$B$4)+SUMIFS(生产加工!$J$6:$J$305,生产加工!$C$6:$C$305,参数设置!$A$11,生产加工!$L$6:$L$305,$A10,生产加工!$B$6:$B$305,"&gt;="&amp;$A$4,生产加工!$B$6:$B$305,"&lt;="&amp;$B$4)+SUMIFS(其他分录!$G$6:$G$255,其他分录!$C$6:$C$255,参数设置!$A$11,其他分录!$I$6:$I$255,$A10,其他分录!$B$6:$B$255,"&gt;="&amp;$A$4,其他分录!$B$6:$B$255,"&lt;="&amp;$B$4))</f>
        <v>8600</v>
      </c>
      <c r="D10" s="40" t="n">
        <f aca="false">IF($A10="","",SUMIFS(资金流水!$P$6:$P$605,资金流水!$C$6:$C$605,参数设置!$A$12,资金流水!$H$6:$H$605,$A10,资金流水!$E$6:$E$605,"费用支出",资金流水!$B$6:$B$605,"&gt;="&amp;$A$4,资金流水!$B$6:$B$605,"&lt;="&amp;$B$4)+SUMIFS(资金流水!$P$6:$P$605,资金流水!$C$6:$C$605,参数设置!$A$12,资金流水!$H$6:$H$605,$A10,资金流水!$E$6:$E$605,"其他支出",资金流水!$B$6:$B$605,"&gt;="&amp;$A$4,资金流水!$B$6:$B$605,"&lt;="&amp;$B$4)+SUMIFS(资金流水!$P$6:$P$605,资金流水!$C$6:$C$605,参数设置!$A$12,资金流水!$H$6:$H$605,$A10,资金流水!$E$6:$E$605,"支付利息",资金流水!$B$6:$B$605,"&gt;="&amp;$A$4,资金流水!$B$6:$B$605,"&lt;="&amp;$B$4)+SUMIFS(生产加工!$J$6:$J$305,生产加工!$C$6:$C$305,参数设置!$A$12,生产加工!$L$6:$L$305,$A10,生产加工!$B$6:$B$305,"&gt;="&amp;$A$4,生产加工!$B$6:$B$305,"&lt;="&amp;$B$4)+SUMIFS(其他分录!$G$6:$G$255,其他分录!$C$6:$C$255,参数设置!$A$12,其他分录!$I$6:$I$255,$A10,其他分录!$B$6:$B$255,"&gt;="&amp;$A$4,其他分录!$B$6:$B$255,"&lt;="&amp;$B$4))</f>
        <v>0</v>
      </c>
      <c r="E10" s="42" t="n">
        <f aca="false">IF($A10="","",SUM(B10:D10))</f>
        <v>8600</v>
      </c>
      <c r="F10" s="64" t="str">
        <f aca="false">IF($A10="","",IF(ROUND($E10,2)&lt;&gt;0,"有",""))</f>
        <v>有</v>
      </c>
    </row>
    <row r="11" customFormat="false" ht="15" hidden="false" customHeight="false" outlineLevel="0" collapsed="false">
      <c r="A11" s="10" t="str">
        <f aca="false">IF(参数设置!$A20="","",参数设置!$A20)</f>
        <v>燃料动力费</v>
      </c>
      <c r="B11" s="40" t="n">
        <f aca="false">IF($A11="","",SUMIFS(资金流水!$P$6:$P$605,资金流水!$C$6:$C$605,参数设置!$A$10,资金流水!$H$6:$H$605,$A11,资金流水!$E$6:$E$605,"费用支出",资金流水!$B$6:$B$605,"&gt;="&amp;$A$4,资金流水!$B$6:$B$605,"&lt;="&amp;$B$4)+SUMIFS(资金流水!$P$6:$P$605,资金流水!$C$6:$C$605,参数设置!$A$10,资金流水!$H$6:$H$605,$A11,资金流水!$E$6:$E$605,"其他支出",资金流水!$B$6:$B$605,"&gt;="&amp;$A$4,资金流水!$B$6:$B$605,"&lt;="&amp;$B$4)+SUMIFS(资金流水!$P$6:$P$605,资金流水!$C$6:$C$605,参数设置!$A$10,资金流水!$H$6:$H$605,$A11,资金流水!$E$6:$E$605,"支付利息",资金流水!$B$6:$B$605,"&gt;="&amp;$A$4,资金流水!$B$6:$B$605,"&lt;="&amp;$B$4)+SUMIFS(生产加工!$J$6:$J$305,生产加工!$C$6:$C$305,参数设置!$A$10,生产加工!$L$6:$L$305,$A11,生产加工!$B$6:$B$305,"&gt;="&amp;$A$4,生产加工!$B$6:$B$305,"&lt;="&amp;$B$4)+SUMIFS(其他分录!$G$6:$G$255,其他分录!$C$6:$C$255,参数设置!$A$10,其他分录!$I$6:$I$255,$A11,其他分录!$B$6:$B$255,"&gt;="&amp;$A$4,其他分录!$B$6:$B$255,"&lt;="&amp;$B$4))</f>
        <v>14000</v>
      </c>
      <c r="C11" s="40" t="n">
        <f aca="false">IF($A11="","",SUMIFS(资金流水!$P$6:$P$605,资金流水!$C$6:$C$605,参数设置!$A$11,资金流水!$H$6:$H$605,$A11,资金流水!$E$6:$E$605,"费用支出",资金流水!$B$6:$B$605,"&gt;="&amp;$A$4,资金流水!$B$6:$B$605,"&lt;="&amp;$B$4)+SUMIFS(资金流水!$P$6:$P$605,资金流水!$C$6:$C$605,参数设置!$A$11,资金流水!$H$6:$H$605,$A11,资金流水!$E$6:$E$605,"其他支出",资金流水!$B$6:$B$605,"&gt;="&amp;$A$4,资金流水!$B$6:$B$605,"&lt;="&amp;$B$4)+SUMIFS(资金流水!$P$6:$P$605,资金流水!$C$6:$C$605,参数设置!$A$11,资金流水!$H$6:$H$605,$A11,资金流水!$E$6:$E$605,"支付利息",资金流水!$B$6:$B$605,"&gt;="&amp;$A$4,资金流水!$B$6:$B$605,"&lt;="&amp;$B$4)+SUMIFS(生产加工!$J$6:$J$305,生产加工!$C$6:$C$305,参数设置!$A$11,生产加工!$L$6:$L$305,$A11,生产加工!$B$6:$B$305,"&gt;="&amp;$A$4,生产加工!$B$6:$B$305,"&lt;="&amp;$B$4)+SUMIFS(其他分录!$G$6:$G$255,其他分录!$C$6:$C$255,参数设置!$A$11,其他分录!$I$6:$I$255,$A11,其他分录!$B$6:$B$255,"&gt;="&amp;$A$4,其他分录!$B$6:$B$255,"&lt;="&amp;$B$4))</f>
        <v>0</v>
      </c>
      <c r="D11" s="40" t="n">
        <f aca="false">IF($A11="","",SUMIFS(资金流水!$P$6:$P$605,资金流水!$C$6:$C$605,参数设置!$A$12,资金流水!$H$6:$H$605,$A11,资金流水!$E$6:$E$605,"费用支出",资金流水!$B$6:$B$605,"&gt;="&amp;$A$4,资金流水!$B$6:$B$605,"&lt;="&amp;$B$4)+SUMIFS(资金流水!$P$6:$P$605,资金流水!$C$6:$C$605,参数设置!$A$12,资金流水!$H$6:$H$605,$A11,资金流水!$E$6:$E$605,"其他支出",资金流水!$B$6:$B$605,"&gt;="&amp;$A$4,资金流水!$B$6:$B$605,"&lt;="&amp;$B$4)+SUMIFS(资金流水!$P$6:$P$605,资金流水!$C$6:$C$605,参数设置!$A$12,资金流水!$H$6:$H$605,$A11,资金流水!$E$6:$E$605,"支付利息",资金流水!$B$6:$B$605,"&gt;="&amp;$A$4,资金流水!$B$6:$B$605,"&lt;="&amp;$B$4)+SUMIFS(生产加工!$J$6:$J$305,生产加工!$C$6:$C$305,参数设置!$A$12,生产加工!$L$6:$L$305,$A11,生产加工!$B$6:$B$305,"&gt;="&amp;$A$4,生产加工!$B$6:$B$305,"&lt;="&amp;$B$4)+SUMIFS(其他分录!$G$6:$G$255,其他分录!$C$6:$C$255,参数设置!$A$12,其他分录!$I$6:$I$255,$A11,其他分录!$B$6:$B$255,"&gt;="&amp;$A$4,其他分录!$B$6:$B$255,"&lt;="&amp;$B$4))</f>
        <v>0</v>
      </c>
      <c r="E11" s="42" t="n">
        <f aca="false">IF($A11="","",SUM(B11:D11))</f>
        <v>14000</v>
      </c>
      <c r="F11" s="64" t="str">
        <f aca="false">IF($A11="","",IF(ROUND($E11,2)&lt;&gt;0,"有",""))</f>
        <v>有</v>
      </c>
    </row>
    <row r="12" customFormat="false" ht="15" hidden="false" customHeight="false" outlineLevel="0" collapsed="false">
      <c r="A12" s="10" t="str">
        <f aca="false">IF(参数设置!$A21="","",参数设置!$A21)</f>
        <v>房租物业</v>
      </c>
      <c r="B12" s="40" t="n">
        <f aca="false">IF($A12="","",SUMIFS(资金流水!$P$6:$P$605,资金流水!$C$6:$C$605,参数设置!$A$10,资金流水!$H$6:$H$605,$A12,资金流水!$E$6:$E$605,"费用支出",资金流水!$B$6:$B$605,"&gt;="&amp;$A$4,资金流水!$B$6:$B$605,"&lt;="&amp;$B$4)+SUMIFS(资金流水!$P$6:$P$605,资金流水!$C$6:$C$605,参数设置!$A$10,资金流水!$H$6:$H$605,$A12,资金流水!$E$6:$E$605,"其他支出",资金流水!$B$6:$B$605,"&gt;="&amp;$A$4,资金流水!$B$6:$B$605,"&lt;="&amp;$B$4)+SUMIFS(资金流水!$P$6:$P$605,资金流水!$C$6:$C$605,参数设置!$A$10,资金流水!$H$6:$H$605,$A12,资金流水!$E$6:$E$605,"支付利息",资金流水!$B$6:$B$605,"&gt;="&amp;$A$4,资金流水!$B$6:$B$605,"&lt;="&amp;$B$4)+SUMIFS(生产加工!$J$6:$J$305,生产加工!$C$6:$C$305,参数设置!$A$10,生产加工!$L$6:$L$305,$A12,生产加工!$B$6:$B$305,"&gt;="&amp;$A$4,生产加工!$B$6:$B$305,"&lt;="&amp;$B$4)+SUMIFS(其他分录!$G$6:$G$255,其他分录!$C$6:$C$255,参数设置!$A$10,其他分录!$I$6:$I$255,$A12,其他分录!$B$6:$B$255,"&gt;="&amp;$A$4,其他分录!$B$6:$B$255,"&lt;="&amp;$B$4))</f>
        <v>0</v>
      </c>
      <c r="C12" s="40" t="n">
        <f aca="false">IF($A12="","",SUMIFS(资金流水!$P$6:$P$605,资金流水!$C$6:$C$605,参数设置!$A$11,资金流水!$H$6:$H$605,$A12,资金流水!$E$6:$E$605,"费用支出",资金流水!$B$6:$B$605,"&gt;="&amp;$A$4,资金流水!$B$6:$B$605,"&lt;="&amp;$B$4)+SUMIFS(资金流水!$P$6:$P$605,资金流水!$C$6:$C$605,参数设置!$A$11,资金流水!$H$6:$H$605,$A12,资金流水!$E$6:$E$605,"其他支出",资金流水!$B$6:$B$605,"&gt;="&amp;$A$4,资金流水!$B$6:$B$605,"&lt;="&amp;$B$4)+SUMIFS(资金流水!$P$6:$P$605,资金流水!$C$6:$C$605,参数设置!$A$11,资金流水!$H$6:$H$605,$A12,资金流水!$E$6:$E$605,"支付利息",资金流水!$B$6:$B$605,"&gt;="&amp;$A$4,资金流水!$B$6:$B$605,"&lt;="&amp;$B$4)+SUMIFS(生产加工!$J$6:$J$305,生产加工!$C$6:$C$305,参数设置!$A$11,生产加工!$L$6:$L$305,$A12,生产加工!$B$6:$B$305,"&gt;="&amp;$A$4,生产加工!$B$6:$B$305,"&lt;="&amp;$B$4)+SUMIFS(其他分录!$G$6:$G$255,其他分录!$C$6:$C$255,参数设置!$A$11,其他分录!$I$6:$I$255,$A12,其他分录!$B$6:$B$255,"&gt;="&amp;$A$4,其他分录!$B$6:$B$255,"&lt;="&amp;$B$4))</f>
        <v>24000</v>
      </c>
      <c r="D12" s="40" t="n">
        <f aca="false">IF($A12="","",SUMIFS(资金流水!$P$6:$P$605,资金流水!$C$6:$C$605,参数设置!$A$12,资金流水!$H$6:$H$605,$A12,资金流水!$E$6:$E$605,"费用支出",资金流水!$B$6:$B$605,"&gt;="&amp;$A$4,资金流水!$B$6:$B$605,"&lt;="&amp;$B$4)+SUMIFS(资金流水!$P$6:$P$605,资金流水!$C$6:$C$605,参数设置!$A$12,资金流水!$H$6:$H$605,$A12,资金流水!$E$6:$E$605,"其他支出",资金流水!$B$6:$B$605,"&gt;="&amp;$A$4,资金流水!$B$6:$B$605,"&lt;="&amp;$B$4)+SUMIFS(资金流水!$P$6:$P$605,资金流水!$C$6:$C$605,参数设置!$A$12,资金流水!$H$6:$H$605,$A12,资金流水!$E$6:$E$605,"支付利息",资金流水!$B$6:$B$605,"&gt;="&amp;$A$4,资金流水!$B$6:$B$605,"&lt;="&amp;$B$4)+SUMIFS(生产加工!$J$6:$J$305,生产加工!$C$6:$C$305,参数设置!$A$12,生产加工!$L$6:$L$305,$A12,生产加工!$B$6:$B$305,"&gt;="&amp;$A$4,生产加工!$B$6:$B$305,"&lt;="&amp;$B$4)+SUMIFS(其他分录!$G$6:$G$255,其他分录!$C$6:$C$255,参数设置!$A$12,其他分录!$I$6:$I$255,$A12,其他分录!$B$6:$B$255,"&gt;="&amp;$A$4,其他分录!$B$6:$B$255,"&lt;="&amp;$B$4))</f>
        <v>0</v>
      </c>
      <c r="E12" s="42" t="n">
        <f aca="false">IF($A12="","",SUM(B12:D12))</f>
        <v>24000</v>
      </c>
      <c r="F12" s="64" t="str">
        <f aca="false">IF($A12="","",IF(ROUND($E12,2)&lt;&gt;0,"有",""))</f>
        <v>有</v>
      </c>
    </row>
    <row r="13" customFormat="false" ht="15" hidden="false" customHeight="false" outlineLevel="0" collapsed="false">
      <c r="A13" s="10" t="str">
        <f aca="false">IF(参数设置!$A22="","",参数设置!$A22)</f>
        <v>工资薪金</v>
      </c>
      <c r="B13" s="40" t="n">
        <f aca="false">IF($A13="","",SUMIFS(资金流水!$P$6:$P$605,资金流水!$C$6:$C$605,参数设置!$A$10,资金流水!$H$6:$H$605,$A13,资金流水!$E$6:$E$605,"费用支出",资金流水!$B$6:$B$605,"&gt;="&amp;$A$4,资金流水!$B$6:$B$605,"&lt;="&amp;$B$4)+SUMIFS(资金流水!$P$6:$P$605,资金流水!$C$6:$C$605,参数设置!$A$10,资金流水!$H$6:$H$605,$A13,资金流水!$E$6:$E$605,"其他支出",资金流水!$B$6:$B$605,"&gt;="&amp;$A$4,资金流水!$B$6:$B$605,"&lt;="&amp;$B$4)+SUMIFS(资金流水!$P$6:$P$605,资金流水!$C$6:$C$605,参数设置!$A$10,资金流水!$H$6:$H$605,$A13,资金流水!$E$6:$E$605,"支付利息",资金流水!$B$6:$B$605,"&gt;="&amp;$A$4,资金流水!$B$6:$B$605,"&lt;="&amp;$B$4)+SUMIFS(生产加工!$J$6:$J$305,生产加工!$C$6:$C$305,参数设置!$A$10,生产加工!$L$6:$L$305,$A13,生产加工!$B$6:$B$305,"&gt;="&amp;$A$4,生产加工!$B$6:$B$305,"&lt;="&amp;$B$4)+SUMIFS(其他分录!$G$6:$G$255,其他分录!$C$6:$C$255,参数设置!$A$10,其他分录!$I$6:$I$255,$A13,其他分录!$B$6:$B$255,"&gt;="&amp;$A$4,其他分录!$B$6:$B$255,"&lt;="&amp;$B$4))</f>
        <v>136000</v>
      </c>
      <c r="C13" s="40" t="n">
        <f aca="false">IF($A13="","",SUMIFS(资金流水!$P$6:$P$605,资金流水!$C$6:$C$605,参数设置!$A$11,资金流水!$H$6:$H$605,$A13,资金流水!$E$6:$E$605,"费用支出",资金流水!$B$6:$B$605,"&gt;="&amp;$A$4,资金流水!$B$6:$B$605,"&lt;="&amp;$B$4)+SUMIFS(资金流水!$P$6:$P$605,资金流水!$C$6:$C$605,参数设置!$A$11,资金流水!$H$6:$H$605,$A13,资金流水!$E$6:$E$605,"其他支出",资金流水!$B$6:$B$605,"&gt;="&amp;$A$4,资金流水!$B$6:$B$605,"&lt;="&amp;$B$4)+SUMIFS(资金流水!$P$6:$P$605,资金流水!$C$6:$C$605,参数设置!$A$11,资金流水!$H$6:$H$605,$A13,资金流水!$E$6:$E$605,"支付利息",资金流水!$B$6:$B$605,"&gt;="&amp;$A$4,资金流水!$B$6:$B$605,"&lt;="&amp;$B$4)+SUMIFS(生产加工!$J$6:$J$305,生产加工!$C$6:$C$305,参数设置!$A$11,生产加工!$L$6:$L$305,$A13,生产加工!$B$6:$B$305,"&gt;="&amp;$A$4,生产加工!$B$6:$B$305,"&lt;="&amp;$B$4)+SUMIFS(其他分录!$G$6:$G$255,其他分录!$C$6:$C$255,参数设置!$A$11,其他分录!$I$6:$I$255,$A13,其他分录!$B$6:$B$255,"&gt;="&amp;$A$4,其他分录!$B$6:$B$255,"&lt;="&amp;$B$4))</f>
        <v>69000</v>
      </c>
      <c r="D13" s="40" t="n">
        <f aca="false">IF($A13="","",SUMIFS(资金流水!$P$6:$P$605,资金流水!$C$6:$C$605,参数设置!$A$12,资金流水!$H$6:$H$605,$A13,资金流水!$E$6:$E$605,"费用支出",资金流水!$B$6:$B$605,"&gt;="&amp;$A$4,资金流水!$B$6:$B$605,"&lt;="&amp;$B$4)+SUMIFS(资金流水!$P$6:$P$605,资金流水!$C$6:$C$605,参数设置!$A$12,资金流水!$H$6:$H$605,$A13,资金流水!$E$6:$E$605,"其他支出",资金流水!$B$6:$B$605,"&gt;="&amp;$A$4,资金流水!$B$6:$B$605,"&lt;="&amp;$B$4)+SUMIFS(资金流水!$P$6:$P$605,资金流水!$C$6:$C$605,参数设置!$A$12,资金流水!$H$6:$H$605,$A13,资金流水!$E$6:$E$605,"支付利息",资金流水!$B$6:$B$605,"&gt;="&amp;$A$4,资金流水!$B$6:$B$605,"&lt;="&amp;$B$4)+SUMIFS(生产加工!$J$6:$J$305,生产加工!$C$6:$C$305,参数设置!$A$12,生产加工!$L$6:$L$305,$A13,生产加工!$B$6:$B$305,"&gt;="&amp;$A$4,生产加工!$B$6:$B$305,"&lt;="&amp;$B$4)+SUMIFS(其他分录!$G$6:$G$255,其他分录!$C$6:$C$255,参数设置!$A$12,其他分录!$I$6:$I$255,$A13,其他分录!$B$6:$B$255,"&gt;="&amp;$A$4,其他分录!$B$6:$B$255,"&lt;="&amp;$B$4))</f>
        <v>75000</v>
      </c>
      <c r="E13" s="42" t="n">
        <f aca="false">IF($A13="","",SUM(B13:D13))</f>
        <v>280000</v>
      </c>
      <c r="F13" s="64" t="str">
        <f aca="false">IF($A13="","",IF(ROUND($E13,2)&lt;&gt;0,"有",""))</f>
        <v>有</v>
      </c>
    </row>
    <row r="14" customFormat="false" ht="15" hidden="false" customHeight="false" outlineLevel="0" collapsed="false">
      <c r="A14" s="10" t="str">
        <f aca="false">IF(参数设置!$A23="","",参数设置!$A23)</f>
        <v>社保公积金</v>
      </c>
      <c r="B14" s="40" t="n">
        <f aca="false">IF($A14="","",SUMIFS(资金流水!$P$6:$P$605,资金流水!$C$6:$C$605,参数设置!$A$10,资金流水!$H$6:$H$605,$A14,资金流水!$E$6:$E$605,"费用支出",资金流水!$B$6:$B$605,"&gt;="&amp;$A$4,资金流水!$B$6:$B$605,"&lt;="&amp;$B$4)+SUMIFS(资金流水!$P$6:$P$605,资金流水!$C$6:$C$605,参数设置!$A$10,资金流水!$H$6:$H$605,$A14,资金流水!$E$6:$E$605,"其他支出",资金流水!$B$6:$B$605,"&gt;="&amp;$A$4,资金流水!$B$6:$B$605,"&lt;="&amp;$B$4)+SUMIFS(资金流水!$P$6:$P$605,资金流水!$C$6:$C$605,参数设置!$A$10,资金流水!$H$6:$H$605,$A14,资金流水!$E$6:$E$605,"支付利息",资金流水!$B$6:$B$605,"&gt;="&amp;$A$4,资金流水!$B$6:$B$605,"&lt;="&amp;$B$4)+SUMIFS(生产加工!$J$6:$J$305,生产加工!$C$6:$C$305,参数设置!$A$10,生产加工!$L$6:$L$305,$A14,生产加工!$B$6:$B$305,"&gt;="&amp;$A$4,生产加工!$B$6:$B$305,"&lt;="&amp;$B$4)+SUMIFS(其他分录!$G$6:$G$255,其他分录!$C$6:$C$255,参数设置!$A$10,其他分录!$I$6:$I$255,$A14,其他分录!$B$6:$B$255,"&gt;="&amp;$A$4,其他分录!$B$6:$B$255,"&lt;="&amp;$B$4))</f>
        <v>12000</v>
      </c>
      <c r="C14" s="40" t="n">
        <f aca="false">IF($A14="","",SUMIFS(资金流水!$P$6:$P$605,资金流水!$C$6:$C$605,参数设置!$A$11,资金流水!$H$6:$H$605,$A14,资金流水!$E$6:$E$605,"费用支出",资金流水!$B$6:$B$605,"&gt;="&amp;$A$4,资金流水!$B$6:$B$605,"&lt;="&amp;$B$4)+SUMIFS(资金流水!$P$6:$P$605,资金流水!$C$6:$C$605,参数设置!$A$11,资金流水!$H$6:$H$605,$A14,资金流水!$E$6:$E$605,"其他支出",资金流水!$B$6:$B$605,"&gt;="&amp;$A$4,资金流水!$B$6:$B$605,"&lt;="&amp;$B$4)+SUMIFS(资金流水!$P$6:$P$605,资金流水!$C$6:$C$605,参数设置!$A$11,资金流水!$H$6:$H$605,$A14,资金流水!$E$6:$E$605,"支付利息",资金流水!$B$6:$B$605,"&gt;="&amp;$A$4,资金流水!$B$6:$B$605,"&lt;="&amp;$B$4)+SUMIFS(生产加工!$J$6:$J$305,生产加工!$C$6:$C$305,参数设置!$A$11,生产加工!$L$6:$L$305,$A14,生产加工!$B$6:$B$305,"&gt;="&amp;$A$4,生产加工!$B$6:$B$305,"&lt;="&amp;$B$4)+SUMIFS(其他分录!$G$6:$G$255,其他分录!$C$6:$C$255,参数设置!$A$11,其他分录!$I$6:$I$255,$A14,其他分录!$B$6:$B$255,"&gt;="&amp;$A$4,其他分录!$B$6:$B$255,"&lt;="&amp;$B$4))</f>
        <v>0</v>
      </c>
      <c r="D14" s="40" t="n">
        <f aca="false">IF($A14="","",SUMIFS(资金流水!$P$6:$P$605,资金流水!$C$6:$C$605,参数设置!$A$12,资金流水!$H$6:$H$605,$A14,资金流水!$E$6:$E$605,"费用支出",资金流水!$B$6:$B$605,"&gt;="&amp;$A$4,资金流水!$B$6:$B$605,"&lt;="&amp;$B$4)+SUMIFS(资金流水!$P$6:$P$605,资金流水!$C$6:$C$605,参数设置!$A$12,资金流水!$H$6:$H$605,$A14,资金流水!$E$6:$E$605,"其他支出",资金流水!$B$6:$B$605,"&gt;="&amp;$A$4,资金流水!$B$6:$B$605,"&lt;="&amp;$B$4)+SUMIFS(资金流水!$P$6:$P$605,资金流水!$C$6:$C$605,参数设置!$A$12,资金流水!$H$6:$H$605,$A14,资金流水!$E$6:$E$605,"支付利息",资金流水!$B$6:$B$605,"&gt;="&amp;$A$4,资金流水!$B$6:$B$605,"&lt;="&amp;$B$4)+SUMIFS(生产加工!$J$6:$J$305,生产加工!$C$6:$C$305,参数设置!$A$12,生产加工!$L$6:$L$305,$A14,生产加工!$B$6:$B$305,"&gt;="&amp;$A$4,生产加工!$B$6:$B$305,"&lt;="&amp;$B$4)+SUMIFS(其他分录!$G$6:$G$255,其他分录!$C$6:$C$255,参数设置!$A$12,其他分录!$I$6:$I$255,$A14,其他分录!$B$6:$B$255,"&gt;="&amp;$A$4,其他分录!$B$6:$B$255,"&lt;="&amp;$B$4))</f>
        <v>0</v>
      </c>
      <c r="E14" s="42" t="n">
        <f aca="false">IF($A14="","",SUM(B14:D14))</f>
        <v>12000</v>
      </c>
      <c r="F14" s="64" t="str">
        <f aca="false">IF($A14="","",IF(ROUND($E14,2)&lt;&gt;0,"有",""))</f>
        <v>有</v>
      </c>
    </row>
    <row r="15" customFormat="false" ht="15" hidden="false" customHeight="false" outlineLevel="0" collapsed="false">
      <c r="A15" s="10" t="str">
        <f aca="false">IF(参数设置!$A24="","",参数设置!$A24)</f>
        <v>折旧费</v>
      </c>
      <c r="B15" s="40" t="n">
        <f aca="false">IF($A15="","",SUMIFS(资金流水!$P$6:$P$605,资金流水!$C$6:$C$605,参数设置!$A$10,资金流水!$H$6:$H$605,$A15,资金流水!$E$6:$E$605,"费用支出",资金流水!$B$6:$B$605,"&gt;="&amp;$A$4,资金流水!$B$6:$B$605,"&lt;="&amp;$B$4)+SUMIFS(资金流水!$P$6:$P$605,资金流水!$C$6:$C$605,参数设置!$A$10,资金流水!$H$6:$H$605,$A15,资金流水!$E$6:$E$605,"其他支出",资金流水!$B$6:$B$605,"&gt;="&amp;$A$4,资金流水!$B$6:$B$605,"&lt;="&amp;$B$4)+SUMIFS(资金流水!$P$6:$P$605,资金流水!$C$6:$C$605,参数设置!$A$10,资金流水!$H$6:$H$605,$A15,资金流水!$E$6:$E$605,"支付利息",资金流水!$B$6:$B$605,"&gt;="&amp;$A$4,资金流水!$B$6:$B$605,"&lt;="&amp;$B$4)+SUMIFS(生产加工!$J$6:$J$305,生产加工!$C$6:$C$305,参数设置!$A$10,生产加工!$L$6:$L$305,$A15,生产加工!$B$6:$B$305,"&gt;="&amp;$A$4,生产加工!$B$6:$B$305,"&lt;="&amp;$B$4)+SUMIFS(其他分录!$G$6:$G$255,其他分录!$C$6:$C$255,参数设置!$A$10,其他分录!$I$6:$I$255,$A15,其他分录!$B$6:$B$255,"&gt;="&amp;$A$4,其他分录!$B$6:$B$255,"&lt;="&amp;$B$4))</f>
        <v>46000</v>
      </c>
      <c r="C15" s="40" t="n">
        <f aca="false">IF($A15="","",SUMIFS(资金流水!$P$6:$P$605,资金流水!$C$6:$C$605,参数设置!$A$11,资金流水!$H$6:$H$605,$A15,资金流水!$E$6:$E$605,"费用支出",资金流水!$B$6:$B$605,"&gt;="&amp;$A$4,资金流水!$B$6:$B$605,"&lt;="&amp;$B$4)+SUMIFS(资金流水!$P$6:$P$605,资金流水!$C$6:$C$605,参数设置!$A$11,资金流水!$H$6:$H$605,$A15,资金流水!$E$6:$E$605,"其他支出",资金流水!$B$6:$B$605,"&gt;="&amp;$A$4,资金流水!$B$6:$B$605,"&lt;="&amp;$B$4)+SUMIFS(资金流水!$P$6:$P$605,资金流水!$C$6:$C$605,参数设置!$A$11,资金流水!$H$6:$H$605,$A15,资金流水!$E$6:$E$605,"支付利息",资金流水!$B$6:$B$605,"&gt;="&amp;$A$4,资金流水!$B$6:$B$605,"&lt;="&amp;$B$4)+SUMIFS(生产加工!$J$6:$J$305,生产加工!$C$6:$C$305,参数设置!$A$11,生产加工!$L$6:$L$305,$A15,生产加工!$B$6:$B$305,"&gt;="&amp;$A$4,生产加工!$B$6:$B$305,"&lt;="&amp;$B$4)+SUMIFS(其他分录!$G$6:$G$255,其他分录!$C$6:$C$255,参数设置!$A$11,其他分录!$I$6:$I$255,$A15,其他分录!$B$6:$B$255,"&gt;="&amp;$A$4,其他分录!$B$6:$B$255,"&lt;="&amp;$B$4))</f>
        <v>98000</v>
      </c>
      <c r="D15" s="40" t="n">
        <f aca="false">IF($A15="","",SUMIFS(资金流水!$P$6:$P$605,资金流水!$C$6:$C$605,参数设置!$A$12,资金流水!$H$6:$H$605,$A15,资金流水!$E$6:$E$605,"费用支出",资金流水!$B$6:$B$605,"&gt;="&amp;$A$4,资金流水!$B$6:$B$605,"&lt;="&amp;$B$4)+SUMIFS(资金流水!$P$6:$P$605,资金流水!$C$6:$C$605,参数设置!$A$12,资金流水!$H$6:$H$605,$A15,资金流水!$E$6:$E$605,"其他支出",资金流水!$B$6:$B$605,"&gt;="&amp;$A$4,资金流水!$B$6:$B$605,"&lt;="&amp;$B$4)+SUMIFS(资金流水!$P$6:$P$605,资金流水!$C$6:$C$605,参数设置!$A$12,资金流水!$H$6:$H$605,$A15,资金流水!$E$6:$E$605,"支付利息",资金流水!$B$6:$B$605,"&gt;="&amp;$A$4,资金流水!$B$6:$B$605,"&lt;="&amp;$B$4)+SUMIFS(生产加工!$J$6:$J$305,生产加工!$C$6:$C$305,参数设置!$A$12,生产加工!$L$6:$L$305,$A15,生产加工!$B$6:$B$305,"&gt;="&amp;$A$4,生产加工!$B$6:$B$305,"&lt;="&amp;$B$4)+SUMIFS(其他分录!$G$6:$G$255,其他分录!$C$6:$C$255,参数设置!$A$12,其他分录!$I$6:$I$255,$A15,其他分录!$B$6:$B$255,"&gt;="&amp;$A$4,其他分录!$B$6:$B$255,"&lt;="&amp;$B$4))</f>
        <v>52000</v>
      </c>
      <c r="E15" s="42" t="n">
        <f aca="false">IF($A15="","",SUM(B15:D15))</f>
        <v>196000</v>
      </c>
      <c r="F15" s="64" t="str">
        <f aca="false">IF($A15="","",IF(ROUND($E15,2)&lt;&gt;0,"有",""))</f>
        <v>有</v>
      </c>
    </row>
    <row r="16" customFormat="false" ht="15" hidden="false" customHeight="false" outlineLevel="0" collapsed="false">
      <c r="A16" s="10" t="str">
        <f aca="false">IF(参数设置!$A25="","",参数设置!$A25)</f>
        <v>摊销费</v>
      </c>
      <c r="B16" s="40" t="n">
        <f aca="false">IF($A16="","",SUMIFS(资金流水!$P$6:$P$605,资金流水!$C$6:$C$605,参数设置!$A$10,资金流水!$H$6:$H$605,$A16,资金流水!$E$6:$E$605,"费用支出",资金流水!$B$6:$B$605,"&gt;="&amp;$A$4,资金流水!$B$6:$B$605,"&lt;="&amp;$B$4)+SUMIFS(资金流水!$P$6:$P$605,资金流水!$C$6:$C$605,参数设置!$A$10,资金流水!$H$6:$H$605,$A16,资金流水!$E$6:$E$605,"其他支出",资金流水!$B$6:$B$605,"&gt;="&amp;$A$4,资金流水!$B$6:$B$605,"&lt;="&amp;$B$4)+SUMIFS(资金流水!$P$6:$P$605,资金流水!$C$6:$C$605,参数设置!$A$10,资金流水!$H$6:$H$605,$A16,资金流水!$E$6:$E$605,"支付利息",资金流水!$B$6:$B$605,"&gt;="&amp;$A$4,资金流水!$B$6:$B$605,"&lt;="&amp;$B$4)+SUMIFS(生产加工!$J$6:$J$305,生产加工!$C$6:$C$305,参数设置!$A$10,生产加工!$L$6:$L$305,$A16,生产加工!$B$6:$B$305,"&gt;="&amp;$A$4,生产加工!$B$6:$B$305,"&lt;="&amp;$B$4)+SUMIFS(其他分录!$G$6:$G$255,其他分录!$C$6:$C$255,参数设置!$A$10,其他分录!$I$6:$I$255,$A16,其他分录!$B$6:$B$255,"&gt;="&amp;$A$4,其他分录!$B$6:$B$255,"&lt;="&amp;$B$4))</f>
        <v>24000</v>
      </c>
      <c r="C16" s="40" t="n">
        <f aca="false">IF($A16="","",SUMIFS(资金流水!$P$6:$P$605,资金流水!$C$6:$C$605,参数设置!$A$11,资金流水!$H$6:$H$605,$A16,资金流水!$E$6:$E$605,"费用支出",资金流水!$B$6:$B$605,"&gt;="&amp;$A$4,资金流水!$B$6:$B$605,"&lt;="&amp;$B$4)+SUMIFS(资金流水!$P$6:$P$605,资金流水!$C$6:$C$605,参数设置!$A$11,资金流水!$H$6:$H$605,$A16,资金流水!$E$6:$E$605,"其他支出",资金流水!$B$6:$B$605,"&gt;="&amp;$A$4,资金流水!$B$6:$B$605,"&lt;="&amp;$B$4)+SUMIFS(资金流水!$P$6:$P$605,资金流水!$C$6:$C$605,参数设置!$A$11,资金流水!$H$6:$H$605,$A16,资金流水!$E$6:$E$605,"支付利息",资金流水!$B$6:$B$605,"&gt;="&amp;$A$4,资金流水!$B$6:$B$605,"&lt;="&amp;$B$4)+SUMIFS(生产加工!$J$6:$J$305,生产加工!$C$6:$C$305,参数设置!$A$11,生产加工!$L$6:$L$305,$A16,生产加工!$B$6:$B$305,"&gt;="&amp;$A$4,生产加工!$B$6:$B$305,"&lt;="&amp;$B$4)+SUMIFS(其他分录!$G$6:$G$255,其他分录!$C$6:$C$255,参数设置!$A$11,其他分录!$I$6:$I$255,$A16,其他分录!$B$6:$B$255,"&gt;="&amp;$A$4,其他分录!$B$6:$B$255,"&lt;="&amp;$B$4))</f>
        <v>0</v>
      </c>
      <c r="D16" s="40" t="n">
        <f aca="false">IF($A16="","",SUMIFS(资金流水!$P$6:$P$605,资金流水!$C$6:$C$605,参数设置!$A$12,资金流水!$H$6:$H$605,$A16,资金流水!$E$6:$E$605,"费用支出",资金流水!$B$6:$B$605,"&gt;="&amp;$A$4,资金流水!$B$6:$B$605,"&lt;="&amp;$B$4)+SUMIFS(资金流水!$P$6:$P$605,资金流水!$C$6:$C$605,参数设置!$A$12,资金流水!$H$6:$H$605,$A16,资金流水!$E$6:$E$605,"其他支出",资金流水!$B$6:$B$605,"&gt;="&amp;$A$4,资金流水!$B$6:$B$605,"&lt;="&amp;$B$4)+SUMIFS(资金流水!$P$6:$P$605,资金流水!$C$6:$C$605,参数设置!$A$12,资金流水!$H$6:$H$605,$A16,资金流水!$E$6:$E$605,"支付利息",资金流水!$B$6:$B$605,"&gt;="&amp;$A$4,资金流水!$B$6:$B$605,"&lt;="&amp;$B$4)+SUMIFS(生产加工!$J$6:$J$305,生产加工!$C$6:$C$305,参数设置!$A$12,生产加工!$L$6:$L$305,$A16,生产加工!$B$6:$B$305,"&gt;="&amp;$A$4,生产加工!$B$6:$B$305,"&lt;="&amp;$B$4)+SUMIFS(其他分录!$G$6:$G$255,其他分录!$C$6:$C$255,参数设置!$A$12,其他分录!$I$6:$I$255,$A16,其他分录!$B$6:$B$255,"&gt;="&amp;$A$4,其他分录!$B$6:$B$255,"&lt;="&amp;$B$4))</f>
        <v>6000</v>
      </c>
      <c r="E16" s="42" t="n">
        <f aca="false">IF($A16="","",SUM(B16:D16))</f>
        <v>30000</v>
      </c>
      <c r="F16" s="64" t="str">
        <f aca="false">IF($A16="","",IF(ROUND($E16,2)&lt;&gt;0,"有",""))</f>
        <v>有</v>
      </c>
    </row>
    <row r="17" customFormat="false" ht="15" hidden="false" customHeight="false" outlineLevel="0" collapsed="false">
      <c r="A17" s="10" t="str">
        <f aca="false">IF(参数设置!$A26="","",参数设置!$A26)</f>
        <v>修理维护费</v>
      </c>
      <c r="B17" s="40" t="n">
        <f aca="false">IF($A17="","",SUMIFS(资金流水!$P$6:$P$605,资金流水!$C$6:$C$605,参数设置!$A$10,资金流水!$H$6:$H$605,$A17,资金流水!$E$6:$E$605,"费用支出",资金流水!$B$6:$B$605,"&gt;="&amp;$A$4,资金流水!$B$6:$B$605,"&lt;="&amp;$B$4)+SUMIFS(资金流水!$P$6:$P$605,资金流水!$C$6:$C$605,参数设置!$A$10,资金流水!$H$6:$H$605,$A17,资金流水!$E$6:$E$605,"其他支出",资金流水!$B$6:$B$605,"&gt;="&amp;$A$4,资金流水!$B$6:$B$605,"&lt;="&amp;$B$4)+SUMIFS(资金流水!$P$6:$P$605,资金流水!$C$6:$C$605,参数设置!$A$10,资金流水!$H$6:$H$605,$A17,资金流水!$E$6:$E$605,"支付利息",资金流水!$B$6:$B$605,"&gt;="&amp;$A$4,资金流水!$B$6:$B$605,"&lt;="&amp;$B$4)+SUMIFS(生产加工!$J$6:$J$305,生产加工!$C$6:$C$305,参数设置!$A$10,生产加工!$L$6:$L$305,$A17,生产加工!$B$6:$B$305,"&gt;="&amp;$A$4,生产加工!$B$6:$B$305,"&lt;="&amp;$B$4)+SUMIFS(其他分录!$G$6:$G$255,其他分录!$C$6:$C$255,参数设置!$A$10,其他分录!$I$6:$I$255,$A17,其他分录!$B$6:$B$255,"&gt;="&amp;$A$4,其他分录!$B$6:$B$255,"&lt;="&amp;$B$4))</f>
        <v>0</v>
      </c>
      <c r="C17" s="40" t="n">
        <f aca="false">IF($A17="","",SUMIFS(资金流水!$P$6:$P$605,资金流水!$C$6:$C$605,参数设置!$A$11,资金流水!$H$6:$H$605,$A17,资金流水!$E$6:$E$605,"费用支出",资金流水!$B$6:$B$605,"&gt;="&amp;$A$4,资金流水!$B$6:$B$605,"&lt;="&amp;$B$4)+SUMIFS(资金流水!$P$6:$P$605,资金流水!$C$6:$C$605,参数设置!$A$11,资金流水!$H$6:$H$605,$A17,资金流水!$E$6:$E$605,"其他支出",资金流水!$B$6:$B$605,"&gt;="&amp;$A$4,资金流水!$B$6:$B$605,"&lt;="&amp;$B$4)+SUMIFS(资金流水!$P$6:$P$605,资金流水!$C$6:$C$605,参数设置!$A$11,资金流水!$H$6:$H$605,$A17,资金流水!$E$6:$E$605,"支付利息",资金流水!$B$6:$B$605,"&gt;="&amp;$A$4,资金流水!$B$6:$B$605,"&lt;="&amp;$B$4)+SUMIFS(生产加工!$J$6:$J$305,生产加工!$C$6:$C$305,参数设置!$A$11,生产加工!$L$6:$L$305,$A17,生产加工!$B$6:$B$305,"&gt;="&amp;$A$4,生产加工!$B$6:$B$305,"&lt;="&amp;$B$4)+SUMIFS(其他分录!$G$6:$G$255,其他分录!$C$6:$C$255,参数设置!$A$11,其他分录!$I$6:$I$255,$A17,其他分录!$B$6:$B$255,"&gt;="&amp;$A$4,其他分录!$B$6:$B$255,"&lt;="&amp;$B$4))</f>
        <v>0</v>
      </c>
      <c r="D17" s="40" t="n">
        <f aca="false">IF($A17="","",SUMIFS(资金流水!$P$6:$P$605,资金流水!$C$6:$C$605,参数设置!$A$12,资金流水!$H$6:$H$605,$A17,资金流水!$E$6:$E$605,"费用支出",资金流水!$B$6:$B$605,"&gt;="&amp;$A$4,资金流水!$B$6:$B$605,"&lt;="&amp;$B$4)+SUMIFS(资金流水!$P$6:$P$605,资金流水!$C$6:$C$605,参数设置!$A$12,资金流水!$H$6:$H$605,$A17,资金流水!$E$6:$E$605,"其他支出",资金流水!$B$6:$B$605,"&gt;="&amp;$A$4,资金流水!$B$6:$B$605,"&lt;="&amp;$B$4)+SUMIFS(资金流水!$P$6:$P$605,资金流水!$C$6:$C$605,参数设置!$A$12,资金流水!$H$6:$H$605,$A17,资金流水!$E$6:$E$605,"支付利息",资金流水!$B$6:$B$605,"&gt;="&amp;$A$4,资金流水!$B$6:$B$605,"&lt;="&amp;$B$4)+SUMIFS(生产加工!$J$6:$J$305,生产加工!$C$6:$C$305,参数设置!$A$12,生产加工!$L$6:$L$305,$A17,生产加工!$B$6:$B$305,"&gt;="&amp;$A$4,生产加工!$B$6:$B$305,"&lt;="&amp;$B$4)+SUMIFS(其他分录!$G$6:$G$255,其他分录!$C$6:$C$255,参数设置!$A$12,其他分录!$I$6:$I$255,$A17,其他分录!$B$6:$B$255,"&gt;="&amp;$A$4,其他分录!$B$6:$B$255,"&lt;="&amp;$B$4))</f>
        <v>0</v>
      </c>
      <c r="E17" s="42" t="n">
        <f aca="false">IF($A17="","",SUM(B17:D17))</f>
        <v>0</v>
      </c>
      <c r="F17" s="64" t="str">
        <f aca="false">IF($A17="","",IF(ROUND($E17,2)&lt;&gt;0,"有",""))</f>
        <v/>
      </c>
    </row>
    <row r="18" customFormat="false" ht="15" hidden="false" customHeight="false" outlineLevel="0" collapsed="false">
      <c r="A18" s="10" t="str">
        <f aca="false">IF(参数设置!$A27="","",参数设置!$A27)</f>
        <v>低值易耗品</v>
      </c>
      <c r="B18" s="40" t="n">
        <f aca="false">IF($A18="","",SUMIFS(资金流水!$P$6:$P$605,资金流水!$C$6:$C$605,参数设置!$A$10,资金流水!$H$6:$H$605,$A18,资金流水!$E$6:$E$605,"费用支出",资金流水!$B$6:$B$605,"&gt;="&amp;$A$4,资金流水!$B$6:$B$605,"&lt;="&amp;$B$4)+SUMIFS(资金流水!$P$6:$P$605,资金流水!$C$6:$C$605,参数设置!$A$10,资金流水!$H$6:$H$605,$A18,资金流水!$E$6:$E$605,"其他支出",资金流水!$B$6:$B$605,"&gt;="&amp;$A$4,资金流水!$B$6:$B$605,"&lt;="&amp;$B$4)+SUMIFS(资金流水!$P$6:$P$605,资金流水!$C$6:$C$605,参数设置!$A$10,资金流水!$H$6:$H$605,$A18,资金流水!$E$6:$E$605,"支付利息",资金流水!$B$6:$B$605,"&gt;="&amp;$A$4,资金流水!$B$6:$B$605,"&lt;="&amp;$B$4)+SUMIFS(生产加工!$J$6:$J$305,生产加工!$C$6:$C$305,参数设置!$A$10,生产加工!$L$6:$L$305,$A18,生产加工!$B$6:$B$305,"&gt;="&amp;$A$4,生产加工!$B$6:$B$305,"&lt;="&amp;$B$4)+SUMIFS(其他分录!$G$6:$G$255,其他分录!$C$6:$C$255,参数设置!$A$10,其他分录!$I$6:$I$255,$A18,其他分录!$B$6:$B$255,"&gt;="&amp;$A$4,其他分录!$B$6:$B$255,"&lt;="&amp;$B$4))</f>
        <v>0</v>
      </c>
      <c r="C18" s="40" t="n">
        <f aca="false">IF($A18="","",SUMIFS(资金流水!$P$6:$P$605,资金流水!$C$6:$C$605,参数设置!$A$11,资金流水!$H$6:$H$605,$A18,资金流水!$E$6:$E$605,"费用支出",资金流水!$B$6:$B$605,"&gt;="&amp;$A$4,资金流水!$B$6:$B$605,"&lt;="&amp;$B$4)+SUMIFS(资金流水!$P$6:$P$605,资金流水!$C$6:$C$605,参数设置!$A$11,资金流水!$H$6:$H$605,$A18,资金流水!$E$6:$E$605,"其他支出",资金流水!$B$6:$B$605,"&gt;="&amp;$A$4,资金流水!$B$6:$B$605,"&lt;="&amp;$B$4)+SUMIFS(资金流水!$P$6:$P$605,资金流水!$C$6:$C$605,参数设置!$A$11,资金流水!$H$6:$H$605,$A18,资金流水!$E$6:$E$605,"支付利息",资金流水!$B$6:$B$605,"&gt;="&amp;$A$4,资金流水!$B$6:$B$605,"&lt;="&amp;$B$4)+SUMIFS(生产加工!$J$6:$J$305,生产加工!$C$6:$C$305,参数设置!$A$11,生产加工!$L$6:$L$305,$A18,生产加工!$B$6:$B$305,"&gt;="&amp;$A$4,生产加工!$B$6:$B$305,"&lt;="&amp;$B$4)+SUMIFS(其他分录!$G$6:$G$255,其他分录!$C$6:$C$255,参数设置!$A$11,其他分录!$I$6:$I$255,$A18,其他分录!$B$6:$B$255,"&gt;="&amp;$A$4,其他分录!$B$6:$B$255,"&lt;="&amp;$B$4))</f>
        <v>860</v>
      </c>
      <c r="D18" s="40" t="n">
        <f aca="false">IF($A18="","",SUMIFS(资金流水!$P$6:$P$605,资金流水!$C$6:$C$605,参数设置!$A$12,资金流水!$H$6:$H$605,$A18,资金流水!$E$6:$E$605,"费用支出",资金流水!$B$6:$B$605,"&gt;="&amp;$A$4,资金流水!$B$6:$B$605,"&lt;="&amp;$B$4)+SUMIFS(资金流水!$P$6:$P$605,资金流水!$C$6:$C$605,参数设置!$A$12,资金流水!$H$6:$H$605,$A18,资金流水!$E$6:$E$605,"其他支出",资金流水!$B$6:$B$605,"&gt;="&amp;$A$4,资金流水!$B$6:$B$605,"&lt;="&amp;$B$4)+SUMIFS(资金流水!$P$6:$P$605,资金流水!$C$6:$C$605,参数设置!$A$12,资金流水!$H$6:$H$605,$A18,资金流水!$E$6:$E$605,"支付利息",资金流水!$B$6:$B$605,"&gt;="&amp;$A$4,资金流水!$B$6:$B$605,"&lt;="&amp;$B$4)+SUMIFS(生产加工!$J$6:$J$305,生产加工!$C$6:$C$305,参数设置!$A$12,生产加工!$L$6:$L$305,$A18,生产加工!$B$6:$B$305,"&gt;="&amp;$A$4,生产加工!$B$6:$B$305,"&lt;="&amp;$B$4)+SUMIFS(其他分录!$G$6:$G$255,其他分录!$C$6:$C$255,参数设置!$A$12,其他分录!$I$6:$I$255,$A18,其他分录!$B$6:$B$255,"&gt;="&amp;$A$4,其他分录!$B$6:$B$255,"&lt;="&amp;$B$4))</f>
        <v>0</v>
      </c>
      <c r="E18" s="42" t="n">
        <f aca="false">IF($A18="","",SUM(B18:D18))</f>
        <v>860</v>
      </c>
      <c r="F18" s="64" t="str">
        <f aca="false">IF($A18="","",IF(ROUND($E18,2)&lt;&gt;0,"有",""))</f>
        <v>有</v>
      </c>
    </row>
    <row r="19" customFormat="false" ht="15" hidden="false" customHeight="false" outlineLevel="0" collapsed="false">
      <c r="A19" s="10" t="str">
        <f aca="false">IF(参数设置!$A28="","",参数设置!$A28)</f>
        <v>运输费</v>
      </c>
      <c r="B19" s="40" t="n">
        <f aca="false">IF($A19="","",SUMIFS(资金流水!$P$6:$P$605,资金流水!$C$6:$C$605,参数设置!$A$10,资金流水!$H$6:$H$605,$A19,资金流水!$E$6:$E$605,"费用支出",资金流水!$B$6:$B$605,"&gt;="&amp;$A$4,资金流水!$B$6:$B$605,"&lt;="&amp;$B$4)+SUMIFS(资金流水!$P$6:$P$605,资金流水!$C$6:$C$605,参数设置!$A$10,资金流水!$H$6:$H$605,$A19,资金流水!$E$6:$E$605,"其他支出",资金流水!$B$6:$B$605,"&gt;="&amp;$A$4,资金流水!$B$6:$B$605,"&lt;="&amp;$B$4)+SUMIFS(资金流水!$P$6:$P$605,资金流水!$C$6:$C$605,参数设置!$A$10,资金流水!$H$6:$H$605,$A19,资金流水!$E$6:$E$605,"支付利息",资金流水!$B$6:$B$605,"&gt;="&amp;$A$4,资金流水!$B$6:$B$605,"&lt;="&amp;$B$4)+SUMIFS(生产加工!$J$6:$J$305,生产加工!$C$6:$C$305,参数设置!$A$10,生产加工!$L$6:$L$305,$A19,生产加工!$B$6:$B$305,"&gt;="&amp;$A$4,生产加工!$B$6:$B$305,"&lt;="&amp;$B$4)+SUMIFS(其他分录!$G$6:$G$255,其他分录!$C$6:$C$255,参数设置!$A$10,其他分录!$I$6:$I$255,$A19,其他分录!$B$6:$B$255,"&gt;="&amp;$A$4,其他分录!$B$6:$B$255,"&lt;="&amp;$B$4))</f>
        <v>0</v>
      </c>
      <c r="C19" s="40" t="n">
        <f aca="false">IF($A19="","",SUMIFS(资金流水!$P$6:$P$605,资金流水!$C$6:$C$605,参数设置!$A$11,资金流水!$H$6:$H$605,$A19,资金流水!$E$6:$E$605,"费用支出",资金流水!$B$6:$B$605,"&gt;="&amp;$A$4,资金流水!$B$6:$B$605,"&lt;="&amp;$B$4)+SUMIFS(资金流水!$P$6:$P$605,资金流水!$C$6:$C$605,参数设置!$A$11,资金流水!$H$6:$H$605,$A19,资金流水!$E$6:$E$605,"其他支出",资金流水!$B$6:$B$605,"&gt;="&amp;$A$4,资金流水!$B$6:$B$605,"&lt;="&amp;$B$4)+SUMIFS(资金流水!$P$6:$P$605,资金流水!$C$6:$C$605,参数设置!$A$11,资金流水!$H$6:$H$605,$A19,资金流水!$E$6:$E$605,"支付利息",资金流水!$B$6:$B$605,"&gt;="&amp;$A$4,资金流水!$B$6:$B$605,"&lt;="&amp;$B$4)+SUMIFS(生产加工!$J$6:$J$305,生产加工!$C$6:$C$305,参数设置!$A$11,生产加工!$L$6:$L$305,$A19,生产加工!$B$6:$B$305,"&gt;="&amp;$A$4,生产加工!$B$6:$B$305,"&lt;="&amp;$B$4)+SUMIFS(其他分录!$G$6:$G$255,其他分录!$C$6:$C$255,参数设置!$A$11,其他分录!$I$6:$I$255,$A19,其他分录!$B$6:$B$255,"&gt;="&amp;$A$4,其他分录!$B$6:$B$255,"&lt;="&amp;$B$4))</f>
        <v>0</v>
      </c>
      <c r="D19" s="40" t="n">
        <f aca="false">IF($A19="","",SUMIFS(资金流水!$P$6:$P$605,资金流水!$C$6:$C$605,参数设置!$A$12,资金流水!$H$6:$H$605,$A19,资金流水!$E$6:$E$605,"费用支出",资金流水!$B$6:$B$605,"&gt;="&amp;$A$4,资金流水!$B$6:$B$605,"&lt;="&amp;$B$4)+SUMIFS(资金流水!$P$6:$P$605,资金流水!$C$6:$C$605,参数设置!$A$12,资金流水!$H$6:$H$605,$A19,资金流水!$E$6:$E$605,"其他支出",资金流水!$B$6:$B$605,"&gt;="&amp;$A$4,资金流水!$B$6:$B$605,"&lt;="&amp;$B$4)+SUMIFS(资金流水!$P$6:$P$605,资金流水!$C$6:$C$605,参数设置!$A$12,资金流水!$H$6:$H$605,$A19,资金流水!$E$6:$E$605,"支付利息",资金流水!$B$6:$B$605,"&gt;="&amp;$A$4,资金流水!$B$6:$B$605,"&lt;="&amp;$B$4)+SUMIFS(生产加工!$J$6:$J$305,生产加工!$C$6:$C$305,参数设置!$A$12,生产加工!$L$6:$L$305,$A19,生产加工!$B$6:$B$305,"&gt;="&amp;$A$4,生产加工!$B$6:$B$305,"&lt;="&amp;$B$4)+SUMIFS(其他分录!$G$6:$G$255,其他分录!$C$6:$C$255,参数设置!$A$12,其他分录!$I$6:$I$255,$A19,其他分录!$B$6:$B$255,"&gt;="&amp;$A$4,其他分录!$B$6:$B$255,"&lt;="&amp;$B$4))</f>
        <v>0</v>
      </c>
      <c r="E19" s="42" t="n">
        <f aca="false">IF($A19="","",SUM(B19:D19))</f>
        <v>0</v>
      </c>
      <c r="F19" s="64" t="str">
        <f aca="false">IF($A19="","",IF(ROUND($E19,2)&lt;&gt;0,"有",""))</f>
        <v/>
      </c>
    </row>
    <row r="20" customFormat="false" ht="15" hidden="false" customHeight="false" outlineLevel="0" collapsed="false">
      <c r="A20" s="10" t="str">
        <f aca="false">IF(参数设置!$A29="","",参数设置!$A29)</f>
        <v>广告推广费</v>
      </c>
      <c r="B20" s="40" t="n">
        <f aca="false">IF($A20="","",SUMIFS(资金流水!$P$6:$P$605,资金流水!$C$6:$C$605,参数设置!$A$10,资金流水!$H$6:$H$605,$A20,资金流水!$E$6:$E$605,"费用支出",资金流水!$B$6:$B$605,"&gt;="&amp;$A$4,资金流水!$B$6:$B$605,"&lt;="&amp;$B$4)+SUMIFS(资金流水!$P$6:$P$605,资金流水!$C$6:$C$605,参数设置!$A$10,资金流水!$H$6:$H$605,$A20,资金流水!$E$6:$E$605,"其他支出",资金流水!$B$6:$B$605,"&gt;="&amp;$A$4,资金流水!$B$6:$B$605,"&lt;="&amp;$B$4)+SUMIFS(资金流水!$P$6:$P$605,资金流水!$C$6:$C$605,参数设置!$A$10,资金流水!$H$6:$H$605,$A20,资金流水!$E$6:$E$605,"支付利息",资金流水!$B$6:$B$605,"&gt;="&amp;$A$4,资金流水!$B$6:$B$605,"&lt;="&amp;$B$4)+SUMIFS(生产加工!$J$6:$J$305,生产加工!$C$6:$C$305,参数设置!$A$10,生产加工!$L$6:$L$305,$A20,生产加工!$B$6:$B$305,"&gt;="&amp;$A$4,生产加工!$B$6:$B$305,"&lt;="&amp;$B$4)+SUMIFS(其他分录!$G$6:$G$255,其他分录!$C$6:$C$255,参数设置!$A$10,其他分录!$I$6:$I$255,$A20,其他分录!$B$6:$B$255,"&gt;="&amp;$A$4,其他分录!$B$6:$B$255,"&lt;="&amp;$B$4))</f>
        <v>0</v>
      </c>
      <c r="C20" s="40" t="n">
        <f aca="false">IF($A20="","",SUMIFS(资金流水!$P$6:$P$605,资金流水!$C$6:$C$605,参数设置!$A$11,资金流水!$H$6:$H$605,$A20,资金流水!$E$6:$E$605,"费用支出",资金流水!$B$6:$B$605,"&gt;="&amp;$A$4,资金流水!$B$6:$B$605,"&lt;="&amp;$B$4)+SUMIFS(资金流水!$P$6:$P$605,资金流水!$C$6:$C$605,参数设置!$A$11,资金流水!$H$6:$H$605,$A20,资金流水!$E$6:$E$605,"其他支出",资金流水!$B$6:$B$605,"&gt;="&amp;$A$4,资金流水!$B$6:$B$605,"&lt;="&amp;$B$4)+SUMIFS(资金流水!$P$6:$P$605,资金流水!$C$6:$C$605,参数设置!$A$11,资金流水!$H$6:$H$605,$A20,资金流水!$E$6:$E$605,"支付利息",资金流水!$B$6:$B$605,"&gt;="&amp;$A$4,资金流水!$B$6:$B$605,"&lt;="&amp;$B$4)+SUMIFS(生产加工!$J$6:$J$305,生产加工!$C$6:$C$305,参数设置!$A$11,生产加工!$L$6:$L$305,$A20,生产加工!$B$6:$B$305,"&gt;="&amp;$A$4,生产加工!$B$6:$B$305,"&lt;="&amp;$B$4)+SUMIFS(其他分录!$G$6:$G$255,其他分录!$C$6:$C$255,参数设置!$A$11,其他分录!$I$6:$I$255,$A20,其他分录!$B$6:$B$255,"&gt;="&amp;$A$4,其他分录!$B$6:$B$255,"&lt;="&amp;$B$4))</f>
        <v>0</v>
      </c>
      <c r="D20" s="40" t="n">
        <f aca="false">IF($A20="","",SUMIFS(资金流水!$P$6:$P$605,资金流水!$C$6:$C$605,参数设置!$A$12,资金流水!$H$6:$H$605,$A20,资金流水!$E$6:$E$605,"费用支出",资金流水!$B$6:$B$605,"&gt;="&amp;$A$4,资金流水!$B$6:$B$605,"&lt;="&amp;$B$4)+SUMIFS(资金流水!$P$6:$P$605,资金流水!$C$6:$C$605,参数设置!$A$12,资金流水!$H$6:$H$605,$A20,资金流水!$E$6:$E$605,"其他支出",资金流水!$B$6:$B$605,"&gt;="&amp;$A$4,资金流水!$B$6:$B$605,"&lt;="&amp;$B$4)+SUMIFS(资金流水!$P$6:$P$605,资金流水!$C$6:$C$605,参数设置!$A$12,资金流水!$H$6:$H$605,$A20,资金流水!$E$6:$E$605,"支付利息",资金流水!$B$6:$B$605,"&gt;="&amp;$A$4,资金流水!$B$6:$B$605,"&lt;="&amp;$B$4)+SUMIFS(生产加工!$J$6:$J$305,生产加工!$C$6:$C$305,参数设置!$A$12,生产加工!$L$6:$L$305,$A20,生产加工!$B$6:$B$305,"&gt;="&amp;$A$4,生产加工!$B$6:$B$305,"&lt;="&amp;$B$4)+SUMIFS(其他分录!$G$6:$G$255,其他分录!$C$6:$C$255,参数设置!$A$12,其他分录!$I$6:$I$255,$A20,其他分录!$B$6:$B$255,"&gt;="&amp;$A$4,其他分录!$B$6:$B$255,"&lt;="&amp;$B$4))</f>
        <v>26500</v>
      </c>
      <c r="E20" s="42" t="n">
        <f aca="false">IF($A20="","",SUM(B20:D20))</f>
        <v>26500</v>
      </c>
      <c r="F20" s="64" t="str">
        <f aca="false">IF($A20="","",IF(ROUND($E20,2)&lt;&gt;0,"有",""))</f>
        <v>有</v>
      </c>
    </row>
    <row r="21" customFormat="false" ht="15" hidden="false" customHeight="false" outlineLevel="0" collapsed="false">
      <c r="A21" s="10" t="str">
        <f aca="false">IF(参数设置!$A30="","",参数设置!$A30)</f>
        <v>平台服务费</v>
      </c>
      <c r="B21" s="40" t="n">
        <f aca="false">IF($A21="","",SUMIFS(资金流水!$P$6:$P$605,资金流水!$C$6:$C$605,参数设置!$A$10,资金流水!$H$6:$H$605,$A21,资金流水!$E$6:$E$605,"费用支出",资金流水!$B$6:$B$605,"&gt;="&amp;$A$4,资金流水!$B$6:$B$605,"&lt;="&amp;$B$4)+SUMIFS(资金流水!$P$6:$P$605,资金流水!$C$6:$C$605,参数设置!$A$10,资金流水!$H$6:$H$605,$A21,资金流水!$E$6:$E$605,"其他支出",资金流水!$B$6:$B$605,"&gt;="&amp;$A$4,资金流水!$B$6:$B$605,"&lt;="&amp;$B$4)+SUMIFS(资金流水!$P$6:$P$605,资金流水!$C$6:$C$605,参数设置!$A$10,资金流水!$H$6:$H$605,$A21,资金流水!$E$6:$E$605,"支付利息",资金流水!$B$6:$B$605,"&gt;="&amp;$A$4,资金流水!$B$6:$B$605,"&lt;="&amp;$B$4)+SUMIFS(生产加工!$J$6:$J$305,生产加工!$C$6:$C$305,参数设置!$A$10,生产加工!$L$6:$L$305,$A21,生产加工!$B$6:$B$305,"&gt;="&amp;$A$4,生产加工!$B$6:$B$305,"&lt;="&amp;$B$4)+SUMIFS(其他分录!$G$6:$G$255,其他分录!$C$6:$C$255,参数设置!$A$10,其他分录!$I$6:$I$255,$A21,其他分录!$B$6:$B$255,"&gt;="&amp;$A$4,其他分录!$B$6:$B$255,"&lt;="&amp;$B$4))</f>
        <v>0</v>
      </c>
      <c r="C21" s="40" t="n">
        <f aca="false">IF($A21="","",SUMIFS(资金流水!$P$6:$P$605,资金流水!$C$6:$C$605,参数设置!$A$11,资金流水!$H$6:$H$605,$A21,资金流水!$E$6:$E$605,"费用支出",资金流水!$B$6:$B$605,"&gt;="&amp;$A$4,资金流水!$B$6:$B$605,"&lt;="&amp;$B$4)+SUMIFS(资金流水!$P$6:$P$605,资金流水!$C$6:$C$605,参数设置!$A$11,资金流水!$H$6:$H$605,$A21,资金流水!$E$6:$E$605,"其他支出",资金流水!$B$6:$B$605,"&gt;="&amp;$A$4,资金流水!$B$6:$B$605,"&lt;="&amp;$B$4)+SUMIFS(资金流水!$P$6:$P$605,资金流水!$C$6:$C$605,参数设置!$A$11,资金流水!$H$6:$H$605,$A21,资金流水!$E$6:$E$605,"支付利息",资金流水!$B$6:$B$605,"&gt;="&amp;$A$4,资金流水!$B$6:$B$605,"&lt;="&amp;$B$4)+SUMIFS(生产加工!$J$6:$J$305,生产加工!$C$6:$C$305,参数设置!$A$11,生产加工!$L$6:$L$305,$A21,生产加工!$B$6:$B$305,"&gt;="&amp;$A$4,生产加工!$B$6:$B$305,"&lt;="&amp;$B$4)+SUMIFS(其他分录!$G$6:$G$255,其他分录!$C$6:$C$255,参数设置!$A$11,其他分录!$I$6:$I$255,$A21,其他分录!$B$6:$B$255,"&gt;="&amp;$A$4,其他分录!$B$6:$B$255,"&lt;="&amp;$B$4))</f>
        <v>0</v>
      </c>
      <c r="D21" s="40" t="n">
        <f aca="false">IF($A21="","",SUMIFS(资金流水!$P$6:$P$605,资金流水!$C$6:$C$605,参数设置!$A$12,资金流水!$H$6:$H$605,$A21,资金流水!$E$6:$E$605,"费用支出",资金流水!$B$6:$B$605,"&gt;="&amp;$A$4,资金流水!$B$6:$B$605,"&lt;="&amp;$B$4)+SUMIFS(资金流水!$P$6:$P$605,资金流水!$C$6:$C$605,参数设置!$A$12,资金流水!$H$6:$H$605,$A21,资金流水!$E$6:$E$605,"其他支出",资金流水!$B$6:$B$605,"&gt;="&amp;$A$4,资金流水!$B$6:$B$605,"&lt;="&amp;$B$4)+SUMIFS(资金流水!$P$6:$P$605,资金流水!$C$6:$C$605,参数设置!$A$12,资金流水!$H$6:$H$605,$A21,资金流水!$E$6:$E$605,"支付利息",资金流水!$B$6:$B$605,"&gt;="&amp;$A$4,资金流水!$B$6:$B$605,"&lt;="&amp;$B$4)+SUMIFS(生产加工!$J$6:$J$305,生产加工!$C$6:$C$305,参数设置!$A$12,生产加工!$L$6:$L$305,$A21,生产加工!$B$6:$B$305,"&gt;="&amp;$A$4,生产加工!$B$6:$B$305,"&lt;="&amp;$B$4)+SUMIFS(其他分录!$G$6:$G$255,其他分录!$C$6:$C$255,参数设置!$A$12,其他分录!$I$6:$I$255,$A21,其他分录!$B$6:$B$255,"&gt;="&amp;$A$4,其他分录!$B$6:$B$255,"&lt;="&amp;$B$4))</f>
        <v>9600</v>
      </c>
      <c r="E21" s="42" t="n">
        <f aca="false">IF($A21="","",SUM(B21:D21))</f>
        <v>9600</v>
      </c>
      <c r="F21" s="64" t="str">
        <f aca="false">IF($A21="","",IF(ROUND($E21,2)&lt;&gt;0,"有",""))</f>
        <v>有</v>
      </c>
    </row>
    <row r="22" customFormat="false" ht="15" hidden="false" customHeight="false" outlineLevel="0" collapsed="false">
      <c r="A22" s="10" t="str">
        <f aca="false">IF(参数设置!$A31="","",参数设置!$A31)</f>
        <v>包装费</v>
      </c>
      <c r="B22" s="40" t="n">
        <f aca="false">IF($A22="","",SUMIFS(资金流水!$P$6:$P$605,资金流水!$C$6:$C$605,参数设置!$A$10,资金流水!$H$6:$H$605,$A22,资金流水!$E$6:$E$605,"费用支出",资金流水!$B$6:$B$605,"&gt;="&amp;$A$4,资金流水!$B$6:$B$605,"&lt;="&amp;$B$4)+SUMIFS(资金流水!$P$6:$P$605,资金流水!$C$6:$C$605,参数设置!$A$10,资金流水!$H$6:$H$605,$A22,资金流水!$E$6:$E$605,"其他支出",资金流水!$B$6:$B$605,"&gt;="&amp;$A$4,资金流水!$B$6:$B$605,"&lt;="&amp;$B$4)+SUMIFS(资金流水!$P$6:$P$605,资金流水!$C$6:$C$605,参数设置!$A$10,资金流水!$H$6:$H$605,$A22,资金流水!$E$6:$E$605,"支付利息",资金流水!$B$6:$B$605,"&gt;="&amp;$A$4,资金流水!$B$6:$B$605,"&lt;="&amp;$B$4)+SUMIFS(生产加工!$J$6:$J$305,生产加工!$C$6:$C$305,参数设置!$A$10,生产加工!$L$6:$L$305,$A22,生产加工!$B$6:$B$305,"&gt;="&amp;$A$4,生产加工!$B$6:$B$305,"&lt;="&amp;$B$4)+SUMIFS(其他分录!$G$6:$G$255,其他分录!$C$6:$C$255,参数设置!$A$10,其他分录!$I$6:$I$255,$A22,其他分录!$B$6:$B$255,"&gt;="&amp;$A$4,其他分录!$B$6:$B$255,"&lt;="&amp;$B$4))</f>
        <v>0</v>
      </c>
      <c r="C22" s="40" t="n">
        <f aca="false">IF($A22="","",SUMIFS(资金流水!$P$6:$P$605,资金流水!$C$6:$C$605,参数设置!$A$11,资金流水!$H$6:$H$605,$A22,资金流水!$E$6:$E$605,"费用支出",资金流水!$B$6:$B$605,"&gt;="&amp;$A$4,资金流水!$B$6:$B$605,"&lt;="&amp;$B$4)+SUMIFS(资金流水!$P$6:$P$605,资金流水!$C$6:$C$605,参数设置!$A$11,资金流水!$H$6:$H$605,$A22,资金流水!$E$6:$E$605,"其他支出",资金流水!$B$6:$B$605,"&gt;="&amp;$A$4,资金流水!$B$6:$B$605,"&lt;="&amp;$B$4)+SUMIFS(资金流水!$P$6:$P$605,资金流水!$C$6:$C$605,参数设置!$A$11,资金流水!$H$6:$H$605,$A22,资金流水!$E$6:$E$605,"支付利息",资金流水!$B$6:$B$605,"&gt;="&amp;$A$4,资金流水!$B$6:$B$605,"&lt;="&amp;$B$4)+SUMIFS(生产加工!$J$6:$J$305,生产加工!$C$6:$C$305,参数设置!$A$11,生产加工!$L$6:$L$305,$A22,生产加工!$B$6:$B$305,"&gt;="&amp;$A$4,生产加工!$B$6:$B$305,"&lt;="&amp;$B$4)+SUMIFS(其他分录!$G$6:$G$255,其他分录!$C$6:$C$255,参数设置!$A$11,其他分录!$I$6:$I$255,$A22,其他分录!$B$6:$B$255,"&gt;="&amp;$A$4,其他分录!$B$6:$B$255,"&lt;="&amp;$B$4))</f>
        <v>0</v>
      </c>
      <c r="D22" s="40" t="n">
        <f aca="false">IF($A22="","",SUMIFS(资金流水!$P$6:$P$605,资金流水!$C$6:$C$605,参数设置!$A$12,资金流水!$H$6:$H$605,$A22,资金流水!$E$6:$E$605,"费用支出",资金流水!$B$6:$B$605,"&gt;="&amp;$A$4,资金流水!$B$6:$B$605,"&lt;="&amp;$B$4)+SUMIFS(资金流水!$P$6:$P$605,资金流水!$C$6:$C$605,参数设置!$A$12,资金流水!$H$6:$H$605,$A22,资金流水!$E$6:$E$605,"其他支出",资金流水!$B$6:$B$605,"&gt;="&amp;$A$4,资金流水!$B$6:$B$605,"&lt;="&amp;$B$4)+SUMIFS(资金流水!$P$6:$P$605,资金流水!$C$6:$C$605,参数设置!$A$12,资金流水!$H$6:$H$605,$A22,资金流水!$E$6:$E$605,"支付利息",资金流水!$B$6:$B$605,"&gt;="&amp;$A$4,资金流水!$B$6:$B$605,"&lt;="&amp;$B$4)+SUMIFS(生产加工!$J$6:$J$305,生产加工!$C$6:$C$305,参数设置!$A$12,生产加工!$L$6:$L$305,$A22,生产加工!$B$6:$B$305,"&gt;="&amp;$A$4,生产加工!$B$6:$B$305,"&lt;="&amp;$B$4)+SUMIFS(其他分录!$G$6:$G$255,其他分录!$C$6:$C$255,参数设置!$A$12,其他分录!$I$6:$I$255,$A22,其他分录!$B$6:$B$255,"&gt;="&amp;$A$4,其他分录!$B$6:$B$255,"&lt;="&amp;$B$4))</f>
        <v>0</v>
      </c>
      <c r="E22" s="42" t="n">
        <f aca="false">IF($A22="","",SUM(B22:D22))</f>
        <v>0</v>
      </c>
      <c r="F22" s="64" t="str">
        <f aca="false">IF($A22="","",IF(ROUND($E22,2)&lt;&gt;0,"有",""))</f>
        <v/>
      </c>
    </row>
    <row r="23" customFormat="false" ht="15" hidden="false" customHeight="false" outlineLevel="0" collapsed="false">
      <c r="A23" s="10" t="str">
        <f aca="false">IF(参数设置!$A32="","",参数设置!$A32)</f>
        <v>检测认证费</v>
      </c>
      <c r="B23" s="40" t="n">
        <f aca="false">IF($A23="","",SUMIFS(资金流水!$P$6:$P$605,资金流水!$C$6:$C$605,参数设置!$A$10,资金流水!$H$6:$H$605,$A23,资金流水!$E$6:$E$605,"费用支出",资金流水!$B$6:$B$605,"&gt;="&amp;$A$4,资金流水!$B$6:$B$605,"&lt;="&amp;$B$4)+SUMIFS(资金流水!$P$6:$P$605,资金流水!$C$6:$C$605,参数设置!$A$10,资金流水!$H$6:$H$605,$A23,资金流水!$E$6:$E$605,"其他支出",资金流水!$B$6:$B$605,"&gt;="&amp;$A$4,资金流水!$B$6:$B$605,"&lt;="&amp;$B$4)+SUMIFS(资金流水!$P$6:$P$605,资金流水!$C$6:$C$605,参数设置!$A$10,资金流水!$H$6:$H$605,$A23,资金流水!$E$6:$E$605,"支付利息",资金流水!$B$6:$B$605,"&gt;="&amp;$A$4,资金流水!$B$6:$B$605,"&lt;="&amp;$B$4)+SUMIFS(生产加工!$J$6:$J$305,生产加工!$C$6:$C$305,参数设置!$A$10,生产加工!$L$6:$L$305,$A23,生产加工!$B$6:$B$305,"&gt;="&amp;$A$4,生产加工!$B$6:$B$305,"&lt;="&amp;$B$4)+SUMIFS(其他分录!$G$6:$G$255,其他分录!$C$6:$C$255,参数设置!$A$10,其他分录!$I$6:$I$255,$A23,其他分录!$B$6:$B$255,"&gt;="&amp;$A$4,其他分录!$B$6:$B$255,"&lt;="&amp;$B$4))</f>
        <v>0</v>
      </c>
      <c r="C23" s="40" t="n">
        <f aca="false">IF($A23="","",SUMIFS(资金流水!$P$6:$P$605,资金流水!$C$6:$C$605,参数设置!$A$11,资金流水!$H$6:$H$605,$A23,资金流水!$E$6:$E$605,"费用支出",资金流水!$B$6:$B$605,"&gt;="&amp;$A$4,资金流水!$B$6:$B$605,"&lt;="&amp;$B$4)+SUMIFS(资金流水!$P$6:$P$605,资金流水!$C$6:$C$605,参数设置!$A$11,资金流水!$H$6:$H$605,$A23,资金流水!$E$6:$E$605,"其他支出",资金流水!$B$6:$B$605,"&gt;="&amp;$A$4,资金流水!$B$6:$B$605,"&lt;="&amp;$B$4)+SUMIFS(资金流水!$P$6:$P$605,资金流水!$C$6:$C$605,参数设置!$A$11,资金流水!$H$6:$H$605,$A23,资金流水!$E$6:$E$605,"支付利息",资金流水!$B$6:$B$605,"&gt;="&amp;$A$4,资金流水!$B$6:$B$605,"&lt;="&amp;$B$4)+SUMIFS(生产加工!$J$6:$J$305,生产加工!$C$6:$C$305,参数设置!$A$11,生产加工!$L$6:$L$305,$A23,生产加工!$B$6:$B$305,"&gt;="&amp;$A$4,生产加工!$B$6:$B$305,"&lt;="&amp;$B$4)+SUMIFS(其他分录!$G$6:$G$255,其他分录!$C$6:$C$255,参数设置!$A$11,其他分录!$I$6:$I$255,$A23,其他分录!$B$6:$B$255,"&gt;="&amp;$A$4,其他分录!$B$6:$B$255,"&lt;="&amp;$B$4))</f>
        <v>0</v>
      </c>
      <c r="D23" s="40" t="n">
        <f aca="false">IF($A23="","",SUMIFS(资金流水!$P$6:$P$605,资金流水!$C$6:$C$605,参数设置!$A$12,资金流水!$H$6:$H$605,$A23,资金流水!$E$6:$E$605,"费用支出",资金流水!$B$6:$B$605,"&gt;="&amp;$A$4,资金流水!$B$6:$B$605,"&lt;="&amp;$B$4)+SUMIFS(资金流水!$P$6:$P$605,资金流水!$C$6:$C$605,参数设置!$A$12,资金流水!$H$6:$H$605,$A23,资金流水!$E$6:$E$605,"其他支出",资金流水!$B$6:$B$605,"&gt;="&amp;$A$4,资金流水!$B$6:$B$605,"&lt;="&amp;$B$4)+SUMIFS(资金流水!$P$6:$P$605,资金流水!$C$6:$C$605,参数设置!$A$12,资金流水!$H$6:$H$605,$A23,资金流水!$E$6:$E$605,"支付利息",资金流水!$B$6:$B$605,"&gt;="&amp;$A$4,资金流水!$B$6:$B$605,"&lt;="&amp;$B$4)+SUMIFS(生产加工!$J$6:$J$305,生产加工!$C$6:$C$305,参数设置!$A$12,生产加工!$L$6:$L$305,$A23,生产加工!$B$6:$B$305,"&gt;="&amp;$A$4,生产加工!$B$6:$B$305,"&lt;="&amp;$B$4)+SUMIFS(其他分录!$G$6:$G$255,其他分录!$C$6:$C$255,参数设置!$A$12,其他分录!$I$6:$I$255,$A23,其他分录!$B$6:$B$255,"&gt;="&amp;$A$4,其他分录!$B$6:$B$255,"&lt;="&amp;$B$4))</f>
        <v>0</v>
      </c>
      <c r="E23" s="42" t="n">
        <f aca="false">IF($A23="","",SUM(B23:D23))</f>
        <v>0</v>
      </c>
      <c r="F23" s="64" t="str">
        <f aca="false">IF($A23="","",IF(ROUND($E23,2)&lt;&gt;0,"有",""))</f>
        <v/>
      </c>
    </row>
    <row r="24" customFormat="false" ht="15" hidden="false" customHeight="false" outlineLevel="0" collapsed="false">
      <c r="A24" s="10" t="str">
        <f aca="false">IF(参数设置!$A33="","",参数设置!$A33)</f>
        <v>咨询服务费</v>
      </c>
      <c r="B24" s="40" t="n">
        <f aca="false">IF($A24="","",SUMIFS(资金流水!$P$6:$P$605,资金流水!$C$6:$C$605,参数设置!$A$10,资金流水!$H$6:$H$605,$A24,资金流水!$E$6:$E$605,"费用支出",资金流水!$B$6:$B$605,"&gt;="&amp;$A$4,资金流水!$B$6:$B$605,"&lt;="&amp;$B$4)+SUMIFS(资金流水!$P$6:$P$605,资金流水!$C$6:$C$605,参数设置!$A$10,资金流水!$H$6:$H$605,$A24,资金流水!$E$6:$E$605,"其他支出",资金流水!$B$6:$B$605,"&gt;="&amp;$A$4,资金流水!$B$6:$B$605,"&lt;="&amp;$B$4)+SUMIFS(资金流水!$P$6:$P$605,资金流水!$C$6:$C$605,参数设置!$A$10,资金流水!$H$6:$H$605,$A24,资金流水!$E$6:$E$605,"支付利息",资金流水!$B$6:$B$605,"&gt;="&amp;$A$4,资金流水!$B$6:$B$605,"&lt;="&amp;$B$4)+SUMIFS(生产加工!$J$6:$J$305,生产加工!$C$6:$C$305,参数设置!$A$10,生产加工!$L$6:$L$305,$A24,生产加工!$B$6:$B$305,"&gt;="&amp;$A$4,生产加工!$B$6:$B$305,"&lt;="&amp;$B$4)+SUMIFS(其他分录!$G$6:$G$255,其他分录!$C$6:$C$255,参数设置!$A$10,其他分录!$I$6:$I$255,$A24,其他分录!$B$6:$B$255,"&gt;="&amp;$A$4,其他分录!$B$6:$B$255,"&lt;="&amp;$B$4))</f>
        <v>0</v>
      </c>
      <c r="C24" s="40" t="n">
        <f aca="false">IF($A24="","",SUMIFS(资金流水!$P$6:$P$605,资金流水!$C$6:$C$605,参数设置!$A$11,资金流水!$H$6:$H$605,$A24,资金流水!$E$6:$E$605,"费用支出",资金流水!$B$6:$B$605,"&gt;="&amp;$A$4,资金流水!$B$6:$B$605,"&lt;="&amp;$B$4)+SUMIFS(资金流水!$P$6:$P$605,资金流水!$C$6:$C$605,参数设置!$A$11,资金流水!$H$6:$H$605,$A24,资金流水!$E$6:$E$605,"其他支出",资金流水!$B$6:$B$605,"&gt;="&amp;$A$4,资金流水!$B$6:$B$605,"&lt;="&amp;$B$4)+SUMIFS(资金流水!$P$6:$P$605,资金流水!$C$6:$C$605,参数设置!$A$11,资金流水!$H$6:$H$605,$A24,资金流水!$E$6:$E$605,"支付利息",资金流水!$B$6:$B$605,"&gt;="&amp;$A$4,资金流水!$B$6:$B$605,"&lt;="&amp;$B$4)+SUMIFS(生产加工!$J$6:$J$305,生产加工!$C$6:$C$305,参数设置!$A$11,生产加工!$L$6:$L$305,$A24,生产加工!$B$6:$B$305,"&gt;="&amp;$A$4,生产加工!$B$6:$B$305,"&lt;="&amp;$B$4)+SUMIFS(其他分录!$G$6:$G$255,其他分录!$C$6:$C$255,参数设置!$A$11,其他分录!$I$6:$I$255,$A24,其他分录!$B$6:$B$255,"&gt;="&amp;$A$4,其他分录!$B$6:$B$255,"&lt;="&amp;$B$4))</f>
        <v>0</v>
      </c>
      <c r="D24" s="40" t="n">
        <f aca="false">IF($A24="","",SUMIFS(资金流水!$P$6:$P$605,资金流水!$C$6:$C$605,参数设置!$A$12,资金流水!$H$6:$H$605,$A24,资金流水!$E$6:$E$605,"费用支出",资金流水!$B$6:$B$605,"&gt;="&amp;$A$4,资金流水!$B$6:$B$605,"&lt;="&amp;$B$4)+SUMIFS(资金流水!$P$6:$P$605,资金流水!$C$6:$C$605,参数设置!$A$12,资金流水!$H$6:$H$605,$A24,资金流水!$E$6:$E$605,"其他支出",资金流水!$B$6:$B$605,"&gt;="&amp;$A$4,资金流水!$B$6:$B$605,"&lt;="&amp;$B$4)+SUMIFS(资金流水!$P$6:$P$605,资金流水!$C$6:$C$605,参数设置!$A$12,资金流水!$H$6:$H$605,$A24,资金流水!$E$6:$E$605,"支付利息",资金流水!$B$6:$B$605,"&gt;="&amp;$A$4,资金流水!$B$6:$B$605,"&lt;="&amp;$B$4)+SUMIFS(生产加工!$J$6:$J$305,生产加工!$C$6:$C$305,参数设置!$A$12,生产加工!$L$6:$L$305,$A24,生产加工!$B$6:$B$305,"&gt;="&amp;$A$4,生产加工!$B$6:$B$305,"&lt;="&amp;$B$4)+SUMIFS(其他分录!$G$6:$G$255,其他分录!$C$6:$C$255,参数设置!$A$12,其他分录!$I$6:$I$255,$A24,其他分录!$B$6:$B$255,"&gt;="&amp;$A$4,其他分录!$B$6:$B$255,"&lt;="&amp;$B$4))</f>
        <v>0</v>
      </c>
      <c r="E24" s="42" t="n">
        <f aca="false">IF($A24="","",SUM(B24:D24))</f>
        <v>0</v>
      </c>
      <c r="F24" s="64" t="str">
        <f aca="false">IF($A24="","",IF(ROUND($E24,2)&lt;&gt;0,"有",""))</f>
        <v/>
      </c>
    </row>
    <row r="25" customFormat="false" ht="15" hidden="false" customHeight="false" outlineLevel="0" collapsed="false">
      <c r="A25" s="10" t="str">
        <f aca="false">IF(参数设置!$A34="","",参数设置!$A34)</f>
        <v>利息支出</v>
      </c>
      <c r="B25" s="40" t="n">
        <f aca="false">IF($A25="","",SUMIFS(资金流水!$P$6:$P$605,资金流水!$C$6:$C$605,参数设置!$A$10,资金流水!$H$6:$H$605,$A25,资金流水!$E$6:$E$605,"费用支出",资金流水!$B$6:$B$605,"&gt;="&amp;$A$4,资金流水!$B$6:$B$605,"&lt;="&amp;$B$4)+SUMIFS(资金流水!$P$6:$P$605,资金流水!$C$6:$C$605,参数设置!$A$10,资金流水!$H$6:$H$605,$A25,资金流水!$E$6:$E$605,"其他支出",资金流水!$B$6:$B$605,"&gt;="&amp;$A$4,资金流水!$B$6:$B$605,"&lt;="&amp;$B$4)+SUMIFS(资金流水!$P$6:$P$605,资金流水!$C$6:$C$605,参数设置!$A$10,资金流水!$H$6:$H$605,$A25,资金流水!$E$6:$E$605,"支付利息",资金流水!$B$6:$B$605,"&gt;="&amp;$A$4,资金流水!$B$6:$B$605,"&lt;="&amp;$B$4)+SUMIFS(生产加工!$J$6:$J$305,生产加工!$C$6:$C$305,参数设置!$A$10,生产加工!$L$6:$L$305,$A25,生产加工!$B$6:$B$305,"&gt;="&amp;$A$4,生产加工!$B$6:$B$305,"&lt;="&amp;$B$4)+SUMIFS(其他分录!$G$6:$G$255,其他分录!$C$6:$C$255,参数设置!$A$10,其他分录!$I$6:$I$255,$A25,其他分录!$B$6:$B$255,"&gt;="&amp;$A$4,其他分录!$B$6:$B$255,"&lt;="&amp;$B$4))</f>
        <v>6000</v>
      </c>
      <c r="C25" s="40" t="n">
        <f aca="false">IF($A25="","",SUMIFS(资金流水!$P$6:$P$605,资金流水!$C$6:$C$605,参数设置!$A$11,资金流水!$H$6:$H$605,$A25,资金流水!$E$6:$E$605,"费用支出",资金流水!$B$6:$B$605,"&gt;="&amp;$A$4,资金流水!$B$6:$B$605,"&lt;="&amp;$B$4)+SUMIFS(资金流水!$P$6:$P$605,资金流水!$C$6:$C$605,参数设置!$A$11,资金流水!$H$6:$H$605,$A25,资金流水!$E$6:$E$605,"其他支出",资金流水!$B$6:$B$605,"&gt;="&amp;$A$4,资金流水!$B$6:$B$605,"&lt;="&amp;$B$4)+SUMIFS(资金流水!$P$6:$P$605,资金流水!$C$6:$C$605,参数设置!$A$11,资金流水!$H$6:$H$605,$A25,资金流水!$E$6:$E$605,"支付利息",资金流水!$B$6:$B$605,"&gt;="&amp;$A$4,资金流水!$B$6:$B$605,"&lt;="&amp;$B$4)+SUMIFS(生产加工!$J$6:$J$305,生产加工!$C$6:$C$305,参数设置!$A$11,生产加工!$L$6:$L$305,$A25,生产加工!$B$6:$B$305,"&gt;="&amp;$A$4,生产加工!$B$6:$B$305,"&lt;="&amp;$B$4)+SUMIFS(其他分录!$G$6:$G$255,其他分录!$C$6:$C$255,参数设置!$A$11,其他分录!$I$6:$I$255,$A25,其他分录!$B$6:$B$255,"&gt;="&amp;$A$4,其他分录!$B$6:$B$255,"&lt;="&amp;$B$4))</f>
        <v>0</v>
      </c>
      <c r="D25" s="40" t="n">
        <f aca="false">IF($A25="","",SUMIFS(资金流水!$P$6:$P$605,资金流水!$C$6:$C$605,参数设置!$A$12,资金流水!$H$6:$H$605,$A25,资金流水!$E$6:$E$605,"费用支出",资金流水!$B$6:$B$605,"&gt;="&amp;$A$4,资金流水!$B$6:$B$605,"&lt;="&amp;$B$4)+SUMIFS(资金流水!$P$6:$P$605,资金流水!$C$6:$C$605,参数设置!$A$12,资金流水!$H$6:$H$605,$A25,资金流水!$E$6:$E$605,"其他支出",资金流水!$B$6:$B$605,"&gt;="&amp;$A$4,资金流水!$B$6:$B$605,"&lt;="&amp;$B$4)+SUMIFS(资金流水!$P$6:$P$605,资金流水!$C$6:$C$605,参数设置!$A$12,资金流水!$H$6:$H$605,$A25,资金流水!$E$6:$E$605,"支付利息",资金流水!$B$6:$B$605,"&gt;="&amp;$A$4,资金流水!$B$6:$B$605,"&lt;="&amp;$B$4)+SUMIFS(生产加工!$J$6:$J$305,生产加工!$C$6:$C$305,参数设置!$A$12,生产加工!$L$6:$L$305,$A25,生产加工!$B$6:$B$305,"&gt;="&amp;$A$4,生产加工!$B$6:$B$305,"&lt;="&amp;$B$4)+SUMIFS(其他分录!$G$6:$G$255,其他分录!$C$6:$C$255,参数设置!$A$12,其他分录!$I$6:$I$255,$A25,其他分录!$B$6:$B$255,"&gt;="&amp;$A$4,其他分录!$B$6:$B$255,"&lt;="&amp;$B$4))</f>
        <v>0</v>
      </c>
      <c r="E25" s="42" t="n">
        <f aca="false">IF($A25="","",SUM(B25:D25))</f>
        <v>6000</v>
      </c>
      <c r="F25" s="64" t="str">
        <f aca="false">IF($A25="","",IF(ROUND($E25,2)&lt;&gt;0,"有",""))</f>
        <v>有</v>
      </c>
    </row>
    <row r="26" customFormat="false" ht="15" hidden="false" customHeight="false" outlineLevel="0" collapsed="false">
      <c r="A26" s="10" t="str">
        <f aca="false">IF(参数设置!$A35="","",参数设置!$A35)</f>
        <v>银行手续费</v>
      </c>
      <c r="B26" s="40" t="n">
        <f aca="false">IF($A26="","",SUMIFS(资金流水!$P$6:$P$605,资金流水!$C$6:$C$605,参数设置!$A$10,资金流水!$H$6:$H$605,$A26,资金流水!$E$6:$E$605,"费用支出",资金流水!$B$6:$B$605,"&gt;="&amp;$A$4,资金流水!$B$6:$B$605,"&lt;="&amp;$B$4)+SUMIFS(资金流水!$P$6:$P$605,资金流水!$C$6:$C$605,参数设置!$A$10,资金流水!$H$6:$H$605,$A26,资金流水!$E$6:$E$605,"其他支出",资金流水!$B$6:$B$605,"&gt;="&amp;$A$4,资金流水!$B$6:$B$605,"&lt;="&amp;$B$4)+SUMIFS(资金流水!$P$6:$P$605,资金流水!$C$6:$C$605,参数设置!$A$10,资金流水!$H$6:$H$605,$A26,资金流水!$E$6:$E$605,"支付利息",资金流水!$B$6:$B$605,"&gt;="&amp;$A$4,资金流水!$B$6:$B$605,"&lt;="&amp;$B$4)+SUMIFS(生产加工!$J$6:$J$305,生产加工!$C$6:$C$305,参数设置!$A$10,生产加工!$L$6:$L$305,$A26,生产加工!$B$6:$B$305,"&gt;="&amp;$A$4,生产加工!$B$6:$B$305,"&lt;="&amp;$B$4)+SUMIFS(其他分录!$G$6:$G$255,其他分录!$C$6:$C$255,参数设置!$A$10,其他分录!$I$6:$I$255,$A26,其他分录!$B$6:$B$255,"&gt;="&amp;$A$4,其他分录!$B$6:$B$255,"&lt;="&amp;$B$4))</f>
        <v>0</v>
      </c>
      <c r="C26" s="40" t="n">
        <f aca="false">IF($A26="","",SUMIFS(资金流水!$P$6:$P$605,资金流水!$C$6:$C$605,参数设置!$A$11,资金流水!$H$6:$H$605,$A26,资金流水!$E$6:$E$605,"费用支出",资金流水!$B$6:$B$605,"&gt;="&amp;$A$4,资金流水!$B$6:$B$605,"&lt;="&amp;$B$4)+SUMIFS(资金流水!$P$6:$P$605,资金流水!$C$6:$C$605,参数设置!$A$11,资金流水!$H$6:$H$605,$A26,资金流水!$E$6:$E$605,"其他支出",资金流水!$B$6:$B$605,"&gt;="&amp;$A$4,资金流水!$B$6:$B$605,"&lt;="&amp;$B$4)+SUMIFS(资金流水!$P$6:$P$605,资金流水!$C$6:$C$605,参数设置!$A$11,资金流水!$H$6:$H$605,$A26,资金流水!$E$6:$E$605,"支付利息",资金流水!$B$6:$B$605,"&gt;="&amp;$A$4,资金流水!$B$6:$B$605,"&lt;="&amp;$B$4)+SUMIFS(生产加工!$J$6:$J$305,生产加工!$C$6:$C$305,参数设置!$A$11,生产加工!$L$6:$L$305,$A26,生产加工!$B$6:$B$305,"&gt;="&amp;$A$4,生产加工!$B$6:$B$305,"&lt;="&amp;$B$4)+SUMIFS(其他分录!$G$6:$G$255,其他分录!$C$6:$C$255,参数设置!$A$11,其他分录!$I$6:$I$255,$A26,其他分录!$B$6:$B$255,"&gt;="&amp;$A$4,其他分录!$B$6:$B$255,"&lt;="&amp;$B$4))</f>
        <v>0</v>
      </c>
      <c r="D26" s="40" t="n">
        <f aca="false">IF($A26="","",SUMIFS(资金流水!$P$6:$P$605,资金流水!$C$6:$C$605,参数设置!$A$12,资金流水!$H$6:$H$605,$A26,资金流水!$E$6:$E$605,"费用支出",资金流水!$B$6:$B$605,"&gt;="&amp;$A$4,资金流水!$B$6:$B$605,"&lt;="&amp;$B$4)+SUMIFS(资金流水!$P$6:$P$605,资金流水!$C$6:$C$605,参数设置!$A$12,资金流水!$H$6:$H$605,$A26,资金流水!$E$6:$E$605,"其他支出",资金流水!$B$6:$B$605,"&gt;="&amp;$A$4,资金流水!$B$6:$B$605,"&lt;="&amp;$B$4)+SUMIFS(资金流水!$P$6:$P$605,资金流水!$C$6:$C$605,参数设置!$A$12,资金流水!$H$6:$H$605,$A26,资金流水!$E$6:$E$605,"支付利息",资金流水!$B$6:$B$605,"&gt;="&amp;$A$4,资金流水!$B$6:$B$605,"&lt;="&amp;$B$4)+SUMIFS(生产加工!$J$6:$J$305,生产加工!$C$6:$C$305,参数设置!$A$12,生产加工!$L$6:$L$305,$A26,生产加工!$B$6:$B$305,"&gt;="&amp;$A$4,生产加工!$B$6:$B$305,"&lt;="&amp;$B$4)+SUMIFS(其他分录!$G$6:$G$255,其他分录!$C$6:$C$255,参数设置!$A$12,其他分录!$I$6:$I$255,$A26,其他分录!$B$6:$B$255,"&gt;="&amp;$A$4,其他分录!$B$6:$B$255,"&lt;="&amp;$B$4))</f>
        <v>0</v>
      </c>
      <c r="E26" s="42" t="n">
        <f aca="false">IF($A26="","",SUM(B26:D26))</f>
        <v>0</v>
      </c>
      <c r="F26" s="64" t="str">
        <f aca="false">IF($A26="","",IF(ROUND($E26,2)&lt;&gt;0,"有",""))</f>
        <v/>
      </c>
    </row>
    <row r="27" customFormat="false" ht="15" hidden="false" customHeight="false" outlineLevel="0" collapsed="false">
      <c r="A27" s="10" t="str">
        <f aca="false">IF(参数设置!$A36="","",参数设置!$A36)</f>
        <v>保险费</v>
      </c>
      <c r="B27" s="40" t="n">
        <f aca="false">IF($A27="","",SUMIFS(资金流水!$P$6:$P$605,资金流水!$C$6:$C$605,参数设置!$A$10,资金流水!$H$6:$H$605,$A27,资金流水!$E$6:$E$605,"费用支出",资金流水!$B$6:$B$605,"&gt;="&amp;$A$4,资金流水!$B$6:$B$605,"&lt;="&amp;$B$4)+SUMIFS(资金流水!$P$6:$P$605,资金流水!$C$6:$C$605,参数设置!$A$10,资金流水!$H$6:$H$605,$A27,资金流水!$E$6:$E$605,"其他支出",资金流水!$B$6:$B$605,"&gt;="&amp;$A$4,资金流水!$B$6:$B$605,"&lt;="&amp;$B$4)+SUMIFS(资金流水!$P$6:$P$605,资金流水!$C$6:$C$605,参数设置!$A$10,资金流水!$H$6:$H$605,$A27,资金流水!$E$6:$E$605,"支付利息",资金流水!$B$6:$B$605,"&gt;="&amp;$A$4,资金流水!$B$6:$B$605,"&lt;="&amp;$B$4)+SUMIFS(生产加工!$J$6:$J$305,生产加工!$C$6:$C$305,参数设置!$A$10,生产加工!$L$6:$L$305,$A27,生产加工!$B$6:$B$305,"&gt;="&amp;$A$4,生产加工!$B$6:$B$305,"&lt;="&amp;$B$4)+SUMIFS(其他分录!$G$6:$G$255,其他分录!$C$6:$C$255,参数设置!$A$10,其他分录!$I$6:$I$255,$A27,其他分录!$B$6:$B$255,"&gt;="&amp;$A$4,其他分录!$B$6:$B$255,"&lt;="&amp;$B$4))</f>
        <v>0</v>
      </c>
      <c r="C27" s="40" t="n">
        <f aca="false">IF($A27="","",SUMIFS(资金流水!$P$6:$P$605,资金流水!$C$6:$C$605,参数设置!$A$11,资金流水!$H$6:$H$605,$A27,资金流水!$E$6:$E$605,"费用支出",资金流水!$B$6:$B$605,"&gt;="&amp;$A$4,资金流水!$B$6:$B$605,"&lt;="&amp;$B$4)+SUMIFS(资金流水!$P$6:$P$605,资金流水!$C$6:$C$605,参数设置!$A$11,资金流水!$H$6:$H$605,$A27,资金流水!$E$6:$E$605,"其他支出",资金流水!$B$6:$B$605,"&gt;="&amp;$A$4,资金流水!$B$6:$B$605,"&lt;="&amp;$B$4)+SUMIFS(资金流水!$P$6:$P$605,资金流水!$C$6:$C$605,参数设置!$A$11,资金流水!$H$6:$H$605,$A27,资金流水!$E$6:$E$605,"支付利息",资金流水!$B$6:$B$605,"&gt;="&amp;$A$4,资金流水!$B$6:$B$605,"&lt;="&amp;$B$4)+SUMIFS(生产加工!$J$6:$J$305,生产加工!$C$6:$C$305,参数设置!$A$11,生产加工!$L$6:$L$305,$A27,生产加工!$B$6:$B$305,"&gt;="&amp;$A$4,生产加工!$B$6:$B$305,"&lt;="&amp;$B$4)+SUMIFS(其他分录!$G$6:$G$255,其他分录!$C$6:$C$255,参数设置!$A$11,其他分录!$I$6:$I$255,$A27,其他分录!$B$6:$B$255,"&gt;="&amp;$A$4,其他分录!$B$6:$B$255,"&lt;="&amp;$B$4))</f>
        <v>0</v>
      </c>
      <c r="D27" s="40" t="n">
        <f aca="false">IF($A27="","",SUMIFS(资金流水!$P$6:$P$605,资金流水!$C$6:$C$605,参数设置!$A$12,资金流水!$H$6:$H$605,$A27,资金流水!$E$6:$E$605,"费用支出",资金流水!$B$6:$B$605,"&gt;="&amp;$A$4,资金流水!$B$6:$B$605,"&lt;="&amp;$B$4)+SUMIFS(资金流水!$P$6:$P$605,资金流水!$C$6:$C$605,参数设置!$A$12,资金流水!$H$6:$H$605,$A27,资金流水!$E$6:$E$605,"其他支出",资金流水!$B$6:$B$605,"&gt;="&amp;$A$4,资金流水!$B$6:$B$605,"&lt;="&amp;$B$4)+SUMIFS(资金流水!$P$6:$P$605,资金流水!$C$6:$C$605,参数设置!$A$12,资金流水!$H$6:$H$605,$A27,资金流水!$E$6:$E$605,"支付利息",资金流水!$B$6:$B$605,"&gt;="&amp;$A$4,资金流水!$B$6:$B$605,"&lt;="&amp;$B$4)+SUMIFS(生产加工!$J$6:$J$305,生产加工!$C$6:$C$305,参数设置!$A$12,生产加工!$L$6:$L$305,$A27,生产加工!$B$6:$B$305,"&gt;="&amp;$A$4,生产加工!$B$6:$B$305,"&lt;="&amp;$B$4)+SUMIFS(其他分录!$G$6:$G$255,其他分录!$C$6:$C$255,参数设置!$A$12,其他分录!$I$6:$I$255,$A27,其他分录!$B$6:$B$255,"&gt;="&amp;$A$4,其他分录!$B$6:$B$255,"&lt;="&amp;$B$4))</f>
        <v>0</v>
      </c>
      <c r="E27" s="42" t="n">
        <f aca="false">IF($A27="","",SUM(B27:D27))</f>
        <v>0</v>
      </c>
      <c r="F27" s="64" t="str">
        <f aca="false">IF($A27="","",IF(ROUND($E27,2)&lt;&gt;0,"有",""))</f>
        <v/>
      </c>
    </row>
    <row r="28" customFormat="false" ht="15" hidden="false" customHeight="false" outlineLevel="0" collapsed="false">
      <c r="A28" s="10" t="str">
        <f aca="false">IF(参数设置!$A37="","",参数设置!$A37)</f>
        <v>林地管护费</v>
      </c>
      <c r="B28" s="40" t="n">
        <f aca="false">IF($A28="","",SUMIFS(资金流水!$P$6:$P$605,资金流水!$C$6:$C$605,参数设置!$A$10,资金流水!$H$6:$H$605,$A28,资金流水!$E$6:$E$605,"费用支出",资金流水!$B$6:$B$605,"&gt;="&amp;$A$4,资金流水!$B$6:$B$605,"&lt;="&amp;$B$4)+SUMIFS(资金流水!$P$6:$P$605,资金流水!$C$6:$C$605,参数设置!$A$10,资金流水!$H$6:$H$605,$A28,资金流水!$E$6:$E$605,"其他支出",资金流水!$B$6:$B$605,"&gt;="&amp;$A$4,资金流水!$B$6:$B$605,"&lt;="&amp;$B$4)+SUMIFS(资金流水!$P$6:$P$605,资金流水!$C$6:$C$605,参数设置!$A$10,资金流水!$H$6:$H$605,$A28,资金流水!$E$6:$E$605,"支付利息",资金流水!$B$6:$B$605,"&gt;="&amp;$A$4,资金流水!$B$6:$B$605,"&lt;="&amp;$B$4)+SUMIFS(生产加工!$J$6:$J$305,生产加工!$C$6:$C$305,参数设置!$A$10,生产加工!$L$6:$L$305,$A28,生产加工!$B$6:$B$305,"&gt;="&amp;$A$4,生产加工!$B$6:$B$305,"&lt;="&amp;$B$4)+SUMIFS(其他分录!$G$6:$G$255,其他分录!$C$6:$C$255,参数设置!$A$10,其他分录!$I$6:$I$255,$A28,其他分录!$B$6:$B$255,"&gt;="&amp;$A$4,其他分录!$B$6:$B$255,"&lt;="&amp;$B$4))</f>
        <v>0</v>
      </c>
      <c r="C28" s="40" t="n">
        <f aca="false">IF($A28="","",SUMIFS(资金流水!$P$6:$P$605,资金流水!$C$6:$C$605,参数设置!$A$11,资金流水!$H$6:$H$605,$A28,资金流水!$E$6:$E$605,"费用支出",资金流水!$B$6:$B$605,"&gt;="&amp;$A$4,资金流水!$B$6:$B$605,"&lt;="&amp;$B$4)+SUMIFS(资金流水!$P$6:$P$605,资金流水!$C$6:$C$605,参数设置!$A$11,资金流水!$H$6:$H$605,$A28,资金流水!$E$6:$E$605,"其他支出",资金流水!$B$6:$B$605,"&gt;="&amp;$A$4,资金流水!$B$6:$B$605,"&lt;="&amp;$B$4)+SUMIFS(资金流水!$P$6:$P$605,资金流水!$C$6:$C$605,参数设置!$A$11,资金流水!$H$6:$H$605,$A28,资金流水!$E$6:$E$605,"支付利息",资金流水!$B$6:$B$605,"&gt;="&amp;$A$4,资金流水!$B$6:$B$605,"&lt;="&amp;$B$4)+SUMIFS(生产加工!$J$6:$J$305,生产加工!$C$6:$C$305,参数设置!$A$11,生产加工!$L$6:$L$305,$A28,生产加工!$B$6:$B$305,"&gt;="&amp;$A$4,生产加工!$B$6:$B$305,"&lt;="&amp;$B$4)+SUMIFS(其他分录!$G$6:$G$255,其他分录!$C$6:$C$255,参数设置!$A$11,其他分录!$I$6:$I$255,$A28,其他分录!$B$6:$B$255,"&gt;="&amp;$A$4,其他分录!$B$6:$B$255,"&lt;="&amp;$B$4))</f>
        <v>0</v>
      </c>
      <c r="D28" s="40" t="n">
        <f aca="false">IF($A28="","",SUMIFS(资金流水!$P$6:$P$605,资金流水!$C$6:$C$605,参数设置!$A$12,资金流水!$H$6:$H$605,$A28,资金流水!$E$6:$E$605,"费用支出",资金流水!$B$6:$B$605,"&gt;="&amp;$A$4,资金流水!$B$6:$B$605,"&lt;="&amp;$B$4)+SUMIFS(资金流水!$P$6:$P$605,资金流水!$C$6:$C$605,参数设置!$A$12,资金流水!$H$6:$H$605,$A28,资金流水!$E$6:$E$605,"其他支出",资金流水!$B$6:$B$605,"&gt;="&amp;$A$4,资金流水!$B$6:$B$605,"&lt;="&amp;$B$4)+SUMIFS(资金流水!$P$6:$P$605,资金流水!$C$6:$C$605,参数设置!$A$12,资金流水!$H$6:$H$605,$A28,资金流水!$E$6:$E$605,"支付利息",资金流水!$B$6:$B$605,"&gt;="&amp;$A$4,资金流水!$B$6:$B$605,"&lt;="&amp;$B$4)+SUMIFS(生产加工!$J$6:$J$305,生产加工!$C$6:$C$305,参数设置!$A$12,生产加工!$L$6:$L$305,$A28,生产加工!$B$6:$B$305,"&gt;="&amp;$A$4,生产加工!$B$6:$B$305,"&lt;="&amp;$B$4)+SUMIFS(其他分录!$G$6:$G$255,其他分录!$C$6:$C$255,参数设置!$A$12,其他分录!$I$6:$I$255,$A28,其他分录!$B$6:$B$255,"&gt;="&amp;$A$4,其他分录!$B$6:$B$255,"&lt;="&amp;$B$4))</f>
        <v>0</v>
      </c>
      <c r="E28" s="42" t="n">
        <f aca="false">IF($A28="","",SUM(B28:D28))</f>
        <v>0</v>
      </c>
      <c r="F28" s="64" t="str">
        <f aca="false">IF($A28="","",IF(ROUND($E28,2)&lt;&gt;0,"有",""))</f>
        <v/>
      </c>
    </row>
    <row r="29" customFormat="false" ht="15" hidden="false" customHeight="false" outlineLevel="0" collapsed="false">
      <c r="A29" s="10" t="str">
        <f aca="false">IF(参数设置!$A38="","",参数设置!$A38)</f>
        <v>采伐运输费</v>
      </c>
      <c r="B29" s="40" t="n">
        <f aca="false">IF($A29="","",SUMIFS(资金流水!$P$6:$P$605,资金流水!$C$6:$C$605,参数设置!$A$10,资金流水!$H$6:$H$605,$A29,资金流水!$E$6:$E$605,"费用支出",资金流水!$B$6:$B$605,"&gt;="&amp;$A$4,资金流水!$B$6:$B$605,"&lt;="&amp;$B$4)+SUMIFS(资金流水!$P$6:$P$605,资金流水!$C$6:$C$605,参数设置!$A$10,资金流水!$H$6:$H$605,$A29,资金流水!$E$6:$E$605,"其他支出",资金流水!$B$6:$B$605,"&gt;="&amp;$A$4,资金流水!$B$6:$B$605,"&lt;="&amp;$B$4)+SUMIFS(资金流水!$P$6:$P$605,资金流水!$C$6:$C$605,参数设置!$A$10,资金流水!$H$6:$H$605,$A29,资金流水!$E$6:$E$605,"支付利息",资金流水!$B$6:$B$605,"&gt;="&amp;$A$4,资金流水!$B$6:$B$605,"&lt;="&amp;$B$4)+SUMIFS(生产加工!$J$6:$J$305,生产加工!$C$6:$C$305,参数设置!$A$10,生产加工!$L$6:$L$305,$A29,生产加工!$B$6:$B$305,"&gt;="&amp;$A$4,生产加工!$B$6:$B$305,"&lt;="&amp;$B$4)+SUMIFS(其他分录!$G$6:$G$255,其他分录!$C$6:$C$255,参数设置!$A$10,其他分录!$I$6:$I$255,$A29,其他分录!$B$6:$B$255,"&gt;="&amp;$A$4,其他分录!$B$6:$B$255,"&lt;="&amp;$B$4))</f>
        <v>25000</v>
      </c>
      <c r="C29" s="40" t="n">
        <f aca="false">IF($A29="","",SUMIFS(资金流水!$P$6:$P$605,资金流水!$C$6:$C$605,参数设置!$A$11,资金流水!$H$6:$H$605,$A29,资金流水!$E$6:$E$605,"费用支出",资金流水!$B$6:$B$605,"&gt;="&amp;$A$4,资金流水!$B$6:$B$605,"&lt;="&amp;$B$4)+SUMIFS(资金流水!$P$6:$P$605,资金流水!$C$6:$C$605,参数设置!$A$11,资金流水!$H$6:$H$605,$A29,资金流水!$E$6:$E$605,"其他支出",资金流水!$B$6:$B$605,"&gt;="&amp;$A$4,资金流水!$B$6:$B$605,"&lt;="&amp;$B$4)+SUMIFS(资金流水!$P$6:$P$605,资金流水!$C$6:$C$605,参数设置!$A$11,资金流水!$H$6:$H$605,$A29,资金流水!$E$6:$E$605,"支付利息",资金流水!$B$6:$B$605,"&gt;="&amp;$A$4,资金流水!$B$6:$B$605,"&lt;="&amp;$B$4)+SUMIFS(生产加工!$J$6:$J$305,生产加工!$C$6:$C$305,参数设置!$A$11,生产加工!$L$6:$L$305,$A29,生产加工!$B$6:$B$305,"&gt;="&amp;$A$4,生产加工!$B$6:$B$305,"&lt;="&amp;$B$4)+SUMIFS(其他分录!$G$6:$G$255,其他分录!$C$6:$C$255,参数设置!$A$11,其他分录!$I$6:$I$255,$A29,其他分录!$B$6:$B$255,"&gt;="&amp;$A$4,其他分录!$B$6:$B$255,"&lt;="&amp;$B$4))</f>
        <v>0</v>
      </c>
      <c r="D29" s="40" t="n">
        <f aca="false">IF($A29="","",SUMIFS(资金流水!$P$6:$P$605,资金流水!$C$6:$C$605,参数设置!$A$12,资金流水!$H$6:$H$605,$A29,资金流水!$E$6:$E$605,"费用支出",资金流水!$B$6:$B$605,"&gt;="&amp;$A$4,资金流水!$B$6:$B$605,"&lt;="&amp;$B$4)+SUMIFS(资金流水!$P$6:$P$605,资金流水!$C$6:$C$605,参数设置!$A$12,资金流水!$H$6:$H$605,$A29,资金流水!$E$6:$E$605,"其他支出",资金流水!$B$6:$B$605,"&gt;="&amp;$A$4,资金流水!$B$6:$B$605,"&lt;="&amp;$B$4)+SUMIFS(资金流水!$P$6:$P$605,资金流水!$C$6:$C$605,参数设置!$A$12,资金流水!$H$6:$H$605,$A29,资金流水!$E$6:$E$605,"支付利息",资金流水!$B$6:$B$605,"&gt;="&amp;$A$4,资金流水!$B$6:$B$605,"&lt;="&amp;$B$4)+SUMIFS(生产加工!$J$6:$J$305,生产加工!$C$6:$C$305,参数设置!$A$12,生产加工!$L$6:$L$305,$A29,生产加工!$B$6:$B$305,"&gt;="&amp;$A$4,生产加工!$B$6:$B$305,"&lt;="&amp;$B$4)+SUMIFS(其他分录!$G$6:$G$255,其他分录!$C$6:$C$255,参数设置!$A$12,其他分录!$I$6:$I$255,$A29,其他分录!$B$6:$B$255,"&gt;="&amp;$A$4,其他分录!$B$6:$B$255,"&lt;="&amp;$B$4))</f>
        <v>0</v>
      </c>
      <c r="E29" s="42" t="n">
        <f aca="false">IF($A29="","",SUM(B29:D29))</f>
        <v>25000</v>
      </c>
      <c r="F29" s="64" t="str">
        <f aca="false">IF($A29="","",IF(ROUND($E29,2)&lt;&gt;0,"有",""))</f>
        <v>有</v>
      </c>
    </row>
    <row r="30" customFormat="false" ht="15" hidden="false" customHeight="false" outlineLevel="0" collapsed="false">
      <c r="A30" s="10" t="str">
        <f aca="false">IF(参数设置!$A39="","",参数设置!$A39)</f>
        <v>研发材料费</v>
      </c>
      <c r="B30" s="40" t="n">
        <f aca="false">IF($A30="","",SUMIFS(资金流水!$P$6:$P$605,资金流水!$C$6:$C$605,参数设置!$A$10,资金流水!$H$6:$H$605,$A30,资金流水!$E$6:$E$605,"费用支出",资金流水!$B$6:$B$605,"&gt;="&amp;$A$4,资金流水!$B$6:$B$605,"&lt;="&amp;$B$4)+SUMIFS(资金流水!$P$6:$P$605,资金流水!$C$6:$C$605,参数设置!$A$10,资金流水!$H$6:$H$605,$A30,资金流水!$E$6:$E$605,"其他支出",资金流水!$B$6:$B$605,"&gt;="&amp;$A$4,资金流水!$B$6:$B$605,"&lt;="&amp;$B$4)+SUMIFS(资金流水!$P$6:$P$605,资金流水!$C$6:$C$605,参数设置!$A$10,资金流水!$H$6:$H$605,$A30,资金流水!$E$6:$E$605,"支付利息",资金流水!$B$6:$B$605,"&gt;="&amp;$A$4,资金流水!$B$6:$B$605,"&lt;="&amp;$B$4)+SUMIFS(生产加工!$J$6:$J$305,生产加工!$C$6:$C$305,参数设置!$A$10,生产加工!$L$6:$L$305,$A30,生产加工!$B$6:$B$305,"&gt;="&amp;$A$4,生产加工!$B$6:$B$305,"&lt;="&amp;$B$4)+SUMIFS(其他分录!$G$6:$G$255,其他分录!$C$6:$C$255,参数设置!$A$10,其他分录!$I$6:$I$255,$A30,其他分录!$B$6:$B$255,"&gt;="&amp;$A$4,其他分录!$B$6:$B$255,"&lt;="&amp;$B$4))</f>
        <v>0</v>
      </c>
      <c r="C30" s="40" t="n">
        <f aca="false">IF($A30="","",SUMIFS(资金流水!$P$6:$P$605,资金流水!$C$6:$C$605,参数设置!$A$11,资金流水!$H$6:$H$605,$A30,资金流水!$E$6:$E$605,"费用支出",资金流水!$B$6:$B$605,"&gt;="&amp;$A$4,资金流水!$B$6:$B$605,"&lt;="&amp;$B$4)+SUMIFS(资金流水!$P$6:$P$605,资金流水!$C$6:$C$605,参数设置!$A$11,资金流水!$H$6:$H$605,$A30,资金流水!$E$6:$E$605,"其他支出",资金流水!$B$6:$B$605,"&gt;="&amp;$A$4,资金流水!$B$6:$B$605,"&lt;="&amp;$B$4)+SUMIFS(资金流水!$P$6:$P$605,资金流水!$C$6:$C$605,参数设置!$A$11,资金流水!$H$6:$H$605,$A30,资金流水!$E$6:$E$605,"支付利息",资金流水!$B$6:$B$605,"&gt;="&amp;$A$4,资金流水!$B$6:$B$605,"&lt;="&amp;$B$4)+SUMIFS(生产加工!$J$6:$J$305,生产加工!$C$6:$C$305,参数设置!$A$11,生产加工!$L$6:$L$305,$A30,生产加工!$B$6:$B$305,"&gt;="&amp;$A$4,生产加工!$B$6:$B$305,"&lt;="&amp;$B$4)+SUMIFS(其他分录!$G$6:$G$255,其他分录!$C$6:$C$255,参数设置!$A$11,其他分录!$I$6:$I$255,$A30,其他分录!$B$6:$B$255,"&gt;="&amp;$A$4,其他分录!$B$6:$B$255,"&lt;="&amp;$B$4))</f>
        <v>0</v>
      </c>
      <c r="D30" s="40" t="n">
        <f aca="false">IF($A30="","",SUMIFS(资金流水!$P$6:$P$605,资金流水!$C$6:$C$605,参数设置!$A$12,资金流水!$H$6:$H$605,$A30,资金流水!$E$6:$E$605,"费用支出",资金流水!$B$6:$B$605,"&gt;="&amp;$A$4,资金流水!$B$6:$B$605,"&lt;="&amp;$B$4)+SUMIFS(资金流水!$P$6:$P$605,资金流水!$C$6:$C$605,参数设置!$A$12,资金流水!$H$6:$H$605,$A30,资金流水!$E$6:$E$605,"其他支出",资金流水!$B$6:$B$605,"&gt;="&amp;$A$4,资金流水!$B$6:$B$605,"&lt;="&amp;$B$4)+SUMIFS(资金流水!$P$6:$P$605,资金流水!$C$6:$C$605,参数设置!$A$12,资金流水!$H$6:$H$605,$A30,资金流水!$E$6:$E$605,"支付利息",资金流水!$B$6:$B$605,"&gt;="&amp;$A$4,资金流水!$B$6:$B$605,"&lt;="&amp;$B$4)+SUMIFS(生产加工!$J$6:$J$305,生产加工!$C$6:$C$305,参数设置!$A$12,生产加工!$L$6:$L$305,$A30,生产加工!$B$6:$B$305,"&gt;="&amp;$A$4,生产加工!$B$6:$B$305,"&lt;="&amp;$B$4)+SUMIFS(其他分录!$G$6:$G$255,其他分录!$C$6:$C$255,参数设置!$A$12,其他分录!$I$6:$I$255,$A30,其他分录!$B$6:$B$255,"&gt;="&amp;$A$4,其他分录!$B$6:$B$255,"&lt;="&amp;$B$4))</f>
        <v>0</v>
      </c>
      <c r="E30" s="42" t="n">
        <f aca="false">IF($A30="","",SUM(B30:D30))</f>
        <v>0</v>
      </c>
      <c r="F30" s="64" t="str">
        <f aca="false">IF($A30="","",IF(ROUND($E30,2)&lt;&gt;0,"有",""))</f>
        <v/>
      </c>
    </row>
    <row r="31" customFormat="false" ht="15" hidden="false" customHeight="false" outlineLevel="0" collapsed="false">
      <c r="A31" s="10" t="str">
        <f aca="false">IF(参数设置!$A40="","",参数设置!$A40)</f>
        <v>增值税</v>
      </c>
      <c r="B31" s="40" t="n">
        <f aca="false">IF($A31="","",SUMIFS(资金流水!$P$6:$P$605,资金流水!$C$6:$C$605,参数设置!$A$10,资金流水!$H$6:$H$605,$A31,资金流水!$E$6:$E$605,"费用支出",资金流水!$B$6:$B$605,"&gt;="&amp;$A$4,资金流水!$B$6:$B$605,"&lt;="&amp;$B$4)+SUMIFS(资金流水!$P$6:$P$605,资金流水!$C$6:$C$605,参数设置!$A$10,资金流水!$H$6:$H$605,$A31,资金流水!$E$6:$E$605,"其他支出",资金流水!$B$6:$B$605,"&gt;="&amp;$A$4,资金流水!$B$6:$B$605,"&lt;="&amp;$B$4)+SUMIFS(资金流水!$P$6:$P$605,资金流水!$C$6:$C$605,参数设置!$A$10,资金流水!$H$6:$H$605,$A31,资金流水!$E$6:$E$605,"支付利息",资金流水!$B$6:$B$605,"&gt;="&amp;$A$4,资金流水!$B$6:$B$605,"&lt;="&amp;$B$4)+SUMIFS(生产加工!$J$6:$J$305,生产加工!$C$6:$C$305,参数设置!$A$10,生产加工!$L$6:$L$305,$A31,生产加工!$B$6:$B$305,"&gt;="&amp;$A$4,生产加工!$B$6:$B$305,"&lt;="&amp;$B$4)+SUMIFS(其他分录!$G$6:$G$255,其他分录!$C$6:$C$255,参数设置!$A$10,其他分录!$I$6:$I$255,$A31,其他分录!$B$6:$B$255,"&gt;="&amp;$A$4,其他分录!$B$6:$B$255,"&lt;="&amp;$B$4))</f>
        <v>0</v>
      </c>
      <c r="C31" s="40" t="n">
        <f aca="false">IF($A31="","",SUMIFS(资金流水!$P$6:$P$605,资金流水!$C$6:$C$605,参数设置!$A$11,资金流水!$H$6:$H$605,$A31,资金流水!$E$6:$E$605,"费用支出",资金流水!$B$6:$B$605,"&gt;="&amp;$A$4,资金流水!$B$6:$B$605,"&lt;="&amp;$B$4)+SUMIFS(资金流水!$P$6:$P$605,资金流水!$C$6:$C$605,参数设置!$A$11,资金流水!$H$6:$H$605,$A31,资金流水!$E$6:$E$605,"其他支出",资金流水!$B$6:$B$605,"&gt;="&amp;$A$4,资金流水!$B$6:$B$605,"&lt;="&amp;$B$4)+SUMIFS(资金流水!$P$6:$P$605,资金流水!$C$6:$C$605,参数设置!$A$11,资金流水!$H$6:$H$605,$A31,资金流水!$E$6:$E$605,"支付利息",资金流水!$B$6:$B$605,"&gt;="&amp;$A$4,资金流水!$B$6:$B$605,"&lt;="&amp;$B$4)+SUMIFS(生产加工!$J$6:$J$305,生产加工!$C$6:$C$305,参数设置!$A$11,生产加工!$L$6:$L$305,$A31,生产加工!$B$6:$B$305,"&gt;="&amp;$A$4,生产加工!$B$6:$B$305,"&lt;="&amp;$B$4)+SUMIFS(其他分录!$G$6:$G$255,其他分录!$C$6:$C$255,参数设置!$A$11,其他分录!$I$6:$I$255,$A31,其他分录!$B$6:$B$255,"&gt;="&amp;$A$4,其他分录!$B$6:$B$255,"&lt;="&amp;$B$4))</f>
        <v>0</v>
      </c>
      <c r="D31" s="40" t="n">
        <f aca="false">IF($A31="","",SUMIFS(资金流水!$P$6:$P$605,资金流水!$C$6:$C$605,参数设置!$A$12,资金流水!$H$6:$H$605,$A31,资金流水!$E$6:$E$605,"费用支出",资金流水!$B$6:$B$605,"&gt;="&amp;$A$4,资金流水!$B$6:$B$605,"&lt;="&amp;$B$4)+SUMIFS(资金流水!$P$6:$P$605,资金流水!$C$6:$C$605,参数设置!$A$12,资金流水!$H$6:$H$605,$A31,资金流水!$E$6:$E$605,"其他支出",资金流水!$B$6:$B$605,"&gt;="&amp;$A$4,资金流水!$B$6:$B$605,"&lt;="&amp;$B$4)+SUMIFS(资金流水!$P$6:$P$605,资金流水!$C$6:$C$605,参数设置!$A$12,资金流水!$H$6:$H$605,$A31,资金流水!$E$6:$E$605,"支付利息",资金流水!$B$6:$B$605,"&gt;="&amp;$A$4,资金流水!$B$6:$B$605,"&lt;="&amp;$B$4)+SUMIFS(生产加工!$J$6:$J$305,生产加工!$C$6:$C$305,参数设置!$A$12,生产加工!$L$6:$L$305,$A31,生产加工!$B$6:$B$305,"&gt;="&amp;$A$4,生产加工!$B$6:$B$305,"&lt;="&amp;$B$4)+SUMIFS(其他分录!$G$6:$G$255,其他分录!$C$6:$C$255,参数设置!$A$12,其他分录!$I$6:$I$255,$A31,其他分录!$B$6:$B$255,"&gt;="&amp;$A$4,其他分录!$B$6:$B$255,"&lt;="&amp;$B$4))</f>
        <v>0</v>
      </c>
      <c r="E31" s="42" t="n">
        <f aca="false">IF($A31="","",SUM(B31:D31))</f>
        <v>0</v>
      </c>
      <c r="F31" s="64" t="str">
        <f aca="false">IF($A31="","",IF(ROUND($E31,2)&lt;&gt;0,"有",""))</f>
        <v/>
      </c>
    </row>
    <row r="32" customFormat="false" ht="15" hidden="false" customHeight="false" outlineLevel="0" collapsed="false">
      <c r="A32" s="10" t="str">
        <f aca="false">IF(参数设置!$A41="","",参数设置!$A41)</f>
        <v>城建税及附加</v>
      </c>
      <c r="B32" s="40" t="n">
        <f aca="false">IF($A32="","",SUMIFS(资金流水!$P$6:$P$605,资金流水!$C$6:$C$605,参数设置!$A$10,资金流水!$H$6:$H$605,$A32,资金流水!$E$6:$E$605,"费用支出",资金流水!$B$6:$B$605,"&gt;="&amp;$A$4,资金流水!$B$6:$B$605,"&lt;="&amp;$B$4)+SUMIFS(资金流水!$P$6:$P$605,资金流水!$C$6:$C$605,参数设置!$A$10,资金流水!$H$6:$H$605,$A32,资金流水!$E$6:$E$605,"其他支出",资金流水!$B$6:$B$605,"&gt;="&amp;$A$4,资金流水!$B$6:$B$605,"&lt;="&amp;$B$4)+SUMIFS(资金流水!$P$6:$P$605,资金流水!$C$6:$C$605,参数设置!$A$10,资金流水!$H$6:$H$605,$A32,资金流水!$E$6:$E$605,"支付利息",资金流水!$B$6:$B$605,"&gt;="&amp;$A$4,资金流水!$B$6:$B$605,"&lt;="&amp;$B$4)+SUMIFS(生产加工!$J$6:$J$305,生产加工!$C$6:$C$305,参数设置!$A$10,生产加工!$L$6:$L$305,$A32,生产加工!$B$6:$B$305,"&gt;="&amp;$A$4,生产加工!$B$6:$B$305,"&lt;="&amp;$B$4)+SUMIFS(其他分录!$G$6:$G$255,其他分录!$C$6:$C$255,参数设置!$A$10,其他分录!$I$6:$I$255,$A32,其他分录!$B$6:$B$255,"&gt;="&amp;$A$4,其他分录!$B$6:$B$255,"&lt;="&amp;$B$4))</f>
        <v>0</v>
      </c>
      <c r="C32" s="40" t="n">
        <f aca="false">IF($A32="","",SUMIFS(资金流水!$P$6:$P$605,资金流水!$C$6:$C$605,参数设置!$A$11,资金流水!$H$6:$H$605,$A32,资金流水!$E$6:$E$605,"费用支出",资金流水!$B$6:$B$605,"&gt;="&amp;$A$4,资金流水!$B$6:$B$605,"&lt;="&amp;$B$4)+SUMIFS(资金流水!$P$6:$P$605,资金流水!$C$6:$C$605,参数设置!$A$11,资金流水!$H$6:$H$605,$A32,资金流水!$E$6:$E$605,"其他支出",资金流水!$B$6:$B$605,"&gt;="&amp;$A$4,资金流水!$B$6:$B$605,"&lt;="&amp;$B$4)+SUMIFS(资金流水!$P$6:$P$605,资金流水!$C$6:$C$605,参数设置!$A$11,资金流水!$H$6:$H$605,$A32,资金流水!$E$6:$E$605,"支付利息",资金流水!$B$6:$B$605,"&gt;="&amp;$A$4,资金流水!$B$6:$B$605,"&lt;="&amp;$B$4)+SUMIFS(生产加工!$J$6:$J$305,生产加工!$C$6:$C$305,参数设置!$A$11,生产加工!$L$6:$L$305,$A32,生产加工!$B$6:$B$305,"&gt;="&amp;$A$4,生产加工!$B$6:$B$305,"&lt;="&amp;$B$4)+SUMIFS(其他分录!$G$6:$G$255,其他分录!$C$6:$C$255,参数设置!$A$11,其他分录!$I$6:$I$255,$A32,其他分录!$B$6:$B$255,"&gt;="&amp;$A$4,其他分录!$B$6:$B$255,"&lt;="&amp;$B$4))</f>
        <v>0</v>
      </c>
      <c r="D32" s="40" t="n">
        <f aca="false">IF($A32="","",SUMIFS(资金流水!$P$6:$P$605,资金流水!$C$6:$C$605,参数设置!$A$12,资金流水!$H$6:$H$605,$A32,资金流水!$E$6:$E$605,"费用支出",资金流水!$B$6:$B$605,"&gt;="&amp;$A$4,资金流水!$B$6:$B$605,"&lt;="&amp;$B$4)+SUMIFS(资金流水!$P$6:$P$605,资金流水!$C$6:$C$605,参数设置!$A$12,资金流水!$H$6:$H$605,$A32,资金流水!$E$6:$E$605,"其他支出",资金流水!$B$6:$B$605,"&gt;="&amp;$A$4,资金流水!$B$6:$B$605,"&lt;="&amp;$B$4)+SUMIFS(资金流水!$P$6:$P$605,资金流水!$C$6:$C$605,参数设置!$A$12,资金流水!$H$6:$H$605,$A32,资金流水!$E$6:$E$605,"支付利息",资金流水!$B$6:$B$605,"&gt;="&amp;$A$4,资金流水!$B$6:$B$605,"&lt;="&amp;$B$4)+SUMIFS(生产加工!$J$6:$J$305,生产加工!$C$6:$C$305,参数设置!$A$12,生产加工!$L$6:$L$305,$A32,生产加工!$B$6:$B$305,"&gt;="&amp;$A$4,生产加工!$B$6:$B$305,"&lt;="&amp;$B$4)+SUMIFS(其他分录!$G$6:$G$255,其他分录!$C$6:$C$255,参数设置!$A$12,其他分录!$I$6:$I$255,$A32,其他分录!$B$6:$B$255,"&gt;="&amp;$A$4,其他分录!$B$6:$B$255,"&lt;="&amp;$B$4))</f>
        <v>0</v>
      </c>
      <c r="E32" s="42" t="n">
        <f aca="false">IF($A32="","",SUM(B32:D32))</f>
        <v>0</v>
      </c>
      <c r="F32" s="64" t="str">
        <f aca="false">IF($A32="","",IF(ROUND($E32,2)&lt;&gt;0,"有",""))</f>
        <v/>
      </c>
    </row>
    <row r="33" customFormat="false" ht="15" hidden="false" customHeight="false" outlineLevel="0" collapsed="false">
      <c r="A33" s="10" t="str">
        <f aca="false">IF(参数设置!$A42="","",参数设置!$A42)</f>
        <v>印花税</v>
      </c>
      <c r="B33" s="40" t="n">
        <f aca="false">IF($A33="","",SUMIFS(资金流水!$P$6:$P$605,资金流水!$C$6:$C$605,参数设置!$A$10,资金流水!$H$6:$H$605,$A33,资金流水!$E$6:$E$605,"费用支出",资金流水!$B$6:$B$605,"&gt;="&amp;$A$4,资金流水!$B$6:$B$605,"&lt;="&amp;$B$4)+SUMIFS(资金流水!$P$6:$P$605,资金流水!$C$6:$C$605,参数设置!$A$10,资金流水!$H$6:$H$605,$A33,资金流水!$E$6:$E$605,"其他支出",资金流水!$B$6:$B$605,"&gt;="&amp;$A$4,资金流水!$B$6:$B$605,"&lt;="&amp;$B$4)+SUMIFS(资金流水!$P$6:$P$605,资金流水!$C$6:$C$605,参数设置!$A$10,资金流水!$H$6:$H$605,$A33,资金流水!$E$6:$E$605,"支付利息",资金流水!$B$6:$B$605,"&gt;="&amp;$A$4,资金流水!$B$6:$B$605,"&lt;="&amp;$B$4)+SUMIFS(生产加工!$J$6:$J$305,生产加工!$C$6:$C$305,参数设置!$A$10,生产加工!$L$6:$L$305,$A33,生产加工!$B$6:$B$305,"&gt;="&amp;$A$4,生产加工!$B$6:$B$305,"&lt;="&amp;$B$4)+SUMIFS(其他分录!$G$6:$G$255,其他分录!$C$6:$C$255,参数设置!$A$10,其他分录!$I$6:$I$255,$A33,其他分录!$B$6:$B$255,"&gt;="&amp;$A$4,其他分录!$B$6:$B$255,"&lt;="&amp;$B$4))</f>
        <v>0</v>
      </c>
      <c r="C33" s="40" t="n">
        <f aca="false">IF($A33="","",SUMIFS(资金流水!$P$6:$P$605,资金流水!$C$6:$C$605,参数设置!$A$11,资金流水!$H$6:$H$605,$A33,资金流水!$E$6:$E$605,"费用支出",资金流水!$B$6:$B$605,"&gt;="&amp;$A$4,资金流水!$B$6:$B$605,"&lt;="&amp;$B$4)+SUMIFS(资金流水!$P$6:$P$605,资金流水!$C$6:$C$605,参数设置!$A$11,资金流水!$H$6:$H$605,$A33,资金流水!$E$6:$E$605,"其他支出",资金流水!$B$6:$B$605,"&gt;="&amp;$A$4,资金流水!$B$6:$B$605,"&lt;="&amp;$B$4)+SUMIFS(资金流水!$P$6:$P$605,资金流水!$C$6:$C$605,参数设置!$A$11,资金流水!$H$6:$H$605,$A33,资金流水!$E$6:$E$605,"支付利息",资金流水!$B$6:$B$605,"&gt;="&amp;$A$4,资金流水!$B$6:$B$605,"&lt;="&amp;$B$4)+SUMIFS(生产加工!$J$6:$J$305,生产加工!$C$6:$C$305,参数设置!$A$11,生产加工!$L$6:$L$305,$A33,生产加工!$B$6:$B$305,"&gt;="&amp;$A$4,生产加工!$B$6:$B$305,"&lt;="&amp;$B$4)+SUMIFS(其他分录!$G$6:$G$255,其他分录!$C$6:$C$255,参数设置!$A$11,其他分录!$I$6:$I$255,$A33,其他分录!$B$6:$B$255,"&gt;="&amp;$A$4,其他分录!$B$6:$B$255,"&lt;="&amp;$B$4))</f>
        <v>0</v>
      </c>
      <c r="D33" s="40" t="n">
        <f aca="false">IF($A33="","",SUMIFS(资金流水!$P$6:$P$605,资金流水!$C$6:$C$605,参数设置!$A$12,资金流水!$H$6:$H$605,$A33,资金流水!$E$6:$E$605,"费用支出",资金流水!$B$6:$B$605,"&gt;="&amp;$A$4,资金流水!$B$6:$B$605,"&lt;="&amp;$B$4)+SUMIFS(资金流水!$P$6:$P$605,资金流水!$C$6:$C$605,参数设置!$A$12,资金流水!$H$6:$H$605,$A33,资金流水!$E$6:$E$605,"其他支出",资金流水!$B$6:$B$605,"&gt;="&amp;$A$4,资金流水!$B$6:$B$605,"&lt;="&amp;$B$4)+SUMIFS(资金流水!$P$6:$P$605,资金流水!$C$6:$C$605,参数设置!$A$12,资金流水!$H$6:$H$605,$A33,资金流水!$E$6:$E$605,"支付利息",资金流水!$B$6:$B$605,"&gt;="&amp;$A$4,资金流水!$B$6:$B$605,"&lt;="&amp;$B$4)+SUMIFS(生产加工!$J$6:$J$305,生产加工!$C$6:$C$305,参数设置!$A$12,生产加工!$L$6:$L$305,$A33,生产加工!$B$6:$B$305,"&gt;="&amp;$A$4,生产加工!$B$6:$B$305,"&lt;="&amp;$B$4)+SUMIFS(其他分录!$G$6:$G$255,其他分录!$C$6:$C$255,参数设置!$A$12,其他分录!$I$6:$I$255,$A33,其他分录!$B$6:$B$255,"&gt;="&amp;$A$4,其他分录!$B$6:$B$255,"&lt;="&amp;$B$4))</f>
        <v>0</v>
      </c>
      <c r="E33" s="42" t="n">
        <f aca="false">IF($A33="","",SUM(B33:D33))</f>
        <v>0</v>
      </c>
      <c r="F33" s="64" t="str">
        <f aca="false">IF($A33="","",IF(ROUND($E33,2)&lt;&gt;0,"有",""))</f>
        <v/>
      </c>
    </row>
    <row r="34" customFormat="false" ht="15" hidden="false" customHeight="false" outlineLevel="0" collapsed="false">
      <c r="A34" s="10" t="str">
        <f aca="false">IF(参数设置!$A43="","",参数设置!$A43)</f>
        <v>企业所得税</v>
      </c>
      <c r="B34" s="40" t="n">
        <f aca="false">IF($A34="","",SUMIFS(资金流水!$P$6:$P$605,资金流水!$C$6:$C$605,参数设置!$A$10,资金流水!$H$6:$H$605,$A34,资金流水!$E$6:$E$605,"费用支出",资金流水!$B$6:$B$605,"&gt;="&amp;$A$4,资金流水!$B$6:$B$605,"&lt;="&amp;$B$4)+SUMIFS(资金流水!$P$6:$P$605,资金流水!$C$6:$C$605,参数设置!$A$10,资金流水!$H$6:$H$605,$A34,资金流水!$E$6:$E$605,"其他支出",资金流水!$B$6:$B$605,"&gt;="&amp;$A$4,资金流水!$B$6:$B$605,"&lt;="&amp;$B$4)+SUMIFS(资金流水!$P$6:$P$605,资金流水!$C$6:$C$605,参数设置!$A$10,资金流水!$H$6:$H$605,$A34,资金流水!$E$6:$E$605,"支付利息",资金流水!$B$6:$B$605,"&gt;="&amp;$A$4,资金流水!$B$6:$B$605,"&lt;="&amp;$B$4)+SUMIFS(生产加工!$J$6:$J$305,生产加工!$C$6:$C$305,参数设置!$A$10,生产加工!$L$6:$L$305,$A34,生产加工!$B$6:$B$305,"&gt;="&amp;$A$4,生产加工!$B$6:$B$305,"&lt;="&amp;$B$4)+SUMIFS(其他分录!$G$6:$G$255,其他分录!$C$6:$C$255,参数设置!$A$10,其他分录!$I$6:$I$255,$A34,其他分录!$B$6:$B$255,"&gt;="&amp;$A$4,其他分录!$B$6:$B$255,"&lt;="&amp;$B$4))</f>
        <v>0</v>
      </c>
      <c r="C34" s="40" t="n">
        <f aca="false">IF($A34="","",SUMIFS(资金流水!$P$6:$P$605,资金流水!$C$6:$C$605,参数设置!$A$11,资金流水!$H$6:$H$605,$A34,资金流水!$E$6:$E$605,"费用支出",资金流水!$B$6:$B$605,"&gt;="&amp;$A$4,资金流水!$B$6:$B$605,"&lt;="&amp;$B$4)+SUMIFS(资金流水!$P$6:$P$605,资金流水!$C$6:$C$605,参数设置!$A$11,资金流水!$H$6:$H$605,$A34,资金流水!$E$6:$E$605,"其他支出",资金流水!$B$6:$B$605,"&gt;="&amp;$A$4,资金流水!$B$6:$B$605,"&lt;="&amp;$B$4)+SUMIFS(资金流水!$P$6:$P$605,资金流水!$C$6:$C$605,参数设置!$A$11,资金流水!$H$6:$H$605,$A34,资金流水!$E$6:$E$605,"支付利息",资金流水!$B$6:$B$605,"&gt;="&amp;$A$4,资金流水!$B$6:$B$605,"&lt;="&amp;$B$4)+SUMIFS(生产加工!$J$6:$J$305,生产加工!$C$6:$C$305,参数设置!$A$11,生产加工!$L$6:$L$305,$A34,生产加工!$B$6:$B$305,"&gt;="&amp;$A$4,生产加工!$B$6:$B$305,"&lt;="&amp;$B$4)+SUMIFS(其他分录!$G$6:$G$255,其他分录!$C$6:$C$255,参数设置!$A$11,其他分录!$I$6:$I$255,$A34,其他分录!$B$6:$B$255,"&gt;="&amp;$A$4,其他分录!$B$6:$B$255,"&lt;="&amp;$B$4))</f>
        <v>0</v>
      </c>
      <c r="D34" s="40" t="n">
        <f aca="false">IF($A34="","",SUMIFS(资金流水!$P$6:$P$605,资金流水!$C$6:$C$605,参数设置!$A$12,资金流水!$H$6:$H$605,$A34,资金流水!$E$6:$E$605,"费用支出",资金流水!$B$6:$B$605,"&gt;="&amp;$A$4,资金流水!$B$6:$B$605,"&lt;="&amp;$B$4)+SUMIFS(资金流水!$P$6:$P$605,资金流水!$C$6:$C$605,参数设置!$A$12,资金流水!$H$6:$H$605,$A34,资金流水!$E$6:$E$605,"其他支出",资金流水!$B$6:$B$605,"&gt;="&amp;$A$4,资金流水!$B$6:$B$605,"&lt;="&amp;$B$4)+SUMIFS(资金流水!$P$6:$P$605,资金流水!$C$6:$C$605,参数设置!$A$12,资金流水!$H$6:$H$605,$A34,资金流水!$E$6:$E$605,"支付利息",资金流水!$B$6:$B$605,"&gt;="&amp;$A$4,资金流水!$B$6:$B$605,"&lt;="&amp;$B$4)+SUMIFS(生产加工!$J$6:$J$305,生产加工!$C$6:$C$305,参数设置!$A$12,生产加工!$L$6:$L$305,$A34,生产加工!$B$6:$B$305,"&gt;="&amp;$A$4,生产加工!$B$6:$B$305,"&lt;="&amp;$B$4)+SUMIFS(其他分录!$G$6:$G$255,其他分录!$C$6:$C$255,参数设置!$A$12,其他分录!$I$6:$I$255,$A34,其他分录!$B$6:$B$255,"&gt;="&amp;$A$4,其他分录!$B$6:$B$255,"&lt;="&amp;$B$4))</f>
        <v>0</v>
      </c>
      <c r="E34" s="42" t="n">
        <f aca="false">IF($A34="","",SUM(B34:D34))</f>
        <v>0</v>
      </c>
      <c r="F34" s="64" t="str">
        <f aca="false">IF($A34="","",IF(ROUND($E34,2)&lt;&gt;0,"有",""))</f>
        <v/>
      </c>
    </row>
    <row r="35" customFormat="false" ht="15" hidden="false" customHeight="false" outlineLevel="0" collapsed="false">
      <c r="A35" s="10" t="str">
        <f aca="false">IF(参数设置!$A44="","",参数设置!$A44)</f>
        <v>个人所得税</v>
      </c>
      <c r="B35" s="40" t="n">
        <f aca="false">IF($A35="","",SUMIFS(资金流水!$P$6:$P$605,资金流水!$C$6:$C$605,参数设置!$A$10,资金流水!$H$6:$H$605,$A35,资金流水!$E$6:$E$605,"费用支出",资金流水!$B$6:$B$605,"&gt;="&amp;$A$4,资金流水!$B$6:$B$605,"&lt;="&amp;$B$4)+SUMIFS(资金流水!$P$6:$P$605,资金流水!$C$6:$C$605,参数设置!$A$10,资金流水!$H$6:$H$605,$A35,资金流水!$E$6:$E$605,"其他支出",资金流水!$B$6:$B$605,"&gt;="&amp;$A$4,资金流水!$B$6:$B$605,"&lt;="&amp;$B$4)+SUMIFS(资金流水!$P$6:$P$605,资金流水!$C$6:$C$605,参数设置!$A$10,资金流水!$H$6:$H$605,$A35,资金流水!$E$6:$E$605,"支付利息",资金流水!$B$6:$B$605,"&gt;="&amp;$A$4,资金流水!$B$6:$B$605,"&lt;="&amp;$B$4)+SUMIFS(生产加工!$J$6:$J$305,生产加工!$C$6:$C$305,参数设置!$A$10,生产加工!$L$6:$L$305,$A35,生产加工!$B$6:$B$305,"&gt;="&amp;$A$4,生产加工!$B$6:$B$305,"&lt;="&amp;$B$4)+SUMIFS(其他分录!$G$6:$G$255,其他分录!$C$6:$C$255,参数设置!$A$10,其他分录!$I$6:$I$255,$A35,其他分录!$B$6:$B$255,"&gt;="&amp;$A$4,其他分录!$B$6:$B$255,"&lt;="&amp;$B$4))</f>
        <v>0</v>
      </c>
      <c r="C35" s="40" t="n">
        <f aca="false">IF($A35="","",SUMIFS(资金流水!$P$6:$P$605,资金流水!$C$6:$C$605,参数设置!$A$11,资金流水!$H$6:$H$605,$A35,资金流水!$E$6:$E$605,"费用支出",资金流水!$B$6:$B$605,"&gt;="&amp;$A$4,资金流水!$B$6:$B$605,"&lt;="&amp;$B$4)+SUMIFS(资金流水!$P$6:$P$605,资金流水!$C$6:$C$605,参数设置!$A$11,资金流水!$H$6:$H$605,$A35,资金流水!$E$6:$E$605,"其他支出",资金流水!$B$6:$B$605,"&gt;="&amp;$A$4,资金流水!$B$6:$B$605,"&lt;="&amp;$B$4)+SUMIFS(资金流水!$P$6:$P$605,资金流水!$C$6:$C$605,参数设置!$A$11,资金流水!$H$6:$H$605,$A35,资金流水!$E$6:$E$605,"支付利息",资金流水!$B$6:$B$605,"&gt;="&amp;$A$4,资金流水!$B$6:$B$605,"&lt;="&amp;$B$4)+SUMIFS(生产加工!$J$6:$J$305,生产加工!$C$6:$C$305,参数设置!$A$11,生产加工!$L$6:$L$305,$A35,生产加工!$B$6:$B$305,"&gt;="&amp;$A$4,生产加工!$B$6:$B$305,"&lt;="&amp;$B$4)+SUMIFS(其他分录!$G$6:$G$255,其他分录!$C$6:$C$255,参数设置!$A$11,其他分录!$I$6:$I$255,$A35,其他分录!$B$6:$B$255,"&gt;="&amp;$A$4,其他分录!$B$6:$B$255,"&lt;="&amp;$B$4))</f>
        <v>0</v>
      </c>
      <c r="D35" s="40" t="n">
        <f aca="false">IF($A35="","",SUMIFS(资金流水!$P$6:$P$605,资金流水!$C$6:$C$605,参数设置!$A$12,资金流水!$H$6:$H$605,$A35,资金流水!$E$6:$E$605,"费用支出",资金流水!$B$6:$B$605,"&gt;="&amp;$A$4,资金流水!$B$6:$B$605,"&lt;="&amp;$B$4)+SUMIFS(资金流水!$P$6:$P$605,资金流水!$C$6:$C$605,参数设置!$A$12,资金流水!$H$6:$H$605,$A35,资金流水!$E$6:$E$605,"其他支出",资金流水!$B$6:$B$605,"&gt;="&amp;$A$4,资金流水!$B$6:$B$605,"&lt;="&amp;$B$4)+SUMIFS(资金流水!$P$6:$P$605,资金流水!$C$6:$C$605,参数设置!$A$12,资金流水!$H$6:$H$605,$A35,资金流水!$E$6:$E$605,"支付利息",资金流水!$B$6:$B$605,"&gt;="&amp;$A$4,资金流水!$B$6:$B$605,"&lt;="&amp;$B$4)+SUMIFS(生产加工!$J$6:$J$305,生产加工!$C$6:$C$305,参数设置!$A$12,生产加工!$L$6:$L$305,$A35,生产加工!$B$6:$B$305,"&gt;="&amp;$A$4,生产加工!$B$6:$B$305,"&lt;="&amp;$B$4)+SUMIFS(其他分录!$G$6:$G$255,其他分录!$C$6:$C$255,参数设置!$A$12,其他分录!$I$6:$I$255,$A35,其他分录!$B$6:$B$255,"&gt;="&amp;$A$4,其他分录!$B$6:$B$255,"&lt;="&amp;$B$4))</f>
        <v>0</v>
      </c>
      <c r="E35" s="42" t="n">
        <f aca="false">IF($A35="","",SUM(B35:D35))</f>
        <v>0</v>
      </c>
      <c r="F35" s="64" t="str">
        <f aca="false">IF($A35="","",IF(ROUND($E35,2)&lt;&gt;0,"有",""))</f>
        <v/>
      </c>
    </row>
    <row r="36" customFormat="false" ht="15" hidden="false" customHeight="false" outlineLevel="0" collapsed="false">
      <c r="A36" s="10" t="str">
        <f aca="false">IF(参数设置!$A45="","",参数设置!$A45)</f>
        <v>其他</v>
      </c>
      <c r="B36" s="40" t="n">
        <f aca="false">IF($A36="","",SUMIFS(资金流水!$P$6:$P$605,资金流水!$C$6:$C$605,参数设置!$A$10,资金流水!$H$6:$H$605,$A36,资金流水!$E$6:$E$605,"费用支出",资金流水!$B$6:$B$605,"&gt;="&amp;$A$4,资金流水!$B$6:$B$605,"&lt;="&amp;$B$4)+SUMIFS(资金流水!$P$6:$P$605,资金流水!$C$6:$C$605,参数设置!$A$10,资金流水!$H$6:$H$605,$A36,资金流水!$E$6:$E$605,"其他支出",资金流水!$B$6:$B$605,"&gt;="&amp;$A$4,资金流水!$B$6:$B$605,"&lt;="&amp;$B$4)+SUMIFS(资金流水!$P$6:$P$605,资金流水!$C$6:$C$605,参数设置!$A$10,资金流水!$H$6:$H$605,$A36,资金流水!$E$6:$E$605,"支付利息",资金流水!$B$6:$B$605,"&gt;="&amp;$A$4,资金流水!$B$6:$B$605,"&lt;="&amp;$B$4)+SUMIFS(生产加工!$J$6:$J$305,生产加工!$C$6:$C$305,参数设置!$A$10,生产加工!$L$6:$L$305,$A36,生产加工!$B$6:$B$305,"&gt;="&amp;$A$4,生产加工!$B$6:$B$305,"&lt;="&amp;$B$4)+SUMIFS(其他分录!$G$6:$G$255,其他分录!$C$6:$C$255,参数设置!$A$10,其他分录!$I$6:$I$255,$A36,其他分录!$B$6:$B$255,"&gt;="&amp;$A$4,其他分录!$B$6:$B$255,"&lt;="&amp;$B$4))</f>
        <v>0</v>
      </c>
      <c r="C36" s="40" t="n">
        <f aca="false">IF($A36="","",SUMIFS(资金流水!$P$6:$P$605,资金流水!$C$6:$C$605,参数设置!$A$11,资金流水!$H$6:$H$605,$A36,资金流水!$E$6:$E$605,"费用支出",资金流水!$B$6:$B$605,"&gt;="&amp;$A$4,资金流水!$B$6:$B$605,"&lt;="&amp;$B$4)+SUMIFS(资金流水!$P$6:$P$605,资金流水!$C$6:$C$605,参数设置!$A$11,资金流水!$H$6:$H$605,$A36,资金流水!$E$6:$E$605,"其他支出",资金流水!$B$6:$B$605,"&gt;="&amp;$A$4,资金流水!$B$6:$B$605,"&lt;="&amp;$B$4)+SUMIFS(资金流水!$P$6:$P$605,资金流水!$C$6:$C$605,参数设置!$A$11,资金流水!$H$6:$H$605,$A36,资金流水!$E$6:$E$605,"支付利息",资金流水!$B$6:$B$605,"&gt;="&amp;$A$4,资金流水!$B$6:$B$605,"&lt;="&amp;$B$4)+SUMIFS(生产加工!$J$6:$J$305,生产加工!$C$6:$C$305,参数设置!$A$11,生产加工!$L$6:$L$305,$A36,生产加工!$B$6:$B$305,"&gt;="&amp;$A$4,生产加工!$B$6:$B$305,"&lt;="&amp;$B$4)+SUMIFS(其他分录!$G$6:$G$255,其他分录!$C$6:$C$255,参数设置!$A$11,其他分录!$I$6:$I$255,$A36,其他分录!$B$6:$B$255,"&gt;="&amp;$A$4,其他分录!$B$6:$B$255,"&lt;="&amp;$B$4))</f>
        <v>0</v>
      </c>
      <c r="D36" s="40" t="n">
        <f aca="false">IF($A36="","",SUMIFS(资金流水!$P$6:$P$605,资金流水!$C$6:$C$605,参数设置!$A$12,资金流水!$H$6:$H$605,$A36,资金流水!$E$6:$E$605,"费用支出",资金流水!$B$6:$B$605,"&gt;="&amp;$A$4,资金流水!$B$6:$B$605,"&lt;="&amp;$B$4)+SUMIFS(资金流水!$P$6:$P$605,资金流水!$C$6:$C$605,参数设置!$A$12,资金流水!$H$6:$H$605,$A36,资金流水!$E$6:$E$605,"其他支出",资金流水!$B$6:$B$605,"&gt;="&amp;$A$4,资金流水!$B$6:$B$605,"&lt;="&amp;$B$4)+SUMIFS(资金流水!$P$6:$P$605,资金流水!$C$6:$C$605,参数设置!$A$12,资金流水!$H$6:$H$605,$A36,资金流水!$E$6:$E$605,"支付利息",资金流水!$B$6:$B$605,"&gt;="&amp;$A$4,资金流水!$B$6:$B$605,"&lt;="&amp;$B$4)+SUMIFS(生产加工!$J$6:$J$305,生产加工!$C$6:$C$305,参数设置!$A$12,生产加工!$L$6:$L$305,$A36,生产加工!$B$6:$B$305,"&gt;="&amp;$A$4,生产加工!$B$6:$B$305,"&lt;="&amp;$B$4)+SUMIFS(其他分录!$G$6:$G$255,其他分录!$C$6:$C$255,参数设置!$A$12,其他分录!$I$6:$I$255,$A36,其他分录!$B$6:$B$255,"&gt;="&amp;$A$4,其他分录!$B$6:$B$255,"&lt;="&amp;$B$4))</f>
        <v>0</v>
      </c>
      <c r="E36" s="42" t="n">
        <f aca="false">IF($A36="","",SUM(B36:D36))</f>
        <v>0</v>
      </c>
      <c r="F36" s="64" t="str">
        <f aca="false">IF($A36="","",IF(ROUND($E36,2)&lt;&gt;0,"有",""))</f>
        <v/>
      </c>
    </row>
    <row r="37" customFormat="false" ht="15" hidden="false" customHeight="false" outlineLevel="0" collapsed="false">
      <c r="A37" s="10" t="str">
        <f aca="false">IF(参数设置!$A46="","",参数设置!$A46)</f>
        <v/>
      </c>
      <c r="B37" s="40" t="str">
        <f aca="false">IF($A37="","",SUMIFS(资金流水!$P$6:$P$605,资金流水!$C$6:$C$605,参数设置!$A$10,资金流水!$H$6:$H$605,$A37,资金流水!$E$6:$E$605,"费用支出",资金流水!$B$6:$B$605,"&gt;="&amp;$A$4,资金流水!$B$6:$B$605,"&lt;="&amp;$B$4)+SUMIFS(资金流水!$P$6:$P$605,资金流水!$C$6:$C$605,参数设置!$A$10,资金流水!$H$6:$H$605,$A37,资金流水!$E$6:$E$605,"其他支出",资金流水!$B$6:$B$605,"&gt;="&amp;$A$4,资金流水!$B$6:$B$605,"&lt;="&amp;$B$4)+SUMIFS(资金流水!$P$6:$P$605,资金流水!$C$6:$C$605,参数设置!$A$10,资金流水!$H$6:$H$605,$A37,资金流水!$E$6:$E$605,"支付利息",资金流水!$B$6:$B$605,"&gt;="&amp;$A$4,资金流水!$B$6:$B$605,"&lt;="&amp;$B$4)+SUMIFS(生产加工!$J$6:$J$305,生产加工!$C$6:$C$305,参数设置!$A$10,生产加工!$L$6:$L$305,$A37,生产加工!$B$6:$B$305,"&gt;="&amp;$A$4,生产加工!$B$6:$B$305,"&lt;="&amp;$B$4)+SUMIFS(其他分录!$G$6:$G$255,其他分录!$C$6:$C$255,参数设置!$A$10,其他分录!$I$6:$I$255,$A37,其他分录!$B$6:$B$255,"&gt;="&amp;$A$4,其他分录!$B$6:$B$255,"&lt;="&amp;$B$4))</f>
        <v/>
      </c>
      <c r="C37" s="40" t="str">
        <f aca="false">IF($A37="","",SUMIFS(资金流水!$P$6:$P$605,资金流水!$C$6:$C$605,参数设置!$A$11,资金流水!$H$6:$H$605,$A37,资金流水!$E$6:$E$605,"费用支出",资金流水!$B$6:$B$605,"&gt;="&amp;$A$4,资金流水!$B$6:$B$605,"&lt;="&amp;$B$4)+SUMIFS(资金流水!$P$6:$P$605,资金流水!$C$6:$C$605,参数设置!$A$11,资金流水!$H$6:$H$605,$A37,资金流水!$E$6:$E$605,"其他支出",资金流水!$B$6:$B$605,"&gt;="&amp;$A$4,资金流水!$B$6:$B$605,"&lt;="&amp;$B$4)+SUMIFS(资金流水!$P$6:$P$605,资金流水!$C$6:$C$605,参数设置!$A$11,资金流水!$H$6:$H$605,$A37,资金流水!$E$6:$E$605,"支付利息",资金流水!$B$6:$B$605,"&gt;="&amp;$A$4,资金流水!$B$6:$B$605,"&lt;="&amp;$B$4)+SUMIFS(生产加工!$J$6:$J$305,生产加工!$C$6:$C$305,参数设置!$A$11,生产加工!$L$6:$L$305,$A37,生产加工!$B$6:$B$305,"&gt;="&amp;$A$4,生产加工!$B$6:$B$305,"&lt;="&amp;$B$4)+SUMIFS(其他分录!$G$6:$G$255,其他分录!$C$6:$C$255,参数设置!$A$11,其他分录!$I$6:$I$255,$A37,其他分录!$B$6:$B$255,"&gt;="&amp;$A$4,其他分录!$B$6:$B$255,"&lt;="&amp;$B$4))</f>
        <v/>
      </c>
      <c r="D37" s="40" t="str">
        <f aca="false">IF($A37="","",SUMIFS(资金流水!$P$6:$P$605,资金流水!$C$6:$C$605,参数设置!$A$12,资金流水!$H$6:$H$605,$A37,资金流水!$E$6:$E$605,"费用支出",资金流水!$B$6:$B$605,"&gt;="&amp;$A$4,资金流水!$B$6:$B$605,"&lt;="&amp;$B$4)+SUMIFS(资金流水!$P$6:$P$605,资金流水!$C$6:$C$605,参数设置!$A$12,资金流水!$H$6:$H$605,$A37,资金流水!$E$6:$E$605,"其他支出",资金流水!$B$6:$B$605,"&gt;="&amp;$A$4,资金流水!$B$6:$B$605,"&lt;="&amp;$B$4)+SUMIFS(资金流水!$P$6:$P$605,资金流水!$C$6:$C$605,参数设置!$A$12,资金流水!$H$6:$H$605,$A37,资金流水!$E$6:$E$605,"支付利息",资金流水!$B$6:$B$605,"&gt;="&amp;$A$4,资金流水!$B$6:$B$605,"&lt;="&amp;$B$4)+SUMIFS(生产加工!$J$6:$J$305,生产加工!$C$6:$C$305,参数设置!$A$12,生产加工!$L$6:$L$305,$A37,生产加工!$B$6:$B$305,"&gt;="&amp;$A$4,生产加工!$B$6:$B$305,"&lt;="&amp;$B$4)+SUMIFS(其他分录!$G$6:$G$255,其他分录!$C$6:$C$255,参数设置!$A$12,其他分录!$I$6:$I$255,$A37,其他分录!$B$6:$B$255,"&gt;="&amp;$A$4,其他分录!$B$6:$B$255,"&lt;="&amp;$B$4))</f>
        <v/>
      </c>
      <c r="E37" s="42" t="str">
        <f aca="false">IF($A37="","",SUM(B37:D37))</f>
        <v/>
      </c>
      <c r="F37" s="64" t="str">
        <f aca="false">IF($A37="","",IF(ROUND($E37,2)&lt;&gt;0,"有",""))</f>
        <v/>
      </c>
    </row>
    <row r="38" customFormat="false" ht="15" hidden="false" customHeight="false" outlineLevel="0" collapsed="false">
      <c r="A38" s="10" t="str">
        <f aca="false">IF(参数设置!$A47="","",参数设置!$A47)</f>
        <v/>
      </c>
      <c r="B38" s="40" t="str">
        <f aca="false">IF($A38="","",SUMIFS(资金流水!$P$6:$P$605,资金流水!$C$6:$C$605,参数设置!$A$10,资金流水!$H$6:$H$605,$A38,资金流水!$E$6:$E$605,"费用支出",资金流水!$B$6:$B$605,"&gt;="&amp;$A$4,资金流水!$B$6:$B$605,"&lt;="&amp;$B$4)+SUMIFS(资金流水!$P$6:$P$605,资金流水!$C$6:$C$605,参数设置!$A$10,资金流水!$H$6:$H$605,$A38,资金流水!$E$6:$E$605,"其他支出",资金流水!$B$6:$B$605,"&gt;="&amp;$A$4,资金流水!$B$6:$B$605,"&lt;="&amp;$B$4)+SUMIFS(资金流水!$P$6:$P$605,资金流水!$C$6:$C$605,参数设置!$A$10,资金流水!$H$6:$H$605,$A38,资金流水!$E$6:$E$605,"支付利息",资金流水!$B$6:$B$605,"&gt;="&amp;$A$4,资金流水!$B$6:$B$605,"&lt;="&amp;$B$4)+SUMIFS(生产加工!$J$6:$J$305,生产加工!$C$6:$C$305,参数设置!$A$10,生产加工!$L$6:$L$305,$A38,生产加工!$B$6:$B$305,"&gt;="&amp;$A$4,生产加工!$B$6:$B$305,"&lt;="&amp;$B$4)+SUMIFS(其他分录!$G$6:$G$255,其他分录!$C$6:$C$255,参数设置!$A$10,其他分录!$I$6:$I$255,$A38,其他分录!$B$6:$B$255,"&gt;="&amp;$A$4,其他分录!$B$6:$B$255,"&lt;="&amp;$B$4))</f>
        <v/>
      </c>
      <c r="C38" s="40" t="str">
        <f aca="false">IF($A38="","",SUMIFS(资金流水!$P$6:$P$605,资金流水!$C$6:$C$605,参数设置!$A$11,资金流水!$H$6:$H$605,$A38,资金流水!$E$6:$E$605,"费用支出",资金流水!$B$6:$B$605,"&gt;="&amp;$A$4,资金流水!$B$6:$B$605,"&lt;="&amp;$B$4)+SUMIFS(资金流水!$P$6:$P$605,资金流水!$C$6:$C$605,参数设置!$A$11,资金流水!$H$6:$H$605,$A38,资金流水!$E$6:$E$605,"其他支出",资金流水!$B$6:$B$605,"&gt;="&amp;$A$4,资金流水!$B$6:$B$605,"&lt;="&amp;$B$4)+SUMIFS(资金流水!$P$6:$P$605,资金流水!$C$6:$C$605,参数设置!$A$11,资金流水!$H$6:$H$605,$A38,资金流水!$E$6:$E$605,"支付利息",资金流水!$B$6:$B$605,"&gt;="&amp;$A$4,资金流水!$B$6:$B$605,"&lt;="&amp;$B$4)+SUMIFS(生产加工!$J$6:$J$305,生产加工!$C$6:$C$305,参数设置!$A$11,生产加工!$L$6:$L$305,$A38,生产加工!$B$6:$B$305,"&gt;="&amp;$A$4,生产加工!$B$6:$B$305,"&lt;="&amp;$B$4)+SUMIFS(其他分录!$G$6:$G$255,其他分录!$C$6:$C$255,参数设置!$A$11,其他分录!$I$6:$I$255,$A38,其他分录!$B$6:$B$255,"&gt;="&amp;$A$4,其他分录!$B$6:$B$255,"&lt;="&amp;$B$4))</f>
        <v/>
      </c>
      <c r="D38" s="40" t="str">
        <f aca="false">IF($A38="","",SUMIFS(资金流水!$P$6:$P$605,资金流水!$C$6:$C$605,参数设置!$A$12,资金流水!$H$6:$H$605,$A38,资金流水!$E$6:$E$605,"费用支出",资金流水!$B$6:$B$605,"&gt;="&amp;$A$4,资金流水!$B$6:$B$605,"&lt;="&amp;$B$4)+SUMIFS(资金流水!$P$6:$P$605,资金流水!$C$6:$C$605,参数设置!$A$12,资金流水!$H$6:$H$605,$A38,资金流水!$E$6:$E$605,"其他支出",资金流水!$B$6:$B$605,"&gt;="&amp;$A$4,资金流水!$B$6:$B$605,"&lt;="&amp;$B$4)+SUMIFS(资金流水!$P$6:$P$605,资金流水!$C$6:$C$605,参数设置!$A$12,资金流水!$H$6:$H$605,$A38,资金流水!$E$6:$E$605,"支付利息",资金流水!$B$6:$B$605,"&gt;="&amp;$A$4,资金流水!$B$6:$B$605,"&lt;="&amp;$B$4)+SUMIFS(生产加工!$J$6:$J$305,生产加工!$C$6:$C$305,参数设置!$A$12,生产加工!$L$6:$L$305,$A38,生产加工!$B$6:$B$305,"&gt;="&amp;$A$4,生产加工!$B$6:$B$305,"&lt;="&amp;$B$4)+SUMIFS(其他分录!$G$6:$G$255,其他分录!$C$6:$C$255,参数设置!$A$12,其他分录!$I$6:$I$255,$A38,其他分录!$B$6:$B$255,"&gt;="&amp;$A$4,其他分录!$B$6:$B$255,"&lt;="&amp;$B$4))</f>
        <v/>
      </c>
      <c r="E38" s="42" t="str">
        <f aca="false">IF($A38="","",SUM(B38:D38))</f>
        <v/>
      </c>
      <c r="F38" s="64" t="str">
        <f aca="false">IF($A38="","",IF(ROUND($E38,2)&lt;&gt;0,"有",""))</f>
        <v/>
      </c>
    </row>
    <row r="39" customFormat="false" ht="15" hidden="false" customHeight="false" outlineLevel="0" collapsed="false">
      <c r="A39" s="10" t="str">
        <f aca="false">IF(参数设置!$A48="","",参数设置!$A48)</f>
        <v/>
      </c>
      <c r="B39" s="40" t="str">
        <f aca="false">IF($A39="","",SUMIFS(资金流水!$P$6:$P$605,资金流水!$C$6:$C$605,参数设置!$A$10,资金流水!$H$6:$H$605,$A39,资金流水!$E$6:$E$605,"费用支出",资金流水!$B$6:$B$605,"&gt;="&amp;$A$4,资金流水!$B$6:$B$605,"&lt;="&amp;$B$4)+SUMIFS(资金流水!$P$6:$P$605,资金流水!$C$6:$C$605,参数设置!$A$10,资金流水!$H$6:$H$605,$A39,资金流水!$E$6:$E$605,"其他支出",资金流水!$B$6:$B$605,"&gt;="&amp;$A$4,资金流水!$B$6:$B$605,"&lt;="&amp;$B$4)+SUMIFS(资金流水!$P$6:$P$605,资金流水!$C$6:$C$605,参数设置!$A$10,资金流水!$H$6:$H$605,$A39,资金流水!$E$6:$E$605,"支付利息",资金流水!$B$6:$B$605,"&gt;="&amp;$A$4,资金流水!$B$6:$B$605,"&lt;="&amp;$B$4)+SUMIFS(生产加工!$J$6:$J$305,生产加工!$C$6:$C$305,参数设置!$A$10,生产加工!$L$6:$L$305,$A39,生产加工!$B$6:$B$305,"&gt;="&amp;$A$4,生产加工!$B$6:$B$305,"&lt;="&amp;$B$4)+SUMIFS(其他分录!$G$6:$G$255,其他分录!$C$6:$C$255,参数设置!$A$10,其他分录!$I$6:$I$255,$A39,其他分录!$B$6:$B$255,"&gt;="&amp;$A$4,其他分录!$B$6:$B$255,"&lt;="&amp;$B$4))</f>
        <v/>
      </c>
      <c r="C39" s="40" t="str">
        <f aca="false">IF($A39="","",SUMIFS(资金流水!$P$6:$P$605,资金流水!$C$6:$C$605,参数设置!$A$11,资金流水!$H$6:$H$605,$A39,资金流水!$E$6:$E$605,"费用支出",资金流水!$B$6:$B$605,"&gt;="&amp;$A$4,资金流水!$B$6:$B$605,"&lt;="&amp;$B$4)+SUMIFS(资金流水!$P$6:$P$605,资金流水!$C$6:$C$605,参数设置!$A$11,资金流水!$H$6:$H$605,$A39,资金流水!$E$6:$E$605,"其他支出",资金流水!$B$6:$B$605,"&gt;="&amp;$A$4,资金流水!$B$6:$B$605,"&lt;="&amp;$B$4)+SUMIFS(资金流水!$P$6:$P$605,资金流水!$C$6:$C$605,参数设置!$A$11,资金流水!$H$6:$H$605,$A39,资金流水!$E$6:$E$605,"支付利息",资金流水!$B$6:$B$605,"&gt;="&amp;$A$4,资金流水!$B$6:$B$605,"&lt;="&amp;$B$4)+SUMIFS(生产加工!$J$6:$J$305,生产加工!$C$6:$C$305,参数设置!$A$11,生产加工!$L$6:$L$305,$A39,生产加工!$B$6:$B$305,"&gt;="&amp;$A$4,生产加工!$B$6:$B$305,"&lt;="&amp;$B$4)+SUMIFS(其他分录!$G$6:$G$255,其他分录!$C$6:$C$255,参数设置!$A$11,其他分录!$I$6:$I$255,$A39,其他分录!$B$6:$B$255,"&gt;="&amp;$A$4,其他分录!$B$6:$B$255,"&lt;="&amp;$B$4))</f>
        <v/>
      </c>
      <c r="D39" s="40" t="str">
        <f aca="false">IF($A39="","",SUMIFS(资金流水!$P$6:$P$605,资金流水!$C$6:$C$605,参数设置!$A$12,资金流水!$H$6:$H$605,$A39,资金流水!$E$6:$E$605,"费用支出",资金流水!$B$6:$B$605,"&gt;="&amp;$A$4,资金流水!$B$6:$B$605,"&lt;="&amp;$B$4)+SUMIFS(资金流水!$P$6:$P$605,资金流水!$C$6:$C$605,参数设置!$A$12,资金流水!$H$6:$H$605,$A39,资金流水!$E$6:$E$605,"其他支出",资金流水!$B$6:$B$605,"&gt;="&amp;$A$4,资金流水!$B$6:$B$605,"&lt;="&amp;$B$4)+SUMIFS(资金流水!$P$6:$P$605,资金流水!$C$6:$C$605,参数设置!$A$12,资金流水!$H$6:$H$605,$A39,资金流水!$E$6:$E$605,"支付利息",资金流水!$B$6:$B$605,"&gt;="&amp;$A$4,资金流水!$B$6:$B$605,"&lt;="&amp;$B$4)+SUMIFS(生产加工!$J$6:$J$305,生产加工!$C$6:$C$305,参数设置!$A$12,生产加工!$L$6:$L$305,$A39,生产加工!$B$6:$B$305,"&gt;="&amp;$A$4,生产加工!$B$6:$B$305,"&lt;="&amp;$B$4)+SUMIFS(其他分录!$G$6:$G$255,其他分录!$C$6:$C$255,参数设置!$A$12,其他分录!$I$6:$I$255,$A39,其他分录!$B$6:$B$255,"&gt;="&amp;$A$4,其他分录!$B$6:$B$255,"&lt;="&amp;$B$4))</f>
        <v/>
      </c>
      <c r="E39" s="42" t="str">
        <f aca="false">IF($A39="","",SUM(B39:D39))</f>
        <v/>
      </c>
      <c r="F39" s="64" t="str">
        <f aca="false">IF($A39="","",IF(ROUND($E39,2)&lt;&gt;0,"有",""))</f>
        <v/>
      </c>
    </row>
    <row r="40" customFormat="false" ht="15" hidden="false" customHeight="false" outlineLevel="0" collapsed="false">
      <c r="A40" s="10" t="str">
        <f aca="false">IF(参数设置!$A49="","",参数设置!$A49)</f>
        <v/>
      </c>
      <c r="B40" s="40" t="str">
        <f aca="false">IF($A40="","",SUMIFS(资金流水!$P$6:$P$605,资金流水!$C$6:$C$605,参数设置!$A$10,资金流水!$H$6:$H$605,$A40,资金流水!$E$6:$E$605,"费用支出",资金流水!$B$6:$B$605,"&gt;="&amp;$A$4,资金流水!$B$6:$B$605,"&lt;="&amp;$B$4)+SUMIFS(资金流水!$P$6:$P$605,资金流水!$C$6:$C$605,参数设置!$A$10,资金流水!$H$6:$H$605,$A40,资金流水!$E$6:$E$605,"其他支出",资金流水!$B$6:$B$605,"&gt;="&amp;$A$4,资金流水!$B$6:$B$605,"&lt;="&amp;$B$4)+SUMIFS(资金流水!$P$6:$P$605,资金流水!$C$6:$C$605,参数设置!$A$10,资金流水!$H$6:$H$605,$A40,资金流水!$E$6:$E$605,"支付利息",资金流水!$B$6:$B$605,"&gt;="&amp;$A$4,资金流水!$B$6:$B$605,"&lt;="&amp;$B$4)+SUMIFS(生产加工!$J$6:$J$305,生产加工!$C$6:$C$305,参数设置!$A$10,生产加工!$L$6:$L$305,$A40,生产加工!$B$6:$B$305,"&gt;="&amp;$A$4,生产加工!$B$6:$B$305,"&lt;="&amp;$B$4)+SUMIFS(其他分录!$G$6:$G$255,其他分录!$C$6:$C$255,参数设置!$A$10,其他分录!$I$6:$I$255,$A40,其他分录!$B$6:$B$255,"&gt;="&amp;$A$4,其他分录!$B$6:$B$255,"&lt;="&amp;$B$4))</f>
        <v/>
      </c>
      <c r="C40" s="40" t="str">
        <f aca="false">IF($A40="","",SUMIFS(资金流水!$P$6:$P$605,资金流水!$C$6:$C$605,参数设置!$A$11,资金流水!$H$6:$H$605,$A40,资金流水!$E$6:$E$605,"费用支出",资金流水!$B$6:$B$605,"&gt;="&amp;$A$4,资金流水!$B$6:$B$605,"&lt;="&amp;$B$4)+SUMIFS(资金流水!$P$6:$P$605,资金流水!$C$6:$C$605,参数设置!$A$11,资金流水!$H$6:$H$605,$A40,资金流水!$E$6:$E$605,"其他支出",资金流水!$B$6:$B$605,"&gt;="&amp;$A$4,资金流水!$B$6:$B$605,"&lt;="&amp;$B$4)+SUMIFS(资金流水!$P$6:$P$605,资金流水!$C$6:$C$605,参数设置!$A$11,资金流水!$H$6:$H$605,$A40,资金流水!$E$6:$E$605,"支付利息",资金流水!$B$6:$B$605,"&gt;="&amp;$A$4,资金流水!$B$6:$B$605,"&lt;="&amp;$B$4)+SUMIFS(生产加工!$J$6:$J$305,生产加工!$C$6:$C$305,参数设置!$A$11,生产加工!$L$6:$L$305,$A40,生产加工!$B$6:$B$305,"&gt;="&amp;$A$4,生产加工!$B$6:$B$305,"&lt;="&amp;$B$4)+SUMIFS(其他分录!$G$6:$G$255,其他分录!$C$6:$C$255,参数设置!$A$11,其他分录!$I$6:$I$255,$A40,其他分录!$B$6:$B$255,"&gt;="&amp;$A$4,其他分录!$B$6:$B$255,"&lt;="&amp;$B$4))</f>
        <v/>
      </c>
      <c r="D40" s="40" t="str">
        <f aca="false">IF($A40="","",SUMIFS(资金流水!$P$6:$P$605,资金流水!$C$6:$C$605,参数设置!$A$12,资金流水!$H$6:$H$605,$A40,资金流水!$E$6:$E$605,"费用支出",资金流水!$B$6:$B$605,"&gt;="&amp;$A$4,资金流水!$B$6:$B$605,"&lt;="&amp;$B$4)+SUMIFS(资金流水!$P$6:$P$605,资金流水!$C$6:$C$605,参数设置!$A$12,资金流水!$H$6:$H$605,$A40,资金流水!$E$6:$E$605,"其他支出",资金流水!$B$6:$B$605,"&gt;="&amp;$A$4,资金流水!$B$6:$B$605,"&lt;="&amp;$B$4)+SUMIFS(资金流水!$P$6:$P$605,资金流水!$C$6:$C$605,参数设置!$A$12,资金流水!$H$6:$H$605,$A40,资金流水!$E$6:$E$605,"支付利息",资金流水!$B$6:$B$605,"&gt;="&amp;$A$4,资金流水!$B$6:$B$605,"&lt;="&amp;$B$4)+SUMIFS(生产加工!$J$6:$J$305,生产加工!$C$6:$C$305,参数设置!$A$12,生产加工!$L$6:$L$305,$A40,生产加工!$B$6:$B$305,"&gt;="&amp;$A$4,生产加工!$B$6:$B$305,"&lt;="&amp;$B$4)+SUMIFS(其他分录!$G$6:$G$255,其他分录!$C$6:$C$255,参数设置!$A$12,其他分录!$I$6:$I$255,$A40,其他分录!$B$6:$B$255,"&gt;="&amp;$A$4,其他分录!$B$6:$B$255,"&lt;="&amp;$B$4))</f>
        <v/>
      </c>
      <c r="E40" s="42" t="str">
        <f aca="false">IF($A40="","",SUM(B40:D40))</f>
        <v/>
      </c>
      <c r="F40" s="64" t="str">
        <f aca="false">IF($A40="","",IF(ROUND($E40,2)&lt;&gt;0,"有",""))</f>
        <v/>
      </c>
    </row>
    <row r="41" customFormat="false" ht="15" hidden="false" customHeight="false" outlineLevel="0" collapsed="false">
      <c r="A41" s="10" t="str">
        <f aca="false">IF(参数设置!$A50="","",参数设置!$A50)</f>
        <v/>
      </c>
      <c r="B41" s="40" t="str">
        <f aca="false">IF($A41="","",SUMIFS(资金流水!$P$6:$P$605,资金流水!$C$6:$C$605,参数设置!$A$10,资金流水!$H$6:$H$605,$A41,资金流水!$E$6:$E$605,"费用支出",资金流水!$B$6:$B$605,"&gt;="&amp;$A$4,资金流水!$B$6:$B$605,"&lt;="&amp;$B$4)+SUMIFS(资金流水!$P$6:$P$605,资金流水!$C$6:$C$605,参数设置!$A$10,资金流水!$H$6:$H$605,$A41,资金流水!$E$6:$E$605,"其他支出",资金流水!$B$6:$B$605,"&gt;="&amp;$A$4,资金流水!$B$6:$B$605,"&lt;="&amp;$B$4)+SUMIFS(资金流水!$P$6:$P$605,资金流水!$C$6:$C$605,参数设置!$A$10,资金流水!$H$6:$H$605,$A41,资金流水!$E$6:$E$605,"支付利息",资金流水!$B$6:$B$605,"&gt;="&amp;$A$4,资金流水!$B$6:$B$605,"&lt;="&amp;$B$4)+SUMIFS(生产加工!$J$6:$J$305,生产加工!$C$6:$C$305,参数设置!$A$10,生产加工!$L$6:$L$305,$A41,生产加工!$B$6:$B$305,"&gt;="&amp;$A$4,生产加工!$B$6:$B$305,"&lt;="&amp;$B$4)+SUMIFS(其他分录!$G$6:$G$255,其他分录!$C$6:$C$255,参数设置!$A$10,其他分录!$I$6:$I$255,$A41,其他分录!$B$6:$B$255,"&gt;="&amp;$A$4,其他分录!$B$6:$B$255,"&lt;="&amp;$B$4))</f>
        <v/>
      </c>
      <c r="C41" s="40" t="str">
        <f aca="false">IF($A41="","",SUMIFS(资金流水!$P$6:$P$605,资金流水!$C$6:$C$605,参数设置!$A$11,资金流水!$H$6:$H$605,$A41,资金流水!$E$6:$E$605,"费用支出",资金流水!$B$6:$B$605,"&gt;="&amp;$A$4,资金流水!$B$6:$B$605,"&lt;="&amp;$B$4)+SUMIFS(资金流水!$P$6:$P$605,资金流水!$C$6:$C$605,参数设置!$A$11,资金流水!$H$6:$H$605,$A41,资金流水!$E$6:$E$605,"其他支出",资金流水!$B$6:$B$605,"&gt;="&amp;$A$4,资金流水!$B$6:$B$605,"&lt;="&amp;$B$4)+SUMIFS(资金流水!$P$6:$P$605,资金流水!$C$6:$C$605,参数设置!$A$11,资金流水!$H$6:$H$605,$A41,资金流水!$E$6:$E$605,"支付利息",资金流水!$B$6:$B$605,"&gt;="&amp;$A$4,资金流水!$B$6:$B$605,"&lt;="&amp;$B$4)+SUMIFS(生产加工!$J$6:$J$305,生产加工!$C$6:$C$305,参数设置!$A$11,生产加工!$L$6:$L$305,$A41,生产加工!$B$6:$B$305,"&gt;="&amp;$A$4,生产加工!$B$6:$B$305,"&lt;="&amp;$B$4)+SUMIFS(其他分录!$G$6:$G$255,其他分录!$C$6:$C$255,参数设置!$A$11,其他分录!$I$6:$I$255,$A41,其他分录!$B$6:$B$255,"&gt;="&amp;$A$4,其他分录!$B$6:$B$255,"&lt;="&amp;$B$4))</f>
        <v/>
      </c>
      <c r="D41" s="40" t="str">
        <f aca="false">IF($A41="","",SUMIFS(资金流水!$P$6:$P$605,资金流水!$C$6:$C$605,参数设置!$A$12,资金流水!$H$6:$H$605,$A41,资金流水!$E$6:$E$605,"费用支出",资金流水!$B$6:$B$605,"&gt;="&amp;$A$4,资金流水!$B$6:$B$605,"&lt;="&amp;$B$4)+SUMIFS(资金流水!$P$6:$P$605,资金流水!$C$6:$C$605,参数设置!$A$12,资金流水!$H$6:$H$605,$A41,资金流水!$E$6:$E$605,"其他支出",资金流水!$B$6:$B$605,"&gt;="&amp;$A$4,资金流水!$B$6:$B$605,"&lt;="&amp;$B$4)+SUMIFS(资金流水!$P$6:$P$605,资金流水!$C$6:$C$605,参数设置!$A$12,资金流水!$H$6:$H$605,$A41,资金流水!$E$6:$E$605,"支付利息",资金流水!$B$6:$B$605,"&gt;="&amp;$A$4,资金流水!$B$6:$B$605,"&lt;="&amp;$B$4)+SUMIFS(生产加工!$J$6:$J$305,生产加工!$C$6:$C$305,参数设置!$A$12,生产加工!$L$6:$L$305,$A41,生产加工!$B$6:$B$305,"&gt;="&amp;$A$4,生产加工!$B$6:$B$305,"&lt;="&amp;$B$4)+SUMIFS(其他分录!$G$6:$G$255,其他分录!$C$6:$C$255,参数设置!$A$12,其他分录!$I$6:$I$255,$A41,其他分录!$B$6:$B$255,"&gt;="&amp;$A$4,其他分录!$B$6:$B$255,"&lt;="&amp;$B$4))</f>
        <v/>
      </c>
      <c r="E41" s="42" t="str">
        <f aca="false">IF($A41="","",SUM(B41:D41))</f>
        <v/>
      </c>
      <c r="F41" s="64" t="str">
        <f aca="false">IF($A41="","",IF(ROUND($E41,2)&lt;&gt;0,"有",""))</f>
        <v/>
      </c>
    </row>
    <row r="42" customFormat="false" ht="15" hidden="false" customHeight="false" outlineLevel="0" collapsed="false">
      <c r="A42" s="10" t="str">
        <f aca="false">IF(参数设置!$A51="","",参数设置!$A51)</f>
        <v/>
      </c>
      <c r="B42" s="40" t="str">
        <f aca="false">IF($A42="","",SUMIFS(资金流水!$P$6:$P$605,资金流水!$C$6:$C$605,参数设置!$A$10,资金流水!$H$6:$H$605,$A42,资金流水!$E$6:$E$605,"费用支出",资金流水!$B$6:$B$605,"&gt;="&amp;$A$4,资金流水!$B$6:$B$605,"&lt;="&amp;$B$4)+SUMIFS(资金流水!$P$6:$P$605,资金流水!$C$6:$C$605,参数设置!$A$10,资金流水!$H$6:$H$605,$A42,资金流水!$E$6:$E$605,"其他支出",资金流水!$B$6:$B$605,"&gt;="&amp;$A$4,资金流水!$B$6:$B$605,"&lt;="&amp;$B$4)+SUMIFS(资金流水!$P$6:$P$605,资金流水!$C$6:$C$605,参数设置!$A$10,资金流水!$H$6:$H$605,$A42,资金流水!$E$6:$E$605,"支付利息",资金流水!$B$6:$B$605,"&gt;="&amp;$A$4,资金流水!$B$6:$B$605,"&lt;="&amp;$B$4)+SUMIFS(生产加工!$J$6:$J$305,生产加工!$C$6:$C$305,参数设置!$A$10,生产加工!$L$6:$L$305,$A42,生产加工!$B$6:$B$305,"&gt;="&amp;$A$4,生产加工!$B$6:$B$305,"&lt;="&amp;$B$4)+SUMIFS(其他分录!$G$6:$G$255,其他分录!$C$6:$C$255,参数设置!$A$10,其他分录!$I$6:$I$255,$A42,其他分录!$B$6:$B$255,"&gt;="&amp;$A$4,其他分录!$B$6:$B$255,"&lt;="&amp;$B$4))</f>
        <v/>
      </c>
      <c r="C42" s="40" t="str">
        <f aca="false">IF($A42="","",SUMIFS(资金流水!$P$6:$P$605,资金流水!$C$6:$C$605,参数设置!$A$11,资金流水!$H$6:$H$605,$A42,资金流水!$E$6:$E$605,"费用支出",资金流水!$B$6:$B$605,"&gt;="&amp;$A$4,资金流水!$B$6:$B$605,"&lt;="&amp;$B$4)+SUMIFS(资金流水!$P$6:$P$605,资金流水!$C$6:$C$605,参数设置!$A$11,资金流水!$H$6:$H$605,$A42,资金流水!$E$6:$E$605,"其他支出",资金流水!$B$6:$B$605,"&gt;="&amp;$A$4,资金流水!$B$6:$B$605,"&lt;="&amp;$B$4)+SUMIFS(资金流水!$P$6:$P$605,资金流水!$C$6:$C$605,参数设置!$A$11,资金流水!$H$6:$H$605,$A42,资金流水!$E$6:$E$605,"支付利息",资金流水!$B$6:$B$605,"&gt;="&amp;$A$4,资金流水!$B$6:$B$605,"&lt;="&amp;$B$4)+SUMIFS(生产加工!$J$6:$J$305,生产加工!$C$6:$C$305,参数设置!$A$11,生产加工!$L$6:$L$305,$A42,生产加工!$B$6:$B$305,"&gt;="&amp;$A$4,生产加工!$B$6:$B$305,"&lt;="&amp;$B$4)+SUMIFS(其他分录!$G$6:$G$255,其他分录!$C$6:$C$255,参数设置!$A$11,其他分录!$I$6:$I$255,$A42,其他分录!$B$6:$B$255,"&gt;="&amp;$A$4,其他分录!$B$6:$B$255,"&lt;="&amp;$B$4))</f>
        <v/>
      </c>
      <c r="D42" s="40" t="str">
        <f aca="false">IF($A42="","",SUMIFS(资金流水!$P$6:$P$605,资金流水!$C$6:$C$605,参数设置!$A$12,资金流水!$H$6:$H$605,$A42,资金流水!$E$6:$E$605,"费用支出",资金流水!$B$6:$B$605,"&gt;="&amp;$A$4,资金流水!$B$6:$B$605,"&lt;="&amp;$B$4)+SUMIFS(资金流水!$P$6:$P$605,资金流水!$C$6:$C$605,参数设置!$A$12,资金流水!$H$6:$H$605,$A42,资金流水!$E$6:$E$605,"其他支出",资金流水!$B$6:$B$605,"&gt;="&amp;$A$4,资金流水!$B$6:$B$605,"&lt;="&amp;$B$4)+SUMIFS(资金流水!$P$6:$P$605,资金流水!$C$6:$C$605,参数设置!$A$12,资金流水!$H$6:$H$605,$A42,资金流水!$E$6:$E$605,"支付利息",资金流水!$B$6:$B$605,"&gt;="&amp;$A$4,资金流水!$B$6:$B$605,"&lt;="&amp;$B$4)+SUMIFS(生产加工!$J$6:$J$305,生产加工!$C$6:$C$305,参数设置!$A$12,生产加工!$L$6:$L$305,$A42,生产加工!$B$6:$B$305,"&gt;="&amp;$A$4,生产加工!$B$6:$B$305,"&lt;="&amp;$B$4)+SUMIFS(其他分录!$G$6:$G$255,其他分录!$C$6:$C$255,参数设置!$A$12,其他分录!$I$6:$I$255,$A42,其他分录!$B$6:$B$255,"&gt;="&amp;$A$4,其他分录!$B$6:$B$255,"&lt;="&amp;$B$4))</f>
        <v/>
      </c>
      <c r="E42" s="42" t="str">
        <f aca="false">IF($A42="","",SUM(B42:D42))</f>
        <v/>
      </c>
      <c r="F42" s="64" t="str">
        <f aca="false">IF($A42="","",IF(ROUND($E42,2)&lt;&gt;0,"有",""))</f>
        <v/>
      </c>
    </row>
    <row r="43" customFormat="false" ht="15" hidden="false" customHeight="false" outlineLevel="0" collapsed="false">
      <c r="A43" s="10" t="str">
        <f aca="false">IF(参数设置!$A52="","",参数设置!$A52)</f>
        <v/>
      </c>
      <c r="B43" s="40" t="str">
        <f aca="false">IF($A43="","",SUMIFS(资金流水!$P$6:$P$605,资金流水!$C$6:$C$605,参数设置!$A$10,资金流水!$H$6:$H$605,$A43,资金流水!$E$6:$E$605,"费用支出",资金流水!$B$6:$B$605,"&gt;="&amp;$A$4,资金流水!$B$6:$B$605,"&lt;="&amp;$B$4)+SUMIFS(资金流水!$P$6:$P$605,资金流水!$C$6:$C$605,参数设置!$A$10,资金流水!$H$6:$H$605,$A43,资金流水!$E$6:$E$605,"其他支出",资金流水!$B$6:$B$605,"&gt;="&amp;$A$4,资金流水!$B$6:$B$605,"&lt;="&amp;$B$4)+SUMIFS(资金流水!$P$6:$P$605,资金流水!$C$6:$C$605,参数设置!$A$10,资金流水!$H$6:$H$605,$A43,资金流水!$E$6:$E$605,"支付利息",资金流水!$B$6:$B$605,"&gt;="&amp;$A$4,资金流水!$B$6:$B$605,"&lt;="&amp;$B$4)+SUMIFS(生产加工!$J$6:$J$305,生产加工!$C$6:$C$305,参数设置!$A$10,生产加工!$L$6:$L$305,$A43,生产加工!$B$6:$B$305,"&gt;="&amp;$A$4,生产加工!$B$6:$B$305,"&lt;="&amp;$B$4)+SUMIFS(其他分录!$G$6:$G$255,其他分录!$C$6:$C$255,参数设置!$A$10,其他分录!$I$6:$I$255,$A43,其他分录!$B$6:$B$255,"&gt;="&amp;$A$4,其他分录!$B$6:$B$255,"&lt;="&amp;$B$4))</f>
        <v/>
      </c>
      <c r="C43" s="40" t="str">
        <f aca="false">IF($A43="","",SUMIFS(资金流水!$P$6:$P$605,资金流水!$C$6:$C$605,参数设置!$A$11,资金流水!$H$6:$H$605,$A43,资金流水!$E$6:$E$605,"费用支出",资金流水!$B$6:$B$605,"&gt;="&amp;$A$4,资金流水!$B$6:$B$605,"&lt;="&amp;$B$4)+SUMIFS(资金流水!$P$6:$P$605,资金流水!$C$6:$C$605,参数设置!$A$11,资金流水!$H$6:$H$605,$A43,资金流水!$E$6:$E$605,"其他支出",资金流水!$B$6:$B$605,"&gt;="&amp;$A$4,资金流水!$B$6:$B$605,"&lt;="&amp;$B$4)+SUMIFS(资金流水!$P$6:$P$605,资金流水!$C$6:$C$605,参数设置!$A$11,资金流水!$H$6:$H$605,$A43,资金流水!$E$6:$E$605,"支付利息",资金流水!$B$6:$B$605,"&gt;="&amp;$A$4,资金流水!$B$6:$B$605,"&lt;="&amp;$B$4)+SUMIFS(生产加工!$J$6:$J$305,生产加工!$C$6:$C$305,参数设置!$A$11,生产加工!$L$6:$L$305,$A43,生产加工!$B$6:$B$305,"&gt;="&amp;$A$4,生产加工!$B$6:$B$305,"&lt;="&amp;$B$4)+SUMIFS(其他分录!$G$6:$G$255,其他分录!$C$6:$C$255,参数设置!$A$11,其他分录!$I$6:$I$255,$A43,其他分录!$B$6:$B$255,"&gt;="&amp;$A$4,其他分录!$B$6:$B$255,"&lt;="&amp;$B$4))</f>
        <v/>
      </c>
      <c r="D43" s="40" t="str">
        <f aca="false">IF($A43="","",SUMIFS(资金流水!$P$6:$P$605,资金流水!$C$6:$C$605,参数设置!$A$12,资金流水!$H$6:$H$605,$A43,资金流水!$E$6:$E$605,"费用支出",资金流水!$B$6:$B$605,"&gt;="&amp;$A$4,资金流水!$B$6:$B$605,"&lt;="&amp;$B$4)+SUMIFS(资金流水!$P$6:$P$605,资金流水!$C$6:$C$605,参数设置!$A$12,资金流水!$H$6:$H$605,$A43,资金流水!$E$6:$E$605,"其他支出",资金流水!$B$6:$B$605,"&gt;="&amp;$A$4,资金流水!$B$6:$B$605,"&lt;="&amp;$B$4)+SUMIFS(资金流水!$P$6:$P$605,资金流水!$C$6:$C$605,参数设置!$A$12,资金流水!$H$6:$H$605,$A43,资金流水!$E$6:$E$605,"支付利息",资金流水!$B$6:$B$605,"&gt;="&amp;$A$4,资金流水!$B$6:$B$605,"&lt;="&amp;$B$4)+SUMIFS(生产加工!$J$6:$J$305,生产加工!$C$6:$C$305,参数设置!$A$12,生产加工!$L$6:$L$305,$A43,生产加工!$B$6:$B$305,"&gt;="&amp;$A$4,生产加工!$B$6:$B$305,"&lt;="&amp;$B$4)+SUMIFS(其他分录!$G$6:$G$255,其他分录!$C$6:$C$255,参数设置!$A$12,其他分录!$I$6:$I$255,$A43,其他分录!$B$6:$B$255,"&gt;="&amp;$A$4,其他分录!$B$6:$B$255,"&lt;="&amp;$B$4))</f>
        <v/>
      </c>
      <c r="E43" s="42" t="str">
        <f aca="false">IF($A43="","",SUM(B43:D43))</f>
        <v/>
      </c>
      <c r="F43" s="64" t="str">
        <f aca="false">IF($A43="","",IF(ROUND($E43,2)&lt;&gt;0,"有",""))</f>
        <v/>
      </c>
    </row>
    <row r="44" customFormat="false" ht="15" hidden="false" customHeight="false" outlineLevel="0" collapsed="false">
      <c r="A44" s="10" t="str">
        <f aca="false">IF(参数设置!$A53="","",参数设置!$A53)</f>
        <v/>
      </c>
      <c r="B44" s="40" t="str">
        <f aca="false">IF($A44="","",SUMIFS(资金流水!$P$6:$P$605,资金流水!$C$6:$C$605,参数设置!$A$10,资金流水!$H$6:$H$605,$A44,资金流水!$E$6:$E$605,"费用支出",资金流水!$B$6:$B$605,"&gt;="&amp;$A$4,资金流水!$B$6:$B$605,"&lt;="&amp;$B$4)+SUMIFS(资金流水!$P$6:$P$605,资金流水!$C$6:$C$605,参数设置!$A$10,资金流水!$H$6:$H$605,$A44,资金流水!$E$6:$E$605,"其他支出",资金流水!$B$6:$B$605,"&gt;="&amp;$A$4,资金流水!$B$6:$B$605,"&lt;="&amp;$B$4)+SUMIFS(资金流水!$P$6:$P$605,资金流水!$C$6:$C$605,参数设置!$A$10,资金流水!$H$6:$H$605,$A44,资金流水!$E$6:$E$605,"支付利息",资金流水!$B$6:$B$605,"&gt;="&amp;$A$4,资金流水!$B$6:$B$605,"&lt;="&amp;$B$4)+SUMIFS(生产加工!$J$6:$J$305,生产加工!$C$6:$C$305,参数设置!$A$10,生产加工!$L$6:$L$305,$A44,生产加工!$B$6:$B$305,"&gt;="&amp;$A$4,生产加工!$B$6:$B$305,"&lt;="&amp;$B$4)+SUMIFS(其他分录!$G$6:$G$255,其他分录!$C$6:$C$255,参数设置!$A$10,其他分录!$I$6:$I$255,$A44,其他分录!$B$6:$B$255,"&gt;="&amp;$A$4,其他分录!$B$6:$B$255,"&lt;="&amp;$B$4))</f>
        <v/>
      </c>
      <c r="C44" s="40" t="str">
        <f aca="false">IF($A44="","",SUMIFS(资金流水!$P$6:$P$605,资金流水!$C$6:$C$605,参数设置!$A$11,资金流水!$H$6:$H$605,$A44,资金流水!$E$6:$E$605,"费用支出",资金流水!$B$6:$B$605,"&gt;="&amp;$A$4,资金流水!$B$6:$B$605,"&lt;="&amp;$B$4)+SUMIFS(资金流水!$P$6:$P$605,资金流水!$C$6:$C$605,参数设置!$A$11,资金流水!$H$6:$H$605,$A44,资金流水!$E$6:$E$605,"其他支出",资金流水!$B$6:$B$605,"&gt;="&amp;$A$4,资金流水!$B$6:$B$605,"&lt;="&amp;$B$4)+SUMIFS(资金流水!$P$6:$P$605,资金流水!$C$6:$C$605,参数设置!$A$11,资金流水!$H$6:$H$605,$A44,资金流水!$E$6:$E$605,"支付利息",资金流水!$B$6:$B$605,"&gt;="&amp;$A$4,资金流水!$B$6:$B$605,"&lt;="&amp;$B$4)+SUMIFS(生产加工!$J$6:$J$305,生产加工!$C$6:$C$305,参数设置!$A$11,生产加工!$L$6:$L$305,$A44,生产加工!$B$6:$B$305,"&gt;="&amp;$A$4,生产加工!$B$6:$B$305,"&lt;="&amp;$B$4)+SUMIFS(其他分录!$G$6:$G$255,其他分录!$C$6:$C$255,参数设置!$A$11,其他分录!$I$6:$I$255,$A44,其他分录!$B$6:$B$255,"&gt;="&amp;$A$4,其他分录!$B$6:$B$255,"&lt;="&amp;$B$4))</f>
        <v/>
      </c>
      <c r="D44" s="40" t="str">
        <f aca="false">IF($A44="","",SUMIFS(资金流水!$P$6:$P$605,资金流水!$C$6:$C$605,参数设置!$A$12,资金流水!$H$6:$H$605,$A44,资金流水!$E$6:$E$605,"费用支出",资金流水!$B$6:$B$605,"&gt;="&amp;$A$4,资金流水!$B$6:$B$605,"&lt;="&amp;$B$4)+SUMIFS(资金流水!$P$6:$P$605,资金流水!$C$6:$C$605,参数设置!$A$12,资金流水!$H$6:$H$605,$A44,资金流水!$E$6:$E$605,"其他支出",资金流水!$B$6:$B$605,"&gt;="&amp;$A$4,资金流水!$B$6:$B$605,"&lt;="&amp;$B$4)+SUMIFS(资金流水!$P$6:$P$605,资金流水!$C$6:$C$605,参数设置!$A$12,资金流水!$H$6:$H$605,$A44,资金流水!$E$6:$E$605,"支付利息",资金流水!$B$6:$B$605,"&gt;="&amp;$A$4,资金流水!$B$6:$B$605,"&lt;="&amp;$B$4)+SUMIFS(生产加工!$J$6:$J$305,生产加工!$C$6:$C$305,参数设置!$A$12,生产加工!$L$6:$L$305,$A44,生产加工!$B$6:$B$305,"&gt;="&amp;$A$4,生产加工!$B$6:$B$305,"&lt;="&amp;$B$4)+SUMIFS(其他分录!$G$6:$G$255,其他分录!$C$6:$C$255,参数设置!$A$12,其他分录!$I$6:$I$255,$A44,其他分录!$B$6:$B$255,"&gt;="&amp;$A$4,其他分录!$B$6:$B$255,"&lt;="&amp;$B$4))</f>
        <v/>
      </c>
      <c r="E44" s="42" t="str">
        <f aca="false">IF($A44="","",SUM(B44:D44))</f>
        <v/>
      </c>
      <c r="F44" s="64" t="str">
        <f aca="false">IF($A44="","",IF(ROUND($E44,2)&lt;&gt;0,"有",""))</f>
        <v/>
      </c>
    </row>
    <row r="45" customFormat="false" ht="15" hidden="false" customHeight="false" outlineLevel="0" collapsed="false">
      <c r="A45" s="10" t="str">
        <f aca="false">IF(参数设置!$A54="","",参数设置!$A54)</f>
        <v/>
      </c>
      <c r="B45" s="40" t="str">
        <f aca="false">IF($A45="","",SUMIFS(资金流水!$P$6:$P$605,资金流水!$C$6:$C$605,参数设置!$A$10,资金流水!$H$6:$H$605,$A45,资金流水!$E$6:$E$605,"费用支出",资金流水!$B$6:$B$605,"&gt;="&amp;$A$4,资金流水!$B$6:$B$605,"&lt;="&amp;$B$4)+SUMIFS(资金流水!$P$6:$P$605,资金流水!$C$6:$C$605,参数设置!$A$10,资金流水!$H$6:$H$605,$A45,资金流水!$E$6:$E$605,"其他支出",资金流水!$B$6:$B$605,"&gt;="&amp;$A$4,资金流水!$B$6:$B$605,"&lt;="&amp;$B$4)+SUMIFS(资金流水!$P$6:$P$605,资金流水!$C$6:$C$605,参数设置!$A$10,资金流水!$H$6:$H$605,$A45,资金流水!$E$6:$E$605,"支付利息",资金流水!$B$6:$B$605,"&gt;="&amp;$A$4,资金流水!$B$6:$B$605,"&lt;="&amp;$B$4)+SUMIFS(生产加工!$J$6:$J$305,生产加工!$C$6:$C$305,参数设置!$A$10,生产加工!$L$6:$L$305,$A45,生产加工!$B$6:$B$305,"&gt;="&amp;$A$4,生产加工!$B$6:$B$305,"&lt;="&amp;$B$4)+SUMIFS(其他分录!$G$6:$G$255,其他分录!$C$6:$C$255,参数设置!$A$10,其他分录!$I$6:$I$255,$A45,其他分录!$B$6:$B$255,"&gt;="&amp;$A$4,其他分录!$B$6:$B$255,"&lt;="&amp;$B$4))</f>
        <v/>
      </c>
      <c r="C45" s="40" t="str">
        <f aca="false">IF($A45="","",SUMIFS(资金流水!$P$6:$P$605,资金流水!$C$6:$C$605,参数设置!$A$11,资金流水!$H$6:$H$605,$A45,资金流水!$E$6:$E$605,"费用支出",资金流水!$B$6:$B$605,"&gt;="&amp;$A$4,资金流水!$B$6:$B$605,"&lt;="&amp;$B$4)+SUMIFS(资金流水!$P$6:$P$605,资金流水!$C$6:$C$605,参数设置!$A$11,资金流水!$H$6:$H$605,$A45,资金流水!$E$6:$E$605,"其他支出",资金流水!$B$6:$B$605,"&gt;="&amp;$A$4,资金流水!$B$6:$B$605,"&lt;="&amp;$B$4)+SUMIFS(资金流水!$P$6:$P$605,资金流水!$C$6:$C$605,参数设置!$A$11,资金流水!$H$6:$H$605,$A45,资金流水!$E$6:$E$605,"支付利息",资金流水!$B$6:$B$605,"&gt;="&amp;$A$4,资金流水!$B$6:$B$605,"&lt;="&amp;$B$4)+SUMIFS(生产加工!$J$6:$J$305,生产加工!$C$6:$C$305,参数设置!$A$11,生产加工!$L$6:$L$305,$A45,生产加工!$B$6:$B$305,"&gt;="&amp;$A$4,生产加工!$B$6:$B$305,"&lt;="&amp;$B$4)+SUMIFS(其他分录!$G$6:$G$255,其他分录!$C$6:$C$255,参数设置!$A$11,其他分录!$I$6:$I$255,$A45,其他分录!$B$6:$B$255,"&gt;="&amp;$A$4,其他分录!$B$6:$B$255,"&lt;="&amp;$B$4))</f>
        <v/>
      </c>
      <c r="D45" s="40" t="str">
        <f aca="false">IF($A45="","",SUMIFS(资金流水!$P$6:$P$605,资金流水!$C$6:$C$605,参数设置!$A$12,资金流水!$H$6:$H$605,$A45,资金流水!$E$6:$E$605,"费用支出",资金流水!$B$6:$B$605,"&gt;="&amp;$A$4,资金流水!$B$6:$B$605,"&lt;="&amp;$B$4)+SUMIFS(资金流水!$P$6:$P$605,资金流水!$C$6:$C$605,参数设置!$A$12,资金流水!$H$6:$H$605,$A45,资金流水!$E$6:$E$605,"其他支出",资金流水!$B$6:$B$605,"&gt;="&amp;$A$4,资金流水!$B$6:$B$605,"&lt;="&amp;$B$4)+SUMIFS(资金流水!$P$6:$P$605,资金流水!$C$6:$C$605,参数设置!$A$12,资金流水!$H$6:$H$605,$A45,资金流水!$E$6:$E$605,"支付利息",资金流水!$B$6:$B$605,"&gt;="&amp;$A$4,资金流水!$B$6:$B$605,"&lt;="&amp;$B$4)+SUMIFS(生产加工!$J$6:$J$305,生产加工!$C$6:$C$305,参数设置!$A$12,生产加工!$L$6:$L$305,$A45,生产加工!$B$6:$B$305,"&gt;="&amp;$A$4,生产加工!$B$6:$B$305,"&lt;="&amp;$B$4)+SUMIFS(其他分录!$G$6:$G$255,其他分录!$C$6:$C$255,参数设置!$A$12,其他分录!$I$6:$I$255,$A45,其他分录!$B$6:$B$255,"&gt;="&amp;$A$4,其他分录!$B$6:$B$255,"&lt;="&amp;$B$4))</f>
        <v/>
      </c>
      <c r="E45" s="42" t="str">
        <f aca="false">IF($A45="","",SUM(B45:D45))</f>
        <v/>
      </c>
      <c r="F45" s="64" t="str">
        <f aca="false">IF($A45="","",IF(ROUND($E45,2)&lt;&gt;0,"有",""))</f>
        <v/>
      </c>
    </row>
    <row r="46" customFormat="false" ht="15" hidden="false" customHeight="false" outlineLevel="0" collapsed="false">
      <c r="A46" s="10" t="str">
        <f aca="false">IF(参数设置!$A55="","",参数设置!$A55)</f>
        <v/>
      </c>
      <c r="B46" s="40" t="str">
        <f aca="false">IF($A46="","",SUMIFS(资金流水!$P$6:$P$605,资金流水!$C$6:$C$605,参数设置!$A$10,资金流水!$H$6:$H$605,$A46,资金流水!$E$6:$E$605,"费用支出",资金流水!$B$6:$B$605,"&gt;="&amp;$A$4,资金流水!$B$6:$B$605,"&lt;="&amp;$B$4)+SUMIFS(资金流水!$P$6:$P$605,资金流水!$C$6:$C$605,参数设置!$A$10,资金流水!$H$6:$H$605,$A46,资金流水!$E$6:$E$605,"其他支出",资金流水!$B$6:$B$605,"&gt;="&amp;$A$4,资金流水!$B$6:$B$605,"&lt;="&amp;$B$4)+SUMIFS(资金流水!$P$6:$P$605,资金流水!$C$6:$C$605,参数设置!$A$10,资金流水!$H$6:$H$605,$A46,资金流水!$E$6:$E$605,"支付利息",资金流水!$B$6:$B$605,"&gt;="&amp;$A$4,资金流水!$B$6:$B$605,"&lt;="&amp;$B$4)+SUMIFS(生产加工!$J$6:$J$305,生产加工!$C$6:$C$305,参数设置!$A$10,生产加工!$L$6:$L$305,$A46,生产加工!$B$6:$B$305,"&gt;="&amp;$A$4,生产加工!$B$6:$B$305,"&lt;="&amp;$B$4)+SUMIFS(其他分录!$G$6:$G$255,其他分录!$C$6:$C$255,参数设置!$A$10,其他分录!$I$6:$I$255,$A46,其他分录!$B$6:$B$255,"&gt;="&amp;$A$4,其他分录!$B$6:$B$255,"&lt;="&amp;$B$4))</f>
        <v/>
      </c>
      <c r="C46" s="40" t="str">
        <f aca="false">IF($A46="","",SUMIFS(资金流水!$P$6:$P$605,资金流水!$C$6:$C$605,参数设置!$A$11,资金流水!$H$6:$H$605,$A46,资金流水!$E$6:$E$605,"费用支出",资金流水!$B$6:$B$605,"&gt;="&amp;$A$4,资金流水!$B$6:$B$605,"&lt;="&amp;$B$4)+SUMIFS(资金流水!$P$6:$P$605,资金流水!$C$6:$C$605,参数设置!$A$11,资金流水!$H$6:$H$605,$A46,资金流水!$E$6:$E$605,"其他支出",资金流水!$B$6:$B$605,"&gt;="&amp;$A$4,资金流水!$B$6:$B$605,"&lt;="&amp;$B$4)+SUMIFS(资金流水!$P$6:$P$605,资金流水!$C$6:$C$605,参数设置!$A$11,资金流水!$H$6:$H$605,$A46,资金流水!$E$6:$E$605,"支付利息",资金流水!$B$6:$B$605,"&gt;="&amp;$A$4,资金流水!$B$6:$B$605,"&lt;="&amp;$B$4)+SUMIFS(生产加工!$J$6:$J$305,生产加工!$C$6:$C$305,参数设置!$A$11,生产加工!$L$6:$L$305,$A46,生产加工!$B$6:$B$305,"&gt;="&amp;$A$4,生产加工!$B$6:$B$305,"&lt;="&amp;$B$4)+SUMIFS(其他分录!$G$6:$G$255,其他分录!$C$6:$C$255,参数设置!$A$11,其他分录!$I$6:$I$255,$A46,其他分录!$B$6:$B$255,"&gt;="&amp;$A$4,其他分录!$B$6:$B$255,"&lt;="&amp;$B$4))</f>
        <v/>
      </c>
      <c r="D46" s="40" t="str">
        <f aca="false">IF($A46="","",SUMIFS(资金流水!$P$6:$P$605,资金流水!$C$6:$C$605,参数设置!$A$12,资金流水!$H$6:$H$605,$A46,资金流水!$E$6:$E$605,"费用支出",资金流水!$B$6:$B$605,"&gt;="&amp;$A$4,资金流水!$B$6:$B$605,"&lt;="&amp;$B$4)+SUMIFS(资金流水!$P$6:$P$605,资金流水!$C$6:$C$605,参数设置!$A$12,资金流水!$H$6:$H$605,$A46,资金流水!$E$6:$E$605,"其他支出",资金流水!$B$6:$B$605,"&gt;="&amp;$A$4,资金流水!$B$6:$B$605,"&lt;="&amp;$B$4)+SUMIFS(资金流水!$P$6:$P$605,资金流水!$C$6:$C$605,参数设置!$A$12,资金流水!$H$6:$H$605,$A46,资金流水!$E$6:$E$605,"支付利息",资金流水!$B$6:$B$605,"&gt;="&amp;$A$4,资金流水!$B$6:$B$605,"&lt;="&amp;$B$4)+SUMIFS(生产加工!$J$6:$J$305,生产加工!$C$6:$C$305,参数设置!$A$12,生产加工!$L$6:$L$305,$A46,生产加工!$B$6:$B$305,"&gt;="&amp;$A$4,生产加工!$B$6:$B$305,"&lt;="&amp;$B$4)+SUMIFS(其他分录!$G$6:$G$255,其他分录!$C$6:$C$255,参数设置!$A$12,其他分录!$I$6:$I$255,$A46,其他分录!$B$6:$B$255,"&gt;="&amp;$A$4,其他分录!$B$6:$B$255,"&lt;="&amp;$B$4))</f>
        <v/>
      </c>
      <c r="E46" s="42" t="str">
        <f aca="false">IF($A46="","",SUM(B46:D46))</f>
        <v/>
      </c>
      <c r="F46" s="64" t="str">
        <f aca="false">IF($A46="","",IF(ROUND($E46,2)&lt;&gt;0,"有",""))</f>
        <v/>
      </c>
    </row>
    <row r="47" customFormat="false" ht="15" hidden="false" customHeight="false" outlineLevel="0" collapsed="false">
      <c r="A47" s="10" t="str">
        <f aca="false">IF(参数设置!$A56="","",参数设置!$A56)</f>
        <v/>
      </c>
      <c r="B47" s="40" t="str">
        <f aca="false">IF($A47="","",SUMIFS(资金流水!$P$6:$P$605,资金流水!$C$6:$C$605,参数设置!$A$10,资金流水!$H$6:$H$605,$A47,资金流水!$E$6:$E$605,"费用支出",资金流水!$B$6:$B$605,"&gt;="&amp;$A$4,资金流水!$B$6:$B$605,"&lt;="&amp;$B$4)+SUMIFS(资金流水!$P$6:$P$605,资金流水!$C$6:$C$605,参数设置!$A$10,资金流水!$H$6:$H$605,$A47,资金流水!$E$6:$E$605,"其他支出",资金流水!$B$6:$B$605,"&gt;="&amp;$A$4,资金流水!$B$6:$B$605,"&lt;="&amp;$B$4)+SUMIFS(资金流水!$P$6:$P$605,资金流水!$C$6:$C$605,参数设置!$A$10,资金流水!$H$6:$H$605,$A47,资金流水!$E$6:$E$605,"支付利息",资金流水!$B$6:$B$605,"&gt;="&amp;$A$4,资金流水!$B$6:$B$605,"&lt;="&amp;$B$4)+SUMIFS(生产加工!$J$6:$J$305,生产加工!$C$6:$C$305,参数设置!$A$10,生产加工!$L$6:$L$305,$A47,生产加工!$B$6:$B$305,"&gt;="&amp;$A$4,生产加工!$B$6:$B$305,"&lt;="&amp;$B$4)+SUMIFS(其他分录!$G$6:$G$255,其他分录!$C$6:$C$255,参数设置!$A$10,其他分录!$I$6:$I$255,$A47,其他分录!$B$6:$B$255,"&gt;="&amp;$A$4,其他分录!$B$6:$B$255,"&lt;="&amp;$B$4))</f>
        <v/>
      </c>
      <c r="C47" s="40" t="str">
        <f aca="false">IF($A47="","",SUMIFS(资金流水!$P$6:$P$605,资金流水!$C$6:$C$605,参数设置!$A$11,资金流水!$H$6:$H$605,$A47,资金流水!$E$6:$E$605,"费用支出",资金流水!$B$6:$B$605,"&gt;="&amp;$A$4,资金流水!$B$6:$B$605,"&lt;="&amp;$B$4)+SUMIFS(资金流水!$P$6:$P$605,资金流水!$C$6:$C$605,参数设置!$A$11,资金流水!$H$6:$H$605,$A47,资金流水!$E$6:$E$605,"其他支出",资金流水!$B$6:$B$605,"&gt;="&amp;$A$4,资金流水!$B$6:$B$605,"&lt;="&amp;$B$4)+SUMIFS(资金流水!$P$6:$P$605,资金流水!$C$6:$C$605,参数设置!$A$11,资金流水!$H$6:$H$605,$A47,资金流水!$E$6:$E$605,"支付利息",资金流水!$B$6:$B$605,"&gt;="&amp;$A$4,资金流水!$B$6:$B$605,"&lt;="&amp;$B$4)+SUMIFS(生产加工!$J$6:$J$305,生产加工!$C$6:$C$305,参数设置!$A$11,生产加工!$L$6:$L$305,$A47,生产加工!$B$6:$B$305,"&gt;="&amp;$A$4,生产加工!$B$6:$B$305,"&lt;="&amp;$B$4)+SUMIFS(其他分录!$G$6:$G$255,其他分录!$C$6:$C$255,参数设置!$A$11,其他分录!$I$6:$I$255,$A47,其他分录!$B$6:$B$255,"&gt;="&amp;$A$4,其他分录!$B$6:$B$255,"&lt;="&amp;$B$4))</f>
        <v/>
      </c>
      <c r="D47" s="40" t="str">
        <f aca="false">IF($A47="","",SUMIFS(资金流水!$P$6:$P$605,资金流水!$C$6:$C$605,参数设置!$A$12,资金流水!$H$6:$H$605,$A47,资金流水!$E$6:$E$605,"费用支出",资金流水!$B$6:$B$605,"&gt;="&amp;$A$4,资金流水!$B$6:$B$605,"&lt;="&amp;$B$4)+SUMIFS(资金流水!$P$6:$P$605,资金流水!$C$6:$C$605,参数设置!$A$12,资金流水!$H$6:$H$605,$A47,资金流水!$E$6:$E$605,"其他支出",资金流水!$B$6:$B$605,"&gt;="&amp;$A$4,资金流水!$B$6:$B$605,"&lt;="&amp;$B$4)+SUMIFS(资金流水!$P$6:$P$605,资金流水!$C$6:$C$605,参数设置!$A$12,资金流水!$H$6:$H$605,$A47,资金流水!$E$6:$E$605,"支付利息",资金流水!$B$6:$B$605,"&gt;="&amp;$A$4,资金流水!$B$6:$B$605,"&lt;="&amp;$B$4)+SUMIFS(生产加工!$J$6:$J$305,生产加工!$C$6:$C$305,参数设置!$A$12,生产加工!$L$6:$L$305,$A47,生产加工!$B$6:$B$305,"&gt;="&amp;$A$4,生产加工!$B$6:$B$305,"&lt;="&amp;$B$4)+SUMIFS(其他分录!$G$6:$G$255,其他分录!$C$6:$C$255,参数设置!$A$12,其他分录!$I$6:$I$255,$A47,其他分录!$B$6:$B$255,"&gt;="&amp;$A$4,其他分录!$B$6:$B$255,"&lt;="&amp;$B$4))</f>
        <v/>
      </c>
      <c r="E47" s="42" t="str">
        <f aca="false">IF($A47="","",SUM(B47:D47))</f>
        <v/>
      </c>
      <c r="F47" s="64" t="str">
        <f aca="false">IF($A47="","",IF(ROUND($E47,2)&lt;&gt;0,"有",""))</f>
        <v/>
      </c>
    </row>
    <row r="48" customFormat="false" ht="15" hidden="false" customHeight="false" outlineLevel="0" collapsed="false">
      <c r="A48" s="10" t="str">
        <f aca="false">IF(参数设置!$A57="","",参数设置!$A57)</f>
        <v/>
      </c>
      <c r="B48" s="40" t="str">
        <f aca="false">IF($A48="","",SUMIFS(资金流水!$P$6:$P$605,资金流水!$C$6:$C$605,参数设置!$A$10,资金流水!$H$6:$H$605,$A48,资金流水!$E$6:$E$605,"费用支出",资金流水!$B$6:$B$605,"&gt;="&amp;$A$4,资金流水!$B$6:$B$605,"&lt;="&amp;$B$4)+SUMIFS(资金流水!$P$6:$P$605,资金流水!$C$6:$C$605,参数设置!$A$10,资金流水!$H$6:$H$605,$A48,资金流水!$E$6:$E$605,"其他支出",资金流水!$B$6:$B$605,"&gt;="&amp;$A$4,资金流水!$B$6:$B$605,"&lt;="&amp;$B$4)+SUMIFS(资金流水!$P$6:$P$605,资金流水!$C$6:$C$605,参数设置!$A$10,资金流水!$H$6:$H$605,$A48,资金流水!$E$6:$E$605,"支付利息",资金流水!$B$6:$B$605,"&gt;="&amp;$A$4,资金流水!$B$6:$B$605,"&lt;="&amp;$B$4)+SUMIFS(生产加工!$J$6:$J$305,生产加工!$C$6:$C$305,参数设置!$A$10,生产加工!$L$6:$L$305,$A48,生产加工!$B$6:$B$305,"&gt;="&amp;$A$4,生产加工!$B$6:$B$305,"&lt;="&amp;$B$4)+SUMIFS(其他分录!$G$6:$G$255,其他分录!$C$6:$C$255,参数设置!$A$10,其他分录!$I$6:$I$255,$A48,其他分录!$B$6:$B$255,"&gt;="&amp;$A$4,其他分录!$B$6:$B$255,"&lt;="&amp;$B$4))</f>
        <v/>
      </c>
      <c r="C48" s="40" t="str">
        <f aca="false">IF($A48="","",SUMIFS(资金流水!$P$6:$P$605,资金流水!$C$6:$C$605,参数设置!$A$11,资金流水!$H$6:$H$605,$A48,资金流水!$E$6:$E$605,"费用支出",资金流水!$B$6:$B$605,"&gt;="&amp;$A$4,资金流水!$B$6:$B$605,"&lt;="&amp;$B$4)+SUMIFS(资金流水!$P$6:$P$605,资金流水!$C$6:$C$605,参数设置!$A$11,资金流水!$H$6:$H$605,$A48,资金流水!$E$6:$E$605,"其他支出",资金流水!$B$6:$B$605,"&gt;="&amp;$A$4,资金流水!$B$6:$B$605,"&lt;="&amp;$B$4)+SUMIFS(资金流水!$P$6:$P$605,资金流水!$C$6:$C$605,参数设置!$A$11,资金流水!$H$6:$H$605,$A48,资金流水!$E$6:$E$605,"支付利息",资金流水!$B$6:$B$605,"&gt;="&amp;$A$4,资金流水!$B$6:$B$605,"&lt;="&amp;$B$4)+SUMIFS(生产加工!$J$6:$J$305,生产加工!$C$6:$C$305,参数设置!$A$11,生产加工!$L$6:$L$305,$A48,生产加工!$B$6:$B$305,"&gt;="&amp;$A$4,生产加工!$B$6:$B$305,"&lt;="&amp;$B$4)+SUMIFS(其他分录!$G$6:$G$255,其他分录!$C$6:$C$255,参数设置!$A$11,其他分录!$I$6:$I$255,$A48,其他分录!$B$6:$B$255,"&gt;="&amp;$A$4,其他分录!$B$6:$B$255,"&lt;="&amp;$B$4))</f>
        <v/>
      </c>
      <c r="D48" s="40" t="str">
        <f aca="false">IF($A48="","",SUMIFS(资金流水!$P$6:$P$605,资金流水!$C$6:$C$605,参数设置!$A$12,资金流水!$H$6:$H$605,$A48,资金流水!$E$6:$E$605,"费用支出",资金流水!$B$6:$B$605,"&gt;="&amp;$A$4,资金流水!$B$6:$B$605,"&lt;="&amp;$B$4)+SUMIFS(资金流水!$P$6:$P$605,资金流水!$C$6:$C$605,参数设置!$A$12,资金流水!$H$6:$H$605,$A48,资金流水!$E$6:$E$605,"其他支出",资金流水!$B$6:$B$605,"&gt;="&amp;$A$4,资金流水!$B$6:$B$605,"&lt;="&amp;$B$4)+SUMIFS(资金流水!$P$6:$P$605,资金流水!$C$6:$C$605,参数设置!$A$12,资金流水!$H$6:$H$605,$A48,资金流水!$E$6:$E$605,"支付利息",资金流水!$B$6:$B$605,"&gt;="&amp;$A$4,资金流水!$B$6:$B$605,"&lt;="&amp;$B$4)+SUMIFS(生产加工!$J$6:$J$305,生产加工!$C$6:$C$305,参数设置!$A$12,生产加工!$L$6:$L$305,$A48,生产加工!$B$6:$B$305,"&gt;="&amp;$A$4,生产加工!$B$6:$B$305,"&lt;="&amp;$B$4)+SUMIFS(其他分录!$G$6:$G$255,其他分录!$C$6:$C$255,参数设置!$A$12,其他分录!$I$6:$I$255,$A48,其他分录!$B$6:$B$255,"&gt;="&amp;$A$4,其他分录!$B$6:$B$255,"&lt;="&amp;$B$4))</f>
        <v/>
      </c>
      <c r="E48" s="42" t="str">
        <f aca="false">IF($A48="","",SUM(B48:D48))</f>
        <v/>
      </c>
      <c r="F48" s="64" t="str">
        <f aca="false">IF($A48="","",IF(ROUND($E48,2)&lt;&gt;0,"有",""))</f>
        <v/>
      </c>
    </row>
    <row r="49" customFormat="false" ht="15" hidden="true" customHeight="false" outlineLevel="0" collapsed="false">
      <c r="A49" s="10" t="str">
        <f aca="false">IF(参数设置!$A58="","",参数设置!$A58)</f>
        <v/>
      </c>
      <c r="B49" s="40" t="str">
        <f aca="false">IF($A49="","",SUMIFS(资金流水!$P$6:$P$605,资金流水!$C$6:$C$605,参数设置!$A$10,资金流水!$H$6:$H$605,$A49,资金流水!$E$6:$E$605,"费用支出",资金流水!$B$6:$B$605,"&gt;="&amp;$A$4,资金流水!$B$6:$B$605,"&lt;="&amp;$B$4)+SUMIFS(资金流水!$P$6:$P$605,资金流水!$C$6:$C$605,参数设置!$A$10,资金流水!$H$6:$H$605,$A49,资金流水!$E$6:$E$605,"其他支出",资金流水!$B$6:$B$605,"&gt;="&amp;$A$4,资金流水!$B$6:$B$605,"&lt;="&amp;$B$4)+SUMIFS(资金流水!$P$6:$P$605,资金流水!$C$6:$C$605,参数设置!$A$10,资金流水!$H$6:$H$605,$A49,资金流水!$E$6:$E$605,"支付利息",资金流水!$B$6:$B$605,"&gt;="&amp;$A$4,资金流水!$B$6:$B$605,"&lt;="&amp;$B$4)+SUMIFS(生产加工!$J$6:$J$305,生产加工!$C$6:$C$305,参数设置!$A$10,生产加工!$L$6:$L$305,$A49,生产加工!$B$6:$B$305,"&gt;="&amp;$A$4,生产加工!$B$6:$B$305,"&lt;="&amp;$B$4)+SUMIFS(其他分录!$G$6:$G$255,其他分录!$C$6:$C$255,参数设置!$A$10,其他分录!$I$6:$I$255,$A49,其他分录!$B$6:$B$255,"&gt;="&amp;$A$4,其他分录!$B$6:$B$255,"&lt;="&amp;$B$4))</f>
        <v/>
      </c>
      <c r="C49" s="40" t="str">
        <f aca="false">IF($A49="","",SUMIFS(资金流水!$P$6:$P$605,资金流水!$C$6:$C$605,参数设置!$A$11,资金流水!$H$6:$H$605,$A49,资金流水!$E$6:$E$605,"费用支出",资金流水!$B$6:$B$605,"&gt;="&amp;$A$4,资金流水!$B$6:$B$605,"&lt;="&amp;$B$4)+SUMIFS(资金流水!$P$6:$P$605,资金流水!$C$6:$C$605,参数设置!$A$11,资金流水!$H$6:$H$605,$A49,资金流水!$E$6:$E$605,"其他支出",资金流水!$B$6:$B$605,"&gt;="&amp;$A$4,资金流水!$B$6:$B$605,"&lt;="&amp;$B$4)+SUMIFS(资金流水!$P$6:$P$605,资金流水!$C$6:$C$605,参数设置!$A$11,资金流水!$H$6:$H$605,$A49,资金流水!$E$6:$E$605,"支付利息",资金流水!$B$6:$B$605,"&gt;="&amp;$A$4,资金流水!$B$6:$B$605,"&lt;="&amp;$B$4)+SUMIFS(生产加工!$J$6:$J$305,生产加工!$C$6:$C$305,参数设置!$A$11,生产加工!$L$6:$L$305,$A49,生产加工!$B$6:$B$305,"&gt;="&amp;$A$4,生产加工!$B$6:$B$305,"&lt;="&amp;$B$4)+SUMIFS(其他分录!$G$6:$G$255,其他分录!$C$6:$C$255,参数设置!$A$11,其他分录!$I$6:$I$255,$A49,其他分录!$B$6:$B$255,"&gt;="&amp;$A$4,其他分录!$B$6:$B$255,"&lt;="&amp;$B$4))</f>
        <v/>
      </c>
      <c r="D49" s="40" t="str">
        <f aca="false">IF($A49="","",SUMIFS(资金流水!$P$6:$P$605,资金流水!$C$6:$C$605,参数设置!$A$12,资金流水!$H$6:$H$605,$A49,资金流水!$E$6:$E$605,"费用支出",资金流水!$B$6:$B$605,"&gt;="&amp;$A$4,资金流水!$B$6:$B$605,"&lt;="&amp;$B$4)+SUMIFS(资金流水!$P$6:$P$605,资金流水!$C$6:$C$605,参数设置!$A$12,资金流水!$H$6:$H$605,$A49,资金流水!$E$6:$E$605,"其他支出",资金流水!$B$6:$B$605,"&gt;="&amp;$A$4,资金流水!$B$6:$B$605,"&lt;="&amp;$B$4)+SUMIFS(资金流水!$P$6:$P$605,资金流水!$C$6:$C$605,参数设置!$A$12,资金流水!$H$6:$H$605,$A49,资金流水!$E$6:$E$605,"支付利息",资金流水!$B$6:$B$605,"&gt;="&amp;$A$4,资金流水!$B$6:$B$605,"&lt;="&amp;$B$4)+SUMIFS(生产加工!$J$6:$J$305,生产加工!$C$6:$C$305,参数设置!$A$12,生产加工!$L$6:$L$305,$A49,生产加工!$B$6:$B$305,"&gt;="&amp;$A$4,生产加工!$B$6:$B$305,"&lt;="&amp;$B$4)+SUMIFS(其他分录!$G$6:$G$255,其他分录!$C$6:$C$255,参数设置!$A$12,其他分录!$I$6:$I$255,$A49,其他分录!$B$6:$B$255,"&gt;="&amp;$A$4,其他分录!$B$6:$B$255,"&lt;="&amp;$B$4))</f>
        <v/>
      </c>
      <c r="E49" s="42" t="str">
        <f aca="false">IF($A49="","",SUM(B49:D49))</f>
        <v/>
      </c>
      <c r="F49" s="64" t="str">
        <f aca="false">IF($A49="","",IF(ROUND($E49,2)&lt;&gt;0,"有",""))</f>
        <v/>
      </c>
    </row>
    <row r="50" customFormat="false" ht="15" hidden="true" customHeight="false" outlineLevel="0" collapsed="false">
      <c r="A50" s="10" t="str">
        <f aca="false">IF(参数设置!$A59="","",参数设置!$A59)</f>
        <v/>
      </c>
      <c r="B50" s="40" t="str">
        <f aca="false">IF($A50="","",SUMIFS(资金流水!$P$6:$P$605,资金流水!$C$6:$C$605,参数设置!$A$10,资金流水!$H$6:$H$605,$A50,资金流水!$E$6:$E$605,"费用支出",资金流水!$B$6:$B$605,"&gt;="&amp;$A$4,资金流水!$B$6:$B$605,"&lt;="&amp;$B$4)+SUMIFS(资金流水!$P$6:$P$605,资金流水!$C$6:$C$605,参数设置!$A$10,资金流水!$H$6:$H$605,$A50,资金流水!$E$6:$E$605,"其他支出",资金流水!$B$6:$B$605,"&gt;="&amp;$A$4,资金流水!$B$6:$B$605,"&lt;="&amp;$B$4)+SUMIFS(资金流水!$P$6:$P$605,资金流水!$C$6:$C$605,参数设置!$A$10,资金流水!$H$6:$H$605,$A50,资金流水!$E$6:$E$605,"支付利息",资金流水!$B$6:$B$605,"&gt;="&amp;$A$4,资金流水!$B$6:$B$605,"&lt;="&amp;$B$4)+SUMIFS(生产加工!$J$6:$J$305,生产加工!$C$6:$C$305,参数设置!$A$10,生产加工!$L$6:$L$305,$A50,生产加工!$B$6:$B$305,"&gt;="&amp;$A$4,生产加工!$B$6:$B$305,"&lt;="&amp;$B$4)+SUMIFS(其他分录!$G$6:$G$255,其他分录!$C$6:$C$255,参数设置!$A$10,其他分录!$I$6:$I$255,$A50,其他分录!$B$6:$B$255,"&gt;="&amp;$A$4,其他分录!$B$6:$B$255,"&lt;="&amp;$B$4))</f>
        <v/>
      </c>
      <c r="C50" s="40" t="str">
        <f aca="false">IF($A50="","",SUMIFS(资金流水!$P$6:$P$605,资金流水!$C$6:$C$605,参数设置!$A$11,资金流水!$H$6:$H$605,$A50,资金流水!$E$6:$E$605,"费用支出",资金流水!$B$6:$B$605,"&gt;="&amp;$A$4,资金流水!$B$6:$B$605,"&lt;="&amp;$B$4)+SUMIFS(资金流水!$P$6:$P$605,资金流水!$C$6:$C$605,参数设置!$A$11,资金流水!$H$6:$H$605,$A50,资金流水!$E$6:$E$605,"其他支出",资金流水!$B$6:$B$605,"&gt;="&amp;$A$4,资金流水!$B$6:$B$605,"&lt;="&amp;$B$4)+SUMIFS(资金流水!$P$6:$P$605,资金流水!$C$6:$C$605,参数设置!$A$11,资金流水!$H$6:$H$605,$A50,资金流水!$E$6:$E$605,"支付利息",资金流水!$B$6:$B$605,"&gt;="&amp;$A$4,资金流水!$B$6:$B$605,"&lt;="&amp;$B$4)+SUMIFS(生产加工!$J$6:$J$305,生产加工!$C$6:$C$305,参数设置!$A$11,生产加工!$L$6:$L$305,$A50,生产加工!$B$6:$B$305,"&gt;="&amp;$A$4,生产加工!$B$6:$B$305,"&lt;="&amp;$B$4)+SUMIFS(其他分录!$G$6:$G$255,其他分录!$C$6:$C$255,参数设置!$A$11,其他分录!$I$6:$I$255,$A50,其他分录!$B$6:$B$255,"&gt;="&amp;$A$4,其他分录!$B$6:$B$255,"&lt;="&amp;$B$4))</f>
        <v/>
      </c>
      <c r="D50" s="40" t="str">
        <f aca="false">IF($A50="","",SUMIFS(资金流水!$P$6:$P$605,资金流水!$C$6:$C$605,参数设置!$A$12,资金流水!$H$6:$H$605,$A50,资金流水!$E$6:$E$605,"费用支出",资金流水!$B$6:$B$605,"&gt;="&amp;$A$4,资金流水!$B$6:$B$605,"&lt;="&amp;$B$4)+SUMIFS(资金流水!$P$6:$P$605,资金流水!$C$6:$C$605,参数设置!$A$12,资金流水!$H$6:$H$605,$A50,资金流水!$E$6:$E$605,"其他支出",资金流水!$B$6:$B$605,"&gt;="&amp;$A$4,资金流水!$B$6:$B$605,"&lt;="&amp;$B$4)+SUMIFS(资金流水!$P$6:$P$605,资金流水!$C$6:$C$605,参数设置!$A$12,资金流水!$H$6:$H$605,$A50,资金流水!$E$6:$E$605,"支付利息",资金流水!$B$6:$B$605,"&gt;="&amp;$A$4,资金流水!$B$6:$B$605,"&lt;="&amp;$B$4)+SUMIFS(生产加工!$J$6:$J$305,生产加工!$C$6:$C$305,参数设置!$A$12,生产加工!$L$6:$L$305,$A50,生产加工!$B$6:$B$305,"&gt;="&amp;$A$4,生产加工!$B$6:$B$305,"&lt;="&amp;$B$4)+SUMIFS(其他分录!$G$6:$G$255,其他分录!$C$6:$C$255,参数设置!$A$12,其他分录!$I$6:$I$255,$A50,其他分录!$B$6:$B$255,"&gt;="&amp;$A$4,其他分录!$B$6:$B$255,"&lt;="&amp;$B$4))</f>
        <v/>
      </c>
      <c r="E50" s="42" t="str">
        <f aca="false">IF($A50="","",SUM(B50:D50))</f>
        <v/>
      </c>
      <c r="F50" s="64" t="str">
        <f aca="false">IF($A50="","",IF(ROUND($E50,2)&lt;&gt;0,"有",""))</f>
        <v/>
      </c>
    </row>
    <row r="51" customFormat="false" ht="15" hidden="true" customHeight="false" outlineLevel="0" collapsed="false">
      <c r="A51" s="10" t="str">
        <f aca="false">IF(参数设置!$A60="","",参数设置!$A60)</f>
        <v/>
      </c>
      <c r="B51" s="40" t="str">
        <f aca="false">IF($A51="","",SUMIFS(资金流水!$P$6:$P$605,资金流水!$C$6:$C$605,参数设置!$A$10,资金流水!$H$6:$H$605,$A51,资金流水!$E$6:$E$605,"费用支出",资金流水!$B$6:$B$605,"&gt;="&amp;$A$4,资金流水!$B$6:$B$605,"&lt;="&amp;$B$4)+SUMIFS(资金流水!$P$6:$P$605,资金流水!$C$6:$C$605,参数设置!$A$10,资金流水!$H$6:$H$605,$A51,资金流水!$E$6:$E$605,"其他支出",资金流水!$B$6:$B$605,"&gt;="&amp;$A$4,资金流水!$B$6:$B$605,"&lt;="&amp;$B$4)+SUMIFS(资金流水!$P$6:$P$605,资金流水!$C$6:$C$605,参数设置!$A$10,资金流水!$H$6:$H$605,$A51,资金流水!$E$6:$E$605,"支付利息",资金流水!$B$6:$B$605,"&gt;="&amp;$A$4,资金流水!$B$6:$B$605,"&lt;="&amp;$B$4)+SUMIFS(生产加工!$J$6:$J$305,生产加工!$C$6:$C$305,参数设置!$A$10,生产加工!$L$6:$L$305,$A51,生产加工!$B$6:$B$305,"&gt;="&amp;$A$4,生产加工!$B$6:$B$305,"&lt;="&amp;$B$4)+SUMIFS(其他分录!$G$6:$G$255,其他分录!$C$6:$C$255,参数设置!$A$10,其他分录!$I$6:$I$255,$A51,其他分录!$B$6:$B$255,"&gt;="&amp;$A$4,其他分录!$B$6:$B$255,"&lt;="&amp;$B$4))</f>
        <v/>
      </c>
      <c r="C51" s="40" t="str">
        <f aca="false">IF($A51="","",SUMIFS(资金流水!$P$6:$P$605,资金流水!$C$6:$C$605,参数设置!$A$11,资金流水!$H$6:$H$605,$A51,资金流水!$E$6:$E$605,"费用支出",资金流水!$B$6:$B$605,"&gt;="&amp;$A$4,资金流水!$B$6:$B$605,"&lt;="&amp;$B$4)+SUMIFS(资金流水!$P$6:$P$605,资金流水!$C$6:$C$605,参数设置!$A$11,资金流水!$H$6:$H$605,$A51,资金流水!$E$6:$E$605,"其他支出",资金流水!$B$6:$B$605,"&gt;="&amp;$A$4,资金流水!$B$6:$B$605,"&lt;="&amp;$B$4)+SUMIFS(资金流水!$P$6:$P$605,资金流水!$C$6:$C$605,参数设置!$A$11,资金流水!$H$6:$H$605,$A51,资金流水!$E$6:$E$605,"支付利息",资金流水!$B$6:$B$605,"&gt;="&amp;$A$4,资金流水!$B$6:$B$605,"&lt;="&amp;$B$4)+SUMIFS(生产加工!$J$6:$J$305,生产加工!$C$6:$C$305,参数设置!$A$11,生产加工!$L$6:$L$305,$A51,生产加工!$B$6:$B$305,"&gt;="&amp;$A$4,生产加工!$B$6:$B$305,"&lt;="&amp;$B$4)+SUMIFS(其他分录!$G$6:$G$255,其他分录!$C$6:$C$255,参数设置!$A$11,其他分录!$I$6:$I$255,$A51,其他分录!$B$6:$B$255,"&gt;="&amp;$A$4,其他分录!$B$6:$B$255,"&lt;="&amp;$B$4))</f>
        <v/>
      </c>
      <c r="D51" s="40" t="str">
        <f aca="false">IF($A51="","",SUMIFS(资金流水!$P$6:$P$605,资金流水!$C$6:$C$605,参数设置!$A$12,资金流水!$H$6:$H$605,$A51,资金流水!$E$6:$E$605,"费用支出",资金流水!$B$6:$B$605,"&gt;="&amp;$A$4,资金流水!$B$6:$B$605,"&lt;="&amp;$B$4)+SUMIFS(资金流水!$P$6:$P$605,资金流水!$C$6:$C$605,参数设置!$A$12,资金流水!$H$6:$H$605,$A51,资金流水!$E$6:$E$605,"其他支出",资金流水!$B$6:$B$605,"&gt;="&amp;$A$4,资金流水!$B$6:$B$605,"&lt;="&amp;$B$4)+SUMIFS(资金流水!$P$6:$P$605,资金流水!$C$6:$C$605,参数设置!$A$12,资金流水!$H$6:$H$605,$A51,资金流水!$E$6:$E$605,"支付利息",资金流水!$B$6:$B$605,"&gt;="&amp;$A$4,资金流水!$B$6:$B$605,"&lt;="&amp;$B$4)+SUMIFS(生产加工!$J$6:$J$305,生产加工!$C$6:$C$305,参数设置!$A$12,生产加工!$L$6:$L$305,$A51,生产加工!$B$6:$B$305,"&gt;="&amp;$A$4,生产加工!$B$6:$B$305,"&lt;="&amp;$B$4)+SUMIFS(其他分录!$G$6:$G$255,其他分录!$C$6:$C$255,参数设置!$A$12,其他分录!$I$6:$I$255,$A51,其他分录!$B$6:$B$255,"&gt;="&amp;$A$4,其他分录!$B$6:$B$255,"&lt;="&amp;$B$4))</f>
        <v/>
      </c>
      <c r="E51" s="42" t="str">
        <f aca="false">IF($A51="","",SUM(B51:D51))</f>
        <v/>
      </c>
      <c r="F51" s="64" t="str">
        <f aca="false">IF($A51="","",IF(ROUND($E51,2)&lt;&gt;0,"有",""))</f>
        <v/>
      </c>
    </row>
    <row r="52" customFormat="false" ht="15" hidden="true" customHeight="false" outlineLevel="0" collapsed="false">
      <c r="A52" s="10" t="str">
        <f aca="false">IF(参数设置!$A61="","",参数设置!$A61)</f>
        <v/>
      </c>
      <c r="B52" s="40" t="str">
        <f aca="false">IF($A52="","",SUMIFS(资金流水!$P$6:$P$605,资金流水!$C$6:$C$605,参数设置!$A$10,资金流水!$H$6:$H$605,$A52,资金流水!$E$6:$E$605,"费用支出",资金流水!$B$6:$B$605,"&gt;="&amp;$A$4,资金流水!$B$6:$B$605,"&lt;="&amp;$B$4)+SUMIFS(资金流水!$P$6:$P$605,资金流水!$C$6:$C$605,参数设置!$A$10,资金流水!$H$6:$H$605,$A52,资金流水!$E$6:$E$605,"其他支出",资金流水!$B$6:$B$605,"&gt;="&amp;$A$4,资金流水!$B$6:$B$605,"&lt;="&amp;$B$4)+SUMIFS(资金流水!$P$6:$P$605,资金流水!$C$6:$C$605,参数设置!$A$10,资金流水!$H$6:$H$605,$A52,资金流水!$E$6:$E$605,"支付利息",资金流水!$B$6:$B$605,"&gt;="&amp;$A$4,资金流水!$B$6:$B$605,"&lt;="&amp;$B$4)+SUMIFS(生产加工!$J$6:$J$305,生产加工!$C$6:$C$305,参数设置!$A$10,生产加工!$L$6:$L$305,$A52,生产加工!$B$6:$B$305,"&gt;="&amp;$A$4,生产加工!$B$6:$B$305,"&lt;="&amp;$B$4)+SUMIFS(其他分录!$G$6:$G$255,其他分录!$C$6:$C$255,参数设置!$A$10,其他分录!$I$6:$I$255,$A52,其他分录!$B$6:$B$255,"&gt;="&amp;$A$4,其他分录!$B$6:$B$255,"&lt;="&amp;$B$4))</f>
        <v/>
      </c>
      <c r="C52" s="40" t="str">
        <f aca="false">IF($A52="","",SUMIFS(资金流水!$P$6:$P$605,资金流水!$C$6:$C$605,参数设置!$A$11,资金流水!$H$6:$H$605,$A52,资金流水!$E$6:$E$605,"费用支出",资金流水!$B$6:$B$605,"&gt;="&amp;$A$4,资金流水!$B$6:$B$605,"&lt;="&amp;$B$4)+SUMIFS(资金流水!$P$6:$P$605,资金流水!$C$6:$C$605,参数设置!$A$11,资金流水!$H$6:$H$605,$A52,资金流水!$E$6:$E$605,"其他支出",资金流水!$B$6:$B$605,"&gt;="&amp;$A$4,资金流水!$B$6:$B$605,"&lt;="&amp;$B$4)+SUMIFS(资金流水!$P$6:$P$605,资金流水!$C$6:$C$605,参数设置!$A$11,资金流水!$H$6:$H$605,$A52,资金流水!$E$6:$E$605,"支付利息",资金流水!$B$6:$B$605,"&gt;="&amp;$A$4,资金流水!$B$6:$B$605,"&lt;="&amp;$B$4)+SUMIFS(生产加工!$J$6:$J$305,生产加工!$C$6:$C$305,参数设置!$A$11,生产加工!$L$6:$L$305,$A52,生产加工!$B$6:$B$305,"&gt;="&amp;$A$4,生产加工!$B$6:$B$305,"&lt;="&amp;$B$4)+SUMIFS(其他分录!$G$6:$G$255,其他分录!$C$6:$C$255,参数设置!$A$11,其他分录!$I$6:$I$255,$A52,其他分录!$B$6:$B$255,"&gt;="&amp;$A$4,其他分录!$B$6:$B$255,"&lt;="&amp;$B$4))</f>
        <v/>
      </c>
      <c r="D52" s="40" t="str">
        <f aca="false">IF($A52="","",SUMIFS(资金流水!$P$6:$P$605,资金流水!$C$6:$C$605,参数设置!$A$12,资金流水!$H$6:$H$605,$A52,资金流水!$E$6:$E$605,"费用支出",资金流水!$B$6:$B$605,"&gt;="&amp;$A$4,资金流水!$B$6:$B$605,"&lt;="&amp;$B$4)+SUMIFS(资金流水!$P$6:$P$605,资金流水!$C$6:$C$605,参数设置!$A$12,资金流水!$H$6:$H$605,$A52,资金流水!$E$6:$E$605,"其他支出",资金流水!$B$6:$B$605,"&gt;="&amp;$A$4,资金流水!$B$6:$B$605,"&lt;="&amp;$B$4)+SUMIFS(资金流水!$P$6:$P$605,资金流水!$C$6:$C$605,参数设置!$A$12,资金流水!$H$6:$H$605,$A52,资金流水!$E$6:$E$605,"支付利息",资金流水!$B$6:$B$605,"&gt;="&amp;$A$4,资金流水!$B$6:$B$605,"&lt;="&amp;$B$4)+SUMIFS(生产加工!$J$6:$J$305,生产加工!$C$6:$C$305,参数设置!$A$12,生产加工!$L$6:$L$305,$A52,生产加工!$B$6:$B$305,"&gt;="&amp;$A$4,生产加工!$B$6:$B$305,"&lt;="&amp;$B$4)+SUMIFS(其他分录!$G$6:$G$255,其他分录!$C$6:$C$255,参数设置!$A$12,其他分录!$I$6:$I$255,$A52,其他分录!$B$6:$B$255,"&gt;="&amp;$A$4,其他分录!$B$6:$B$255,"&lt;="&amp;$B$4))</f>
        <v/>
      </c>
      <c r="E52" s="42" t="str">
        <f aca="false">IF($A52="","",SUM(B52:D52))</f>
        <v/>
      </c>
      <c r="F52" s="64" t="str">
        <f aca="false">IF($A52="","",IF(ROUND($E52,2)&lt;&gt;0,"有",""))</f>
        <v/>
      </c>
    </row>
    <row r="53" customFormat="false" ht="15" hidden="true" customHeight="false" outlineLevel="0" collapsed="false">
      <c r="A53" s="10" t="str">
        <f aca="false">IF(参数设置!$A62="","",参数设置!$A62)</f>
        <v/>
      </c>
      <c r="B53" s="40" t="str">
        <f aca="false">IF($A53="","",SUMIFS(资金流水!$P$6:$P$605,资金流水!$C$6:$C$605,参数设置!$A$10,资金流水!$H$6:$H$605,$A53,资金流水!$E$6:$E$605,"费用支出",资金流水!$B$6:$B$605,"&gt;="&amp;$A$4,资金流水!$B$6:$B$605,"&lt;="&amp;$B$4)+SUMIFS(资金流水!$P$6:$P$605,资金流水!$C$6:$C$605,参数设置!$A$10,资金流水!$H$6:$H$605,$A53,资金流水!$E$6:$E$605,"其他支出",资金流水!$B$6:$B$605,"&gt;="&amp;$A$4,资金流水!$B$6:$B$605,"&lt;="&amp;$B$4)+SUMIFS(资金流水!$P$6:$P$605,资金流水!$C$6:$C$605,参数设置!$A$10,资金流水!$H$6:$H$605,$A53,资金流水!$E$6:$E$605,"支付利息",资金流水!$B$6:$B$605,"&gt;="&amp;$A$4,资金流水!$B$6:$B$605,"&lt;="&amp;$B$4)+SUMIFS(生产加工!$J$6:$J$305,生产加工!$C$6:$C$305,参数设置!$A$10,生产加工!$L$6:$L$305,$A53,生产加工!$B$6:$B$305,"&gt;="&amp;$A$4,生产加工!$B$6:$B$305,"&lt;="&amp;$B$4)+SUMIFS(其他分录!$G$6:$G$255,其他分录!$C$6:$C$255,参数设置!$A$10,其他分录!$I$6:$I$255,$A53,其他分录!$B$6:$B$255,"&gt;="&amp;$A$4,其他分录!$B$6:$B$255,"&lt;="&amp;$B$4))</f>
        <v/>
      </c>
      <c r="C53" s="40" t="str">
        <f aca="false">IF($A53="","",SUMIFS(资金流水!$P$6:$P$605,资金流水!$C$6:$C$605,参数设置!$A$11,资金流水!$H$6:$H$605,$A53,资金流水!$E$6:$E$605,"费用支出",资金流水!$B$6:$B$605,"&gt;="&amp;$A$4,资金流水!$B$6:$B$605,"&lt;="&amp;$B$4)+SUMIFS(资金流水!$P$6:$P$605,资金流水!$C$6:$C$605,参数设置!$A$11,资金流水!$H$6:$H$605,$A53,资金流水!$E$6:$E$605,"其他支出",资金流水!$B$6:$B$605,"&gt;="&amp;$A$4,资金流水!$B$6:$B$605,"&lt;="&amp;$B$4)+SUMIFS(资金流水!$P$6:$P$605,资金流水!$C$6:$C$605,参数设置!$A$11,资金流水!$H$6:$H$605,$A53,资金流水!$E$6:$E$605,"支付利息",资金流水!$B$6:$B$605,"&gt;="&amp;$A$4,资金流水!$B$6:$B$605,"&lt;="&amp;$B$4)+SUMIFS(生产加工!$J$6:$J$305,生产加工!$C$6:$C$305,参数设置!$A$11,生产加工!$L$6:$L$305,$A53,生产加工!$B$6:$B$305,"&gt;="&amp;$A$4,生产加工!$B$6:$B$305,"&lt;="&amp;$B$4)+SUMIFS(其他分录!$G$6:$G$255,其他分录!$C$6:$C$255,参数设置!$A$11,其他分录!$I$6:$I$255,$A53,其他分录!$B$6:$B$255,"&gt;="&amp;$A$4,其他分录!$B$6:$B$255,"&lt;="&amp;$B$4))</f>
        <v/>
      </c>
      <c r="D53" s="40" t="str">
        <f aca="false">IF($A53="","",SUMIFS(资金流水!$P$6:$P$605,资金流水!$C$6:$C$605,参数设置!$A$12,资金流水!$H$6:$H$605,$A53,资金流水!$E$6:$E$605,"费用支出",资金流水!$B$6:$B$605,"&gt;="&amp;$A$4,资金流水!$B$6:$B$605,"&lt;="&amp;$B$4)+SUMIFS(资金流水!$P$6:$P$605,资金流水!$C$6:$C$605,参数设置!$A$12,资金流水!$H$6:$H$605,$A53,资金流水!$E$6:$E$605,"其他支出",资金流水!$B$6:$B$605,"&gt;="&amp;$A$4,资金流水!$B$6:$B$605,"&lt;="&amp;$B$4)+SUMIFS(资金流水!$P$6:$P$605,资金流水!$C$6:$C$605,参数设置!$A$12,资金流水!$H$6:$H$605,$A53,资金流水!$E$6:$E$605,"支付利息",资金流水!$B$6:$B$605,"&gt;="&amp;$A$4,资金流水!$B$6:$B$605,"&lt;="&amp;$B$4)+SUMIFS(生产加工!$J$6:$J$305,生产加工!$C$6:$C$305,参数设置!$A$12,生产加工!$L$6:$L$305,$A53,生产加工!$B$6:$B$305,"&gt;="&amp;$A$4,生产加工!$B$6:$B$305,"&lt;="&amp;$B$4)+SUMIFS(其他分录!$G$6:$G$255,其他分录!$C$6:$C$255,参数设置!$A$12,其他分录!$I$6:$I$255,$A53,其他分录!$B$6:$B$255,"&gt;="&amp;$A$4,其他分录!$B$6:$B$255,"&lt;="&amp;$B$4))</f>
        <v/>
      </c>
      <c r="E53" s="42" t="str">
        <f aca="false">IF($A53="","",SUM(B53:D53))</f>
        <v/>
      </c>
      <c r="F53" s="64" t="str">
        <f aca="false">IF($A53="","",IF(ROUND($E53,2)&lt;&gt;0,"有",""))</f>
        <v/>
      </c>
    </row>
    <row r="54" customFormat="false" ht="15" hidden="true" customHeight="false" outlineLevel="0" collapsed="false">
      <c r="A54" s="10" t="str">
        <f aca="false">IF(参数设置!$A63="","",参数设置!$A63)</f>
        <v/>
      </c>
      <c r="B54" s="40" t="str">
        <f aca="false">IF($A54="","",SUMIFS(资金流水!$P$6:$P$605,资金流水!$C$6:$C$605,参数设置!$A$10,资金流水!$H$6:$H$605,$A54,资金流水!$E$6:$E$605,"费用支出",资金流水!$B$6:$B$605,"&gt;="&amp;$A$4,资金流水!$B$6:$B$605,"&lt;="&amp;$B$4)+SUMIFS(资金流水!$P$6:$P$605,资金流水!$C$6:$C$605,参数设置!$A$10,资金流水!$H$6:$H$605,$A54,资金流水!$E$6:$E$605,"其他支出",资金流水!$B$6:$B$605,"&gt;="&amp;$A$4,资金流水!$B$6:$B$605,"&lt;="&amp;$B$4)+SUMIFS(资金流水!$P$6:$P$605,资金流水!$C$6:$C$605,参数设置!$A$10,资金流水!$H$6:$H$605,$A54,资金流水!$E$6:$E$605,"支付利息",资金流水!$B$6:$B$605,"&gt;="&amp;$A$4,资金流水!$B$6:$B$605,"&lt;="&amp;$B$4)+SUMIFS(生产加工!$J$6:$J$305,生产加工!$C$6:$C$305,参数设置!$A$10,生产加工!$L$6:$L$305,$A54,生产加工!$B$6:$B$305,"&gt;="&amp;$A$4,生产加工!$B$6:$B$305,"&lt;="&amp;$B$4)+SUMIFS(其他分录!$G$6:$G$255,其他分录!$C$6:$C$255,参数设置!$A$10,其他分录!$I$6:$I$255,$A54,其他分录!$B$6:$B$255,"&gt;="&amp;$A$4,其他分录!$B$6:$B$255,"&lt;="&amp;$B$4))</f>
        <v/>
      </c>
      <c r="C54" s="40" t="str">
        <f aca="false">IF($A54="","",SUMIFS(资金流水!$P$6:$P$605,资金流水!$C$6:$C$605,参数设置!$A$11,资金流水!$H$6:$H$605,$A54,资金流水!$E$6:$E$605,"费用支出",资金流水!$B$6:$B$605,"&gt;="&amp;$A$4,资金流水!$B$6:$B$605,"&lt;="&amp;$B$4)+SUMIFS(资金流水!$P$6:$P$605,资金流水!$C$6:$C$605,参数设置!$A$11,资金流水!$H$6:$H$605,$A54,资金流水!$E$6:$E$605,"其他支出",资金流水!$B$6:$B$605,"&gt;="&amp;$A$4,资金流水!$B$6:$B$605,"&lt;="&amp;$B$4)+SUMIFS(资金流水!$P$6:$P$605,资金流水!$C$6:$C$605,参数设置!$A$11,资金流水!$H$6:$H$605,$A54,资金流水!$E$6:$E$605,"支付利息",资金流水!$B$6:$B$605,"&gt;="&amp;$A$4,资金流水!$B$6:$B$605,"&lt;="&amp;$B$4)+SUMIFS(生产加工!$J$6:$J$305,生产加工!$C$6:$C$305,参数设置!$A$11,生产加工!$L$6:$L$305,$A54,生产加工!$B$6:$B$305,"&gt;="&amp;$A$4,生产加工!$B$6:$B$305,"&lt;="&amp;$B$4)+SUMIFS(其他分录!$G$6:$G$255,其他分录!$C$6:$C$255,参数设置!$A$11,其他分录!$I$6:$I$255,$A54,其他分录!$B$6:$B$255,"&gt;="&amp;$A$4,其他分录!$B$6:$B$255,"&lt;="&amp;$B$4))</f>
        <v/>
      </c>
      <c r="D54" s="40" t="str">
        <f aca="false">IF($A54="","",SUMIFS(资金流水!$P$6:$P$605,资金流水!$C$6:$C$605,参数设置!$A$12,资金流水!$H$6:$H$605,$A54,资金流水!$E$6:$E$605,"费用支出",资金流水!$B$6:$B$605,"&gt;="&amp;$A$4,资金流水!$B$6:$B$605,"&lt;="&amp;$B$4)+SUMIFS(资金流水!$P$6:$P$605,资金流水!$C$6:$C$605,参数设置!$A$12,资金流水!$H$6:$H$605,$A54,资金流水!$E$6:$E$605,"其他支出",资金流水!$B$6:$B$605,"&gt;="&amp;$A$4,资金流水!$B$6:$B$605,"&lt;="&amp;$B$4)+SUMIFS(资金流水!$P$6:$P$605,资金流水!$C$6:$C$605,参数设置!$A$12,资金流水!$H$6:$H$605,$A54,资金流水!$E$6:$E$605,"支付利息",资金流水!$B$6:$B$605,"&gt;="&amp;$A$4,资金流水!$B$6:$B$605,"&lt;="&amp;$B$4)+SUMIFS(生产加工!$J$6:$J$305,生产加工!$C$6:$C$305,参数设置!$A$12,生产加工!$L$6:$L$305,$A54,生产加工!$B$6:$B$305,"&gt;="&amp;$A$4,生产加工!$B$6:$B$305,"&lt;="&amp;$B$4)+SUMIFS(其他分录!$G$6:$G$255,其他分录!$C$6:$C$255,参数设置!$A$12,其他分录!$I$6:$I$255,$A54,其他分录!$B$6:$B$255,"&gt;="&amp;$A$4,其他分录!$B$6:$B$255,"&lt;="&amp;$B$4))</f>
        <v/>
      </c>
      <c r="E54" s="42" t="str">
        <f aca="false">IF($A54="","",SUM(B54:D54))</f>
        <v/>
      </c>
      <c r="F54" s="64" t="str">
        <f aca="false">IF($A54="","",IF(ROUND($E54,2)&lt;&gt;0,"有",""))</f>
        <v/>
      </c>
    </row>
    <row r="55" customFormat="false" ht="15" hidden="true" customHeight="false" outlineLevel="0" collapsed="false">
      <c r="A55" s="10" t="str">
        <f aca="false">IF(参数设置!$A64="","",参数设置!$A64)</f>
        <v/>
      </c>
      <c r="B55" s="40" t="str">
        <f aca="false">IF($A55="","",SUMIFS(资金流水!$P$6:$P$605,资金流水!$C$6:$C$605,参数设置!$A$10,资金流水!$H$6:$H$605,$A55,资金流水!$E$6:$E$605,"费用支出",资金流水!$B$6:$B$605,"&gt;="&amp;$A$4,资金流水!$B$6:$B$605,"&lt;="&amp;$B$4)+SUMIFS(资金流水!$P$6:$P$605,资金流水!$C$6:$C$605,参数设置!$A$10,资金流水!$H$6:$H$605,$A55,资金流水!$E$6:$E$605,"其他支出",资金流水!$B$6:$B$605,"&gt;="&amp;$A$4,资金流水!$B$6:$B$605,"&lt;="&amp;$B$4)+SUMIFS(资金流水!$P$6:$P$605,资金流水!$C$6:$C$605,参数设置!$A$10,资金流水!$H$6:$H$605,$A55,资金流水!$E$6:$E$605,"支付利息",资金流水!$B$6:$B$605,"&gt;="&amp;$A$4,资金流水!$B$6:$B$605,"&lt;="&amp;$B$4)+SUMIFS(生产加工!$J$6:$J$305,生产加工!$C$6:$C$305,参数设置!$A$10,生产加工!$L$6:$L$305,$A55,生产加工!$B$6:$B$305,"&gt;="&amp;$A$4,生产加工!$B$6:$B$305,"&lt;="&amp;$B$4)+SUMIFS(其他分录!$G$6:$G$255,其他分录!$C$6:$C$255,参数设置!$A$10,其他分录!$I$6:$I$255,$A55,其他分录!$B$6:$B$255,"&gt;="&amp;$A$4,其他分录!$B$6:$B$255,"&lt;="&amp;$B$4))</f>
        <v/>
      </c>
      <c r="C55" s="40" t="str">
        <f aca="false">IF($A55="","",SUMIFS(资金流水!$P$6:$P$605,资金流水!$C$6:$C$605,参数设置!$A$11,资金流水!$H$6:$H$605,$A55,资金流水!$E$6:$E$605,"费用支出",资金流水!$B$6:$B$605,"&gt;="&amp;$A$4,资金流水!$B$6:$B$605,"&lt;="&amp;$B$4)+SUMIFS(资金流水!$P$6:$P$605,资金流水!$C$6:$C$605,参数设置!$A$11,资金流水!$H$6:$H$605,$A55,资金流水!$E$6:$E$605,"其他支出",资金流水!$B$6:$B$605,"&gt;="&amp;$A$4,资金流水!$B$6:$B$605,"&lt;="&amp;$B$4)+SUMIFS(资金流水!$P$6:$P$605,资金流水!$C$6:$C$605,参数设置!$A$11,资金流水!$H$6:$H$605,$A55,资金流水!$E$6:$E$605,"支付利息",资金流水!$B$6:$B$605,"&gt;="&amp;$A$4,资金流水!$B$6:$B$605,"&lt;="&amp;$B$4)+SUMIFS(生产加工!$J$6:$J$305,生产加工!$C$6:$C$305,参数设置!$A$11,生产加工!$L$6:$L$305,$A55,生产加工!$B$6:$B$305,"&gt;="&amp;$A$4,生产加工!$B$6:$B$305,"&lt;="&amp;$B$4)+SUMIFS(其他分录!$G$6:$G$255,其他分录!$C$6:$C$255,参数设置!$A$11,其他分录!$I$6:$I$255,$A55,其他分录!$B$6:$B$255,"&gt;="&amp;$A$4,其他分录!$B$6:$B$255,"&lt;="&amp;$B$4))</f>
        <v/>
      </c>
      <c r="D55" s="40" t="str">
        <f aca="false">IF($A55="","",SUMIFS(资金流水!$P$6:$P$605,资金流水!$C$6:$C$605,参数设置!$A$12,资金流水!$H$6:$H$605,$A55,资金流水!$E$6:$E$605,"费用支出",资金流水!$B$6:$B$605,"&gt;="&amp;$A$4,资金流水!$B$6:$B$605,"&lt;="&amp;$B$4)+SUMIFS(资金流水!$P$6:$P$605,资金流水!$C$6:$C$605,参数设置!$A$12,资金流水!$H$6:$H$605,$A55,资金流水!$E$6:$E$605,"其他支出",资金流水!$B$6:$B$605,"&gt;="&amp;$A$4,资金流水!$B$6:$B$605,"&lt;="&amp;$B$4)+SUMIFS(资金流水!$P$6:$P$605,资金流水!$C$6:$C$605,参数设置!$A$12,资金流水!$H$6:$H$605,$A55,资金流水!$E$6:$E$605,"支付利息",资金流水!$B$6:$B$605,"&gt;="&amp;$A$4,资金流水!$B$6:$B$605,"&lt;="&amp;$B$4)+SUMIFS(生产加工!$J$6:$J$305,生产加工!$C$6:$C$305,参数设置!$A$12,生产加工!$L$6:$L$305,$A55,生产加工!$B$6:$B$305,"&gt;="&amp;$A$4,生产加工!$B$6:$B$305,"&lt;="&amp;$B$4)+SUMIFS(其他分录!$G$6:$G$255,其他分录!$C$6:$C$255,参数设置!$A$12,其他分录!$I$6:$I$255,$A55,其他分录!$B$6:$B$255,"&gt;="&amp;$A$4,其他分录!$B$6:$B$255,"&lt;="&amp;$B$4))</f>
        <v/>
      </c>
      <c r="E55" s="42" t="str">
        <f aca="false">IF($A55="","",SUM(B55:D55))</f>
        <v/>
      </c>
      <c r="F55" s="64" t="str">
        <f aca="false">IF($A55="","",IF(ROUND($E55,2)&lt;&gt;0,"有",""))</f>
        <v/>
      </c>
    </row>
    <row r="56" customFormat="false" ht="15" hidden="true" customHeight="false" outlineLevel="0" collapsed="false">
      <c r="A56" s="10" t="str">
        <f aca="false">IF(参数设置!$A65="","",参数设置!$A65)</f>
        <v/>
      </c>
      <c r="B56" s="40" t="str">
        <f aca="false">IF($A56="","",SUMIFS(资金流水!$P$6:$P$605,资金流水!$C$6:$C$605,参数设置!$A$10,资金流水!$H$6:$H$605,$A56,资金流水!$E$6:$E$605,"费用支出",资金流水!$B$6:$B$605,"&gt;="&amp;$A$4,资金流水!$B$6:$B$605,"&lt;="&amp;$B$4)+SUMIFS(资金流水!$P$6:$P$605,资金流水!$C$6:$C$605,参数设置!$A$10,资金流水!$H$6:$H$605,$A56,资金流水!$E$6:$E$605,"其他支出",资金流水!$B$6:$B$605,"&gt;="&amp;$A$4,资金流水!$B$6:$B$605,"&lt;="&amp;$B$4)+SUMIFS(资金流水!$P$6:$P$605,资金流水!$C$6:$C$605,参数设置!$A$10,资金流水!$H$6:$H$605,$A56,资金流水!$E$6:$E$605,"支付利息",资金流水!$B$6:$B$605,"&gt;="&amp;$A$4,资金流水!$B$6:$B$605,"&lt;="&amp;$B$4)+SUMIFS(生产加工!$J$6:$J$305,生产加工!$C$6:$C$305,参数设置!$A$10,生产加工!$L$6:$L$305,$A56,生产加工!$B$6:$B$305,"&gt;="&amp;$A$4,生产加工!$B$6:$B$305,"&lt;="&amp;$B$4)+SUMIFS(其他分录!$G$6:$G$255,其他分录!$C$6:$C$255,参数设置!$A$10,其他分录!$I$6:$I$255,$A56,其他分录!$B$6:$B$255,"&gt;="&amp;$A$4,其他分录!$B$6:$B$255,"&lt;="&amp;$B$4))</f>
        <v/>
      </c>
      <c r="C56" s="40" t="str">
        <f aca="false">IF($A56="","",SUMIFS(资金流水!$P$6:$P$605,资金流水!$C$6:$C$605,参数设置!$A$11,资金流水!$H$6:$H$605,$A56,资金流水!$E$6:$E$605,"费用支出",资金流水!$B$6:$B$605,"&gt;="&amp;$A$4,资金流水!$B$6:$B$605,"&lt;="&amp;$B$4)+SUMIFS(资金流水!$P$6:$P$605,资金流水!$C$6:$C$605,参数设置!$A$11,资金流水!$H$6:$H$605,$A56,资金流水!$E$6:$E$605,"其他支出",资金流水!$B$6:$B$605,"&gt;="&amp;$A$4,资金流水!$B$6:$B$605,"&lt;="&amp;$B$4)+SUMIFS(资金流水!$P$6:$P$605,资金流水!$C$6:$C$605,参数设置!$A$11,资金流水!$H$6:$H$605,$A56,资金流水!$E$6:$E$605,"支付利息",资金流水!$B$6:$B$605,"&gt;="&amp;$A$4,资金流水!$B$6:$B$605,"&lt;="&amp;$B$4)+SUMIFS(生产加工!$J$6:$J$305,生产加工!$C$6:$C$305,参数设置!$A$11,生产加工!$L$6:$L$305,$A56,生产加工!$B$6:$B$305,"&gt;="&amp;$A$4,生产加工!$B$6:$B$305,"&lt;="&amp;$B$4)+SUMIFS(其他分录!$G$6:$G$255,其他分录!$C$6:$C$255,参数设置!$A$11,其他分录!$I$6:$I$255,$A56,其他分录!$B$6:$B$255,"&gt;="&amp;$A$4,其他分录!$B$6:$B$255,"&lt;="&amp;$B$4))</f>
        <v/>
      </c>
      <c r="D56" s="40" t="str">
        <f aca="false">IF($A56="","",SUMIFS(资金流水!$P$6:$P$605,资金流水!$C$6:$C$605,参数设置!$A$12,资金流水!$H$6:$H$605,$A56,资金流水!$E$6:$E$605,"费用支出",资金流水!$B$6:$B$605,"&gt;="&amp;$A$4,资金流水!$B$6:$B$605,"&lt;="&amp;$B$4)+SUMIFS(资金流水!$P$6:$P$605,资金流水!$C$6:$C$605,参数设置!$A$12,资金流水!$H$6:$H$605,$A56,资金流水!$E$6:$E$605,"其他支出",资金流水!$B$6:$B$605,"&gt;="&amp;$A$4,资金流水!$B$6:$B$605,"&lt;="&amp;$B$4)+SUMIFS(资金流水!$P$6:$P$605,资金流水!$C$6:$C$605,参数设置!$A$12,资金流水!$H$6:$H$605,$A56,资金流水!$E$6:$E$605,"支付利息",资金流水!$B$6:$B$605,"&gt;="&amp;$A$4,资金流水!$B$6:$B$605,"&lt;="&amp;$B$4)+SUMIFS(生产加工!$J$6:$J$305,生产加工!$C$6:$C$305,参数设置!$A$12,生产加工!$L$6:$L$305,$A56,生产加工!$B$6:$B$305,"&gt;="&amp;$A$4,生产加工!$B$6:$B$305,"&lt;="&amp;$B$4)+SUMIFS(其他分录!$G$6:$G$255,其他分录!$C$6:$C$255,参数设置!$A$12,其他分录!$I$6:$I$255,$A56,其他分录!$B$6:$B$255,"&gt;="&amp;$A$4,其他分录!$B$6:$B$255,"&lt;="&amp;$B$4))</f>
        <v/>
      </c>
      <c r="E56" s="42" t="str">
        <f aca="false">IF($A56="","",SUM(B56:D56))</f>
        <v/>
      </c>
      <c r="F56" s="64" t="str">
        <f aca="false">IF($A56="","",IF(ROUND($E56,2)&lt;&gt;0,"有",""))</f>
        <v/>
      </c>
    </row>
    <row r="57" customFormat="false" ht="15" hidden="true" customHeight="false" outlineLevel="0" collapsed="false">
      <c r="A57" s="10" t="str">
        <f aca="false">IF(参数设置!$A66="","",参数设置!$A66)</f>
        <v/>
      </c>
      <c r="B57" s="40" t="str">
        <f aca="false">IF($A57="","",SUMIFS(资金流水!$P$6:$P$605,资金流水!$C$6:$C$605,参数设置!$A$10,资金流水!$H$6:$H$605,$A57,资金流水!$E$6:$E$605,"费用支出",资金流水!$B$6:$B$605,"&gt;="&amp;$A$4,资金流水!$B$6:$B$605,"&lt;="&amp;$B$4)+SUMIFS(资金流水!$P$6:$P$605,资金流水!$C$6:$C$605,参数设置!$A$10,资金流水!$H$6:$H$605,$A57,资金流水!$E$6:$E$605,"其他支出",资金流水!$B$6:$B$605,"&gt;="&amp;$A$4,资金流水!$B$6:$B$605,"&lt;="&amp;$B$4)+SUMIFS(资金流水!$P$6:$P$605,资金流水!$C$6:$C$605,参数设置!$A$10,资金流水!$H$6:$H$605,$A57,资金流水!$E$6:$E$605,"支付利息",资金流水!$B$6:$B$605,"&gt;="&amp;$A$4,资金流水!$B$6:$B$605,"&lt;="&amp;$B$4)+SUMIFS(生产加工!$J$6:$J$305,生产加工!$C$6:$C$305,参数设置!$A$10,生产加工!$L$6:$L$305,$A57,生产加工!$B$6:$B$305,"&gt;="&amp;$A$4,生产加工!$B$6:$B$305,"&lt;="&amp;$B$4)+SUMIFS(其他分录!$G$6:$G$255,其他分录!$C$6:$C$255,参数设置!$A$10,其他分录!$I$6:$I$255,$A57,其他分录!$B$6:$B$255,"&gt;="&amp;$A$4,其他分录!$B$6:$B$255,"&lt;="&amp;$B$4))</f>
        <v/>
      </c>
      <c r="C57" s="40" t="str">
        <f aca="false">IF($A57="","",SUMIFS(资金流水!$P$6:$P$605,资金流水!$C$6:$C$605,参数设置!$A$11,资金流水!$H$6:$H$605,$A57,资金流水!$E$6:$E$605,"费用支出",资金流水!$B$6:$B$605,"&gt;="&amp;$A$4,资金流水!$B$6:$B$605,"&lt;="&amp;$B$4)+SUMIFS(资金流水!$P$6:$P$605,资金流水!$C$6:$C$605,参数设置!$A$11,资金流水!$H$6:$H$605,$A57,资金流水!$E$6:$E$605,"其他支出",资金流水!$B$6:$B$605,"&gt;="&amp;$A$4,资金流水!$B$6:$B$605,"&lt;="&amp;$B$4)+SUMIFS(资金流水!$P$6:$P$605,资金流水!$C$6:$C$605,参数设置!$A$11,资金流水!$H$6:$H$605,$A57,资金流水!$E$6:$E$605,"支付利息",资金流水!$B$6:$B$605,"&gt;="&amp;$A$4,资金流水!$B$6:$B$605,"&lt;="&amp;$B$4)+SUMIFS(生产加工!$J$6:$J$305,生产加工!$C$6:$C$305,参数设置!$A$11,生产加工!$L$6:$L$305,$A57,生产加工!$B$6:$B$305,"&gt;="&amp;$A$4,生产加工!$B$6:$B$305,"&lt;="&amp;$B$4)+SUMIFS(其他分录!$G$6:$G$255,其他分录!$C$6:$C$255,参数设置!$A$11,其他分录!$I$6:$I$255,$A57,其他分录!$B$6:$B$255,"&gt;="&amp;$A$4,其他分录!$B$6:$B$255,"&lt;="&amp;$B$4))</f>
        <v/>
      </c>
      <c r="D57" s="40" t="str">
        <f aca="false">IF($A57="","",SUMIFS(资金流水!$P$6:$P$605,资金流水!$C$6:$C$605,参数设置!$A$12,资金流水!$H$6:$H$605,$A57,资金流水!$E$6:$E$605,"费用支出",资金流水!$B$6:$B$605,"&gt;="&amp;$A$4,资金流水!$B$6:$B$605,"&lt;="&amp;$B$4)+SUMIFS(资金流水!$P$6:$P$605,资金流水!$C$6:$C$605,参数设置!$A$12,资金流水!$H$6:$H$605,$A57,资金流水!$E$6:$E$605,"其他支出",资金流水!$B$6:$B$605,"&gt;="&amp;$A$4,资金流水!$B$6:$B$605,"&lt;="&amp;$B$4)+SUMIFS(资金流水!$P$6:$P$605,资金流水!$C$6:$C$605,参数设置!$A$12,资金流水!$H$6:$H$605,$A57,资金流水!$E$6:$E$605,"支付利息",资金流水!$B$6:$B$605,"&gt;="&amp;$A$4,资金流水!$B$6:$B$605,"&lt;="&amp;$B$4)+SUMIFS(生产加工!$J$6:$J$305,生产加工!$C$6:$C$305,参数设置!$A$12,生产加工!$L$6:$L$305,$A57,生产加工!$B$6:$B$305,"&gt;="&amp;$A$4,生产加工!$B$6:$B$305,"&lt;="&amp;$B$4)+SUMIFS(其他分录!$G$6:$G$255,其他分录!$C$6:$C$255,参数设置!$A$12,其他分录!$I$6:$I$255,$A57,其他分录!$B$6:$B$255,"&gt;="&amp;$A$4,其他分录!$B$6:$B$255,"&lt;="&amp;$B$4))</f>
        <v/>
      </c>
      <c r="E57" s="42" t="str">
        <f aca="false">IF($A57="","",SUM(B57:D57))</f>
        <v/>
      </c>
      <c r="F57" s="64" t="str">
        <f aca="false">IF($A57="","",IF(ROUND($E57,2)&lt;&gt;0,"有",""))</f>
        <v/>
      </c>
    </row>
    <row r="58" customFormat="false" ht="15" hidden="true" customHeight="false" outlineLevel="0" collapsed="false">
      <c r="A58" s="10" t="str">
        <f aca="false">IF(参数设置!$A67="","",参数设置!$A67)</f>
        <v/>
      </c>
      <c r="B58" s="40" t="str">
        <f aca="false">IF($A58="","",SUMIFS(资金流水!$P$6:$P$605,资金流水!$C$6:$C$605,参数设置!$A$10,资金流水!$H$6:$H$605,$A58,资金流水!$E$6:$E$605,"费用支出",资金流水!$B$6:$B$605,"&gt;="&amp;$A$4,资金流水!$B$6:$B$605,"&lt;="&amp;$B$4)+SUMIFS(资金流水!$P$6:$P$605,资金流水!$C$6:$C$605,参数设置!$A$10,资金流水!$H$6:$H$605,$A58,资金流水!$E$6:$E$605,"其他支出",资金流水!$B$6:$B$605,"&gt;="&amp;$A$4,资金流水!$B$6:$B$605,"&lt;="&amp;$B$4)+SUMIFS(资金流水!$P$6:$P$605,资金流水!$C$6:$C$605,参数设置!$A$10,资金流水!$H$6:$H$605,$A58,资金流水!$E$6:$E$605,"支付利息",资金流水!$B$6:$B$605,"&gt;="&amp;$A$4,资金流水!$B$6:$B$605,"&lt;="&amp;$B$4)+SUMIFS(生产加工!$J$6:$J$305,生产加工!$C$6:$C$305,参数设置!$A$10,生产加工!$L$6:$L$305,$A58,生产加工!$B$6:$B$305,"&gt;="&amp;$A$4,生产加工!$B$6:$B$305,"&lt;="&amp;$B$4)+SUMIFS(其他分录!$G$6:$G$255,其他分录!$C$6:$C$255,参数设置!$A$10,其他分录!$I$6:$I$255,$A58,其他分录!$B$6:$B$255,"&gt;="&amp;$A$4,其他分录!$B$6:$B$255,"&lt;="&amp;$B$4))</f>
        <v/>
      </c>
      <c r="C58" s="40" t="str">
        <f aca="false">IF($A58="","",SUMIFS(资金流水!$P$6:$P$605,资金流水!$C$6:$C$605,参数设置!$A$11,资金流水!$H$6:$H$605,$A58,资金流水!$E$6:$E$605,"费用支出",资金流水!$B$6:$B$605,"&gt;="&amp;$A$4,资金流水!$B$6:$B$605,"&lt;="&amp;$B$4)+SUMIFS(资金流水!$P$6:$P$605,资金流水!$C$6:$C$605,参数设置!$A$11,资金流水!$H$6:$H$605,$A58,资金流水!$E$6:$E$605,"其他支出",资金流水!$B$6:$B$605,"&gt;="&amp;$A$4,资金流水!$B$6:$B$605,"&lt;="&amp;$B$4)+SUMIFS(资金流水!$P$6:$P$605,资金流水!$C$6:$C$605,参数设置!$A$11,资金流水!$H$6:$H$605,$A58,资金流水!$E$6:$E$605,"支付利息",资金流水!$B$6:$B$605,"&gt;="&amp;$A$4,资金流水!$B$6:$B$605,"&lt;="&amp;$B$4)+SUMIFS(生产加工!$J$6:$J$305,生产加工!$C$6:$C$305,参数设置!$A$11,生产加工!$L$6:$L$305,$A58,生产加工!$B$6:$B$305,"&gt;="&amp;$A$4,生产加工!$B$6:$B$305,"&lt;="&amp;$B$4)+SUMIFS(其他分录!$G$6:$G$255,其他分录!$C$6:$C$255,参数设置!$A$11,其他分录!$I$6:$I$255,$A58,其他分录!$B$6:$B$255,"&gt;="&amp;$A$4,其他分录!$B$6:$B$255,"&lt;="&amp;$B$4))</f>
        <v/>
      </c>
      <c r="D58" s="40" t="str">
        <f aca="false">IF($A58="","",SUMIFS(资金流水!$P$6:$P$605,资金流水!$C$6:$C$605,参数设置!$A$12,资金流水!$H$6:$H$605,$A58,资金流水!$E$6:$E$605,"费用支出",资金流水!$B$6:$B$605,"&gt;="&amp;$A$4,资金流水!$B$6:$B$605,"&lt;="&amp;$B$4)+SUMIFS(资金流水!$P$6:$P$605,资金流水!$C$6:$C$605,参数设置!$A$12,资金流水!$H$6:$H$605,$A58,资金流水!$E$6:$E$605,"其他支出",资金流水!$B$6:$B$605,"&gt;="&amp;$A$4,资金流水!$B$6:$B$605,"&lt;="&amp;$B$4)+SUMIFS(资金流水!$P$6:$P$605,资金流水!$C$6:$C$605,参数设置!$A$12,资金流水!$H$6:$H$605,$A58,资金流水!$E$6:$E$605,"支付利息",资金流水!$B$6:$B$605,"&gt;="&amp;$A$4,资金流水!$B$6:$B$605,"&lt;="&amp;$B$4)+SUMIFS(生产加工!$J$6:$J$305,生产加工!$C$6:$C$305,参数设置!$A$12,生产加工!$L$6:$L$305,$A58,生产加工!$B$6:$B$305,"&gt;="&amp;$A$4,生产加工!$B$6:$B$305,"&lt;="&amp;$B$4)+SUMIFS(其他分录!$G$6:$G$255,其他分录!$C$6:$C$255,参数设置!$A$12,其他分录!$I$6:$I$255,$A58,其他分录!$B$6:$B$255,"&gt;="&amp;$A$4,其他分录!$B$6:$B$255,"&lt;="&amp;$B$4))</f>
        <v/>
      </c>
      <c r="E58" s="42" t="str">
        <f aca="false">IF($A58="","",SUM(B58:D58))</f>
        <v/>
      </c>
      <c r="F58" s="64" t="str">
        <f aca="false">IF($A58="","",IF(ROUND($E58,2)&lt;&gt;0,"有",""))</f>
        <v/>
      </c>
    </row>
    <row r="59" customFormat="false" ht="15" hidden="true" customHeight="false" outlineLevel="0" collapsed="false">
      <c r="A59" s="10" t="str">
        <f aca="false">IF(参数设置!$A68="","",参数设置!$A68)</f>
        <v/>
      </c>
      <c r="B59" s="40" t="str">
        <f aca="false">IF($A59="","",SUMIFS(资金流水!$P$6:$P$605,资金流水!$C$6:$C$605,参数设置!$A$10,资金流水!$H$6:$H$605,$A59,资金流水!$E$6:$E$605,"费用支出",资金流水!$B$6:$B$605,"&gt;="&amp;$A$4,资金流水!$B$6:$B$605,"&lt;="&amp;$B$4)+SUMIFS(资金流水!$P$6:$P$605,资金流水!$C$6:$C$605,参数设置!$A$10,资金流水!$H$6:$H$605,$A59,资金流水!$E$6:$E$605,"其他支出",资金流水!$B$6:$B$605,"&gt;="&amp;$A$4,资金流水!$B$6:$B$605,"&lt;="&amp;$B$4)+SUMIFS(资金流水!$P$6:$P$605,资金流水!$C$6:$C$605,参数设置!$A$10,资金流水!$H$6:$H$605,$A59,资金流水!$E$6:$E$605,"支付利息",资金流水!$B$6:$B$605,"&gt;="&amp;$A$4,资金流水!$B$6:$B$605,"&lt;="&amp;$B$4)+SUMIFS(生产加工!$J$6:$J$305,生产加工!$C$6:$C$305,参数设置!$A$10,生产加工!$L$6:$L$305,$A59,生产加工!$B$6:$B$305,"&gt;="&amp;$A$4,生产加工!$B$6:$B$305,"&lt;="&amp;$B$4)+SUMIFS(其他分录!$G$6:$G$255,其他分录!$C$6:$C$255,参数设置!$A$10,其他分录!$I$6:$I$255,$A59,其他分录!$B$6:$B$255,"&gt;="&amp;$A$4,其他分录!$B$6:$B$255,"&lt;="&amp;$B$4))</f>
        <v/>
      </c>
      <c r="C59" s="40" t="str">
        <f aca="false">IF($A59="","",SUMIFS(资金流水!$P$6:$P$605,资金流水!$C$6:$C$605,参数设置!$A$11,资金流水!$H$6:$H$605,$A59,资金流水!$E$6:$E$605,"费用支出",资金流水!$B$6:$B$605,"&gt;="&amp;$A$4,资金流水!$B$6:$B$605,"&lt;="&amp;$B$4)+SUMIFS(资金流水!$P$6:$P$605,资金流水!$C$6:$C$605,参数设置!$A$11,资金流水!$H$6:$H$605,$A59,资金流水!$E$6:$E$605,"其他支出",资金流水!$B$6:$B$605,"&gt;="&amp;$A$4,资金流水!$B$6:$B$605,"&lt;="&amp;$B$4)+SUMIFS(资金流水!$P$6:$P$605,资金流水!$C$6:$C$605,参数设置!$A$11,资金流水!$H$6:$H$605,$A59,资金流水!$E$6:$E$605,"支付利息",资金流水!$B$6:$B$605,"&gt;="&amp;$A$4,资金流水!$B$6:$B$605,"&lt;="&amp;$B$4)+SUMIFS(生产加工!$J$6:$J$305,生产加工!$C$6:$C$305,参数设置!$A$11,生产加工!$L$6:$L$305,$A59,生产加工!$B$6:$B$305,"&gt;="&amp;$A$4,生产加工!$B$6:$B$305,"&lt;="&amp;$B$4)+SUMIFS(其他分录!$G$6:$G$255,其他分录!$C$6:$C$255,参数设置!$A$11,其他分录!$I$6:$I$255,$A59,其他分录!$B$6:$B$255,"&gt;="&amp;$A$4,其他分录!$B$6:$B$255,"&lt;="&amp;$B$4))</f>
        <v/>
      </c>
      <c r="D59" s="40" t="str">
        <f aca="false">IF($A59="","",SUMIFS(资金流水!$P$6:$P$605,资金流水!$C$6:$C$605,参数设置!$A$12,资金流水!$H$6:$H$605,$A59,资金流水!$E$6:$E$605,"费用支出",资金流水!$B$6:$B$605,"&gt;="&amp;$A$4,资金流水!$B$6:$B$605,"&lt;="&amp;$B$4)+SUMIFS(资金流水!$P$6:$P$605,资金流水!$C$6:$C$605,参数设置!$A$12,资金流水!$H$6:$H$605,$A59,资金流水!$E$6:$E$605,"其他支出",资金流水!$B$6:$B$605,"&gt;="&amp;$A$4,资金流水!$B$6:$B$605,"&lt;="&amp;$B$4)+SUMIFS(资金流水!$P$6:$P$605,资金流水!$C$6:$C$605,参数设置!$A$12,资金流水!$H$6:$H$605,$A59,资金流水!$E$6:$E$605,"支付利息",资金流水!$B$6:$B$605,"&gt;="&amp;$A$4,资金流水!$B$6:$B$605,"&lt;="&amp;$B$4)+SUMIFS(生产加工!$J$6:$J$305,生产加工!$C$6:$C$305,参数设置!$A$12,生产加工!$L$6:$L$305,$A59,生产加工!$B$6:$B$305,"&gt;="&amp;$A$4,生产加工!$B$6:$B$305,"&lt;="&amp;$B$4)+SUMIFS(其他分录!$G$6:$G$255,其他分录!$C$6:$C$255,参数设置!$A$12,其他分录!$I$6:$I$255,$A59,其他分录!$B$6:$B$255,"&gt;="&amp;$A$4,其他分录!$B$6:$B$255,"&lt;="&amp;$B$4))</f>
        <v/>
      </c>
      <c r="E59" s="42" t="str">
        <f aca="false">IF($A59="","",SUM(B59:D59))</f>
        <v/>
      </c>
      <c r="F59" s="64" t="str">
        <f aca="false">IF($A59="","",IF(ROUND($E59,2)&lt;&gt;0,"有",""))</f>
        <v/>
      </c>
    </row>
    <row r="60" customFormat="false" ht="15" hidden="true" customHeight="false" outlineLevel="0" collapsed="false">
      <c r="A60" s="10" t="str">
        <f aca="false">IF(参数设置!$A69="","",参数设置!$A69)</f>
        <v/>
      </c>
      <c r="B60" s="40" t="str">
        <f aca="false">IF($A60="","",SUMIFS(资金流水!$P$6:$P$605,资金流水!$C$6:$C$605,参数设置!$A$10,资金流水!$H$6:$H$605,$A60,资金流水!$E$6:$E$605,"费用支出",资金流水!$B$6:$B$605,"&gt;="&amp;$A$4,资金流水!$B$6:$B$605,"&lt;="&amp;$B$4)+SUMIFS(资金流水!$P$6:$P$605,资金流水!$C$6:$C$605,参数设置!$A$10,资金流水!$H$6:$H$605,$A60,资金流水!$E$6:$E$605,"其他支出",资金流水!$B$6:$B$605,"&gt;="&amp;$A$4,资金流水!$B$6:$B$605,"&lt;="&amp;$B$4)+SUMIFS(资金流水!$P$6:$P$605,资金流水!$C$6:$C$605,参数设置!$A$10,资金流水!$H$6:$H$605,$A60,资金流水!$E$6:$E$605,"支付利息",资金流水!$B$6:$B$605,"&gt;="&amp;$A$4,资金流水!$B$6:$B$605,"&lt;="&amp;$B$4)+SUMIFS(生产加工!$J$6:$J$305,生产加工!$C$6:$C$305,参数设置!$A$10,生产加工!$L$6:$L$305,$A60,生产加工!$B$6:$B$305,"&gt;="&amp;$A$4,生产加工!$B$6:$B$305,"&lt;="&amp;$B$4)+SUMIFS(其他分录!$G$6:$G$255,其他分录!$C$6:$C$255,参数设置!$A$10,其他分录!$I$6:$I$255,$A60,其他分录!$B$6:$B$255,"&gt;="&amp;$A$4,其他分录!$B$6:$B$255,"&lt;="&amp;$B$4))</f>
        <v/>
      </c>
      <c r="C60" s="40" t="str">
        <f aca="false">IF($A60="","",SUMIFS(资金流水!$P$6:$P$605,资金流水!$C$6:$C$605,参数设置!$A$11,资金流水!$H$6:$H$605,$A60,资金流水!$E$6:$E$605,"费用支出",资金流水!$B$6:$B$605,"&gt;="&amp;$A$4,资金流水!$B$6:$B$605,"&lt;="&amp;$B$4)+SUMIFS(资金流水!$P$6:$P$605,资金流水!$C$6:$C$605,参数设置!$A$11,资金流水!$H$6:$H$605,$A60,资金流水!$E$6:$E$605,"其他支出",资金流水!$B$6:$B$605,"&gt;="&amp;$A$4,资金流水!$B$6:$B$605,"&lt;="&amp;$B$4)+SUMIFS(资金流水!$P$6:$P$605,资金流水!$C$6:$C$605,参数设置!$A$11,资金流水!$H$6:$H$605,$A60,资金流水!$E$6:$E$605,"支付利息",资金流水!$B$6:$B$605,"&gt;="&amp;$A$4,资金流水!$B$6:$B$605,"&lt;="&amp;$B$4)+SUMIFS(生产加工!$J$6:$J$305,生产加工!$C$6:$C$305,参数设置!$A$11,生产加工!$L$6:$L$305,$A60,生产加工!$B$6:$B$305,"&gt;="&amp;$A$4,生产加工!$B$6:$B$305,"&lt;="&amp;$B$4)+SUMIFS(其他分录!$G$6:$G$255,其他分录!$C$6:$C$255,参数设置!$A$11,其他分录!$I$6:$I$255,$A60,其他分录!$B$6:$B$255,"&gt;="&amp;$A$4,其他分录!$B$6:$B$255,"&lt;="&amp;$B$4))</f>
        <v/>
      </c>
      <c r="D60" s="40" t="str">
        <f aca="false">IF($A60="","",SUMIFS(资金流水!$P$6:$P$605,资金流水!$C$6:$C$605,参数设置!$A$12,资金流水!$H$6:$H$605,$A60,资金流水!$E$6:$E$605,"费用支出",资金流水!$B$6:$B$605,"&gt;="&amp;$A$4,资金流水!$B$6:$B$605,"&lt;="&amp;$B$4)+SUMIFS(资金流水!$P$6:$P$605,资金流水!$C$6:$C$605,参数设置!$A$12,资金流水!$H$6:$H$605,$A60,资金流水!$E$6:$E$605,"其他支出",资金流水!$B$6:$B$605,"&gt;="&amp;$A$4,资金流水!$B$6:$B$605,"&lt;="&amp;$B$4)+SUMIFS(资金流水!$P$6:$P$605,资金流水!$C$6:$C$605,参数设置!$A$12,资金流水!$H$6:$H$605,$A60,资金流水!$E$6:$E$605,"支付利息",资金流水!$B$6:$B$605,"&gt;="&amp;$A$4,资金流水!$B$6:$B$605,"&lt;="&amp;$B$4)+SUMIFS(生产加工!$J$6:$J$305,生产加工!$C$6:$C$305,参数设置!$A$12,生产加工!$L$6:$L$305,$A60,生产加工!$B$6:$B$305,"&gt;="&amp;$A$4,生产加工!$B$6:$B$305,"&lt;="&amp;$B$4)+SUMIFS(其他分录!$G$6:$G$255,其他分录!$C$6:$C$255,参数设置!$A$12,其他分录!$I$6:$I$255,$A60,其他分录!$B$6:$B$255,"&gt;="&amp;$A$4,其他分录!$B$6:$B$255,"&lt;="&amp;$B$4))</f>
        <v/>
      </c>
      <c r="E60" s="42" t="str">
        <f aca="false">IF($A60="","",SUM(B60:D60))</f>
        <v/>
      </c>
      <c r="F60" s="64" t="str">
        <f aca="false">IF($A60="","",IF(ROUND($E60,2)&lt;&gt;0,"有",""))</f>
        <v/>
      </c>
    </row>
    <row r="61" customFormat="false" ht="15" hidden="true" customHeight="false" outlineLevel="0" collapsed="false">
      <c r="A61" s="10" t="str">
        <f aca="false">IF(参数设置!$A70="","",参数设置!$A70)</f>
        <v/>
      </c>
      <c r="B61" s="40" t="str">
        <f aca="false">IF($A61="","",SUMIFS(资金流水!$P$6:$P$605,资金流水!$C$6:$C$605,参数设置!$A$10,资金流水!$H$6:$H$605,$A61,资金流水!$E$6:$E$605,"费用支出",资金流水!$B$6:$B$605,"&gt;="&amp;$A$4,资金流水!$B$6:$B$605,"&lt;="&amp;$B$4)+SUMIFS(资金流水!$P$6:$P$605,资金流水!$C$6:$C$605,参数设置!$A$10,资金流水!$H$6:$H$605,$A61,资金流水!$E$6:$E$605,"其他支出",资金流水!$B$6:$B$605,"&gt;="&amp;$A$4,资金流水!$B$6:$B$605,"&lt;="&amp;$B$4)+SUMIFS(资金流水!$P$6:$P$605,资金流水!$C$6:$C$605,参数设置!$A$10,资金流水!$H$6:$H$605,$A61,资金流水!$E$6:$E$605,"支付利息",资金流水!$B$6:$B$605,"&gt;="&amp;$A$4,资金流水!$B$6:$B$605,"&lt;="&amp;$B$4)+SUMIFS(生产加工!$J$6:$J$305,生产加工!$C$6:$C$305,参数设置!$A$10,生产加工!$L$6:$L$305,$A61,生产加工!$B$6:$B$305,"&gt;="&amp;$A$4,生产加工!$B$6:$B$305,"&lt;="&amp;$B$4)+SUMIFS(其他分录!$G$6:$G$255,其他分录!$C$6:$C$255,参数设置!$A$10,其他分录!$I$6:$I$255,$A61,其他分录!$B$6:$B$255,"&gt;="&amp;$A$4,其他分录!$B$6:$B$255,"&lt;="&amp;$B$4))</f>
        <v/>
      </c>
      <c r="C61" s="40" t="str">
        <f aca="false">IF($A61="","",SUMIFS(资金流水!$P$6:$P$605,资金流水!$C$6:$C$605,参数设置!$A$11,资金流水!$H$6:$H$605,$A61,资金流水!$E$6:$E$605,"费用支出",资金流水!$B$6:$B$605,"&gt;="&amp;$A$4,资金流水!$B$6:$B$605,"&lt;="&amp;$B$4)+SUMIFS(资金流水!$P$6:$P$605,资金流水!$C$6:$C$605,参数设置!$A$11,资金流水!$H$6:$H$605,$A61,资金流水!$E$6:$E$605,"其他支出",资金流水!$B$6:$B$605,"&gt;="&amp;$A$4,资金流水!$B$6:$B$605,"&lt;="&amp;$B$4)+SUMIFS(资金流水!$P$6:$P$605,资金流水!$C$6:$C$605,参数设置!$A$11,资金流水!$H$6:$H$605,$A61,资金流水!$E$6:$E$605,"支付利息",资金流水!$B$6:$B$605,"&gt;="&amp;$A$4,资金流水!$B$6:$B$605,"&lt;="&amp;$B$4)+SUMIFS(生产加工!$J$6:$J$305,生产加工!$C$6:$C$305,参数设置!$A$11,生产加工!$L$6:$L$305,$A61,生产加工!$B$6:$B$305,"&gt;="&amp;$A$4,生产加工!$B$6:$B$305,"&lt;="&amp;$B$4)+SUMIFS(其他分录!$G$6:$G$255,其他分录!$C$6:$C$255,参数设置!$A$11,其他分录!$I$6:$I$255,$A61,其他分录!$B$6:$B$255,"&gt;="&amp;$A$4,其他分录!$B$6:$B$255,"&lt;="&amp;$B$4))</f>
        <v/>
      </c>
      <c r="D61" s="40" t="str">
        <f aca="false">IF($A61="","",SUMIFS(资金流水!$P$6:$P$605,资金流水!$C$6:$C$605,参数设置!$A$12,资金流水!$H$6:$H$605,$A61,资金流水!$E$6:$E$605,"费用支出",资金流水!$B$6:$B$605,"&gt;="&amp;$A$4,资金流水!$B$6:$B$605,"&lt;="&amp;$B$4)+SUMIFS(资金流水!$P$6:$P$605,资金流水!$C$6:$C$605,参数设置!$A$12,资金流水!$H$6:$H$605,$A61,资金流水!$E$6:$E$605,"其他支出",资金流水!$B$6:$B$605,"&gt;="&amp;$A$4,资金流水!$B$6:$B$605,"&lt;="&amp;$B$4)+SUMIFS(资金流水!$P$6:$P$605,资金流水!$C$6:$C$605,参数设置!$A$12,资金流水!$H$6:$H$605,$A61,资金流水!$E$6:$E$605,"支付利息",资金流水!$B$6:$B$605,"&gt;="&amp;$A$4,资金流水!$B$6:$B$605,"&lt;="&amp;$B$4)+SUMIFS(生产加工!$J$6:$J$305,生产加工!$C$6:$C$305,参数设置!$A$12,生产加工!$L$6:$L$305,$A61,生产加工!$B$6:$B$305,"&gt;="&amp;$A$4,生产加工!$B$6:$B$305,"&lt;="&amp;$B$4)+SUMIFS(其他分录!$G$6:$G$255,其他分录!$C$6:$C$255,参数设置!$A$12,其他分录!$I$6:$I$255,$A61,其他分录!$B$6:$B$255,"&gt;="&amp;$A$4,其他分录!$B$6:$B$255,"&lt;="&amp;$B$4))</f>
        <v/>
      </c>
      <c r="E61" s="42" t="str">
        <f aca="false">IF($A61="","",SUM(B61:D61))</f>
        <v/>
      </c>
      <c r="F61" s="64" t="str">
        <f aca="false">IF($A61="","",IF(ROUND($E61,2)&lt;&gt;0,"有",""))</f>
        <v/>
      </c>
    </row>
    <row r="62" customFormat="false" ht="15" hidden="true" customHeight="false" outlineLevel="0" collapsed="false">
      <c r="A62" s="10" t="str">
        <f aca="false">IF(参数设置!$A71="","",参数设置!$A71)</f>
        <v/>
      </c>
      <c r="B62" s="40" t="str">
        <f aca="false">IF($A62="","",SUMIFS(资金流水!$P$6:$P$605,资金流水!$C$6:$C$605,参数设置!$A$10,资金流水!$H$6:$H$605,$A62,资金流水!$E$6:$E$605,"费用支出",资金流水!$B$6:$B$605,"&gt;="&amp;$A$4,资金流水!$B$6:$B$605,"&lt;="&amp;$B$4)+SUMIFS(资金流水!$P$6:$P$605,资金流水!$C$6:$C$605,参数设置!$A$10,资金流水!$H$6:$H$605,$A62,资金流水!$E$6:$E$605,"其他支出",资金流水!$B$6:$B$605,"&gt;="&amp;$A$4,资金流水!$B$6:$B$605,"&lt;="&amp;$B$4)+SUMIFS(资金流水!$P$6:$P$605,资金流水!$C$6:$C$605,参数设置!$A$10,资金流水!$H$6:$H$605,$A62,资金流水!$E$6:$E$605,"支付利息",资金流水!$B$6:$B$605,"&gt;="&amp;$A$4,资金流水!$B$6:$B$605,"&lt;="&amp;$B$4)+SUMIFS(生产加工!$J$6:$J$305,生产加工!$C$6:$C$305,参数设置!$A$10,生产加工!$L$6:$L$305,$A62,生产加工!$B$6:$B$305,"&gt;="&amp;$A$4,生产加工!$B$6:$B$305,"&lt;="&amp;$B$4)+SUMIFS(其他分录!$G$6:$G$255,其他分录!$C$6:$C$255,参数设置!$A$10,其他分录!$I$6:$I$255,$A62,其他分录!$B$6:$B$255,"&gt;="&amp;$A$4,其他分录!$B$6:$B$255,"&lt;="&amp;$B$4))</f>
        <v/>
      </c>
      <c r="C62" s="40" t="str">
        <f aca="false">IF($A62="","",SUMIFS(资金流水!$P$6:$P$605,资金流水!$C$6:$C$605,参数设置!$A$11,资金流水!$H$6:$H$605,$A62,资金流水!$E$6:$E$605,"费用支出",资金流水!$B$6:$B$605,"&gt;="&amp;$A$4,资金流水!$B$6:$B$605,"&lt;="&amp;$B$4)+SUMIFS(资金流水!$P$6:$P$605,资金流水!$C$6:$C$605,参数设置!$A$11,资金流水!$H$6:$H$605,$A62,资金流水!$E$6:$E$605,"其他支出",资金流水!$B$6:$B$605,"&gt;="&amp;$A$4,资金流水!$B$6:$B$605,"&lt;="&amp;$B$4)+SUMIFS(资金流水!$P$6:$P$605,资金流水!$C$6:$C$605,参数设置!$A$11,资金流水!$H$6:$H$605,$A62,资金流水!$E$6:$E$605,"支付利息",资金流水!$B$6:$B$605,"&gt;="&amp;$A$4,资金流水!$B$6:$B$605,"&lt;="&amp;$B$4)+SUMIFS(生产加工!$J$6:$J$305,生产加工!$C$6:$C$305,参数设置!$A$11,生产加工!$L$6:$L$305,$A62,生产加工!$B$6:$B$305,"&gt;="&amp;$A$4,生产加工!$B$6:$B$305,"&lt;="&amp;$B$4)+SUMIFS(其他分录!$G$6:$G$255,其他分录!$C$6:$C$255,参数设置!$A$11,其他分录!$I$6:$I$255,$A62,其他分录!$B$6:$B$255,"&gt;="&amp;$A$4,其他分录!$B$6:$B$255,"&lt;="&amp;$B$4))</f>
        <v/>
      </c>
      <c r="D62" s="40" t="str">
        <f aca="false">IF($A62="","",SUMIFS(资金流水!$P$6:$P$605,资金流水!$C$6:$C$605,参数设置!$A$12,资金流水!$H$6:$H$605,$A62,资金流水!$E$6:$E$605,"费用支出",资金流水!$B$6:$B$605,"&gt;="&amp;$A$4,资金流水!$B$6:$B$605,"&lt;="&amp;$B$4)+SUMIFS(资金流水!$P$6:$P$605,资金流水!$C$6:$C$605,参数设置!$A$12,资金流水!$H$6:$H$605,$A62,资金流水!$E$6:$E$605,"其他支出",资金流水!$B$6:$B$605,"&gt;="&amp;$A$4,资金流水!$B$6:$B$605,"&lt;="&amp;$B$4)+SUMIFS(资金流水!$P$6:$P$605,资金流水!$C$6:$C$605,参数设置!$A$12,资金流水!$H$6:$H$605,$A62,资金流水!$E$6:$E$605,"支付利息",资金流水!$B$6:$B$605,"&gt;="&amp;$A$4,资金流水!$B$6:$B$605,"&lt;="&amp;$B$4)+SUMIFS(生产加工!$J$6:$J$305,生产加工!$C$6:$C$305,参数设置!$A$12,生产加工!$L$6:$L$305,$A62,生产加工!$B$6:$B$305,"&gt;="&amp;$A$4,生产加工!$B$6:$B$305,"&lt;="&amp;$B$4)+SUMIFS(其他分录!$G$6:$G$255,其他分录!$C$6:$C$255,参数设置!$A$12,其他分录!$I$6:$I$255,$A62,其他分录!$B$6:$B$255,"&gt;="&amp;$A$4,其他分录!$B$6:$B$255,"&lt;="&amp;$B$4))</f>
        <v/>
      </c>
      <c r="E62" s="42" t="str">
        <f aca="false">IF($A62="","",SUM(B62:D62))</f>
        <v/>
      </c>
      <c r="F62" s="64" t="str">
        <f aca="false">IF($A62="","",IF(ROUND($E62,2)&lt;&gt;0,"有",""))</f>
        <v/>
      </c>
    </row>
    <row r="63" customFormat="false" ht="15" hidden="true" customHeight="false" outlineLevel="0" collapsed="false">
      <c r="A63" s="10" t="str">
        <f aca="false">IF(参数设置!$A72="","",参数设置!$A72)</f>
        <v/>
      </c>
      <c r="B63" s="40" t="str">
        <f aca="false">IF($A63="","",SUMIFS(资金流水!$P$6:$P$605,资金流水!$C$6:$C$605,参数设置!$A$10,资金流水!$H$6:$H$605,$A63,资金流水!$E$6:$E$605,"费用支出",资金流水!$B$6:$B$605,"&gt;="&amp;$A$4,资金流水!$B$6:$B$605,"&lt;="&amp;$B$4)+SUMIFS(资金流水!$P$6:$P$605,资金流水!$C$6:$C$605,参数设置!$A$10,资金流水!$H$6:$H$605,$A63,资金流水!$E$6:$E$605,"其他支出",资金流水!$B$6:$B$605,"&gt;="&amp;$A$4,资金流水!$B$6:$B$605,"&lt;="&amp;$B$4)+SUMIFS(资金流水!$P$6:$P$605,资金流水!$C$6:$C$605,参数设置!$A$10,资金流水!$H$6:$H$605,$A63,资金流水!$E$6:$E$605,"支付利息",资金流水!$B$6:$B$605,"&gt;="&amp;$A$4,资金流水!$B$6:$B$605,"&lt;="&amp;$B$4)+SUMIFS(生产加工!$J$6:$J$305,生产加工!$C$6:$C$305,参数设置!$A$10,生产加工!$L$6:$L$305,$A63,生产加工!$B$6:$B$305,"&gt;="&amp;$A$4,生产加工!$B$6:$B$305,"&lt;="&amp;$B$4)+SUMIFS(其他分录!$G$6:$G$255,其他分录!$C$6:$C$255,参数设置!$A$10,其他分录!$I$6:$I$255,$A63,其他分录!$B$6:$B$255,"&gt;="&amp;$A$4,其他分录!$B$6:$B$255,"&lt;="&amp;$B$4))</f>
        <v/>
      </c>
      <c r="C63" s="40" t="str">
        <f aca="false">IF($A63="","",SUMIFS(资金流水!$P$6:$P$605,资金流水!$C$6:$C$605,参数设置!$A$11,资金流水!$H$6:$H$605,$A63,资金流水!$E$6:$E$605,"费用支出",资金流水!$B$6:$B$605,"&gt;="&amp;$A$4,资金流水!$B$6:$B$605,"&lt;="&amp;$B$4)+SUMIFS(资金流水!$P$6:$P$605,资金流水!$C$6:$C$605,参数设置!$A$11,资金流水!$H$6:$H$605,$A63,资金流水!$E$6:$E$605,"其他支出",资金流水!$B$6:$B$605,"&gt;="&amp;$A$4,资金流水!$B$6:$B$605,"&lt;="&amp;$B$4)+SUMIFS(资金流水!$P$6:$P$605,资金流水!$C$6:$C$605,参数设置!$A$11,资金流水!$H$6:$H$605,$A63,资金流水!$E$6:$E$605,"支付利息",资金流水!$B$6:$B$605,"&gt;="&amp;$A$4,资金流水!$B$6:$B$605,"&lt;="&amp;$B$4)+SUMIFS(生产加工!$J$6:$J$305,生产加工!$C$6:$C$305,参数设置!$A$11,生产加工!$L$6:$L$305,$A63,生产加工!$B$6:$B$305,"&gt;="&amp;$A$4,生产加工!$B$6:$B$305,"&lt;="&amp;$B$4)+SUMIFS(其他分录!$G$6:$G$255,其他分录!$C$6:$C$255,参数设置!$A$11,其他分录!$I$6:$I$255,$A63,其他分录!$B$6:$B$255,"&gt;="&amp;$A$4,其他分录!$B$6:$B$255,"&lt;="&amp;$B$4))</f>
        <v/>
      </c>
      <c r="D63" s="40" t="str">
        <f aca="false">IF($A63="","",SUMIFS(资金流水!$P$6:$P$605,资金流水!$C$6:$C$605,参数设置!$A$12,资金流水!$H$6:$H$605,$A63,资金流水!$E$6:$E$605,"费用支出",资金流水!$B$6:$B$605,"&gt;="&amp;$A$4,资金流水!$B$6:$B$605,"&lt;="&amp;$B$4)+SUMIFS(资金流水!$P$6:$P$605,资金流水!$C$6:$C$605,参数设置!$A$12,资金流水!$H$6:$H$605,$A63,资金流水!$E$6:$E$605,"其他支出",资金流水!$B$6:$B$605,"&gt;="&amp;$A$4,资金流水!$B$6:$B$605,"&lt;="&amp;$B$4)+SUMIFS(资金流水!$P$6:$P$605,资金流水!$C$6:$C$605,参数设置!$A$12,资金流水!$H$6:$H$605,$A63,资金流水!$E$6:$E$605,"支付利息",资金流水!$B$6:$B$605,"&gt;="&amp;$A$4,资金流水!$B$6:$B$605,"&lt;="&amp;$B$4)+SUMIFS(生产加工!$J$6:$J$305,生产加工!$C$6:$C$305,参数设置!$A$12,生产加工!$L$6:$L$305,$A63,生产加工!$B$6:$B$305,"&gt;="&amp;$A$4,生产加工!$B$6:$B$305,"&lt;="&amp;$B$4)+SUMIFS(其他分录!$G$6:$G$255,其他分录!$C$6:$C$255,参数设置!$A$12,其他分录!$I$6:$I$255,$A63,其他分录!$B$6:$B$255,"&gt;="&amp;$A$4,其他分录!$B$6:$B$255,"&lt;="&amp;$B$4))</f>
        <v/>
      </c>
      <c r="E63" s="42" t="str">
        <f aca="false">IF($A63="","",SUM(B63:D63))</f>
        <v/>
      </c>
      <c r="F63" s="64" t="str">
        <f aca="false">IF($A63="","",IF(ROUND($E63,2)&lt;&gt;0,"有",""))</f>
        <v/>
      </c>
    </row>
    <row r="64" customFormat="false" ht="15" hidden="true" customHeight="false" outlineLevel="0" collapsed="false">
      <c r="A64" s="10" t="str">
        <f aca="false">IF(参数设置!$A73="","",参数设置!$A73)</f>
        <v/>
      </c>
      <c r="B64" s="40" t="str">
        <f aca="false">IF($A64="","",SUMIFS(资金流水!$P$6:$P$605,资金流水!$C$6:$C$605,参数设置!$A$10,资金流水!$H$6:$H$605,$A64,资金流水!$E$6:$E$605,"费用支出",资金流水!$B$6:$B$605,"&gt;="&amp;$A$4,资金流水!$B$6:$B$605,"&lt;="&amp;$B$4)+SUMIFS(资金流水!$P$6:$P$605,资金流水!$C$6:$C$605,参数设置!$A$10,资金流水!$H$6:$H$605,$A64,资金流水!$E$6:$E$605,"其他支出",资金流水!$B$6:$B$605,"&gt;="&amp;$A$4,资金流水!$B$6:$B$605,"&lt;="&amp;$B$4)+SUMIFS(资金流水!$P$6:$P$605,资金流水!$C$6:$C$605,参数设置!$A$10,资金流水!$H$6:$H$605,$A64,资金流水!$E$6:$E$605,"支付利息",资金流水!$B$6:$B$605,"&gt;="&amp;$A$4,资金流水!$B$6:$B$605,"&lt;="&amp;$B$4)+SUMIFS(生产加工!$J$6:$J$305,生产加工!$C$6:$C$305,参数设置!$A$10,生产加工!$L$6:$L$305,$A64,生产加工!$B$6:$B$305,"&gt;="&amp;$A$4,生产加工!$B$6:$B$305,"&lt;="&amp;$B$4)+SUMIFS(其他分录!$G$6:$G$255,其他分录!$C$6:$C$255,参数设置!$A$10,其他分录!$I$6:$I$255,$A64,其他分录!$B$6:$B$255,"&gt;="&amp;$A$4,其他分录!$B$6:$B$255,"&lt;="&amp;$B$4))</f>
        <v/>
      </c>
      <c r="C64" s="40" t="str">
        <f aca="false">IF($A64="","",SUMIFS(资金流水!$P$6:$P$605,资金流水!$C$6:$C$605,参数设置!$A$11,资金流水!$H$6:$H$605,$A64,资金流水!$E$6:$E$605,"费用支出",资金流水!$B$6:$B$605,"&gt;="&amp;$A$4,资金流水!$B$6:$B$605,"&lt;="&amp;$B$4)+SUMIFS(资金流水!$P$6:$P$605,资金流水!$C$6:$C$605,参数设置!$A$11,资金流水!$H$6:$H$605,$A64,资金流水!$E$6:$E$605,"其他支出",资金流水!$B$6:$B$605,"&gt;="&amp;$A$4,资金流水!$B$6:$B$605,"&lt;="&amp;$B$4)+SUMIFS(资金流水!$P$6:$P$605,资金流水!$C$6:$C$605,参数设置!$A$11,资金流水!$H$6:$H$605,$A64,资金流水!$E$6:$E$605,"支付利息",资金流水!$B$6:$B$605,"&gt;="&amp;$A$4,资金流水!$B$6:$B$605,"&lt;="&amp;$B$4)+SUMIFS(生产加工!$J$6:$J$305,生产加工!$C$6:$C$305,参数设置!$A$11,生产加工!$L$6:$L$305,$A64,生产加工!$B$6:$B$305,"&gt;="&amp;$A$4,生产加工!$B$6:$B$305,"&lt;="&amp;$B$4)+SUMIFS(其他分录!$G$6:$G$255,其他分录!$C$6:$C$255,参数设置!$A$11,其他分录!$I$6:$I$255,$A64,其他分录!$B$6:$B$255,"&gt;="&amp;$A$4,其他分录!$B$6:$B$255,"&lt;="&amp;$B$4))</f>
        <v/>
      </c>
      <c r="D64" s="40" t="str">
        <f aca="false">IF($A64="","",SUMIFS(资金流水!$P$6:$P$605,资金流水!$C$6:$C$605,参数设置!$A$12,资金流水!$H$6:$H$605,$A64,资金流水!$E$6:$E$605,"费用支出",资金流水!$B$6:$B$605,"&gt;="&amp;$A$4,资金流水!$B$6:$B$605,"&lt;="&amp;$B$4)+SUMIFS(资金流水!$P$6:$P$605,资金流水!$C$6:$C$605,参数设置!$A$12,资金流水!$H$6:$H$605,$A64,资金流水!$E$6:$E$605,"其他支出",资金流水!$B$6:$B$605,"&gt;="&amp;$A$4,资金流水!$B$6:$B$605,"&lt;="&amp;$B$4)+SUMIFS(资金流水!$P$6:$P$605,资金流水!$C$6:$C$605,参数设置!$A$12,资金流水!$H$6:$H$605,$A64,资金流水!$E$6:$E$605,"支付利息",资金流水!$B$6:$B$605,"&gt;="&amp;$A$4,资金流水!$B$6:$B$605,"&lt;="&amp;$B$4)+SUMIFS(生产加工!$J$6:$J$305,生产加工!$C$6:$C$305,参数设置!$A$12,生产加工!$L$6:$L$305,$A64,生产加工!$B$6:$B$305,"&gt;="&amp;$A$4,生产加工!$B$6:$B$305,"&lt;="&amp;$B$4)+SUMIFS(其他分录!$G$6:$G$255,其他分录!$C$6:$C$255,参数设置!$A$12,其他分录!$I$6:$I$255,$A64,其他分录!$B$6:$B$255,"&gt;="&amp;$A$4,其他分录!$B$6:$B$255,"&lt;="&amp;$B$4))</f>
        <v/>
      </c>
      <c r="E64" s="42" t="str">
        <f aca="false">IF($A64="","",SUM(B64:D64))</f>
        <v/>
      </c>
      <c r="F64" s="64" t="str">
        <f aca="false">IF($A64="","",IF(ROUND($E64,2)&lt;&gt;0,"有",""))</f>
        <v/>
      </c>
    </row>
    <row r="65" customFormat="false" ht="15" hidden="true" customHeight="false" outlineLevel="0" collapsed="false">
      <c r="A65" s="10" t="str">
        <f aca="false">IF(参数设置!$A74="","",参数设置!$A74)</f>
        <v/>
      </c>
      <c r="B65" s="40" t="str">
        <f aca="false">IF($A65="","",SUMIFS(资金流水!$P$6:$P$605,资金流水!$C$6:$C$605,参数设置!$A$10,资金流水!$H$6:$H$605,$A65,资金流水!$E$6:$E$605,"费用支出",资金流水!$B$6:$B$605,"&gt;="&amp;$A$4,资金流水!$B$6:$B$605,"&lt;="&amp;$B$4)+SUMIFS(资金流水!$P$6:$P$605,资金流水!$C$6:$C$605,参数设置!$A$10,资金流水!$H$6:$H$605,$A65,资金流水!$E$6:$E$605,"其他支出",资金流水!$B$6:$B$605,"&gt;="&amp;$A$4,资金流水!$B$6:$B$605,"&lt;="&amp;$B$4)+SUMIFS(资金流水!$P$6:$P$605,资金流水!$C$6:$C$605,参数设置!$A$10,资金流水!$H$6:$H$605,$A65,资金流水!$E$6:$E$605,"支付利息",资金流水!$B$6:$B$605,"&gt;="&amp;$A$4,资金流水!$B$6:$B$605,"&lt;="&amp;$B$4)+SUMIFS(生产加工!$J$6:$J$305,生产加工!$C$6:$C$305,参数设置!$A$10,生产加工!$L$6:$L$305,$A65,生产加工!$B$6:$B$305,"&gt;="&amp;$A$4,生产加工!$B$6:$B$305,"&lt;="&amp;$B$4)+SUMIFS(其他分录!$G$6:$G$255,其他分录!$C$6:$C$255,参数设置!$A$10,其他分录!$I$6:$I$255,$A65,其他分录!$B$6:$B$255,"&gt;="&amp;$A$4,其他分录!$B$6:$B$255,"&lt;="&amp;$B$4))</f>
        <v/>
      </c>
      <c r="C65" s="40" t="str">
        <f aca="false">IF($A65="","",SUMIFS(资金流水!$P$6:$P$605,资金流水!$C$6:$C$605,参数设置!$A$11,资金流水!$H$6:$H$605,$A65,资金流水!$E$6:$E$605,"费用支出",资金流水!$B$6:$B$605,"&gt;="&amp;$A$4,资金流水!$B$6:$B$605,"&lt;="&amp;$B$4)+SUMIFS(资金流水!$P$6:$P$605,资金流水!$C$6:$C$605,参数设置!$A$11,资金流水!$H$6:$H$605,$A65,资金流水!$E$6:$E$605,"其他支出",资金流水!$B$6:$B$605,"&gt;="&amp;$A$4,资金流水!$B$6:$B$605,"&lt;="&amp;$B$4)+SUMIFS(资金流水!$P$6:$P$605,资金流水!$C$6:$C$605,参数设置!$A$11,资金流水!$H$6:$H$605,$A65,资金流水!$E$6:$E$605,"支付利息",资金流水!$B$6:$B$605,"&gt;="&amp;$A$4,资金流水!$B$6:$B$605,"&lt;="&amp;$B$4)+SUMIFS(生产加工!$J$6:$J$305,生产加工!$C$6:$C$305,参数设置!$A$11,生产加工!$L$6:$L$305,$A65,生产加工!$B$6:$B$305,"&gt;="&amp;$A$4,生产加工!$B$6:$B$305,"&lt;="&amp;$B$4)+SUMIFS(其他分录!$G$6:$G$255,其他分录!$C$6:$C$255,参数设置!$A$11,其他分录!$I$6:$I$255,$A65,其他分录!$B$6:$B$255,"&gt;="&amp;$A$4,其他分录!$B$6:$B$255,"&lt;="&amp;$B$4))</f>
        <v/>
      </c>
      <c r="D65" s="40" t="str">
        <f aca="false">IF($A65="","",SUMIFS(资金流水!$P$6:$P$605,资金流水!$C$6:$C$605,参数设置!$A$12,资金流水!$H$6:$H$605,$A65,资金流水!$E$6:$E$605,"费用支出",资金流水!$B$6:$B$605,"&gt;="&amp;$A$4,资金流水!$B$6:$B$605,"&lt;="&amp;$B$4)+SUMIFS(资金流水!$P$6:$P$605,资金流水!$C$6:$C$605,参数设置!$A$12,资金流水!$H$6:$H$605,$A65,资金流水!$E$6:$E$605,"其他支出",资金流水!$B$6:$B$605,"&gt;="&amp;$A$4,资金流水!$B$6:$B$605,"&lt;="&amp;$B$4)+SUMIFS(资金流水!$P$6:$P$605,资金流水!$C$6:$C$605,参数设置!$A$12,资金流水!$H$6:$H$605,$A65,资金流水!$E$6:$E$605,"支付利息",资金流水!$B$6:$B$605,"&gt;="&amp;$A$4,资金流水!$B$6:$B$605,"&lt;="&amp;$B$4)+SUMIFS(生产加工!$J$6:$J$305,生产加工!$C$6:$C$305,参数设置!$A$12,生产加工!$L$6:$L$305,$A65,生产加工!$B$6:$B$305,"&gt;="&amp;$A$4,生产加工!$B$6:$B$305,"&lt;="&amp;$B$4)+SUMIFS(其他分录!$G$6:$G$255,其他分录!$C$6:$C$255,参数设置!$A$12,其他分录!$I$6:$I$255,$A65,其他分录!$B$6:$B$255,"&gt;="&amp;$A$4,其他分录!$B$6:$B$255,"&lt;="&amp;$B$4))</f>
        <v/>
      </c>
      <c r="E65" s="42" t="str">
        <f aca="false">IF($A65="","",SUM(B65:D65))</f>
        <v/>
      </c>
      <c r="F65" s="64" t="str">
        <f aca="false">IF($A65="","",IF(ROUND($E65,2)&lt;&gt;0,"有",""))</f>
        <v/>
      </c>
    </row>
    <row r="66" customFormat="false" ht="15" hidden="true" customHeight="false" outlineLevel="0" collapsed="false">
      <c r="A66" s="10" t="str">
        <f aca="false">IF(参数设置!$A75="","",参数设置!$A75)</f>
        <v/>
      </c>
      <c r="B66" s="40" t="str">
        <f aca="false">IF($A66="","",SUMIFS(资金流水!$P$6:$P$605,资金流水!$C$6:$C$605,参数设置!$A$10,资金流水!$H$6:$H$605,$A66,资金流水!$E$6:$E$605,"费用支出",资金流水!$B$6:$B$605,"&gt;="&amp;$A$4,资金流水!$B$6:$B$605,"&lt;="&amp;$B$4)+SUMIFS(资金流水!$P$6:$P$605,资金流水!$C$6:$C$605,参数设置!$A$10,资金流水!$H$6:$H$605,$A66,资金流水!$E$6:$E$605,"其他支出",资金流水!$B$6:$B$605,"&gt;="&amp;$A$4,资金流水!$B$6:$B$605,"&lt;="&amp;$B$4)+SUMIFS(资金流水!$P$6:$P$605,资金流水!$C$6:$C$605,参数设置!$A$10,资金流水!$H$6:$H$605,$A66,资金流水!$E$6:$E$605,"支付利息",资金流水!$B$6:$B$605,"&gt;="&amp;$A$4,资金流水!$B$6:$B$605,"&lt;="&amp;$B$4)+SUMIFS(生产加工!$J$6:$J$305,生产加工!$C$6:$C$305,参数设置!$A$10,生产加工!$L$6:$L$305,$A66,生产加工!$B$6:$B$305,"&gt;="&amp;$A$4,生产加工!$B$6:$B$305,"&lt;="&amp;$B$4)+SUMIFS(其他分录!$G$6:$G$255,其他分录!$C$6:$C$255,参数设置!$A$10,其他分录!$I$6:$I$255,$A66,其他分录!$B$6:$B$255,"&gt;="&amp;$A$4,其他分录!$B$6:$B$255,"&lt;="&amp;$B$4))</f>
        <v/>
      </c>
      <c r="C66" s="40" t="str">
        <f aca="false">IF($A66="","",SUMIFS(资金流水!$P$6:$P$605,资金流水!$C$6:$C$605,参数设置!$A$11,资金流水!$H$6:$H$605,$A66,资金流水!$E$6:$E$605,"费用支出",资金流水!$B$6:$B$605,"&gt;="&amp;$A$4,资金流水!$B$6:$B$605,"&lt;="&amp;$B$4)+SUMIFS(资金流水!$P$6:$P$605,资金流水!$C$6:$C$605,参数设置!$A$11,资金流水!$H$6:$H$605,$A66,资金流水!$E$6:$E$605,"其他支出",资金流水!$B$6:$B$605,"&gt;="&amp;$A$4,资金流水!$B$6:$B$605,"&lt;="&amp;$B$4)+SUMIFS(资金流水!$P$6:$P$605,资金流水!$C$6:$C$605,参数设置!$A$11,资金流水!$H$6:$H$605,$A66,资金流水!$E$6:$E$605,"支付利息",资金流水!$B$6:$B$605,"&gt;="&amp;$A$4,资金流水!$B$6:$B$605,"&lt;="&amp;$B$4)+SUMIFS(生产加工!$J$6:$J$305,生产加工!$C$6:$C$305,参数设置!$A$11,生产加工!$L$6:$L$305,$A66,生产加工!$B$6:$B$305,"&gt;="&amp;$A$4,生产加工!$B$6:$B$305,"&lt;="&amp;$B$4)+SUMIFS(其他分录!$G$6:$G$255,其他分录!$C$6:$C$255,参数设置!$A$11,其他分录!$I$6:$I$255,$A66,其他分录!$B$6:$B$255,"&gt;="&amp;$A$4,其他分录!$B$6:$B$255,"&lt;="&amp;$B$4))</f>
        <v/>
      </c>
      <c r="D66" s="40" t="str">
        <f aca="false">IF($A66="","",SUMIFS(资金流水!$P$6:$P$605,资金流水!$C$6:$C$605,参数设置!$A$12,资金流水!$H$6:$H$605,$A66,资金流水!$E$6:$E$605,"费用支出",资金流水!$B$6:$B$605,"&gt;="&amp;$A$4,资金流水!$B$6:$B$605,"&lt;="&amp;$B$4)+SUMIFS(资金流水!$P$6:$P$605,资金流水!$C$6:$C$605,参数设置!$A$12,资金流水!$H$6:$H$605,$A66,资金流水!$E$6:$E$605,"其他支出",资金流水!$B$6:$B$605,"&gt;="&amp;$A$4,资金流水!$B$6:$B$605,"&lt;="&amp;$B$4)+SUMIFS(资金流水!$P$6:$P$605,资金流水!$C$6:$C$605,参数设置!$A$12,资金流水!$H$6:$H$605,$A66,资金流水!$E$6:$E$605,"支付利息",资金流水!$B$6:$B$605,"&gt;="&amp;$A$4,资金流水!$B$6:$B$605,"&lt;="&amp;$B$4)+SUMIFS(生产加工!$J$6:$J$305,生产加工!$C$6:$C$305,参数设置!$A$12,生产加工!$L$6:$L$305,$A66,生产加工!$B$6:$B$305,"&gt;="&amp;$A$4,生产加工!$B$6:$B$305,"&lt;="&amp;$B$4)+SUMIFS(其他分录!$G$6:$G$255,其他分录!$C$6:$C$255,参数设置!$A$12,其他分录!$I$6:$I$255,$A66,其他分录!$B$6:$B$255,"&gt;="&amp;$A$4,其他分录!$B$6:$B$255,"&lt;="&amp;$B$4))</f>
        <v/>
      </c>
      <c r="E66" s="42" t="str">
        <f aca="false">IF($A66="","",SUM(B66:D66))</f>
        <v/>
      </c>
      <c r="F66" s="64" t="str">
        <f aca="false">IF($A66="","",IF(ROUND($E66,2)&lt;&gt;0,"有",""))</f>
        <v/>
      </c>
    </row>
    <row r="68" customFormat="false" ht="15" hidden="false" customHeight="true" outlineLevel="0" collapsed="false">
      <c r="A68" s="7" t="s">
        <v>887</v>
      </c>
      <c r="B68" s="7"/>
      <c r="C68" s="7"/>
      <c r="D68" s="7"/>
      <c r="E68" s="7"/>
      <c r="F68" s="7"/>
    </row>
    <row r="69" customFormat="false" ht="30" hidden="false" customHeight="true" outlineLevel="0" collapsed="false">
      <c r="A69" s="8" t="s">
        <v>888</v>
      </c>
      <c r="B69" s="8" t="s">
        <v>6</v>
      </c>
      <c r="C69" s="8" t="s">
        <v>7</v>
      </c>
      <c r="D69" s="8" t="s">
        <v>8</v>
      </c>
      <c r="E69" s="8" t="s">
        <v>9</v>
      </c>
      <c r="F69" s="8"/>
    </row>
    <row r="70" customFormat="false" ht="15" hidden="false" customHeight="false" outlineLevel="0" collapsed="false">
      <c r="A70" s="10" t="s">
        <v>254</v>
      </c>
      <c r="B70" s="40" t="n">
        <f aca="false">SUMIFS(科目余额表!$K$7:$K$246,科目余额表!$A$7:$A$246,参数设置!$A$10,科目余额表!$C$7:$C$246,"主营业务成本")</f>
        <v>177927.62</v>
      </c>
      <c r="C70" s="40" t="n">
        <f aca="false">SUMIFS(科目余额表!$K$7:$K$246,科目余额表!$A$7:$A$246,参数设置!$A$11,科目余额表!$C$7:$C$246,"主营业务成本")</f>
        <v>366029.05</v>
      </c>
      <c r="D70" s="40" t="n">
        <f aca="false">SUMIFS(科目余额表!$K$7:$K$246,科目余额表!$A$7:$A$246,参数设置!$A$12,科目余额表!$C$7:$C$246,"主营业务成本")</f>
        <v>138396.43</v>
      </c>
      <c r="E70" s="42" t="n">
        <f aca="false">SUM(B70:D70)</f>
        <v>682353.1</v>
      </c>
      <c r="F70" s="25"/>
    </row>
    <row r="71" customFormat="false" ht="15" hidden="false" customHeight="false" outlineLevel="0" collapsed="false">
      <c r="A71" s="10" t="s">
        <v>160</v>
      </c>
      <c r="B71" s="40" t="n">
        <f aca="false">SUMIFS(科目余额表!$K$7:$K$246,科目余额表!$A$7:$A$246,参数设置!$A$10,科目余额表!$C$7:$C$246,"税金及附加")</f>
        <v>0</v>
      </c>
      <c r="C71" s="40" t="n">
        <f aca="false">SUMIFS(科目余额表!$K$7:$K$246,科目余额表!$A$7:$A$246,参数设置!$A$11,科目余额表!$C$7:$C$246,"税金及附加")</f>
        <v>31360</v>
      </c>
      <c r="D71" s="40" t="n">
        <f aca="false">SUMIFS(科目余额表!$K$7:$K$246,科目余额表!$A$7:$A$246,参数设置!$A$12,科目余额表!$C$7:$C$246,"税金及附加")</f>
        <v>42560</v>
      </c>
      <c r="E71" s="42" t="n">
        <f aca="false">SUM(B71:D71)</f>
        <v>73920</v>
      </c>
      <c r="F71" s="25"/>
    </row>
    <row r="72" customFormat="false" ht="15" hidden="false" customHeight="false" outlineLevel="0" collapsed="false">
      <c r="A72" s="10" t="s">
        <v>145</v>
      </c>
      <c r="B72" s="40" t="n">
        <f aca="false">SUMIFS(科目余额表!$K$7:$K$246,科目余额表!$A$7:$A$246,参数设置!$A$10,科目余额表!$C$7:$C$246,"销售费用")</f>
        <v>0</v>
      </c>
      <c r="C72" s="40" t="n">
        <f aca="false">SUMIFS(科目余额表!$K$7:$K$246,科目余额表!$A$7:$A$246,参数设置!$A$11,科目余额表!$C$7:$C$246,"销售费用")</f>
        <v>0</v>
      </c>
      <c r="D72" s="40" t="n">
        <f aca="false">SUMIFS(科目余额表!$K$7:$K$246,科目余额表!$A$7:$A$246,参数设置!$A$12,科目余额表!$C$7:$C$246,"销售费用")</f>
        <v>36100</v>
      </c>
      <c r="E72" s="42" t="n">
        <f aca="false">SUM(B72:D72)</f>
        <v>36100</v>
      </c>
      <c r="F72" s="25"/>
    </row>
    <row r="73" customFormat="false" ht="15" hidden="false" customHeight="false" outlineLevel="0" collapsed="false">
      <c r="A73" s="10" t="s">
        <v>119</v>
      </c>
      <c r="B73" s="40" t="n">
        <f aca="false">SUMIFS(科目余额表!$K$7:$K$246,科目余额表!$A$7:$A$246,参数设置!$A$10,科目余额表!$C$7:$C$246,"管理费用")</f>
        <v>123000</v>
      </c>
      <c r="C73" s="40" t="n">
        <f aca="false">SUMIFS(科目余额表!$K$7:$K$246,科目余额表!$A$7:$A$246,参数设置!$A$11,科目余额表!$C$7:$C$246,"管理费用")</f>
        <v>113460</v>
      </c>
      <c r="D73" s="40" t="n">
        <f aca="false">SUMIFS(科目余额表!$K$7:$K$246,科目余额表!$A$7:$A$246,参数设置!$A$12,科目余额表!$C$7:$C$246,"管理费用")</f>
        <v>58000</v>
      </c>
      <c r="E73" s="42" t="n">
        <f aca="false">SUM(B73:D73)</f>
        <v>294460</v>
      </c>
      <c r="F73" s="25"/>
    </row>
    <row r="74" customFormat="false" ht="15" hidden="false" customHeight="false" outlineLevel="0" collapsed="false">
      <c r="A74" s="10" t="s">
        <v>152</v>
      </c>
      <c r="B74" s="40" t="n">
        <f aca="false">SUMIFS(科目余额表!$K$7:$K$246,科目余额表!$A$7:$A$246,参数设置!$A$10,科目余额表!$C$7:$C$246,"财务费用")</f>
        <v>6000</v>
      </c>
      <c r="C74" s="40" t="n">
        <f aca="false">SUMIFS(科目余额表!$K$7:$K$246,科目余额表!$A$7:$A$246,参数设置!$A$11,科目余额表!$C$7:$C$246,"财务费用")</f>
        <v>0</v>
      </c>
      <c r="D74" s="40" t="n">
        <f aca="false">SUMIFS(科目余额表!$K$7:$K$246,科目余额表!$A$7:$A$246,参数设置!$A$12,科目余额表!$C$7:$C$246,"财务费用")</f>
        <v>0</v>
      </c>
      <c r="E74" s="42" t="n">
        <f aca="false">SUM(B74:D74)</f>
        <v>6000</v>
      </c>
      <c r="F74" s="25"/>
    </row>
    <row r="75" customFormat="false" ht="15" hidden="false" customHeight="false" outlineLevel="0" collapsed="false">
      <c r="A75" s="10" t="s">
        <v>158</v>
      </c>
      <c r="B75" s="40" t="n">
        <f aca="false">SUMIFS(科目余额表!$K$7:$K$246,科目余额表!$A$7:$A$246,参数设置!$A$10,科目余额表!$C$7:$C$246,"研发费用")</f>
        <v>0</v>
      </c>
      <c r="C75" s="40" t="n">
        <f aca="false">SUMIFS(科目余额表!$K$7:$K$246,科目余额表!$A$7:$A$246,参数设置!$A$11,科目余额表!$C$7:$C$246,"研发费用")</f>
        <v>0</v>
      </c>
      <c r="D75" s="40" t="n">
        <f aca="false">SUMIFS(科目余额表!$K$7:$K$246,科目余额表!$A$7:$A$246,参数设置!$A$12,科目余额表!$C$7:$C$246,"研发费用")</f>
        <v>0</v>
      </c>
      <c r="E75" s="42" t="n">
        <f aca="false">SUM(B75:D75)</f>
        <v>0</v>
      </c>
      <c r="F75" s="25"/>
    </row>
    <row r="76" customFormat="false" ht="15" hidden="false" customHeight="false" outlineLevel="0" collapsed="false">
      <c r="A76" s="10" t="s">
        <v>264</v>
      </c>
      <c r="B76" s="40" t="n">
        <f aca="false">SUMIFS(科目余额表!$K$7:$K$246,科目余额表!$A$7:$A$246,参数设置!$A$10,科目余额表!$C$7:$C$246,"营业外支出")</f>
        <v>0</v>
      </c>
      <c r="C76" s="40" t="n">
        <f aca="false">SUMIFS(科目余额表!$K$7:$K$246,科目余额表!$A$7:$A$246,参数设置!$A$11,科目余额表!$C$7:$C$246,"营业外支出")</f>
        <v>0</v>
      </c>
      <c r="D76" s="40" t="n">
        <f aca="false">SUMIFS(科目余额表!$K$7:$K$246,科目余额表!$A$7:$A$246,参数设置!$A$12,科目余额表!$C$7:$C$246,"营业外支出")</f>
        <v>0</v>
      </c>
      <c r="E76" s="42" t="n">
        <f aca="false">SUM(B76:D76)</f>
        <v>0</v>
      </c>
      <c r="F76" s="25"/>
    </row>
    <row r="77" customFormat="false" ht="15" hidden="false" customHeight="false" outlineLevel="0" collapsed="false">
      <c r="A77" s="10" t="s">
        <v>164</v>
      </c>
      <c r="B77" s="40" t="n">
        <f aca="false">SUMIFS(科目余额表!$K$7:$K$246,科目余额表!$A$7:$A$246,参数设置!$A$10,科目余额表!$C$7:$C$246,"所得税费用")</f>
        <v>0</v>
      </c>
      <c r="C77" s="40" t="n">
        <f aca="false">SUMIFS(科目余额表!$K$7:$K$246,科目余额表!$A$7:$A$246,参数设置!$A$11,科目余额表!$C$7:$C$246,"所得税费用")</f>
        <v>6000</v>
      </c>
      <c r="D77" s="40" t="n">
        <f aca="false">SUMIFS(科目余额表!$K$7:$K$246,科目余额表!$A$7:$A$246,参数设置!$A$12,科目余额表!$C$7:$C$246,"所得税费用")</f>
        <v>12000</v>
      </c>
      <c r="E77" s="42" t="n">
        <f aca="false">SUM(B77:D77)</f>
        <v>18000</v>
      </c>
      <c r="F77" s="25"/>
    </row>
    <row r="78" customFormat="false" ht="15" hidden="false" customHeight="false" outlineLevel="0" collapsed="false">
      <c r="A78" s="31" t="s">
        <v>536</v>
      </c>
      <c r="B78" s="12" t="n">
        <f aca="false">SUM(B70:B77)</f>
        <v>306927.62</v>
      </c>
      <c r="C78" s="12" t="n">
        <f aca="false">SUM(C70:C77)</f>
        <v>516849.05</v>
      </c>
      <c r="D78" s="12" t="n">
        <f aca="false">SUM(D70:D77)</f>
        <v>287056.43</v>
      </c>
      <c r="E78" s="12" t="n">
        <f aca="false">SUM(E70:E77)</f>
        <v>1110833.1</v>
      </c>
      <c r="F78" s="31"/>
    </row>
  </sheetData>
  <autoFilter ref="A5:F66">
    <filterColumn colId="5">
      <filters>
        <filter val="有"/>
      </filters>
    </filterColumn>
  </autoFilter>
  <mergeCells count="4">
    <mergeCell ref="A1:F1"/>
    <mergeCell ref="A2:F2"/>
    <mergeCell ref="H3:I3"/>
    <mergeCell ref="A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25.5" hidden="false" customHeight="true" outlineLevel="0" collapsed="false">
      <c r="A1" s="1" t="s">
        <v>889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890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571</v>
      </c>
      <c r="B3" s="68" t="n">
        <v>2026</v>
      </c>
      <c r="C3" s="3" t="s">
        <v>733</v>
      </c>
      <c r="D3" s="69"/>
      <c r="E3" s="3" t="s">
        <v>734</v>
      </c>
      <c r="F3" s="69"/>
      <c r="G3" s="3" t="s">
        <v>735</v>
      </c>
      <c r="H3" s="70" t="str">
        <f aca="false">IF(AND($B$3="",$D$3="",$F$3=""),"全部期间",TEXT($A$4,"yyyy-mm-dd")&amp;"  至  "&amp;TEXT($B$4,"yyyy-mm-dd"))&amp;"　｜　"&amp;"年度/起止都留空＝全部期间；只填年度＝按整年；填了起止就以起止为准"</f>
        <v>2026-01-01  至  2026-12-31　｜　年度/起止都留空＝全部期间；只填年度＝按整年；填了起止就以起止为准</v>
      </c>
      <c r="I3" s="70"/>
    </row>
    <row r="4" customFormat="false" ht="15" hidden="true" customHeight="false" outlineLevel="0" collapsed="false">
      <c r="A4" s="71" t="n">
        <f aca="false">IF($D$3&lt;&gt;"",$D$3,IF($B$3&lt;&gt;"",DATE($B$3,1,1),DATE(1900,1,1)))</f>
        <v>46023</v>
      </c>
      <c r="B4" s="71" t="n">
        <f aca="false">IF($F$3&lt;&gt;"",$F$3,IF($B$3&lt;&gt;"",DATE($B$3,12,31),DATE(2199,12,31)))</f>
        <v>46387</v>
      </c>
    </row>
    <row r="5" customFormat="false" ht="30" hidden="false" customHeight="true" outlineLevel="0" collapsed="false">
      <c r="A5" s="8" t="s">
        <v>891</v>
      </c>
      <c r="B5" s="8" t="s">
        <v>892</v>
      </c>
      <c r="C5" s="8" t="s">
        <v>893</v>
      </c>
      <c r="D5" s="8" t="s">
        <v>894</v>
      </c>
      <c r="E5" s="8" t="s">
        <v>895</v>
      </c>
      <c r="F5" s="8" t="s">
        <v>896</v>
      </c>
      <c r="G5" s="8" t="s">
        <v>897</v>
      </c>
      <c r="H5" s="8" t="s">
        <v>898</v>
      </c>
      <c r="I5" s="8" t="s">
        <v>899</v>
      </c>
    </row>
    <row r="6" customFormat="false" ht="15" hidden="false" customHeight="false" outlineLevel="0" collapsed="false">
      <c r="A6" s="25" t="str">
        <f aca="false">参数设置!$A$10</f>
        <v>农业</v>
      </c>
      <c r="B6" s="25" t="str">
        <f aca="false">参数设置!$A$11</f>
        <v>木业</v>
      </c>
      <c r="C6" s="40" t="n">
        <f aca="false">SUMIFS(购销流水!$Q$6:$Q$805,购销流水!$C$6:$C$805,参数设置!$A$10,购销流水!$E$6:$E$805,参数设置!$B$11,购销流水!$D$6:$D$805,"销售出库",购销流水!$B$6:$B$805,"&gt;="&amp;$A$4,购销流水!$B$6:$B$805,"&lt;="&amp;$B$4)-SUMIFS(购销流水!$Q$6:$Q$805,购销流水!$C$6:$C$805,参数设置!$A$10,购销流水!$E$6:$E$805,参数设置!$B$11,购销流水!$D$6:$D$805,"销售退回",购销流水!$B$6:$B$805,"&gt;="&amp;$A$4,购销流水!$B$6:$B$805,"&lt;="&amp;$B$4)</f>
        <v>189000</v>
      </c>
      <c r="D6" s="40" t="n">
        <f aca="false">SUMIFS(购销流水!$Q$6:$Q$805,购销流水!$C$6:$C$805,参数设置!$A$11,购销流水!$E$6:$E$805,参数设置!$B$10,购销流水!$D$6:$D$805,"采购入库",购销流水!$B$6:$B$805,"&gt;="&amp;$A$4,购销流水!$B$6:$B$805,"&lt;="&amp;$B$4)-SUMIFS(购销流水!$Q$6:$Q$805,购销流水!$C$6:$C$805,参数设置!$A$11,购销流水!$E$6:$E$805,参数设置!$B$10,购销流水!$D$6:$D$805,"采购退回",购销流水!$B$6:$B$805,"&gt;="&amp;$A$4,购销流水!$B$6:$B$805,"&lt;="&amp;$B$4)</f>
        <v>189000</v>
      </c>
      <c r="E6" s="42" t="n">
        <f aca="false">ROUND($C6-$D6,2)</f>
        <v>0</v>
      </c>
      <c r="F6" s="40" t="n">
        <f aca="false">(SUMIFS(期初余额!$R$6:$R$65,期初余额!$P$6:$P$65,参数设置!$A$10,期初余额!$Q$6:$Q$65,参数设置!$B$11)+SUMIFS(记账分录!$I$6:$I$5505,记账分录!$F$6:$F$5505,参数设置!$A$10,记账分录!$H$6:$H$5505,"应收账款",记账分录!$K$6:$K$5505,参数设置!$B$11,记账分录!$E$6:$E$5505,"&lt;="&amp;$B$4)-SUMIFS(记账分录!$J$6:$J$5505,记账分录!$F$6:$F$5505,参数设置!$A$10,记账分录!$H$6:$H$5505,"应收账款",记账分录!$K$6:$K$5505,参数设置!$B$11,记账分录!$E$6:$E$5505,"&lt;="&amp;$B$4))</f>
        <v>39000</v>
      </c>
      <c r="G6" s="40" t="n">
        <f aca="false">(SUMIFS(期初余额!$S$6:$S$65,期初余额!$P$6:$P$65,参数设置!$A$11,期初余额!$Q$6:$Q$65,参数设置!$B$10)+SUMIFS(记账分录!$J$6:$J$5505,记账分录!$F$6:$F$5505,参数设置!$A$11,记账分录!$H$6:$H$5505,"应付账款",记账分录!$K$6:$K$5505,参数设置!$B$10,记账分录!$E$6:$E$5505,"&lt;="&amp;$B$4)-SUMIFS(记账分录!$I$6:$I$5505,记账分录!$F$6:$F$5505,参数设置!$A$11,记账分录!$H$6:$H$5505,"应付账款",记账分录!$K$6:$K$5505,参数设置!$B$10,记账分录!$E$6:$E$5505,"&lt;="&amp;$B$4))</f>
        <v>39000</v>
      </c>
      <c r="H6" s="42" t="n">
        <f aca="false">ROUND($F6-$G6,2)</f>
        <v>0</v>
      </c>
      <c r="I6" s="26" t="str">
        <f aca="false">IF(AND(ROUND($C6,2)=0,ROUND($D6,2)=0),"本期无内部交易",IF(AND(ROUND($E6,2)=0,ROUND($H6,2)=0),"√ 两边一致",IF(ROUND($E6,2)&lt;&gt;0,"✗ 开票与入账差 "&amp;TEXT($E6,"#,##0.00"),"✗ 往来余额差 "&amp;TEXT($H6,"#,##0.00"))))</f>
        <v>√ 两边一致</v>
      </c>
    </row>
    <row r="7" customFormat="false" ht="15" hidden="false" customHeight="false" outlineLevel="0" collapsed="false">
      <c r="A7" s="25" t="str">
        <f aca="false">参数设置!$A$10</f>
        <v>农业</v>
      </c>
      <c r="B7" s="25" t="str">
        <f aca="false">参数设置!$A$12</f>
        <v>科技</v>
      </c>
      <c r="C7" s="40" t="n">
        <f aca="false">SUMIFS(购销流水!$Q$6:$Q$805,购销流水!$C$6:$C$805,参数设置!$A$10,购销流水!$E$6:$E$805,参数设置!$B$12,购销流水!$D$6:$D$805,"销售出库",购销流水!$B$6:$B$805,"&gt;="&amp;$A$4,购销流水!$B$6:$B$805,"&lt;="&amp;$B$4)-SUMIFS(购销流水!$Q$6:$Q$805,购销流水!$C$6:$C$805,参数设置!$A$10,购销流水!$E$6:$E$805,参数设置!$B$12,购销流水!$D$6:$D$805,"销售退回",购销流水!$B$6:$B$805,"&gt;="&amp;$A$4,购销流水!$B$6:$B$805,"&lt;="&amp;$B$4)</f>
        <v>56000</v>
      </c>
      <c r="D7" s="40" t="n">
        <f aca="false">SUMIFS(购销流水!$Q$6:$Q$805,购销流水!$C$6:$C$805,参数设置!$A$12,购销流水!$E$6:$E$805,参数设置!$B$10,购销流水!$D$6:$D$805,"采购入库",购销流水!$B$6:$B$805,"&gt;="&amp;$A$4,购销流水!$B$6:$B$805,"&lt;="&amp;$B$4)-SUMIFS(购销流水!$Q$6:$Q$805,购销流水!$C$6:$C$805,参数设置!$A$12,购销流水!$E$6:$E$805,参数设置!$B$10,购销流水!$D$6:$D$805,"采购退回",购销流水!$B$6:$B$805,"&gt;="&amp;$A$4,购销流水!$B$6:$B$805,"&lt;="&amp;$B$4)</f>
        <v>56000</v>
      </c>
      <c r="E7" s="42" t="n">
        <f aca="false">ROUND($C7-$D7,2)</f>
        <v>0</v>
      </c>
      <c r="F7" s="40" t="n">
        <f aca="false">(SUMIFS(期初余额!$R$6:$R$65,期初余额!$P$6:$P$65,参数设置!$A$10,期初余额!$Q$6:$Q$65,参数设置!$B$12)+SUMIFS(记账分录!$I$6:$I$5505,记账分录!$F$6:$F$5505,参数设置!$A$10,记账分录!$H$6:$H$5505,"应收账款",记账分录!$K$6:$K$5505,参数设置!$B$12,记账分录!$E$6:$E$5505,"&lt;="&amp;$B$4)-SUMIFS(记账分录!$J$6:$J$5505,记账分录!$F$6:$F$5505,参数设置!$A$10,记账分录!$H$6:$H$5505,"应收账款",记账分录!$K$6:$K$5505,参数设置!$B$12,记账分录!$E$6:$E$5505,"&lt;="&amp;$B$4))</f>
        <v>16000</v>
      </c>
      <c r="G7" s="40" t="n">
        <f aca="false">(SUMIFS(期初余额!$S$6:$S$65,期初余额!$P$6:$P$65,参数设置!$A$12,期初余额!$Q$6:$Q$65,参数设置!$B$10)+SUMIFS(记账分录!$J$6:$J$5505,记账分录!$F$6:$F$5505,参数设置!$A$12,记账分录!$H$6:$H$5505,"应付账款",记账分录!$K$6:$K$5505,参数设置!$B$10,记账分录!$E$6:$E$5505,"&lt;="&amp;$B$4)-SUMIFS(记账分录!$I$6:$I$5505,记账分录!$F$6:$F$5505,参数设置!$A$12,记账分录!$H$6:$H$5505,"应付账款",记账分录!$K$6:$K$5505,参数设置!$B$10,记账分录!$E$6:$E$5505,"&lt;="&amp;$B$4))</f>
        <v>16000</v>
      </c>
      <c r="H7" s="42" t="n">
        <f aca="false">ROUND($F7-$G7,2)</f>
        <v>0</v>
      </c>
      <c r="I7" s="26" t="str">
        <f aca="false">IF(AND(ROUND($C7,2)=0,ROUND($D7,2)=0),"本期无内部交易",IF(AND(ROUND($E7,2)=0,ROUND($H7,2)=0),"√ 两边一致",IF(ROUND($E7,2)&lt;&gt;0,"✗ 开票与入账差 "&amp;TEXT($E7,"#,##0.00"),"✗ 往来余额差 "&amp;TEXT($H7,"#,##0.00"))))</f>
        <v>√ 两边一致</v>
      </c>
    </row>
    <row r="8" customFormat="false" ht="15" hidden="false" customHeight="false" outlineLevel="0" collapsed="false">
      <c r="A8" s="25" t="str">
        <f aca="false">参数设置!$A$11</f>
        <v>木业</v>
      </c>
      <c r="B8" s="25" t="str">
        <f aca="false">参数设置!$A$10</f>
        <v>农业</v>
      </c>
      <c r="C8" s="40" t="n">
        <f aca="false">SUMIFS(购销流水!$Q$6:$Q$805,购销流水!$C$6:$C$805,参数设置!$A$11,购销流水!$E$6:$E$805,参数设置!$B$10,购销流水!$D$6:$D$805,"销售出库",购销流水!$B$6:$B$805,"&gt;="&amp;$A$4,购销流水!$B$6:$B$805,"&lt;="&amp;$B$4)-SUMIFS(购销流水!$Q$6:$Q$805,购销流水!$C$6:$C$805,参数设置!$A$11,购销流水!$E$6:$E$805,参数设置!$B$10,购销流水!$D$6:$D$805,"销售退回",购销流水!$B$6:$B$805,"&gt;="&amp;$A$4,购销流水!$B$6:$B$805,"&lt;="&amp;$B$4)</f>
        <v>0</v>
      </c>
      <c r="D8" s="40" t="n">
        <f aca="false">SUMIFS(购销流水!$Q$6:$Q$805,购销流水!$C$6:$C$805,参数设置!$A$10,购销流水!$E$6:$E$805,参数设置!$B$11,购销流水!$D$6:$D$805,"采购入库",购销流水!$B$6:$B$805,"&gt;="&amp;$A$4,购销流水!$B$6:$B$805,"&lt;="&amp;$B$4)-SUMIFS(购销流水!$Q$6:$Q$805,购销流水!$C$6:$C$805,参数设置!$A$10,购销流水!$E$6:$E$805,参数设置!$B$11,购销流水!$D$6:$D$805,"采购退回",购销流水!$B$6:$B$805,"&gt;="&amp;$A$4,购销流水!$B$6:$B$805,"&lt;="&amp;$B$4)</f>
        <v>0</v>
      </c>
      <c r="E8" s="42" t="n">
        <f aca="false">ROUND($C8-$D8,2)</f>
        <v>0</v>
      </c>
      <c r="F8" s="40" t="n">
        <f aca="false">(SUMIFS(期初余额!$R$6:$R$65,期初余额!$P$6:$P$65,参数设置!$A$11,期初余额!$Q$6:$Q$65,参数设置!$B$10)+SUMIFS(记账分录!$I$6:$I$5505,记账分录!$F$6:$F$5505,参数设置!$A$11,记账分录!$H$6:$H$5505,"应收账款",记账分录!$K$6:$K$5505,参数设置!$B$10,记账分录!$E$6:$E$5505,"&lt;="&amp;$B$4)-SUMIFS(记账分录!$J$6:$J$5505,记账分录!$F$6:$F$5505,参数设置!$A$11,记账分录!$H$6:$H$5505,"应收账款",记账分录!$K$6:$K$5505,参数设置!$B$10,记账分录!$E$6:$E$5505,"&lt;="&amp;$B$4))</f>
        <v>0</v>
      </c>
      <c r="G8" s="40" t="n">
        <f aca="false">(SUMIFS(期初余额!$S$6:$S$65,期初余额!$P$6:$P$65,参数设置!$A$10,期初余额!$Q$6:$Q$65,参数设置!$B$11)+SUMIFS(记账分录!$J$6:$J$5505,记账分录!$F$6:$F$5505,参数设置!$A$10,记账分录!$H$6:$H$5505,"应付账款",记账分录!$K$6:$K$5505,参数设置!$B$11,记账分录!$E$6:$E$5505,"&lt;="&amp;$B$4)-SUMIFS(记账分录!$I$6:$I$5505,记账分录!$F$6:$F$5505,参数设置!$A$10,记账分录!$H$6:$H$5505,"应付账款",记账分录!$K$6:$K$5505,参数设置!$B$11,记账分录!$E$6:$E$5505,"&lt;="&amp;$B$4))</f>
        <v>0</v>
      </c>
      <c r="H8" s="42" t="n">
        <f aca="false">ROUND($F8-$G8,2)</f>
        <v>0</v>
      </c>
      <c r="I8" s="26" t="str">
        <f aca="false">IF(AND(ROUND($C8,2)=0,ROUND($D8,2)=0),"本期无内部交易",IF(AND(ROUND($E8,2)=0,ROUND($H8,2)=0),"√ 两边一致",IF(ROUND($E8,2)&lt;&gt;0,"✗ 开票与入账差 "&amp;TEXT($E8,"#,##0.00"),"✗ 往来余额差 "&amp;TEXT($H8,"#,##0.00"))))</f>
        <v>本期无内部交易</v>
      </c>
    </row>
    <row r="9" customFormat="false" ht="15" hidden="false" customHeight="false" outlineLevel="0" collapsed="false">
      <c r="A9" s="25" t="str">
        <f aca="false">参数设置!$A$11</f>
        <v>木业</v>
      </c>
      <c r="B9" s="25" t="str">
        <f aca="false">参数设置!$A$12</f>
        <v>科技</v>
      </c>
      <c r="C9" s="40" t="n">
        <f aca="false">SUMIFS(购销流水!$Q$6:$Q$805,购销流水!$C$6:$C$805,参数设置!$A$11,购销流水!$E$6:$E$805,参数设置!$B$12,购销流水!$D$6:$D$805,"销售出库",购销流水!$B$6:$B$805,"&gt;="&amp;$A$4,购销流水!$B$6:$B$805,"&lt;="&amp;$B$4)-SUMIFS(购销流水!$Q$6:$Q$805,购销流水!$C$6:$C$805,参数设置!$A$11,购销流水!$E$6:$E$805,参数设置!$B$12,购销流水!$D$6:$D$805,"销售退回",购销流水!$B$6:$B$805,"&gt;="&amp;$A$4,购销流水!$B$6:$B$805,"&lt;="&amp;$B$4)</f>
        <v>0</v>
      </c>
      <c r="D9" s="40" t="n">
        <f aca="false">SUMIFS(购销流水!$Q$6:$Q$805,购销流水!$C$6:$C$805,参数设置!$A$12,购销流水!$E$6:$E$805,参数设置!$B$11,购销流水!$D$6:$D$805,"采购入库",购销流水!$B$6:$B$805,"&gt;="&amp;$A$4,购销流水!$B$6:$B$805,"&lt;="&amp;$B$4)-SUMIFS(购销流水!$Q$6:$Q$805,购销流水!$C$6:$C$805,参数设置!$A$12,购销流水!$E$6:$E$805,参数设置!$B$11,购销流水!$D$6:$D$805,"采购退回",购销流水!$B$6:$B$805,"&gt;="&amp;$A$4,购销流水!$B$6:$B$805,"&lt;="&amp;$B$4)</f>
        <v>0</v>
      </c>
      <c r="E9" s="42" t="n">
        <f aca="false">ROUND($C9-$D9,2)</f>
        <v>0</v>
      </c>
      <c r="F9" s="40" t="n">
        <f aca="false">(SUMIFS(期初余额!$R$6:$R$65,期初余额!$P$6:$P$65,参数设置!$A$11,期初余额!$Q$6:$Q$65,参数设置!$B$12)+SUMIFS(记账分录!$I$6:$I$5505,记账分录!$F$6:$F$5505,参数设置!$A$11,记账分录!$H$6:$H$5505,"应收账款",记账分录!$K$6:$K$5505,参数设置!$B$12,记账分录!$E$6:$E$5505,"&lt;="&amp;$B$4)-SUMIFS(记账分录!$J$6:$J$5505,记账分录!$F$6:$F$5505,参数设置!$A$11,记账分录!$H$6:$H$5505,"应收账款",记账分录!$K$6:$K$5505,参数设置!$B$12,记账分录!$E$6:$E$5505,"&lt;="&amp;$B$4))</f>
        <v>0</v>
      </c>
      <c r="G9" s="40" t="n">
        <f aca="false">(SUMIFS(期初余额!$S$6:$S$65,期初余额!$P$6:$P$65,参数设置!$A$12,期初余额!$Q$6:$Q$65,参数设置!$B$11)+SUMIFS(记账分录!$J$6:$J$5505,记账分录!$F$6:$F$5505,参数设置!$A$12,记账分录!$H$6:$H$5505,"应付账款",记账分录!$K$6:$K$5505,参数设置!$B$11,记账分录!$E$6:$E$5505,"&lt;="&amp;$B$4)-SUMIFS(记账分录!$I$6:$I$5505,记账分录!$F$6:$F$5505,参数设置!$A$12,记账分录!$H$6:$H$5505,"应付账款",记账分录!$K$6:$K$5505,参数设置!$B$11,记账分录!$E$6:$E$5505,"&lt;="&amp;$B$4))</f>
        <v>0</v>
      </c>
      <c r="H9" s="42" t="n">
        <f aca="false">ROUND($F9-$G9,2)</f>
        <v>0</v>
      </c>
      <c r="I9" s="26" t="str">
        <f aca="false">IF(AND(ROUND($C9,2)=0,ROUND($D9,2)=0),"本期无内部交易",IF(AND(ROUND($E9,2)=0,ROUND($H9,2)=0),"√ 两边一致",IF(ROUND($E9,2)&lt;&gt;0,"✗ 开票与入账差 "&amp;TEXT($E9,"#,##0.00"),"✗ 往来余额差 "&amp;TEXT($H9,"#,##0.00"))))</f>
        <v>本期无内部交易</v>
      </c>
    </row>
    <row r="10" customFormat="false" ht="15" hidden="false" customHeight="false" outlineLevel="0" collapsed="false">
      <c r="A10" s="25" t="str">
        <f aca="false">参数设置!$A$12</f>
        <v>科技</v>
      </c>
      <c r="B10" s="25" t="str">
        <f aca="false">参数设置!$A$10</f>
        <v>农业</v>
      </c>
      <c r="C10" s="40" t="n">
        <f aca="false">SUMIFS(购销流水!$Q$6:$Q$805,购销流水!$C$6:$C$805,参数设置!$A$12,购销流水!$E$6:$E$805,参数设置!$B$10,购销流水!$D$6:$D$805,"销售出库",购销流水!$B$6:$B$805,"&gt;="&amp;$A$4,购销流水!$B$6:$B$805,"&lt;="&amp;$B$4)-SUMIFS(购销流水!$Q$6:$Q$805,购销流水!$C$6:$C$805,参数设置!$A$12,购销流水!$E$6:$E$805,参数设置!$B$10,购销流水!$D$6:$D$805,"销售退回",购销流水!$B$6:$B$805,"&gt;="&amp;$A$4,购销流水!$B$6:$B$805,"&lt;="&amp;$B$4)</f>
        <v>0</v>
      </c>
      <c r="D10" s="40" t="n">
        <f aca="false">SUMIFS(购销流水!$Q$6:$Q$805,购销流水!$C$6:$C$805,参数设置!$A$10,购销流水!$E$6:$E$805,参数设置!$B$12,购销流水!$D$6:$D$805,"采购入库",购销流水!$B$6:$B$805,"&gt;="&amp;$A$4,购销流水!$B$6:$B$805,"&lt;="&amp;$B$4)-SUMIFS(购销流水!$Q$6:$Q$805,购销流水!$C$6:$C$805,参数设置!$A$10,购销流水!$E$6:$E$805,参数设置!$B$12,购销流水!$D$6:$D$805,"采购退回",购销流水!$B$6:$B$805,"&gt;="&amp;$A$4,购销流水!$B$6:$B$805,"&lt;="&amp;$B$4)</f>
        <v>0</v>
      </c>
      <c r="E10" s="42" t="n">
        <f aca="false">ROUND($C10-$D10,2)</f>
        <v>0</v>
      </c>
      <c r="F10" s="40" t="n">
        <f aca="false">(SUMIFS(期初余额!$R$6:$R$65,期初余额!$P$6:$P$65,参数设置!$A$12,期初余额!$Q$6:$Q$65,参数设置!$B$10)+SUMIFS(记账分录!$I$6:$I$5505,记账分录!$F$6:$F$5505,参数设置!$A$12,记账分录!$H$6:$H$5505,"应收账款",记账分录!$K$6:$K$5505,参数设置!$B$10,记账分录!$E$6:$E$5505,"&lt;="&amp;$B$4)-SUMIFS(记账分录!$J$6:$J$5505,记账分录!$F$6:$F$5505,参数设置!$A$12,记账分录!$H$6:$H$5505,"应收账款",记账分录!$K$6:$K$5505,参数设置!$B$10,记账分录!$E$6:$E$5505,"&lt;="&amp;$B$4))</f>
        <v>0</v>
      </c>
      <c r="G10" s="40" t="n">
        <f aca="false">(SUMIFS(期初余额!$S$6:$S$65,期初余额!$P$6:$P$65,参数设置!$A$10,期初余额!$Q$6:$Q$65,参数设置!$B$12)+SUMIFS(记账分录!$J$6:$J$5505,记账分录!$F$6:$F$5505,参数设置!$A$10,记账分录!$H$6:$H$5505,"应付账款",记账分录!$K$6:$K$5505,参数设置!$B$12,记账分录!$E$6:$E$5505,"&lt;="&amp;$B$4)-SUMIFS(记账分录!$I$6:$I$5505,记账分录!$F$6:$F$5505,参数设置!$A$10,记账分录!$H$6:$H$5505,"应付账款",记账分录!$K$6:$K$5505,参数设置!$B$12,记账分录!$E$6:$E$5505,"&lt;="&amp;$B$4))</f>
        <v>0</v>
      </c>
      <c r="H10" s="42" t="n">
        <f aca="false">ROUND($F10-$G10,2)</f>
        <v>0</v>
      </c>
      <c r="I10" s="26" t="str">
        <f aca="false">IF(AND(ROUND($C10,2)=0,ROUND($D10,2)=0),"本期无内部交易",IF(AND(ROUND($E10,2)=0,ROUND($H10,2)=0),"√ 两边一致",IF(ROUND($E10,2)&lt;&gt;0,"✗ 开票与入账差 "&amp;TEXT($E10,"#,##0.00"),"✗ 往来余额差 "&amp;TEXT($H10,"#,##0.00"))))</f>
        <v>本期无内部交易</v>
      </c>
    </row>
    <row r="11" customFormat="false" ht="15" hidden="false" customHeight="false" outlineLevel="0" collapsed="false">
      <c r="A11" s="25" t="str">
        <f aca="false">参数设置!$A$12</f>
        <v>科技</v>
      </c>
      <c r="B11" s="25" t="str">
        <f aca="false">参数设置!$A$11</f>
        <v>木业</v>
      </c>
      <c r="C11" s="40" t="n">
        <f aca="false">SUMIFS(购销流水!$Q$6:$Q$805,购销流水!$C$6:$C$805,参数设置!$A$12,购销流水!$E$6:$E$805,参数设置!$B$11,购销流水!$D$6:$D$805,"销售出库",购销流水!$B$6:$B$805,"&gt;="&amp;$A$4,购销流水!$B$6:$B$805,"&lt;="&amp;$B$4)-SUMIFS(购销流水!$Q$6:$Q$805,购销流水!$C$6:$C$805,参数设置!$A$12,购销流水!$E$6:$E$805,参数设置!$B$11,购销流水!$D$6:$D$805,"销售退回",购销流水!$B$6:$B$805,"&gt;="&amp;$A$4,购销流水!$B$6:$B$805,"&lt;="&amp;$B$4)</f>
        <v>0</v>
      </c>
      <c r="D11" s="40" t="n">
        <f aca="false">SUMIFS(购销流水!$Q$6:$Q$805,购销流水!$C$6:$C$805,参数设置!$A$11,购销流水!$E$6:$E$805,参数设置!$B$12,购销流水!$D$6:$D$805,"采购入库",购销流水!$B$6:$B$805,"&gt;="&amp;$A$4,购销流水!$B$6:$B$805,"&lt;="&amp;$B$4)-SUMIFS(购销流水!$Q$6:$Q$805,购销流水!$C$6:$C$805,参数设置!$A$11,购销流水!$E$6:$E$805,参数设置!$B$12,购销流水!$D$6:$D$805,"采购退回",购销流水!$B$6:$B$805,"&gt;="&amp;$A$4,购销流水!$B$6:$B$805,"&lt;="&amp;$B$4)</f>
        <v>0</v>
      </c>
      <c r="E11" s="42" t="n">
        <f aca="false">ROUND($C11-$D11,2)</f>
        <v>0</v>
      </c>
      <c r="F11" s="40" t="n">
        <f aca="false">(SUMIFS(期初余额!$R$6:$R$65,期初余额!$P$6:$P$65,参数设置!$A$12,期初余额!$Q$6:$Q$65,参数设置!$B$11)+SUMIFS(记账分录!$I$6:$I$5505,记账分录!$F$6:$F$5505,参数设置!$A$12,记账分录!$H$6:$H$5505,"应收账款",记账分录!$K$6:$K$5505,参数设置!$B$11,记账分录!$E$6:$E$5505,"&lt;="&amp;$B$4)-SUMIFS(记账分录!$J$6:$J$5505,记账分录!$F$6:$F$5505,参数设置!$A$12,记账分录!$H$6:$H$5505,"应收账款",记账分录!$K$6:$K$5505,参数设置!$B$11,记账分录!$E$6:$E$5505,"&lt;="&amp;$B$4))</f>
        <v>0</v>
      </c>
      <c r="G11" s="40" t="n">
        <f aca="false">(SUMIFS(期初余额!$S$6:$S$65,期初余额!$P$6:$P$65,参数设置!$A$11,期初余额!$Q$6:$Q$65,参数设置!$B$12)+SUMIFS(记账分录!$J$6:$J$5505,记账分录!$F$6:$F$5505,参数设置!$A$11,记账分录!$H$6:$H$5505,"应付账款",记账分录!$K$6:$K$5505,参数设置!$B$12,记账分录!$E$6:$E$5505,"&lt;="&amp;$B$4)-SUMIFS(记账分录!$I$6:$I$5505,记账分录!$F$6:$F$5505,参数设置!$A$11,记账分录!$H$6:$H$5505,"应付账款",记账分录!$K$6:$K$5505,参数设置!$B$12,记账分录!$E$6:$E$5505,"&lt;="&amp;$B$4))</f>
        <v>0</v>
      </c>
      <c r="H11" s="42" t="n">
        <f aca="false">ROUND($F11-$G11,2)</f>
        <v>0</v>
      </c>
      <c r="I11" s="26" t="str">
        <f aca="false">IF(AND(ROUND($C11,2)=0,ROUND($D11,2)=0),"本期无内部交易",IF(AND(ROUND($E11,2)=0,ROUND($H11,2)=0),"√ 两边一致",IF(ROUND($E11,2)&lt;&gt;0,"✗ 开票与入账差 "&amp;TEXT($E11,"#,##0.00"),"✗ 往来余额差 "&amp;TEXT($H11,"#,##0.00"))))</f>
        <v>本期无内部交易</v>
      </c>
    </row>
  </sheetData>
  <mergeCells count="3">
    <mergeCell ref="A1:I1"/>
    <mergeCell ref="A2:I2"/>
    <mergeCell ref="H3:I3"/>
  </mergeCells>
  <conditionalFormatting sqref="I6">
    <cfRule type="expression" priority="2" aboveAverage="0" equalAverage="0" bottom="0" percent="0" rank="0" text="" dxfId="0">
      <formula>LEFT($I6,1)="✗"</formula>
    </cfRule>
  </conditionalFormatting>
  <conditionalFormatting sqref="I7">
    <cfRule type="expression" priority="3" aboveAverage="0" equalAverage="0" bottom="0" percent="0" rank="0" text="" dxfId="0">
      <formula>LEFT($I7,1)="✗"</formula>
    </cfRule>
  </conditionalFormatting>
  <conditionalFormatting sqref="I8">
    <cfRule type="expression" priority="4" aboveAverage="0" equalAverage="0" bottom="0" percent="0" rank="0" text="" dxfId="0">
      <formula>LEFT($I8,1)="✗"</formula>
    </cfRule>
  </conditionalFormatting>
  <conditionalFormatting sqref="I9">
    <cfRule type="expression" priority="5" aboveAverage="0" equalAverage="0" bottom="0" percent="0" rank="0" text="" dxfId="0">
      <formula>LEFT($I9,1)="✗"</formula>
    </cfRule>
  </conditionalFormatting>
  <conditionalFormatting sqref="I10">
    <cfRule type="expression" priority="6" aboveAverage="0" equalAverage="0" bottom="0" percent="0" rank="0" text="" dxfId="0">
      <formula>LEFT($I10,1)="✗"</formula>
    </cfRule>
  </conditionalFormatting>
  <conditionalFormatting sqref="I11">
    <cfRule type="expression" priority="7" aboveAverage="0" equalAverage="0" bottom="0" percent="0" rank="0" text="" dxfId="0">
      <formula>LEFT($I11,1)="✗"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900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901</v>
      </c>
      <c r="B2" s="2"/>
      <c r="C2" s="2"/>
      <c r="D2" s="2"/>
      <c r="E2" s="2"/>
      <c r="F2" s="2"/>
      <c r="G2" s="2"/>
    </row>
    <row r="5" customFormat="false" ht="30" hidden="false" customHeight="true" outlineLevel="0" collapsed="false">
      <c r="A5" s="8" t="s">
        <v>560</v>
      </c>
      <c r="B5" s="8" t="s">
        <v>902</v>
      </c>
      <c r="C5" s="8" t="s">
        <v>544</v>
      </c>
      <c r="D5" s="8" t="s">
        <v>903</v>
      </c>
      <c r="E5" s="8" t="s">
        <v>904</v>
      </c>
      <c r="F5" s="8" t="s">
        <v>905</v>
      </c>
      <c r="G5" s="8" t="s">
        <v>100</v>
      </c>
    </row>
    <row r="6" customFormat="false" ht="15" hidden="false" customHeight="false" outlineLevel="0" collapsed="false">
      <c r="A6" s="53" t="n">
        <v>1</v>
      </c>
      <c r="B6" s="10" t="s">
        <v>906</v>
      </c>
      <c r="C6" s="88" t="s">
        <v>107</v>
      </c>
      <c r="D6" s="40" t="n">
        <f aca="false">SUMIFS(期初余额!$C$6:$C$185,期初余额!$A$6:$A$185,参数设置!$A$10)</f>
        <v>2335000</v>
      </c>
      <c r="E6" s="40" t="n">
        <f aca="false">SUMIFS(期初余额!$D$6:$D$185,期初余额!$A$6:$A$185,参数设置!$A$10)</f>
        <v>2335000</v>
      </c>
      <c r="F6" s="23" t="str">
        <f aca="false">IF(ROUND($D6-$E6,2)=0,"√ 一致","✗ 差 "&amp;TEXT($D6-$E6,"#,##0.00"))</f>
        <v>√ 一致</v>
      </c>
      <c r="G6" s="51" t="s">
        <v>907</v>
      </c>
    </row>
    <row r="7" customFormat="false" ht="15" hidden="false" customHeight="false" outlineLevel="0" collapsed="false">
      <c r="A7" s="53" t="n">
        <v>2</v>
      </c>
      <c r="B7" s="10" t="s">
        <v>908</v>
      </c>
      <c r="C7" s="88" t="s">
        <v>107</v>
      </c>
      <c r="D7" s="40" t="n">
        <f aca="false">SUMIFS(期初余额!$L$6:$L$65,期初余额!$H$6:$H$65,参数设置!$A$10)</f>
        <v>90000</v>
      </c>
      <c r="E7" s="40" t="n">
        <f aca="false">SUMIFS(期初余额!$C$6:$C$185,期初余额!$A$6:$A$185,参数设置!$A$10,期初余额!$B$6:$B$185,"原材料")+SUMIFS(期初余额!$C$6:$C$185,期初余额!$A$6:$A$185,参数设置!$A$10,期初余额!$B$6:$B$185,"库存商品")</f>
        <v>90000</v>
      </c>
      <c r="F7" s="23" t="str">
        <f aca="false">IF(ROUND($D7-$E7,2)=0,"√ 一致","✗ 差 "&amp;TEXT($D7-$E7,"#,##0.00"))</f>
        <v>√ 一致</v>
      </c>
      <c r="G7" s="51" t="s">
        <v>909</v>
      </c>
    </row>
    <row r="8" customFormat="false" ht="15" hidden="false" customHeight="false" outlineLevel="0" collapsed="false">
      <c r="A8" s="53" t="n">
        <v>3</v>
      </c>
      <c r="B8" s="10" t="s">
        <v>910</v>
      </c>
      <c r="C8" s="88" t="s">
        <v>107</v>
      </c>
      <c r="D8" s="40" t="n">
        <f aca="false">SUMIFS(期初余额!$R$6:$R$65,期初余额!$P$6:$P$65,参数设置!$A$10)</f>
        <v>0</v>
      </c>
      <c r="E8" s="40" t="n">
        <f aca="false">SUMIFS(期初余额!$C$6:$C$185,期初余额!$A$6:$A$185,参数设置!$A$10,期初余额!$B$6:$B$185,"应收账款")</f>
        <v>0</v>
      </c>
      <c r="F8" s="23" t="str">
        <f aca="false">IF(ROUND($D8-$E8,2)=0,"√ 一致","✗ 差 "&amp;TEXT($D8-$E8,"#,##0.00"))</f>
        <v>√ 一致</v>
      </c>
      <c r="G8" s="51" t="s">
        <v>911</v>
      </c>
    </row>
    <row r="9" customFormat="false" ht="15" hidden="false" customHeight="false" outlineLevel="0" collapsed="false">
      <c r="A9" s="53" t="n">
        <v>4</v>
      </c>
      <c r="B9" s="10" t="s">
        <v>912</v>
      </c>
      <c r="C9" s="88" t="s">
        <v>107</v>
      </c>
      <c r="D9" s="40" t="n">
        <f aca="false">SUMIFS(期初余额!$S$6:$S$65,期初余额!$P$6:$P$65,参数设置!$A$10)</f>
        <v>35000</v>
      </c>
      <c r="E9" s="40" t="n">
        <f aca="false">SUMIFS(期初余额!$D$6:$D$185,期初余额!$A$6:$A$185,参数设置!$A$10,期初余额!$B$6:$B$185,"应付账款")</f>
        <v>35000</v>
      </c>
      <c r="F9" s="23" t="str">
        <f aca="false">IF(ROUND($D9-$E9,2)=0,"√ 一致","✗ 差 "&amp;TEXT($D9-$E9,"#,##0.00"))</f>
        <v>√ 一致</v>
      </c>
      <c r="G9" s="51" t="s">
        <v>913</v>
      </c>
    </row>
    <row r="10" customFormat="false" ht="15" hidden="false" customHeight="false" outlineLevel="0" collapsed="false">
      <c r="A10" s="53" t="n">
        <v>5</v>
      </c>
      <c r="B10" s="10" t="s">
        <v>914</v>
      </c>
      <c r="C10" s="88" t="s">
        <v>107</v>
      </c>
      <c r="D10" s="40" t="n">
        <f aca="false">SUMIFS(记账分录!$I$6:$I$5505,记账分录!$F$6:$F$5505,参数设置!$A$10)</f>
        <v>1404260.96</v>
      </c>
      <c r="E10" s="40" t="n">
        <f aca="false">SUMIFS(记账分录!$J$6:$J$5505,记账分录!$F$6:$F$5505,参数设置!$A$10)</f>
        <v>1404260.96</v>
      </c>
      <c r="F10" s="23" t="str">
        <f aca="false">IF(ROUND($D10-$E10,2)=0,"√ 一致","✗ 差 "&amp;TEXT($D10-$E10,"#,##0.00"))</f>
        <v>√ 一致</v>
      </c>
      <c r="G10" s="51" t="s">
        <v>915</v>
      </c>
    </row>
    <row r="11" customFormat="false" ht="15" hidden="false" customHeight="false" outlineLevel="0" collapsed="false">
      <c r="A11" s="53" t="n">
        <v>6</v>
      </c>
      <c r="B11" s="10" t="s">
        <v>916</v>
      </c>
      <c r="C11" s="88" t="s">
        <v>107</v>
      </c>
      <c r="D11" s="40" t="n">
        <f aca="false">'农业-资产负债表'!$C$25</f>
        <v>2310272.38</v>
      </c>
      <c r="E11" s="40" t="n">
        <f aca="false">'农业-资产负债表'!$G$23</f>
        <v>2310272.38</v>
      </c>
      <c r="F11" s="23" t="str">
        <f aca="false">IF(ROUND($D11-$E11,2)=0,"√ 一致","✗ 差 "&amp;TEXT($D11-$E11,"#,##0.00"))</f>
        <v>√ 一致</v>
      </c>
      <c r="G11" s="51" t="s">
        <v>917</v>
      </c>
    </row>
    <row r="12" customFormat="false" ht="15" hidden="false" customHeight="false" outlineLevel="0" collapsed="false">
      <c r="A12" s="53" t="n">
        <v>7</v>
      </c>
      <c r="B12" s="10" t="s">
        <v>918</v>
      </c>
      <c r="C12" s="88" t="s">
        <v>107</v>
      </c>
      <c r="D12" s="40" t="n">
        <f aca="false">'农业-利润表'!$C$19</f>
        <v>22072.38</v>
      </c>
      <c r="E12" s="40" t="n">
        <f aca="false">(SUMIFS(科目余额表!$O$7:$O$246,科目余额表!$A$7:$A$246,参数设置!$A$10,科目余额表!$D$7:$D$246,"损益-收入")-SUMIFS(科目余额表!$O$7:$O$246,科目余额表!$A$7:$A$246,参数设置!$A$10,科目余额表!$D$7:$D$246,"损益-费用"))</f>
        <v>22072.38</v>
      </c>
      <c r="F12" s="23" t="str">
        <f aca="false">IF(ROUND($D12-$E12,2)=0,"√ 一致","✗ 差 "&amp;TEXT($D12-$E12,"#,##0.00"))</f>
        <v>√ 一致</v>
      </c>
      <c r="G12" s="51" t="s">
        <v>919</v>
      </c>
    </row>
    <row r="13" customFormat="false" ht="15" hidden="false" customHeight="false" outlineLevel="0" collapsed="false">
      <c r="A13" s="53" t="n">
        <v>8</v>
      </c>
      <c r="B13" s="10" t="s">
        <v>906</v>
      </c>
      <c r="C13" s="88" t="s">
        <v>110</v>
      </c>
      <c r="D13" s="40" t="n">
        <f aca="false">SUMIFS(期初余额!$C$6:$C$185,期初余额!$A$6:$A$185,参数设置!$A$11)</f>
        <v>1585250</v>
      </c>
      <c r="E13" s="40" t="n">
        <f aca="false">SUMIFS(期初余额!$D$6:$D$185,期初余额!$A$6:$A$185,参数设置!$A$11)</f>
        <v>1585250</v>
      </c>
      <c r="F13" s="23" t="str">
        <f aca="false">IF(ROUND($D13-$E13,2)=0,"√ 一致","✗ 差 "&amp;TEXT($D13-$E13,"#,##0.00"))</f>
        <v>√ 一致</v>
      </c>
      <c r="G13" s="51" t="s">
        <v>907</v>
      </c>
    </row>
    <row r="14" customFormat="false" ht="15" hidden="false" customHeight="false" outlineLevel="0" collapsed="false">
      <c r="A14" s="53" t="n">
        <v>9</v>
      </c>
      <c r="B14" s="10" t="s">
        <v>908</v>
      </c>
      <c r="C14" s="88" t="s">
        <v>110</v>
      </c>
      <c r="D14" s="40" t="n">
        <f aca="false">SUMIFS(期初余额!$L$6:$L$65,期初余额!$H$6:$H$65,参数设置!$A$11)</f>
        <v>186250</v>
      </c>
      <c r="E14" s="40" t="n">
        <f aca="false">SUMIFS(期初余额!$C$6:$C$185,期初余额!$A$6:$A$185,参数设置!$A$11,期初余额!$B$6:$B$185,"原材料")+SUMIFS(期初余额!$C$6:$C$185,期初余额!$A$6:$A$185,参数设置!$A$11,期初余额!$B$6:$B$185,"库存商品")</f>
        <v>186250</v>
      </c>
      <c r="F14" s="23" t="str">
        <f aca="false">IF(ROUND($D14-$E14,2)=0,"√ 一致","✗ 差 "&amp;TEXT($D14-$E14,"#,##0.00"))</f>
        <v>√ 一致</v>
      </c>
      <c r="G14" s="51" t="s">
        <v>909</v>
      </c>
    </row>
    <row r="15" customFormat="false" ht="15" hidden="false" customHeight="false" outlineLevel="0" collapsed="false">
      <c r="A15" s="53" t="n">
        <v>10</v>
      </c>
      <c r="B15" s="10" t="s">
        <v>910</v>
      </c>
      <c r="C15" s="88" t="s">
        <v>110</v>
      </c>
      <c r="D15" s="40" t="n">
        <f aca="false">SUMIFS(期初余额!$R$6:$R$65,期初余额!$P$6:$P$65,参数设置!$A$11)</f>
        <v>156000</v>
      </c>
      <c r="E15" s="40" t="n">
        <f aca="false">SUMIFS(期初余额!$C$6:$C$185,期初余额!$A$6:$A$185,参数设置!$A$11,期初余额!$B$6:$B$185,"应收账款")</f>
        <v>156000</v>
      </c>
      <c r="F15" s="23" t="str">
        <f aca="false">IF(ROUND($D15-$E15,2)=0,"√ 一致","✗ 差 "&amp;TEXT($D15-$E15,"#,##0.00"))</f>
        <v>√ 一致</v>
      </c>
      <c r="G15" s="51" t="s">
        <v>911</v>
      </c>
    </row>
    <row r="16" customFormat="false" ht="15" hidden="false" customHeight="false" outlineLevel="0" collapsed="false">
      <c r="A16" s="53" t="n">
        <v>11</v>
      </c>
      <c r="B16" s="10" t="s">
        <v>912</v>
      </c>
      <c r="C16" s="88" t="s">
        <v>110</v>
      </c>
      <c r="D16" s="40" t="n">
        <f aca="false">SUMIFS(期初余额!$S$6:$S$65,期初余额!$P$6:$P$65,参数设置!$A$11)</f>
        <v>88000</v>
      </c>
      <c r="E16" s="40" t="n">
        <f aca="false">SUMIFS(期初余额!$D$6:$D$185,期初余额!$A$6:$A$185,参数设置!$A$11,期初余额!$B$6:$B$185,"应付账款")</f>
        <v>88000</v>
      </c>
      <c r="F16" s="23" t="str">
        <f aca="false">IF(ROUND($D16-$E16,2)=0,"√ 一致","✗ 差 "&amp;TEXT($D16-$E16,"#,##0.00"))</f>
        <v>√ 一致</v>
      </c>
      <c r="G16" s="51" t="s">
        <v>913</v>
      </c>
    </row>
    <row r="17" customFormat="false" ht="15" hidden="false" customHeight="false" outlineLevel="0" collapsed="false">
      <c r="A17" s="53" t="n">
        <v>12</v>
      </c>
      <c r="B17" s="10" t="s">
        <v>914</v>
      </c>
      <c r="C17" s="88" t="s">
        <v>110</v>
      </c>
      <c r="D17" s="40" t="n">
        <f aca="false">SUMIFS(记账分录!$I$6:$I$5505,记账分录!$F$6:$F$5505,参数设置!$A$11)</f>
        <v>2898446.33</v>
      </c>
      <c r="E17" s="40" t="n">
        <f aca="false">SUMIFS(记账分录!$J$6:$J$5505,记账分录!$F$6:$F$5505,参数设置!$A$11)</f>
        <v>2898446.33</v>
      </c>
      <c r="F17" s="23" t="str">
        <f aca="false">IF(ROUND($D17-$E17,2)=0,"√ 一致","✗ 差 "&amp;TEXT($D17-$E17,"#,##0.00"))</f>
        <v>√ 一致</v>
      </c>
      <c r="G17" s="51" t="s">
        <v>915</v>
      </c>
    </row>
    <row r="18" customFormat="false" ht="15" hidden="false" customHeight="false" outlineLevel="0" collapsed="false">
      <c r="A18" s="53" t="n">
        <v>13</v>
      </c>
      <c r="B18" s="10" t="s">
        <v>916</v>
      </c>
      <c r="C18" s="88" t="s">
        <v>110</v>
      </c>
      <c r="D18" s="40" t="n">
        <f aca="false">'木业-资产负债表'!$C$25</f>
        <v>1686400.95</v>
      </c>
      <c r="E18" s="40" t="n">
        <f aca="false">'木业-资产负债表'!$G$23</f>
        <v>1686400.95</v>
      </c>
      <c r="F18" s="23" t="str">
        <f aca="false">IF(ROUND($D18-$E18,2)=0,"√ 一致","✗ 差 "&amp;TEXT($D18-$E18,"#,##0.00"))</f>
        <v>√ 一致</v>
      </c>
      <c r="G18" s="51" t="s">
        <v>917</v>
      </c>
    </row>
    <row r="19" customFormat="false" ht="15" hidden="false" customHeight="false" outlineLevel="0" collapsed="false">
      <c r="A19" s="53" t="n">
        <v>14</v>
      </c>
      <c r="B19" s="10" t="s">
        <v>918</v>
      </c>
      <c r="C19" s="88" t="s">
        <v>110</v>
      </c>
      <c r="D19" s="40" t="n">
        <f aca="false">'木业-利润表'!$C$19</f>
        <v>65150.95</v>
      </c>
      <c r="E19" s="40" t="n">
        <f aca="false">(SUMIFS(科目余额表!$O$7:$O$246,科目余额表!$A$7:$A$246,参数设置!$A$11,科目余额表!$D$7:$D$246,"损益-收入")-SUMIFS(科目余额表!$O$7:$O$246,科目余额表!$A$7:$A$246,参数设置!$A$11,科目余额表!$D$7:$D$246,"损益-费用"))</f>
        <v>65150.95</v>
      </c>
      <c r="F19" s="23" t="str">
        <f aca="false">IF(ROUND($D19-$E19,2)=0,"√ 一致","✗ 差 "&amp;TEXT($D19-$E19,"#,##0.00"))</f>
        <v>√ 一致</v>
      </c>
      <c r="G19" s="51" t="s">
        <v>919</v>
      </c>
    </row>
    <row r="20" customFormat="false" ht="15" hidden="false" customHeight="false" outlineLevel="0" collapsed="false">
      <c r="A20" s="53" t="n">
        <v>15</v>
      </c>
      <c r="B20" s="10" t="s">
        <v>906</v>
      </c>
      <c r="C20" s="88" t="s">
        <v>112</v>
      </c>
      <c r="D20" s="40" t="n">
        <f aca="false">SUMIFS(期初余额!$C$6:$C$185,期初余额!$A$6:$A$185,参数设置!$A$12)</f>
        <v>1098140</v>
      </c>
      <c r="E20" s="40" t="n">
        <f aca="false">SUMIFS(期初余额!$D$6:$D$185,期初余额!$A$6:$A$185,参数设置!$A$12)</f>
        <v>1098140</v>
      </c>
      <c r="F20" s="23" t="str">
        <f aca="false">IF(ROUND($D20-$E20,2)=0,"√ 一致","✗ 差 "&amp;TEXT($D20-$E20,"#,##0.00"))</f>
        <v>√ 一致</v>
      </c>
      <c r="G20" s="51" t="s">
        <v>907</v>
      </c>
    </row>
    <row r="21" customFormat="false" ht="15" hidden="false" customHeight="false" outlineLevel="0" collapsed="false">
      <c r="A21" s="53" t="n">
        <v>16</v>
      </c>
      <c r="B21" s="10" t="s">
        <v>908</v>
      </c>
      <c r="C21" s="88" t="s">
        <v>112</v>
      </c>
      <c r="D21" s="40" t="n">
        <f aca="false">SUMIFS(期初余额!$L$6:$L$65,期初余额!$H$6:$H$65,参数设置!$A$12)</f>
        <v>108140</v>
      </c>
      <c r="E21" s="40" t="n">
        <f aca="false">SUMIFS(期初余额!$C$6:$C$185,期初余额!$A$6:$A$185,参数设置!$A$12,期初余额!$B$6:$B$185,"原材料")+SUMIFS(期初余额!$C$6:$C$185,期初余额!$A$6:$A$185,参数设置!$A$12,期初余额!$B$6:$B$185,"库存商品")</f>
        <v>108140</v>
      </c>
      <c r="F21" s="23" t="str">
        <f aca="false">IF(ROUND($D21-$E21,2)=0,"√ 一致","✗ 差 "&amp;TEXT($D21-$E21,"#,##0.00"))</f>
        <v>√ 一致</v>
      </c>
      <c r="G21" s="51" t="s">
        <v>909</v>
      </c>
    </row>
    <row r="22" customFormat="false" ht="15" hidden="false" customHeight="false" outlineLevel="0" collapsed="false">
      <c r="A22" s="53" t="n">
        <v>17</v>
      </c>
      <c r="B22" s="10" t="s">
        <v>910</v>
      </c>
      <c r="C22" s="88" t="s">
        <v>112</v>
      </c>
      <c r="D22" s="40" t="n">
        <f aca="false">SUMIFS(期初余额!$R$6:$R$65,期初余额!$P$6:$P$65,参数设置!$A$12)</f>
        <v>88000</v>
      </c>
      <c r="E22" s="40" t="n">
        <f aca="false">SUMIFS(期初余额!$C$6:$C$185,期初余额!$A$6:$A$185,参数设置!$A$12,期初余额!$B$6:$B$185,"应收账款")</f>
        <v>88000</v>
      </c>
      <c r="F22" s="23" t="str">
        <f aca="false">IF(ROUND($D22-$E22,2)=0,"√ 一致","✗ 差 "&amp;TEXT($D22-$E22,"#,##0.00"))</f>
        <v>√ 一致</v>
      </c>
      <c r="G22" s="51" t="s">
        <v>911</v>
      </c>
    </row>
    <row r="23" customFormat="false" ht="15" hidden="false" customHeight="false" outlineLevel="0" collapsed="false">
      <c r="A23" s="53" t="n">
        <v>18</v>
      </c>
      <c r="B23" s="10" t="s">
        <v>912</v>
      </c>
      <c r="C23" s="88" t="s">
        <v>112</v>
      </c>
      <c r="D23" s="40" t="n">
        <f aca="false">SUMIFS(期初余额!$S$6:$S$65,期初余额!$P$6:$P$65,参数设置!$A$12)</f>
        <v>45000</v>
      </c>
      <c r="E23" s="40" t="n">
        <f aca="false">SUMIFS(期初余额!$D$6:$D$185,期初余额!$A$6:$A$185,参数设置!$A$12,期初余额!$B$6:$B$185,"应付账款")</f>
        <v>45000</v>
      </c>
      <c r="F23" s="23" t="str">
        <f aca="false">IF(ROUND($D23-$E23,2)=0,"√ 一致","✗ 差 "&amp;TEXT($D23-$E23,"#,##0.00"))</f>
        <v>√ 一致</v>
      </c>
      <c r="G23" s="51" t="s">
        <v>913</v>
      </c>
    </row>
    <row r="24" customFormat="false" ht="15" hidden="false" customHeight="false" outlineLevel="0" collapsed="false">
      <c r="A24" s="53" t="n">
        <v>19</v>
      </c>
      <c r="B24" s="10" t="s">
        <v>914</v>
      </c>
      <c r="C24" s="88" t="s">
        <v>112</v>
      </c>
      <c r="D24" s="40" t="n">
        <f aca="false">SUMIFS(记账分录!$I$6:$I$5505,记账分录!$F$6:$F$5505,参数设置!$A$12)</f>
        <v>1836717.83</v>
      </c>
      <c r="E24" s="40" t="n">
        <f aca="false">SUMIFS(记账分录!$J$6:$J$5505,记账分录!$F$6:$F$5505,参数设置!$A$12)</f>
        <v>1836717.83</v>
      </c>
      <c r="F24" s="23" t="str">
        <f aca="false">IF(ROUND($D24-$E24,2)=0,"√ 一致","✗ 差 "&amp;TEXT($D24-$E24,"#,##0.00"))</f>
        <v>√ 一致</v>
      </c>
      <c r="G24" s="51" t="s">
        <v>915</v>
      </c>
    </row>
    <row r="25" customFormat="false" ht="15" hidden="false" customHeight="false" outlineLevel="0" collapsed="false">
      <c r="A25" s="53" t="n">
        <v>20</v>
      </c>
      <c r="B25" s="10" t="s">
        <v>916</v>
      </c>
      <c r="C25" s="88" t="s">
        <v>112</v>
      </c>
      <c r="D25" s="40" t="n">
        <f aca="false">'科技-资产负债表'!$C$25</f>
        <v>1267433.57</v>
      </c>
      <c r="E25" s="40" t="n">
        <f aca="false">'科技-资产负债表'!$G$23</f>
        <v>1267433.57</v>
      </c>
      <c r="F25" s="23" t="str">
        <f aca="false">IF(ROUND($D25-$E25,2)=0,"√ 一致","✗ 差 "&amp;TEXT($D25-$E25,"#,##0.00"))</f>
        <v>√ 一致</v>
      </c>
      <c r="G25" s="51" t="s">
        <v>917</v>
      </c>
    </row>
    <row r="26" customFormat="false" ht="15" hidden="false" customHeight="false" outlineLevel="0" collapsed="false">
      <c r="A26" s="53" t="n">
        <v>21</v>
      </c>
      <c r="B26" s="10" t="s">
        <v>918</v>
      </c>
      <c r="C26" s="88" t="s">
        <v>112</v>
      </c>
      <c r="D26" s="40" t="n">
        <f aca="false">'科技-利润表'!$C$19</f>
        <v>157693.57</v>
      </c>
      <c r="E26" s="40" t="n">
        <f aca="false">(SUMIFS(科目余额表!$O$7:$O$246,科目余额表!$A$7:$A$246,参数设置!$A$12,科目余额表!$D$7:$D$246,"损益-收入")-SUMIFS(科目余额表!$O$7:$O$246,科目余额表!$A$7:$A$246,参数设置!$A$12,科目余额表!$D$7:$D$246,"损益-费用"))</f>
        <v>157693.57</v>
      </c>
      <c r="F26" s="23" t="str">
        <f aca="false">IF(ROUND($D26-$E26,2)=0,"√ 一致","✗ 差 "&amp;TEXT($D26-$E26,"#,##0.00"))</f>
        <v>√ 一致</v>
      </c>
      <c r="G26" s="51" t="s">
        <v>919</v>
      </c>
    </row>
    <row r="27" customFormat="false" ht="15" hidden="false" customHeight="false" outlineLevel="0" collapsed="false">
      <c r="A27" s="53" t="n">
        <v>22</v>
      </c>
      <c r="B27" s="10" t="s">
        <v>920</v>
      </c>
      <c r="C27" s="88" t="s">
        <v>921</v>
      </c>
      <c r="D27" s="40" t="n">
        <f aca="false">资金账户!$K$27</f>
        <v>1274240</v>
      </c>
      <c r="E27" s="40" t="n">
        <f aca="false">SUMIFS(科目余额表!$L$7:$L$246,科目余额表!$A$7:$A$246,参数设置!$A$10,科目余额表!$C$7:$C$246,"库存现金")+SUMIFS(科目余额表!$L$7:$L$246,科目余额表!$A$7:$A$246,参数设置!$A$10,科目余额表!$C$7:$C$246,"银行存款")+SUMIFS(科目余额表!$L$7:$L$246,科目余额表!$A$7:$A$246,参数设置!$A$11,科目余额表!$C$7:$C$246,"库存现金")+SUMIFS(科目余额表!$L$7:$L$246,科目余额表!$A$7:$A$246,参数设置!$A$11,科目余额表!$C$7:$C$246,"银行存款")+SUMIFS(科目余额表!$L$7:$L$246,科目余额表!$A$7:$A$246,参数设置!$A$12,科目余额表!$C$7:$C$246,"库存现金")+SUMIFS(科目余额表!$L$7:$L$246,科目余额表!$A$7:$A$246,参数设置!$A$12,科目余额表!$C$7:$C$246,"银行存款")</f>
        <v>1274240</v>
      </c>
      <c r="F27" s="23" t="str">
        <f aca="false">IF(ROUND($D27-$E27,2)=0,"√ 一致","✗ 差 "&amp;TEXT($D27-$E27,"#,##0.00"))</f>
        <v>√ 一致</v>
      </c>
      <c r="G27" s="51" t="s">
        <v>922</v>
      </c>
    </row>
    <row r="28" customFormat="false" ht="15" hidden="false" customHeight="false" outlineLevel="0" collapsed="false">
      <c r="A28" s="53" t="n">
        <v>23</v>
      </c>
      <c r="B28" s="10" t="s">
        <v>923</v>
      </c>
      <c r="C28" s="88" t="s">
        <v>921</v>
      </c>
      <c r="D28" s="40" t="n">
        <f aca="false">SUM(记账分录!$I$6:$I$5505)</f>
        <v>6139425.12</v>
      </c>
      <c r="E28" s="40" t="n">
        <f aca="false">SUM(记账分录!$J$6:$J$5505)</f>
        <v>6139425.12</v>
      </c>
      <c r="F28" s="23" t="str">
        <f aca="false">IF(ROUND($D28-$E28,2)=0,"√ 一致","✗ 差 "&amp;TEXT($D28-$E28,"#,##0.00"))</f>
        <v>√ 一致</v>
      </c>
      <c r="G28" s="51" t="s">
        <v>924</v>
      </c>
    </row>
    <row r="29" customFormat="false" ht="15" hidden="false" customHeight="false" outlineLevel="0" collapsed="false">
      <c r="A29" s="53" t="n">
        <v>24</v>
      </c>
      <c r="B29" s="10" t="s">
        <v>925</v>
      </c>
      <c r="C29" s="88" t="s">
        <v>921</v>
      </c>
      <c r="D29" s="40" t="n">
        <f aca="false">SUMPRODUCT(--(购销流水!$P$6:$P$805&lt;&gt;"OK"),--(购销流水!$P$6:$P$805&lt;&gt;""))</f>
        <v>0</v>
      </c>
      <c r="E29" s="89" t="n">
        <v>0</v>
      </c>
      <c r="F29" s="23" t="str">
        <f aca="false">IF(ROUND($D29,2)=0,"√ 没问题","✗ "&amp;TEXT($D29,"#,##0.##")&amp;" 处")</f>
        <v>√ 没问题</v>
      </c>
      <c r="G29" s="51" t="s">
        <v>926</v>
      </c>
    </row>
    <row r="30" customFormat="false" ht="15" hidden="false" customHeight="false" outlineLevel="0" collapsed="false">
      <c r="A30" s="53" t="n">
        <v>25</v>
      </c>
      <c r="B30" s="10" t="s">
        <v>927</v>
      </c>
      <c r="C30" s="88" t="s">
        <v>921</v>
      </c>
      <c r="D30" s="40" t="n">
        <f aca="false">SUMPRODUCT(--(资金流水!$N$6:$N$605&lt;&gt;"OK"),--(资金流水!$N$6:$N$605&lt;&gt;""))</f>
        <v>0</v>
      </c>
      <c r="E30" s="89" t="n">
        <v>0</v>
      </c>
      <c r="F30" s="23" t="str">
        <f aca="false">IF(ROUND($D30,2)=0,"√ 没问题","✗ "&amp;TEXT($D30,"#,##0.##")&amp;" 处")</f>
        <v>√ 没问题</v>
      </c>
      <c r="G30" s="51" t="s">
        <v>926</v>
      </c>
    </row>
    <row r="31" customFormat="false" ht="15" hidden="false" customHeight="false" outlineLevel="0" collapsed="false">
      <c r="A31" s="53" t="n">
        <v>26</v>
      </c>
      <c r="B31" s="10" t="s">
        <v>928</v>
      </c>
      <c r="C31" s="88" t="s">
        <v>921</v>
      </c>
      <c r="D31" s="40" t="n">
        <f aca="false">SUMPRODUCT(--(生产加工!$P$6:$P$305&lt;&gt;"OK"),--(生产加工!$P$6:$P$305&lt;&gt;""))</f>
        <v>0</v>
      </c>
      <c r="E31" s="89" t="n">
        <v>0</v>
      </c>
      <c r="F31" s="23" t="str">
        <f aca="false">IF(ROUND($D31,2)=0,"√ 没问题","✗ "&amp;TEXT($D31,"#,##0.##")&amp;" 处")</f>
        <v>√ 没问题</v>
      </c>
      <c r="G31" s="51" t="s">
        <v>926</v>
      </c>
    </row>
    <row r="32" customFormat="false" ht="15" hidden="false" customHeight="false" outlineLevel="0" collapsed="false">
      <c r="A32" s="53" t="n">
        <v>27</v>
      </c>
      <c r="B32" s="10" t="s">
        <v>929</v>
      </c>
      <c r="C32" s="88" t="s">
        <v>921</v>
      </c>
      <c r="D32" s="40" t="n">
        <f aca="false">SUMPRODUCT(--(其他分录!$K$6:$K$255&lt;&gt;"OK"),--(其他分录!$K$6:$K$255&lt;&gt;""))</f>
        <v>0</v>
      </c>
      <c r="E32" s="89" t="n">
        <v>0</v>
      </c>
      <c r="F32" s="23" t="str">
        <f aca="false">IF(ROUND($D32,2)=0,"√ 没问题","✗ "&amp;TEXT($D32,"#,##0.##")&amp;" 处")</f>
        <v>√ 没问题</v>
      </c>
      <c r="G32" s="51" t="s">
        <v>926</v>
      </c>
    </row>
    <row r="33" customFormat="false" ht="15" hidden="false" customHeight="false" outlineLevel="0" collapsed="false">
      <c r="A33" s="53" t="n">
        <v>28</v>
      </c>
      <c r="B33" s="10" t="s">
        <v>930</v>
      </c>
      <c r="C33" s="88" t="s">
        <v>921</v>
      </c>
      <c r="D33" s="40" t="n">
        <f aca="false">SUMPRODUCT(--(期初余额!$F$6:$F$185&lt;&gt;"OK"),--(期初余额!$F$6:$F$185&lt;&gt;""))+SUMPRODUCT(--(期初余额!$N$6:$N$65&lt;&gt;"OK"),--(期初余额!$N$6:$N$65&lt;&gt;""))</f>
        <v>0</v>
      </c>
      <c r="E33" s="89" t="n">
        <v>0</v>
      </c>
      <c r="F33" s="23" t="str">
        <f aca="false">IF(ROUND($D33,2)=0,"√ 没问题","✗ "&amp;TEXT($D33,"#,##0.##")&amp;" 处")</f>
        <v>√ 没问题</v>
      </c>
      <c r="G33" s="51" t="s">
        <v>931</v>
      </c>
    </row>
    <row r="34" customFormat="false" ht="15" hidden="false" customHeight="false" outlineLevel="0" collapsed="false">
      <c r="A34" s="53" t="n">
        <v>29</v>
      </c>
      <c r="B34" s="10" t="s">
        <v>932</v>
      </c>
      <c r="C34" s="88" t="s">
        <v>921</v>
      </c>
      <c r="D34" s="40" t="n">
        <f aca="false">SUMPRODUCT(--(商品档案!$N$6:$N$65&lt;&gt;"OK"),--(商品档案!$N$6:$N$65&lt;&gt;""))+SUMPRODUCT(--(往来单位!$I$6:$I$85&lt;&gt;"OK"),--(往来单位!$I$6:$I$85&lt;&gt;""))+SUMPRODUCT(--(资金账户!$L$6:$L$25&lt;&gt;"OK"),--(资金账户!$L$6:$L$25&lt;&gt;""))</f>
        <v>0</v>
      </c>
      <c r="E34" s="89" t="n">
        <v>0</v>
      </c>
      <c r="F34" s="23" t="str">
        <f aca="false">IF(ROUND($D34,2)=0,"√ 没问题","✗ "&amp;TEXT($D34,"#,##0.##")&amp;" 处")</f>
        <v>√ 没问题</v>
      </c>
      <c r="G34" s="51" t="s">
        <v>933</v>
      </c>
    </row>
    <row r="35" customFormat="false" ht="15" hidden="false" customHeight="false" outlineLevel="0" collapsed="false">
      <c r="A35" s="53" t="n">
        <v>30</v>
      </c>
      <c r="B35" s="10" t="s">
        <v>934</v>
      </c>
      <c r="C35" s="88" t="s">
        <v>921</v>
      </c>
      <c r="D35" s="40" t="n">
        <f aca="false">COUNTIF(进销存台账!$V$6:$V$65,"✗*")</f>
        <v>0</v>
      </c>
      <c r="E35" s="89" t="n">
        <v>0</v>
      </c>
      <c r="F35" s="23" t="str">
        <f aca="false">IF(ROUND($D35,2)=0,"√ 没问题","✗ "&amp;TEXT($D35,"#,##0.##")&amp;" 处")</f>
        <v>√ 没问题</v>
      </c>
      <c r="G35" s="51" t="s">
        <v>935</v>
      </c>
    </row>
    <row r="36" customFormat="false" ht="15" hidden="false" customHeight="false" outlineLevel="0" collapsed="false">
      <c r="A36" s="53" t="n">
        <v>31</v>
      </c>
      <c r="B36" s="10" t="s">
        <v>936</v>
      </c>
      <c r="C36" s="88" t="s">
        <v>921</v>
      </c>
      <c r="D36" s="40" t="n">
        <f aca="false">COUNTIF(内部交易核对!$I$6:$I$11,"✗*")</f>
        <v>0</v>
      </c>
      <c r="E36" s="89" t="n">
        <v>0</v>
      </c>
      <c r="F36" s="23" t="str">
        <f aca="false">IF(ROUND($D36,2)=0,"√ 没问题","✗ "&amp;TEXT($D36,"#,##0.##")&amp;" 处")</f>
        <v>√ 没问题</v>
      </c>
      <c r="G36" s="51" t="s">
        <v>937</v>
      </c>
    </row>
    <row r="37" customFormat="false" ht="15" hidden="false" customHeight="false" outlineLevel="0" collapsed="false">
      <c r="A37" s="53" t="n">
        <v>32</v>
      </c>
      <c r="B37" s="10" t="s">
        <v>938</v>
      </c>
      <c r="C37" s="88" t="s">
        <v>921</v>
      </c>
      <c r="D37" s="40" t="n">
        <f aca="false">COUNTIFS(购销流水!$D$6:$D$805,"销售出库",购销流水!$W$6:$W$805,0)</f>
        <v>0</v>
      </c>
      <c r="E37" s="89" t="n">
        <v>0</v>
      </c>
      <c r="F37" s="23" t="str">
        <f aca="false">IF(ROUND($D37,2)=0,"√ 没问题","✗ "&amp;TEXT($D37,"#,##0.##")&amp;" 处")</f>
        <v>√ 没问题</v>
      </c>
      <c r="G37" s="51" t="s">
        <v>939</v>
      </c>
    </row>
    <row r="38" customFormat="false" ht="15" hidden="false" customHeight="false" outlineLevel="0" collapsed="false">
      <c r="A38" s="53" t="n">
        <v>33</v>
      </c>
      <c r="B38" s="10" t="s">
        <v>940</v>
      </c>
      <c r="C38" s="88" t="s">
        <v>921</v>
      </c>
      <c r="D38" s="40" t="n">
        <f aca="false">COUNTIFS(会计科目表!$B$6:$B$85,"&lt;&gt;",会计科目表!$F$6:$F$85,"")</f>
        <v>0</v>
      </c>
      <c r="E38" s="89" t="n">
        <v>0</v>
      </c>
      <c r="F38" s="23" t="str">
        <f aca="false">IF(ROUND($D38,2)=0,"√ 没问题","✗ "&amp;TEXT($D38,"#,##0.##")&amp;" 处")</f>
        <v>√ 没问题</v>
      </c>
      <c r="G38" s="51" t="s">
        <v>941</v>
      </c>
    </row>
    <row r="39" customFormat="false" ht="15" hidden="false" customHeight="false" outlineLevel="0" collapsed="false">
      <c r="A39" s="53" t="n">
        <v>34</v>
      </c>
      <c r="B39" s="10" t="s">
        <v>942</v>
      </c>
      <c r="C39" s="88" t="s">
        <v>921</v>
      </c>
      <c r="D39" s="40" t="n">
        <f aca="false">COUNTIF(资金账户!$L$6:$L$25,"✗*")</f>
        <v>0</v>
      </c>
      <c r="E39" s="89" t="n">
        <v>0</v>
      </c>
      <c r="F39" s="23" t="str">
        <f aca="false">IF(ROUND($D39,2)=0,"√ 没问题","✗ "&amp;TEXT($D39,"#,##0.##")&amp;" 处")</f>
        <v>√ 没问题</v>
      </c>
      <c r="G39" s="51" t="s">
        <v>943</v>
      </c>
    </row>
    <row r="40" customFormat="false" ht="15" hidden="false" customHeight="false" outlineLevel="0" collapsed="false">
      <c r="A40" s="53" t="n">
        <v>35</v>
      </c>
      <c r="B40" s="10" t="s">
        <v>944</v>
      </c>
      <c r="C40" s="88" t="s">
        <v>921</v>
      </c>
      <c r="D40" s="40" t="n">
        <f aca="false">ROUND(SUMIFS(科目余额表!$L$7:$L$246,科目余额表!$C$7:$C$246,"生产成本"),2)</f>
        <v>0</v>
      </c>
      <c r="E40" s="89" t="n">
        <v>0</v>
      </c>
      <c r="F40" s="23" t="str">
        <f aca="false">IF(ROUND($D40,2)=0,"√ 没问题","✗ "&amp;TEXT($D40,"#,##0.##")&amp;" 处")</f>
        <v>√ 没问题</v>
      </c>
      <c r="G40" s="51" t="s">
        <v>945</v>
      </c>
    </row>
    <row r="42" customFormat="false" ht="15" hidden="false" customHeight="false" outlineLevel="0" collapsed="false">
      <c r="B42" s="3" t="s">
        <v>946</v>
      </c>
      <c r="C42" s="90"/>
      <c r="D42" s="91" t="n">
        <f aca="false">COUNTIF($F$6:$F$40,"√*")</f>
        <v>35</v>
      </c>
      <c r="E42" s="91" t="n">
        <f aca="false">COUNTIF($F$6:$F$40,"✗*")</f>
        <v>0</v>
      </c>
      <c r="F42" s="23" t="str">
        <f aca="false">IF($E$42=0,"√ 全部通过","✗ 有 "&amp;$E$42&amp;" 项要处理")</f>
        <v>√ 全部通过</v>
      </c>
      <c r="G42" s="51" t="s">
        <v>947</v>
      </c>
    </row>
  </sheetData>
  <mergeCells count="2">
    <mergeCell ref="A1:G1"/>
    <mergeCell ref="A2:G2"/>
  </mergeCells>
  <conditionalFormatting sqref="F6">
    <cfRule type="expression" priority="2" aboveAverage="0" equalAverage="0" bottom="0" percent="0" rank="0" text="" dxfId="0">
      <formula>LEFT($F6,1)="✗"</formula>
    </cfRule>
  </conditionalFormatting>
  <conditionalFormatting sqref="F7">
    <cfRule type="expression" priority="3" aboveAverage="0" equalAverage="0" bottom="0" percent="0" rank="0" text="" dxfId="0">
      <formula>LEFT($F7,1)="✗"</formula>
    </cfRule>
  </conditionalFormatting>
  <conditionalFormatting sqref="F8">
    <cfRule type="expression" priority="4" aboveAverage="0" equalAverage="0" bottom="0" percent="0" rank="0" text="" dxfId="0">
      <formula>LEFT($F8,1)="✗"</formula>
    </cfRule>
  </conditionalFormatting>
  <conditionalFormatting sqref="F9">
    <cfRule type="expression" priority="5" aboveAverage="0" equalAverage="0" bottom="0" percent="0" rank="0" text="" dxfId="0">
      <formula>LEFT($F9,1)="✗"</formula>
    </cfRule>
  </conditionalFormatting>
  <conditionalFormatting sqref="F10">
    <cfRule type="expression" priority="6" aboveAverage="0" equalAverage="0" bottom="0" percent="0" rank="0" text="" dxfId="0">
      <formula>LEFT($F10,1)="✗"</formula>
    </cfRule>
  </conditionalFormatting>
  <conditionalFormatting sqref="F11">
    <cfRule type="expression" priority="7" aboveAverage="0" equalAverage="0" bottom="0" percent="0" rank="0" text="" dxfId="0">
      <formula>LEFT($F11,1)="✗"</formula>
    </cfRule>
  </conditionalFormatting>
  <conditionalFormatting sqref="F12">
    <cfRule type="expression" priority="8" aboveAverage="0" equalAverage="0" bottom="0" percent="0" rank="0" text="" dxfId="0">
      <formula>LEFT($F12,1)="✗"</formula>
    </cfRule>
  </conditionalFormatting>
  <conditionalFormatting sqref="F13">
    <cfRule type="expression" priority="9" aboveAverage="0" equalAverage="0" bottom="0" percent="0" rank="0" text="" dxfId="0">
      <formula>LEFT($F13,1)="✗"</formula>
    </cfRule>
  </conditionalFormatting>
  <conditionalFormatting sqref="F14">
    <cfRule type="expression" priority="10" aboveAverage="0" equalAverage="0" bottom="0" percent="0" rank="0" text="" dxfId="0">
      <formula>LEFT($F14,1)="✗"</formula>
    </cfRule>
  </conditionalFormatting>
  <conditionalFormatting sqref="F15">
    <cfRule type="expression" priority="11" aboveAverage="0" equalAverage="0" bottom="0" percent="0" rank="0" text="" dxfId="0">
      <formula>LEFT($F15,1)="✗"</formula>
    </cfRule>
  </conditionalFormatting>
  <conditionalFormatting sqref="F16">
    <cfRule type="expression" priority="12" aboveAverage="0" equalAverage="0" bottom="0" percent="0" rank="0" text="" dxfId="0">
      <formula>LEFT($F16,1)="✗"</formula>
    </cfRule>
  </conditionalFormatting>
  <conditionalFormatting sqref="F17">
    <cfRule type="expression" priority="13" aboveAverage="0" equalAverage="0" bottom="0" percent="0" rank="0" text="" dxfId="0">
      <formula>LEFT($F17,1)="✗"</formula>
    </cfRule>
  </conditionalFormatting>
  <conditionalFormatting sqref="F18">
    <cfRule type="expression" priority="14" aboveAverage="0" equalAverage="0" bottom="0" percent="0" rank="0" text="" dxfId="0">
      <formula>LEFT($F18,1)="✗"</formula>
    </cfRule>
  </conditionalFormatting>
  <conditionalFormatting sqref="F19">
    <cfRule type="expression" priority="15" aboveAverage="0" equalAverage="0" bottom="0" percent="0" rank="0" text="" dxfId="0">
      <formula>LEFT($F19,1)="✗"</formula>
    </cfRule>
  </conditionalFormatting>
  <conditionalFormatting sqref="F20">
    <cfRule type="expression" priority="16" aboveAverage="0" equalAverage="0" bottom="0" percent="0" rank="0" text="" dxfId="0">
      <formula>LEFT($F20,1)="✗"</formula>
    </cfRule>
  </conditionalFormatting>
  <conditionalFormatting sqref="F21">
    <cfRule type="expression" priority="17" aboveAverage="0" equalAverage="0" bottom="0" percent="0" rank="0" text="" dxfId="0">
      <formula>LEFT($F21,1)="✗"</formula>
    </cfRule>
  </conditionalFormatting>
  <conditionalFormatting sqref="F22">
    <cfRule type="expression" priority="18" aboveAverage="0" equalAverage="0" bottom="0" percent="0" rank="0" text="" dxfId="0">
      <formula>LEFT($F22,1)="✗"</formula>
    </cfRule>
  </conditionalFormatting>
  <conditionalFormatting sqref="F23">
    <cfRule type="expression" priority="19" aboveAverage="0" equalAverage="0" bottom="0" percent="0" rank="0" text="" dxfId="0">
      <formula>LEFT($F23,1)="✗"</formula>
    </cfRule>
  </conditionalFormatting>
  <conditionalFormatting sqref="F24">
    <cfRule type="expression" priority="20" aboveAverage="0" equalAverage="0" bottom="0" percent="0" rank="0" text="" dxfId="0">
      <formula>LEFT($F24,1)="✗"</formula>
    </cfRule>
  </conditionalFormatting>
  <conditionalFormatting sqref="F25">
    <cfRule type="expression" priority="21" aboveAverage="0" equalAverage="0" bottom="0" percent="0" rank="0" text="" dxfId="0">
      <formula>LEFT($F25,1)="✗"</formula>
    </cfRule>
  </conditionalFormatting>
  <conditionalFormatting sqref="F26">
    <cfRule type="expression" priority="22" aboveAverage="0" equalAverage="0" bottom="0" percent="0" rank="0" text="" dxfId="0">
      <formula>LEFT($F26,1)="✗"</formula>
    </cfRule>
  </conditionalFormatting>
  <conditionalFormatting sqref="F27">
    <cfRule type="expression" priority="23" aboveAverage="0" equalAverage="0" bottom="0" percent="0" rank="0" text="" dxfId="0">
      <formula>LEFT($F27,1)="✗"</formula>
    </cfRule>
  </conditionalFormatting>
  <conditionalFormatting sqref="F28">
    <cfRule type="expression" priority="24" aboveAverage="0" equalAverage="0" bottom="0" percent="0" rank="0" text="" dxfId="0">
      <formula>LEFT($F28,1)="✗"</formula>
    </cfRule>
  </conditionalFormatting>
  <conditionalFormatting sqref="F29">
    <cfRule type="expression" priority="25" aboveAverage="0" equalAverage="0" bottom="0" percent="0" rank="0" text="" dxfId="0">
      <formula>LEFT($F29,1)="✗"</formula>
    </cfRule>
  </conditionalFormatting>
  <conditionalFormatting sqref="F30">
    <cfRule type="expression" priority="26" aboveAverage="0" equalAverage="0" bottom="0" percent="0" rank="0" text="" dxfId="0">
      <formula>LEFT($F30,1)="✗"</formula>
    </cfRule>
  </conditionalFormatting>
  <conditionalFormatting sqref="F31">
    <cfRule type="expression" priority="27" aboveAverage="0" equalAverage="0" bottom="0" percent="0" rank="0" text="" dxfId="0">
      <formula>LEFT($F31,1)="✗"</formula>
    </cfRule>
  </conditionalFormatting>
  <conditionalFormatting sqref="F32">
    <cfRule type="expression" priority="28" aboveAverage="0" equalAverage="0" bottom="0" percent="0" rank="0" text="" dxfId="0">
      <formula>LEFT($F32,1)="✗"</formula>
    </cfRule>
  </conditionalFormatting>
  <conditionalFormatting sqref="F33">
    <cfRule type="expression" priority="29" aboveAverage="0" equalAverage="0" bottom="0" percent="0" rank="0" text="" dxfId="0">
      <formula>LEFT($F33,1)="✗"</formula>
    </cfRule>
  </conditionalFormatting>
  <conditionalFormatting sqref="F34">
    <cfRule type="expression" priority="30" aboveAverage="0" equalAverage="0" bottom="0" percent="0" rank="0" text="" dxfId="0">
      <formula>LEFT($F34,1)="✗"</formula>
    </cfRule>
  </conditionalFormatting>
  <conditionalFormatting sqref="F35">
    <cfRule type="expression" priority="31" aboveAverage="0" equalAverage="0" bottom="0" percent="0" rank="0" text="" dxfId="0">
      <formula>LEFT($F35,1)="✗"</formula>
    </cfRule>
  </conditionalFormatting>
  <conditionalFormatting sqref="F36">
    <cfRule type="expression" priority="32" aboveAverage="0" equalAverage="0" bottom="0" percent="0" rank="0" text="" dxfId="0">
      <formula>LEFT($F36,1)="✗"</formula>
    </cfRule>
  </conditionalFormatting>
  <conditionalFormatting sqref="F37">
    <cfRule type="expression" priority="33" aboveAverage="0" equalAverage="0" bottom="0" percent="0" rank="0" text="" dxfId="0">
      <formula>LEFT($F37,1)="✗"</formula>
    </cfRule>
  </conditionalFormatting>
  <conditionalFormatting sqref="F38">
    <cfRule type="expression" priority="34" aboveAverage="0" equalAverage="0" bottom="0" percent="0" rank="0" text="" dxfId="0">
      <formula>LEFT($F38,1)="✗"</formula>
    </cfRule>
  </conditionalFormatting>
  <conditionalFormatting sqref="F39">
    <cfRule type="expression" priority="35" aboveAverage="0" equalAverage="0" bottom="0" percent="0" rank="0" text="" dxfId="0">
      <formula>LEFT($F39,1)="✗"</formula>
    </cfRule>
  </conditionalFormatting>
  <conditionalFormatting sqref="F40">
    <cfRule type="expression" priority="36" aboveAverage="0" equalAverage="0" bottom="0" percent="0" rank="0" text="" dxfId="0">
      <formula>LEFT($F40,1)="✗"</formula>
    </cfRule>
  </conditionalFormatting>
  <conditionalFormatting sqref="F42">
    <cfRule type="expression" priority="37" aboveAverage="0" equalAverage="0" bottom="0" percent="0" rank="0" text="" dxfId="0">
      <formula>LEFT($F$42,1)="✗"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2026-09-14T10:32:38Z</dcterms:created>
  <dc:creator>openpyxl</dc:creator>
  <dc:description/>
  <dc:language>en-US</dc:language>
  <cp:lastModifiedBy/>
  <dcterms:modified xsi:type="dcterms:W3CDTF">2026-09-14T10:32:44Z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